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a5b3e9960e240c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79d02990d7446e9a1fd5b8295efb429.psmdcp" Id="R63b3193bf1fe468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LinearizationMiniOutput-ICHI-e" sheetId="2" r:id="rId2"/>
  </x:sheets>
  <x:definedNames/>
  <x:calcPr calcId="125725"/>
</x:workbook>
</file>

<file path=xl/calcChain.xml><?xml version="1.0" encoding="utf-8"?>
<x:calcChain xmlns:x="http://schemas.openxmlformats.org/spreadsheetml/2006/main">
  <x:c r="K2" i="2"/>
  <x:c r="L2" i="2"/>
  <x:c r="K3" i="2"/>
  <x:c r="L3" i="2"/>
  <x:c r="K4" i="2"/>
  <x:c r="L4" i="2"/>
  <x:c r="K5" i="2"/>
  <x:c r="L5" i="2"/>
  <x:c r="K6" i="2"/>
  <x:c r="L6" i="2"/>
  <x:c r="K7" i="2"/>
  <x:c r="L7" i="2"/>
  <x:c r="K8" i="2"/>
  <x:c r="L8" i="2"/>
  <x:c r="K9" i="2"/>
  <x:c r="L9" i="2"/>
  <x:c r="K10" i="2"/>
  <x:c r="L10" i="2"/>
  <x:c r="K11" i="2"/>
  <x:c r="L11" i="2"/>
  <x:c r="K12" i="2"/>
  <x:c r="L12" i="2"/>
  <x:c r="K13" i="2"/>
  <x:c r="L13" i="2"/>
  <x:c r="K14" i="2"/>
  <x:c r="L14" i="2"/>
  <x:c r="K15" i="2"/>
  <x:c r="L15" i="2"/>
  <x:c r="K16" i="2"/>
  <x:c r="L16" i="2"/>
  <x:c r="K17" i="2"/>
  <x:c r="L17" i="2"/>
  <x:c r="K18" i="2"/>
  <x:c r="L18" i="2"/>
  <x:c r="K19" i="2"/>
  <x:c r="L19" i="2"/>
  <x:c r="K20" i="2"/>
  <x:c r="L20" i="2"/>
  <x:c r="K21" i="2"/>
  <x:c r="L21" i="2"/>
  <x:c r="K22" i="2"/>
  <x:c r="L22" i="2"/>
  <x:c r="K23" i="2"/>
  <x:c r="L23" i="2"/>
  <x:c r="K24" i="2"/>
  <x:c r="L24" i="2"/>
  <x:c r="K25" i="2"/>
  <x:c r="L25" i="2"/>
  <x:c r="K26" i="2"/>
  <x:c r="L26" i="2"/>
  <x:c r="K27" i="2"/>
  <x:c r="L27" i="2"/>
  <x:c r="K28" i="2"/>
  <x:c r="L28" i="2"/>
  <x:c r="K29" i="2"/>
  <x:c r="L29" i="2"/>
  <x:c r="K30" i="2"/>
  <x:c r="L30" i="2"/>
  <x:c r="K31" i="2"/>
  <x:c r="L31" i="2"/>
  <x:c r="K32" i="2"/>
  <x:c r="L32" i="2"/>
  <x:c r="K33" i="2"/>
  <x:c r="L33" i="2"/>
  <x:c r="K34" i="2"/>
  <x:c r="L34" i="2"/>
  <x:c r="K35" i="2"/>
  <x:c r="L35" i="2"/>
  <x:c r="K36" i="2"/>
  <x:c r="L36" i="2"/>
  <x:c r="K37" i="2"/>
  <x:c r="L37" i="2"/>
  <x:c r="K38" i="2"/>
  <x:c r="L38" i="2"/>
  <x:c r="K39" i="2"/>
  <x:c r="L39" i="2"/>
  <x:c r="K40" i="2"/>
  <x:c r="L40" i="2"/>
  <x:c r="K41" i="2"/>
  <x:c r="L41" i="2"/>
  <x:c r="K42" i="2"/>
  <x:c r="L42" i="2"/>
  <x:c r="K43" i="2"/>
  <x:c r="L43" i="2"/>
  <x:c r="K44" i="2"/>
  <x:c r="L44" i="2"/>
  <x:c r="K45" i="2"/>
  <x:c r="L45" i="2"/>
  <x:c r="K46" i="2"/>
  <x:c r="L46" i="2"/>
  <x:c r="K47" i="2"/>
  <x:c r="L47" i="2"/>
  <x:c r="K48" i="2"/>
  <x:c r="L48" i="2"/>
  <x:c r="K49" i="2"/>
  <x:c r="L49" i="2"/>
  <x:c r="K50" i="2"/>
  <x:c r="L50" i="2"/>
  <x:c r="K51" i="2"/>
  <x:c r="L51" i="2"/>
  <x:c r="K52" i="2"/>
  <x:c r="L52" i="2"/>
  <x:c r="K53" i="2"/>
  <x:c r="L53" i="2"/>
  <x:c r="K54" i="2"/>
  <x:c r="L54" i="2"/>
  <x:c r="K55" i="2"/>
  <x:c r="L55" i="2"/>
  <x:c r="K56" i="2"/>
  <x:c r="L56" i="2"/>
  <x:c r="K57" i="2"/>
  <x:c r="L57" i="2"/>
  <x:c r="K58" i="2"/>
  <x:c r="L58" i="2"/>
  <x:c r="K59" i="2"/>
  <x:c r="L59" i="2"/>
  <x:c r="K60" i="2"/>
  <x:c r="L60" i="2"/>
  <x:c r="K61" i="2"/>
  <x:c r="L61" i="2"/>
  <x:c r="K62" i="2"/>
  <x:c r="L62" i="2"/>
  <x:c r="K63" i="2"/>
  <x:c r="L63" i="2"/>
  <x:c r="K64" i="2"/>
  <x:c r="L64" i="2"/>
  <x:c r="K65" i="2"/>
  <x:c r="L65" i="2"/>
  <x:c r="K66" i="2"/>
  <x:c r="L66" i="2"/>
  <x:c r="K67" i="2"/>
  <x:c r="L67" i="2"/>
  <x:c r="K68" i="2"/>
  <x:c r="L68" i="2"/>
  <x:c r="K69" i="2"/>
  <x:c r="L69" i="2"/>
  <x:c r="K70" i="2"/>
  <x:c r="L70" i="2"/>
  <x:c r="K71" i="2"/>
  <x:c r="L71" i="2"/>
  <x:c r="K72" i="2"/>
  <x:c r="L72" i="2"/>
  <x:c r="K73" i="2"/>
  <x:c r="L73" i="2"/>
  <x:c r="K74" i="2"/>
  <x:c r="L74" i="2"/>
  <x:c r="K75" i="2"/>
  <x:c r="L75" i="2"/>
  <x:c r="K76" i="2"/>
  <x:c r="L76" i="2"/>
  <x:c r="K77" i="2"/>
  <x:c r="L77" i="2"/>
  <x:c r="K78" i="2"/>
  <x:c r="L78" i="2"/>
  <x:c r="K79" i="2"/>
  <x:c r="L79" i="2"/>
  <x:c r="K80" i="2"/>
  <x:c r="L80" i="2"/>
  <x:c r="K81" i="2"/>
  <x:c r="L81" i="2"/>
  <x:c r="K82" i="2"/>
  <x:c r="L82" i="2"/>
  <x:c r="K83" i="2"/>
  <x:c r="L83" i="2"/>
  <x:c r="K84" i="2"/>
  <x:c r="L84" i="2"/>
  <x:c r="K85" i="2"/>
  <x:c r="L85" i="2"/>
  <x:c r="K86" i="2"/>
  <x:c r="L86" i="2"/>
  <x:c r="K87" i="2"/>
  <x:c r="L87" i="2"/>
  <x:c r="K88" i="2"/>
  <x:c r="L88" i="2"/>
  <x:c r="K89" i="2"/>
  <x:c r="L89" i="2"/>
  <x:c r="K90" i="2"/>
  <x:c r="L90" i="2"/>
  <x:c r="K91" i="2"/>
  <x:c r="L91" i="2"/>
  <x:c r="K92" i="2"/>
  <x:c r="L92" i="2"/>
  <x:c r="K93" i="2"/>
  <x:c r="L93" i="2"/>
  <x:c r="K94" i="2"/>
  <x:c r="L94" i="2"/>
  <x:c r="K95" i="2"/>
  <x:c r="L95" i="2"/>
  <x:c r="K96" i="2"/>
  <x:c r="L96" i="2"/>
  <x:c r="K97" i="2"/>
  <x:c r="L97" i="2"/>
  <x:c r="K98" i="2"/>
  <x:c r="L98" i="2"/>
  <x:c r="K99" i="2"/>
  <x:c r="L99" i="2"/>
  <x:c r="K100" i="2"/>
  <x:c r="L100" i="2"/>
  <x:c r="K101" i="2"/>
  <x:c r="L101" i="2"/>
  <x:c r="K102" i="2"/>
  <x:c r="L102" i="2"/>
  <x:c r="K103" i="2"/>
  <x:c r="L103" i="2"/>
  <x:c r="K104" i="2"/>
  <x:c r="L104" i="2"/>
  <x:c r="K105" i="2"/>
  <x:c r="L105" i="2"/>
  <x:c r="K106" i="2"/>
  <x:c r="L106" i="2"/>
  <x:c r="K107" i="2"/>
  <x:c r="L107" i="2"/>
  <x:c r="K108" i="2"/>
  <x:c r="L108" i="2"/>
  <x:c r="K109" i="2"/>
  <x:c r="L109" i="2"/>
  <x:c r="K110" i="2"/>
  <x:c r="L110" i="2"/>
  <x:c r="K111" i="2"/>
  <x:c r="L111" i="2"/>
  <x:c r="K112" i="2"/>
  <x:c r="L112" i="2"/>
  <x:c r="K113" i="2"/>
  <x:c r="L113" i="2"/>
  <x:c r="K114" i="2"/>
  <x:c r="L114" i="2"/>
  <x:c r="K115" i="2"/>
  <x:c r="L115" i="2"/>
  <x:c r="K116" i="2"/>
  <x:c r="L116" i="2"/>
  <x:c r="K117" i="2"/>
  <x:c r="L117" i="2"/>
  <x:c r="K118" i="2"/>
  <x:c r="L118" i="2"/>
  <x:c r="K119" i="2"/>
  <x:c r="L119" i="2"/>
  <x:c r="K120" i="2"/>
  <x:c r="L120" i="2"/>
  <x:c r="K121" i="2"/>
  <x:c r="L121" i="2"/>
  <x:c r="K122" i="2"/>
  <x:c r="L122" i="2"/>
  <x:c r="K123" i="2"/>
  <x:c r="L123" i="2"/>
  <x:c r="K124" i="2"/>
  <x:c r="L124" i="2"/>
  <x:c r="K125" i="2"/>
  <x:c r="L125" i="2"/>
  <x:c r="K126" i="2"/>
  <x:c r="L126" i="2"/>
  <x:c r="K127" i="2"/>
  <x:c r="L127" i="2"/>
  <x:c r="K128" i="2"/>
  <x:c r="L128" i="2"/>
  <x:c r="K129" i="2"/>
  <x:c r="L129" i="2"/>
  <x:c r="K130" i="2"/>
  <x:c r="L130" i="2"/>
  <x:c r="K131" i="2"/>
  <x:c r="L131" i="2"/>
  <x:c r="K132" i="2"/>
  <x:c r="L132" i="2"/>
  <x:c r="K133" i="2"/>
  <x:c r="L133" i="2"/>
  <x:c r="K134" i="2"/>
  <x:c r="L134" i="2"/>
  <x:c r="K135" i="2"/>
  <x:c r="L135" i="2"/>
  <x:c r="K136" i="2"/>
  <x:c r="L136" i="2"/>
  <x:c r="K137" i="2"/>
  <x:c r="L137" i="2"/>
  <x:c r="K138" i="2"/>
  <x:c r="L138" i="2"/>
  <x:c r="K139" i="2"/>
  <x:c r="L139" i="2"/>
  <x:c r="K140" i="2"/>
  <x:c r="L140" i="2"/>
  <x:c r="K141" i="2"/>
  <x:c r="L141" i="2"/>
  <x:c r="K142" i="2"/>
  <x:c r="L142" i="2"/>
  <x:c r="K143" i="2"/>
  <x:c r="L143" i="2"/>
  <x:c r="K144" i="2"/>
  <x:c r="L144" i="2"/>
  <x:c r="K145" i="2"/>
  <x:c r="L145" i="2"/>
  <x:c r="K146" i="2"/>
  <x:c r="L146" i="2"/>
  <x:c r="K147" i="2"/>
  <x:c r="L147" i="2"/>
  <x:c r="K148" i="2"/>
  <x:c r="L148" i="2"/>
  <x:c r="K149" i="2"/>
  <x:c r="L149" i="2"/>
  <x:c r="K150" i="2"/>
  <x:c r="L150" i="2"/>
  <x:c r="K151" i="2"/>
  <x:c r="L151" i="2"/>
  <x:c r="K152" i="2"/>
  <x:c r="L152" i="2"/>
  <x:c r="K153" i="2"/>
  <x:c r="L153" i="2"/>
  <x:c r="K154" i="2"/>
  <x:c r="L154" i="2"/>
  <x:c r="K155" i="2"/>
  <x:c r="L155" i="2"/>
  <x:c r="K156" i="2"/>
  <x:c r="L156" i="2"/>
  <x:c r="K157" i="2"/>
  <x:c r="L157" i="2"/>
  <x:c r="K158" i="2"/>
  <x:c r="L158" i="2"/>
  <x:c r="K159" i="2"/>
  <x:c r="L159" i="2"/>
  <x:c r="K160" i="2"/>
  <x:c r="L160" i="2"/>
  <x:c r="K161" i="2"/>
  <x:c r="L161" i="2"/>
  <x:c r="K162" i="2"/>
  <x:c r="L162" i="2"/>
  <x:c r="K163" i="2"/>
  <x:c r="L163" i="2"/>
  <x:c r="K164" i="2"/>
  <x:c r="L164" i="2"/>
  <x:c r="K165" i="2"/>
  <x:c r="L165" i="2"/>
  <x:c r="K166" i="2"/>
  <x:c r="L166" i="2"/>
  <x:c r="K167" i="2"/>
  <x:c r="L167" i="2"/>
  <x:c r="K168" i="2"/>
  <x:c r="L168" i="2"/>
  <x:c r="K169" i="2"/>
  <x:c r="L169" i="2"/>
  <x:c r="K170" i="2"/>
  <x:c r="L170" i="2"/>
  <x:c r="K171" i="2"/>
  <x:c r="L171" i="2"/>
  <x:c r="K172" i="2"/>
  <x:c r="L172" i="2"/>
  <x:c r="K173" i="2"/>
  <x:c r="L173" i="2"/>
  <x:c r="K174" i="2"/>
  <x:c r="L174" i="2"/>
  <x:c r="K175" i="2"/>
  <x:c r="L175" i="2"/>
  <x:c r="K176" i="2"/>
  <x:c r="L176" i="2"/>
  <x:c r="K177" i="2"/>
  <x:c r="L177" i="2"/>
  <x:c r="K178" i="2"/>
  <x:c r="L178" i="2"/>
  <x:c r="K179" i="2"/>
  <x:c r="L179" i="2"/>
  <x:c r="K180" i="2"/>
  <x:c r="L180" i="2"/>
  <x:c r="K181" i="2"/>
  <x:c r="L181" i="2"/>
  <x:c r="K182" i="2"/>
  <x:c r="L182" i="2"/>
  <x:c r="K183" i="2"/>
  <x:c r="L183" i="2"/>
  <x:c r="K184" i="2"/>
  <x:c r="L184" i="2"/>
  <x:c r="K185" i="2"/>
  <x:c r="L185" i="2"/>
  <x:c r="K186" i="2"/>
  <x:c r="L186" i="2"/>
  <x:c r="K187" i="2"/>
  <x:c r="L187" i="2"/>
  <x:c r="K188" i="2"/>
  <x:c r="L188" i="2"/>
  <x:c r="K189" i="2"/>
  <x:c r="L189" i="2"/>
  <x:c r="K190" i="2"/>
  <x:c r="L190" i="2"/>
  <x:c r="K191" i="2"/>
  <x:c r="L191" i="2"/>
  <x:c r="K192" i="2"/>
  <x:c r="L192" i="2"/>
  <x:c r="K193" i="2"/>
  <x:c r="L193" i="2"/>
  <x:c r="K194" i="2"/>
  <x:c r="L194" i="2"/>
  <x:c r="K195" i="2"/>
  <x:c r="L195" i="2"/>
  <x:c r="K196" i="2"/>
  <x:c r="L196" i="2"/>
  <x:c r="K197" i="2"/>
  <x:c r="L197" i="2"/>
  <x:c r="K198" i="2"/>
  <x:c r="L198" i="2"/>
  <x:c r="K199" i="2"/>
  <x:c r="L199" i="2"/>
  <x:c r="K200" i="2"/>
  <x:c r="L200" i="2"/>
  <x:c r="K201" i="2"/>
  <x:c r="L201" i="2"/>
  <x:c r="K202" i="2"/>
  <x:c r="L202" i="2"/>
  <x:c r="K203" i="2"/>
  <x:c r="L203" i="2"/>
  <x:c r="K204" i="2"/>
  <x:c r="L204" i="2"/>
  <x:c r="K205" i="2"/>
  <x:c r="L205" i="2"/>
  <x:c r="K206" i="2"/>
  <x:c r="L206" i="2"/>
  <x:c r="K207" i="2"/>
  <x:c r="L207" i="2"/>
  <x:c r="K208" i="2"/>
  <x:c r="L208" i="2"/>
  <x:c r="K209" i="2"/>
  <x:c r="L209" i="2"/>
  <x:c r="K210" i="2"/>
  <x:c r="L210" i="2"/>
  <x:c r="K211" i="2"/>
  <x:c r="L211" i="2"/>
  <x:c r="K212" i="2"/>
  <x:c r="L212" i="2"/>
  <x:c r="K213" i="2"/>
  <x:c r="L213" i="2"/>
  <x:c r="K214" i="2"/>
  <x:c r="L214" i="2"/>
  <x:c r="K215" i="2"/>
  <x:c r="L215" i="2"/>
  <x:c r="K216" i="2"/>
  <x:c r="L216" i="2"/>
  <x:c r="K217" i="2"/>
  <x:c r="L217" i="2"/>
  <x:c r="K218" i="2"/>
  <x:c r="L218" i="2"/>
  <x:c r="K219" i="2"/>
  <x:c r="L219" i="2"/>
  <x:c r="K220" i="2"/>
  <x:c r="L220" i="2"/>
  <x:c r="K221" i="2"/>
  <x:c r="L221" i="2"/>
  <x:c r="K222" i="2"/>
  <x:c r="L222" i="2"/>
  <x:c r="K223" i="2"/>
  <x:c r="L223" i="2"/>
  <x:c r="K224" i="2"/>
  <x:c r="L224" i="2"/>
  <x:c r="K225" i="2"/>
  <x:c r="L225" i="2"/>
  <x:c r="K226" i="2"/>
  <x:c r="L226" i="2"/>
  <x:c r="K227" i="2"/>
  <x:c r="L227" i="2"/>
  <x:c r="K228" i="2"/>
  <x:c r="L228" i="2"/>
  <x:c r="K229" i="2"/>
  <x:c r="L229" i="2"/>
  <x:c r="K230" i="2"/>
  <x:c r="L230" i="2"/>
  <x:c r="K231" i="2"/>
  <x:c r="L231" i="2"/>
  <x:c r="K232" i="2"/>
  <x:c r="L232" i="2"/>
  <x:c r="K233" i="2"/>
  <x:c r="L233" i="2"/>
  <x:c r="K234" i="2"/>
  <x:c r="L234" i="2"/>
  <x:c r="K235" i="2"/>
  <x:c r="L235" i="2"/>
  <x:c r="K236" i="2"/>
  <x:c r="L236" i="2"/>
  <x:c r="K237" i="2"/>
  <x:c r="L237" i="2"/>
  <x:c r="K238" i="2"/>
  <x:c r="L238" i="2"/>
  <x:c r="K239" i="2"/>
  <x:c r="L239" i="2"/>
  <x:c r="K240" i="2"/>
  <x:c r="L240" i="2"/>
  <x:c r="K241" i="2"/>
  <x:c r="L241" i="2"/>
  <x:c r="K242" i="2"/>
  <x:c r="L242" i="2"/>
  <x:c r="K243" i="2"/>
  <x:c r="L243" i="2"/>
  <x:c r="K244" i="2"/>
  <x:c r="L244" i="2"/>
  <x:c r="K245" i="2"/>
  <x:c r="L245" i="2"/>
  <x:c r="K246" i="2"/>
  <x:c r="L246" i="2"/>
  <x:c r="K247" i="2"/>
  <x:c r="L247" i="2"/>
  <x:c r="K248" i="2"/>
  <x:c r="L248" i="2"/>
  <x:c r="K249" i="2"/>
  <x:c r="L249" i="2"/>
  <x:c r="K250" i="2"/>
  <x:c r="L250" i="2"/>
  <x:c r="K251" i="2"/>
  <x:c r="L251" i="2"/>
  <x:c r="K252" i="2"/>
  <x:c r="L252" i="2"/>
  <x:c r="K253" i="2"/>
  <x:c r="L253" i="2"/>
  <x:c r="K254" i="2"/>
  <x:c r="L254" i="2"/>
  <x:c r="K255" i="2"/>
  <x:c r="L255" i="2"/>
  <x:c r="K256" i="2"/>
  <x:c r="L256" i="2"/>
  <x:c r="K257" i="2"/>
  <x:c r="L257" i="2"/>
  <x:c r="K258" i="2"/>
  <x:c r="L258" i="2"/>
  <x:c r="K259" i="2"/>
  <x:c r="L259" i="2"/>
  <x:c r="K260" i="2"/>
  <x:c r="L260" i="2"/>
  <x:c r="K261" i="2"/>
  <x:c r="L261" i="2"/>
  <x:c r="K262" i="2"/>
  <x:c r="L262" i="2"/>
  <x:c r="K263" i="2"/>
  <x:c r="L263" i="2"/>
  <x:c r="K264" i="2"/>
  <x:c r="L264" i="2"/>
  <x:c r="K265" i="2"/>
  <x:c r="L265" i="2"/>
  <x:c r="K266" i="2"/>
  <x:c r="L266" i="2"/>
  <x:c r="K267" i="2"/>
  <x:c r="L267" i="2"/>
  <x:c r="K268" i="2"/>
  <x:c r="L268" i="2"/>
  <x:c r="K269" i="2"/>
  <x:c r="L269" i="2"/>
  <x:c r="K270" i="2"/>
  <x:c r="L270" i="2"/>
  <x:c r="K271" i="2"/>
  <x:c r="L271" i="2"/>
  <x:c r="K272" i="2"/>
  <x:c r="L272" i="2"/>
  <x:c r="K273" i="2"/>
  <x:c r="L273" i="2"/>
  <x:c r="K274" i="2"/>
  <x:c r="L274" i="2"/>
  <x:c r="K275" i="2"/>
  <x:c r="L275" i="2"/>
  <x:c r="K276" i="2"/>
  <x:c r="L276" i="2"/>
  <x:c r="K277" i="2"/>
  <x:c r="L277" i="2"/>
  <x:c r="K278" i="2"/>
  <x:c r="L278" i="2"/>
  <x:c r="K279" i="2"/>
  <x:c r="L279" i="2"/>
  <x:c r="K280" i="2"/>
  <x:c r="L280" i="2"/>
  <x:c r="K281" i="2"/>
  <x:c r="L281" i="2"/>
  <x:c r="K282" i="2"/>
  <x:c r="L282" i="2"/>
  <x:c r="K283" i="2"/>
  <x:c r="L283" i="2"/>
  <x:c r="K284" i="2"/>
  <x:c r="L284" i="2"/>
  <x:c r="K285" i="2"/>
  <x:c r="L285" i="2"/>
  <x:c r="K286" i="2"/>
  <x:c r="L286" i="2"/>
  <x:c r="K287" i="2"/>
  <x:c r="L287" i="2"/>
  <x:c r="K288" i="2"/>
  <x:c r="L288" i="2"/>
  <x:c r="K289" i="2"/>
  <x:c r="L289" i="2"/>
  <x:c r="K290" i="2"/>
  <x:c r="L290" i="2"/>
  <x:c r="K291" i="2"/>
  <x:c r="L291" i="2"/>
  <x:c r="K292" i="2"/>
  <x:c r="L292" i="2"/>
  <x:c r="K293" i="2"/>
  <x:c r="L293" i="2"/>
  <x:c r="K294" i="2"/>
  <x:c r="L294" i="2"/>
  <x:c r="K295" i="2"/>
  <x:c r="L295" i="2"/>
  <x:c r="K296" i="2"/>
  <x:c r="L296" i="2"/>
  <x:c r="K297" i="2"/>
  <x:c r="L297" i="2"/>
  <x:c r="K298" i="2"/>
  <x:c r="L298" i="2"/>
  <x:c r="K299" i="2"/>
  <x:c r="L299" i="2"/>
  <x:c r="K300" i="2"/>
  <x:c r="L300" i="2"/>
  <x:c r="K301" i="2"/>
  <x:c r="L301" i="2"/>
  <x:c r="K302" i="2"/>
  <x:c r="L302" i="2"/>
  <x:c r="K303" i="2"/>
  <x:c r="L303" i="2"/>
  <x:c r="K304" i="2"/>
  <x:c r="L304" i="2"/>
  <x:c r="K305" i="2"/>
  <x:c r="L305" i="2"/>
  <x:c r="K306" i="2"/>
  <x:c r="L306" i="2"/>
  <x:c r="K307" i="2"/>
  <x:c r="L307" i="2"/>
  <x:c r="K308" i="2"/>
  <x:c r="L308" i="2"/>
  <x:c r="K309" i="2"/>
  <x:c r="L309" i="2"/>
  <x:c r="K310" i="2"/>
  <x:c r="L310" i="2"/>
  <x:c r="K311" i="2"/>
  <x:c r="L311" i="2"/>
  <x:c r="K312" i="2"/>
  <x:c r="L312" i="2"/>
  <x:c r="K313" i="2"/>
  <x:c r="L313" i="2"/>
  <x:c r="K314" i="2"/>
  <x:c r="L314" i="2"/>
  <x:c r="K315" i="2"/>
  <x:c r="L315" i="2"/>
  <x:c r="K316" i="2"/>
  <x:c r="L316" i="2"/>
  <x:c r="K317" i="2"/>
  <x:c r="L317" i="2"/>
  <x:c r="K318" i="2"/>
  <x:c r="L318" i="2"/>
  <x:c r="K319" i="2"/>
  <x:c r="L319" i="2"/>
  <x:c r="K320" i="2"/>
  <x:c r="L320" i="2"/>
  <x:c r="K321" i="2"/>
  <x:c r="L321" i="2"/>
  <x:c r="K322" i="2"/>
  <x:c r="L322" i="2"/>
  <x:c r="K323" i="2"/>
  <x:c r="L323" i="2"/>
  <x:c r="K324" i="2"/>
  <x:c r="L324" i="2"/>
  <x:c r="K325" i="2"/>
  <x:c r="L325" i="2"/>
  <x:c r="K326" i="2"/>
  <x:c r="L326" i="2"/>
  <x:c r="K327" i="2"/>
  <x:c r="L327" i="2"/>
  <x:c r="K328" i="2"/>
  <x:c r="L328" i="2"/>
  <x:c r="K329" i="2"/>
  <x:c r="L329" i="2"/>
  <x:c r="K330" i="2"/>
  <x:c r="L330" i="2"/>
  <x:c r="K331" i="2"/>
  <x:c r="L331" i="2"/>
  <x:c r="K332" i="2"/>
  <x:c r="L332" i="2"/>
  <x:c r="K333" i="2"/>
  <x:c r="L333" i="2"/>
  <x:c r="K334" i="2"/>
  <x:c r="L334" i="2"/>
  <x:c r="K335" i="2"/>
  <x:c r="L335" i="2"/>
  <x:c r="K336" i="2"/>
  <x:c r="L336" i="2"/>
  <x:c r="K337" i="2"/>
  <x:c r="L337" i="2"/>
  <x:c r="K338" i="2"/>
  <x:c r="L338" i="2"/>
  <x:c r="K339" i="2"/>
  <x:c r="L339" i="2"/>
  <x:c r="K340" i="2"/>
  <x:c r="L340" i="2"/>
  <x:c r="K341" i="2"/>
  <x:c r="L341" i="2"/>
  <x:c r="K342" i="2"/>
  <x:c r="L342" i="2"/>
  <x:c r="K343" i="2"/>
  <x:c r="L343" i="2"/>
  <x:c r="K344" i="2"/>
  <x:c r="L344" i="2"/>
  <x:c r="K345" i="2"/>
  <x:c r="L345" i="2"/>
  <x:c r="K346" i="2"/>
  <x:c r="L346" i="2"/>
  <x:c r="K347" i="2"/>
  <x:c r="L347" i="2"/>
  <x:c r="K348" i="2"/>
  <x:c r="L348" i="2"/>
  <x:c r="K349" i="2"/>
  <x:c r="L349" i="2"/>
  <x:c r="K350" i="2"/>
  <x:c r="L350" i="2"/>
  <x:c r="K351" i="2"/>
  <x:c r="L351" i="2"/>
  <x:c r="K352" i="2"/>
  <x:c r="L352" i="2"/>
  <x:c r="K353" i="2"/>
  <x:c r="L353" i="2"/>
  <x:c r="K354" i="2"/>
  <x:c r="L354" i="2"/>
  <x:c r="K355" i="2"/>
  <x:c r="L355" i="2"/>
  <x:c r="K356" i="2"/>
  <x:c r="L356" i="2"/>
  <x:c r="K357" i="2"/>
  <x:c r="L357" i="2"/>
  <x:c r="K358" i="2"/>
  <x:c r="L358" i="2"/>
  <x:c r="K359" i="2"/>
  <x:c r="L359" i="2"/>
  <x:c r="K360" i="2"/>
  <x:c r="L360" i="2"/>
  <x:c r="K361" i="2"/>
  <x:c r="L361" i="2"/>
  <x:c r="K362" i="2"/>
  <x:c r="L362" i="2"/>
  <x:c r="K363" i="2"/>
  <x:c r="L363" i="2"/>
  <x:c r="K364" i="2"/>
  <x:c r="L364" i="2"/>
  <x:c r="K365" i="2"/>
  <x:c r="L365" i="2"/>
  <x:c r="K366" i="2"/>
  <x:c r="L366" i="2"/>
  <x:c r="K367" i="2"/>
  <x:c r="L367" i="2"/>
  <x:c r="K368" i="2"/>
  <x:c r="L368" i="2"/>
  <x:c r="K369" i="2"/>
  <x:c r="L369" i="2"/>
  <x:c r="K370" i="2"/>
  <x:c r="L370" i="2"/>
  <x:c r="K371" i="2"/>
  <x:c r="L371" i="2"/>
  <x:c r="K372" i="2"/>
  <x:c r="L372" i="2"/>
  <x:c r="K373" i="2"/>
  <x:c r="L373" i="2"/>
  <x:c r="K374" i="2"/>
  <x:c r="L374" i="2"/>
  <x:c r="K375" i="2"/>
  <x:c r="L375" i="2"/>
  <x:c r="K376" i="2"/>
  <x:c r="L376" i="2"/>
  <x:c r="K377" i="2"/>
  <x:c r="L377" i="2"/>
  <x:c r="K378" i="2"/>
  <x:c r="L378" i="2"/>
  <x:c r="K379" i="2"/>
  <x:c r="L379" i="2"/>
  <x:c r="K380" i="2"/>
  <x:c r="L380" i="2"/>
  <x:c r="K381" i="2"/>
  <x:c r="L381" i="2"/>
  <x:c r="K382" i="2"/>
  <x:c r="L382" i="2"/>
  <x:c r="K383" i="2"/>
  <x:c r="L383" i="2"/>
  <x:c r="K384" i="2"/>
  <x:c r="L384" i="2"/>
  <x:c r="K385" i="2"/>
  <x:c r="L385" i="2"/>
  <x:c r="K386" i="2"/>
  <x:c r="L386" i="2"/>
  <x:c r="K387" i="2"/>
  <x:c r="L387" i="2"/>
  <x:c r="K388" i="2"/>
  <x:c r="L388" i="2"/>
  <x:c r="K389" i="2"/>
  <x:c r="L389" i="2"/>
  <x:c r="K390" i="2"/>
  <x:c r="L390" i="2"/>
  <x:c r="K391" i="2"/>
  <x:c r="L391" i="2"/>
  <x:c r="K392" i="2"/>
  <x:c r="L392" i="2"/>
  <x:c r="K393" i="2"/>
  <x:c r="L393" i="2"/>
  <x:c r="K394" i="2"/>
  <x:c r="L394" i="2"/>
  <x:c r="K395" i="2"/>
  <x:c r="L395" i="2"/>
  <x:c r="K396" i="2"/>
  <x:c r="L396" i="2"/>
  <x:c r="K397" i="2"/>
  <x:c r="L397" i="2"/>
  <x:c r="K398" i="2"/>
  <x:c r="L398" i="2"/>
  <x:c r="K399" i="2"/>
  <x:c r="L399" i="2"/>
  <x:c r="K400" i="2"/>
  <x:c r="L400" i="2"/>
  <x:c r="K401" i="2"/>
  <x:c r="L401" i="2"/>
  <x:c r="K402" i="2"/>
  <x:c r="L402" i="2"/>
  <x:c r="K403" i="2"/>
  <x:c r="L403" i="2"/>
  <x:c r="K404" i="2"/>
  <x:c r="L404" i="2"/>
  <x:c r="K405" i="2"/>
  <x:c r="L405" i="2"/>
  <x:c r="K406" i="2"/>
  <x:c r="L406" i="2"/>
  <x:c r="K407" i="2"/>
  <x:c r="L407" i="2"/>
  <x:c r="K408" i="2"/>
  <x:c r="L408" i="2"/>
  <x:c r="K409" i="2"/>
  <x:c r="L409" i="2"/>
  <x:c r="K410" i="2"/>
  <x:c r="L410" i="2"/>
  <x:c r="K411" i="2"/>
  <x:c r="L411" i="2"/>
  <x:c r="K412" i="2"/>
  <x:c r="L412" i="2"/>
  <x:c r="K413" i="2"/>
  <x:c r="L413" i="2"/>
  <x:c r="K414" i="2"/>
  <x:c r="L414" i="2"/>
  <x:c r="K415" i="2"/>
  <x:c r="L415" i="2"/>
  <x:c r="K416" i="2"/>
  <x:c r="L416" i="2"/>
  <x:c r="K417" i="2"/>
  <x:c r="L417" i="2"/>
  <x:c r="K418" i="2"/>
  <x:c r="L418" i="2"/>
  <x:c r="K419" i="2"/>
  <x:c r="L419" i="2"/>
  <x:c r="K420" i="2"/>
  <x:c r="L420" i="2"/>
  <x:c r="K421" i="2"/>
  <x:c r="L421" i="2"/>
  <x:c r="K422" i="2"/>
  <x:c r="L422" i="2"/>
  <x:c r="K423" i="2"/>
  <x:c r="L423" i="2"/>
  <x:c r="K424" i="2"/>
  <x:c r="L424" i="2"/>
  <x:c r="K425" i="2"/>
  <x:c r="L425" i="2"/>
  <x:c r="K426" i="2"/>
  <x:c r="L426" i="2"/>
  <x:c r="K427" i="2"/>
  <x:c r="L427" i="2"/>
  <x:c r="K428" i="2"/>
  <x:c r="L428" i="2"/>
  <x:c r="K429" i="2"/>
  <x:c r="L429" i="2"/>
  <x:c r="K430" i="2"/>
  <x:c r="L430" i="2"/>
  <x:c r="K431" i="2"/>
  <x:c r="L431" i="2"/>
  <x:c r="K432" i="2"/>
  <x:c r="L432" i="2"/>
  <x:c r="K433" i="2"/>
  <x:c r="L433" i="2"/>
  <x:c r="K434" i="2"/>
  <x:c r="L434" i="2"/>
  <x:c r="K435" i="2"/>
  <x:c r="L435" i="2"/>
  <x:c r="K436" i="2"/>
  <x:c r="L436" i="2"/>
  <x:c r="K437" i="2"/>
  <x:c r="L437" i="2"/>
  <x:c r="K438" i="2"/>
  <x:c r="L438" i="2"/>
  <x:c r="K439" i="2"/>
  <x:c r="L439" i="2"/>
  <x:c r="K440" i="2"/>
  <x:c r="L440" i="2"/>
  <x:c r="K441" i="2"/>
  <x:c r="L441" i="2"/>
  <x:c r="K442" i="2"/>
  <x:c r="L442" i="2"/>
  <x:c r="K443" i="2"/>
  <x:c r="L443" i="2"/>
  <x:c r="K444" i="2"/>
  <x:c r="L444" i="2"/>
  <x:c r="K445" i="2"/>
  <x:c r="L445" i="2"/>
  <x:c r="K446" i="2"/>
  <x:c r="L446" i="2"/>
  <x:c r="K447" i="2"/>
  <x:c r="L447" i="2"/>
  <x:c r="K448" i="2"/>
  <x:c r="L448" i="2"/>
  <x:c r="K449" i="2"/>
  <x:c r="L449" i="2"/>
  <x:c r="K450" i="2"/>
  <x:c r="L450" i="2"/>
  <x:c r="K451" i="2"/>
  <x:c r="L451" i="2"/>
  <x:c r="K452" i="2"/>
  <x:c r="L452" i="2"/>
  <x:c r="K453" i="2"/>
  <x:c r="L453" i="2"/>
  <x:c r="K454" i="2"/>
  <x:c r="L454" i="2"/>
  <x:c r="K455" i="2"/>
  <x:c r="L455" i="2"/>
  <x:c r="K456" i="2"/>
  <x:c r="L456" i="2"/>
  <x:c r="K457" i="2"/>
  <x:c r="L457" i="2"/>
  <x:c r="K458" i="2"/>
  <x:c r="L458" i="2"/>
  <x:c r="K459" i="2"/>
  <x:c r="L459" i="2"/>
  <x:c r="K460" i="2"/>
  <x:c r="L460" i="2"/>
  <x:c r="K461" i="2"/>
  <x:c r="L461" i="2"/>
  <x:c r="K462" i="2"/>
  <x:c r="L462" i="2"/>
  <x:c r="K463" i="2"/>
  <x:c r="L463" i="2"/>
  <x:c r="K464" i="2"/>
  <x:c r="L464" i="2"/>
  <x:c r="K465" i="2"/>
  <x:c r="L465" i="2"/>
  <x:c r="K466" i="2"/>
  <x:c r="L466" i="2"/>
  <x:c r="K467" i="2"/>
  <x:c r="L467" i="2"/>
  <x:c r="K468" i="2"/>
  <x:c r="L468" i="2"/>
  <x:c r="K469" i="2"/>
  <x:c r="L469" i="2"/>
  <x:c r="K470" i="2"/>
  <x:c r="L470" i="2"/>
  <x:c r="K471" i="2"/>
  <x:c r="L471" i="2"/>
  <x:c r="K472" i="2"/>
  <x:c r="L472" i="2"/>
  <x:c r="K473" i="2"/>
  <x:c r="L473" i="2"/>
  <x:c r="K474" i="2"/>
  <x:c r="L474" i="2"/>
  <x:c r="K475" i="2"/>
  <x:c r="L475" i="2"/>
  <x:c r="K476" i="2"/>
  <x:c r="L476" i="2"/>
  <x:c r="K477" i="2"/>
  <x:c r="L477" i="2"/>
  <x:c r="K478" i="2"/>
  <x:c r="L478" i="2"/>
  <x:c r="K479" i="2"/>
  <x:c r="L479" i="2"/>
  <x:c r="K480" i="2"/>
  <x:c r="L480" i="2"/>
  <x:c r="K481" i="2"/>
  <x:c r="L481" i="2"/>
  <x:c r="K482" i="2"/>
  <x:c r="L482" i="2"/>
  <x:c r="K483" i="2"/>
  <x:c r="L483" i="2"/>
  <x:c r="K484" i="2"/>
  <x:c r="L484" i="2"/>
  <x:c r="K485" i="2"/>
  <x:c r="L485" i="2"/>
  <x:c r="K486" i="2"/>
  <x:c r="L486" i="2"/>
  <x:c r="K487" i="2"/>
  <x:c r="L487" i="2"/>
  <x:c r="K488" i="2"/>
  <x:c r="L488" i="2"/>
  <x:c r="K489" i="2"/>
  <x:c r="L489" i="2"/>
  <x:c r="K490" i="2"/>
  <x:c r="L490" i="2"/>
  <x:c r="K491" i="2"/>
  <x:c r="L491" i="2"/>
  <x:c r="K492" i="2"/>
  <x:c r="L492" i="2"/>
  <x:c r="K493" i="2"/>
  <x:c r="L493" i="2"/>
  <x:c r="K494" i="2"/>
  <x:c r="L494" i="2"/>
  <x:c r="K495" i="2"/>
  <x:c r="L495" i="2"/>
  <x:c r="K496" i="2"/>
  <x:c r="L496" i="2"/>
  <x:c r="K497" i="2"/>
  <x:c r="L497" i="2"/>
  <x:c r="K498" i="2"/>
  <x:c r="L498" i="2"/>
  <x:c r="K499" i="2"/>
  <x:c r="L499" i="2"/>
  <x:c r="K500" i="2"/>
  <x:c r="L500" i="2"/>
  <x:c r="K501" i="2"/>
  <x:c r="L501" i="2"/>
  <x:c r="K502" i="2"/>
  <x:c r="L502" i="2"/>
  <x:c r="K503" i="2"/>
  <x:c r="L503" i="2"/>
  <x:c r="K504" i="2"/>
  <x:c r="L504" i="2"/>
  <x:c r="K505" i="2"/>
  <x:c r="L505" i="2"/>
  <x:c r="K506" i="2"/>
  <x:c r="L506" i="2"/>
  <x:c r="K507" i="2"/>
  <x:c r="L507" i="2"/>
  <x:c r="K508" i="2"/>
  <x:c r="L508" i="2"/>
  <x:c r="K509" i="2"/>
  <x:c r="L509" i="2"/>
  <x:c r="K510" i="2"/>
  <x:c r="L510" i="2"/>
  <x:c r="K511" i="2"/>
  <x:c r="L511" i="2"/>
  <x:c r="K512" i="2"/>
  <x:c r="L512" i="2"/>
  <x:c r="K513" i="2"/>
  <x:c r="L513" i="2"/>
  <x:c r="K514" i="2"/>
  <x:c r="L514" i="2"/>
  <x:c r="K515" i="2"/>
  <x:c r="L515" i="2"/>
  <x:c r="K516" i="2"/>
  <x:c r="L516" i="2"/>
  <x:c r="K517" i="2"/>
  <x:c r="L517" i="2"/>
  <x:c r="K518" i="2"/>
  <x:c r="L518" i="2"/>
  <x:c r="K519" i="2"/>
  <x:c r="L519" i="2"/>
  <x:c r="K520" i="2"/>
  <x:c r="L520" i="2"/>
  <x:c r="K521" i="2"/>
  <x:c r="L521" i="2"/>
  <x:c r="K522" i="2"/>
  <x:c r="L522" i="2"/>
  <x:c r="K523" i="2"/>
  <x:c r="L523" i="2"/>
  <x:c r="K524" i="2"/>
  <x:c r="L524" i="2"/>
  <x:c r="K525" i="2"/>
  <x:c r="L525" i="2"/>
  <x:c r="K526" i="2"/>
  <x:c r="L526" i="2"/>
  <x:c r="K527" i="2"/>
  <x:c r="L527" i="2"/>
  <x:c r="K528" i="2"/>
  <x:c r="L528" i="2"/>
  <x:c r="K529" i="2"/>
  <x:c r="L529" i="2"/>
  <x:c r="K530" i="2"/>
  <x:c r="L530" i="2"/>
  <x:c r="K531" i="2"/>
  <x:c r="L531" i="2"/>
  <x:c r="K532" i="2"/>
  <x:c r="L532" i="2"/>
  <x:c r="K533" i="2"/>
  <x:c r="L533" i="2"/>
  <x:c r="K534" i="2"/>
  <x:c r="L534" i="2"/>
  <x:c r="K535" i="2"/>
  <x:c r="L535" i="2"/>
  <x:c r="K536" i="2"/>
  <x:c r="L536" i="2"/>
  <x:c r="K537" i="2"/>
  <x:c r="L537" i="2"/>
  <x:c r="K538" i="2"/>
  <x:c r="L538" i="2"/>
  <x:c r="K539" i="2"/>
  <x:c r="L539" i="2"/>
  <x:c r="K540" i="2"/>
  <x:c r="L540" i="2"/>
  <x:c r="K541" i="2"/>
  <x:c r="L541" i="2"/>
  <x:c r="K542" i="2"/>
  <x:c r="L542" i="2"/>
  <x:c r="K543" i="2"/>
  <x:c r="L543" i="2"/>
  <x:c r="K544" i="2"/>
  <x:c r="L544" i="2"/>
  <x:c r="K545" i="2"/>
  <x:c r="L545" i="2"/>
  <x:c r="K546" i="2"/>
  <x:c r="L546" i="2"/>
  <x:c r="K547" i="2"/>
  <x:c r="L547" i="2"/>
  <x:c r="K548" i="2"/>
  <x:c r="L548" i="2"/>
  <x:c r="K549" i="2"/>
  <x:c r="L549" i="2"/>
  <x:c r="K550" i="2"/>
  <x:c r="L550" i="2"/>
  <x:c r="K551" i="2"/>
  <x:c r="L551" i="2"/>
  <x:c r="K552" i="2"/>
  <x:c r="L552" i="2"/>
  <x:c r="K553" i="2"/>
  <x:c r="L553" i="2"/>
  <x:c r="K554" i="2"/>
  <x:c r="L554" i="2"/>
  <x:c r="K555" i="2"/>
  <x:c r="L555" i="2"/>
  <x:c r="K556" i="2"/>
  <x:c r="L556" i="2"/>
  <x:c r="K557" i="2"/>
  <x:c r="L557" i="2"/>
  <x:c r="K558" i="2"/>
  <x:c r="L558" i="2"/>
  <x:c r="K559" i="2"/>
  <x:c r="L559" i="2"/>
  <x:c r="K560" i="2"/>
  <x:c r="L560" i="2"/>
  <x:c r="K561" i="2"/>
  <x:c r="L561" i="2"/>
  <x:c r="K562" i="2"/>
  <x:c r="L562" i="2"/>
  <x:c r="K563" i="2"/>
  <x:c r="L563" i="2"/>
  <x:c r="K564" i="2"/>
  <x:c r="L564" i="2"/>
  <x:c r="K565" i="2"/>
  <x:c r="L565" i="2"/>
  <x:c r="K566" i="2"/>
  <x:c r="L566" i="2"/>
  <x:c r="K567" i="2"/>
  <x:c r="L567" i="2"/>
  <x:c r="K568" i="2"/>
  <x:c r="L568" i="2"/>
  <x:c r="K569" i="2"/>
  <x:c r="L569" i="2"/>
  <x:c r="K570" i="2"/>
  <x:c r="L570" i="2"/>
  <x:c r="K571" i="2"/>
  <x:c r="L571" i="2"/>
  <x:c r="K572" i="2"/>
  <x:c r="L572" i="2"/>
  <x:c r="K573" i="2"/>
  <x:c r="L573" i="2"/>
  <x:c r="K574" i="2"/>
  <x:c r="L574" i="2"/>
  <x:c r="K575" i="2"/>
  <x:c r="L575" i="2"/>
  <x:c r="K576" i="2"/>
  <x:c r="L576" i="2"/>
  <x:c r="K577" i="2"/>
  <x:c r="L577" i="2"/>
  <x:c r="K578" i="2"/>
  <x:c r="L578" i="2"/>
  <x:c r="K579" i="2"/>
  <x:c r="L579" i="2"/>
  <x:c r="K580" i="2"/>
  <x:c r="L580" i="2"/>
  <x:c r="K581" i="2"/>
  <x:c r="L581" i="2"/>
  <x:c r="K582" i="2"/>
  <x:c r="L582" i="2"/>
  <x:c r="K583" i="2"/>
  <x:c r="L583" i="2"/>
  <x:c r="K584" i="2"/>
  <x:c r="L584" i="2"/>
  <x:c r="K585" i="2"/>
  <x:c r="L585" i="2"/>
  <x:c r="K586" i="2"/>
  <x:c r="L586" i="2"/>
  <x:c r="K587" i="2"/>
  <x:c r="L587" i="2"/>
  <x:c r="K588" i="2"/>
  <x:c r="L588" i="2"/>
  <x:c r="K589" i="2"/>
  <x:c r="L589" i="2"/>
  <x:c r="K590" i="2"/>
  <x:c r="L590" i="2"/>
  <x:c r="K591" i="2"/>
  <x:c r="L591" i="2"/>
  <x:c r="K592" i="2"/>
  <x:c r="L592" i="2"/>
  <x:c r="K593" i="2"/>
  <x:c r="L593" i="2"/>
  <x:c r="K594" i="2"/>
  <x:c r="L594" i="2"/>
  <x:c r="K595" i="2"/>
  <x:c r="L595" i="2"/>
  <x:c r="K596" i="2"/>
  <x:c r="L596" i="2"/>
  <x:c r="K597" i="2"/>
  <x:c r="L597" i="2"/>
  <x:c r="K598" i="2"/>
  <x:c r="L598" i="2"/>
  <x:c r="K599" i="2"/>
  <x:c r="L599" i="2"/>
  <x:c r="K600" i="2"/>
  <x:c r="L600" i="2"/>
  <x:c r="K601" i="2"/>
  <x:c r="L601" i="2"/>
  <x:c r="K602" i="2"/>
  <x:c r="L602" i="2"/>
  <x:c r="K603" i="2"/>
  <x:c r="L603" i="2"/>
  <x:c r="K604" i="2"/>
  <x:c r="L604" i="2"/>
  <x:c r="K605" i="2"/>
  <x:c r="L605" i="2"/>
  <x:c r="K606" i="2"/>
  <x:c r="L606" i="2"/>
  <x:c r="K607" i="2"/>
  <x:c r="L607" i="2"/>
  <x:c r="K608" i="2"/>
  <x:c r="L608" i="2"/>
  <x:c r="K609" i="2"/>
  <x:c r="L609" i="2"/>
  <x:c r="K610" i="2"/>
  <x:c r="L610" i="2"/>
  <x:c r="K611" i="2"/>
  <x:c r="L611" i="2"/>
  <x:c r="K612" i="2"/>
  <x:c r="L612" i="2"/>
  <x:c r="K613" i="2"/>
  <x:c r="L613" i="2"/>
  <x:c r="K614" i="2"/>
  <x:c r="L614" i="2"/>
  <x:c r="K615" i="2"/>
  <x:c r="L615" i="2"/>
  <x:c r="K616" i="2"/>
  <x:c r="L616" i="2"/>
  <x:c r="K617" i="2"/>
  <x:c r="L617" i="2"/>
  <x:c r="K618" i="2"/>
  <x:c r="L618" i="2"/>
  <x:c r="K619" i="2"/>
  <x:c r="L619" i="2"/>
  <x:c r="K620" i="2"/>
  <x:c r="L620" i="2"/>
  <x:c r="K621" i="2"/>
  <x:c r="L621" i="2"/>
  <x:c r="K622" i="2"/>
  <x:c r="L622" i="2"/>
  <x:c r="K623" i="2"/>
  <x:c r="L623" i="2"/>
  <x:c r="K624" i="2"/>
  <x:c r="L624" i="2"/>
  <x:c r="K625" i="2"/>
  <x:c r="L625" i="2"/>
  <x:c r="K626" i="2"/>
  <x:c r="L626" i="2"/>
  <x:c r="K627" i="2"/>
  <x:c r="L627" i="2"/>
  <x:c r="K628" i="2"/>
  <x:c r="L628" i="2"/>
  <x:c r="K629" i="2"/>
  <x:c r="L629" i="2"/>
  <x:c r="K630" i="2"/>
  <x:c r="L630" i="2"/>
  <x:c r="K631" i="2"/>
  <x:c r="L631" i="2"/>
  <x:c r="K632" i="2"/>
  <x:c r="L632" i="2"/>
  <x:c r="K633" i="2"/>
  <x:c r="L633" i="2"/>
  <x:c r="K634" i="2"/>
  <x:c r="L634" i="2"/>
  <x:c r="K635" i="2"/>
  <x:c r="L635" i="2"/>
  <x:c r="K636" i="2"/>
  <x:c r="L636" i="2"/>
  <x:c r="K637" i="2"/>
  <x:c r="L637" i="2"/>
  <x:c r="K638" i="2"/>
  <x:c r="L638" i="2"/>
  <x:c r="K639" i="2"/>
  <x:c r="L639" i="2"/>
  <x:c r="K640" i="2"/>
  <x:c r="L640" i="2"/>
  <x:c r="K641" i="2"/>
  <x:c r="L641" i="2"/>
  <x:c r="K642" i="2"/>
  <x:c r="L642" i="2"/>
  <x:c r="K643" i="2"/>
  <x:c r="L643" i="2"/>
  <x:c r="K644" i="2"/>
  <x:c r="L644" i="2"/>
  <x:c r="K645" i="2"/>
  <x:c r="L645" i="2"/>
  <x:c r="K646" i="2"/>
  <x:c r="L646" i="2"/>
  <x:c r="K647" i="2"/>
  <x:c r="L647" i="2"/>
  <x:c r="K648" i="2"/>
  <x:c r="L648" i="2"/>
  <x:c r="K649" i="2"/>
  <x:c r="L649" i="2"/>
  <x:c r="K650" i="2"/>
  <x:c r="L650" i="2"/>
  <x:c r="K651" i="2"/>
  <x:c r="L651" i="2"/>
  <x:c r="K652" i="2"/>
  <x:c r="L652" i="2"/>
  <x:c r="K653" i="2"/>
  <x:c r="L653" i="2"/>
  <x:c r="K654" i="2"/>
  <x:c r="L654" i="2"/>
  <x:c r="K655" i="2"/>
  <x:c r="L655" i="2"/>
  <x:c r="K656" i="2"/>
  <x:c r="L656" i="2"/>
  <x:c r="K657" i="2"/>
  <x:c r="L657" i="2"/>
  <x:c r="K658" i="2"/>
  <x:c r="L658" i="2"/>
  <x:c r="K659" i="2"/>
  <x:c r="L659" i="2"/>
  <x:c r="K660" i="2"/>
  <x:c r="L660" i="2"/>
  <x:c r="K661" i="2"/>
  <x:c r="L661" i="2"/>
  <x:c r="K662" i="2"/>
  <x:c r="L662" i="2"/>
  <x:c r="K663" i="2"/>
  <x:c r="L663" i="2"/>
  <x:c r="K664" i="2"/>
  <x:c r="L664" i="2"/>
  <x:c r="K665" i="2"/>
  <x:c r="L665" i="2"/>
  <x:c r="K666" i="2"/>
  <x:c r="L666" i="2"/>
  <x:c r="K667" i="2"/>
  <x:c r="L667" i="2"/>
  <x:c r="K668" i="2"/>
  <x:c r="L668" i="2"/>
  <x:c r="K669" i="2"/>
  <x:c r="L669" i="2"/>
  <x:c r="K670" i="2"/>
  <x:c r="L670" i="2"/>
  <x:c r="K671" i="2"/>
  <x:c r="L671" i="2"/>
  <x:c r="K672" i="2"/>
  <x:c r="L672" i="2"/>
  <x:c r="K673" i="2"/>
  <x:c r="L673" i="2"/>
  <x:c r="K674" i="2"/>
  <x:c r="L674" i="2"/>
  <x:c r="K675" i="2"/>
  <x:c r="L675" i="2"/>
  <x:c r="K676" i="2"/>
  <x:c r="L676" i="2"/>
  <x:c r="K677" i="2"/>
  <x:c r="L677" i="2"/>
  <x:c r="K678" i="2"/>
  <x:c r="L678" i="2"/>
  <x:c r="K679" i="2"/>
  <x:c r="L679" i="2"/>
  <x:c r="K680" i="2"/>
  <x:c r="L680" i="2"/>
  <x:c r="K681" i="2"/>
  <x:c r="L681" i="2"/>
  <x:c r="K682" i="2"/>
  <x:c r="L682" i="2"/>
  <x:c r="K683" i="2"/>
  <x:c r="L683" i="2"/>
  <x:c r="K684" i="2"/>
  <x:c r="L684" i="2"/>
  <x:c r="K685" i="2"/>
  <x:c r="L685" i="2"/>
  <x:c r="K686" i="2"/>
  <x:c r="L686" i="2"/>
  <x:c r="K687" i="2"/>
  <x:c r="L687" i="2"/>
  <x:c r="K688" i="2"/>
  <x:c r="L688" i="2"/>
  <x:c r="K689" i="2"/>
  <x:c r="L689" i="2"/>
  <x:c r="K690" i="2"/>
  <x:c r="L690" i="2"/>
  <x:c r="K691" i="2"/>
  <x:c r="L691" i="2"/>
  <x:c r="K692" i="2"/>
  <x:c r="L692" i="2"/>
  <x:c r="K693" i="2"/>
  <x:c r="L693" i="2"/>
  <x:c r="K694" i="2"/>
  <x:c r="L694" i="2"/>
  <x:c r="K695" i="2"/>
  <x:c r="L695" i="2"/>
  <x:c r="K696" i="2"/>
  <x:c r="L696" i="2"/>
  <x:c r="K697" i="2"/>
  <x:c r="L697" i="2"/>
  <x:c r="K698" i="2"/>
  <x:c r="L698" i="2"/>
  <x:c r="K699" i="2"/>
  <x:c r="L699" i="2"/>
  <x:c r="K700" i="2"/>
  <x:c r="L700" i="2"/>
  <x:c r="K701" i="2"/>
  <x:c r="L701" i="2"/>
  <x:c r="K702" i="2"/>
  <x:c r="L702" i="2"/>
  <x:c r="K703" i="2"/>
  <x:c r="L703" i="2"/>
  <x:c r="K704" i="2"/>
  <x:c r="L704" i="2"/>
  <x:c r="K705" i="2"/>
  <x:c r="L705" i="2"/>
  <x:c r="K706" i="2"/>
  <x:c r="L706" i="2"/>
  <x:c r="K707" i="2"/>
  <x:c r="L707" i="2"/>
  <x:c r="K708" i="2"/>
  <x:c r="L708" i="2"/>
  <x:c r="K709" i="2"/>
  <x:c r="L709" i="2"/>
  <x:c r="K710" i="2"/>
  <x:c r="L710" i="2"/>
  <x:c r="K711" i="2"/>
  <x:c r="L711" i="2"/>
  <x:c r="K712" i="2"/>
  <x:c r="L712" i="2"/>
  <x:c r="K713" i="2"/>
  <x:c r="L713" i="2"/>
  <x:c r="K714" i="2"/>
  <x:c r="L714" i="2"/>
  <x:c r="K715" i="2"/>
  <x:c r="L715" i="2"/>
  <x:c r="K716" i="2"/>
  <x:c r="L716" i="2"/>
  <x:c r="K717" i="2"/>
  <x:c r="L717" i="2"/>
  <x:c r="K718" i="2"/>
  <x:c r="L718" i="2"/>
  <x:c r="K719" i="2"/>
  <x:c r="L719" i="2"/>
  <x:c r="K720" i="2"/>
  <x:c r="L720" i="2"/>
  <x:c r="K721" i="2"/>
  <x:c r="L721" i="2"/>
  <x:c r="K722" i="2"/>
  <x:c r="L722" i="2"/>
  <x:c r="K723" i="2"/>
  <x:c r="L723" i="2"/>
  <x:c r="K724" i="2"/>
  <x:c r="L724" i="2"/>
  <x:c r="K725" i="2"/>
  <x:c r="L725" i="2"/>
  <x:c r="K726" i="2"/>
  <x:c r="L726" i="2"/>
  <x:c r="K727" i="2"/>
  <x:c r="L727" i="2"/>
  <x:c r="K728" i="2"/>
  <x:c r="L728" i="2"/>
  <x:c r="K729" i="2"/>
  <x:c r="L729" i="2"/>
  <x:c r="K730" i="2"/>
  <x:c r="L730" i="2"/>
  <x:c r="K731" i="2"/>
  <x:c r="L731" i="2"/>
  <x:c r="K732" i="2"/>
  <x:c r="L732" i="2"/>
  <x:c r="K733" i="2"/>
  <x:c r="L733" i="2"/>
  <x:c r="K734" i="2"/>
  <x:c r="L734" i="2"/>
  <x:c r="K735" i="2"/>
  <x:c r="L735" i="2"/>
  <x:c r="K736" i="2"/>
  <x:c r="L736" i="2"/>
  <x:c r="K737" i="2"/>
  <x:c r="L737" i="2"/>
  <x:c r="K738" i="2"/>
  <x:c r="L738" i="2"/>
  <x:c r="K739" i="2"/>
  <x:c r="L739" i="2"/>
  <x:c r="K740" i="2"/>
  <x:c r="L740" i="2"/>
  <x:c r="K741" i="2"/>
  <x:c r="L741" i="2"/>
  <x:c r="K742" i="2"/>
  <x:c r="L742" i="2"/>
  <x:c r="K743" i="2"/>
  <x:c r="L743" i="2"/>
  <x:c r="K744" i="2"/>
  <x:c r="L744" i="2"/>
  <x:c r="K745" i="2"/>
  <x:c r="L745" i="2"/>
  <x:c r="K746" i="2"/>
  <x:c r="L746" i="2"/>
  <x:c r="K747" i="2"/>
  <x:c r="L747" i="2"/>
  <x:c r="K748" i="2"/>
  <x:c r="L748" i="2"/>
  <x:c r="K749" i="2"/>
  <x:c r="L749" i="2"/>
  <x:c r="K750" i="2"/>
  <x:c r="L750" i="2"/>
  <x:c r="K751" i="2"/>
  <x:c r="L751" i="2"/>
  <x:c r="K752" i="2"/>
  <x:c r="L752" i="2"/>
  <x:c r="K753" i="2"/>
  <x:c r="L753" i="2"/>
  <x:c r="K754" i="2"/>
  <x:c r="L754" i="2"/>
  <x:c r="K755" i="2"/>
  <x:c r="L755" i="2"/>
  <x:c r="K756" i="2"/>
  <x:c r="L756" i="2"/>
  <x:c r="K757" i="2"/>
  <x:c r="L757" i="2"/>
  <x:c r="K758" i="2"/>
  <x:c r="L758" i="2"/>
  <x:c r="K759" i="2"/>
  <x:c r="L759" i="2"/>
  <x:c r="K760" i="2"/>
  <x:c r="L760" i="2"/>
  <x:c r="K761" i="2"/>
  <x:c r="L761" i="2"/>
  <x:c r="K762" i="2"/>
  <x:c r="L762" i="2"/>
  <x:c r="K763" i="2"/>
  <x:c r="L763" i="2"/>
  <x:c r="K764" i="2"/>
  <x:c r="L764" i="2"/>
  <x:c r="K765" i="2"/>
  <x:c r="L765" i="2"/>
  <x:c r="K766" i="2"/>
  <x:c r="L766" i="2"/>
  <x:c r="K767" i="2"/>
  <x:c r="L767" i="2"/>
  <x:c r="K768" i="2"/>
  <x:c r="L768" i="2"/>
  <x:c r="K769" i="2"/>
  <x:c r="L769" i="2"/>
  <x:c r="K770" i="2"/>
  <x:c r="L770" i="2"/>
  <x:c r="K771" i="2"/>
  <x:c r="L771" i="2"/>
  <x:c r="K772" i="2"/>
  <x:c r="L772" i="2"/>
  <x:c r="K773" i="2"/>
  <x:c r="L773" i="2"/>
  <x:c r="K774" i="2"/>
  <x:c r="L774" i="2"/>
  <x:c r="K775" i="2"/>
  <x:c r="L775" i="2"/>
  <x:c r="K776" i="2"/>
  <x:c r="L776" i="2"/>
  <x:c r="K777" i="2"/>
  <x:c r="L777" i="2"/>
  <x:c r="K778" i="2"/>
  <x:c r="L778" i="2"/>
  <x:c r="K779" i="2"/>
  <x:c r="L779" i="2"/>
  <x:c r="K780" i="2"/>
  <x:c r="L780" i="2"/>
  <x:c r="K781" i="2"/>
  <x:c r="L781" i="2"/>
  <x:c r="K782" i="2"/>
  <x:c r="L782" i="2"/>
  <x:c r="K783" i="2"/>
  <x:c r="L783" i="2"/>
  <x:c r="K784" i="2"/>
  <x:c r="L784" i="2"/>
  <x:c r="K785" i="2"/>
  <x:c r="L785" i="2"/>
  <x:c r="K786" i="2"/>
  <x:c r="L786" i="2"/>
  <x:c r="K787" i="2"/>
  <x:c r="L787" i="2"/>
  <x:c r="K788" i="2"/>
  <x:c r="L788" i="2"/>
  <x:c r="K789" i="2"/>
  <x:c r="L789" i="2"/>
  <x:c r="K790" i="2"/>
  <x:c r="L790" i="2"/>
  <x:c r="K791" i="2"/>
  <x:c r="L791" i="2"/>
  <x:c r="K792" i="2"/>
  <x:c r="L792" i="2"/>
  <x:c r="K793" i="2"/>
  <x:c r="L793" i="2"/>
  <x:c r="K794" i="2"/>
  <x:c r="L794" i="2"/>
  <x:c r="K795" i="2"/>
  <x:c r="L795" i="2"/>
  <x:c r="K796" i="2"/>
  <x:c r="L796" i="2"/>
  <x:c r="K797" i="2"/>
  <x:c r="L797" i="2"/>
  <x:c r="K798" i="2"/>
  <x:c r="L798" i="2"/>
  <x:c r="K799" i="2"/>
  <x:c r="L799" i="2"/>
  <x:c r="K800" i="2"/>
  <x:c r="L800" i="2"/>
  <x:c r="K801" i="2"/>
  <x:c r="L801" i="2"/>
  <x:c r="K802" i="2"/>
  <x:c r="L802" i="2"/>
  <x:c r="K803" i="2"/>
  <x:c r="L803" i="2"/>
  <x:c r="K804" i="2"/>
  <x:c r="L804" i="2"/>
  <x:c r="K805" i="2"/>
  <x:c r="L805" i="2"/>
  <x:c r="K806" i="2"/>
  <x:c r="L806" i="2"/>
  <x:c r="K807" i="2"/>
  <x:c r="L807" i="2"/>
  <x:c r="K808" i="2"/>
  <x:c r="L808" i="2"/>
  <x:c r="K809" i="2"/>
  <x:c r="L809" i="2"/>
  <x:c r="K810" i="2"/>
  <x:c r="L810" i="2"/>
  <x:c r="K811" i="2"/>
  <x:c r="L811" i="2"/>
  <x:c r="K812" i="2"/>
  <x:c r="L812" i="2"/>
  <x:c r="K813" i="2"/>
  <x:c r="L813" i="2"/>
  <x:c r="K814" i="2"/>
  <x:c r="L814" i="2"/>
  <x:c r="K815" i="2"/>
  <x:c r="L815" i="2"/>
  <x:c r="K816" i="2"/>
  <x:c r="L816" i="2"/>
  <x:c r="K817" i="2"/>
  <x:c r="L817" i="2"/>
  <x:c r="K818" i="2"/>
  <x:c r="L818" i="2"/>
  <x:c r="K819" i="2"/>
  <x:c r="L819" i="2"/>
  <x:c r="K820" i="2"/>
  <x:c r="L820" i="2"/>
  <x:c r="K821" i="2"/>
  <x:c r="L821" i="2"/>
  <x:c r="K822" i="2"/>
  <x:c r="L822" i="2"/>
  <x:c r="K823" i="2"/>
  <x:c r="L823" i="2"/>
  <x:c r="K824" i="2"/>
  <x:c r="L824" i="2"/>
  <x:c r="K825" i="2"/>
  <x:c r="L825" i="2"/>
  <x:c r="K826" i="2"/>
  <x:c r="L826" i="2"/>
  <x:c r="K827" i="2"/>
  <x:c r="L827" i="2"/>
  <x:c r="K828" i="2"/>
  <x:c r="L828" i="2"/>
  <x:c r="K829" i="2"/>
  <x:c r="L829" i="2"/>
  <x:c r="K830" i="2"/>
  <x:c r="L830" i="2"/>
  <x:c r="K831" i="2"/>
  <x:c r="L831" i="2"/>
  <x:c r="K832" i="2"/>
  <x:c r="L832" i="2"/>
  <x:c r="K833" i="2"/>
  <x:c r="L833" i="2"/>
  <x:c r="K834" i="2"/>
  <x:c r="L834" i="2"/>
  <x:c r="K835" i="2"/>
  <x:c r="L835" i="2"/>
  <x:c r="K836" i="2"/>
  <x:c r="L836" i="2"/>
  <x:c r="K837" i="2"/>
  <x:c r="L837" i="2"/>
  <x:c r="K838" i="2"/>
  <x:c r="L838" i="2"/>
  <x:c r="K839" i="2"/>
  <x:c r="L839" i="2"/>
  <x:c r="K840" i="2"/>
  <x:c r="L840" i="2"/>
  <x:c r="K841" i="2"/>
  <x:c r="L841" i="2"/>
  <x:c r="K842" i="2"/>
  <x:c r="L842" i="2"/>
  <x:c r="K843" i="2"/>
  <x:c r="L843" i="2"/>
  <x:c r="K844" i="2"/>
  <x:c r="L844" i="2"/>
  <x:c r="K845" i="2"/>
  <x:c r="L845" i="2"/>
  <x:c r="K846" i="2"/>
  <x:c r="L846" i="2"/>
  <x:c r="K847" i="2"/>
  <x:c r="L847" i="2"/>
  <x:c r="K848" i="2"/>
  <x:c r="L848" i="2"/>
  <x:c r="K849" i="2"/>
  <x:c r="L849" i="2"/>
  <x:c r="K850" i="2"/>
  <x:c r="L850" i="2"/>
  <x:c r="K851" i="2"/>
  <x:c r="L851" i="2"/>
  <x:c r="K852" i="2"/>
  <x:c r="L852" i="2"/>
  <x:c r="K853" i="2"/>
  <x:c r="L853" i="2"/>
  <x:c r="K854" i="2"/>
  <x:c r="L854" i="2"/>
  <x:c r="K855" i="2"/>
  <x:c r="L855" i="2"/>
  <x:c r="K856" i="2"/>
  <x:c r="L856" i="2"/>
  <x:c r="K857" i="2"/>
  <x:c r="L857" i="2"/>
  <x:c r="K858" i="2"/>
  <x:c r="L858" i="2"/>
  <x:c r="K859" i="2"/>
  <x:c r="L859" i="2"/>
  <x:c r="K860" i="2"/>
  <x:c r="L860" i="2"/>
  <x:c r="K861" i="2"/>
  <x:c r="L861" i="2"/>
  <x:c r="K862" i="2"/>
  <x:c r="L862" i="2"/>
  <x:c r="K863" i="2"/>
  <x:c r="L863" i="2"/>
  <x:c r="K864" i="2"/>
  <x:c r="L864" i="2"/>
  <x:c r="K865" i="2"/>
  <x:c r="L865" i="2"/>
  <x:c r="K866" i="2"/>
  <x:c r="L866" i="2"/>
  <x:c r="K867" i="2"/>
  <x:c r="L867" i="2"/>
  <x:c r="K868" i="2"/>
  <x:c r="L868" i="2"/>
  <x:c r="K869" i="2"/>
  <x:c r="L869" i="2"/>
  <x:c r="K870" i="2"/>
  <x:c r="L870" i="2"/>
  <x:c r="K871" i="2"/>
  <x:c r="L871" i="2"/>
  <x:c r="K872" i="2"/>
  <x:c r="L872" i="2"/>
  <x:c r="K873" i="2"/>
  <x:c r="L873" i="2"/>
  <x:c r="K874" i="2"/>
  <x:c r="L874" i="2"/>
  <x:c r="K875" i="2"/>
  <x:c r="L875" i="2"/>
  <x:c r="K876" i="2"/>
  <x:c r="L876" i="2"/>
  <x:c r="K877" i="2"/>
  <x:c r="L877" i="2"/>
  <x:c r="K878" i="2"/>
  <x:c r="L878" i="2"/>
  <x:c r="K879" i="2"/>
  <x:c r="L879" i="2"/>
  <x:c r="K880" i="2"/>
  <x:c r="L880" i="2"/>
  <x:c r="K881" i="2"/>
  <x:c r="L881" i="2"/>
  <x:c r="K882" i="2"/>
  <x:c r="L882" i="2"/>
  <x:c r="K883" i="2"/>
  <x:c r="L883" i="2"/>
  <x:c r="K884" i="2"/>
  <x:c r="L884" i="2"/>
  <x:c r="K885" i="2"/>
  <x:c r="L885" i="2"/>
  <x:c r="K886" i="2"/>
  <x:c r="L886" i="2"/>
  <x:c r="K887" i="2"/>
  <x:c r="L887" i="2"/>
  <x:c r="K888" i="2"/>
  <x:c r="L888" i="2"/>
  <x:c r="K889" i="2"/>
  <x:c r="L889" i="2"/>
  <x:c r="K890" i="2"/>
  <x:c r="L890" i="2"/>
  <x:c r="K891" i="2"/>
  <x:c r="L891" i="2"/>
  <x:c r="K892" i="2"/>
  <x:c r="L892" i="2"/>
  <x:c r="K893" i="2"/>
  <x:c r="L893" i="2"/>
  <x:c r="K894" i="2"/>
  <x:c r="L894" i="2"/>
  <x:c r="K895" i="2"/>
  <x:c r="L895" i="2"/>
  <x:c r="K896" i="2"/>
  <x:c r="L896" i="2"/>
  <x:c r="K897" i="2"/>
  <x:c r="L897" i="2"/>
  <x:c r="K898" i="2"/>
  <x:c r="L898" i="2"/>
  <x:c r="K899" i="2"/>
  <x:c r="L899" i="2"/>
  <x:c r="K900" i="2"/>
  <x:c r="L900" i="2"/>
  <x:c r="K901" i="2"/>
  <x:c r="L901" i="2"/>
  <x:c r="K902" i="2"/>
  <x:c r="L902" i="2"/>
  <x:c r="K903" i="2"/>
  <x:c r="L903" i="2"/>
  <x:c r="K904" i="2"/>
  <x:c r="L904" i="2"/>
  <x:c r="K905" i="2"/>
  <x:c r="L905" i="2"/>
  <x:c r="K906" i="2"/>
  <x:c r="L906" i="2"/>
  <x:c r="K907" i="2"/>
  <x:c r="L907" i="2"/>
  <x:c r="K908" i="2"/>
  <x:c r="L908" i="2"/>
  <x:c r="K909" i="2"/>
  <x:c r="L909" i="2"/>
  <x:c r="K910" i="2"/>
  <x:c r="L910" i="2"/>
  <x:c r="K911" i="2"/>
  <x:c r="L911" i="2"/>
  <x:c r="K912" i="2"/>
  <x:c r="L912" i="2"/>
  <x:c r="K913" i="2"/>
  <x:c r="L913" i="2"/>
  <x:c r="K914" i="2"/>
  <x:c r="L914" i="2"/>
  <x:c r="K915" i="2"/>
  <x:c r="L915" i="2"/>
  <x:c r="K916" i="2"/>
  <x:c r="L916" i="2"/>
  <x:c r="K917" i="2"/>
  <x:c r="L917" i="2"/>
  <x:c r="K918" i="2"/>
  <x:c r="L918" i="2"/>
  <x:c r="K919" i="2"/>
  <x:c r="L919" i="2"/>
  <x:c r="K920" i="2"/>
  <x:c r="L920" i="2"/>
  <x:c r="K921" i="2"/>
  <x:c r="L921" i="2"/>
  <x:c r="K922" i="2"/>
  <x:c r="L922" i="2"/>
  <x:c r="K923" i="2"/>
  <x:c r="L923" i="2"/>
  <x:c r="K924" i="2"/>
  <x:c r="L924" i="2"/>
  <x:c r="K925" i="2"/>
  <x:c r="L925" i="2"/>
  <x:c r="K926" i="2"/>
  <x:c r="L926" i="2"/>
  <x:c r="K927" i="2"/>
  <x:c r="L927" i="2"/>
  <x:c r="K928" i="2"/>
  <x:c r="L928" i="2"/>
  <x:c r="K929" i="2"/>
  <x:c r="L929" i="2"/>
  <x:c r="K930" i="2"/>
  <x:c r="L930" i="2"/>
  <x:c r="K931" i="2"/>
  <x:c r="L931" i="2"/>
  <x:c r="K932" i="2"/>
  <x:c r="L932" i="2"/>
  <x:c r="K933" i="2"/>
  <x:c r="L933" i="2"/>
  <x:c r="K934" i="2"/>
  <x:c r="L934" i="2"/>
  <x:c r="K935" i="2"/>
  <x:c r="L935" i="2"/>
  <x:c r="K936" i="2"/>
  <x:c r="L936" i="2"/>
  <x:c r="K937" i="2"/>
  <x:c r="L937" i="2"/>
  <x:c r="K938" i="2"/>
  <x:c r="L938" i="2"/>
  <x:c r="K939" i="2"/>
  <x:c r="L939" i="2"/>
  <x:c r="K940" i="2"/>
  <x:c r="L940" i="2"/>
  <x:c r="K941" i="2"/>
  <x:c r="L941" i="2"/>
  <x:c r="K942" i="2"/>
  <x:c r="L942" i="2"/>
  <x:c r="K943" i="2"/>
  <x:c r="L943" i="2"/>
  <x:c r="K944" i="2"/>
  <x:c r="L944" i="2"/>
  <x:c r="K945" i="2"/>
  <x:c r="L945" i="2"/>
  <x:c r="K946" i="2"/>
  <x:c r="L946" i="2"/>
  <x:c r="K947" i="2"/>
  <x:c r="L947" i="2"/>
  <x:c r="K948" i="2"/>
  <x:c r="L948" i="2"/>
  <x:c r="K949" i="2"/>
  <x:c r="L949" i="2"/>
  <x:c r="K950" i="2"/>
  <x:c r="L950" i="2"/>
  <x:c r="K951" i="2"/>
  <x:c r="L951" i="2"/>
  <x:c r="K952" i="2"/>
  <x:c r="L952" i="2"/>
  <x:c r="K953" i="2"/>
  <x:c r="L953" i="2"/>
  <x:c r="K954" i="2"/>
  <x:c r="L954" i="2"/>
  <x:c r="K955" i="2"/>
  <x:c r="L955" i="2"/>
  <x:c r="K956" i="2"/>
  <x:c r="L956" i="2"/>
  <x:c r="K957" i="2"/>
  <x:c r="L957" i="2"/>
  <x:c r="K958" i="2"/>
  <x:c r="L958" i="2"/>
  <x:c r="K959" i="2"/>
  <x:c r="L959" i="2"/>
  <x:c r="K960" i="2"/>
  <x:c r="L960" i="2"/>
  <x:c r="K961" i="2"/>
  <x:c r="L961" i="2"/>
  <x:c r="K962" i="2"/>
  <x:c r="L962" i="2"/>
  <x:c r="K963" i="2"/>
  <x:c r="L963" i="2"/>
  <x:c r="K964" i="2"/>
  <x:c r="L964" i="2"/>
  <x:c r="K965" i="2"/>
  <x:c r="L965" i="2"/>
  <x:c r="K966" i="2"/>
  <x:c r="L966" i="2"/>
  <x:c r="K967" i="2"/>
  <x:c r="L967" i="2"/>
  <x:c r="K968" i="2"/>
  <x:c r="L968" i="2"/>
  <x:c r="K969" i="2"/>
  <x:c r="L969" i="2"/>
  <x:c r="K970" i="2"/>
  <x:c r="L970" i="2"/>
  <x:c r="K971" i="2"/>
  <x:c r="L971" i="2"/>
  <x:c r="K972" i="2"/>
  <x:c r="L972" i="2"/>
  <x:c r="K973" i="2"/>
  <x:c r="L973" i="2"/>
  <x:c r="K974" i="2"/>
  <x:c r="L974" i="2"/>
  <x:c r="K975" i="2"/>
  <x:c r="L975" i="2"/>
  <x:c r="K976" i="2"/>
  <x:c r="L976" i="2"/>
  <x:c r="K977" i="2"/>
  <x:c r="L977" i="2"/>
  <x:c r="K978" i="2"/>
  <x:c r="L978" i="2"/>
  <x:c r="K979" i="2"/>
  <x:c r="L979" i="2"/>
  <x:c r="K980" i="2"/>
  <x:c r="L980" i="2"/>
  <x:c r="K981" i="2"/>
  <x:c r="L981" i="2"/>
  <x:c r="K982" i="2"/>
  <x:c r="L982" i="2"/>
  <x:c r="K983" i="2"/>
  <x:c r="L983" i="2"/>
  <x:c r="K984" i="2"/>
  <x:c r="L984" i="2"/>
  <x:c r="K985" i="2"/>
  <x:c r="L985" i="2"/>
  <x:c r="K986" i="2"/>
  <x:c r="L986" i="2"/>
  <x:c r="K987" i="2"/>
  <x:c r="L987" i="2"/>
  <x:c r="K988" i="2"/>
  <x:c r="L988" i="2"/>
  <x:c r="K989" i="2"/>
  <x:c r="L989" i="2"/>
  <x:c r="K990" i="2"/>
  <x:c r="L990" i="2"/>
  <x:c r="K991" i="2"/>
  <x:c r="L991" i="2"/>
  <x:c r="K992" i="2"/>
  <x:c r="L992" i="2"/>
  <x:c r="K993" i="2"/>
  <x:c r="L993" i="2"/>
  <x:c r="K994" i="2"/>
  <x:c r="L994" i="2"/>
  <x:c r="K995" i="2"/>
  <x:c r="L995" i="2"/>
  <x:c r="K996" i="2"/>
  <x:c r="L996" i="2"/>
  <x:c r="K997" i="2"/>
  <x:c r="L997" i="2"/>
  <x:c r="K998" i="2"/>
  <x:c r="L998" i="2"/>
  <x:c r="K999" i="2"/>
  <x:c r="L999" i="2"/>
  <x:c r="K1000" i="2"/>
  <x:c r="L1000" i="2"/>
  <x:c r="K1001" i="2"/>
  <x:c r="L1001" i="2"/>
  <x:c r="K1002" i="2"/>
  <x:c r="L1002" i="2"/>
  <x:c r="K1003" i="2"/>
  <x:c r="L1003" i="2"/>
  <x:c r="K1004" i="2"/>
  <x:c r="L1004" i="2"/>
  <x:c r="K1005" i="2"/>
  <x:c r="L1005" i="2"/>
  <x:c r="K1006" i="2"/>
  <x:c r="L1006" i="2"/>
  <x:c r="K1007" i="2"/>
  <x:c r="L1007" i="2"/>
  <x:c r="K1008" i="2"/>
  <x:c r="L1008" i="2"/>
  <x:c r="K1009" i="2"/>
  <x:c r="L1009" i="2"/>
  <x:c r="K1010" i="2"/>
  <x:c r="L1010" i="2"/>
  <x:c r="K1011" i="2"/>
  <x:c r="L1011" i="2"/>
  <x:c r="K1012" i="2"/>
  <x:c r="L1012" i="2"/>
  <x:c r="K1013" i="2"/>
  <x:c r="L1013" i="2"/>
  <x:c r="K1014" i="2"/>
  <x:c r="L1014" i="2"/>
  <x:c r="K1015" i="2"/>
  <x:c r="L1015" i="2"/>
  <x:c r="K1016" i="2"/>
  <x:c r="L1016" i="2"/>
  <x:c r="K1017" i="2"/>
  <x:c r="L1017" i="2"/>
  <x:c r="K1018" i="2"/>
  <x:c r="L1018" i="2"/>
  <x:c r="K1019" i="2"/>
  <x:c r="L1019" i="2"/>
  <x:c r="K1020" i="2"/>
  <x:c r="L1020" i="2"/>
  <x:c r="K1021" i="2"/>
  <x:c r="L1021" i="2"/>
  <x:c r="K1022" i="2"/>
  <x:c r="L1022" i="2"/>
  <x:c r="K1023" i="2"/>
  <x:c r="L1023" i="2"/>
  <x:c r="K1024" i="2"/>
  <x:c r="L1024" i="2"/>
  <x:c r="K1025" i="2"/>
  <x:c r="L1025" i="2"/>
  <x:c r="K1026" i="2"/>
  <x:c r="L1026" i="2"/>
  <x:c r="K1027" i="2"/>
  <x:c r="L1027" i="2"/>
  <x:c r="K1028" i="2"/>
  <x:c r="L1028" i="2"/>
  <x:c r="K1029" i="2"/>
  <x:c r="L1029" i="2"/>
  <x:c r="K1030" i="2"/>
  <x:c r="L1030" i="2"/>
  <x:c r="K1031" i="2"/>
  <x:c r="L1031" i="2"/>
  <x:c r="K1032" i="2"/>
  <x:c r="L1032" i="2"/>
  <x:c r="K1033" i="2"/>
  <x:c r="L1033" i="2"/>
  <x:c r="K1034" i="2"/>
  <x:c r="L1034" i="2"/>
  <x:c r="K1035" i="2"/>
  <x:c r="L1035" i="2"/>
  <x:c r="K1036" i="2"/>
  <x:c r="L1036" i="2"/>
  <x:c r="K1037" i="2"/>
  <x:c r="L1037" i="2"/>
  <x:c r="K1038" i="2"/>
  <x:c r="L1038" i="2"/>
  <x:c r="K1039" i="2"/>
  <x:c r="L1039" i="2"/>
  <x:c r="K1040" i="2"/>
  <x:c r="L1040" i="2"/>
  <x:c r="K1041" i="2"/>
  <x:c r="L1041" i="2"/>
  <x:c r="K1042" i="2"/>
  <x:c r="L1042" i="2"/>
  <x:c r="K1043" i="2"/>
  <x:c r="L1043" i="2"/>
  <x:c r="K1044" i="2"/>
  <x:c r="L1044" i="2"/>
  <x:c r="K1045" i="2"/>
  <x:c r="L1045" i="2"/>
  <x:c r="K1046" i="2"/>
  <x:c r="L1046" i="2"/>
  <x:c r="K1047" i="2"/>
  <x:c r="L1047" i="2"/>
  <x:c r="K1048" i="2"/>
  <x:c r="L1048" i="2"/>
  <x:c r="K1049" i="2"/>
  <x:c r="L1049" i="2"/>
  <x:c r="K1050" i="2"/>
  <x:c r="L1050" i="2"/>
  <x:c r="K1051" i="2"/>
  <x:c r="L1051" i="2"/>
  <x:c r="K1052" i="2"/>
  <x:c r="L1052" i="2"/>
  <x:c r="K1053" i="2"/>
  <x:c r="L1053" i="2"/>
  <x:c r="K1054" i="2"/>
  <x:c r="L1054" i="2"/>
  <x:c r="K1055" i="2"/>
  <x:c r="L1055" i="2"/>
  <x:c r="K1056" i="2"/>
  <x:c r="L1056" i="2"/>
  <x:c r="K1057" i="2"/>
  <x:c r="L1057" i="2"/>
  <x:c r="K1058" i="2"/>
  <x:c r="L1058" i="2"/>
  <x:c r="K1059" i="2"/>
  <x:c r="L1059" i="2"/>
  <x:c r="K1060" i="2"/>
  <x:c r="L1060" i="2"/>
  <x:c r="K1061" i="2"/>
  <x:c r="L1061" i="2"/>
  <x:c r="K1062" i="2"/>
  <x:c r="L1062" i="2"/>
  <x:c r="K1063" i="2"/>
  <x:c r="L1063" i="2"/>
  <x:c r="K1064" i="2"/>
  <x:c r="L1064" i="2"/>
  <x:c r="K1065" i="2"/>
  <x:c r="L1065" i="2"/>
  <x:c r="K1066" i="2"/>
  <x:c r="L1066" i="2"/>
  <x:c r="K1067" i="2"/>
  <x:c r="L1067" i="2"/>
  <x:c r="K1068" i="2"/>
  <x:c r="L1068" i="2"/>
  <x:c r="K1069" i="2"/>
  <x:c r="L1069" i="2"/>
  <x:c r="K1070" i="2"/>
  <x:c r="L1070" i="2"/>
  <x:c r="K1071" i="2"/>
  <x:c r="L1071" i="2"/>
  <x:c r="K1072" i="2"/>
  <x:c r="L1072" i="2"/>
  <x:c r="K1073" i="2"/>
  <x:c r="L1073" i="2"/>
  <x:c r="K1074" i="2"/>
  <x:c r="L1074" i="2"/>
  <x:c r="K1075" i="2"/>
  <x:c r="L1075" i="2"/>
  <x:c r="K1076" i="2"/>
  <x:c r="L1076" i="2"/>
  <x:c r="K1077" i="2"/>
  <x:c r="L1077" i="2"/>
  <x:c r="K1078" i="2"/>
  <x:c r="L1078" i="2"/>
  <x:c r="K1079" i="2"/>
  <x:c r="L1079" i="2"/>
  <x:c r="K1080" i="2"/>
  <x:c r="L1080" i="2"/>
  <x:c r="K1081" i="2"/>
  <x:c r="L1081" i="2"/>
  <x:c r="K1082" i="2"/>
  <x:c r="L1082" i="2"/>
  <x:c r="K1083" i="2"/>
  <x:c r="L1083" i="2"/>
  <x:c r="K1084" i="2"/>
  <x:c r="L1084" i="2"/>
  <x:c r="K1085" i="2"/>
  <x:c r="L1085" i="2"/>
  <x:c r="K1086" i="2"/>
  <x:c r="L1086" i="2"/>
  <x:c r="K1087" i="2"/>
  <x:c r="L1087" i="2"/>
  <x:c r="K1088" i="2"/>
  <x:c r="L1088" i="2"/>
  <x:c r="K1089" i="2"/>
  <x:c r="L1089" i="2"/>
  <x:c r="K1090" i="2"/>
  <x:c r="L1090" i="2"/>
  <x:c r="K1091" i="2"/>
  <x:c r="L1091" i="2"/>
  <x:c r="K1092" i="2"/>
  <x:c r="L1092" i="2"/>
  <x:c r="K1093" i="2"/>
  <x:c r="L1093" i="2"/>
  <x:c r="K1094" i="2"/>
  <x:c r="L1094" i="2"/>
  <x:c r="K1095" i="2"/>
  <x:c r="L1095" i="2"/>
  <x:c r="K1096" i="2"/>
  <x:c r="L1096" i="2"/>
  <x:c r="K1097" i="2"/>
  <x:c r="L1097" i="2"/>
  <x:c r="K1098" i="2"/>
  <x:c r="L1098" i="2"/>
  <x:c r="K1099" i="2"/>
  <x:c r="L1099" i="2"/>
  <x:c r="K1100" i="2"/>
  <x:c r="L1100" i="2"/>
  <x:c r="K1101" i="2"/>
  <x:c r="L1101" i="2"/>
  <x:c r="K1102" i="2"/>
  <x:c r="L1102" i="2"/>
  <x:c r="K1103" i="2"/>
  <x:c r="L1103" i="2"/>
  <x:c r="K1104" i="2"/>
  <x:c r="L1104" i="2"/>
  <x:c r="K1105" i="2"/>
  <x:c r="L1105" i="2"/>
  <x:c r="K1106" i="2"/>
  <x:c r="L1106" i="2"/>
  <x:c r="K1107" i="2"/>
  <x:c r="L1107" i="2"/>
  <x:c r="K1108" i="2"/>
  <x:c r="L1108" i="2"/>
  <x:c r="K1109" i="2"/>
  <x:c r="L1109" i="2"/>
  <x:c r="K1110" i="2"/>
  <x:c r="L1110" i="2"/>
  <x:c r="K1111" i="2"/>
  <x:c r="L1111" i="2"/>
  <x:c r="K1112" i="2"/>
  <x:c r="L1112" i="2"/>
  <x:c r="K1113" i="2"/>
  <x:c r="L1113" i="2"/>
  <x:c r="K1114" i="2"/>
  <x:c r="L1114" i="2"/>
  <x:c r="K1115" i="2"/>
  <x:c r="L1115" i="2"/>
  <x:c r="K1116" i="2"/>
  <x:c r="L1116" i="2"/>
  <x:c r="K1117" i="2"/>
  <x:c r="L1117" i="2"/>
  <x:c r="K1118" i="2"/>
  <x:c r="L1118" i="2"/>
  <x:c r="K1119" i="2"/>
  <x:c r="L1119" i="2"/>
  <x:c r="K1120" i="2"/>
  <x:c r="L1120" i="2"/>
  <x:c r="K1121" i="2"/>
  <x:c r="L1121" i="2"/>
  <x:c r="K1122" i="2"/>
  <x:c r="L1122" i="2"/>
  <x:c r="K1123" i="2"/>
  <x:c r="L1123" i="2"/>
  <x:c r="K1124" i="2"/>
  <x:c r="L1124" i="2"/>
  <x:c r="K1125" i="2"/>
  <x:c r="L1125" i="2"/>
  <x:c r="K1126" i="2"/>
  <x:c r="L1126" i="2"/>
  <x:c r="K1127" i="2"/>
  <x:c r="L1127" i="2"/>
  <x:c r="K1128" i="2"/>
  <x:c r="L1128" i="2"/>
  <x:c r="K1129" i="2"/>
  <x:c r="L1129" i="2"/>
  <x:c r="K1130" i="2"/>
  <x:c r="L1130" i="2"/>
  <x:c r="K1131" i="2"/>
  <x:c r="L1131" i="2"/>
  <x:c r="K1132" i="2"/>
  <x:c r="L1132" i="2"/>
  <x:c r="K1133" i="2"/>
  <x:c r="L1133" i="2"/>
  <x:c r="K1134" i="2"/>
  <x:c r="L1134" i="2"/>
  <x:c r="K1135" i="2"/>
  <x:c r="L1135" i="2"/>
  <x:c r="K1136" i="2"/>
  <x:c r="L1136" i="2"/>
  <x:c r="K1137" i="2"/>
  <x:c r="L1137" i="2"/>
  <x:c r="K1138" i="2"/>
  <x:c r="L1138" i="2"/>
  <x:c r="K1139" i="2"/>
  <x:c r="L1139" i="2"/>
  <x:c r="K1140" i="2"/>
  <x:c r="L1140" i="2"/>
  <x:c r="K1141" i="2"/>
  <x:c r="L1141" i="2"/>
  <x:c r="K1142" i="2"/>
  <x:c r="L1142" i="2"/>
  <x:c r="K1143" i="2"/>
  <x:c r="L1143" i="2"/>
  <x:c r="K1144" i="2"/>
  <x:c r="L1144" i="2"/>
  <x:c r="K1145" i="2"/>
  <x:c r="L1145" i="2"/>
  <x:c r="K1146" i="2"/>
  <x:c r="L1146" i="2"/>
  <x:c r="K1147" i="2"/>
  <x:c r="L1147" i="2"/>
  <x:c r="K1148" i="2"/>
  <x:c r="L1148" i="2"/>
  <x:c r="K1149" i="2"/>
  <x:c r="L1149" i="2"/>
  <x:c r="K1150" i="2"/>
  <x:c r="L1150" i="2"/>
  <x:c r="K1151" i="2"/>
  <x:c r="L1151" i="2"/>
  <x:c r="K1152" i="2"/>
  <x:c r="L1152" i="2"/>
  <x:c r="K1153" i="2"/>
  <x:c r="L1153" i="2"/>
  <x:c r="K1154" i="2"/>
  <x:c r="L1154" i="2"/>
  <x:c r="K1155" i="2"/>
  <x:c r="L1155" i="2"/>
  <x:c r="K1156" i="2"/>
  <x:c r="L1156" i="2"/>
  <x:c r="K1157" i="2"/>
  <x:c r="L1157" i="2"/>
  <x:c r="K1158" i="2"/>
  <x:c r="L1158" i="2"/>
  <x:c r="K1159" i="2"/>
  <x:c r="L1159" i="2"/>
  <x:c r="K1160" i="2"/>
  <x:c r="L1160" i="2"/>
  <x:c r="K1161" i="2"/>
  <x:c r="L1161" i="2"/>
  <x:c r="K1162" i="2"/>
  <x:c r="L1162" i="2"/>
  <x:c r="K1163" i="2"/>
  <x:c r="L1163" i="2"/>
  <x:c r="K1164" i="2"/>
  <x:c r="L1164" i="2"/>
  <x:c r="K1165" i="2"/>
  <x:c r="L1165" i="2"/>
  <x:c r="K1166" i="2"/>
  <x:c r="L1166" i="2"/>
  <x:c r="K1167" i="2"/>
  <x:c r="L1167" i="2"/>
  <x:c r="K1168" i="2"/>
  <x:c r="L1168" i="2"/>
  <x:c r="K1169" i="2"/>
  <x:c r="L1169" i="2"/>
  <x:c r="K1170" i="2"/>
  <x:c r="L1170" i="2"/>
  <x:c r="K1171" i="2"/>
  <x:c r="L1171" i="2"/>
  <x:c r="K1172" i="2"/>
  <x:c r="L1172" i="2"/>
  <x:c r="K1173" i="2"/>
  <x:c r="L1173" i="2"/>
  <x:c r="K1174" i="2"/>
  <x:c r="L1174" i="2"/>
  <x:c r="K1175" i="2"/>
  <x:c r="L1175" i="2"/>
  <x:c r="K1176" i="2"/>
  <x:c r="L1176" i="2"/>
  <x:c r="K1177" i="2"/>
  <x:c r="L1177" i="2"/>
  <x:c r="K1178" i="2"/>
  <x:c r="L1178" i="2"/>
  <x:c r="K1179" i="2"/>
  <x:c r="L1179" i="2"/>
  <x:c r="K1180" i="2"/>
  <x:c r="L1180" i="2"/>
  <x:c r="K1181" i="2"/>
  <x:c r="L1181" i="2"/>
  <x:c r="K1182" i="2"/>
  <x:c r="L1182" i="2"/>
  <x:c r="K1183" i="2"/>
  <x:c r="L1183" i="2"/>
  <x:c r="K1184" i="2"/>
  <x:c r="L1184" i="2"/>
  <x:c r="K1185" i="2"/>
  <x:c r="L1185" i="2"/>
  <x:c r="K1186" i="2"/>
  <x:c r="L1186" i="2"/>
  <x:c r="K1187" i="2"/>
  <x:c r="L1187" i="2"/>
  <x:c r="K1188" i="2"/>
  <x:c r="L1188" i="2"/>
  <x:c r="K1189" i="2"/>
  <x:c r="L1189" i="2"/>
  <x:c r="K1190" i="2"/>
  <x:c r="L1190" i="2"/>
  <x:c r="K1191" i="2"/>
  <x:c r="L1191" i="2"/>
  <x:c r="K1192" i="2"/>
  <x:c r="L1192" i="2"/>
  <x:c r="K1193" i="2"/>
  <x:c r="L1193" i="2"/>
  <x:c r="K1194" i="2"/>
  <x:c r="L1194" i="2"/>
  <x:c r="K1195" i="2"/>
  <x:c r="L1195" i="2"/>
  <x:c r="K1196" i="2"/>
  <x:c r="L1196" i="2"/>
  <x:c r="K1197" i="2"/>
  <x:c r="L1197" i="2"/>
  <x:c r="K1198" i="2"/>
  <x:c r="L1198" i="2"/>
  <x:c r="K1199" i="2"/>
  <x:c r="L1199" i="2"/>
  <x:c r="K1200" i="2"/>
  <x:c r="L1200" i="2"/>
  <x:c r="K1201" i="2"/>
  <x:c r="L1201" i="2"/>
  <x:c r="K1202" i="2"/>
  <x:c r="L1202" i="2"/>
  <x:c r="K1203" i="2"/>
  <x:c r="L1203" i="2"/>
  <x:c r="K1204" i="2"/>
  <x:c r="L1204" i="2"/>
  <x:c r="K1205" i="2"/>
  <x:c r="L1205" i="2"/>
  <x:c r="K1206" i="2"/>
  <x:c r="L1206" i="2"/>
  <x:c r="K1207" i="2"/>
  <x:c r="L1207" i="2"/>
  <x:c r="K1208" i="2"/>
  <x:c r="L1208" i="2"/>
  <x:c r="K1209" i="2"/>
  <x:c r="L1209" i="2"/>
  <x:c r="K1210" i="2"/>
  <x:c r="L1210" i="2"/>
  <x:c r="K1211" i="2"/>
  <x:c r="L1211" i="2"/>
  <x:c r="K1212" i="2"/>
  <x:c r="L1212" i="2"/>
  <x:c r="K1213" i="2"/>
  <x:c r="L1213" i="2"/>
  <x:c r="K1214" i="2"/>
  <x:c r="L1214" i="2"/>
  <x:c r="K1215" i="2"/>
  <x:c r="L1215" i="2"/>
  <x:c r="K1216" i="2"/>
  <x:c r="L1216" i="2"/>
  <x:c r="K1217" i="2"/>
  <x:c r="L1217" i="2"/>
  <x:c r="K1218" i="2"/>
  <x:c r="L1218" i="2"/>
  <x:c r="K1219" i="2"/>
  <x:c r="L1219" i="2"/>
  <x:c r="K1220" i="2"/>
  <x:c r="L1220" i="2"/>
  <x:c r="K1221" i="2"/>
  <x:c r="L1221" i="2"/>
  <x:c r="K1222" i="2"/>
  <x:c r="L1222" i="2"/>
  <x:c r="K1223" i="2"/>
  <x:c r="L1223" i="2"/>
  <x:c r="K1224" i="2"/>
  <x:c r="L1224" i="2"/>
  <x:c r="K1225" i="2"/>
  <x:c r="L1225" i="2"/>
  <x:c r="K1226" i="2"/>
  <x:c r="L1226" i="2"/>
  <x:c r="K1227" i="2"/>
  <x:c r="L1227" i="2"/>
  <x:c r="K1228" i="2"/>
  <x:c r="L1228" i="2"/>
  <x:c r="K1229" i="2"/>
  <x:c r="L1229" i="2"/>
  <x:c r="K1230" i="2"/>
  <x:c r="L1230" i="2"/>
  <x:c r="K1231" i="2"/>
  <x:c r="L1231" i="2"/>
  <x:c r="K1232" i="2"/>
  <x:c r="L1232" i="2"/>
  <x:c r="K1233" i="2"/>
  <x:c r="L1233" i="2"/>
  <x:c r="K1234" i="2"/>
  <x:c r="L1234" i="2"/>
  <x:c r="K1235" i="2"/>
  <x:c r="L1235" i="2"/>
  <x:c r="K1236" i="2"/>
  <x:c r="L1236" i="2"/>
  <x:c r="K1237" i="2"/>
  <x:c r="L1237" i="2"/>
  <x:c r="K1238" i="2"/>
  <x:c r="L1238" i="2"/>
  <x:c r="K1239" i="2"/>
  <x:c r="L1239" i="2"/>
  <x:c r="K1240" i="2"/>
  <x:c r="L1240" i="2"/>
  <x:c r="K1241" i="2"/>
  <x:c r="L1241" i="2"/>
  <x:c r="K1242" i="2"/>
  <x:c r="L1242" i="2"/>
  <x:c r="K1243" i="2"/>
  <x:c r="L1243" i="2"/>
  <x:c r="K1244" i="2"/>
  <x:c r="L1244" i="2"/>
  <x:c r="K1245" i="2"/>
  <x:c r="L1245" i="2"/>
  <x:c r="K1246" i="2"/>
  <x:c r="L1246" i="2"/>
  <x:c r="K1247" i="2"/>
  <x:c r="L1247" i="2"/>
  <x:c r="K1248" i="2"/>
  <x:c r="L1248" i="2"/>
  <x:c r="K1249" i="2"/>
  <x:c r="L1249" i="2"/>
  <x:c r="K1250" i="2"/>
  <x:c r="L1250" i="2"/>
  <x:c r="K1251" i="2"/>
  <x:c r="L1251" i="2"/>
  <x:c r="K1252" i="2"/>
  <x:c r="L1252" i="2"/>
  <x:c r="K1253" i="2"/>
  <x:c r="L1253" i="2"/>
  <x:c r="K1254" i="2"/>
  <x:c r="L1254" i="2"/>
  <x:c r="K1255" i="2"/>
  <x:c r="L1255" i="2"/>
  <x:c r="K1256" i="2"/>
  <x:c r="L1256" i="2"/>
  <x:c r="K1257" i="2"/>
  <x:c r="L1257" i="2"/>
  <x:c r="K1258" i="2"/>
  <x:c r="L1258" i="2"/>
  <x:c r="K1259" i="2"/>
  <x:c r="L1259" i="2"/>
  <x:c r="K1260" i="2"/>
  <x:c r="L1260" i="2"/>
  <x:c r="K1261" i="2"/>
  <x:c r="L1261" i="2"/>
  <x:c r="K1262" i="2"/>
  <x:c r="L1262" i="2"/>
  <x:c r="K1263" i="2"/>
  <x:c r="L1263" i="2"/>
  <x:c r="K1264" i="2"/>
  <x:c r="L1264" i="2"/>
  <x:c r="K1265" i="2"/>
  <x:c r="L1265" i="2"/>
  <x:c r="K1266" i="2"/>
  <x:c r="L1266" i="2"/>
  <x:c r="K1267" i="2"/>
  <x:c r="L1267" i="2"/>
  <x:c r="K1268" i="2"/>
  <x:c r="L1268" i="2"/>
  <x:c r="K1269" i="2"/>
  <x:c r="L1269" i="2"/>
  <x:c r="K1270" i="2"/>
  <x:c r="L1270" i="2"/>
  <x:c r="K1271" i="2"/>
  <x:c r="L1271" i="2"/>
  <x:c r="K1272" i="2"/>
  <x:c r="L1272" i="2"/>
  <x:c r="K1273" i="2"/>
  <x:c r="L1273" i="2"/>
  <x:c r="K1274" i="2"/>
  <x:c r="L1274" i="2"/>
  <x:c r="K1275" i="2"/>
  <x:c r="L1275" i="2"/>
  <x:c r="K1276" i="2"/>
  <x:c r="L1276" i="2"/>
  <x:c r="K1277" i="2"/>
  <x:c r="L1277" i="2"/>
  <x:c r="K1278" i="2"/>
  <x:c r="L1278" i="2"/>
  <x:c r="K1279" i="2"/>
  <x:c r="L1279" i="2"/>
  <x:c r="K1280" i="2"/>
  <x:c r="L1280" i="2"/>
  <x:c r="K1281" i="2"/>
  <x:c r="L1281" i="2"/>
  <x:c r="K1282" i="2"/>
  <x:c r="L1282" i="2"/>
  <x:c r="K1283" i="2"/>
  <x:c r="L1283" i="2"/>
  <x:c r="K1284" i="2"/>
  <x:c r="L1284" i="2"/>
  <x:c r="K1285" i="2"/>
  <x:c r="L1285" i="2"/>
  <x:c r="K1286" i="2"/>
  <x:c r="L1286" i="2"/>
  <x:c r="K1287" i="2"/>
  <x:c r="L1287" i="2"/>
  <x:c r="K1288" i="2"/>
  <x:c r="L1288" i="2"/>
  <x:c r="K1289" i="2"/>
  <x:c r="L1289" i="2"/>
  <x:c r="K1290" i="2"/>
  <x:c r="L1290" i="2"/>
  <x:c r="K1291" i="2"/>
  <x:c r="L1291" i="2"/>
  <x:c r="K1292" i="2"/>
  <x:c r="L1292" i="2"/>
  <x:c r="K1293" i="2"/>
  <x:c r="L1293" i="2"/>
  <x:c r="K1294" i="2"/>
  <x:c r="L1294" i="2"/>
  <x:c r="K1295" i="2"/>
  <x:c r="L1295" i="2"/>
  <x:c r="K1296" i="2"/>
  <x:c r="L1296" i="2"/>
  <x:c r="K1297" i="2"/>
  <x:c r="L1297" i="2"/>
  <x:c r="K1298" i="2"/>
  <x:c r="L1298" i="2"/>
  <x:c r="K1299" i="2"/>
  <x:c r="L1299" i="2"/>
  <x:c r="K1300" i="2"/>
  <x:c r="L1300" i="2"/>
  <x:c r="K1301" i="2"/>
  <x:c r="L1301" i="2"/>
  <x:c r="K1302" i="2"/>
  <x:c r="L1302" i="2"/>
  <x:c r="K1303" i="2"/>
  <x:c r="L1303" i="2"/>
  <x:c r="K1304" i="2"/>
  <x:c r="L1304" i="2"/>
  <x:c r="K1305" i="2"/>
  <x:c r="L1305" i="2"/>
  <x:c r="K1306" i="2"/>
  <x:c r="L1306" i="2"/>
  <x:c r="K1307" i="2"/>
  <x:c r="L1307" i="2"/>
  <x:c r="K1308" i="2"/>
  <x:c r="L1308" i="2"/>
  <x:c r="K1309" i="2"/>
  <x:c r="L1309" i="2"/>
  <x:c r="K1310" i="2"/>
  <x:c r="L1310" i="2"/>
  <x:c r="K1311" i="2"/>
  <x:c r="L1311" i="2"/>
  <x:c r="K1312" i="2"/>
  <x:c r="L1312" i="2"/>
  <x:c r="K1313" i="2"/>
  <x:c r="L1313" i="2"/>
  <x:c r="K1314" i="2"/>
  <x:c r="L1314" i="2"/>
  <x:c r="K1315" i="2"/>
  <x:c r="L1315" i="2"/>
  <x:c r="K1316" i="2"/>
  <x:c r="L1316" i="2"/>
  <x:c r="K1317" i="2"/>
  <x:c r="L1317" i="2"/>
  <x:c r="K1318" i="2"/>
  <x:c r="L1318" i="2"/>
  <x:c r="K1319" i="2"/>
  <x:c r="L1319" i="2"/>
  <x:c r="K1320" i="2"/>
  <x:c r="L1320" i="2"/>
  <x:c r="K1321" i="2"/>
  <x:c r="L1321" i="2"/>
  <x:c r="K1322" i="2"/>
  <x:c r="L1322" i="2"/>
  <x:c r="K1323" i="2"/>
  <x:c r="L1323" i="2"/>
  <x:c r="K1324" i="2"/>
  <x:c r="L1324" i="2"/>
  <x:c r="K1325" i="2"/>
  <x:c r="L1325" i="2"/>
  <x:c r="K1326" i="2"/>
  <x:c r="L1326" i="2"/>
  <x:c r="K1327" i="2"/>
  <x:c r="L1327" i="2"/>
  <x:c r="K1328" i="2"/>
  <x:c r="L1328" i="2"/>
  <x:c r="K1329" i="2"/>
  <x:c r="L1329" i="2"/>
  <x:c r="K1330" i="2"/>
  <x:c r="L1330" i="2"/>
  <x:c r="K1331" i="2"/>
  <x:c r="L1331" i="2"/>
  <x:c r="K1332" i="2"/>
  <x:c r="L1332" i="2"/>
  <x:c r="K1333" i="2"/>
  <x:c r="L1333" i="2"/>
  <x:c r="K1334" i="2"/>
  <x:c r="L1334" i="2"/>
  <x:c r="K1335" i="2"/>
  <x:c r="L1335" i="2"/>
  <x:c r="K1336" i="2"/>
  <x:c r="L1336" i="2"/>
  <x:c r="K1337" i="2"/>
  <x:c r="L1337" i="2"/>
  <x:c r="K1338" i="2"/>
  <x:c r="L1338" i="2"/>
  <x:c r="K1339" i="2"/>
  <x:c r="L1339" i="2"/>
  <x:c r="K1340" i="2"/>
  <x:c r="L1340" i="2"/>
  <x:c r="K1341" i="2"/>
  <x:c r="L1341" i="2"/>
  <x:c r="K1342" i="2"/>
  <x:c r="L1342" i="2"/>
  <x:c r="K1343" i="2"/>
  <x:c r="L1343" i="2"/>
  <x:c r="K1344" i="2"/>
  <x:c r="L1344" i="2"/>
  <x:c r="K1345" i="2"/>
  <x:c r="L1345" i="2"/>
  <x:c r="K1346" i="2"/>
  <x:c r="L1346" i="2"/>
  <x:c r="K1347" i="2"/>
  <x:c r="L1347" i="2"/>
  <x:c r="K1348" i="2"/>
  <x:c r="L1348" i="2"/>
  <x:c r="K1349" i="2"/>
  <x:c r="L1349" i="2"/>
  <x:c r="K1350" i="2"/>
  <x:c r="L1350" i="2"/>
  <x:c r="K1351" i="2"/>
  <x:c r="L1351" i="2"/>
  <x:c r="K1352" i="2"/>
  <x:c r="L1352" i="2"/>
  <x:c r="K1353" i="2"/>
  <x:c r="L1353" i="2"/>
  <x:c r="K1354" i="2"/>
  <x:c r="L1354" i="2"/>
  <x:c r="K1355" i="2"/>
  <x:c r="L1355" i="2"/>
  <x:c r="K1356" i="2"/>
  <x:c r="L1356" i="2"/>
  <x:c r="K1357" i="2"/>
  <x:c r="L1357" i="2"/>
  <x:c r="K1358" i="2"/>
  <x:c r="L1358" i="2"/>
  <x:c r="K1359" i="2"/>
  <x:c r="L1359" i="2"/>
  <x:c r="K1360" i="2"/>
  <x:c r="L1360" i="2"/>
  <x:c r="K1361" i="2"/>
  <x:c r="L1361" i="2"/>
  <x:c r="K1362" i="2"/>
  <x:c r="L1362" i="2"/>
  <x:c r="K1363" i="2"/>
  <x:c r="L1363" i="2"/>
  <x:c r="K1364" i="2"/>
  <x:c r="L1364" i="2"/>
  <x:c r="K1365" i="2"/>
  <x:c r="L1365" i="2"/>
  <x:c r="K1366" i="2"/>
  <x:c r="L1366" i="2"/>
  <x:c r="K1367" i="2"/>
  <x:c r="L1367" i="2"/>
  <x:c r="K1368" i="2"/>
  <x:c r="L1368" i="2"/>
  <x:c r="K1369" i="2"/>
  <x:c r="L1369" i="2"/>
  <x:c r="K1370" i="2"/>
  <x:c r="L1370" i="2"/>
  <x:c r="K1371" i="2"/>
  <x:c r="L1371" i="2"/>
  <x:c r="K1372" i="2"/>
  <x:c r="L1372" i="2"/>
  <x:c r="K1373" i="2"/>
  <x:c r="L1373" i="2"/>
  <x:c r="K1374" i="2"/>
  <x:c r="L1374" i="2"/>
  <x:c r="K1375" i="2"/>
  <x:c r="L1375" i="2"/>
  <x:c r="K1376" i="2"/>
  <x:c r="L1376" i="2"/>
  <x:c r="K1377" i="2"/>
  <x:c r="L1377" i="2"/>
  <x:c r="K1378" i="2"/>
  <x:c r="L1378" i="2"/>
  <x:c r="K1379" i="2"/>
  <x:c r="L1379" i="2"/>
  <x:c r="K1380" i="2"/>
  <x:c r="L1380" i="2"/>
  <x:c r="K1381" i="2"/>
  <x:c r="L1381" i="2"/>
  <x:c r="K1382" i="2"/>
  <x:c r="L1382" i="2"/>
  <x:c r="K1383" i="2"/>
  <x:c r="L1383" i="2"/>
  <x:c r="K1384" i="2"/>
  <x:c r="L1384" i="2"/>
  <x:c r="K1385" i="2"/>
  <x:c r="L1385" i="2"/>
  <x:c r="K1386" i="2"/>
  <x:c r="L1386" i="2"/>
  <x:c r="K1387" i="2"/>
  <x:c r="L1387" i="2"/>
  <x:c r="K1388" i="2"/>
  <x:c r="L1388" i="2"/>
  <x:c r="K1389" i="2"/>
  <x:c r="L1389" i="2"/>
  <x:c r="K1390" i="2"/>
  <x:c r="L1390" i="2"/>
  <x:c r="K1391" i="2"/>
  <x:c r="L1391" i="2"/>
  <x:c r="K1392" i="2"/>
  <x:c r="L1392" i="2"/>
  <x:c r="K1393" i="2"/>
  <x:c r="L1393" i="2"/>
  <x:c r="K1394" i="2"/>
  <x:c r="L1394" i="2"/>
  <x:c r="K1395" i="2"/>
  <x:c r="L1395" i="2"/>
  <x:c r="K1396" i="2"/>
  <x:c r="L1396" i="2"/>
  <x:c r="K1397" i="2"/>
  <x:c r="L1397" i="2"/>
  <x:c r="K1398" i="2"/>
  <x:c r="L1398" i="2"/>
  <x:c r="K1399" i="2"/>
  <x:c r="L1399" i="2"/>
  <x:c r="K1400" i="2"/>
  <x:c r="L1400" i="2"/>
  <x:c r="K1401" i="2"/>
  <x:c r="L1401" i="2"/>
  <x:c r="K1402" i="2"/>
  <x:c r="L1402" i="2"/>
  <x:c r="K1403" i="2"/>
  <x:c r="L1403" i="2"/>
  <x:c r="K1404" i="2"/>
  <x:c r="L1404" i="2"/>
  <x:c r="K1405" i="2"/>
  <x:c r="L1405" i="2"/>
  <x:c r="K1406" i="2"/>
  <x:c r="L1406" i="2"/>
  <x:c r="K1407" i="2"/>
  <x:c r="L1407" i="2"/>
  <x:c r="K1408" i="2"/>
  <x:c r="L1408" i="2"/>
  <x:c r="K1409" i="2"/>
  <x:c r="L1409" i="2"/>
  <x:c r="K1410" i="2"/>
  <x:c r="L1410" i="2"/>
  <x:c r="K1411" i="2"/>
  <x:c r="L1411" i="2"/>
  <x:c r="K1412" i="2"/>
  <x:c r="L1412" i="2"/>
  <x:c r="K1413" i="2"/>
  <x:c r="L1413" i="2"/>
  <x:c r="K1414" i="2"/>
  <x:c r="L1414" i="2"/>
  <x:c r="K1415" i="2"/>
  <x:c r="L1415" i="2"/>
  <x:c r="K1416" i="2"/>
  <x:c r="L1416" i="2"/>
  <x:c r="K1417" i="2"/>
  <x:c r="L1417" i="2"/>
  <x:c r="K1418" i="2"/>
  <x:c r="L1418" i="2"/>
  <x:c r="K1419" i="2"/>
  <x:c r="L1419" i="2"/>
  <x:c r="K1420" i="2"/>
  <x:c r="L1420" i="2"/>
  <x:c r="K1421" i="2"/>
  <x:c r="L1421" i="2"/>
  <x:c r="K1422" i="2"/>
  <x:c r="L1422" i="2"/>
  <x:c r="K1423" i="2"/>
  <x:c r="L1423" i="2"/>
  <x:c r="K1424" i="2"/>
  <x:c r="L1424" i="2"/>
  <x:c r="K1425" i="2"/>
  <x:c r="L1425" i="2"/>
  <x:c r="K1426" i="2"/>
  <x:c r="L1426" i="2"/>
  <x:c r="K1427" i="2"/>
  <x:c r="L1427" i="2"/>
  <x:c r="K1428" i="2"/>
  <x:c r="L1428" i="2"/>
  <x:c r="K1429" i="2"/>
  <x:c r="L1429" i="2"/>
  <x:c r="K1430" i="2"/>
  <x:c r="L1430" i="2"/>
  <x:c r="K1431" i="2"/>
  <x:c r="L1431" i="2"/>
  <x:c r="K1432" i="2"/>
  <x:c r="L1432" i="2"/>
  <x:c r="K1433" i="2"/>
  <x:c r="L1433" i="2"/>
  <x:c r="K1434" i="2"/>
  <x:c r="L1434" i="2"/>
  <x:c r="K1435" i="2"/>
  <x:c r="L1435" i="2"/>
  <x:c r="K1436" i="2"/>
  <x:c r="L1436" i="2"/>
  <x:c r="K1437" i="2"/>
  <x:c r="L1437" i="2"/>
  <x:c r="K1438" i="2"/>
  <x:c r="L1438" i="2"/>
  <x:c r="K1439" i="2"/>
  <x:c r="L1439" i="2"/>
  <x:c r="K1440" i="2"/>
  <x:c r="L1440" i="2"/>
  <x:c r="K1441" i="2"/>
  <x:c r="L1441" i="2"/>
  <x:c r="K1442" i="2"/>
  <x:c r="L1442" i="2"/>
  <x:c r="K1443" i="2"/>
  <x:c r="L1443" i="2"/>
  <x:c r="K1444" i="2"/>
  <x:c r="L1444" i="2"/>
  <x:c r="K1445" i="2"/>
  <x:c r="L1445" i="2"/>
  <x:c r="K1446" i="2"/>
  <x:c r="L1446" i="2"/>
  <x:c r="K1447" i="2"/>
  <x:c r="L1447" i="2"/>
  <x:c r="K1448" i="2"/>
  <x:c r="L1448" i="2"/>
  <x:c r="K1449" i="2"/>
  <x:c r="L1449" i="2"/>
  <x:c r="K1450" i="2"/>
  <x:c r="L1450" i="2"/>
  <x:c r="K1451" i="2"/>
  <x:c r="L1451" i="2"/>
  <x:c r="K1452" i="2"/>
  <x:c r="L1452" i="2"/>
  <x:c r="K1453" i="2"/>
  <x:c r="L1453" i="2"/>
  <x:c r="K1454" i="2"/>
  <x:c r="L1454" i="2"/>
  <x:c r="K1455" i="2"/>
  <x:c r="L1455" i="2"/>
  <x:c r="K1456" i="2"/>
  <x:c r="L1456" i="2"/>
  <x:c r="K1457" i="2"/>
  <x:c r="L1457" i="2"/>
  <x:c r="K1458" i="2"/>
  <x:c r="L1458" i="2"/>
  <x:c r="K1459" i="2"/>
  <x:c r="L1459" i="2"/>
  <x:c r="K1460" i="2"/>
  <x:c r="L1460" i="2"/>
  <x:c r="K1461" i="2"/>
  <x:c r="L1461" i="2"/>
  <x:c r="K1462" i="2"/>
  <x:c r="L1462" i="2"/>
  <x:c r="K1463" i="2"/>
  <x:c r="L1463" i="2"/>
  <x:c r="K1464" i="2"/>
  <x:c r="L1464" i="2"/>
  <x:c r="K1465" i="2"/>
  <x:c r="L1465" i="2"/>
  <x:c r="K1466" i="2"/>
  <x:c r="L1466" i="2"/>
  <x:c r="K1467" i="2"/>
  <x:c r="L1467" i="2"/>
  <x:c r="K1468" i="2"/>
  <x:c r="L1468" i="2"/>
  <x:c r="K1469" i="2"/>
  <x:c r="L1469" i="2"/>
  <x:c r="K1470" i="2"/>
  <x:c r="L1470" i="2"/>
  <x:c r="K1471" i="2"/>
  <x:c r="L1471" i="2"/>
  <x:c r="K1472" i="2"/>
  <x:c r="L1472" i="2"/>
  <x:c r="K1473" i="2"/>
  <x:c r="L1473" i="2"/>
  <x:c r="K1474" i="2"/>
  <x:c r="L1474" i="2"/>
  <x:c r="K1475" i="2"/>
  <x:c r="L1475" i="2"/>
  <x:c r="K1476" i="2"/>
  <x:c r="L1476" i="2"/>
  <x:c r="K1477" i="2"/>
  <x:c r="L1477" i="2"/>
  <x:c r="K1478" i="2"/>
  <x:c r="L1478" i="2"/>
  <x:c r="K1479" i="2"/>
  <x:c r="L1479" i="2"/>
  <x:c r="K1480" i="2"/>
  <x:c r="L1480" i="2"/>
  <x:c r="K1481" i="2"/>
  <x:c r="L1481" i="2"/>
  <x:c r="K1482" i="2"/>
  <x:c r="L1482" i="2"/>
  <x:c r="K1483" i="2"/>
  <x:c r="L1483" i="2"/>
  <x:c r="K1484" i="2"/>
  <x:c r="L1484" i="2"/>
  <x:c r="K1485" i="2"/>
  <x:c r="L1485" i="2"/>
  <x:c r="K1486" i="2"/>
  <x:c r="L1486" i="2"/>
  <x:c r="K1487" i="2"/>
  <x:c r="L1487" i="2"/>
  <x:c r="K1488" i="2"/>
  <x:c r="L1488" i="2"/>
  <x:c r="K1489" i="2"/>
  <x:c r="L1489" i="2"/>
  <x:c r="K1490" i="2"/>
  <x:c r="L1490" i="2"/>
  <x:c r="K1491" i="2"/>
  <x:c r="L1491" i="2"/>
  <x:c r="K1492" i="2"/>
  <x:c r="L1492" i="2"/>
  <x:c r="K1493" i="2"/>
  <x:c r="L1493" i="2"/>
  <x:c r="K1494" i="2"/>
  <x:c r="L1494" i="2"/>
  <x:c r="K1495" i="2"/>
  <x:c r="L1495" i="2"/>
  <x:c r="K1496" i="2"/>
  <x:c r="L1496" i="2"/>
  <x:c r="K1497" i="2"/>
  <x:c r="L1497" i="2"/>
  <x:c r="K1498" i="2"/>
  <x:c r="L1498" i="2"/>
  <x:c r="K1499" i="2"/>
  <x:c r="L1499" i="2"/>
  <x:c r="K1500" i="2"/>
  <x:c r="L1500" i="2"/>
  <x:c r="K1501" i="2"/>
  <x:c r="L1501" i="2"/>
  <x:c r="K1502" i="2"/>
  <x:c r="L1502" i="2"/>
  <x:c r="K1503" i="2"/>
  <x:c r="L1503" i="2"/>
  <x:c r="K1504" i="2"/>
  <x:c r="L1504" i="2"/>
  <x:c r="K1505" i="2"/>
  <x:c r="L1505" i="2"/>
  <x:c r="K1506" i="2"/>
  <x:c r="L1506" i="2"/>
  <x:c r="K1507" i="2"/>
  <x:c r="L1507" i="2"/>
  <x:c r="K1508" i="2"/>
  <x:c r="L1508" i="2"/>
  <x:c r="K1509" i="2"/>
  <x:c r="L1509" i="2"/>
  <x:c r="K1510" i="2"/>
  <x:c r="L1510" i="2"/>
  <x:c r="K1511" i="2"/>
  <x:c r="L1511" i="2"/>
  <x:c r="K1512" i="2"/>
  <x:c r="L1512" i="2"/>
  <x:c r="K1513" i="2"/>
  <x:c r="L1513" i="2"/>
  <x:c r="K1514" i="2"/>
  <x:c r="L1514" i="2"/>
  <x:c r="K1515" i="2"/>
  <x:c r="L1515" i="2"/>
  <x:c r="K1516" i="2"/>
  <x:c r="L1516" i="2"/>
  <x:c r="K1517" i="2"/>
  <x:c r="L1517" i="2"/>
  <x:c r="K1518" i="2"/>
  <x:c r="L1518" i="2"/>
  <x:c r="K1519" i="2"/>
  <x:c r="L1519" i="2"/>
  <x:c r="K1520" i="2"/>
  <x:c r="L1520" i="2"/>
  <x:c r="K1521" i="2"/>
  <x:c r="L1521" i="2"/>
  <x:c r="K1522" i="2"/>
  <x:c r="L1522" i="2"/>
  <x:c r="K1523" i="2"/>
  <x:c r="L1523" i="2"/>
  <x:c r="K1524" i="2"/>
  <x:c r="L1524" i="2"/>
  <x:c r="K1525" i="2"/>
  <x:c r="L1525" i="2"/>
  <x:c r="K1526" i="2"/>
  <x:c r="L1526" i="2"/>
  <x:c r="K1527" i="2"/>
  <x:c r="L1527" i="2"/>
  <x:c r="K1528" i="2"/>
  <x:c r="L1528" i="2"/>
  <x:c r="K1529" i="2"/>
  <x:c r="L1529" i="2"/>
  <x:c r="K1530" i="2"/>
  <x:c r="L1530" i="2"/>
  <x:c r="K1531" i="2"/>
  <x:c r="L1531" i="2"/>
  <x:c r="K1532" i="2"/>
  <x:c r="L1532" i="2"/>
  <x:c r="K1533" i="2"/>
  <x:c r="L1533" i="2"/>
  <x:c r="K1534" i="2"/>
  <x:c r="L1534" i="2"/>
  <x:c r="K1535" i="2"/>
  <x:c r="L1535" i="2"/>
  <x:c r="K1536" i="2"/>
  <x:c r="L1536" i="2"/>
  <x:c r="K1537" i="2"/>
  <x:c r="L1537" i="2"/>
  <x:c r="K1538" i="2"/>
  <x:c r="L1538" i="2"/>
  <x:c r="K1539" i="2"/>
  <x:c r="L1539" i="2"/>
  <x:c r="K1540" i="2"/>
  <x:c r="L1540" i="2"/>
  <x:c r="K1541" i="2"/>
  <x:c r="L1541" i="2"/>
  <x:c r="K1542" i="2"/>
  <x:c r="L1542" i="2"/>
  <x:c r="K1543" i="2"/>
  <x:c r="L1543" i="2"/>
  <x:c r="K1544" i="2"/>
  <x:c r="L1544" i="2"/>
  <x:c r="K1545" i="2"/>
  <x:c r="L1545" i="2"/>
  <x:c r="K1546" i="2"/>
  <x:c r="L1546" i="2"/>
  <x:c r="K1547" i="2"/>
  <x:c r="L1547" i="2"/>
  <x:c r="K1548" i="2"/>
  <x:c r="L1548" i="2"/>
  <x:c r="K1549" i="2"/>
  <x:c r="L1549" i="2"/>
  <x:c r="K1550" i="2"/>
  <x:c r="L1550" i="2"/>
  <x:c r="K1551" i="2"/>
  <x:c r="L1551" i="2"/>
  <x:c r="K1552" i="2"/>
  <x:c r="L1552" i="2"/>
  <x:c r="K1553" i="2"/>
  <x:c r="L1553" i="2"/>
  <x:c r="K1554" i="2"/>
  <x:c r="L1554" i="2"/>
  <x:c r="K1555" i="2"/>
  <x:c r="L1555" i="2"/>
  <x:c r="K1556" i="2"/>
  <x:c r="L1556" i="2"/>
  <x:c r="K1557" i="2"/>
  <x:c r="L1557" i="2"/>
  <x:c r="K1558" i="2"/>
  <x:c r="L1558" i="2"/>
  <x:c r="K1559" i="2"/>
  <x:c r="L1559" i="2"/>
  <x:c r="K1560" i="2"/>
  <x:c r="L1560" i="2"/>
  <x:c r="K1561" i="2"/>
  <x:c r="L1561" i="2"/>
  <x:c r="K1562" i="2"/>
  <x:c r="L1562" i="2"/>
  <x:c r="K1563" i="2"/>
  <x:c r="L1563" i="2"/>
  <x:c r="K1564" i="2"/>
  <x:c r="L1564" i="2"/>
  <x:c r="K1565" i="2"/>
  <x:c r="L1565" i="2"/>
  <x:c r="K1566" i="2"/>
  <x:c r="L1566" i="2"/>
  <x:c r="K1567" i="2"/>
  <x:c r="L1567" i="2"/>
  <x:c r="K1568" i="2"/>
  <x:c r="L1568" i="2"/>
  <x:c r="K1569" i="2"/>
  <x:c r="L1569" i="2"/>
  <x:c r="K1570" i="2"/>
  <x:c r="L1570" i="2"/>
  <x:c r="K1571" i="2"/>
  <x:c r="L1571" i="2"/>
  <x:c r="K1572" i="2"/>
  <x:c r="L1572" i="2"/>
  <x:c r="K1573" i="2"/>
  <x:c r="L1573" i="2"/>
  <x:c r="K1574" i="2"/>
  <x:c r="L1574" i="2"/>
  <x:c r="K1575" i="2"/>
  <x:c r="L1575" i="2"/>
  <x:c r="K1576" i="2"/>
  <x:c r="L1576" i="2"/>
  <x:c r="K1577" i="2"/>
  <x:c r="L1577" i="2"/>
  <x:c r="K1578" i="2"/>
  <x:c r="L1578" i="2"/>
  <x:c r="K1579" i="2"/>
  <x:c r="L1579" i="2"/>
  <x:c r="K1580" i="2"/>
  <x:c r="L1580" i="2"/>
  <x:c r="K1581" i="2"/>
  <x:c r="L1581" i="2"/>
  <x:c r="K1582" i="2"/>
  <x:c r="L1582" i="2"/>
  <x:c r="K1583" i="2"/>
  <x:c r="L1583" i="2"/>
  <x:c r="K1584" i="2"/>
  <x:c r="L1584" i="2"/>
  <x:c r="K1585" i="2"/>
  <x:c r="L1585" i="2"/>
  <x:c r="K1586" i="2"/>
  <x:c r="L1586" i="2"/>
  <x:c r="K1587" i="2"/>
  <x:c r="L1587" i="2"/>
  <x:c r="K1588" i="2"/>
  <x:c r="L1588" i="2"/>
  <x:c r="K1589" i="2"/>
  <x:c r="L1589" i="2"/>
  <x:c r="K1590" i="2"/>
  <x:c r="L1590" i="2"/>
  <x:c r="K1591" i="2"/>
  <x:c r="L1591" i="2"/>
  <x:c r="K1592" i="2"/>
  <x:c r="L1592" i="2"/>
  <x:c r="K1593" i="2"/>
  <x:c r="L1593" i="2"/>
  <x:c r="K1594" i="2"/>
  <x:c r="L1594" i="2"/>
  <x:c r="K1595" i="2"/>
  <x:c r="L1595" i="2"/>
  <x:c r="K1596" i="2"/>
  <x:c r="L1596" i="2"/>
  <x:c r="K1597" i="2"/>
  <x:c r="L1597" i="2"/>
  <x:c r="K1598" i="2"/>
  <x:c r="L1598" i="2"/>
  <x:c r="K1599" i="2"/>
  <x:c r="L1599" i="2"/>
  <x:c r="K1600" i="2"/>
  <x:c r="L1600" i="2"/>
  <x:c r="K1601" i="2"/>
  <x:c r="L1601" i="2"/>
  <x:c r="K1602" i="2"/>
  <x:c r="L1602" i="2"/>
  <x:c r="K1603" i="2"/>
  <x:c r="L1603" i="2"/>
  <x:c r="K1604" i="2"/>
  <x:c r="L1604" i="2"/>
  <x:c r="K1605" i="2"/>
  <x:c r="L1605" i="2"/>
  <x:c r="K1606" i="2"/>
  <x:c r="L1606" i="2"/>
  <x:c r="K1607" i="2"/>
  <x:c r="L1607" i="2"/>
  <x:c r="K1608" i="2"/>
  <x:c r="L1608" i="2"/>
  <x:c r="K1609" i="2"/>
  <x:c r="L1609" i="2"/>
  <x:c r="K1610" i="2"/>
  <x:c r="L1610" i="2"/>
  <x:c r="K1611" i="2"/>
  <x:c r="L1611" i="2"/>
  <x:c r="K1612" i="2"/>
  <x:c r="L1612" i="2"/>
  <x:c r="K1613" i="2"/>
  <x:c r="L1613" i="2"/>
  <x:c r="K1614" i="2"/>
  <x:c r="L1614" i="2"/>
  <x:c r="K1615" i="2"/>
  <x:c r="L1615" i="2"/>
  <x:c r="K1616" i="2"/>
  <x:c r="L1616" i="2"/>
  <x:c r="K1617" i="2"/>
  <x:c r="L1617" i="2"/>
  <x:c r="K1618" i="2"/>
  <x:c r="L1618" i="2"/>
  <x:c r="K1619" i="2"/>
  <x:c r="L1619" i="2"/>
  <x:c r="K1620" i="2"/>
  <x:c r="L1620" i="2"/>
  <x:c r="K1621" i="2"/>
  <x:c r="L1621" i="2"/>
  <x:c r="K1622" i="2"/>
  <x:c r="L1622" i="2"/>
  <x:c r="K1623" i="2"/>
  <x:c r="L1623" i="2"/>
  <x:c r="K1624" i="2"/>
  <x:c r="L1624" i="2"/>
  <x:c r="K1625" i="2"/>
  <x:c r="L1625" i="2"/>
  <x:c r="K1626" i="2"/>
  <x:c r="L1626" i="2"/>
  <x:c r="K1627" i="2"/>
  <x:c r="L1627" i="2"/>
  <x:c r="K1628" i="2"/>
  <x:c r="L1628" i="2"/>
  <x:c r="K1629" i="2"/>
  <x:c r="L1629" i="2"/>
  <x:c r="K1630" i="2"/>
  <x:c r="L1630" i="2"/>
  <x:c r="K1631" i="2"/>
  <x:c r="L1631" i="2"/>
  <x:c r="K1632" i="2"/>
  <x:c r="L1632" i="2"/>
  <x:c r="K1633" i="2"/>
  <x:c r="L1633" i="2"/>
  <x:c r="K1634" i="2"/>
  <x:c r="L1634" i="2"/>
  <x:c r="K1635" i="2"/>
  <x:c r="L1635" i="2"/>
  <x:c r="K1636" i="2"/>
  <x:c r="L1636" i="2"/>
  <x:c r="K1637" i="2"/>
  <x:c r="L1637" i="2"/>
  <x:c r="K1638" i="2"/>
  <x:c r="L1638" i="2"/>
  <x:c r="K1639" i="2"/>
  <x:c r="L1639" i="2"/>
  <x:c r="K1640" i="2"/>
  <x:c r="L1640" i="2"/>
  <x:c r="K1641" i="2"/>
  <x:c r="L1641" i="2"/>
  <x:c r="K1642" i="2"/>
  <x:c r="L1642" i="2"/>
  <x:c r="K1643" i="2"/>
  <x:c r="L1643" i="2"/>
  <x:c r="K1644" i="2"/>
  <x:c r="L1644" i="2"/>
  <x:c r="K1645" i="2"/>
  <x:c r="L1645" i="2"/>
  <x:c r="K1646" i="2"/>
  <x:c r="L1646" i="2"/>
  <x:c r="K1647" i="2"/>
  <x:c r="L1647" i="2"/>
  <x:c r="K1648" i="2"/>
  <x:c r="L1648" i="2"/>
  <x:c r="K1649" i="2"/>
  <x:c r="L1649" i="2"/>
  <x:c r="K1650" i="2"/>
  <x:c r="L1650" i="2"/>
  <x:c r="K1651" i="2"/>
  <x:c r="L1651" i="2"/>
  <x:c r="K1652" i="2"/>
  <x:c r="L1652" i="2"/>
  <x:c r="K1653" i="2"/>
  <x:c r="L1653" i="2"/>
  <x:c r="K1654" i="2"/>
  <x:c r="L1654" i="2"/>
  <x:c r="K1655" i="2"/>
  <x:c r="L1655" i="2"/>
  <x:c r="K1656" i="2"/>
  <x:c r="L1656" i="2"/>
  <x:c r="K1657" i="2"/>
  <x:c r="L1657" i="2"/>
  <x:c r="K1658" i="2"/>
  <x:c r="L1658" i="2"/>
  <x:c r="K1659" i="2"/>
  <x:c r="L1659" i="2"/>
  <x:c r="K1660" i="2"/>
  <x:c r="L1660" i="2"/>
  <x:c r="K1661" i="2"/>
  <x:c r="L1661" i="2"/>
  <x:c r="K1662" i="2"/>
  <x:c r="L1662" i="2"/>
  <x:c r="K1663" i="2"/>
  <x:c r="L1663" i="2"/>
  <x:c r="K1664" i="2"/>
  <x:c r="L1664" i="2"/>
  <x:c r="K1665" i="2"/>
  <x:c r="L1665" i="2"/>
  <x:c r="K1666" i="2"/>
  <x:c r="L1666" i="2"/>
  <x:c r="K1667" i="2"/>
  <x:c r="L1667" i="2"/>
  <x:c r="K1668" i="2"/>
  <x:c r="L1668" i="2"/>
  <x:c r="K1669" i="2"/>
  <x:c r="L1669" i="2"/>
  <x:c r="K1670" i="2"/>
  <x:c r="L1670" i="2"/>
  <x:c r="K1671" i="2"/>
  <x:c r="L1671" i="2"/>
  <x:c r="K1672" i="2"/>
  <x:c r="L1672" i="2"/>
  <x:c r="K1673" i="2"/>
  <x:c r="L1673" i="2"/>
  <x:c r="K1674" i="2"/>
  <x:c r="L1674" i="2"/>
  <x:c r="K1675" i="2"/>
  <x:c r="L1675" i="2"/>
  <x:c r="K1676" i="2"/>
  <x:c r="L1676" i="2"/>
  <x:c r="K1677" i="2"/>
  <x:c r="L1677" i="2"/>
  <x:c r="K1678" i="2"/>
  <x:c r="L1678" i="2"/>
  <x:c r="K1679" i="2"/>
  <x:c r="L1679" i="2"/>
  <x:c r="K1680" i="2"/>
  <x:c r="L1680" i="2"/>
  <x:c r="K1681" i="2"/>
  <x:c r="L1681" i="2"/>
  <x:c r="K1682" i="2"/>
  <x:c r="L1682" i="2"/>
  <x:c r="K1683" i="2"/>
  <x:c r="L1683" i="2"/>
  <x:c r="K1684" i="2"/>
  <x:c r="L1684" i="2"/>
  <x:c r="K1685" i="2"/>
  <x:c r="L1685" i="2"/>
  <x:c r="K1686" i="2"/>
  <x:c r="L1686" i="2"/>
  <x:c r="K1687" i="2"/>
  <x:c r="L1687" i="2"/>
  <x:c r="K1688" i="2"/>
  <x:c r="L1688" i="2"/>
  <x:c r="K1689" i="2"/>
  <x:c r="L1689" i="2"/>
  <x:c r="K1690" i="2"/>
  <x:c r="L1690" i="2"/>
  <x:c r="K1691" i="2"/>
  <x:c r="L1691" i="2"/>
  <x:c r="K1692" i="2"/>
  <x:c r="L1692" i="2"/>
  <x:c r="K1693" i="2"/>
  <x:c r="L1693" i="2"/>
  <x:c r="K1694" i="2"/>
  <x:c r="L1694" i="2"/>
  <x:c r="K1695" i="2"/>
  <x:c r="L1695" i="2"/>
  <x:c r="K1696" i="2"/>
  <x:c r="L1696" i="2"/>
  <x:c r="K1697" i="2"/>
  <x:c r="L1697" i="2"/>
  <x:c r="K1698" i="2"/>
  <x:c r="L1698" i="2"/>
  <x:c r="K1699" i="2"/>
  <x:c r="L1699" i="2"/>
  <x:c r="K1700" i="2"/>
  <x:c r="L1700" i="2"/>
  <x:c r="K1701" i="2"/>
  <x:c r="L1701" i="2"/>
  <x:c r="K1702" i="2"/>
  <x:c r="L1702" i="2"/>
  <x:c r="K1703" i="2"/>
  <x:c r="L1703" i="2"/>
  <x:c r="K1704" i="2"/>
  <x:c r="L1704" i="2"/>
  <x:c r="K1705" i="2"/>
  <x:c r="L1705" i="2"/>
  <x:c r="K1706" i="2"/>
  <x:c r="L1706" i="2"/>
  <x:c r="K1707" i="2"/>
  <x:c r="L1707" i="2"/>
  <x:c r="K1708" i="2"/>
  <x:c r="L1708" i="2"/>
  <x:c r="K1709" i="2"/>
  <x:c r="L1709" i="2"/>
  <x:c r="K1710" i="2"/>
  <x:c r="L1710" i="2"/>
  <x:c r="K1711" i="2"/>
  <x:c r="L1711" i="2"/>
  <x:c r="K1712" i="2"/>
  <x:c r="L1712" i="2"/>
  <x:c r="K1713" i="2"/>
  <x:c r="L1713" i="2"/>
  <x:c r="K1714" i="2"/>
  <x:c r="L1714" i="2"/>
  <x:c r="K1715" i="2"/>
  <x:c r="L1715" i="2"/>
  <x:c r="K1716" i="2"/>
  <x:c r="L1716" i="2"/>
  <x:c r="K1717" i="2"/>
  <x:c r="L1717" i="2"/>
  <x:c r="K1718" i="2"/>
  <x:c r="L1718" i="2"/>
  <x:c r="K1719" i="2"/>
  <x:c r="L1719" i="2"/>
  <x:c r="K1720" i="2"/>
  <x:c r="L1720" i="2"/>
  <x:c r="K1721" i="2"/>
  <x:c r="L1721" i="2"/>
  <x:c r="K1722" i="2"/>
  <x:c r="L1722" i="2"/>
  <x:c r="K1723" i="2"/>
  <x:c r="L1723" i="2"/>
  <x:c r="K1724" i="2"/>
  <x:c r="L1724" i="2"/>
  <x:c r="K1725" i="2"/>
  <x:c r="L1725" i="2"/>
  <x:c r="K1726" i="2"/>
  <x:c r="L1726" i="2"/>
  <x:c r="K1727" i="2"/>
  <x:c r="L1727" i="2"/>
  <x:c r="K1728" i="2"/>
  <x:c r="L1728" i="2"/>
  <x:c r="K1729" i="2"/>
  <x:c r="L1729" i="2"/>
  <x:c r="K1730" i="2"/>
  <x:c r="L1730" i="2"/>
  <x:c r="K1731" i="2"/>
  <x:c r="L1731" i="2"/>
  <x:c r="K1732" i="2"/>
  <x:c r="L1732" i="2"/>
  <x:c r="K1733" i="2"/>
  <x:c r="L1733" i="2"/>
  <x:c r="K1734" i="2"/>
  <x:c r="L1734" i="2"/>
  <x:c r="K1735" i="2"/>
  <x:c r="L1735" i="2"/>
  <x:c r="K1736" i="2"/>
  <x:c r="L1736" i="2"/>
  <x:c r="K1737" i="2"/>
  <x:c r="L1737" i="2"/>
  <x:c r="K1738" i="2"/>
  <x:c r="L1738" i="2"/>
  <x:c r="K1739" i="2"/>
  <x:c r="L1739" i="2"/>
  <x:c r="K1740" i="2"/>
  <x:c r="L1740" i="2"/>
  <x:c r="K1741" i="2"/>
  <x:c r="L1741" i="2"/>
  <x:c r="K1742" i="2"/>
  <x:c r="L1742" i="2"/>
  <x:c r="K1743" i="2"/>
  <x:c r="L1743" i="2"/>
  <x:c r="K1744" i="2"/>
  <x:c r="L1744" i="2"/>
  <x:c r="K1745" i="2"/>
  <x:c r="L1745" i="2"/>
  <x:c r="K1746" i="2"/>
  <x:c r="L1746" i="2"/>
  <x:c r="K1747" i="2"/>
  <x:c r="L1747" i="2"/>
  <x:c r="K1748" i="2"/>
  <x:c r="L1748" i="2"/>
  <x:c r="K1749" i="2"/>
  <x:c r="L1749" i="2"/>
  <x:c r="K1750" i="2"/>
  <x:c r="L1750" i="2"/>
  <x:c r="K1751" i="2"/>
  <x:c r="L1751" i="2"/>
  <x:c r="K1752" i="2"/>
  <x:c r="L1752" i="2"/>
  <x:c r="K1753" i="2"/>
  <x:c r="L1753" i="2"/>
  <x:c r="K1754" i="2"/>
  <x:c r="L1754" i="2"/>
  <x:c r="K1755" i="2"/>
  <x:c r="L1755" i="2"/>
  <x:c r="K1756" i="2"/>
  <x:c r="L1756" i="2"/>
  <x:c r="K1757" i="2"/>
  <x:c r="L1757" i="2"/>
  <x:c r="K1758" i="2"/>
  <x:c r="L1758" i="2"/>
  <x:c r="K1759" i="2"/>
  <x:c r="L1759" i="2"/>
  <x:c r="K1760" i="2"/>
  <x:c r="L1760" i="2"/>
  <x:c r="K1761" i="2"/>
  <x:c r="L1761" i="2"/>
  <x:c r="K1762" i="2"/>
  <x:c r="L1762" i="2"/>
  <x:c r="K1763" i="2"/>
  <x:c r="L1763" i="2"/>
  <x:c r="K1764" i="2"/>
  <x:c r="L1764" i="2"/>
  <x:c r="K1765" i="2"/>
  <x:c r="L1765" i="2"/>
  <x:c r="K1766" i="2"/>
  <x:c r="L1766" i="2"/>
  <x:c r="K1767" i="2"/>
  <x:c r="L1767" i="2"/>
  <x:c r="K1768" i="2"/>
  <x:c r="L1768" i="2"/>
  <x:c r="K1769" i="2"/>
  <x:c r="L1769" i="2"/>
  <x:c r="K1770" i="2"/>
  <x:c r="L1770" i="2"/>
  <x:c r="K1771" i="2"/>
  <x:c r="L1771" i="2"/>
  <x:c r="K1772" i="2"/>
  <x:c r="L1772" i="2"/>
  <x:c r="K1773" i="2"/>
  <x:c r="L1773" i="2"/>
  <x:c r="K1774" i="2"/>
  <x:c r="L1774" i="2"/>
  <x:c r="K1775" i="2"/>
  <x:c r="L1775" i="2"/>
  <x:c r="K1776" i="2"/>
  <x:c r="L1776" i="2"/>
  <x:c r="K1777" i="2"/>
  <x:c r="L1777" i="2"/>
  <x:c r="K1778" i="2"/>
  <x:c r="L1778" i="2"/>
  <x:c r="K1779" i="2"/>
  <x:c r="L1779" i="2"/>
  <x:c r="K1780" i="2"/>
  <x:c r="L1780" i="2"/>
  <x:c r="K1781" i="2"/>
  <x:c r="L1781" i="2"/>
  <x:c r="K1782" i="2"/>
  <x:c r="L1782" i="2"/>
  <x:c r="K1783" i="2"/>
  <x:c r="L1783" i="2"/>
  <x:c r="K1784" i="2"/>
  <x:c r="L1784" i="2"/>
  <x:c r="K1785" i="2"/>
  <x:c r="L1785" i="2"/>
  <x:c r="K1786" i="2"/>
  <x:c r="L1786" i="2"/>
  <x:c r="K1787" i="2"/>
  <x:c r="L1787" i="2"/>
  <x:c r="K1788" i="2"/>
  <x:c r="L1788" i="2"/>
  <x:c r="K1789" i="2"/>
  <x:c r="L1789" i="2"/>
  <x:c r="K1790" i="2"/>
  <x:c r="L1790" i="2"/>
  <x:c r="K1791" i="2"/>
  <x:c r="L1791" i="2"/>
  <x:c r="K1792" i="2"/>
  <x:c r="L1792" i="2"/>
  <x:c r="K1793" i="2"/>
  <x:c r="L1793" i="2"/>
  <x:c r="K1794" i="2"/>
  <x:c r="L1794" i="2"/>
  <x:c r="K1795" i="2"/>
  <x:c r="L1795" i="2"/>
  <x:c r="K1796" i="2"/>
  <x:c r="L1796" i="2"/>
  <x:c r="K1797" i="2"/>
  <x:c r="L1797" i="2"/>
  <x:c r="K1798" i="2"/>
  <x:c r="L1798" i="2"/>
  <x:c r="K1799" i="2"/>
  <x:c r="L1799" i="2"/>
  <x:c r="K1800" i="2"/>
  <x:c r="L1800" i="2"/>
  <x:c r="K1801" i="2"/>
  <x:c r="L1801" i="2"/>
  <x:c r="K1802" i="2"/>
  <x:c r="L1802" i="2"/>
  <x:c r="K1803" i="2"/>
  <x:c r="L1803" i="2"/>
  <x:c r="K1804" i="2"/>
  <x:c r="L1804" i="2"/>
  <x:c r="K1805" i="2"/>
  <x:c r="L1805" i="2"/>
  <x:c r="K1806" i="2"/>
  <x:c r="L1806" i="2"/>
  <x:c r="K1807" i="2"/>
  <x:c r="L1807" i="2"/>
  <x:c r="K1808" i="2"/>
  <x:c r="L1808" i="2"/>
  <x:c r="K1809" i="2"/>
  <x:c r="L1809" i="2"/>
  <x:c r="K1810" i="2"/>
  <x:c r="L1810" i="2"/>
  <x:c r="K1811" i="2"/>
  <x:c r="L1811" i="2"/>
  <x:c r="K1812" i="2"/>
  <x:c r="L1812" i="2"/>
  <x:c r="K1813" i="2"/>
  <x:c r="L1813" i="2"/>
  <x:c r="K1814" i="2"/>
  <x:c r="L1814" i="2"/>
  <x:c r="K1815" i="2"/>
  <x:c r="L1815" i="2"/>
  <x:c r="K1816" i="2"/>
  <x:c r="L1816" i="2"/>
  <x:c r="K1817" i="2"/>
  <x:c r="L1817" i="2"/>
  <x:c r="K1818" i="2"/>
  <x:c r="L1818" i="2"/>
  <x:c r="K1819" i="2"/>
  <x:c r="L1819" i="2"/>
  <x:c r="K1820" i="2"/>
  <x:c r="L1820" i="2"/>
  <x:c r="K1821" i="2"/>
  <x:c r="L1821" i="2"/>
  <x:c r="K1822" i="2"/>
  <x:c r="L1822" i="2"/>
  <x:c r="K1823" i="2"/>
  <x:c r="L1823" i="2"/>
  <x:c r="K1824" i="2"/>
  <x:c r="L1824" i="2"/>
  <x:c r="K1825" i="2"/>
  <x:c r="L1825" i="2"/>
  <x:c r="K1826" i="2"/>
  <x:c r="L1826" i="2"/>
  <x:c r="K1827" i="2"/>
  <x:c r="L1827" i="2"/>
  <x:c r="K1828" i="2"/>
  <x:c r="L1828" i="2"/>
  <x:c r="K1829" i="2"/>
  <x:c r="L1829" i="2"/>
  <x:c r="K1830" i="2"/>
  <x:c r="L1830" i="2"/>
  <x:c r="K1831" i="2"/>
  <x:c r="L1831" i="2"/>
  <x:c r="K1832" i="2"/>
  <x:c r="L1832" i="2"/>
  <x:c r="K1833" i="2"/>
  <x:c r="L1833" i="2"/>
  <x:c r="K1834" i="2"/>
  <x:c r="L1834" i="2"/>
  <x:c r="K1835" i="2"/>
  <x:c r="L1835" i="2"/>
  <x:c r="K1836" i="2"/>
  <x:c r="L1836" i="2"/>
  <x:c r="K1837" i="2"/>
  <x:c r="L1837" i="2"/>
  <x:c r="K1838" i="2"/>
  <x:c r="L1838" i="2"/>
  <x:c r="K1839" i="2"/>
  <x:c r="L1839" i="2"/>
  <x:c r="K1840" i="2"/>
  <x:c r="L1840" i="2"/>
  <x:c r="K1841" i="2"/>
  <x:c r="L1841" i="2"/>
  <x:c r="K1842" i="2"/>
  <x:c r="L1842" i="2"/>
  <x:c r="K1843" i="2"/>
  <x:c r="L1843" i="2"/>
  <x:c r="K1844" i="2"/>
  <x:c r="L1844" i="2"/>
  <x:c r="K1845" i="2"/>
  <x:c r="L1845" i="2"/>
  <x:c r="K1846" i="2"/>
  <x:c r="L1846" i="2"/>
  <x:c r="K1847" i="2"/>
  <x:c r="L1847" i="2"/>
  <x:c r="K1848" i="2"/>
  <x:c r="L1848" i="2"/>
  <x:c r="K1849" i="2"/>
  <x:c r="L1849" i="2"/>
  <x:c r="K1850" i="2"/>
  <x:c r="L1850" i="2"/>
  <x:c r="K1851" i="2"/>
  <x:c r="L1851" i="2"/>
  <x:c r="K1852" i="2"/>
  <x:c r="L1852" i="2"/>
  <x:c r="K1853" i="2"/>
  <x:c r="L1853" i="2"/>
  <x:c r="K1854" i="2"/>
  <x:c r="L1854" i="2"/>
  <x:c r="K1855" i="2"/>
  <x:c r="L1855" i="2"/>
  <x:c r="K1856" i="2"/>
  <x:c r="L1856" i="2"/>
  <x:c r="K1857" i="2"/>
  <x:c r="L1857" i="2"/>
  <x:c r="K1858" i="2"/>
  <x:c r="L1858" i="2"/>
  <x:c r="K1859" i="2"/>
  <x:c r="L1859" i="2"/>
  <x:c r="K1860" i="2"/>
  <x:c r="L1860" i="2"/>
  <x:c r="K1861" i="2"/>
  <x:c r="L1861" i="2"/>
  <x:c r="K1862" i="2"/>
  <x:c r="L1862" i="2"/>
  <x:c r="K1863" i="2"/>
  <x:c r="L1863" i="2"/>
  <x:c r="K1864" i="2"/>
  <x:c r="L1864" i="2"/>
  <x:c r="K1865" i="2"/>
  <x:c r="L1865" i="2"/>
  <x:c r="K1866" i="2"/>
  <x:c r="L1866" i="2"/>
  <x:c r="K1867" i="2"/>
  <x:c r="L1867" i="2"/>
  <x:c r="K1868" i="2"/>
  <x:c r="L1868" i="2"/>
  <x:c r="K1869" i="2"/>
  <x:c r="L1869" i="2"/>
  <x:c r="K1870" i="2"/>
  <x:c r="L1870" i="2"/>
  <x:c r="K1871" i="2"/>
  <x:c r="L1871" i="2"/>
  <x:c r="K1872" i="2"/>
  <x:c r="L1872" i="2"/>
  <x:c r="K1873" i="2"/>
  <x:c r="L1873" i="2"/>
  <x:c r="K1874" i="2"/>
  <x:c r="L1874" i="2"/>
  <x:c r="K1875" i="2"/>
  <x:c r="L1875" i="2"/>
  <x:c r="K1876" i="2"/>
  <x:c r="L1876" i="2"/>
  <x:c r="K1877" i="2"/>
  <x:c r="L1877" i="2"/>
  <x:c r="K1878" i="2"/>
  <x:c r="L1878" i="2"/>
  <x:c r="K1879" i="2"/>
  <x:c r="L1879" i="2"/>
  <x:c r="K1880" i="2"/>
  <x:c r="L1880" i="2"/>
  <x:c r="K1881" i="2"/>
  <x:c r="L1881" i="2"/>
  <x:c r="K1882" i="2"/>
  <x:c r="L1882" i="2"/>
  <x:c r="K1883" i="2"/>
  <x:c r="L1883" i="2"/>
  <x:c r="K1884" i="2"/>
  <x:c r="L1884" i="2"/>
  <x:c r="K1885" i="2"/>
  <x:c r="L1885" i="2"/>
  <x:c r="K1886" i="2"/>
  <x:c r="L1886" i="2"/>
  <x:c r="K1887" i="2"/>
  <x:c r="L1887" i="2"/>
  <x:c r="K1888" i="2"/>
  <x:c r="L1888" i="2"/>
  <x:c r="K1889" i="2"/>
  <x:c r="L1889" i="2"/>
  <x:c r="K1890" i="2"/>
  <x:c r="L1890" i="2"/>
  <x:c r="K1891" i="2"/>
  <x:c r="L1891" i="2"/>
  <x:c r="K1892" i="2"/>
  <x:c r="L1892" i="2"/>
  <x:c r="K1893" i="2"/>
  <x:c r="L1893" i="2"/>
  <x:c r="K1894" i="2"/>
  <x:c r="L1894" i="2"/>
  <x:c r="K1895" i="2"/>
  <x:c r="L1895" i="2"/>
  <x:c r="K1896" i="2"/>
  <x:c r="L1896" i="2"/>
  <x:c r="K1897" i="2"/>
  <x:c r="L1897" i="2"/>
  <x:c r="K1898" i="2"/>
  <x:c r="L1898" i="2"/>
  <x:c r="K1899" i="2"/>
  <x:c r="L1899" i="2"/>
  <x:c r="K1900" i="2"/>
  <x:c r="L1900" i="2"/>
  <x:c r="K1901" i="2"/>
  <x:c r="L1901" i="2"/>
  <x:c r="K1902" i="2"/>
  <x:c r="L1902" i="2"/>
  <x:c r="K1903" i="2"/>
  <x:c r="L1903" i="2"/>
  <x:c r="K1904" i="2"/>
  <x:c r="L1904" i="2"/>
  <x:c r="K1905" i="2"/>
  <x:c r="L1905" i="2"/>
  <x:c r="K1906" i="2"/>
  <x:c r="L1906" i="2"/>
  <x:c r="K1907" i="2"/>
  <x:c r="L1907" i="2"/>
  <x:c r="K1908" i="2"/>
  <x:c r="L1908" i="2"/>
  <x:c r="K1909" i="2"/>
  <x:c r="L1909" i="2"/>
  <x:c r="K1910" i="2"/>
  <x:c r="L1910" i="2"/>
  <x:c r="K1911" i="2"/>
  <x:c r="L1911" i="2"/>
  <x:c r="K1912" i="2"/>
  <x:c r="L1912" i="2"/>
  <x:c r="K1913" i="2"/>
  <x:c r="L1913" i="2"/>
  <x:c r="K1914" i="2"/>
  <x:c r="L1914" i="2"/>
  <x:c r="K1915" i="2"/>
  <x:c r="L1915" i="2"/>
  <x:c r="K1916" i="2"/>
  <x:c r="L1916" i="2"/>
  <x:c r="K1917" i="2"/>
  <x:c r="L1917" i="2"/>
  <x:c r="K1918" i="2"/>
  <x:c r="L1918" i="2"/>
  <x:c r="K1919" i="2"/>
  <x:c r="L1919" i="2"/>
  <x:c r="K1920" i="2"/>
  <x:c r="L1920" i="2"/>
  <x:c r="K1921" i="2"/>
  <x:c r="L1921" i="2"/>
  <x:c r="K1922" i="2"/>
  <x:c r="L1922" i="2"/>
  <x:c r="K1923" i="2"/>
  <x:c r="L1923" i="2"/>
  <x:c r="K1924" i="2"/>
  <x:c r="L1924" i="2"/>
  <x:c r="K1925" i="2"/>
  <x:c r="L1925" i="2"/>
  <x:c r="K1926" i="2"/>
  <x:c r="L1926" i="2"/>
  <x:c r="K1927" i="2"/>
  <x:c r="L1927" i="2"/>
  <x:c r="K1928" i="2"/>
  <x:c r="L1928" i="2"/>
  <x:c r="K1929" i="2"/>
  <x:c r="L1929" i="2"/>
  <x:c r="K1930" i="2"/>
  <x:c r="L1930" i="2"/>
  <x:c r="K1931" i="2"/>
  <x:c r="L1931" i="2"/>
  <x:c r="K1932" i="2"/>
  <x:c r="L1932" i="2"/>
  <x:c r="K1933" i="2"/>
  <x:c r="L1933" i="2"/>
  <x:c r="K1934" i="2"/>
  <x:c r="L1934" i="2"/>
  <x:c r="K1935" i="2"/>
  <x:c r="L1935" i="2"/>
  <x:c r="K1936" i="2"/>
  <x:c r="L1936" i="2"/>
  <x:c r="K1937" i="2"/>
  <x:c r="L1937" i="2"/>
  <x:c r="K1938" i="2"/>
  <x:c r="L1938" i="2"/>
  <x:c r="K1939" i="2"/>
  <x:c r="L1939" i="2"/>
  <x:c r="K1940" i="2"/>
  <x:c r="L1940" i="2"/>
  <x:c r="K1941" i="2"/>
  <x:c r="L1941" i="2"/>
  <x:c r="K1942" i="2"/>
  <x:c r="L1942" i="2"/>
  <x:c r="K1943" i="2"/>
  <x:c r="L1943" i="2"/>
  <x:c r="K1944" i="2"/>
  <x:c r="L1944" i="2"/>
  <x:c r="K1945" i="2"/>
  <x:c r="L1945" i="2"/>
  <x:c r="K1946" i="2"/>
  <x:c r="L1946" i="2"/>
  <x:c r="K1947" i="2"/>
  <x:c r="L1947" i="2"/>
  <x:c r="K1948" i="2"/>
  <x:c r="L1948" i="2"/>
  <x:c r="K1949" i="2"/>
  <x:c r="L1949" i="2"/>
  <x:c r="K1950" i="2"/>
  <x:c r="L1950" i="2"/>
  <x:c r="K1951" i="2"/>
  <x:c r="L1951" i="2"/>
  <x:c r="K1952" i="2"/>
  <x:c r="L1952" i="2"/>
  <x:c r="K1953" i="2"/>
  <x:c r="L1953" i="2"/>
  <x:c r="K1954" i="2"/>
  <x:c r="L1954" i="2"/>
  <x:c r="K1955" i="2"/>
  <x:c r="L1955" i="2"/>
  <x:c r="K1956" i="2"/>
  <x:c r="L1956" i="2"/>
  <x:c r="K1957" i="2"/>
  <x:c r="L1957" i="2"/>
  <x:c r="K1958" i="2"/>
  <x:c r="L1958" i="2"/>
  <x:c r="K1959" i="2"/>
  <x:c r="L1959" i="2"/>
  <x:c r="K1960" i="2"/>
  <x:c r="L1960" i="2"/>
  <x:c r="K1961" i="2"/>
  <x:c r="L1961" i="2"/>
  <x:c r="K1962" i="2"/>
  <x:c r="L1962" i="2"/>
  <x:c r="K1963" i="2"/>
  <x:c r="L1963" i="2"/>
  <x:c r="K1964" i="2"/>
  <x:c r="L1964" i="2"/>
  <x:c r="K1965" i="2"/>
  <x:c r="L1965" i="2"/>
  <x:c r="K1966" i="2"/>
  <x:c r="L1966" i="2"/>
  <x:c r="K1967" i="2"/>
  <x:c r="L1967" i="2"/>
  <x:c r="K1968" i="2"/>
  <x:c r="L1968" i="2"/>
  <x:c r="K1969" i="2"/>
  <x:c r="L1969" i="2"/>
  <x:c r="K1970" i="2"/>
  <x:c r="L1970" i="2"/>
  <x:c r="K1971" i="2"/>
  <x:c r="L1971" i="2"/>
  <x:c r="K1972" i="2"/>
  <x:c r="L1972" i="2"/>
  <x:c r="K1973" i="2"/>
  <x:c r="L1973" i="2"/>
  <x:c r="K1974" i="2"/>
  <x:c r="L1974" i="2"/>
  <x:c r="K1975" i="2"/>
  <x:c r="L1975" i="2"/>
  <x:c r="K1976" i="2"/>
  <x:c r="L1976" i="2"/>
  <x:c r="K1977" i="2"/>
  <x:c r="L1977" i="2"/>
  <x:c r="K1978" i="2"/>
  <x:c r="L1978" i="2"/>
  <x:c r="K1979" i="2"/>
  <x:c r="L1979" i="2"/>
  <x:c r="K1980" i="2"/>
  <x:c r="L1980" i="2"/>
  <x:c r="K1981" i="2"/>
  <x:c r="L1981" i="2"/>
  <x:c r="K1982" i="2"/>
  <x:c r="L1982" i="2"/>
  <x:c r="K1983" i="2"/>
  <x:c r="L1983" i="2"/>
  <x:c r="K1984" i="2"/>
  <x:c r="L1984" i="2"/>
  <x:c r="K1985" i="2"/>
  <x:c r="L1985" i="2"/>
  <x:c r="K1986" i="2"/>
  <x:c r="L1986" i="2"/>
  <x:c r="K1987" i="2"/>
  <x:c r="L1987" i="2"/>
  <x:c r="K1988" i="2"/>
  <x:c r="L1988" i="2"/>
  <x:c r="K1989" i="2"/>
  <x:c r="L1989" i="2"/>
  <x:c r="K1990" i="2"/>
  <x:c r="L1990" i="2"/>
  <x:c r="K1991" i="2"/>
  <x:c r="L1991" i="2"/>
  <x:c r="K1992" i="2"/>
  <x:c r="L1992" i="2"/>
  <x:c r="K1993" i="2"/>
  <x:c r="L1993" i="2"/>
  <x:c r="K1994" i="2"/>
  <x:c r="L1994" i="2"/>
  <x:c r="K1995" i="2"/>
  <x:c r="L1995" i="2"/>
  <x:c r="K1996" i="2"/>
  <x:c r="L1996" i="2"/>
  <x:c r="K1997" i="2"/>
  <x:c r="L1997" i="2"/>
  <x:c r="K1998" i="2"/>
  <x:c r="L1998" i="2"/>
  <x:c r="K1999" i="2"/>
  <x:c r="L1999" i="2"/>
  <x:c r="K2000" i="2"/>
  <x:c r="L2000" i="2"/>
  <x:c r="K2001" i="2"/>
  <x:c r="L2001" i="2"/>
  <x:c r="K2002" i="2"/>
  <x:c r="L2002" i="2"/>
  <x:c r="K2003" i="2"/>
  <x:c r="L2003" i="2"/>
  <x:c r="K2004" i="2"/>
  <x:c r="L2004" i="2"/>
  <x:c r="K2005" i="2"/>
  <x:c r="L2005" i="2"/>
  <x:c r="K2006" i="2"/>
  <x:c r="L2006" i="2"/>
  <x:c r="K2007" i="2"/>
  <x:c r="L2007" i="2"/>
  <x:c r="K2008" i="2"/>
  <x:c r="L2008" i="2"/>
  <x:c r="K2009" i="2"/>
  <x:c r="L2009" i="2"/>
  <x:c r="K2010" i="2"/>
  <x:c r="L2010" i="2"/>
  <x:c r="K2011" i="2"/>
  <x:c r="L2011" i="2"/>
  <x:c r="K2012" i="2"/>
  <x:c r="L2012" i="2"/>
  <x:c r="K2013" i="2"/>
  <x:c r="L2013" i="2"/>
  <x:c r="K2014" i="2"/>
  <x:c r="L2014" i="2"/>
  <x:c r="K2015" i="2"/>
  <x:c r="L2015" i="2"/>
  <x:c r="K2016" i="2"/>
  <x:c r="L2016" i="2"/>
  <x:c r="K2017" i="2"/>
  <x:c r="L2017" i="2"/>
  <x:c r="K2018" i="2"/>
  <x:c r="L2018" i="2"/>
  <x:c r="K2019" i="2"/>
  <x:c r="L2019" i="2"/>
  <x:c r="K2020" i="2"/>
  <x:c r="L2020" i="2"/>
  <x:c r="K2021" i="2"/>
  <x:c r="L2021" i="2"/>
  <x:c r="K2022" i="2"/>
  <x:c r="L2022" i="2"/>
  <x:c r="K2023" i="2"/>
  <x:c r="L2023" i="2"/>
  <x:c r="K2024" i="2"/>
  <x:c r="L2024" i="2"/>
  <x:c r="K2025" i="2"/>
  <x:c r="L2025" i="2"/>
  <x:c r="K2026" i="2"/>
  <x:c r="L2026" i="2"/>
  <x:c r="K2027" i="2"/>
  <x:c r="L2027" i="2"/>
  <x:c r="K2028" i="2"/>
  <x:c r="L2028" i="2"/>
  <x:c r="K2029" i="2"/>
  <x:c r="L2029" i="2"/>
  <x:c r="K2030" i="2"/>
  <x:c r="L2030" i="2"/>
  <x:c r="K2031" i="2"/>
  <x:c r="L2031" i="2"/>
  <x:c r="K2032" i="2"/>
  <x:c r="L2032" i="2"/>
  <x:c r="K2033" i="2"/>
  <x:c r="L2033" i="2"/>
  <x:c r="K2034" i="2"/>
  <x:c r="L2034" i="2"/>
  <x:c r="K2035" i="2"/>
  <x:c r="L2035" i="2"/>
  <x:c r="K2036" i="2"/>
  <x:c r="L2036" i="2"/>
  <x:c r="K2037" i="2"/>
  <x:c r="L2037" i="2"/>
  <x:c r="K2038" i="2"/>
  <x:c r="L2038" i="2"/>
  <x:c r="K2039" i="2"/>
  <x:c r="L2039" i="2"/>
  <x:c r="K2040" i="2"/>
  <x:c r="L2040" i="2"/>
  <x:c r="K2041" i="2"/>
  <x:c r="L2041" i="2"/>
  <x:c r="K2042" i="2"/>
  <x:c r="L2042" i="2"/>
  <x:c r="K2043" i="2"/>
  <x:c r="L2043" i="2"/>
  <x:c r="K2044" i="2"/>
  <x:c r="L2044" i="2"/>
  <x:c r="K2045" i="2"/>
  <x:c r="L2045" i="2"/>
  <x:c r="K2046" i="2"/>
  <x:c r="L2046" i="2"/>
  <x:c r="K2047" i="2"/>
  <x:c r="L2047" i="2"/>
  <x:c r="K2048" i="2"/>
  <x:c r="L2048" i="2"/>
  <x:c r="K2049" i="2"/>
  <x:c r="L2049" i="2"/>
  <x:c r="K2050" i="2"/>
  <x:c r="L2050" i="2"/>
  <x:c r="K2051" i="2"/>
  <x:c r="L2051" i="2"/>
  <x:c r="K2052" i="2"/>
  <x:c r="L2052" i="2"/>
  <x:c r="K2053" i="2"/>
  <x:c r="L2053" i="2"/>
  <x:c r="K2054" i="2"/>
  <x:c r="L2054" i="2"/>
  <x:c r="K2055" i="2"/>
  <x:c r="L2055" i="2"/>
  <x:c r="K2056" i="2"/>
  <x:c r="L2056" i="2"/>
  <x:c r="K2057" i="2"/>
  <x:c r="L2057" i="2"/>
  <x:c r="K2058" i="2"/>
  <x:c r="L2058" i="2"/>
  <x:c r="K2059" i="2"/>
  <x:c r="L2059" i="2"/>
  <x:c r="K2060" i="2"/>
  <x:c r="L2060" i="2"/>
  <x:c r="K2061" i="2"/>
  <x:c r="L2061" i="2"/>
  <x:c r="K2062" i="2"/>
  <x:c r="L2062" i="2"/>
  <x:c r="K2063" i="2"/>
  <x:c r="L2063" i="2"/>
  <x:c r="K2064" i="2"/>
  <x:c r="L2064" i="2"/>
  <x:c r="K2065" i="2"/>
  <x:c r="L2065" i="2"/>
  <x:c r="K2066" i="2"/>
  <x:c r="L2066" i="2"/>
  <x:c r="K2067" i="2"/>
  <x:c r="L2067" i="2"/>
  <x:c r="K2068" i="2"/>
  <x:c r="L2068" i="2"/>
  <x:c r="K2069" i="2"/>
  <x:c r="L2069" i="2"/>
  <x:c r="K2070" i="2"/>
  <x:c r="L2070" i="2"/>
  <x:c r="K2071" i="2"/>
  <x:c r="L2071" i="2"/>
  <x:c r="K2072" i="2"/>
  <x:c r="L2072" i="2"/>
  <x:c r="K2073" i="2"/>
  <x:c r="L2073" i="2"/>
  <x:c r="K2074" i="2"/>
  <x:c r="L2074" i="2"/>
  <x:c r="K2075" i="2"/>
  <x:c r="L2075" i="2"/>
  <x:c r="K2076" i="2"/>
  <x:c r="L2076" i="2"/>
  <x:c r="K2077" i="2"/>
  <x:c r="L2077" i="2"/>
  <x:c r="K2078" i="2"/>
  <x:c r="L2078" i="2"/>
  <x:c r="K2079" i="2"/>
  <x:c r="L2079" i="2"/>
  <x:c r="K2080" i="2"/>
  <x:c r="L2080" i="2"/>
  <x:c r="K2081" i="2"/>
  <x:c r="L2081" i="2"/>
  <x:c r="K2082" i="2"/>
  <x:c r="L2082" i="2"/>
  <x:c r="K2083" i="2"/>
  <x:c r="L2083" i="2"/>
  <x:c r="K2084" i="2"/>
  <x:c r="L2084" i="2"/>
  <x:c r="K2085" i="2"/>
  <x:c r="L2085" i="2"/>
  <x:c r="K2086" i="2"/>
  <x:c r="L2086" i="2"/>
  <x:c r="K2087" i="2"/>
  <x:c r="L2087" i="2"/>
  <x:c r="K2088" i="2"/>
  <x:c r="L2088" i="2"/>
  <x:c r="K2089" i="2"/>
  <x:c r="L2089" i="2"/>
  <x:c r="K2090" i="2"/>
  <x:c r="L2090" i="2"/>
  <x:c r="K2091" i="2"/>
  <x:c r="L2091" i="2"/>
  <x:c r="K2092" i="2"/>
  <x:c r="L2092" i="2"/>
  <x:c r="K2093" i="2"/>
  <x:c r="L2093" i="2"/>
  <x:c r="K2094" i="2"/>
  <x:c r="L2094" i="2"/>
  <x:c r="K2095" i="2"/>
  <x:c r="L2095" i="2"/>
  <x:c r="K2096" i="2"/>
  <x:c r="L2096" i="2"/>
  <x:c r="K2097" i="2"/>
  <x:c r="L2097" i="2"/>
  <x:c r="K2098" i="2"/>
  <x:c r="L2098" i="2"/>
  <x:c r="K2099" i="2"/>
  <x:c r="L2099" i="2"/>
  <x:c r="K2100" i="2"/>
  <x:c r="L2100" i="2"/>
  <x:c r="K2101" i="2"/>
  <x:c r="L2101" i="2"/>
  <x:c r="K2102" i="2"/>
  <x:c r="L2102" i="2"/>
  <x:c r="K2103" i="2"/>
  <x:c r="L2103" i="2"/>
  <x:c r="K2104" i="2"/>
  <x:c r="L2104" i="2"/>
  <x:c r="K2105" i="2"/>
  <x:c r="L2105" i="2"/>
  <x:c r="K2106" i="2"/>
  <x:c r="L2106" i="2"/>
  <x:c r="K2107" i="2"/>
  <x:c r="L2107" i="2"/>
  <x:c r="K2108" i="2"/>
  <x:c r="L2108" i="2"/>
  <x:c r="K2109" i="2"/>
  <x:c r="L2109" i="2"/>
  <x:c r="K2110" i="2"/>
  <x:c r="L2110" i="2"/>
  <x:c r="K2111" i="2"/>
  <x:c r="L2111" i="2"/>
  <x:c r="K2112" i="2"/>
  <x:c r="L2112" i="2"/>
  <x:c r="K2113" i="2"/>
  <x:c r="L2113" i="2"/>
  <x:c r="K2114" i="2"/>
  <x:c r="L2114" i="2"/>
  <x:c r="K2115" i="2"/>
  <x:c r="L2115" i="2"/>
  <x:c r="K2116" i="2"/>
  <x:c r="L2116" i="2"/>
  <x:c r="K2117" i="2"/>
  <x:c r="L2117" i="2"/>
  <x:c r="K2118" i="2"/>
  <x:c r="L2118" i="2"/>
  <x:c r="K2119" i="2"/>
  <x:c r="L2119" i="2"/>
  <x:c r="K2120" i="2"/>
  <x:c r="L2120" i="2"/>
  <x:c r="K2121" i="2"/>
  <x:c r="L2121" i="2"/>
  <x:c r="K2122" i="2"/>
  <x:c r="L2122" i="2"/>
  <x:c r="K2123" i="2"/>
  <x:c r="L2123" i="2"/>
  <x:c r="K2124" i="2"/>
  <x:c r="L2124" i="2"/>
  <x:c r="K2125" i="2"/>
  <x:c r="L2125" i="2"/>
  <x:c r="K2126" i="2"/>
  <x:c r="L2126" i="2"/>
  <x:c r="K2127" i="2"/>
  <x:c r="L2127" i="2"/>
  <x:c r="K2128" i="2"/>
  <x:c r="L2128" i="2"/>
  <x:c r="K2129" i="2"/>
  <x:c r="L2129" i="2"/>
  <x:c r="K2130" i="2"/>
  <x:c r="L2130" i="2"/>
  <x:c r="K2131" i="2"/>
  <x:c r="L2131" i="2"/>
  <x:c r="K2132" i="2"/>
  <x:c r="L2132" i="2"/>
  <x:c r="K2133" i="2"/>
  <x:c r="L2133" i="2"/>
  <x:c r="K2134" i="2"/>
  <x:c r="L2134" i="2"/>
  <x:c r="K2135" i="2"/>
  <x:c r="L2135" i="2"/>
  <x:c r="K2136" i="2"/>
  <x:c r="L2136" i="2"/>
  <x:c r="K2137" i="2"/>
  <x:c r="L2137" i="2"/>
  <x:c r="K2138" i="2"/>
  <x:c r="L2138" i="2"/>
  <x:c r="K2139" i="2"/>
  <x:c r="L2139" i="2"/>
  <x:c r="K2140" i="2"/>
  <x:c r="L2140" i="2"/>
  <x:c r="K2141" i="2"/>
  <x:c r="L2141" i="2"/>
  <x:c r="K2142" i="2"/>
  <x:c r="L2142" i="2"/>
  <x:c r="K2143" i="2"/>
  <x:c r="L2143" i="2"/>
  <x:c r="K2144" i="2"/>
  <x:c r="L2144" i="2"/>
  <x:c r="K2145" i="2"/>
  <x:c r="L2145" i="2"/>
  <x:c r="K2146" i="2"/>
  <x:c r="L2146" i="2"/>
  <x:c r="K2147" i="2"/>
  <x:c r="L2147" i="2"/>
  <x:c r="K2148" i="2"/>
  <x:c r="L2148" i="2"/>
  <x:c r="K2149" i="2"/>
  <x:c r="L2149" i="2"/>
  <x:c r="K2150" i="2"/>
  <x:c r="L2150" i="2"/>
  <x:c r="K2151" i="2"/>
  <x:c r="L2151" i="2"/>
  <x:c r="K2152" i="2"/>
  <x:c r="L2152" i="2"/>
  <x:c r="K2153" i="2"/>
  <x:c r="L2153" i="2"/>
  <x:c r="K2154" i="2"/>
  <x:c r="L2154" i="2"/>
  <x:c r="K2155" i="2"/>
  <x:c r="L2155" i="2"/>
  <x:c r="K2156" i="2"/>
  <x:c r="L2156" i="2"/>
  <x:c r="K2157" i="2"/>
  <x:c r="L2157" i="2"/>
  <x:c r="K2158" i="2"/>
  <x:c r="L2158" i="2"/>
  <x:c r="K2159" i="2"/>
  <x:c r="L2159" i="2"/>
  <x:c r="K2160" i="2"/>
  <x:c r="L2160" i="2"/>
  <x:c r="K2161" i="2"/>
  <x:c r="L2161" i="2"/>
  <x:c r="K2162" i="2"/>
  <x:c r="L2162" i="2"/>
  <x:c r="K2163" i="2"/>
  <x:c r="L2163" i="2"/>
  <x:c r="K2164" i="2"/>
  <x:c r="L2164" i="2"/>
  <x:c r="K2165" i="2"/>
  <x:c r="L2165" i="2"/>
  <x:c r="K2166" i="2"/>
  <x:c r="L2166" i="2"/>
  <x:c r="K2167" i="2"/>
  <x:c r="L2167" i="2"/>
  <x:c r="K2168" i="2"/>
  <x:c r="L2168" i="2"/>
  <x:c r="K2169" i="2"/>
  <x:c r="L2169" i="2"/>
  <x:c r="K2170" i="2"/>
  <x:c r="L2170" i="2"/>
  <x:c r="K2171" i="2"/>
  <x:c r="L2171" i="2"/>
  <x:c r="K2172" i="2"/>
  <x:c r="L2172" i="2"/>
  <x:c r="K2173" i="2"/>
  <x:c r="L2173" i="2"/>
  <x:c r="K2174" i="2"/>
  <x:c r="L2174" i="2"/>
  <x:c r="K2175" i="2"/>
  <x:c r="L2175" i="2"/>
  <x:c r="K2176" i="2"/>
  <x:c r="L2176" i="2"/>
  <x:c r="K2177" i="2"/>
  <x:c r="L2177" i="2"/>
  <x:c r="K2178" i="2"/>
  <x:c r="L2178" i="2"/>
  <x:c r="K2179" i="2"/>
  <x:c r="L2179" i="2"/>
  <x:c r="K2180" i="2"/>
  <x:c r="L2180" i="2"/>
  <x:c r="K2181" i="2"/>
  <x:c r="L2181" i="2"/>
  <x:c r="K2182" i="2"/>
  <x:c r="L2182" i="2"/>
  <x:c r="K2183" i="2"/>
  <x:c r="L2183" i="2"/>
  <x:c r="K2184" i="2"/>
  <x:c r="L2184" i="2"/>
  <x:c r="K2185" i="2"/>
  <x:c r="L2185" i="2"/>
  <x:c r="K2186" i="2"/>
  <x:c r="L2186" i="2"/>
  <x:c r="K2187" i="2"/>
  <x:c r="L2187" i="2"/>
  <x:c r="K2188" i="2"/>
  <x:c r="L2188" i="2"/>
  <x:c r="K2189" i="2"/>
  <x:c r="L2189" i="2"/>
  <x:c r="K2190" i="2"/>
  <x:c r="L2190" i="2"/>
  <x:c r="K2191" i="2"/>
  <x:c r="L2191" i="2"/>
  <x:c r="K2192" i="2"/>
  <x:c r="L2192" i="2"/>
  <x:c r="K2193" i="2"/>
  <x:c r="L2193" i="2"/>
  <x:c r="K2194" i="2"/>
  <x:c r="L2194" i="2"/>
  <x:c r="K2195" i="2"/>
  <x:c r="L2195" i="2"/>
  <x:c r="K2196" i="2"/>
  <x:c r="L2196" i="2"/>
  <x:c r="K2197" i="2"/>
  <x:c r="L2197" i="2"/>
  <x:c r="K2198" i="2"/>
  <x:c r="L2198" i="2"/>
  <x:c r="K2199" i="2"/>
  <x:c r="L2199" i="2"/>
  <x:c r="K2200" i="2"/>
  <x:c r="L2200" i="2"/>
  <x:c r="K2201" i="2"/>
  <x:c r="L2201" i="2"/>
  <x:c r="K2202" i="2"/>
  <x:c r="L2202" i="2"/>
  <x:c r="K2203" i="2"/>
  <x:c r="L2203" i="2"/>
  <x:c r="K2204" i="2"/>
  <x:c r="L2204" i="2"/>
  <x:c r="K2205" i="2"/>
  <x:c r="L2205" i="2"/>
  <x:c r="K2206" i="2"/>
  <x:c r="L2206" i="2"/>
  <x:c r="K2207" i="2"/>
  <x:c r="L2207" i="2"/>
  <x:c r="K2208" i="2"/>
  <x:c r="L2208" i="2"/>
  <x:c r="K2209" i="2"/>
  <x:c r="L2209" i="2"/>
  <x:c r="K2210" i="2"/>
  <x:c r="L2210" i="2"/>
  <x:c r="K2211" i="2"/>
  <x:c r="L2211" i="2"/>
  <x:c r="K2212" i="2"/>
  <x:c r="L2212" i="2"/>
  <x:c r="K2213" i="2"/>
  <x:c r="L2213" i="2"/>
  <x:c r="K2214" i="2"/>
  <x:c r="L2214" i="2"/>
  <x:c r="K2215" i="2"/>
  <x:c r="L2215" i="2"/>
  <x:c r="K2216" i="2"/>
  <x:c r="L2216" i="2"/>
  <x:c r="K2217" i="2"/>
  <x:c r="L2217" i="2"/>
  <x:c r="K2218" i="2"/>
  <x:c r="L2218" i="2"/>
  <x:c r="K2219" i="2"/>
  <x:c r="L2219" i="2"/>
  <x:c r="K2220" i="2"/>
  <x:c r="L2220" i="2"/>
  <x:c r="K2221" i="2"/>
  <x:c r="L2221" i="2"/>
  <x:c r="K2222" i="2"/>
  <x:c r="L2222" i="2"/>
  <x:c r="K2223" i="2"/>
  <x:c r="L2223" i="2"/>
  <x:c r="K2224" i="2"/>
  <x:c r="L2224" i="2"/>
  <x:c r="K2225" i="2"/>
  <x:c r="L2225" i="2"/>
  <x:c r="K2226" i="2"/>
  <x:c r="L2226" i="2"/>
  <x:c r="K2227" i="2"/>
  <x:c r="L2227" i="2"/>
  <x:c r="K2228" i="2"/>
  <x:c r="L2228" i="2"/>
  <x:c r="K2229" i="2"/>
  <x:c r="L2229" i="2"/>
  <x:c r="K2230" i="2"/>
  <x:c r="L2230" i="2"/>
  <x:c r="K2231" i="2"/>
  <x:c r="L2231" i="2"/>
  <x:c r="K2232" i="2"/>
  <x:c r="L2232" i="2"/>
  <x:c r="K2233" i="2"/>
  <x:c r="L2233" i="2"/>
  <x:c r="K2234" i="2"/>
  <x:c r="L2234" i="2"/>
  <x:c r="K2235" i="2"/>
  <x:c r="L2235" i="2"/>
  <x:c r="K2236" i="2"/>
  <x:c r="L2236" i="2"/>
  <x:c r="K2237" i="2"/>
  <x:c r="L2237" i="2"/>
  <x:c r="K2238" i="2"/>
  <x:c r="L2238" i="2"/>
  <x:c r="K2239" i="2"/>
  <x:c r="L2239" i="2"/>
  <x:c r="K2240" i="2"/>
  <x:c r="L2240" i="2"/>
  <x:c r="K2241" i="2"/>
  <x:c r="L2241" i="2"/>
  <x:c r="K2242" i="2"/>
  <x:c r="L2242" i="2"/>
  <x:c r="K2243" i="2"/>
  <x:c r="L2243" i="2"/>
  <x:c r="K2244" i="2"/>
  <x:c r="L2244" i="2"/>
  <x:c r="K2245" i="2"/>
  <x:c r="L2245" i="2"/>
  <x:c r="K2246" i="2"/>
  <x:c r="L2246" i="2"/>
  <x:c r="K2247" i="2"/>
  <x:c r="L2247" i="2"/>
  <x:c r="K2248" i="2"/>
  <x:c r="L2248" i="2"/>
  <x:c r="K2249" i="2"/>
  <x:c r="L2249" i="2"/>
  <x:c r="K2250" i="2"/>
  <x:c r="L2250" i="2"/>
  <x:c r="K2251" i="2"/>
  <x:c r="L2251" i="2"/>
  <x:c r="K2252" i="2"/>
  <x:c r="L2252" i="2"/>
  <x:c r="K2253" i="2"/>
  <x:c r="L2253" i="2"/>
  <x:c r="K2254" i="2"/>
  <x:c r="L2254" i="2"/>
  <x:c r="K2255" i="2"/>
  <x:c r="L2255" i="2"/>
  <x:c r="K2256" i="2"/>
  <x:c r="L2256" i="2"/>
  <x:c r="K2257" i="2"/>
  <x:c r="L2257" i="2"/>
  <x:c r="K2258" i="2"/>
  <x:c r="L2258" i="2"/>
  <x:c r="K2259" i="2"/>
  <x:c r="L2259" i="2"/>
  <x:c r="K2260" i="2"/>
  <x:c r="L2260" i="2"/>
  <x:c r="K2261" i="2"/>
  <x:c r="L2261" i="2"/>
  <x:c r="K2262" i="2"/>
  <x:c r="L2262" i="2"/>
  <x:c r="K2263" i="2"/>
  <x:c r="L2263" i="2"/>
  <x:c r="K2264" i="2"/>
  <x:c r="L2264" i="2"/>
  <x:c r="K2265" i="2"/>
  <x:c r="L2265" i="2"/>
  <x:c r="K2266" i="2"/>
  <x:c r="L2266" i="2"/>
  <x:c r="K2267" i="2"/>
  <x:c r="L2267" i="2"/>
  <x:c r="K2268" i="2"/>
  <x:c r="L2268" i="2"/>
  <x:c r="K2269" i="2"/>
  <x:c r="L2269" i="2"/>
  <x:c r="K2270" i="2"/>
  <x:c r="L2270" i="2"/>
  <x:c r="K2271" i="2"/>
  <x:c r="L2271" i="2"/>
  <x:c r="K2272" i="2"/>
  <x:c r="L2272" i="2"/>
  <x:c r="K2273" i="2"/>
  <x:c r="L2273" i="2"/>
  <x:c r="K2274" i="2"/>
  <x:c r="L2274" i="2"/>
  <x:c r="K2275" i="2"/>
  <x:c r="L2275" i="2"/>
  <x:c r="K2276" i="2"/>
  <x:c r="L2276" i="2"/>
  <x:c r="K2277" i="2"/>
  <x:c r="L2277" i="2"/>
  <x:c r="K2278" i="2"/>
  <x:c r="L2278" i="2"/>
  <x:c r="K2279" i="2"/>
  <x:c r="L2279" i="2"/>
  <x:c r="K2280" i="2"/>
  <x:c r="L2280" i="2"/>
  <x:c r="K2281" i="2"/>
  <x:c r="L2281" i="2"/>
  <x:c r="K2282" i="2"/>
  <x:c r="L2282" i="2"/>
  <x:c r="K2283" i="2"/>
  <x:c r="L2283" i="2"/>
  <x:c r="K2284" i="2"/>
  <x:c r="L2284" i="2"/>
  <x:c r="K2285" i="2"/>
  <x:c r="L2285" i="2"/>
  <x:c r="K2286" i="2"/>
  <x:c r="L2286" i="2"/>
  <x:c r="K2287" i="2"/>
  <x:c r="L2287" i="2"/>
  <x:c r="K2288" i="2"/>
  <x:c r="L2288" i="2"/>
  <x:c r="K2289" i="2"/>
  <x:c r="L2289" i="2"/>
  <x:c r="K2290" i="2"/>
  <x:c r="L2290" i="2"/>
  <x:c r="K2291" i="2"/>
  <x:c r="L2291" i="2"/>
  <x:c r="K2292" i="2"/>
  <x:c r="L2292" i="2"/>
  <x:c r="K2293" i="2"/>
  <x:c r="L2293" i="2"/>
  <x:c r="K2294" i="2"/>
  <x:c r="L2294" i="2"/>
  <x:c r="K2295" i="2"/>
  <x:c r="L2295" i="2"/>
  <x:c r="K2296" i="2"/>
  <x:c r="L2296" i="2"/>
  <x:c r="K2297" i="2"/>
  <x:c r="L2297" i="2"/>
  <x:c r="K2298" i="2"/>
  <x:c r="L2298" i="2"/>
  <x:c r="K2299" i="2"/>
  <x:c r="L2299" i="2"/>
  <x:c r="K2300" i="2"/>
  <x:c r="L2300" i="2"/>
  <x:c r="K2301" i="2"/>
  <x:c r="L2301" i="2"/>
  <x:c r="K2302" i="2"/>
  <x:c r="L2302" i="2"/>
  <x:c r="K2303" i="2"/>
  <x:c r="L2303" i="2"/>
  <x:c r="K2304" i="2"/>
  <x:c r="L2304" i="2"/>
  <x:c r="K2305" i="2"/>
  <x:c r="L2305" i="2"/>
  <x:c r="K2306" i="2"/>
  <x:c r="L2306" i="2"/>
  <x:c r="K2307" i="2"/>
  <x:c r="L2307" i="2"/>
  <x:c r="K2308" i="2"/>
  <x:c r="L2308" i="2"/>
  <x:c r="K2309" i="2"/>
  <x:c r="L2309" i="2"/>
  <x:c r="K2310" i="2"/>
  <x:c r="L2310" i="2"/>
  <x:c r="K2311" i="2"/>
  <x:c r="L2311" i="2"/>
  <x:c r="K2312" i="2"/>
  <x:c r="L2312" i="2"/>
  <x:c r="K2313" i="2"/>
  <x:c r="L2313" i="2"/>
  <x:c r="K2314" i="2"/>
  <x:c r="L2314" i="2"/>
  <x:c r="K2315" i="2"/>
  <x:c r="L2315" i="2"/>
  <x:c r="K2316" i="2"/>
  <x:c r="L2316" i="2"/>
  <x:c r="K2317" i="2"/>
  <x:c r="L2317" i="2"/>
  <x:c r="K2318" i="2"/>
  <x:c r="L2318" i="2"/>
  <x:c r="K2319" i="2"/>
  <x:c r="L2319" i="2"/>
  <x:c r="K2320" i="2"/>
  <x:c r="L2320" i="2"/>
  <x:c r="K2321" i="2"/>
  <x:c r="L2321" i="2"/>
  <x:c r="K2322" i="2"/>
  <x:c r="L2322" i="2"/>
  <x:c r="K2323" i="2"/>
  <x:c r="L2323" i="2"/>
  <x:c r="K2324" i="2"/>
  <x:c r="L2324" i="2"/>
  <x:c r="K2325" i="2"/>
  <x:c r="L2325" i="2"/>
  <x:c r="K2326" i="2"/>
  <x:c r="L2326" i="2"/>
  <x:c r="K2327" i="2"/>
  <x:c r="L2327" i="2"/>
  <x:c r="K2328" i="2"/>
  <x:c r="L2328" i="2"/>
  <x:c r="K2329" i="2"/>
  <x:c r="L2329" i="2"/>
  <x:c r="K2330" i="2"/>
  <x:c r="L2330" i="2"/>
  <x:c r="K2331" i="2"/>
  <x:c r="L2331" i="2"/>
  <x:c r="K2332" i="2"/>
  <x:c r="L2332" i="2"/>
  <x:c r="K2333" i="2"/>
  <x:c r="L2333" i="2"/>
  <x:c r="K2334" i="2"/>
  <x:c r="L2334" i="2"/>
  <x:c r="K2335" i="2"/>
  <x:c r="L2335" i="2"/>
  <x:c r="K2336" i="2"/>
  <x:c r="L2336" i="2"/>
  <x:c r="K2337" i="2"/>
  <x:c r="L2337" i="2"/>
  <x:c r="K2338" i="2"/>
  <x:c r="L2338" i="2"/>
  <x:c r="K2339" i="2"/>
  <x:c r="L2339" i="2"/>
  <x:c r="K2340" i="2"/>
  <x:c r="L2340" i="2"/>
  <x:c r="K2341" i="2"/>
  <x:c r="L2341" i="2"/>
  <x:c r="K2342" i="2"/>
  <x:c r="L2342" i="2"/>
  <x:c r="K2343" i="2"/>
  <x:c r="L2343" i="2"/>
  <x:c r="K2344" i="2"/>
  <x:c r="L2344" i="2"/>
  <x:c r="K2345" i="2"/>
  <x:c r="L2345" i="2"/>
  <x:c r="K2346" i="2"/>
  <x:c r="L2346" i="2"/>
  <x:c r="K2347" i="2"/>
  <x:c r="L2347" i="2"/>
  <x:c r="K2348" i="2"/>
  <x:c r="L2348" i="2"/>
  <x:c r="K2349" i="2"/>
  <x:c r="L2349" i="2"/>
  <x:c r="K2350" i="2"/>
  <x:c r="L2350" i="2"/>
  <x:c r="K2351" i="2"/>
  <x:c r="L2351" i="2"/>
  <x:c r="K2352" i="2"/>
  <x:c r="L2352" i="2"/>
  <x:c r="K2353" i="2"/>
  <x:c r="L2353" i="2"/>
  <x:c r="K2354" i="2"/>
  <x:c r="L2354" i="2"/>
  <x:c r="K2355" i="2"/>
  <x:c r="L2355" i="2"/>
  <x:c r="K2356" i="2"/>
  <x:c r="L2356" i="2"/>
  <x:c r="K2357" i="2"/>
  <x:c r="L2357" i="2"/>
  <x:c r="K2358" i="2"/>
  <x:c r="L2358" i="2"/>
  <x:c r="K2359" i="2"/>
  <x:c r="L2359" i="2"/>
  <x:c r="K2360" i="2"/>
  <x:c r="L2360" i="2"/>
  <x:c r="K2361" i="2"/>
  <x:c r="L2361" i="2"/>
  <x:c r="K2362" i="2"/>
  <x:c r="L2362" i="2"/>
  <x:c r="K2363" i="2"/>
  <x:c r="L2363" i="2"/>
  <x:c r="K2364" i="2"/>
  <x:c r="L2364" i="2"/>
  <x:c r="K2365" i="2"/>
  <x:c r="L2365" i="2"/>
  <x:c r="K2366" i="2"/>
  <x:c r="L2366" i="2"/>
  <x:c r="K2367" i="2"/>
  <x:c r="L2367" i="2"/>
  <x:c r="K2368" i="2"/>
  <x:c r="L2368" i="2"/>
  <x:c r="K2369" i="2"/>
  <x:c r="L2369" i="2"/>
  <x:c r="K2370" i="2"/>
  <x:c r="L2370" i="2"/>
  <x:c r="K2371" i="2"/>
  <x:c r="L2371" i="2"/>
  <x:c r="K2372" i="2"/>
  <x:c r="L2372" i="2"/>
  <x:c r="K2373" i="2"/>
  <x:c r="L2373" i="2"/>
  <x:c r="K2374" i="2"/>
  <x:c r="L2374" i="2"/>
  <x:c r="K2375" i="2"/>
  <x:c r="L2375" i="2"/>
  <x:c r="K2376" i="2"/>
  <x:c r="L2376" i="2"/>
  <x:c r="K2377" i="2"/>
  <x:c r="L2377" i="2"/>
  <x:c r="K2378" i="2"/>
  <x:c r="L2378" i="2"/>
  <x:c r="K2379" i="2"/>
  <x:c r="L2379" i="2"/>
  <x:c r="K2380" i="2"/>
  <x:c r="L2380" i="2"/>
  <x:c r="K2381" i="2"/>
  <x:c r="L2381" i="2"/>
  <x:c r="K2382" i="2"/>
  <x:c r="L2382" i="2"/>
  <x:c r="K2383" i="2"/>
  <x:c r="L2383" i="2"/>
  <x:c r="K2384" i="2"/>
  <x:c r="L2384" i="2"/>
  <x:c r="K2385" i="2"/>
  <x:c r="L2385" i="2"/>
  <x:c r="K2386" i="2"/>
  <x:c r="L2386" i="2"/>
  <x:c r="K2387" i="2"/>
  <x:c r="L2387" i="2"/>
  <x:c r="K2388" i="2"/>
  <x:c r="L2388" i="2"/>
  <x:c r="K2389" i="2"/>
  <x:c r="L2389" i="2"/>
  <x:c r="K2390" i="2"/>
  <x:c r="L2390" i="2"/>
  <x:c r="K2391" i="2"/>
  <x:c r="L2391" i="2"/>
  <x:c r="K2392" i="2"/>
  <x:c r="L2392" i="2"/>
  <x:c r="K2393" i="2"/>
  <x:c r="L2393" i="2"/>
  <x:c r="K2394" i="2"/>
  <x:c r="L2394" i="2"/>
  <x:c r="K2395" i="2"/>
  <x:c r="L2395" i="2"/>
  <x:c r="K2396" i="2"/>
  <x:c r="L2396" i="2"/>
  <x:c r="K2397" i="2"/>
  <x:c r="L2397" i="2"/>
  <x:c r="K2398" i="2"/>
  <x:c r="L2398" i="2"/>
  <x:c r="K2399" i="2"/>
  <x:c r="L2399" i="2"/>
  <x:c r="K2400" i="2"/>
  <x:c r="L2400" i="2"/>
  <x:c r="K2401" i="2"/>
  <x:c r="L2401" i="2"/>
  <x:c r="K2402" i="2"/>
  <x:c r="L2402" i="2"/>
  <x:c r="K2403" i="2"/>
  <x:c r="L2403" i="2"/>
  <x:c r="K2404" i="2"/>
  <x:c r="L2404" i="2"/>
  <x:c r="K2405" i="2"/>
  <x:c r="L2405" i="2"/>
  <x:c r="K2406" i="2"/>
  <x:c r="L2406" i="2"/>
  <x:c r="K2407" i="2"/>
  <x:c r="L2407" i="2"/>
  <x:c r="K2408" i="2"/>
  <x:c r="L2408" i="2"/>
  <x:c r="K2409" i="2"/>
  <x:c r="L2409" i="2"/>
  <x:c r="K2410" i="2"/>
  <x:c r="L2410" i="2"/>
  <x:c r="K2411" i="2"/>
  <x:c r="L2411" i="2"/>
  <x:c r="K2412" i="2"/>
  <x:c r="L2412" i="2"/>
  <x:c r="K2413" i="2"/>
  <x:c r="L2413" i="2"/>
  <x:c r="K2414" i="2"/>
  <x:c r="L2414" i="2"/>
  <x:c r="K2415" i="2"/>
  <x:c r="L2415" i="2"/>
  <x:c r="K2416" i="2"/>
  <x:c r="L2416" i="2"/>
  <x:c r="K2417" i="2"/>
  <x:c r="L2417" i="2"/>
  <x:c r="K2418" i="2"/>
  <x:c r="L2418" i="2"/>
  <x:c r="K2419" i="2"/>
  <x:c r="L2419" i="2"/>
  <x:c r="K2420" i="2"/>
  <x:c r="L2420" i="2"/>
  <x:c r="K2421" i="2"/>
  <x:c r="L2421" i="2"/>
  <x:c r="K2422" i="2"/>
  <x:c r="L2422" i="2"/>
  <x:c r="K2423" i="2"/>
  <x:c r="L2423" i="2"/>
  <x:c r="K2424" i="2"/>
  <x:c r="L2424" i="2"/>
  <x:c r="K2425" i="2"/>
  <x:c r="L2425" i="2"/>
  <x:c r="K2426" i="2"/>
  <x:c r="L2426" i="2"/>
  <x:c r="K2427" i="2"/>
  <x:c r="L2427" i="2"/>
  <x:c r="K2428" i="2"/>
  <x:c r="L2428" i="2"/>
  <x:c r="K2429" i="2"/>
  <x:c r="L2429" i="2"/>
  <x:c r="K2430" i="2"/>
  <x:c r="L2430" i="2"/>
  <x:c r="K2431" i="2"/>
  <x:c r="L2431" i="2"/>
  <x:c r="K2432" i="2"/>
  <x:c r="L2432" i="2"/>
  <x:c r="K2433" i="2"/>
  <x:c r="L2433" i="2"/>
  <x:c r="K2434" i="2"/>
  <x:c r="L2434" i="2"/>
  <x:c r="K2435" i="2"/>
  <x:c r="L2435" i="2"/>
  <x:c r="K2436" i="2"/>
  <x:c r="L2436" i="2"/>
  <x:c r="K2437" i="2"/>
  <x:c r="L2437" i="2"/>
  <x:c r="K2438" i="2"/>
  <x:c r="L2438" i="2"/>
  <x:c r="K2439" i="2"/>
  <x:c r="L2439" i="2"/>
  <x:c r="K2440" i="2"/>
  <x:c r="L2440" i="2"/>
  <x:c r="K2441" i="2"/>
  <x:c r="L2441" i="2"/>
  <x:c r="K2442" i="2"/>
  <x:c r="L2442" i="2"/>
  <x:c r="K2443" i="2"/>
  <x:c r="L2443" i="2"/>
  <x:c r="K2444" i="2"/>
  <x:c r="L2444" i="2"/>
  <x:c r="K2445" i="2"/>
  <x:c r="L2445" i="2"/>
  <x:c r="K2446" i="2"/>
  <x:c r="L2446" i="2"/>
  <x:c r="K2447" i="2"/>
  <x:c r="L2447" i="2"/>
  <x:c r="K2448" i="2"/>
  <x:c r="L2448" i="2"/>
  <x:c r="K2449" i="2"/>
  <x:c r="L2449" i="2"/>
  <x:c r="K2450" i="2"/>
  <x:c r="L2450" i="2"/>
  <x:c r="K2451" i="2"/>
  <x:c r="L2451" i="2"/>
  <x:c r="K2452" i="2"/>
  <x:c r="L2452" i="2"/>
  <x:c r="K2453" i="2"/>
  <x:c r="L2453" i="2"/>
  <x:c r="K2454" i="2"/>
  <x:c r="L2454" i="2"/>
  <x:c r="K2455" i="2"/>
  <x:c r="L2455" i="2"/>
  <x:c r="K2456" i="2"/>
  <x:c r="L2456" i="2"/>
  <x:c r="K2457" i="2"/>
  <x:c r="L2457" i="2"/>
  <x:c r="K2458" i="2"/>
  <x:c r="L2458" i="2"/>
  <x:c r="K2459" i="2"/>
  <x:c r="L2459" i="2"/>
  <x:c r="K2460" i="2"/>
  <x:c r="L2460" i="2"/>
  <x:c r="K2461" i="2"/>
  <x:c r="L2461" i="2"/>
  <x:c r="K2462" i="2"/>
  <x:c r="L2462" i="2"/>
  <x:c r="K2463" i="2"/>
  <x:c r="L2463" i="2"/>
  <x:c r="K2464" i="2"/>
  <x:c r="L2464" i="2"/>
  <x:c r="K2465" i="2"/>
  <x:c r="L2465" i="2"/>
  <x:c r="K2466" i="2"/>
  <x:c r="L2466" i="2"/>
  <x:c r="K2467" i="2"/>
  <x:c r="L2467" i="2"/>
  <x:c r="K2468" i="2"/>
  <x:c r="L2468" i="2"/>
  <x:c r="K2469" i="2"/>
  <x:c r="L2469" i="2"/>
  <x:c r="K2470" i="2"/>
  <x:c r="L2470" i="2"/>
  <x:c r="K2471" i="2"/>
  <x:c r="L2471" i="2"/>
  <x:c r="K2472" i="2"/>
  <x:c r="L2472" i="2"/>
  <x:c r="K2473" i="2"/>
  <x:c r="L2473" i="2"/>
  <x:c r="K2474" i="2"/>
  <x:c r="L2474" i="2"/>
  <x:c r="K2475" i="2"/>
  <x:c r="L2475" i="2"/>
  <x:c r="K2476" i="2"/>
  <x:c r="L2476" i="2"/>
  <x:c r="K2477" i="2"/>
  <x:c r="L2477" i="2"/>
  <x:c r="K2478" i="2"/>
  <x:c r="L2478" i="2"/>
  <x:c r="K2479" i="2"/>
  <x:c r="L2479" i="2"/>
  <x:c r="K2480" i="2"/>
  <x:c r="L2480" i="2"/>
  <x:c r="K2481" i="2"/>
  <x:c r="L2481" i="2"/>
  <x:c r="K2482" i="2"/>
  <x:c r="L2482" i="2"/>
  <x:c r="K2483" i="2"/>
  <x:c r="L2483" i="2"/>
  <x:c r="K2484" i="2"/>
  <x:c r="L2484" i="2"/>
  <x:c r="K2485" i="2"/>
  <x:c r="L2485" i="2"/>
  <x:c r="K2486" i="2"/>
  <x:c r="L2486" i="2"/>
  <x:c r="K2487" i="2"/>
  <x:c r="L2487" i="2"/>
  <x:c r="K2488" i="2"/>
  <x:c r="L2488" i="2"/>
  <x:c r="K2489" i="2"/>
  <x:c r="L2489" i="2"/>
  <x:c r="K2490" i="2"/>
  <x:c r="L2490" i="2"/>
  <x:c r="K2491" i="2"/>
  <x:c r="L2491" i="2"/>
  <x:c r="K2492" i="2"/>
  <x:c r="L2492" i="2"/>
  <x:c r="K2493" i="2"/>
  <x:c r="L2493" i="2"/>
  <x:c r="K2494" i="2"/>
  <x:c r="L2494" i="2"/>
  <x:c r="K2495" i="2"/>
  <x:c r="L2495" i="2"/>
  <x:c r="K2496" i="2"/>
  <x:c r="L2496" i="2"/>
  <x:c r="K2497" i="2"/>
  <x:c r="L2497" i="2"/>
  <x:c r="K2498" i="2"/>
  <x:c r="L2498" i="2"/>
  <x:c r="K2499" i="2"/>
  <x:c r="L2499" i="2"/>
  <x:c r="K2500" i="2"/>
  <x:c r="L2500" i="2"/>
  <x:c r="K2501" i="2"/>
  <x:c r="L2501" i="2"/>
  <x:c r="K2502" i="2"/>
  <x:c r="L2502" i="2"/>
  <x:c r="K2503" i="2"/>
  <x:c r="L2503" i="2"/>
  <x:c r="K2504" i="2"/>
  <x:c r="L2504" i="2"/>
  <x:c r="K2505" i="2"/>
  <x:c r="L2505" i="2"/>
  <x:c r="K2506" i="2"/>
  <x:c r="L2506" i="2"/>
  <x:c r="K2507" i="2"/>
  <x:c r="L2507" i="2"/>
  <x:c r="K2508" i="2"/>
  <x:c r="L2508" i="2"/>
  <x:c r="K2509" i="2"/>
  <x:c r="L2509" i="2"/>
  <x:c r="K2510" i="2"/>
  <x:c r="L2510" i="2"/>
  <x:c r="K2511" i="2"/>
  <x:c r="L2511" i="2"/>
  <x:c r="K2512" i="2"/>
  <x:c r="L2512" i="2"/>
  <x:c r="K2513" i="2"/>
  <x:c r="L2513" i="2"/>
  <x:c r="K2514" i="2"/>
  <x:c r="L2514" i="2"/>
  <x:c r="K2515" i="2"/>
  <x:c r="L2515" i="2"/>
  <x:c r="K2516" i="2"/>
  <x:c r="L2516" i="2"/>
  <x:c r="K2517" i="2"/>
  <x:c r="L2517" i="2"/>
  <x:c r="K2518" i="2"/>
  <x:c r="L2518" i="2"/>
  <x:c r="K2519" i="2"/>
  <x:c r="L2519" i="2"/>
  <x:c r="K2520" i="2"/>
  <x:c r="L2520" i="2"/>
  <x:c r="K2521" i="2"/>
  <x:c r="L2521" i="2"/>
  <x:c r="K2522" i="2"/>
  <x:c r="L2522" i="2"/>
  <x:c r="K2523" i="2"/>
  <x:c r="L2523" i="2"/>
  <x:c r="K2524" i="2"/>
  <x:c r="L2524" i="2"/>
  <x:c r="K2525" i="2"/>
  <x:c r="L2525" i="2"/>
  <x:c r="K2526" i="2"/>
  <x:c r="L2526" i="2"/>
  <x:c r="K2527" i="2"/>
  <x:c r="L2527" i="2"/>
  <x:c r="K2528" i="2"/>
  <x:c r="L2528" i="2"/>
  <x:c r="K2529" i="2"/>
  <x:c r="L2529" i="2"/>
  <x:c r="K2530" i="2"/>
  <x:c r="L2530" i="2"/>
  <x:c r="K2531" i="2"/>
  <x:c r="L2531" i="2"/>
  <x:c r="K2532" i="2"/>
  <x:c r="L2532" i="2"/>
  <x:c r="K2533" i="2"/>
  <x:c r="L2533" i="2"/>
  <x:c r="K2534" i="2"/>
  <x:c r="L2534" i="2"/>
  <x:c r="K2535" i="2"/>
  <x:c r="L2535" i="2"/>
  <x:c r="K2536" i="2"/>
  <x:c r="L2536" i="2"/>
  <x:c r="K2537" i="2"/>
  <x:c r="L2537" i="2"/>
  <x:c r="K2538" i="2"/>
  <x:c r="L2538" i="2"/>
  <x:c r="K2539" i="2"/>
  <x:c r="L2539" i="2"/>
  <x:c r="K2540" i="2"/>
  <x:c r="L2540" i="2"/>
  <x:c r="K2541" i="2"/>
  <x:c r="L2541" i="2"/>
  <x:c r="K2542" i="2"/>
  <x:c r="L2542" i="2"/>
  <x:c r="K2543" i="2"/>
  <x:c r="L2543" i="2"/>
  <x:c r="K2544" i="2"/>
  <x:c r="L2544" i="2"/>
  <x:c r="K2545" i="2"/>
  <x:c r="L2545" i="2"/>
  <x:c r="K2546" i="2"/>
  <x:c r="L2546" i="2"/>
  <x:c r="K2547" i="2"/>
  <x:c r="L2547" i="2"/>
  <x:c r="K2548" i="2"/>
  <x:c r="L2548" i="2"/>
  <x:c r="K2549" i="2"/>
  <x:c r="L2549" i="2"/>
  <x:c r="K2550" i="2"/>
  <x:c r="L2550" i="2"/>
  <x:c r="K2551" i="2"/>
  <x:c r="L2551" i="2"/>
  <x:c r="K2552" i="2"/>
  <x:c r="L2552" i="2"/>
  <x:c r="K2553" i="2"/>
  <x:c r="L2553" i="2"/>
  <x:c r="K2554" i="2"/>
  <x:c r="L2554" i="2"/>
  <x:c r="K2555" i="2"/>
  <x:c r="L2555" i="2"/>
  <x:c r="K2556" i="2"/>
  <x:c r="L2556" i="2"/>
  <x:c r="K2557" i="2"/>
  <x:c r="L2557" i="2"/>
  <x:c r="K2558" i="2"/>
  <x:c r="L2558" i="2"/>
  <x:c r="K2559" i="2"/>
  <x:c r="L2559" i="2"/>
  <x:c r="K2560" i="2"/>
  <x:c r="L2560" i="2"/>
  <x:c r="K2561" i="2"/>
  <x:c r="L2561" i="2"/>
  <x:c r="K2562" i="2"/>
  <x:c r="L2562" i="2"/>
  <x:c r="K2563" i="2"/>
  <x:c r="L2563" i="2"/>
  <x:c r="K2564" i="2"/>
  <x:c r="L2564" i="2"/>
  <x:c r="K2565" i="2"/>
  <x:c r="L2565" i="2"/>
  <x:c r="K2566" i="2"/>
  <x:c r="L2566" i="2"/>
  <x:c r="K2567" i="2"/>
  <x:c r="L2567" i="2"/>
  <x:c r="K2568" i="2"/>
  <x:c r="L2568" i="2"/>
  <x:c r="K2569" i="2"/>
  <x:c r="L2569" i="2"/>
  <x:c r="K2570" i="2"/>
  <x:c r="L2570" i="2"/>
  <x:c r="K2571" i="2"/>
  <x:c r="L2571" i="2"/>
  <x:c r="K2572" i="2"/>
  <x:c r="L2572" i="2"/>
  <x:c r="K2573" i="2"/>
  <x:c r="L2573" i="2"/>
  <x:c r="K2574" i="2"/>
  <x:c r="L2574" i="2"/>
  <x:c r="K2575" i="2"/>
  <x:c r="L2575" i="2"/>
  <x:c r="K2576" i="2"/>
  <x:c r="L2576" i="2"/>
  <x:c r="K2577" i="2"/>
  <x:c r="L2577" i="2"/>
  <x:c r="K2578" i="2"/>
  <x:c r="L2578" i="2"/>
  <x:c r="K2579" i="2"/>
  <x:c r="L2579" i="2"/>
  <x:c r="K2580" i="2"/>
  <x:c r="L2580" i="2"/>
  <x:c r="K2581" i="2"/>
  <x:c r="L2581" i="2"/>
  <x:c r="K2582" i="2"/>
  <x:c r="L2582" i="2"/>
  <x:c r="K2583" i="2"/>
  <x:c r="L2583" i="2"/>
  <x:c r="K2584" i="2"/>
  <x:c r="L2584" i="2"/>
  <x:c r="K2585" i="2"/>
  <x:c r="L2585" i="2"/>
  <x:c r="K2586" i="2"/>
  <x:c r="L2586" i="2"/>
  <x:c r="K2587" i="2"/>
  <x:c r="L2587" i="2"/>
  <x:c r="K2588" i="2"/>
  <x:c r="L2588" i="2"/>
  <x:c r="K2589" i="2"/>
  <x:c r="L2589" i="2"/>
  <x:c r="K2590" i="2"/>
  <x:c r="L2590" i="2"/>
  <x:c r="K2591" i="2"/>
  <x:c r="L2591" i="2"/>
  <x:c r="K2592" i="2"/>
  <x:c r="L2592" i="2"/>
  <x:c r="K2593" i="2"/>
  <x:c r="L2593" i="2"/>
  <x:c r="K2594" i="2"/>
  <x:c r="L2594" i="2"/>
  <x:c r="K2595" i="2"/>
  <x:c r="L2595" i="2"/>
  <x:c r="K2596" i="2"/>
  <x:c r="L2596" i="2"/>
  <x:c r="K2597" i="2"/>
  <x:c r="L2597" i="2"/>
  <x:c r="K2598" i="2"/>
  <x:c r="L2598" i="2"/>
  <x:c r="K2599" i="2"/>
  <x:c r="L2599" i="2"/>
  <x:c r="K2600" i="2"/>
  <x:c r="L2600" i="2"/>
  <x:c r="K2601" i="2"/>
  <x:c r="L2601" i="2"/>
  <x:c r="K2602" i="2"/>
  <x:c r="L2602" i="2"/>
  <x:c r="K2603" i="2"/>
  <x:c r="L2603" i="2"/>
  <x:c r="K2604" i="2"/>
  <x:c r="L2604" i="2"/>
  <x:c r="K2605" i="2"/>
  <x:c r="L2605" i="2"/>
  <x:c r="K2606" i="2"/>
  <x:c r="L2606" i="2"/>
  <x:c r="K2607" i="2"/>
  <x:c r="L2607" i="2"/>
  <x:c r="K2608" i="2"/>
  <x:c r="L2608" i="2"/>
  <x:c r="K2609" i="2"/>
  <x:c r="L2609" i="2"/>
  <x:c r="K2610" i="2"/>
  <x:c r="L2610" i="2"/>
  <x:c r="K2611" i="2"/>
  <x:c r="L2611" i="2"/>
  <x:c r="K2612" i="2"/>
  <x:c r="L2612" i="2"/>
  <x:c r="K2613" i="2"/>
  <x:c r="L2613" i="2"/>
  <x:c r="K2614" i="2"/>
  <x:c r="L2614" i="2"/>
  <x:c r="K2615" i="2"/>
  <x:c r="L2615" i="2"/>
  <x:c r="K2616" i="2"/>
  <x:c r="L2616" i="2"/>
  <x:c r="K2617" i="2"/>
  <x:c r="L2617" i="2"/>
  <x:c r="K2618" i="2"/>
  <x:c r="L2618" i="2"/>
  <x:c r="K2619" i="2"/>
  <x:c r="L2619" i="2"/>
  <x:c r="K2620" i="2"/>
  <x:c r="L2620" i="2"/>
  <x:c r="K2621" i="2"/>
  <x:c r="L2621" i="2"/>
  <x:c r="K2622" i="2"/>
  <x:c r="L2622" i="2"/>
  <x:c r="K2623" i="2"/>
  <x:c r="L2623" i="2"/>
  <x:c r="K2624" i="2"/>
  <x:c r="L2624" i="2"/>
  <x:c r="K2625" i="2"/>
  <x:c r="L2625" i="2"/>
  <x:c r="K2626" i="2"/>
  <x:c r="L2626" i="2"/>
  <x:c r="K2627" i="2"/>
  <x:c r="L2627" i="2"/>
  <x:c r="K2628" i="2"/>
  <x:c r="L2628" i="2"/>
  <x:c r="K2629" i="2"/>
  <x:c r="L2629" i="2"/>
  <x:c r="K2630" i="2"/>
  <x:c r="L2630" i="2"/>
  <x:c r="K2631" i="2"/>
  <x:c r="L2631" i="2"/>
  <x:c r="K2632" i="2"/>
  <x:c r="L2632" i="2"/>
  <x:c r="K2633" i="2"/>
  <x:c r="L2633" i="2"/>
  <x:c r="K2634" i="2"/>
  <x:c r="L2634" i="2"/>
  <x:c r="K2635" i="2"/>
  <x:c r="L2635" i="2"/>
  <x:c r="K2636" i="2"/>
  <x:c r="L2636" i="2"/>
  <x:c r="K2637" i="2"/>
  <x:c r="L2637" i="2"/>
  <x:c r="K2638" i="2"/>
  <x:c r="L2638" i="2"/>
  <x:c r="K2639" i="2"/>
  <x:c r="L2639" i="2"/>
  <x:c r="K2640" i="2"/>
  <x:c r="L2640" i="2"/>
  <x:c r="K2641" i="2"/>
  <x:c r="L2641" i="2"/>
  <x:c r="K2642" i="2"/>
  <x:c r="L2642" i="2"/>
  <x:c r="K2643" i="2"/>
  <x:c r="L2643" i="2"/>
  <x:c r="K2644" i="2"/>
  <x:c r="L2644" i="2"/>
  <x:c r="K2645" i="2"/>
  <x:c r="L2645" i="2"/>
  <x:c r="K2646" i="2"/>
  <x:c r="L2646" i="2"/>
  <x:c r="K2647" i="2"/>
  <x:c r="L2647" i="2"/>
  <x:c r="K2648" i="2"/>
  <x:c r="L2648" i="2"/>
  <x:c r="K2649" i="2"/>
  <x:c r="L2649" i="2"/>
  <x:c r="K2650" i="2"/>
  <x:c r="L2650" i="2"/>
  <x:c r="K2651" i="2"/>
  <x:c r="L2651" i="2"/>
  <x:c r="K2652" i="2"/>
  <x:c r="L2652" i="2"/>
  <x:c r="K2653" i="2"/>
  <x:c r="L2653" i="2"/>
  <x:c r="K2654" i="2"/>
  <x:c r="L2654" i="2"/>
  <x:c r="K2655" i="2"/>
  <x:c r="L2655" i="2"/>
  <x:c r="K2656" i="2"/>
  <x:c r="L2656" i="2"/>
  <x:c r="K2657" i="2"/>
  <x:c r="L2657" i="2"/>
  <x:c r="K2658" i="2"/>
  <x:c r="L2658" i="2"/>
  <x:c r="K2659" i="2"/>
  <x:c r="L2659" i="2"/>
  <x:c r="K2660" i="2"/>
  <x:c r="L2660" i="2"/>
  <x:c r="K2661" i="2"/>
  <x:c r="L2661" i="2"/>
  <x:c r="K2662" i="2"/>
  <x:c r="L2662" i="2"/>
  <x:c r="K2663" i="2"/>
  <x:c r="L2663" i="2"/>
  <x:c r="K2664" i="2"/>
  <x:c r="L2664" i="2"/>
  <x:c r="K2665" i="2"/>
  <x:c r="L2665" i="2"/>
  <x:c r="K2666" i="2"/>
  <x:c r="L2666" i="2"/>
  <x:c r="K2667" i="2"/>
  <x:c r="L2667" i="2"/>
  <x:c r="K2668" i="2"/>
  <x:c r="L2668" i="2"/>
  <x:c r="K2669" i="2"/>
  <x:c r="L2669" i="2"/>
  <x:c r="K2670" i="2"/>
  <x:c r="L2670" i="2"/>
  <x:c r="K2671" i="2"/>
  <x:c r="L2671" i="2"/>
  <x:c r="K2672" i="2"/>
  <x:c r="L2672" i="2"/>
  <x:c r="K2673" i="2"/>
  <x:c r="L2673" i="2"/>
  <x:c r="K2674" i="2"/>
  <x:c r="L2674" i="2"/>
  <x:c r="K2675" i="2"/>
  <x:c r="L2675" i="2"/>
  <x:c r="K2676" i="2"/>
  <x:c r="L2676" i="2"/>
  <x:c r="K2677" i="2"/>
  <x:c r="L2677" i="2"/>
  <x:c r="K2678" i="2"/>
  <x:c r="L2678" i="2"/>
  <x:c r="K2679" i="2"/>
  <x:c r="L2679" i="2"/>
  <x:c r="K2680" i="2"/>
  <x:c r="L2680" i="2"/>
  <x:c r="K2681" i="2"/>
  <x:c r="L2681" i="2"/>
  <x:c r="K2682" i="2"/>
  <x:c r="L2682" i="2"/>
  <x:c r="K2683" i="2"/>
  <x:c r="L2683" i="2"/>
  <x:c r="K2684" i="2"/>
  <x:c r="L2684" i="2"/>
  <x:c r="K2685" i="2"/>
  <x:c r="L2685" i="2"/>
  <x:c r="K2686" i="2"/>
  <x:c r="L2686" i="2"/>
  <x:c r="K2687" i="2"/>
  <x:c r="L2687" i="2"/>
  <x:c r="K2688" i="2"/>
  <x:c r="L2688" i="2"/>
  <x:c r="K2689" i="2"/>
  <x:c r="L2689" i="2"/>
  <x:c r="K2690" i="2"/>
  <x:c r="L2690" i="2"/>
  <x:c r="K2691" i="2"/>
  <x:c r="L2691" i="2"/>
  <x:c r="K2692" i="2"/>
  <x:c r="L2692" i="2"/>
  <x:c r="K2693" i="2"/>
  <x:c r="L2693" i="2"/>
  <x:c r="K2694" i="2"/>
  <x:c r="L2694" i="2"/>
  <x:c r="K2695" i="2"/>
  <x:c r="L2695" i="2"/>
  <x:c r="K2696" i="2"/>
  <x:c r="L2696" i="2"/>
  <x:c r="K2697" i="2"/>
  <x:c r="L2697" i="2"/>
  <x:c r="K2698" i="2"/>
  <x:c r="L2698" i="2"/>
  <x:c r="K2699" i="2"/>
  <x:c r="L2699" i="2"/>
  <x:c r="K2700" i="2"/>
  <x:c r="L2700" i="2"/>
  <x:c r="K2701" i="2"/>
  <x:c r="L2701" i="2"/>
  <x:c r="K2702" i="2"/>
  <x:c r="L2702" i="2"/>
  <x:c r="K2703" i="2"/>
  <x:c r="L2703" i="2"/>
  <x:c r="K2704" i="2"/>
  <x:c r="L2704" i="2"/>
  <x:c r="K2705" i="2"/>
  <x:c r="L2705" i="2"/>
  <x:c r="K2706" i="2"/>
  <x:c r="L2706" i="2"/>
  <x:c r="K2707" i="2"/>
  <x:c r="L2707" i="2"/>
  <x:c r="K2708" i="2"/>
  <x:c r="L2708" i="2"/>
  <x:c r="K2709" i="2"/>
  <x:c r="L2709" i="2"/>
  <x:c r="K2710" i="2"/>
  <x:c r="L2710" i="2"/>
  <x:c r="K2711" i="2"/>
  <x:c r="L2711" i="2"/>
  <x:c r="K2712" i="2"/>
  <x:c r="L2712" i="2"/>
  <x:c r="K2713" i="2"/>
  <x:c r="L2713" i="2"/>
  <x:c r="K2714" i="2"/>
  <x:c r="L2714" i="2"/>
  <x:c r="K2715" i="2"/>
  <x:c r="L2715" i="2"/>
  <x:c r="K2716" i="2"/>
  <x:c r="L2716" i="2"/>
  <x:c r="K2717" i="2"/>
  <x:c r="L2717" i="2"/>
  <x:c r="K2718" i="2"/>
  <x:c r="L2718" i="2"/>
  <x:c r="K2719" i="2"/>
  <x:c r="L2719" i="2"/>
  <x:c r="K2720" i="2"/>
  <x:c r="L2720" i="2"/>
  <x:c r="K2721" i="2"/>
  <x:c r="L2721" i="2"/>
  <x:c r="K2722" i="2"/>
  <x:c r="L2722" i="2"/>
  <x:c r="K2723" i="2"/>
  <x:c r="L2723" i="2"/>
  <x:c r="K2724" i="2"/>
  <x:c r="L2724" i="2"/>
  <x:c r="K2725" i="2"/>
  <x:c r="L2725" i="2"/>
  <x:c r="K2726" i="2"/>
  <x:c r="L2726" i="2"/>
  <x:c r="K2727" i="2"/>
  <x:c r="L2727" i="2"/>
  <x:c r="K2728" i="2"/>
  <x:c r="L2728" i="2"/>
  <x:c r="K2729" i="2"/>
  <x:c r="L2729" i="2"/>
  <x:c r="K2730" i="2"/>
  <x:c r="L2730" i="2"/>
  <x:c r="K2731" i="2"/>
  <x:c r="L2731" i="2"/>
  <x:c r="K2732" i="2"/>
  <x:c r="L2732" i="2"/>
  <x:c r="K2733" i="2"/>
  <x:c r="L2733" i="2"/>
  <x:c r="K2734" i="2"/>
  <x:c r="L2734" i="2"/>
  <x:c r="K2735" i="2"/>
  <x:c r="L2735" i="2"/>
  <x:c r="K2736" i="2"/>
  <x:c r="L2736" i="2"/>
  <x:c r="K2737" i="2"/>
  <x:c r="L2737" i="2"/>
  <x:c r="K2738" i="2"/>
  <x:c r="L2738" i="2"/>
  <x:c r="K2739" i="2"/>
  <x:c r="L2739" i="2"/>
  <x:c r="K2740" i="2"/>
  <x:c r="L2740" i="2"/>
  <x:c r="K2741" i="2"/>
  <x:c r="L2741" i="2"/>
  <x:c r="K2742" i="2"/>
  <x:c r="L2742" i="2"/>
  <x:c r="K2743" i="2"/>
  <x:c r="L2743" i="2"/>
  <x:c r="K2744" i="2"/>
  <x:c r="L2744" i="2"/>
  <x:c r="K2745" i="2"/>
  <x:c r="L2745" i="2"/>
  <x:c r="K2746" i="2"/>
  <x:c r="L2746" i="2"/>
  <x:c r="K2747" i="2"/>
  <x:c r="L2747" i="2"/>
  <x:c r="K2748" i="2"/>
  <x:c r="L2748" i="2"/>
  <x:c r="K2749" i="2"/>
  <x:c r="L2749" i="2"/>
  <x:c r="K2750" i="2"/>
  <x:c r="L2750" i="2"/>
  <x:c r="K2751" i="2"/>
  <x:c r="L2751" i="2"/>
  <x:c r="K2752" i="2"/>
  <x:c r="L2752" i="2"/>
  <x:c r="K2753" i="2"/>
  <x:c r="L2753" i="2"/>
  <x:c r="K2754" i="2"/>
  <x:c r="L2754" i="2"/>
  <x:c r="K2755" i="2"/>
  <x:c r="L2755" i="2"/>
  <x:c r="K2756" i="2"/>
  <x:c r="L2756" i="2"/>
  <x:c r="K2757" i="2"/>
  <x:c r="L2757" i="2"/>
  <x:c r="K2758" i="2"/>
  <x:c r="L2758" i="2"/>
  <x:c r="K2759" i="2"/>
  <x:c r="L2759" i="2"/>
  <x:c r="K2760" i="2"/>
  <x:c r="L2760" i="2"/>
  <x:c r="K2761" i="2"/>
  <x:c r="L2761" i="2"/>
  <x:c r="K2762" i="2"/>
  <x:c r="L2762" i="2"/>
  <x:c r="K2763" i="2"/>
  <x:c r="L2763" i="2"/>
  <x:c r="K2764" i="2"/>
  <x:c r="L2764" i="2"/>
  <x:c r="K2765" i="2"/>
  <x:c r="L2765" i="2"/>
  <x:c r="K2766" i="2"/>
  <x:c r="L2766" i="2"/>
  <x:c r="K2767" i="2"/>
  <x:c r="L2767" i="2"/>
  <x:c r="K2768" i="2"/>
  <x:c r="L2768" i="2"/>
  <x:c r="K2769" i="2"/>
  <x:c r="L2769" i="2"/>
  <x:c r="K2770" i="2"/>
  <x:c r="L2770" i="2"/>
  <x:c r="K2771" i="2"/>
  <x:c r="L2771" i="2"/>
  <x:c r="K2772" i="2"/>
  <x:c r="L2772" i="2"/>
  <x:c r="K2773" i="2"/>
  <x:c r="L2773" i="2"/>
  <x:c r="K2774" i="2"/>
  <x:c r="L2774" i="2"/>
  <x:c r="K2775" i="2"/>
  <x:c r="L2775" i="2"/>
  <x:c r="K2776" i="2"/>
  <x:c r="L2776" i="2"/>
  <x:c r="K2777" i="2"/>
  <x:c r="L2777" i="2"/>
  <x:c r="K2778" i="2"/>
  <x:c r="L2778" i="2"/>
  <x:c r="K2779" i="2"/>
  <x:c r="L2779" i="2"/>
  <x:c r="K2780" i="2"/>
  <x:c r="L2780" i="2"/>
  <x:c r="K2781" i="2"/>
  <x:c r="L2781" i="2"/>
  <x:c r="K2782" i="2"/>
  <x:c r="L2782" i="2"/>
  <x:c r="K2783" i="2"/>
  <x:c r="L2783" i="2"/>
  <x:c r="K2784" i="2"/>
  <x:c r="L2784" i="2"/>
  <x:c r="K2785" i="2"/>
  <x:c r="L2785" i="2"/>
  <x:c r="K2786" i="2"/>
  <x:c r="L2786" i="2"/>
  <x:c r="K2787" i="2"/>
  <x:c r="L2787" i="2"/>
  <x:c r="K2788" i="2"/>
  <x:c r="L2788" i="2"/>
  <x:c r="K2789" i="2"/>
  <x:c r="L2789" i="2"/>
  <x:c r="K2790" i="2"/>
  <x:c r="L2790" i="2"/>
  <x:c r="K2791" i="2"/>
  <x:c r="L2791" i="2"/>
  <x:c r="K2792" i="2"/>
  <x:c r="L2792" i="2"/>
  <x:c r="K2793" i="2"/>
  <x:c r="L2793" i="2"/>
  <x:c r="K2794" i="2"/>
  <x:c r="L2794" i="2"/>
  <x:c r="K2795" i="2"/>
  <x:c r="L2795" i="2"/>
  <x:c r="K2796" i="2"/>
  <x:c r="L2796" i="2"/>
  <x:c r="K2797" i="2"/>
  <x:c r="L2797" i="2"/>
  <x:c r="K2798" i="2"/>
  <x:c r="L2798" i="2"/>
  <x:c r="K2799" i="2"/>
  <x:c r="L2799" i="2"/>
  <x:c r="K2800" i="2"/>
  <x:c r="L2800" i="2"/>
  <x:c r="K2801" i="2"/>
  <x:c r="L2801" i="2"/>
  <x:c r="K2802" i="2"/>
  <x:c r="L2802" i="2"/>
  <x:c r="K2803" i="2"/>
  <x:c r="L2803" i="2"/>
  <x:c r="K2804" i="2"/>
  <x:c r="L2804" i="2"/>
  <x:c r="K2805" i="2"/>
  <x:c r="L2805" i="2"/>
  <x:c r="K2806" i="2"/>
  <x:c r="L2806" i="2"/>
  <x:c r="K2807" i="2"/>
  <x:c r="L2807" i="2"/>
  <x:c r="K2808" i="2"/>
  <x:c r="L2808" i="2"/>
  <x:c r="K2809" i="2"/>
  <x:c r="L2809" i="2"/>
  <x:c r="K2810" i="2"/>
  <x:c r="L2810" i="2"/>
  <x:c r="K2811" i="2"/>
  <x:c r="L2811" i="2"/>
  <x:c r="K2812" i="2"/>
  <x:c r="L2812" i="2"/>
  <x:c r="K2813" i="2"/>
  <x:c r="L2813" i="2"/>
  <x:c r="K2814" i="2"/>
  <x:c r="L2814" i="2"/>
  <x:c r="K2815" i="2"/>
  <x:c r="L2815" i="2"/>
  <x:c r="K2816" i="2"/>
  <x:c r="L2816" i="2"/>
  <x:c r="K2817" i="2"/>
  <x:c r="L2817" i="2"/>
  <x:c r="K2818" i="2"/>
  <x:c r="L2818" i="2"/>
  <x:c r="K2819" i="2"/>
  <x:c r="L2819" i="2"/>
  <x:c r="K2820" i="2"/>
  <x:c r="L2820" i="2"/>
  <x:c r="K2821" i="2"/>
  <x:c r="L2821" i="2"/>
  <x:c r="K2822" i="2"/>
  <x:c r="L2822" i="2"/>
  <x:c r="K2823" i="2"/>
  <x:c r="L2823" i="2"/>
  <x:c r="K2824" i="2"/>
  <x:c r="L2824" i="2"/>
  <x:c r="K2825" i="2"/>
  <x:c r="L2825" i="2"/>
  <x:c r="K2826" i="2"/>
  <x:c r="L2826" i="2"/>
  <x:c r="K2827" i="2"/>
  <x:c r="L2827" i="2"/>
  <x:c r="K2828" i="2"/>
  <x:c r="L2828" i="2"/>
  <x:c r="K2829" i="2"/>
  <x:c r="L2829" i="2"/>
  <x:c r="K2830" i="2"/>
  <x:c r="L2830" i="2"/>
  <x:c r="K2831" i="2"/>
  <x:c r="L2831" i="2"/>
  <x:c r="K2832" i="2"/>
  <x:c r="L2832" i="2"/>
  <x:c r="K2833" i="2"/>
  <x:c r="L2833" i="2"/>
  <x:c r="K2834" i="2"/>
  <x:c r="L2834" i="2"/>
  <x:c r="K2835" i="2"/>
  <x:c r="L2835" i="2"/>
  <x:c r="K2836" i="2"/>
  <x:c r="L2836" i="2"/>
  <x:c r="K2837" i="2"/>
  <x:c r="L2837" i="2"/>
  <x:c r="K2838" i="2"/>
  <x:c r="L2838" i="2"/>
  <x:c r="K2839" i="2"/>
  <x:c r="L2839" i="2"/>
  <x:c r="K2840" i="2"/>
  <x:c r="L2840" i="2"/>
  <x:c r="K2841" i="2"/>
  <x:c r="L2841" i="2"/>
  <x:c r="K2842" i="2"/>
  <x:c r="L2842" i="2"/>
  <x:c r="K2843" i="2"/>
  <x:c r="L2843" i="2"/>
  <x:c r="K2844" i="2"/>
  <x:c r="L2844" i="2"/>
  <x:c r="K2845" i="2"/>
  <x:c r="L2845" i="2"/>
  <x:c r="K2846" i="2"/>
  <x:c r="L2846" i="2"/>
  <x:c r="K2847" i="2"/>
  <x:c r="L2847" i="2"/>
  <x:c r="K2848" i="2"/>
  <x:c r="L2848" i="2"/>
  <x:c r="K2849" i="2"/>
  <x:c r="L2849" i="2"/>
  <x:c r="K2850" i="2"/>
  <x:c r="L2850" i="2"/>
  <x:c r="K2851" i="2"/>
  <x:c r="L2851" i="2"/>
  <x:c r="K2852" i="2"/>
  <x:c r="L2852" i="2"/>
  <x:c r="K2853" i="2"/>
  <x:c r="L2853" i="2"/>
  <x:c r="K2854" i="2"/>
  <x:c r="L2854" i="2"/>
  <x:c r="K2855" i="2"/>
  <x:c r="L2855" i="2"/>
  <x:c r="K2856" i="2"/>
  <x:c r="L2856" i="2"/>
  <x:c r="K2857" i="2"/>
  <x:c r="L2857" i="2"/>
  <x:c r="K2858" i="2"/>
  <x:c r="L2858" i="2"/>
  <x:c r="K2859" i="2"/>
  <x:c r="L2859" i="2"/>
  <x:c r="K2860" i="2"/>
  <x:c r="L2860" i="2"/>
  <x:c r="K2861" i="2"/>
  <x:c r="L2861" i="2"/>
  <x:c r="K2862" i="2"/>
  <x:c r="L2862" i="2"/>
  <x:c r="K2863" i="2"/>
  <x:c r="L2863" i="2"/>
  <x:c r="K2864" i="2"/>
  <x:c r="L2864" i="2"/>
  <x:c r="K2865" i="2"/>
  <x:c r="L2865" i="2"/>
  <x:c r="K2866" i="2"/>
  <x:c r="L2866" i="2"/>
  <x:c r="K2867" i="2"/>
  <x:c r="L2867" i="2"/>
  <x:c r="K2868" i="2"/>
  <x:c r="L2868" i="2"/>
  <x:c r="K2869" i="2"/>
  <x:c r="L2869" i="2"/>
  <x:c r="K2870" i="2"/>
  <x:c r="L2870" i="2"/>
  <x:c r="K2871" i="2"/>
  <x:c r="L2871" i="2"/>
  <x:c r="K2872" i="2"/>
  <x:c r="L2872" i="2"/>
  <x:c r="K2873" i="2"/>
  <x:c r="L2873" i="2"/>
  <x:c r="K2874" i="2"/>
  <x:c r="L2874" i="2"/>
  <x:c r="K2875" i="2"/>
  <x:c r="L2875" i="2"/>
  <x:c r="K2876" i="2"/>
  <x:c r="L2876" i="2"/>
  <x:c r="K2877" i="2"/>
  <x:c r="L2877" i="2"/>
  <x:c r="K2878" i="2"/>
  <x:c r="L2878" i="2"/>
  <x:c r="K2879" i="2"/>
  <x:c r="L2879" i="2"/>
  <x:c r="K2880" i="2"/>
  <x:c r="L2880" i="2"/>
  <x:c r="K2881" i="2"/>
  <x:c r="L2881" i="2"/>
  <x:c r="K2882" i="2"/>
  <x:c r="L2882" i="2"/>
  <x:c r="K2883" i="2"/>
  <x:c r="L2883" i="2"/>
  <x:c r="K2884" i="2"/>
  <x:c r="L2884" i="2"/>
  <x:c r="K2885" i="2"/>
  <x:c r="L2885" i="2"/>
  <x:c r="K2886" i="2"/>
  <x:c r="L2886" i="2"/>
  <x:c r="K2887" i="2"/>
  <x:c r="L2887" i="2"/>
  <x:c r="K2888" i="2"/>
  <x:c r="L2888" i="2"/>
  <x:c r="K2889" i="2"/>
  <x:c r="L2889" i="2"/>
  <x:c r="K2890" i="2"/>
  <x:c r="L2890" i="2"/>
  <x:c r="K2891" i="2"/>
  <x:c r="L2891" i="2"/>
  <x:c r="K2892" i="2"/>
  <x:c r="L2892" i="2"/>
  <x:c r="K2893" i="2"/>
  <x:c r="L2893" i="2"/>
  <x:c r="K2894" i="2"/>
  <x:c r="L2894" i="2"/>
  <x:c r="K2895" i="2"/>
  <x:c r="L2895" i="2"/>
  <x:c r="K2896" i="2"/>
  <x:c r="L2896" i="2"/>
  <x:c r="K2897" i="2"/>
  <x:c r="L2897" i="2"/>
  <x:c r="K2898" i="2"/>
  <x:c r="L2898" i="2"/>
  <x:c r="K2899" i="2"/>
  <x:c r="L2899" i="2"/>
  <x:c r="K2900" i="2"/>
  <x:c r="L2900" i="2"/>
  <x:c r="K2901" i="2"/>
  <x:c r="L2901" i="2"/>
  <x:c r="K2902" i="2"/>
  <x:c r="L2902" i="2"/>
  <x:c r="K2903" i="2"/>
  <x:c r="L2903" i="2"/>
  <x:c r="K2904" i="2"/>
  <x:c r="L2904" i="2"/>
  <x:c r="K2905" i="2"/>
  <x:c r="L2905" i="2"/>
  <x:c r="K2906" i="2"/>
  <x:c r="L2906" i="2"/>
  <x:c r="K2907" i="2"/>
  <x:c r="L2907" i="2"/>
  <x:c r="K2908" i="2"/>
  <x:c r="L2908" i="2"/>
  <x:c r="K2909" i="2"/>
  <x:c r="L2909" i="2"/>
  <x:c r="K2910" i="2"/>
  <x:c r="L2910" i="2"/>
  <x:c r="K2911" i="2"/>
  <x:c r="L2911" i="2"/>
  <x:c r="K2912" i="2"/>
  <x:c r="L2912" i="2"/>
  <x:c r="K2913" i="2"/>
  <x:c r="L2913" i="2"/>
  <x:c r="K2914" i="2"/>
  <x:c r="L2914" i="2"/>
  <x:c r="K2915" i="2"/>
  <x:c r="L2915" i="2"/>
  <x:c r="K2916" i="2"/>
  <x:c r="L2916" i="2"/>
  <x:c r="K2917" i="2"/>
  <x:c r="L2917" i="2"/>
  <x:c r="K2918" i="2"/>
  <x:c r="L2918" i="2"/>
  <x:c r="K2919" i="2"/>
  <x:c r="L2919" i="2"/>
  <x:c r="K2920" i="2"/>
  <x:c r="L2920" i="2"/>
  <x:c r="K2921" i="2"/>
  <x:c r="L2921" i="2"/>
  <x:c r="K2922" i="2"/>
  <x:c r="L2922" i="2"/>
  <x:c r="K2923" i="2"/>
  <x:c r="L2923" i="2"/>
  <x:c r="K2924" i="2"/>
  <x:c r="L2924" i="2"/>
  <x:c r="K2925" i="2"/>
  <x:c r="L2925" i="2"/>
  <x:c r="K2926" i="2"/>
  <x:c r="L2926" i="2"/>
  <x:c r="K2927" i="2"/>
  <x:c r="L2927" i="2"/>
  <x:c r="K2928" i="2"/>
  <x:c r="L2928" i="2"/>
  <x:c r="K2929" i="2"/>
  <x:c r="L2929" i="2"/>
  <x:c r="K2930" i="2"/>
  <x:c r="L2930" i="2"/>
  <x:c r="K2931" i="2"/>
  <x:c r="L2931" i="2"/>
  <x:c r="K2932" i="2"/>
  <x:c r="L2932" i="2"/>
  <x:c r="K2933" i="2"/>
  <x:c r="L2933" i="2"/>
  <x:c r="K2934" i="2"/>
  <x:c r="L2934" i="2"/>
  <x:c r="K2935" i="2"/>
  <x:c r="L2935" i="2"/>
  <x:c r="K2936" i="2"/>
  <x:c r="L2936" i="2"/>
  <x:c r="K2937" i="2"/>
  <x:c r="L2937" i="2"/>
  <x:c r="K2938" i="2"/>
  <x:c r="L2938" i="2"/>
  <x:c r="K2939" i="2"/>
  <x:c r="L2939" i="2"/>
  <x:c r="K2940" i="2"/>
  <x:c r="L2940" i="2"/>
  <x:c r="K2941" i="2"/>
  <x:c r="L2941" i="2"/>
  <x:c r="K2942" i="2"/>
  <x:c r="L2942" i="2"/>
  <x:c r="K2943" i="2"/>
  <x:c r="L2943" i="2"/>
  <x:c r="K2944" i="2"/>
  <x:c r="L2944" i="2"/>
  <x:c r="K2945" i="2"/>
  <x:c r="L2945" i="2"/>
  <x:c r="K2946" i="2"/>
  <x:c r="L2946" i="2"/>
  <x:c r="K2947" i="2"/>
  <x:c r="L2947" i="2"/>
  <x:c r="K2948" i="2"/>
  <x:c r="L2948" i="2"/>
  <x:c r="K2949" i="2"/>
  <x:c r="L2949" i="2"/>
  <x:c r="K2950" i="2"/>
  <x:c r="L2950" i="2"/>
  <x:c r="K2951" i="2"/>
  <x:c r="L2951" i="2"/>
  <x:c r="K2952" i="2"/>
  <x:c r="L2952" i="2"/>
  <x:c r="K2953" i="2"/>
  <x:c r="L2953" i="2"/>
  <x:c r="K2954" i="2"/>
  <x:c r="L2954" i="2"/>
  <x:c r="K2955" i="2"/>
  <x:c r="L2955" i="2"/>
  <x:c r="K2956" i="2"/>
  <x:c r="L2956" i="2"/>
  <x:c r="K2957" i="2"/>
  <x:c r="L2957" i="2"/>
  <x:c r="K2958" i="2"/>
  <x:c r="L2958" i="2"/>
  <x:c r="K2959" i="2"/>
  <x:c r="L2959" i="2"/>
  <x:c r="K2960" i="2"/>
  <x:c r="L2960" i="2"/>
  <x:c r="K2961" i="2"/>
  <x:c r="L2961" i="2"/>
  <x:c r="K2962" i="2"/>
  <x:c r="L2962" i="2"/>
  <x:c r="K2963" i="2"/>
  <x:c r="L2963" i="2"/>
  <x:c r="K2964" i="2"/>
  <x:c r="L2964" i="2"/>
  <x:c r="K2965" i="2"/>
  <x:c r="L2965" i="2"/>
  <x:c r="K2966" i="2"/>
  <x:c r="L2966" i="2"/>
  <x:c r="K2967" i="2"/>
  <x:c r="L2967" i="2"/>
  <x:c r="K2968" i="2"/>
  <x:c r="L2968" i="2"/>
  <x:c r="K2969" i="2"/>
  <x:c r="L2969" i="2"/>
  <x:c r="K2970" i="2"/>
  <x:c r="L2970" i="2"/>
  <x:c r="K2971" i="2"/>
  <x:c r="L2971" i="2"/>
  <x:c r="K2972" i="2"/>
  <x:c r="L2972" i="2"/>
  <x:c r="K2973" i="2"/>
  <x:c r="L2973" i="2"/>
  <x:c r="K2974" i="2"/>
  <x:c r="L2974" i="2"/>
  <x:c r="K2975" i="2"/>
  <x:c r="L2975" i="2"/>
  <x:c r="K2976" i="2"/>
  <x:c r="L2976" i="2"/>
  <x:c r="K2977" i="2"/>
  <x:c r="L2977" i="2"/>
  <x:c r="K2978" i="2"/>
  <x:c r="L2978" i="2"/>
  <x:c r="K2979" i="2"/>
  <x:c r="L2979" i="2"/>
  <x:c r="K2980" i="2"/>
  <x:c r="L2980" i="2"/>
  <x:c r="K2981" i="2"/>
  <x:c r="L2981" i="2"/>
  <x:c r="K2982" i="2"/>
  <x:c r="L2982" i="2"/>
  <x:c r="K2983" i="2"/>
  <x:c r="L2983" i="2"/>
  <x:c r="K2984" i="2"/>
  <x:c r="L2984" i="2"/>
  <x:c r="K2985" i="2"/>
  <x:c r="L2985" i="2"/>
  <x:c r="K2986" i="2"/>
  <x:c r="L2986" i="2"/>
  <x:c r="K2987" i="2"/>
  <x:c r="L2987" i="2"/>
  <x:c r="K2988" i="2"/>
  <x:c r="L2988" i="2"/>
  <x:c r="K2989" i="2"/>
  <x:c r="L2989" i="2"/>
  <x:c r="K2990" i="2"/>
  <x:c r="L2990" i="2"/>
  <x:c r="K2991" i="2"/>
  <x:c r="L2991" i="2"/>
  <x:c r="K2992" i="2"/>
  <x:c r="L2992" i="2"/>
  <x:c r="K2993" i="2"/>
  <x:c r="L2993" i="2"/>
  <x:c r="K2994" i="2"/>
  <x:c r="L2994" i="2"/>
  <x:c r="K2995" i="2"/>
  <x:c r="L2995" i="2"/>
  <x:c r="K2996" i="2"/>
  <x:c r="L2996" i="2"/>
  <x:c r="K2997" i="2"/>
  <x:c r="L2997" i="2"/>
  <x:c r="K2998" i="2"/>
  <x:c r="L2998" i="2"/>
  <x:c r="K2999" i="2"/>
  <x:c r="L2999" i="2"/>
  <x:c r="K3000" i="2"/>
  <x:c r="L3000" i="2"/>
  <x:c r="K3001" i="2"/>
  <x:c r="L3001" i="2"/>
  <x:c r="K3002" i="2"/>
  <x:c r="L3002" i="2"/>
  <x:c r="K3003" i="2"/>
  <x:c r="L3003" i="2"/>
  <x:c r="K3004" i="2"/>
  <x:c r="L3004" i="2"/>
  <x:c r="K3005" i="2"/>
  <x:c r="L3005" i="2"/>
  <x:c r="K3006" i="2"/>
  <x:c r="L3006" i="2"/>
  <x:c r="K3007" i="2"/>
  <x:c r="L3007" i="2"/>
  <x:c r="K3008" i="2"/>
  <x:c r="L3008" i="2"/>
  <x:c r="K3009" i="2"/>
  <x:c r="L3009" i="2"/>
  <x:c r="K3010" i="2"/>
  <x:c r="L3010" i="2"/>
  <x:c r="K3011" i="2"/>
  <x:c r="L3011" i="2"/>
  <x:c r="K3012" i="2"/>
  <x:c r="L3012" i="2"/>
  <x:c r="K3013" i="2"/>
  <x:c r="L3013" i="2"/>
  <x:c r="K3014" i="2"/>
  <x:c r="L3014" i="2"/>
  <x:c r="K3015" i="2"/>
  <x:c r="L3015" i="2"/>
  <x:c r="K3016" i="2"/>
  <x:c r="L3016" i="2"/>
  <x:c r="K3017" i="2"/>
  <x:c r="L3017" i="2"/>
  <x:c r="K3018" i="2"/>
  <x:c r="L3018" i="2"/>
  <x:c r="K3019" i="2"/>
  <x:c r="L3019" i="2"/>
  <x:c r="K3020" i="2"/>
  <x:c r="L3020" i="2"/>
  <x:c r="K3021" i="2"/>
  <x:c r="L3021" i="2"/>
  <x:c r="K3022" i="2"/>
  <x:c r="L3022" i="2"/>
  <x:c r="K3023" i="2"/>
  <x:c r="L3023" i="2"/>
  <x:c r="K3024" i="2"/>
  <x:c r="L3024" i="2"/>
  <x:c r="K3025" i="2"/>
  <x:c r="L3025" i="2"/>
  <x:c r="K3026" i="2"/>
  <x:c r="L3026" i="2"/>
  <x:c r="K3027" i="2"/>
  <x:c r="L3027" i="2"/>
  <x:c r="K3028" i="2"/>
  <x:c r="L3028" i="2"/>
  <x:c r="K3029" i="2"/>
  <x:c r="L3029" i="2"/>
  <x:c r="K3030" i="2"/>
  <x:c r="L3030" i="2"/>
  <x:c r="K3031" i="2"/>
  <x:c r="L3031" i="2"/>
  <x:c r="K3032" i="2"/>
  <x:c r="L3032" i="2"/>
  <x:c r="K3033" i="2"/>
  <x:c r="L3033" i="2"/>
  <x:c r="K3034" i="2"/>
  <x:c r="L3034" i="2"/>
  <x:c r="K3035" i="2"/>
  <x:c r="L3035" i="2"/>
  <x:c r="K3036" i="2"/>
  <x:c r="L3036" i="2"/>
  <x:c r="K3037" i="2"/>
  <x:c r="L3037" i="2"/>
  <x:c r="K3038" i="2"/>
  <x:c r="L3038" i="2"/>
  <x:c r="K3039" i="2"/>
  <x:c r="L3039" i="2"/>
  <x:c r="K3040" i="2"/>
  <x:c r="L3040" i="2"/>
  <x:c r="K3041" i="2"/>
  <x:c r="L3041" i="2"/>
  <x:c r="K3042" i="2"/>
  <x:c r="L3042" i="2"/>
  <x:c r="K3043" i="2"/>
  <x:c r="L3043" i="2"/>
  <x:c r="K3044" i="2"/>
  <x:c r="L3044" i="2"/>
  <x:c r="K3045" i="2"/>
  <x:c r="L3045" i="2"/>
  <x:c r="K3046" i="2"/>
  <x:c r="L3046" i="2"/>
  <x:c r="K3047" i="2"/>
  <x:c r="L3047" i="2"/>
  <x:c r="K3048" i="2"/>
  <x:c r="L3048" i="2"/>
  <x:c r="K3049" i="2"/>
  <x:c r="L3049" i="2"/>
  <x:c r="K3050" i="2"/>
  <x:c r="L3050" i="2"/>
  <x:c r="K3051" i="2"/>
  <x:c r="L3051" i="2"/>
  <x:c r="K3052" i="2"/>
  <x:c r="L3052" i="2"/>
  <x:c r="K3053" i="2"/>
  <x:c r="L3053" i="2"/>
  <x:c r="K3054" i="2"/>
  <x:c r="L3054" i="2"/>
  <x:c r="K3055" i="2"/>
  <x:c r="L3055" i="2"/>
  <x:c r="K3056" i="2"/>
  <x:c r="L3056" i="2"/>
  <x:c r="K3057" i="2"/>
  <x:c r="L3057" i="2"/>
  <x:c r="K3058" i="2"/>
  <x:c r="L3058" i="2"/>
  <x:c r="K3059" i="2"/>
  <x:c r="L3059" i="2"/>
  <x:c r="K3060" i="2"/>
  <x:c r="L3060" i="2"/>
  <x:c r="K3061" i="2"/>
  <x:c r="L3061" i="2"/>
  <x:c r="K3062" i="2"/>
  <x:c r="L3062" i="2"/>
  <x:c r="K3063" i="2"/>
  <x:c r="L3063" i="2"/>
  <x:c r="K3064" i="2"/>
  <x:c r="L3064" i="2"/>
  <x:c r="K3065" i="2"/>
  <x:c r="L3065" i="2"/>
  <x:c r="K3066" i="2"/>
  <x:c r="L3066" i="2"/>
  <x:c r="K3067" i="2"/>
  <x:c r="L3067" i="2"/>
  <x:c r="K3068" i="2"/>
  <x:c r="L3068" i="2"/>
  <x:c r="K3069" i="2"/>
  <x:c r="L3069" i="2"/>
  <x:c r="K3070" i="2"/>
  <x:c r="L3070" i="2"/>
  <x:c r="K3071" i="2"/>
  <x:c r="L3071" i="2"/>
  <x:c r="K3072" i="2"/>
  <x:c r="L3072" i="2"/>
  <x:c r="K3073" i="2"/>
  <x:c r="L3073" i="2"/>
  <x:c r="K3074" i="2"/>
  <x:c r="L3074" i="2"/>
  <x:c r="K3075" i="2"/>
  <x:c r="L3075" i="2"/>
  <x:c r="K3076" i="2"/>
  <x:c r="L3076" i="2"/>
  <x:c r="K3077" i="2"/>
  <x:c r="L3077" i="2"/>
  <x:c r="K3078" i="2"/>
  <x:c r="L3078" i="2"/>
  <x:c r="K3079" i="2"/>
  <x:c r="L3079" i="2"/>
  <x:c r="K3080" i="2"/>
  <x:c r="L3080" i="2"/>
  <x:c r="K3081" i="2"/>
  <x:c r="L3081" i="2"/>
  <x:c r="K3082" i="2"/>
  <x:c r="L3082" i="2"/>
  <x:c r="K3083" i="2"/>
  <x:c r="L3083" i="2"/>
  <x:c r="K3084" i="2"/>
  <x:c r="L3084" i="2"/>
  <x:c r="K3085" i="2"/>
  <x:c r="L3085" i="2"/>
  <x:c r="K3086" i="2"/>
  <x:c r="L3086" i="2"/>
  <x:c r="K3087" i="2"/>
  <x:c r="L3087" i="2"/>
  <x:c r="K3088" i="2"/>
  <x:c r="L3088" i="2"/>
  <x:c r="K3089" i="2"/>
  <x:c r="L3089" i="2"/>
  <x:c r="K3090" i="2"/>
  <x:c r="L3090" i="2"/>
  <x:c r="K3091" i="2"/>
  <x:c r="L3091" i="2"/>
  <x:c r="K3092" i="2"/>
  <x:c r="L3092" i="2"/>
  <x:c r="K3093" i="2"/>
  <x:c r="L3093" i="2"/>
  <x:c r="K3094" i="2"/>
  <x:c r="L3094" i="2"/>
  <x:c r="K3095" i="2"/>
  <x:c r="L3095" i="2"/>
  <x:c r="K3096" i="2"/>
  <x:c r="L3096" i="2"/>
  <x:c r="K3097" i="2"/>
  <x:c r="L3097" i="2"/>
  <x:c r="K3098" i="2"/>
  <x:c r="L3098" i="2"/>
  <x:c r="K3099" i="2"/>
  <x:c r="L3099" i="2"/>
  <x:c r="K3100" i="2"/>
  <x:c r="L3100" i="2"/>
  <x:c r="K3101" i="2"/>
  <x:c r="L3101" i="2"/>
  <x:c r="K3102" i="2"/>
  <x:c r="L3102" i="2"/>
  <x:c r="K3103" i="2"/>
  <x:c r="L3103" i="2"/>
  <x:c r="K3104" i="2"/>
  <x:c r="L3104" i="2"/>
  <x:c r="K3105" i="2"/>
  <x:c r="L3105" i="2"/>
  <x:c r="K3106" i="2"/>
  <x:c r="L3106" i="2"/>
  <x:c r="K3107" i="2"/>
  <x:c r="L3107" i="2"/>
  <x:c r="K3108" i="2"/>
  <x:c r="L3108" i="2"/>
  <x:c r="K3109" i="2"/>
  <x:c r="L3109" i="2"/>
  <x:c r="K3110" i="2"/>
  <x:c r="L3110" i="2"/>
  <x:c r="K3111" i="2"/>
  <x:c r="L3111" i="2"/>
  <x:c r="K3112" i="2"/>
  <x:c r="L3112" i="2"/>
  <x:c r="K3113" i="2"/>
  <x:c r="L3113" i="2"/>
  <x:c r="K3114" i="2"/>
  <x:c r="L3114" i="2"/>
  <x:c r="K3115" i="2"/>
  <x:c r="L3115" i="2"/>
  <x:c r="K3116" i="2"/>
  <x:c r="L3116" i="2"/>
  <x:c r="K3117" i="2"/>
  <x:c r="L3117" i="2"/>
  <x:c r="K3118" i="2"/>
  <x:c r="L3118" i="2"/>
  <x:c r="K3119" i="2"/>
  <x:c r="L3119" i="2"/>
  <x:c r="K3120" i="2"/>
  <x:c r="L3120" i="2"/>
  <x:c r="K3121" i="2"/>
  <x:c r="L3121" i="2"/>
  <x:c r="K3122" i="2"/>
  <x:c r="L3122" i="2"/>
  <x:c r="K3123" i="2"/>
  <x:c r="L3123" i="2"/>
  <x:c r="K3124" i="2"/>
  <x:c r="L3124" i="2"/>
  <x:c r="K3125" i="2"/>
  <x:c r="L3125" i="2"/>
  <x:c r="K3126" i="2"/>
  <x:c r="L3126" i="2"/>
  <x:c r="K3127" i="2"/>
  <x:c r="L3127" i="2"/>
  <x:c r="K3128" i="2"/>
  <x:c r="L3128" i="2"/>
  <x:c r="K3129" i="2"/>
  <x:c r="L3129" i="2"/>
  <x:c r="K3130" i="2"/>
  <x:c r="L3130" i="2"/>
  <x:c r="K3131" i="2"/>
  <x:c r="L3131" i="2"/>
  <x:c r="K3132" i="2"/>
  <x:c r="L3132" i="2"/>
  <x:c r="K3133" i="2"/>
  <x:c r="L3133" i="2"/>
  <x:c r="K3134" i="2"/>
  <x:c r="L3134" i="2"/>
  <x:c r="K3135" i="2"/>
  <x:c r="L3135" i="2"/>
  <x:c r="K3136" i="2"/>
  <x:c r="L3136" i="2"/>
  <x:c r="K3137" i="2"/>
  <x:c r="L3137" i="2"/>
  <x:c r="K3138" i="2"/>
  <x:c r="L3138" i="2"/>
  <x:c r="K3139" i="2"/>
  <x:c r="L3139" i="2"/>
  <x:c r="K3140" i="2"/>
  <x:c r="L3140" i="2"/>
  <x:c r="K3141" i="2"/>
  <x:c r="L3141" i="2"/>
  <x:c r="K3142" i="2"/>
  <x:c r="L3142" i="2"/>
  <x:c r="K3143" i="2"/>
  <x:c r="L3143" i="2"/>
  <x:c r="K3144" i="2"/>
  <x:c r="L3144" i="2"/>
  <x:c r="K3145" i="2"/>
  <x:c r="L3145" i="2"/>
  <x:c r="K3146" i="2"/>
  <x:c r="L3146" i="2"/>
  <x:c r="K3147" i="2"/>
  <x:c r="L3147" i="2"/>
  <x:c r="K3148" i="2"/>
  <x:c r="L3148" i="2"/>
  <x:c r="K3149" i="2"/>
  <x:c r="L3149" i="2"/>
  <x:c r="K3150" i="2"/>
  <x:c r="L3150" i="2"/>
  <x:c r="K3151" i="2"/>
  <x:c r="L3151" i="2"/>
  <x:c r="K3152" i="2"/>
  <x:c r="L3152" i="2"/>
  <x:c r="K3153" i="2"/>
  <x:c r="L3153" i="2"/>
  <x:c r="K3154" i="2"/>
  <x:c r="L3154" i="2"/>
  <x:c r="K3155" i="2"/>
  <x:c r="L3155" i="2"/>
  <x:c r="K3156" i="2"/>
  <x:c r="L3156" i="2"/>
  <x:c r="K3157" i="2"/>
  <x:c r="L3157" i="2"/>
  <x:c r="K3158" i="2"/>
  <x:c r="L3158" i="2"/>
  <x:c r="K3159" i="2"/>
  <x:c r="L3159" i="2"/>
  <x:c r="K3160" i="2"/>
  <x:c r="L3160" i="2"/>
  <x:c r="K3161" i="2"/>
  <x:c r="L3161" i="2"/>
  <x:c r="K3162" i="2"/>
  <x:c r="L3162" i="2"/>
  <x:c r="K3163" i="2"/>
  <x:c r="L3163" i="2"/>
  <x:c r="K3164" i="2"/>
  <x:c r="L3164" i="2"/>
  <x:c r="K3165" i="2"/>
  <x:c r="L3165" i="2"/>
  <x:c r="K3166" i="2"/>
  <x:c r="L3166" i="2"/>
  <x:c r="K3167" i="2"/>
  <x:c r="L3167" i="2"/>
  <x:c r="K3168" i="2"/>
  <x:c r="L3168" i="2"/>
  <x:c r="K3169" i="2"/>
  <x:c r="L3169" i="2"/>
  <x:c r="K3170" i="2"/>
  <x:c r="L3170" i="2"/>
  <x:c r="K3171" i="2"/>
  <x:c r="L3171" i="2"/>
  <x:c r="K3172" i="2"/>
  <x:c r="L3172" i="2"/>
  <x:c r="K3173" i="2"/>
  <x:c r="L3173" i="2"/>
  <x:c r="K3174" i="2"/>
  <x:c r="L3174" i="2"/>
  <x:c r="K3175" i="2"/>
  <x:c r="L3175" i="2"/>
  <x:c r="K3176" i="2"/>
  <x:c r="L3176" i="2"/>
  <x:c r="K3177" i="2"/>
  <x:c r="L3177" i="2"/>
  <x:c r="K3178" i="2"/>
  <x:c r="L3178" i="2"/>
  <x:c r="K3179" i="2"/>
  <x:c r="L3179" i="2"/>
  <x:c r="K3180" i="2"/>
  <x:c r="L3180" i="2"/>
  <x:c r="K3181" i="2"/>
  <x:c r="L3181" i="2"/>
  <x:c r="K3182" i="2"/>
  <x:c r="L3182" i="2"/>
  <x:c r="K3183" i="2"/>
  <x:c r="L3183" i="2"/>
  <x:c r="K3184" i="2"/>
  <x:c r="L3184" i="2"/>
  <x:c r="K3185" i="2"/>
  <x:c r="L3185" i="2"/>
  <x:c r="K3186" i="2"/>
  <x:c r="L3186" i="2"/>
  <x:c r="K3187" i="2"/>
  <x:c r="L3187" i="2"/>
  <x:c r="K3188" i="2"/>
  <x:c r="L3188" i="2"/>
  <x:c r="K3189" i="2"/>
  <x:c r="L3189" i="2"/>
  <x:c r="K3190" i="2"/>
  <x:c r="L3190" i="2"/>
  <x:c r="K3191" i="2"/>
  <x:c r="L3191" i="2"/>
  <x:c r="K3192" i="2"/>
  <x:c r="L3192" i="2"/>
  <x:c r="K3193" i="2"/>
  <x:c r="L3193" i="2"/>
  <x:c r="K3194" i="2"/>
  <x:c r="L3194" i="2"/>
  <x:c r="K3195" i="2"/>
  <x:c r="L3195" i="2"/>
  <x:c r="K3196" i="2"/>
  <x:c r="L3196" i="2"/>
  <x:c r="K3197" i="2"/>
  <x:c r="L3197" i="2"/>
  <x:c r="K3198" i="2"/>
  <x:c r="L3198" i="2"/>
  <x:c r="K3199" i="2"/>
  <x:c r="L3199" i="2"/>
  <x:c r="K3200" i="2"/>
  <x:c r="L3200" i="2"/>
  <x:c r="K3201" i="2"/>
  <x:c r="L3201" i="2"/>
  <x:c r="K3202" i="2"/>
  <x:c r="L3202" i="2"/>
  <x:c r="K3203" i="2"/>
  <x:c r="L3203" i="2"/>
  <x:c r="K3204" i="2"/>
  <x:c r="L3204" i="2"/>
  <x:c r="K3205" i="2"/>
  <x:c r="L3205" i="2"/>
  <x:c r="K3206" i="2"/>
  <x:c r="L3206" i="2"/>
  <x:c r="K3207" i="2"/>
  <x:c r="L3207" i="2"/>
  <x:c r="K3208" i="2"/>
  <x:c r="L3208" i="2"/>
  <x:c r="K3209" i="2"/>
  <x:c r="L3209" i="2"/>
  <x:c r="K3210" i="2"/>
  <x:c r="L3210" i="2"/>
  <x:c r="K3211" i="2"/>
  <x:c r="L3211" i="2"/>
  <x:c r="K3212" i="2"/>
  <x:c r="L3212" i="2"/>
  <x:c r="K3213" i="2"/>
  <x:c r="L3213" i="2"/>
  <x:c r="K3214" i="2"/>
  <x:c r="L3214" i="2"/>
  <x:c r="K3215" i="2"/>
  <x:c r="L3215" i="2"/>
  <x:c r="K3216" i="2"/>
  <x:c r="L3216" i="2"/>
  <x:c r="K3217" i="2"/>
  <x:c r="L3217" i="2"/>
  <x:c r="K3218" i="2"/>
  <x:c r="L3218" i="2"/>
  <x:c r="K3219" i="2"/>
  <x:c r="L3219" i="2"/>
  <x:c r="K3220" i="2"/>
  <x:c r="L3220" i="2"/>
  <x:c r="K3221" i="2"/>
  <x:c r="L3221" i="2"/>
  <x:c r="K3222" i="2"/>
  <x:c r="L3222" i="2"/>
  <x:c r="K3223" i="2"/>
  <x:c r="L3223" i="2"/>
  <x:c r="K3224" i="2"/>
  <x:c r="L3224" i="2"/>
  <x:c r="K3225" i="2"/>
  <x:c r="L3225" i="2"/>
  <x:c r="K3226" i="2"/>
  <x:c r="L3226" i="2"/>
  <x:c r="K3227" i="2"/>
  <x:c r="L3227" i="2"/>
  <x:c r="K3228" i="2"/>
  <x:c r="L3228" i="2"/>
  <x:c r="K3229" i="2"/>
  <x:c r="L3229" i="2"/>
  <x:c r="K3230" i="2"/>
  <x:c r="L3230" i="2"/>
  <x:c r="K3231" i="2"/>
  <x:c r="L3231" i="2"/>
  <x:c r="K3232" i="2"/>
  <x:c r="L3232" i="2"/>
  <x:c r="K3233" i="2"/>
  <x:c r="L3233" i="2"/>
  <x:c r="K3234" i="2"/>
  <x:c r="L3234" i="2"/>
  <x:c r="K3235" i="2"/>
  <x:c r="L3235" i="2"/>
  <x:c r="K3236" i="2"/>
  <x:c r="L3236" i="2"/>
  <x:c r="K3237" i="2"/>
  <x:c r="L3237" i="2"/>
  <x:c r="K3238" i="2"/>
  <x:c r="L3238" i="2"/>
  <x:c r="K3239" i="2"/>
  <x:c r="L3239" i="2"/>
  <x:c r="K3240" i="2"/>
  <x:c r="L3240" i="2"/>
  <x:c r="K3241" i="2"/>
  <x:c r="L3241" i="2"/>
  <x:c r="K3242" i="2"/>
  <x:c r="L3242" i="2"/>
  <x:c r="K3243" i="2"/>
  <x:c r="L3243" i="2"/>
  <x:c r="K3244" i="2"/>
  <x:c r="L3244" i="2"/>
  <x:c r="K3245" i="2"/>
  <x:c r="L3245" i="2"/>
  <x:c r="K3246" i="2"/>
  <x:c r="L3246" i="2"/>
  <x:c r="K3247" i="2"/>
  <x:c r="L3247" i="2"/>
  <x:c r="K3248" i="2"/>
  <x:c r="L3248" i="2"/>
  <x:c r="K3249" i="2"/>
  <x:c r="L3249" i="2"/>
  <x:c r="K3250" i="2"/>
  <x:c r="L3250" i="2"/>
  <x:c r="K3251" i="2"/>
  <x:c r="L3251" i="2"/>
  <x:c r="K3252" i="2"/>
  <x:c r="L3252" i="2"/>
  <x:c r="K3253" i="2"/>
  <x:c r="L3253" i="2"/>
  <x:c r="K3254" i="2"/>
  <x:c r="L3254" i="2"/>
  <x:c r="K3255" i="2"/>
  <x:c r="L3255" i="2"/>
  <x:c r="K3256" i="2"/>
  <x:c r="L3256" i="2"/>
  <x:c r="K3257" i="2"/>
  <x:c r="L3257" i="2"/>
  <x:c r="K3258" i="2"/>
  <x:c r="L3258" i="2"/>
  <x:c r="K3259" i="2"/>
  <x:c r="L3259" i="2"/>
  <x:c r="K3260" i="2"/>
  <x:c r="L3260" i="2"/>
  <x:c r="K3261" i="2"/>
  <x:c r="L3261" i="2"/>
  <x:c r="K3262" i="2"/>
  <x:c r="L3262" i="2"/>
  <x:c r="K3263" i="2"/>
  <x:c r="L3263" i="2"/>
  <x:c r="K3264" i="2"/>
  <x:c r="L3264" i="2"/>
  <x:c r="K3265" i="2"/>
  <x:c r="L3265" i="2"/>
  <x:c r="K3266" i="2"/>
  <x:c r="L3266" i="2"/>
  <x:c r="K3267" i="2"/>
  <x:c r="L3267" i="2"/>
  <x:c r="K3268" i="2"/>
  <x:c r="L3268" i="2"/>
  <x:c r="K3269" i="2"/>
  <x:c r="L3269" i="2"/>
  <x:c r="K3270" i="2"/>
  <x:c r="L3270" i="2"/>
  <x:c r="K3271" i="2"/>
  <x:c r="L3271" i="2"/>
  <x:c r="K3272" i="2"/>
  <x:c r="L3272" i="2"/>
  <x:c r="K3273" i="2"/>
  <x:c r="L3273" i="2"/>
  <x:c r="K3274" i="2"/>
  <x:c r="L3274" i="2"/>
  <x:c r="K3275" i="2"/>
  <x:c r="L3275" i="2"/>
  <x:c r="K3276" i="2"/>
  <x:c r="L3276" i="2"/>
  <x:c r="K3277" i="2"/>
  <x:c r="L3277" i="2"/>
  <x:c r="K3278" i="2"/>
  <x:c r="L3278" i="2"/>
  <x:c r="K3279" i="2"/>
  <x:c r="L3279" i="2"/>
  <x:c r="K3280" i="2"/>
  <x:c r="L3280" i="2"/>
  <x:c r="K3281" i="2"/>
  <x:c r="L3281" i="2"/>
  <x:c r="K3282" i="2"/>
  <x:c r="L3282" i="2"/>
  <x:c r="K3283" i="2"/>
  <x:c r="L3283" i="2"/>
  <x:c r="K3284" i="2"/>
  <x:c r="L3284" i="2"/>
  <x:c r="K3285" i="2"/>
  <x:c r="L3285" i="2"/>
  <x:c r="K3286" i="2"/>
  <x:c r="L3286" i="2"/>
  <x:c r="K3287" i="2"/>
  <x:c r="L3287" i="2"/>
  <x:c r="K3288" i="2"/>
  <x:c r="L3288" i="2"/>
  <x:c r="K3289" i="2"/>
  <x:c r="L3289" i="2"/>
  <x:c r="K3290" i="2"/>
  <x:c r="L3290" i="2"/>
  <x:c r="K3291" i="2"/>
  <x:c r="L3291" i="2"/>
  <x:c r="K3292" i="2"/>
  <x:c r="L3292" i="2"/>
  <x:c r="K3293" i="2"/>
  <x:c r="L3293" i="2"/>
  <x:c r="K3294" i="2"/>
  <x:c r="L3294" i="2"/>
  <x:c r="K3295" i="2"/>
  <x:c r="L3295" i="2"/>
  <x:c r="K3296" i="2"/>
  <x:c r="L3296" i="2"/>
  <x:c r="K3297" i="2"/>
  <x:c r="L3297" i="2"/>
  <x:c r="K3298" i="2"/>
  <x:c r="L3298" i="2"/>
  <x:c r="K3299" i="2"/>
  <x:c r="L3299" i="2"/>
  <x:c r="K3300" i="2"/>
  <x:c r="L3300" i="2"/>
  <x:c r="K3301" i="2"/>
  <x:c r="L3301" i="2"/>
  <x:c r="K3302" i="2"/>
  <x:c r="L3302" i="2"/>
  <x:c r="K3303" i="2"/>
  <x:c r="L3303" i="2"/>
  <x:c r="K3304" i="2"/>
  <x:c r="L3304" i="2"/>
  <x:c r="K3305" i="2"/>
  <x:c r="L3305" i="2"/>
  <x:c r="K3306" i="2"/>
  <x:c r="L3306" i="2"/>
  <x:c r="K3307" i="2"/>
  <x:c r="L3307" i="2"/>
  <x:c r="K3308" i="2"/>
  <x:c r="L3308" i="2"/>
  <x:c r="K3309" i="2"/>
  <x:c r="L3309" i="2"/>
  <x:c r="K3310" i="2"/>
  <x:c r="L3310" i="2"/>
  <x:c r="K3311" i="2"/>
  <x:c r="L3311" i="2"/>
  <x:c r="K3312" i="2"/>
  <x:c r="L3312" i="2"/>
  <x:c r="K3313" i="2"/>
  <x:c r="L3313" i="2"/>
  <x:c r="K3314" i="2"/>
  <x:c r="L3314" i="2"/>
  <x:c r="K3315" i="2"/>
  <x:c r="L3315" i="2"/>
  <x:c r="K3316" i="2"/>
  <x:c r="L3316" i="2"/>
  <x:c r="K3317" i="2"/>
  <x:c r="L3317" i="2"/>
  <x:c r="K3318" i="2"/>
  <x:c r="L3318" i="2"/>
  <x:c r="K3319" i="2"/>
  <x:c r="L3319" i="2"/>
  <x:c r="K3320" i="2"/>
  <x:c r="L3320" i="2"/>
  <x:c r="K3321" i="2"/>
  <x:c r="L3321" i="2"/>
  <x:c r="K3322" i="2"/>
  <x:c r="L3322" i="2"/>
  <x:c r="K3323" i="2"/>
  <x:c r="L3323" i="2"/>
  <x:c r="K3324" i="2"/>
  <x:c r="L3324" i="2"/>
  <x:c r="K3325" i="2"/>
  <x:c r="L3325" i="2"/>
  <x:c r="K3326" i="2"/>
  <x:c r="L3326" i="2"/>
  <x:c r="K3327" i="2"/>
  <x:c r="L3327" i="2"/>
  <x:c r="K3328" i="2"/>
  <x:c r="L3328" i="2"/>
  <x:c r="K3329" i="2"/>
  <x:c r="L3329" i="2"/>
  <x:c r="K3330" i="2"/>
  <x:c r="L3330" i="2"/>
  <x:c r="K3331" i="2"/>
  <x:c r="L3331" i="2"/>
  <x:c r="K3332" i="2"/>
  <x:c r="L3332" i="2"/>
  <x:c r="K3333" i="2"/>
  <x:c r="L3333" i="2"/>
  <x:c r="K3334" i="2"/>
  <x:c r="L3334" i="2"/>
  <x:c r="K3335" i="2"/>
  <x:c r="L3335" i="2"/>
  <x:c r="K3336" i="2"/>
  <x:c r="L3336" i="2"/>
  <x:c r="K3337" i="2"/>
  <x:c r="L3337" i="2"/>
  <x:c r="K3338" i="2"/>
  <x:c r="L3338" i="2"/>
  <x:c r="K3339" i="2"/>
  <x:c r="L3339" i="2"/>
  <x:c r="K3340" i="2"/>
  <x:c r="L3340" i="2"/>
  <x:c r="K3341" i="2"/>
  <x:c r="L3341" i="2"/>
  <x:c r="K3342" i="2"/>
  <x:c r="L3342" i="2"/>
  <x:c r="K3343" i="2"/>
  <x:c r="L3343" i="2"/>
  <x:c r="K3344" i="2"/>
  <x:c r="L3344" i="2"/>
  <x:c r="K3345" i="2"/>
  <x:c r="L3345" i="2"/>
  <x:c r="K3346" i="2"/>
  <x:c r="L3346" i="2"/>
  <x:c r="K3347" i="2"/>
  <x:c r="L3347" i="2"/>
  <x:c r="K3348" i="2"/>
  <x:c r="L3348" i="2"/>
  <x:c r="K3349" i="2"/>
  <x:c r="L3349" i="2"/>
  <x:c r="K3350" i="2"/>
  <x:c r="L3350" i="2"/>
  <x:c r="K3351" i="2"/>
  <x:c r="L3351" i="2"/>
  <x:c r="K3352" i="2"/>
  <x:c r="L3352" i="2"/>
  <x:c r="K3353" i="2"/>
  <x:c r="L3353" i="2"/>
  <x:c r="K3354" i="2"/>
  <x:c r="L3354" i="2"/>
  <x:c r="K3355" i="2"/>
  <x:c r="L3355" i="2"/>
  <x:c r="K3356" i="2"/>
  <x:c r="L3356" i="2"/>
  <x:c r="K3357" i="2"/>
  <x:c r="L3357" i="2"/>
  <x:c r="K3358" i="2"/>
  <x:c r="L3358" i="2"/>
  <x:c r="K3359" i="2"/>
  <x:c r="L3359" i="2"/>
  <x:c r="K3360" i="2"/>
  <x:c r="L3360" i="2"/>
  <x:c r="K3361" i="2"/>
  <x:c r="L3361" i="2"/>
  <x:c r="K3362" i="2"/>
  <x:c r="L3362" i="2"/>
  <x:c r="K3363" i="2"/>
  <x:c r="L3363" i="2"/>
  <x:c r="K3364" i="2"/>
  <x:c r="L3364" i="2"/>
  <x:c r="K3365" i="2"/>
  <x:c r="L3365" i="2"/>
  <x:c r="K3366" i="2"/>
  <x:c r="L3366" i="2"/>
  <x:c r="K3367" i="2"/>
  <x:c r="L3367" i="2"/>
  <x:c r="K3368" i="2"/>
  <x:c r="L3368" i="2"/>
  <x:c r="K3369" i="2"/>
  <x:c r="L3369" i="2"/>
  <x:c r="K3370" i="2"/>
  <x:c r="L3370" i="2"/>
  <x:c r="K3371" i="2"/>
  <x:c r="L3371" i="2"/>
  <x:c r="K3372" i="2"/>
  <x:c r="L3372" i="2"/>
  <x:c r="K3373" i="2"/>
  <x:c r="L3373" i="2"/>
  <x:c r="K3374" i="2"/>
  <x:c r="L3374" i="2"/>
  <x:c r="K3375" i="2"/>
  <x:c r="L3375" i="2"/>
  <x:c r="K3376" i="2"/>
  <x:c r="L3376" i="2"/>
  <x:c r="K3377" i="2"/>
  <x:c r="L3377" i="2"/>
  <x:c r="K3378" i="2"/>
  <x:c r="L3378" i="2"/>
  <x:c r="K3379" i="2"/>
  <x:c r="L3379" i="2"/>
  <x:c r="K3380" i="2"/>
  <x:c r="L3380" i="2"/>
  <x:c r="K3381" i="2"/>
  <x:c r="L3381" i="2"/>
  <x:c r="K3382" i="2"/>
  <x:c r="L3382" i="2"/>
  <x:c r="K3383" i="2"/>
  <x:c r="L3383" i="2"/>
  <x:c r="K3384" i="2"/>
  <x:c r="L3384" i="2"/>
  <x:c r="K3385" i="2"/>
  <x:c r="L3385" i="2"/>
  <x:c r="K3386" i="2"/>
  <x:c r="L3386" i="2"/>
  <x:c r="K3387" i="2"/>
  <x:c r="L3387" i="2"/>
  <x:c r="K3388" i="2"/>
  <x:c r="L3388" i="2"/>
  <x:c r="K3389" i="2"/>
  <x:c r="L3389" i="2"/>
  <x:c r="K3390" i="2"/>
  <x:c r="L3390" i="2"/>
  <x:c r="K3391" i="2"/>
  <x:c r="L3391" i="2"/>
  <x:c r="K3392" i="2"/>
  <x:c r="L3392" i="2"/>
  <x:c r="K3393" i="2"/>
  <x:c r="L3393" i="2"/>
  <x:c r="K3394" i="2"/>
  <x:c r="L3394" i="2"/>
  <x:c r="K3395" i="2"/>
  <x:c r="L3395" i="2"/>
  <x:c r="K3396" i="2"/>
  <x:c r="L3396" i="2"/>
  <x:c r="K3397" i="2"/>
  <x:c r="L3397" i="2"/>
  <x:c r="K3398" i="2"/>
  <x:c r="L3398" i="2"/>
  <x:c r="K3399" i="2"/>
  <x:c r="L3399" i="2"/>
  <x:c r="K3400" i="2"/>
  <x:c r="L3400" i="2"/>
  <x:c r="K3401" i="2"/>
  <x:c r="L3401" i="2"/>
  <x:c r="K3402" i="2"/>
  <x:c r="L3402" i="2"/>
  <x:c r="K3403" i="2"/>
  <x:c r="L3403" i="2"/>
  <x:c r="K3404" i="2"/>
  <x:c r="L3404" i="2"/>
  <x:c r="K3405" i="2"/>
  <x:c r="L3405" i="2"/>
  <x:c r="K3406" i="2"/>
  <x:c r="L3406" i="2"/>
  <x:c r="K3407" i="2"/>
  <x:c r="L3407" i="2"/>
  <x:c r="K3408" i="2"/>
  <x:c r="L3408" i="2"/>
  <x:c r="K3409" i="2"/>
  <x:c r="L3409" i="2"/>
  <x:c r="K3410" i="2"/>
  <x:c r="L3410" i="2"/>
  <x:c r="K3411" i="2"/>
  <x:c r="L3411" i="2"/>
  <x:c r="K3412" i="2"/>
  <x:c r="L3412" i="2"/>
  <x:c r="K3413" i="2"/>
  <x:c r="L3413" i="2"/>
  <x:c r="K3414" i="2"/>
  <x:c r="L3414" i="2"/>
  <x:c r="K3415" i="2"/>
  <x:c r="L3415" i="2"/>
  <x:c r="K3416" i="2"/>
  <x:c r="L3416" i="2"/>
  <x:c r="K3417" i="2"/>
  <x:c r="L3417" i="2"/>
  <x:c r="K3418" i="2"/>
  <x:c r="L3418" i="2"/>
  <x:c r="K3419" i="2"/>
  <x:c r="L3419" i="2"/>
  <x:c r="K3420" i="2"/>
  <x:c r="L3420" i="2"/>
  <x:c r="K3421" i="2"/>
  <x:c r="L3421" i="2"/>
  <x:c r="K3422" i="2"/>
  <x:c r="L3422" i="2"/>
  <x:c r="K3423" i="2"/>
  <x:c r="L3423" i="2"/>
  <x:c r="K3424" i="2"/>
  <x:c r="L3424" i="2"/>
  <x:c r="K3425" i="2"/>
  <x:c r="L3425" i="2"/>
  <x:c r="K3426" i="2"/>
  <x:c r="L3426" i="2"/>
  <x:c r="K3427" i="2"/>
  <x:c r="L3427" i="2"/>
  <x:c r="K3428" i="2"/>
  <x:c r="L3428" i="2"/>
  <x:c r="K3429" i="2"/>
  <x:c r="L3429" i="2"/>
  <x:c r="K3430" i="2"/>
  <x:c r="L3430" i="2"/>
  <x:c r="K3431" i="2"/>
  <x:c r="L3431" i="2"/>
  <x:c r="K3432" i="2"/>
  <x:c r="L3432" i="2"/>
  <x:c r="K3433" i="2"/>
  <x:c r="L3433" i="2"/>
  <x:c r="K3434" i="2"/>
  <x:c r="L3434" i="2"/>
  <x:c r="K3435" i="2"/>
  <x:c r="L3435" i="2"/>
  <x:c r="K3436" i="2"/>
  <x:c r="L3436" i="2"/>
  <x:c r="K3437" i="2"/>
  <x:c r="L3437" i="2"/>
  <x:c r="K3438" i="2"/>
  <x:c r="L3438" i="2"/>
  <x:c r="K3439" i="2"/>
  <x:c r="L3439" i="2"/>
  <x:c r="K3440" i="2"/>
  <x:c r="L3440" i="2"/>
  <x:c r="K3441" i="2"/>
  <x:c r="L3441" i="2"/>
  <x:c r="K3442" i="2"/>
  <x:c r="L3442" i="2"/>
  <x:c r="K3443" i="2"/>
  <x:c r="L3443" i="2"/>
  <x:c r="K3444" i="2"/>
  <x:c r="L3444" i="2"/>
  <x:c r="K3445" i="2"/>
  <x:c r="L3445" i="2"/>
  <x:c r="K3446" i="2"/>
  <x:c r="L3446" i="2"/>
  <x:c r="K3447" i="2"/>
  <x:c r="L3447" i="2"/>
  <x:c r="K3448" i="2"/>
  <x:c r="L3448" i="2"/>
  <x:c r="K3449" i="2"/>
  <x:c r="L3449" i="2"/>
  <x:c r="K3450" i="2"/>
  <x:c r="L3450" i="2"/>
  <x:c r="K3451" i="2"/>
  <x:c r="L3451" i="2"/>
  <x:c r="K3452" i="2"/>
  <x:c r="L3452" i="2"/>
  <x:c r="K3453" i="2"/>
  <x:c r="L3453" i="2"/>
  <x:c r="K3454" i="2"/>
  <x:c r="L3454" i="2"/>
  <x:c r="K3455" i="2"/>
  <x:c r="L3455" i="2"/>
  <x:c r="K3456" i="2"/>
  <x:c r="L3456" i="2"/>
  <x:c r="K3457" i="2"/>
  <x:c r="L3457" i="2"/>
  <x:c r="K3458" i="2"/>
  <x:c r="L3458" i="2"/>
  <x:c r="K3459" i="2"/>
  <x:c r="L3459" i="2"/>
  <x:c r="K3460" i="2"/>
  <x:c r="L3460" i="2"/>
  <x:c r="K3461" i="2"/>
  <x:c r="L3461" i="2"/>
  <x:c r="K3462" i="2"/>
  <x:c r="L3462" i="2"/>
  <x:c r="K3463" i="2"/>
  <x:c r="L3463" i="2"/>
  <x:c r="K3464" i="2"/>
  <x:c r="L3464" i="2"/>
  <x:c r="K3465" i="2"/>
  <x:c r="L3465" i="2"/>
  <x:c r="K3466" i="2"/>
  <x:c r="L3466" i="2"/>
  <x:c r="K3467" i="2"/>
  <x:c r="L3467" i="2"/>
  <x:c r="K3468" i="2"/>
  <x:c r="L3468" i="2"/>
  <x:c r="K3469" i="2"/>
  <x:c r="L3469" i="2"/>
  <x:c r="K3470" i="2"/>
  <x:c r="L3470" i="2"/>
  <x:c r="K3471" i="2"/>
  <x:c r="L3471" i="2"/>
  <x:c r="K3472" i="2"/>
  <x:c r="L3472" i="2"/>
  <x:c r="K3473" i="2"/>
  <x:c r="L3473" i="2"/>
  <x:c r="K3474" i="2"/>
  <x:c r="L3474" i="2"/>
  <x:c r="K3475" i="2"/>
  <x:c r="L3475" i="2"/>
  <x:c r="K3476" i="2"/>
  <x:c r="L3476" i="2"/>
  <x:c r="K3477" i="2"/>
  <x:c r="L3477" i="2"/>
  <x:c r="K3478" i="2"/>
  <x:c r="L3478" i="2"/>
  <x:c r="K3479" i="2"/>
  <x:c r="L3479" i="2"/>
  <x:c r="K3480" i="2"/>
  <x:c r="L3480" i="2"/>
  <x:c r="K3481" i="2"/>
  <x:c r="L3481" i="2"/>
  <x:c r="K3482" i="2"/>
  <x:c r="L3482" i="2"/>
  <x:c r="K3483" i="2"/>
  <x:c r="L3483" i="2"/>
  <x:c r="K3484" i="2"/>
  <x:c r="L3484" i="2"/>
  <x:c r="K3485" i="2"/>
  <x:c r="L3485" i="2"/>
  <x:c r="K3486" i="2"/>
  <x:c r="L3486" i="2"/>
  <x:c r="K3487" i="2"/>
  <x:c r="L3487" i="2"/>
  <x:c r="K3488" i="2"/>
  <x:c r="L3488" i="2"/>
  <x:c r="K3489" i="2"/>
  <x:c r="L3489" i="2"/>
  <x:c r="K3490" i="2"/>
  <x:c r="L3490" i="2"/>
  <x:c r="K3491" i="2"/>
  <x:c r="L3491" i="2"/>
  <x:c r="K3492" i="2"/>
  <x:c r="L3492" i="2"/>
  <x:c r="K3493" i="2"/>
  <x:c r="L3493" i="2"/>
  <x:c r="K3494" i="2"/>
  <x:c r="L3494" i="2"/>
  <x:c r="K3495" i="2"/>
  <x:c r="L3495" i="2"/>
  <x:c r="K3496" i="2"/>
  <x:c r="L3496" i="2"/>
  <x:c r="K3497" i="2"/>
  <x:c r="L3497" i="2"/>
  <x:c r="K3498" i="2"/>
  <x:c r="L3498" i="2"/>
  <x:c r="K3499" i="2"/>
  <x:c r="L3499" i="2"/>
  <x:c r="K3500" i="2"/>
  <x:c r="L3500" i="2"/>
  <x:c r="K3501" i="2"/>
  <x:c r="L3501" i="2"/>
  <x:c r="K3502" i="2"/>
  <x:c r="L3502" i="2"/>
  <x:c r="K3503" i="2"/>
  <x:c r="L3503" i="2"/>
  <x:c r="K3504" i="2"/>
  <x:c r="L3504" i="2"/>
  <x:c r="K3505" i="2"/>
  <x:c r="L3505" i="2"/>
  <x:c r="K3506" i="2"/>
  <x:c r="L3506" i="2"/>
  <x:c r="K3507" i="2"/>
  <x:c r="L3507" i="2"/>
  <x:c r="K3508" i="2"/>
  <x:c r="L3508" i="2"/>
  <x:c r="K3509" i="2"/>
  <x:c r="L3509" i="2"/>
  <x:c r="K3510" i="2"/>
  <x:c r="L3510" i="2"/>
  <x:c r="K3511" i="2"/>
  <x:c r="L3511" i="2"/>
  <x:c r="K3512" i="2"/>
  <x:c r="L3512" i="2"/>
  <x:c r="K3513" i="2"/>
  <x:c r="L3513" i="2"/>
  <x:c r="K3514" i="2"/>
  <x:c r="L3514" i="2"/>
  <x:c r="K3515" i="2"/>
  <x:c r="L3515" i="2"/>
  <x:c r="K3516" i="2"/>
  <x:c r="L3516" i="2"/>
  <x:c r="K3517" i="2"/>
  <x:c r="L3517" i="2"/>
  <x:c r="K3518" i="2"/>
  <x:c r="L3518" i="2"/>
  <x:c r="K3519" i="2"/>
  <x:c r="L3519" i="2"/>
  <x:c r="K3520" i="2"/>
  <x:c r="L3520" i="2"/>
  <x:c r="K3521" i="2"/>
  <x:c r="L3521" i="2"/>
  <x:c r="K3522" i="2"/>
  <x:c r="L3522" i="2"/>
  <x:c r="K3523" i="2"/>
  <x:c r="L3523" i="2"/>
  <x:c r="K3524" i="2"/>
  <x:c r="L3524" i="2"/>
  <x:c r="K3525" i="2"/>
  <x:c r="L3525" i="2"/>
  <x:c r="K3526" i="2"/>
  <x:c r="L3526" i="2"/>
  <x:c r="K3527" i="2"/>
  <x:c r="L3527" i="2"/>
  <x:c r="K3528" i="2"/>
  <x:c r="L3528" i="2"/>
  <x:c r="K3529" i="2"/>
  <x:c r="L3529" i="2"/>
  <x:c r="K3530" i="2"/>
  <x:c r="L3530" i="2"/>
  <x:c r="K3531" i="2"/>
  <x:c r="L3531" i="2"/>
  <x:c r="K3532" i="2"/>
  <x:c r="L3532" i="2"/>
  <x:c r="K3533" i="2"/>
  <x:c r="L3533" i="2"/>
  <x:c r="K3534" i="2"/>
  <x:c r="L3534" i="2"/>
  <x:c r="K3535" i="2"/>
  <x:c r="L3535" i="2"/>
  <x:c r="K3536" i="2"/>
  <x:c r="L3536" i="2"/>
  <x:c r="K3537" i="2"/>
  <x:c r="L3537" i="2"/>
  <x:c r="K3538" i="2"/>
  <x:c r="L3538" i="2"/>
  <x:c r="K3539" i="2"/>
  <x:c r="L3539" i="2"/>
  <x:c r="K3540" i="2"/>
  <x:c r="L3540" i="2"/>
  <x:c r="K3541" i="2"/>
  <x:c r="L3541" i="2"/>
  <x:c r="K3542" i="2"/>
  <x:c r="L3542" i="2"/>
  <x:c r="K3543" i="2"/>
  <x:c r="L3543" i="2"/>
  <x:c r="K3544" i="2"/>
  <x:c r="L3544" i="2"/>
  <x:c r="K3545" i="2"/>
  <x:c r="L3545" i="2"/>
  <x:c r="K3546" i="2"/>
  <x:c r="L3546" i="2"/>
  <x:c r="K3547" i="2"/>
  <x:c r="L3547" i="2"/>
  <x:c r="K3548" i="2"/>
  <x:c r="L3548" i="2"/>
  <x:c r="K3549" i="2"/>
  <x:c r="L3549" i="2"/>
  <x:c r="K3550" i="2"/>
  <x:c r="L3550" i="2"/>
  <x:c r="K3551" i="2"/>
  <x:c r="L3551" i="2"/>
  <x:c r="K3552" i="2"/>
  <x:c r="L3552" i="2"/>
  <x:c r="K3553" i="2"/>
  <x:c r="L3553" i="2"/>
  <x:c r="K3554" i="2"/>
  <x:c r="L3554" i="2"/>
  <x:c r="K3555" i="2"/>
  <x:c r="L3555" i="2"/>
  <x:c r="K3556" i="2"/>
  <x:c r="L3556" i="2"/>
  <x:c r="K3557" i="2"/>
  <x:c r="L3557" i="2"/>
  <x:c r="K3558" i="2"/>
  <x:c r="L3558" i="2"/>
  <x:c r="K3559" i="2"/>
  <x:c r="L3559" i="2"/>
  <x:c r="K3560" i="2"/>
  <x:c r="L3560" i="2"/>
  <x:c r="K3561" i="2"/>
  <x:c r="L3561" i="2"/>
  <x:c r="K3562" i="2"/>
  <x:c r="L3562" i="2"/>
  <x:c r="K3563" i="2"/>
  <x:c r="L3563" i="2"/>
  <x:c r="K3564" i="2"/>
  <x:c r="L3564" i="2"/>
  <x:c r="K3565" i="2"/>
  <x:c r="L3565" i="2"/>
  <x:c r="K3566" i="2"/>
  <x:c r="L3566" i="2"/>
  <x:c r="K3567" i="2"/>
  <x:c r="L3567" i="2"/>
  <x:c r="K3568" i="2"/>
  <x:c r="L3568" i="2"/>
  <x:c r="K3569" i="2"/>
  <x:c r="L3569" i="2"/>
  <x:c r="K3570" i="2"/>
  <x:c r="L3570" i="2"/>
  <x:c r="K3571" i="2"/>
  <x:c r="L3571" i="2"/>
  <x:c r="K3572" i="2"/>
  <x:c r="L3572" i="2"/>
  <x:c r="K3573" i="2"/>
  <x:c r="L3573" i="2"/>
  <x:c r="K3574" i="2"/>
  <x:c r="L3574" i="2"/>
  <x:c r="K3575" i="2"/>
  <x:c r="L3575" i="2"/>
  <x:c r="K3576" i="2"/>
  <x:c r="L3576" i="2"/>
  <x:c r="K3577" i="2"/>
  <x:c r="L3577" i="2"/>
  <x:c r="K3578" i="2"/>
  <x:c r="L3578" i="2"/>
  <x:c r="K3579" i="2"/>
  <x:c r="L3579" i="2"/>
  <x:c r="K3580" i="2"/>
  <x:c r="L3580" i="2"/>
  <x:c r="K3581" i="2"/>
  <x:c r="L3581" i="2"/>
  <x:c r="K3582" i="2"/>
  <x:c r="L3582" i="2"/>
  <x:c r="K3583" i="2"/>
  <x:c r="L3583" i="2"/>
  <x:c r="K3584" i="2"/>
  <x:c r="L3584" i="2"/>
  <x:c r="K3585" i="2"/>
  <x:c r="L3585" i="2"/>
  <x:c r="K3586" i="2"/>
  <x:c r="L3586" i="2"/>
  <x:c r="K3587" i="2"/>
  <x:c r="L3587" i="2"/>
  <x:c r="K3588" i="2"/>
  <x:c r="L3588" i="2"/>
  <x:c r="K3589" i="2"/>
  <x:c r="L3589" i="2"/>
  <x:c r="K3590" i="2"/>
  <x:c r="L3590" i="2"/>
  <x:c r="K3591" i="2"/>
  <x:c r="L3591" i="2"/>
  <x:c r="K3592" i="2"/>
  <x:c r="L3592" i="2"/>
  <x:c r="K3593" i="2"/>
  <x:c r="L3593" i="2"/>
  <x:c r="K3594" i="2"/>
  <x:c r="L3594" i="2"/>
  <x:c r="K3595" i="2"/>
  <x:c r="L3595" i="2"/>
  <x:c r="K3596" i="2"/>
  <x:c r="L3596" i="2"/>
  <x:c r="K3597" i="2"/>
  <x:c r="L3597" i="2"/>
  <x:c r="K3598" i="2"/>
  <x:c r="L3598" i="2"/>
  <x:c r="K3599" i="2"/>
  <x:c r="L3599" i="2"/>
  <x:c r="K3600" i="2"/>
  <x:c r="L3600" i="2"/>
  <x:c r="K3601" i="2"/>
  <x:c r="L3601" i="2"/>
  <x:c r="K3602" i="2"/>
  <x:c r="L3602" i="2"/>
  <x:c r="K3603" i="2"/>
  <x:c r="L3603" i="2"/>
  <x:c r="K3604" i="2"/>
  <x:c r="L3604" i="2"/>
  <x:c r="K3605" i="2"/>
  <x:c r="L3605" i="2"/>
  <x:c r="K3606" i="2"/>
  <x:c r="L3606" i="2"/>
  <x:c r="K3607" i="2"/>
  <x:c r="L3607" i="2"/>
  <x:c r="K3608" i="2"/>
  <x:c r="L3608" i="2"/>
  <x:c r="K3609" i="2"/>
  <x:c r="L3609" i="2"/>
  <x:c r="K3610" i="2"/>
  <x:c r="L3610" i="2"/>
  <x:c r="K3611" i="2"/>
  <x:c r="L3611" i="2"/>
  <x:c r="K3612" i="2"/>
  <x:c r="L3612" i="2"/>
  <x:c r="K3613" i="2"/>
  <x:c r="L3613" i="2"/>
  <x:c r="K3614" i="2"/>
  <x:c r="L3614" i="2"/>
  <x:c r="K3615" i="2"/>
  <x:c r="L3615" i="2"/>
  <x:c r="K3616" i="2"/>
  <x:c r="L3616" i="2"/>
  <x:c r="K3617" i="2"/>
  <x:c r="L3617" i="2"/>
  <x:c r="K3618" i="2"/>
  <x:c r="L3618" i="2"/>
  <x:c r="K3619" i="2"/>
  <x:c r="L3619" i="2"/>
  <x:c r="K3620" i="2"/>
  <x:c r="L3620" i="2"/>
  <x:c r="K3621" i="2"/>
  <x:c r="L3621" i="2"/>
  <x:c r="K3622" i="2"/>
  <x:c r="L3622" i="2"/>
  <x:c r="K3623" i="2"/>
  <x:c r="L3623" i="2"/>
  <x:c r="K3624" i="2"/>
  <x:c r="L3624" i="2"/>
  <x:c r="K3625" i="2"/>
  <x:c r="L3625" i="2"/>
  <x:c r="K3626" i="2"/>
  <x:c r="L3626" i="2"/>
  <x:c r="K3627" i="2"/>
  <x:c r="L3627" i="2"/>
  <x:c r="K3628" i="2"/>
  <x:c r="L3628" i="2"/>
  <x:c r="K3629" i="2"/>
  <x:c r="L3629" i="2"/>
  <x:c r="K3630" i="2"/>
  <x:c r="L3630" i="2"/>
  <x:c r="K3631" i="2"/>
  <x:c r="L3631" i="2"/>
  <x:c r="K3632" i="2"/>
  <x:c r="L3632" i="2"/>
  <x:c r="K3633" i="2"/>
  <x:c r="L3633" i="2"/>
  <x:c r="K3634" i="2"/>
  <x:c r="L3634" i="2"/>
  <x:c r="K3635" i="2"/>
  <x:c r="L3635" i="2"/>
  <x:c r="K3636" i="2"/>
  <x:c r="L3636" i="2"/>
  <x:c r="K3637" i="2"/>
  <x:c r="L3637" i="2"/>
  <x:c r="K3638" i="2"/>
  <x:c r="L3638" i="2"/>
  <x:c r="K3639" i="2"/>
  <x:c r="L3639" i="2"/>
  <x:c r="K3640" i="2"/>
  <x:c r="L3640" i="2"/>
  <x:c r="K3641" i="2"/>
  <x:c r="L3641" i="2"/>
  <x:c r="K3642" i="2"/>
  <x:c r="L3642" i="2"/>
  <x:c r="K3643" i="2"/>
  <x:c r="L3643" i="2"/>
  <x:c r="K3644" i="2"/>
  <x:c r="L3644" i="2"/>
  <x:c r="K3645" i="2"/>
  <x:c r="L3645" i="2"/>
  <x:c r="K3646" i="2"/>
  <x:c r="L3646" i="2"/>
  <x:c r="K3647" i="2"/>
  <x:c r="L3647" i="2"/>
  <x:c r="K3648" i="2"/>
  <x:c r="L3648" i="2"/>
  <x:c r="K3649" i="2"/>
  <x:c r="L3649" i="2"/>
  <x:c r="K3650" i="2"/>
  <x:c r="L3650" i="2"/>
  <x:c r="K3651" i="2"/>
  <x:c r="L3651" i="2"/>
  <x:c r="K3652" i="2"/>
  <x:c r="L3652" i="2"/>
  <x:c r="K3653" i="2"/>
  <x:c r="L3653" i="2"/>
  <x:c r="K3654" i="2"/>
  <x:c r="L3654" i="2"/>
  <x:c r="K3655" i="2"/>
  <x:c r="L3655" i="2"/>
  <x:c r="K3656" i="2"/>
  <x:c r="L3656" i="2"/>
  <x:c r="K3657" i="2"/>
  <x:c r="L3657" i="2"/>
  <x:c r="K3658" i="2"/>
  <x:c r="L3658" i="2"/>
  <x:c r="K3659" i="2"/>
  <x:c r="L3659" i="2"/>
  <x:c r="K3660" i="2"/>
  <x:c r="L3660" i="2"/>
  <x:c r="K3661" i="2"/>
  <x:c r="L3661" i="2"/>
  <x:c r="K3662" i="2"/>
  <x:c r="L3662" i="2"/>
  <x:c r="K3663" i="2"/>
  <x:c r="L3663" i="2"/>
  <x:c r="K3664" i="2"/>
  <x:c r="L3664" i="2"/>
  <x:c r="K3665" i="2"/>
  <x:c r="L3665" i="2"/>
  <x:c r="K3666" i="2"/>
  <x:c r="L3666" i="2"/>
  <x:c r="K3667" i="2"/>
  <x:c r="L3667" i="2"/>
  <x:c r="K3668" i="2"/>
  <x:c r="L3668" i="2"/>
  <x:c r="K3669" i="2"/>
  <x:c r="L3669" i="2"/>
  <x:c r="K3670" i="2"/>
  <x:c r="L3670" i="2"/>
  <x:c r="K3671" i="2"/>
  <x:c r="L3671" i="2"/>
  <x:c r="K3672" i="2"/>
  <x:c r="L3672" i="2"/>
  <x:c r="K3673" i="2"/>
  <x:c r="L3673" i="2"/>
  <x:c r="K3674" i="2"/>
  <x:c r="L3674" i="2"/>
  <x:c r="K3675" i="2"/>
  <x:c r="L3675" i="2"/>
  <x:c r="K3676" i="2"/>
  <x:c r="L3676" i="2"/>
  <x:c r="K3677" i="2"/>
  <x:c r="L3677" i="2"/>
  <x:c r="K3678" i="2"/>
  <x:c r="L3678" i="2"/>
  <x:c r="K3679" i="2"/>
  <x:c r="L3679" i="2"/>
  <x:c r="K3680" i="2"/>
  <x:c r="L3680" i="2"/>
  <x:c r="K3681" i="2"/>
  <x:c r="L3681" i="2"/>
  <x:c r="K3682" i="2"/>
  <x:c r="L3682" i="2"/>
  <x:c r="K3683" i="2"/>
  <x:c r="L3683" i="2"/>
  <x:c r="K3684" i="2"/>
  <x:c r="L3684" i="2"/>
  <x:c r="K3685" i="2"/>
  <x:c r="L3685" i="2"/>
  <x:c r="K3686" i="2"/>
  <x:c r="L3686" i="2"/>
  <x:c r="K3687" i="2"/>
  <x:c r="L3687" i="2"/>
  <x:c r="K3688" i="2"/>
  <x:c r="L3688" i="2"/>
  <x:c r="K3689" i="2"/>
  <x:c r="L3689" i="2"/>
  <x:c r="K3690" i="2"/>
  <x:c r="L3690" i="2"/>
  <x:c r="K3691" i="2"/>
  <x:c r="L3691" i="2"/>
  <x:c r="K3692" i="2"/>
  <x:c r="L3692" i="2"/>
  <x:c r="K3693" i="2"/>
  <x:c r="L3693" i="2"/>
  <x:c r="K3694" i="2"/>
  <x:c r="L3694" i="2"/>
  <x:c r="K3695" i="2"/>
  <x:c r="L3695" i="2"/>
  <x:c r="K3696" i="2"/>
  <x:c r="L3696" i="2"/>
  <x:c r="K3697" i="2"/>
  <x:c r="L3697" i="2"/>
  <x:c r="K3698" i="2"/>
  <x:c r="L3698" i="2"/>
  <x:c r="K3699" i="2"/>
  <x:c r="L3699" i="2"/>
  <x:c r="K3700" i="2"/>
  <x:c r="L3700" i="2"/>
  <x:c r="K3701" i="2"/>
  <x:c r="L3701" i="2"/>
  <x:c r="K3702" i="2"/>
  <x:c r="L3702" i="2"/>
  <x:c r="K3703" i="2"/>
  <x:c r="L3703" i="2"/>
  <x:c r="K3704" i="2"/>
  <x:c r="L3704" i="2"/>
  <x:c r="K3705" i="2"/>
  <x:c r="L3705" i="2"/>
  <x:c r="K3706" i="2"/>
  <x:c r="L3706" i="2"/>
  <x:c r="K3707" i="2"/>
  <x:c r="L3707" i="2"/>
  <x:c r="K3708" i="2"/>
  <x:c r="L3708" i="2"/>
  <x:c r="K3709" i="2"/>
  <x:c r="L3709" i="2"/>
  <x:c r="K3710" i="2"/>
  <x:c r="L3710" i="2"/>
  <x:c r="K3711" i="2"/>
  <x:c r="L3711" i="2"/>
  <x:c r="K3712" i="2"/>
  <x:c r="L3712" i="2"/>
  <x:c r="K3713" i="2"/>
  <x:c r="L3713" i="2"/>
  <x:c r="K3714" i="2"/>
  <x:c r="L3714" i="2"/>
  <x:c r="K3715" i="2"/>
  <x:c r="L3715" i="2"/>
  <x:c r="K3716" i="2"/>
  <x:c r="L3716" i="2"/>
  <x:c r="K3717" i="2"/>
  <x:c r="L3717" i="2"/>
  <x:c r="K3718" i="2"/>
  <x:c r="L3718" i="2"/>
  <x:c r="K3719" i="2"/>
  <x:c r="L3719" i="2"/>
  <x:c r="K3720" i="2"/>
  <x:c r="L3720" i="2"/>
  <x:c r="K3721" i="2"/>
  <x:c r="L3721" i="2"/>
  <x:c r="K3722" i="2"/>
  <x:c r="L3722" i="2"/>
  <x:c r="K3723" i="2"/>
  <x:c r="L3723" i="2"/>
  <x:c r="K3724" i="2"/>
  <x:c r="L3724" i="2"/>
  <x:c r="K3725" i="2"/>
  <x:c r="L3725" i="2"/>
  <x:c r="K3726" i="2"/>
  <x:c r="L3726" i="2"/>
  <x:c r="K3727" i="2"/>
  <x:c r="L3727" i="2"/>
  <x:c r="K3728" i="2"/>
  <x:c r="L3728" i="2"/>
  <x:c r="K3729" i="2"/>
  <x:c r="L3729" i="2"/>
  <x:c r="K3730" i="2"/>
  <x:c r="L3730" i="2"/>
  <x:c r="K3731" i="2"/>
  <x:c r="L3731" i="2"/>
  <x:c r="K3732" i="2"/>
  <x:c r="L3732" i="2"/>
  <x:c r="K3733" i="2"/>
  <x:c r="L3733" i="2"/>
  <x:c r="K3734" i="2"/>
  <x:c r="L3734" i="2"/>
  <x:c r="K3735" i="2"/>
  <x:c r="L3735" i="2"/>
  <x:c r="K3736" i="2"/>
  <x:c r="L3736" i="2"/>
  <x:c r="K3737" i="2"/>
  <x:c r="L3737" i="2"/>
  <x:c r="K3738" i="2"/>
  <x:c r="L3738" i="2"/>
  <x:c r="K3739" i="2"/>
  <x:c r="L3739" i="2"/>
  <x:c r="K3740" i="2"/>
  <x:c r="L3740" i="2"/>
  <x:c r="K3741" i="2"/>
  <x:c r="L3741" i="2"/>
  <x:c r="K3742" i="2"/>
  <x:c r="L3742" i="2"/>
  <x:c r="K3743" i="2"/>
  <x:c r="L3743" i="2"/>
  <x:c r="K3744" i="2"/>
  <x:c r="L3744" i="2"/>
  <x:c r="K3745" i="2"/>
  <x:c r="L3745" i="2"/>
  <x:c r="K3746" i="2"/>
  <x:c r="L3746" i="2"/>
  <x:c r="K3747" i="2"/>
  <x:c r="L3747" i="2"/>
  <x:c r="K3748" i="2"/>
  <x:c r="L3748" i="2"/>
  <x:c r="K3749" i="2"/>
  <x:c r="L3749" i="2"/>
  <x:c r="K3750" i="2"/>
  <x:c r="L3750" i="2"/>
  <x:c r="K3751" i="2"/>
  <x:c r="L3751" i="2"/>
  <x:c r="K3752" i="2"/>
  <x:c r="L3752" i="2"/>
  <x:c r="K3753" i="2"/>
  <x:c r="L3753" i="2"/>
  <x:c r="K3754" i="2"/>
  <x:c r="L3754" i="2"/>
  <x:c r="K3755" i="2"/>
  <x:c r="L3755" i="2"/>
  <x:c r="K3756" i="2"/>
  <x:c r="L3756" i="2"/>
  <x:c r="K3757" i="2"/>
  <x:c r="L3757" i="2"/>
  <x:c r="K3758" i="2"/>
  <x:c r="L3758" i="2"/>
  <x:c r="K3759" i="2"/>
  <x:c r="L3759" i="2"/>
  <x:c r="K3760" i="2"/>
  <x:c r="L3760" i="2"/>
  <x:c r="K3761" i="2"/>
  <x:c r="L3761" i="2"/>
  <x:c r="K3762" i="2"/>
  <x:c r="L3762" i="2"/>
  <x:c r="K3763" i="2"/>
  <x:c r="L3763" i="2"/>
  <x:c r="K3764" i="2"/>
  <x:c r="L3764" i="2"/>
  <x:c r="K3765" i="2"/>
  <x:c r="L3765" i="2"/>
  <x:c r="K3766" i="2"/>
  <x:c r="L3766" i="2"/>
  <x:c r="K3767" i="2"/>
  <x:c r="L3767" i="2"/>
  <x:c r="K3768" i="2"/>
  <x:c r="L3768" i="2"/>
  <x:c r="K3769" i="2"/>
  <x:c r="L3769" i="2"/>
  <x:c r="K3770" i="2"/>
  <x:c r="L3770" i="2"/>
  <x:c r="K3771" i="2"/>
  <x:c r="L3771" i="2"/>
  <x:c r="K3772" i="2"/>
  <x:c r="L3772" i="2"/>
  <x:c r="K3773" i="2"/>
  <x:c r="L3773" i="2"/>
  <x:c r="K3774" i="2"/>
  <x:c r="L3774" i="2"/>
  <x:c r="K3775" i="2"/>
  <x:c r="L3775" i="2"/>
  <x:c r="K3776" i="2"/>
  <x:c r="L3776" i="2"/>
  <x:c r="K3777" i="2"/>
  <x:c r="L3777" i="2"/>
  <x:c r="K3778" i="2"/>
  <x:c r="L3778" i="2"/>
  <x:c r="K3779" i="2"/>
  <x:c r="L3779" i="2"/>
  <x:c r="K3780" i="2"/>
  <x:c r="L3780" i="2"/>
  <x:c r="K3781" i="2"/>
  <x:c r="L3781" i="2"/>
  <x:c r="K3782" i="2"/>
  <x:c r="L3782" i="2"/>
  <x:c r="K3783" i="2"/>
  <x:c r="L3783" i="2"/>
  <x:c r="K3784" i="2"/>
  <x:c r="L3784" i="2"/>
  <x:c r="K3785" i="2"/>
  <x:c r="L3785" i="2"/>
  <x:c r="K3786" i="2"/>
  <x:c r="L3786" i="2"/>
  <x:c r="K3787" i="2"/>
  <x:c r="L3787" i="2"/>
  <x:c r="K3788" i="2"/>
  <x:c r="L3788" i="2"/>
  <x:c r="K3789" i="2"/>
  <x:c r="L3789" i="2"/>
  <x:c r="K3790" i="2"/>
  <x:c r="L3790" i="2"/>
  <x:c r="K3791" i="2"/>
  <x:c r="L3791" i="2"/>
  <x:c r="K3792" i="2"/>
  <x:c r="L3792" i="2"/>
  <x:c r="K3793" i="2"/>
  <x:c r="L3793" i="2"/>
  <x:c r="K3794" i="2"/>
  <x:c r="L3794" i="2"/>
  <x:c r="K3795" i="2"/>
  <x:c r="L3795" i="2"/>
  <x:c r="K3796" i="2"/>
  <x:c r="L3796" i="2"/>
  <x:c r="K3797" i="2"/>
  <x:c r="L3797" i="2"/>
  <x:c r="K3798" i="2"/>
  <x:c r="L3798" i="2"/>
  <x:c r="K3799" i="2"/>
  <x:c r="L3799" i="2"/>
  <x:c r="K3800" i="2"/>
  <x:c r="L3800" i="2"/>
  <x:c r="K3801" i="2"/>
  <x:c r="L3801" i="2"/>
  <x:c r="K3802" i="2"/>
  <x:c r="L3802" i="2"/>
  <x:c r="K3803" i="2"/>
  <x:c r="L3803" i="2"/>
  <x:c r="K3804" i="2"/>
  <x:c r="L3804" i="2"/>
  <x:c r="K3805" i="2"/>
  <x:c r="L3805" i="2"/>
  <x:c r="K3806" i="2"/>
  <x:c r="L3806" i="2"/>
  <x:c r="K3807" i="2"/>
  <x:c r="L3807" i="2"/>
  <x:c r="K3808" i="2"/>
  <x:c r="L3808" i="2"/>
  <x:c r="K3809" i="2"/>
  <x:c r="L3809" i="2"/>
  <x:c r="K3810" i="2"/>
  <x:c r="L3810" i="2"/>
  <x:c r="K3811" i="2"/>
  <x:c r="L3811" i="2"/>
  <x:c r="K3812" i="2"/>
  <x:c r="L3812" i="2"/>
  <x:c r="K3813" i="2"/>
  <x:c r="L3813" i="2"/>
  <x:c r="K3814" i="2"/>
  <x:c r="L3814" i="2"/>
  <x:c r="K3815" i="2"/>
  <x:c r="L3815" i="2"/>
  <x:c r="K3816" i="2"/>
  <x:c r="L3816" i="2"/>
  <x:c r="K3817" i="2"/>
  <x:c r="L3817" i="2"/>
  <x:c r="K3818" i="2"/>
  <x:c r="L3818" i="2"/>
  <x:c r="K3819" i="2"/>
  <x:c r="L3819" i="2"/>
  <x:c r="K3820" i="2"/>
  <x:c r="L3820" i="2"/>
  <x:c r="K3821" i="2"/>
  <x:c r="L3821" i="2"/>
  <x:c r="K3822" i="2"/>
  <x:c r="L3822" i="2"/>
  <x:c r="K3823" i="2"/>
  <x:c r="L3823" i="2"/>
  <x:c r="K3824" i="2"/>
  <x:c r="L3824" i="2"/>
  <x:c r="K3825" i="2"/>
  <x:c r="L3825" i="2"/>
  <x:c r="K3826" i="2"/>
  <x:c r="L3826" i="2"/>
  <x:c r="K3827" i="2"/>
  <x:c r="L3827" i="2"/>
  <x:c r="K3828" i="2"/>
  <x:c r="L3828" i="2"/>
  <x:c r="K3829" i="2"/>
  <x:c r="L3829" i="2"/>
  <x:c r="K3830" i="2"/>
  <x:c r="L3830" i="2"/>
  <x:c r="K3831" i="2"/>
  <x:c r="L3831" i="2"/>
  <x:c r="K3832" i="2"/>
  <x:c r="L3832" i="2"/>
  <x:c r="K3833" i="2"/>
  <x:c r="L3833" i="2"/>
  <x:c r="K3834" i="2"/>
  <x:c r="L3834" i="2"/>
  <x:c r="K3835" i="2"/>
  <x:c r="L3835" i="2"/>
  <x:c r="K3836" i="2"/>
  <x:c r="L3836" i="2"/>
  <x:c r="K3837" i="2"/>
  <x:c r="L3837" i="2"/>
  <x:c r="K3838" i="2"/>
  <x:c r="L3838" i="2"/>
  <x:c r="K3839" i="2"/>
  <x:c r="L3839" i="2"/>
  <x:c r="K3840" i="2"/>
  <x:c r="L3840" i="2"/>
  <x:c r="K3841" i="2"/>
  <x:c r="L3841" i="2"/>
  <x:c r="K3842" i="2"/>
  <x:c r="L3842" i="2"/>
  <x:c r="K3843" i="2"/>
  <x:c r="L3843" i="2"/>
  <x:c r="K3844" i="2"/>
  <x:c r="L3844" i="2"/>
  <x:c r="K3845" i="2"/>
  <x:c r="L3845" i="2"/>
  <x:c r="K3846" i="2"/>
  <x:c r="L3846" i="2"/>
  <x:c r="K3847" i="2"/>
  <x:c r="L3847" i="2"/>
  <x:c r="K3848" i="2"/>
  <x:c r="L3848" i="2"/>
  <x:c r="K3849" i="2"/>
  <x:c r="L3849" i="2"/>
  <x:c r="K3850" i="2"/>
  <x:c r="L3850" i="2"/>
  <x:c r="K3851" i="2"/>
  <x:c r="L3851" i="2"/>
  <x:c r="K3852" i="2"/>
  <x:c r="L3852" i="2"/>
  <x:c r="K3853" i="2"/>
  <x:c r="L3853" i="2"/>
  <x:c r="K3854" i="2"/>
  <x:c r="L3854" i="2"/>
  <x:c r="K3855" i="2"/>
  <x:c r="L3855" i="2"/>
  <x:c r="K3856" i="2"/>
  <x:c r="L3856" i="2"/>
  <x:c r="K3857" i="2"/>
  <x:c r="L3857" i="2"/>
  <x:c r="K3858" i="2"/>
  <x:c r="L3858" i="2"/>
  <x:c r="K3859" i="2"/>
  <x:c r="L3859" i="2"/>
  <x:c r="K3860" i="2"/>
  <x:c r="L3860" i="2"/>
  <x:c r="K3861" i="2"/>
  <x:c r="L3861" i="2"/>
  <x:c r="K3862" i="2"/>
  <x:c r="L3862" i="2"/>
  <x:c r="K3863" i="2"/>
  <x:c r="L3863" i="2"/>
  <x:c r="K3864" i="2"/>
  <x:c r="L3864" i="2"/>
  <x:c r="K3865" i="2"/>
  <x:c r="L3865" i="2"/>
  <x:c r="K3866" i="2"/>
  <x:c r="L3866" i="2"/>
  <x:c r="K3867" i="2"/>
  <x:c r="L3867" i="2"/>
  <x:c r="K3868" i="2"/>
  <x:c r="L3868" i="2"/>
  <x:c r="K3869" i="2"/>
  <x:c r="L3869" i="2"/>
  <x:c r="K3870" i="2"/>
  <x:c r="L3870" i="2"/>
  <x:c r="K3871" i="2"/>
  <x:c r="L3871" i="2"/>
  <x:c r="K3872" i="2"/>
  <x:c r="L3872" i="2"/>
  <x:c r="K3873" i="2"/>
  <x:c r="L3873" i="2"/>
  <x:c r="K3874" i="2"/>
  <x:c r="L3874" i="2"/>
  <x:c r="K3875" i="2"/>
  <x:c r="L3875" i="2"/>
  <x:c r="K3876" i="2"/>
  <x:c r="L3876" i="2"/>
  <x:c r="K3877" i="2"/>
  <x:c r="L3877" i="2"/>
  <x:c r="K3878" i="2"/>
  <x:c r="L3878" i="2"/>
  <x:c r="K3879" i="2"/>
  <x:c r="L3879" i="2"/>
  <x:c r="K3880" i="2"/>
  <x:c r="L3880" i="2"/>
  <x:c r="K3881" i="2"/>
  <x:c r="L3881" i="2"/>
  <x:c r="K3882" i="2"/>
  <x:c r="L3882" i="2"/>
  <x:c r="K3883" i="2"/>
  <x:c r="L3883" i="2"/>
  <x:c r="K3884" i="2"/>
  <x:c r="L3884" i="2"/>
  <x:c r="K3885" i="2"/>
  <x:c r="L3885" i="2"/>
  <x:c r="K3886" i="2"/>
  <x:c r="L3886" i="2"/>
  <x:c r="K3887" i="2"/>
  <x:c r="L3887" i="2"/>
  <x:c r="K3888" i="2"/>
  <x:c r="L3888" i="2"/>
  <x:c r="K3889" i="2"/>
  <x:c r="L3889" i="2"/>
  <x:c r="K3890" i="2"/>
  <x:c r="L3890" i="2"/>
  <x:c r="K3891" i="2"/>
  <x:c r="L3891" i="2"/>
  <x:c r="K3892" i="2"/>
  <x:c r="L3892" i="2"/>
  <x:c r="K3893" i="2"/>
  <x:c r="L3893" i="2"/>
  <x:c r="K3894" i="2"/>
  <x:c r="L3894" i="2"/>
  <x:c r="K3895" i="2"/>
  <x:c r="L3895" i="2"/>
  <x:c r="K3896" i="2"/>
  <x:c r="L3896" i="2"/>
  <x:c r="K3897" i="2"/>
  <x:c r="L3897" i="2"/>
  <x:c r="K3898" i="2"/>
  <x:c r="L3898" i="2"/>
  <x:c r="K3899" i="2"/>
  <x:c r="L3899" i="2"/>
  <x:c r="K3900" i="2"/>
  <x:c r="L3900" i="2"/>
  <x:c r="K3901" i="2"/>
  <x:c r="L3901" i="2"/>
  <x:c r="K3902" i="2"/>
  <x:c r="L3902" i="2"/>
  <x:c r="K3903" i="2"/>
  <x:c r="L3903" i="2"/>
  <x:c r="K3904" i="2"/>
  <x:c r="L3904" i="2"/>
  <x:c r="K3905" i="2"/>
  <x:c r="L3905" i="2"/>
  <x:c r="K3906" i="2"/>
  <x:c r="L3906" i="2"/>
  <x:c r="K3907" i="2"/>
  <x:c r="L3907" i="2"/>
  <x:c r="K3908" i="2"/>
  <x:c r="L3908" i="2"/>
  <x:c r="K3909" i="2"/>
  <x:c r="L3909" i="2"/>
  <x:c r="K3910" i="2"/>
  <x:c r="L3910" i="2"/>
  <x:c r="K3911" i="2"/>
  <x:c r="L3911" i="2"/>
  <x:c r="K3912" i="2"/>
  <x:c r="L3912" i="2"/>
  <x:c r="K3913" i="2"/>
  <x:c r="L3913" i="2"/>
  <x:c r="K3914" i="2"/>
  <x:c r="L3914" i="2"/>
  <x:c r="K3915" i="2"/>
  <x:c r="L3915" i="2"/>
  <x:c r="K3916" i="2"/>
  <x:c r="L3916" i="2"/>
  <x:c r="K3917" i="2"/>
  <x:c r="L3917" i="2"/>
  <x:c r="K3918" i="2"/>
  <x:c r="L3918" i="2"/>
  <x:c r="K3919" i="2"/>
  <x:c r="L3919" i="2"/>
  <x:c r="K3920" i="2"/>
  <x:c r="L3920" i="2"/>
  <x:c r="K3921" i="2"/>
  <x:c r="L3921" i="2"/>
  <x:c r="K3922" i="2"/>
  <x:c r="L3922" i="2"/>
  <x:c r="K3923" i="2"/>
  <x:c r="L3923" i="2"/>
  <x:c r="K3924" i="2"/>
  <x:c r="L3924" i="2"/>
  <x:c r="K3925" i="2"/>
  <x:c r="L3925" i="2"/>
  <x:c r="K3926" i="2"/>
  <x:c r="L3926" i="2"/>
  <x:c r="K3927" i="2"/>
  <x:c r="L3927" i="2"/>
  <x:c r="K3928" i="2"/>
  <x:c r="L3928" i="2"/>
  <x:c r="K3929" i="2"/>
  <x:c r="L3929" i="2"/>
  <x:c r="K3930" i="2"/>
  <x:c r="L3930" i="2"/>
  <x:c r="K3931" i="2"/>
  <x:c r="L3931" i="2"/>
  <x:c r="K3932" i="2"/>
  <x:c r="L3932" i="2"/>
  <x:c r="K3933" i="2"/>
  <x:c r="L3933" i="2"/>
  <x:c r="K3934" i="2"/>
  <x:c r="L3934" i="2"/>
  <x:c r="K3935" i="2"/>
  <x:c r="L3935" i="2"/>
  <x:c r="K3936" i="2"/>
  <x:c r="L3936" i="2"/>
  <x:c r="K3937" i="2"/>
  <x:c r="L3937" i="2"/>
  <x:c r="K3938" i="2"/>
  <x:c r="L3938" i="2"/>
  <x:c r="K3939" i="2"/>
  <x:c r="L3939" i="2"/>
  <x:c r="K3940" i="2"/>
  <x:c r="L3940" i="2"/>
  <x:c r="K3941" i="2"/>
  <x:c r="L3941" i="2"/>
  <x:c r="K3942" i="2"/>
  <x:c r="L3942" i="2"/>
  <x:c r="K3943" i="2"/>
  <x:c r="L3943" i="2"/>
  <x:c r="K3944" i="2"/>
  <x:c r="L3944" i="2"/>
  <x:c r="K3945" i="2"/>
  <x:c r="L3945" i="2"/>
  <x:c r="K3946" i="2"/>
  <x:c r="L3946" i="2"/>
  <x:c r="K3947" i="2"/>
  <x:c r="L3947" i="2"/>
  <x:c r="K3948" i="2"/>
  <x:c r="L3948" i="2"/>
  <x:c r="K3949" i="2"/>
  <x:c r="L3949" i="2"/>
  <x:c r="K3950" i="2"/>
  <x:c r="L3950" i="2"/>
  <x:c r="K3951" i="2"/>
  <x:c r="L3951" i="2"/>
  <x:c r="K3952" i="2"/>
  <x:c r="L3952" i="2"/>
  <x:c r="K3953" i="2"/>
  <x:c r="L3953" i="2"/>
  <x:c r="K3954" i="2"/>
  <x:c r="L3954" i="2"/>
  <x:c r="K3955" i="2"/>
  <x:c r="L3955" i="2"/>
  <x:c r="K3956" i="2"/>
  <x:c r="L3956" i="2"/>
  <x:c r="K3957" i="2"/>
  <x:c r="L3957" i="2"/>
  <x:c r="K3958" i="2"/>
  <x:c r="L3958" i="2"/>
  <x:c r="K3959" i="2"/>
  <x:c r="L3959" i="2"/>
  <x:c r="K3960" i="2"/>
  <x:c r="L3960" i="2"/>
  <x:c r="K3961" i="2"/>
  <x:c r="L3961" i="2"/>
  <x:c r="K3962" i="2"/>
  <x:c r="L3962" i="2"/>
  <x:c r="K3963" i="2"/>
  <x:c r="L3963" i="2"/>
  <x:c r="K3964" i="2"/>
  <x:c r="L3964" i="2"/>
  <x:c r="K3965" i="2"/>
  <x:c r="L3965" i="2"/>
  <x:c r="K3966" i="2"/>
  <x:c r="L3966" i="2"/>
  <x:c r="K3967" i="2"/>
  <x:c r="L3967" i="2"/>
  <x:c r="K3968" i="2"/>
  <x:c r="L3968" i="2"/>
  <x:c r="K3969" i="2"/>
  <x:c r="L3969" i="2"/>
  <x:c r="K3970" i="2"/>
  <x:c r="L3970" i="2"/>
  <x:c r="K3971" i="2"/>
  <x:c r="L3971" i="2"/>
  <x:c r="K3972" i="2"/>
  <x:c r="L3972" i="2"/>
  <x:c r="K3973" i="2"/>
  <x:c r="L3973" i="2"/>
  <x:c r="K3974" i="2"/>
  <x:c r="L3974" i="2"/>
  <x:c r="K3975" i="2"/>
  <x:c r="L3975" i="2"/>
  <x:c r="K3976" i="2"/>
  <x:c r="L3976" i="2"/>
  <x:c r="K3977" i="2"/>
  <x:c r="L3977" i="2"/>
  <x:c r="K3978" i="2"/>
  <x:c r="L3978" i="2"/>
  <x:c r="K3979" i="2"/>
  <x:c r="L3979" i="2"/>
  <x:c r="K3980" i="2"/>
  <x:c r="L3980" i="2"/>
  <x:c r="K3981" i="2"/>
  <x:c r="L3981" i="2"/>
  <x:c r="K3982" i="2"/>
  <x:c r="L3982" i="2"/>
  <x:c r="K3983" i="2"/>
  <x:c r="L3983" i="2"/>
  <x:c r="K3984" i="2"/>
  <x:c r="L3984" i="2"/>
  <x:c r="K3985" i="2"/>
  <x:c r="L3985" i="2"/>
  <x:c r="K3986" i="2"/>
  <x:c r="L3986" i="2"/>
  <x:c r="K3987" i="2"/>
  <x:c r="L3987" i="2"/>
  <x:c r="K3988" i="2"/>
  <x:c r="L3988" i="2"/>
  <x:c r="K3989" i="2"/>
  <x:c r="L3989" i="2"/>
  <x:c r="K3990" i="2"/>
  <x:c r="L3990" i="2"/>
  <x:c r="K3991" i="2"/>
  <x:c r="L3991" i="2"/>
  <x:c r="K3992" i="2"/>
  <x:c r="L3992" i="2"/>
  <x:c r="K3993" i="2"/>
  <x:c r="L3993" i="2"/>
  <x:c r="K3994" i="2"/>
  <x:c r="L3994" i="2"/>
  <x:c r="K3995" i="2"/>
  <x:c r="L3995" i="2"/>
  <x:c r="K3996" i="2"/>
  <x:c r="L3996" i="2"/>
  <x:c r="K3997" i="2"/>
  <x:c r="L3997" i="2"/>
  <x:c r="K3998" i="2"/>
  <x:c r="L3998" i="2"/>
  <x:c r="K3999" i="2"/>
  <x:c r="L3999" i="2"/>
  <x:c r="K4000" i="2"/>
  <x:c r="L4000" i="2"/>
  <x:c r="K4001" i="2"/>
  <x:c r="L4001" i="2"/>
  <x:c r="K4002" i="2"/>
  <x:c r="L4002" i="2"/>
  <x:c r="K4003" i="2"/>
  <x:c r="L4003" i="2"/>
  <x:c r="K4004" i="2"/>
  <x:c r="L4004" i="2"/>
  <x:c r="K4005" i="2"/>
  <x:c r="L4005" i="2"/>
  <x:c r="K4006" i="2"/>
  <x:c r="L4006" i="2"/>
  <x:c r="K4007" i="2"/>
  <x:c r="L4007" i="2"/>
  <x:c r="K4008" i="2"/>
  <x:c r="L4008" i="2"/>
  <x:c r="K4009" i="2"/>
  <x:c r="L4009" i="2"/>
  <x:c r="K4010" i="2"/>
  <x:c r="L4010" i="2"/>
  <x:c r="K4011" i="2"/>
  <x:c r="L4011" i="2"/>
  <x:c r="K4012" i="2"/>
  <x:c r="L4012" i="2"/>
  <x:c r="K4013" i="2"/>
  <x:c r="L4013" i="2"/>
  <x:c r="K4014" i="2"/>
  <x:c r="L4014" i="2"/>
  <x:c r="K4015" i="2"/>
  <x:c r="L4015" i="2"/>
  <x:c r="K4016" i="2"/>
  <x:c r="L4016" i="2"/>
  <x:c r="K4017" i="2"/>
  <x:c r="L4017" i="2"/>
  <x:c r="K4018" i="2"/>
  <x:c r="L4018" i="2"/>
  <x:c r="K4019" i="2"/>
  <x:c r="L4019" i="2"/>
  <x:c r="K4020" i="2"/>
  <x:c r="L4020" i="2"/>
  <x:c r="K4021" i="2"/>
  <x:c r="L4021" i="2"/>
  <x:c r="K4022" i="2"/>
  <x:c r="L4022" i="2"/>
  <x:c r="K4023" i="2"/>
  <x:c r="L4023" i="2"/>
  <x:c r="K4024" i="2"/>
  <x:c r="L4024" i="2"/>
  <x:c r="K4025" i="2"/>
  <x:c r="L4025" i="2"/>
  <x:c r="K4026" i="2"/>
  <x:c r="L4026" i="2"/>
  <x:c r="K4027" i="2"/>
  <x:c r="L4027" i="2"/>
  <x:c r="K4028" i="2"/>
  <x:c r="L4028" i="2"/>
  <x:c r="K4029" i="2"/>
  <x:c r="L4029" i="2"/>
  <x:c r="K4030" i="2"/>
  <x:c r="L4030" i="2"/>
  <x:c r="K4031" i="2"/>
  <x:c r="L4031" i="2"/>
  <x:c r="K4032" i="2"/>
  <x:c r="L4032" i="2"/>
  <x:c r="K4033" i="2"/>
  <x:c r="L4033" i="2"/>
  <x:c r="K4034" i="2"/>
  <x:c r="L4034" i="2"/>
  <x:c r="K4035" i="2"/>
  <x:c r="L4035" i="2"/>
  <x:c r="K4036" i="2"/>
  <x:c r="L4036" i="2"/>
  <x:c r="K4037" i="2"/>
  <x:c r="L4037" i="2"/>
  <x:c r="K4038" i="2"/>
  <x:c r="L4038" i="2"/>
  <x:c r="K4039" i="2"/>
  <x:c r="L4039" i="2"/>
  <x:c r="K4040" i="2"/>
  <x:c r="L4040" i="2"/>
  <x:c r="K4041" i="2"/>
  <x:c r="L4041" i="2"/>
  <x:c r="K4042" i="2"/>
  <x:c r="L4042" i="2"/>
  <x:c r="K4043" i="2"/>
  <x:c r="L4043" i="2"/>
  <x:c r="K4044" i="2"/>
  <x:c r="L4044" i="2"/>
  <x:c r="K4045" i="2"/>
  <x:c r="L4045" i="2"/>
  <x:c r="K4046" i="2"/>
  <x:c r="L4046" i="2"/>
  <x:c r="K4047" i="2"/>
  <x:c r="L4047" i="2"/>
  <x:c r="K4048" i="2"/>
  <x:c r="L4048" i="2"/>
  <x:c r="K4049" i="2"/>
  <x:c r="L4049" i="2"/>
  <x:c r="K4050" i="2"/>
  <x:c r="L4050" i="2"/>
  <x:c r="K4051" i="2"/>
  <x:c r="L4051" i="2"/>
  <x:c r="K4052" i="2"/>
  <x:c r="L4052" i="2"/>
  <x:c r="K4053" i="2"/>
  <x:c r="L4053" i="2"/>
  <x:c r="K4054" i="2"/>
  <x:c r="L4054" i="2"/>
  <x:c r="K4055" i="2"/>
  <x:c r="L4055" i="2"/>
  <x:c r="K4056" i="2"/>
  <x:c r="L4056" i="2"/>
  <x:c r="K4057" i="2"/>
  <x:c r="L4057" i="2"/>
  <x:c r="K4058" i="2"/>
  <x:c r="L4058" i="2"/>
  <x:c r="K4059" i="2"/>
  <x:c r="L4059" i="2"/>
  <x:c r="K4060" i="2"/>
  <x:c r="L4060" i="2"/>
  <x:c r="K4061" i="2"/>
  <x:c r="L4061" i="2"/>
  <x:c r="K4062" i="2"/>
  <x:c r="L4062" i="2"/>
  <x:c r="K4063" i="2"/>
  <x:c r="L4063" i="2"/>
  <x:c r="K4064" i="2"/>
  <x:c r="L4064" i="2"/>
  <x:c r="K4065" i="2"/>
  <x:c r="L4065" i="2"/>
  <x:c r="K4066" i="2"/>
  <x:c r="L4066" i="2"/>
  <x:c r="K4067" i="2"/>
  <x:c r="L4067" i="2"/>
  <x:c r="K4068" i="2"/>
  <x:c r="L4068" i="2"/>
  <x:c r="K4069" i="2"/>
  <x:c r="L4069" i="2"/>
  <x:c r="K4070" i="2"/>
  <x:c r="L4070" i="2"/>
  <x:c r="K4071" i="2"/>
  <x:c r="L4071" i="2"/>
  <x:c r="K4072" i="2"/>
  <x:c r="L4072" i="2"/>
  <x:c r="K4073" i="2"/>
  <x:c r="L4073" i="2"/>
  <x:c r="K4074" i="2"/>
  <x:c r="L4074" i="2"/>
  <x:c r="K4075" i="2"/>
  <x:c r="L4075" i="2"/>
  <x:c r="K4076" i="2"/>
  <x:c r="L4076" i="2"/>
  <x:c r="K4077" i="2"/>
  <x:c r="L4077" i="2"/>
  <x:c r="K4078" i="2"/>
  <x:c r="L4078" i="2"/>
  <x:c r="K4079" i="2"/>
  <x:c r="L4079" i="2"/>
  <x:c r="K4080" i="2"/>
  <x:c r="L4080" i="2"/>
  <x:c r="K4081" i="2"/>
  <x:c r="L4081" i="2"/>
  <x:c r="K4082" i="2"/>
  <x:c r="L4082" i="2"/>
  <x:c r="K4083" i="2"/>
  <x:c r="L4083" i="2"/>
  <x:c r="K4084" i="2"/>
  <x:c r="L4084" i="2"/>
  <x:c r="K4085" i="2"/>
  <x:c r="L4085" i="2"/>
  <x:c r="K4086" i="2"/>
  <x:c r="L4086" i="2"/>
  <x:c r="K4087" i="2"/>
  <x:c r="L4087" i="2"/>
  <x:c r="K4088" i="2"/>
  <x:c r="L4088" i="2"/>
  <x:c r="K4089" i="2"/>
  <x:c r="L4089" i="2"/>
  <x:c r="K4090" i="2"/>
  <x:c r="L4090" i="2"/>
  <x:c r="K4091" i="2"/>
  <x:c r="L4091" i="2"/>
  <x:c r="K4092" i="2"/>
  <x:c r="L4092" i="2"/>
  <x:c r="K4093" i="2"/>
  <x:c r="L4093" i="2"/>
  <x:c r="K4094" i="2"/>
  <x:c r="L4094" i="2"/>
  <x:c r="K4095" i="2"/>
  <x:c r="L4095" i="2"/>
  <x:c r="K4096" i="2"/>
  <x:c r="L4096" i="2"/>
  <x:c r="K4097" i="2"/>
  <x:c r="L4097" i="2"/>
  <x:c r="K4098" i="2"/>
  <x:c r="L4098" i="2"/>
  <x:c r="K4099" i="2"/>
  <x:c r="L4099" i="2"/>
  <x:c r="K4100" i="2"/>
  <x:c r="L4100" i="2"/>
  <x:c r="K4101" i="2"/>
  <x:c r="L4101" i="2"/>
  <x:c r="K4102" i="2"/>
  <x:c r="L4102" i="2"/>
  <x:c r="K4103" i="2"/>
  <x:c r="L4103" i="2"/>
  <x:c r="K4104" i="2"/>
  <x:c r="L4104" i="2"/>
  <x:c r="K4105" i="2"/>
  <x:c r="L4105" i="2"/>
  <x:c r="K4106" i="2"/>
  <x:c r="L4106" i="2"/>
  <x:c r="K4107" i="2"/>
  <x:c r="L4107" i="2"/>
  <x:c r="K4108" i="2"/>
  <x:c r="L4108" i="2"/>
  <x:c r="K4109" i="2"/>
  <x:c r="L4109" i="2"/>
  <x:c r="K4110" i="2"/>
  <x:c r="L4110" i="2"/>
  <x:c r="K4111" i="2"/>
  <x:c r="L4111" i="2"/>
  <x:c r="K4112" i="2"/>
  <x:c r="L4112" i="2"/>
  <x:c r="K4113" i="2"/>
  <x:c r="L4113" i="2"/>
  <x:c r="K4114" i="2"/>
  <x:c r="L4114" i="2"/>
  <x:c r="K4115" i="2"/>
  <x:c r="L4115" i="2"/>
  <x:c r="K4116" i="2"/>
  <x:c r="L4116" i="2"/>
  <x:c r="K4117" i="2"/>
  <x:c r="L4117" i="2"/>
  <x:c r="K4118" i="2"/>
  <x:c r="L4118" i="2"/>
  <x:c r="K4119" i="2"/>
  <x:c r="L4119" i="2"/>
  <x:c r="K4120" i="2"/>
  <x:c r="L4120" i="2"/>
  <x:c r="K4121" i="2"/>
  <x:c r="L4121" i="2"/>
  <x:c r="K4122" i="2"/>
  <x:c r="L4122" i="2"/>
  <x:c r="K4123" i="2"/>
  <x:c r="L4123" i="2"/>
  <x:c r="K4124" i="2"/>
  <x:c r="L4124" i="2"/>
  <x:c r="K4125" i="2"/>
  <x:c r="L4125" i="2"/>
  <x:c r="K4126" i="2"/>
  <x:c r="L4126" i="2"/>
  <x:c r="K4127" i="2"/>
  <x:c r="L4127" i="2"/>
  <x:c r="K4128" i="2"/>
  <x:c r="L4128" i="2"/>
  <x:c r="K4129" i="2"/>
  <x:c r="L4129" i="2"/>
  <x:c r="K4130" i="2"/>
  <x:c r="L4130" i="2"/>
  <x:c r="K4131" i="2"/>
  <x:c r="L4131" i="2"/>
  <x:c r="K4132" i="2"/>
  <x:c r="L4132" i="2"/>
  <x:c r="K4133" i="2"/>
  <x:c r="L4133" i="2"/>
  <x:c r="K4134" i="2"/>
  <x:c r="L4134" i="2"/>
  <x:c r="K4135" i="2"/>
  <x:c r="L4135" i="2"/>
  <x:c r="K4136" i="2"/>
  <x:c r="L4136" i="2"/>
  <x:c r="K4137" i="2"/>
  <x:c r="L4137" i="2"/>
  <x:c r="K4138" i="2"/>
  <x:c r="L4138" i="2"/>
  <x:c r="K4139" i="2"/>
  <x:c r="L4139" i="2"/>
  <x:c r="K4140" i="2"/>
  <x:c r="L4140" i="2"/>
  <x:c r="K4141" i="2"/>
  <x:c r="L4141" i="2"/>
  <x:c r="K4142" i="2"/>
  <x:c r="L4142" i="2"/>
  <x:c r="K4143" i="2"/>
  <x:c r="L4143" i="2"/>
  <x:c r="K4144" i="2"/>
  <x:c r="L4144" i="2"/>
  <x:c r="K4145" i="2"/>
  <x:c r="L4145" i="2"/>
  <x:c r="K4146" i="2"/>
  <x:c r="L4146" i="2"/>
  <x:c r="K4147" i="2"/>
  <x:c r="L4147" i="2"/>
  <x:c r="K4148" i="2"/>
  <x:c r="L4148" i="2"/>
  <x:c r="K4149" i="2"/>
  <x:c r="L4149" i="2"/>
  <x:c r="K4150" i="2"/>
  <x:c r="L4150" i="2"/>
  <x:c r="K4151" i="2"/>
  <x:c r="L4151" i="2"/>
  <x:c r="K4152" i="2"/>
  <x:c r="L4152" i="2"/>
  <x:c r="K4153" i="2"/>
  <x:c r="L4153" i="2"/>
  <x:c r="K4154" i="2"/>
  <x:c r="L4154" i="2"/>
  <x:c r="K4155" i="2"/>
  <x:c r="L4155" i="2"/>
  <x:c r="K4156" i="2"/>
  <x:c r="L4156" i="2"/>
  <x:c r="K4157" i="2"/>
  <x:c r="L4157" i="2"/>
  <x:c r="K4158" i="2"/>
  <x:c r="L4158" i="2"/>
  <x:c r="K4159" i="2"/>
  <x:c r="L4159" i="2"/>
  <x:c r="K4160" i="2"/>
  <x:c r="L4160" i="2"/>
  <x:c r="K4161" i="2"/>
  <x:c r="L4161" i="2"/>
  <x:c r="K4162" i="2"/>
  <x:c r="L4162" i="2"/>
  <x:c r="K4163" i="2"/>
  <x:c r="L4163" i="2"/>
  <x:c r="K4164" i="2"/>
  <x:c r="L4164" i="2"/>
  <x:c r="K4165" i="2"/>
  <x:c r="L4165" i="2"/>
  <x:c r="K4166" i="2"/>
  <x:c r="L4166" i="2"/>
  <x:c r="K4167" i="2"/>
  <x:c r="L4167" i="2"/>
  <x:c r="K4168" i="2"/>
  <x:c r="L4168" i="2"/>
  <x:c r="K4169" i="2"/>
  <x:c r="L4169" i="2"/>
  <x:c r="K4170" i="2"/>
  <x:c r="L4170" i="2"/>
  <x:c r="K4171" i="2"/>
  <x:c r="L4171" i="2"/>
  <x:c r="K4172" i="2"/>
  <x:c r="L4172" i="2"/>
  <x:c r="K4173" i="2"/>
  <x:c r="L4173" i="2"/>
  <x:c r="K4174" i="2"/>
  <x:c r="L4174" i="2"/>
  <x:c r="K4175" i="2"/>
  <x:c r="L4175" i="2"/>
  <x:c r="K4176" i="2"/>
  <x:c r="L4176" i="2"/>
  <x:c r="K4177" i="2"/>
  <x:c r="L4177" i="2"/>
  <x:c r="K4178" i="2"/>
  <x:c r="L4178" i="2"/>
  <x:c r="K4179" i="2"/>
  <x:c r="L4179" i="2"/>
  <x:c r="K4180" i="2"/>
  <x:c r="L4180" i="2"/>
  <x:c r="K4181" i="2"/>
  <x:c r="L4181" i="2"/>
  <x:c r="K4182" i="2"/>
  <x:c r="L4182" i="2"/>
  <x:c r="K4183" i="2"/>
  <x:c r="L4183" i="2"/>
  <x:c r="K4184" i="2"/>
  <x:c r="L4184" i="2"/>
  <x:c r="K4185" i="2"/>
  <x:c r="L4185" i="2"/>
  <x:c r="K4186" i="2"/>
  <x:c r="L4186" i="2"/>
  <x:c r="K4187" i="2"/>
  <x:c r="L4187" i="2"/>
  <x:c r="K4188" i="2"/>
  <x:c r="L4188" i="2"/>
  <x:c r="K4189" i="2"/>
  <x:c r="L4189" i="2"/>
  <x:c r="K4190" i="2"/>
  <x:c r="L4190" i="2"/>
  <x:c r="K4191" i="2"/>
  <x:c r="L4191" i="2"/>
  <x:c r="K4192" i="2"/>
  <x:c r="L4192" i="2"/>
  <x:c r="K4193" i="2"/>
  <x:c r="L4193" i="2"/>
  <x:c r="K4194" i="2"/>
  <x:c r="L4194" i="2"/>
  <x:c r="K4195" i="2"/>
  <x:c r="L4195" i="2"/>
  <x:c r="K4196" i="2"/>
  <x:c r="L4196" i="2"/>
  <x:c r="K4197" i="2"/>
  <x:c r="L4197" i="2"/>
  <x:c r="K4198" i="2"/>
  <x:c r="L4198" i="2"/>
  <x:c r="K4199" i="2"/>
  <x:c r="L4199" i="2"/>
  <x:c r="K4200" i="2"/>
  <x:c r="L4200" i="2"/>
  <x:c r="K4201" i="2"/>
  <x:c r="L4201" i="2"/>
  <x:c r="K4202" i="2"/>
  <x:c r="L4202" i="2"/>
  <x:c r="K4203" i="2"/>
  <x:c r="L4203" i="2"/>
  <x:c r="K4204" i="2"/>
  <x:c r="L4204" i="2"/>
  <x:c r="K4205" i="2"/>
  <x:c r="L4205" i="2"/>
  <x:c r="K4206" i="2"/>
  <x:c r="L4206" i="2"/>
  <x:c r="K4207" i="2"/>
  <x:c r="L4207" i="2"/>
  <x:c r="K4208" i="2"/>
  <x:c r="L4208" i="2"/>
  <x:c r="K4209" i="2"/>
  <x:c r="L4209" i="2"/>
  <x:c r="K4210" i="2"/>
  <x:c r="L4210" i="2"/>
  <x:c r="K4211" i="2"/>
  <x:c r="L4211" i="2"/>
  <x:c r="K4212" i="2"/>
  <x:c r="L4212" i="2"/>
  <x:c r="K4213" i="2"/>
  <x:c r="L4213" i="2"/>
  <x:c r="K4214" i="2"/>
  <x:c r="L4214" i="2"/>
  <x:c r="K4215" i="2"/>
  <x:c r="L4215" i="2"/>
  <x:c r="K4216" i="2"/>
  <x:c r="L4216" i="2"/>
  <x:c r="K4217" i="2"/>
  <x:c r="L4217" i="2"/>
  <x:c r="K4218" i="2"/>
  <x:c r="L4218" i="2"/>
  <x:c r="K4219" i="2"/>
  <x:c r="L4219" i="2"/>
  <x:c r="K4220" i="2"/>
  <x:c r="L4220" i="2"/>
  <x:c r="K4221" i="2"/>
  <x:c r="L4221" i="2"/>
  <x:c r="K4222" i="2"/>
  <x:c r="L4222" i="2"/>
  <x:c r="K4223" i="2"/>
  <x:c r="L4223" i="2"/>
  <x:c r="K4224" i="2"/>
  <x:c r="L4224" i="2"/>
  <x:c r="K4225" i="2"/>
  <x:c r="L4225" i="2"/>
  <x:c r="K4226" i="2"/>
  <x:c r="L4226" i="2"/>
  <x:c r="K4227" i="2"/>
  <x:c r="L4227" i="2"/>
  <x:c r="K4228" i="2"/>
  <x:c r="L4228" i="2"/>
  <x:c r="K4229" i="2"/>
  <x:c r="L4229" i="2"/>
  <x:c r="K4230" i="2"/>
  <x:c r="L4230" i="2"/>
  <x:c r="K4231" i="2"/>
  <x:c r="L4231" i="2"/>
  <x:c r="K4232" i="2"/>
  <x:c r="L4232" i="2"/>
  <x:c r="K4233" i="2"/>
  <x:c r="L4233" i="2"/>
  <x:c r="K4234" i="2"/>
  <x:c r="L4234" i="2"/>
  <x:c r="K4235" i="2"/>
  <x:c r="L4235" i="2"/>
  <x:c r="K4236" i="2"/>
  <x:c r="L4236" i="2"/>
  <x:c r="K4237" i="2"/>
  <x:c r="L4237" i="2"/>
  <x:c r="K4238" i="2"/>
  <x:c r="L4238" i="2"/>
  <x:c r="K4239" i="2"/>
  <x:c r="L4239" i="2"/>
  <x:c r="K4240" i="2"/>
  <x:c r="L4240" i="2"/>
  <x:c r="K4241" i="2"/>
  <x:c r="L4241" i="2"/>
  <x:c r="K4242" i="2"/>
  <x:c r="L4242" i="2"/>
  <x:c r="K4243" i="2"/>
  <x:c r="L4243" i="2"/>
  <x:c r="K4244" i="2"/>
  <x:c r="L4244" i="2"/>
  <x:c r="K4245" i="2"/>
  <x:c r="L4245" i="2"/>
  <x:c r="K4246" i="2"/>
  <x:c r="L4246" i="2"/>
  <x:c r="K4247" i="2"/>
  <x:c r="L4247" i="2"/>
  <x:c r="K4248" i="2"/>
  <x:c r="L4248" i="2"/>
  <x:c r="K4249" i="2"/>
  <x:c r="L4249" i="2"/>
  <x:c r="K4250" i="2"/>
  <x:c r="L4250" i="2"/>
  <x:c r="K4251" i="2"/>
  <x:c r="L4251" i="2"/>
  <x:c r="K4252" i="2"/>
  <x:c r="L4252" i="2"/>
  <x:c r="K4253" i="2"/>
  <x:c r="L4253" i="2"/>
  <x:c r="K4254" i="2"/>
  <x:c r="L4254" i="2"/>
  <x:c r="K4255" i="2"/>
  <x:c r="L4255" i="2"/>
  <x:c r="K4256" i="2"/>
  <x:c r="L4256" i="2"/>
  <x:c r="K4257" i="2"/>
  <x:c r="L4257" i="2"/>
  <x:c r="K4258" i="2"/>
  <x:c r="L4258" i="2"/>
  <x:c r="K4259" i="2"/>
  <x:c r="L4259" i="2"/>
  <x:c r="K4260" i="2"/>
  <x:c r="L4260" i="2"/>
  <x:c r="K4261" i="2"/>
  <x:c r="L4261" i="2"/>
  <x:c r="K4262" i="2"/>
  <x:c r="L4262" i="2"/>
  <x:c r="K4263" i="2"/>
  <x:c r="L4263" i="2"/>
  <x:c r="K4264" i="2"/>
  <x:c r="L4264" i="2"/>
  <x:c r="K4265" i="2"/>
  <x:c r="L4265" i="2"/>
  <x:c r="K4266" i="2"/>
  <x:c r="L4266" i="2"/>
  <x:c r="K4267" i="2"/>
  <x:c r="L4267" i="2"/>
  <x:c r="K4268" i="2"/>
  <x:c r="L4268" i="2"/>
  <x:c r="K4269" i="2"/>
  <x:c r="L4269" i="2"/>
  <x:c r="K4270" i="2"/>
  <x:c r="L4270" i="2"/>
  <x:c r="K4271" i="2"/>
  <x:c r="L4271" i="2"/>
  <x:c r="K4272" i="2"/>
  <x:c r="L4272" i="2"/>
  <x:c r="K4273" i="2"/>
  <x:c r="L4273" i="2"/>
  <x:c r="K4274" i="2"/>
  <x:c r="L4274" i="2"/>
  <x:c r="K4275" i="2"/>
  <x:c r="L4275" i="2"/>
  <x:c r="K4276" i="2"/>
  <x:c r="L4276" i="2"/>
  <x:c r="K4277" i="2"/>
  <x:c r="L4277" i="2"/>
  <x:c r="K4278" i="2"/>
  <x:c r="L4278" i="2"/>
  <x:c r="K4279" i="2"/>
  <x:c r="L4279" i="2"/>
  <x:c r="K4280" i="2"/>
  <x:c r="L4280" i="2"/>
  <x:c r="K4281" i="2"/>
  <x:c r="L4281" i="2"/>
  <x:c r="K4282" i="2"/>
  <x:c r="L4282" i="2"/>
  <x:c r="K4283" i="2"/>
  <x:c r="L4283" i="2"/>
  <x:c r="K4284" i="2"/>
  <x:c r="L4284" i="2"/>
  <x:c r="K4285" i="2"/>
  <x:c r="L4285" i="2"/>
  <x:c r="K4286" i="2"/>
  <x:c r="L4286" i="2"/>
  <x:c r="K4287" i="2"/>
  <x:c r="L4287" i="2"/>
  <x:c r="K4288" i="2"/>
  <x:c r="L4288" i="2"/>
  <x:c r="K4289" i="2"/>
  <x:c r="L4289" i="2"/>
  <x:c r="K4290" i="2"/>
  <x:c r="L4290" i="2"/>
  <x:c r="K4291" i="2"/>
  <x:c r="L4291" i="2"/>
  <x:c r="K4292" i="2"/>
  <x:c r="L4292" i="2"/>
  <x:c r="K4293" i="2"/>
  <x:c r="L4293" i="2"/>
  <x:c r="K4294" i="2"/>
  <x:c r="L4294" i="2"/>
  <x:c r="K4295" i="2"/>
  <x:c r="L4295" i="2"/>
  <x:c r="K4296" i="2"/>
  <x:c r="L4296" i="2"/>
  <x:c r="K4297" i="2"/>
  <x:c r="L4297" i="2"/>
  <x:c r="K4298" i="2"/>
  <x:c r="L4298" i="2"/>
  <x:c r="K4299" i="2"/>
  <x:c r="L4299" i="2"/>
  <x:c r="K4300" i="2"/>
  <x:c r="L4300" i="2"/>
  <x:c r="K4301" i="2"/>
  <x:c r="L4301" i="2"/>
  <x:c r="K4302" i="2"/>
  <x:c r="L4302" i="2"/>
  <x:c r="K4303" i="2"/>
  <x:c r="L4303" i="2"/>
  <x:c r="K4304" i="2"/>
  <x:c r="L4304" i="2"/>
  <x:c r="K4305" i="2"/>
  <x:c r="L4305" i="2"/>
  <x:c r="K4306" i="2"/>
  <x:c r="L4306" i="2"/>
  <x:c r="K4307" i="2"/>
  <x:c r="L4307" i="2"/>
  <x:c r="K4308" i="2"/>
  <x:c r="L4308" i="2"/>
  <x:c r="K4309" i="2"/>
  <x:c r="L4309" i="2"/>
  <x:c r="K4310" i="2"/>
  <x:c r="L4310" i="2"/>
  <x:c r="K4311" i="2"/>
  <x:c r="L4311" i="2"/>
  <x:c r="K4312" i="2"/>
  <x:c r="L4312" i="2"/>
  <x:c r="K4313" i="2"/>
  <x:c r="L4313" i="2"/>
  <x:c r="K4314" i="2"/>
  <x:c r="L4314" i="2"/>
  <x:c r="K4315" i="2"/>
  <x:c r="L4315" i="2"/>
  <x:c r="K4316" i="2"/>
  <x:c r="L4316" i="2"/>
  <x:c r="K4317" i="2"/>
  <x:c r="L4317" i="2"/>
  <x:c r="K4318" i="2"/>
  <x:c r="L4318" i="2"/>
  <x:c r="K4319" i="2"/>
  <x:c r="L4319" i="2"/>
  <x:c r="K4320" i="2"/>
  <x:c r="L4320" i="2"/>
  <x:c r="K4321" i="2"/>
  <x:c r="L4321" i="2"/>
  <x:c r="K4322" i="2"/>
  <x:c r="L4322" i="2"/>
  <x:c r="K4323" i="2"/>
  <x:c r="L4323" i="2"/>
  <x:c r="K4324" i="2"/>
  <x:c r="L4324" i="2"/>
  <x:c r="K4325" i="2"/>
  <x:c r="L4325" i="2"/>
  <x:c r="K4326" i="2"/>
  <x:c r="L4326" i="2"/>
  <x:c r="K4327" i="2"/>
  <x:c r="L4327" i="2"/>
  <x:c r="K4328" i="2"/>
  <x:c r="L4328" i="2"/>
  <x:c r="K4329" i="2"/>
  <x:c r="L4329" i="2"/>
  <x:c r="K4330" i="2"/>
  <x:c r="L4330" i="2"/>
  <x:c r="K4331" i="2"/>
  <x:c r="L4331" i="2"/>
  <x:c r="K4332" i="2"/>
  <x:c r="L4332" i="2"/>
  <x:c r="K4333" i="2"/>
  <x:c r="L4333" i="2"/>
  <x:c r="K4334" i="2"/>
  <x:c r="L4334" i="2"/>
  <x:c r="K4335" i="2"/>
  <x:c r="L4335" i="2"/>
  <x:c r="K4336" i="2"/>
  <x:c r="L4336" i="2"/>
  <x:c r="K4337" i="2"/>
  <x:c r="L4337" i="2"/>
  <x:c r="K4338" i="2"/>
  <x:c r="L4338" i="2"/>
  <x:c r="K4339" i="2"/>
  <x:c r="L4339" i="2"/>
  <x:c r="K4340" i="2"/>
  <x:c r="L4340" i="2"/>
  <x:c r="K4341" i="2"/>
  <x:c r="L4341" i="2"/>
  <x:c r="K4342" i="2"/>
  <x:c r="L4342" i="2"/>
  <x:c r="K4343" i="2"/>
  <x:c r="L4343" i="2"/>
  <x:c r="K4344" i="2"/>
  <x:c r="L4344" i="2"/>
  <x:c r="K4345" i="2"/>
  <x:c r="L4345" i="2"/>
  <x:c r="K4346" i="2"/>
  <x:c r="L4346" i="2"/>
  <x:c r="K4347" i="2"/>
  <x:c r="L4347" i="2"/>
  <x:c r="K4348" i="2"/>
  <x:c r="L4348" i="2"/>
  <x:c r="K4349" i="2"/>
  <x:c r="L4349" i="2"/>
  <x:c r="K4350" i="2"/>
  <x:c r="L4350" i="2"/>
  <x:c r="K4351" i="2"/>
  <x:c r="L4351" i="2"/>
  <x:c r="K4352" i="2"/>
  <x:c r="L4352" i="2"/>
  <x:c r="K4353" i="2"/>
  <x:c r="L4353" i="2"/>
  <x:c r="K4354" i="2"/>
  <x:c r="L4354" i="2"/>
  <x:c r="K4355" i="2"/>
  <x:c r="L4355" i="2"/>
  <x:c r="K4356" i="2"/>
  <x:c r="L4356" i="2"/>
  <x:c r="K4357" i="2"/>
  <x:c r="L4357" i="2"/>
  <x:c r="K4358" i="2"/>
  <x:c r="L4358" i="2"/>
  <x:c r="K4359" i="2"/>
  <x:c r="L4359" i="2"/>
  <x:c r="K4360" i="2"/>
  <x:c r="L4360" i="2"/>
  <x:c r="K4361" i="2"/>
  <x:c r="L4361" i="2"/>
  <x:c r="K4362" i="2"/>
  <x:c r="L4362" i="2"/>
  <x:c r="K4363" i="2"/>
  <x:c r="L4363" i="2"/>
  <x:c r="K4364" i="2"/>
  <x:c r="L4364" i="2"/>
  <x:c r="K4365" i="2"/>
  <x:c r="L4365" i="2"/>
  <x:c r="K4366" i="2"/>
  <x:c r="L4366" i="2"/>
  <x:c r="K4367" i="2"/>
  <x:c r="L4367" i="2"/>
  <x:c r="K4368" i="2"/>
  <x:c r="L4368" i="2"/>
  <x:c r="K4369" i="2"/>
  <x:c r="L4369" i="2"/>
  <x:c r="K4370" i="2"/>
  <x:c r="L4370" i="2"/>
  <x:c r="K4371" i="2"/>
  <x:c r="L4371" i="2"/>
  <x:c r="K4372" i="2"/>
  <x:c r="L4372" i="2"/>
  <x:c r="K4373" i="2"/>
  <x:c r="L4373" i="2"/>
  <x:c r="K4374" i="2"/>
  <x:c r="L4374" i="2"/>
  <x:c r="K4375" i="2"/>
  <x:c r="L4375" i="2"/>
  <x:c r="K4376" i="2"/>
  <x:c r="L4376" i="2"/>
  <x:c r="K4377" i="2"/>
  <x:c r="L4377" i="2"/>
  <x:c r="K4378" i="2"/>
  <x:c r="L4378" i="2"/>
  <x:c r="K4379" i="2"/>
  <x:c r="L4379" i="2"/>
  <x:c r="K4380" i="2"/>
  <x:c r="L4380" i="2"/>
  <x:c r="K4381" i="2"/>
  <x:c r="L4381" i="2"/>
  <x:c r="K4382" i="2"/>
  <x:c r="L4382" i="2"/>
  <x:c r="K4383" i="2"/>
  <x:c r="L4383" i="2"/>
  <x:c r="K4384" i="2"/>
  <x:c r="L4384" i="2"/>
  <x:c r="K4385" i="2"/>
  <x:c r="L4385" i="2"/>
  <x:c r="K4386" i="2"/>
  <x:c r="L4386" i="2"/>
  <x:c r="K4387" i="2"/>
  <x:c r="L4387" i="2"/>
  <x:c r="K4388" i="2"/>
  <x:c r="L4388" i="2"/>
  <x:c r="K4389" i="2"/>
  <x:c r="L4389" i="2"/>
  <x:c r="K4390" i="2"/>
  <x:c r="L4390" i="2"/>
  <x:c r="K4391" i="2"/>
  <x:c r="L4391" i="2"/>
  <x:c r="K4392" i="2"/>
  <x:c r="L4392" i="2"/>
  <x:c r="K4393" i="2"/>
  <x:c r="L4393" i="2"/>
  <x:c r="K4394" i="2"/>
  <x:c r="L4394" i="2"/>
  <x:c r="K4395" i="2"/>
  <x:c r="L4395" i="2"/>
  <x:c r="K4396" i="2"/>
  <x:c r="L4396" i="2"/>
  <x:c r="K4397" i="2"/>
  <x:c r="L4397" i="2"/>
  <x:c r="K4398" i="2"/>
  <x:c r="L4398" i="2"/>
  <x:c r="K4399" i="2"/>
  <x:c r="L4399" i="2"/>
  <x:c r="K4400" i="2"/>
  <x:c r="L4400" i="2"/>
  <x:c r="K4401" i="2"/>
  <x:c r="L4401" i="2"/>
  <x:c r="K4402" i="2"/>
  <x:c r="L4402" i="2"/>
  <x:c r="K4403" i="2"/>
  <x:c r="L4403" i="2"/>
  <x:c r="K4404" i="2"/>
  <x:c r="L4404" i="2"/>
  <x:c r="K4405" i="2"/>
  <x:c r="L4405" i="2"/>
  <x:c r="K4406" i="2"/>
  <x:c r="L4406" i="2"/>
  <x:c r="K4407" i="2"/>
  <x:c r="L4407" i="2"/>
  <x:c r="K4408" i="2"/>
  <x:c r="L4408" i="2"/>
  <x:c r="K4409" i="2"/>
  <x:c r="L4409" i="2"/>
  <x:c r="K4410" i="2"/>
  <x:c r="L4410" i="2"/>
  <x:c r="K4411" i="2"/>
  <x:c r="L4411" i="2"/>
  <x:c r="K4412" i="2"/>
  <x:c r="L4412" i="2"/>
  <x:c r="K4413" i="2"/>
  <x:c r="L4413" i="2"/>
  <x:c r="K4414" i="2"/>
  <x:c r="L4414" i="2"/>
  <x:c r="K4415" i="2"/>
  <x:c r="L4415" i="2"/>
  <x:c r="K4416" i="2"/>
  <x:c r="L4416" i="2"/>
  <x:c r="K4417" i="2"/>
  <x:c r="L4417" i="2"/>
  <x:c r="K4418" i="2"/>
  <x:c r="L4418" i="2"/>
  <x:c r="K4419" i="2"/>
  <x:c r="L4419" i="2"/>
  <x:c r="K4420" i="2"/>
  <x:c r="L4420" i="2"/>
  <x:c r="K4421" i="2"/>
  <x:c r="L4421" i="2"/>
  <x:c r="K4422" i="2"/>
  <x:c r="L4422" i="2"/>
  <x:c r="K4423" i="2"/>
  <x:c r="L4423" i="2"/>
  <x:c r="K4424" i="2"/>
  <x:c r="L4424" i="2"/>
  <x:c r="K4425" i="2"/>
  <x:c r="L4425" i="2"/>
  <x:c r="K4426" i="2"/>
  <x:c r="L4426" i="2"/>
  <x:c r="K4427" i="2"/>
  <x:c r="L4427" i="2"/>
  <x:c r="K4428" i="2"/>
  <x:c r="L4428" i="2"/>
  <x:c r="K4429" i="2"/>
  <x:c r="L4429" i="2"/>
  <x:c r="K4430" i="2"/>
  <x:c r="L4430" i="2"/>
  <x:c r="K4431" i="2"/>
  <x:c r="L4431" i="2"/>
  <x:c r="K4432" i="2"/>
  <x:c r="L4432" i="2"/>
  <x:c r="K4433" i="2"/>
  <x:c r="L4433" i="2"/>
  <x:c r="K4434" i="2"/>
  <x:c r="L4434" i="2"/>
  <x:c r="K4435" i="2"/>
  <x:c r="L4435" i="2"/>
  <x:c r="K4436" i="2"/>
  <x:c r="L4436" i="2"/>
  <x:c r="K4437" i="2"/>
  <x:c r="L4437" i="2"/>
  <x:c r="K4438" i="2"/>
  <x:c r="L4438" i="2"/>
  <x:c r="K4439" i="2"/>
  <x:c r="L4439" i="2"/>
  <x:c r="K4440" i="2"/>
  <x:c r="L4440" i="2"/>
  <x:c r="K4441" i="2"/>
  <x:c r="L4441" i="2"/>
  <x:c r="K4442" i="2"/>
  <x:c r="L4442" i="2"/>
  <x:c r="K4443" i="2"/>
  <x:c r="L4443" i="2"/>
  <x:c r="K4444" i="2"/>
  <x:c r="L4444" i="2"/>
  <x:c r="K4445" i="2"/>
  <x:c r="L4445" i="2"/>
  <x:c r="K4446" i="2"/>
  <x:c r="L4446" i="2"/>
  <x:c r="K4447" i="2"/>
  <x:c r="L4447" i="2"/>
  <x:c r="K4448" i="2"/>
  <x:c r="L4448" i="2"/>
  <x:c r="K4449" i="2"/>
  <x:c r="L4449" i="2"/>
  <x:c r="K4450" i="2"/>
  <x:c r="L4450" i="2"/>
  <x:c r="K4451" i="2"/>
  <x:c r="L4451" i="2"/>
  <x:c r="K4452" i="2"/>
  <x:c r="L4452" i="2"/>
  <x:c r="K4453" i="2"/>
  <x:c r="L4453" i="2"/>
  <x:c r="K4454" i="2"/>
  <x:c r="L4454" i="2"/>
  <x:c r="K4455" i="2"/>
  <x:c r="L4455" i="2"/>
  <x:c r="K4456" i="2"/>
  <x:c r="L4456" i="2"/>
  <x:c r="K4457" i="2"/>
  <x:c r="L4457" i="2"/>
  <x:c r="K4458" i="2"/>
  <x:c r="L4458" i="2"/>
  <x:c r="K4459" i="2"/>
  <x:c r="L4459" i="2"/>
  <x:c r="K4460" i="2"/>
  <x:c r="L4460" i="2"/>
  <x:c r="K4461" i="2"/>
  <x:c r="L4461" i="2"/>
  <x:c r="K4462" i="2"/>
  <x:c r="L4462" i="2"/>
  <x:c r="K4463" i="2"/>
  <x:c r="L4463" i="2"/>
  <x:c r="K4464" i="2"/>
  <x:c r="L4464" i="2"/>
  <x:c r="K4465" i="2"/>
  <x:c r="L4465" i="2"/>
  <x:c r="K4466" i="2"/>
  <x:c r="L4466" i="2"/>
  <x:c r="K4467" i="2"/>
  <x:c r="L4467" i="2"/>
  <x:c r="K4468" i="2"/>
  <x:c r="L4468" i="2"/>
  <x:c r="K4469" i="2"/>
  <x:c r="L4469" i="2"/>
  <x:c r="K4470" i="2"/>
  <x:c r="L4470" i="2"/>
  <x:c r="K4471" i="2"/>
  <x:c r="L4471" i="2"/>
  <x:c r="K4472" i="2"/>
  <x:c r="L4472" i="2"/>
  <x:c r="K4473" i="2"/>
  <x:c r="L4473" i="2"/>
  <x:c r="K4474" i="2"/>
  <x:c r="L4474" i="2"/>
  <x:c r="K4475" i="2"/>
  <x:c r="L4475" i="2"/>
  <x:c r="K4476" i="2"/>
  <x:c r="L4476" i="2"/>
  <x:c r="K4477" i="2"/>
  <x:c r="L4477" i="2"/>
  <x:c r="K4478" i="2"/>
  <x:c r="L4478" i="2"/>
  <x:c r="K4479" i="2"/>
  <x:c r="L4479" i="2"/>
  <x:c r="K4480" i="2"/>
  <x:c r="L4480" i="2"/>
  <x:c r="K4481" i="2"/>
  <x:c r="L4481" i="2"/>
  <x:c r="K4482" i="2"/>
  <x:c r="L4482" i="2"/>
  <x:c r="K4483" i="2"/>
  <x:c r="L4483" i="2"/>
  <x:c r="K4484" i="2"/>
  <x:c r="L4484" i="2"/>
  <x:c r="K4485" i="2"/>
  <x:c r="L4485" i="2"/>
  <x:c r="K4486" i="2"/>
  <x:c r="L4486" i="2"/>
  <x:c r="K4487" i="2"/>
  <x:c r="L4487" i="2"/>
  <x:c r="K4488" i="2"/>
  <x:c r="L4488" i="2"/>
  <x:c r="K4489" i="2"/>
  <x:c r="L4489" i="2"/>
  <x:c r="K4490" i="2"/>
  <x:c r="L4490" i="2"/>
  <x:c r="K4491" i="2"/>
  <x:c r="L4491" i="2"/>
  <x:c r="K4492" i="2"/>
  <x:c r="L4492" i="2"/>
  <x:c r="K4493" i="2"/>
  <x:c r="L4493" i="2"/>
  <x:c r="K4494" i="2"/>
  <x:c r="L4494" i="2"/>
  <x:c r="K4495" i="2"/>
  <x:c r="L4495" i="2"/>
  <x:c r="K4496" i="2"/>
  <x:c r="L4496" i="2"/>
  <x:c r="K4497" i="2"/>
  <x:c r="L4497" i="2"/>
  <x:c r="K4498" i="2"/>
  <x:c r="L4498" i="2"/>
  <x:c r="K4499" i="2"/>
  <x:c r="L4499" i="2"/>
  <x:c r="K4500" i="2"/>
  <x:c r="L4500" i="2"/>
  <x:c r="K4501" i="2"/>
  <x:c r="L4501" i="2"/>
  <x:c r="K4502" i="2"/>
  <x:c r="L4502" i="2"/>
  <x:c r="K4503" i="2"/>
  <x:c r="L4503" i="2"/>
  <x:c r="K4504" i="2"/>
  <x:c r="L4504" i="2"/>
  <x:c r="K4505" i="2"/>
  <x:c r="L4505" i="2"/>
  <x:c r="K4506" i="2"/>
  <x:c r="L4506" i="2"/>
  <x:c r="K4507" i="2"/>
  <x:c r="L4507" i="2"/>
  <x:c r="K4508" i="2"/>
  <x:c r="L4508" i="2"/>
  <x:c r="K4509" i="2"/>
  <x:c r="L4509" i="2"/>
  <x:c r="K4510" i="2"/>
  <x:c r="L4510" i="2"/>
  <x:c r="K4511" i="2"/>
  <x:c r="L4511" i="2"/>
  <x:c r="K4512" i="2"/>
  <x:c r="L4512" i="2"/>
  <x:c r="K4513" i="2"/>
  <x:c r="L4513" i="2"/>
  <x:c r="K4514" i="2"/>
  <x:c r="L4514" i="2"/>
  <x:c r="K4515" i="2"/>
  <x:c r="L4515" i="2"/>
  <x:c r="K4516" i="2"/>
  <x:c r="L4516" i="2"/>
  <x:c r="K4517" i="2"/>
  <x:c r="L4517" i="2"/>
  <x:c r="K4518" i="2"/>
  <x:c r="L4518" i="2"/>
  <x:c r="K4519" i="2"/>
  <x:c r="L4519" i="2"/>
  <x:c r="K4520" i="2"/>
  <x:c r="L4520" i="2"/>
  <x:c r="K4521" i="2"/>
  <x:c r="L4521" i="2"/>
  <x:c r="K4522" i="2"/>
  <x:c r="L4522" i="2"/>
  <x:c r="K4523" i="2"/>
  <x:c r="L4523" i="2"/>
  <x:c r="K4524" i="2"/>
  <x:c r="L4524" i="2"/>
  <x:c r="K4525" i="2"/>
  <x:c r="L4525" i="2"/>
  <x:c r="K4526" i="2"/>
  <x:c r="L4526" i="2"/>
  <x:c r="K4527" i="2"/>
  <x:c r="L4527" i="2"/>
  <x:c r="K4528" i="2"/>
  <x:c r="L4528" i="2"/>
  <x:c r="K4529" i="2"/>
  <x:c r="L4529" i="2"/>
  <x:c r="K4530" i="2"/>
  <x:c r="L4530" i="2"/>
  <x:c r="K4531" i="2"/>
  <x:c r="L4531" i="2"/>
  <x:c r="K4532" i="2"/>
  <x:c r="L4532" i="2"/>
  <x:c r="K4533" i="2"/>
  <x:c r="L4533" i="2"/>
  <x:c r="K4534" i="2"/>
  <x:c r="L4534" i="2"/>
  <x:c r="K4535" i="2"/>
  <x:c r="L4535" i="2"/>
  <x:c r="K4536" i="2"/>
  <x:c r="L4536" i="2"/>
  <x:c r="K4537" i="2"/>
  <x:c r="L4537" i="2"/>
  <x:c r="K4538" i="2"/>
  <x:c r="L4538" i="2"/>
  <x:c r="K4539" i="2"/>
  <x:c r="L4539" i="2"/>
  <x:c r="K4540" i="2"/>
  <x:c r="L4540" i="2"/>
  <x:c r="K4541" i="2"/>
  <x:c r="L4541" i="2"/>
  <x:c r="K4542" i="2"/>
  <x:c r="L4542" i="2"/>
  <x:c r="K4543" i="2"/>
  <x:c r="L4543" i="2"/>
  <x:c r="K4544" i="2"/>
  <x:c r="L4544" i="2"/>
  <x:c r="K4545" i="2"/>
  <x:c r="L4545" i="2"/>
  <x:c r="K4546" i="2"/>
  <x:c r="L4546" i="2"/>
  <x:c r="K4547" i="2"/>
  <x:c r="L4547" i="2"/>
  <x:c r="K4548" i="2"/>
  <x:c r="L4548" i="2"/>
  <x:c r="K4549" i="2"/>
  <x:c r="L4549" i="2"/>
  <x:c r="K4550" i="2"/>
  <x:c r="L4550" i="2"/>
  <x:c r="K4551" i="2"/>
  <x:c r="L4551" i="2"/>
  <x:c r="K4552" i="2"/>
  <x:c r="L4552" i="2"/>
  <x:c r="K4553" i="2"/>
  <x:c r="L4553" i="2"/>
  <x:c r="K4554" i="2"/>
  <x:c r="L4554" i="2"/>
  <x:c r="K4555" i="2"/>
  <x:c r="L4555" i="2"/>
  <x:c r="K4556" i="2"/>
  <x:c r="L4556" i="2"/>
  <x:c r="K4557" i="2"/>
  <x:c r="L4557" i="2"/>
  <x:c r="K4558" i="2"/>
  <x:c r="L4558" i="2"/>
  <x:c r="K4559" i="2"/>
  <x:c r="L4559" i="2"/>
  <x:c r="K4560" i="2"/>
  <x:c r="L4560" i="2"/>
  <x:c r="K4561" i="2"/>
  <x:c r="L4561" i="2"/>
  <x:c r="K4562" i="2"/>
  <x:c r="L4562" i="2"/>
  <x:c r="K4563" i="2"/>
  <x:c r="L4563" i="2"/>
  <x:c r="K4564" i="2"/>
  <x:c r="L4564" i="2"/>
  <x:c r="K4565" i="2"/>
  <x:c r="L4565" i="2"/>
  <x:c r="K4566" i="2"/>
  <x:c r="L4566" i="2"/>
  <x:c r="K4567" i="2"/>
  <x:c r="L4567" i="2"/>
  <x:c r="K4568" i="2"/>
  <x:c r="L4568" i="2"/>
  <x:c r="K4569" i="2"/>
  <x:c r="L4569" i="2"/>
  <x:c r="K4570" i="2"/>
  <x:c r="L4570" i="2"/>
  <x:c r="K4571" i="2"/>
  <x:c r="L4571" i="2"/>
  <x:c r="K4572" i="2"/>
  <x:c r="L4572" i="2"/>
  <x:c r="K4573" i="2"/>
  <x:c r="L4573" i="2"/>
  <x:c r="K4574" i="2"/>
  <x:c r="L4574" i="2"/>
  <x:c r="K4575" i="2"/>
  <x:c r="L4575" i="2"/>
  <x:c r="K4576" i="2"/>
  <x:c r="L4576" i="2"/>
  <x:c r="K4577" i="2"/>
  <x:c r="L4577" i="2"/>
  <x:c r="K4578" i="2"/>
  <x:c r="L4578" i="2"/>
  <x:c r="K4579" i="2"/>
  <x:c r="L4579" i="2"/>
  <x:c r="K4580" i="2"/>
  <x:c r="L4580" i="2"/>
  <x:c r="K4581" i="2"/>
  <x:c r="L4581" i="2"/>
  <x:c r="K4582" i="2"/>
  <x:c r="L4582" i="2"/>
  <x:c r="K4583" i="2"/>
  <x:c r="L4583" i="2"/>
  <x:c r="K4584" i="2"/>
  <x:c r="L4584" i="2"/>
  <x:c r="K4585" i="2"/>
  <x:c r="L4585" i="2"/>
  <x:c r="K4586" i="2"/>
  <x:c r="L4586" i="2"/>
  <x:c r="K4587" i="2"/>
  <x:c r="L4587" i="2"/>
  <x:c r="K4588" i="2"/>
  <x:c r="L4588" i="2"/>
  <x:c r="K4589" i="2"/>
  <x:c r="L4589" i="2"/>
  <x:c r="K4590" i="2"/>
  <x:c r="L4590" i="2"/>
  <x:c r="K4591" i="2"/>
  <x:c r="L4591" i="2"/>
  <x:c r="K4592" i="2"/>
  <x:c r="L4592" i="2"/>
  <x:c r="K4593" i="2"/>
  <x:c r="L4593" i="2"/>
  <x:c r="K4594" i="2"/>
  <x:c r="L4594" i="2"/>
  <x:c r="K4595" i="2"/>
  <x:c r="L4595" i="2"/>
  <x:c r="K4596" i="2"/>
  <x:c r="L4596" i="2"/>
  <x:c r="K4597" i="2"/>
  <x:c r="L4597" i="2"/>
  <x:c r="K4598" i="2"/>
  <x:c r="L4598" i="2"/>
  <x:c r="K4599" i="2"/>
  <x:c r="L4599" i="2"/>
  <x:c r="K4600" i="2"/>
  <x:c r="L4600" i="2"/>
  <x:c r="K4601" i="2"/>
  <x:c r="L4601" i="2"/>
  <x:c r="K4602" i="2"/>
  <x:c r="L4602" i="2"/>
  <x:c r="K4603" i="2"/>
  <x:c r="L4603" i="2"/>
  <x:c r="K4604" i="2"/>
  <x:c r="L4604" i="2"/>
  <x:c r="K4605" i="2"/>
  <x:c r="L4605" i="2"/>
  <x:c r="K4606" i="2"/>
  <x:c r="L4606" i="2"/>
  <x:c r="K4607" i="2"/>
  <x:c r="L4607" i="2"/>
  <x:c r="K4608" i="2"/>
  <x:c r="L4608" i="2"/>
  <x:c r="K4609" i="2"/>
  <x:c r="L4609" i="2"/>
  <x:c r="K4610" i="2"/>
  <x:c r="L4610" i="2"/>
  <x:c r="K4611" i="2"/>
  <x:c r="L4611" i="2"/>
  <x:c r="K4612" i="2"/>
  <x:c r="L4612" i="2"/>
  <x:c r="K4613" i="2"/>
  <x:c r="L4613" i="2"/>
  <x:c r="K4614" i="2"/>
  <x:c r="L4614" i="2"/>
  <x:c r="K4615" i="2"/>
  <x:c r="L4615" i="2"/>
  <x:c r="K4616" i="2"/>
  <x:c r="L4616" i="2"/>
  <x:c r="K4617" i="2"/>
  <x:c r="L4617" i="2"/>
  <x:c r="K4618" i="2"/>
  <x:c r="L4618" i="2"/>
  <x:c r="K4619" i="2"/>
  <x:c r="L4619" i="2"/>
  <x:c r="K4620" i="2"/>
  <x:c r="L4620" i="2"/>
  <x:c r="K4621" i="2"/>
  <x:c r="L4621" i="2"/>
  <x:c r="K4622" i="2"/>
  <x:c r="L4622" i="2"/>
  <x:c r="K4623" i="2"/>
  <x:c r="L4623" i="2"/>
  <x:c r="K4624" i="2"/>
  <x:c r="L4624" i="2"/>
  <x:c r="K4625" i="2"/>
  <x:c r="L4625" i="2"/>
  <x:c r="K4626" i="2"/>
  <x:c r="L4626" i="2"/>
  <x:c r="K4627" i="2"/>
  <x:c r="L4627" i="2"/>
  <x:c r="K4628" i="2"/>
  <x:c r="L4628" i="2"/>
  <x:c r="K4629" i="2"/>
  <x:c r="L4629" i="2"/>
  <x:c r="K4630" i="2"/>
  <x:c r="L4630" i="2"/>
  <x:c r="K4631" i="2"/>
  <x:c r="L4631" i="2"/>
  <x:c r="K4632" i="2"/>
  <x:c r="L4632" i="2"/>
  <x:c r="K4633" i="2"/>
  <x:c r="L4633" i="2"/>
  <x:c r="K4634" i="2"/>
  <x:c r="L4634" i="2"/>
  <x:c r="K4635" i="2"/>
  <x:c r="L4635" i="2"/>
  <x:c r="K4636" i="2"/>
  <x:c r="L4636" i="2"/>
  <x:c r="K4637" i="2"/>
  <x:c r="L4637" i="2"/>
  <x:c r="K4638" i="2"/>
  <x:c r="L4638" i="2"/>
  <x:c r="K4639" i="2"/>
  <x:c r="L4639" i="2"/>
  <x:c r="K4640" i="2"/>
  <x:c r="L4640" i="2"/>
  <x:c r="K4641" i="2"/>
  <x:c r="L4641" i="2"/>
  <x:c r="K4642" i="2"/>
  <x:c r="L4642" i="2"/>
  <x:c r="K4643" i="2"/>
  <x:c r="L4643" i="2"/>
  <x:c r="K4644" i="2"/>
  <x:c r="L4644" i="2"/>
  <x:c r="K4645" i="2"/>
  <x:c r="L4645" i="2"/>
  <x:c r="K4646" i="2"/>
  <x:c r="L4646" i="2"/>
  <x:c r="K4647" i="2"/>
  <x:c r="L4647" i="2"/>
  <x:c r="K4648" i="2"/>
  <x:c r="L4648" i="2"/>
  <x:c r="K4649" i="2"/>
  <x:c r="L4649" i="2"/>
  <x:c r="K4650" i="2"/>
  <x:c r="L4650" i="2"/>
  <x:c r="K4651" i="2"/>
  <x:c r="L4651" i="2"/>
  <x:c r="K4652" i="2"/>
  <x:c r="L4652" i="2"/>
  <x:c r="K4653" i="2"/>
  <x:c r="L4653" i="2"/>
  <x:c r="K4654" i="2"/>
  <x:c r="L4654" i="2"/>
  <x:c r="K4655" i="2"/>
  <x:c r="L4655" i="2"/>
  <x:c r="K4656" i="2"/>
  <x:c r="L4656" i="2"/>
  <x:c r="K4657" i="2"/>
  <x:c r="L4657" i="2"/>
  <x:c r="K4658" i="2"/>
  <x:c r="L4658" i="2"/>
  <x:c r="K4659" i="2"/>
  <x:c r="L4659" i="2"/>
  <x:c r="K4660" i="2"/>
  <x:c r="L4660" i="2"/>
  <x:c r="K4661" i="2"/>
  <x:c r="L4661" i="2"/>
  <x:c r="K4662" i="2"/>
  <x:c r="L4662" i="2"/>
  <x:c r="K4663" i="2"/>
  <x:c r="L4663" i="2"/>
  <x:c r="K4664" i="2"/>
  <x:c r="L4664" i="2"/>
  <x:c r="K4665" i="2"/>
  <x:c r="L4665" i="2"/>
  <x:c r="K4666" i="2"/>
  <x:c r="L4666" i="2"/>
  <x:c r="K4667" i="2"/>
  <x:c r="L4667" i="2"/>
  <x:c r="K4668" i="2"/>
  <x:c r="L4668" i="2"/>
  <x:c r="K4669" i="2"/>
  <x:c r="L4669" i="2"/>
  <x:c r="K4670" i="2"/>
  <x:c r="L4670" i="2"/>
  <x:c r="K4671" i="2"/>
  <x:c r="L4671" i="2"/>
  <x:c r="K4672" i="2"/>
  <x:c r="L4672" i="2"/>
  <x:c r="K4673" i="2"/>
  <x:c r="L4673" i="2"/>
  <x:c r="K4674" i="2"/>
  <x:c r="L4674" i="2"/>
  <x:c r="K4675" i="2"/>
  <x:c r="L4675" i="2"/>
  <x:c r="K4676" i="2"/>
  <x:c r="L4676" i="2"/>
  <x:c r="K4677" i="2"/>
  <x:c r="L4677" i="2"/>
  <x:c r="K4678" i="2"/>
  <x:c r="L4678" i="2"/>
  <x:c r="K4679" i="2"/>
  <x:c r="L4679" i="2"/>
  <x:c r="K4680" i="2"/>
  <x:c r="L4680" i="2"/>
  <x:c r="K4681" i="2"/>
  <x:c r="L4681" i="2"/>
  <x:c r="K4682" i="2"/>
  <x:c r="L4682" i="2"/>
  <x:c r="K4683" i="2"/>
  <x:c r="L4683" i="2"/>
  <x:c r="K4684" i="2"/>
  <x:c r="L4684" i="2"/>
  <x:c r="K4685" i="2"/>
  <x:c r="L4685" i="2"/>
  <x:c r="K4686" i="2"/>
  <x:c r="L4686" i="2"/>
  <x:c r="K4687" i="2"/>
  <x:c r="L4687" i="2"/>
  <x:c r="K4688" i="2"/>
  <x:c r="L4688" i="2"/>
  <x:c r="K4689" i="2"/>
  <x:c r="L4689" i="2"/>
  <x:c r="K4690" i="2"/>
  <x:c r="L4690" i="2"/>
  <x:c r="K4691" i="2"/>
  <x:c r="L4691" i="2"/>
  <x:c r="K4692" i="2"/>
  <x:c r="L4692" i="2"/>
  <x:c r="K4693" i="2"/>
  <x:c r="L4693" i="2"/>
  <x:c r="K4694" i="2"/>
  <x:c r="L4694" i="2"/>
  <x:c r="K4695" i="2"/>
  <x:c r="L4695" i="2"/>
  <x:c r="K4696" i="2"/>
  <x:c r="L4696" i="2"/>
  <x:c r="K4697" i="2"/>
  <x:c r="L4697" i="2"/>
  <x:c r="K4698" i="2"/>
  <x:c r="L4698" i="2"/>
  <x:c r="K4699" i="2"/>
  <x:c r="L4699" i="2"/>
  <x:c r="K4700" i="2"/>
  <x:c r="L4700" i="2"/>
  <x:c r="K4701" i="2"/>
  <x:c r="L4701" i="2"/>
  <x:c r="K4702" i="2"/>
  <x:c r="L4702" i="2"/>
  <x:c r="K4703" i="2"/>
  <x:c r="L4703" i="2"/>
  <x:c r="K4704" i="2"/>
  <x:c r="L4704" i="2"/>
  <x:c r="K4705" i="2"/>
  <x:c r="L4705" i="2"/>
  <x:c r="K4706" i="2"/>
  <x:c r="L4706" i="2"/>
  <x:c r="K4707" i="2"/>
  <x:c r="L4707" i="2"/>
  <x:c r="K4708" i="2"/>
  <x:c r="L4708" i="2"/>
  <x:c r="K4709" i="2"/>
  <x:c r="L4709" i="2"/>
  <x:c r="K4710" i="2"/>
  <x:c r="L4710" i="2"/>
  <x:c r="K4711" i="2"/>
  <x:c r="L4711" i="2"/>
  <x:c r="K4712" i="2"/>
  <x:c r="L4712" i="2"/>
  <x:c r="K4713" i="2"/>
  <x:c r="L4713" i="2"/>
  <x:c r="K4714" i="2"/>
  <x:c r="L4714" i="2"/>
  <x:c r="K4715" i="2"/>
  <x:c r="L4715" i="2"/>
  <x:c r="K4716" i="2"/>
  <x:c r="L4716" i="2"/>
  <x:c r="K4717" i="2"/>
  <x:c r="L4717" i="2"/>
  <x:c r="K4718" i="2"/>
  <x:c r="L4718" i="2"/>
  <x:c r="K4719" i="2"/>
  <x:c r="L4719" i="2"/>
  <x:c r="K4720" i="2"/>
  <x:c r="L4720" i="2"/>
  <x:c r="K4721" i="2"/>
  <x:c r="L4721" i="2"/>
  <x:c r="K4722" i="2"/>
  <x:c r="L4722" i="2"/>
  <x:c r="K4723" i="2"/>
  <x:c r="L4723" i="2"/>
  <x:c r="K4724" i="2"/>
  <x:c r="L4724" i="2"/>
  <x:c r="K4725" i="2"/>
  <x:c r="L4725" i="2"/>
  <x:c r="K4726" i="2"/>
  <x:c r="L4726" i="2"/>
  <x:c r="K4727" i="2"/>
  <x:c r="L4727" i="2"/>
  <x:c r="K4728" i="2"/>
  <x:c r="L4728" i="2"/>
  <x:c r="K4729" i="2"/>
  <x:c r="L4729" i="2"/>
  <x:c r="K4730" i="2"/>
  <x:c r="L4730" i="2"/>
  <x:c r="K4731" i="2"/>
  <x:c r="L4731" i="2"/>
  <x:c r="K4732" i="2"/>
  <x:c r="L4732" i="2"/>
  <x:c r="K4733" i="2"/>
  <x:c r="L4733" i="2"/>
  <x:c r="K4734" i="2"/>
  <x:c r="L4734" i="2"/>
  <x:c r="K4735" i="2"/>
  <x:c r="L4735" i="2"/>
  <x:c r="K4736" i="2"/>
  <x:c r="L4736" i="2"/>
  <x:c r="K4737" i="2"/>
  <x:c r="L4737" i="2"/>
  <x:c r="K4738" i="2"/>
  <x:c r="L4738" i="2"/>
  <x:c r="K4739" i="2"/>
  <x:c r="L4739" i="2"/>
  <x:c r="K4740" i="2"/>
  <x:c r="L4740" i="2"/>
  <x:c r="K4741" i="2"/>
  <x:c r="L4741" i="2"/>
  <x:c r="K4742" i="2"/>
  <x:c r="L4742" i="2"/>
  <x:c r="K4743" i="2"/>
  <x:c r="L4743" i="2"/>
  <x:c r="K4744" i="2"/>
  <x:c r="L4744" i="2"/>
  <x:c r="K4745" i="2"/>
  <x:c r="L4745" i="2"/>
  <x:c r="K4746" i="2"/>
  <x:c r="L4746" i="2"/>
  <x:c r="K4747" i="2"/>
  <x:c r="L4747" i="2"/>
  <x:c r="K4748" i="2"/>
  <x:c r="L4748" i="2"/>
  <x:c r="K4749" i="2"/>
  <x:c r="L4749" i="2"/>
  <x:c r="K4750" i="2"/>
  <x:c r="L4750" i="2"/>
  <x:c r="K4751" i="2"/>
  <x:c r="L4751" i="2"/>
  <x:c r="K4752" i="2"/>
  <x:c r="L4752" i="2"/>
  <x:c r="K4753" i="2"/>
  <x:c r="L4753" i="2"/>
  <x:c r="K4754" i="2"/>
  <x:c r="L4754" i="2"/>
  <x:c r="K4755" i="2"/>
  <x:c r="L4755" i="2"/>
  <x:c r="K4756" i="2"/>
  <x:c r="L4756" i="2"/>
  <x:c r="K4757" i="2"/>
  <x:c r="L4757" i="2"/>
  <x:c r="K4758" i="2"/>
  <x:c r="L4758" i="2"/>
  <x:c r="K4759" i="2"/>
  <x:c r="L4759" i="2"/>
  <x:c r="K4760" i="2"/>
  <x:c r="L4760" i="2"/>
  <x:c r="K4761" i="2"/>
  <x:c r="L4761" i="2"/>
  <x:c r="K4762" i="2"/>
  <x:c r="L4762" i="2"/>
  <x:c r="K4763" i="2"/>
  <x:c r="L4763" i="2"/>
  <x:c r="K4764" i="2"/>
  <x:c r="L4764" i="2"/>
  <x:c r="K4765" i="2"/>
  <x:c r="L4765" i="2"/>
  <x:c r="K4766" i="2"/>
  <x:c r="L4766" i="2"/>
  <x:c r="K4767" i="2"/>
  <x:c r="L4767" i="2"/>
  <x:c r="K4768" i="2"/>
  <x:c r="L4768" i="2"/>
  <x:c r="K4769" i="2"/>
  <x:c r="L4769" i="2"/>
  <x:c r="K4770" i="2"/>
  <x:c r="L4770" i="2"/>
  <x:c r="K4771" i="2"/>
  <x:c r="L4771" i="2"/>
  <x:c r="K4772" i="2"/>
  <x:c r="L4772" i="2"/>
  <x:c r="K4773" i="2"/>
  <x:c r="L4773" i="2"/>
  <x:c r="K4774" i="2"/>
  <x:c r="L4774" i="2"/>
  <x:c r="K4775" i="2"/>
  <x:c r="L4775" i="2"/>
  <x:c r="K4776" i="2"/>
  <x:c r="L4776" i="2"/>
  <x:c r="K4777" i="2"/>
  <x:c r="L4777" i="2"/>
  <x:c r="K4778" i="2"/>
  <x:c r="L4778" i="2"/>
  <x:c r="K4779" i="2"/>
  <x:c r="L4779" i="2"/>
  <x:c r="K4780" i="2"/>
  <x:c r="L4780" i="2"/>
  <x:c r="K4781" i="2"/>
  <x:c r="L4781" i="2"/>
  <x:c r="K4782" i="2"/>
  <x:c r="L4782" i="2"/>
  <x:c r="K4783" i="2"/>
  <x:c r="L4783" i="2"/>
  <x:c r="K4784" i="2"/>
  <x:c r="L4784" i="2"/>
  <x:c r="K4785" i="2"/>
  <x:c r="L4785" i="2"/>
  <x:c r="K4786" i="2"/>
  <x:c r="L4786" i="2"/>
  <x:c r="K4787" i="2"/>
  <x:c r="L4787" i="2"/>
  <x:c r="K4788" i="2"/>
  <x:c r="L4788" i="2"/>
  <x:c r="K4789" i="2"/>
  <x:c r="L4789" i="2"/>
  <x:c r="K4790" i="2"/>
  <x:c r="L4790" i="2"/>
  <x:c r="K4791" i="2"/>
  <x:c r="L4791" i="2"/>
  <x:c r="K4792" i="2"/>
  <x:c r="L4792" i="2"/>
  <x:c r="K4793" i="2"/>
  <x:c r="L4793" i="2"/>
  <x:c r="K4794" i="2"/>
  <x:c r="L4794" i="2"/>
  <x:c r="K4795" i="2"/>
  <x:c r="L4795" i="2"/>
  <x:c r="K4796" i="2"/>
  <x:c r="L4796" i="2"/>
  <x:c r="K4797" i="2"/>
  <x:c r="L4797" i="2"/>
  <x:c r="K4798" i="2"/>
  <x:c r="L4798" i="2"/>
  <x:c r="K4799" i="2"/>
  <x:c r="L4799" i="2"/>
  <x:c r="K4800" i="2"/>
  <x:c r="L4800" i="2"/>
  <x:c r="K4801" i="2"/>
  <x:c r="L4801" i="2"/>
  <x:c r="K4802" i="2"/>
  <x:c r="L4802" i="2"/>
  <x:c r="K4803" i="2"/>
  <x:c r="L4803" i="2"/>
  <x:c r="K4804" i="2"/>
  <x:c r="L4804" i="2"/>
  <x:c r="K4805" i="2"/>
  <x:c r="L4805" i="2"/>
  <x:c r="K4806" i="2"/>
  <x:c r="L4806" i="2"/>
  <x:c r="K4807" i="2"/>
  <x:c r="L4807" i="2"/>
  <x:c r="K4808" i="2"/>
  <x:c r="L4808" i="2"/>
  <x:c r="K4809" i="2"/>
  <x:c r="L4809" i="2"/>
  <x:c r="K4810" i="2"/>
  <x:c r="L4810" i="2"/>
  <x:c r="K4811" i="2"/>
  <x:c r="L4811" i="2"/>
  <x:c r="K4812" i="2"/>
  <x:c r="L4812" i="2"/>
  <x:c r="K4813" i="2"/>
  <x:c r="L4813" i="2"/>
  <x:c r="K4814" i="2"/>
  <x:c r="L4814" i="2"/>
  <x:c r="K4815" i="2"/>
  <x:c r="L4815" i="2"/>
  <x:c r="K4816" i="2"/>
  <x:c r="L4816" i="2"/>
  <x:c r="K4817" i="2"/>
  <x:c r="L4817" i="2"/>
  <x:c r="K4818" i="2"/>
  <x:c r="L4818" i="2"/>
  <x:c r="K4819" i="2"/>
  <x:c r="L4819" i="2"/>
  <x:c r="K4820" i="2"/>
  <x:c r="L4820" i="2"/>
  <x:c r="K4821" i="2"/>
  <x:c r="L4821" i="2"/>
  <x:c r="K4822" i="2"/>
  <x:c r="L4822" i="2"/>
  <x:c r="K4823" i="2"/>
  <x:c r="L4823" i="2"/>
  <x:c r="K4824" i="2"/>
  <x:c r="L4824" i="2"/>
  <x:c r="K4825" i="2"/>
  <x:c r="L4825" i="2"/>
  <x:c r="K4826" i="2"/>
  <x:c r="L4826" i="2"/>
  <x:c r="K4827" i="2"/>
  <x:c r="L4827" i="2"/>
  <x:c r="K4828" i="2"/>
  <x:c r="L4828" i="2"/>
  <x:c r="K4829" i="2"/>
  <x:c r="L4829" i="2"/>
  <x:c r="K4830" i="2"/>
  <x:c r="L4830" i="2"/>
  <x:c r="K4831" i="2"/>
  <x:c r="L4831" i="2"/>
  <x:c r="K4832" i="2"/>
  <x:c r="L4832" i="2"/>
  <x:c r="K4833" i="2"/>
  <x:c r="L4833" i="2"/>
  <x:c r="K4834" i="2"/>
  <x:c r="L4834" i="2"/>
  <x:c r="K4835" i="2"/>
  <x:c r="L4835" i="2"/>
  <x:c r="K4836" i="2"/>
  <x:c r="L4836" i="2"/>
  <x:c r="K4837" i="2"/>
  <x:c r="L4837" i="2"/>
  <x:c r="K4838" i="2"/>
  <x:c r="L4838" i="2"/>
  <x:c r="K4839" i="2"/>
  <x:c r="L4839" i="2"/>
  <x:c r="K4840" i="2"/>
  <x:c r="L4840" i="2"/>
  <x:c r="K4841" i="2"/>
  <x:c r="L4841" i="2"/>
  <x:c r="K4842" i="2"/>
  <x:c r="L4842" i="2"/>
  <x:c r="K4843" i="2"/>
  <x:c r="L4843" i="2"/>
  <x:c r="K4844" i="2"/>
  <x:c r="L4844" i="2"/>
  <x:c r="K4845" i="2"/>
  <x:c r="L4845" i="2"/>
  <x:c r="K4846" i="2"/>
  <x:c r="L4846" i="2"/>
  <x:c r="K4847" i="2"/>
  <x:c r="L4847" i="2"/>
  <x:c r="K4848" i="2"/>
  <x:c r="L4848" i="2"/>
  <x:c r="K4849" i="2"/>
  <x:c r="L4849" i="2"/>
  <x:c r="K4850" i="2"/>
  <x:c r="L4850" i="2"/>
  <x:c r="K4851" i="2"/>
  <x:c r="L4851" i="2"/>
  <x:c r="K4852" i="2"/>
  <x:c r="L4852" i="2"/>
  <x:c r="K4853" i="2"/>
  <x:c r="L4853" i="2"/>
  <x:c r="K4854" i="2"/>
  <x:c r="L4854" i="2"/>
  <x:c r="K4855" i="2"/>
  <x:c r="L4855" i="2"/>
  <x:c r="K4856" i="2"/>
  <x:c r="L4856" i="2"/>
  <x:c r="K4857" i="2"/>
  <x:c r="L4857" i="2"/>
  <x:c r="K4858" i="2"/>
  <x:c r="L4858" i="2"/>
  <x:c r="K4859" i="2"/>
  <x:c r="L4859" i="2"/>
  <x:c r="K4860" i="2"/>
  <x:c r="L4860" i="2"/>
  <x:c r="K4861" i="2"/>
  <x:c r="L4861" i="2"/>
  <x:c r="K4862" i="2"/>
  <x:c r="L4862" i="2"/>
  <x:c r="K4863" i="2"/>
  <x:c r="L4863" i="2"/>
  <x:c r="K4864" i="2"/>
  <x:c r="L4864" i="2"/>
  <x:c r="K4865" i="2"/>
  <x:c r="L4865" i="2"/>
  <x:c r="K4866" i="2"/>
  <x:c r="L4866" i="2"/>
  <x:c r="K4867" i="2"/>
  <x:c r="L4867" i="2"/>
  <x:c r="K4868" i="2"/>
  <x:c r="L4868" i="2"/>
  <x:c r="K4869" i="2"/>
  <x:c r="L4869" i="2"/>
  <x:c r="K4870" i="2"/>
  <x:c r="L4870" i="2"/>
  <x:c r="K4871" i="2"/>
  <x:c r="L4871" i="2"/>
  <x:c r="K4872" i="2"/>
  <x:c r="L4872" i="2"/>
  <x:c r="K4873" i="2"/>
  <x:c r="L4873" i="2"/>
  <x:c r="K4874" i="2"/>
  <x:c r="L4874" i="2"/>
  <x:c r="K4875" i="2"/>
  <x:c r="L4875" i="2"/>
  <x:c r="K4876" i="2"/>
  <x:c r="L4876" i="2"/>
  <x:c r="K4877" i="2"/>
  <x:c r="L4877" i="2"/>
  <x:c r="K4878" i="2"/>
  <x:c r="L4878" i="2"/>
  <x:c r="K4879" i="2"/>
  <x:c r="L4879" i="2"/>
  <x:c r="K4880" i="2"/>
  <x:c r="L4880" i="2"/>
  <x:c r="K4881" i="2"/>
  <x:c r="L4881" i="2"/>
  <x:c r="K4882" i="2"/>
  <x:c r="L4882" i="2"/>
  <x:c r="K4883" i="2"/>
  <x:c r="L4883" i="2"/>
  <x:c r="K4884" i="2"/>
  <x:c r="L4884" i="2"/>
  <x:c r="K4885" i="2"/>
  <x:c r="L4885" i="2"/>
  <x:c r="K4886" i="2"/>
  <x:c r="L4886" i="2"/>
  <x:c r="K4887" i="2"/>
  <x:c r="L4887" i="2"/>
  <x:c r="K4888" i="2"/>
  <x:c r="L4888" i="2"/>
  <x:c r="K4889" i="2"/>
  <x:c r="L4889" i="2"/>
  <x:c r="K4890" i="2"/>
  <x:c r="L4890" i="2"/>
  <x:c r="K4891" i="2"/>
  <x:c r="L4891" i="2"/>
  <x:c r="K4892" i="2"/>
  <x:c r="L4892" i="2"/>
  <x:c r="K4893" i="2"/>
  <x:c r="L4893" i="2"/>
  <x:c r="K4894" i="2"/>
  <x:c r="L4894" i="2"/>
  <x:c r="K4895" i="2"/>
  <x:c r="L4895" i="2"/>
  <x:c r="K4896" i="2"/>
  <x:c r="L4896" i="2"/>
  <x:c r="K4897" i="2"/>
  <x:c r="L4897" i="2"/>
  <x:c r="K4898" i="2"/>
  <x:c r="L4898" i="2"/>
  <x:c r="K4899" i="2"/>
  <x:c r="L4899" i="2"/>
  <x:c r="K4900" i="2"/>
  <x:c r="L4900" i="2"/>
  <x:c r="K4901" i="2"/>
  <x:c r="L4901" i="2"/>
  <x:c r="K4902" i="2"/>
  <x:c r="L4902" i="2"/>
  <x:c r="K4903" i="2"/>
  <x:c r="L4903" i="2"/>
  <x:c r="K4904" i="2"/>
  <x:c r="L4904" i="2"/>
  <x:c r="K4905" i="2"/>
  <x:c r="L4905" i="2"/>
  <x:c r="K4906" i="2"/>
  <x:c r="L4906" i="2"/>
  <x:c r="K4907" i="2"/>
  <x:c r="L4907" i="2"/>
  <x:c r="K4908" i="2"/>
  <x:c r="L4908" i="2"/>
  <x:c r="K4909" i="2"/>
  <x:c r="L4909" i="2"/>
  <x:c r="K4910" i="2"/>
  <x:c r="L4910" i="2"/>
  <x:c r="K4911" i="2"/>
  <x:c r="L4911" i="2"/>
  <x:c r="K4912" i="2"/>
  <x:c r="L4912" i="2"/>
  <x:c r="K4913" i="2"/>
  <x:c r="L4913" i="2"/>
  <x:c r="K4914" i="2"/>
  <x:c r="L4914" i="2"/>
  <x:c r="K4915" i="2"/>
  <x:c r="L4915" i="2"/>
  <x:c r="K4916" i="2"/>
  <x:c r="L4916" i="2"/>
  <x:c r="K4917" i="2"/>
  <x:c r="L4917" i="2"/>
  <x:c r="K4918" i="2"/>
  <x:c r="L4918" i="2"/>
  <x:c r="K4919" i="2"/>
  <x:c r="L4919" i="2"/>
  <x:c r="K4920" i="2"/>
  <x:c r="L4920" i="2"/>
  <x:c r="K4921" i="2"/>
  <x:c r="L4921" i="2"/>
  <x:c r="K4922" i="2"/>
  <x:c r="L4922" i="2"/>
  <x:c r="K4923" i="2"/>
  <x:c r="L4923" i="2"/>
  <x:c r="K4924" i="2"/>
  <x:c r="L4924" i="2"/>
  <x:c r="K4925" i="2"/>
  <x:c r="L4925" i="2"/>
  <x:c r="K4926" i="2"/>
  <x:c r="L4926" i="2"/>
  <x:c r="K4927" i="2"/>
  <x:c r="L4927" i="2"/>
  <x:c r="K4928" i="2"/>
  <x:c r="L4928" i="2"/>
  <x:c r="K4929" i="2"/>
  <x:c r="L4929" i="2"/>
  <x:c r="K4930" i="2"/>
  <x:c r="L4930" i="2"/>
  <x:c r="K4931" i="2"/>
  <x:c r="L4931" i="2"/>
  <x:c r="K4932" i="2"/>
  <x:c r="L4932" i="2"/>
  <x:c r="K4933" i="2"/>
  <x:c r="L4933" i="2"/>
  <x:c r="K4934" i="2"/>
  <x:c r="L4934" i="2"/>
  <x:c r="K4935" i="2"/>
  <x:c r="L4935" i="2"/>
  <x:c r="K4936" i="2"/>
  <x:c r="L4936" i="2"/>
  <x:c r="K4937" i="2"/>
  <x:c r="L4937" i="2"/>
  <x:c r="K4938" i="2"/>
  <x:c r="L4938" i="2"/>
  <x:c r="K4939" i="2"/>
  <x:c r="L4939" i="2"/>
  <x:c r="K4940" i="2"/>
  <x:c r="L4940" i="2"/>
  <x:c r="K4941" i="2"/>
  <x:c r="L4941" i="2"/>
  <x:c r="K4942" i="2"/>
  <x:c r="L4942" i="2"/>
  <x:c r="K4943" i="2"/>
  <x:c r="L4943" i="2"/>
  <x:c r="K4944" i="2"/>
  <x:c r="L4944" i="2"/>
  <x:c r="K4945" i="2"/>
  <x:c r="L4945" i="2"/>
  <x:c r="K4946" i="2"/>
  <x:c r="L4946" i="2"/>
  <x:c r="K4947" i="2"/>
  <x:c r="L4947" i="2"/>
  <x:c r="K4948" i="2"/>
  <x:c r="L4948" i="2"/>
  <x:c r="K4949" i="2"/>
  <x:c r="L4949" i="2"/>
  <x:c r="K4950" i="2"/>
  <x:c r="L4950" i="2"/>
  <x:c r="K4951" i="2"/>
  <x:c r="L4951" i="2"/>
  <x:c r="K4952" i="2"/>
  <x:c r="L4952" i="2"/>
  <x:c r="K4953" i="2"/>
  <x:c r="L4953" i="2"/>
  <x:c r="K4954" i="2"/>
  <x:c r="L4954" i="2"/>
  <x:c r="K4955" i="2"/>
  <x:c r="L4955" i="2"/>
  <x:c r="K4956" i="2"/>
  <x:c r="L4956" i="2"/>
  <x:c r="K4957" i="2"/>
  <x:c r="L4957" i="2"/>
  <x:c r="K4958" i="2"/>
  <x:c r="L4958" i="2"/>
  <x:c r="K4959" i="2"/>
  <x:c r="L4959" i="2"/>
  <x:c r="K4960" i="2"/>
  <x:c r="L4960" i="2"/>
  <x:c r="K4961" i="2"/>
  <x:c r="L4961" i="2"/>
  <x:c r="K4962" i="2"/>
  <x:c r="L4962" i="2"/>
  <x:c r="K4963" i="2"/>
  <x:c r="L4963" i="2"/>
  <x:c r="K4964" i="2"/>
  <x:c r="L4964" i="2"/>
  <x:c r="K4965" i="2"/>
  <x:c r="L4965" i="2"/>
  <x:c r="K4966" i="2"/>
  <x:c r="L4966" i="2"/>
  <x:c r="K4967" i="2"/>
  <x:c r="L4967" i="2"/>
  <x:c r="K4968" i="2"/>
  <x:c r="L4968" i="2"/>
  <x:c r="K4969" i="2"/>
  <x:c r="L4969" i="2"/>
  <x:c r="K4970" i="2"/>
  <x:c r="L4970" i="2"/>
  <x:c r="K4971" i="2"/>
  <x:c r="L4971" i="2"/>
  <x:c r="K4972" i="2"/>
  <x:c r="L4972" i="2"/>
  <x:c r="K4973" i="2"/>
  <x:c r="L4973" i="2"/>
  <x:c r="K4974" i="2"/>
  <x:c r="L4974" i="2"/>
  <x:c r="K4975" i="2"/>
  <x:c r="L4975" i="2"/>
  <x:c r="K4976" i="2"/>
  <x:c r="L4976" i="2"/>
  <x:c r="K4977" i="2"/>
  <x:c r="L4977" i="2"/>
  <x:c r="K4978" i="2"/>
  <x:c r="L4978" i="2"/>
  <x:c r="K4979" i="2"/>
  <x:c r="L4979" i="2"/>
  <x:c r="K4980" i="2"/>
  <x:c r="L4980" i="2"/>
  <x:c r="K4981" i="2"/>
  <x:c r="L4981" i="2"/>
  <x:c r="K4982" i="2"/>
  <x:c r="L4982" i="2"/>
  <x:c r="K4983" i="2"/>
  <x:c r="L4983" i="2"/>
  <x:c r="K4984" i="2"/>
  <x:c r="L4984" i="2"/>
  <x:c r="K4985" i="2"/>
  <x:c r="L4985" i="2"/>
  <x:c r="K4986" i="2"/>
  <x:c r="L4986" i="2"/>
  <x:c r="K4987" i="2"/>
  <x:c r="L4987" i="2"/>
  <x:c r="K4988" i="2"/>
  <x:c r="L4988" i="2"/>
  <x:c r="K4989" i="2"/>
  <x:c r="L4989" i="2"/>
  <x:c r="K4990" i="2"/>
  <x:c r="L4990" i="2"/>
  <x:c r="K4991" i="2"/>
  <x:c r="L4991" i="2"/>
  <x:c r="K4992" i="2"/>
  <x:c r="L4992" i="2"/>
  <x:c r="K4993" i="2"/>
  <x:c r="L4993" i="2"/>
  <x:c r="K4994" i="2"/>
  <x:c r="L4994" i="2"/>
  <x:c r="K4995" i="2"/>
  <x:c r="L4995" i="2"/>
  <x:c r="K4996" i="2"/>
  <x:c r="L4996" i="2"/>
  <x:c r="K4997" i="2"/>
  <x:c r="L4997" i="2"/>
  <x:c r="K4998" i="2"/>
  <x:c r="L4998" i="2"/>
  <x:c r="K4999" i="2"/>
  <x:c r="L4999" i="2"/>
  <x:c r="K5000" i="2"/>
  <x:c r="L5000" i="2"/>
  <x:c r="K5001" i="2"/>
  <x:c r="L5001" i="2"/>
  <x:c r="K5002" i="2"/>
  <x:c r="L5002" i="2"/>
  <x:c r="K5003" i="2"/>
  <x:c r="L5003" i="2"/>
  <x:c r="K5004" i="2"/>
  <x:c r="L5004" i="2"/>
  <x:c r="K5005" i="2"/>
  <x:c r="L5005" i="2"/>
  <x:c r="K5006" i="2"/>
  <x:c r="L5006" i="2"/>
  <x:c r="K5007" i="2"/>
  <x:c r="L5007" i="2"/>
  <x:c r="K5008" i="2"/>
  <x:c r="L5008" i="2"/>
  <x:c r="K5009" i="2"/>
  <x:c r="L5009" i="2"/>
  <x:c r="K5010" i="2"/>
  <x:c r="L5010" i="2"/>
  <x:c r="K5011" i="2"/>
  <x:c r="L5011" i="2"/>
  <x:c r="K5012" i="2"/>
  <x:c r="L5012" i="2"/>
  <x:c r="K5013" i="2"/>
  <x:c r="L5013" i="2"/>
  <x:c r="K5014" i="2"/>
  <x:c r="L5014" i="2"/>
  <x:c r="K5015" i="2"/>
  <x:c r="L5015" i="2"/>
  <x:c r="K5016" i="2"/>
  <x:c r="L5016" i="2"/>
  <x:c r="K5017" i="2"/>
  <x:c r="L5017" i="2"/>
  <x:c r="K5018" i="2"/>
  <x:c r="L5018" i="2"/>
  <x:c r="K5019" i="2"/>
  <x:c r="L5019" i="2"/>
  <x:c r="K5020" i="2"/>
  <x:c r="L5020" i="2"/>
  <x:c r="K5021" i="2"/>
  <x:c r="L5021" i="2"/>
  <x:c r="K5022" i="2"/>
  <x:c r="L5022" i="2"/>
  <x:c r="K5023" i="2"/>
  <x:c r="L5023" i="2"/>
  <x:c r="K5024" i="2"/>
  <x:c r="L5024" i="2"/>
  <x:c r="K5025" i="2"/>
  <x:c r="L5025" i="2"/>
  <x:c r="K5026" i="2"/>
  <x:c r="L5026" i="2"/>
  <x:c r="K5027" i="2"/>
  <x:c r="L5027" i="2"/>
  <x:c r="K5028" i="2"/>
  <x:c r="L5028" i="2"/>
  <x:c r="K5029" i="2"/>
  <x:c r="L5029" i="2"/>
  <x:c r="K5030" i="2"/>
  <x:c r="L5030" i="2"/>
  <x:c r="K5031" i="2"/>
  <x:c r="L5031" i="2"/>
  <x:c r="K5032" i="2"/>
  <x:c r="L5032" i="2"/>
  <x:c r="K5033" i="2"/>
  <x:c r="L5033" i="2"/>
  <x:c r="K5034" i="2"/>
  <x:c r="L5034" i="2"/>
  <x:c r="K5035" i="2"/>
  <x:c r="L5035" i="2"/>
  <x:c r="K5036" i="2"/>
  <x:c r="L5036" i="2"/>
  <x:c r="K5037" i="2"/>
  <x:c r="L5037" i="2"/>
  <x:c r="K5038" i="2"/>
  <x:c r="L5038" i="2"/>
  <x:c r="K5039" i="2"/>
  <x:c r="L5039" i="2"/>
  <x:c r="K5040" i="2"/>
  <x:c r="L5040" i="2"/>
  <x:c r="K5041" i="2"/>
  <x:c r="L5041" i="2"/>
  <x:c r="K5042" i="2"/>
  <x:c r="L5042" i="2"/>
  <x:c r="K5043" i="2"/>
  <x:c r="L5043" i="2"/>
  <x:c r="K5044" i="2"/>
  <x:c r="L5044" i="2"/>
  <x:c r="K5045" i="2"/>
  <x:c r="L5045" i="2"/>
  <x:c r="K5046" i="2"/>
  <x:c r="L5046" i="2"/>
  <x:c r="K5047" i="2"/>
  <x:c r="L5047" i="2"/>
  <x:c r="K5048" i="2"/>
  <x:c r="L5048" i="2"/>
  <x:c r="K5049" i="2"/>
  <x:c r="L5049" i="2"/>
  <x:c r="K5050" i="2"/>
  <x:c r="L5050" i="2"/>
  <x:c r="K5051" i="2"/>
  <x:c r="L5051" i="2"/>
  <x:c r="K5052" i="2"/>
  <x:c r="L5052" i="2"/>
  <x:c r="K5053" i="2"/>
  <x:c r="L5053" i="2"/>
  <x:c r="K5054" i="2"/>
  <x:c r="L5054" i="2"/>
  <x:c r="K5055" i="2"/>
  <x:c r="L5055" i="2"/>
  <x:c r="K5056" i="2"/>
  <x:c r="L5056" i="2"/>
  <x:c r="K5057" i="2"/>
  <x:c r="L5057" i="2"/>
  <x:c r="K5058" i="2"/>
  <x:c r="L5058" i="2"/>
  <x:c r="K5059" i="2"/>
  <x:c r="L5059" i="2"/>
  <x:c r="K5060" i="2"/>
  <x:c r="L5060" i="2"/>
  <x:c r="K5061" i="2"/>
  <x:c r="L5061" i="2"/>
  <x:c r="K5062" i="2"/>
  <x:c r="L5062" i="2"/>
  <x:c r="K5063" i="2"/>
  <x:c r="L5063" i="2"/>
  <x:c r="K5064" i="2"/>
  <x:c r="L5064" i="2"/>
  <x:c r="K5065" i="2"/>
  <x:c r="L5065" i="2"/>
  <x:c r="K5066" i="2"/>
  <x:c r="L5066" i="2"/>
  <x:c r="K5067" i="2"/>
  <x:c r="L5067" i="2"/>
  <x:c r="K5068" i="2"/>
  <x:c r="L5068" i="2"/>
  <x:c r="K5069" i="2"/>
  <x:c r="L5069" i="2"/>
  <x:c r="K5070" i="2"/>
  <x:c r="L5070" i="2"/>
  <x:c r="K5071" i="2"/>
  <x:c r="L5071" i="2"/>
  <x:c r="K5072" i="2"/>
  <x:c r="L5072" i="2"/>
  <x:c r="K5073" i="2"/>
  <x:c r="L5073" i="2"/>
  <x:c r="K5074" i="2"/>
  <x:c r="L5074" i="2"/>
  <x:c r="K5075" i="2"/>
  <x:c r="L5075" i="2"/>
  <x:c r="K5076" i="2"/>
  <x:c r="L5076" i="2"/>
  <x:c r="K5077" i="2"/>
  <x:c r="L5077" i="2"/>
  <x:c r="K5078" i="2"/>
  <x:c r="L5078" i="2"/>
  <x:c r="K5079" i="2"/>
  <x:c r="L5079" i="2"/>
  <x:c r="K5080" i="2"/>
  <x:c r="L5080" i="2"/>
  <x:c r="K5081" i="2"/>
  <x:c r="L5081" i="2"/>
  <x:c r="K5082" i="2"/>
  <x:c r="L5082" i="2"/>
  <x:c r="K5083" i="2"/>
  <x:c r="L5083" i="2"/>
  <x:c r="K5084" i="2"/>
  <x:c r="L5084" i="2"/>
  <x:c r="K5085" i="2"/>
  <x:c r="L5085" i="2"/>
  <x:c r="K5086" i="2"/>
  <x:c r="L5086" i="2"/>
  <x:c r="K5087" i="2"/>
  <x:c r="L5087" i="2"/>
  <x:c r="K5088" i="2"/>
  <x:c r="L5088" i="2"/>
  <x:c r="K5089" i="2"/>
  <x:c r="L5089" i="2"/>
  <x:c r="K5090" i="2"/>
  <x:c r="L5090" i="2"/>
  <x:c r="K5091" i="2"/>
  <x:c r="L5091" i="2"/>
  <x:c r="K5092" i="2"/>
  <x:c r="L5092" i="2"/>
  <x:c r="K5093" i="2"/>
  <x:c r="L5093" i="2"/>
  <x:c r="K5094" i="2"/>
  <x:c r="L5094" i="2"/>
  <x:c r="K5095" i="2"/>
  <x:c r="L5095" i="2"/>
  <x:c r="K5096" i="2"/>
  <x:c r="L5096" i="2"/>
  <x:c r="K5097" i="2"/>
  <x:c r="L5097" i="2"/>
  <x:c r="K5098" i="2"/>
  <x:c r="L5098" i="2"/>
  <x:c r="K5099" i="2"/>
  <x:c r="L5099" i="2"/>
  <x:c r="K5100" i="2"/>
  <x:c r="L5100" i="2"/>
  <x:c r="K5101" i="2"/>
  <x:c r="L5101" i="2"/>
  <x:c r="K5102" i="2"/>
  <x:c r="L5102" i="2"/>
  <x:c r="K5103" i="2"/>
  <x:c r="L5103" i="2"/>
  <x:c r="K5104" i="2"/>
  <x:c r="L5104" i="2"/>
  <x:c r="K5105" i="2"/>
  <x:c r="L5105" i="2"/>
  <x:c r="K5106" i="2"/>
  <x:c r="L5106" i="2"/>
  <x:c r="K5107" i="2"/>
  <x:c r="L5107" i="2"/>
  <x:c r="K5108" i="2"/>
  <x:c r="L5108" i="2"/>
  <x:c r="K5109" i="2"/>
  <x:c r="L5109" i="2"/>
  <x:c r="K5110" i="2"/>
  <x:c r="L5110" i="2"/>
  <x:c r="K5111" i="2"/>
  <x:c r="L5111" i="2"/>
  <x:c r="K5112" i="2"/>
  <x:c r="L5112" i="2"/>
  <x:c r="K5113" i="2"/>
  <x:c r="L5113" i="2"/>
  <x:c r="K5114" i="2"/>
  <x:c r="L5114" i="2"/>
  <x:c r="K5115" i="2"/>
  <x:c r="L5115" i="2"/>
  <x:c r="K5116" i="2"/>
  <x:c r="L5116" i="2"/>
  <x:c r="K5117" i="2"/>
  <x:c r="L5117" i="2"/>
  <x:c r="K5118" i="2"/>
  <x:c r="L5118" i="2"/>
  <x:c r="K5119" i="2"/>
  <x:c r="L5119" i="2"/>
  <x:c r="K5120" i="2"/>
  <x:c r="L5120" i="2"/>
  <x:c r="K5121" i="2"/>
  <x:c r="L5121" i="2"/>
  <x:c r="K5122" i="2"/>
  <x:c r="L5122" i="2"/>
  <x:c r="K5123" i="2"/>
  <x:c r="L5123" i="2"/>
  <x:c r="K5124" i="2"/>
  <x:c r="L5124" i="2"/>
  <x:c r="K5125" i="2"/>
  <x:c r="L5125" i="2"/>
  <x:c r="K5126" i="2"/>
  <x:c r="L5126" i="2"/>
  <x:c r="K5127" i="2"/>
  <x:c r="L5127" i="2"/>
  <x:c r="K5128" i="2"/>
  <x:c r="L5128" i="2"/>
  <x:c r="K5129" i="2"/>
  <x:c r="L5129" i="2"/>
  <x:c r="K5130" i="2"/>
  <x:c r="L5130" i="2"/>
  <x:c r="K5131" i="2"/>
  <x:c r="L5131" i="2"/>
  <x:c r="K5132" i="2"/>
  <x:c r="L5132" i="2"/>
  <x:c r="K5133" i="2"/>
  <x:c r="L5133" i="2"/>
  <x:c r="K5134" i="2"/>
  <x:c r="L5134" i="2"/>
  <x:c r="K5135" i="2"/>
  <x:c r="L5135" i="2"/>
  <x:c r="K5136" i="2"/>
  <x:c r="L5136" i="2"/>
  <x:c r="K5137" i="2"/>
  <x:c r="L5137" i="2"/>
  <x:c r="K5138" i="2"/>
  <x:c r="L5138" i="2"/>
  <x:c r="K5139" i="2"/>
  <x:c r="L5139" i="2"/>
  <x:c r="K5140" i="2"/>
  <x:c r="L5140" i="2"/>
  <x:c r="K5141" i="2"/>
  <x:c r="L5141" i="2"/>
  <x:c r="K5142" i="2"/>
  <x:c r="L5142" i="2"/>
  <x:c r="K5143" i="2"/>
  <x:c r="L5143" i="2"/>
  <x:c r="K5144" i="2"/>
  <x:c r="L5144" i="2"/>
  <x:c r="K5145" i="2"/>
  <x:c r="L5145" i="2"/>
  <x:c r="K5146" i="2"/>
  <x:c r="L5146" i="2"/>
  <x:c r="K5147" i="2"/>
  <x:c r="L5147" i="2"/>
  <x:c r="K5148" i="2"/>
  <x:c r="L5148" i="2"/>
  <x:c r="K5149" i="2"/>
  <x:c r="L5149" i="2"/>
  <x:c r="K5150" i="2"/>
  <x:c r="L5150" i="2"/>
  <x:c r="K5151" i="2"/>
  <x:c r="L5151" i="2"/>
  <x:c r="K5152" i="2"/>
  <x:c r="L5152" i="2"/>
  <x:c r="K5153" i="2"/>
  <x:c r="L5153" i="2"/>
  <x:c r="K5154" i="2"/>
  <x:c r="L5154" i="2"/>
  <x:c r="K5155" i="2"/>
  <x:c r="L5155" i="2"/>
  <x:c r="K5156" i="2"/>
  <x:c r="L5156" i="2"/>
  <x:c r="K5157" i="2"/>
  <x:c r="L5157" i="2"/>
  <x:c r="K5158" i="2"/>
  <x:c r="L5158" i="2"/>
  <x:c r="K5159" i="2"/>
  <x:c r="L5159" i="2"/>
  <x:c r="K5160" i="2"/>
  <x:c r="L5160" i="2"/>
  <x:c r="K5161" i="2"/>
  <x:c r="L5161" i="2"/>
  <x:c r="K5162" i="2"/>
  <x:c r="L5162" i="2"/>
  <x:c r="K5163" i="2"/>
  <x:c r="L5163" i="2"/>
  <x:c r="K5164" i="2"/>
  <x:c r="L5164" i="2"/>
  <x:c r="K5165" i="2"/>
  <x:c r="L5165" i="2"/>
  <x:c r="K5166" i="2"/>
  <x:c r="L5166" i="2"/>
  <x:c r="K5167" i="2"/>
  <x:c r="L5167" i="2"/>
  <x:c r="K5168" i="2"/>
  <x:c r="L5168" i="2"/>
  <x:c r="K5169" i="2"/>
  <x:c r="L5169" i="2"/>
  <x:c r="K5170" i="2"/>
  <x:c r="L5170" i="2"/>
  <x:c r="K5171" i="2"/>
  <x:c r="L5171" i="2"/>
  <x:c r="K5172" i="2"/>
  <x:c r="L5172" i="2"/>
  <x:c r="K5173" i="2"/>
  <x:c r="L5173" i="2"/>
  <x:c r="K5174" i="2"/>
  <x:c r="L5174" i="2"/>
  <x:c r="K5175" i="2"/>
  <x:c r="L5175" i="2"/>
  <x:c r="K5176" i="2"/>
  <x:c r="L5176" i="2"/>
  <x:c r="K5177" i="2"/>
  <x:c r="L5177" i="2"/>
  <x:c r="K5178" i="2"/>
  <x:c r="L5178" i="2"/>
  <x:c r="K5179" i="2"/>
  <x:c r="L5179" i="2"/>
  <x:c r="K5180" i="2"/>
  <x:c r="L5180" i="2"/>
  <x:c r="K5181" i="2"/>
  <x:c r="L5181" i="2"/>
  <x:c r="K5182" i="2"/>
  <x:c r="L5182" i="2"/>
  <x:c r="K5183" i="2"/>
  <x:c r="L5183" i="2"/>
  <x:c r="K5184" i="2"/>
  <x:c r="L5184" i="2"/>
  <x:c r="K5185" i="2"/>
  <x:c r="L5185" i="2"/>
  <x:c r="K5186" i="2"/>
  <x:c r="L5186" i="2"/>
  <x:c r="K5187" i="2"/>
  <x:c r="L5187" i="2"/>
  <x:c r="K5188" i="2"/>
  <x:c r="L5188" i="2"/>
  <x:c r="K5189" i="2"/>
  <x:c r="L5189" i="2"/>
  <x:c r="K5190" i="2"/>
  <x:c r="L5190" i="2"/>
  <x:c r="K5191" i="2"/>
  <x:c r="L5191" i="2"/>
  <x:c r="K5192" i="2"/>
  <x:c r="L5192" i="2"/>
  <x:c r="K5193" i="2"/>
  <x:c r="L5193" i="2"/>
  <x:c r="K5194" i="2"/>
  <x:c r="L5194" i="2"/>
  <x:c r="K5195" i="2"/>
  <x:c r="L5195" i="2"/>
  <x:c r="K5196" i="2"/>
  <x:c r="L5196" i="2"/>
  <x:c r="K5197" i="2"/>
  <x:c r="L5197" i="2"/>
  <x:c r="K5198" i="2"/>
  <x:c r="L5198" i="2"/>
  <x:c r="K5199" i="2"/>
  <x:c r="L5199" i="2"/>
  <x:c r="K5200" i="2"/>
  <x:c r="L5200" i="2"/>
  <x:c r="K5201" i="2"/>
  <x:c r="L5201" i="2"/>
  <x:c r="K5202" i="2"/>
  <x:c r="L5202" i="2"/>
  <x:c r="K5203" i="2"/>
  <x:c r="L5203" i="2"/>
  <x:c r="K5204" i="2"/>
  <x:c r="L5204" i="2"/>
  <x:c r="K5205" i="2"/>
  <x:c r="L5205" i="2"/>
  <x:c r="K5206" i="2"/>
  <x:c r="L5206" i="2"/>
  <x:c r="K5207" i="2"/>
  <x:c r="L5207" i="2"/>
  <x:c r="K5208" i="2"/>
  <x:c r="L5208" i="2"/>
  <x:c r="K5209" i="2"/>
  <x:c r="L5209" i="2"/>
  <x:c r="K5210" i="2"/>
  <x:c r="L5210" i="2"/>
  <x:c r="K5211" i="2"/>
  <x:c r="L5211" i="2"/>
  <x:c r="K5212" i="2"/>
  <x:c r="L5212" i="2"/>
  <x:c r="K5213" i="2"/>
  <x:c r="L5213" i="2"/>
  <x:c r="K5214" i="2"/>
  <x:c r="L5214" i="2"/>
  <x:c r="K5215" i="2"/>
  <x:c r="L5215" i="2"/>
  <x:c r="K5216" i="2"/>
  <x:c r="L5216" i="2"/>
  <x:c r="K5217" i="2"/>
  <x:c r="L5217" i="2"/>
  <x:c r="K5218" i="2"/>
  <x:c r="L5218" i="2"/>
  <x:c r="K5219" i="2"/>
  <x:c r="L5219" i="2"/>
  <x:c r="K5220" i="2"/>
  <x:c r="L5220" i="2"/>
  <x:c r="K5221" i="2"/>
  <x:c r="L5221" i="2"/>
  <x:c r="K5222" i="2"/>
  <x:c r="L5222" i="2"/>
  <x:c r="K5223" i="2"/>
  <x:c r="L5223" i="2"/>
  <x:c r="K5224" i="2"/>
  <x:c r="L5224" i="2"/>
  <x:c r="K5225" i="2"/>
  <x:c r="L5225" i="2"/>
  <x:c r="K5226" i="2"/>
  <x:c r="L5226" i="2"/>
  <x:c r="K5227" i="2"/>
  <x:c r="L5227" i="2"/>
  <x:c r="K5228" i="2"/>
  <x:c r="L5228" i="2"/>
  <x:c r="K5229" i="2"/>
  <x:c r="L5229" i="2"/>
  <x:c r="K5230" i="2"/>
  <x:c r="L5230" i="2"/>
  <x:c r="K5231" i="2"/>
  <x:c r="L5231" i="2"/>
  <x:c r="K5232" i="2"/>
  <x:c r="L5232" i="2"/>
  <x:c r="K5233" i="2"/>
  <x:c r="L5233" i="2"/>
  <x:c r="K5234" i="2"/>
  <x:c r="L5234" i="2"/>
  <x:c r="K5235" i="2"/>
  <x:c r="L5235" i="2"/>
  <x:c r="K5236" i="2"/>
  <x:c r="L5236" i="2"/>
  <x:c r="K5237" i="2"/>
  <x:c r="L5237" i="2"/>
  <x:c r="K5238" i="2"/>
  <x:c r="L5238" i="2"/>
  <x:c r="K5239" i="2"/>
  <x:c r="L5239" i="2"/>
  <x:c r="K5240" i="2"/>
  <x:c r="L5240" i="2"/>
  <x:c r="K5241" i="2"/>
  <x:c r="L5241" i="2"/>
  <x:c r="K5242" i="2"/>
  <x:c r="L5242" i="2"/>
  <x:c r="K5243" i="2"/>
  <x:c r="L5243" i="2"/>
  <x:c r="K5244" i="2"/>
  <x:c r="L5244" i="2"/>
  <x:c r="K5245" i="2"/>
  <x:c r="L5245" i="2"/>
  <x:c r="K5246" i="2"/>
  <x:c r="L5246" i="2"/>
  <x:c r="K5247" i="2"/>
  <x:c r="L5247" i="2"/>
  <x:c r="K5248" i="2"/>
  <x:c r="L5248" i="2"/>
  <x:c r="K5249" i="2"/>
  <x:c r="L5249" i="2"/>
  <x:c r="K5250" i="2"/>
  <x:c r="L5250" i="2"/>
  <x:c r="K5251" i="2"/>
  <x:c r="L5251" i="2"/>
  <x:c r="K5252" i="2"/>
  <x:c r="L5252" i="2"/>
  <x:c r="K5253" i="2"/>
  <x:c r="L5253" i="2"/>
  <x:c r="K5254" i="2"/>
  <x:c r="L5254" i="2"/>
  <x:c r="K5255" i="2"/>
  <x:c r="L5255" i="2"/>
  <x:c r="K5256" i="2"/>
  <x:c r="L5256" i="2"/>
  <x:c r="K5257" i="2"/>
  <x:c r="L5257" i="2"/>
  <x:c r="K5258" i="2"/>
  <x:c r="L5258" i="2"/>
  <x:c r="K5259" i="2"/>
  <x:c r="L5259" i="2"/>
  <x:c r="K5260" i="2"/>
  <x:c r="L5260" i="2"/>
  <x:c r="K5261" i="2"/>
  <x:c r="L5261" i="2"/>
  <x:c r="K5262" i="2"/>
  <x:c r="L5262" i="2"/>
  <x:c r="K5263" i="2"/>
  <x:c r="L5263" i="2"/>
  <x:c r="K5264" i="2"/>
  <x:c r="L5264" i="2"/>
  <x:c r="K5265" i="2"/>
  <x:c r="L5265" i="2"/>
  <x:c r="K5266" i="2"/>
  <x:c r="L5266" i="2"/>
  <x:c r="K5267" i="2"/>
  <x:c r="L5267" i="2"/>
  <x:c r="K5268" i="2"/>
  <x:c r="L5268" i="2"/>
  <x:c r="K5269" i="2"/>
  <x:c r="L5269" i="2"/>
  <x:c r="K5270" i="2"/>
  <x:c r="L5270" i="2"/>
  <x:c r="K5271" i="2"/>
  <x:c r="L5271" i="2"/>
  <x:c r="K5272" i="2"/>
  <x:c r="L5272" i="2"/>
  <x:c r="K5273" i="2"/>
  <x:c r="L5273" i="2"/>
  <x:c r="K5274" i="2"/>
  <x:c r="L5274" i="2"/>
  <x:c r="K5275" i="2"/>
  <x:c r="L5275" i="2"/>
  <x:c r="K5276" i="2"/>
  <x:c r="L5276" i="2"/>
  <x:c r="K5277" i="2"/>
  <x:c r="L5277" i="2"/>
  <x:c r="K5278" i="2"/>
  <x:c r="L5278" i="2"/>
  <x:c r="K5279" i="2"/>
  <x:c r="L5279" i="2"/>
  <x:c r="K5280" i="2"/>
  <x:c r="L5280" i="2"/>
  <x:c r="K5281" i="2"/>
  <x:c r="L5281" i="2"/>
  <x:c r="K5282" i="2"/>
  <x:c r="L5282" i="2"/>
  <x:c r="K5283" i="2"/>
  <x:c r="L5283" i="2"/>
  <x:c r="K5284" i="2"/>
  <x:c r="L5284" i="2"/>
  <x:c r="K5285" i="2"/>
  <x:c r="L5285" i="2"/>
  <x:c r="K5286" i="2"/>
  <x:c r="L5286" i="2"/>
  <x:c r="K5287" i="2"/>
  <x:c r="L5287" i="2"/>
  <x:c r="K5288" i="2"/>
  <x:c r="L5288" i="2"/>
  <x:c r="K5289" i="2"/>
  <x:c r="L5289" i="2"/>
  <x:c r="K5290" i="2"/>
  <x:c r="L5290" i="2"/>
  <x:c r="K5291" i="2"/>
  <x:c r="L5291" i="2"/>
  <x:c r="K5292" i="2"/>
  <x:c r="L5292" i="2"/>
  <x:c r="K5293" i="2"/>
  <x:c r="L5293" i="2"/>
  <x:c r="K5294" i="2"/>
  <x:c r="L5294" i="2"/>
  <x:c r="K5295" i="2"/>
  <x:c r="L5295" i="2"/>
  <x:c r="K5296" i="2"/>
  <x:c r="L5296" i="2"/>
  <x:c r="K5297" i="2"/>
  <x:c r="L5297" i="2"/>
  <x:c r="K5298" i="2"/>
  <x:c r="L5298" i="2"/>
  <x:c r="K5299" i="2"/>
  <x:c r="L5299" i="2"/>
  <x:c r="K5300" i="2"/>
  <x:c r="L5300" i="2"/>
  <x:c r="K5301" i="2"/>
  <x:c r="L5301" i="2"/>
  <x:c r="K5302" i="2"/>
  <x:c r="L5302" i="2"/>
  <x:c r="K5303" i="2"/>
  <x:c r="L5303" i="2"/>
  <x:c r="K5304" i="2"/>
  <x:c r="L5304" i="2"/>
  <x:c r="K5305" i="2"/>
  <x:c r="L5305" i="2"/>
  <x:c r="K5306" i="2"/>
  <x:c r="L5306" i="2"/>
  <x:c r="K5307" i="2"/>
  <x:c r="L5307" i="2"/>
  <x:c r="K5308" i="2"/>
  <x:c r="L5308" i="2"/>
  <x:c r="K5309" i="2"/>
  <x:c r="L5309" i="2"/>
  <x:c r="K5310" i="2"/>
  <x:c r="L5310" i="2"/>
  <x:c r="K5311" i="2"/>
  <x:c r="L5311" i="2"/>
  <x:c r="K5312" i="2"/>
  <x:c r="L5312" i="2"/>
  <x:c r="K5313" i="2"/>
  <x:c r="L5313" i="2"/>
  <x:c r="K5314" i="2"/>
  <x:c r="L5314" i="2"/>
  <x:c r="K5315" i="2"/>
  <x:c r="L5315" i="2"/>
  <x:c r="K5316" i="2"/>
  <x:c r="L5316" i="2"/>
  <x:c r="K5317" i="2"/>
  <x:c r="L5317" i="2"/>
  <x:c r="K5318" i="2"/>
  <x:c r="L5318" i="2"/>
  <x:c r="K5319" i="2"/>
  <x:c r="L5319" i="2"/>
  <x:c r="K5320" i="2"/>
  <x:c r="L5320" i="2"/>
  <x:c r="K5321" i="2"/>
  <x:c r="L5321" i="2"/>
  <x:c r="K5322" i="2"/>
  <x:c r="L5322" i="2"/>
  <x:c r="K5323" i="2"/>
  <x:c r="L5323" i="2"/>
  <x:c r="K5324" i="2"/>
  <x:c r="L5324" i="2"/>
  <x:c r="K5325" i="2"/>
  <x:c r="L5325" i="2"/>
  <x:c r="K5326" i="2"/>
  <x:c r="L5326" i="2"/>
  <x:c r="K5327" i="2"/>
  <x:c r="L5327" i="2"/>
  <x:c r="K5328" i="2"/>
  <x:c r="L5328" i="2"/>
  <x:c r="K5329" i="2"/>
  <x:c r="L5329" i="2"/>
  <x:c r="K5330" i="2"/>
  <x:c r="L5330" i="2"/>
  <x:c r="K5331" i="2"/>
  <x:c r="L5331" i="2"/>
  <x:c r="K5332" i="2"/>
  <x:c r="L5332" i="2"/>
  <x:c r="K5333" i="2"/>
  <x:c r="L5333" i="2"/>
  <x:c r="K5334" i="2"/>
  <x:c r="L5334" i="2"/>
  <x:c r="K5335" i="2"/>
  <x:c r="L5335" i="2"/>
  <x:c r="K5336" i="2"/>
  <x:c r="L5336" i="2"/>
  <x:c r="K5337" i="2"/>
  <x:c r="L5337" i="2"/>
  <x:c r="K5338" i="2"/>
  <x:c r="L5338" i="2"/>
  <x:c r="K5339" i="2"/>
  <x:c r="L5339" i="2"/>
  <x:c r="K5340" i="2"/>
  <x:c r="L5340" i="2"/>
  <x:c r="K5341" i="2"/>
  <x:c r="L5341" i="2"/>
  <x:c r="K5342" i="2"/>
  <x:c r="L5342" i="2"/>
  <x:c r="K5343" i="2"/>
  <x:c r="L5343" i="2"/>
  <x:c r="K5344" i="2"/>
  <x:c r="L5344" i="2"/>
  <x:c r="K5345" i="2"/>
  <x:c r="L5345" i="2"/>
  <x:c r="K5346" i="2"/>
  <x:c r="L5346" i="2"/>
  <x:c r="K5347" i="2"/>
  <x:c r="L5347" i="2"/>
  <x:c r="K5348" i="2"/>
  <x:c r="L5348" i="2"/>
  <x:c r="K5349" i="2"/>
  <x:c r="L5349" i="2"/>
  <x:c r="K5350" i="2"/>
  <x:c r="L5350" i="2"/>
  <x:c r="K5351" i="2"/>
  <x:c r="L5351" i="2"/>
  <x:c r="K5352" i="2"/>
  <x:c r="L5352" i="2"/>
  <x:c r="K5353" i="2"/>
  <x:c r="L5353" i="2"/>
  <x:c r="K5354" i="2"/>
  <x:c r="L5354" i="2"/>
  <x:c r="K5355" i="2"/>
  <x:c r="L5355" i="2"/>
  <x:c r="K5356" i="2"/>
  <x:c r="L5356" i="2"/>
  <x:c r="K5357" i="2"/>
  <x:c r="L5357" i="2"/>
  <x:c r="K5358" i="2"/>
  <x:c r="L5358" i="2"/>
  <x:c r="K5359" i="2"/>
  <x:c r="L5359" i="2"/>
  <x:c r="K5360" i="2"/>
  <x:c r="L5360" i="2"/>
  <x:c r="K5361" i="2"/>
  <x:c r="L5361" i="2"/>
  <x:c r="K5362" i="2"/>
  <x:c r="L5362" i="2"/>
  <x:c r="K5363" i="2"/>
  <x:c r="L5363" i="2"/>
  <x:c r="K5364" i="2"/>
  <x:c r="L5364" i="2"/>
  <x:c r="K5365" i="2"/>
  <x:c r="L5365" i="2"/>
  <x:c r="K5366" i="2"/>
  <x:c r="L5366" i="2"/>
  <x:c r="K5367" i="2"/>
  <x:c r="L5367" i="2"/>
  <x:c r="K5368" i="2"/>
  <x:c r="L5368" i="2"/>
  <x:c r="K5369" i="2"/>
  <x:c r="L5369" i="2"/>
  <x:c r="K5370" i="2"/>
  <x:c r="L5370" i="2"/>
  <x:c r="K5371" i="2"/>
  <x:c r="L5371" i="2"/>
  <x:c r="K5372" i="2"/>
  <x:c r="L5372" i="2"/>
  <x:c r="K5373" i="2"/>
  <x:c r="L5373" i="2"/>
  <x:c r="K5374" i="2"/>
  <x:c r="L5374" i="2"/>
  <x:c r="K5375" i="2"/>
  <x:c r="L5375" i="2"/>
  <x:c r="K5376" i="2"/>
  <x:c r="L5376" i="2"/>
  <x:c r="K5377" i="2"/>
  <x:c r="L5377" i="2"/>
  <x:c r="K5378" i="2"/>
  <x:c r="L5378" i="2"/>
  <x:c r="K5379" i="2"/>
  <x:c r="L5379" i="2"/>
  <x:c r="K5380" i="2"/>
  <x:c r="L5380" i="2"/>
  <x:c r="K5381" i="2"/>
  <x:c r="L5381" i="2"/>
  <x:c r="K5382" i="2"/>
  <x:c r="L5382" i="2"/>
  <x:c r="K5383" i="2"/>
  <x:c r="L5383" i="2"/>
  <x:c r="K5384" i="2"/>
  <x:c r="L5384" i="2"/>
  <x:c r="K5385" i="2"/>
  <x:c r="L5385" i="2"/>
  <x:c r="K5386" i="2"/>
  <x:c r="L5386" i="2"/>
  <x:c r="K5387" i="2"/>
  <x:c r="L5387" i="2"/>
  <x:c r="K5388" i="2"/>
  <x:c r="L5388" i="2"/>
  <x:c r="K5389" i="2"/>
  <x:c r="L5389" i="2"/>
  <x:c r="K5390" i="2"/>
  <x:c r="L5390" i="2"/>
  <x:c r="K5391" i="2"/>
  <x:c r="L5391" i="2"/>
  <x:c r="K5392" i="2"/>
  <x:c r="L5392" i="2"/>
  <x:c r="K5393" i="2"/>
  <x:c r="L5393" i="2"/>
  <x:c r="K5394" i="2"/>
  <x:c r="L5394" i="2"/>
  <x:c r="K5395" i="2"/>
  <x:c r="L5395" i="2"/>
  <x:c r="K5396" i="2"/>
  <x:c r="L5396" i="2"/>
  <x:c r="K5397" i="2"/>
  <x:c r="L5397" i="2"/>
  <x:c r="K5398" i="2"/>
  <x:c r="L5398" i="2"/>
  <x:c r="K5399" i="2"/>
  <x:c r="L5399" i="2"/>
  <x:c r="K5400" i="2"/>
  <x:c r="L5400" i="2"/>
  <x:c r="K5401" i="2"/>
  <x:c r="L5401" i="2"/>
  <x:c r="K5402" i="2"/>
  <x:c r="L5402" i="2"/>
  <x:c r="K5403" i="2"/>
  <x:c r="L5403" i="2"/>
  <x:c r="K5404" i="2"/>
  <x:c r="L5404" i="2"/>
  <x:c r="K5405" i="2"/>
  <x:c r="L5405" i="2"/>
  <x:c r="K5406" i="2"/>
  <x:c r="L5406" i="2"/>
  <x:c r="K5407" i="2"/>
  <x:c r="L5407" i="2"/>
  <x:c r="K5408" i="2"/>
  <x:c r="L5408" i="2"/>
  <x:c r="K5409" i="2"/>
  <x:c r="L5409" i="2"/>
  <x:c r="K5410" i="2"/>
  <x:c r="L5410" i="2"/>
  <x:c r="K5411" i="2"/>
  <x:c r="L5411" i="2"/>
  <x:c r="K5412" i="2"/>
  <x:c r="L5412" i="2"/>
  <x:c r="K5413" i="2"/>
  <x:c r="L5413" i="2"/>
  <x:c r="K5414" i="2"/>
  <x:c r="L5414" i="2"/>
  <x:c r="K5415" i="2"/>
  <x:c r="L5415" i="2"/>
  <x:c r="K5416" i="2"/>
  <x:c r="L5416" i="2"/>
  <x:c r="K5417" i="2"/>
  <x:c r="L5417" i="2"/>
  <x:c r="K5418" i="2"/>
  <x:c r="L5418" i="2"/>
  <x:c r="K5419" i="2"/>
  <x:c r="L5419" i="2"/>
  <x:c r="K5420" i="2"/>
  <x:c r="L5420" i="2"/>
  <x:c r="K5421" i="2"/>
  <x:c r="L5421" i="2"/>
  <x:c r="K5422" i="2"/>
  <x:c r="L5422" i="2"/>
  <x:c r="K5423" i="2"/>
  <x:c r="L5423" i="2"/>
  <x:c r="K5424" i="2"/>
  <x:c r="L5424" i="2"/>
  <x:c r="K5425" i="2"/>
  <x:c r="L5425" i="2"/>
  <x:c r="K5426" i="2"/>
  <x:c r="L5426" i="2"/>
  <x:c r="K5427" i="2"/>
  <x:c r="L5427" i="2"/>
  <x:c r="K5428" i="2"/>
  <x:c r="L5428" i="2"/>
  <x:c r="K5429" i="2"/>
  <x:c r="L5429" i="2"/>
  <x:c r="K5430" i="2"/>
  <x:c r="L5430" i="2"/>
  <x:c r="K5431" i="2"/>
  <x:c r="L5431" i="2"/>
  <x:c r="K5432" i="2"/>
  <x:c r="L5432" i="2"/>
  <x:c r="K5433" i="2"/>
  <x:c r="L5433" i="2"/>
  <x:c r="K5434" i="2"/>
  <x:c r="L5434" i="2"/>
  <x:c r="K5435" i="2"/>
  <x:c r="L5435" i="2"/>
  <x:c r="K5436" i="2"/>
  <x:c r="L5436" i="2"/>
  <x:c r="K5437" i="2"/>
  <x:c r="L5437" i="2"/>
  <x:c r="K5438" i="2"/>
  <x:c r="L5438" i="2"/>
  <x:c r="K5439" i="2"/>
  <x:c r="L5439" i="2"/>
  <x:c r="K5440" i="2"/>
  <x:c r="L5440" i="2"/>
  <x:c r="K5441" i="2"/>
  <x:c r="L5441" i="2"/>
  <x:c r="K5442" i="2"/>
  <x:c r="L5442" i="2"/>
  <x:c r="K5443" i="2"/>
  <x:c r="L5443" i="2"/>
  <x:c r="K5444" i="2"/>
  <x:c r="L5444" i="2"/>
  <x:c r="K5445" i="2"/>
  <x:c r="L5445" i="2"/>
  <x:c r="K5446" i="2"/>
  <x:c r="L5446" i="2"/>
  <x:c r="K5447" i="2"/>
  <x:c r="L5447" i="2"/>
  <x:c r="K5448" i="2"/>
  <x:c r="L5448" i="2"/>
  <x:c r="K5449" i="2"/>
  <x:c r="L5449" i="2"/>
  <x:c r="K5450" i="2"/>
  <x:c r="L5450" i="2"/>
  <x:c r="K5451" i="2"/>
  <x:c r="L5451" i="2"/>
  <x:c r="K5452" i="2"/>
  <x:c r="L5452" i="2"/>
  <x:c r="K5453" i="2"/>
  <x:c r="L5453" i="2"/>
  <x:c r="K5454" i="2"/>
  <x:c r="L5454" i="2"/>
  <x:c r="K5455" i="2"/>
  <x:c r="L5455" i="2"/>
  <x:c r="K5456" i="2"/>
  <x:c r="L5456" i="2"/>
  <x:c r="K5457" i="2"/>
  <x:c r="L5457" i="2"/>
  <x:c r="K5458" i="2"/>
  <x:c r="L5458" i="2"/>
  <x:c r="K5459" i="2"/>
  <x:c r="L5459" i="2"/>
  <x:c r="K5460" i="2"/>
  <x:c r="L5460" i="2"/>
  <x:c r="K5461" i="2"/>
  <x:c r="L5461" i="2"/>
  <x:c r="K5462" i="2"/>
  <x:c r="L5462" i="2"/>
  <x:c r="K5463" i="2"/>
  <x:c r="L5463" i="2"/>
  <x:c r="K5464" i="2"/>
  <x:c r="L5464" i="2"/>
  <x:c r="K5465" i="2"/>
  <x:c r="L5465" i="2"/>
  <x:c r="K5466" i="2"/>
  <x:c r="L5466" i="2"/>
  <x:c r="K5467" i="2"/>
  <x:c r="L5467" i="2"/>
  <x:c r="K5468" i="2"/>
  <x:c r="L5468" i="2"/>
  <x:c r="K5469" i="2"/>
  <x:c r="L5469" i="2"/>
  <x:c r="K5470" i="2"/>
  <x:c r="L5470" i="2"/>
  <x:c r="K5471" i="2"/>
  <x:c r="L5471" i="2"/>
  <x:c r="K5472" i="2"/>
  <x:c r="L5472" i="2"/>
  <x:c r="K5473" i="2"/>
  <x:c r="L5473" i="2"/>
  <x:c r="K5474" i="2"/>
  <x:c r="L5474" i="2"/>
  <x:c r="K5475" i="2"/>
  <x:c r="L5475" i="2"/>
  <x:c r="K5476" i="2"/>
  <x:c r="L5476" i="2"/>
  <x:c r="K5477" i="2"/>
  <x:c r="L5477" i="2"/>
  <x:c r="K5478" i="2"/>
  <x:c r="L5478" i="2"/>
  <x:c r="K5479" i="2"/>
  <x:c r="L5479" i="2"/>
  <x:c r="K5480" i="2"/>
  <x:c r="L5480" i="2"/>
  <x:c r="K5481" i="2"/>
  <x:c r="L5481" i="2"/>
  <x:c r="K5482" i="2"/>
  <x:c r="L5482" i="2"/>
  <x:c r="K5483" i="2"/>
  <x:c r="L5483" i="2"/>
  <x:c r="K5484" i="2"/>
  <x:c r="L5484" i="2"/>
  <x:c r="K5485" i="2"/>
  <x:c r="L5485" i="2"/>
  <x:c r="K5486" i="2"/>
  <x:c r="L5486" i="2"/>
  <x:c r="K5487" i="2"/>
  <x:c r="L5487" i="2"/>
  <x:c r="K5488" i="2"/>
  <x:c r="L5488" i="2"/>
  <x:c r="K5489" i="2"/>
  <x:c r="L5489" i="2"/>
  <x:c r="K5490" i="2"/>
  <x:c r="L5490" i="2"/>
  <x:c r="K5491" i="2"/>
  <x:c r="L5491" i="2"/>
  <x:c r="K5492" i="2"/>
  <x:c r="L5492" i="2"/>
  <x:c r="K5493" i="2"/>
  <x:c r="L5493" i="2"/>
  <x:c r="K5494" i="2"/>
  <x:c r="L5494" i="2"/>
  <x:c r="K5495" i="2"/>
  <x:c r="L5495" i="2"/>
  <x:c r="K5496" i="2"/>
  <x:c r="L5496" i="2"/>
  <x:c r="K5497" i="2"/>
  <x:c r="L5497" i="2"/>
  <x:c r="K5498" i="2"/>
  <x:c r="L5498" i="2"/>
  <x:c r="K5499" i="2"/>
  <x:c r="L5499" i="2"/>
  <x:c r="K5500" i="2"/>
  <x:c r="L5500" i="2"/>
  <x:c r="K5501" i="2"/>
  <x:c r="L5501" i="2"/>
  <x:c r="K5502" i="2"/>
  <x:c r="L5502" i="2"/>
  <x:c r="K5503" i="2"/>
  <x:c r="L5503" i="2"/>
  <x:c r="K5504" i="2"/>
  <x:c r="L5504" i="2"/>
  <x:c r="K5505" i="2"/>
  <x:c r="L5505" i="2"/>
  <x:c r="K5506" i="2"/>
  <x:c r="L5506" i="2"/>
  <x:c r="K5507" i="2"/>
  <x:c r="L5507" i="2"/>
  <x:c r="K5508" i="2"/>
  <x:c r="L5508" i="2"/>
  <x:c r="K5509" i="2"/>
  <x:c r="L5509" i="2"/>
  <x:c r="K5510" i="2"/>
  <x:c r="L5510" i="2"/>
  <x:c r="K5511" i="2"/>
  <x:c r="L5511" i="2"/>
  <x:c r="K5512" i="2"/>
  <x:c r="L5512" i="2"/>
  <x:c r="K5513" i="2"/>
  <x:c r="L5513" i="2"/>
  <x:c r="K5514" i="2"/>
  <x:c r="L5514" i="2"/>
  <x:c r="K5515" i="2"/>
  <x:c r="L5515" i="2"/>
  <x:c r="K5516" i="2"/>
  <x:c r="L5516" i="2"/>
  <x:c r="K5517" i="2"/>
  <x:c r="L5517" i="2"/>
  <x:c r="K5518" i="2"/>
  <x:c r="L5518" i="2"/>
  <x:c r="K5519" i="2"/>
  <x:c r="L5519" i="2"/>
  <x:c r="K5520" i="2"/>
  <x:c r="L5520" i="2"/>
  <x:c r="K5521" i="2"/>
  <x:c r="L5521" i="2"/>
  <x:c r="K5522" i="2"/>
  <x:c r="L5522" i="2"/>
  <x:c r="K5523" i="2"/>
  <x:c r="L5523" i="2"/>
  <x:c r="K5524" i="2"/>
  <x:c r="L5524" i="2"/>
  <x:c r="K5525" i="2"/>
  <x:c r="L5525" i="2"/>
  <x:c r="K5526" i="2"/>
  <x:c r="L5526" i="2"/>
  <x:c r="K5527" i="2"/>
  <x:c r="L5527" i="2"/>
  <x:c r="K5528" i="2"/>
  <x:c r="L5528" i="2"/>
  <x:c r="K5529" i="2"/>
  <x:c r="L5529" i="2"/>
  <x:c r="K5530" i="2"/>
  <x:c r="L5530" i="2"/>
  <x:c r="K5531" i="2"/>
  <x:c r="L5531" i="2"/>
  <x:c r="K5532" i="2"/>
  <x:c r="L5532" i="2"/>
  <x:c r="K5533" i="2"/>
  <x:c r="L5533" i="2"/>
  <x:c r="K5534" i="2"/>
  <x:c r="L5534" i="2"/>
  <x:c r="K5535" i="2"/>
  <x:c r="L5535" i="2"/>
  <x:c r="K5536" i="2"/>
  <x:c r="L5536" i="2"/>
  <x:c r="K5537" i="2"/>
  <x:c r="L5537" i="2"/>
  <x:c r="K5538" i="2"/>
  <x:c r="L5538" i="2"/>
  <x:c r="K5539" i="2"/>
  <x:c r="L5539" i="2"/>
  <x:c r="K5540" i="2"/>
  <x:c r="L5540" i="2"/>
  <x:c r="K5541" i="2"/>
  <x:c r="L5541" i="2"/>
  <x:c r="K5542" i="2"/>
  <x:c r="L5542" i="2"/>
  <x:c r="K5543" i="2"/>
  <x:c r="L5543" i="2"/>
  <x:c r="K5544" i="2"/>
  <x:c r="L5544" i="2"/>
  <x:c r="K5545" i="2"/>
  <x:c r="L5545" i="2"/>
  <x:c r="K5546" i="2"/>
  <x:c r="L5546" i="2"/>
  <x:c r="K5547" i="2"/>
  <x:c r="L5547" i="2"/>
  <x:c r="K5548" i="2"/>
  <x:c r="L5548" i="2"/>
  <x:c r="K5549" i="2"/>
  <x:c r="L5549" i="2"/>
  <x:c r="K5550" i="2"/>
  <x:c r="L5550" i="2"/>
  <x:c r="K5551" i="2"/>
  <x:c r="L5551" i="2"/>
  <x:c r="K5552" i="2"/>
  <x:c r="L5552" i="2"/>
  <x:c r="K5553" i="2"/>
  <x:c r="L5553" i="2"/>
  <x:c r="K5554" i="2"/>
  <x:c r="L5554" i="2"/>
  <x:c r="K5555" i="2"/>
  <x:c r="L5555" i="2"/>
  <x:c r="K5556" i="2"/>
  <x:c r="L5556" i="2"/>
  <x:c r="K5557" i="2"/>
  <x:c r="L5557" i="2"/>
  <x:c r="K5558" i="2"/>
  <x:c r="L5558" i="2"/>
  <x:c r="K5559" i="2"/>
  <x:c r="L5559" i="2"/>
  <x:c r="K5560" i="2"/>
  <x:c r="L5560" i="2"/>
  <x:c r="K5561" i="2"/>
  <x:c r="L5561" i="2"/>
  <x:c r="K5562" i="2"/>
  <x:c r="L5562" i="2"/>
  <x:c r="K5563" i="2"/>
  <x:c r="L5563" i="2"/>
  <x:c r="K5564" i="2"/>
  <x:c r="L5564" i="2"/>
  <x:c r="K5565" i="2"/>
  <x:c r="L5565" i="2"/>
  <x:c r="K5566" i="2"/>
  <x:c r="L5566" i="2"/>
  <x:c r="K5567" i="2"/>
  <x:c r="L5567" i="2"/>
  <x:c r="K5568" i="2"/>
  <x:c r="L5568" i="2"/>
  <x:c r="K5569" i="2"/>
  <x:c r="L5569" i="2"/>
  <x:c r="K5570" i="2"/>
  <x:c r="L5570" i="2"/>
  <x:c r="K5571" i="2"/>
  <x:c r="L5571" i="2"/>
  <x:c r="K5572" i="2"/>
  <x:c r="L5572" i="2"/>
  <x:c r="K5573" i="2"/>
  <x:c r="L5573" i="2"/>
  <x:c r="K5574" i="2"/>
  <x:c r="L5574" i="2"/>
  <x:c r="K5575" i="2"/>
  <x:c r="L5575" i="2"/>
  <x:c r="K5576" i="2"/>
  <x:c r="L5576" i="2"/>
  <x:c r="K5577" i="2"/>
  <x:c r="L5577" i="2"/>
  <x:c r="K5578" i="2"/>
  <x:c r="L5578" i="2"/>
  <x:c r="K5579" i="2"/>
  <x:c r="L5579" i="2"/>
  <x:c r="K5580" i="2"/>
  <x:c r="L5580" i="2"/>
  <x:c r="K5581" i="2"/>
  <x:c r="L5581" i="2"/>
  <x:c r="K5582" i="2"/>
  <x:c r="L5582" i="2"/>
  <x:c r="K5583" i="2"/>
  <x:c r="L5583" i="2"/>
  <x:c r="K5584" i="2"/>
  <x:c r="L5584" i="2"/>
  <x:c r="K5585" i="2"/>
  <x:c r="L5585" i="2"/>
  <x:c r="K5586" i="2"/>
  <x:c r="L5586" i="2"/>
  <x:c r="K5587" i="2"/>
  <x:c r="L5587" i="2"/>
  <x:c r="K5588" i="2"/>
  <x:c r="L5588" i="2"/>
  <x:c r="K5589" i="2"/>
  <x:c r="L5589" i="2"/>
  <x:c r="K5590" i="2"/>
  <x:c r="L5590" i="2"/>
  <x:c r="K5591" i="2"/>
  <x:c r="L5591" i="2"/>
  <x:c r="K5592" i="2"/>
  <x:c r="L5592" i="2"/>
  <x:c r="K5593" i="2"/>
  <x:c r="L5593" i="2"/>
  <x:c r="K5594" i="2"/>
  <x:c r="L5594" i="2"/>
  <x:c r="K5595" i="2"/>
  <x:c r="L5595" i="2"/>
  <x:c r="K5596" i="2"/>
  <x:c r="L5596" i="2"/>
  <x:c r="K5597" i="2"/>
  <x:c r="L5597" i="2"/>
  <x:c r="K5598" i="2"/>
  <x:c r="L5598" i="2"/>
  <x:c r="K5599" i="2"/>
  <x:c r="L5599" i="2"/>
  <x:c r="K5600" i="2"/>
  <x:c r="L5600" i="2"/>
  <x:c r="K5601" i="2"/>
  <x:c r="L5601" i="2"/>
  <x:c r="K5602" i="2"/>
  <x:c r="L5602" i="2"/>
  <x:c r="K5603" i="2"/>
  <x:c r="L5603" i="2"/>
  <x:c r="K5604" i="2"/>
  <x:c r="L5604" i="2"/>
  <x:c r="K5605" i="2"/>
  <x:c r="L5605" i="2"/>
  <x:c r="K5606" i="2"/>
  <x:c r="L5606" i="2"/>
  <x:c r="K5607" i="2"/>
  <x:c r="L5607" i="2"/>
  <x:c r="K5608" i="2"/>
  <x:c r="L5608" i="2"/>
  <x:c r="K5609" i="2"/>
  <x:c r="L5609" i="2"/>
  <x:c r="K5610" i="2"/>
  <x:c r="L5610" i="2"/>
  <x:c r="K5611" i="2"/>
  <x:c r="L5611" i="2"/>
  <x:c r="K5612" i="2"/>
  <x:c r="L5612" i="2"/>
  <x:c r="K5613" i="2"/>
  <x:c r="L5613" i="2"/>
  <x:c r="K5614" i="2"/>
  <x:c r="L5614" i="2"/>
  <x:c r="K5615" i="2"/>
  <x:c r="L5615" i="2"/>
  <x:c r="K5616" i="2"/>
  <x:c r="L5616" i="2"/>
  <x:c r="K5617" i="2"/>
  <x:c r="L5617" i="2"/>
  <x:c r="K5618" i="2"/>
  <x:c r="L5618" i="2"/>
  <x:c r="K5619" i="2"/>
  <x:c r="L5619" i="2"/>
  <x:c r="K5620" i="2"/>
  <x:c r="L5620" i="2"/>
  <x:c r="K5621" i="2"/>
  <x:c r="L5621" i="2"/>
  <x:c r="K5622" i="2"/>
  <x:c r="L5622" i="2"/>
  <x:c r="K5623" i="2"/>
  <x:c r="L5623" i="2"/>
  <x:c r="K5624" i="2"/>
  <x:c r="L5624" i="2"/>
  <x:c r="K5625" i="2"/>
  <x:c r="L5625" i="2"/>
  <x:c r="K5626" i="2"/>
  <x:c r="L5626" i="2"/>
  <x:c r="K5627" i="2"/>
  <x:c r="L5627" i="2"/>
  <x:c r="K5628" i="2"/>
  <x:c r="L5628" i="2"/>
  <x:c r="K5629" i="2"/>
  <x:c r="L5629" i="2"/>
  <x:c r="K5630" i="2"/>
  <x:c r="L5630" i="2"/>
  <x:c r="K5631" i="2"/>
  <x:c r="L5631" i="2"/>
  <x:c r="K5632" i="2"/>
  <x:c r="L5632" i="2"/>
  <x:c r="K5633" i="2"/>
  <x:c r="L5633" i="2"/>
  <x:c r="K5634" i="2"/>
  <x:c r="L5634" i="2"/>
  <x:c r="K5635" i="2"/>
  <x:c r="L5635" i="2"/>
  <x:c r="K5636" i="2"/>
  <x:c r="L5636" i="2"/>
  <x:c r="K5637" i="2"/>
  <x:c r="L5637" i="2"/>
  <x:c r="K5638" i="2"/>
  <x:c r="L5638" i="2"/>
  <x:c r="K5639" i="2"/>
  <x:c r="L5639" i="2"/>
  <x:c r="K5640" i="2"/>
  <x:c r="L5640" i="2"/>
  <x:c r="K5641" i="2"/>
  <x:c r="L5641" i="2"/>
  <x:c r="K5642" i="2"/>
  <x:c r="L5642" i="2"/>
  <x:c r="K5643" i="2"/>
  <x:c r="L5643" i="2"/>
  <x:c r="K5644" i="2"/>
  <x:c r="L5644" i="2"/>
  <x:c r="K5645" i="2"/>
  <x:c r="L5645" i="2"/>
  <x:c r="K5646" i="2"/>
  <x:c r="L5646" i="2"/>
  <x:c r="K5647" i="2"/>
  <x:c r="L5647" i="2"/>
  <x:c r="K5648" i="2"/>
  <x:c r="L5648" i="2"/>
  <x:c r="K5649" i="2"/>
  <x:c r="L5649" i="2"/>
  <x:c r="K5650" i="2"/>
  <x:c r="L5650" i="2"/>
  <x:c r="K5651" i="2"/>
  <x:c r="L5651" i="2"/>
  <x:c r="K5652" i="2"/>
  <x:c r="L5652" i="2"/>
  <x:c r="K5653" i="2"/>
  <x:c r="L5653" i="2"/>
  <x:c r="K5654" i="2"/>
  <x:c r="L5654" i="2"/>
  <x:c r="K5655" i="2"/>
  <x:c r="L5655" i="2"/>
  <x:c r="K5656" i="2"/>
  <x:c r="L5656" i="2"/>
  <x:c r="K5657" i="2"/>
  <x:c r="L5657" i="2"/>
  <x:c r="K5658" i="2"/>
  <x:c r="L5658" i="2"/>
  <x:c r="K5659" i="2"/>
  <x:c r="L5659" i="2"/>
  <x:c r="K5660" i="2"/>
  <x:c r="L5660" i="2"/>
  <x:c r="K5661" i="2"/>
  <x:c r="L5661" i="2"/>
  <x:c r="K5662" i="2"/>
  <x:c r="L5662" i="2"/>
  <x:c r="K5663" i="2"/>
  <x:c r="L5663" i="2"/>
  <x:c r="K5664" i="2"/>
  <x:c r="L5664" i="2"/>
  <x:c r="K5665" i="2"/>
  <x:c r="L5665" i="2"/>
  <x:c r="K5666" i="2"/>
  <x:c r="L5666" i="2"/>
  <x:c r="K5667" i="2"/>
  <x:c r="L5667" i="2"/>
  <x:c r="K5668" i="2"/>
  <x:c r="L5668" i="2"/>
  <x:c r="K5669" i="2"/>
  <x:c r="L5669" i="2"/>
  <x:c r="K5670" i="2"/>
  <x:c r="L5670" i="2"/>
  <x:c r="K5671" i="2"/>
  <x:c r="L5671" i="2"/>
  <x:c r="K5672" i="2"/>
  <x:c r="L5672" i="2"/>
  <x:c r="K5673" i="2"/>
  <x:c r="L5673" i="2"/>
  <x:c r="K5674" i="2"/>
  <x:c r="L5674" i="2"/>
  <x:c r="K5675" i="2"/>
  <x:c r="L5675" i="2"/>
  <x:c r="K5676" i="2"/>
  <x:c r="L5676" i="2"/>
  <x:c r="K5677" i="2"/>
  <x:c r="L5677" i="2"/>
  <x:c r="K5678" i="2"/>
  <x:c r="L5678" i="2"/>
  <x:c r="K5679" i="2"/>
  <x:c r="L5679" i="2"/>
  <x:c r="K5680" i="2"/>
  <x:c r="L5680" i="2"/>
  <x:c r="K5681" i="2"/>
  <x:c r="L5681" i="2"/>
  <x:c r="K5682" i="2"/>
  <x:c r="L5682" i="2"/>
  <x:c r="K5683" i="2"/>
  <x:c r="L5683" i="2"/>
  <x:c r="K5684" i="2"/>
  <x:c r="L5684" i="2"/>
  <x:c r="K5685" i="2"/>
  <x:c r="L5685" i="2"/>
  <x:c r="K5686" i="2"/>
  <x:c r="L5686" i="2"/>
  <x:c r="K5687" i="2"/>
  <x:c r="L5687" i="2"/>
  <x:c r="K5688" i="2"/>
  <x:c r="L5688" i="2"/>
  <x:c r="K5689" i="2"/>
  <x:c r="L5689" i="2"/>
  <x:c r="K5690" i="2"/>
  <x:c r="L5690" i="2"/>
  <x:c r="K5691" i="2"/>
  <x:c r="L5691" i="2"/>
  <x:c r="K5692" i="2"/>
  <x:c r="L5692" i="2"/>
  <x:c r="K5693" i="2"/>
  <x:c r="L5693" i="2"/>
  <x:c r="K5694" i="2"/>
  <x:c r="L5694" i="2"/>
  <x:c r="K5695" i="2"/>
  <x:c r="L5695" i="2"/>
  <x:c r="K5696" i="2"/>
  <x:c r="L5696" i="2"/>
  <x:c r="K5697" i="2"/>
  <x:c r="L5697" i="2"/>
  <x:c r="K5698" i="2"/>
  <x:c r="L5698" i="2"/>
  <x:c r="K5699" i="2"/>
  <x:c r="L5699" i="2"/>
  <x:c r="K5700" i="2"/>
  <x:c r="L5700" i="2"/>
  <x:c r="K5701" i="2"/>
  <x:c r="L5701" i="2"/>
  <x:c r="K5702" i="2"/>
  <x:c r="L5702" i="2"/>
  <x:c r="K5703" i="2"/>
  <x:c r="L5703" i="2"/>
  <x:c r="K5704" i="2"/>
  <x:c r="L5704" i="2"/>
  <x:c r="K5705" i="2"/>
  <x:c r="L5705" i="2"/>
  <x:c r="K5706" i="2"/>
  <x:c r="L5706" i="2"/>
  <x:c r="K5707" i="2"/>
  <x:c r="L5707" i="2"/>
  <x:c r="K5708" i="2"/>
  <x:c r="L5708" i="2"/>
  <x:c r="K5709" i="2"/>
  <x:c r="L5709" i="2"/>
  <x:c r="K5710" i="2"/>
  <x:c r="L5710" i="2"/>
  <x:c r="K5711" i="2"/>
  <x:c r="L5711" i="2"/>
  <x:c r="K5712" i="2"/>
  <x:c r="L5712" i="2"/>
  <x:c r="K5713" i="2"/>
  <x:c r="L5713" i="2"/>
  <x:c r="K5714" i="2"/>
  <x:c r="L5714" i="2"/>
  <x:c r="K5715" i="2"/>
  <x:c r="L5715" i="2"/>
  <x:c r="K5716" i="2"/>
  <x:c r="L5716" i="2"/>
  <x:c r="K5717" i="2"/>
  <x:c r="L5717" i="2"/>
  <x:c r="K5718" i="2"/>
  <x:c r="L5718" i="2"/>
  <x:c r="K5719" i="2"/>
  <x:c r="L5719" i="2"/>
  <x:c r="K5720" i="2"/>
  <x:c r="L5720" i="2"/>
  <x:c r="K5721" i="2"/>
  <x:c r="L5721" i="2"/>
  <x:c r="K5722" i="2"/>
  <x:c r="L5722" i="2"/>
  <x:c r="K5723" i="2"/>
  <x:c r="L5723" i="2"/>
  <x:c r="K5724" i="2"/>
  <x:c r="L5724" i="2"/>
  <x:c r="K5725" i="2"/>
  <x:c r="L5725" i="2"/>
  <x:c r="K5726" i="2"/>
  <x:c r="L5726" i="2"/>
  <x:c r="K5727" i="2"/>
  <x:c r="L5727" i="2"/>
  <x:c r="K5728" i="2"/>
  <x:c r="L5728" i="2"/>
  <x:c r="K5729" i="2"/>
  <x:c r="L5729" i="2"/>
  <x:c r="K5730" i="2"/>
  <x:c r="L5730" i="2"/>
  <x:c r="K5731" i="2"/>
  <x:c r="L5731" i="2"/>
  <x:c r="K5732" i="2"/>
  <x:c r="L5732" i="2"/>
  <x:c r="K5733" i="2"/>
  <x:c r="L5733" i="2"/>
  <x:c r="K5734" i="2"/>
  <x:c r="L5734" i="2"/>
  <x:c r="K5735" i="2"/>
  <x:c r="L5735" i="2"/>
  <x:c r="K5736" i="2"/>
  <x:c r="L5736" i="2"/>
  <x:c r="K5737" i="2"/>
  <x:c r="L5737" i="2"/>
  <x:c r="K5738" i="2"/>
  <x:c r="L5738" i="2"/>
  <x:c r="K5739" i="2"/>
  <x:c r="L5739" i="2"/>
  <x:c r="K5740" i="2"/>
  <x:c r="L5740" i="2"/>
  <x:c r="K5741" i="2"/>
  <x:c r="L5741" i="2"/>
  <x:c r="K5742" i="2"/>
  <x:c r="L5742" i="2"/>
  <x:c r="K5743" i="2"/>
  <x:c r="L5743" i="2"/>
  <x:c r="K5744" i="2"/>
  <x:c r="L5744" i="2"/>
  <x:c r="K5745" i="2"/>
  <x:c r="L5745" i="2"/>
  <x:c r="K5746" i="2"/>
  <x:c r="L5746" i="2"/>
  <x:c r="K5747" i="2"/>
  <x:c r="L5747" i="2"/>
  <x:c r="K5748" i="2"/>
  <x:c r="L5748" i="2"/>
  <x:c r="K5749" i="2"/>
  <x:c r="L5749" i="2"/>
  <x:c r="K5750" i="2"/>
  <x:c r="L5750" i="2"/>
  <x:c r="K5751" i="2"/>
  <x:c r="L5751" i="2"/>
  <x:c r="K5752" i="2"/>
  <x:c r="L5752" i="2"/>
  <x:c r="K5753" i="2"/>
  <x:c r="L5753" i="2"/>
  <x:c r="K5754" i="2"/>
  <x:c r="L5754" i="2"/>
  <x:c r="K5755" i="2"/>
  <x:c r="L5755" i="2"/>
  <x:c r="K5756" i="2"/>
  <x:c r="L5756" i="2"/>
  <x:c r="K5757" i="2"/>
  <x:c r="L5757" i="2"/>
  <x:c r="K5758" i="2"/>
  <x:c r="L5758" i="2"/>
  <x:c r="K5759" i="2"/>
  <x:c r="L5759" i="2"/>
  <x:c r="K5760" i="2"/>
  <x:c r="L5760" i="2"/>
  <x:c r="K5761" i="2"/>
  <x:c r="L5761" i="2"/>
  <x:c r="K5762" i="2"/>
  <x:c r="L5762" i="2"/>
  <x:c r="K5763" i="2"/>
  <x:c r="L5763" i="2"/>
  <x:c r="K5764" i="2"/>
  <x:c r="L5764" i="2"/>
  <x:c r="K5765" i="2"/>
  <x:c r="L5765" i="2"/>
  <x:c r="K5766" i="2"/>
  <x:c r="L5766" i="2"/>
  <x:c r="K5767" i="2"/>
  <x:c r="L5767" i="2"/>
  <x:c r="K5768" i="2"/>
  <x:c r="L5768" i="2"/>
  <x:c r="K5769" i="2"/>
  <x:c r="L5769" i="2"/>
  <x:c r="K5770" i="2"/>
  <x:c r="L5770" i="2"/>
  <x:c r="K5771" i="2"/>
  <x:c r="L5771" i="2"/>
  <x:c r="K5772" i="2"/>
  <x:c r="L5772" i="2"/>
  <x:c r="K5773" i="2"/>
  <x:c r="L5773" i="2"/>
  <x:c r="K5774" i="2"/>
  <x:c r="L5774" i="2"/>
  <x:c r="K5775" i="2"/>
  <x:c r="L5775" i="2"/>
  <x:c r="K5776" i="2"/>
  <x:c r="L5776" i="2"/>
  <x:c r="K5777" i="2"/>
  <x:c r="L5777" i="2"/>
  <x:c r="K5778" i="2"/>
  <x:c r="L5778" i="2"/>
  <x:c r="K5779" i="2"/>
  <x:c r="L5779" i="2"/>
  <x:c r="K5780" i="2"/>
  <x:c r="L5780" i="2"/>
  <x:c r="K5781" i="2"/>
  <x:c r="L5781" i="2"/>
  <x:c r="K5782" i="2"/>
  <x:c r="L5782" i="2"/>
  <x:c r="K5783" i="2"/>
  <x:c r="L5783" i="2"/>
  <x:c r="K5784" i="2"/>
  <x:c r="L5784" i="2"/>
  <x:c r="K5785" i="2"/>
  <x:c r="L5785" i="2"/>
  <x:c r="K5786" i="2"/>
  <x:c r="L5786" i="2"/>
  <x:c r="K5787" i="2"/>
  <x:c r="L5787" i="2"/>
  <x:c r="K5788" i="2"/>
  <x:c r="L5788" i="2"/>
  <x:c r="K5789" i="2"/>
  <x:c r="L5789" i="2"/>
  <x:c r="K5790" i="2"/>
  <x:c r="L5790" i="2"/>
  <x:c r="K5791" i="2"/>
  <x:c r="L5791" i="2"/>
  <x:c r="K5792" i="2"/>
  <x:c r="L5792" i="2"/>
  <x:c r="K5793" i="2"/>
  <x:c r="L5793" i="2"/>
  <x:c r="K5794" i="2"/>
  <x:c r="L5794" i="2"/>
  <x:c r="K5795" i="2"/>
  <x:c r="L5795" i="2"/>
  <x:c r="K5796" i="2"/>
  <x:c r="L5796" i="2"/>
  <x:c r="K5797" i="2"/>
  <x:c r="L5797" i="2"/>
  <x:c r="K5798" i="2"/>
  <x:c r="L5798" i="2"/>
  <x:c r="K5799" i="2"/>
  <x:c r="L5799" i="2"/>
  <x:c r="K5800" i="2"/>
  <x:c r="L5800" i="2"/>
  <x:c r="K5801" i="2"/>
  <x:c r="L5801" i="2"/>
  <x:c r="K5802" i="2"/>
  <x:c r="L5802" i="2"/>
  <x:c r="K5803" i="2"/>
  <x:c r="L5803" i="2"/>
  <x:c r="K5804" i="2"/>
  <x:c r="L5804" i="2"/>
  <x:c r="K5805" i="2"/>
  <x:c r="L5805" i="2"/>
  <x:c r="K5806" i="2"/>
  <x:c r="L5806" i="2"/>
  <x:c r="K5807" i="2"/>
  <x:c r="L5807" i="2"/>
  <x:c r="K5808" i="2"/>
  <x:c r="L5808" i="2"/>
  <x:c r="K5809" i="2"/>
  <x:c r="L5809" i="2"/>
  <x:c r="K5810" i="2"/>
  <x:c r="L5810" i="2"/>
  <x:c r="K5811" i="2"/>
  <x:c r="L5811" i="2"/>
  <x:c r="K5812" i="2"/>
  <x:c r="L5812" i="2"/>
  <x:c r="K5813" i="2"/>
  <x:c r="L5813" i="2"/>
  <x:c r="K5814" i="2"/>
  <x:c r="L5814" i="2"/>
  <x:c r="K5815" i="2"/>
  <x:c r="L5815" i="2"/>
  <x:c r="K5816" i="2"/>
  <x:c r="L5816" i="2"/>
  <x:c r="K5817" i="2"/>
  <x:c r="L5817" i="2"/>
  <x:c r="K5818" i="2"/>
  <x:c r="L5818" i="2"/>
  <x:c r="K5819" i="2"/>
  <x:c r="L5819" i="2"/>
  <x:c r="K5820" i="2"/>
  <x:c r="L5820" i="2"/>
  <x:c r="K5821" i="2"/>
  <x:c r="L5821" i="2"/>
  <x:c r="K5822" i="2"/>
  <x:c r="L5822" i="2"/>
  <x:c r="K5823" i="2"/>
  <x:c r="L5823" i="2"/>
  <x:c r="K5824" i="2"/>
  <x:c r="L5824" i="2"/>
  <x:c r="K5825" i="2"/>
  <x:c r="L5825" i="2"/>
  <x:c r="K5826" i="2"/>
  <x:c r="L5826" i="2"/>
  <x:c r="K5827" i="2"/>
  <x:c r="L5827" i="2"/>
  <x:c r="K5828" i="2"/>
  <x:c r="L5828" i="2"/>
  <x:c r="K5829" i="2"/>
  <x:c r="L5829" i="2"/>
  <x:c r="K5830" i="2"/>
  <x:c r="L5830" i="2"/>
  <x:c r="K5831" i="2"/>
  <x:c r="L5831" i="2"/>
  <x:c r="K5832" i="2"/>
  <x:c r="L5832" i="2"/>
  <x:c r="K5833" i="2"/>
  <x:c r="L5833" i="2"/>
  <x:c r="K5834" i="2"/>
  <x:c r="L5834" i="2"/>
  <x:c r="K5835" i="2"/>
  <x:c r="L5835" i="2"/>
  <x:c r="K5836" i="2"/>
  <x:c r="L5836" i="2"/>
  <x:c r="K5837" i="2"/>
  <x:c r="L5837" i="2"/>
  <x:c r="K5838" i="2"/>
  <x:c r="L5838" i="2"/>
  <x:c r="K5839" i="2"/>
  <x:c r="L5839" i="2"/>
  <x:c r="K5840" i="2"/>
  <x:c r="L5840" i="2"/>
  <x:c r="K5841" i="2"/>
  <x:c r="L5841" i="2"/>
  <x:c r="K5842" i="2"/>
  <x:c r="L5842" i="2"/>
  <x:c r="K5843" i="2"/>
  <x:c r="L5843" i="2"/>
  <x:c r="K5844" i="2"/>
  <x:c r="L5844" i="2"/>
  <x:c r="K5845" i="2"/>
  <x:c r="L5845" i="2"/>
  <x:c r="K5846" i="2"/>
  <x:c r="L5846" i="2"/>
  <x:c r="K5847" i="2"/>
  <x:c r="L5847" i="2"/>
  <x:c r="K5848" i="2"/>
  <x:c r="L5848" i="2"/>
  <x:c r="K5849" i="2"/>
  <x:c r="L5849" i="2"/>
  <x:c r="K5850" i="2"/>
  <x:c r="L5850" i="2"/>
  <x:c r="K5851" i="2"/>
  <x:c r="L5851" i="2"/>
  <x:c r="K5852" i="2"/>
  <x:c r="L5852" i="2"/>
  <x:c r="K5853" i="2"/>
  <x:c r="L5853" i="2"/>
  <x:c r="K5854" i="2"/>
  <x:c r="L5854" i="2"/>
  <x:c r="K5855" i="2"/>
  <x:c r="L5855" i="2"/>
  <x:c r="K5856" i="2"/>
  <x:c r="L5856" i="2"/>
  <x:c r="K5857" i="2"/>
  <x:c r="L5857" i="2"/>
  <x:c r="K5858" i="2"/>
  <x:c r="L5858" i="2"/>
  <x:c r="K5859" i="2"/>
  <x:c r="L5859" i="2"/>
  <x:c r="K5860" i="2"/>
  <x:c r="L5860" i="2"/>
  <x:c r="K5861" i="2"/>
  <x:c r="L5861" i="2"/>
  <x:c r="K5862" i="2"/>
  <x:c r="L5862" i="2"/>
  <x:c r="K5863" i="2"/>
  <x:c r="L5863" i="2"/>
  <x:c r="K5864" i="2"/>
  <x:c r="L5864" i="2"/>
  <x:c r="K5865" i="2"/>
  <x:c r="L5865" i="2"/>
  <x:c r="K5866" i="2"/>
  <x:c r="L5866" i="2"/>
  <x:c r="K5867" i="2"/>
  <x:c r="L5867" i="2"/>
  <x:c r="K5868" i="2"/>
  <x:c r="L5868" i="2"/>
  <x:c r="K5869" i="2"/>
  <x:c r="L5869" i="2"/>
  <x:c r="K5870" i="2"/>
  <x:c r="L5870" i="2"/>
  <x:c r="K5871" i="2"/>
  <x:c r="L5871" i="2"/>
  <x:c r="K5872" i="2"/>
  <x:c r="L5872" i="2"/>
  <x:c r="K5873" i="2"/>
  <x:c r="L5873" i="2"/>
  <x:c r="K5874" i="2"/>
  <x:c r="L5874" i="2"/>
  <x:c r="K5875" i="2"/>
  <x:c r="L5875" i="2"/>
  <x:c r="K5876" i="2"/>
  <x:c r="L5876" i="2"/>
  <x:c r="K5877" i="2"/>
  <x:c r="L5877" i="2"/>
  <x:c r="K5878" i="2"/>
  <x:c r="L5878" i="2"/>
  <x:c r="K5879" i="2"/>
  <x:c r="L5879" i="2"/>
  <x:c r="K5880" i="2"/>
  <x:c r="L5880" i="2"/>
  <x:c r="K5881" i="2"/>
  <x:c r="L5881" i="2"/>
  <x:c r="K5882" i="2"/>
  <x:c r="L5882" i="2"/>
  <x:c r="K5883" i="2"/>
  <x:c r="L5883" i="2"/>
  <x:c r="K5884" i="2"/>
  <x:c r="L5884" i="2"/>
  <x:c r="K5885" i="2"/>
  <x:c r="L5885" i="2"/>
  <x:c r="K5886" i="2"/>
  <x:c r="L5886" i="2"/>
  <x:c r="K5887" i="2"/>
  <x:c r="L5887" i="2"/>
  <x:c r="K5888" i="2"/>
  <x:c r="L5888" i="2"/>
  <x:c r="K5889" i="2"/>
  <x:c r="L5889" i="2"/>
  <x:c r="K5890" i="2"/>
  <x:c r="L5890" i="2"/>
  <x:c r="K5891" i="2"/>
  <x:c r="L5891" i="2"/>
  <x:c r="K5892" i="2"/>
  <x:c r="L5892" i="2"/>
  <x:c r="K5893" i="2"/>
  <x:c r="L5893" i="2"/>
  <x:c r="K5894" i="2"/>
  <x:c r="L5894" i="2"/>
  <x:c r="K5895" i="2"/>
  <x:c r="L5895" i="2"/>
  <x:c r="K5896" i="2"/>
  <x:c r="L5896" i="2"/>
  <x:c r="K5897" i="2"/>
  <x:c r="L5897" i="2"/>
  <x:c r="K5898" i="2"/>
  <x:c r="L5898" i="2"/>
  <x:c r="K5899" i="2"/>
  <x:c r="L5899" i="2"/>
  <x:c r="K5900" i="2"/>
  <x:c r="L5900" i="2"/>
  <x:c r="K5901" i="2"/>
  <x:c r="L5901" i="2"/>
  <x:c r="K5902" i="2"/>
  <x:c r="L5902" i="2"/>
  <x:c r="K5903" i="2"/>
  <x:c r="L5903" i="2"/>
  <x:c r="K5904" i="2"/>
  <x:c r="L5904" i="2"/>
  <x:c r="K5905" i="2"/>
  <x:c r="L5905" i="2"/>
  <x:c r="K5906" i="2"/>
  <x:c r="L5906" i="2"/>
  <x:c r="K5907" i="2"/>
  <x:c r="L5907" i="2"/>
  <x:c r="K5908" i="2"/>
  <x:c r="L5908" i="2"/>
  <x:c r="K5909" i="2"/>
  <x:c r="L5909" i="2"/>
  <x:c r="K5910" i="2"/>
  <x:c r="L5910" i="2"/>
  <x:c r="K5911" i="2"/>
  <x:c r="L5911" i="2"/>
  <x:c r="K5912" i="2"/>
  <x:c r="L5912" i="2"/>
  <x:c r="K5913" i="2"/>
  <x:c r="L5913" i="2"/>
  <x:c r="K5914" i="2"/>
  <x:c r="L5914" i="2"/>
  <x:c r="K5915" i="2"/>
  <x:c r="L5915" i="2"/>
  <x:c r="K5916" i="2"/>
  <x:c r="L5916" i="2"/>
  <x:c r="K5917" i="2"/>
  <x:c r="L5917" i="2"/>
  <x:c r="K5918" i="2"/>
  <x:c r="L5918" i="2"/>
  <x:c r="K5919" i="2"/>
  <x:c r="L5919" i="2"/>
  <x:c r="K5920" i="2"/>
  <x:c r="L5920" i="2"/>
  <x:c r="K5921" i="2"/>
  <x:c r="L5921" i="2"/>
  <x:c r="K5922" i="2"/>
  <x:c r="L5922" i="2"/>
  <x:c r="K5923" i="2"/>
  <x:c r="L5923" i="2"/>
  <x:c r="K5924" i="2"/>
  <x:c r="L5924" i="2"/>
  <x:c r="K5925" i="2"/>
  <x:c r="L5925" i="2"/>
  <x:c r="K5926" i="2"/>
  <x:c r="L5926" i="2"/>
  <x:c r="K5927" i="2"/>
  <x:c r="L5927" i="2"/>
  <x:c r="K5928" i="2"/>
  <x:c r="L5928" i="2"/>
  <x:c r="K5929" i="2"/>
  <x:c r="L5929" i="2"/>
  <x:c r="K5930" i="2"/>
  <x:c r="L5930" i="2"/>
  <x:c r="K5931" i="2"/>
  <x:c r="L5931" i="2"/>
  <x:c r="K5932" i="2"/>
  <x:c r="L5932" i="2"/>
  <x:c r="K5933" i="2"/>
  <x:c r="L5933" i="2"/>
  <x:c r="K5934" i="2"/>
  <x:c r="L5934" i="2"/>
  <x:c r="K5935" i="2"/>
  <x:c r="L5935" i="2"/>
  <x:c r="K5936" i="2"/>
  <x:c r="L5936" i="2"/>
  <x:c r="K5937" i="2"/>
  <x:c r="L5937" i="2"/>
  <x:c r="K5938" i="2"/>
  <x:c r="L5938" i="2"/>
  <x:c r="K5939" i="2"/>
  <x:c r="L5939" i="2"/>
  <x:c r="K5940" i="2"/>
  <x:c r="L5940" i="2"/>
  <x:c r="K5941" i="2"/>
  <x:c r="L5941" i="2"/>
  <x:c r="K5942" i="2"/>
  <x:c r="L5942" i="2"/>
  <x:c r="K5943" i="2"/>
  <x:c r="L5943" i="2"/>
  <x:c r="K5944" i="2"/>
  <x:c r="L5944" i="2"/>
  <x:c r="K5945" i="2"/>
  <x:c r="L5945" i="2"/>
  <x:c r="K5946" i="2"/>
  <x:c r="L5946" i="2"/>
  <x:c r="K5947" i="2"/>
  <x:c r="L5947" i="2"/>
  <x:c r="K5948" i="2"/>
  <x:c r="L5948" i="2"/>
  <x:c r="K5949" i="2"/>
  <x:c r="L5949" i="2"/>
  <x:c r="K5950" i="2"/>
  <x:c r="L5950" i="2"/>
  <x:c r="K5951" i="2"/>
  <x:c r="L5951" i="2"/>
  <x:c r="K5952" i="2"/>
  <x:c r="L5952" i="2"/>
  <x:c r="K5953" i="2"/>
  <x:c r="L5953" i="2"/>
  <x:c r="K5954" i="2"/>
  <x:c r="L5954" i="2"/>
  <x:c r="K5955" i="2"/>
  <x:c r="L5955" i="2"/>
  <x:c r="K5956" i="2"/>
  <x:c r="L5956" i="2"/>
  <x:c r="K5957" i="2"/>
  <x:c r="L5957" i="2"/>
  <x:c r="K5958" i="2"/>
  <x:c r="L5958" i="2"/>
  <x:c r="K5959" i="2"/>
  <x:c r="L5959" i="2"/>
  <x:c r="K5960" i="2"/>
  <x:c r="L5960" i="2"/>
  <x:c r="K5961" i="2"/>
  <x:c r="L5961" i="2"/>
  <x:c r="K5962" i="2"/>
  <x:c r="L5962" i="2"/>
  <x:c r="K5963" i="2"/>
  <x:c r="L5963" i="2"/>
  <x:c r="K5964" i="2"/>
  <x:c r="L5964" i="2"/>
  <x:c r="K5965" i="2"/>
  <x:c r="L5965" i="2"/>
  <x:c r="K5966" i="2"/>
  <x:c r="L5966" i="2"/>
  <x:c r="K5967" i="2"/>
  <x:c r="L5967" i="2"/>
  <x:c r="K5968" i="2"/>
  <x:c r="L5968" i="2"/>
  <x:c r="K5969" i="2"/>
  <x:c r="L5969" i="2"/>
  <x:c r="K5970" i="2"/>
  <x:c r="L5970" i="2"/>
  <x:c r="K5971" i="2"/>
  <x:c r="L5971" i="2"/>
  <x:c r="K5972" i="2"/>
  <x:c r="L5972" i="2"/>
  <x:c r="K5973" i="2"/>
  <x:c r="L5973" i="2"/>
  <x:c r="K5974" i="2"/>
  <x:c r="L5974" i="2"/>
  <x:c r="K5975" i="2"/>
  <x:c r="L5975" i="2"/>
  <x:c r="K5976" i="2"/>
  <x:c r="L5976" i="2"/>
  <x:c r="K5977" i="2"/>
  <x:c r="L5977" i="2"/>
  <x:c r="K5978" i="2"/>
  <x:c r="L5978" i="2"/>
  <x:c r="K5979" i="2"/>
  <x:c r="L5979" i="2"/>
  <x:c r="K5980" i="2"/>
  <x:c r="L5980" i="2"/>
  <x:c r="K5981" i="2"/>
  <x:c r="L5981" i="2"/>
  <x:c r="K5982" i="2"/>
  <x:c r="L5982" i="2"/>
  <x:c r="K5983" i="2"/>
  <x:c r="L5983" i="2"/>
  <x:c r="K5984" i="2"/>
  <x:c r="L5984" i="2"/>
  <x:c r="K5985" i="2"/>
  <x:c r="L5985" i="2"/>
  <x:c r="K5986" i="2"/>
  <x:c r="L5986" i="2"/>
  <x:c r="K5987" i="2"/>
  <x:c r="L5987" i="2"/>
  <x:c r="K5988" i="2"/>
  <x:c r="L5988" i="2"/>
  <x:c r="K5989" i="2"/>
  <x:c r="L5989" i="2"/>
  <x:c r="K5990" i="2"/>
  <x:c r="L5990" i="2"/>
  <x:c r="K5991" i="2"/>
  <x:c r="L5991" i="2"/>
  <x:c r="K5992" i="2"/>
  <x:c r="L5992" i="2"/>
  <x:c r="K5993" i="2"/>
  <x:c r="L5993" i="2"/>
  <x:c r="K5994" i="2"/>
  <x:c r="L5994" i="2"/>
  <x:c r="K5995" i="2"/>
  <x:c r="L5995" i="2"/>
  <x:c r="K5996" i="2"/>
  <x:c r="L5996" i="2"/>
  <x:c r="K5997" i="2"/>
  <x:c r="L5997" i="2"/>
  <x:c r="K5998" i="2"/>
  <x:c r="L5998" i="2"/>
  <x:c r="K5999" i="2"/>
  <x:c r="L5999" i="2"/>
  <x:c r="K6000" i="2"/>
  <x:c r="L6000" i="2"/>
  <x:c r="K6001" i="2"/>
  <x:c r="L6001" i="2"/>
  <x:c r="K6002" i="2"/>
  <x:c r="L6002" i="2"/>
  <x:c r="K6003" i="2"/>
  <x:c r="L6003" i="2"/>
  <x:c r="K6004" i="2"/>
  <x:c r="L6004" i="2"/>
  <x:c r="K6005" i="2"/>
  <x:c r="L6005" i="2"/>
  <x:c r="K6006" i="2"/>
  <x:c r="L6006" i="2"/>
  <x:c r="K6007" i="2"/>
  <x:c r="L6007" i="2"/>
  <x:c r="K6008" i="2"/>
  <x:c r="L6008" i="2"/>
  <x:c r="K6009" i="2"/>
  <x:c r="L6009" i="2"/>
  <x:c r="K6010" i="2"/>
  <x:c r="L6010" i="2"/>
  <x:c r="K6011" i="2"/>
  <x:c r="L6011" i="2"/>
  <x:c r="K6012" i="2"/>
  <x:c r="L6012" i="2"/>
  <x:c r="K6013" i="2"/>
  <x:c r="L6013" i="2"/>
  <x:c r="K6014" i="2"/>
  <x:c r="L6014" i="2"/>
  <x:c r="K6015" i="2"/>
  <x:c r="L6015" i="2"/>
  <x:c r="K6016" i="2"/>
  <x:c r="L6016" i="2"/>
  <x:c r="K6017" i="2"/>
  <x:c r="L6017" i="2"/>
  <x:c r="K6018" i="2"/>
  <x:c r="L6018" i="2"/>
  <x:c r="K6019" i="2"/>
  <x:c r="L6019" i="2"/>
  <x:c r="K6020" i="2"/>
  <x:c r="L6020" i="2"/>
  <x:c r="K6021" i="2"/>
  <x:c r="L6021" i="2"/>
  <x:c r="K6022" i="2"/>
  <x:c r="L6022" i="2"/>
  <x:c r="K6023" i="2"/>
  <x:c r="L6023" i="2"/>
  <x:c r="K6024" i="2"/>
  <x:c r="L6024" i="2"/>
  <x:c r="K6025" i="2"/>
  <x:c r="L6025" i="2"/>
  <x:c r="K6026" i="2"/>
  <x:c r="L6026" i="2"/>
  <x:c r="K6027" i="2"/>
  <x:c r="L6027" i="2"/>
  <x:c r="K6028" i="2"/>
  <x:c r="L6028" i="2"/>
  <x:c r="K6029" i="2"/>
  <x:c r="L6029" i="2"/>
  <x:c r="K6030" i="2"/>
  <x:c r="L6030" i="2"/>
  <x:c r="K6031" i="2"/>
  <x:c r="L6031" i="2"/>
  <x:c r="K6032" i="2"/>
  <x:c r="L6032" i="2"/>
  <x:c r="K6033" i="2"/>
  <x:c r="L6033" i="2"/>
  <x:c r="K6034" i="2"/>
  <x:c r="L6034" i="2"/>
  <x:c r="K6035" i="2"/>
  <x:c r="L6035" i="2"/>
  <x:c r="K6036" i="2"/>
  <x:c r="L6036" i="2"/>
  <x:c r="K6037" i="2"/>
  <x:c r="L6037" i="2"/>
  <x:c r="K6038" i="2"/>
  <x:c r="L6038" i="2"/>
  <x:c r="K6039" i="2"/>
  <x:c r="L6039" i="2"/>
  <x:c r="K6040" i="2"/>
  <x:c r="L6040" i="2"/>
  <x:c r="K6041" i="2"/>
  <x:c r="L6041" i="2"/>
  <x:c r="K6042" i="2"/>
  <x:c r="L6042" i="2"/>
  <x:c r="K6043" i="2"/>
  <x:c r="L6043" i="2"/>
  <x:c r="K6044" i="2"/>
  <x:c r="L6044" i="2"/>
  <x:c r="K6045" i="2"/>
  <x:c r="L6045" i="2"/>
  <x:c r="K6046" i="2"/>
  <x:c r="L6046" i="2"/>
  <x:c r="K6047" i="2"/>
  <x:c r="L6047" i="2"/>
  <x:c r="K6048" i="2"/>
  <x:c r="L6048" i="2"/>
  <x:c r="K6049" i="2"/>
  <x:c r="L6049" i="2"/>
  <x:c r="K6050" i="2"/>
  <x:c r="L6050" i="2"/>
  <x:c r="K6051" i="2"/>
  <x:c r="L6051" i="2"/>
  <x:c r="K6052" i="2"/>
  <x:c r="L6052" i="2"/>
  <x:c r="K6053" i="2"/>
  <x:c r="L6053" i="2"/>
  <x:c r="K6054" i="2"/>
  <x:c r="L6054" i="2"/>
  <x:c r="K6055" i="2"/>
  <x:c r="L6055" i="2"/>
  <x:c r="K6056" i="2"/>
  <x:c r="L6056" i="2"/>
  <x:c r="K6057" i="2"/>
  <x:c r="L6057" i="2"/>
  <x:c r="K6058" i="2"/>
  <x:c r="L6058" i="2"/>
  <x:c r="K6059" i="2"/>
  <x:c r="L6059" i="2"/>
  <x:c r="K6060" i="2"/>
  <x:c r="L6060" i="2"/>
  <x:c r="K6061" i="2"/>
  <x:c r="L6061" i="2"/>
  <x:c r="K6062" i="2"/>
  <x:c r="L6062" i="2"/>
  <x:c r="K6063" i="2"/>
  <x:c r="L6063" i="2"/>
  <x:c r="K6064" i="2"/>
  <x:c r="L6064" i="2"/>
  <x:c r="K6065" i="2"/>
  <x:c r="L6065" i="2"/>
  <x:c r="K6066" i="2"/>
  <x:c r="L6066" i="2"/>
  <x:c r="K6067" i="2"/>
  <x:c r="L6067" i="2"/>
  <x:c r="K6068" i="2"/>
  <x:c r="L6068" i="2"/>
  <x:c r="K6069" i="2"/>
  <x:c r="L6069" i="2"/>
  <x:c r="K6070" i="2"/>
  <x:c r="L6070" i="2"/>
  <x:c r="K6071" i="2"/>
  <x:c r="L6071" i="2"/>
  <x:c r="K6072" i="2"/>
  <x:c r="L6072" i="2"/>
  <x:c r="K6073" i="2"/>
  <x:c r="L6073" i="2"/>
  <x:c r="K6074" i="2"/>
  <x:c r="L6074" i="2"/>
  <x:c r="K6075" i="2"/>
  <x:c r="L6075" i="2"/>
  <x:c r="K6076" i="2"/>
  <x:c r="L6076" i="2"/>
  <x:c r="K6077" i="2"/>
  <x:c r="L6077" i="2"/>
  <x:c r="K6078" i="2"/>
  <x:c r="L6078" i="2"/>
  <x:c r="K6079" i="2"/>
  <x:c r="L6079" i="2"/>
  <x:c r="K6080" i="2"/>
  <x:c r="L6080" i="2"/>
  <x:c r="K6081" i="2"/>
  <x:c r="L6081" i="2"/>
  <x:c r="K6082" i="2"/>
  <x:c r="L6082" i="2"/>
  <x:c r="K6083" i="2"/>
  <x:c r="L6083" i="2"/>
  <x:c r="K6084" i="2"/>
  <x:c r="L6084" i="2"/>
  <x:c r="K6085" i="2"/>
  <x:c r="L6085" i="2"/>
  <x:c r="K6086" i="2"/>
  <x:c r="L6086" i="2"/>
  <x:c r="K6087" i="2"/>
  <x:c r="L6087" i="2"/>
  <x:c r="K6088" i="2"/>
  <x:c r="L6088" i="2"/>
  <x:c r="K6089" i="2"/>
  <x:c r="L6089" i="2"/>
  <x:c r="K6090" i="2"/>
  <x:c r="L6090" i="2"/>
  <x:c r="K6091" i="2"/>
  <x:c r="L6091" i="2"/>
  <x:c r="K6092" i="2"/>
  <x:c r="L6092" i="2"/>
  <x:c r="K6093" i="2"/>
  <x:c r="L6093" i="2"/>
  <x:c r="K6094" i="2"/>
  <x:c r="L6094" i="2"/>
  <x:c r="K6095" i="2"/>
  <x:c r="L6095" i="2"/>
  <x:c r="K6096" i="2"/>
  <x:c r="L6096" i="2"/>
  <x:c r="K6097" i="2"/>
  <x:c r="L6097" i="2"/>
  <x:c r="K6098" i="2"/>
  <x:c r="L6098" i="2"/>
  <x:c r="K6099" i="2"/>
  <x:c r="L6099" i="2"/>
  <x:c r="K6100" i="2"/>
  <x:c r="L6100" i="2"/>
  <x:c r="K6101" i="2"/>
  <x:c r="L6101" i="2"/>
  <x:c r="K6102" i="2"/>
  <x:c r="L6102" i="2"/>
  <x:c r="K6103" i="2"/>
  <x:c r="L6103" i="2"/>
  <x:c r="K6104" i="2"/>
  <x:c r="L6104" i="2"/>
  <x:c r="K6105" i="2"/>
  <x:c r="L6105" i="2"/>
  <x:c r="K6106" i="2"/>
  <x:c r="L6106" i="2"/>
  <x:c r="K6107" i="2"/>
  <x:c r="L6107" i="2"/>
  <x:c r="K6108" i="2"/>
  <x:c r="L6108" i="2"/>
  <x:c r="K6109" i="2"/>
  <x:c r="L6109" i="2"/>
  <x:c r="K6110" i="2"/>
  <x:c r="L6110" i="2"/>
  <x:c r="K6111" i="2"/>
  <x:c r="L6111" i="2"/>
  <x:c r="K6112" i="2"/>
  <x:c r="L6112" i="2"/>
  <x:c r="K6113" i="2"/>
  <x:c r="L6113" i="2"/>
  <x:c r="K6114" i="2"/>
  <x:c r="L6114" i="2"/>
  <x:c r="K6115" i="2"/>
  <x:c r="L6115" i="2"/>
  <x:c r="K6116" i="2"/>
  <x:c r="L6116" i="2"/>
  <x:c r="K6117" i="2"/>
  <x:c r="L6117" i="2"/>
  <x:c r="K6118" i="2"/>
  <x:c r="L6118" i="2"/>
  <x:c r="K6119" i="2"/>
  <x:c r="L6119" i="2"/>
  <x:c r="K6120" i="2"/>
  <x:c r="L6120" i="2"/>
  <x:c r="K6121" i="2"/>
  <x:c r="L6121" i="2"/>
  <x:c r="K6122" i="2"/>
  <x:c r="L6122" i="2"/>
  <x:c r="K6123" i="2"/>
  <x:c r="L6123" i="2"/>
  <x:c r="K6124" i="2"/>
  <x:c r="L6124" i="2"/>
  <x:c r="K6125" i="2"/>
  <x:c r="L6125" i="2"/>
  <x:c r="K6126" i="2"/>
  <x:c r="L6126" i="2"/>
  <x:c r="K6127" i="2"/>
  <x:c r="L6127" i="2"/>
  <x:c r="K6128" i="2"/>
  <x:c r="L6128" i="2"/>
  <x:c r="K6129" i="2"/>
  <x:c r="L6129" i="2"/>
  <x:c r="K6130" i="2"/>
  <x:c r="L6130" i="2"/>
  <x:c r="K6131" i="2"/>
  <x:c r="L6131" i="2"/>
  <x:c r="K6132" i="2"/>
  <x:c r="L6132" i="2"/>
  <x:c r="K6133" i="2"/>
  <x:c r="L6133" i="2"/>
  <x:c r="K6134" i="2"/>
  <x:c r="L6134" i="2"/>
  <x:c r="K6135" i="2"/>
  <x:c r="L6135" i="2"/>
  <x:c r="K6136" i="2"/>
  <x:c r="L6136" i="2"/>
  <x:c r="K6137" i="2"/>
  <x:c r="L6137" i="2"/>
  <x:c r="K6138" i="2"/>
  <x:c r="L6138" i="2"/>
  <x:c r="K6139" i="2"/>
  <x:c r="L6139" i="2"/>
  <x:c r="K6140" i="2"/>
  <x:c r="L6140" i="2"/>
  <x:c r="K6141" i="2"/>
  <x:c r="L6141" i="2"/>
  <x:c r="K6142" i="2"/>
  <x:c r="L6142" i="2"/>
  <x:c r="K6143" i="2"/>
  <x:c r="L6143" i="2"/>
  <x:c r="K6144" i="2"/>
  <x:c r="L6144" i="2"/>
  <x:c r="K6145" i="2"/>
  <x:c r="L6145" i="2"/>
  <x:c r="K6146" i="2"/>
  <x:c r="L6146" i="2"/>
  <x:c r="K6147" i="2"/>
  <x:c r="L6147" i="2"/>
  <x:c r="K6148" i="2"/>
  <x:c r="L6148" i="2"/>
  <x:c r="K6149" i="2"/>
  <x:c r="L6149" i="2"/>
  <x:c r="K6150" i="2"/>
  <x:c r="L6150" i="2"/>
  <x:c r="K6151" i="2"/>
  <x:c r="L6151" i="2"/>
  <x:c r="K6152" i="2"/>
  <x:c r="L6152" i="2"/>
  <x:c r="K6153" i="2"/>
  <x:c r="L6153" i="2"/>
  <x:c r="K6154" i="2"/>
  <x:c r="L6154" i="2"/>
  <x:c r="K6155" i="2"/>
  <x:c r="L6155" i="2"/>
  <x:c r="K6156" i="2"/>
  <x:c r="L6156" i="2"/>
  <x:c r="K6157" i="2"/>
  <x:c r="L6157" i="2"/>
  <x:c r="K6158" i="2"/>
  <x:c r="L6158" i="2"/>
  <x:c r="K6159" i="2"/>
  <x:c r="L6159" i="2"/>
  <x:c r="K6160" i="2"/>
  <x:c r="L6160" i="2"/>
  <x:c r="K6161" i="2"/>
  <x:c r="L6161" i="2"/>
  <x:c r="K6162" i="2"/>
  <x:c r="L6162" i="2"/>
  <x:c r="K6163" i="2"/>
  <x:c r="L6163" i="2"/>
  <x:c r="K6164" i="2"/>
  <x:c r="L6164" i="2"/>
  <x:c r="K6165" i="2"/>
  <x:c r="L6165" i="2"/>
  <x:c r="K6166" i="2"/>
  <x:c r="L6166" i="2"/>
  <x:c r="K6167" i="2"/>
  <x:c r="L6167" i="2"/>
  <x:c r="K6168" i="2"/>
  <x:c r="L6168" i="2"/>
  <x:c r="K6169" i="2"/>
  <x:c r="L6169" i="2"/>
  <x:c r="K6170" i="2"/>
  <x:c r="L6170" i="2"/>
  <x:c r="K6171" i="2"/>
  <x:c r="L6171" i="2"/>
  <x:c r="K6172" i="2"/>
  <x:c r="L6172" i="2"/>
  <x:c r="K6173" i="2"/>
  <x:c r="L6173" i="2"/>
  <x:c r="K6174" i="2"/>
  <x:c r="L6174" i="2"/>
  <x:c r="K6175" i="2"/>
  <x:c r="L6175" i="2"/>
  <x:c r="K6176" i="2"/>
  <x:c r="L6176" i="2"/>
  <x:c r="K6177" i="2"/>
  <x:c r="L6177" i="2"/>
  <x:c r="K6178" i="2"/>
  <x:c r="L6178" i="2"/>
  <x:c r="K6179" i="2"/>
  <x:c r="L6179" i="2"/>
  <x:c r="K6180" i="2"/>
  <x:c r="L6180" i="2"/>
  <x:c r="K6181" i="2"/>
  <x:c r="L6181" i="2"/>
  <x:c r="K6182" i="2"/>
  <x:c r="L6182" i="2"/>
  <x:c r="K6183" i="2"/>
  <x:c r="L6183" i="2"/>
  <x:c r="K6184" i="2"/>
  <x:c r="L6184" i="2"/>
  <x:c r="K6185" i="2"/>
  <x:c r="L6185" i="2"/>
  <x:c r="K6186" i="2"/>
  <x:c r="L6186" i="2"/>
  <x:c r="K6187" i="2"/>
  <x:c r="L6187" i="2"/>
  <x:c r="K6188" i="2"/>
  <x:c r="L6188" i="2"/>
  <x:c r="K6189" i="2"/>
  <x:c r="L6189" i="2"/>
  <x:c r="K6190" i="2"/>
  <x:c r="L6190" i="2"/>
  <x:c r="K6191" i="2"/>
  <x:c r="L6191" i="2"/>
  <x:c r="K6192" i="2"/>
  <x:c r="L6192" i="2"/>
  <x:c r="K6193" i="2"/>
  <x:c r="L6193" i="2"/>
  <x:c r="K6194" i="2"/>
  <x:c r="L6194" i="2"/>
  <x:c r="K6195" i="2"/>
  <x:c r="L6195" i="2"/>
  <x:c r="K6196" i="2"/>
  <x:c r="L6196" i="2"/>
  <x:c r="K6197" i="2"/>
  <x:c r="L6197" i="2"/>
  <x:c r="K6198" i="2"/>
  <x:c r="L6198" i="2"/>
  <x:c r="K6199" i="2"/>
  <x:c r="L6199" i="2"/>
  <x:c r="K6200" i="2"/>
  <x:c r="L6200" i="2"/>
  <x:c r="K6201" i="2"/>
  <x:c r="L6201" i="2"/>
  <x:c r="K6202" i="2"/>
  <x:c r="L6202" i="2"/>
  <x:c r="K6203" i="2"/>
  <x:c r="L6203" i="2"/>
  <x:c r="K6204" i="2"/>
  <x:c r="L6204" i="2"/>
  <x:c r="K6205" i="2"/>
  <x:c r="L6205" i="2"/>
  <x:c r="K6206" i="2"/>
  <x:c r="L6206" i="2"/>
  <x:c r="K6207" i="2"/>
  <x:c r="L6207" i="2"/>
  <x:c r="K6208" i="2"/>
  <x:c r="L6208" i="2"/>
  <x:c r="K6209" i="2"/>
  <x:c r="L6209" i="2"/>
  <x:c r="K6210" i="2"/>
  <x:c r="L6210" i="2"/>
  <x:c r="K6211" i="2"/>
  <x:c r="L6211" i="2"/>
  <x:c r="K6212" i="2"/>
  <x:c r="L6212" i="2"/>
  <x:c r="K6213" i="2"/>
  <x:c r="L6213" i="2"/>
  <x:c r="K6214" i="2"/>
  <x:c r="L6214" i="2"/>
  <x:c r="K6215" i="2"/>
  <x:c r="L6215" i="2"/>
  <x:c r="K6216" i="2"/>
  <x:c r="L6216" i="2"/>
  <x:c r="K6217" i="2"/>
  <x:c r="L6217" i="2"/>
  <x:c r="K6218" i="2"/>
  <x:c r="L6218" i="2"/>
  <x:c r="K6219" i="2"/>
  <x:c r="L6219" i="2"/>
  <x:c r="K6220" i="2"/>
  <x:c r="L6220" i="2"/>
  <x:c r="K6221" i="2"/>
  <x:c r="L6221" i="2"/>
  <x:c r="K6222" i="2"/>
  <x:c r="L6222" i="2"/>
  <x:c r="K6223" i="2"/>
  <x:c r="L6223" i="2"/>
  <x:c r="K6224" i="2"/>
  <x:c r="L6224" i="2"/>
  <x:c r="K6225" i="2"/>
  <x:c r="L6225" i="2"/>
  <x:c r="K6226" i="2"/>
  <x:c r="L6226" i="2"/>
  <x:c r="K6227" i="2"/>
  <x:c r="L6227" i="2"/>
  <x:c r="K6228" i="2"/>
  <x:c r="L6228" i="2"/>
  <x:c r="K6229" i="2"/>
  <x:c r="L6229" i="2"/>
  <x:c r="K6230" i="2"/>
  <x:c r="L6230" i="2"/>
  <x:c r="K6231" i="2"/>
  <x:c r="L6231" i="2"/>
  <x:c r="K6232" i="2"/>
  <x:c r="L6232" i="2"/>
  <x:c r="K6233" i="2"/>
  <x:c r="L6233" i="2"/>
  <x:c r="K6234" i="2"/>
  <x:c r="L6234" i="2"/>
  <x:c r="K6235" i="2"/>
  <x:c r="L6235" i="2"/>
  <x:c r="K6236" i="2"/>
  <x:c r="L6236" i="2"/>
  <x:c r="K6237" i="2"/>
  <x:c r="L6237" i="2"/>
  <x:c r="K6238" i="2"/>
  <x:c r="L6238" i="2"/>
  <x:c r="K6239" i="2"/>
  <x:c r="L6239" i="2"/>
  <x:c r="K6240" i="2"/>
  <x:c r="L6240" i="2"/>
  <x:c r="K6241" i="2"/>
  <x:c r="L6241" i="2"/>
  <x:c r="K6242" i="2"/>
  <x:c r="L6242" i="2"/>
  <x:c r="K6243" i="2"/>
  <x:c r="L6243" i="2"/>
  <x:c r="K6244" i="2"/>
  <x:c r="L6244" i="2"/>
  <x:c r="K6245" i="2"/>
  <x:c r="L6245" i="2"/>
  <x:c r="K6246" i="2"/>
  <x:c r="L6246" i="2"/>
  <x:c r="K6247" i="2"/>
  <x:c r="L6247" i="2"/>
  <x:c r="K6248" i="2"/>
  <x:c r="L6248" i="2"/>
  <x:c r="K6249" i="2"/>
  <x:c r="L6249" i="2"/>
  <x:c r="K6250" i="2"/>
  <x:c r="L6250" i="2"/>
  <x:c r="K6251" i="2"/>
  <x:c r="L6251" i="2"/>
  <x:c r="K6252" i="2"/>
  <x:c r="L6252" i="2"/>
  <x:c r="K6253" i="2"/>
  <x:c r="L6253" i="2"/>
  <x:c r="K6254" i="2"/>
  <x:c r="L6254" i="2"/>
  <x:c r="K6255" i="2"/>
  <x:c r="L6255" i="2"/>
  <x:c r="K6256" i="2"/>
  <x:c r="L6256" i="2"/>
  <x:c r="K6257" i="2"/>
  <x:c r="L6257" i="2"/>
  <x:c r="K6258" i="2"/>
  <x:c r="L6258" i="2"/>
  <x:c r="K6259" i="2"/>
  <x:c r="L6259" i="2"/>
  <x:c r="K6260" i="2"/>
  <x:c r="L6260" i="2"/>
  <x:c r="K6261" i="2"/>
  <x:c r="L6261" i="2"/>
  <x:c r="K6262" i="2"/>
  <x:c r="L6262" i="2"/>
  <x:c r="K6263" i="2"/>
  <x:c r="L6263" i="2"/>
  <x:c r="K6264" i="2"/>
  <x:c r="L6264" i="2"/>
  <x:c r="K6265" i="2"/>
  <x:c r="L6265" i="2"/>
  <x:c r="K6266" i="2"/>
  <x:c r="L6266" i="2"/>
  <x:c r="K6267" i="2"/>
  <x:c r="L6267" i="2"/>
  <x:c r="K6268" i="2"/>
  <x:c r="L6268" i="2"/>
  <x:c r="K6269" i="2"/>
  <x:c r="L6269" i="2"/>
  <x:c r="K6270" i="2"/>
  <x:c r="L6270" i="2"/>
  <x:c r="K6271" i="2"/>
  <x:c r="L6271" i="2"/>
  <x:c r="K6272" i="2"/>
  <x:c r="L6272" i="2"/>
  <x:c r="K6273" i="2"/>
  <x:c r="L6273" i="2"/>
  <x:c r="K6274" i="2"/>
  <x:c r="L6274" i="2"/>
  <x:c r="K6275" i="2"/>
  <x:c r="L6275" i="2"/>
  <x:c r="K6276" i="2"/>
  <x:c r="L6276" i="2"/>
  <x:c r="K6277" i="2"/>
  <x:c r="L6277" i="2"/>
  <x:c r="K6278" i="2"/>
  <x:c r="L6278" i="2"/>
  <x:c r="K6279" i="2"/>
  <x:c r="L6279" i="2"/>
  <x:c r="K6280" i="2"/>
  <x:c r="L6280" i="2"/>
  <x:c r="K6281" i="2"/>
  <x:c r="L6281" i="2"/>
  <x:c r="K6282" i="2"/>
  <x:c r="L6282" i="2"/>
  <x:c r="K6283" i="2"/>
  <x:c r="L6283" i="2"/>
  <x:c r="K6284" i="2"/>
  <x:c r="L6284" i="2"/>
  <x:c r="K6285" i="2"/>
  <x:c r="L6285" i="2"/>
  <x:c r="K6286" i="2"/>
  <x:c r="L6286" i="2"/>
  <x:c r="K6287" i="2"/>
  <x:c r="L6287" i="2"/>
  <x:c r="K6288" i="2"/>
  <x:c r="L6288" i="2"/>
  <x:c r="K6289" i="2"/>
  <x:c r="L6289" i="2"/>
  <x:c r="K6290" i="2"/>
  <x:c r="L6290" i="2"/>
  <x:c r="K6291" i="2"/>
  <x:c r="L6291" i="2"/>
  <x:c r="K6292" i="2"/>
  <x:c r="L6292" i="2"/>
  <x:c r="K6293" i="2"/>
  <x:c r="L6293" i="2"/>
  <x:c r="K6294" i="2"/>
  <x:c r="L6294" i="2"/>
  <x:c r="K6295" i="2"/>
  <x:c r="L6295" i="2"/>
  <x:c r="K6296" i="2"/>
  <x:c r="L6296" i="2"/>
  <x:c r="K6297" i="2"/>
  <x:c r="L6297" i="2"/>
  <x:c r="K6298" i="2"/>
  <x:c r="L6298" i="2"/>
  <x:c r="K6299" i="2"/>
  <x:c r="L6299" i="2"/>
  <x:c r="K6300" i="2"/>
  <x:c r="L6300" i="2"/>
  <x:c r="K6301" i="2"/>
  <x:c r="L6301" i="2"/>
  <x:c r="K6302" i="2"/>
  <x:c r="L6302" i="2"/>
  <x:c r="K6303" i="2"/>
  <x:c r="L6303" i="2"/>
  <x:c r="K6304" i="2"/>
  <x:c r="L6304" i="2"/>
  <x:c r="K6305" i="2"/>
  <x:c r="L6305" i="2"/>
  <x:c r="K6306" i="2"/>
  <x:c r="L6306" i="2"/>
  <x:c r="K6307" i="2"/>
  <x:c r="L6307" i="2"/>
  <x:c r="K6308" i="2"/>
  <x:c r="L6308" i="2"/>
  <x:c r="K6309" i="2"/>
  <x:c r="L6309" i="2"/>
  <x:c r="K6310" i="2"/>
  <x:c r="L6310" i="2"/>
  <x:c r="K6311" i="2"/>
  <x:c r="L6311" i="2"/>
  <x:c r="K6312" i="2"/>
  <x:c r="L6312" i="2"/>
  <x:c r="K6313" i="2"/>
  <x:c r="L6313" i="2"/>
  <x:c r="K6314" i="2"/>
  <x:c r="L6314" i="2"/>
  <x:c r="K6315" i="2"/>
  <x:c r="L6315" i="2"/>
  <x:c r="K6316" i="2"/>
  <x:c r="L6316" i="2"/>
  <x:c r="K6317" i="2"/>
  <x:c r="L6317" i="2"/>
  <x:c r="K6318" i="2"/>
  <x:c r="L6318" i="2"/>
  <x:c r="K6319" i="2"/>
  <x:c r="L6319" i="2"/>
  <x:c r="K6320" i="2"/>
  <x:c r="L6320" i="2"/>
  <x:c r="K6321" i="2"/>
  <x:c r="L6321" i="2"/>
  <x:c r="K6322" i="2"/>
  <x:c r="L6322" i="2"/>
  <x:c r="K6323" i="2"/>
  <x:c r="L6323" i="2"/>
  <x:c r="K6324" i="2"/>
  <x:c r="L6324" i="2"/>
  <x:c r="K6325" i="2"/>
  <x:c r="L6325" i="2"/>
  <x:c r="K6326" i="2"/>
  <x:c r="L6326" i="2"/>
  <x:c r="K6327" i="2"/>
  <x:c r="L6327" i="2"/>
  <x:c r="K6328" i="2"/>
  <x:c r="L6328" i="2"/>
  <x:c r="K6329" i="2"/>
  <x:c r="L6329" i="2"/>
  <x:c r="K6330" i="2"/>
  <x:c r="L6330" i="2"/>
  <x:c r="K6331" i="2"/>
  <x:c r="L6331" i="2"/>
  <x:c r="K6332" i="2"/>
  <x:c r="L6332" i="2"/>
  <x:c r="K6333" i="2"/>
  <x:c r="L6333" i="2"/>
  <x:c r="K6334" i="2"/>
  <x:c r="L6334" i="2"/>
  <x:c r="K6335" i="2"/>
  <x:c r="L6335" i="2"/>
  <x:c r="K6336" i="2"/>
  <x:c r="L6336" i="2"/>
  <x:c r="K6337" i="2"/>
  <x:c r="L6337" i="2"/>
  <x:c r="K6338" i="2"/>
  <x:c r="L6338" i="2"/>
  <x:c r="K6339" i="2"/>
  <x:c r="L6339" i="2"/>
  <x:c r="K6340" i="2"/>
  <x:c r="L6340" i="2"/>
  <x:c r="K6341" i="2"/>
  <x:c r="L6341" i="2"/>
  <x:c r="K6342" i="2"/>
  <x:c r="L6342" i="2"/>
  <x:c r="K6343" i="2"/>
  <x:c r="L6343" i="2"/>
  <x:c r="K6344" i="2"/>
  <x:c r="L6344" i="2"/>
  <x:c r="K6345" i="2"/>
  <x:c r="L6345" i="2"/>
  <x:c r="K6346" i="2"/>
  <x:c r="L6346" i="2"/>
  <x:c r="K6347" i="2"/>
  <x:c r="L6347" i="2"/>
  <x:c r="K6348" i="2"/>
  <x:c r="L6348" i="2"/>
  <x:c r="K6349" i="2"/>
  <x:c r="L6349" i="2"/>
  <x:c r="K6350" i="2"/>
  <x:c r="L6350" i="2"/>
  <x:c r="K6351" i="2"/>
  <x:c r="L6351" i="2"/>
  <x:c r="K6352" i="2"/>
  <x:c r="L6352" i="2"/>
  <x:c r="K6353" i="2"/>
  <x:c r="L6353" i="2"/>
  <x:c r="K6354" i="2"/>
  <x:c r="L6354" i="2"/>
  <x:c r="K6355" i="2"/>
  <x:c r="L6355" i="2"/>
  <x:c r="K6356" i="2"/>
  <x:c r="L6356" i="2"/>
  <x:c r="K6357" i="2"/>
  <x:c r="L6357" i="2"/>
  <x:c r="K6358" i="2"/>
  <x:c r="L6358" i="2"/>
  <x:c r="K6359" i="2"/>
  <x:c r="L6359" i="2"/>
  <x:c r="K6360" i="2"/>
  <x:c r="L6360" i="2"/>
  <x:c r="K6361" i="2"/>
  <x:c r="L6361" i="2"/>
  <x:c r="K6362" i="2"/>
  <x:c r="L6362" i="2"/>
  <x:c r="K6363" i="2"/>
  <x:c r="L6363" i="2"/>
  <x:c r="K6364" i="2"/>
  <x:c r="L6364" i="2"/>
  <x:c r="K6365" i="2"/>
  <x:c r="L6365" i="2"/>
  <x:c r="K6366" i="2"/>
  <x:c r="L6366" i="2"/>
  <x:c r="K6367" i="2"/>
  <x:c r="L6367" i="2"/>
  <x:c r="K6368" i="2"/>
  <x:c r="L6368" i="2"/>
  <x:c r="K6369" i="2"/>
  <x:c r="L6369" i="2"/>
  <x:c r="K6370" i="2"/>
  <x:c r="L6370" i="2"/>
  <x:c r="K6371" i="2"/>
  <x:c r="L6371" i="2"/>
  <x:c r="K6372" i="2"/>
  <x:c r="L6372" i="2"/>
  <x:c r="K6373" i="2"/>
  <x:c r="L6373" i="2"/>
  <x:c r="K6374" i="2"/>
  <x:c r="L6374" i="2"/>
  <x:c r="K6375" i="2"/>
  <x:c r="L6375" i="2"/>
  <x:c r="K6376" i="2"/>
  <x:c r="L6376" i="2"/>
  <x:c r="K6377" i="2"/>
  <x:c r="L6377" i="2"/>
  <x:c r="K6378" i="2"/>
  <x:c r="L6378" i="2"/>
  <x:c r="K6379" i="2"/>
  <x:c r="L6379" i="2"/>
  <x:c r="K6380" i="2"/>
  <x:c r="L6380" i="2"/>
  <x:c r="K6381" i="2"/>
  <x:c r="L6381" i="2"/>
  <x:c r="K6382" i="2"/>
  <x:c r="L6382" i="2"/>
  <x:c r="K6383" i="2"/>
  <x:c r="L6383" i="2"/>
  <x:c r="K6384" i="2"/>
  <x:c r="L6384" i="2"/>
  <x:c r="K6385" i="2"/>
  <x:c r="L6385" i="2"/>
  <x:c r="K6386" i="2"/>
  <x:c r="L6386" i="2"/>
  <x:c r="K6387" i="2"/>
  <x:c r="L6387" i="2"/>
  <x:c r="K6388" i="2"/>
  <x:c r="L6388" i="2"/>
  <x:c r="K6389" i="2"/>
  <x:c r="L6389" i="2"/>
  <x:c r="K6390" i="2"/>
  <x:c r="L6390" i="2"/>
  <x:c r="K6391" i="2"/>
  <x:c r="L6391" i="2"/>
  <x:c r="K6392" i="2"/>
  <x:c r="L6392" i="2"/>
  <x:c r="K6393" i="2"/>
  <x:c r="L6393" i="2"/>
  <x:c r="K6394" i="2"/>
  <x:c r="L6394" i="2"/>
  <x:c r="K6395" i="2"/>
  <x:c r="L6395" i="2"/>
  <x:c r="K6396" i="2"/>
  <x:c r="L6396" i="2"/>
  <x:c r="K6397" i="2"/>
  <x:c r="L6397" i="2"/>
  <x:c r="K6398" i="2"/>
  <x:c r="L6398" i="2"/>
  <x:c r="K6399" i="2"/>
  <x:c r="L6399" i="2"/>
  <x:c r="K6400" i="2"/>
  <x:c r="L6400" i="2"/>
  <x:c r="K6401" i="2"/>
  <x:c r="L6401" i="2"/>
  <x:c r="K6402" i="2"/>
  <x:c r="L6402" i="2"/>
  <x:c r="K6403" i="2"/>
  <x:c r="L6403" i="2"/>
  <x:c r="K6404" i="2"/>
  <x:c r="L6404" i="2"/>
  <x:c r="K6405" i="2"/>
  <x:c r="L6405" i="2"/>
  <x:c r="K6406" i="2"/>
  <x:c r="L6406" i="2"/>
  <x:c r="K6407" i="2"/>
  <x:c r="L6407" i="2"/>
  <x:c r="K6408" i="2"/>
  <x:c r="L6408" i="2"/>
  <x:c r="K6409" i="2"/>
  <x:c r="L6409" i="2"/>
  <x:c r="K6410" i="2"/>
  <x:c r="L6410" i="2"/>
  <x:c r="K6411" i="2"/>
  <x:c r="L6411" i="2"/>
  <x:c r="K6412" i="2"/>
  <x:c r="L6412" i="2"/>
  <x:c r="K6413" i="2"/>
  <x:c r="L6413" i="2"/>
  <x:c r="K6414" i="2"/>
  <x:c r="L6414" i="2"/>
  <x:c r="K6415" i="2"/>
  <x:c r="L6415" i="2"/>
  <x:c r="K6416" i="2"/>
  <x:c r="L6416" i="2"/>
  <x:c r="K6417" i="2"/>
  <x:c r="L6417" i="2"/>
  <x:c r="K6418" i="2"/>
  <x:c r="L6418" i="2"/>
  <x:c r="K6419" i="2"/>
  <x:c r="L6419" i="2"/>
  <x:c r="K6420" i="2"/>
  <x:c r="L6420" i="2"/>
  <x:c r="K6421" i="2"/>
  <x:c r="L6421" i="2"/>
  <x:c r="K6422" i="2"/>
  <x:c r="L6422" i="2"/>
  <x:c r="K6423" i="2"/>
  <x:c r="L6423" i="2"/>
  <x:c r="K6424" i="2"/>
  <x:c r="L6424" i="2"/>
  <x:c r="K6425" i="2"/>
  <x:c r="L6425" i="2"/>
  <x:c r="K6426" i="2"/>
  <x:c r="L6426" i="2"/>
  <x:c r="K6427" i="2"/>
  <x:c r="L6427" i="2"/>
  <x:c r="K6428" i="2"/>
  <x:c r="L6428" i="2"/>
  <x:c r="K6429" i="2"/>
  <x:c r="L6429" i="2"/>
  <x:c r="K6430" i="2"/>
  <x:c r="L6430" i="2"/>
  <x:c r="K6431" i="2"/>
  <x:c r="L6431" i="2"/>
  <x:c r="K6432" i="2"/>
  <x:c r="L6432" i="2"/>
  <x:c r="K6433" i="2"/>
  <x:c r="L6433" i="2"/>
  <x:c r="K6434" i="2"/>
  <x:c r="L6434" i="2"/>
  <x:c r="K6435" i="2"/>
  <x:c r="L6435" i="2"/>
  <x:c r="K6436" i="2"/>
  <x:c r="L6436" i="2"/>
  <x:c r="K6437" i="2"/>
  <x:c r="L6437" i="2"/>
  <x:c r="K6438" i="2"/>
  <x:c r="L6438" i="2"/>
  <x:c r="K6439" i="2"/>
  <x:c r="L6439" i="2"/>
  <x:c r="K6440" i="2"/>
  <x:c r="L6440" i="2"/>
  <x:c r="K6441" i="2"/>
  <x:c r="L6441" i="2"/>
  <x:c r="K6442" i="2"/>
  <x:c r="L6442" i="2"/>
  <x:c r="K6443" i="2"/>
  <x:c r="L6443" i="2"/>
  <x:c r="K6444" i="2"/>
  <x:c r="L6444" i="2"/>
  <x:c r="K6445" i="2"/>
  <x:c r="L6445" i="2"/>
  <x:c r="K6446" i="2"/>
  <x:c r="L6446" i="2"/>
  <x:c r="K6447" i="2"/>
  <x:c r="L6447" i="2"/>
  <x:c r="K6448" i="2"/>
  <x:c r="L6448" i="2"/>
  <x:c r="K6449" i="2"/>
  <x:c r="L6449" i="2"/>
  <x:c r="K6450" i="2"/>
  <x:c r="L6450" i="2"/>
  <x:c r="K6451" i="2"/>
  <x:c r="L6451" i="2"/>
  <x:c r="K6452" i="2"/>
  <x:c r="L6452" i="2"/>
  <x:c r="K6453" i="2"/>
  <x:c r="L6453" i="2"/>
  <x:c r="K6454" i="2"/>
  <x:c r="L6454" i="2"/>
  <x:c r="K6455" i="2"/>
  <x:c r="L6455" i="2"/>
  <x:c r="K6456" i="2"/>
  <x:c r="L6456" i="2"/>
  <x:c r="K6457" i="2"/>
  <x:c r="L6457" i="2"/>
  <x:c r="K6458" i="2"/>
  <x:c r="L6458" i="2"/>
  <x:c r="K6459" i="2"/>
  <x:c r="L6459" i="2"/>
  <x:c r="K6460" i="2"/>
  <x:c r="L6460" i="2"/>
  <x:c r="K6461" i="2"/>
  <x:c r="L6461" i="2"/>
  <x:c r="K6462" i="2"/>
  <x:c r="L6462" i="2"/>
  <x:c r="K6463" i="2"/>
  <x:c r="L6463" i="2"/>
  <x:c r="K6464" i="2"/>
  <x:c r="L6464" i="2"/>
  <x:c r="K6465" i="2"/>
  <x:c r="L6465" i="2"/>
  <x:c r="K6466" i="2"/>
  <x:c r="L6466" i="2"/>
  <x:c r="K6467" i="2"/>
  <x:c r="L6467" i="2"/>
  <x:c r="K6468" i="2"/>
  <x:c r="L6468" i="2"/>
  <x:c r="K6469" i="2"/>
  <x:c r="L6469" i="2"/>
  <x:c r="K6470" i="2"/>
  <x:c r="L6470" i="2"/>
  <x:c r="K6471" i="2"/>
  <x:c r="L6471" i="2"/>
  <x:c r="K6472" i="2"/>
  <x:c r="L6472" i="2"/>
  <x:c r="K6473" i="2"/>
  <x:c r="L6473" i="2"/>
  <x:c r="K6474" i="2"/>
  <x:c r="L6474" i="2"/>
  <x:c r="K6475" i="2"/>
  <x:c r="L6475" i="2"/>
  <x:c r="K6476" i="2"/>
  <x:c r="L6476" i="2"/>
  <x:c r="K6477" i="2"/>
  <x:c r="L6477" i="2"/>
  <x:c r="K6478" i="2"/>
  <x:c r="L6478" i="2"/>
  <x:c r="K6479" i="2"/>
  <x:c r="L6479" i="2"/>
  <x:c r="K6480" i="2"/>
  <x:c r="L6480" i="2"/>
  <x:c r="K6481" i="2"/>
  <x:c r="L6481" i="2"/>
  <x:c r="K6482" i="2"/>
  <x:c r="L6482" i="2"/>
  <x:c r="K6483" i="2"/>
  <x:c r="L6483" i="2"/>
  <x:c r="K6484" i="2"/>
  <x:c r="L6484" i="2"/>
  <x:c r="K6485" i="2"/>
  <x:c r="L6485" i="2"/>
  <x:c r="K6486" i="2"/>
  <x:c r="L6486" i="2"/>
  <x:c r="K6487" i="2"/>
  <x:c r="L6487" i="2"/>
  <x:c r="K6488" i="2"/>
  <x:c r="L6488" i="2"/>
  <x:c r="K6489" i="2"/>
  <x:c r="L6489" i="2"/>
  <x:c r="K6490" i="2"/>
  <x:c r="L6490" i="2"/>
  <x:c r="K6491" i="2"/>
  <x:c r="L6491" i="2"/>
  <x:c r="K6492" i="2"/>
  <x:c r="L6492" i="2"/>
  <x:c r="K6493" i="2"/>
  <x:c r="L6493" i="2"/>
  <x:c r="K6494" i="2"/>
  <x:c r="L6494" i="2"/>
  <x:c r="K6495" i="2"/>
  <x:c r="L6495" i="2"/>
  <x:c r="K6496" i="2"/>
  <x:c r="L6496" i="2"/>
  <x:c r="K6497" i="2"/>
  <x:c r="L6497" i="2"/>
  <x:c r="K6498" i="2"/>
  <x:c r="L6498" i="2"/>
  <x:c r="K6499" i="2"/>
  <x:c r="L6499" i="2"/>
  <x:c r="K6500" i="2"/>
  <x:c r="L6500" i="2"/>
  <x:c r="K6501" i="2"/>
  <x:c r="L6501" i="2"/>
  <x:c r="K6502" i="2"/>
  <x:c r="L6502" i="2"/>
  <x:c r="K6503" i="2"/>
  <x:c r="L6503" i="2"/>
  <x:c r="K6504" i="2"/>
  <x:c r="L6504" i="2"/>
  <x:c r="K6505" i="2"/>
  <x:c r="L6505" i="2"/>
  <x:c r="K6506" i="2"/>
  <x:c r="L6506" i="2"/>
  <x:c r="K6507" i="2"/>
  <x:c r="L6507" i="2"/>
  <x:c r="K6508" i="2"/>
  <x:c r="L6508" i="2"/>
  <x:c r="K6509" i="2"/>
  <x:c r="L6509" i="2"/>
  <x:c r="K6510" i="2"/>
  <x:c r="L6510" i="2"/>
  <x:c r="K6511" i="2"/>
  <x:c r="L6511" i="2"/>
  <x:c r="K6512" i="2"/>
  <x:c r="L6512" i="2"/>
  <x:c r="K6513" i="2"/>
  <x:c r="L6513" i="2"/>
  <x:c r="K6514" i="2"/>
  <x:c r="L6514" i="2"/>
  <x:c r="K6515" i="2"/>
  <x:c r="L6515" i="2"/>
  <x:c r="K6516" i="2"/>
  <x:c r="L6516" i="2"/>
  <x:c r="K6517" i="2"/>
  <x:c r="L6517" i="2"/>
  <x:c r="K6518" i="2"/>
  <x:c r="L6518" i="2"/>
  <x:c r="K6519" i="2"/>
  <x:c r="L6519" i="2"/>
  <x:c r="K6520" i="2"/>
  <x:c r="L6520" i="2"/>
  <x:c r="K6521" i="2"/>
  <x:c r="L6521" i="2"/>
  <x:c r="K6522" i="2"/>
  <x:c r="L6522" i="2"/>
  <x:c r="K6523" i="2"/>
  <x:c r="L6523" i="2"/>
  <x:c r="K6524" i="2"/>
  <x:c r="L6524" i="2"/>
  <x:c r="K6525" i="2"/>
  <x:c r="L6525" i="2"/>
  <x:c r="K6526" i="2"/>
  <x:c r="L6526" i="2"/>
  <x:c r="K6527" i="2"/>
  <x:c r="L6527" i="2"/>
  <x:c r="K6528" i="2"/>
  <x:c r="L6528" i="2"/>
  <x:c r="K6529" i="2"/>
  <x:c r="L6529" i="2"/>
  <x:c r="K6530" i="2"/>
  <x:c r="L6530" i="2"/>
  <x:c r="K6531" i="2"/>
  <x:c r="L6531" i="2"/>
  <x:c r="K6532" i="2"/>
  <x:c r="L6532" i="2"/>
  <x:c r="K6533" i="2"/>
  <x:c r="L6533" i="2"/>
  <x:c r="K6534" i="2"/>
  <x:c r="L6534" i="2"/>
  <x:c r="K6535" i="2"/>
  <x:c r="L6535" i="2"/>
  <x:c r="K6536" i="2"/>
  <x:c r="L6536" i="2"/>
  <x:c r="K6537" i="2"/>
  <x:c r="L6537" i="2"/>
  <x:c r="K6538" i="2"/>
  <x:c r="L6538" i="2"/>
  <x:c r="K6539" i="2"/>
  <x:c r="L6539" i="2"/>
  <x:c r="K6540" i="2"/>
  <x:c r="L6540" i="2"/>
  <x:c r="K6541" i="2"/>
  <x:c r="L6541" i="2"/>
  <x:c r="K6542" i="2"/>
  <x:c r="L6542" i="2"/>
  <x:c r="K6543" i="2"/>
  <x:c r="L6543" i="2"/>
  <x:c r="K6544" i="2"/>
  <x:c r="L6544" i="2"/>
  <x:c r="K6545" i="2"/>
  <x:c r="L6545" i="2"/>
  <x:c r="K6546" i="2"/>
  <x:c r="L6546" i="2"/>
  <x:c r="K6547" i="2"/>
  <x:c r="L6547" i="2"/>
  <x:c r="K6548" i="2"/>
  <x:c r="L6548" i="2"/>
  <x:c r="K6549" i="2"/>
  <x:c r="L6549" i="2"/>
  <x:c r="K6550" i="2"/>
  <x:c r="L6550" i="2"/>
  <x:c r="K6551" i="2"/>
  <x:c r="L6551" i="2"/>
  <x:c r="K6552" i="2"/>
  <x:c r="L6552" i="2"/>
  <x:c r="K6553" i="2"/>
  <x:c r="L6553" i="2"/>
  <x:c r="K6554" i="2"/>
  <x:c r="L6554" i="2"/>
  <x:c r="K6555" i="2"/>
  <x:c r="L6555" i="2"/>
  <x:c r="K6556" i="2"/>
  <x:c r="L6556" i="2"/>
  <x:c r="K6557" i="2"/>
  <x:c r="L6557" i="2"/>
  <x:c r="K6558" i="2"/>
  <x:c r="L6558" i="2"/>
  <x:c r="K6559" i="2"/>
  <x:c r="L6559" i="2"/>
  <x:c r="K6560" i="2"/>
  <x:c r="L6560" i="2"/>
  <x:c r="K6561" i="2"/>
  <x:c r="L6561" i="2"/>
  <x:c r="K6562" i="2"/>
  <x:c r="L6562" i="2"/>
  <x:c r="K6563" i="2"/>
  <x:c r="L6563" i="2"/>
  <x:c r="K6564" i="2"/>
  <x:c r="L6564" i="2"/>
  <x:c r="K6565" i="2"/>
  <x:c r="L6565" i="2"/>
  <x:c r="K6566" i="2"/>
  <x:c r="L6566" i="2"/>
  <x:c r="K6567" i="2"/>
  <x:c r="L6567" i="2"/>
  <x:c r="K6568" i="2"/>
  <x:c r="L6568" i="2"/>
  <x:c r="K6569" i="2"/>
  <x:c r="L6569" i="2"/>
  <x:c r="K6570" i="2"/>
  <x:c r="L6570" i="2"/>
  <x:c r="K6571" i="2"/>
  <x:c r="L6571" i="2"/>
  <x:c r="K6572" i="2"/>
  <x:c r="L6572" i="2"/>
  <x:c r="K6573" i="2"/>
  <x:c r="L6573" i="2"/>
  <x:c r="K6574" i="2"/>
  <x:c r="L6574" i="2"/>
  <x:c r="K6575" i="2"/>
  <x:c r="L6575" i="2"/>
  <x:c r="K6576" i="2"/>
  <x:c r="L6576" i="2"/>
  <x:c r="K6577" i="2"/>
  <x:c r="L6577" i="2"/>
  <x:c r="K6578" i="2"/>
  <x:c r="L6578" i="2"/>
  <x:c r="K6579" i="2"/>
  <x:c r="L6579" i="2"/>
  <x:c r="K6580" i="2"/>
  <x:c r="L6580" i="2"/>
  <x:c r="K6581" i="2"/>
  <x:c r="L6581" i="2"/>
  <x:c r="K6582" i="2"/>
  <x:c r="L6582" i="2"/>
  <x:c r="K6583" i="2"/>
  <x:c r="L6583" i="2"/>
  <x:c r="K6584" i="2"/>
  <x:c r="L6584" i="2"/>
  <x:c r="K6585" i="2"/>
  <x:c r="L6585" i="2"/>
  <x:c r="K6586" i="2"/>
  <x:c r="L6586" i="2"/>
  <x:c r="K6587" i="2"/>
  <x:c r="L6587" i="2"/>
  <x:c r="K6588" i="2"/>
  <x:c r="L6588" i="2"/>
  <x:c r="K6589" i="2"/>
  <x:c r="L6589" i="2"/>
  <x:c r="K6590" i="2"/>
  <x:c r="L6590" i="2"/>
  <x:c r="K6591" i="2"/>
  <x:c r="L6591" i="2"/>
  <x:c r="K6592" i="2"/>
  <x:c r="L6592" i="2"/>
  <x:c r="K6593" i="2"/>
  <x:c r="L6593" i="2"/>
  <x:c r="K6594" i="2"/>
  <x:c r="L6594" i="2"/>
  <x:c r="K6595" i="2"/>
  <x:c r="L6595" i="2"/>
  <x:c r="K6596" i="2"/>
  <x:c r="L6596" i="2"/>
  <x:c r="K6597" i="2"/>
  <x:c r="L6597" i="2"/>
  <x:c r="K6598" i="2"/>
  <x:c r="L6598" i="2"/>
  <x:c r="K6599" i="2"/>
  <x:c r="L6599" i="2"/>
  <x:c r="K6600" i="2"/>
  <x:c r="L6600" i="2"/>
  <x:c r="K6601" i="2"/>
  <x:c r="L6601" i="2"/>
  <x:c r="K6602" i="2"/>
  <x:c r="L6602" i="2"/>
  <x:c r="K6603" i="2"/>
  <x:c r="L6603" i="2"/>
  <x:c r="K6604" i="2"/>
  <x:c r="L6604" i="2"/>
  <x:c r="K6605" i="2"/>
  <x:c r="L6605" i="2"/>
  <x:c r="K6606" i="2"/>
  <x:c r="L6606" i="2"/>
  <x:c r="K6607" i="2"/>
  <x:c r="L6607" i="2"/>
  <x:c r="K6608" i="2"/>
  <x:c r="L6608" i="2"/>
  <x:c r="K6609" i="2"/>
  <x:c r="L6609" i="2"/>
  <x:c r="K6610" i="2"/>
  <x:c r="L6610" i="2"/>
  <x:c r="K6611" i="2"/>
  <x:c r="L6611" i="2"/>
  <x:c r="K6612" i="2"/>
  <x:c r="L6612" i="2"/>
  <x:c r="K6613" i="2"/>
  <x:c r="L6613" i="2"/>
  <x:c r="K6614" i="2"/>
  <x:c r="L6614" i="2"/>
  <x:c r="K6615" i="2"/>
  <x:c r="L6615" i="2"/>
  <x:c r="K6616" i="2"/>
  <x:c r="L6616" i="2"/>
  <x:c r="K6617" i="2"/>
  <x:c r="L6617" i="2"/>
  <x:c r="K6618" i="2"/>
  <x:c r="L6618" i="2"/>
  <x:c r="K6619" i="2"/>
  <x:c r="L6619" i="2"/>
  <x:c r="K6620" i="2"/>
  <x:c r="L6620" i="2"/>
  <x:c r="K6621" i="2"/>
  <x:c r="L6621" i="2"/>
  <x:c r="K6622" i="2"/>
  <x:c r="L6622" i="2"/>
  <x:c r="K6623" i="2"/>
  <x:c r="L6623" i="2"/>
  <x:c r="K6624" i="2"/>
  <x:c r="L6624" i="2"/>
  <x:c r="K6625" i="2"/>
  <x:c r="L6625" i="2"/>
  <x:c r="K6626" i="2"/>
  <x:c r="L6626" i="2"/>
  <x:c r="K6627" i="2"/>
  <x:c r="L6627" i="2"/>
  <x:c r="K6628" i="2"/>
  <x:c r="L6628" i="2"/>
  <x:c r="K6629" i="2"/>
  <x:c r="L6629" i="2"/>
  <x:c r="K6630" i="2"/>
  <x:c r="L6630" i="2"/>
  <x:c r="K6631" i="2"/>
  <x:c r="L6631" i="2"/>
  <x:c r="K6632" i="2"/>
  <x:c r="L6632" i="2"/>
  <x:c r="K6633" i="2"/>
  <x:c r="L6633" i="2"/>
  <x:c r="K6634" i="2"/>
  <x:c r="L6634" i="2"/>
  <x:c r="K6635" i="2"/>
  <x:c r="L6635" i="2"/>
  <x:c r="K6636" i="2"/>
  <x:c r="L6636" i="2"/>
  <x:c r="K6637" i="2"/>
  <x:c r="L6637" i="2"/>
  <x:c r="K6638" i="2"/>
  <x:c r="L6638" i="2"/>
  <x:c r="K6639" i="2"/>
  <x:c r="L6639" i="2"/>
  <x:c r="K6640" i="2"/>
  <x:c r="L6640" i="2"/>
  <x:c r="K6641" i="2"/>
  <x:c r="L6641" i="2"/>
  <x:c r="K6642" i="2"/>
  <x:c r="L6642" i="2"/>
  <x:c r="K6643" i="2"/>
  <x:c r="L6643" i="2"/>
  <x:c r="K6644" i="2"/>
  <x:c r="L6644" i="2"/>
  <x:c r="K6645" i="2"/>
  <x:c r="L6645" i="2"/>
  <x:c r="K6646" i="2"/>
  <x:c r="L6646" i="2"/>
  <x:c r="K6647" i="2"/>
  <x:c r="L6647" i="2"/>
  <x:c r="K6648" i="2"/>
  <x:c r="L6648" i="2"/>
  <x:c r="K6649" i="2"/>
  <x:c r="L6649" i="2"/>
  <x:c r="K6650" i="2"/>
  <x:c r="L6650" i="2"/>
  <x:c r="K6651" i="2"/>
  <x:c r="L6651" i="2"/>
  <x:c r="K6652" i="2"/>
  <x:c r="L6652" i="2"/>
  <x:c r="K6653" i="2"/>
  <x:c r="L6653" i="2"/>
  <x:c r="K6654" i="2"/>
  <x:c r="L6654" i="2"/>
  <x:c r="K6655" i="2"/>
  <x:c r="L6655" i="2"/>
  <x:c r="K6656" i="2"/>
  <x:c r="L6656" i="2"/>
  <x:c r="K6657" i="2"/>
  <x:c r="L6657" i="2"/>
  <x:c r="K6658" i="2"/>
  <x:c r="L6658" i="2"/>
  <x:c r="K6659" i="2"/>
  <x:c r="L6659" i="2"/>
  <x:c r="K6660" i="2"/>
  <x:c r="L6660" i="2"/>
  <x:c r="K6661" i="2"/>
  <x:c r="L6661" i="2"/>
  <x:c r="K6662" i="2"/>
  <x:c r="L6662" i="2"/>
  <x:c r="K6663" i="2"/>
  <x:c r="L6663" i="2"/>
  <x:c r="K6664" i="2"/>
  <x:c r="L6664" i="2"/>
  <x:c r="K6665" i="2"/>
  <x:c r="L6665" i="2"/>
  <x:c r="K6666" i="2"/>
  <x:c r="L6666" i="2"/>
  <x:c r="K6667" i="2"/>
  <x:c r="L6667" i="2"/>
  <x:c r="K6668" i="2"/>
  <x:c r="L6668" i="2"/>
  <x:c r="K6669" i="2"/>
  <x:c r="L6669" i="2"/>
  <x:c r="K6670" i="2"/>
  <x:c r="L6670" i="2"/>
  <x:c r="K6671" i="2"/>
  <x:c r="L6671" i="2"/>
  <x:c r="K6672" i="2"/>
  <x:c r="L6672" i="2"/>
  <x:c r="K6673" i="2"/>
  <x:c r="L6673" i="2"/>
  <x:c r="K6674" i="2"/>
  <x:c r="L6674" i="2"/>
  <x:c r="K6675" i="2"/>
  <x:c r="L6675" i="2"/>
  <x:c r="K6676" i="2"/>
  <x:c r="L6676" i="2"/>
  <x:c r="K6677" i="2"/>
  <x:c r="L6677" i="2"/>
  <x:c r="K6678" i="2"/>
  <x:c r="L6678" i="2"/>
  <x:c r="K6679" i="2"/>
  <x:c r="L6679" i="2"/>
  <x:c r="K6680" i="2"/>
  <x:c r="L6680" i="2"/>
  <x:c r="K6681" i="2"/>
  <x:c r="L6681" i="2"/>
  <x:c r="K6682" i="2"/>
  <x:c r="L6682" i="2"/>
  <x:c r="K6683" i="2"/>
  <x:c r="L6683" i="2"/>
  <x:c r="K6684" i="2"/>
  <x:c r="L6684" i="2"/>
  <x:c r="K6685" i="2"/>
  <x:c r="L6685" i="2"/>
  <x:c r="K6686" i="2"/>
  <x:c r="L6686" i="2"/>
  <x:c r="K6687" i="2"/>
  <x:c r="L6687" i="2"/>
  <x:c r="K6688" i="2"/>
  <x:c r="L6688" i="2"/>
  <x:c r="K6689" i="2"/>
  <x:c r="L6689" i="2"/>
  <x:c r="K6690" i="2"/>
  <x:c r="L6690" i="2"/>
  <x:c r="K6691" i="2"/>
  <x:c r="L6691" i="2"/>
  <x:c r="K6692" i="2"/>
  <x:c r="L6692" i="2"/>
  <x:c r="K6693" i="2"/>
  <x:c r="L6693" i="2"/>
  <x:c r="K6694" i="2"/>
  <x:c r="L6694" i="2"/>
  <x:c r="K6695" i="2"/>
  <x:c r="L6695" i="2"/>
  <x:c r="K6696" i="2"/>
  <x:c r="L6696" i="2"/>
  <x:c r="K6697" i="2"/>
  <x:c r="L6697" i="2"/>
  <x:c r="K6698" i="2"/>
  <x:c r="L6698" i="2"/>
  <x:c r="K6699" i="2"/>
  <x:c r="L6699" i="2"/>
  <x:c r="K6700" i="2"/>
  <x:c r="L6700" i="2"/>
  <x:c r="K6701" i="2"/>
  <x:c r="L6701" i="2"/>
  <x:c r="K6702" i="2"/>
  <x:c r="L6702" i="2"/>
  <x:c r="K6703" i="2"/>
  <x:c r="L6703" i="2"/>
  <x:c r="K6704" i="2"/>
  <x:c r="L6704" i="2"/>
  <x:c r="K6705" i="2"/>
  <x:c r="L6705" i="2"/>
  <x:c r="K6706" i="2"/>
  <x:c r="L6706" i="2"/>
  <x:c r="K6707" i="2"/>
  <x:c r="L6707" i="2"/>
  <x:c r="K6708" i="2"/>
  <x:c r="L6708" i="2"/>
  <x:c r="K6709" i="2"/>
  <x:c r="L6709" i="2"/>
  <x:c r="K6710" i="2"/>
  <x:c r="L6710" i="2"/>
  <x:c r="K6711" i="2"/>
  <x:c r="L6711" i="2"/>
  <x:c r="K6712" i="2"/>
  <x:c r="L6712" i="2"/>
  <x:c r="K6713" i="2"/>
  <x:c r="L6713" i="2"/>
  <x:c r="K6714" i="2"/>
  <x:c r="L6714" i="2"/>
  <x:c r="K6715" i="2"/>
  <x:c r="L6715" i="2"/>
  <x:c r="K6716" i="2"/>
  <x:c r="L6716" i="2"/>
  <x:c r="K6717" i="2"/>
  <x:c r="L6717" i="2"/>
  <x:c r="K6718" i="2"/>
  <x:c r="L6718" i="2"/>
  <x:c r="K6719" i="2"/>
  <x:c r="L6719" i="2"/>
  <x:c r="K6720" i="2"/>
  <x:c r="L6720" i="2"/>
  <x:c r="K6721" i="2"/>
  <x:c r="L6721" i="2"/>
  <x:c r="K6722" i="2"/>
  <x:c r="L6722" i="2"/>
  <x:c r="K6723" i="2"/>
  <x:c r="L6723" i="2"/>
  <x:c r="K6724" i="2"/>
  <x:c r="L6724" i="2"/>
  <x:c r="K6725" i="2"/>
  <x:c r="L6725" i="2"/>
  <x:c r="K6726" i="2"/>
  <x:c r="L6726" i="2"/>
  <x:c r="K6727" i="2"/>
  <x:c r="L6727" i="2"/>
  <x:c r="K6728" i="2"/>
  <x:c r="L6728" i="2"/>
  <x:c r="K6729" i="2"/>
  <x:c r="L6729" i="2"/>
  <x:c r="K6730" i="2"/>
  <x:c r="L6730" i="2"/>
  <x:c r="K6731" i="2"/>
  <x:c r="L6731" i="2"/>
  <x:c r="K6732" i="2"/>
  <x:c r="L6732" i="2"/>
  <x:c r="K6733" i="2"/>
  <x:c r="L6733" i="2"/>
  <x:c r="K6734" i="2"/>
  <x:c r="L6734" i="2"/>
  <x:c r="K6735" i="2"/>
  <x:c r="L6735" i="2"/>
  <x:c r="K6736" i="2"/>
  <x:c r="L6736" i="2"/>
  <x:c r="K6737" i="2"/>
  <x:c r="L6737" i="2"/>
  <x:c r="K6738" i="2"/>
  <x:c r="L6738" i="2"/>
  <x:c r="K6739" i="2"/>
  <x:c r="L6739" i="2"/>
  <x:c r="K6740" i="2"/>
  <x:c r="L6740" i="2"/>
  <x:c r="K6741" i="2"/>
  <x:c r="L6741" i="2"/>
  <x:c r="K6742" i="2"/>
  <x:c r="L6742" i="2"/>
  <x:c r="K6743" i="2"/>
  <x:c r="L6743" i="2"/>
  <x:c r="K6744" i="2"/>
  <x:c r="L6744" i="2"/>
  <x:c r="K6745" i="2"/>
  <x:c r="L6745" i="2"/>
  <x:c r="K6746" i="2"/>
  <x:c r="L6746" i="2"/>
  <x:c r="K6747" i="2"/>
  <x:c r="L6747" i="2"/>
  <x:c r="K6748" i="2"/>
  <x:c r="L6748" i="2"/>
  <x:c r="K6749" i="2"/>
  <x:c r="L6749" i="2"/>
  <x:c r="K6750" i="2"/>
  <x:c r="L6750" i="2"/>
  <x:c r="K6751" i="2"/>
  <x:c r="L6751" i="2"/>
  <x:c r="K6752" i="2"/>
  <x:c r="L6752" i="2"/>
  <x:c r="K6753" i="2"/>
  <x:c r="L6753" i="2"/>
  <x:c r="K6754" i="2"/>
  <x:c r="L6754" i="2"/>
  <x:c r="K6755" i="2"/>
  <x:c r="L6755" i="2"/>
  <x:c r="K6756" i="2"/>
  <x:c r="L6756" i="2"/>
  <x:c r="K6757" i="2"/>
  <x:c r="L6757" i="2"/>
  <x:c r="K6758" i="2"/>
  <x:c r="L6758" i="2"/>
  <x:c r="K6759" i="2"/>
  <x:c r="L6759" i="2"/>
  <x:c r="K6760" i="2"/>
  <x:c r="L6760" i="2"/>
  <x:c r="K6761" i="2"/>
  <x:c r="L6761" i="2"/>
  <x:c r="K6762" i="2"/>
  <x:c r="L6762" i="2"/>
  <x:c r="K6763" i="2"/>
  <x:c r="L6763" i="2"/>
  <x:c r="K6764" i="2"/>
  <x:c r="L6764" i="2"/>
  <x:c r="K6765" i="2"/>
  <x:c r="L6765" i="2"/>
  <x:c r="K6766" i="2"/>
  <x:c r="L6766" i="2"/>
  <x:c r="K6767" i="2"/>
  <x:c r="L6767" i="2"/>
  <x:c r="K6768" i="2"/>
  <x:c r="L6768" i="2"/>
  <x:c r="K6769" i="2"/>
  <x:c r="L6769" i="2"/>
  <x:c r="K6770" i="2"/>
  <x:c r="L6770" i="2"/>
  <x:c r="K6771" i="2"/>
  <x:c r="L6771" i="2"/>
  <x:c r="K6772" i="2"/>
  <x:c r="L6772" i="2"/>
  <x:c r="K6773" i="2"/>
  <x:c r="L6773" i="2"/>
  <x:c r="K6774" i="2"/>
  <x:c r="L6774" i="2"/>
  <x:c r="K6775" i="2"/>
  <x:c r="L6775" i="2"/>
  <x:c r="K6776" i="2"/>
  <x:c r="L6776" i="2"/>
  <x:c r="K6777" i="2"/>
  <x:c r="L6777" i="2"/>
  <x:c r="K6778" i="2"/>
  <x:c r="L6778" i="2"/>
  <x:c r="K6779" i="2"/>
  <x:c r="L6779" i="2"/>
  <x:c r="K6780" i="2"/>
  <x:c r="L6780" i="2"/>
  <x:c r="K6781" i="2"/>
  <x:c r="L6781" i="2"/>
  <x:c r="K6782" i="2"/>
  <x:c r="L6782" i="2"/>
  <x:c r="K6783" i="2"/>
  <x:c r="L6783" i="2"/>
  <x:c r="K6784" i="2"/>
  <x:c r="L6784" i="2"/>
  <x:c r="K6785" i="2"/>
  <x:c r="L6785" i="2"/>
  <x:c r="K6786" i="2"/>
  <x:c r="L6786" i="2"/>
  <x:c r="K6787" i="2"/>
  <x:c r="L6787" i="2"/>
  <x:c r="K6788" i="2"/>
  <x:c r="L6788" i="2"/>
  <x:c r="K6789" i="2"/>
  <x:c r="L6789" i="2"/>
  <x:c r="K6790" i="2"/>
  <x:c r="L6790" i="2"/>
  <x:c r="K6791" i="2"/>
  <x:c r="L6791" i="2"/>
  <x:c r="K6792" i="2"/>
  <x:c r="L6792" i="2"/>
  <x:c r="K6793" i="2"/>
  <x:c r="L6793" i="2"/>
  <x:c r="K6794" i="2"/>
  <x:c r="L6794" i="2"/>
  <x:c r="K6795" i="2"/>
  <x:c r="L6795" i="2"/>
  <x:c r="K6796" i="2"/>
  <x:c r="L6796" i="2"/>
  <x:c r="K6797" i="2"/>
  <x:c r="L6797" i="2"/>
  <x:c r="K6798" i="2"/>
  <x:c r="L6798" i="2"/>
  <x:c r="K6799" i="2"/>
  <x:c r="L6799" i="2"/>
  <x:c r="K6800" i="2"/>
  <x:c r="L6800" i="2"/>
  <x:c r="K6801" i="2"/>
  <x:c r="L6801" i="2"/>
  <x:c r="K6802" i="2"/>
  <x:c r="L6802" i="2"/>
  <x:c r="K6803" i="2"/>
  <x:c r="L6803" i="2"/>
  <x:c r="K6804" i="2"/>
  <x:c r="L6804" i="2"/>
  <x:c r="K6805" i="2"/>
  <x:c r="L6805" i="2"/>
  <x:c r="K6806" i="2"/>
  <x:c r="L6806" i="2"/>
  <x:c r="K6807" i="2"/>
  <x:c r="L6807" i="2"/>
  <x:c r="K6808" i="2"/>
  <x:c r="L6808" i="2"/>
  <x:c r="K6809" i="2"/>
  <x:c r="L6809" i="2"/>
  <x:c r="K6810" i="2"/>
  <x:c r="L6810" i="2"/>
  <x:c r="K6811" i="2"/>
  <x:c r="L6811" i="2"/>
  <x:c r="K6812" i="2"/>
  <x:c r="L6812" i="2"/>
  <x:c r="K6813" i="2"/>
  <x:c r="L6813" i="2"/>
  <x:c r="K6814" i="2"/>
  <x:c r="L6814" i="2"/>
  <x:c r="K6815" i="2"/>
  <x:c r="L6815" i="2"/>
  <x:c r="K6816" i="2"/>
  <x:c r="L6816" i="2"/>
  <x:c r="K6817" i="2"/>
  <x:c r="L6817" i="2"/>
  <x:c r="K6818" i="2"/>
  <x:c r="L6818" i="2"/>
  <x:c r="K6819" i="2"/>
  <x:c r="L6819" i="2"/>
  <x:c r="K6820" i="2"/>
  <x:c r="L6820" i="2"/>
  <x:c r="K6821" i="2"/>
  <x:c r="L6821" i="2"/>
  <x:c r="K6822" i="2"/>
  <x:c r="L6822" i="2"/>
  <x:c r="K6823" i="2"/>
  <x:c r="L6823" i="2"/>
  <x:c r="K6824" i="2"/>
  <x:c r="L6824" i="2"/>
  <x:c r="K6825" i="2"/>
  <x:c r="L6825" i="2"/>
  <x:c r="K6826" i="2"/>
  <x:c r="L6826" i="2"/>
  <x:c r="K6827" i="2"/>
  <x:c r="L6827" i="2"/>
  <x:c r="K6828" i="2"/>
  <x:c r="L6828" i="2"/>
  <x:c r="K6829" i="2"/>
  <x:c r="L6829" i="2"/>
  <x:c r="K6830" i="2"/>
  <x:c r="L6830" i="2"/>
  <x:c r="K6831" i="2"/>
  <x:c r="L6831" i="2"/>
  <x:c r="K6832" i="2"/>
  <x:c r="L6832" i="2"/>
  <x:c r="K6833" i="2"/>
  <x:c r="L6833" i="2"/>
  <x:c r="K6834" i="2"/>
  <x:c r="L6834" i="2"/>
  <x:c r="K6835" i="2"/>
  <x:c r="L6835" i="2"/>
  <x:c r="K6836" i="2"/>
  <x:c r="L6836" i="2"/>
  <x:c r="K6837" i="2"/>
  <x:c r="L6837" i="2"/>
  <x:c r="K6838" i="2"/>
  <x:c r="L6838" i="2"/>
  <x:c r="K6839" i="2"/>
  <x:c r="L6839" i="2"/>
  <x:c r="K6840" i="2"/>
  <x:c r="L6840" i="2"/>
  <x:c r="K6841" i="2"/>
  <x:c r="L6841" i="2"/>
  <x:c r="K6842" i="2"/>
  <x:c r="L6842" i="2"/>
  <x:c r="K6843" i="2"/>
  <x:c r="L6843" i="2"/>
  <x:c r="K6844" i="2"/>
  <x:c r="L6844" i="2"/>
  <x:c r="K6845" i="2"/>
  <x:c r="L6845" i="2"/>
  <x:c r="K6846" i="2"/>
  <x:c r="L6846" i="2"/>
  <x:c r="K6847" i="2"/>
  <x:c r="L6847" i="2"/>
  <x:c r="K6848" i="2"/>
  <x:c r="L6848" i="2"/>
  <x:c r="K6849" i="2"/>
  <x:c r="L6849" i="2"/>
  <x:c r="K6850" i="2"/>
  <x:c r="L6850" i="2"/>
  <x:c r="K6851" i="2"/>
  <x:c r="L6851" i="2"/>
  <x:c r="K6852" i="2"/>
  <x:c r="L6852" i="2"/>
  <x:c r="K6853" i="2"/>
  <x:c r="L6853" i="2"/>
  <x:c r="K6854" i="2"/>
  <x:c r="L6854" i="2"/>
  <x:c r="K6855" i="2"/>
  <x:c r="L6855" i="2"/>
  <x:c r="K6856" i="2"/>
  <x:c r="L6856" i="2"/>
  <x:c r="K6857" i="2"/>
  <x:c r="L6857" i="2"/>
  <x:c r="K6858" i="2"/>
  <x:c r="L6858" i="2"/>
  <x:c r="K6859" i="2"/>
  <x:c r="L6859" i="2"/>
  <x:c r="K6860" i="2"/>
  <x:c r="L6860" i="2"/>
  <x:c r="K6861" i="2"/>
  <x:c r="L6861" i="2"/>
  <x:c r="K6862" i="2"/>
  <x:c r="L6862" i="2"/>
  <x:c r="K6863" i="2"/>
  <x:c r="L6863" i="2"/>
  <x:c r="K6864" i="2"/>
  <x:c r="L6864" i="2"/>
  <x:c r="K6865" i="2"/>
  <x:c r="L6865" i="2"/>
  <x:c r="K6866" i="2"/>
  <x:c r="L6866" i="2"/>
  <x:c r="K6867" i="2"/>
  <x:c r="L6867" i="2"/>
  <x:c r="K6868" i="2"/>
  <x:c r="L6868" i="2"/>
  <x:c r="K6869" i="2"/>
  <x:c r="L6869" i="2"/>
  <x:c r="K6870" i="2"/>
  <x:c r="L6870" i="2"/>
  <x:c r="K6871" i="2"/>
  <x:c r="L6871" i="2"/>
  <x:c r="K6872" i="2"/>
  <x:c r="L6872" i="2"/>
  <x:c r="K6873" i="2"/>
  <x:c r="L6873" i="2"/>
  <x:c r="K6874" i="2"/>
  <x:c r="L6874" i="2"/>
  <x:c r="K6875" i="2"/>
  <x:c r="L6875" i="2"/>
  <x:c r="K6876" i="2"/>
  <x:c r="L6876" i="2"/>
  <x:c r="K6877" i="2"/>
  <x:c r="L6877" i="2"/>
  <x:c r="K6878" i="2"/>
  <x:c r="L6878" i="2"/>
  <x:c r="K6879" i="2"/>
  <x:c r="L6879" i="2"/>
  <x:c r="K6880" i="2"/>
  <x:c r="L6880" i="2"/>
  <x:c r="K6881" i="2"/>
  <x:c r="L6881" i="2"/>
  <x:c r="K6882" i="2"/>
  <x:c r="L6882" i="2"/>
  <x:c r="K6883" i="2"/>
  <x:c r="L6883" i="2"/>
  <x:c r="K6884" i="2"/>
  <x:c r="L6884" i="2"/>
  <x:c r="K6885" i="2"/>
  <x:c r="L6885" i="2"/>
  <x:c r="K6886" i="2"/>
  <x:c r="L6886" i="2"/>
  <x:c r="K6887" i="2"/>
  <x:c r="L6887" i="2"/>
  <x:c r="K6888" i="2"/>
  <x:c r="L6888" i="2"/>
  <x:c r="K6889" i="2"/>
  <x:c r="L6889" i="2"/>
  <x:c r="K6890" i="2"/>
  <x:c r="L6890" i="2"/>
  <x:c r="K6891" i="2"/>
  <x:c r="L6891" i="2"/>
  <x:c r="K6892" i="2"/>
  <x:c r="L6892" i="2"/>
  <x:c r="K6893" i="2"/>
  <x:c r="L6893" i="2"/>
  <x:c r="K6894" i="2"/>
  <x:c r="L6894" i="2"/>
  <x:c r="K6895" i="2"/>
  <x:c r="L6895" i="2"/>
  <x:c r="K6896" i="2"/>
  <x:c r="L6896" i="2"/>
  <x:c r="K6897" i="2"/>
  <x:c r="L6897" i="2"/>
  <x:c r="K6898" i="2"/>
  <x:c r="L6898" i="2"/>
  <x:c r="K6899" i="2"/>
  <x:c r="L6899" i="2"/>
  <x:c r="K6900" i="2"/>
  <x:c r="L6900" i="2"/>
  <x:c r="K6901" i="2"/>
  <x:c r="L6901" i="2"/>
  <x:c r="K6902" i="2"/>
  <x:c r="L6902" i="2"/>
  <x:c r="K6903" i="2"/>
  <x:c r="L6903" i="2"/>
  <x:c r="K6904" i="2"/>
  <x:c r="L6904" i="2"/>
  <x:c r="K6905" i="2"/>
  <x:c r="L6905" i="2"/>
  <x:c r="K6906" i="2"/>
  <x:c r="L6906" i="2"/>
  <x:c r="K6907" i="2"/>
  <x:c r="L6907" i="2"/>
  <x:c r="K6908" i="2"/>
  <x:c r="L6908" i="2"/>
  <x:c r="K6909" i="2"/>
  <x:c r="L6909" i="2"/>
  <x:c r="K6910" i="2"/>
  <x:c r="L6910" i="2"/>
  <x:c r="K6911" i="2"/>
  <x:c r="L6911" i="2"/>
  <x:c r="K6912" i="2"/>
  <x:c r="L6912" i="2"/>
  <x:c r="K6913" i="2"/>
  <x:c r="L6913" i="2"/>
  <x:c r="K6914" i="2"/>
  <x:c r="L6914" i="2"/>
  <x:c r="K6915" i="2"/>
  <x:c r="L6915" i="2"/>
  <x:c r="K6916" i="2"/>
  <x:c r="L6916" i="2"/>
  <x:c r="K6917" i="2"/>
  <x:c r="L6917" i="2"/>
  <x:c r="K6918" i="2"/>
  <x:c r="L6918" i="2"/>
  <x:c r="K6919" i="2"/>
  <x:c r="L6919" i="2"/>
  <x:c r="K6920" i="2"/>
  <x:c r="L6920" i="2"/>
  <x:c r="K6921" i="2"/>
  <x:c r="L6921" i="2"/>
  <x:c r="K6922" i="2"/>
  <x:c r="L6922" i="2"/>
  <x:c r="K6923" i="2"/>
  <x:c r="L6923" i="2"/>
  <x:c r="K6924" i="2"/>
  <x:c r="L6924" i="2"/>
  <x:c r="K6925" i="2"/>
  <x:c r="L6925" i="2"/>
  <x:c r="K6926" i="2"/>
  <x:c r="L6926" i="2"/>
  <x:c r="K6927" i="2"/>
  <x:c r="L6927" i="2"/>
  <x:c r="K6928" i="2"/>
  <x:c r="L6928" i="2"/>
  <x:c r="K6929" i="2"/>
  <x:c r="L6929" i="2"/>
  <x:c r="K6930" i="2"/>
  <x:c r="L6930" i="2"/>
  <x:c r="K6931" i="2"/>
  <x:c r="L6931" i="2"/>
  <x:c r="K6932" i="2"/>
  <x:c r="L6932" i="2"/>
  <x:c r="K6933" i="2"/>
  <x:c r="L6933" i="2"/>
  <x:c r="K6934" i="2"/>
  <x:c r="L6934" i="2"/>
  <x:c r="K6935" i="2"/>
  <x:c r="L6935" i="2"/>
  <x:c r="K6936" i="2"/>
  <x:c r="L6936" i="2"/>
  <x:c r="K6937" i="2"/>
  <x:c r="L6937" i="2"/>
  <x:c r="K6938" i="2"/>
  <x:c r="L6938" i="2"/>
  <x:c r="K6939" i="2"/>
  <x:c r="L6939" i="2"/>
  <x:c r="K6940" i="2"/>
  <x:c r="L6940" i="2"/>
  <x:c r="K6941" i="2"/>
  <x:c r="L6941" i="2"/>
  <x:c r="K6942" i="2"/>
  <x:c r="L6942" i="2"/>
  <x:c r="K6943" i="2"/>
  <x:c r="L6943" i="2"/>
  <x:c r="K6944" i="2"/>
  <x:c r="L6944" i="2"/>
  <x:c r="K6945" i="2"/>
  <x:c r="L6945" i="2"/>
  <x:c r="K6946" i="2"/>
  <x:c r="L6946" i="2"/>
  <x:c r="K6947" i="2"/>
  <x:c r="L6947" i="2"/>
  <x:c r="K6948" i="2"/>
  <x:c r="L6948" i="2"/>
  <x:c r="K6949" i="2"/>
  <x:c r="L6949" i="2"/>
  <x:c r="K6950" i="2"/>
  <x:c r="L6950" i="2"/>
  <x:c r="K6951" i="2"/>
  <x:c r="L6951" i="2"/>
  <x:c r="K6952" i="2"/>
  <x:c r="L6952" i="2"/>
  <x:c r="K6953" i="2"/>
  <x:c r="L6953" i="2"/>
  <x:c r="K6954" i="2"/>
  <x:c r="L6954" i="2"/>
  <x:c r="K6955" i="2"/>
  <x:c r="L6955" i="2"/>
  <x:c r="K6956" i="2"/>
  <x:c r="L6956" i="2"/>
  <x:c r="K6957" i="2"/>
  <x:c r="L6957" i="2"/>
  <x:c r="K6958" i="2"/>
  <x:c r="L6958" i="2"/>
  <x:c r="K6959" i="2"/>
  <x:c r="L6959" i="2"/>
  <x:c r="K6960" i="2"/>
  <x:c r="L6960" i="2"/>
  <x:c r="K6961" i="2"/>
  <x:c r="L6961" i="2"/>
  <x:c r="K6962" i="2"/>
  <x:c r="L6962" i="2"/>
  <x:c r="K6963" i="2"/>
  <x:c r="L6963" i="2"/>
  <x:c r="K6964" i="2"/>
  <x:c r="L6964" i="2"/>
  <x:c r="K6965" i="2"/>
  <x:c r="L6965" i="2"/>
  <x:c r="K6966" i="2"/>
  <x:c r="L6966" i="2"/>
  <x:c r="K6967" i="2"/>
  <x:c r="L6967" i="2"/>
  <x:c r="K6968" i="2"/>
  <x:c r="L6968" i="2"/>
  <x:c r="K6969" i="2"/>
  <x:c r="L6969" i="2"/>
  <x:c r="K6970" i="2"/>
  <x:c r="L6970" i="2"/>
  <x:c r="K6971" i="2"/>
  <x:c r="L6971" i="2"/>
  <x:c r="K6972" i="2"/>
  <x:c r="L6972" i="2"/>
  <x:c r="K6973" i="2"/>
  <x:c r="L6973" i="2"/>
  <x:c r="K6974" i="2"/>
  <x:c r="L6974" i="2"/>
  <x:c r="K6975" i="2"/>
  <x:c r="L6975" i="2"/>
  <x:c r="K6976" i="2"/>
  <x:c r="L6976" i="2"/>
  <x:c r="K6977" i="2"/>
  <x:c r="L6977" i="2"/>
  <x:c r="K6978" i="2"/>
  <x:c r="L6978" i="2"/>
  <x:c r="K6979" i="2"/>
  <x:c r="L6979" i="2"/>
  <x:c r="K6980" i="2"/>
  <x:c r="L6980" i="2"/>
  <x:c r="K6981" i="2"/>
  <x:c r="L6981" i="2"/>
  <x:c r="K6982" i="2"/>
  <x:c r="L6982" i="2"/>
  <x:c r="K6983" i="2"/>
  <x:c r="L6983" i="2"/>
  <x:c r="K6984" i="2"/>
  <x:c r="L6984" i="2"/>
  <x:c r="K6985" i="2"/>
  <x:c r="L6985" i="2"/>
  <x:c r="K6986" i="2"/>
  <x:c r="L6986" i="2"/>
  <x:c r="K6987" i="2"/>
  <x:c r="L6987" i="2"/>
  <x:c r="K6988" i="2"/>
  <x:c r="L6988" i="2"/>
  <x:c r="K6989" i="2"/>
  <x:c r="L6989" i="2"/>
  <x:c r="K6990" i="2"/>
  <x:c r="L6990" i="2"/>
  <x:c r="K6991" i="2"/>
  <x:c r="L6991" i="2"/>
  <x:c r="K6992" i="2"/>
  <x:c r="L6992" i="2"/>
  <x:c r="K6993" i="2"/>
  <x:c r="L6993" i="2"/>
  <x:c r="K6994" i="2"/>
  <x:c r="L6994" i="2"/>
  <x:c r="K6995" i="2"/>
  <x:c r="L6995" i="2"/>
  <x:c r="K6996" i="2"/>
  <x:c r="L6996" i="2"/>
  <x:c r="K6997" i="2"/>
  <x:c r="L6997" i="2"/>
  <x:c r="K6998" i="2"/>
  <x:c r="L6998" i="2"/>
  <x:c r="K6999" i="2"/>
  <x:c r="L6999" i="2"/>
  <x:c r="K7000" i="2"/>
  <x:c r="L7000" i="2"/>
  <x:c r="K7001" i="2"/>
  <x:c r="L7001" i="2"/>
  <x:c r="K7002" i="2"/>
  <x:c r="L7002" i="2"/>
  <x:c r="K7003" i="2"/>
  <x:c r="L7003" i="2"/>
  <x:c r="K7004" i="2"/>
  <x:c r="L7004" i="2"/>
  <x:c r="K7005" i="2"/>
  <x:c r="L7005" i="2"/>
  <x:c r="K7006" i="2"/>
  <x:c r="L7006" i="2"/>
  <x:c r="K7007" i="2"/>
  <x:c r="L7007" i="2"/>
  <x:c r="K7008" i="2"/>
  <x:c r="L7008" i="2"/>
  <x:c r="K7009" i="2"/>
  <x:c r="L7009" i="2"/>
  <x:c r="K7010" i="2"/>
  <x:c r="L7010" i="2"/>
  <x:c r="K7011" i="2"/>
  <x:c r="L7011" i="2"/>
  <x:c r="K7012" i="2"/>
  <x:c r="L7012" i="2"/>
  <x:c r="K7013" i="2"/>
  <x:c r="L7013" i="2"/>
  <x:c r="K7014" i="2"/>
  <x:c r="L7014" i="2"/>
  <x:c r="K7015" i="2"/>
  <x:c r="L7015" i="2"/>
  <x:c r="K7016" i="2"/>
  <x:c r="L7016" i="2"/>
  <x:c r="K7017" i="2"/>
  <x:c r="L7017" i="2"/>
  <x:c r="K7018" i="2"/>
  <x:c r="L7018" i="2"/>
  <x:c r="K7019" i="2"/>
  <x:c r="L7019" i="2"/>
  <x:c r="K7020" i="2"/>
  <x:c r="L7020" i="2"/>
  <x:c r="K7021" i="2"/>
  <x:c r="L7021" i="2"/>
  <x:c r="K7022" i="2"/>
  <x:c r="L7022" i="2"/>
  <x:c r="K7023" i="2"/>
  <x:c r="L7023" i="2"/>
  <x:c r="K7024" i="2"/>
  <x:c r="L7024" i="2"/>
  <x:c r="K7025" i="2"/>
  <x:c r="L7025" i="2"/>
  <x:c r="K7026" i="2"/>
  <x:c r="L7026" i="2"/>
  <x:c r="K7027" i="2"/>
  <x:c r="L7027" i="2"/>
  <x:c r="K7028" i="2"/>
  <x:c r="L7028" i="2"/>
  <x:c r="K7029" i="2"/>
  <x:c r="L7029" i="2"/>
  <x:c r="K7030" i="2"/>
  <x:c r="L7030" i="2"/>
  <x:c r="K7031" i="2"/>
  <x:c r="L7031" i="2"/>
  <x:c r="K7032" i="2"/>
  <x:c r="L7032" i="2"/>
  <x:c r="K7033" i="2"/>
  <x:c r="L7033" i="2"/>
  <x:c r="K7034" i="2"/>
  <x:c r="L7034" i="2"/>
  <x:c r="K7035" i="2"/>
  <x:c r="L7035" i="2"/>
  <x:c r="K7036" i="2"/>
  <x:c r="L7036" i="2"/>
  <x:c r="K7037" i="2"/>
  <x:c r="L7037" i="2"/>
  <x:c r="K7038" i="2"/>
  <x:c r="L7038" i="2"/>
  <x:c r="K7039" i="2"/>
  <x:c r="L7039" i="2"/>
  <x:c r="K7040" i="2"/>
  <x:c r="L7040" i="2"/>
  <x:c r="K7041" i="2"/>
  <x:c r="L7041" i="2"/>
  <x:c r="K7042" i="2"/>
  <x:c r="L7042" i="2"/>
  <x:c r="K7043" i="2"/>
  <x:c r="L7043" i="2"/>
  <x:c r="K7044" i="2"/>
  <x:c r="L7044" i="2"/>
  <x:c r="K7045" i="2"/>
  <x:c r="L7045" i="2"/>
  <x:c r="K7046" i="2"/>
  <x:c r="L7046" i="2"/>
  <x:c r="K7047" i="2"/>
  <x:c r="L7047" i="2"/>
  <x:c r="K7048" i="2"/>
  <x:c r="L7048" i="2"/>
  <x:c r="K7049" i="2"/>
  <x:c r="L7049" i="2"/>
  <x:c r="K7050" i="2"/>
  <x:c r="L7050" i="2"/>
  <x:c r="K7051" i="2"/>
  <x:c r="L7051" i="2"/>
  <x:c r="K7052" i="2"/>
  <x:c r="L7052" i="2"/>
  <x:c r="K7053" i="2"/>
  <x:c r="L7053" i="2"/>
  <x:c r="K7054" i="2"/>
  <x:c r="L7054" i="2"/>
  <x:c r="K7055" i="2"/>
  <x:c r="L7055" i="2"/>
  <x:c r="K7056" i="2"/>
  <x:c r="L7056" i="2"/>
  <x:c r="K7057" i="2"/>
  <x:c r="L7057" i="2"/>
  <x:c r="K7058" i="2"/>
  <x:c r="L7058" i="2"/>
  <x:c r="K7059" i="2"/>
  <x:c r="L7059" i="2"/>
  <x:c r="K7060" i="2"/>
  <x:c r="L7060" i="2"/>
  <x:c r="K7061" i="2"/>
  <x:c r="L7061" i="2"/>
  <x:c r="K7062" i="2"/>
  <x:c r="L7062" i="2"/>
  <x:c r="K7063" i="2"/>
  <x:c r="L7063" i="2"/>
  <x:c r="K7064" i="2"/>
  <x:c r="L7064" i="2"/>
  <x:c r="K7065" i="2"/>
  <x:c r="L7065" i="2"/>
  <x:c r="K7066" i="2"/>
  <x:c r="L7066" i="2"/>
  <x:c r="K7067" i="2"/>
  <x:c r="L7067" i="2"/>
  <x:c r="K7068" i="2"/>
  <x:c r="L7068" i="2"/>
  <x:c r="K7069" i="2"/>
  <x:c r="L7069" i="2"/>
  <x:c r="K7070" i="2"/>
  <x:c r="L7070" i="2"/>
  <x:c r="K7071" i="2"/>
  <x:c r="L7071" i="2"/>
  <x:c r="K7072" i="2"/>
  <x:c r="L7072" i="2"/>
  <x:c r="K7073" i="2"/>
  <x:c r="L7073" i="2"/>
  <x:c r="K7074" i="2"/>
  <x:c r="L7074" i="2"/>
  <x:c r="K7075" i="2"/>
  <x:c r="L7075" i="2"/>
  <x:c r="K7076" i="2"/>
  <x:c r="L7076" i="2"/>
  <x:c r="K7077" i="2"/>
  <x:c r="L7077" i="2"/>
  <x:c r="K7078" i="2"/>
  <x:c r="L7078" i="2"/>
  <x:c r="K7079" i="2"/>
  <x:c r="L7079" i="2"/>
  <x:c r="K7080" i="2"/>
  <x:c r="L7080" i="2"/>
  <x:c r="K7081" i="2"/>
  <x:c r="L7081" i="2"/>
  <x:c r="K7082" i="2"/>
  <x:c r="L7082" i="2"/>
  <x:c r="K7083" i="2"/>
  <x:c r="L7083" i="2"/>
  <x:c r="K7084" i="2"/>
  <x:c r="L7084" i="2"/>
  <x:c r="K7085" i="2"/>
  <x:c r="L7085" i="2"/>
  <x:c r="K7086" i="2"/>
  <x:c r="L7086" i="2"/>
  <x:c r="K7087" i="2"/>
  <x:c r="L7087" i="2"/>
  <x:c r="K7088" i="2"/>
  <x:c r="L7088" i="2"/>
  <x:c r="K7089" i="2"/>
  <x:c r="L7089" i="2"/>
  <x:c r="K7090" i="2"/>
  <x:c r="L7090" i="2"/>
  <x:c r="K7091" i="2"/>
  <x:c r="L7091" i="2"/>
  <x:c r="K7092" i="2"/>
  <x:c r="L7092" i="2"/>
  <x:c r="K7093" i="2"/>
  <x:c r="L7093" i="2"/>
  <x:c r="K7094" i="2"/>
  <x:c r="L7094" i="2"/>
  <x:c r="K7095" i="2"/>
  <x:c r="L7095" i="2"/>
  <x:c r="K7096" i="2"/>
  <x:c r="L7096" i="2"/>
  <x:c r="K7097" i="2"/>
  <x:c r="L7097" i="2"/>
  <x:c r="K7098" i="2"/>
  <x:c r="L7098" i="2"/>
  <x:c r="K7099" i="2"/>
  <x:c r="L7099" i="2"/>
  <x:c r="K7100" i="2"/>
  <x:c r="L7100" i="2"/>
  <x:c r="K7101" i="2"/>
  <x:c r="L7101" i="2"/>
  <x:c r="K7102" i="2"/>
  <x:c r="L7102" i="2"/>
  <x:c r="K7103" i="2"/>
  <x:c r="L7103" i="2"/>
  <x:c r="K7104" i="2"/>
  <x:c r="L7104" i="2"/>
  <x:c r="K7105" i="2"/>
  <x:c r="L7105" i="2"/>
  <x:c r="K7106" i="2"/>
  <x:c r="L7106" i="2"/>
  <x:c r="K7107" i="2"/>
  <x:c r="L7107" i="2"/>
  <x:c r="K7108" i="2"/>
  <x:c r="L7108" i="2"/>
  <x:c r="K7109" i="2"/>
  <x:c r="L7109" i="2"/>
  <x:c r="K7110" i="2"/>
  <x:c r="L7110" i="2"/>
  <x:c r="K7111" i="2"/>
  <x:c r="L7111" i="2"/>
  <x:c r="K7112" i="2"/>
  <x:c r="L7112" i="2"/>
  <x:c r="K7113" i="2"/>
  <x:c r="L7113" i="2"/>
  <x:c r="K7114" i="2"/>
  <x:c r="L7114" i="2"/>
  <x:c r="K7115" i="2"/>
  <x:c r="L7115" i="2"/>
  <x:c r="K7116" i="2"/>
  <x:c r="L7116" i="2"/>
  <x:c r="K7117" i="2"/>
  <x:c r="L7117" i="2"/>
  <x:c r="K7118" i="2"/>
  <x:c r="L7118" i="2"/>
  <x:c r="K7119" i="2"/>
  <x:c r="L7119" i="2"/>
  <x:c r="K7120" i="2"/>
  <x:c r="L7120" i="2"/>
  <x:c r="K7121" i="2"/>
  <x:c r="L7121" i="2"/>
  <x:c r="K7122" i="2"/>
  <x:c r="L7122" i="2"/>
  <x:c r="K7123" i="2"/>
  <x:c r="L7123" i="2"/>
  <x:c r="K7124" i="2"/>
  <x:c r="L7124" i="2"/>
  <x:c r="K7125" i="2"/>
  <x:c r="L7125" i="2"/>
  <x:c r="K7126" i="2"/>
  <x:c r="L7126" i="2"/>
  <x:c r="K7127" i="2"/>
  <x:c r="L7127" i="2"/>
  <x:c r="K7128" i="2"/>
  <x:c r="L7128" i="2"/>
  <x:c r="K7129" i="2"/>
  <x:c r="L7129" i="2"/>
  <x:c r="K7130" i="2"/>
  <x:c r="L7130" i="2"/>
  <x:c r="K7131" i="2"/>
  <x:c r="L7131" i="2"/>
  <x:c r="K7132" i="2"/>
  <x:c r="L7132" i="2"/>
  <x:c r="K7133" i="2"/>
  <x:c r="L7133" i="2"/>
  <x:c r="K7134" i="2"/>
  <x:c r="L7134" i="2"/>
  <x:c r="K7135" i="2"/>
  <x:c r="L7135" i="2"/>
  <x:c r="K7136" i="2"/>
  <x:c r="L7136" i="2"/>
  <x:c r="K7137" i="2"/>
  <x:c r="L7137" i="2"/>
  <x:c r="K7138" i="2"/>
  <x:c r="L7138" i="2"/>
  <x:c r="K7139" i="2"/>
  <x:c r="L7139" i="2"/>
  <x:c r="K7140" i="2"/>
  <x:c r="L7140" i="2"/>
  <x:c r="K7141" i="2"/>
  <x:c r="L7141" i="2"/>
  <x:c r="K7142" i="2"/>
  <x:c r="L7142" i="2"/>
  <x:c r="K7143" i="2"/>
  <x:c r="L7143" i="2"/>
  <x:c r="K7144" i="2"/>
  <x:c r="L7144" i="2"/>
  <x:c r="K7145" i="2"/>
  <x:c r="L7145" i="2"/>
  <x:c r="K7146" i="2"/>
  <x:c r="L7146" i="2"/>
  <x:c r="K7147" i="2"/>
  <x:c r="L7147" i="2"/>
  <x:c r="K7148" i="2"/>
  <x:c r="L7148" i="2"/>
  <x:c r="K7149" i="2"/>
  <x:c r="L7149" i="2"/>
  <x:c r="K7150" i="2"/>
  <x:c r="L7150" i="2"/>
  <x:c r="K7151" i="2"/>
  <x:c r="L7151" i="2"/>
  <x:c r="K7152" i="2"/>
  <x:c r="L7152" i="2"/>
  <x:c r="K7153" i="2"/>
  <x:c r="L7153" i="2"/>
  <x:c r="K7154" i="2"/>
  <x:c r="L7154" i="2"/>
  <x:c r="K7155" i="2"/>
  <x:c r="L7155" i="2"/>
  <x:c r="K7156" i="2"/>
  <x:c r="L7156" i="2"/>
  <x:c r="K7157" i="2"/>
  <x:c r="L7157" i="2"/>
  <x:c r="K7158" i="2"/>
  <x:c r="L7158" i="2"/>
  <x:c r="K7159" i="2"/>
  <x:c r="L7159" i="2"/>
  <x:c r="K7160" i="2"/>
  <x:c r="L7160" i="2"/>
  <x:c r="K7161" i="2"/>
  <x:c r="L7161" i="2"/>
  <x:c r="K7162" i="2"/>
  <x:c r="L7162" i="2"/>
  <x:c r="K7163" i="2"/>
  <x:c r="L7163" i="2"/>
  <x:c r="K7164" i="2"/>
  <x:c r="L7164" i="2"/>
  <x:c r="K7165" i="2"/>
  <x:c r="L7165" i="2"/>
  <x:c r="K7166" i="2"/>
  <x:c r="L7166" i="2"/>
  <x:c r="K7167" i="2"/>
  <x:c r="L7167" i="2"/>
  <x:c r="K7168" i="2"/>
  <x:c r="L7168" i="2"/>
  <x:c r="K7169" i="2"/>
  <x:c r="L7169" i="2"/>
  <x:c r="K7170" i="2"/>
  <x:c r="L7170" i="2"/>
  <x:c r="K7171" i="2"/>
  <x:c r="L7171" i="2"/>
  <x:c r="K7172" i="2"/>
  <x:c r="L7172" i="2"/>
  <x:c r="K7173" i="2"/>
  <x:c r="L7173" i="2"/>
  <x:c r="K7174" i="2"/>
  <x:c r="L7174" i="2"/>
  <x:c r="K7175" i="2"/>
  <x:c r="L7175" i="2"/>
  <x:c r="K7176" i="2"/>
  <x:c r="L7176" i="2"/>
  <x:c r="K7177" i="2"/>
  <x:c r="L7177" i="2"/>
  <x:c r="K7178" i="2"/>
  <x:c r="L7178" i="2"/>
  <x:c r="K7179" i="2"/>
  <x:c r="L7179" i="2"/>
  <x:c r="K7180" i="2"/>
  <x:c r="L7180" i="2"/>
  <x:c r="K7181" i="2"/>
  <x:c r="L7181" i="2"/>
  <x:c r="K7182" i="2"/>
  <x:c r="L7182" i="2"/>
  <x:c r="K7183" i="2"/>
  <x:c r="L7183" i="2"/>
  <x:c r="K7184" i="2"/>
  <x:c r="L7184" i="2"/>
  <x:c r="K7185" i="2"/>
  <x:c r="L7185" i="2"/>
  <x:c r="K7186" i="2"/>
  <x:c r="L7186" i="2"/>
  <x:c r="K7187" i="2"/>
  <x:c r="L7187" i="2"/>
  <x:c r="K7188" i="2"/>
  <x:c r="L7188" i="2"/>
  <x:c r="K7189" i="2"/>
  <x:c r="L7189" i="2"/>
  <x:c r="K7190" i="2"/>
  <x:c r="L7190" i="2"/>
  <x:c r="K7191" i="2"/>
  <x:c r="L7191" i="2"/>
  <x:c r="K7192" i="2"/>
  <x:c r="L7192" i="2"/>
  <x:c r="K7193" i="2"/>
  <x:c r="L7193" i="2"/>
  <x:c r="K7194" i="2"/>
  <x:c r="L7194" i="2"/>
  <x:c r="K7195" i="2"/>
  <x:c r="L7195" i="2"/>
  <x:c r="K7196" i="2"/>
  <x:c r="L7196" i="2"/>
  <x:c r="K7197" i="2"/>
  <x:c r="L7197" i="2"/>
  <x:c r="K7198" i="2"/>
  <x:c r="L7198" i="2"/>
  <x:c r="K7199" i="2"/>
  <x:c r="L7199" i="2"/>
  <x:c r="K7200" i="2"/>
  <x:c r="L7200" i="2"/>
  <x:c r="K7201" i="2"/>
  <x:c r="L7201" i="2"/>
  <x:c r="K7202" i="2"/>
  <x:c r="L7202" i="2"/>
  <x:c r="K7203" i="2"/>
  <x:c r="L7203" i="2"/>
  <x:c r="K7204" i="2"/>
  <x:c r="L7204" i="2"/>
  <x:c r="K7205" i="2"/>
  <x:c r="L7205" i="2"/>
  <x:c r="K7206" i="2"/>
  <x:c r="L7206" i="2"/>
  <x:c r="K7207" i="2"/>
  <x:c r="L7207" i="2"/>
  <x:c r="K7208" i="2"/>
  <x:c r="L7208" i="2"/>
  <x:c r="K7209" i="2"/>
  <x:c r="L7209" i="2"/>
  <x:c r="K7210" i="2"/>
  <x:c r="L7210" i="2"/>
  <x:c r="K7211" i="2"/>
  <x:c r="L7211" i="2"/>
  <x:c r="K7212" i="2"/>
  <x:c r="L7212" i="2"/>
  <x:c r="K7213" i="2"/>
  <x:c r="L7213" i="2"/>
  <x:c r="K7214" i="2"/>
  <x:c r="L7214" i="2"/>
  <x:c r="K7215" i="2"/>
  <x:c r="L7215" i="2"/>
  <x:c r="K7216" i="2"/>
  <x:c r="L7216" i="2"/>
  <x:c r="K7217" i="2"/>
  <x:c r="L7217" i="2"/>
  <x:c r="K7218" i="2"/>
  <x:c r="L7218" i="2"/>
  <x:c r="K7219" i="2"/>
  <x:c r="L7219" i="2"/>
  <x:c r="K7220" i="2"/>
  <x:c r="L7220" i="2"/>
  <x:c r="K7221" i="2"/>
  <x:c r="L7221" i="2"/>
  <x:c r="K7222" i="2"/>
  <x:c r="L7222" i="2"/>
  <x:c r="K7223" i="2"/>
  <x:c r="L7223" i="2"/>
  <x:c r="K7224" i="2"/>
  <x:c r="L7224" i="2"/>
  <x:c r="K7225" i="2"/>
  <x:c r="L7225" i="2"/>
  <x:c r="K7226" i="2"/>
  <x:c r="L7226" i="2"/>
  <x:c r="K7227" i="2"/>
  <x:c r="L7227" i="2"/>
  <x:c r="K7228" i="2"/>
  <x:c r="L7228" i="2"/>
  <x:c r="K7229" i="2"/>
  <x:c r="L7229" i="2"/>
  <x:c r="K7230" i="2"/>
  <x:c r="L7230" i="2"/>
  <x:c r="K7231" i="2"/>
  <x:c r="L7231" i="2"/>
  <x:c r="K7232" i="2"/>
  <x:c r="L7232" i="2"/>
  <x:c r="K7233" i="2"/>
  <x:c r="L7233" i="2"/>
  <x:c r="K7234" i="2"/>
  <x:c r="L7234" i="2"/>
  <x:c r="K7235" i="2"/>
  <x:c r="L7235" i="2"/>
  <x:c r="K7236" i="2"/>
  <x:c r="L7236" i="2"/>
  <x:c r="K7237" i="2"/>
  <x:c r="L7237" i="2"/>
  <x:c r="K7238" i="2"/>
  <x:c r="L7238" i="2"/>
  <x:c r="K7239" i="2"/>
  <x:c r="L7239" i="2"/>
  <x:c r="K7240" i="2"/>
  <x:c r="L7240" i="2"/>
  <x:c r="K7241" i="2"/>
  <x:c r="L7241" i="2"/>
  <x:c r="K7242" i="2"/>
  <x:c r="L7242" i="2"/>
  <x:c r="K7243" i="2"/>
  <x:c r="L7243" i="2"/>
  <x:c r="K7244" i="2"/>
  <x:c r="L7244" i="2"/>
  <x:c r="K7245" i="2"/>
  <x:c r="L7245" i="2"/>
  <x:c r="K7246" i="2"/>
  <x:c r="L7246" i="2"/>
  <x:c r="K7247" i="2"/>
  <x:c r="L7247" i="2"/>
  <x:c r="K7248" i="2"/>
  <x:c r="L7248" i="2"/>
  <x:c r="K7249" i="2"/>
  <x:c r="L7249" i="2"/>
  <x:c r="K7250" i="2"/>
  <x:c r="L7250" i="2"/>
  <x:c r="K7251" i="2"/>
  <x:c r="L7251" i="2"/>
  <x:c r="K7252" i="2"/>
  <x:c r="L7252" i="2"/>
  <x:c r="K7253" i="2"/>
  <x:c r="L7253" i="2"/>
  <x:c r="K7254" i="2"/>
  <x:c r="L7254" i="2"/>
  <x:c r="K7255" i="2"/>
  <x:c r="L7255" i="2"/>
  <x:c r="K7256" i="2"/>
  <x:c r="L7256" i="2"/>
  <x:c r="K7257" i="2"/>
  <x:c r="L7257" i="2"/>
  <x:c r="K7258" i="2"/>
  <x:c r="L7258" i="2"/>
  <x:c r="K7259" i="2"/>
  <x:c r="L7259" i="2"/>
  <x:c r="K7260" i="2"/>
  <x:c r="L7260" i="2"/>
  <x:c r="K7261" i="2"/>
  <x:c r="L7261" i="2"/>
  <x:c r="K7262" i="2"/>
  <x:c r="L7262" i="2"/>
  <x:c r="K7263" i="2"/>
  <x:c r="L7263" i="2"/>
  <x:c r="K7264" i="2"/>
  <x:c r="L7264" i="2"/>
  <x:c r="K7265" i="2"/>
  <x:c r="L7265" i="2"/>
  <x:c r="K7266" i="2"/>
  <x:c r="L7266" i="2"/>
  <x:c r="K7267" i="2"/>
  <x:c r="L7267" i="2"/>
  <x:c r="K7268" i="2"/>
  <x:c r="L7268" i="2"/>
  <x:c r="K7269" i="2"/>
  <x:c r="L7269" i="2"/>
  <x:c r="K7270" i="2"/>
  <x:c r="L7270" i="2"/>
  <x:c r="K7271" i="2"/>
  <x:c r="L7271" i="2"/>
  <x:c r="K7272" i="2"/>
  <x:c r="L7272" i="2"/>
  <x:c r="K7273" i="2"/>
  <x:c r="L7273" i="2"/>
  <x:c r="K7274" i="2"/>
  <x:c r="L7274" i="2"/>
  <x:c r="K7275" i="2"/>
  <x:c r="L7275" i="2"/>
  <x:c r="K7276" i="2"/>
  <x:c r="L7276" i="2"/>
  <x:c r="K7277" i="2"/>
  <x:c r="L7277" i="2"/>
  <x:c r="K7278" i="2"/>
  <x:c r="L7278" i="2"/>
  <x:c r="K7279" i="2"/>
  <x:c r="L7279" i="2"/>
  <x:c r="K7280" i="2"/>
  <x:c r="L7280" i="2"/>
  <x:c r="K7281" i="2"/>
  <x:c r="L7281" i="2"/>
  <x:c r="K7282" i="2"/>
  <x:c r="L7282" i="2"/>
  <x:c r="K7283" i="2"/>
  <x:c r="L7283" i="2"/>
  <x:c r="K7284" i="2"/>
  <x:c r="L7284" i="2"/>
  <x:c r="K7285" i="2"/>
  <x:c r="L7285" i="2"/>
  <x:c r="K7286" i="2"/>
  <x:c r="L7286" i="2"/>
  <x:c r="K7287" i="2"/>
  <x:c r="L7287" i="2"/>
  <x:c r="K7288" i="2"/>
  <x:c r="L7288" i="2"/>
  <x:c r="K7289" i="2"/>
  <x:c r="L7289" i="2"/>
  <x:c r="K7290" i="2"/>
  <x:c r="L7290" i="2"/>
  <x:c r="K7291" i="2"/>
  <x:c r="L7291" i="2"/>
  <x:c r="K7292" i="2"/>
  <x:c r="L7292" i="2"/>
  <x:c r="K7293" i="2"/>
  <x:c r="L7293" i="2"/>
  <x:c r="K7294" i="2"/>
  <x:c r="L7294" i="2"/>
  <x:c r="K7295" i="2"/>
  <x:c r="L7295" i="2"/>
  <x:c r="K7296" i="2"/>
  <x:c r="L7296" i="2"/>
  <x:c r="K7297" i="2"/>
  <x:c r="L7297" i="2"/>
  <x:c r="K7298" i="2"/>
  <x:c r="L7298" i="2"/>
  <x:c r="K7299" i="2"/>
  <x:c r="L7299" i="2"/>
  <x:c r="K7300" i="2"/>
  <x:c r="L7300" i="2"/>
  <x:c r="K7301" i="2"/>
  <x:c r="L7301" i="2"/>
  <x:c r="K7302" i="2"/>
  <x:c r="L7302" i="2"/>
  <x:c r="K7303" i="2"/>
  <x:c r="L7303" i="2"/>
  <x:c r="K7304" i="2"/>
  <x:c r="L7304" i="2"/>
  <x:c r="K7305" i="2"/>
  <x:c r="L7305" i="2"/>
  <x:c r="K7306" i="2"/>
  <x:c r="L7306" i="2"/>
  <x:c r="K7307" i="2"/>
  <x:c r="L7307" i="2"/>
  <x:c r="K7308" i="2"/>
  <x:c r="L7308" i="2"/>
  <x:c r="K7309" i="2"/>
  <x:c r="L7309" i="2"/>
  <x:c r="K7310" i="2"/>
  <x:c r="L7310" i="2"/>
  <x:c r="K7311" i="2"/>
  <x:c r="L7311" i="2"/>
  <x:c r="K7312" i="2"/>
  <x:c r="L7312" i="2"/>
  <x:c r="K7313" i="2"/>
  <x:c r="L7313" i="2"/>
  <x:c r="K7314" i="2"/>
  <x:c r="L7314" i="2"/>
  <x:c r="K7315" i="2"/>
  <x:c r="L7315" i="2"/>
  <x:c r="K7316" i="2"/>
  <x:c r="L7316" i="2"/>
  <x:c r="K7317" i="2"/>
  <x:c r="L7317" i="2"/>
  <x:c r="K7318" i="2"/>
  <x:c r="L7318" i="2"/>
  <x:c r="K7319" i="2"/>
  <x:c r="L7319" i="2"/>
  <x:c r="K7320" i="2"/>
  <x:c r="L7320" i="2"/>
  <x:c r="K7321" i="2"/>
  <x:c r="L7321" i="2"/>
  <x:c r="K7322" i="2"/>
  <x:c r="L7322" i="2"/>
  <x:c r="K7323" i="2"/>
  <x:c r="L7323" i="2"/>
  <x:c r="K7324" i="2"/>
  <x:c r="L7324" i="2"/>
  <x:c r="K7325" i="2"/>
  <x:c r="L7325" i="2"/>
  <x:c r="K7326" i="2"/>
  <x:c r="L7326" i="2"/>
  <x:c r="K7327" i="2"/>
  <x:c r="L7327" i="2"/>
  <x:c r="K7328" i="2"/>
  <x:c r="L7328" i="2"/>
  <x:c r="K7329" i="2"/>
  <x:c r="L7329" i="2"/>
  <x:c r="K7330" i="2"/>
  <x:c r="L7330" i="2"/>
  <x:c r="K7331" i="2"/>
  <x:c r="L7331" i="2"/>
  <x:c r="K7332" i="2"/>
  <x:c r="L7332" i="2"/>
  <x:c r="K7333" i="2"/>
  <x:c r="L7333" i="2"/>
  <x:c r="K7334" i="2"/>
  <x:c r="L7334" i="2"/>
  <x:c r="K7335" i="2"/>
  <x:c r="L7335" i="2"/>
  <x:c r="K7336" i="2"/>
  <x:c r="L7336" i="2"/>
  <x:c r="K7337" i="2"/>
  <x:c r="L7337" i="2"/>
  <x:c r="K7338" i="2"/>
  <x:c r="L7338" i="2"/>
  <x:c r="K7339" i="2"/>
  <x:c r="L7339" i="2"/>
  <x:c r="K7340" i="2"/>
  <x:c r="L7340" i="2"/>
  <x:c r="K7341" i="2"/>
  <x:c r="L7341" i="2"/>
  <x:c r="K7342" i="2"/>
  <x:c r="L7342" i="2"/>
  <x:c r="K7343" i="2"/>
  <x:c r="L7343" i="2"/>
  <x:c r="K7344" i="2"/>
  <x:c r="L7344" i="2"/>
  <x:c r="K7345" i="2"/>
  <x:c r="L7345" i="2"/>
  <x:c r="K7346" i="2"/>
  <x:c r="L7346" i="2"/>
  <x:c r="K7347" i="2"/>
  <x:c r="L7347" i="2"/>
  <x:c r="K7348" i="2"/>
  <x:c r="L7348" i="2"/>
  <x:c r="K7349" i="2"/>
  <x:c r="L7349" i="2"/>
  <x:c r="K7350" i="2"/>
  <x:c r="L7350" i="2"/>
  <x:c r="K7351" i="2"/>
  <x:c r="L7351" i="2"/>
  <x:c r="K7352" i="2"/>
  <x:c r="L7352" i="2"/>
  <x:c r="K7353" i="2"/>
  <x:c r="L7353" i="2"/>
  <x:c r="K7354" i="2"/>
  <x:c r="L7354" i="2"/>
  <x:c r="K7355" i="2"/>
  <x:c r="L7355" i="2"/>
  <x:c r="K7356" i="2"/>
  <x:c r="L7356" i="2"/>
  <x:c r="K7357" i="2"/>
  <x:c r="L7357" i="2"/>
  <x:c r="K7358" i="2"/>
  <x:c r="L7358" i="2"/>
  <x:c r="K7359" i="2"/>
  <x:c r="L7359" i="2"/>
  <x:c r="K7360" i="2"/>
  <x:c r="L7360" i="2"/>
  <x:c r="K7361" i="2"/>
  <x:c r="L7361" i="2"/>
  <x:c r="K7362" i="2"/>
  <x:c r="L7362" i="2"/>
  <x:c r="K7363" i="2"/>
  <x:c r="L7363" i="2"/>
  <x:c r="K7364" i="2"/>
  <x:c r="L7364" i="2"/>
  <x:c r="K7365" i="2"/>
  <x:c r="L7365" i="2"/>
  <x:c r="K7366" i="2"/>
  <x:c r="L7366" i="2"/>
  <x:c r="K7367" i="2"/>
  <x:c r="L7367" i="2"/>
  <x:c r="K7368" i="2"/>
  <x:c r="L7368" i="2"/>
  <x:c r="K7369" i="2"/>
  <x:c r="L7369" i="2"/>
  <x:c r="K7370" i="2"/>
  <x:c r="L7370" i="2"/>
  <x:c r="K7371" i="2"/>
  <x:c r="L7371" i="2"/>
  <x:c r="K7372" i="2"/>
  <x:c r="L7372" i="2"/>
  <x:c r="K7373" i="2"/>
  <x:c r="L7373" i="2"/>
  <x:c r="K7374" i="2"/>
  <x:c r="L7374" i="2"/>
  <x:c r="K7375" i="2"/>
  <x:c r="L7375" i="2"/>
  <x:c r="K7376" i="2"/>
  <x:c r="L7376" i="2"/>
  <x:c r="K7377" i="2"/>
  <x:c r="L7377" i="2"/>
  <x:c r="K7378" i="2"/>
  <x:c r="L7378" i="2"/>
  <x:c r="K7379" i="2"/>
  <x:c r="L7379" i="2"/>
  <x:c r="K7380" i="2"/>
  <x:c r="L7380" i="2"/>
  <x:c r="K7381" i="2"/>
  <x:c r="L7381" i="2"/>
  <x:c r="K7382" i="2"/>
  <x:c r="L7382" i="2"/>
  <x:c r="K7383" i="2"/>
  <x:c r="L7383" i="2"/>
  <x:c r="K7384" i="2"/>
  <x:c r="L7384" i="2"/>
  <x:c r="K7385" i="2"/>
  <x:c r="L7385" i="2"/>
  <x:c r="K7386" i="2"/>
  <x:c r="L7386" i="2"/>
  <x:c r="K7387" i="2"/>
  <x:c r="L7387" i="2"/>
  <x:c r="K7388" i="2"/>
  <x:c r="L7388" i="2"/>
  <x:c r="K7389" i="2"/>
  <x:c r="L7389" i="2"/>
  <x:c r="K7390" i="2"/>
  <x:c r="L7390" i="2"/>
  <x:c r="K7391" i="2"/>
  <x:c r="L7391" i="2"/>
  <x:c r="K7392" i="2"/>
  <x:c r="L7392" i="2"/>
  <x:c r="K7393" i="2"/>
  <x:c r="L7393" i="2"/>
  <x:c r="K7394" i="2"/>
  <x:c r="L7394" i="2"/>
  <x:c r="K7395" i="2"/>
  <x:c r="L7395" i="2"/>
  <x:c r="K7396" i="2"/>
  <x:c r="L7396" i="2"/>
  <x:c r="K7397" i="2"/>
  <x:c r="L7397" i="2"/>
  <x:c r="K7398" i="2"/>
  <x:c r="L7398" i="2"/>
  <x:c r="K7399" i="2"/>
  <x:c r="L7399" i="2"/>
  <x:c r="K7400" i="2"/>
  <x:c r="L7400" i="2"/>
  <x:c r="K7401" i="2"/>
  <x:c r="L7401" i="2"/>
  <x:c r="K7402" i="2"/>
  <x:c r="L7402" i="2"/>
  <x:c r="K7403" i="2"/>
  <x:c r="L7403" i="2"/>
  <x:c r="K7404" i="2"/>
  <x:c r="L7404" i="2"/>
  <x:c r="K7405" i="2"/>
  <x:c r="L7405" i="2"/>
  <x:c r="K7406" i="2"/>
  <x:c r="L7406" i="2"/>
  <x:c r="K7407" i="2"/>
  <x:c r="L7407" i="2"/>
  <x:c r="K7408" i="2"/>
  <x:c r="L7408" i="2"/>
  <x:c r="K7409" i="2"/>
  <x:c r="L7409" i="2"/>
  <x:c r="K7410" i="2"/>
  <x:c r="L7410" i="2"/>
  <x:c r="K7411" i="2"/>
  <x:c r="L7411" i="2"/>
  <x:c r="K7412" i="2"/>
  <x:c r="L7412" i="2"/>
  <x:c r="K7413" i="2"/>
  <x:c r="L7413" i="2"/>
  <x:c r="K7414" i="2"/>
  <x:c r="L7414" i="2"/>
  <x:c r="K7415" i="2"/>
  <x:c r="L7415" i="2"/>
  <x:c r="K7416" i="2"/>
  <x:c r="L7416" i="2"/>
  <x:c r="K7417" i="2"/>
  <x:c r="L7417" i="2"/>
  <x:c r="K7418" i="2"/>
  <x:c r="L7418" i="2"/>
  <x:c r="K7419" i="2"/>
  <x:c r="L7419" i="2"/>
  <x:c r="K7420" i="2"/>
  <x:c r="L7420" i="2"/>
  <x:c r="K7421" i="2"/>
  <x:c r="L7421" i="2"/>
  <x:c r="K7422" i="2"/>
  <x:c r="L7422" i="2"/>
  <x:c r="K7423" i="2"/>
  <x:c r="L7423" i="2"/>
  <x:c r="K7424" i="2"/>
  <x:c r="L7424" i="2"/>
  <x:c r="K7425" i="2"/>
  <x:c r="L7425" i="2"/>
  <x:c r="K7426" i="2"/>
  <x:c r="L7426" i="2"/>
  <x:c r="K7427" i="2"/>
  <x:c r="L7427" i="2"/>
  <x:c r="K7428" i="2"/>
  <x:c r="L7428" i="2"/>
  <x:c r="K7429" i="2"/>
  <x:c r="L7429" i="2"/>
  <x:c r="K7430" i="2"/>
  <x:c r="L7430" i="2"/>
  <x:c r="K7431" i="2"/>
  <x:c r="L7431" i="2"/>
  <x:c r="K7432" i="2"/>
  <x:c r="L7432" i="2"/>
  <x:c r="K7433" i="2"/>
  <x:c r="L7433" i="2"/>
  <x:c r="K7434" i="2"/>
  <x:c r="L7434" i="2"/>
  <x:c r="K7435" i="2"/>
  <x:c r="L7435" i="2"/>
  <x:c r="K7436" i="2"/>
  <x:c r="L7436" i="2"/>
  <x:c r="K7437" i="2"/>
  <x:c r="L7437" i="2"/>
  <x:c r="K7438" i="2"/>
  <x:c r="L7438" i="2"/>
  <x:c r="K7439" i="2"/>
  <x:c r="L7439" i="2"/>
  <x:c r="K7440" i="2"/>
  <x:c r="L7440" i="2"/>
  <x:c r="K7441" i="2"/>
  <x:c r="L7441" i="2"/>
  <x:c r="K7442" i="2"/>
  <x:c r="L7442" i="2"/>
  <x:c r="K7443" i="2"/>
  <x:c r="L7443" i="2"/>
  <x:c r="K7444" i="2"/>
  <x:c r="L7444" i="2"/>
  <x:c r="K7445" i="2"/>
  <x:c r="L7445" i="2"/>
  <x:c r="K7446" i="2"/>
  <x:c r="L7446" i="2"/>
  <x:c r="K7447" i="2"/>
  <x:c r="L7447" i="2"/>
  <x:c r="K7448" i="2"/>
  <x:c r="L7448" i="2"/>
  <x:c r="K7449" i="2"/>
  <x:c r="L7449" i="2"/>
  <x:c r="K7450" i="2"/>
  <x:c r="L7450" i="2"/>
  <x:c r="K7451" i="2"/>
  <x:c r="L7451" i="2"/>
  <x:c r="K7452" i="2"/>
  <x:c r="L7452" i="2"/>
  <x:c r="K7453" i="2"/>
  <x:c r="L7453" i="2"/>
  <x:c r="K7454" i="2"/>
  <x:c r="L7454" i="2"/>
  <x:c r="K7455" i="2"/>
  <x:c r="L7455" i="2"/>
  <x:c r="K7456" i="2"/>
  <x:c r="L7456" i="2"/>
  <x:c r="K7457" i="2"/>
  <x:c r="L7457" i="2"/>
  <x:c r="K7458" i="2"/>
  <x:c r="L7458" i="2"/>
  <x:c r="K7459" i="2"/>
  <x:c r="L7459" i="2"/>
  <x:c r="K7460" i="2"/>
  <x:c r="L7460" i="2"/>
  <x:c r="K7461" i="2"/>
  <x:c r="L7461" i="2"/>
  <x:c r="K7462" i="2"/>
  <x:c r="L7462" i="2"/>
  <x:c r="K7463" i="2"/>
  <x:c r="L7463" i="2"/>
  <x:c r="K7464" i="2"/>
  <x:c r="L7464" i="2"/>
  <x:c r="K7465" i="2"/>
  <x:c r="L7465" i="2"/>
  <x:c r="K7466" i="2"/>
  <x:c r="L7466" i="2"/>
  <x:c r="K7467" i="2"/>
  <x:c r="L7467" i="2"/>
  <x:c r="K7468" i="2"/>
  <x:c r="L7468" i="2"/>
  <x:c r="K7469" i="2"/>
  <x:c r="L7469" i="2"/>
  <x:c r="K7470" i="2"/>
  <x:c r="L7470" i="2"/>
  <x:c r="K7471" i="2"/>
  <x:c r="L7471" i="2"/>
  <x:c r="K7472" i="2"/>
  <x:c r="L7472" i="2"/>
  <x:c r="K7473" i="2"/>
  <x:c r="L7473" i="2"/>
  <x:c r="K7474" i="2"/>
  <x:c r="L7474" i="2"/>
  <x:c r="K7475" i="2"/>
  <x:c r="L7475" i="2"/>
  <x:c r="K7476" i="2"/>
  <x:c r="L7476" i="2"/>
  <x:c r="K7477" i="2"/>
  <x:c r="L7477" i="2"/>
  <x:c r="K7478" i="2"/>
  <x:c r="L7478" i="2"/>
  <x:c r="K7479" i="2"/>
  <x:c r="L7479" i="2"/>
  <x:c r="K7480" i="2"/>
  <x:c r="L7480" i="2"/>
  <x:c r="K7481" i="2"/>
  <x:c r="L7481" i="2"/>
  <x:c r="K7482" i="2"/>
  <x:c r="L7482" i="2"/>
  <x:c r="K7483" i="2"/>
  <x:c r="L7483" i="2"/>
  <x:c r="K7484" i="2"/>
  <x:c r="L7484" i="2"/>
  <x:c r="K7485" i="2"/>
  <x:c r="L7485" i="2"/>
  <x:c r="K7486" i="2"/>
  <x:c r="L7486" i="2"/>
  <x:c r="K7487" i="2"/>
  <x:c r="L7487" i="2"/>
  <x:c r="K7488" i="2"/>
  <x:c r="L7488" i="2"/>
  <x:c r="K7489" i="2"/>
  <x:c r="L7489" i="2"/>
  <x:c r="K7490" i="2"/>
  <x:c r="L7490" i="2"/>
  <x:c r="K7491" i="2"/>
  <x:c r="L7491" i="2"/>
  <x:c r="K7492" i="2"/>
  <x:c r="L7492" i="2"/>
  <x:c r="K7493" i="2"/>
  <x:c r="L7493" i="2"/>
  <x:c r="K7494" i="2"/>
  <x:c r="L7494" i="2"/>
  <x:c r="K7495" i="2"/>
  <x:c r="L7495" i="2"/>
  <x:c r="K7496" i="2"/>
  <x:c r="L7496" i="2"/>
  <x:c r="K7497" i="2"/>
  <x:c r="L7497" i="2"/>
  <x:c r="K7498" i="2"/>
  <x:c r="L7498" i="2"/>
  <x:c r="K7499" i="2"/>
  <x:c r="L7499" i="2"/>
  <x:c r="K7500" i="2"/>
  <x:c r="L7500" i="2"/>
  <x:c r="K7501" i="2"/>
  <x:c r="L7501" i="2"/>
  <x:c r="K7502" i="2"/>
  <x:c r="L7502" i="2"/>
  <x:c r="K7503" i="2"/>
  <x:c r="L7503" i="2"/>
  <x:c r="K7504" i="2"/>
  <x:c r="L7504" i="2"/>
  <x:c r="K7505" i="2"/>
  <x:c r="L7505" i="2"/>
  <x:c r="K7506" i="2"/>
  <x:c r="L7506" i="2"/>
  <x:c r="K7507" i="2"/>
  <x:c r="L7507" i="2"/>
  <x:c r="K7508" i="2"/>
  <x:c r="L7508" i="2"/>
  <x:c r="K7509" i="2"/>
  <x:c r="L7509" i="2"/>
  <x:c r="K7510" i="2"/>
  <x:c r="L7510" i="2"/>
  <x:c r="K7511" i="2"/>
  <x:c r="L7511" i="2"/>
  <x:c r="K7512" i="2"/>
  <x:c r="L7512" i="2"/>
  <x:c r="K7513" i="2"/>
  <x:c r="L7513" i="2"/>
  <x:c r="K7514" i="2"/>
  <x:c r="L7514" i="2"/>
  <x:c r="K7515" i="2"/>
  <x:c r="L7515" i="2"/>
  <x:c r="K7516" i="2"/>
  <x:c r="L7516" i="2"/>
  <x:c r="K7517" i="2"/>
  <x:c r="L7517" i="2"/>
  <x:c r="K7518" i="2"/>
  <x:c r="L7518" i="2"/>
  <x:c r="K7519" i="2"/>
  <x:c r="L7519" i="2"/>
  <x:c r="K7520" i="2"/>
  <x:c r="L7520" i="2"/>
  <x:c r="K7521" i="2"/>
  <x:c r="L7521" i="2"/>
  <x:c r="K7522" i="2"/>
  <x:c r="L7522" i="2"/>
  <x:c r="K7523" i="2"/>
  <x:c r="L7523" i="2"/>
  <x:c r="K7524" i="2"/>
  <x:c r="L7524" i="2"/>
  <x:c r="K7525" i="2"/>
  <x:c r="L7525" i="2"/>
  <x:c r="K7526" i="2"/>
  <x:c r="L7526" i="2"/>
  <x:c r="K7527" i="2"/>
  <x:c r="L7527" i="2"/>
  <x:c r="K7528" i="2"/>
  <x:c r="L7528" i="2"/>
  <x:c r="K7529" i="2"/>
  <x:c r="L7529" i="2"/>
  <x:c r="K7530" i="2"/>
  <x:c r="L7530" i="2"/>
  <x:c r="K7531" i="2"/>
  <x:c r="L7531" i="2"/>
  <x:c r="K7532" i="2"/>
  <x:c r="L7532" i="2"/>
  <x:c r="K7533" i="2"/>
  <x:c r="L7533" i="2"/>
  <x:c r="K7534" i="2"/>
  <x:c r="L7534" i="2"/>
  <x:c r="K7535" i="2"/>
  <x:c r="L7535" i="2"/>
  <x:c r="K7536" i="2"/>
  <x:c r="L7536" i="2"/>
  <x:c r="K7537" i="2"/>
  <x:c r="L7537" i="2"/>
  <x:c r="K7538" i="2"/>
  <x:c r="L7538" i="2"/>
  <x:c r="K7539" i="2"/>
  <x:c r="L7539" i="2"/>
  <x:c r="K7540" i="2"/>
  <x:c r="L7540" i="2"/>
  <x:c r="K7541" i="2"/>
  <x:c r="L7541" i="2"/>
  <x:c r="K7542" i="2"/>
  <x:c r="L7542" i="2"/>
  <x:c r="K7543" i="2"/>
  <x:c r="L7543" i="2"/>
  <x:c r="K7544" i="2"/>
  <x:c r="L7544" i="2"/>
  <x:c r="K7545" i="2"/>
  <x:c r="L7545" i="2"/>
  <x:c r="K7546" i="2"/>
  <x:c r="L7546" i="2"/>
  <x:c r="K7547" i="2"/>
  <x:c r="L7547" i="2"/>
  <x:c r="K7548" i="2"/>
  <x:c r="L7548" i="2"/>
  <x:c r="K7549" i="2"/>
  <x:c r="L7549" i="2"/>
  <x:c r="K7550" i="2"/>
  <x:c r="L7550" i="2"/>
  <x:c r="K7551" i="2"/>
  <x:c r="L7551" i="2"/>
  <x:c r="K7552" i="2"/>
  <x:c r="L7552" i="2"/>
  <x:c r="K7553" i="2"/>
  <x:c r="L7553" i="2"/>
  <x:c r="K7554" i="2"/>
  <x:c r="L7554" i="2"/>
  <x:c r="K7555" i="2"/>
  <x:c r="L7555" i="2"/>
  <x:c r="K7556" i="2"/>
  <x:c r="L7556" i="2"/>
  <x:c r="K7557" i="2"/>
  <x:c r="L7557" i="2"/>
  <x:c r="K7558" i="2"/>
  <x:c r="L7558" i="2"/>
  <x:c r="K7559" i="2"/>
  <x:c r="L7559" i="2"/>
  <x:c r="K7560" i="2"/>
  <x:c r="L7560" i="2"/>
  <x:c r="K7561" i="2"/>
  <x:c r="L7561" i="2"/>
  <x:c r="K7562" i="2"/>
  <x:c r="L7562" i="2"/>
  <x:c r="K7563" i="2"/>
  <x:c r="L7563" i="2"/>
  <x:c r="K7564" i="2"/>
  <x:c r="L7564" i="2"/>
  <x:c r="K7565" i="2"/>
  <x:c r="L7565" i="2"/>
  <x:c r="K7566" i="2"/>
  <x:c r="L7566" i="2"/>
  <x:c r="K7567" i="2"/>
  <x:c r="L7567" i="2"/>
  <x:c r="K7568" i="2"/>
  <x:c r="L7568" i="2"/>
  <x:c r="K7569" i="2"/>
  <x:c r="L7569" i="2"/>
  <x:c r="K7570" i="2"/>
  <x:c r="L7570" i="2"/>
  <x:c r="K7571" i="2"/>
  <x:c r="L7571" i="2"/>
  <x:c r="K7572" i="2"/>
  <x:c r="L7572" i="2"/>
  <x:c r="K7573" i="2"/>
  <x:c r="L7573" i="2"/>
  <x:c r="K7574" i="2"/>
  <x:c r="L7574" i="2"/>
  <x:c r="K7575" i="2"/>
  <x:c r="L7575" i="2"/>
  <x:c r="K7576" i="2"/>
  <x:c r="L7576" i="2"/>
  <x:c r="K7577" i="2"/>
  <x:c r="L7577" i="2"/>
  <x:c r="K7578" i="2"/>
  <x:c r="L7578" i="2"/>
  <x:c r="K7579" i="2"/>
  <x:c r="L7579" i="2"/>
  <x:c r="K7580" i="2"/>
  <x:c r="L7580" i="2"/>
  <x:c r="K7581" i="2"/>
  <x:c r="L7581" i="2"/>
  <x:c r="K7582" i="2"/>
  <x:c r="L7582" i="2"/>
  <x:c r="K7583" i="2"/>
  <x:c r="L7583" i="2"/>
  <x:c r="K7584" i="2"/>
  <x:c r="L7584" i="2"/>
  <x:c r="K7585" i="2"/>
  <x:c r="L7585" i="2"/>
  <x:c r="K7586" i="2"/>
  <x:c r="L7586" i="2"/>
  <x:c r="K7587" i="2"/>
  <x:c r="L7587" i="2"/>
  <x:c r="K7588" i="2"/>
  <x:c r="L7588" i="2"/>
  <x:c r="K7589" i="2"/>
  <x:c r="L7589" i="2"/>
  <x:c r="K7590" i="2"/>
  <x:c r="L7590" i="2"/>
  <x:c r="K7591" i="2"/>
  <x:c r="L7591" i="2"/>
  <x:c r="K7592" i="2"/>
  <x:c r="L7592" i="2"/>
  <x:c r="K7593" i="2"/>
  <x:c r="L7593" i="2"/>
  <x:c r="K7594" i="2"/>
  <x:c r="L7594" i="2"/>
  <x:c r="K7595" i="2"/>
  <x:c r="L7595" i="2"/>
  <x:c r="K7596" i="2"/>
  <x:c r="L7596" i="2"/>
  <x:c r="K7597" i="2"/>
  <x:c r="L7597" i="2"/>
  <x:c r="K7598" i="2"/>
  <x:c r="L7598" i="2"/>
  <x:c r="K7599" i="2"/>
  <x:c r="L7599" i="2"/>
  <x:c r="K7600" i="2"/>
  <x:c r="L7600" i="2"/>
  <x:c r="K7601" i="2"/>
  <x:c r="L7601" i="2"/>
  <x:c r="K7602" i="2"/>
  <x:c r="L7602" i="2"/>
  <x:c r="K7603" i="2"/>
  <x:c r="L7603" i="2"/>
  <x:c r="K7604" i="2"/>
  <x:c r="L7604" i="2"/>
  <x:c r="K7605" i="2"/>
  <x:c r="L7605" i="2"/>
  <x:c r="K7606" i="2"/>
  <x:c r="L7606" i="2"/>
  <x:c r="K7607" i="2"/>
  <x:c r="L7607" i="2"/>
  <x:c r="K7608" i="2"/>
  <x:c r="L7608" i="2"/>
  <x:c r="K7609" i="2"/>
  <x:c r="L7609" i="2"/>
  <x:c r="K7610" i="2"/>
  <x:c r="L7610" i="2"/>
  <x:c r="K7611" i="2"/>
  <x:c r="L7611" i="2"/>
  <x:c r="K7612" i="2"/>
  <x:c r="L7612" i="2"/>
  <x:c r="K7613" i="2"/>
  <x:c r="L7613" i="2"/>
  <x:c r="K7614" i="2"/>
  <x:c r="L7614" i="2"/>
  <x:c r="K7615" i="2"/>
  <x:c r="L7615" i="2"/>
  <x:c r="K7616" i="2"/>
  <x:c r="L7616" i="2"/>
  <x:c r="K7617" i="2"/>
  <x:c r="L7617" i="2"/>
  <x:c r="K7618" i="2"/>
  <x:c r="L7618" i="2"/>
  <x:c r="K7619" i="2"/>
  <x:c r="L7619" i="2"/>
  <x:c r="K7620" i="2"/>
  <x:c r="L7620" i="2"/>
  <x:c r="K7621" i="2"/>
  <x:c r="L7621" i="2"/>
  <x:c r="K7622" i="2"/>
  <x:c r="L7622" i="2"/>
  <x:c r="K7623" i="2"/>
  <x:c r="L7623" i="2"/>
  <x:c r="K7624" i="2"/>
  <x:c r="L7624" i="2"/>
  <x:c r="K7625" i="2"/>
  <x:c r="L7625" i="2"/>
  <x:c r="K7626" i="2"/>
  <x:c r="L7626" i="2"/>
  <x:c r="K7627" i="2"/>
  <x:c r="L7627" i="2"/>
  <x:c r="K7628" i="2"/>
  <x:c r="L7628" i="2"/>
  <x:c r="K7629" i="2"/>
  <x:c r="L7629" i="2"/>
  <x:c r="K7630" i="2"/>
  <x:c r="L7630" i="2"/>
  <x:c r="K7631" i="2"/>
  <x:c r="L7631" i="2"/>
  <x:c r="K7632" i="2"/>
  <x:c r="L7632" i="2"/>
  <x:c r="K7633" i="2"/>
  <x:c r="L7633" i="2"/>
  <x:c r="K7634" i="2"/>
  <x:c r="L7634" i="2"/>
  <x:c r="K7635" i="2"/>
  <x:c r="L7635" i="2"/>
  <x:c r="K7636" i="2"/>
  <x:c r="L7636" i="2"/>
  <x:c r="K7637" i="2"/>
  <x:c r="L7637" i="2"/>
  <x:c r="K7638" i="2"/>
  <x:c r="L7638" i="2"/>
  <x:c r="K7639" i="2"/>
  <x:c r="L7639" i="2"/>
  <x:c r="K7640" i="2"/>
  <x:c r="L7640" i="2"/>
  <x:c r="K7641" i="2"/>
  <x:c r="L7641" i="2"/>
  <x:c r="K7642" i="2"/>
  <x:c r="L7642" i="2"/>
  <x:c r="K7643" i="2"/>
  <x:c r="L7643" i="2"/>
  <x:c r="K7644" i="2"/>
  <x:c r="L7644" i="2"/>
  <x:c r="K7645" i="2"/>
  <x:c r="L7645" i="2"/>
  <x:c r="K7646" i="2"/>
  <x:c r="L7646" i="2"/>
  <x:c r="K7647" i="2"/>
  <x:c r="L7647" i="2"/>
  <x:c r="K7648" i="2"/>
  <x:c r="L7648" i="2"/>
  <x:c r="K7649" i="2"/>
  <x:c r="L7649" i="2"/>
  <x:c r="K7650" i="2"/>
  <x:c r="L7650" i="2"/>
  <x:c r="K7651" i="2"/>
  <x:c r="L7651" i="2"/>
  <x:c r="K7652" i="2"/>
  <x:c r="L7652" i="2"/>
  <x:c r="K7653" i="2"/>
  <x:c r="L7653" i="2"/>
  <x:c r="K7654" i="2"/>
  <x:c r="L7654" i="2"/>
  <x:c r="K7655" i="2"/>
  <x:c r="L7655" i="2"/>
  <x:c r="K7656" i="2"/>
  <x:c r="L7656" i="2"/>
  <x:c r="K7657" i="2"/>
  <x:c r="L7657" i="2"/>
  <x:c r="K7658" i="2"/>
  <x:c r="L7658" i="2"/>
  <x:c r="K7659" i="2"/>
  <x:c r="L7659" i="2"/>
  <x:c r="K7660" i="2"/>
  <x:c r="L7660" i="2"/>
  <x:c r="K7661" i="2"/>
  <x:c r="L7661" i="2"/>
  <x:c r="K7662" i="2"/>
  <x:c r="L7662" i="2"/>
  <x:c r="K7663" i="2"/>
  <x:c r="L7663" i="2"/>
  <x:c r="K7664" i="2"/>
  <x:c r="L7664" i="2"/>
  <x:c r="K7665" i="2"/>
  <x:c r="L7665" i="2"/>
  <x:c r="K7666" i="2"/>
  <x:c r="L7666" i="2"/>
  <x:c r="K7667" i="2"/>
  <x:c r="L7667" i="2"/>
  <x:c r="K7668" i="2"/>
  <x:c r="L7668" i="2"/>
  <x:c r="K7669" i="2"/>
  <x:c r="L7669" i="2"/>
  <x:c r="K7670" i="2"/>
  <x:c r="L7670" i="2"/>
  <x:c r="K7671" i="2"/>
  <x:c r="L7671" i="2"/>
  <x:c r="K7672" i="2"/>
  <x:c r="L7672" i="2"/>
  <x:c r="K7673" i="2"/>
  <x:c r="L7673" i="2"/>
  <x:c r="K7674" i="2"/>
  <x:c r="L7674" i="2"/>
  <x:c r="K7675" i="2"/>
  <x:c r="L7675" i="2"/>
  <x:c r="K7676" i="2"/>
  <x:c r="L7676" i="2"/>
  <x:c r="K7677" i="2"/>
  <x:c r="L7677" i="2"/>
  <x:c r="K7678" i="2"/>
  <x:c r="L7678" i="2"/>
  <x:c r="K7679" i="2"/>
  <x:c r="L7679" i="2"/>
  <x:c r="K7680" i="2"/>
  <x:c r="L7680" i="2"/>
  <x:c r="K7681" i="2"/>
  <x:c r="L7681" i="2"/>
  <x:c r="K7682" i="2"/>
  <x:c r="L7682" i="2"/>
  <x:c r="K7683" i="2"/>
  <x:c r="L7683" i="2"/>
  <x:c r="K7684" i="2"/>
  <x:c r="L7684" i="2"/>
  <x:c r="K7685" i="2"/>
  <x:c r="L7685" i="2"/>
  <x:c r="K7686" i="2"/>
  <x:c r="L7686" i="2"/>
  <x:c r="K7687" i="2"/>
  <x:c r="L7687" i="2"/>
  <x:c r="K7688" i="2"/>
  <x:c r="L7688" i="2"/>
  <x:c r="K7689" i="2"/>
  <x:c r="L7689" i="2"/>
  <x:c r="K7690" i="2"/>
  <x:c r="L7690" i="2"/>
  <x:c r="K7691" i="2"/>
  <x:c r="L7691" i="2"/>
  <x:c r="K7692" i="2"/>
  <x:c r="L7692" i="2"/>
  <x:c r="K7693" i="2"/>
  <x:c r="L7693" i="2"/>
  <x:c r="K7694" i="2"/>
  <x:c r="L7694" i="2"/>
  <x:c r="K7695" i="2"/>
  <x:c r="L7695" i="2"/>
  <x:c r="K7696" i="2"/>
  <x:c r="L7696" i="2"/>
  <x:c r="K7697" i="2"/>
  <x:c r="L7697" i="2"/>
  <x:c r="K7698" i="2"/>
  <x:c r="L7698" i="2"/>
  <x:c r="K7699" i="2"/>
  <x:c r="L7699" i="2"/>
  <x:c r="K7700" i="2"/>
  <x:c r="L7700" i="2"/>
  <x:c r="K7701" i="2"/>
  <x:c r="L7701" i="2"/>
  <x:c r="K7702" i="2"/>
  <x:c r="L7702" i="2"/>
  <x:c r="K7703" i="2"/>
  <x:c r="L7703" i="2"/>
  <x:c r="K7704" i="2"/>
  <x:c r="L7704" i="2"/>
  <x:c r="K7705" i="2"/>
  <x:c r="L7705" i="2"/>
  <x:c r="K7706" i="2"/>
  <x:c r="L7706" i="2"/>
  <x:c r="K7707" i="2"/>
  <x:c r="L7707" i="2"/>
  <x:c r="K7708" i="2"/>
  <x:c r="L7708" i="2"/>
  <x:c r="K7709" i="2"/>
  <x:c r="L7709" i="2"/>
  <x:c r="K7710" i="2"/>
  <x:c r="L7710" i="2"/>
  <x:c r="K7711" i="2"/>
  <x:c r="L7711" i="2"/>
  <x:c r="K7712" i="2"/>
  <x:c r="L7712" i="2"/>
  <x:c r="K7713" i="2"/>
  <x:c r="L7713" i="2"/>
  <x:c r="K7714" i="2"/>
  <x:c r="L7714" i="2"/>
  <x:c r="K7715" i="2"/>
  <x:c r="L7715" i="2"/>
  <x:c r="K7716" i="2"/>
  <x:c r="L7716" i="2"/>
  <x:c r="K7717" i="2"/>
  <x:c r="L7717" i="2"/>
  <x:c r="K7718" i="2"/>
  <x:c r="L7718" i="2"/>
  <x:c r="K7719" i="2"/>
  <x:c r="L7719" i="2"/>
  <x:c r="K7720" i="2"/>
  <x:c r="L7720" i="2"/>
  <x:c r="K7721" i="2"/>
  <x:c r="L7721" i="2"/>
  <x:c r="K7722" i="2"/>
  <x:c r="L7722" i="2"/>
  <x:c r="K7723" i="2"/>
  <x:c r="L7723" i="2"/>
  <x:c r="K7724" i="2"/>
  <x:c r="L7724" i="2"/>
  <x:c r="K7725" i="2"/>
  <x:c r="L7725" i="2"/>
  <x:c r="K7726" i="2"/>
  <x:c r="L7726" i="2"/>
  <x:c r="K7727" i="2"/>
  <x:c r="L7727" i="2"/>
  <x:c r="K7728" i="2"/>
  <x:c r="L7728" i="2"/>
  <x:c r="K7729" i="2"/>
  <x:c r="L7729" i="2"/>
  <x:c r="K7730" i="2"/>
  <x:c r="L7730" i="2"/>
  <x:c r="K7731" i="2"/>
  <x:c r="L7731" i="2"/>
  <x:c r="K7732" i="2"/>
  <x:c r="L7732" i="2"/>
  <x:c r="K7733" i="2"/>
  <x:c r="L7733" i="2"/>
  <x:c r="K7734" i="2"/>
  <x:c r="L7734" i="2"/>
  <x:c r="K7735" i="2"/>
  <x:c r="L7735" i="2"/>
  <x:c r="K7736" i="2"/>
  <x:c r="L7736" i="2"/>
  <x:c r="K7737" i="2"/>
  <x:c r="L7737" i="2"/>
  <x:c r="K7738" i="2"/>
  <x:c r="L7738" i="2"/>
  <x:c r="K7739" i="2"/>
  <x:c r="L7739" i="2"/>
  <x:c r="K7740" i="2"/>
  <x:c r="L7740" i="2"/>
  <x:c r="K7741" i="2"/>
  <x:c r="L7741" i="2"/>
  <x:c r="K7742" i="2"/>
  <x:c r="L7742" i="2"/>
  <x:c r="K7743" i="2"/>
  <x:c r="L7743" i="2"/>
  <x:c r="K7744" i="2"/>
  <x:c r="L7744" i="2"/>
  <x:c r="K7745" i="2"/>
  <x:c r="L7745" i="2"/>
  <x:c r="K7746" i="2"/>
  <x:c r="L7746" i="2"/>
  <x:c r="K7747" i="2"/>
  <x:c r="L7747" i="2"/>
  <x:c r="K7748" i="2"/>
  <x:c r="L7748" i="2"/>
  <x:c r="K7749" i="2"/>
  <x:c r="L7749" i="2"/>
  <x:c r="K7750" i="2"/>
  <x:c r="L7750" i="2"/>
  <x:c r="K7751" i="2"/>
  <x:c r="L7751" i="2"/>
  <x:c r="K7752" i="2"/>
  <x:c r="L7752" i="2"/>
  <x:c r="K7753" i="2"/>
  <x:c r="L7753" i="2"/>
  <x:c r="K7754" i="2"/>
  <x:c r="L7754" i="2"/>
  <x:c r="K7755" i="2"/>
  <x:c r="L7755" i="2"/>
  <x:c r="K7756" i="2"/>
  <x:c r="L7756" i="2"/>
  <x:c r="K7757" i="2"/>
  <x:c r="L7757" i="2"/>
  <x:c r="K7758" i="2"/>
  <x:c r="L7758" i="2"/>
  <x:c r="K7759" i="2"/>
  <x:c r="L7759" i="2"/>
  <x:c r="K7760" i="2"/>
  <x:c r="L7760" i="2"/>
  <x:c r="K7761" i="2"/>
  <x:c r="L7761" i="2"/>
  <x:c r="K7762" i="2"/>
  <x:c r="L7762" i="2"/>
  <x:c r="K7763" i="2"/>
  <x:c r="L7763" i="2"/>
  <x:c r="K7764" i="2"/>
  <x:c r="L7764" i="2"/>
  <x:c r="K7765" i="2"/>
  <x:c r="L7765" i="2"/>
  <x:c r="K7766" i="2"/>
  <x:c r="L7766" i="2"/>
  <x:c r="K7767" i="2"/>
  <x:c r="L7767" i="2"/>
  <x:c r="K7768" i="2"/>
  <x:c r="L7768" i="2"/>
  <x:c r="K7769" i="2"/>
  <x:c r="L7769" i="2"/>
  <x:c r="K7770" i="2"/>
  <x:c r="L7770" i="2"/>
  <x:c r="K7771" i="2"/>
  <x:c r="L7771" i="2"/>
  <x:c r="K7772" i="2"/>
  <x:c r="L7772" i="2"/>
  <x:c r="K7773" i="2"/>
  <x:c r="L7773" i="2"/>
  <x:c r="K7774" i="2"/>
  <x:c r="L7774" i="2"/>
  <x:c r="K7775" i="2"/>
  <x:c r="L7775" i="2"/>
  <x:c r="K7776" i="2"/>
  <x:c r="L7776" i="2"/>
  <x:c r="K7777" i="2"/>
  <x:c r="L7777" i="2"/>
  <x:c r="K7778" i="2"/>
  <x:c r="L7778" i="2"/>
  <x:c r="K7779" i="2"/>
  <x:c r="L7779" i="2"/>
  <x:c r="K7780" i="2"/>
  <x:c r="L7780" i="2"/>
  <x:c r="K7781" i="2"/>
  <x:c r="L7781" i="2"/>
  <x:c r="K7782" i="2"/>
  <x:c r="L7782" i="2"/>
  <x:c r="K7783" i="2"/>
  <x:c r="L7783" i="2"/>
  <x:c r="K7784" i="2"/>
  <x:c r="L7784" i="2"/>
  <x:c r="K7785" i="2"/>
  <x:c r="L7785" i="2"/>
  <x:c r="K7786" i="2"/>
  <x:c r="L7786" i="2"/>
  <x:c r="K7787" i="2"/>
  <x:c r="L7787" i="2"/>
  <x:c r="K7788" i="2"/>
  <x:c r="L7788" i="2"/>
  <x:c r="K7789" i="2"/>
  <x:c r="L7789" i="2"/>
  <x:c r="K7790" i="2"/>
  <x:c r="L7790" i="2"/>
  <x:c r="K7791" i="2"/>
  <x:c r="L7791" i="2"/>
  <x:c r="K7792" i="2"/>
  <x:c r="L7792" i="2"/>
  <x:c r="K7793" i="2"/>
  <x:c r="L7793" i="2"/>
  <x:c r="K7794" i="2"/>
  <x:c r="L7794" i="2"/>
  <x:c r="K7795" i="2"/>
  <x:c r="L7795" i="2"/>
  <x:c r="K7796" i="2"/>
  <x:c r="L7796" i="2"/>
  <x:c r="K7797" i="2"/>
  <x:c r="L7797" i="2"/>
  <x:c r="K7798" i="2"/>
  <x:c r="L7798" i="2"/>
  <x:c r="K7799" i="2"/>
  <x:c r="L7799" i="2"/>
  <x:c r="K7800" i="2"/>
  <x:c r="L7800" i="2"/>
  <x:c r="K7801" i="2"/>
  <x:c r="L7801" i="2"/>
  <x:c r="K7802" i="2"/>
  <x:c r="L7802" i="2"/>
  <x:c r="K7803" i="2"/>
  <x:c r="L7803" i="2"/>
  <x:c r="K7804" i="2"/>
  <x:c r="L7804" i="2"/>
  <x:c r="K7805" i="2"/>
  <x:c r="L7805" i="2"/>
  <x:c r="K7806" i="2"/>
  <x:c r="L7806" i="2"/>
  <x:c r="K7807" i="2"/>
  <x:c r="L7807" i="2"/>
  <x:c r="K7808" i="2"/>
  <x:c r="L7808" i="2"/>
  <x:c r="K7809" i="2"/>
  <x:c r="L7809" i="2"/>
  <x:c r="K7810" i="2"/>
  <x:c r="L7810" i="2"/>
  <x:c r="K7811" i="2"/>
  <x:c r="L7811" i="2"/>
  <x:c r="K7812" i="2"/>
  <x:c r="L7812" i="2"/>
  <x:c r="K7813" i="2"/>
  <x:c r="L7813" i="2"/>
  <x:c r="K7814" i="2"/>
  <x:c r="L7814" i="2"/>
  <x:c r="K7815" i="2"/>
  <x:c r="L7815" i="2"/>
  <x:c r="K7816" i="2"/>
  <x:c r="L7816" i="2"/>
  <x:c r="K7817" i="2"/>
  <x:c r="L7817" i="2"/>
  <x:c r="K7818" i="2"/>
  <x:c r="L7818" i="2"/>
  <x:c r="K7819" i="2"/>
  <x:c r="L7819" i="2"/>
  <x:c r="K7820" i="2"/>
  <x:c r="L7820" i="2"/>
  <x:c r="K7821" i="2"/>
  <x:c r="L7821" i="2"/>
  <x:c r="K7822" i="2"/>
  <x:c r="L7822" i="2"/>
  <x:c r="K7823" i="2"/>
  <x:c r="L7823" i="2"/>
  <x:c r="K7824" i="2"/>
  <x:c r="L7824" i="2"/>
  <x:c r="K7825" i="2"/>
  <x:c r="L7825" i="2"/>
  <x:c r="K7826" i="2"/>
  <x:c r="L7826" i="2"/>
  <x:c r="K7827" i="2"/>
  <x:c r="L7827" i="2"/>
  <x:c r="K7828" i="2"/>
  <x:c r="L7828" i="2"/>
  <x:c r="K7829" i="2"/>
  <x:c r="L7829" i="2"/>
  <x:c r="K7830" i="2"/>
  <x:c r="L7830" i="2"/>
  <x:c r="K7831" i="2"/>
  <x:c r="L7831" i="2"/>
  <x:c r="K7832" i="2"/>
  <x:c r="L7832" i="2"/>
  <x:c r="K7833" i="2"/>
  <x:c r="L7833" i="2"/>
  <x:c r="K7834" i="2"/>
  <x:c r="L7834" i="2"/>
  <x:c r="K7835" i="2"/>
  <x:c r="L7835" i="2"/>
  <x:c r="K7836" i="2"/>
  <x:c r="L7836" i="2"/>
  <x:c r="K7837" i="2"/>
  <x:c r="L7837" i="2"/>
  <x:c r="K7838" i="2"/>
  <x:c r="L7838" i="2"/>
  <x:c r="K7839" i="2"/>
  <x:c r="L7839" i="2"/>
  <x:c r="K7840" i="2"/>
  <x:c r="L7840" i="2"/>
  <x:c r="K7841" i="2"/>
  <x:c r="L7841" i="2"/>
  <x:c r="K7842" i="2"/>
  <x:c r="L7842" i="2"/>
  <x:c r="K7843" i="2"/>
  <x:c r="L7843" i="2"/>
  <x:c r="K7844" i="2"/>
  <x:c r="L7844" i="2"/>
  <x:c r="K7845" i="2"/>
  <x:c r="L7845" i="2"/>
  <x:c r="K7846" i="2"/>
  <x:c r="L7846" i="2"/>
  <x:c r="K7847" i="2"/>
  <x:c r="L7847" i="2"/>
  <x:c r="K7848" i="2"/>
  <x:c r="L7848" i="2"/>
  <x:c r="K7849" i="2"/>
  <x:c r="L7849" i="2"/>
  <x:c r="K7850" i="2"/>
  <x:c r="L7850" i="2"/>
  <x:c r="K7851" i="2"/>
  <x:c r="L7851" i="2"/>
  <x:c r="K7852" i="2"/>
  <x:c r="L7852" i="2"/>
  <x:c r="K7853" i="2"/>
  <x:c r="L7853" i="2"/>
  <x:c r="K7854" i="2"/>
  <x:c r="L7854" i="2"/>
  <x:c r="K7855" i="2"/>
  <x:c r="L7855" i="2"/>
  <x:c r="K7856" i="2"/>
  <x:c r="L7856" i="2"/>
  <x:c r="K7857" i="2"/>
  <x:c r="L7857" i="2"/>
  <x:c r="K7858" i="2"/>
  <x:c r="L7858" i="2"/>
  <x:c r="K7859" i="2"/>
  <x:c r="L7859" i="2"/>
  <x:c r="K7860" i="2"/>
  <x:c r="L7860" i="2"/>
  <x:c r="K7861" i="2"/>
  <x:c r="L7861" i="2"/>
  <x:c r="K7862" i="2"/>
  <x:c r="L7862" i="2"/>
  <x:c r="K7863" i="2"/>
  <x:c r="L7863" i="2"/>
  <x:c r="K7864" i="2"/>
  <x:c r="L7864" i="2"/>
  <x:c r="K7865" i="2"/>
  <x:c r="L7865" i="2"/>
  <x:c r="K7866" i="2"/>
  <x:c r="L7866" i="2"/>
  <x:c r="K7867" i="2"/>
  <x:c r="L7867" i="2"/>
  <x:c r="K7868" i="2"/>
  <x:c r="L7868" i="2"/>
  <x:c r="K7869" i="2"/>
  <x:c r="L7869" i="2"/>
  <x:c r="K7870" i="2"/>
  <x:c r="L7870" i="2"/>
  <x:c r="K7871" i="2"/>
  <x:c r="L7871" i="2"/>
  <x:c r="K7872" i="2"/>
  <x:c r="L7872" i="2"/>
  <x:c r="K7873" i="2"/>
  <x:c r="L7873" i="2"/>
  <x:c r="K7874" i="2"/>
  <x:c r="L7874" i="2"/>
  <x:c r="K7875" i="2"/>
  <x:c r="L7875" i="2"/>
  <x:c r="K7876" i="2"/>
  <x:c r="L7876" i="2"/>
  <x:c r="K7877" i="2"/>
  <x:c r="L7877" i="2"/>
  <x:c r="K7878" i="2"/>
  <x:c r="L7878" i="2"/>
  <x:c r="K7879" i="2"/>
  <x:c r="L7879" i="2"/>
  <x:c r="K7880" i="2"/>
  <x:c r="L7880" i="2"/>
  <x:c r="K7881" i="2"/>
  <x:c r="L7881" i="2"/>
  <x:c r="K7882" i="2"/>
  <x:c r="L7882" i="2"/>
  <x:c r="K7883" i="2"/>
  <x:c r="L7883" i="2"/>
  <x:c r="K7884" i="2"/>
  <x:c r="L7884" i="2"/>
  <x:c r="K7885" i="2"/>
  <x:c r="L7885" i="2"/>
  <x:c r="K7886" i="2"/>
  <x:c r="L7886" i="2"/>
  <x:c r="K7887" i="2"/>
  <x:c r="L7887" i="2"/>
  <x:c r="K7888" i="2"/>
  <x:c r="L7888" i="2"/>
  <x:c r="K7889" i="2"/>
  <x:c r="L7889" i="2"/>
  <x:c r="K7890" i="2"/>
  <x:c r="L7890" i="2"/>
  <x:c r="K7891" i="2"/>
  <x:c r="L7891" i="2"/>
  <x:c r="K7892" i="2"/>
  <x:c r="L7892" i="2"/>
  <x:c r="K7893" i="2"/>
  <x:c r="L7893" i="2"/>
  <x:c r="K7894" i="2"/>
  <x:c r="L7894" i="2"/>
  <x:c r="K7895" i="2"/>
  <x:c r="L7895" i="2"/>
  <x:c r="K7896" i="2"/>
  <x:c r="L7896" i="2"/>
  <x:c r="K7897" i="2"/>
  <x:c r="L7897" i="2"/>
  <x:c r="K7898" i="2"/>
  <x:c r="L7898" i="2"/>
  <x:c r="K7899" i="2"/>
  <x:c r="L7899" i="2"/>
  <x:c r="K7900" i="2"/>
  <x:c r="L7900" i="2"/>
  <x:c r="K7901" i="2"/>
  <x:c r="L7901" i="2"/>
  <x:c r="K7902" i="2"/>
  <x:c r="L7902" i="2"/>
  <x:c r="K7903" i="2"/>
  <x:c r="L7903" i="2"/>
  <x:c r="K7904" i="2"/>
  <x:c r="L7904" i="2"/>
  <x:c r="K7905" i="2"/>
  <x:c r="L7905" i="2"/>
  <x:c r="K7906" i="2"/>
  <x:c r="L7906" i="2"/>
  <x:c r="K7907" i="2"/>
  <x:c r="L7907" i="2"/>
  <x:c r="K7908" i="2"/>
  <x:c r="L7908" i="2"/>
  <x:c r="K7909" i="2"/>
  <x:c r="L7909" i="2"/>
  <x:c r="K7910" i="2"/>
  <x:c r="L7910" i="2"/>
  <x:c r="K7911" i="2"/>
  <x:c r="L7911" i="2"/>
  <x:c r="K7912" i="2"/>
  <x:c r="L7912" i="2"/>
  <x:c r="K7913" i="2"/>
  <x:c r="L7913" i="2"/>
  <x:c r="K7914" i="2"/>
  <x:c r="L7914" i="2"/>
  <x:c r="K7915" i="2"/>
  <x:c r="L7915" i="2"/>
  <x:c r="K7916" i="2"/>
  <x:c r="L7916" i="2"/>
  <x:c r="K7917" i="2"/>
  <x:c r="L7917" i="2"/>
  <x:c r="K7918" i="2"/>
  <x:c r="L7918" i="2"/>
  <x:c r="K7919" i="2"/>
  <x:c r="L7919" i="2"/>
  <x:c r="K7920" i="2"/>
  <x:c r="L7920" i="2"/>
  <x:c r="K7921" i="2"/>
  <x:c r="L7921" i="2"/>
  <x:c r="K7922" i="2"/>
  <x:c r="L7922" i="2"/>
  <x:c r="K7923" i="2"/>
  <x:c r="L7923" i="2"/>
  <x:c r="K7924" i="2"/>
  <x:c r="L7924" i="2"/>
  <x:c r="K7925" i="2"/>
  <x:c r="L7925" i="2"/>
  <x:c r="K7926" i="2"/>
  <x:c r="L7926" i="2"/>
  <x:c r="K7927" i="2"/>
  <x:c r="L7927" i="2"/>
  <x:c r="K7928" i="2"/>
  <x:c r="L7928" i="2"/>
  <x:c r="K7929" i="2"/>
  <x:c r="L7929" i="2"/>
  <x:c r="K7930" i="2"/>
  <x:c r="L7930" i="2"/>
  <x:c r="K7931" i="2"/>
  <x:c r="L7931" i="2"/>
  <x:c r="K7932" i="2"/>
  <x:c r="L7932" i="2"/>
  <x:c r="K7933" i="2"/>
  <x:c r="L7933" i="2"/>
  <x:c r="K7934" i="2"/>
  <x:c r="L7934" i="2"/>
  <x:c r="K7935" i="2"/>
  <x:c r="L7935" i="2"/>
  <x:c r="K7936" i="2"/>
  <x:c r="L7936" i="2"/>
  <x:c r="K7937" i="2"/>
  <x:c r="L7937" i="2"/>
  <x:c r="K7938" i="2"/>
  <x:c r="L7938" i="2"/>
  <x:c r="K7939" i="2"/>
  <x:c r="L7939" i="2"/>
  <x:c r="K7940" i="2"/>
  <x:c r="L7940" i="2"/>
  <x:c r="K7941" i="2"/>
  <x:c r="L7941" i="2"/>
  <x:c r="K7942" i="2"/>
  <x:c r="L7942" i="2"/>
  <x:c r="K7943" i="2"/>
  <x:c r="L7943" i="2"/>
  <x:c r="K7944" i="2"/>
  <x:c r="L7944" i="2"/>
  <x:c r="K7945" i="2"/>
  <x:c r="L7945" i="2"/>
  <x:c r="K7946" i="2"/>
  <x:c r="L7946" i="2"/>
  <x:c r="K7947" i="2"/>
  <x:c r="L7947" i="2"/>
  <x:c r="K7948" i="2"/>
  <x:c r="L7948" i="2"/>
  <x:c r="K7949" i="2"/>
  <x:c r="L7949" i="2"/>
  <x:c r="K7950" i="2"/>
  <x:c r="L7950" i="2"/>
  <x:c r="K7951" i="2"/>
  <x:c r="L7951" i="2"/>
  <x:c r="K7952" i="2"/>
  <x:c r="L7952" i="2"/>
  <x:c r="K7953" i="2"/>
  <x:c r="L7953" i="2"/>
  <x:c r="K7954" i="2"/>
  <x:c r="L7954" i="2"/>
  <x:c r="K7955" i="2"/>
  <x:c r="L7955" i="2"/>
  <x:c r="K7956" i="2"/>
  <x:c r="L7956" i="2"/>
  <x:c r="K7957" i="2"/>
  <x:c r="L7957" i="2"/>
  <x:c r="K7958" i="2"/>
  <x:c r="L7958" i="2"/>
  <x:c r="K7959" i="2"/>
  <x:c r="L7959" i="2"/>
  <x:c r="K7960" i="2"/>
  <x:c r="L7960" i="2"/>
  <x:c r="K7961" i="2"/>
  <x:c r="L7961" i="2"/>
  <x:c r="K7962" i="2"/>
  <x:c r="L7962" i="2"/>
  <x:c r="K7963" i="2"/>
  <x:c r="L7963" i="2"/>
  <x:c r="K7964" i="2"/>
  <x:c r="L7964" i="2"/>
  <x:c r="K7965" i="2"/>
  <x:c r="L7965" i="2"/>
  <x:c r="K7966" i="2"/>
  <x:c r="L7966" i="2"/>
  <x:c r="K7967" i="2"/>
  <x:c r="L7967" i="2"/>
  <x:c r="K7968" i="2"/>
  <x:c r="L7968" i="2"/>
  <x:c r="K7969" i="2"/>
  <x:c r="L7969" i="2"/>
  <x:c r="K7970" i="2"/>
  <x:c r="L7970" i="2"/>
  <x:c r="K7971" i="2"/>
  <x:c r="L7971" i="2"/>
  <x:c r="K7972" i="2"/>
  <x:c r="L7972" i="2"/>
  <x:c r="K7973" i="2"/>
  <x:c r="L7973" i="2"/>
  <x:c r="K7974" i="2"/>
  <x:c r="L7974" i="2"/>
  <x:c r="K7975" i="2"/>
  <x:c r="L7975" i="2"/>
  <x:c r="K7976" i="2"/>
  <x:c r="L7976" i="2"/>
  <x:c r="K7977" i="2"/>
  <x:c r="L7977" i="2"/>
  <x:c r="K7978" i="2"/>
  <x:c r="L7978" i="2"/>
  <x:c r="K7979" i="2"/>
  <x:c r="L7979" i="2"/>
  <x:c r="K7980" i="2"/>
  <x:c r="L7980" i="2"/>
  <x:c r="K7981" i="2"/>
  <x:c r="L7981" i="2"/>
  <x:c r="K7982" i="2"/>
  <x:c r="L7982" i="2"/>
  <x:c r="K7983" i="2"/>
  <x:c r="L7983" i="2"/>
  <x:c r="K7984" i="2"/>
  <x:c r="L7984" i="2"/>
  <x:c r="K7985" i="2"/>
  <x:c r="L7985" i="2"/>
  <x:c r="K7986" i="2"/>
  <x:c r="L7986" i="2"/>
  <x:c r="K7987" i="2"/>
  <x:c r="L7987" i="2"/>
  <x:c r="K7988" i="2"/>
  <x:c r="L7988" i="2"/>
  <x:c r="K7989" i="2"/>
  <x:c r="L7989" i="2"/>
  <x:c r="K7990" i="2"/>
  <x:c r="L7990" i="2"/>
  <x:c r="K7991" i="2"/>
  <x:c r="L7991" i="2"/>
  <x:c r="K7992" i="2"/>
  <x:c r="L7992" i="2"/>
  <x:c r="K7993" i="2"/>
  <x:c r="L7993" i="2"/>
  <x:c r="K7994" i="2"/>
  <x:c r="L7994" i="2"/>
  <x:c r="K7995" i="2"/>
  <x:c r="L7995" i="2"/>
  <x:c r="K7996" i="2"/>
  <x:c r="L7996" i="2"/>
  <x:c r="K7997" i="2"/>
  <x:c r="L7997" i="2"/>
  <x:c r="K7998" i="2"/>
  <x:c r="L7998" i="2"/>
  <x:c r="K7999" i="2"/>
  <x:c r="L7999" i="2"/>
  <x:c r="K8000" i="2"/>
  <x:c r="L8000" i="2"/>
  <x:c r="K8001" i="2"/>
  <x:c r="L8001" i="2"/>
  <x:c r="K8002" i="2"/>
  <x:c r="L8002" i="2"/>
  <x:c r="K8003" i="2"/>
  <x:c r="L8003" i="2"/>
  <x:c r="K8004" i="2"/>
  <x:c r="L8004" i="2"/>
  <x:c r="K8005" i="2"/>
  <x:c r="L8005" i="2"/>
  <x:c r="K8006" i="2"/>
  <x:c r="L8006" i="2"/>
  <x:c r="K8007" i="2"/>
  <x:c r="L8007" i="2"/>
  <x:c r="K8008" i="2"/>
  <x:c r="L8008" i="2"/>
  <x:c r="K8009" i="2"/>
  <x:c r="L8009" i="2"/>
  <x:c r="K8010" i="2"/>
  <x:c r="L8010" i="2"/>
  <x:c r="K8011" i="2"/>
  <x:c r="L8011" i="2"/>
  <x:c r="K8012" i="2"/>
  <x:c r="L8012" i="2"/>
  <x:c r="K8013" i="2"/>
  <x:c r="L8013" i="2"/>
  <x:c r="K8014" i="2"/>
  <x:c r="L8014" i="2"/>
  <x:c r="K8015" i="2"/>
  <x:c r="L8015" i="2"/>
  <x:c r="K8016" i="2"/>
  <x:c r="L8016" i="2"/>
  <x:c r="K8017" i="2"/>
  <x:c r="L8017" i="2"/>
  <x:c r="K8018" i="2"/>
  <x:c r="L8018" i="2"/>
  <x:c r="K8019" i="2"/>
  <x:c r="L8019" i="2"/>
  <x:c r="K8020" i="2"/>
  <x:c r="L8020" i="2"/>
  <x:c r="K8021" i="2"/>
  <x:c r="L8021" i="2"/>
  <x:c r="K8022" i="2"/>
  <x:c r="L8022" i="2"/>
  <x:c r="K8023" i="2"/>
  <x:c r="L8023" i="2"/>
  <x:c r="K8024" i="2"/>
  <x:c r="L8024" i="2"/>
  <x:c r="K8025" i="2"/>
  <x:c r="L8025" i="2"/>
  <x:c r="K8026" i="2"/>
  <x:c r="L8026" i="2"/>
  <x:c r="K8027" i="2"/>
  <x:c r="L8027" i="2"/>
  <x:c r="K8028" i="2"/>
  <x:c r="L8028" i="2"/>
  <x:c r="K8029" i="2"/>
  <x:c r="L8029" i="2"/>
  <x:c r="K8030" i="2"/>
  <x:c r="L8030" i="2"/>
  <x:c r="K8031" i="2"/>
  <x:c r="L8031" i="2"/>
  <x:c r="K8032" i="2"/>
  <x:c r="L8032" i="2"/>
  <x:c r="K8033" i="2"/>
  <x:c r="L8033" i="2"/>
  <x:c r="K8034" i="2"/>
  <x:c r="L8034" i="2"/>
  <x:c r="K8035" i="2"/>
  <x:c r="L8035" i="2"/>
  <x:c r="K8036" i="2"/>
  <x:c r="L8036" i="2"/>
  <x:c r="K8037" i="2"/>
  <x:c r="L8037" i="2"/>
  <x:c r="K8038" i="2"/>
  <x:c r="L8038" i="2"/>
  <x:c r="K8039" i="2"/>
  <x:c r="L8039" i="2"/>
  <x:c r="K8040" i="2"/>
  <x:c r="L8040" i="2"/>
  <x:c r="K8041" i="2"/>
  <x:c r="L8041" i="2"/>
  <x:c r="K8042" i="2"/>
  <x:c r="L8042" i="2"/>
  <x:c r="K8043" i="2"/>
  <x:c r="L8043" i="2"/>
  <x:c r="K8044" i="2"/>
  <x:c r="L8044" i="2"/>
  <x:c r="K8045" i="2"/>
  <x:c r="L8045" i="2"/>
  <x:c r="K8046" i="2"/>
  <x:c r="L8046" i="2"/>
  <x:c r="K8047" i="2"/>
  <x:c r="L8047" i="2"/>
  <x:c r="K8048" i="2"/>
  <x:c r="L8048" i="2"/>
  <x:c r="K8049" i="2"/>
  <x:c r="L8049" i="2"/>
  <x:c r="K8050" i="2"/>
  <x:c r="L8050" i="2"/>
  <x:c r="K8051" i="2"/>
  <x:c r="L8051" i="2"/>
  <x:c r="K8052" i="2"/>
  <x:c r="L8052" i="2"/>
  <x:c r="K8053" i="2"/>
  <x:c r="L8053" i="2"/>
  <x:c r="K8054" i="2"/>
  <x:c r="L8054" i="2"/>
  <x:c r="K8055" i="2"/>
  <x:c r="L8055" i="2"/>
  <x:c r="K8056" i="2"/>
  <x:c r="L8056" i="2"/>
  <x:c r="K8057" i="2"/>
  <x:c r="L8057" i="2"/>
  <x:c r="K8058" i="2"/>
  <x:c r="L8058" i="2"/>
  <x:c r="K8059" i="2"/>
  <x:c r="L8059" i="2"/>
  <x:c r="K8060" i="2"/>
  <x:c r="L8060" i="2"/>
  <x:c r="K8061" i="2"/>
  <x:c r="L8061" i="2"/>
  <x:c r="K8062" i="2"/>
  <x:c r="L8062" i="2"/>
  <x:c r="K8063" i="2"/>
  <x:c r="L8063" i="2"/>
  <x:c r="K8064" i="2"/>
  <x:c r="L8064" i="2"/>
  <x:c r="K8065" i="2"/>
  <x:c r="L8065" i="2"/>
  <x:c r="K8066" i="2"/>
  <x:c r="L8066" i="2"/>
  <x:c r="K8067" i="2"/>
  <x:c r="L8067" i="2"/>
  <x:c r="K8068" i="2"/>
  <x:c r="L8068" i="2"/>
  <x:c r="K8069" i="2"/>
  <x:c r="L8069" i="2"/>
  <x:c r="K8070" i="2"/>
  <x:c r="L8070" i="2"/>
  <x:c r="K8071" i="2"/>
  <x:c r="L8071" i="2"/>
  <x:c r="K8072" i="2"/>
  <x:c r="L8072" i="2"/>
  <x:c r="K8073" i="2"/>
  <x:c r="L8073" i="2"/>
  <x:c r="K8074" i="2"/>
  <x:c r="L8074" i="2"/>
  <x:c r="K8075" i="2"/>
  <x:c r="L8075" i="2"/>
  <x:c r="K8076" i="2"/>
  <x:c r="L8076" i="2"/>
  <x:c r="K8077" i="2"/>
  <x:c r="L8077" i="2"/>
  <x:c r="K8078" i="2"/>
  <x:c r="L8078" i="2"/>
  <x:c r="K8079" i="2"/>
  <x:c r="L8079" i="2"/>
  <x:c r="K8080" i="2"/>
  <x:c r="L8080" i="2"/>
  <x:c r="K8081" i="2"/>
  <x:c r="L8081" i="2"/>
  <x:c r="K8082" i="2"/>
  <x:c r="L8082" i="2"/>
  <x:c r="K8083" i="2"/>
  <x:c r="L8083" i="2"/>
  <x:c r="K8084" i="2"/>
  <x:c r="L8084" i="2"/>
  <x:c r="K8085" i="2"/>
  <x:c r="L8085" i="2"/>
  <x:c r="K8086" i="2"/>
  <x:c r="L8086" i="2"/>
  <x:c r="K8087" i="2"/>
  <x:c r="L8087" i="2"/>
  <x:c r="K8088" i="2"/>
  <x:c r="L8088" i="2"/>
  <x:c r="K8089" i="2"/>
  <x:c r="L8089" i="2"/>
  <x:c r="K8090" i="2"/>
  <x:c r="L8090" i="2"/>
  <x:c r="K8091" i="2"/>
  <x:c r="L8091" i="2"/>
  <x:c r="K8092" i="2"/>
  <x:c r="L8092" i="2"/>
  <x:c r="K8093" i="2"/>
  <x:c r="L8093" i="2"/>
  <x:c r="K8094" i="2"/>
  <x:c r="L8094" i="2"/>
  <x:c r="K8095" i="2"/>
  <x:c r="L8095" i="2"/>
  <x:c r="K8096" i="2"/>
  <x:c r="L8096" i="2"/>
  <x:c r="K8097" i="2"/>
  <x:c r="L8097" i="2"/>
  <x:c r="K8098" i="2"/>
  <x:c r="L8098" i="2"/>
  <x:c r="K8099" i="2"/>
  <x:c r="L8099" i="2"/>
  <x:c r="K8100" i="2"/>
  <x:c r="L8100" i="2"/>
  <x:c r="K8101" i="2"/>
  <x:c r="L8101" i="2"/>
  <x:c r="K8102" i="2"/>
  <x:c r="L8102" i="2"/>
  <x:c r="K8103" i="2"/>
  <x:c r="L8103" i="2"/>
  <x:c r="K8104" i="2"/>
  <x:c r="L8104" i="2"/>
  <x:c r="K8105" i="2"/>
  <x:c r="L8105" i="2"/>
  <x:c r="K8106" i="2"/>
  <x:c r="L8106" i="2"/>
  <x:c r="K8107" i="2"/>
  <x:c r="L8107" i="2"/>
  <x:c r="K8108" i="2"/>
  <x:c r="L8108" i="2"/>
  <x:c r="K8109" i="2"/>
  <x:c r="L8109" i="2"/>
  <x:c r="K8110" i="2"/>
  <x:c r="L8110" i="2"/>
  <x:c r="K8111" i="2"/>
  <x:c r="L8111" i="2"/>
  <x:c r="K8112" i="2"/>
  <x:c r="L8112" i="2"/>
  <x:c r="K8113" i="2"/>
  <x:c r="L8113" i="2"/>
  <x:c r="K8114" i="2"/>
  <x:c r="L8114" i="2"/>
  <x:c r="K8115" i="2"/>
  <x:c r="L8115" i="2"/>
  <x:c r="K8116" i="2"/>
  <x:c r="L8116" i="2"/>
  <x:c r="K8117" i="2"/>
  <x:c r="L8117" i="2"/>
  <x:c r="K8118" i="2"/>
  <x:c r="L8118" i="2"/>
  <x:c r="K8119" i="2"/>
  <x:c r="L8119" i="2"/>
  <x:c r="K8120" i="2"/>
  <x:c r="L8120" i="2"/>
  <x:c r="K8121" i="2"/>
  <x:c r="L8121" i="2"/>
  <x:c r="K8122" i="2"/>
  <x:c r="L8122" i="2"/>
  <x:c r="K8123" i="2"/>
  <x:c r="L8123" i="2"/>
  <x:c r="K8124" i="2"/>
  <x:c r="L8124" i="2"/>
  <x:c r="K8125" i="2"/>
  <x:c r="L8125" i="2"/>
  <x:c r="K8126" i="2"/>
  <x:c r="L8126" i="2"/>
  <x:c r="K8127" i="2"/>
  <x:c r="L8127" i="2"/>
  <x:c r="K8128" i="2"/>
  <x:c r="L8128" i="2"/>
  <x:c r="K8129" i="2"/>
  <x:c r="L8129" i="2"/>
  <x:c r="K8130" i="2"/>
  <x:c r="L8130" i="2"/>
  <x:c r="K8131" i="2"/>
  <x:c r="L8131" i="2"/>
  <x:c r="K8132" i="2"/>
  <x:c r="L8132" i="2"/>
  <x:c r="K8133" i="2"/>
  <x:c r="L8133" i="2"/>
  <x:c r="K8134" i="2"/>
  <x:c r="L8134" i="2"/>
  <x:c r="K8135" i="2"/>
  <x:c r="L8135" i="2"/>
  <x:c r="K8136" i="2"/>
  <x:c r="L8136" i="2"/>
  <x:c r="K8137" i="2"/>
  <x:c r="L8137" i="2"/>
  <x:c r="K8138" i="2"/>
  <x:c r="L8138" i="2"/>
  <x:c r="K8139" i="2"/>
  <x:c r="L8139" i="2"/>
  <x:c r="K8140" i="2"/>
  <x:c r="L8140" i="2"/>
  <x:c r="K8141" i="2"/>
  <x:c r="L8141" i="2"/>
  <x:c r="K8142" i="2"/>
  <x:c r="L8142" i="2"/>
  <x:c r="K8143" i="2"/>
  <x:c r="L8143" i="2"/>
  <x:c r="K8144" i="2"/>
  <x:c r="L8144" i="2"/>
  <x:c r="K8145" i="2"/>
  <x:c r="L8145" i="2"/>
  <x:c r="K8146" i="2"/>
  <x:c r="L8146" i="2"/>
  <x:c r="K8147" i="2"/>
  <x:c r="L8147" i="2"/>
  <x:c r="K8148" i="2"/>
  <x:c r="L8148" i="2"/>
  <x:c r="K8149" i="2"/>
  <x:c r="L8149" i="2"/>
  <x:c r="K8150" i="2"/>
  <x:c r="L8150" i="2"/>
  <x:c r="K8151" i="2"/>
  <x:c r="L8151" i="2"/>
  <x:c r="K8152" i="2"/>
  <x:c r="L8152" i="2"/>
  <x:c r="K8153" i="2"/>
  <x:c r="L8153" i="2"/>
  <x:c r="K8154" i="2"/>
  <x:c r="L8154" i="2"/>
  <x:c r="K8155" i="2"/>
  <x:c r="L8155" i="2"/>
  <x:c r="K8156" i="2"/>
  <x:c r="L8156" i="2"/>
  <x:c r="K8157" i="2"/>
  <x:c r="L8157" i="2"/>
  <x:c r="K8158" i="2"/>
  <x:c r="L8158" i="2"/>
  <x:c r="K8159" i="2"/>
  <x:c r="L8159" i="2"/>
  <x:c r="K8160" i="2"/>
  <x:c r="L8160" i="2"/>
  <x:c r="K8161" i="2"/>
  <x:c r="L8161" i="2"/>
  <x:c r="K8162" i="2"/>
  <x:c r="L8162" i="2"/>
  <x:c r="K8163" i="2"/>
  <x:c r="L8163" i="2"/>
  <x:c r="K8164" i="2"/>
  <x:c r="L8164" i="2"/>
  <x:c r="K8165" i="2"/>
  <x:c r="L8165" i="2"/>
  <x:c r="K8166" i="2"/>
  <x:c r="L8166" i="2"/>
  <x:c r="K8167" i="2"/>
  <x:c r="L8167" i="2"/>
  <x:c r="K8168" i="2"/>
  <x:c r="L8168" i="2"/>
  <x:c r="K8169" i="2"/>
  <x:c r="L8169" i="2"/>
  <x:c r="K8170" i="2"/>
  <x:c r="L8170" i="2"/>
  <x:c r="K8171" i="2"/>
  <x:c r="L8171" i="2"/>
  <x:c r="K8172" i="2"/>
  <x:c r="L8172" i="2"/>
  <x:c r="K8173" i="2"/>
  <x:c r="L8173" i="2"/>
  <x:c r="K8174" i="2"/>
  <x:c r="L8174" i="2"/>
  <x:c r="K8175" i="2"/>
  <x:c r="L8175" i="2"/>
  <x:c r="K8176" i="2"/>
  <x:c r="L8176" i="2"/>
  <x:c r="K8177" i="2"/>
  <x:c r="L8177" i="2"/>
  <x:c r="K8178" i="2"/>
  <x:c r="L8178" i="2"/>
  <x:c r="K8179" i="2"/>
  <x:c r="L8179" i="2"/>
  <x:c r="K8180" i="2"/>
  <x:c r="L8180" i="2"/>
  <x:c r="K8181" i="2"/>
  <x:c r="L8181" i="2"/>
  <x:c r="K8182" i="2"/>
  <x:c r="L8182" i="2"/>
  <x:c r="K8183" i="2"/>
  <x:c r="L8183" i="2"/>
  <x:c r="K8184" i="2"/>
  <x:c r="L8184" i="2"/>
  <x:c r="K8185" i="2"/>
  <x:c r="L8185" i="2"/>
  <x:c r="K8186" i="2"/>
  <x:c r="L8186" i="2"/>
  <x:c r="K8187" i="2"/>
  <x:c r="L8187" i="2"/>
  <x:c r="K8188" i="2"/>
  <x:c r="L8188" i="2"/>
  <x:c r="K8189" i="2"/>
  <x:c r="L8189" i="2"/>
  <x:c r="K8190" i="2"/>
  <x:c r="L8190" i="2"/>
  <x:c r="K8191" i="2"/>
  <x:c r="L8191" i="2"/>
  <x:c r="K8192" i="2"/>
  <x:c r="L8192" i="2"/>
  <x:c r="K8193" i="2"/>
  <x:c r="L8193" i="2"/>
  <x:c r="K8194" i="2"/>
  <x:c r="L8194" i="2"/>
  <x:c r="K8195" i="2"/>
  <x:c r="L8195" i="2"/>
  <x:c r="K8196" i="2"/>
  <x:c r="L8196" i="2"/>
  <x:c r="K8197" i="2"/>
  <x:c r="L8197" i="2"/>
  <x:c r="K8198" i="2"/>
  <x:c r="L8198" i="2"/>
  <x:c r="K8199" i="2"/>
  <x:c r="L8199" i="2"/>
  <x:c r="K8200" i="2"/>
  <x:c r="L8200" i="2"/>
  <x:c r="K8201" i="2"/>
  <x:c r="L8201" i="2"/>
  <x:c r="K8202" i="2"/>
  <x:c r="L8202" i="2"/>
  <x:c r="K8203" i="2"/>
  <x:c r="L8203" i="2"/>
  <x:c r="K8204" i="2"/>
  <x:c r="L8204" i="2"/>
  <x:c r="K8205" i="2"/>
  <x:c r="L8205" i="2"/>
  <x:c r="K8206" i="2"/>
  <x:c r="L8206" i="2"/>
  <x:c r="K8207" i="2"/>
  <x:c r="L8207" i="2"/>
  <x:c r="K8208" i="2"/>
  <x:c r="L8208" i="2"/>
  <x:c r="K8209" i="2"/>
  <x:c r="L8209" i="2"/>
  <x:c r="K8210" i="2"/>
  <x:c r="L8210" i="2"/>
  <x:c r="K8211" i="2"/>
  <x:c r="L8211" i="2"/>
  <x:c r="K8212" i="2"/>
  <x:c r="L8212" i="2"/>
  <x:c r="K8213" i="2"/>
  <x:c r="L8213" i="2"/>
  <x:c r="K8214" i="2"/>
  <x:c r="L8214" i="2"/>
  <x:c r="K8215" i="2"/>
  <x:c r="L8215" i="2"/>
  <x:c r="K8216" i="2"/>
  <x:c r="L8216" i="2"/>
  <x:c r="K8217" i="2"/>
  <x:c r="L8217" i="2"/>
  <x:c r="K8218" i="2"/>
  <x:c r="L8218" i="2"/>
  <x:c r="K8219" i="2"/>
  <x:c r="L8219" i="2"/>
  <x:c r="K8220" i="2"/>
  <x:c r="L8220" i="2"/>
  <x:c r="K8221" i="2"/>
  <x:c r="L8221" i="2"/>
  <x:c r="K8222" i="2"/>
  <x:c r="L8222" i="2"/>
  <x:c r="K8223" i="2"/>
  <x:c r="L8223" i="2"/>
  <x:c r="K8224" i="2"/>
  <x:c r="L8224" i="2"/>
  <x:c r="K8225" i="2"/>
  <x:c r="L8225" i="2"/>
  <x:c r="K8226" i="2"/>
  <x:c r="L8226" i="2"/>
  <x:c r="K8227" i="2"/>
  <x:c r="L8227" i="2"/>
  <x:c r="K8228" i="2"/>
  <x:c r="L8228" i="2"/>
  <x:c r="K8229" i="2"/>
  <x:c r="L8229" i="2"/>
  <x:c r="K8230" i="2"/>
  <x:c r="L8230" i="2"/>
  <x:c r="K8231" i="2"/>
  <x:c r="L8231" i="2"/>
  <x:c r="K8232" i="2"/>
  <x:c r="L8232" i="2"/>
  <x:c r="K8233" i="2"/>
  <x:c r="L8233" i="2"/>
  <x:c r="K8234" i="2"/>
  <x:c r="L8234" i="2"/>
  <x:c r="K8235" i="2"/>
  <x:c r="L8235" i="2"/>
  <x:c r="K8236" i="2"/>
  <x:c r="L8236" i="2"/>
  <x:c r="K8237" i="2"/>
  <x:c r="L8237" i="2"/>
  <x:c r="K8238" i="2"/>
  <x:c r="L8238" i="2"/>
  <x:c r="K8239" i="2"/>
  <x:c r="L8239" i="2"/>
  <x:c r="K8240" i="2"/>
  <x:c r="L8240" i="2"/>
  <x:c r="K8241" i="2"/>
  <x:c r="L8241" i="2"/>
  <x:c r="K8242" i="2"/>
  <x:c r="L8242" i="2"/>
  <x:c r="K8243" i="2"/>
  <x:c r="L8243" i="2"/>
  <x:c r="K8244" i="2"/>
  <x:c r="L8244" i="2"/>
  <x:c r="K8245" i="2"/>
  <x:c r="L8245" i="2"/>
  <x:c r="K8246" i="2"/>
  <x:c r="L8246" i="2"/>
  <x:c r="K8247" i="2"/>
  <x:c r="L8247" i="2"/>
  <x:c r="K8248" i="2"/>
  <x:c r="L8248" i="2"/>
  <x:c r="K8249" i="2"/>
  <x:c r="L8249" i="2"/>
  <x:c r="K8250" i="2"/>
  <x:c r="L8250" i="2"/>
  <x:c r="K8251" i="2"/>
  <x:c r="L8251" i="2"/>
  <x:c r="K8252" i="2"/>
  <x:c r="L8252" i="2"/>
  <x:c r="K8253" i="2"/>
  <x:c r="L8253" i="2"/>
  <x:c r="K8254" i="2"/>
  <x:c r="L8254" i="2"/>
  <x:c r="K8255" i="2"/>
  <x:c r="L8255" i="2"/>
  <x:c r="K8256" i="2"/>
  <x:c r="L8256" i="2"/>
  <x:c r="K8257" i="2"/>
  <x:c r="L8257" i="2"/>
  <x:c r="K8258" i="2"/>
  <x:c r="L8258" i="2"/>
  <x:c r="K8259" i="2"/>
  <x:c r="L8259" i="2"/>
  <x:c r="K8260" i="2"/>
  <x:c r="L8260" i="2"/>
  <x:c r="K8261" i="2"/>
  <x:c r="L8261" i="2"/>
  <x:c r="K8262" i="2"/>
  <x:c r="L8262" i="2"/>
  <x:c r="K8263" i="2"/>
  <x:c r="L8263" i="2"/>
  <x:c r="K8264" i="2"/>
  <x:c r="L8264" i="2"/>
  <x:c r="K8265" i="2"/>
  <x:c r="L8265" i="2"/>
  <x:c r="K8266" i="2"/>
  <x:c r="L8266" i="2"/>
  <x:c r="K8267" i="2"/>
  <x:c r="L8267" i="2"/>
  <x:c r="K8268" i="2"/>
  <x:c r="L8268" i="2"/>
  <x:c r="K8269" i="2"/>
  <x:c r="L8269" i="2"/>
  <x:c r="K8270" i="2"/>
  <x:c r="L8270" i="2"/>
  <x:c r="K8271" i="2"/>
  <x:c r="L8271" i="2"/>
  <x:c r="K8272" i="2"/>
  <x:c r="L8272" i="2"/>
  <x:c r="K8273" i="2"/>
  <x:c r="L8273" i="2"/>
  <x:c r="K8274" i="2"/>
  <x:c r="L8274" i="2"/>
  <x:c r="K8275" i="2"/>
  <x:c r="L8275" i="2"/>
  <x:c r="K8276" i="2"/>
  <x:c r="L8276" i="2"/>
  <x:c r="K8277" i="2"/>
  <x:c r="L8277" i="2"/>
  <x:c r="K8278" i="2"/>
  <x:c r="L8278" i="2"/>
  <x:c r="K8279" i="2"/>
  <x:c r="L8279" i="2"/>
  <x:c r="K8280" i="2"/>
  <x:c r="L8280" i="2"/>
  <x:c r="K8281" i="2"/>
  <x:c r="L8281" i="2"/>
  <x:c r="K8282" i="2"/>
  <x:c r="L8282" i="2"/>
  <x:c r="K8283" i="2"/>
  <x:c r="L8283" i="2"/>
  <x:c r="K8284" i="2"/>
  <x:c r="L8284" i="2"/>
  <x:c r="K8285" i="2"/>
  <x:c r="L8285" i="2"/>
  <x:c r="K8286" i="2"/>
  <x:c r="L8286" i="2"/>
  <x:c r="K8287" i="2"/>
  <x:c r="L8287" i="2"/>
  <x:c r="K8288" i="2"/>
  <x:c r="L8288" i="2"/>
  <x:c r="K8289" i="2"/>
  <x:c r="L8289" i="2"/>
  <x:c r="K8290" i="2"/>
  <x:c r="L8290" i="2"/>
  <x:c r="K8291" i="2"/>
  <x:c r="L8291" i="2"/>
  <x:c r="K8292" i="2"/>
  <x:c r="L8292" i="2"/>
  <x:c r="K8293" i="2"/>
  <x:c r="L8293" i="2"/>
  <x:c r="K8294" i="2"/>
  <x:c r="L8294" i="2"/>
  <x:c r="K8295" i="2"/>
  <x:c r="L8295" i="2"/>
  <x:c r="K8296" i="2"/>
  <x:c r="L8296" i="2"/>
  <x:c r="K8297" i="2"/>
  <x:c r="L8297" i="2"/>
  <x:c r="K8298" i="2"/>
  <x:c r="L8298" i="2"/>
  <x:c r="K8299" i="2"/>
  <x:c r="L8299" i="2"/>
  <x:c r="K8300" i="2"/>
  <x:c r="L8300" i="2"/>
  <x:c r="K8301" i="2"/>
  <x:c r="L8301" i="2"/>
  <x:c r="K8302" i="2"/>
  <x:c r="L8302" i="2"/>
  <x:c r="K8303" i="2"/>
  <x:c r="L8303" i="2"/>
  <x:c r="K8304" i="2"/>
  <x:c r="L8304" i="2"/>
  <x:c r="K8305" i="2"/>
  <x:c r="L8305" i="2"/>
  <x:c r="K8306" i="2"/>
  <x:c r="L8306" i="2"/>
  <x:c r="K8307" i="2"/>
  <x:c r="L8307" i="2"/>
  <x:c r="K8308" i="2"/>
  <x:c r="L8308" i="2"/>
  <x:c r="K8309" i="2"/>
  <x:c r="L8309" i="2"/>
  <x:c r="K8310" i="2"/>
  <x:c r="L8310" i="2"/>
  <x:c r="K8311" i="2"/>
  <x:c r="L8311" i="2"/>
  <x:c r="K8312" i="2"/>
  <x:c r="L8312" i="2"/>
  <x:c r="K8313" i="2"/>
  <x:c r="L8313" i="2"/>
  <x:c r="K8314" i="2"/>
  <x:c r="L8314" i="2"/>
  <x:c r="K8315" i="2"/>
  <x:c r="L8315" i="2"/>
  <x:c r="K8316" i="2"/>
  <x:c r="L8316" i="2"/>
  <x:c r="K8317" i="2"/>
  <x:c r="L8317" i="2"/>
  <x:c r="K8318" i="2"/>
  <x:c r="L8318" i="2"/>
  <x:c r="K8319" i="2"/>
  <x:c r="L8319" i="2"/>
  <x:c r="K8320" i="2"/>
  <x:c r="L8320" i="2"/>
  <x:c r="K8321" i="2"/>
  <x:c r="L8321" i="2"/>
  <x:c r="K8322" i="2"/>
  <x:c r="L8322" i="2"/>
  <x:c r="K8323" i="2"/>
  <x:c r="L8323" i="2"/>
  <x:c r="K8324" i="2"/>
  <x:c r="L8324" i="2"/>
  <x:c r="K8325" i="2"/>
  <x:c r="L8325" i="2"/>
  <x:c r="K8326" i="2"/>
  <x:c r="L8326" i="2"/>
  <x:c r="K8327" i="2"/>
  <x:c r="L8327" i="2"/>
  <x:c r="K8328" i="2"/>
  <x:c r="L8328" i="2"/>
  <x:c r="K8329" i="2"/>
  <x:c r="L8329" i="2"/>
  <x:c r="K8330" i="2"/>
  <x:c r="L8330" i="2"/>
  <x:c r="K8331" i="2"/>
  <x:c r="L8331" i="2"/>
  <x:c r="K8332" i="2"/>
  <x:c r="L8332" i="2"/>
  <x:c r="K8333" i="2"/>
  <x:c r="L8333" i="2"/>
  <x:c r="K8334" i="2"/>
  <x:c r="L8334" i="2"/>
  <x:c r="K8335" i="2"/>
  <x:c r="L8335" i="2"/>
  <x:c r="K8336" i="2"/>
  <x:c r="L8336" i="2"/>
  <x:c r="K8337" i="2"/>
  <x:c r="L8337" i="2"/>
  <x:c r="K8338" i="2"/>
  <x:c r="L8338" i="2"/>
  <x:c r="K8339" i="2"/>
  <x:c r="L8339" i="2"/>
  <x:c r="K8340" i="2"/>
  <x:c r="L8340" i="2"/>
  <x:c r="K8341" i="2"/>
  <x:c r="L8341" i="2"/>
  <x:c r="K8342" i="2"/>
  <x:c r="L8342" i="2"/>
  <x:c r="K8343" i="2"/>
  <x:c r="L8343" i="2"/>
  <x:c r="K8344" i="2"/>
  <x:c r="L8344" i="2"/>
  <x:c r="K8345" i="2"/>
  <x:c r="L8345" i="2"/>
  <x:c r="K8346" i="2"/>
  <x:c r="L8346" i="2"/>
  <x:c r="K8347" i="2"/>
  <x:c r="L8347" i="2"/>
  <x:c r="K8348" i="2"/>
  <x:c r="L8348" i="2"/>
  <x:c r="K8349" i="2"/>
  <x:c r="L8349" i="2"/>
  <x:c r="K8350" i="2"/>
  <x:c r="L8350" i="2"/>
  <x:c r="K8351" i="2"/>
  <x:c r="L8351" i="2"/>
  <x:c r="K8352" i="2"/>
  <x:c r="L8352" i="2"/>
  <x:c r="K8353" i="2"/>
  <x:c r="L8353" i="2"/>
  <x:c r="K8354" i="2"/>
  <x:c r="L8354" i="2"/>
  <x:c r="K8355" i="2"/>
  <x:c r="L8355" i="2"/>
  <x:c r="K8356" i="2"/>
  <x:c r="L8356" i="2"/>
  <x:c r="K8357" i="2"/>
  <x:c r="L8357" i="2"/>
  <x:c r="K8358" i="2"/>
  <x:c r="L8358" i="2"/>
  <x:c r="K8359" i="2"/>
  <x:c r="L8359" i="2"/>
  <x:c r="K8360" i="2"/>
  <x:c r="L8360" i="2"/>
  <x:c r="K8361" i="2"/>
  <x:c r="L8361" i="2"/>
  <x:c r="K8362" i="2"/>
  <x:c r="L8362" i="2"/>
  <x:c r="K8363" i="2"/>
  <x:c r="L8363" i="2"/>
  <x:c r="K8364" i="2"/>
  <x:c r="L8364" i="2"/>
  <x:c r="K8365" i="2"/>
  <x:c r="L8365" i="2"/>
  <x:c r="K8366" i="2"/>
  <x:c r="L8366" i="2"/>
  <x:c r="K8367" i="2"/>
  <x:c r="L8367" i="2"/>
  <x:c r="K8368" i="2"/>
  <x:c r="L8368" i="2"/>
  <x:c r="K8369" i="2"/>
  <x:c r="L8369" i="2"/>
  <x:c r="K8370" i="2"/>
  <x:c r="L8370" i="2"/>
  <x:c r="K8371" i="2"/>
  <x:c r="L8371" i="2"/>
  <x:c r="K8372" i="2"/>
  <x:c r="L8372" i="2"/>
  <x:c r="K8373" i="2"/>
  <x:c r="L8373" i="2"/>
  <x:c r="K8374" i="2"/>
  <x:c r="L8374" i="2"/>
  <x:c r="K8375" i="2"/>
  <x:c r="L8375" i="2"/>
  <x:c r="K8376" i="2"/>
  <x:c r="L8376" i="2"/>
  <x:c r="K8377" i="2"/>
  <x:c r="L8377" i="2"/>
  <x:c r="K8378" i="2"/>
  <x:c r="L8378" i="2"/>
  <x:c r="K8379" i="2"/>
  <x:c r="L8379" i="2"/>
  <x:c r="K8380" i="2"/>
  <x:c r="L8380" i="2"/>
  <x:c r="K8381" i="2"/>
  <x:c r="L8381" i="2"/>
  <x:c r="K8382" i="2"/>
  <x:c r="L8382" i="2"/>
  <x:c r="K8383" i="2"/>
  <x:c r="L8383" i="2"/>
  <x:c r="K8384" i="2"/>
  <x:c r="L8384" i="2"/>
  <x:c r="K8385" i="2"/>
  <x:c r="L8385" i="2"/>
  <x:c r="K8386" i="2"/>
  <x:c r="L8386" i="2"/>
  <x:c r="K8387" i="2"/>
  <x:c r="L8387" i="2"/>
  <x:c r="K8388" i="2"/>
  <x:c r="L8388" i="2"/>
  <x:c r="K8389" i="2"/>
  <x:c r="L8389" i="2"/>
  <x:c r="K8390" i="2"/>
  <x:c r="L8390" i="2"/>
  <x:c r="K8391" i="2"/>
  <x:c r="L8391" i="2"/>
  <x:c r="K8392" i="2"/>
  <x:c r="L8392" i="2"/>
  <x:c r="K8393" i="2"/>
  <x:c r="L8393" i="2"/>
  <x:c r="K8394" i="2"/>
  <x:c r="L8394" i="2"/>
  <x:c r="K8395" i="2"/>
  <x:c r="L8395" i="2"/>
  <x:c r="K8396" i="2"/>
  <x:c r="L8396" i="2"/>
  <x:c r="K8397" i="2"/>
  <x:c r="L8397" i="2"/>
  <x:c r="K8398" i="2"/>
  <x:c r="L8398" i="2"/>
  <x:c r="K8399" i="2"/>
  <x:c r="L8399" i="2"/>
  <x:c r="K8400" i="2"/>
  <x:c r="L8400" i="2"/>
  <x:c r="K8401" i="2"/>
  <x:c r="L8401" i="2"/>
  <x:c r="K8402" i="2"/>
  <x:c r="L8402" i="2"/>
  <x:c r="K8403" i="2"/>
  <x:c r="L8403" i="2"/>
  <x:c r="K8404" i="2"/>
  <x:c r="L8404" i="2"/>
  <x:c r="K8405" i="2"/>
  <x:c r="L8405" i="2"/>
  <x:c r="K8406" i="2"/>
  <x:c r="L8406" i="2"/>
  <x:c r="K8407" i="2"/>
  <x:c r="L8407" i="2"/>
  <x:c r="K8408" i="2"/>
  <x:c r="L8408" i="2"/>
  <x:c r="K8409" i="2"/>
  <x:c r="L8409" i="2"/>
  <x:c r="K8410" i="2"/>
  <x:c r="L8410" i="2"/>
  <x:c r="K8411" i="2"/>
  <x:c r="L8411" i="2"/>
  <x:c r="K8412" i="2"/>
  <x:c r="L8412" i="2"/>
  <x:c r="K8413" i="2"/>
  <x:c r="L8413" i="2"/>
  <x:c r="K8414" i="2"/>
  <x:c r="L8414" i="2"/>
  <x:c r="K8415" i="2"/>
  <x:c r="L8415" i="2"/>
  <x:c r="K8416" i="2"/>
  <x:c r="L8416" i="2"/>
  <x:c r="K8417" i="2"/>
  <x:c r="L8417" i="2"/>
  <x:c r="K8418" i="2"/>
  <x:c r="L8418" i="2"/>
  <x:c r="K8419" i="2"/>
  <x:c r="L8419" i="2"/>
  <x:c r="K8420" i="2"/>
  <x:c r="L8420" i="2"/>
  <x:c r="K8421" i="2"/>
  <x:c r="L8421" i="2"/>
  <x:c r="K8422" i="2"/>
  <x:c r="L8422" i="2"/>
  <x:c r="K8423" i="2"/>
  <x:c r="L8423" i="2"/>
  <x:c r="K8424" i="2"/>
  <x:c r="L8424" i="2"/>
  <x:c r="K8425" i="2"/>
  <x:c r="L8425" i="2"/>
  <x:c r="K8426" i="2"/>
  <x:c r="L8426" i="2"/>
  <x:c r="K8427" i="2"/>
  <x:c r="L8427" i="2"/>
  <x:c r="K8428" i="2"/>
  <x:c r="L8428" i="2"/>
  <x:c r="K8429" i="2"/>
  <x:c r="L8429" i="2"/>
  <x:c r="K8430" i="2"/>
  <x:c r="L8430" i="2"/>
  <x:c r="K8431" i="2"/>
  <x:c r="L8431" i="2"/>
  <x:c r="K8432" i="2"/>
  <x:c r="L8432" i="2"/>
  <x:c r="K8433" i="2"/>
  <x:c r="L8433" i="2"/>
  <x:c r="K8434" i="2"/>
  <x:c r="L8434" i="2"/>
  <x:c r="K8435" i="2"/>
  <x:c r="L8435" i="2"/>
  <x:c r="K8436" i="2"/>
  <x:c r="L8436" i="2"/>
  <x:c r="K8437" i="2"/>
  <x:c r="L8437" i="2"/>
  <x:c r="K8438" i="2"/>
  <x:c r="L8438" i="2"/>
  <x:c r="K8439" i="2"/>
  <x:c r="L8439" i="2"/>
  <x:c r="K8440" i="2"/>
  <x:c r="L8440" i="2"/>
  <x:c r="K8441" i="2"/>
  <x:c r="L8441" i="2"/>
  <x:c r="K8442" i="2"/>
  <x:c r="L8442" i="2"/>
  <x:c r="K8443" i="2"/>
  <x:c r="L8443" i="2"/>
  <x:c r="K8444" i="2"/>
  <x:c r="L8444" i="2"/>
  <x:c r="K8445" i="2"/>
  <x:c r="L8445" i="2"/>
  <x:c r="K8446" i="2"/>
  <x:c r="L8446" i="2"/>
  <x:c r="K8447" i="2"/>
  <x:c r="L8447" i="2"/>
  <x:c r="K8448" i="2"/>
  <x:c r="L8448" i="2"/>
  <x:c r="K8449" i="2"/>
  <x:c r="L8449" i="2"/>
  <x:c r="K8450" i="2"/>
  <x:c r="L8450" i="2"/>
  <x:c r="K8451" i="2"/>
  <x:c r="L8451" i="2"/>
  <x:c r="K8452" i="2"/>
  <x:c r="L8452" i="2"/>
  <x:c r="K8453" i="2"/>
  <x:c r="L8453" i="2"/>
  <x:c r="K8454" i="2"/>
  <x:c r="L8454" i="2"/>
  <x:c r="K8455" i="2"/>
  <x:c r="L8455" i="2"/>
  <x:c r="K8456" i="2"/>
  <x:c r="L8456" i="2"/>
  <x:c r="K8457" i="2"/>
  <x:c r="L8457" i="2"/>
  <x:c r="K8458" i="2"/>
  <x:c r="L8458" i="2"/>
  <x:c r="K8459" i="2"/>
  <x:c r="L8459" i="2"/>
  <x:c r="K8460" i="2"/>
  <x:c r="L8460" i="2"/>
  <x:c r="K8461" i="2"/>
  <x:c r="L8461" i="2"/>
  <x:c r="K8462" i="2"/>
  <x:c r="L8462" i="2"/>
  <x:c r="K8463" i="2"/>
  <x:c r="L8463" i="2"/>
  <x:c r="K8464" i="2"/>
  <x:c r="L8464" i="2"/>
  <x:c r="K8465" i="2"/>
  <x:c r="L8465" i="2"/>
  <x:c r="K8466" i="2"/>
  <x:c r="L8466" i="2"/>
  <x:c r="K8467" i="2"/>
  <x:c r="L8467" i="2"/>
  <x:c r="K8468" i="2"/>
  <x:c r="L8468" i="2"/>
  <x:c r="K8469" i="2"/>
  <x:c r="L8469" i="2"/>
  <x:c r="K8470" i="2"/>
  <x:c r="L8470" i="2"/>
  <x:c r="K8471" i="2"/>
  <x:c r="L8471" i="2"/>
  <x:c r="K8472" i="2"/>
  <x:c r="L8472" i="2"/>
  <x:c r="K8473" i="2"/>
  <x:c r="L8473" i="2"/>
  <x:c r="K8474" i="2"/>
  <x:c r="L8474" i="2"/>
  <x:c r="K8475" i="2"/>
  <x:c r="L8475" i="2"/>
  <x:c r="K8476" i="2"/>
  <x:c r="L8476" i="2"/>
  <x:c r="K8477" i="2"/>
  <x:c r="L8477" i="2"/>
  <x:c r="K8478" i="2"/>
  <x:c r="L8478" i="2"/>
  <x:c r="K8479" i="2"/>
  <x:c r="L8479" i="2"/>
  <x:c r="K8480" i="2"/>
  <x:c r="L8480" i="2"/>
  <x:c r="K8481" i="2"/>
  <x:c r="L8481" i="2"/>
  <x:c r="K8482" i="2"/>
  <x:c r="L8482" i="2"/>
  <x:c r="K8483" i="2"/>
  <x:c r="L8483" i="2"/>
  <x:c r="K8484" i="2"/>
  <x:c r="L8484" i="2"/>
  <x:c r="K8485" i="2"/>
  <x:c r="L8485" i="2"/>
  <x:c r="K8486" i="2"/>
  <x:c r="L8486" i="2"/>
  <x:c r="K8487" i="2"/>
  <x:c r="L8487" i="2"/>
  <x:c r="K8488" i="2"/>
  <x:c r="L8488" i="2"/>
  <x:c r="K8489" i="2"/>
  <x:c r="L8489" i="2"/>
  <x:c r="K8490" i="2"/>
  <x:c r="L8490" i="2"/>
  <x:c r="K8491" i="2"/>
  <x:c r="L8491" i="2"/>
  <x:c r="K8492" i="2"/>
  <x:c r="L8492" i="2"/>
  <x:c r="K8493" i="2"/>
  <x:c r="L8493" i="2"/>
  <x:c r="K8494" i="2"/>
  <x:c r="L8494" i="2"/>
  <x:c r="K8495" i="2"/>
  <x:c r="L8495" i="2"/>
  <x:c r="K8496" i="2"/>
  <x:c r="L8496" i="2"/>
  <x:c r="K8497" i="2"/>
  <x:c r="L8497" i="2"/>
  <x:c r="K8498" i="2"/>
  <x:c r="L8498" i="2"/>
  <x:c r="K8499" i="2"/>
  <x:c r="L8499" i="2"/>
  <x:c r="K8500" i="2"/>
  <x:c r="L8500" i="2"/>
  <x:c r="K8501" i="2"/>
  <x:c r="L8501" i="2"/>
  <x:c r="K8502" i="2"/>
  <x:c r="L8502" i="2"/>
  <x:c r="K8503" i="2"/>
  <x:c r="L8503" i="2"/>
  <x:c r="K8504" i="2"/>
  <x:c r="L8504" i="2"/>
  <x:c r="K8505" i="2"/>
  <x:c r="L8505" i="2"/>
  <x:c r="K8506" i="2"/>
  <x:c r="L8506" i="2"/>
  <x:c r="K8507" i="2"/>
  <x:c r="L8507" i="2"/>
  <x:c r="K8508" i="2"/>
  <x:c r="L8508" i="2"/>
  <x:c r="K8509" i="2"/>
  <x:c r="L8509" i="2"/>
  <x:c r="K8510" i="2"/>
  <x:c r="L8510" i="2"/>
  <x:c r="K8511" i="2"/>
  <x:c r="L8511" i="2"/>
  <x:c r="K8512" i="2"/>
  <x:c r="L8512" i="2"/>
  <x:c r="K8513" i="2"/>
  <x:c r="L8513" i="2"/>
  <x:c r="K8514" i="2"/>
  <x:c r="L8514" i="2"/>
  <x:c r="K8515" i="2"/>
  <x:c r="L8515" i="2"/>
  <x:c r="K8516" i="2"/>
  <x:c r="L8516" i="2"/>
  <x:c r="K8517" i="2"/>
  <x:c r="L8517" i="2"/>
  <x:c r="K8518" i="2"/>
  <x:c r="L8518" i="2"/>
  <x:c r="K8519" i="2"/>
  <x:c r="L8519" i="2"/>
  <x:c r="K8520" i="2"/>
  <x:c r="L8520" i="2"/>
  <x:c r="K8521" i="2"/>
  <x:c r="L8521" i="2"/>
  <x:c r="K8522" i="2"/>
  <x:c r="L8522" i="2"/>
  <x:c r="K8523" i="2"/>
  <x:c r="L8523" i="2"/>
  <x:c r="K8524" i="2"/>
  <x:c r="L8524" i="2"/>
  <x:c r="K8525" i="2"/>
  <x:c r="L8525" i="2"/>
  <x:c r="K8526" i="2"/>
  <x:c r="L8526" i="2"/>
  <x:c r="K8527" i="2"/>
  <x:c r="L8527" i="2"/>
  <x:c r="K8528" i="2"/>
  <x:c r="L8528" i="2"/>
  <x:c r="K8529" i="2"/>
  <x:c r="L8529" i="2"/>
  <x:c r="K8530" i="2"/>
  <x:c r="L8530" i="2"/>
  <x:c r="K8531" i="2"/>
  <x:c r="L8531" i="2"/>
  <x:c r="K8532" i="2"/>
  <x:c r="L8532" i="2"/>
  <x:c r="K8533" i="2"/>
  <x:c r="L8533" i="2"/>
  <x:c r="K8534" i="2"/>
  <x:c r="L8534" i="2"/>
  <x:c r="K8535" i="2"/>
  <x:c r="L8535" i="2"/>
  <x:c r="K8536" i="2"/>
  <x:c r="L8536" i="2"/>
  <x:c r="K8537" i="2"/>
  <x:c r="L8537" i="2"/>
  <x:c r="K8538" i="2"/>
  <x:c r="L8538" i="2"/>
  <x:c r="K8539" i="2"/>
  <x:c r="L8539" i="2"/>
  <x:c r="K8540" i="2"/>
  <x:c r="L8540" i="2"/>
  <x:c r="K8541" i="2"/>
  <x:c r="L8541" i="2"/>
  <x:c r="K8542" i="2"/>
  <x:c r="L8542" i="2"/>
  <x:c r="K8543" i="2"/>
  <x:c r="L8543" i="2"/>
  <x:c r="K8544" i="2"/>
  <x:c r="L8544" i="2"/>
  <x:c r="K8545" i="2"/>
  <x:c r="L8545" i="2"/>
  <x:c r="K8546" i="2"/>
  <x:c r="L8546" i="2"/>
  <x:c r="K8547" i="2"/>
  <x:c r="L8547" i="2"/>
  <x:c r="K8548" i="2"/>
  <x:c r="L8548" i="2"/>
  <x:c r="K8549" i="2"/>
  <x:c r="L8549" i="2"/>
  <x:c r="K8550" i="2"/>
  <x:c r="L8550" i="2"/>
  <x:c r="K8551" i="2"/>
  <x:c r="L8551" i="2"/>
  <x:c r="K8552" i="2"/>
  <x:c r="L8552" i="2"/>
  <x:c r="K8553" i="2"/>
  <x:c r="L8553" i="2"/>
  <x:c r="K8554" i="2"/>
  <x:c r="L8554" i="2"/>
  <x:c r="K8555" i="2"/>
  <x:c r="L8555" i="2"/>
  <x:c r="K8556" i="2"/>
  <x:c r="L8556" i="2"/>
  <x:c r="K8557" i="2"/>
  <x:c r="L8557" i="2"/>
  <x:c r="K8558" i="2"/>
  <x:c r="L8558" i="2"/>
  <x:c r="K8559" i="2"/>
  <x:c r="L8559" i="2"/>
  <x:c r="K8560" i="2"/>
  <x:c r="L8560" i="2"/>
  <x:c r="K8561" i="2"/>
  <x:c r="L8561" i="2"/>
  <x:c r="K8562" i="2"/>
  <x:c r="L8562" i="2"/>
  <x:c r="K8563" i="2"/>
  <x:c r="L8563" i="2"/>
  <x:c r="K8564" i="2"/>
  <x:c r="L8564" i="2"/>
  <x:c r="K8565" i="2"/>
  <x:c r="L8565" i="2"/>
  <x:c r="K8566" i="2"/>
  <x:c r="L8566" i="2"/>
  <x:c r="K8567" i="2"/>
  <x:c r="L8567" i="2"/>
  <x:c r="K8568" i="2"/>
  <x:c r="L8568" i="2"/>
  <x:c r="K8569" i="2"/>
  <x:c r="L8569" i="2"/>
  <x:c r="K8570" i="2"/>
  <x:c r="L8570" i="2"/>
  <x:c r="K8571" i="2"/>
  <x:c r="L8571" i="2"/>
  <x:c r="K8572" i="2"/>
  <x:c r="L8572" i="2"/>
  <x:c r="K8573" i="2"/>
  <x:c r="L8573" i="2"/>
  <x:c r="K8574" i="2"/>
  <x:c r="L8574" i="2"/>
  <x:c r="K8575" i="2"/>
  <x:c r="L8575" i="2"/>
  <x:c r="K8576" i="2"/>
  <x:c r="L8576" i="2"/>
  <x:c r="K8577" i="2"/>
  <x:c r="L8577" i="2"/>
  <x:c r="K8578" i="2"/>
  <x:c r="L8578" i="2"/>
  <x:c r="K8579" i="2"/>
  <x:c r="L8579" i="2"/>
  <x:c r="K8580" i="2"/>
  <x:c r="L8580" i="2"/>
  <x:c r="K8581" i="2"/>
  <x:c r="L8581" i="2"/>
  <x:c r="K8582" i="2"/>
  <x:c r="L8582" i="2"/>
  <x:c r="K8583" i="2"/>
  <x:c r="L8583" i="2"/>
  <x:c r="K8584" i="2"/>
  <x:c r="L8584" i="2"/>
  <x:c r="K8585" i="2"/>
  <x:c r="L8585" i="2"/>
  <x:c r="K8586" i="2"/>
  <x:c r="L8586" i="2"/>
  <x:c r="K8587" i="2"/>
  <x:c r="L8587" i="2"/>
  <x:c r="K8588" i="2"/>
  <x:c r="L8588" i="2"/>
  <x:c r="K8589" i="2"/>
  <x:c r="L8589" i="2"/>
  <x:c r="K8590" i="2"/>
  <x:c r="L8590" i="2"/>
  <x:c r="K8591" i="2"/>
  <x:c r="L8591" i="2"/>
  <x:c r="K8592" i="2"/>
  <x:c r="L8592" i="2"/>
  <x:c r="K8593" i="2"/>
  <x:c r="L8593" i="2"/>
  <x:c r="K8594" i="2"/>
  <x:c r="L8594" i="2"/>
  <x:c r="K8595" i="2"/>
  <x:c r="L8595" i="2"/>
  <x:c r="K8596" i="2"/>
  <x:c r="L8596" i="2"/>
  <x:c r="K8597" i="2"/>
  <x:c r="L8597" i="2"/>
  <x:c r="K8598" i="2"/>
  <x:c r="L8598" i="2"/>
  <x:c r="K8599" i="2"/>
  <x:c r="L8599" i="2"/>
  <x:c r="K8600" i="2"/>
  <x:c r="L8600" i="2"/>
  <x:c r="K8601" i="2"/>
  <x:c r="L8601" i="2"/>
  <x:c r="K8602" i="2"/>
  <x:c r="L8602" i="2"/>
  <x:c r="K8603" i="2"/>
  <x:c r="L8603" i="2"/>
  <x:c r="K8604" i="2"/>
  <x:c r="L8604" i="2"/>
  <x:c r="K8605" i="2"/>
  <x:c r="L8605" i="2"/>
  <x:c r="K8606" i="2"/>
  <x:c r="L8606" i="2"/>
  <x:c r="K8607" i="2"/>
  <x:c r="L8607" i="2"/>
  <x:c r="K8608" i="2"/>
  <x:c r="L8608" i="2"/>
  <x:c r="K8609" i="2"/>
  <x:c r="L8609" i="2"/>
  <x:c r="K8610" i="2"/>
  <x:c r="L8610" i="2"/>
  <x:c r="K8611" i="2"/>
  <x:c r="L8611" i="2"/>
  <x:c r="K8612" i="2"/>
  <x:c r="L8612" i="2"/>
  <x:c r="K8613" i="2"/>
  <x:c r="L8613" i="2"/>
  <x:c r="K8614" i="2"/>
  <x:c r="L8614" i="2"/>
  <x:c r="K8615" i="2"/>
  <x:c r="L8615" i="2"/>
  <x:c r="K8616" i="2"/>
  <x:c r="L8616" i="2"/>
  <x:c r="K8617" i="2"/>
  <x:c r="L8617" i="2"/>
  <x:c r="K8618" i="2"/>
  <x:c r="L8618" i="2"/>
  <x:c r="K8619" i="2"/>
  <x:c r="L8619" i="2"/>
  <x:c r="K8620" i="2"/>
  <x:c r="L8620" i="2"/>
  <x:c r="K8621" i="2"/>
  <x:c r="L8621" i="2"/>
  <x:c r="K8622" i="2"/>
  <x:c r="L8622" i="2"/>
  <x:c r="K8623" i="2"/>
  <x:c r="L8623" i="2"/>
  <x:c r="K8624" i="2"/>
  <x:c r="L8624" i="2"/>
  <x:c r="K8625" i="2"/>
  <x:c r="L8625" i="2"/>
  <x:c r="K8626" i="2"/>
  <x:c r="L8626" i="2"/>
  <x:c r="K8627" i="2"/>
  <x:c r="L8627" i="2"/>
  <x:c r="K8628" i="2"/>
  <x:c r="L8628" i="2"/>
  <x:c r="K8629" i="2"/>
  <x:c r="L8629" i="2"/>
  <x:c r="K8630" i="2"/>
  <x:c r="L8630" i="2"/>
  <x:c r="K8631" i="2"/>
  <x:c r="L8631" i="2"/>
  <x:c r="K8632" i="2"/>
  <x:c r="L8632" i="2"/>
  <x:c r="K8633" i="2"/>
  <x:c r="L8633" i="2"/>
  <x:c r="K8634" i="2"/>
  <x:c r="L8634" i="2"/>
  <x:c r="K8635" i="2"/>
  <x:c r="L8635" i="2"/>
  <x:c r="K8636" i="2"/>
  <x:c r="L8636" i="2"/>
  <x:c r="K8637" i="2"/>
  <x:c r="L8637" i="2"/>
  <x:c r="K8638" i="2"/>
  <x:c r="L8638" i="2"/>
  <x:c r="K8639" i="2"/>
  <x:c r="L8639" i="2"/>
  <x:c r="K8640" i="2"/>
  <x:c r="L8640" i="2"/>
  <x:c r="K8641" i="2"/>
  <x:c r="L8641" i="2"/>
  <x:c r="K8642" i="2"/>
  <x:c r="L8642" i="2"/>
  <x:c r="K8643" i="2"/>
  <x:c r="L8643" i="2"/>
  <x:c r="K8644" i="2"/>
  <x:c r="L8644" i="2"/>
  <x:c r="K8645" i="2"/>
  <x:c r="L8645" i="2"/>
  <x:c r="K8646" i="2"/>
  <x:c r="L8646" i="2"/>
  <x:c r="K8647" i="2"/>
  <x:c r="L8647" i="2"/>
  <x:c r="K8648" i="2"/>
  <x:c r="L8648" i="2"/>
  <x:c r="K8649" i="2"/>
  <x:c r="L8649" i="2"/>
  <x:c r="K8650" i="2"/>
  <x:c r="L8650" i="2"/>
  <x:c r="K8651" i="2"/>
  <x:c r="L8651" i="2"/>
  <x:c r="K8652" i="2"/>
  <x:c r="L8652" i="2"/>
  <x:c r="K8653" i="2"/>
  <x:c r="L8653" i="2"/>
  <x:c r="K8654" i="2"/>
  <x:c r="L8654" i="2"/>
  <x:c r="K8655" i="2"/>
  <x:c r="L8655" i="2"/>
  <x:c r="K8656" i="2"/>
  <x:c r="L8656" i="2"/>
  <x:c r="K8657" i="2"/>
  <x:c r="L8657" i="2"/>
  <x:c r="K8658" i="2"/>
  <x:c r="L8658" i="2"/>
  <x:c r="K8659" i="2"/>
  <x:c r="L8659" i="2"/>
  <x:c r="K8660" i="2"/>
  <x:c r="L8660" i="2"/>
  <x:c r="K8661" i="2"/>
  <x:c r="L8661" i="2"/>
  <x:c r="K8662" i="2"/>
  <x:c r="L8662" i="2"/>
  <x:c r="K8663" i="2"/>
  <x:c r="L8663" i="2"/>
  <x:c r="K8664" i="2"/>
  <x:c r="L8664" i="2"/>
  <x:c r="K8665" i="2"/>
  <x:c r="L8665" i="2"/>
  <x:c r="K8666" i="2"/>
  <x:c r="L8666" i="2"/>
  <x:c r="K8667" i="2"/>
  <x:c r="L8667" i="2"/>
  <x:c r="K8668" i="2"/>
  <x:c r="L8668" i="2"/>
  <x:c r="K8669" i="2"/>
  <x:c r="L8669" i="2"/>
  <x:c r="K8670" i="2"/>
  <x:c r="L8670" i="2"/>
  <x:c r="K8671" i="2"/>
  <x:c r="L8671" i="2"/>
  <x:c r="K8672" i="2"/>
  <x:c r="L8672" i="2"/>
  <x:c r="K8673" i="2"/>
  <x:c r="L8673" i="2"/>
  <x:c r="K8674" i="2"/>
  <x:c r="L8674" i="2"/>
  <x:c r="K8675" i="2"/>
  <x:c r="L8675" i="2"/>
  <x:c r="K8676" i="2"/>
  <x:c r="L8676" i="2"/>
  <x:c r="K8677" i="2"/>
  <x:c r="L8677" i="2"/>
  <x:c r="K8678" i="2"/>
  <x:c r="L8678" i="2"/>
  <x:c r="K8679" i="2"/>
  <x:c r="L8679" i="2"/>
  <x:c r="K8680" i="2"/>
  <x:c r="L8680" i="2"/>
  <x:c r="K8681" i="2"/>
  <x:c r="L8681" i="2"/>
  <x:c r="K8682" i="2"/>
  <x:c r="L8682" i="2"/>
  <x:c r="K8683" i="2"/>
  <x:c r="L8683" i="2"/>
  <x:c r="K8684" i="2"/>
  <x:c r="L8684" i="2"/>
  <x:c r="K8685" i="2"/>
  <x:c r="L8685" i="2"/>
  <x:c r="K8686" i="2"/>
  <x:c r="L8686" i="2"/>
  <x:c r="K8687" i="2"/>
  <x:c r="L8687" i="2"/>
  <x:c r="K8688" i="2"/>
  <x:c r="L8688" i="2"/>
  <x:c r="K8689" i="2"/>
  <x:c r="L8689" i="2"/>
  <x:c r="K8690" i="2"/>
  <x:c r="L8690" i="2"/>
  <x:c r="K8691" i="2"/>
  <x:c r="L8691" i="2"/>
  <x:c r="K8692" i="2"/>
  <x:c r="L8692" i="2"/>
  <x:c r="K8693" i="2"/>
  <x:c r="L8693" i="2"/>
  <x:c r="K8694" i="2"/>
  <x:c r="L8694" i="2"/>
  <x:c r="K8695" i="2"/>
  <x:c r="L8695" i="2"/>
  <x:c r="K8696" i="2"/>
  <x:c r="L8696" i="2"/>
  <x:c r="K8697" i="2"/>
  <x:c r="L8697" i="2"/>
  <x:c r="K8698" i="2"/>
  <x:c r="L8698" i="2"/>
  <x:c r="K8699" i="2"/>
  <x:c r="L8699" i="2"/>
  <x:c r="K8700" i="2"/>
  <x:c r="L8700" i="2"/>
  <x:c r="K8701" i="2"/>
  <x:c r="L8701" i="2"/>
  <x:c r="K8702" i="2"/>
  <x:c r="L8702" i="2"/>
  <x:c r="K8703" i="2"/>
  <x:c r="L8703" i="2"/>
  <x:c r="K8704" i="2"/>
  <x:c r="L8704" i="2"/>
  <x:c r="K8705" i="2"/>
  <x:c r="L8705" i="2"/>
  <x:c r="K8706" i="2"/>
  <x:c r="L8706" i="2"/>
  <x:c r="K8707" i="2"/>
  <x:c r="L8707" i="2"/>
  <x:c r="K8708" i="2"/>
  <x:c r="L8708" i="2"/>
  <x:c r="K8709" i="2"/>
  <x:c r="L8709" i="2"/>
  <x:c r="K8710" i="2"/>
  <x:c r="L8710" i="2"/>
  <x:c r="K8711" i="2"/>
  <x:c r="L8711" i="2"/>
  <x:c r="K8712" i="2"/>
  <x:c r="L8712" i="2"/>
  <x:c r="K8713" i="2"/>
  <x:c r="L8713" i="2"/>
  <x:c r="K8714" i="2"/>
  <x:c r="L8714" i="2"/>
  <x:c r="K8715" i="2"/>
  <x:c r="L8715" i="2"/>
  <x:c r="K8716" i="2"/>
  <x:c r="L8716" i="2"/>
  <x:c r="K8717" i="2"/>
  <x:c r="L8717" i="2"/>
  <x:c r="K8718" i="2"/>
  <x:c r="L8718" i="2"/>
  <x:c r="K8719" i="2"/>
  <x:c r="L8719" i="2"/>
  <x:c r="K8720" i="2"/>
  <x:c r="L8720" i="2"/>
  <x:c r="K8721" i="2"/>
  <x:c r="L8721" i="2"/>
  <x:c r="K8722" i="2"/>
  <x:c r="L8722" i="2"/>
  <x:c r="K8723" i="2"/>
  <x:c r="L8723" i="2"/>
  <x:c r="K8724" i="2"/>
  <x:c r="L8724" i="2"/>
  <x:c r="K8725" i="2"/>
  <x:c r="L8725" i="2"/>
  <x:c r="K8726" i="2"/>
  <x:c r="L8726" i="2"/>
  <x:c r="K8727" i="2"/>
  <x:c r="L8727" i="2"/>
  <x:c r="K8728" i="2"/>
  <x:c r="L8728" i="2"/>
  <x:c r="K8729" i="2"/>
  <x:c r="L8729" i="2"/>
  <x:c r="K8730" i="2"/>
  <x:c r="L8730" i="2"/>
  <x:c r="K8731" i="2"/>
  <x:c r="L8731" i="2"/>
  <x:c r="K8732" i="2"/>
  <x:c r="L8732" i="2"/>
  <x:c r="K8733" i="2"/>
  <x:c r="L8733" i="2"/>
  <x:c r="K8734" i="2"/>
  <x:c r="L8734" i="2"/>
  <x:c r="K8735" i="2"/>
  <x:c r="L8735" i="2"/>
  <x:c r="K8736" i="2"/>
  <x:c r="L8736" i="2"/>
  <x:c r="K8737" i="2"/>
  <x:c r="L8737" i="2"/>
  <x:c r="K8738" i="2"/>
  <x:c r="L8738" i="2"/>
  <x:c r="K8739" i="2"/>
  <x:c r="L8739" i="2"/>
  <x:c r="K8740" i="2"/>
  <x:c r="L8740" i="2"/>
  <x:c r="K8741" i="2"/>
  <x:c r="L8741" i="2"/>
  <x:c r="K8742" i="2"/>
  <x:c r="L8742" i="2"/>
  <x:c r="K8743" i="2"/>
  <x:c r="L8743" i="2"/>
  <x:c r="K8744" i="2"/>
  <x:c r="L8744" i="2"/>
  <x:c r="K8745" i="2"/>
  <x:c r="L8745" i="2"/>
  <x:c r="K8746" i="2"/>
  <x:c r="L8746" i="2"/>
  <x:c r="K8747" i="2"/>
  <x:c r="L8747" i="2"/>
  <x:c r="K8748" i="2"/>
  <x:c r="L8748" i="2"/>
  <x:c r="K8749" i="2"/>
  <x:c r="L8749" i="2"/>
  <x:c r="K8750" i="2"/>
  <x:c r="L8750" i="2"/>
  <x:c r="K8751" i="2"/>
  <x:c r="L8751" i="2"/>
  <x:c r="K8752" i="2"/>
  <x:c r="L8752" i="2"/>
  <x:c r="K8753" i="2"/>
  <x:c r="L8753" i="2"/>
  <x:c r="K8754" i="2"/>
  <x:c r="L8754" i="2"/>
  <x:c r="K8755" i="2"/>
  <x:c r="L8755" i="2"/>
  <x:c r="K8756" i="2"/>
  <x:c r="L8756" i="2"/>
  <x:c r="K8757" i="2"/>
  <x:c r="L8757" i="2"/>
  <x:c r="K8758" i="2"/>
  <x:c r="L8758" i="2"/>
  <x:c r="K8759" i="2"/>
  <x:c r="L8759" i="2"/>
  <x:c r="K8760" i="2"/>
  <x:c r="L8760" i="2"/>
  <x:c r="K8761" i="2"/>
  <x:c r="L8761" i="2"/>
  <x:c r="K8762" i="2"/>
  <x:c r="L8762" i="2"/>
  <x:c r="K8763" i="2"/>
  <x:c r="L8763" i="2"/>
  <x:c r="K8764" i="2"/>
  <x:c r="L8764" i="2"/>
  <x:c r="K8765" i="2"/>
  <x:c r="L8765" i="2"/>
  <x:c r="K8766" i="2"/>
  <x:c r="L8766" i="2"/>
  <x:c r="K8767" i="2"/>
  <x:c r="L8767" i="2"/>
  <x:c r="K8768" i="2"/>
  <x:c r="L8768" i="2"/>
  <x:c r="K8769" i="2"/>
  <x:c r="L8769" i="2"/>
  <x:c r="K8770" i="2"/>
  <x:c r="L8770" i="2"/>
  <x:c r="K8771" i="2"/>
  <x:c r="L8771" i="2"/>
  <x:c r="K8772" i="2"/>
  <x:c r="L8772" i="2"/>
  <x:c r="K8773" i="2"/>
  <x:c r="L8773" i="2"/>
  <x:c r="K8774" i="2"/>
  <x:c r="L8774" i="2"/>
  <x:c r="K8775" i="2"/>
  <x:c r="L8775" i="2"/>
  <x:c r="K8776" i="2"/>
  <x:c r="L8776" i="2"/>
  <x:c r="K8777" i="2"/>
  <x:c r="L8777" i="2"/>
  <x:c r="K8778" i="2"/>
  <x:c r="L8778" i="2"/>
  <x:c r="K8779" i="2"/>
  <x:c r="L8779" i="2"/>
  <x:c r="K8780" i="2"/>
  <x:c r="L8780" i="2"/>
  <x:c r="K8781" i="2"/>
  <x:c r="L8781" i="2"/>
  <x:c r="K8782" i="2"/>
  <x:c r="L8782" i="2"/>
  <x:c r="K8783" i="2"/>
  <x:c r="L8783" i="2"/>
  <x:c r="K8784" i="2"/>
  <x:c r="L8784" i="2"/>
  <x:c r="K8785" i="2"/>
  <x:c r="L8785" i="2"/>
  <x:c r="K8786" i="2"/>
  <x:c r="L8786" i="2"/>
  <x:c r="K8787" i="2"/>
  <x:c r="L8787" i="2"/>
  <x:c r="K8788" i="2"/>
  <x:c r="L8788" i="2"/>
  <x:c r="K8789" i="2"/>
  <x:c r="L8789" i="2"/>
  <x:c r="K8790" i="2"/>
  <x:c r="L8790" i="2"/>
  <x:c r="K8791" i="2"/>
  <x:c r="L8791" i="2"/>
  <x:c r="K8792" i="2"/>
  <x:c r="L8792" i="2"/>
  <x:c r="K8793" i="2"/>
  <x:c r="L8793" i="2"/>
  <x:c r="K8794" i="2"/>
  <x:c r="L8794" i="2"/>
  <x:c r="K8795" i="2"/>
  <x:c r="L8795" i="2"/>
  <x:c r="K8796" i="2"/>
  <x:c r="L8796" i="2"/>
  <x:c r="K8797" i="2"/>
  <x:c r="L8797" i="2"/>
  <x:c r="K8798" i="2"/>
  <x:c r="L8798" i="2"/>
  <x:c r="K8799" i="2"/>
  <x:c r="L8799" i="2"/>
  <x:c r="K8800" i="2"/>
  <x:c r="L8800" i="2"/>
  <x:c r="K8801" i="2"/>
  <x:c r="L8801" i="2"/>
  <x:c r="K8802" i="2"/>
  <x:c r="L8802" i="2"/>
  <x:c r="K8803" i="2"/>
  <x:c r="L8803" i="2"/>
  <x:c r="K8804" i="2"/>
  <x:c r="L8804" i="2"/>
  <x:c r="K8805" i="2"/>
  <x:c r="L8805" i="2"/>
  <x:c r="K8806" i="2"/>
  <x:c r="L8806" i="2"/>
  <x:c r="K8807" i="2"/>
  <x:c r="L8807" i="2"/>
  <x:c r="K8808" i="2"/>
  <x:c r="L8808" i="2"/>
  <x:c r="K8809" i="2"/>
  <x:c r="L8809" i="2"/>
  <x:c r="K8810" i="2"/>
  <x:c r="L8810" i="2"/>
  <x:c r="K8811" i="2"/>
  <x:c r="L8811" i="2"/>
  <x:c r="K8812" i="2"/>
  <x:c r="L8812" i="2"/>
  <x:c r="K8813" i="2"/>
  <x:c r="L8813" i="2"/>
  <x:c r="K8814" i="2"/>
  <x:c r="L8814" i="2"/>
  <x:c r="K8815" i="2"/>
  <x:c r="L8815" i="2"/>
  <x:c r="K8816" i="2"/>
  <x:c r="L8816" i="2"/>
  <x:c r="K8817" i="2"/>
  <x:c r="L8817" i="2"/>
  <x:c r="K8818" i="2"/>
  <x:c r="L8818" i="2"/>
  <x:c r="K8819" i="2"/>
  <x:c r="L8819" i="2"/>
  <x:c r="K8820" i="2"/>
  <x:c r="L8820" i="2"/>
  <x:c r="K8821" i="2"/>
  <x:c r="L8821" i="2"/>
  <x:c r="K8822" i="2"/>
  <x:c r="L8822" i="2"/>
  <x:c r="K8823" i="2"/>
  <x:c r="L8823" i="2"/>
  <x:c r="K8824" i="2"/>
  <x:c r="L8824" i="2"/>
  <x:c r="K8825" i="2"/>
  <x:c r="L8825" i="2"/>
  <x:c r="K8826" i="2"/>
  <x:c r="L8826" i="2"/>
  <x:c r="K8827" i="2"/>
  <x:c r="L8827" i="2"/>
  <x:c r="K8828" i="2"/>
  <x:c r="L8828" i="2"/>
  <x:c r="K8829" i="2"/>
  <x:c r="L8829" i="2"/>
  <x:c r="K8830" i="2"/>
  <x:c r="L8830" i="2"/>
  <x:c r="K8831" i="2"/>
  <x:c r="L8831" i="2"/>
  <x:c r="K8832" i="2"/>
  <x:c r="L8832" i="2"/>
  <x:c r="K8833" i="2"/>
  <x:c r="L8833" i="2"/>
  <x:c r="K8834" i="2"/>
  <x:c r="L8834" i="2"/>
  <x:c r="K8835" i="2"/>
  <x:c r="L8835" i="2"/>
  <x:c r="K8836" i="2"/>
  <x:c r="L8836" i="2"/>
  <x:c r="K8837" i="2"/>
  <x:c r="L8837" i="2"/>
  <x:c r="K8838" i="2"/>
  <x:c r="L8838" i="2"/>
  <x:c r="K8839" i="2"/>
  <x:c r="L8839" i="2"/>
  <x:c r="K8840" i="2"/>
  <x:c r="L8840" i="2"/>
  <x:c r="K8841" i="2"/>
  <x:c r="L8841" i="2"/>
  <x:c r="K8842" i="2"/>
  <x:c r="L8842" i="2"/>
  <x:c r="K8843" i="2"/>
  <x:c r="L8843" i="2"/>
  <x:c r="K8844" i="2"/>
  <x:c r="L8844" i="2"/>
  <x:c r="K8845" i="2"/>
  <x:c r="L8845" i="2"/>
  <x:c r="K8846" i="2"/>
  <x:c r="L8846" i="2"/>
  <x:c r="K8847" i="2"/>
  <x:c r="L8847" i="2"/>
  <x:c r="K8848" i="2"/>
  <x:c r="L8848" i="2"/>
  <x:c r="K8849" i="2"/>
  <x:c r="L8849" i="2"/>
  <x:c r="K8850" i="2"/>
  <x:c r="L8850" i="2"/>
  <x:c r="K8851" i="2"/>
  <x:c r="L8851" i="2"/>
  <x:c r="K8852" i="2"/>
  <x:c r="L8852" i="2"/>
  <x:c r="K8853" i="2"/>
  <x:c r="L8853" i="2"/>
  <x:c r="K8854" i="2"/>
  <x:c r="L8854" i="2"/>
  <x:c r="K8855" i="2"/>
  <x:c r="L8855" i="2"/>
  <x:c r="K8856" i="2"/>
  <x:c r="L8856" i="2"/>
  <x:c r="K8857" i="2"/>
  <x:c r="L8857" i="2"/>
  <x:c r="K8858" i="2"/>
  <x:c r="L8858" i="2"/>
  <x:c r="K8859" i="2"/>
  <x:c r="L8859" i="2"/>
  <x:c r="K8860" i="2"/>
  <x:c r="L8860" i="2"/>
  <x:c r="K8861" i="2"/>
  <x:c r="L8861" i="2"/>
  <x:c r="K8862" i="2"/>
  <x:c r="L8862" i="2"/>
  <x:c r="K8863" i="2"/>
  <x:c r="L8863" i="2"/>
  <x:c r="K8864" i="2"/>
  <x:c r="L8864" i="2"/>
  <x:c r="K8865" i="2"/>
  <x:c r="L8865" i="2"/>
  <x:c r="K8866" i="2"/>
  <x:c r="L8866" i="2"/>
  <x:c r="K8867" i="2"/>
  <x:c r="L8867" i="2"/>
  <x:c r="K8868" i="2"/>
  <x:c r="L8868" i="2"/>
  <x:c r="K8869" i="2"/>
  <x:c r="L8869" i="2"/>
  <x:c r="K8870" i="2"/>
  <x:c r="L8870" i="2"/>
  <x:c r="K8871" i="2"/>
  <x:c r="L8871" i="2"/>
  <x:c r="K8872" i="2"/>
  <x:c r="L8872" i="2"/>
  <x:c r="K8873" i="2"/>
  <x:c r="L8873" i="2"/>
  <x:c r="K8874" i="2"/>
  <x:c r="L8874" i="2"/>
  <x:c r="K8875" i="2"/>
  <x:c r="L8875" i="2"/>
  <x:c r="K8876" i="2"/>
  <x:c r="L8876" i="2"/>
  <x:c r="K8877" i="2"/>
  <x:c r="L8877" i="2"/>
  <x:c r="K8878" i="2"/>
  <x:c r="L8878" i="2"/>
  <x:c r="K8879" i="2"/>
  <x:c r="L8879" i="2"/>
  <x:c r="K8880" i="2"/>
  <x:c r="L8880" i="2"/>
  <x:c r="K8881" i="2"/>
  <x:c r="L8881" i="2"/>
  <x:c r="K8882" i="2"/>
  <x:c r="L8882" i="2"/>
  <x:c r="K8883" i="2"/>
  <x:c r="L8883" i="2"/>
  <x:c r="K8884" i="2"/>
  <x:c r="L8884" i="2"/>
  <x:c r="K8885" i="2"/>
  <x:c r="L8885" i="2"/>
  <x:c r="K8886" i="2"/>
  <x:c r="L8886" i="2"/>
  <x:c r="K8887" i="2"/>
  <x:c r="L8887" i="2"/>
  <x:c r="K8888" i="2"/>
  <x:c r="L8888" i="2"/>
  <x:c r="K8889" i="2"/>
  <x:c r="L8889" i="2"/>
  <x:c r="K8890" i="2"/>
  <x:c r="L8890" i="2"/>
  <x:c r="K8891" i="2"/>
  <x:c r="L8891" i="2"/>
  <x:c r="K8892" i="2"/>
  <x:c r="L8892" i="2"/>
  <x:c r="K8893" i="2"/>
  <x:c r="L8893" i="2"/>
  <x:c r="K8894" i="2"/>
  <x:c r="L8894" i="2"/>
  <x:c r="K8895" i="2"/>
  <x:c r="L8895" i="2"/>
  <x:c r="K8896" i="2"/>
  <x:c r="L8896" i="2"/>
  <x:c r="K8897" i="2"/>
  <x:c r="L8897" i="2"/>
  <x:c r="K8898" i="2"/>
  <x:c r="L8898" i="2"/>
  <x:c r="K8899" i="2"/>
  <x:c r="L8899" i="2"/>
  <x:c r="K8900" i="2"/>
  <x:c r="L8900" i="2"/>
  <x:c r="K8901" i="2"/>
  <x:c r="L8901" i="2"/>
  <x:c r="K8902" i="2"/>
  <x:c r="L8902" i="2"/>
  <x:c r="K8903" i="2"/>
  <x:c r="L8903" i="2"/>
  <x:c r="K8904" i="2"/>
  <x:c r="L8904" i="2"/>
  <x:c r="K8905" i="2"/>
  <x:c r="L8905" i="2"/>
  <x:c r="K8906" i="2"/>
  <x:c r="L8906" i="2"/>
  <x:c r="K8907" i="2"/>
  <x:c r="L8907" i="2"/>
  <x:c r="K8908" i="2"/>
  <x:c r="L8908" i="2"/>
  <x:c r="K8909" i="2"/>
  <x:c r="L8909" i="2"/>
  <x:c r="K8910" i="2"/>
  <x:c r="L8910" i="2"/>
  <x:c r="K8911" i="2"/>
  <x:c r="L8911" i="2"/>
  <x:c r="K8912" i="2"/>
  <x:c r="L8912" i="2"/>
  <x:c r="K8913" i="2"/>
  <x:c r="L8913" i="2"/>
  <x:c r="K8914" i="2"/>
  <x:c r="L8914" i="2"/>
  <x:c r="K8915" i="2"/>
  <x:c r="L8915" i="2"/>
  <x:c r="K8916" i="2"/>
  <x:c r="L8916" i="2"/>
  <x:c r="K8917" i="2"/>
  <x:c r="L8917" i="2"/>
  <x:c r="K8918" i="2"/>
  <x:c r="L8918" i="2"/>
  <x:c r="K8919" i="2"/>
  <x:c r="L8919" i="2"/>
  <x:c r="K8920" i="2"/>
  <x:c r="L8920" i="2"/>
  <x:c r="K8921" i="2"/>
  <x:c r="L8921" i="2"/>
  <x:c r="K8922" i="2"/>
  <x:c r="L8922" i="2"/>
  <x:c r="K8923" i="2"/>
  <x:c r="L8923" i="2"/>
  <x:c r="K8924" i="2"/>
  <x:c r="L8924" i="2"/>
  <x:c r="K8925" i="2"/>
  <x:c r="L8925" i="2"/>
  <x:c r="K8926" i="2"/>
  <x:c r="L8926" i="2"/>
  <x:c r="K8927" i="2"/>
  <x:c r="L8927" i="2"/>
  <x:c r="K8928" i="2"/>
  <x:c r="L8928" i="2"/>
  <x:c r="K8929" i="2"/>
  <x:c r="L8929" i="2"/>
  <x:c r="K8930" i="2"/>
  <x:c r="L8930" i="2"/>
  <x:c r="K8931" i="2"/>
  <x:c r="L8931" i="2"/>
  <x:c r="K8932" i="2"/>
  <x:c r="L8932" i="2"/>
  <x:c r="K8933" i="2"/>
  <x:c r="L8933" i="2"/>
  <x:c r="K8934" i="2"/>
  <x:c r="L8934" i="2"/>
  <x:c r="K8935" i="2"/>
  <x:c r="L8935" i="2"/>
  <x:c r="K8936" i="2"/>
  <x:c r="L8936" i="2"/>
  <x:c r="K8937" i="2"/>
  <x:c r="L8937" i="2"/>
  <x:c r="K8938" i="2"/>
  <x:c r="L8938" i="2"/>
  <x:c r="K8939" i="2"/>
  <x:c r="L8939" i="2"/>
  <x:c r="K8940" i="2"/>
  <x:c r="L8940" i="2"/>
  <x:c r="K8941" i="2"/>
  <x:c r="L8941" i="2"/>
  <x:c r="K8942" i="2"/>
  <x:c r="L8942" i="2"/>
  <x:c r="K8943" i="2"/>
  <x:c r="L8943" i="2"/>
  <x:c r="K8944" i="2"/>
  <x:c r="L8944" i="2"/>
  <x:c r="K8945" i="2"/>
  <x:c r="L8945" i="2"/>
  <x:c r="K8946" i="2"/>
  <x:c r="L8946" i="2"/>
  <x:c r="K8947" i="2"/>
  <x:c r="L8947" i="2"/>
  <x:c r="K8948" i="2"/>
  <x:c r="L8948" i="2"/>
  <x:c r="K8949" i="2"/>
  <x:c r="L8949" i="2"/>
  <x:c r="K8950" i="2"/>
  <x:c r="L8950" i="2"/>
  <x:c r="K8951" i="2"/>
  <x:c r="L8951" i="2"/>
  <x:c r="K8952" i="2"/>
  <x:c r="L8952" i="2"/>
  <x:c r="K8953" i="2"/>
  <x:c r="L8953" i="2"/>
  <x:c r="K8954" i="2"/>
  <x:c r="L8954" i="2"/>
  <x:c r="K8955" i="2"/>
  <x:c r="L8955" i="2"/>
  <x:c r="K8956" i="2"/>
  <x:c r="L8956" i="2"/>
  <x:c r="K8957" i="2"/>
  <x:c r="L8957" i="2"/>
  <x:c r="K8958" i="2"/>
  <x:c r="L8958" i="2"/>
  <x:c r="K8959" i="2"/>
  <x:c r="L8959" i="2"/>
  <x:c r="K8960" i="2"/>
  <x:c r="L8960" i="2"/>
  <x:c r="K8961" i="2"/>
  <x:c r="L8961" i="2"/>
  <x:c r="K8962" i="2"/>
  <x:c r="L8962" i="2"/>
  <x:c r="K8963" i="2"/>
  <x:c r="L8963" i="2"/>
  <x:c r="K8964" i="2"/>
  <x:c r="L8964" i="2"/>
  <x:c r="K8965" i="2"/>
  <x:c r="L8965" i="2"/>
  <x:c r="K8966" i="2"/>
  <x:c r="L8966" i="2"/>
  <x:c r="K8967" i="2"/>
  <x:c r="L8967" i="2"/>
  <x:c r="K8968" i="2"/>
  <x:c r="L8968" i="2"/>
  <x:c r="K8969" i="2"/>
  <x:c r="L8969" i="2"/>
  <x:c r="K8970" i="2"/>
  <x:c r="L8970" i="2"/>
  <x:c r="K8971" i="2"/>
  <x:c r="L8971" i="2"/>
  <x:c r="K8972" i="2"/>
  <x:c r="L8972" i="2"/>
  <x:c r="K8973" i="2"/>
  <x:c r="L8973" i="2"/>
  <x:c r="K8974" i="2"/>
  <x:c r="L8974" i="2"/>
  <x:c r="K8975" i="2"/>
  <x:c r="L8975" i="2"/>
  <x:c r="K8976" i="2"/>
  <x:c r="L8976" i="2"/>
  <x:c r="K8977" i="2"/>
  <x:c r="L8977" i="2"/>
  <x:c r="K8978" i="2"/>
  <x:c r="L8978" i="2"/>
  <x:c r="K8979" i="2"/>
  <x:c r="L8979" i="2"/>
  <x:c r="K8980" i="2"/>
  <x:c r="L8980" i="2"/>
  <x:c r="K8981" i="2"/>
  <x:c r="L8981" i="2"/>
  <x:c r="K8982" i="2"/>
  <x:c r="L8982" i="2"/>
  <x:c r="K8983" i="2"/>
  <x:c r="L8983" i="2"/>
  <x:c r="K8984" i="2"/>
  <x:c r="L8984" i="2"/>
  <x:c r="K8985" i="2"/>
  <x:c r="L8985" i="2"/>
  <x:c r="K8986" i="2"/>
  <x:c r="L8986" i="2"/>
  <x:c r="K8987" i="2"/>
  <x:c r="L8987" i="2"/>
  <x:c r="K8988" i="2"/>
  <x:c r="L8988" i="2"/>
  <x:c r="K8989" i="2"/>
  <x:c r="L8989" i="2"/>
  <x:c r="K8990" i="2"/>
  <x:c r="L8990" i="2"/>
  <x:c r="K8991" i="2"/>
  <x:c r="L8991" i="2"/>
  <x:c r="K8992" i="2"/>
  <x:c r="L8992" i="2"/>
  <x:c r="K8993" i="2"/>
  <x:c r="L8993" i="2"/>
  <x:c r="K8994" i="2"/>
  <x:c r="L8994" i="2"/>
  <x:c r="K8995" i="2"/>
  <x:c r="L8995" i="2"/>
  <x:c r="K8996" i="2"/>
  <x:c r="L8996" i="2"/>
  <x:c r="K8997" i="2"/>
  <x:c r="L8997" i="2"/>
  <x:c r="K8998" i="2"/>
  <x:c r="L8998" i="2"/>
  <x:c r="K8999" i="2"/>
  <x:c r="L8999" i="2"/>
  <x:c r="K9000" i="2"/>
  <x:c r="L9000" i="2"/>
  <x:c r="K9001" i="2"/>
  <x:c r="L9001" i="2"/>
  <x:c r="K9002" i="2"/>
  <x:c r="L9002" i="2"/>
  <x:c r="K9003" i="2"/>
  <x:c r="L9003" i="2"/>
  <x:c r="K9004" i="2"/>
  <x:c r="L9004" i="2"/>
  <x:c r="K9005" i="2"/>
  <x:c r="L9005" i="2"/>
  <x:c r="K9006" i="2"/>
  <x:c r="L9006" i="2"/>
  <x:c r="K9007" i="2"/>
  <x:c r="L9007" i="2"/>
  <x:c r="K9008" i="2"/>
  <x:c r="L9008" i="2"/>
  <x:c r="K9009" i="2"/>
  <x:c r="L9009" i="2"/>
  <x:c r="K9010" i="2"/>
  <x:c r="L9010" i="2"/>
  <x:c r="K9011" i="2"/>
  <x:c r="L9011" i="2"/>
  <x:c r="K9012" i="2"/>
  <x:c r="L9012" i="2"/>
  <x:c r="K9013" i="2"/>
  <x:c r="L9013" i="2"/>
  <x:c r="K9014" i="2"/>
  <x:c r="L9014" i="2"/>
  <x:c r="K9015" i="2"/>
  <x:c r="L9015" i="2"/>
  <x:c r="K9016" i="2"/>
  <x:c r="L9016" i="2"/>
  <x:c r="K9017" i="2"/>
  <x:c r="L9017" i="2"/>
  <x:c r="K9018" i="2"/>
  <x:c r="L9018" i="2"/>
  <x:c r="K9019" i="2"/>
  <x:c r="L9019" i="2"/>
  <x:c r="K9020" i="2"/>
  <x:c r="L9020" i="2"/>
  <x:c r="K9021" i="2"/>
  <x:c r="L9021" i="2"/>
  <x:c r="K9022" i="2"/>
  <x:c r="L9022" i="2"/>
  <x:c r="K9023" i="2"/>
  <x:c r="L9023" i="2"/>
  <x:c r="K9024" i="2"/>
  <x:c r="L9024" i="2"/>
  <x:c r="K9025" i="2"/>
  <x:c r="L9025" i="2"/>
  <x:c r="K9026" i="2"/>
  <x:c r="L9026" i="2"/>
  <x:c r="K9027" i="2"/>
  <x:c r="L9027" i="2"/>
  <x:c r="K9028" i="2"/>
  <x:c r="L9028" i="2"/>
  <x:c r="K9029" i="2"/>
  <x:c r="L9029" i="2"/>
  <x:c r="K9030" i="2"/>
  <x:c r="L9030" i="2"/>
  <x:c r="K9031" i="2"/>
  <x:c r="L9031" i="2"/>
  <x:c r="K9032" i="2"/>
  <x:c r="L9032" i="2"/>
  <x:c r="K9033" i="2"/>
  <x:c r="L9033" i="2"/>
  <x:c r="K9034" i="2"/>
  <x:c r="L9034" i="2"/>
  <x:c r="K9035" i="2"/>
  <x:c r="L9035" i="2"/>
  <x:c r="K9036" i="2"/>
  <x:c r="L9036" i="2"/>
  <x:c r="K9037" i="2"/>
  <x:c r="L9037" i="2"/>
  <x:c r="K9038" i="2"/>
  <x:c r="L9038" i="2"/>
  <x:c r="K9039" i="2"/>
  <x:c r="L9039" i="2"/>
  <x:c r="K9040" i="2"/>
  <x:c r="L9040" i="2"/>
  <x:c r="K9041" i="2"/>
  <x:c r="L9041" i="2"/>
  <x:c r="K9042" i="2"/>
  <x:c r="L9042" i="2"/>
  <x:c r="K9043" i="2"/>
  <x:c r="L9043" i="2"/>
  <x:c r="K9044" i="2"/>
  <x:c r="L9044" i="2"/>
  <x:c r="K9045" i="2"/>
  <x:c r="L9045" i="2"/>
  <x:c r="K9046" i="2"/>
  <x:c r="L9046" i="2"/>
  <x:c r="K9047" i="2"/>
  <x:c r="L9047" i="2"/>
  <x:c r="K9048" i="2"/>
  <x:c r="L9048" i="2"/>
  <x:c r="K9049" i="2"/>
  <x:c r="L9049" i="2"/>
  <x:c r="K9050" i="2"/>
  <x:c r="L9050" i="2"/>
  <x:c r="K9051" i="2"/>
  <x:c r="L9051" i="2"/>
  <x:c r="K9052" i="2"/>
  <x:c r="L9052" i="2"/>
  <x:c r="K9053" i="2"/>
  <x:c r="L9053" i="2"/>
  <x:c r="K9054" i="2"/>
  <x:c r="L9054" i="2"/>
  <x:c r="K9055" i="2"/>
  <x:c r="L9055" i="2"/>
  <x:c r="K9056" i="2"/>
  <x:c r="L9056" i="2"/>
  <x:c r="K9057" i="2"/>
  <x:c r="L9057" i="2"/>
  <x:c r="K9058" i="2"/>
  <x:c r="L9058" i="2"/>
  <x:c r="K9059" i="2"/>
  <x:c r="L9059" i="2"/>
  <x:c r="K9060" i="2"/>
  <x:c r="L9060" i="2"/>
  <x:c r="K9061" i="2"/>
  <x:c r="L9061" i="2"/>
  <x:c r="K9062" i="2"/>
  <x:c r="L9062" i="2"/>
  <x:c r="K9063" i="2"/>
  <x:c r="L9063" i="2"/>
  <x:c r="K9064" i="2"/>
  <x:c r="L9064" i="2"/>
  <x:c r="K9065" i="2"/>
  <x:c r="L9065" i="2"/>
  <x:c r="K9066" i="2"/>
  <x:c r="L9066" i="2"/>
  <x:c r="K9067" i="2"/>
  <x:c r="L9067" i="2"/>
  <x:c r="K9068" i="2"/>
  <x:c r="L9068" i="2"/>
  <x:c r="K9069" i="2"/>
  <x:c r="L9069" i="2"/>
  <x:c r="K9070" i="2"/>
  <x:c r="L9070" i="2"/>
  <x:c r="K9071" i="2"/>
  <x:c r="L9071" i="2"/>
  <x:c r="K9072" i="2"/>
  <x:c r="L9072" i="2"/>
  <x:c r="K9073" i="2"/>
  <x:c r="L9073" i="2"/>
  <x:c r="K9074" i="2"/>
  <x:c r="L9074" i="2"/>
  <x:c r="K9075" i="2"/>
  <x:c r="L9075" i="2"/>
  <x:c r="K9076" i="2"/>
  <x:c r="L9076" i="2"/>
  <x:c r="K9077" i="2"/>
  <x:c r="L9077" i="2"/>
  <x:c r="K9078" i="2"/>
  <x:c r="L9078" i="2"/>
  <x:c r="K9079" i="2"/>
  <x:c r="L9079" i="2"/>
  <x:c r="K9080" i="2"/>
  <x:c r="L9080" i="2"/>
  <x:c r="K9081" i="2"/>
  <x:c r="L9081" i="2"/>
  <x:c r="K9082" i="2"/>
  <x:c r="L9082" i="2"/>
  <x:c r="K9083" i="2"/>
  <x:c r="L9083" i="2"/>
  <x:c r="K9084" i="2"/>
  <x:c r="L9084" i="2"/>
  <x:c r="K9085" i="2"/>
  <x:c r="L9085" i="2"/>
  <x:c r="K9086" i="2"/>
  <x:c r="L9086" i="2"/>
  <x:c r="K9087" i="2"/>
  <x:c r="L9087" i="2"/>
  <x:c r="K9088" i="2"/>
  <x:c r="L9088" i="2"/>
  <x:c r="K9089" i="2"/>
  <x:c r="L9089" i="2"/>
  <x:c r="K9090" i="2"/>
  <x:c r="L9090" i="2"/>
  <x:c r="K9091" i="2"/>
  <x:c r="L9091" i="2"/>
  <x:c r="K9092" i="2"/>
  <x:c r="L9092" i="2"/>
  <x:c r="K9093" i="2"/>
  <x:c r="L9093" i="2"/>
  <x:c r="K9094" i="2"/>
  <x:c r="L9094" i="2"/>
  <x:c r="K9095" i="2"/>
  <x:c r="L9095" i="2"/>
  <x:c r="K9096" i="2"/>
  <x:c r="L9096" i="2"/>
  <x:c r="K9097" i="2"/>
  <x:c r="L9097" i="2"/>
  <x:c r="K9098" i="2"/>
  <x:c r="L9098" i="2"/>
  <x:c r="K9099" i="2"/>
  <x:c r="L9099" i="2"/>
  <x:c r="K9100" i="2"/>
  <x:c r="L9100" i="2"/>
  <x:c r="K9101" i="2"/>
  <x:c r="L9101" i="2"/>
  <x:c r="K9102" i="2"/>
  <x:c r="L9102" i="2"/>
  <x:c r="K9103" i="2"/>
  <x:c r="L9103" i="2"/>
  <x:c r="K9104" i="2"/>
  <x:c r="L9104" i="2"/>
  <x:c r="K9105" i="2"/>
  <x:c r="L9105" i="2"/>
  <x:c r="K9106" i="2"/>
  <x:c r="L9106" i="2"/>
  <x:c r="K9107" i="2"/>
  <x:c r="L9107" i="2"/>
  <x:c r="K9108" i="2"/>
  <x:c r="L9108" i="2"/>
  <x:c r="K9109" i="2"/>
  <x:c r="L9109" i="2"/>
  <x:c r="K9110" i="2"/>
  <x:c r="L9110" i="2"/>
  <x:c r="K9111" i="2"/>
  <x:c r="L9111" i="2"/>
  <x:c r="K9112" i="2"/>
  <x:c r="L9112" i="2"/>
  <x:c r="K9113" i="2"/>
  <x:c r="L9113" i="2"/>
  <x:c r="K9114" i="2"/>
  <x:c r="L9114" i="2"/>
  <x:c r="K9115" i="2"/>
  <x:c r="L9115" i="2"/>
  <x:c r="K9116" i="2"/>
  <x:c r="L9116" i="2"/>
  <x:c r="K9117" i="2"/>
  <x:c r="L9117" i="2"/>
  <x:c r="K9118" i="2"/>
  <x:c r="L9118" i="2"/>
  <x:c r="K9119" i="2"/>
  <x:c r="L9119" i="2"/>
  <x:c r="K9120" i="2"/>
  <x:c r="L9120" i="2"/>
  <x:c r="K9121" i="2"/>
  <x:c r="L9121" i="2"/>
  <x:c r="K9122" i="2"/>
  <x:c r="L9122" i="2"/>
  <x:c r="K9123" i="2"/>
  <x:c r="L9123" i="2"/>
  <x:c r="K9124" i="2"/>
  <x:c r="L9124" i="2"/>
  <x:c r="K9125" i="2"/>
  <x:c r="L9125" i="2"/>
  <x:c r="K9126" i="2"/>
  <x:c r="L9126" i="2"/>
  <x:c r="K9127" i="2"/>
  <x:c r="L9127" i="2"/>
  <x:c r="K9128" i="2"/>
  <x:c r="L9128" i="2"/>
  <x:c r="K9129" i="2"/>
  <x:c r="L9129" i="2"/>
  <x:c r="K9130" i="2"/>
  <x:c r="L9130" i="2"/>
  <x:c r="K9131" i="2"/>
  <x:c r="L9131" i="2"/>
  <x:c r="K9132" i="2"/>
  <x:c r="L9132" i="2"/>
  <x:c r="K9133" i="2"/>
  <x:c r="L9133" i="2"/>
  <x:c r="K9134" i="2"/>
  <x:c r="L9134" i="2"/>
  <x:c r="K9135" i="2"/>
  <x:c r="L9135" i="2"/>
  <x:c r="K9136" i="2"/>
  <x:c r="L9136" i="2"/>
  <x:c r="K9137" i="2"/>
  <x:c r="L9137" i="2"/>
  <x:c r="K9138" i="2"/>
  <x:c r="L9138" i="2"/>
  <x:c r="K9139" i="2"/>
  <x:c r="L9139" i="2"/>
  <x:c r="K9140" i="2"/>
  <x:c r="L9140" i="2"/>
  <x:c r="K9141" i="2"/>
  <x:c r="L9141" i="2"/>
  <x:c r="K9142" i="2"/>
  <x:c r="L9142" i="2"/>
  <x:c r="K9143" i="2"/>
  <x:c r="L9143" i="2"/>
  <x:c r="K9144" i="2"/>
  <x:c r="L9144" i="2"/>
  <x:c r="K9145" i="2"/>
  <x:c r="L9145" i="2"/>
  <x:c r="K9146" i="2"/>
  <x:c r="L9146" i="2"/>
  <x:c r="K9147" i="2"/>
  <x:c r="L9147" i="2"/>
  <x:c r="K9148" i="2"/>
  <x:c r="L9148" i="2"/>
  <x:c r="K9149" i="2"/>
  <x:c r="L9149" i="2"/>
  <x:c r="K9150" i="2"/>
  <x:c r="L9150" i="2"/>
  <x:c r="K9151" i="2"/>
  <x:c r="L9151" i="2"/>
  <x:c r="K9152" i="2"/>
  <x:c r="L9152" i="2"/>
  <x:c r="K9153" i="2"/>
  <x:c r="L9153" i="2"/>
  <x:c r="K9154" i="2"/>
  <x:c r="L9154" i="2"/>
  <x:c r="K9155" i="2"/>
  <x:c r="L9155" i="2"/>
  <x:c r="K9156" i="2"/>
  <x:c r="L9156" i="2"/>
  <x:c r="K9157" i="2"/>
  <x:c r="L9157" i="2"/>
  <x:c r="K9158" i="2"/>
  <x:c r="L9158" i="2"/>
  <x:c r="K9159" i="2"/>
  <x:c r="L9159" i="2"/>
  <x:c r="K9160" i="2"/>
  <x:c r="L9160" i="2"/>
  <x:c r="K9161" i="2"/>
  <x:c r="L9161" i="2"/>
  <x:c r="K9162" i="2"/>
  <x:c r="L9162" i="2"/>
  <x:c r="K9163" i="2"/>
  <x:c r="L9163" i="2"/>
  <x:c r="K9164" i="2"/>
  <x:c r="L9164" i="2"/>
  <x:c r="K9165" i="2"/>
  <x:c r="L9165" i="2"/>
  <x:c r="K9166" i="2"/>
  <x:c r="L9166" i="2"/>
  <x:c r="K9167" i="2"/>
  <x:c r="L9167" i="2"/>
  <x:c r="K9168" i="2"/>
  <x:c r="L9168" i="2"/>
  <x:c r="K9169" i="2"/>
  <x:c r="L9169" i="2"/>
  <x:c r="K9170" i="2"/>
  <x:c r="L9170" i="2"/>
  <x:c r="K9171" i="2"/>
  <x:c r="L9171" i="2"/>
  <x:c r="K9172" i="2"/>
  <x:c r="L9172" i="2"/>
  <x:c r="K9173" i="2"/>
  <x:c r="L9173" i="2"/>
  <x:c r="K9174" i="2"/>
  <x:c r="L9174" i="2"/>
  <x:c r="K9175" i="2"/>
  <x:c r="L9175" i="2"/>
  <x:c r="K9176" i="2"/>
  <x:c r="L9176" i="2"/>
  <x:c r="K9177" i="2"/>
  <x:c r="L9177" i="2"/>
  <x:c r="K9178" i="2"/>
  <x:c r="L9178" i="2"/>
  <x:c r="K9179" i="2"/>
  <x:c r="L9179" i="2"/>
  <x:c r="K9180" i="2"/>
  <x:c r="L9180" i="2"/>
  <x:c r="K9181" i="2"/>
  <x:c r="L9181" i="2"/>
  <x:c r="K9182" i="2"/>
  <x:c r="L9182" i="2"/>
  <x:c r="K9183" i="2"/>
  <x:c r="L9183" i="2"/>
  <x:c r="K9184" i="2"/>
  <x:c r="L9184" i="2"/>
  <x:c r="K9185" i="2"/>
  <x:c r="L9185" i="2"/>
  <x:c r="K9186" i="2"/>
  <x:c r="L9186" i="2"/>
  <x:c r="K9187" i="2"/>
  <x:c r="L9187" i="2"/>
  <x:c r="K9188" i="2"/>
  <x:c r="L9188" i="2"/>
  <x:c r="K9189" i="2"/>
  <x:c r="L9189" i="2"/>
  <x:c r="K9190" i="2"/>
  <x:c r="L9190" i="2"/>
  <x:c r="K9191" i="2"/>
  <x:c r="L9191" i="2"/>
  <x:c r="K9192" i="2"/>
  <x:c r="L9192" i="2"/>
  <x:c r="K9193" i="2"/>
  <x:c r="L9193" i="2"/>
  <x:c r="K9194" i="2"/>
  <x:c r="L9194" i="2"/>
  <x:c r="K9195" i="2"/>
  <x:c r="L9195" i="2"/>
  <x:c r="K9196" i="2"/>
  <x:c r="L9196" i="2"/>
  <x:c r="K9197" i="2"/>
  <x:c r="L9197" i="2"/>
  <x:c r="K9198" i="2"/>
  <x:c r="L9198" i="2"/>
  <x:c r="K9199" i="2"/>
  <x:c r="L9199" i="2"/>
  <x:c r="K9200" i="2"/>
  <x:c r="L9200" i="2"/>
  <x:c r="K9201" i="2"/>
  <x:c r="L9201" i="2"/>
  <x:c r="K9202" i="2"/>
  <x:c r="L9202" i="2"/>
  <x:c r="K9203" i="2"/>
  <x:c r="L9203" i="2"/>
  <x:c r="K9204" i="2"/>
  <x:c r="L9204" i="2"/>
  <x:c r="K9205" i="2"/>
  <x:c r="L9205" i="2"/>
  <x:c r="K9206" i="2"/>
  <x:c r="L9206" i="2"/>
  <x:c r="K9207" i="2"/>
  <x:c r="L9207" i="2"/>
  <x:c r="K9208" i="2"/>
  <x:c r="L9208" i="2"/>
  <x:c r="K9209" i="2"/>
  <x:c r="L9209" i="2"/>
  <x:c r="K9210" i="2"/>
  <x:c r="L9210" i="2"/>
  <x:c r="K9211" i="2"/>
  <x:c r="L9211" i="2"/>
  <x:c r="K9212" i="2"/>
  <x:c r="L9212" i="2"/>
  <x:c r="K9213" i="2"/>
  <x:c r="L9213" i="2"/>
  <x:c r="K9214" i="2"/>
  <x:c r="L9214" i="2"/>
  <x:c r="K9215" i="2"/>
  <x:c r="L9215" i="2"/>
  <x:c r="K9216" i="2"/>
  <x:c r="L9216" i="2"/>
  <x:c r="K9217" i="2"/>
  <x:c r="L9217" i="2"/>
  <x:c r="K9218" i="2"/>
  <x:c r="L9218" i="2"/>
  <x:c r="K9219" i="2"/>
  <x:c r="L9219" i="2"/>
  <x:c r="K9220" i="2"/>
  <x:c r="L9220" i="2"/>
  <x:c r="K9221" i="2"/>
  <x:c r="L9221" i="2"/>
  <x:c r="K9222" i="2"/>
  <x:c r="L9222" i="2"/>
  <x:c r="K9223" i="2"/>
  <x:c r="L9223" i="2"/>
  <x:c r="K9224" i="2"/>
  <x:c r="L9224" i="2"/>
  <x:c r="K9225" i="2"/>
  <x:c r="L9225" i="2"/>
  <x:c r="K9226" i="2"/>
  <x:c r="L9226" i="2"/>
  <x:c r="K9227" i="2"/>
  <x:c r="L9227" i="2"/>
  <x:c r="K9228" i="2"/>
  <x:c r="L9228" i="2"/>
  <x:c r="K9229" i="2"/>
  <x:c r="L9229" i="2"/>
  <x:c r="K9230" i="2"/>
  <x:c r="L9230" i="2"/>
  <x:c r="K9231" i="2"/>
  <x:c r="L9231" i="2"/>
  <x:c r="K9232" i="2"/>
  <x:c r="L9232" i="2"/>
  <x:c r="K9233" i="2"/>
  <x:c r="L9233" i="2"/>
  <x:c r="K9234" i="2"/>
  <x:c r="L9234" i="2"/>
  <x:c r="K9235" i="2"/>
  <x:c r="L9235" i="2"/>
  <x:c r="K9236" i="2"/>
  <x:c r="L9236" i="2"/>
  <x:c r="K9237" i="2"/>
  <x:c r="L9237" i="2"/>
  <x:c r="K9238" i="2"/>
  <x:c r="L9238" i="2"/>
  <x:c r="K9239" i="2"/>
  <x:c r="L9239" i="2"/>
  <x:c r="K9240" i="2"/>
  <x:c r="L9240" i="2"/>
  <x:c r="K9241" i="2"/>
  <x:c r="L9241" i="2"/>
  <x:c r="K9242" i="2"/>
  <x:c r="L9242" i="2"/>
  <x:c r="K9243" i="2"/>
  <x:c r="L9243" i="2"/>
  <x:c r="K9244" i="2"/>
  <x:c r="L9244" i="2"/>
  <x:c r="K9245" i="2"/>
  <x:c r="L9245" i="2"/>
  <x:c r="K9246" i="2"/>
  <x:c r="L9246" i="2"/>
  <x:c r="K9247" i="2"/>
  <x:c r="L9247" i="2"/>
  <x:c r="K9248" i="2"/>
  <x:c r="L9248" i="2"/>
  <x:c r="K9249" i="2"/>
  <x:c r="L9249" i="2"/>
  <x:c r="K9250" i="2"/>
  <x:c r="L9250" i="2"/>
  <x:c r="K9251" i="2"/>
  <x:c r="L9251" i="2"/>
  <x:c r="K9252" i="2"/>
  <x:c r="L9252" i="2"/>
  <x:c r="K9253" i="2"/>
  <x:c r="L9253" i="2"/>
  <x:c r="K9254" i="2"/>
  <x:c r="L9254" i="2"/>
  <x:c r="K9255" i="2"/>
  <x:c r="L9255" i="2"/>
  <x:c r="K9256" i="2"/>
  <x:c r="L9256" i="2"/>
  <x:c r="K9257" i="2"/>
  <x:c r="L9257" i="2"/>
  <x:c r="K9258" i="2"/>
  <x:c r="L9258" i="2"/>
  <x:c r="K9259" i="2"/>
  <x:c r="L9259" i="2"/>
  <x:c r="K9260" i="2"/>
  <x:c r="L9260" i="2"/>
  <x:c r="K9261" i="2"/>
  <x:c r="L9261" i="2"/>
  <x:c r="K9262" i="2"/>
  <x:c r="L9262" i="2"/>
  <x:c r="K9263" i="2"/>
  <x:c r="L9263" i="2"/>
  <x:c r="K9264" i="2"/>
  <x:c r="L9264" i="2"/>
  <x:c r="K9265" i="2"/>
  <x:c r="L9265" i="2"/>
  <x:c r="K9266" i="2"/>
  <x:c r="L9266" i="2"/>
  <x:c r="K9267" i="2"/>
  <x:c r="L9267" i="2"/>
  <x:c r="K9268" i="2"/>
  <x:c r="L9268" i="2"/>
  <x:c r="K9269" i="2"/>
  <x:c r="L9269" i="2"/>
  <x:c r="K9270" i="2"/>
  <x:c r="L9270" i="2"/>
  <x:c r="K9271" i="2"/>
  <x:c r="L9271" i="2"/>
  <x:c r="K9272" i="2"/>
  <x:c r="L9272" i="2"/>
  <x:c r="K9273" i="2"/>
  <x:c r="L9273" i="2"/>
  <x:c r="K9274" i="2"/>
  <x:c r="L9274" i="2"/>
  <x:c r="K9275" i="2"/>
  <x:c r="L9275" i="2"/>
  <x:c r="K9276" i="2"/>
  <x:c r="L9276" i="2"/>
  <x:c r="K9277" i="2"/>
  <x:c r="L9277" i="2"/>
  <x:c r="K9278" i="2"/>
  <x:c r="L9278" i="2"/>
  <x:c r="K9279" i="2"/>
  <x:c r="L9279" i="2"/>
  <x:c r="K9280" i="2"/>
  <x:c r="L9280" i="2"/>
  <x:c r="K9281" i="2"/>
  <x:c r="L9281" i="2"/>
  <x:c r="K9282" i="2"/>
  <x:c r="L9282" i="2"/>
  <x:c r="K9283" i="2"/>
  <x:c r="L9283" i="2"/>
  <x:c r="K9284" i="2"/>
  <x:c r="L9284" i="2"/>
  <x:c r="K9285" i="2"/>
  <x:c r="L9285" i="2"/>
  <x:c r="K9286" i="2"/>
  <x:c r="L9286" i="2"/>
  <x:c r="K9287" i="2"/>
  <x:c r="L9287" i="2"/>
  <x:c r="K9288" i="2"/>
  <x:c r="L9288" i="2"/>
  <x:c r="K9289" i="2"/>
  <x:c r="L9289" i="2"/>
  <x:c r="K9290" i="2"/>
  <x:c r="L9290" i="2"/>
  <x:c r="K9291" i="2"/>
  <x:c r="L9291" i="2"/>
  <x:c r="K9292" i="2"/>
  <x:c r="L9292" i="2"/>
  <x:c r="K9293" i="2"/>
  <x:c r="L9293" i="2"/>
  <x:c r="K9294" i="2"/>
  <x:c r="L9294" i="2"/>
  <x:c r="K9295" i="2"/>
  <x:c r="L9295" i="2"/>
  <x:c r="K9296" i="2"/>
  <x:c r="L9296" i="2"/>
  <x:c r="K9297" i="2"/>
  <x:c r="L9297" i="2"/>
  <x:c r="K9298" i="2"/>
  <x:c r="L9298" i="2"/>
  <x:c r="K9299" i="2"/>
  <x:c r="L9299" i="2"/>
  <x:c r="K9300" i="2"/>
  <x:c r="L9300" i="2"/>
  <x:c r="K9301" i="2"/>
  <x:c r="L9301" i="2"/>
  <x:c r="K9302" i="2"/>
  <x:c r="L9302" i="2"/>
  <x:c r="K9303" i="2"/>
  <x:c r="L9303" i="2"/>
  <x:c r="K9304" i="2"/>
  <x:c r="L9304" i="2"/>
  <x:c r="K9305" i="2"/>
  <x:c r="L9305" i="2"/>
  <x:c r="K9306" i="2"/>
  <x:c r="L9306" i="2"/>
  <x:c r="K9307" i="2"/>
  <x:c r="L9307" i="2"/>
  <x:c r="K9308" i="2"/>
  <x:c r="L9308" i="2"/>
  <x:c r="K9309" i="2"/>
  <x:c r="L9309" i="2"/>
  <x:c r="K9310" i="2"/>
  <x:c r="L9310" i="2"/>
  <x:c r="K9311" i="2"/>
  <x:c r="L9311" i="2"/>
  <x:c r="K9312" i="2"/>
  <x:c r="L9312" i="2"/>
  <x:c r="K9313" i="2"/>
  <x:c r="L9313" i="2"/>
  <x:c r="K9314" i="2"/>
  <x:c r="L9314" i="2"/>
  <x:c r="K9315" i="2"/>
  <x:c r="L9315" i="2"/>
  <x:c r="K9316" i="2"/>
  <x:c r="L9316" i="2"/>
  <x:c r="K9317" i="2"/>
  <x:c r="L9317" i="2"/>
  <x:c r="K9318" i="2"/>
  <x:c r="L9318" i="2"/>
  <x:c r="K9319" i="2"/>
  <x:c r="L9319" i="2"/>
  <x:c r="K9320" i="2"/>
  <x:c r="L9320" i="2"/>
  <x:c r="K9321" i="2"/>
  <x:c r="L9321" i="2"/>
  <x:c r="K9322" i="2"/>
  <x:c r="L9322" i="2"/>
  <x:c r="K9323" i="2"/>
  <x:c r="L9323" i="2"/>
  <x:c r="K9324" i="2"/>
  <x:c r="L9324" i="2"/>
  <x:c r="K9325" i="2"/>
  <x:c r="L9325" i="2"/>
  <x:c r="K9326" i="2"/>
  <x:c r="L9326" i="2"/>
  <x:c r="K9327" i="2"/>
  <x:c r="L9327" i="2"/>
  <x:c r="K9328" i="2"/>
  <x:c r="L9328" i="2"/>
  <x:c r="K9329" i="2"/>
  <x:c r="L9329" i="2"/>
  <x:c r="K9330" i="2"/>
  <x:c r="L9330" i="2"/>
  <x:c r="K9331" i="2"/>
  <x:c r="L9331" i="2"/>
  <x:c r="K9332" i="2"/>
  <x:c r="L9332" i="2"/>
  <x:c r="K9333" i="2"/>
  <x:c r="L9333" i="2"/>
  <x:c r="K9334" i="2"/>
  <x:c r="L9334" i="2"/>
  <x:c r="K9335" i="2"/>
  <x:c r="L9335" i="2"/>
  <x:c r="K9336" i="2"/>
  <x:c r="L9336" i="2"/>
  <x:c r="K9337" i="2"/>
  <x:c r="L9337" i="2"/>
  <x:c r="K9338" i="2"/>
  <x:c r="L9338" i="2"/>
  <x:c r="K9339" i="2"/>
  <x:c r="L9339" i="2"/>
  <x:c r="K9340" i="2"/>
  <x:c r="L9340" i="2"/>
  <x:c r="K9341" i="2"/>
  <x:c r="L9341" i="2"/>
  <x:c r="K9342" i="2"/>
  <x:c r="L9342" i="2"/>
  <x:c r="K9343" i="2"/>
  <x:c r="L9343" i="2"/>
  <x:c r="K9344" i="2"/>
  <x:c r="L9344" i="2"/>
  <x:c r="K9345" i="2"/>
  <x:c r="L9345" i="2"/>
  <x:c r="K9346" i="2"/>
  <x:c r="L9346" i="2"/>
  <x:c r="K9347" i="2"/>
  <x:c r="L9347" i="2"/>
  <x:c r="K9348" i="2"/>
  <x:c r="L9348" i="2"/>
  <x:c r="K9349" i="2"/>
  <x:c r="L9349" i="2"/>
  <x:c r="K9350" i="2"/>
  <x:c r="L9350" i="2"/>
  <x:c r="K9351" i="2"/>
  <x:c r="L9351" i="2"/>
  <x:c r="K9352" i="2"/>
  <x:c r="L9352" i="2"/>
  <x:c r="K9353" i="2"/>
  <x:c r="L9353" i="2"/>
  <x:c r="K9354" i="2"/>
  <x:c r="L9354" i="2"/>
  <x:c r="K9355" i="2"/>
  <x:c r="L9355" i="2"/>
  <x:c r="K9356" i="2"/>
  <x:c r="L9356" i="2"/>
  <x:c r="K9357" i="2"/>
  <x:c r="L9357" i="2"/>
  <x:c r="K9358" i="2"/>
  <x:c r="L9358" i="2"/>
  <x:c r="K9359" i="2"/>
  <x:c r="L9359" i="2"/>
  <x:c r="K9360" i="2"/>
  <x:c r="L9360" i="2"/>
  <x:c r="K9361" i="2"/>
  <x:c r="L9361" i="2"/>
  <x:c r="K9362" i="2"/>
  <x:c r="L9362" i="2"/>
  <x:c r="K9363" i="2"/>
  <x:c r="L9363" i="2"/>
  <x:c r="K9364" i="2"/>
  <x:c r="L9364" i="2"/>
  <x:c r="K9365" i="2"/>
  <x:c r="L9365" i="2"/>
  <x:c r="K9366" i="2"/>
  <x:c r="L9366" i="2"/>
  <x:c r="K9367" i="2"/>
  <x:c r="L9367" i="2"/>
  <x:c r="K9368" i="2"/>
  <x:c r="L9368" i="2"/>
  <x:c r="K9369" i="2"/>
  <x:c r="L9369" i="2"/>
  <x:c r="K9370" i="2"/>
  <x:c r="L9370" i="2"/>
  <x:c r="K9371" i="2"/>
  <x:c r="L9371" i="2"/>
  <x:c r="K9372" i="2"/>
  <x:c r="L9372" i="2"/>
  <x:c r="K9373" i="2"/>
  <x:c r="L9373" i="2"/>
  <x:c r="K9374" i="2"/>
  <x:c r="L9374" i="2"/>
  <x:c r="K9375" i="2"/>
  <x:c r="L9375" i="2"/>
  <x:c r="K9376" i="2"/>
  <x:c r="L9376" i="2"/>
  <x:c r="K9377" i="2"/>
  <x:c r="L9377" i="2"/>
  <x:c r="K9378" i="2"/>
  <x:c r="L9378" i="2"/>
  <x:c r="K9379" i="2"/>
  <x:c r="L9379" i="2"/>
  <x:c r="K9380" i="2"/>
  <x:c r="L9380" i="2"/>
  <x:c r="K9381" i="2"/>
  <x:c r="L9381" i="2"/>
  <x:c r="K9382" i="2"/>
  <x:c r="L9382" i="2"/>
  <x:c r="K9383" i="2"/>
  <x:c r="L9383" i="2"/>
  <x:c r="K9384" i="2"/>
  <x:c r="L9384" i="2"/>
  <x:c r="K9385" i="2"/>
  <x:c r="L9385" i="2"/>
  <x:c r="K9386" i="2"/>
  <x:c r="L9386" i="2"/>
  <x:c r="K9387" i="2"/>
  <x:c r="L9387" i="2"/>
  <x:c r="K9388" i="2"/>
  <x:c r="L9388" i="2"/>
  <x:c r="K9389" i="2"/>
  <x:c r="L9389" i="2"/>
  <x:c r="K9390" i="2"/>
  <x:c r="L9390" i="2"/>
  <x:c r="K9391" i="2"/>
  <x:c r="L9391" i="2"/>
  <x:c r="K9392" i="2"/>
  <x:c r="L9392" i="2"/>
  <x:c r="K9393" i="2"/>
  <x:c r="L9393" i="2"/>
  <x:c r="K9394" i="2"/>
  <x:c r="L9394" i="2"/>
  <x:c r="K9395" i="2"/>
  <x:c r="L9395" i="2"/>
  <x:c r="K9396" i="2"/>
  <x:c r="L9396" i="2"/>
  <x:c r="K9397" i="2"/>
  <x:c r="L9397" i="2"/>
  <x:c r="K9398" i="2"/>
  <x:c r="L9398" i="2"/>
  <x:c r="K9399" i="2"/>
  <x:c r="L9399" i="2"/>
  <x:c r="K9400" i="2"/>
  <x:c r="L9400" i="2"/>
  <x:c r="K9401" i="2"/>
  <x:c r="L9401" i="2"/>
  <x:c r="K9402" i="2"/>
  <x:c r="L9402" i="2"/>
  <x:c r="K9403" i="2"/>
  <x:c r="L9403" i="2"/>
  <x:c r="K9404" i="2"/>
  <x:c r="L9404" i="2"/>
  <x:c r="K9405" i="2"/>
  <x:c r="L9405" i="2"/>
  <x:c r="K9406" i="2"/>
  <x:c r="L9406" i="2"/>
  <x:c r="K9407" i="2"/>
  <x:c r="L9407" i="2"/>
  <x:c r="K9408" i="2"/>
  <x:c r="L9408" i="2"/>
  <x:c r="K9409" i="2"/>
  <x:c r="L9409" i="2"/>
  <x:c r="K9410" i="2"/>
  <x:c r="L9410" i="2"/>
  <x:c r="K9411" i="2"/>
  <x:c r="L9411" i="2"/>
  <x:c r="K9412" i="2"/>
  <x:c r="L9412" i="2"/>
  <x:c r="K9413" i="2"/>
  <x:c r="L9413" i="2"/>
  <x:c r="K9414" i="2"/>
  <x:c r="L9414" i="2"/>
  <x:c r="K9415" i="2"/>
  <x:c r="L9415" i="2"/>
  <x:c r="K9416" i="2"/>
  <x:c r="L9416" i="2"/>
  <x:c r="K9417" i="2"/>
  <x:c r="L9417" i="2"/>
  <x:c r="K9418" i="2"/>
  <x:c r="L9418" i="2"/>
  <x:c r="K9419" i="2"/>
  <x:c r="L9419" i="2"/>
  <x:c r="K9420" i="2"/>
  <x:c r="L9420" i="2"/>
  <x:c r="K9421" i="2"/>
  <x:c r="L9421" i="2"/>
  <x:c r="K9422" i="2"/>
  <x:c r="L9422" i="2"/>
  <x:c r="K9423" i="2"/>
  <x:c r="L9423" i="2"/>
  <x:c r="K9424" i="2"/>
  <x:c r="L9424" i="2"/>
  <x:c r="K9425" i="2"/>
  <x:c r="L9425" i="2"/>
  <x:c r="K9426" i="2"/>
  <x:c r="L9426" i="2"/>
  <x:c r="K9427" i="2"/>
  <x:c r="L9427" i="2"/>
  <x:c r="K9428" i="2"/>
  <x:c r="L9428" i="2"/>
  <x:c r="K9429" i="2"/>
  <x:c r="L9429" i="2"/>
  <x:c r="K9430" i="2"/>
  <x:c r="L9430" i="2"/>
  <x:c r="K9431" i="2"/>
  <x:c r="L9431" i="2"/>
  <x:c r="K9432" i="2"/>
  <x:c r="L9432" i="2"/>
  <x:c r="K9433" i="2"/>
  <x:c r="L9433" i="2"/>
  <x:c r="K9434" i="2"/>
  <x:c r="L9434" i="2"/>
  <x:c r="K9435" i="2"/>
  <x:c r="L9435" i="2"/>
  <x:c r="K9436" i="2"/>
  <x:c r="L9436" i="2"/>
  <x:c r="K9437" i="2"/>
  <x:c r="L9437" i="2"/>
  <x:c r="K9438" i="2"/>
  <x:c r="L9438" i="2"/>
  <x:c r="K9439" i="2"/>
  <x:c r="L9439" i="2"/>
  <x:c r="K9440" i="2"/>
  <x:c r="L9440" i="2"/>
  <x:c r="K9441" i="2"/>
  <x:c r="L9441" i="2"/>
  <x:c r="K9442" i="2"/>
  <x:c r="L9442" i="2"/>
  <x:c r="K9443" i="2"/>
  <x:c r="L9443" i="2"/>
  <x:c r="K9444" i="2"/>
  <x:c r="L9444" i="2"/>
  <x:c r="K9445" i="2"/>
  <x:c r="L9445" i="2"/>
  <x:c r="K9446" i="2"/>
  <x:c r="L9446" i="2"/>
  <x:c r="K9447" i="2"/>
  <x:c r="L9447" i="2"/>
  <x:c r="K9448" i="2"/>
  <x:c r="L9448" i="2"/>
  <x:c r="K9449" i="2"/>
  <x:c r="L9449" i="2"/>
  <x:c r="K9450" i="2"/>
  <x:c r="L9450" i="2"/>
  <x:c r="K9451" i="2"/>
  <x:c r="L9451" i="2"/>
  <x:c r="K9452" i="2"/>
  <x:c r="L9452" i="2"/>
  <x:c r="K9453" i="2"/>
  <x:c r="L9453" i="2"/>
  <x:c r="K9454" i="2"/>
  <x:c r="L9454" i="2"/>
  <x:c r="K9455" i="2"/>
  <x:c r="L9455" i="2"/>
  <x:c r="K9456" i="2"/>
  <x:c r="L9456" i="2"/>
  <x:c r="K9457" i="2"/>
  <x:c r="L9457" i="2"/>
  <x:c r="K9458" i="2"/>
  <x:c r="L9458" i="2"/>
  <x:c r="K9459" i="2"/>
  <x:c r="L9459" i="2"/>
  <x:c r="K9460" i="2"/>
  <x:c r="L9460" i="2"/>
  <x:c r="K9461" i="2"/>
  <x:c r="L9461" i="2"/>
  <x:c r="K9462" i="2"/>
  <x:c r="L9462" i="2"/>
  <x:c r="K9463" i="2"/>
  <x:c r="L9463" i="2"/>
  <x:c r="K9464" i="2"/>
  <x:c r="L9464" i="2"/>
  <x:c r="K9465" i="2"/>
  <x:c r="L9465" i="2"/>
  <x:c r="K9466" i="2"/>
  <x:c r="L9466" i="2"/>
  <x:c r="K9467" i="2"/>
  <x:c r="L9467" i="2"/>
  <x:c r="K9468" i="2"/>
  <x:c r="L9468" i="2"/>
  <x:c r="K9469" i="2"/>
  <x:c r="L9469" i="2"/>
  <x:c r="K9470" i="2"/>
  <x:c r="L9470" i="2"/>
  <x:c r="K9471" i="2"/>
  <x:c r="L9471" i="2"/>
  <x:c r="K9472" i="2"/>
  <x:c r="L9472" i="2"/>
  <x:c r="K9473" i="2"/>
  <x:c r="L9473" i="2"/>
  <x:c r="K9474" i="2"/>
  <x:c r="L9474" i="2"/>
  <x:c r="K9475" i="2"/>
  <x:c r="L9475" i="2"/>
  <x:c r="K9476" i="2"/>
  <x:c r="L9476" i="2"/>
  <x:c r="K9477" i="2"/>
  <x:c r="L9477" i="2"/>
  <x:c r="K9478" i="2"/>
  <x:c r="L9478" i="2"/>
  <x:c r="K9479" i="2"/>
  <x:c r="L9479" i="2"/>
  <x:c r="K9480" i="2"/>
  <x:c r="L9480" i="2"/>
  <x:c r="K9481" i="2"/>
  <x:c r="L9481" i="2"/>
  <x:c r="K9482" i="2"/>
  <x:c r="L9482" i="2"/>
  <x:c r="K9483" i="2"/>
  <x:c r="L9483" i="2"/>
  <x:c r="K9484" i="2"/>
  <x:c r="L9484" i="2"/>
  <x:c r="K9485" i="2"/>
  <x:c r="L9485" i="2"/>
  <x:c r="K9486" i="2"/>
  <x:c r="L9486" i="2"/>
  <x:c r="K9487" i="2"/>
  <x:c r="L9487" i="2"/>
  <x:c r="K9488" i="2"/>
  <x:c r="L9488" i="2"/>
  <x:c r="K9489" i="2"/>
  <x:c r="L9489" i="2"/>
  <x:c r="K9490" i="2"/>
  <x:c r="L9490" i="2"/>
  <x:c r="K9491" i="2"/>
  <x:c r="L9491" i="2"/>
  <x:c r="K9492" i="2"/>
  <x:c r="L9492" i="2"/>
  <x:c r="K9493" i="2"/>
  <x:c r="L9493" i="2"/>
  <x:c r="K9494" i="2"/>
  <x:c r="L9494" i="2"/>
  <x:c r="K9495" i="2"/>
  <x:c r="L9495" i="2"/>
  <x:c r="K9496" i="2"/>
  <x:c r="L9496" i="2"/>
  <x:c r="K9497" i="2"/>
  <x:c r="L9497" i="2"/>
  <x:c r="K9498" i="2"/>
  <x:c r="L9498" i="2"/>
  <x:c r="K9499" i="2"/>
  <x:c r="L9499" i="2"/>
  <x:c r="K9500" i="2"/>
  <x:c r="L9500" i="2"/>
  <x:c r="K9501" i="2"/>
  <x:c r="L9501" i="2"/>
  <x:c r="K9502" i="2"/>
  <x:c r="L9502" i="2"/>
  <x:c r="K9503" i="2"/>
  <x:c r="L9503" i="2"/>
  <x:c r="K9504" i="2"/>
  <x:c r="L9504" i="2"/>
  <x:c r="K9505" i="2"/>
  <x:c r="L9505" i="2"/>
  <x:c r="K9506" i="2"/>
  <x:c r="L9506" i="2"/>
  <x:c r="K9507" i="2"/>
  <x:c r="L9507" i="2"/>
  <x:c r="K9508" i="2"/>
  <x:c r="L9508" i="2"/>
  <x:c r="K9509" i="2"/>
  <x:c r="L9509" i="2"/>
  <x:c r="K9510" i="2"/>
  <x:c r="L9510" i="2"/>
  <x:c r="K9511" i="2"/>
  <x:c r="L9511" i="2"/>
  <x:c r="K9512" i="2"/>
  <x:c r="L9512" i="2"/>
  <x:c r="K9513" i="2"/>
  <x:c r="L9513" i="2"/>
  <x:c r="K9514" i="2"/>
  <x:c r="L9514" i="2"/>
  <x:c r="K9515" i="2"/>
  <x:c r="L9515" i="2"/>
  <x:c r="K9516" i="2"/>
  <x:c r="L9516" i="2"/>
  <x:c r="K9517" i="2"/>
  <x:c r="L9517" i="2"/>
  <x:c r="K9518" i="2"/>
  <x:c r="L9518" i="2"/>
  <x:c r="K9519" i="2"/>
  <x:c r="L9519" i="2"/>
  <x:c r="K9520" i="2"/>
  <x:c r="L9520" i="2"/>
  <x:c r="K9521" i="2"/>
  <x:c r="L9521" i="2"/>
  <x:c r="K9522" i="2"/>
  <x:c r="L9522" i="2"/>
  <x:c r="K9523" i="2"/>
  <x:c r="L9523" i="2"/>
  <x:c r="K9524" i="2"/>
  <x:c r="L9524" i="2"/>
  <x:c r="K9525" i="2"/>
  <x:c r="L9525" i="2"/>
  <x:c r="K9526" i="2"/>
  <x:c r="L9526" i="2"/>
  <x:c r="K9527" i="2"/>
  <x:c r="L9527" i="2"/>
  <x:c r="K9528" i="2"/>
  <x:c r="L9528" i="2"/>
  <x:c r="K9529" i="2"/>
  <x:c r="L9529" i="2"/>
  <x:c r="K9530" i="2"/>
  <x:c r="L9530" i="2"/>
  <x:c r="K9531" i="2"/>
  <x:c r="L9531" i="2"/>
  <x:c r="K9532" i="2"/>
  <x:c r="L9532" i="2"/>
  <x:c r="K9533" i="2"/>
  <x:c r="L9533" i="2"/>
  <x:c r="K9534" i="2"/>
  <x:c r="L9534" i="2"/>
  <x:c r="K9535" i="2"/>
  <x:c r="L9535" i="2"/>
  <x:c r="K9536" i="2"/>
  <x:c r="L9536" i="2"/>
  <x:c r="K9537" i="2"/>
  <x:c r="L9537" i="2"/>
  <x:c r="K9538" i="2"/>
  <x:c r="L9538" i="2"/>
  <x:c r="K9539" i="2"/>
  <x:c r="L9539" i="2"/>
  <x:c r="K9540" i="2"/>
  <x:c r="L9540" i="2"/>
  <x:c r="K9541" i="2"/>
  <x:c r="L9541" i="2"/>
  <x:c r="K9542" i="2"/>
  <x:c r="L9542" i="2"/>
  <x:c r="K9543" i="2"/>
  <x:c r="L9543" i="2"/>
  <x:c r="K9544" i="2"/>
  <x:c r="L9544" i="2"/>
  <x:c r="K9545" i="2"/>
  <x:c r="L9545" i="2"/>
  <x:c r="K9546" i="2"/>
  <x:c r="L9546" i="2"/>
  <x:c r="K9547" i="2"/>
  <x:c r="L9547" i="2"/>
  <x:c r="K9548" i="2"/>
  <x:c r="L9548" i="2"/>
  <x:c r="K9549" i="2"/>
  <x:c r="L9549" i="2"/>
  <x:c r="K9550" i="2"/>
  <x:c r="L9550" i="2"/>
  <x:c r="K9551" i="2"/>
  <x:c r="L9551" i="2"/>
  <x:c r="K9552" i="2"/>
  <x:c r="L9552" i="2"/>
  <x:c r="K9553" i="2"/>
  <x:c r="L9553" i="2"/>
  <x:c r="K9554" i="2"/>
  <x:c r="L9554" i="2"/>
  <x:c r="K9555" i="2"/>
  <x:c r="L9555" i="2"/>
  <x:c r="K9556" i="2"/>
  <x:c r="L9556" i="2"/>
  <x:c r="K9557" i="2"/>
  <x:c r="L9557" i="2"/>
  <x:c r="K9558" i="2"/>
  <x:c r="L9558" i="2"/>
  <x:c r="K9559" i="2"/>
  <x:c r="L9559" i="2"/>
  <x:c r="K9560" i="2"/>
  <x:c r="L9560" i="2"/>
  <x:c r="K9561" i="2"/>
  <x:c r="L9561" i="2"/>
  <x:c r="K9562" i="2"/>
  <x:c r="L9562" i="2"/>
  <x:c r="K9563" i="2"/>
  <x:c r="L9563" i="2"/>
  <x:c r="K9564" i="2"/>
  <x:c r="L9564" i="2"/>
  <x:c r="K9565" i="2"/>
  <x:c r="L9565" i="2"/>
  <x:c r="K9566" i="2"/>
  <x:c r="L9566" i="2"/>
  <x:c r="K9567" i="2"/>
  <x:c r="L9567" i="2"/>
  <x:c r="K9568" i="2"/>
  <x:c r="L9568" i="2"/>
  <x:c r="K9569" i="2"/>
  <x:c r="L9569" i="2"/>
  <x:c r="K9570" i="2"/>
  <x:c r="L9570" i="2"/>
  <x:c r="K9571" i="2"/>
  <x:c r="L9571" i="2"/>
  <x:c r="K9572" i="2"/>
  <x:c r="L9572" i="2"/>
  <x:c r="K9573" i="2"/>
  <x:c r="L9573" i="2"/>
  <x:c r="K9574" i="2"/>
  <x:c r="L9574" i="2"/>
  <x:c r="K9575" i="2"/>
  <x:c r="L9575" i="2"/>
  <x:c r="K9576" i="2"/>
  <x:c r="L9576" i="2"/>
  <x:c r="K9577" i="2"/>
  <x:c r="L9577" i="2"/>
  <x:c r="K9578" i="2"/>
  <x:c r="L9578" i="2"/>
  <x:c r="K9579" i="2"/>
  <x:c r="L9579" i="2"/>
  <x:c r="K9580" i="2"/>
  <x:c r="L9580" i="2"/>
  <x:c r="K9581" i="2"/>
  <x:c r="L9581" i="2"/>
  <x:c r="K9582" i="2"/>
  <x:c r="L9582" i="2"/>
  <x:c r="K9583" i="2"/>
  <x:c r="L9583" i="2"/>
  <x:c r="K9584" i="2"/>
  <x:c r="L9584" i="2"/>
  <x:c r="K9585" i="2"/>
  <x:c r="L9585" i="2"/>
  <x:c r="K9586" i="2"/>
  <x:c r="L9586" i="2"/>
  <x:c r="K9587" i="2"/>
  <x:c r="L9587" i="2"/>
  <x:c r="K9588" i="2"/>
  <x:c r="L9588" i="2"/>
  <x:c r="K9589" i="2"/>
  <x:c r="L9589" i="2"/>
  <x:c r="K9590" i="2"/>
  <x:c r="L9590" i="2"/>
  <x:c r="K9591" i="2"/>
  <x:c r="L9591" i="2"/>
  <x:c r="K9592" i="2"/>
  <x:c r="L9592" i="2"/>
  <x:c r="K9593" i="2"/>
  <x:c r="L9593" i="2"/>
  <x:c r="K9594" i="2"/>
  <x:c r="L9594" i="2"/>
  <x:c r="K9595" i="2"/>
  <x:c r="L9595" i="2"/>
  <x:c r="K9596" i="2"/>
  <x:c r="L9596" i="2"/>
  <x:c r="K9597" i="2"/>
  <x:c r="L9597" i="2"/>
  <x:c r="K9598" i="2"/>
  <x:c r="L9598" i="2"/>
  <x:c r="K9599" i="2"/>
  <x:c r="L9599" i="2"/>
  <x:c r="K9600" i="2"/>
  <x:c r="L9600" i="2"/>
  <x:c r="K9601" i="2"/>
  <x:c r="L9601" i="2"/>
  <x:c r="K9602" i="2"/>
  <x:c r="L9602" i="2"/>
  <x:c r="K9603" i="2"/>
  <x:c r="L9603" i="2"/>
  <x:c r="K9604" i="2"/>
  <x:c r="L9604" i="2"/>
  <x:c r="K9605" i="2"/>
  <x:c r="L9605" i="2"/>
  <x:c r="K9606" i="2"/>
  <x:c r="L9606" i="2"/>
  <x:c r="K9607" i="2"/>
  <x:c r="L9607" i="2"/>
  <x:c r="K9608" i="2"/>
  <x:c r="L9608" i="2"/>
  <x:c r="K9609" i="2"/>
  <x:c r="L9609" i="2"/>
  <x:c r="K9610" i="2"/>
  <x:c r="L9610" i="2"/>
  <x:c r="K9611" i="2"/>
  <x:c r="L9611" i="2"/>
  <x:c r="K9612" i="2"/>
  <x:c r="L9612" i="2"/>
  <x:c r="K9613" i="2"/>
  <x:c r="L9613" i="2"/>
  <x:c r="K9614" i="2"/>
  <x:c r="L9614" i="2"/>
  <x:c r="K9615" i="2"/>
  <x:c r="L9615" i="2"/>
  <x:c r="K9616" i="2"/>
  <x:c r="L9616" i="2"/>
  <x:c r="K9617" i="2"/>
  <x:c r="L9617" i="2"/>
  <x:c r="K9618" i="2"/>
  <x:c r="L9618" i="2"/>
  <x:c r="K9619" i="2"/>
  <x:c r="L9619" i="2"/>
  <x:c r="K9620" i="2"/>
  <x:c r="L9620" i="2"/>
  <x:c r="K9621" i="2"/>
  <x:c r="L9621" i="2"/>
  <x:c r="K9622" i="2"/>
  <x:c r="L9622" i="2"/>
  <x:c r="K9623" i="2"/>
  <x:c r="L9623" i="2"/>
  <x:c r="K9624" i="2"/>
  <x:c r="L9624" i="2"/>
  <x:c r="K9625" i="2"/>
  <x:c r="L9625" i="2"/>
  <x:c r="K9626" i="2"/>
  <x:c r="L9626" i="2"/>
  <x:c r="K9627" i="2"/>
  <x:c r="L9627" i="2"/>
  <x:c r="K9628" i="2"/>
  <x:c r="L9628" i="2"/>
  <x:c r="K9629" i="2"/>
  <x:c r="L9629" i="2"/>
  <x:c r="K9630" i="2"/>
  <x:c r="L9630" i="2"/>
  <x:c r="K9631" i="2"/>
  <x:c r="L9631" i="2"/>
  <x:c r="K9632" i="2"/>
  <x:c r="L9632" i="2"/>
  <x:c r="K9633" i="2"/>
  <x:c r="L9633" i="2"/>
  <x:c r="K9634" i="2"/>
  <x:c r="L9634" i="2"/>
  <x:c r="K9635" i="2"/>
  <x:c r="L9635" i="2"/>
  <x:c r="K9636" i="2"/>
  <x:c r="L9636" i="2"/>
  <x:c r="K9637" i="2"/>
  <x:c r="L9637" i="2"/>
  <x:c r="K9638" i="2"/>
  <x:c r="L9638" i="2"/>
  <x:c r="K9639" i="2"/>
  <x:c r="L9639" i="2"/>
  <x:c r="K9640" i="2"/>
  <x:c r="L9640" i="2"/>
  <x:c r="K9641" i="2"/>
  <x:c r="L9641" i="2"/>
  <x:c r="K9642" i="2"/>
  <x:c r="L9642" i="2"/>
  <x:c r="K9643" i="2"/>
  <x:c r="L9643" i="2"/>
  <x:c r="K9644" i="2"/>
  <x:c r="L9644" i="2"/>
  <x:c r="K9645" i="2"/>
  <x:c r="L9645" i="2"/>
  <x:c r="K9646" i="2"/>
  <x:c r="L9646" i="2"/>
  <x:c r="K9647" i="2"/>
  <x:c r="L9647" i="2"/>
  <x:c r="K9648" i="2"/>
  <x:c r="L9648" i="2"/>
  <x:c r="K9649" i="2"/>
  <x:c r="L9649" i="2"/>
  <x:c r="K9650" i="2"/>
  <x:c r="L9650" i="2"/>
  <x:c r="K9651" i="2"/>
  <x:c r="L9651" i="2"/>
  <x:c r="K9652" i="2"/>
  <x:c r="L9652" i="2"/>
  <x:c r="K9653" i="2"/>
  <x:c r="L9653" i="2"/>
  <x:c r="K9654" i="2"/>
  <x:c r="L9654" i="2"/>
  <x:c r="K9655" i="2"/>
  <x:c r="L9655" i="2"/>
  <x:c r="K9656" i="2"/>
  <x:c r="L9656" i="2"/>
  <x:c r="K9657" i="2"/>
  <x:c r="L9657" i="2"/>
  <x:c r="K9658" i="2"/>
  <x:c r="L9658" i="2"/>
  <x:c r="K9659" i="2"/>
  <x:c r="L9659" i="2"/>
  <x:c r="K9660" i="2"/>
  <x:c r="L9660" i="2"/>
  <x:c r="K9661" i="2"/>
  <x:c r="L9661" i="2"/>
  <x:c r="K9662" i="2"/>
  <x:c r="L9662" i="2"/>
  <x:c r="K9663" i="2"/>
  <x:c r="L9663" i="2"/>
  <x:c r="K9664" i="2"/>
  <x:c r="L9664" i="2"/>
  <x:c r="K9665" i="2"/>
  <x:c r="L9665" i="2"/>
  <x:c r="K9666" i="2"/>
  <x:c r="L9666" i="2"/>
  <x:c r="K9667" i="2"/>
  <x:c r="L9667" i="2"/>
  <x:c r="K9668" i="2"/>
  <x:c r="L9668" i="2"/>
  <x:c r="K9669" i="2"/>
  <x:c r="L9669" i="2"/>
  <x:c r="K9670" i="2"/>
  <x:c r="L9670" i="2"/>
  <x:c r="K9671" i="2"/>
  <x:c r="L9671" i="2"/>
  <x:c r="K9672" i="2"/>
  <x:c r="L9672" i="2"/>
  <x:c r="K9673" i="2"/>
  <x:c r="L9673" i="2"/>
  <x:c r="K9674" i="2"/>
  <x:c r="L9674" i="2"/>
  <x:c r="K9675" i="2"/>
  <x:c r="L9675" i="2"/>
  <x:c r="K9676" i="2"/>
  <x:c r="L9676" i="2"/>
  <x:c r="K9677" i="2"/>
  <x:c r="L9677" i="2"/>
  <x:c r="K9678" i="2"/>
  <x:c r="L9678" i="2"/>
  <x:c r="K9679" i="2"/>
  <x:c r="L9679" i="2"/>
  <x:c r="K9680" i="2"/>
  <x:c r="L9680" i="2"/>
  <x:c r="K9681" i="2"/>
  <x:c r="L9681" i="2"/>
  <x:c r="K9682" i="2"/>
  <x:c r="L9682" i="2"/>
  <x:c r="K9683" i="2"/>
  <x:c r="L9683" i="2"/>
  <x:c r="K9684" i="2"/>
  <x:c r="L9684" i="2"/>
  <x:c r="K9685" i="2"/>
  <x:c r="L9685" i="2"/>
  <x:c r="K9686" i="2"/>
  <x:c r="L9686" i="2"/>
  <x:c r="K9687" i="2"/>
  <x:c r="L9687" i="2"/>
  <x:c r="K9688" i="2"/>
  <x:c r="L9688" i="2"/>
  <x:c r="K9689" i="2"/>
  <x:c r="L9689" i="2"/>
  <x:c r="K9690" i="2"/>
  <x:c r="L9690" i="2"/>
  <x:c r="K9691" i="2"/>
  <x:c r="L9691" i="2"/>
  <x:c r="K9692" i="2"/>
  <x:c r="L9692" i="2"/>
  <x:c r="K9693" i="2"/>
  <x:c r="L9693" i="2"/>
  <x:c r="K9694" i="2"/>
  <x:c r="L9694" i="2"/>
  <x:c r="K9695" i="2"/>
  <x:c r="L9695" i="2"/>
  <x:c r="K9696" i="2"/>
  <x:c r="L9696" i="2"/>
  <x:c r="K9697" i="2"/>
  <x:c r="L9697" i="2"/>
  <x:c r="K9698" i="2"/>
  <x:c r="L9698" i="2"/>
  <x:c r="K9699" i="2"/>
  <x:c r="L9699" i="2"/>
  <x:c r="K9700" i="2"/>
  <x:c r="L9700" i="2"/>
  <x:c r="K9701" i="2"/>
  <x:c r="L9701" i="2"/>
  <x:c r="K9702" i="2"/>
  <x:c r="L9702" i="2"/>
  <x:c r="K9703" i="2"/>
  <x:c r="L9703" i="2"/>
  <x:c r="K9704" i="2"/>
  <x:c r="L9704" i="2"/>
  <x:c r="K9705" i="2"/>
  <x:c r="L9705" i="2"/>
  <x:c r="K9706" i="2"/>
  <x:c r="L9706" i="2"/>
  <x:c r="K9707" i="2"/>
  <x:c r="L9707" i="2"/>
  <x:c r="K9708" i="2"/>
  <x:c r="L9708" i="2"/>
  <x:c r="K9709" i="2"/>
  <x:c r="L9709" i="2"/>
  <x:c r="K9710" i="2"/>
  <x:c r="L9710" i="2"/>
  <x:c r="K9711" i="2"/>
  <x:c r="L9711" i="2"/>
  <x:c r="K9712" i="2"/>
  <x:c r="L9712" i="2"/>
  <x:c r="K9713" i="2"/>
  <x:c r="L9713" i="2"/>
  <x:c r="K9714" i="2"/>
  <x:c r="L9714" i="2"/>
  <x:c r="K9715" i="2"/>
  <x:c r="L9715" i="2"/>
  <x:c r="K9716" i="2"/>
  <x:c r="L9716" i="2"/>
  <x:c r="K9717" i="2"/>
  <x:c r="L9717" i="2"/>
  <x:c r="K9718" i="2"/>
  <x:c r="L9718" i="2"/>
  <x:c r="K9719" i="2"/>
  <x:c r="L9719" i="2"/>
  <x:c r="K9720" i="2"/>
  <x:c r="L9720" i="2"/>
  <x:c r="K9721" i="2"/>
  <x:c r="L9721" i="2"/>
  <x:c r="K9722" i="2"/>
  <x:c r="L9722" i="2"/>
  <x:c r="K9723" i="2"/>
  <x:c r="L9723" i="2"/>
  <x:c r="K9724" i="2"/>
  <x:c r="L9724" i="2"/>
  <x:c r="K9725" i="2"/>
  <x:c r="L9725" i="2"/>
  <x:c r="K9726" i="2"/>
  <x:c r="L9726" i="2"/>
  <x:c r="K9727" i="2"/>
  <x:c r="L9727" i="2"/>
  <x:c r="K9728" i="2"/>
  <x:c r="L9728" i="2"/>
  <x:c r="K9729" i="2"/>
  <x:c r="L9729" i="2"/>
  <x:c r="K9730" i="2"/>
  <x:c r="L9730" i="2"/>
  <x:c r="K9731" i="2"/>
  <x:c r="L9731" i="2"/>
  <x:c r="K9732" i="2"/>
  <x:c r="L9732" i="2"/>
  <x:c r="K9733" i="2"/>
  <x:c r="L9733" i="2"/>
  <x:c r="K9734" i="2"/>
  <x:c r="L9734" i="2"/>
  <x:c r="K9735" i="2"/>
  <x:c r="L9735" i="2"/>
  <x:c r="K9736" i="2"/>
  <x:c r="L9736" i="2"/>
  <x:c r="K9737" i="2"/>
  <x:c r="L9737" i="2"/>
  <x:c r="K9738" i="2"/>
  <x:c r="L9738" i="2"/>
  <x:c r="K9739" i="2"/>
  <x:c r="L9739" i="2"/>
  <x:c r="K9740" i="2"/>
  <x:c r="L9740" i="2"/>
  <x:c r="K9741" i="2"/>
  <x:c r="L9741" i="2"/>
  <x:c r="K9742" i="2"/>
  <x:c r="L9742" i="2"/>
  <x:c r="K9743" i="2"/>
  <x:c r="L9743" i="2"/>
  <x:c r="K9744" i="2"/>
  <x:c r="L9744" i="2"/>
  <x:c r="K9745" i="2"/>
  <x:c r="L9745" i="2"/>
  <x:c r="K9746" i="2"/>
  <x:c r="L9746" i="2"/>
  <x:c r="K9747" i="2"/>
  <x:c r="L9747" i="2"/>
  <x:c r="K9748" i="2"/>
  <x:c r="L9748" i="2"/>
  <x:c r="K9749" i="2"/>
  <x:c r="L9749" i="2"/>
  <x:c r="K9750" i="2"/>
  <x:c r="L9750" i="2"/>
  <x:c r="K9751" i="2"/>
  <x:c r="L9751" i="2"/>
  <x:c r="K9752" i="2"/>
  <x:c r="L9752" i="2"/>
  <x:c r="K9753" i="2"/>
  <x:c r="L9753" i="2"/>
  <x:c r="K9754" i="2"/>
  <x:c r="L9754" i="2"/>
  <x:c r="K9755" i="2"/>
  <x:c r="L9755" i="2"/>
  <x:c r="K9756" i="2"/>
  <x:c r="L9756" i="2"/>
  <x:c r="K9757" i="2"/>
  <x:c r="L9757" i="2"/>
  <x:c r="K9758" i="2"/>
  <x:c r="L9758" i="2"/>
  <x:c r="K9759" i="2"/>
  <x:c r="L9759" i="2"/>
  <x:c r="K9760" i="2"/>
  <x:c r="L9760" i="2"/>
  <x:c r="K9761" i="2"/>
  <x:c r="L9761" i="2"/>
  <x:c r="K9762" i="2"/>
  <x:c r="L9762" i="2"/>
  <x:c r="K9763" i="2"/>
  <x:c r="L9763" i="2"/>
  <x:c r="K9764" i="2"/>
  <x:c r="L9764" i="2"/>
  <x:c r="K9765" i="2"/>
  <x:c r="L9765" i="2"/>
  <x:c r="K9766" i="2"/>
  <x:c r="L9766" i="2"/>
  <x:c r="K9767" i="2"/>
  <x:c r="L9767" i="2"/>
  <x:c r="K9768" i="2"/>
  <x:c r="L9768" i="2"/>
  <x:c r="K9769" i="2"/>
  <x:c r="L9769" i="2"/>
  <x:c r="K9770" i="2"/>
  <x:c r="L9770" i="2"/>
  <x:c r="K9771" i="2"/>
  <x:c r="L9771" i="2"/>
  <x:c r="K9772" i="2"/>
  <x:c r="L9772" i="2"/>
  <x:c r="K9773" i="2"/>
  <x:c r="L9773" i="2"/>
  <x:c r="K9774" i="2"/>
  <x:c r="L9774" i="2"/>
  <x:c r="K9775" i="2"/>
  <x:c r="L9775" i="2"/>
  <x:c r="K9776" i="2"/>
  <x:c r="L9776" i="2"/>
  <x:c r="K9777" i="2"/>
  <x:c r="L9777" i="2"/>
  <x:c r="K9778" i="2"/>
  <x:c r="L9778" i="2"/>
  <x:c r="K9779" i="2"/>
  <x:c r="L9779" i="2"/>
  <x:c r="K9780" i="2"/>
  <x:c r="L9780" i="2"/>
  <x:c r="K9781" i="2"/>
  <x:c r="L9781" i="2"/>
  <x:c r="K9782" i="2"/>
  <x:c r="L9782" i="2"/>
  <x:c r="K9783" i="2"/>
  <x:c r="L9783" i="2"/>
  <x:c r="K9784" i="2"/>
  <x:c r="L9784" i="2"/>
  <x:c r="K9785" i="2"/>
  <x:c r="L9785" i="2"/>
  <x:c r="K9786" i="2"/>
  <x:c r="L9786" i="2"/>
  <x:c r="K9787" i="2"/>
  <x:c r="L9787" i="2"/>
  <x:c r="K9788" i="2"/>
  <x:c r="L9788" i="2"/>
  <x:c r="K9789" i="2"/>
  <x:c r="L9789" i="2"/>
  <x:c r="K9790" i="2"/>
  <x:c r="L9790" i="2"/>
  <x:c r="K9791" i="2"/>
  <x:c r="L9791" i="2"/>
  <x:c r="K9792" i="2"/>
  <x:c r="L9792" i="2"/>
  <x:c r="K9793" i="2"/>
  <x:c r="L9793" i="2"/>
  <x:c r="K9794" i="2"/>
  <x:c r="L9794" i="2"/>
  <x:c r="K9795" i="2"/>
  <x:c r="L9795" i="2"/>
  <x:c r="K9796" i="2"/>
  <x:c r="L9796" i="2"/>
  <x:c r="K9797" i="2"/>
  <x:c r="L9797" i="2"/>
  <x:c r="K9798" i="2"/>
  <x:c r="L9798" i="2"/>
  <x:c r="K9799" i="2"/>
  <x:c r="L9799" i="2"/>
  <x:c r="K9800" i="2"/>
  <x:c r="L9800" i="2"/>
  <x:c r="K9801" i="2"/>
  <x:c r="L9801" i="2"/>
  <x:c r="K9802" i="2"/>
  <x:c r="L9802" i="2"/>
  <x:c r="K9803" i="2"/>
  <x:c r="L9803" i="2"/>
  <x:c r="K9804" i="2"/>
  <x:c r="L9804" i="2"/>
  <x:c r="K9805" i="2"/>
  <x:c r="L9805" i="2"/>
  <x:c r="K9806" i="2"/>
  <x:c r="L9806" i="2"/>
  <x:c r="K9807" i="2"/>
  <x:c r="L9807" i="2"/>
  <x:c r="K9808" i="2"/>
  <x:c r="L9808" i="2"/>
  <x:c r="K9809" i="2"/>
  <x:c r="L9809" i="2"/>
  <x:c r="K9810" i="2"/>
  <x:c r="L9810" i="2"/>
  <x:c r="K9811" i="2"/>
  <x:c r="L9811" i="2"/>
  <x:c r="K9812" i="2"/>
  <x:c r="L9812" i="2"/>
  <x:c r="K9813" i="2"/>
  <x:c r="L9813" i="2"/>
  <x:c r="K9814" i="2"/>
  <x:c r="L9814" i="2"/>
  <x:c r="K9815" i="2"/>
  <x:c r="L9815" i="2"/>
  <x:c r="K9816" i="2"/>
  <x:c r="L9816" i="2"/>
  <x:c r="K9817" i="2"/>
  <x:c r="L9817" i="2"/>
  <x:c r="K9818" i="2"/>
  <x:c r="L9818" i="2"/>
  <x:c r="K9819" i="2"/>
  <x:c r="L9819" i="2"/>
  <x:c r="K9820" i="2"/>
  <x:c r="L9820" i="2"/>
  <x:c r="K9821" i="2"/>
  <x:c r="L9821" i="2"/>
  <x:c r="K9822" i="2"/>
  <x:c r="L9822" i="2"/>
  <x:c r="K9823" i="2"/>
  <x:c r="L9823" i="2"/>
  <x:c r="K9824" i="2"/>
  <x:c r="L9824" i="2"/>
  <x:c r="K9825" i="2"/>
  <x:c r="L9825" i="2"/>
  <x:c r="K9826" i="2"/>
  <x:c r="L9826" i="2"/>
  <x:c r="K9827" i="2"/>
  <x:c r="L9827" i="2"/>
  <x:c r="K9828" i="2"/>
  <x:c r="L9828" i="2"/>
  <x:c r="K9829" i="2"/>
  <x:c r="L9829" i="2"/>
  <x:c r="K9830" i="2"/>
  <x:c r="L9830" i="2"/>
  <x:c r="K9831" i="2"/>
  <x:c r="L9831" i="2"/>
  <x:c r="K9832" i="2"/>
  <x:c r="L9832" i="2"/>
  <x:c r="K9833" i="2"/>
  <x:c r="L9833" i="2"/>
  <x:c r="K9834" i="2"/>
  <x:c r="L9834" i="2"/>
  <x:c r="K9835" i="2"/>
  <x:c r="L9835" i="2"/>
  <x:c r="K9836" i="2"/>
  <x:c r="L9836" i="2"/>
  <x:c r="K9837" i="2"/>
  <x:c r="L9837" i="2"/>
  <x:c r="K9838" i="2"/>
  <x:c r="L9838" i="2"/>
  <x:c r="K9839" i="2"/>
  <x:c r="L9839" i="2"/>
  <x:c r="K9840" i="2"/>
  <x:c r="L9840" i="2"/>
  <x:c r="K9841" i="2"/>
  <x:c r="L9841" i="2"/>
  <x:c r="K9842" i="2"/>
  <x:c r="L9842" i="2"/>
  <x:c r="K9843" i="2"/>
  <x:c r="L9843" i="2"/>
  <x:c r="K9844" i="2"/>
  <x:c r="L9844" i="2"/>
  <x:c r="K9845" i="2"/>
  <x:c r="L9845" i="2"/>
  <x:c r="K9846" i="2"/>
  <x:c r="L9846" i="2"/>
  <x:c r="K9847" i="2"/>
  <x:c r="L9847" i="2"/>
  <x:c r="K9848" i="2"/>
  <x:c r="L9848" i="2"/>
  <x:c r="K9849" i="2"/>
  <x:c r="L9849" i="2"/>
  <x:c r="K9850" i="2"/>
  <x:c r="L9850" i="2"/>
  <x:c r="K9851" i="2"/>
  <x:c r="L9851" i="2"/>
  <x:c r="K9852" i="2"/>
  <x:c r="L9852" i="2"/>
  <x:c r="K9853" i="2"/>
  <x:c r="L9853" i="2"/>
  <x:c r="K9854" i="2"/>
  <x:c r="L9854" i="2"/>
  <x:c r="K9855" i="2"/>
  <x:c r="L9855" i="2"/>
  <x:c r="K9856" i="2"/>
  <x:c r="L9856" i="2"/>
  <x:c r="K9857" i="2"/>
  <x:c r="L9857" i="2"/>
  <x:c r="K9858" i="2"/>
  <x:c r="L9858" i="2"/>
  <x:c r="K9859" i="2"/>
  <x:c r="L9859" i="2"/>
  <x:c r="K9860" i="2"/>
  <x:c r="L9860" i="2"/>
  <x:c r="K9861" i="2"/>
  <x:c r="L9861" i="2"/>
  <x:c r="K9862" i="2"/>
  <x:c r="L9862" i="2"/>
  <x:c r="K9863" i="2"/>
  <x:c r="L9863" i="2"/>
  <x:c r="K9864" i="2"/>
  <x:c r="L9864" i="2"/>
  <x:c r="K9865" i="2"/>
  <x:c r="L9865" i="2"/>
  <x:c r="K9866" i="2"/>
  <x:c r="L9866" i="2"/>
  <x:c r="K9867" i="2"/>
  <x:c r="L9867" i="2"/>
  <x:c r="K9868" i="2"/>
  <x:c r="L9868" i="2"/>
  <x:c r="K9869" i="2"/>
  <x:c r="L9869" i="2"/>
  <x:c r="K9870" i="2"/>
  <x:c r="L9870" i="2"/>
  <x:c r="K9871" i="2"/>
  <x:c r="L9871" i="2"/>
  <x:c r="K9872" i="2"/>
  <x:c r="L9872" i="2"/>
  <x:c r="K9873" i="2"/>
  <x:c r="L9873" i="2"/>
  <x:c r="K9874" i="2"/>
  <x:c r="L9874" i="2"/>
  <x:c r="K9875" i="2"/>
  <x:c r="L9875" i="2"/>
  <x:c r="K9876" i="2"/>
  <x:c r="L9876" i="2"/>
  <x:c r="K9877" i="2"/>
  <x:c r="L9877" i="2"/>
  <x:c r="K9878" i="2"/>
  <x:c r="L9878" i="2"/>
  <x:c r="K9879" i="2"/>
  <x:c r="L9879" i="2"/>
  <x:c r="K9880" i="2"/>
  <x:c r="L9880" i="2"/>
  <x:c r="K9881" i="2"/>
  <x:c r="L9881" i="2"/>
  <x:c r="K9882" i="2"/>
  <x:c r="L9882" i="2"/>
  <x:c r="K9883" i="2"/>
  <x:c r="L9883" i="2"/>
  <x:c r="K9884" i="2"/>
  <x:c r="L9884" i="2"/>
  <x:c r="K9885" i="2"/>
  <x:c r="L9885" i="2"/>
  <x:c r="K9886" i="2"/>
  <x:c r="L9886" i="2"/>
  <x:c r="K9887" i="2"/>
  <x:c r="L9887" i="2"/>
  <x:c r="K9888" i="2"/>
  <x:c r="L9888" i="2"/>
  <x:c r="K9889" i="2"/>
  <x:c r="L9889" i="2"/>
  <x:c r="K9890" i="2"/>
  <x:c r="L9890" i="2"/>
  <x:c r="K9891" i="2"/>
  <x:c r="L9891" i="2"/>
  <x:c r="K9892" i="2"/>
  <x:c r="L9892" i="2"/>
  <x:c r="K9893" i="2"/>
  <x:c r="L9893" i="2"/>
  <x:c r="K9894" i="2"/>
  <x:c r="L9894" i="2"/>
  <x:c r="K9895" i="2"/>
  <x:c r="L9895" i="2"/>
  <x:c r="K9896" i="2"/>
  <x:c r="L9896" i="2"/>
  <x:c r="K9897" i="2"/>
  <x:c r="L9897" i="2"/>
  <x:c r="K9898" i="2"/>
  <x:c r="L9898" i="2"/>
  <x:c r="K9899" i="2"/>
  <x:c r="L9899" i="2"/>
  <x:c r="K9900" i="2"/>
  <x:c r="L9900" i="2"/>
  <x:c r="K9901" i="2"/>
  <x:c r="L9901" i="2"/>
  <x:c r="K9902" i="2"/>
  <x:c r="L9902" i="2"/>
  <x:c r="K9903" i="2"/>
  <x:c r="L9903" i="2"/>
  <x:c r="K9904" i="2"/>
  <x:c r="L9904" i="2"/>
  <x:c r="K9905" i="2"/>
  <x:c r="L9905" i="2"/>
  <x:c r="K9906" i="2"/>
  <x:c r="L9906" i="2"/>
  <x:c r="K9907" i="2"/>
  <x:c r="L9907" i="2"/>
  <x:c r="K9908" i="2"/>
  <x:c r="L9908" i="2"/>
  <x:c r="K9909" i="2"/>
  <x:c r="L9909" i="2"/>
  <x:c r="K9910" i="2"/>
  <x:c r="L9910" i="2"/>
  <x:c r="K9911" i="2"/>
  <x:c r="L9911" i="2"/>
  <x:c r="K9912" i="2"/>
  <x:c r="L9912" i="2"/>
  <x:c r="K9913" i="2"/>
  <x:c r="L9913" i="2"/>
  <x:c r="K9914" i="2"/>
  <x:c r="L9914" i="2"/>
  <x:c r="K9915" i="2"/>
  <x:c r="L9915" i="2"/>
  <x:c r="K9916" i="2"/>
  <x:c r="L9916" i="2"/>
  <x:c r="K9917" i="2"/>
  <x:c r="L9917" i="2"/>
  <x:c r="K9918" i="2"/>
  <x:c r="L9918" i="2"/>
  <x:c r="K9919" i="2"/>
  <x:c r="L9919" i="2"/>
  <x:c r="K9920" i="2"/>
  <x:c r="L9920" i="2"/>
  <x:c r="K9921" i="2"/>
  <x:c r="L9921" i="2"/>
  <x:c r="K9922" i="2"/>
  <x:c r="L9922" i="2"/>
  <x:c r="K9923" i="2"/>
  <x:c r="L9923" i="2"/>
  <x:c r="K9924" i="2"/>
  <x:c r="L9924" i="2"/>
  <x:c r="K9925" i="2"/>
  <x:c r="L9925" i="2"/>
  <x:c r="K9926" i="2"/>
  <x:c r="L9926" i="2"/>
  <x:c r="K9927" i="2"/>
  <x:c r="L9927" i="2"/>
  <x:c r="K9928" i="2"/>
  <x:c r="L9928" i="2"/>
  <x:c r="K9929" i="2"/>
  <x:c r="L9929" i="2"/>
  <x:c r="K9930" i="2"/>
  <x:c r="L9930" i="2"/>
  <x:c r="K9931" i="2"/>
  <x:c r="L9931" i="2"/>
  <x:c r="K9932" i="2"/>
  <x:c r="L9932" i="2"/>
  <x:c r="K9933" i="2"/>
  <x:c r="L9933" i="2"/>
  <x:c r="K9934" i="2"/>
  <x:c r="L9934" i="2"/>
  <x:c r="K9935" i="2"/>
  <x:c r="L9935" i="2"/>
  <x:c r="K9936" i="2"/>
  <x:c r="L9936" i="2"/>
  <x:c r="K9937" i="2"/>
  <x:c r="L9937" i="2"/>
  <x:c r="K9938" i="2"/>
  <x:c r="L9938" i="2"/>
  <x:c r="K9939" i="2"/>
  <x:c r="L9939" i="2"/>
  <x:c r="K9940" i="2"/>
  <x:c r="L9940" i="2"/>
  <x:c r="K9941" i="2"/>
  <x:c r="L9941" i="2"/>
  <x:c r="K9942" i="2"/>
  <x:c r="L9942" i="2"/>
  <x:c r="K9943" i="2"/>
  <x:c r="L9943" i="2"/>
  <x:c r="K9944" i="2"/>
  <x:c r="L9944" i="2"/>
  <x:c r="K9945" i="2"/>
  <x:c r="L9945" i="2"/>
  <x:c r="K9946" i="2"/>
  <x:c r="L9946" i="2"/>
  <x:c r="K9947" i="2"/>
  <x:c r="L9947" i="2"/>
  <x:c r="K9948" i="2"/>
  <x:c r="L9948" i="2"/>
  <x:c r="K9949" i="2"/>
  <x:c r="L9949" i="2"/>
  <x:c r="K9950" i="2"/>
  <x:c r="L9950" i="2"/>
  <x:c r="K9951" i="2"/>
  <x:c r="L9951" i="2"/>
  <x:c r="K9952" i="2"/>
  <x:c r="L9952" i="2"/>
  <x:c r="K9953" i="2"/>
  <x:c r="L9953" i="2"/>
  <x:c r="K9954" i="2"/>
  <x:c r="L9954" i="2"/>
  <x:c r="K9955" i="2"/>
  <x:c r="L9955" i="2"/>
  <x:c r="K9956" i="2"/>
  <x:c r="L9956" i="2"/>
  <x:c r="K9957" i="2"/>
  <x:c r="L9957" i="2"/>
  <x:c r="K9958" i="2"/>
  <x:c r="L9958" i="2"/>
  <x:c r="K9959" i="2"/>
  <x:c r="L9959" i="2"/>
  <x:c r="K9960" i="2"/>
  <x:c r="L9960" i="2"/>
  <x:c r="K9961" i="2"/>
  <x:c r="L9961" i="2"/>
  <x:c r="K9962" i="2"/>
  <x:c r="L9962" i="2"/>
  <x:c r="K9963" i="2"/>
  <x:c r="L9963" i="2"/>
  <x:c r="K9964" i="2"/>
  <x:c r="L9964" i="2"/>
  <x:c r="K9965" i="2"/>
  <x:c r="L9965" i="2"/>
  <x:c r="K9966" i="2"/>
  <x:c r="L9966" i="2"/>
  <x:c r="K9967" i="2"/>
  <x:c r="L9967" i="2"/>
  <x:c r="K9968" i="2"/>
  <x:c r="L9968" i="2"/>
  <x:c r="K9969" i="2"/>
  <x:c r="L9969" i="2"/>
  <x:c r="K9970" i="2"/>
  <x:c r="L9970" i="2"/>
  <x:c r="K9971" i="2"/>
  <x:c r="L9971" i="2"/>
  <x:c r="K9972" i="2"/>
  <x:c r="L9972" i="2"/>
  <x:c r="K9973" i="2"/>
  <x:c r="L9973" i="2"/>
  <x:c r="K9974" i="2"/>
  <x:c r="L9974" i="2"/>
  <x:c r="K9975" i="2"/>
  <x:c r="L9975" i="2"/>
  <x:c r="K9976" i="2"/>
  <x:c r="L9976" i="2"/>
  <x:c r="K9977" i="2"/>
  <x:c r="L9977" i="2"/>
  <x:c r="K9978" i="2"/>
  <x:c r="L9978" i="2"/>
  <x:c r="K9979" i="2"/>
  <x:c r="L9979" i="2"/>
  <x:c r="K9980" i="2"/>
  <x:c r="L9980" i="2"/>
  <x:c r="K9981" i="2"/>
  <x:c r="L9981" i="2"/>
  <x:c r="K9982" i="2"/>
  <x:c r="L9982" i="2"/>
  <x:c r="K9983" i="2"/>
  <x:c r="L9983" i="2"/>
  <x:c r="K9984" i="2"/>
  <x:c r="L9984" i="2"/>
  <x:c r="K9985" i="2"/>
  <x:c r="L9985" i="2"/>
  <x:c r="K9986" i="2"/>
  <x:c r="L9986" i="2"/>
  <x:c r="K9987" i="2"/>
  <x:c r="L9987" i="2"/>
  <x:c r="K9988" i="2"/>
  <x:c r="L9988" i="2"/>
  <x:c r="K9989" i="2"/>
  <x:c r="L9989" i="2"/>
  <x:c r="K9990" i="2"/>
  <x:c r="L9990" i="2"/>
  <x:c r="K9991" i="2"/>
  <x:c r="L9991" i="2"/>
  <x:c r="K9992" i="2"/>
  <x:c r="L9992" i="2"/>
  <x:c r="K9993" i="2"/>
  <x:c r="L9993" i="2"/>
  <x:c r="K9994" i="2"/>
  <x:c r="L9994" i="2"/>
  <x:c r="K9995" i="2"/>
  <x:c r="L9995" i="2"/>
  <x:c r="K9996" i="2"/>
  <x:c r="L9996" i="2"/>
  <x:c r="K9997" i="2"/>
  <x:c r="L9997" i="2"/>
  <x:c r="K9998" i="2"/>
  <x:c r="L9998" i="2"/>
  <x:c r="K9999" i="2"/>
  <x:c r="L9999" i="2"/>
  <x:c r="K10000" i="2"/>
  <x:c r="L10000" i="2"/>
  <x:c r="K10001" i="2"/>
  <x:c r="L10001" i="2"/>
  <x:c r="K10002" i="2"/>
  <x:c r="L10002" i="2"/>
  <x:c r="K10003" i="2"/>
  <x:c r="L10003" i="2"/>
  <x:c r="K10004" i="2"/>
  <x:c r="L10004" i="2"/>
  <x:c r="K10005" i="2"/>
  <x:c r="L10005" i="2"/>
  <x:c r="K10006" i="2"/>
  <x:c r="L10006" i="2"/>
  <x:c r="K10007" i="2"/>
  <x:c r="L10007" i="2"/>
  <x:c r="K10008" i="2"/>
  <x:c r="L10008" i="2"/>
  <x:c r="K10009" i="2"/>
  <x:c r="L10009" i="2"/>
  <x:c r="K10010" i="2"/>
  <x:c r="L10010" i="2"/>
  <x:c r="K10011" i="2"/>
  <x:c r="L10011" i="2"/>
  <x:c r="K10012" i="2"/>
  <x:c r="L10012" i="2"/>
  <x:c r="K10013" i="2"/>
  <x:c r="L10013" i="2"/>
  <x:c r="K10014" i="2"/>
  <x:c r="L10014" i="2"/>
  <x:c r="K10015" i="2"/>
  <x:c r="L10015" i="2"/>
  <x:c r="K10016" i="2"/>
  <x:c r="L10016" i="2"/>
  <x:c r="K10017" i="2"/>
  <x:c r="L10017" i="2"/>
  <x:c r="K10018" i="2"/>
  <x:c r="L10018" i="2"/>
  <x:c r="K10019" i="2"/>
  <x:c r="L10019" i="2"/>
  <x:c r="K10020" i="2"/>
  <x:c r="L10020" i="2"/>
  <x:c r="K10021" i="2"/>
  <x:c r="L10021" i="2"/>
  <x:c r="K10022" i="2"/>
  <x:c r="L10022" i="2"/>
  <x:c r="K10023" i="2"/>
  <x:c r="L10023" i="2"/>
  <x:c r="K10024" i="2"/>
  <x:c r="L10024" i="2"/>
  <x:c r="K10025" i="2"/>
  <x:c r="L10025" i="2"/>
  <x:c r="K10026" i="2"/>
  <x:c r="L10026" i="2"/>
  <x:c r="K10027" i="2"/>
  <x:c r="L10027" i="2"/>
  <x:c r="K10028" i="2"/>
  <x:c r="L10028" i="2"/>
  <x:c r="K10029" i="2"/>
  <x:c r="L10029" i="2"/>
  <x:c r="K10030" i="2"/>
  <x:c r="L10030" i="2"/>
  <x:c r="K10031" i="2"/>
  <x:c r="L10031" i="2"/>
  <x:c r="K10032" i="2"/>
  <x:c r="L10032" i="2"/>
  <x:c r="K10033" i="2"/>
  <x:c r="L10033" i="2"/>
  <x:c r="K10034" i="2"/>
  <x:c r="L10034" i="2"/>
  <x:c r="K10035" i="2"/>
  <x:c r="L10035" i="2"/>
  <x:c r="K10036" i="2"/>
  <x:c r="L10036" i="2"/>
  <x:c r="K10037" i="2"/>
  <x:c r="L10037" i="2"/>
  <x:c r="K10038" i="2"/>
  <x:c r="L10038" i="2"/>
  <x:c r="K10039" i="2"/>
  <x:c r="L10039" i="2"/>
  <x:c r="K10040" i="2"/>
  <x:c r="L10040" i="2"/>
  <x:c r="K10041" i="2"/>
  <x:c r="L10041" i="2"/>
  <x:c r="K10042" i="2"/>
  <x:c r="L10042" i="2"/>
  <x:c r="K10043" i="2"/>
  <x:c r="L10043" i="2"/>
  <x:c r="K10044" i="2"/>
  <x:c r="L10044" i="2"/>
  <x:c r="K10045" i="2"/>
  <x:c r="L10045" i="2"/>
  <x:c r="K10046" i="2"/>
  <x:c r="L10046" i="2"/>
  <x:c r="K10047" i="2"/>
  <x:c r="L10047" i="2"/>
  <x:c r="K10048" i="2"/>
  <x:c r="L10048" i="2"/>
  <x:c r="K10049" i="2"/>
  <x:c r="L10049" i="2"/>
  <x:c r="K10050" i="2"/>
  <x:c r="L10050" i="2"/>
  <x:c r="K10051" i="2"/>
  <x:c r="L10051" i="2"/>
  <x:c r="K10052" i="2"/>
  <x:c r="L10052" i="2"/>
  <x:c r="K10053" i="2"/>
  <x:c r="L10053" i="2"/>
  <x:c r="K10054" i="2"/>
  <x:c r="L10054" i="2"/>
  <x:c r="K10055" i="2"/>
  <x:c r="L10055" i="2"/>
  <x:c r="K10056" i="2"/>
  <x:c r="L10056" i="2"/>
  <x:c r="K10057" i="2"/>
  <x:c r="L10057" i="2"/>
  <x:c r="K10058" i="2"/>
  <x:c r="L10058" i="2"/>
  <x:c r="K10059" i="2"/>
  <x:c r="L10059" i="2"/>
  <x:c r="K10060" i="2"/>
  <x:c r="L10060" i="2"/>
  <x:c r="K10061" i="2"/>
  <x:c r="L10061" i="2"/>
  <x:c r="K10062" i="2"/>
  <x:c r="L10062" i="2"/>
  <x:c r="K10063" i="2"/>
  <x:c r="L10063" i="2"/>
  <x:c r="K10064" i="2"/>
  <x:c r="L10064" i="2"/>
  <x:c r="K10065" i="2"/>
  <x:c r="L10065" i="2"/>
  <x:c r="K10066" i="2"/>
  <x:c r="L10066" i="2"/>
  <x:c r="K10067" i="2"/>
  <x:c r="L10067" i="2"/>
  <x:c r="K10068" i="2"/>
  <x:c r="L10068" i="2"/>
  <x:c r="K10069" i="2"/>
  <x:c r="L10069" i="2"/>
  <x:c r="K10070" i="2"/>
  <x:c r="L10070" i="2"/>
  <x:c r="K10071" i="2"/>
  <x:c r="L10071" i="2"/>
  <x:c r="K10072" i="2"/>
  <x:c r="L10072" i="2"/>
  <x:c r="K10073" i="2"/>
  <x:c r="L10073" i="2"/>
  <x:c r="K10074" i="2"/>
  <x:c r="L10074" i="2"/>
  <x:c r="K10075" i="2"/>
  <x:c r="L10075" i="2"/>
  <x:c r="K10076" i="2"/>
  <x:c r="L10076" i="2"/>
  <x:c r="K10077" i="2"/>
  <x:c r="L10077" i="2"/>
  <x:c r="K10078" i="2"/>
  <x:c r="L10078" i="2"/>
  <x:c r="K10079" i="2"/>
  <x:c r="L10079" i="2"/>
  <x:c r="K10080" i="2"/>
  <x:c r="L10080" i="2"/>
  <x:c r="K10081" i="2"/>
  <x:c r="L10081" i="2"/>
  <x:c r="K10082" i="2"/>
  <x:c r="L10082" i="2"/>
  <x:c r="K10083" i="2"/>
  <x:c r="L10083" i="2"/>
  <x:c r="K10084" i="2"/>
  <x:c r="L10084" i="2"/>
  <x:c r="K10085" i="2"/>
  <x:c r="L10085" i="2"/>
  <x:c r="K10086" i="2"/>
  <x:c r="L10086" i="2"/>
  <x:c r="K10087" i="2"/>
  <x:c r="L10087" i="2"/>
  <x:c r="K10088" i="2"/>
  <x:c r="L10088" i="2"/>
  <x:c r="K10089" i="2"/>
  <x:c r="L10089" i="2"/>
  <x:c r="K10090" i="2"/>
  <x:c r="L10090" i="2"/>
  <x:c r="K10091" i="2"/>
  <x:c r="L10091" i="2"/>
  <x:c r="K10092" i="2"/>
  <x:c r="L10092" i="2"/>
  <x:c r="K10093" i="2"/>
  <x:c r="L10093" i="2"/>
  <x:c r="K10094" i="2"/>
  <x:c r="L10094" i="2"/>
  <x:c r="K10095" i="2"/>
  <x:c r="L10095" i="2"/>
  <x:c r="K10096" i="2"/>
  <x:c r="L10096" i="2"/>
  <x:c r="K10097" i="2"/>
  <x:c r="L10097" i="2"/>
  <x:c r="K10098" i="2"/>
  <x:c r="L10098" i="2"/>
  <x:c r="K10099" i="2"/>
  <x:c r="L10099" i="2"/>
  <x:c r="K10100" i="2"/>
  <x:c r="L10100" i="2"/>
  <x:c r="K10101" i="2"/>
  <x:c r="L10101" i="2"/>
  <x:c r="K10102" i="2"/>
  <x:c r="L10102" i="2"/>
  <x:c r="K10103" i="2"/>
  <x:c r="L10103" i="2"/>
  <x:c r="K10104" i="2"/>
  <x:c r="L10104" i="2"/>
  <x:c r="K10105" i="2"/>
  <x:c r="L10105" i="2"/>
  <x:c r="K10106" i="2"/>
  <x:c r="L10106" i="2"/>
  <x:c r="K10107" i="2"/>
  <x:c r="L10107" i="2"/>
  <x:c r="K10108" i="2"/>
  <x:c r="L10108" i="2"/>
  <x:c r="K10109" i="2"/>
  <x:c r="L10109" i="2"/>
  <x:c r="K10110" i="2"/>
  <x:c r="L10110" i="2"/>
  <x:c r="K10111" i="2"/>
  <x:c r="L10111" i="2"/>
  <x:c r="K10112" i="2"/>
  <x:c r="L10112" i="2"/>
  <x:c r="K10113" i="2"/>
  <x:c r="L10113" i="2"/>
  <x:c r="K10114" i="2"/>
  <x:c r="L10114" i="2"/>
  <x:c r="K10115" i="2"/>
  <x:c r="L10115" i="2"/>
  <x:c r="K10116" i="2"/>
  <x:c r="L10116" i="2"/>
  <x:c r="K10117" i="2"/>
  <x:c r="L10117" i="2"/>
  <x:c r="K10118" i="2"/>
  <x:c r="L10118" i="2"/>
  <x:c r="K10119" i="2"/>
  <x:c r="L10119" i="2"/>
  <x:c r="K10120" i="2"/>
  <x:c r="L10120" i="2"/>
  <x:c r="K10121" i="2"/>
  <x:c r="L10121" i="2"/>
  <x:c r="K10122" i="2"/>
  <x:c r="L10122" i="2"/>
  <x:c r="K10123" i="2"/>
  <x:c r="L10123" i="2"/>
  <x:c r="K10124" i="2"/>
  <x:c r="L10124" i="2"/>
  <x:c r="K10125" i="2"/>
  <x:c r="L10125" i="2"/>
  <x:c r="K10126" i="2"/>
  <x:c r="L10126" i="2"/>
  <x:c r="K10127" i="2"/>
  <x:c r="L10127" i="2"/>
  <x:c r="K10128" i="2"/>
  <x:c r="L10128" i="2"/>
  <x:c r="K10129" i="2"/>
  <x:c r="L10129" i="2"/>
  <x:c r="K10130" i="2"/>
  <x:c r="L10130" i="2"/>
  <x:c r="K10131" i="2"/>
  <x:c r="L10131" i="2"/>
  <x:c r="K10132" i="2"/>
  <x:c r="L10132" i="2"/>
  <x:c r="K10133" i="2"/>
  <x:c r="L10133" i="2"/>
  <x:c r="K10134" i="2"/>
  <x:c r="L10134" i="2"/>
  <x:c r="K10135" i="2"/>
  <x:c r="L10135" i="2"/>
  <x:c r="K10136" i="2"/>
  <x:c r="L10136" i="2"/>
  <x:c r="K10137" i="2"/>
  <x:c r="L10137" i="2"/>
  <x:c r="K10138" i="2"/>
  <x:c r="L10138" i="2"/>
  <x:c r="K10139" i="2"/>
  <x:c r="L10139" i="2"/>
  <x:c r="K10140" i="2"/>
  <x:c r="L10140" i="2"/>
  <x:c r="K10141" i="2"/>
  <x:c r="L10141" i="2"/>
  <x:c r="K10142" i="2"/>
  <x:c r="L10142" i="2"/>
  <x:c r="K10143" i="2"/>
  <x:c r="L10143" i="2"/>
  <x:c r="K10144" i="2"/>
  <x:c r="L10144" i="2"/>
  <x:c r="K10145" i="2"/>
  <x:c r="L10145" i="2"/>
  <x:c r="K10146" i="2"/>
  <x:c r="L10146" i="2"/>
  <x:c r="K10147" i="2"/>
  <x:c r="L10147" i="2"/>
  <x:c r="K10148" i="2"/>
  <x:c r="L10148" i="2"/>
  <x:c r="K10149" i="2"/>
  <x:c r="L10149" i="2"/>
  <x:c r="K10150" i="2"/>
  <x:c r="L10150" i="2"/>
  <x:c r="K10151" i="2"/>
  <x:c r="L10151" i="2"/>
  <x:c r="K10152" i="2"/>
  <x:c r="L10152" i="2"/>
  <x:c r="K10153" i="2"/>
  <x:c r="L10153" i="2"/>
  <x:c r="K10154" i="2"/>
  <x:c r="L10154" i="2"/>
  <x:c r="K10155" i="2"/>
  <x:c r="L10155" i="2"/>
  <x:c r="K10156" i="2"/>
  <x:c r="L10156" i="2"/>
  <x:c r="K10157" i="2"/>
  <x:c r="L10157" i="2"/>
  <x:c r="K10158" i="2"/>
  <x:c r="L10158" i="2"/>
  <x:c r="K10159" i="2"/>
  <x:c r="L10159" i="2"/>
  <x:c r="K10160" i="2"/>
  <x:c r="L10160" i="2"/>
  <x:c r="K10161" i="2"/>
  <x:c r="L10161" i="2"/>
  <x:c r="K10162" i="2"/>
  <x:c r="L10162" i="2"/>
  <x:c r="K10163" i="2"/>
  <x:c r="L10163" i="2"/>
  <x:c r="K10164" i="2"/>
  <x:c r="L10164" i="2"/>
  <x:c r="K10165" i="2"/>
  <x:c r="L10165" i="2"/>
  <x:c r="K10166" i="2"/>
  <x:c r="L10166" i="2"/>
  <x:c r="K10167" i="2"/>
  <x:c r="L10167" i="2"/>
  <x:c r="K10168" i="2"/>
  <x:c r="L10168" i="2"/>
  <x:c r="K10169" i="2"/>
  <x:c r="L10169" i="2"/>
  <x:c r="K10170" i="2"/>
  <x:c r="L10170" i="2"/>
  <x:c r="K10171" i="2"/>
  <x:c r="L10171" i="2"/>
  <x:c r="K10172" i="2"/>
  <x:c r="L10172" i="2"/>
  <x:c r="K10173" i="2"/>
  <x:c r="L10173" i="2"/>
  <x:c r="K10174" i="2"/>
  <x:c r="L10174" i="2"/>
  <x:c r="K10175" i="2"/>
  <x:c r="L10175" i="2"/>
  <x:c r="K10176" i="2"/>
  <x:c r="L10176" i="2"/>
  <x:c r="K10177" i="2"/>
  <x:c r="L10177" i="2"/>
  <x:c r="K10178" i="2"/>
  <x:c r="L10178" i="2"/>
  <x:c r="K10179" i="2"/>
  <x:c r="L10179" i="2"/>
  <x:c r="K10180" i="2"/>
  <x:c r="L10180" i="2"/>
  <x:c r="K10181" i="2"/>
  <x:c r="L10181" i="2"/>
  <x:c r="K10182" i="2"/>
  <x:c r="L10182" i="2"/>
  <x:c r="K10183" i="2"/>
  <x:c r="L10183" i="2"/>
  <x:c r="K10184" i="2"/>
  <x:c r="L10184" i="2"/>
  <x:c r="K10185" i="2"/>
  <x:c r="L10185" i="2"/>
  <x:c r="K10186" i="2"/>
  <x:c r="L10186" i="2"/>
  <x:c r="K10187" i="2"/>
  <x:c r="L10187" i="2"/>
  <x:c r="K10188" i="2"/>
  <x:c r="L10188" i="2"/>
  <x:c r="K10189" i="2"/>
  <x:c r="L10189" i="2"/>
  <x:c r="K10190" i="2"/>
  <x:c r="L10190" i="2"/>
  <x:c r="K10191" i="2"/>
  <x:c r="L10191" i="2"/>
  <x:c r="K10192" i="2"/>
  <x:c r="L10192" i="2"/>
  <x:c r="K10193" i="2"/>
  <x:c r="L10193" i="2"/>
  <x:c r="K10194" i="2"/>
  <x:c r="L10194" i="2"/>
  <x:c r="K10195" i="2"/>
  <x:c r="L10195" i="2"/>
  <x:c r="K10196" i="2"/>
  <x:c r="L10196" i="2"/>
  <x:c r="K10197" i="2"/>
  <x:c r="L10197" i="2"/>
  <x:c r="K10198" i="2"/>
  <x:c r="L10198" i="2"/>
  <x:c r="K10199" i="2"/>
  <x:c r="L10199" i="2"/>
  <x:c r="K10200" i="2"/>
  <x:c r="L10200" i="2"/>
  <x:c r="K10201" i="2"/>
  <x:c r="L10201" i="2"/>
  <x:c r="K10202" i="2"/>
  <x:c r="L10202" i="2"/>
  <x:c r="K10203" i="2"/>
  <x:c r="L10203" i="2"/>
  <x:c r="K10204" i="2"/>
  <x:c r="L10204" i="2"/>
  <x:c r="K10205" i="2"/>
  <x:c r="L10205" i="2"/>
  <x:c r="K10206" i="2"/>
  <x:c r="L10206" i="2"/>
  <x:c r="K10207" i="2"/>
  <x:c r="L10207" i="2"/>
  <x:c r="K10208" i="2"/>
  <x:c r="L10208" i="2"/>
  <x:c r="K10209" i="2"/>
  <x:c r="L10209" i="2"/>
  <x:c r="K10210" i="2"/>
  <x:c r="L10210" i="2"/>
  <x:c r="K10211" i="2"/>
  <x:c r="L10211" i="2"/>
  <x:c r="K10212" i="2"/>
  <x:c r="L10212" i="2"/>
  <x:c r="K10213" i="2"/>
  <x:c r="L10213" i="2"/>
  <x:c r="K10214" i="2"/>
  <x:c r="L10214" i="2"/>
  <x:c r="K10215" i="2"/>
  <x:c r="L10215" i="2"/>
  <x:c r="K10216" i="2"/>
  <x:c r="L10216" i="2"/>
  <x:c r="K10217" i="2"/>
  <x:c r="L10217" i="2"/>
  <x:c r="K10218" i="2"/>
  <x:c r="L10218" i="2"/>
  <x:c r="K10219" i="2"/>
  <x:c r="L10219" i="2"/>
  <x:c r="K10220" i="2"/>
  <x:c r="L10220" i="2"/>
  <x:c r="K10221" i="2"/>
  <x:c r="L10221" i="2"/>
  <x:c r="K10222" i="2"/>
  <x:c r="L10222" i="2"/>
  <x:c r="K10223" i="2"/>
  <x:c r="L10223" i="2"/>
  <x:c r="K10224" i="2"/>
  <x:c r="L10224" i="2"/>
  <x:c r="K10225" i="2"/>
  <x:c r="L10225" i="2"/>
  <x:c r="K10226" i="2"/>
  <x:c r="L10226" i="2"/>
  <x:c r="K10227" i="2"/>
  <x:c r="L10227" i="2"/>
  <x:c r="K10228" i="2"/>
  <x:c r="L10228" i="2"/>
  <x:c r="K10229" i="2"/>
  <x:c r="L10229" i="2"/>
  <x:c r="K10230" i="2"/>
  <x:c r="L10230" i="2"/>
  <x:c r="K10231" i="2"/>
  <x:c r="L10231" i="2"/>
  <x:c r="K10232" i="2"/>
  <x:c r="L10232" i="2"/>
  <x:c r="K10233" i="2"/>
  <x:c r="L10233" i="2"/>
  <x:c r="K10234" i="2"/>
  <x:c r="L10234" i="2"/>
  <x:c r="K10235" i="2"/>
  <x:c r="L10235" i="2"/>
  <x:c r="K10236" i="2"/>
  <x:c r="L10236" i="2"/>
  <x:c r="K10237" i="2"/>
  <x:c r="L10237" i="2"/>
  <x:c r="K10238" i="2"/>
  <x:c r="L10238" i="2"/>
  <x:c r="K10239" i="2"/>
  <x:c r="L10239" i="2"/>
  <x:c r="K10240" i="2"/>
  <x:c r="L10240" i="2"/>
  <x:c r="K10241" i="2"/>
  <x:c r="L10241" i="2"/>
  <x:c r="K10242" i="2"/>
  <x:c r="L10242" i="2"/>
  <x:c r="K10243" i="2"/>
  <x:c r="L10243" i="2"/>
  <x:c r="K10244" i="2"/>
  <x:c r="L10244" i="2"/>
  <x:c r="K10245" i="2"/>
  <x:c r="L10245" i="2"/>
  <x:c r="K10246" i="2"/>
  <x:c r="L10246" i="2"/>
  <x:c r="K10247" i="2"/>
  <x:c r="L10247" i="2"/>
  <x:c r="K10248" i="2"/>
  <x:c r="L10248" i="2"/>
  <x:c r="K10249" i="2"/>
  <x:c r="L10249" i="2"/>
  <x:c r="K10250" i="2"/>
  <x:c r="L10250" i="2"/>
  <x:c r="K10251" i="2"/>
  <x:c r="L10251" i="2"/>
  <x:c r="K10252" i="2"/>
  <x:c r="L10252" i="2"/>
  <x:c r="K10253" i="2"/>
  <x:c r="L10253" i="2"/>
  <x:c r="K10254" i="2"/>
  <x:c r="L10254" i="2"/>
  <x:c r="K10255" i="2"/>
  <x:c r="L10255" i="2"/>
  <x:c r="K10256" i="2"/>
  <x:c r="L10256" i="2"/>
  <x:c r="K10257" i="2"/>
  <x:c r="L10257" i="2"/>
  <x:c r="K10258" i="2"/>
  <x:c r="L10258" i="2"/>
  <x:c r="K10259" i="2"/>
  <x:c r="L10259" i="2"/>
  <x:c r="K10260" i="2"/>
  <x:c r="L10260" i="2"/>
  <x:c r="K10261" i="2"/>
  <x:c r="L10261" i="2"/>
  <x:c r="K10262" i="2"/>
  <x:c r="L10262" i="2"/>
  <x:c r="K10263" i="2"/>
  <x:c r="L10263" i="2"/>
  <x:c r="K10264" i="2"/>
  <x:c r="L10264" i="2"/>
  <x:c r="K10265" i="2"/>
  <x:c r="L10265" i="2"/>
  <x:c r="K10266" i="2"/>
  <x:c r="L10266" i="2"/>
  <x:c r="K10267" i="2"/>
  <x:c r="L10267" i="2"/>
  <x:c r="K10268" i="2"/>
  <x:c r="L10268" i="2"/>
  <x:c r="K10269" i="2"/>
  <x:c r="L10269" i="2"/>
  <x:c r="K10270" i="2"/>
  <x:c r="L10270" i="2"/>
  <x:c r="K10271" i="2"/>
  <x:c r="L10271" i="2"/>
  <x:c r="K10272" i="2"/>
  <x:c r="L10272" i="2"/>
  <x:c r="K10273" i="2"/>
  <x:c r="L10273" i="2"/>
  <x:c r="K10274" i="2"/>
  <x:c r="L10274" i="2"/>
  <x:c r="K10275" i="2"/>
  <x:c r="L10275" i="2"/>
  <x:c r="K10276" i="2"/>
  <x:c r="L10276" i="2"/>
  <x:c r="K10277" i="2"/>
  <x:c r="L10277" i="2"/>
  <x:c r="K10278" i="2"/>
  <x:c r="L10278" i="2"/>
  <x:c r="K10279" i="2"/>
  <x:c r="L10279" i="2"/>
  <x:c r="K10280" i="2"/>
  <x:c r="L10280" i="2"/>
  <x:c r="K10281" i="2"/>
  <x:c r="L10281" i="2"/>
  <x:c r="K10282" i="2"/>
  <x:c r="L10282" i="2"/>
  <x:c r="K10283" i="2"/>
  <x:c r="L10283" i="2"/>
  <x:c r="K10284" i="2"/>
  <x:c r="L10284" i="2"/>
  <x:c r="K10285" i="2"/>
  <x:c r="L10285" i="2"/>
  <x:c r="K10286" i="2"/>
  <x:c r="L10286" i="2"/>
  <x:c r="K10287" i="2"/>
  <x:c r="L10287" i="2"/>
  <x:c r="K10288" i="2"/>
  <x:c r="L10288" i="2"/>
  <x:c r="K10289" i="2"/>
  <x:c r="L10289" i="2"/>
  <x:c r="K10290" i="2"/>
  <x:c r="L10290" i="2"/>
  <x:c r="K10291" i="2"/>
  <x:c r="L10291" i="2"/>
  <x:c r="K10292" i="2"/>
  <x:c r="L10292" i="2"/>
  <x:c r="K10293" i="2"/>
  <x:c r="L10293" i="2"/>
  <x:c r="K10294" i="2"/>
  <x:c r="L10294" i="2"/>
  <x:c r="K10295" i="2"/>
  <x:c r="L10295" i="2"/>
  <x:c r="K10296" i="2"/>
  <x:c r="L10296" i="2"/>
  <x:c r="K10297" i="2"/>
  <x:c r="L10297" i="2"/>
  <x:c r="K10298" i="2"/>
  <x:c r="L10298" i="2"/>
  <x:c r="K10299" i="2"/>
  <x:c r="L10299" i="2"/>
  <x:c r="K10300" i="2"/>
  <x:c r="L10300" i="2"/>
  <x:c r="K10301" i="2"/>
  <x:c r="L10301" i="2"/>
  <x:c r="K10302" i="2"/>
  <x:c r="L10302" i="2"/>
  <x:c r="K10303" i="2"/>
  <x:c r="L10303" i="2"/>
  <x:c r="K10304" i="2"/>
  <x:c r="L10304" i="2"/>
  <x:c r="K10305" i="2"/>
  <x:c r="L10305" i="2"/>
  <x:c r="K10306" i="2"/>
  <x:c r="L10306" i="2"/>
  <x:c r="K10307" i="2"/>
  <x:c r="L10307" i="2"/>
  <x:c r="K10308" i="2"/>
  <x:c r="L10308" i="2"/>
  <x:c r="K10309" i="2"/>
  <x:c r="L10309" i="2"/>
  <x:c r="K10310" i="2"/>
  <x:c r="L10310" i="2"/>
  <x:c r="K10311" i="2"/>
  <x:c r="L10311" i="2"/>
  <x:c r="K10312" i="2"/>
  <x:c r="L10312" i="2"/>
  <x:c r="K10313" i="2"/>
  <x:c r="L10313" i="2"/>
  <x:c r="K10314" i="2"/>
  <x:c r="L10314" i="2"/>
  <x:c r="K10315" i="2"/>
  <x:c r="L10315" i="2"/>
  <x:c r="K10316" i="2"/>
  <x:c r="L10316" i="2"/>
  <x:c r="K10317" i="2"/>
  <x:c r="L10317" i="2"/>
  <x:c r="K10318" i="2"/>
  <x:c r="L10318" i="2"/>
  <x:c r="K10319" i="2"/>
  <x:c r="L10319" i="2"/>
  <x:c r="K10320" i="2"/>
  <x:c r="L10320" i="2"/>
  <x:c r="K10321" i="2"/>
  <x:c r="L10321" i="2"/>
  <x:c r="K10322" i="2"/>
  <x:c r="L10322" i="2"/>
  <x:c r="K10323" i="2"/>
  <x:c r="L10323" i="2"/>
  <x:c r="K10324" i="2"/>
  <x:c r="L10324" i="2"/>
  <x:c r="K10325" i="2"/>
  <x:c r="L10325" i="2"/>
  <x:c r="K10326" i="2"/>
  <x:c r="L10326" i="2"/>
  <x:c r="K10327" i="2"/>
  <x:c r="L10327" i="2"/>
  <x:c r="K10328" i="2"/>
  <x:c r="L10328" i="2"/>
  <x:c r="K10329" i="2"/>
  <x:c r="L10329" i="2"/>
  <x:c r="K10330" i="2"/>
  <x:c r="L10330" i="2"/>
  <x:c r="K10331" i="2"/>
  <x:c r="L10331" i="2"/>
  <x:c r="K10332" i="2"/>
  <x:c r="L10332" i="2"/>
  <x:c r="K10333" i="2"/>
  <x:c r="L10333" i="2"/>
  <x:c r="K10334" i="2"/>
  <x:c r="L10334" i="2"/>
  <x:c r="K10335" i="2"/>
  <x:c r="L10335" i="2"/>
  <x:c r="K10336" i="2"/>
  <x:c r="L10336" i="2"/>
  <x:c r="K10337" i="2"/>
  <x:c r="L10337" i="2"/>
  <x:c r="K10338" i="2"/>
  <x:c r="L10338" i="2"/>
  <x:c r="K10339" i="2"/>
  <x:c r="L10339" i="2"/>
  <x:c r="K10340" i="2"/>
  <x:c r="L10340" i="2"/>
  <x:c r="K10341" i="2"/>
  <x:c r="L10341" i="2"/>
  <x:c r="K10342" i="2"/>
  <x:c r="L10342" i="2"/>
  <x:c r="K10343" i="2"/>
  <x:c r="L10343" i="2"/>
  <x:c r="K10344" i="2"/>
  <x:c r="L10344" i="2"/>
  <x:c r="K10345" i="2"/>
  <x:c r="L10345" i="2"/>
  <x:c r="K10346" i="2"/>
  <x:c r="L10346" i="2"/>
  <x:c r="K10347" i="2"/>
  <x:c r="L10347" i="2"/>
  <x:c r="K10348" i="2"/>
  <x:c r="L10348" i="2"/>
  <x:c r="K10349" i="2"/>
  <x:c r="L10349" i="2"/>
  <x:c r="K10350" i="2"/>
  <x:c r="L10350" i="2"/>
  <x:c r="K10351" i="2"/>
  <x:c r="L10351" i="2"/>
  <x:c r="K10352" i="2"/>
  <x:c r="L10352" i="2"/>
  <x:c r="K10353" i="2"/>
  <x:c r="L10353" i="2"/>
  <x:c r="K10354" i="2"/>
  <x:c r="L10354" i="2"/>
  <x:c r="K10355" i="2"/>
  <x:c r="L10355" i="2"/>
  <x:c r="K10356" i="2"/>
  <x:c r="L10356" i="2"/>
  <x:c r="K10357" i="2"/>
  <x:c r="L10357" i="2"/>
  <x:c r="K10358" i="2"/>
  <x:c r="L10358" i="2"/>
  <x:c r="K10359" i="2"/>
  <x:c r="L10359" i="2"/>
  <x:c r="K10360" i="2"/>
  <x:c r="L10360" i="2"/>
  <x:c r="K10361" i="2"/>
  <x:c r="L10361" i="2"/>
  <x:c r="K10362" i="2"/>
  <x:c r="L10362" i="2"/>
  <x:c r="K10363" i="2"/>
  <x:c r="L10363" i="2"/>
  <x:c r="K10364" i="2"/>
  <x:c r="L10364" i="2"/>
  <x:c r="K10365" i="2"/>
  <x:c r="L10365" i="2"/>
  <x:c r="K10366" i="2"/>
  <x:c r="L10366" i="2"/>
  <x:c r="K10367" i="2"/>
  <x:c r="L10367" i="2"/>
  <x:c r="K10368" i="2"/>
  <x:c r="L10368" i="2"/>
  <x:c r="K10369" i="2"/>
  <x:c r="L10369" i="2"/>
  <x:c r="K10370" i="2"/>
  <x:c r="L10370" i="2"/>
  <x:c r="K10371" i="2"/>
  <x:c r="L10371" i="2"/>
  <x:c r="K10372" i="2"/>
  <x:c r="L10372" i="2"/>
  <x:c r="K10373" i="2"/>
  <x:c r="L10373" i="2"/>
  <x:c r="K10374" i="2"/>
  <x:c r="L10374" i="2"/>
  <x:c r="K10375" i="2"/>
  <x:c r="L10375" i="2"/>
  <x:c r="K10376" i="2"/>
  <x:c r="L10376" i="2"/>
  <x:c r="K10377" i="2"/>
  <x:c r="L10377" i="2"/>
  <x:c r="K10378" i="2"/>
  <x:c r="L10378" i="2"/>
  <x:c r="K10379" i="2"/>
  <x:c r="L10379" i="2"/>
  <x:c r="K10380" i="2"/>
  <x:c r="L10380" i="2"/>
  <x:c r="K10381" i="2"/>
  <x:c r="L10381" i="2"/>
  <x:c r="K10382" i="2"/>
  <x:c r="L10382" i="2"/>
  <x:c r="K10383" i="2"/>
  <x:c r="L10383" i="2"/>
  <x:c r="K10384" i="2"/>
  <x:c r="L10384" i="2"/>
  <x:c r="K10385" i="2"/>
  <x:c r="L10385" i="2"/>
  <x:c r="K10386" i="2"/>
  <x:c r="L10386" i="2"/>
  <x:c r="K10387" i="2"/>
  <x:c r="L10387" i="2"/>
  <x:c r="K10388" i="2"/>
  <x:c r="L10388" i="2"/>
  <x:c r="K10389" i="2"/>
  <x:c r="L10389" i="2"/>
  <x:c r="K10390" i="2"/>
  <x:c r="L10390" i="2"/>
  <x:c r="K10391" i="2"/>
  <x:c r="L10391" i="2"/>
  <x:c r="K10392" i="2"/>
  <x:c r="L10392" i="2"/>
  <x:c r="K10393" i="2"/>
  <x:c r="L10393" i="2"/>
  <x:c r="K10394" i="2"/>
  <x:c r="L10394" i="2"/>
  <x:c r="K10395" i="2"/>
  <x:c r="L10395" i="2"/>
  <x:c r="K10396" i="2"/>
  <x:c r="L10396" i="2"/>
  <x:c r="K10397" i="2"/>
  <x:c r="L10397" i="2"/>
  <x:c r="K10398" i="2"/>
  <x:c r="L10398" i="2"/>
  <x:c r="K10399" i="2"/>
  <x:c r="L10399" i="2"/>
  <x:c r="K10400" i="2"/>
  <x:c r="L10400" i="2"/>
  <x:c r="K10401" i="2"/>
  <x:c r="L10401" i="2"/>
  <x:c r="K10402" i="2"/>
  <x:c r="L10402" i="2"/>
  <x:c r="K10403" i="2"/>
  <x:c r="L10403" i="2"/>
  <x:c r="K10404" i="2"/>
  <x:c r="L10404" i="2"/>
  <x:c r="K10405" i="2"/>
  <x:c r="L10405" i="2"/>
  <x:c r="K10406" i="2"/>
  <x:c r="L10406" i="2"/>
  <x:c r="K10407" i="2"/>
  <x:c r="L10407" i="2"/>
  <x:c r="K10408" i="2"/>
  <x:c r="L10408" i="2"/>
  <x:c r="K10409" i="2"/>
  <x:c r="L10409" i="2"/>
  <x:c r="K10410" i="2"/>
  <x:c r="L10410" i="2"/>
  <x:c r="K10411" i="2"/>
  <x:c r="L10411" i="2"/>
  <x:c r="K10412" i="2"/>
  <x:c r="L10412" i="2"/>
  <x:c r="K10413" i="2"/>
  <x:c r="L10413" i="2"/>
  <x:c r="K10414" i="2"/>
  <x:c r="L10414" i="2"/>
  <x:c r="K10415" i="2"/>
  <x:c r="L10415" i="2"/>
  <x:c r="K10416" i="2"/>
  <x:c r="L10416" i="2"/>
  <x:c r="K10417" i="2"/>
  <x:c r="L10417" i="2"/>
  <x:c r="K10418" i="2"/>
  <x:c r="L10418" i="2"/>
  <x:c r="K10419" i="2"/>
  <x:c r="L10419" i="2"/>
  <x:c r="K10420" i="2"/>
  <x:c r="L10420" i="2"/>
  <x:c r="K10421" i="2"/>
  <x:c r="L10421" i="2"/>
  <x:c r="K10422" i="2"/>
  <x:c r="L10422" i="2"/>
  <x:c r="K10423" i="2"/>
  <x:c r="L10423" i="2"/>
  <x:c r="K10424" i="2"/>
  <x:c r="L10424" i="2"/>
  <x:c r="K10425" i="2"/>
  <x:c r="L10425" i="2"/>
  <x:c r="K10426" i="2"/>
  <x:c r="L10426" i="2"/>
  <x:c r="K10427" i="2"/>
  <x:c r="L10427" i="2"/>
  <x:c r="K10428" i="2"/>
  <x:c r="L10428" i="2"/>
  <x:c r="K10429" i="2"/>
  <x:c r="L10429" i="2"/>
  <x:c r="K10430" i="2"/>
  <x:c r="L10430" i="2"/>
  <x:c r="K10431" i="2"/>
  <x:c r="L10431" i="2"/>
  <x:c r="K10432" i="2"/>
  <x:c r="L10432" i="2"/>
  <x:c r="K10433" i="2"/>
  <x:c r="L10433" i="2"/>
  <x:c r="K10434" i="2"/>
  <x:c r="L10434" i="2"/>
  <x:c r="K10435" i="2"/>
  <x:c r="L10435" i="2"/>
  <x:c r="K10436" i="2"/>
  <x:c r="L10436" i="2"/>
  <x:c r="K10437" i="2"/>
  <x:c r="L10437" i="2"/>
  <x:c r="K10438" i="2"/>
  <x:c r="L10438" i="2"/>
  <x:c r="K10439" i="2"/>
  <x:c r="L10439" i="2"/>
  <x:c r="K10440" i="2"/>
  <x:c r="L10440" i="2"/>
  <x:c r="K10441" i="2"/>
  <x:c r="L10441" i="2"/>
  <x:c r="K10442" i="2"/>
  <x:c r="L10442" i="2"/>
  <x:c r="K10443" i="2"/>
  <x:c r="L10443" i="2"/>
  <x:c r="K10444" i="2"/>
  <x:c r="L10444" i="2"/>
  <x:c r="K10445" i="2"/>
  <x:c r="L10445" i="2"/>
  <x:c r="K10446" i="2"/>
  <x:c r="L10446" i="2"/>
  <x:c r="K10447" i="2"/>
  <x:c r="L10447" i="2"/>
  <x:c r="K10448" i="2"/>
  <x:c r="L10448" i="2"/>
  <x:c r="K10449" i="2"/>
  <x:c r="L10449" i="2"/>
  <x:c r="K10450" i="2"/>
  <x:c r="L10450" i="2"/>
  <x:c r="K10451" i="2"/>
  <x:c r="L10451" i="2"/>
  <x:c r="K10452" i="2"/>
  <x:c r="L10452" i="2"/>
  <x:c r="K10453" i="2"/>
  <x:c r="L10453" i="2"/>
  <x:c r="K10454" i="2"/>
  <x:c r="L10454" i="2"/>
  <x:c r="K10455" i="2"/>
  <x:c r="L10455" i="2"/>
  <x:c r="K10456" i="2"/>
  <x:c r="L10456" i="2"/>
  <x:c r="K10457" i="2"/>
  <x:c r="L10457" i="2"/>
  <x:c r="K10458" i="2"/>
  <x:c r="L10458" i="2"/>
  <x:c r="K10459" i="2"/>
  <x:c r="L10459" i="2"/>
  <x:c r="K10460" i="2"/>
  <x:c r="L10460" i="2"/>
  <x:c r="K10461" i="2"/>
  <x:c r="L10461" i="2"/>
  <x:c r="K10462" i="2"/>
  <x:c r="L10462" i="2"/>
  <x:c r="K10463" i="2"/>
  <x:c r="L10463" i="2"/>
  <x:c r="K10464" i="2"/>
  <x:c r="L10464" i="2"/>
  <x:c r="K10465" i="2"/>
  <x:c r="L10465" i="2"/>
  <x:c r="K10466" i="2"/>
  <x:c r="L10466" i="2"/>
  <x:c r="K10467" i="2"/>
  <x:c r="L10467" i="2"/>
  <x:c r="K10468" i="2"/>
  <x:c r="L10468" i="2"/>
  <x:c r="K10469" i="2"/>
  <x:c r="L10469" i="2"/>
  <x:c r="K10470" i="2"/>
  <x:c r="L10470" i="2"/>
  <x:c r="K10471" i="2"/>
  <x:c r="L10471" i="2"/>
  <x:c r="K10472" i="2"/>
  <x:c r="L10472" i="2"/>
  <x:c r="K10473" i="2"/>
  <x:c r="L10473" i="2"/>
  <x:c r="K10474" i="2"/>
  <x:c r="L10474" i="2"/>
  <x:c r="K10475" i="2"/>
  <x:c r="L10475" i="2"/>
  <x:c r="K10476" i="2"/>
  <x:c r="L10476" i="2"/>
  <x:c r="K10477" i="2"/>
  <x:c r="L10477" i="2"/>
  <x:c r="K10478" i="2"/>
  <x:c r="L10478" i="2"/>
  <x:c r="K10479" i="2"/>
  <x:c r="L10479" i="2"/>
  <x:c r="K10480" i="2"/>
  <x:c r="L10480" i="2"/>
  <x:c r="K10481" i="2"/>
  <x:c r="L10481" i="2"/>
  <x:c r="K10482" i="2"/>
  <x:c r="L10482" i="2"/>
  <x:c r="K10483" i="2"/>
  <x:c r="L10483" i="2"/>
  <x:c r="K10484" i="2"/>
  <x:c r="L10484" i="2"/>
  <x:c r="K10485" i="2"/>
  <x:c r="L10485" i="2"/>
  <x:c r="K10486" i="2"/>
  <x:c r="L10486" i="2"/>
  <x:c r="K10487" i="2"/>
  <x:c r="L10487" i="2"/>
  <x:c r="K10488" i="2"/>
  <x:c r="L10488" i="2"/>
  <x:c r="K10489" i="2"/>
  <x:c r="L10489" i="2"/>
  <x:c r="K10490" i="2"/>
  <x:c r="L10490" i="2"/>
  <x:c r="K10491" i="2"/>
  <x:c r="L10491" i="2"/>
  <x:c r="K10492" i="2"/>
  <x:c r="L10492" i="2"/>
  <x:c r="K10493" i="2"/>
  <x:c r="L10493" i="2"/>
  <x:c r="K10494" i="2"/>
  <x:c r="L10494" i="2"/>
  <x:c r="K10495" i="2"/>
  <x:c r="L10495" i="2"/>
  <x:c r="K10496" i="2"/>
  <x:c r="L10496" i="2"/>
  <x:c r="K10497" i="2"/>
  <x:c r="L10497" i="2"/>
  <x:c r="K10498" i="2"/>
  <x:c r="L10498" i="2"/>
  <x:c r="K10499" i="2"/>
  <x:c r="L10499" i="2"/>
  <x:c r="K10500" i="2"/>
  <x:c r="L10500" i="2"/>
  <x:c r="K10501" i="2"/>
  <x:c r="L10501" i="2"/>
  <x:c r="K10502" i="2"/>
  <x:c r="L10502" i="2"/>
  <x:c r="K10503" i="2"/>
  <x:c r="L10503" i="2"/>
  <x:c r="K10504" i="2"/>
  <x:c r="L10504" i="2"/>
  <x:c r="K10505" i="2"/>
  <x:c r="L10505" i="2"/>
  <x:c r="K10506" i="2"/>
  <x:c r="L10506" i="2"/>
  <x:c r="K10507" i="2"/>
  <x:c r="L10507" i="2"/>
  <x:c r="K10508" i="2"/>
  <x:c r="L10508" i="2"/>
  <x:c r="K10509" i="2"/>
  <x:c r="L10509" i="2"/>
  <x:c r="K10510" i="2"/>
  <x:c r="L10510" i="2"/>
  <x:c r="K10511" i="2"/>
  <x:c r="L10511" i="2"/>
  <x:c r="K10512" i="2"/>
  <x:c r="L10512" i="2"/>
  <x:c r="K10513" i="2"/>
  <x:c r="L10513" i="2"/>
  <x:c r="K10514" i="2"/>
  <x:c r="L10514" i="2"/>
  <x:c r="K10515" i="2"/>
  <x:c r="L10515" i="2"/>
  <x:c r="K10516" i="2"/>
  <x:c r="L10516" i="2"/>
  <x:c r="K10517" i="2"/>
  <x:c r="L10517" i="2"/>
  <x:c r="K10518" i="2"/>
  <x:c r="L10518" i="2"/>
  <x:c r="K10519" i="2"/>
  <x:c r="L10519" i="2"/>
  <x:c r="K10520" i="2"/>
  <x:c r="L10520" i="2"/>
  <x:c r="K10521" i="2"/>
  <x:c r="L10521" i="2"/>
  <x:c r="K10522" i="2"/>
  <x:c r="L10522" i="2"/>
  <x:c r="K10523" i="2"/>
  <x:c r="L10523" i="2"/>
  <x:c r="K10524" i="2"/>
  <x:c r="L10524" i="2"/>
  <x:c r="K10525" i="2"/>
  <x:c r="L10525" i="2"/>
  <x:c r="K10526" i="2"/>
  <x:c r="L10526" i="2"/>
  <x:c r="K10527" i="2"/>
  <x:c r="L10527" i="2"/>
  <x:c r="K10528" i="2"/>
  <x:c r="L10528" i="2"/>
  <x:c r="K10529" i="2"/>
  <x:c r="L10529" i="2"/>
  <x:c r="K10530" i="2"/>
  <x:c r="L10530" i="2"/>
  <x:c r="K10531" i="2"/>
  <x:c r="L10531" i="2"/>
  <x:c r="K10532" i="2"/>
  <x:c r="L10532" i="2"/>
  <x:c r="K10533" i="2"/>
  <x:c r="L10533" i="2"/>
  <x:c r="K10534" i="2"/>
  <x:c r="L10534" i="2"/>
  <x:c r="K10535" i="2"/>
  <x:c r="L10535" i="2"/>
  <x:c r="K10536" i="2"/>
  <x:c r="L10536" i="2"/>
  <x:c r="K10537" i="2"/>
  <x:c r="L10537" i="2"/>
  <x:c r="K10538" i="2"/>
  <x:c r="L10538" i="2"/>
  <x:c r="K10539" i="2"/>
  <x:c r="L10539" i="2"/>
  <x:c r="K10540" i="2"/>
  <x:c r="L10540" i="2"/>
  <x:c r="K10541" i="2"/>
  <x:c r="L10541" i="2"/>
  <x:c r="K10542" i="2"/>
  <x:c r="L10542" i="2"/>
  <x:c r="K10543" i="2"/>
  <x:c r="L10543" i="2"/>
  <x:c r="K10544" i="2"/>
  <x:c r="L10544" i="2"/>
  <x:c r="K10545" i="2"/>
  <x:c r="L10545" i="2"/>
  <x:c r="K10546" i="2"/>
  <x:c r="L10546" i="2"/>
  <x:c r="K10547" i="2"/>
  <x:c r="L10547" i="2"/>
  <x:c r="K10548" i="2"/>
  <x:c r="L10548" i="2"/>
  <x:c r="K10549" i="2"/>
  <x:c r="L10549" i="2"/>
  <x:c r="K10550" i="2"/>
  <x:c r="L10550" i="2"/>
  <x:c r="K10551" i="2"/>
  <x:c r="L10551" i="2"/>
  <x:c r="K10552" i="2"/>
  <x:c r="L10552" i="2"/>
  <x:c r="K10553" i="2"/>
  <x:c r="L10553" i="2"/>
  <x:c r="K10554" i="2"/>
  <x:c r="L10554" i="2"/>
  <x:c r="K10555" i="2"/>
  <x:c r="L10555" i="2"/>
  <x:c r="K10556" i="2"/>
  <x:c r="L10556" i="2"/>
  <x:c r="K10557" i="2"/>
  <x:c r="L10557" i="2"/>
  <x:c r="K10558" i="2"/>
  <x:c r="L10558" i="2"/>
  <x:c r="K10559" i="2"/>
  <x:c r="L10559" i="2"/>
  <x:c r="K10560" i="2"/>
  <x:c r="L10560" i="2"/>
  <x:c r="K10561" i="2"/>
  <x:c r="L10561" i="2"/>
  <x:c r="K10562" i="2"/>
  <x:c r="L10562" i="2"/>
  <x:c r="K10563" i="2"/>
  <x:c r="L10563" i="2"/>
  <x:c r="K10564" i="2"/>
  <x:c r="L10564" i="2"/>
  <x:c r="K10565" i="2"/>
  <x:c r="L10565" i="2"/>
  <x:c r="K10566" i="2"/>
  <x:c r="L10566" i="2"/>
  <x:c r="K10567" i="2"/>
  <x:c r="L10567" i="2"/>
  <x:c r="K10568" i="2"/>
  <x:c r="L10568" i="2"/>
  <x:c r="K10569" i="2"/>
  <x:c r="L10569" i="2"/>
  <x:c r="K10570" i="2"/>
  <x:c r="L10570" i="2"/>
  <x:c r="K10571" i="2"/>
  <x:c r="L10571" i="2"/>
  <x:c r="K10572" i="2"/>
  <x:c r="L10572" i="2"/>
  <x:c r="K10573" i="2"/>
  <x:c r="L10573" i="2"/>
  <x:c r="K10574" i="2"/>
  <x:c r="L10574" i="2"/>
  <x:c r="K10575" i="2"/>
  <x:c r="L10575" i="2"/>
  <x:c r="K10576" i="2"/>
  <x:c r="L10576" i="2"/>
  <x:c r="K10577" i="2"/>
  <x:c r="L10577" i="2"/>
  <x:c r="K10578" i="2"/>
  <x:c r="L10578" i="2"/>
  <x:c r="K10579" i="2"/>
  <x:c r="L10579" i="2"/>
  <x:c r="K10580" i="2"/>
  <x:c r="L10580" i="2"/>
  <x:c r="K10581" i="2"/>
  <x:c r="L10581" i="2"/>
  <x:c r="K10582" i="2"/>
  <x:c r="L10582" i="2"/>
  <x:c r="K10583" i="2"/>
  <x:c r="L10583" i="2"/>
  <x:c r="K10584" i="2"/>
  <x:c r="L10584" i="2"/>
  <x:c r="K10585" i="2"/>
  <x:c r="L10585" i="2"/>
  <x:c r="K10586" i="2"/>
  <x:c r="L10586" i="2"/>
  <x:c r="K10587" i="2"/>
  <x:c r="L10587" i="2"/>
  <x:c r="K10588" i="2"/>
  <x:c r="L10588" i="2"/>
  <x:c r="K10589" i="2"/>
  <x:c r="L10589" i="2"/>
  <x:c r="K10590" i="2"/>
  <x:c r="L10590" i="2"/>
  <x:c r="K10591" i="2"/>
  <x:c r="L10591" i="2"/>
  <x:c r="K10592" i="2"/>
  <x:c r="L10592" i="2"/>
  <x:c r="K10593" i="2"/>
  <x:c r="L10593" i="2"/>
  <x:c r="K10594" i="2"/>
  <x:c r="L10594" i="2"/>
  <x:c r="K10595" i="2"/>
  <x:c r="L10595" i="2"/>
  <x:c r="K10596" i="2"/>
  <x:c r="L10596" i="2"/>
  <x:c r="K10597" i="2"/>
  <x:c r="L10597" i="2"/>
  <x:c r="K10598" i="2"/>
  <x:c r="L10598" i="2"/>
  <x:c r="K10599" i="2"/>
  <x:c r="L10599" i="2"/>
  <x:c r="K10600" i="2"/>
  <x:c r="L10600" i="2"/>
  <x:c r="K10601" i="2"/>
  <x:c r="L10601" i="2"/>
  <x:c r="K10602" i="2"/>
  <x:c r="L10602" i="2"/>
  <x:c r="K10603" i="2"/>
  <x:c r="L10603" i="2"/>
  <x:c r="K10604" i="2"/>
  <x:c r="L10604" i="2"/>
  <x:c r="K10605" i="2"/>
  <x:c r="L10605" i="2"/>
  <x:c r="K10606" i="2"/>
  <x:c r="L10606" i="2"/>
  <x:c r="K10607" i="2"/>
  <x:c r="L10607" i="2"/>
  <x:c r="K10608" i="2"/>
  <x:c r="L10608" i="2"/>
  <x:c r="K10609" i="2"/>
  <x:c r="L10609" i="2"/>
  <x:c r="K10610" i="2"/>
  <x:c r="L10610" i="2"/>
  <x:c r="K10611" i="2"/>
  <x:c r="L10611" i="2"/>
  <x:c r="K10612" i="2"/>
  <x:c r="L10612" i="2"/>
  <x:c r="K10613" i="2"/>
  <x:c r="L10613" i="2"/>
  <x:c r="K10614" i="2"/>
  <x:c r="L10614" i="2"/>
  <x:c r="K10615" i="2"/>
  <x:c r="L10615" i="2"/>
  <x:c r="K10616" i="2"/>
  <x:c r="L10616" i="2"/>
  <x:c r="K10617" i="2"/>
  <x:c r="L10617" i="2"/>
  <x:c r="K10618" i="2"/>
  <x:c r="L10618" i="2"/>
  <x:c r="K10619" i="2"/>
  <x:c r="L10619" i="2"/>
  <x:c r="K10620" i="2"/>
  <x:c r="L10620" i="2"/>
  <x:c r="K10621" i="2"/>
  <x:c r="L10621" i="2"/>
  <x:c r="K10622" i="2"/>
  <x:c r="L10622" i="2"/>
  <x:c r="K10623" i="2"/>
  <x:c r="L10623" i="2"/>
  <x:c r="K10624" i="2"/>
  <x:c r="L10624" i="2"/>
  <x:c r="K10625" i="2"/>
  <x:c r="L10625" i="2"/>
  <x:c r="K10626" i="2"/>
  <x:c r="L10626" i="2"/>
  <x:c r="K10627" i="2"/>
  <x:c r="L10627" i="2"/>
  <x:c r="K10628" i="2"/>
  <x:c r="L10628" i="2"/>
  <x:c r="K10629" i="2"/>
  <x:c r="L10629" i="2"/>
  <x:c r="K10630" i="2"/>
  <x:c r="L10630" i="2"/>
  <x:c r="K10631" i="2"/>
  <x:c r="L10631" i="2"/>
  <x:c r="K10632" i="2"/>
  <x:c r="L10632" i="2"/>
  <x:c r="K10633" i="2"/>
  <x:c r="L10633" i="2"/>
  <x:c r="K10634" i="2"/>
  <x:c r="L10634" i="2"/>
  <x:c r="K10635" i="2"/>
  <x:c r="L10635" i="2"/>
  <x:c r="K10636" i="2"/>
  <x:c r="L10636" i="2"/>
  <x:c r="K10637" i="2"/>
  <x:c r="L10637" i="2"/>
  <x:c r="K10638" i="2"/>
  <x:c r="L10638" i="2"/>
  <x:c r="K10639" i="2"/>
  <x:c r="L10639" i="2"/>
  <x:c r="K10640" i="2"/>
  <x:c r="L10640" i="2"/>
  <x:c r="K10641" i="2"/>
  <x:c r="L10641" i="2"/>
  <x:c r="K10642" i="2"/>
  <x:c r="L10642" i="2"/>
  <x:c r="K10643" i="2"/>
  <x:c r="L10643" i="2"/>
  <x:c r="K10644" i="2"/>
  <x:c r="L10644" i="2"/>
  <x:c r="K10645" i="2"/>
  <x:c r="L10645" i="2"/>
  <x:c r="K10646" i="2"/>
  <x:c r="L10646" i="2"/>
  <x:c r="K10647" i="2"/>
  <x:c r="L10647" i="2"/>
  <x:c r="K10648" i="2"/>
  <x:c r="L10648" i="2"/>
  <x:c r="K10649" i="2"/>
  <x:c r="L10649" i="2"/>
  <x:c r="K10650" i="2"/>
  <x:c r="L10650" i="2"/>
  <x:c r="K10651" i="2"/>
  <x:c r="L10651" i="2"/>
  <x:c r="K10652" i="2"/>
  <x:c r="L10652" i="2"/>
  <x:c r="K10653" i="2"/>
  <x:c r="L10653" i="2"/>
  <x:c r="K10654" i="2"/>
  <x:c r="L10654" i="2"/>
  <x:c r="K10655" i="2"/>
  <x:c r="L10655" i="2"/>
  <x:c r="K10656" i="2"/>
  <x:c r="L10656" i="2"/>
  <x:c r="K10657" i="2"/>
  <x:c r="L10657" i="2"/>
  <x:c r="K10658" i="2"/>
  <x:c r="L10658" i="2"/>
  <x:c r="K10659" i="2"/>
  <x:c r="L10659" i="2"/>
  <x:c r="K10660" i="2"/>
  <x:c r="L10660" i="2"/>
  <x:c r="K10661" i="2"/>
  <x:c r="L10661" i="2"/>
  <x:c r="K10662" i="2"/>
  <x:c r="L10662" i="2"/>
  <x:c r="K10663" i="2"/>
  <x:c r="L10663" i="2"/>
  <x:c r="K10664" i="2"/>
  <x:c r="L10664" i="2"/>
  <x:c r="K10665" i="2"/>
  <x:c r="L10665" i="2"/>
  <x:c r="K10666" i="2"/>
  <x:c r="L10666" i="2"/>
  <x:c r="K10667" i="2"/>
  <x:c r="L10667" i="2"/>
  <x:c r="K10668" i="2"/>
  <x:c r="L10668" i="2"/>
  <x:c r="K10669" i="2"/>
  <x:c r="L10669" i="2"/>
  <x:c r="K10670" i="2"/>
  <x:c r="L10670" i="2"/>
  <x:c r="K10671" i="2"/>
  <x:c r="L10671" i="2"/>
  <x:c r="K10672" i="2"/>
  <x:c r="L10672" i="2"/>
  <x:c r="K10673" i="2"/>
  <x:c r="L10673" i="2"/>
  <x:c r="K10674" i="2"/>
  <x:c r="L10674" i="2"/>
  <x:c r="K10675" i="2"/>
  <x:c r="L10675" i="2"/>
  <x:c r="K10676" i="2"/>
  <x:c r="L10676" i="2"/>
  <x:c r="K10677" i="2"/>
  <x:c r="L10677" i="2"/>
  <x:c r="K10678" i="2"/>
  <x:c r="L10678" i="2"/>
  <x:c r="K10679" i="2"/>
  <x:c r="L10679" i="2"/>
  <x:c r="K10680" i="2"/>
  <x:c r="L10680" i="2"/>
  <x:c r="K10681" i="2"/>
  <x:c r="L10681" i="2"/>
  <x:c r="K10682" i="2"/>
  <x:c r="L10682" i="2"/>
  <x:c r="K10683" i="2"/>
  <x:c r="L10683" i="2"/>
  <x:c r="K10684" i="2"/>
  <x:c r="L10684" i="2"/>
  <x:c r="K10685" i="2"/>
  <x:c r="L10685" i="2"/>
  <x:c r="K10686" i="2"/>
  <x:c r="L10686" i="2"/>
  <x:c r="K10687" i="2"/>
  <x:c r="L10687" i="2"/>
  <x:c r="K10688" i="2"/>
  <x:c r="L10688" i="2"/>
  <x:c r="K10689" i="2"/>
  <x:c r="L10689" i="2"/>
  <x:c r="K10690" i="2"/>
  <x:c r="L10690" i="2"/>
  <x:c r="K10691" i="2"/>
  <x:c r="L10691" i="2"/>
  <x:c r="K10692" i="2"/>
  <x:c r="L10692" i="2"/>
  <x:c r="K10693" i="2"/>
  <x:c r="L10693" i="2"/>
  <x:c r="K10694" i="2"/>
  <x:c r="L10694" i="2"/>
  <x:c r="K10695" i="2"/>
  <x:c r="L10695" i="2"/>
  <x:c r="K10696" i="2"/>
  <x:c r="L10696" i="2"/>
  <x:c r="K10697" i="2"/>
  <x:c r="L10697" i="2"/>
  <x:c r="K10698" i="2"/>
  <x:c r="L10698" i="2"/>
  <x:c r="K10699" i="2"/>
  <x:c r="L10699" i="2"/>
  <x:c r="K10700" i="2"/>
  <x:c r="L10700" i="2"/>
  <x:c r="K10701" i="2"/>
  <x:c r="L10701" i="2"/>
  <x:c r="K10702" i="2"/>
  <x:c r="L10702" i="2"/>
  <x:c r="K10703" i="2"/>
  <x:c r="L10703" i="2"/>
  <x:c r="K10704" i="2"/>
  <x:c r="L10704" i="2"/>
  <x:c r="K10705" i="2"/>
  <x:c r="L10705" i="2"/>
  <x:c r="K10706" i="2"/>
  <x:c r="L10706" i="2"/>
  <x:c r="K10707" i="2"/>
  <x:c r="L10707" i="2"/>
  <x:c r="K10708" i="2"/>
  <x:c r="L10708" i="2"/>
  <x:c r="K10709" i="2"/>
  <x:c r="L10709" i="2"/>
  <x:c r="K10710" i="2"/>
  <x:c r="L10710" i="2"/>
  <x:c r="K10711" i="2"/>
  <x:c r="L10711" i="2"/>
  <x:c r="K10712" i="2"/>
  <x:c r="L10712" i="2"/>
  <x:c r="K10713" i="2"/>
  <x:c r="L10713" i="2"/>
  <x:c r="K10714" i="2"/>
  <x:c r="L10714" i="2"/>
  <x:c r="K10715" i="2"/>
  <x:c r="L10715" i="2"/>
  <x:c r="K10716" i="2"/>
  <x:c r="L10716" i="2"/>
  <x:c r="K10717" i="2"/>
  <x:c r="L10717" i="2"/>
  <x:c r="K10718" i="2"/>
  <x:c r="L10718" i="2"/>
  <x:c r="K10719" i="2"/>
  <x:c r="L10719" i="2"/>
  <x:c r="K10720" i="2"/>
  <x:c r="L10720" i="2"/>
  <x:c r="K10721" i="2"/>
  <x:c r="L10721" i="2"/>
  <x:c r="K10722" i="2"/>
  <x:c r="L10722" i="2"/>
  <x:c r="K10723" i="2"/>
  <x:c r="L10723" i="2"/>
  <x:c r="K10724" i="2"/>
  <x:c r="L10724" i="2"/>
  <x:c r="K10725" i="2"/>
  <x:c r="L10725" i="2"/>
  <x:c r="K10726" i="2"/>
  <x:c r="L10726" i="2"/>
  <x:c r="K10727" i="2"/>
  <x:c r="L10727" i="2"/>
  <x:c r="K10728" i="2"/>
  <x:c r="L10728" i="2"/>
  <x:c r="K10729" i="2"/>
  <x:c r="L10729" i="2"/>
  <x:c r="K10730" i="2"/>
  <x:c r="L10730" i="2"/>
  <x:c r="K10731" i="2"/>
  <x:c r="L10731" i="2"/>
  <x:c r="K10732" i="2"/>
  <x:c r="L10732" i="2"/>
  <x:c r="K10733" i="2"/>
  <x:c r="L10733" i="2"/>
  <x:c r="K10734" i="2"/>
  <x:c r="L10734" i="2"/>
  <x:c r="K10735" i="2"/>
  <x:c r="L10735" i="2"/>
  <x:c r="K10736" i="2"/>
  <x:c r="L10736" i="2"/>
  <x:c r="K10737" i="2"/>
  <x:c r="L10737" i="2"/>
  <x:c r="K10738" i="2"/>
  <x:c r="L10738" i="2"/>
  <x:c r="K10739" i="2"/>
  <x:c r="L10739" i="2"/>
  <x:c r="K10740" i="2"/>
  <x:c r="L10740" i="2"/>
  <x:c r="K10741" i="2"/>
  <x:c r="L10741" i="2"/>
  <x:c r="K10742" i="2"/>
  <x:c r="L10742" i="2"/>
  <x:c r="K10743" i="2"/>
  <x:c r="L10743" i="2"/>
  <x:c r="K10744" i="2"/>
  <x:c r="L10744" i="2"/>
  <x:c r="K10745" i="2"/>
  <x:c r="L10745" i="2"/>
  <x:c r="K10746" i="2"/>
  <x:c r="L10746" i="2"/>
  <x:c r="K10747" i="2"/>
  <x:c r="L10747" i="2"/>
  <x:c r="K10748" i="2"/>
  <x:c r="L10748" i="2"/>
  <x:c r="K10749" i="2"/>
  <x:c r="L10749" i="2"/>
  <x:c r="K10750" i="2"/>
  <x:c r="L10750" i="2"/>
  <x:c r="K10751" i="2"/>
  <x:c r="L10751" i="2"/>
  <x:c r="K10752" i="2"/>
  <x:c r="L10752" i="2"/>
  <x:c r="K10753" i="2"/>
  <x:c r="L10753" i="2"/>
  <x:c r="K10754" i="2"/>
  <x:c r="L10754" i="2"/>
  <x:c r="K10755" i="2"/>
  <x:c r="L10755" i="2"/>
  <x:c r="K10756" i="2"/>
  <x:c r="L10756" i="2"/>
  <x:c r="K10757" i="2"/>
  <x:c r="L10757" i="2"/>
  <x:c r="K10758" i="2"/>
  <x:c r="L10758" i="2"/>
  <x:c r="K10759" i="2"/>
  <x:c r="L10759" i="2"/>
  <x:c r="K10760" i="2"/>
  <x:c r="L10760" i="2"/>
  <x:c r="K10761" i="2"/>
  <x:c r="L10761" i="2"/>
  <x:c r="K10762" i="2"/>
  <x:c r="L10762" i="2"/>
  <x:c r="K10763" i="2"/>
  <x:c r="L10763" i="2"/>
  <x:c r="K10764" i="2"/>
  <x:c r="L10764" i="2"/>
  <x:c r="K10765" i="2"/>
  <x:c r="L10765" i="2"/>
  <x:c r="K10766" i="2"/>
  <x:c r="L10766" i="2"/>
  <x:c r="K10767" i="2"/>
  <x:c r="L10767" i="2"/>
  <x:c r="K10768" i="2"/>
  <x:c r="L10768" i="2"/>
  <x:c r="K10769" i="2"/>
  <x:c r="L10769" i="2"/>
  <x:c r="K10770" i="2"/>
  <x:c r="L10770" i="2"/>
  <x:c r="K10771" i="2"/>
  <x:c r="L10771" i="2"/>
  <x:c r="K10772" i="2"/>
  <x:c r="L10772" i="2"/>
  <x:c r="K10773" i="2"/>
  <x:c r="L10773" i="2"/>
  <x:c r="K10774" i="2"/>
  <x:c r="L10774" i="2"/>
  <x:c r="K10775" i="2"/>
  <x:c r="L10775" i="2"/>
  <x:c r="K10776" i="2"/>
  <x:c r="L10776" i="2"/>
  <x:c r="K10777" i="2"/>
  <x:c r="L10777" i="2"/>
  <x:c r="K10778" i="2"/>
  <x:c r="L10778" i="2"/>
  <x:c r="K10779" i="2"/>
  <x:c r="L10779" i="2"/>
  <x:c r="K10780" i="2"/>
  <x:c r="L10780" i="2"/>
  <x:c r="K10781" i="2"/>
  <x:c r="L10781" i="2"/>
  <x:c r="K10782" i="2"/>
  <x:c r="L10782" i="2"/>
  <x:c r="K10783" i="2"/>
  <x:c r="L10783" i="2"/>
  <x:c r="K10784" i="2"/>
  <x:c r="L10784" i="2"/>
  <x:c r="K10785" i="2"/>
  <x:c r="L10785" i="2"/>
  <x:c r="K10786" i="2"/>
  <x:c r="L10786" i="2"/>
  <x:c r="K10787" i="2"/>
  <x:c r="L10787" i="2"/>
  <x:c r="K10788" i="2"/>
  <x:c r="L10788" i="2"/>
  <x:c r="K10789" i="2"/>
  <x:c r="L10789" i="2"/>
  <x:c r="K10790" i="2"/>
  <x:c r="L10790" i="2"/>
  <x:c r="K10791" i="2"/>
  <x:c r="L10791" i="2"/>
  <x:c r="K10792" i="2"/>
  <x:c r="L10792" i="2"/>
  <x:c r="K10793" i="2"/>
  <x:c r="L10793" i="2"/>
  <x:c r="K10794" i="2"/>
  <x:c r="L10794" i="2"/>
  <x:c r="K10795" i="2"/>
  <x:c r="L10795" i="2"/>
  <x:c r="K10796" i="2"/>
  <x:c r="L10796" i="2"/>
  <x:c r="K10797" i="2"/>
  <x:c r="L10797" i="2"/>
  <x:c r="K10798" i="2"/>
  <x:c r="L10798" i="2"/>
  <x:c r="K10799" i="2"/>
  <x:c r="L10799" i="2"/>
  <x:c r="K10800" i="2"/>
  <x:c r="L10800" i="2"/>
  <x:c r="K10801" i="2"/>
  <x:c r="L10801" i="2"/>
  <x:c r="K10802" i="2"/>
  <x:c r="L10802" i="2"/>
  <x:c r="K10803" i="2"/>
  <x:c r="L10803" i="2"/>
  <x:c r="K10804" i="2"/>
  <x:c r="L10804" i="2"/>
  <x:c r="K10805" i="2"/>
  <x:c r="L10805" i="2"/>
  <x:c r="K10806" i="2"/>
  <x:c r="L10806" i="2"/>
  <x:c r="K10807" i="2"/>
  <x:c r="L10807" i="2"/>
  <x:c r="K10808" i="2"/>
  <x:c r="L10808" i="2"/>
  <x:c r="K10809" i="2"/>
  <x:c r="L10809" i="2"/>
  <x:c r="K10810" i="2"/>
  <x:c r="L10810" i="2"/>
  <x:c r="K10811" i="2"/>
  <x:c r="L10811" i="2"/>
  <x:c r="K10812" i="2"/>
  <x:c r="L10812" i="2"/>
  <x:c r="K10813" i="2"/>
  <x:c r="L10813" i="2"/>
  <x:c r="K10814" i="2"/>
  <x:c r="L10814" i="2"/>
  <x:c r="K10815" i="2"/>
  <x:c r="L10815" i="2"/>
  <x:c r="K10816" i="2"/>
  <x:c r="L10816" i="2"/>
  <x:c r="K10817" i="2"/>
  <x:c r="L10817" i="2"/>
  <x:c r="K10818" i="2"/>
  <x:c r="L10818" i="2"/>
  <x:c r="K10819" i="2"/>
  <x:c r="L10819" i="2"/>
  <x:c r="K10820" i="2"/>
  <x:c r="L10820" i="2"/>
  <x:c r="K10821" i="2"/>
  <x:c r="L10821" i="2"/>
  <x:c r="K10822" i="2"/>
  <x:c r="L10822" i="2"/>
  <x:c r="K10823" i="2"/>
  <x:c r="L10823" i="2"/>
  <x:c r="K10824" i="2"/>
  <x:c r="L10824" i="2"/>
  <x:c r="K10825" i="2"/>
  <x:c r="L10825" i="2"/>
  <x:c r="K10826" i="2"/>
  <x:c r="L10826" i="2"/>
  <x:c r="K10827" i="2"/>
  <x:c r="L10827" i="2"/>
  <x:c r="K10828" i="2"/>
  <x:c r="L10828" i="2"/>
  <x:c r="K10829" i="2"/>
  <x:c r="L10829" i="2"/>
  <x:c r="K10830" i="2"/>
  <x:c r="L10830" i="2"/>
  <x:c r="K10831" i="2"/>
  <x:c r="L10831" i="2"/>
  <x:c r="K10832" i="2"/>
  <x:c r="L10832" i="2"/>
  <x:c r="K10833" i="2"/>
  <x:c r="L10833" i="2"/>
  <x:c r="K10834" i="2"/>
  <x:c r="L10834" i="2"/>
  <x:c r="K10835" i="2"/>
  <x:c r="L10835" i="2"/>
  <x:c r="K10836" i="2"/>
  <x:c r="L10836" i="2"/>
  <x:c r="K10837" i="2"/>
  <x:c r="L10837" i="2"/>
  <x:c r="K10838" i="2"/>
  <x:c r="L10838" i="2"/>
  <x:c r="K10839" i="2"/>
  <x:c r="L10839" i="2"/>
  <x:c r="K10840" i="2"/>
  <x:c r="L10840" i="2"/>
  <x:c r="K10841" i="2"/>
  <x:c r="L10841" i="2"/>
  <x:c r="K10842" i="2"/>
  <x:c r="L10842" i="2"/>
  <x:c r="K10843" i="2"/>
  <x:c r="L10843" i="2"/>
  <x:c r="K10844" i="2"/>
  <x:c r="L10844" i="2"/>
  <x:c r="K10845" i="2"/>
  <x:c r="L10845" i="2"/>
  <x:c r="K10846" i="2"/>
  <x:c r="L10846" i="2"/>
  <x:c r="K10847" i="2"/>
  <x:c r="L10847" i="2"/>
  <x:c r="K10848" i="2"/>
  <x:c r="L10848" i="2"/>
  <x:c r="K10849" i="2"/>
  <x:c r="L10849" i="2"/>
  <x:c r="K10850" i="2"/>
  <x:c r="L10850" i="2"/>
  <x:c r="K10851" i="2"/>
  <x:c r="L10851" i="2"/>
  <x:c r="K10852" i="2"/>
  <x:c r="L10852" i="2"/>
  <x:c r="K10853" i="2"/>
  <x:c r="L10853" i="2"/>
  <x:c r="K10854" i="2"/>
  <x:c r="L10854" i="2"/>
  <x:c r="K10855" i="2"/>
  <x:c r="L10855" i="2"/>
  <x:c r="K10856" i="2"/>
  <x:c r="L10856" i="2"/>
  <x:c r="K10857" i="2"/>
  <x:c r="L10857" i="2"/>
  <x:c r="K10858" i="2"/>
  <x:c r="L10858" i="2"/>
  <x:c r="K10859" i="2"/>
  <x:c r="L10859" i="2"/>
  <x:c r="K10860" i="2"/>
  <x:c r="L10860" i="2"/>
  <x:c r="K10861" i="2"/>
  <x:c r="L10861" i="2"/>
  <x:c r="K10862" i="2"/>
  <x:c r="L10862" i="2"/>
  <x:c r="K10863" i="2"/>
  <x:c r="L10863" i="2"/>
  <x:c r="K10864" i="2"/>
  <x:c r="L10864" i="2"/>
  <x:c r="K10865" i="2"/>
  <x:c r="L10865" i="2"/>
  <x:c r="K10866" i="2"/>
  <x:c r="L10866" i="2"/>
  <x:c r="K10867" i="2"/>
  <x:c r="L10867" i="2"/>
  <x:c r="K10868" i="2"/>
  <x:c r="L10868" i="2"/>
  <x:c r="K10869" i="2"/>
  <x:c r="L10869" i="2"/>
  <x:c r="K10870" i="2"/>
  <x:c r="L10870" i="2"/>
  <x:c r="K10871" i="2"/>
  <x:c r="L10871" i="2"/>
  <x:c r="K10872" i="2"/>
  <x:c r="L10872" i="2"/>
  <x:c r="K10873" i="2"/>
  <x:c r="L10873" i="2"/>
  <x:c r="K10874" i="2"/>
  <x:c r="L10874" i="2"/>
  <x:c r="K10875" i="2"/>
  <x:c r="L10875" i="2"/>
  <x:c r="K10876" i="2"/>
  <x:c r="L10876" i="2"/>
  <x:c r="K10877" i="2"/>
  <x:c r="L10877" i="2"/>
  <x:c r="K10878" i="2"/>
  <x:c r="L10878" i="2"/>
  <x:c r="K10879" i="2"/>
  <x:c r="L10879" i="2"/>
  <x:c r="K10880" i="2"/>
  <x:c r="L10880" i="2"/>
  <x:c r="K10881" i="2"/>
  <x:c r="L10881" i="2"/>
  <x:c r="K10882" i="2"/>
  <x:c r="L10882" i="2"/>
  <x:c r="K10883" i="2"/>
  <x:c r="L10883" i="2"/>
  <x:c r="K10884" i="2"/>
  <x:c r="L10884" i="2"/>
  <x:c r="K10885" i="2"/>
  <x:c r="L10885" i="2"/>
  <x:c r="K10886" i="2"/>
  <x:c r="L10886" i="2"/>
  <x:c r="K10887" i="2"/>
  <x:c r="L10887" i="2"/>
  <x:c r="K10888" i="2"/>
  <x:c r="L10888" i="2"/>
  <x:c r="K10889" i="2"/>
  <x:c r="L10889" i="2"/>
  <x:c r="K10890" i="2"/>
  <x:c r="L10890" i="2"/>
  <x:c r="K10891" i="2"/>
  <x:c r="L10891" i="2"/>
  <x:c r="K10892" i="2"/>
  <x:c r="L10892" i="2"/>
  <x:c r="K10893" i="2"/>
  <x:c r="L10893" i="2"/>
  <x:c r="K10894" i="2"/>
  <x:c r="L10894" i="2"/>
  <x:c r="K10895" i="2"/>
  <x:c r="L10895" i="2"/>
  <x:c r="K10896" i="2"/>
  <x:c r="L10896" i="2"/>
  <x:c r="K10897" i="2"/>
  <x:c r="L10897" i="2"/>
  <x:c r="K10898" i="2"/>
  <x:c r="L10898" i="2"/>
  <x:c r="K10899" i="2"/>
  <x:c r="L10899" i="2"/>
  <x:c r="K10900" i="2"/>
  <x:c r="L10900" i="2"/>
  <x:c r="K10901" i="2"/>
  <x:c r="L10901" i="2"/>
  <x:c r="K10902" i="2"/>
  <x:c r="L10902" i="2"/>
  <x:c r="K10903" i="2"/>
  <x:c r="L10903" i="2"/>
  <x:c r="K10904" i="2"/>
  <x:c r="L10904" i="2"/>
  <x:c r="K10905" i="2"/>
  <x:c r="L10905" i="2"/>
  <x:c r="K10906" i="2"/>
  <x:c r="L10906" i="2"/>
  <x:c r="K10907" i="2"/>
  <x:c r="L10907" i="2"/>
  <x:c r="K10908" i="2"/>
  <x:c r="L10908" i="2"/>
  <x:c r="K10909" i="2"/>
  <x:c r="L10909" i="2"/>
  <x:c r="K10910" i="2"/>
  <x:c r="L10910" i="2"/>
  <x:c r="K10911" i="2"/>
  <x:c r="L10911" i="2"/>
  <x:c r="K10912" i="2"/>
  <x:c r="L10912" i="2"/>
  <x:c r="K10913" i="2"/>
  <x:c r="L10913" i="2"/>
  <x:c r="K10914" i="2"/>
  <x:c r="L10914" i="2"/>
  <x:c r="K10915" i="2"/>
  <x:c r="L10915" i="2"/>
  <x:c r="K10916" i="2"/>
  <x:c r="L10916" i="2"/>
  <x:c r="K10917" i="2"/>
  <x:c r="L10917" i="2"/>
  <x:c r="K10918" i="2"/>
  <x:c r="L10918" i="2"/>
  <x:c r="K10919" i="2"/>
  <x:c r="L10919" i="2"/>
  <x:c r="K10920" i="2"/>
  <x:c r="L10920" i="2"/>
  <x:c r="K10921" i="2"/>
  <x:c r="L10921" i="2"/>
  <x:c r="K10922" i="2"/>
  <x:c r="L10922" i="2"/>
  <x:c r="K10923" i="2"/>
  <x:c r="L10923" i="2"/>
  <x:c r="K10924" i="2"/>
  <x:c r="L10924" i="2"/>
  <x:c r="K10925" i="2"/>
  <x:c r="L10925" i="2"/>
  <x:c r="K10926" i="2"/>
  <x:c r="L10926" i="2"/>
  <x:c r="K10927" i="2"/>
  <x:c r="L10927" i="2"/>
  <x:c r="K10928" i="2"/>
  <x:c r="L10928" i="2"/>
  <x:c r="K10929" i="2"/>
  <x:c r="L10929" i="2"/>
  <x:c r="K10930" i="2"/>
  <x:c r="L10930" i="2"/>
  <x:c r="K10931" i="2"/>
  <x:c r="L10931" i="2"/>
  <x:c r="K10932" i="2"/>
  <x:c r="L10932" i="2"/>
  <x:c r="K10933" i="2"/>
  <x:c r="L10933" i="2"/>
  <x:c r="K10934" i="2"/>
  <x:c r="L10934" i="2"/>
  <x:c r="K10935" i="2"/>
  <x:c r="L10935" i="2"/>
  <x:c r="K10936" i="2"/>
  <x:c r="L10936" i="2"/>
  <x:c r="K10937" i="2"/>
  <x:c r="L10937" i="2"/>
  <x:c r="K10938" i="2"/>
  <x:c r="L10938" i="2"/>
  <x:c r="K10939" i="2"/>
  <x:c r="L10939" i="2"/>
  <x:c r="K10940" i="2"/>
  <x:c r="L10940" i="2"/>
  <x:c r="K10941" i="2"/>
  <x:c r="L10941" i="2"/>
  <x:c r="K10942" i="2"/>
  <x:c r="L10942" i="2"/>
  <x:c r="K10943" i="2"/>
  <x:c r="L10943" i="2"/>
  <x:c r="K10944" i="2"/>
  <x:c r="L10944" i="2"/>
  <x:c r="K10945" i="2"/>
  <x:c r="L10945" i="2"/>
  <x:c r="K10946" i="2"/>
  <x:c r="L10946" i="2"/>
  <x:c r="K10947" i="2"/>
  <x:c r="L10947" i="2"/>
  <x:c r="K10948" i="2"/>
  <x:c r="L10948" i="2"/>
  <x:c r="K10949" i="2"/>
  <x:c r="L10949" i="2"/>
  <x:c r="K10950" i="2"/>
  <x:c r="L10950" i="2"/>
  <x:c r="K10951" i="2"/>
  <x:c r="L10951" i="2"/>
  <x:c r="K10952" i="2"/>
  <x:c r="L10952" i="2"/>
  <x:c r="K10953" i="2"/>
  <x:c r="L10953" i="2"/>
  <x:c r="K10954" i="2"/>
  <x:c r="L10954" i="2"/>
  <x:c r="K10955" i="2"/>
  <x:c r="L10955" i="2"/>
  <x:c r="K10956" i="2"/>
  <x:c r="L10956" i="2"/>
  <x:c r="K10957" i="2"/>
  <x:c r="L10957" i="2"/>
  <x:c r="K10958" i="2"/>
  <x:c r="L10958" i="2"/>
  <x:c r="K10959" i="2"/>
  <x:c r="L10959" i="2"/>
  <x:c r="K10960" i="2"/>
  <x:c r="L10960" i="2"/>
  <x:c r="K10961" i="2"/>
  <x:c r="L10961" i="2"/>
  <x:c r="K10962" i="2"/>
  <x:c r="L10962" i="2"/>
  <x:c r="K10963" i="2"/>
  <x:c r="L10963" i="2"/>
  <x:c r="K10964" i="2"/>
  <x:c r="L10964" i="2"/>
  <x:c r="K10965" i="2"/>
  <x:c r="L10965" i="2"/>
  <x:c r="K10966" i="2"/>
  <x:c r="L10966" i="2"/>
  <x:c r="K10967" i="2"/>
  <x:c r="L10967" i="2"/>
  <x:c r="K10968" i="2"/>
  <x:c r="L10968" i="2"/>
  <x:c r="K10969" i="2"/>
  <x:c r="L10969" i="2"/>
  <x:c r="K10970" i="2"/>
  <x:c r="L10970" i="2"/>
  <x:c r="K10971" i="2"/>
  <x:c r="L10971" i="2"/>
  <x:c r="K10972" i="2"/>
  <x:c r="L10972" i="2"/>
  <x:c r="K10973" i="2"/>
  <x:c r="L10973" i="2"/>
  <x:c r="K10974" i="2"/>
  <x:c r="L10974" i="2"/>
  <x:c r="K10975" i="2"/>
  <x:c r="L10975" i="2"/>
  <x:c r="K10976" i="2"/>
  <x:c r="L10976" i="2"/>
  <x:c r="K10977" i="2"/>
  <x:c r="L10977" i="2"/>
  <x:c r="K10978" i="2"/>
  <x:c r="L10978" i="2"/>
  <x:c r="K10979" i="2"/>
  <x:c r="L10979" i="2"/>
  <x:c r="K10980" i="2"/>
  <x:c r="L10980" i="2"/>
  <x:c r="K10981" i="2"/>
  <x:c r="L10981" i="2"/>
  <x:c r="K10982" i="2"/>
  <x:c r="L10982" i="2"/>
  <x:c r="K10983" i="2"/>
  <x:c r="L10983" i="2"/>
  <x:c r="K10984" i="2"/>
  <x:c r="L10984" i="2"/>
  <x:c r="K10985" i="2"/>
  <x:c r="L10985" i="2"/>
  <x:c r="K10986" i="2"/>
  <x:c r="L10986" i="2"/>
  <x:c r="K10987" i="2"/>
  <x:c r="L10987" i="2"/>
  <x:c r="K10988" i="2"/>
  <x:c r="L10988" i="2"/>
  <x:c r="K10989" i="2"/>
  <x:c r="L10989" i="2"/>
  <x:c r="K10990" i="2"/>
  <x:c r="L10990" i="2"/>
  <x:c r="K10991" i="2"/>
  <x:c r="L10991" i="2"/>
  <x:c r="K10992" i="2"/>
  <x:c r="L10992" i="2"/>
  <x:c r="K10993" i="2"/>
  <x:c r="L10993" i="2"/>
  <x:c r="K10994" i="2"/>
  <x:c r="L10994" i="2"/>
  <x:c r="K10995" i="2"/>
  <x:c r="L10995" i="2"/>
  <x:c r="K10996" i="2"/>
  <x:c r="L10996" i="2"/>
  <x:c r="K10997" i="2"/>
  <x:c r="L10997" i="2"/>
  <x:c r="K10998" i="2"/>
  <x:c r="L10998" i="2"/>
  <x:c r="K10999" i="2"/>
  <x:c r="L10999" i="2"/>
  <x:c r="K11000" i="2"/>
  <x:c r="L11000" i="2"/>
  <x:c r="K11001" i="2"/>
  <x:c r="L11001" i="2"/>
  <x:c r="K11002" i="2"/>
  <x:c r="L11002" i="2"/>
  <x:c r="K11003" i="2"/>
  <x:c r="L11003" i="2"/>
  <x:c r="K11004" i="2"/>
  <x:c r="L11004" i="2"/>
  <x:c r="K11005" i="2"/>
  <x:c r="L11005" i="2"/>
  <x:c r="K11006" i="2"/>
  <x:c r="L11006" i="2"/>
  <x:c r="K11007" i="2"/>
  <x:c r="L11007" i="2"/>
  <x:c r="K11008" i="2"/>
  <x:c r="L11008" i="2"/>
  <x:c r="K11009" i="2"/>
  <x:c r="L11009" i="2"/>
  <x:c r="K11010" i="2"/>
  <x:c r="L11010" i="2"/>
  <x:c r="K11011" i="2"/>
  <x:c r="L11011" i="2"/>
  <x:c r="K11012" i="2"/>
  <x:c r="L11012" i="2"/>
  <x:c r="K11013" i="2"/>
  <x:c r="L11013" i="2"/>
  <x:c r="K11014" i="2"/>
  <x:c r="L11014" i="2"/>
  <x:c r="K11015" i="2"/>
  <x:c r="L11015" i="2"/>
  <x:c r="K11016" i="2"/>
  <x:c r="L11016" i="2"/>
  <x:c r="K11017" i="2"/>
  <x:c r="L11017" i="2"/>
  <x:c r="K11018" i="2"/>
  <x:c r="L11018" i="2"/>
  <x:c r="K11019" i="2"/>
  <x:c r="L11019" i="2"/>
  <x:c r="K11020" i="2"/>
  <x:c r="L11020" i="2"/>
  <x:c r="K11021" i="2"/>
  <x:c r="L11021" i="2"/>
  <x:c r="K11022" i="2"/>
  <x:c r="L11022" i="2"/>
  <x:c r="K11023" i="2"/>
  <x:c r="L11023" i="2"/>
  <x:c r="K11024" i="2"/>
  <x:c r="L11024" i="2"/>
  <x:c r="K11025" i="2"/>
  <x:c r="L11025" i="2"/>
  <x:c r="K11026" i="2"/>
  <x:c r="L11026" i="2"/>
  <x:c r="K11027" i="2"/>
  <x:c r="L11027" i="2"/>
  <x:c r="K11028" i="2"/>
  <x:c r="L11028" i="2"/>
  <x:c r="K11029" i="2"/>
  <x:c r="L11029" i="2"/>
  <x:c r="K11030" i="2"/>
  <x:c r="L11030" i="2"/>
  <x:c r="K11031" i="2"/>
  <x:c r="L11031" i="2"/>
  <x:c r="K11032" i="2"/>
  <x:c r="L11032" i="2"/>
  <x:c r="K11033" i="2"/>
  <x:c r="L11033" i="2"/>
  <x:c r="K11034" i="2"/>
  <x:c r="L11034" i="2"/>
  <x:c r="K11035" i="2"/>
  <x:c r="L11035" i="2"/>
  <x:c r="K11036" i="2"/>
  <x:c r="L11036" i="2"/>
  <x:c r="K11037" i="2"/>
  <x:c r="L11037" i="2"/>
  <x:c r="K11038" i="2"/>
  <x:c r="L11038" i="2"/>
  <x:c r="K11039" i="2"/>
  <x:c r="L11039" i="2"/>
  <x:c r="K11040" i="2"/>
  <x:c r="L11040" i="2"/>
  <x:c r="K11041" i="2"/>
  <x:c r="L11041" i="2"/>
  <x:c r="K11042" i="2"/>
  <x:c r="L11042" i="2"/>
  <x:c r="K11043" i="2"/>
  <x:c r="L11043" i="2"/>
  <x:c r="K11044" i="2"/>
  <x:c r="L11044" i="2"/>
  <x:c r="K11045" i="2"/>
  <x:c r="L11045" i="2"/>
  <x:c r="K11046" i="2"/>
  <x:c r="L11046" i="2"/>
  <x:c r="K11047" i="2"/>
  <x:c r="L11047" i="2"/>
  <x:c r="K11048" i="2"/>
  <x:c r="L11048" i="2"/>
  <x:c r="K11049" i="2"/>
  <x:c r="L11049" i="2"/>
  <x:c r="K11050" i="2"/>
  <x:c r="L11050" i="2"/>
  <x:c r="K11051" i="2"/>
  <x:c r="L11051" i="2"/>
  <x:c r="K11052" i="2"/>
  <x:c r="L11052" i="2"/>
  <x:c r="K11053" i="2"/>
  <x:c r="L11053" i="2"/>
  <x:c r="K11054" i="2"/>
  <x:c r="L11054" i="2"/>
  <x:c r="K11055" i="2"/>
  <x:c r="L11055" i="2"/>
  <x:c r="K11056" i="2"/>
  <x:c r="L11056" i="2"/>
  <x:c r="K11057" i="2"/>
  <x:c r="L11057" i="2"/>
  <x:c r="K11058" i="2"/>
  <x:c r="L11058" i="2"/>
  <x:c r="K11059" i="2"/>
  <x:c r="L11059" i="2"/>
  <x:c r="K11060" i="2"/>
  <x:c r="L11060" i="2"/>
  <x:c r="K11061" i="2"/>
  <x:c r="L11061" i="2"/>
  <x:c r="K11062" i="2"/>
  <x:c r="L11062" i="2"/>
  <x:c r="K11063" i="2"/>
  <x:c r="L11063" i="2"/>
  <x:c r="K11064" i="2"/>
  <x:c r="L11064" i="2"/>
  <x:c r="K11065" i="2"/>
  <x:c r="L11065" i="2"/>
  <x:c r="K11066" i="2"/>
  <x:c r="L11066" i="2"/>
  <x:c r="K11067" i="2"/>
  <x:c r="L11067" i="2"/>
  <x:c r="K11068" i="2"/>
  <x:c r="L11068" i="2"/>
  <x:c r="K11069" i="2"/>
  <x:c r="L11069" i="2"/>
  <x:c r="K11070" i="2"/>
  <x:c r="L11070" i="2"/>
  <x:c r="K11071" i="2"/>
  <x:c r="L11071" i="2"/>
  <x:c r="K11072" i="2"/>
  <x:c r="L11072" i="2"/>
  <x:c r="K11073" i="2"/>
  <x:c r="L11073" i="2"/>
  <x:c r="K11074" i="2"/>
  <x:c r="L11074" i="2"/>
  <x:c r="K11075" i="2"/>
  <x:c r="L11075" i="2"/>
  <x:c r="K11076" i="2"/>
  <x:c r="L11076" i="2"/>
  <x:c r="K11077" i="2"/>
  <x:c r="L11077" i="2"/>
  <x:c r="K11078" i="2"/>
  <x:c r="L11078" i="2"/>
  <x:c r="K11079" i="2"/>
  <x:c r="L11079" i="2"/>
  <x:c r="K11080" i="2"/>
  <x:c r="L11080" i="2"/>
  <x:c r="K11081" i="2"/>
  <x:c r="L11081" i="2"/>
  <x:c r="K11082" i="2"/>
  <x:c r="L11082" i="2"/>
  <x:c r="K11083" i="2"/>
  <x:c r="L11083" i="2"/>
  <x:c r="K11084" i="2"/>
  <x:c r="L11084" i="2"/>
  <x:c r="K11085" i="2"/>
  <x:c r="L11085" i="2"/>
  <x:c r="K11086" i="2"/>
  <x:c r="L11086" i="2"/>
  <x:c r="K11087" i="2"/>
  <x:c r="L11087" i="2"/>
  <x:c r="K11088" i="2"/>
  <x:c r="L11088" i="2"/>
  <x:c r="K11089" i="2"/>
  <x:c r="L11089" i="2"/>
  <x:c r="K11090" i="2"/>
  <x:c r="L11090" i="2"/>
  <x:c r="K11091" i="2"/>
  <x:c r="L11091" i="2"/>
  <x:c r="K11092" i="2"/>
  <x:c r="L11092" i="2"/>
  <x:c r="K11093" i="2"/>
  <x:c r="L11093" i="2"/>
  <x:c r="K11094" i="2"/>
  <x:c r="L11094" i="2"/>
  <x:c r="K11095" i="2"/>
  <x:c r="L11095" i="2"/>
  <x:c r="K11096" i="2"/>
  <x:c r="L11096" i="2"/>
  <x:c r="K11097" i="2"/>
  <x:c r="L11097" i="2"/>
  <x:c r="K11098" i="2"/>
  <x:c r="L11098" i="2"/>
  <x:c r="K11099" i="2"/>
  <x:c r="L11099" i="2"/>
  <x:c r="K11100" i="2"/>
  <x:c r="L11100" i="2"/>
  <x:c r="K11101" i="2"/>
  <x:c r="L11101" i="2"/>
  <x:c r="K11102" i="2"/>
  <x:c r="L11102" i="2"/>
  <x:c r="K11103" i="2"/>
  <x:c r="L11103" i="2"/>
  <x:c r="K11104" i="2"/>
  <x:c r="L11104" i="2"/>
  <x:c r="K11105" i="2"/>
  <x:c r="L11105" i="2"/>
  <x:c r="K11106" i="2"/>
  <x:c r="L11106" i="2"/>
  <x:c r="K11107" i="2"/>
  <x:c r="L11107" i="2"/>
  <x:c r="K11108" i="2"/>
  <x:c r="L11108" i="2"/>
  <x:c r="K11109" i="2"/>
  <x:c r="L11109" i="2"/>
  <x:c r="K11110" i="2"/>
  <x:c r="L11110" i="2"/>
  <x:c r="K11111" i="2"/>
  <x:c r="L11111" i="2"/>
  <x:c r="K11112" i="2"/>
  <x:c r="L11112" i="2"/>
  <x:c r="K11113" i="2"/>
  <x:c r="L11113" i="2"/>
  <x:c r="K11114" i="2"/>
  <x:c r="L11114" i="2"/>
  <x:c r="K11115" i="2"/>
  <x:c r="L11115" i="2"/>
  <x:c r="K11116" i="2"/>
  <x:c r="L11116" i="2"/>
  <x:c r="K11117" i="2"/>
  <x:c r="L11117" i="2"/>
  <x:c r="K11118" i="2"/>
  <x:c r="L11118" i="2"/>
  <x:c r="K11119" i="2"/>
  <x:c r="L11119" i="2"/>
  <x:c r="K11120" i="2"/>
  <x:c r="L11120" i="2"/>
  <x:c r="K11121" i="2"/>
  <x:c r="L11121" i="2"/>
  <x:c r="K11122" i="2"/>
  <x:c r="L11122" i="2"/>
  <x:c r="K11123" i="2"/>
  <x:c r="L11123" i="2"/>
  <x:c r="K11124" i="2"/>
  <x:c r="L11124" i="2"/>
  <x:c r="K11125" i="2"/>
  <x:c r="L11125" i="2"/>
  <x:c r="K11126" i="2"/>
  <x:c r="L11126" i="2"/>
  <x:c r="K11127" i="2"/>
  <x:c r="L11127" i="2"/>
  <x:c r="K11128" i="2"/>
  <x:c r="L11128" i="2"/>
  <x:c r="K11129" i="2"/>
  <x:c r="L11129" i="2"/>
  <x:c r="K11130" i="2"/>
  <x:c r="L11130" i="2"/>
  <x:c r="K11131" i="2"/>
  <x:c r="L11131" i="2"/>
  <x:c r="K11132" i="2"/>
  <x:c r="L11132" i="2"/>
  <x:c r="K11133" i="2"/>
  <x:c r="L11133" i="2"/>
  <x:c r="K11134" i="2"/>
  <x:c r="L11134" i="2"/>
  <x:c r="K11135" i="2"/>
  <x:c r="L11135" i="2"/>
  <x:c r="K11136" i="2"/>
  <x:c r="L11136" i="2"/>
  <x:c r="K11137" i="2"/>
  <x:c r="L11137" i="2"/>
  <x:c r="K11138" i="2"/>
  <x:c r="L11138" i="2"/>
  <x:c r="K11139" i="2"/>
  <x:c r="L11139" i="2"/>
  <x:c r="K11140" i="2"/>
  <x:c r="L11140" i="2"/>
  <x:c r="K11141" i="2"/>
  <x:c r="L11141" i="2"/>
  <x:c r="K11142" i="2"/>
  <x:c r="L11142" i="2"/>
  <x:c r="K11143" i="2"/>
  <x:c r="L11143" i="2"/>
  <x:c r="K11144" i="2"/>
  <x:c r="L11144" i="2"/>
  <x:c r="K11145" i="2"/>
  <x:c r="L11145" i="2"/>
  <x:c r="K11146" i="2"/>
  <x:c r="L11146" i="2"/>
  <x:c r="K11147" i="2"/>
  <x:c r="L11147" i="2"/>
  <x:c r="K11148" i="2"/>
  <x:c r="L11148" i="2"/>
  <x:c r="K11149" i="2"/>
  <x:c r="L11149" i="2"/>
  <x:c r="K11150" i="2"/>
  <x:c r="L11150" i="2"/>
  <x:c r="K11151" i="2"/>
  <x:c r="L11151" i="2"/>
  <x:c r="K11152" i="2"/>
  <x:c r="L11152" i="2"/>
  <x:c r="K11153" i="2"/>
  <x:c r="L11153" i="2"/>
  <x:c r="K11154" i="2"/>
  <x:c r="L11154" i="2"/>
  <x:c r="K11155" i="2"/>
  <x:c r="L11155" i="2"/>
  <x:c r="K11156" i="2"/>
  <x:c r="L11156" i="2"/>
  <x:c r="K11157" i="2"/>
  <x:c r="L11157" i="2"/>
  <x:c r="K11158" i="2"/>
  <x:c r="L11158" i="2"/>
  <x:c r="K11159" i="2"/>
  <x:c r="L11159" i="2"/>
  <x:c r="K11160" i="2"/>
  <x:c r="L11160" i="2"/>
  <x:c r="K11161" i="2"/>
  <x:c r="L11161" i="2"/>
  <x:c r="K11162" i="2"/>
  <x:c r="L11162" i="2"/>
  <x:c r="K11163" i="2"/>
  <x:c r="L11163" i="2"/>
  <x:c r="K11164" i="2"/>
  <x:c r="L11164" i="2"/>
  <x:c r="K11165" i="2"/>
  <x:c r="L11165" i="2"/>
  <x:c r="K11166" i="2"/>
  <x:c r="L11166" i="2"/>
  <x:c r="K11167" i="2"/>
  <x:c r="L11167" i="2"/>
  <x:c r="K11168" i="2"/>
  <x:c r="L11168" i="2"/>
  <x:c r="K11169" i="2"/>
  <x:c r="L11169" i="2"/>
  <x:c r="K11170" i="2"/>
  <x:c r="L11170" i="2"/>
  <x:c r="K11171" i="2"/>
  <x:c r="L11171" i="2"/>
  <x:c r="K11172" i="2"/>
  <x:c r="L11172" i="2"/>
  <x:c r="K11173" i="2"/>
  <x:c r="L11173" i="2"/>
  <x:c r="K11174" i="2"/>
  <x:c r="L11174" i="2"/>
  <x:c r="K11175" i="2"/>
  <x:c r="L11175" i="2"/>
  <x:c r="K11176" i="2"/>
  <x:c r="L11176" i="2"/>
  <x:c r="K11177" i="2"/>
  <x:c r="L11177" i="2"/>
  <x:c r="K11178" i="2"/>
  <x:c r="L11178" i="2"/>
  <x:c r="K11179" i="2"/>
  <x:c r="L11179" i="2"/>
  <x:c r="K11180" i="2"/>
  <x:c r="L11180" i="2"/>
  <x:c r="K11181" i="2"/>
  <x:c r="L11181" i="2"/>
  <x:c r="K11182" i="2"/>
  <x:c r="L11182" i="2"/>
  <x:c r="K11183" i="2"/>
  <x:c r="L11183" i="2"/>
  <x:c r="K11184" i="2"/>
  <x:c r="L11184" i="2"/>
  <x:c r="K11185" i="2"/>
  <x:c r="L11185" i="2"/>
  <x:c r="K11186" i="2"/>
  <x:c r="L11186" i="2"/>
  <x:c r="K11187" i="2"/>
  <x:c r="L11187" i="2"/>
  <x:c r="K11188" i="2"/>
  <x:c r="L11188" i="2"/>
  <x:c r="K11189" i="2"/>
  <x:c r="L11189" i="2"/>
  <x:c r="K11190" i="2"/>
  <x:c r="L11190" i="2"/>
  <x:c r="K11191" i="2"/>
  <x:c r="L11191" i="2"/>
  <x:c r="K11192" i="2"/>
  <x:c r="L11192" i="2"/>
  <x:c r="K11193" i="2"/>
  <x:c r="L11193" i="2"/>
  <x:c r="K11194" i="2"/>
  <x:c r="L11194" i="2"/>
  <x:c r="K11195" i="2"/>
  <x:c r="L11195" i="2"/>
  <x:c r="K11196" i="2"/>
  <x:c r="L11196" i="2"/>
  <x:c r="K11197" i="2"/>
  <x:c r="L11197" i="2"/>
  <x:c r="K11198" i="2"/>
  <x:c r="L11198" i="2"/>
  <x:c r="K11199" i="2"/>
  <x:c r="L11199" i="2"/>
  <x:c r="K11200" i="2"/>
  <x:c r="L11200" i="2"/>
  <x:c r="K11201" i="2"/>
  <x:c r="L11201" i="2"/>
  <x:c r="K11202" i="2"/>
  <x:c r="L11202" i="2"/>
  <x:c r="K11203" i="2"/>
  <x:c r="L11203" i="2"/>
  <x:c r="K11204" i="2"/>
  <x:c r="L11204" i="2"/>
  <x:c r="K11205" i="2"/>
  <x:c r="L11205" i="2"/>
  <x:c r="K11206" i="2"/>
  <x:c r="L11206" i="2"/>
  <x:c r="K11207" i="2"/>
  <x:c r="L11207" i="2"/>
  <x:c r="K11208" i="2"/>
  <x:c r="L11208" i="2"/>
  <x:c r="K11209" i="2"/>
  <x:c r="L11209" i="2"/>
  <x:c r="K11210" i="2"/>
  <x:c r="L11210" i="2"/>
  <x:c r="K11211" i="2"/>
  <x:c r="L11211" i="2"/>
  <x:c r="K11212" i="2"/>
  <x:c r="L11212" i="2"/>
  <x:c r="K11213" i="2"/>
  <x:c r="L11213" i="2"/>
  <x:c r="K11214" i="2"/>
  <x:c r="L11214" i="2"/>
  <x:c r="K11215" i="2"/>
  <x:c r="L11215" i="2"/>
  <x:c r="K11216" i="2"/>
  <x:c r="L11216" i="2"/>
  <x:c r="K11217" i="2"/>
  <x:c r="L11217" i="2"/>
  <x:c r="K11218" i="2"/>
  <x:c r="L11218" i="2"/>
  <x:c r="K11219" i="2"/>
  <x:c r="L11219" i="2"/>
  <x:c r="K11220" i="2"/>
  <x:c r="L11220" i="2"/>
  <x:c r="K11221" i="2"/>
  <x:c r="L11221" i="2"/>
  <x:c r="K11222" i="2"/>
  <x:c r="L11222" i="2"/>
  <x:c r="K11223" i="2"/>
  <x:c r="L11223" i="2"/>
  <x:c r="K11224" i="2"/>
  <x:c r="L11224" i="2"/>
  <x:c r="K11225" i="2"/>
  <x:c r="L11225" i="2"/>
  <x:c r="K11226" i="2"/>
  <x:c r="L11226" i="2"/>
  <x:c r="K11227" i="2"/>
  <x:c r="L11227" i="2"/>
  <x:c r="K11228" i="2"/>
  <x:c r="L11228" i="2"/>
  <x:c r="K11229" i="2"/>
  <x:c r="L11229" i="2"/>
  <x:c r="K11230" i="2"/>
  <x:c r="L11230" i="2"/>
  <x:c r="K11231" i="2"/>
  <x:c r="L11231" i="2"/>
  <x:c r="K11232" i="2"/>
  <x:c r="L11232" i="2"/>
  <x:c r="K11233" i="2"/>
  <x:c r="L11233" i="2"/>
  <x:c r="K11234" i="2"/>
  <x:c r="L11234" i="2"/>
  <x:c r="K11235" i="2"/>
  <x:c r="L11235" i="2"/>
  <x:c r="K11236" i="2"/>
  <x:c r="L11236" i="2"/>
  <x:c r="K11237" i="2"/>
  <x:c r="L11237" i="2"/>
  <x:c r="K11238" i="2"/>
  <x:c r="L11238" i="2"/>
  <x:c r="K11239" i="2"/>
  <x:c r="L11239" i="2"/>
  <x:c r="K11240" i="2"/>
  <x:c r="L11240" i="2"/>
  <x:c r="K11241" i="2"/>
  <x:c r="L11241" i="2"/>
  <x:c r="K11242" i="2"/>
  <x:c r="L11242" i="2"/>
  <x:c r="K11243" i="2"/>
  <x:c r="L11243" i="2"/>
  <x:c r="K11244" i="2"/>
  <x:c r="L11244" i="2"/>
  <x:c r="K11245" i="2"/>
  <x:c r="L11245" i="2"/>
  <x:c r="K11246" i="2"/>
  <x:c r="L11246" i="2"/>
  <x:c r="K11247" i="2"/>
  <x:c r="L11247" i="2"/>
  <x:c r="K11248" i="2"/>
  <x:c r="L11248" i="2"/>
  <x:c r="K11249" i="2"/>
  <x:c r="L11249" i="2"/>
  <x:c r="K11250" i="2"/>
  <x:c r="L11250" i="2"/>
  <x:c r="K11251" i="2"/>
  <x:c r="L11251" i="2"/>
  <x:c r="K11252" i="2"/>
  <x:c r="L11252" i="2"/>
  <x:c r="K11253" i="2"/>
  <x:c r="L11253" i="2"/>
  <x:c r="K11254" i="2"/>
  <x:c r="L11254" i="2"/>
  <x:c r="K11255" i="2"/>
  <x:c r="L11255" i="2"/>
  <x:c r="K11256" i="2"/>
  <x:c r="L11256" i="2"/>
  <x:c r="K11257" i="2"/>
  <x:c r="L11257" i="2"/>
  <x:c r="K11258" i="2"/>
  <x:c r="L11258" i="2"/>
  <x:c r="K11259" i="2"/>
  <x:c r="L11259" i="2"/>
  <x:c r="K11260" i="2"/>
  <x:c r="L11260" i="2"/>
  <x:c r="K11261" i="2"/>
  <x:c r="L11261" i="2"/>
  <x:c r="K11262" i="2"/>
  <x:c r="L11262" i="2"/>
  <x:c r="K11263" i="2"/>
  <x:c r="L11263" i="2"/>
  <x:c r="K11264" i="2"/>
  <x:c r="L11264" i="2"/>
  <x:c r="K11265" i="2"/>
  <x:c r="L11265" i="2"/>
  <x:c r="K11266" i="2"/>
  <x:c r="L11266" i="2"/>
  <x:c r="K11267" i="2"/>
  <x:c r="L11267" i="2"/>
  <x:c r="K11268" i="2"/>
  <x:c r="L11268" i="2"/>
  <x:c r="K11269" i="2"/>
  <x:c r="L11269" i="2"/>
  <x:c r="K11270" i="2"/>
  <x:c r="L11270" i="2"/>
  <x:c r="K11271" i="2"/>
  <x:c r="L11271" i="2"/>
  <x:c r="K11272" i="2"/>
  <x:c r="L11272" i="2"/>
  <x:c r="K11273" i="2"/>
  <x:c r="L11273" i="2"/>
  <x:c r="K11274" i="2"/>
  <x:c r="L11274" i="2"/>
  <x:c r="K11275" i="2"/>
  <x:c r="L11275" i="2"/>
  <x:c r="K11276" i="2"/>
  <x:c r="L11276" i="2"/>
  <x:c r="K11277" i="2"/>
  <x:c r="L11277" i="2"/>
  <x:c r="K11278" i="2"/>
  <x:c r="L11278" i="2"/>
  <x:c r="K11279" i="2"/>
  <x:c r="L11279" i="2"/>
  <x:c r="K11280" i="2"/>
  <x:c r="L11280" i="2"/>
  <x:c r="K11281" i="2"/>
  <x:c r="L11281" i="2"/>
  <x:c r="K11282" i="2"/>
  <x:c r="L11282" i="2"/>
  <x:c r="K11283" i="2"/>
  <x:c r="L11283" i="2"/>
  <x:c r="K11284" i="2"/>
  <x:c r="L11284" i="2"/>
  <x:c r="K11285" i="2"/>
  <x:c r="L11285" i="2"/>
  <x:c r="K11286" i="2"/>
  <x:c r="L11286" i="2"/>
  <x:c r="K11287" i="2"/>
  <x:c r="L11287" i="2"/>
  <x:c r="K11288" i="2"/>
  <x:c r="L11288" i="2"/>
  <x:c r="K11289" i="2"/>
  <x:c r="L11289" i="2"/>
  <x:c r="K11290" i="2"/>
  <x:c r="L11290" i="2"/>
  <x:c r="K11291" i="2"/>
  <x:c r="L11291" i="2"/>
  <x:c r="K11292" i="2"/>
  <x:c r="L11292" i="2"/>
  <x:c r="K11293" i="2"/>
  <x:c r="L11293" i="2"/>
  <x:c r="K11294" i="2"/>
  <x:c r="L11294" i="2"/>
  <x:c r="K11295" i="2"/>
  <x:c r="L11295" i="2"/>
  <x:c r="K11296" i="2"/>
  <x:c r="L11296" i="2"/>
  <x:c r="K11297" i="2"/>
  <x:c r="L11297" i="2"/>
  <x:c r="K11298" i="2"/>
  <x:c r="L11298" i="2"/>
  <x:c r="K11299" i="2"/>
  <x:c r="L11299" i="2"/>
  <x:c r="K11300" i="2"/>
  <x:c r="L11300" i="2"/>
  <x:c r="K11301" i="2"/>
  <x:c r="L11301" i="2"/>
  <x:c r="K11302" i="2"/>
  <x:c r="L11302" i="2"/>
  <x:c r="K11303" i="2"/>
  <x:c r="L11303" i="2"/>
  <x:c r="K11304" i="2"/>
  <x:c r="L11304" i="2"/>
  <x:c r="K11305" i="2"/>
  <x:c r="L11305" i="2"/>
  <x:c r="K11306" i="2"/>
  <x:c r="L11306" i="2"/>
  <x:c r="K11307" i="2"/>
  <x:c r="L11307" i="2"/>
  <x:c r="K11308" i="2"/>
  <x:c r="L11308" i="2"/>
  <x:c r="K11309" i="2"/>
  <x:c r="L11309" i="2"/>
  <x:c r="K11310" i="2"/>
  <x:c r="L11310" i="2"/>
  <x:c r="K11311" i="2"/>
  <x:c r="L11311" i="2"/>
  <x:c r="K11312" i="2"/>
  <x:c r="L11312" i="2"/>
  <x:c r="K11313" i="2"/>
  <x:c r="L11313" i="2"/>
  <x:c r="K11314" i="2"/>
  <x:c r="L11314" i="2"/>
  <x:c r="K11315" i="2"/>
  <x:c r="L11315" i="2"/>
  <x:c r="K11316" i="2"/>
  <x:c r="L11316" i="2"/>
  <x:c r="K11317" i="2"/>
  <x:c r="L11317" i="2"/>
  <x:c r="K11318" i="2"/>
  <x:c r="L11318" i="2"/>
  <x:c r="K11319" i="2"/>
  <x:c r="L11319" i="2"/>
  <x:c r="K11320" i="2"/>
  <x:c r="L11320" i="2"/>
  <x:c r="K11321" i="2"/>
  <x:c r="L11321" i="2"/>
  <x:c r="K11322" i="2"/>
  <x:c r="L11322" i="2"/>
  <x:c r="K11323" i="2"/>
  <x:c r="L11323" i="2"/>
  <x:c r="K11324" i="2"/>
  <x:c r="L11324" i="2"/>
  <x:c r="K11325" i="2"/>
  <x:c r="L11325" i="2"/>
  <x:c r="K11326" i="2"/>
  <x:c r="L11326" i="2"/>
  <x:c r="K11327" i="2"/>
  <x:c r="L11327" i="2"/>
  <x:c r="K11328" i="2"/>
  <x:c r="L11328" i="2"/>
  <x:c r="K11329" i="2"/>
  <x:c r="L11329" i="2"/>
  <x:c r="K11330" i="2"/>
  <x:c r="L11330" i="2"/>
  <x:c r="K11331" i="2"/>
  <x:c r="L11331" i="2"/>
  <x:c r="K11332" i="2"/>
  <x:c r="L11332" i="2"/>
  <x:c r="K11333" i="2"/>
  <x:c r="L11333" i="2"/>
  <x:c r="K11334" i="2"/>
  <x:c r="L11334" i="2"/>
  <x:c r="K11335" i="2"/>
  <x:c r="L11335" i="2"/>
  <x:c r="K11336" i="2"/>
  <x:c r="L11336" i="2"/>
  <x:c r="K11337" i="2"/>
  <x:c r="L11337" i="2"/>
  <x:c r="K11338" i="2"/>
  <x:c r="L11338" i="2"/>
  <x:c r="K11339" i="2"/>
  <x:c r="L11339" i="2"/>
  <x:c r="K11340" i="2"/>
  <x:c r="L11340" i="2"/>
  <x:c r="K11341" i="2"/>
  <x:c r="L11341" i="2"/>
  <x:c r="K11342" i="2"/>
  <x:c r="L11342" i="2"/>
  <x:c r="K11343" i="2"/>
  <x:c r="L11343" i="2"/>
  <x:c r="K11344" i="2"/>
  <x:c r="L11344" i="2"/>
  <x:c r="K11345" i="2"/>
  <x:c r="L11345" i="2"/>
  <x:c r="K11346" i="2"/>
  <x:c r="L11346" i="2"/>
  <x:c r="K11347" i="2"/>
  <x:c r="L11347" i="2"/>
  <x:c r="K11348" i="2"/>
  <x:c r="L11348" i="2"/>
  <x:c r="K11349" i="2"/>
  <x:c r="L11349" i="2"/>
  <x:c r="K11350" i="2"/>
  <x:c r="L11350" i="2"/>
  <x:c r="K11351" i="2"/>
  <x:c r="L11351" i="2"/>
  <x:c r="K11352" i="2"/>
  <x:c r="L11352" i="2"/>
  <x:c r="K11353" i="2"/>
  <x:c r="L11353" i="2"/>
  <x:c r="K11354" i="2"/>
  <x:c r="L11354" i="2"/>
  <x:c r="K11355" i="2"/>
  <x:c r="L11355" i="2"/>
  <x:c r="K11356" i="2"/>
  <x:c r="L11356" i="2"/>
  <x:c r="K11357" i="2"/>
  <x:c r="L11357" i="2"/>
  <x:c r="K11358" i="2"/>
  <x:c r="L11358" i="2"/>
  <x:c r="K11359" i="2"/>
  <x:c r="L11359" i="2"/>
  <x:c r="K11360" i="2"/>
  <x:c r="L11360" i="2"/>
  <x:c r="K11361" i="2"/>
  <x:c r="L11361" i="2"/>
  <x:c r="K11362" i="2"/>
  <x:c r="L11362" i="2"/>
  <x:c r="K11363" i="2"/>
  <x:c r="L11363" i="2"/>
  <x:c r="K11364" i="2"/>
  <x:c r="L11364" i="2"/>
  <x:c r="K11365" i="2"/>
  <x:c r="L11365" i="2"/>
  <x:c r="K11366" i="2"/>
  <x:c r="L11366" i="2"/>
  <x:c r="K11367" i="2"/>
  <x:c r="L11367" i="2"/>
  <x:c r="K11368" i="2"/>
  <x:c r="L11368" i="2"/>
  <x:c r="K11369" i="2"/>
  <x:c r="L11369" i="2"/>
  <x:c r="K11370" i="2"/>
  <x:c r="L11370" i="2"/>
  <x:c r="K11371" i="2"/>
  <x:c r="L11371" i="2"/>
  <x:c r="K11372" i="2"/>
  <x:c r="L11372" i="2"/>
  <x:c r="K11373" i="2"/>
  <x:c r="L11373" i="2"/>
  <x:c r="K11374" i="2"/>
  <x:c r="L11374" i="2"/>
  <x:c r="K11375" i="2"/>
  <x:c r="L11375" i="2"/>
  <x:c r="K11376" i="2"/>
  <x:c r="L11376" i="2"/>
  <x:c r="K11377" i="2"/>
  <x:c r="L11377" i="2"/>
  <x:c r="K11378" i="2"/>
  <x:c r="L11378" i="2"/>
  <x:c r="K11379" i="2"/>
  <x:c r="L11379" i="2"/>
  <x:c r="K11380" i="2"/>
  <x:c r="L11380" i="2"/>
  <x:c r="K11381" i="2"/>
  <x:c r="L11381" i="2"/>
  <x:c r="K11382" i="2"/>
  <x:c r="L11382" i="2"/>
  <x:c r="K11383" i="2"/>
  <x:c r="L11383" i="2"/>
  <x:c r="K11384" i="2"/>
  <x:c r="L11384" i="2"/>
  <x:c r="K11385" i="2"/>
  <x:c r="L11385" i="2"/>
  <x:c r="K11386" i="2"/>
  <x:c r="L11386" i="2"/>
  <x:c r="K11387" i="2"/>
  <x:c r="L11387" i="2"/>
  <x:c r="K11388" i="2"/>
  <x:c r="L11388" i="2"/>
  <x:c r="K11389" i="2"/>
  <x:c r="L11389" i="2"/>
  <x:c r="K11390" i="2"/>
  <x:c r="L11390" i="2"/>
  <x:c r="K11391" i="2"/>
  <x:c r="L11391" i="2"/>
  <x:c r="K11392" i="2"/>
  <x:c r="L11392" i="2"/>
  <x:c r="K11393" i="2"/>
  <x:c r="L11393" i="2"/>
  <x:c r="K11394" i="2"/>
  <x:c r="L11394" i="2"/>
  <x:c r="K11395" i="2"/>
  <x:c r="L11395" i="2"/>
  <x:c r="K11396" i="2"/>
  <x:c r="L11396" i="2"/>
  <x:c r="K11397" i="2"/>
  <x:c r="L11397" i="2"/>
  <x:c r="K11398" i="2"/>
  <x:c r="L11398" i="2"/>
  <x:c r="K11399" i="2"/>
  <x:c r="L11399" i="2"/>
  <x:c r="K11400" i="2"/>
  <x:c r="L11400" i="2"/>
  <x:c r="K11401" i="2"/>
  <x:c r="L11401" i="2"/>
  <x:c r="K11402" i="2"/>
  <x:c r="L11402" i="2"/>
  <x:c r="K11403" i="2"/>
  <x:c r="L11403" i="2"/>
  <x:c r="K11404" i="2"/>
  <x:c r="L11404" i="2"/>
  <x:c r="K11405" i="2"/>
  <x:c r="L11405" i="2"/>
  <x:c r="K11406" i="2"/>
  <x:c r="L11406" i="2"/>
  <x:c r="K11407" i="2"/>
  <x:c r="L11407" i="2"/>
  <x:c r="K11408" i="2"/>
  <x:c r="L11408" i="2"/>
  <x:c r="K11409" i="2"/>
  <x:c r="L11409" i="2"/>
  <x:c r="K11410" i="2"/>
  <x:c r="L11410" i="2"/>
  <x:c r="K11411" i="2"/>
  <x:c r="L11411" i="2"/>
  <x:c r="K11412" i="2"/>
  <x:c r="L11412" i="2"/>
  <x:c r="K11413" i="2"/>
  <x:c r="L11413" i="2"/>
  <x:c r="K11414" i="2"/>
  <x:c r="L11414" i="2"/>
  <x:c r="K11415" i="2"/>
  <x:c r="L11415" i="2"/>
  <x:c r="K11416" i="2"/>
  <x:c r="L11416" i="2"/>
  <x:c r="K11417" i="2"/>
  <x:c r="L11417" i="2"/>
  <x:c r="K11418" i="2"/>
  <x:c r="L11418" i="2"/>
  <x:c r="K11419" i="2"/>
  <x:c r="L11419" i="2"/>
  <x:c r="K11420" i="2"/>
  <x:c r="L11420" i="2"/>
  <x:c r="K11421" i="2"/>
  <x:c r="L11421" i="2"/>
  <x:c r="K11422" i="2"/>
  <x:c r="L11422" i="2"/>
  <x:c r="K11423" i="2"/>
  <x:c r="L11423" i="2"/>
  <x:c r="K11424" i="2"/>
  <x:c r="L11424" i="2"/>
  <x:c r="K11425" i="2"/>
  <x:c r="L11425" i="2"/>
  <x:c r="K11426" i="2"/>
  <x:c r="L11426" i="2"/>
  <x:c r="K11427" i="2"/>
  <x:c r="L11427" i="2"/>
  <x:c r="K11428" i="2"/>
  <x:c r="L11428" i="2"/>
  <x:c r="K11429" i="2"/>
  <x:c r="L11429" i="2"/>
  <x:c r="K11430" i="2"/>
  <x:c r="L11430" i="2"/>
  <x:c r="K11431" i="2"/>
  <x:c r="L11431" i="2"/>
  <x:c r="K11432" i="2"/>
  <x:c r="L11432" i="2"/>
  <x:c r="K11433" i="2"/>
  <x:c r="L11433" i="2"/>
  <x:c r="K11434" i="2"/>
  <x:c r="L11434" i="2"/>
  <x:c r="K11435" i="2"/>
  <x:c r="L11435" i="2"/>
  <x:c r="K11436" i="2"/>
  <x:c r="L11436" i="2"/>
  <x:c r="K11437" i="2"/>
  <x:c r="L11437" i="2"/>
  <x:c r="K11438" i="2"/>
  <x:c r="L11438" i="2"/>
  <x:c r="K11439" i="2"/>
  <x:c r="L11439" i="2"/>
  <x:c r="K11440" i="2"/>
  <x:c r="L11440" i="2"/>
  <x:c r="K11441" i="2"/>
  <x:c r="L11441" i="2"/>
  <x:c r="K11442" i="2"/>
  <x:c r="L11442" i="2"/>
  <x:c r="K11443" i="2"/>
  <x:c r="L11443" i="2"/>
  <x:c r="K11444" i="2"/>
  <x:c r="L11444" i="2"/>
  <x:c r="K11445" i="2"/>
  <x:c r="L11445" i="2"/>
  <x:c r="K11446" i="2"/>
  <x:c r="L11446" i="2"/>
  <x:c r="K11447" i="2"/>
  <x:c r="L11447" i="2"/>
  <x:c r="K11448" i="2"/>
  <x:c r="L11448" i="2"/>
  <x:c r="K11449" i="2"/>
  <x:c r="L11449" i="2"/>
  <x:c r="K11450" i="2"/>
  <x:c r="L11450" i="2"/>
  <x:c r="K11451" i="2"/>
  <x:c r="L11451" i="2"/>
  <x:c r="K11452" i="2"/>
  <x:c r="L11452" i="2"/>
  <x:c r="K11453" i="2"/>
  <x:c r="L11453" i="2"/>
  <x:c r="K11454" i="2"/>
  <x:c r="L11454" i="2"/>
  <x:c r="K11455" i="2"/>
  <x:c r="L11455" i="2"/>
  <x:c r="K11456" i="2"/>
  <x:c r="L11456" i="2"/>
  <x:c r="K11457" i="2"/>
  <x:c r="L11457" i="2"/>
  <x:c r="K11458" i="2"/>
  <x:c r="L11458" i="2"/>
  <x:c r="K11459" i="2"/>
  <x:c r="L11459" i="2"/>
  <x:c r="K11460" i="2"/>
  <x:c r="L11460" i="2"/>
  <x:c r="K11461" i="2"/>
  <x:c r="L11461" i="2"/>
  <x:c r="K11462" i="2"/>
  <x:c r="L11462" i="2"/>
  <x:c r="K11463" i="2"/>
  <x:c r="L11463" i="2"/>
  <x:c r="K11464" i="2"/>
  <x:c r="L11464" i="2"/>
  <x:c r="K11465" i="2"/>
  <x:c r="L11465" i="2"/>
  <x:c r="K11466" i="2"/>
  <x:c r="L11466" i="2"/>
  <x:c r="K11467" i="2"/>
  <x:c r="L11467" i="2"/>
  <x:c r="K11468" i="2"/>
  <x:c r="L11468" i="2"/>
  <x:c r="K11469" i="2"/>
  <x:c r="L11469" i="2"/>
  <x:c r="K11470" i="2"/>
  <x:c r="L11470" i="2"/>
  <x:c r="K11471" i="2"/>
  <x:c r="L11471" i="2"/>
  <x:c r="K11472" i="2"/>
  <x:c r="L11472" i="2"/>
  <x:c r="K11473" i="2"/>
  <x:c r="L11473" i="2"/>
  <x:c r="K11474" i="2"/>
  <x:c r="L11474" i="2"/>
  <x:c r="K11475" i="2"/>
  <x:c r="L11475" i="2"/>
  <x:c r="K11476" i="2"/>
  <x:c r="L11476" i="2"/>
  <x:c r="K11477" i="2"/>
  <x:c r="L11477" i="2"/>
  <x:c r="K11478" i="2"/>
  <x:c r="L11478" i="2"/>
  <x:c r="K11479" i="2"/>
  <x:c r="L11479" i="2"/>
  <x:c r="K11480" i="2"/>
  <x:c r="L11480" i="2"/>
  <x:c r="K11481" i="2"/>
  <x:c r="L11481" i="2"/>
  <x:c r="K11482" i="2"/>
  <x:c r="L11482" i="2"/>
  <x:c r="K11483" i="2"/>
  <x:c r="L11483" i="2"/>
  <x:c r="K11484" i="2"/>
  <x:c r="L11484" i="2"/>
  <x:c r="K11485" i="2"/>
  <x:c r="L11485" i="2"/>
  <x:c r="K11486" i="2"/>
  <x:c r="L11486" i="2"/>
  <x:c r="K11487" i="2"/>
  <x:c r="L11487" i="2"/>
  <x:c r="K11488" i="2"/>
  <x:c r="L11488" i="2"/>
  <x:c r="K11489" i="2"/>
  <x:c r="L11489" i="2"/>
  <x:c r="K11490" i="2"/>
  <x:c r="L11490" i="2"/>
  <x:c r="K11491" i="2"/>
  <x:c r="L11491" i="2"/>
  <x:c r="K11492" i="2"/>
  <x:c r="L11492" i="2"/>
  <x:c r="K11493" i="2"/>
  <x:c r="L11493" i="2"/>
  <x:c r="K11494" i="2"/>
  <x:c r="L11494" i="2"/>
  <x:c r="K11495" i="2"/>
  <x:c r="L11495" i="2"/>
  <x:c r="K11496" i="2"/>
  <x:c r="L11496" i="2"/>
  <x:c r="K11497" i="2"/>
  <x:c r="L11497" i="2"/>
  <x:c r="K11498" i="2"/>
  <x:c r="L11498" i="2"/>
  <x:c r="K11499" i="2"/>
  <x:c r="L11499" i="2"/>
  <x:c r="K11500" i="2"/>
  <x:c r="L11500" i="2"/>
  <x:c r="K11501" i="2"/>
  <x:c r="L11501" i="2"/>
  <x:c r="K11502" i="2"/>
  <x:c r="L11502" i="2"/>
  <x:c r="K11503" i="2"/>
  <x:c r="L11503" i="2"/>
  <x:c r="K11504" i="2"/>
  <x:c r="L11504" i="2"/>
  <x:c r="K11505" i="2"/>
  <x:c r="L11505" i="2"/>
  <x:c r="K11506" i="2"/>
  <x:c r="L11506" i="2"/>
  <x:c r="K11507" i="2"/>
  <x:c r="L11507" i="2"/>
  <x:c r="K11508" i="2"/>
  <x:c r="L11508" i="2"/>
  <x:c r="K11509" i="2"/>
  <x:c r="L11509" i="2"/>
  <x:c r="K11510" i="2"/>
  <x:c r="L11510" i="2"/>
  <x:c r="K11511" i="2"/>
  <x:c r="L11511" i="2"/>
  <x:c r="K11512" i="2"/>
  <x:c r="L11512" i="2"/>
  <x:c r="K11513" i="2"/>
  <x:c r="L11513" i="2"/>
  <x:c r="K11514" i="2"/>
  <x:c r="L11514" i="2"/>
  <x:c r="K11515" i="2"/>
  <x:c r="L11515" i="2"/>
  <x:c r="K11516" i="2"/>
  <x:c r="L11516" i="2"/>
  <x:c r="K11517" i="2"/>
  <x:c r="L11517" i="2"/>
  <x:c r="K11518" i="2"/>
  <x:c r="L11518" i="2"/>
  <x:c r="K11519" i="2"/>
  <x:c r="L11519" i="2"/>
  <x:c r="K11520" i="2"/>
  <x:c r="L11520" i="2"/>
  <x:c r="K11521" i="2"/>
  <x:c r="L11521" i="2"/>
  <x:c r="K11522" i="2"/>
  <x:c r="L11522" i="2"/>
  <x:c r="K11523" i="2"/>
  <x:c r="L11523" i="2"/>
  <x:c r="K11524" i="2"/>
  <x:c r="L11524" i="2"/>
  <x:c r="K11525" i="2"/>
  <x:c r="L11525" i="2"/>
  <x:c r="K11526" i="2"/>
  <x:c r="L11526" i="2"/>
  <x:c r="K11527" i="2"/>
  <x:c r="L11527" i="2"/>
  <x:c r="K11528" i="2"/>
  <x:c r="L11528" i="2"/>
  <x:c r="K11529" i="2"/>
  <x:c r="L11529" i="2"/>
  <x:c r="K11530" i="2"/>
  <x:c r="L11530" i="2"/>
  <x:c r="K11531" i="2"/>
  <x:c r="L11531" i="2"/>
  <x:c r="K11532" i="2"/>
  <x:c r="L11532" i="2"/>
  <x:c r="K11533" i="2"/>
  <x:c r="L11533" i="2"/>
  <x:c r="K11534" i="2"/>
  <x:c r="L11534" i="2"/>
  <x:c r="K11535" i="2"/>
  <x:c r="L11535" i="2"/>
  <x:c r="K11536" i="2"/>
  <x:c r="L11536" i="2"/>
  <x:c r="K11537" i="2"/>
  <x:c r="L11537" i="2"/>
  <x:c r="K11538" i="2"/>
  <x:c r="L11538" i="2"/>
  <x:c r="K11539" i="2"/>
  <x:c r="L11539" i="2"/>
  <x:c r="K11540" i="2"/>
  <x:c r="L11540" i="2"/>
  <x:c r="K11541" i="2"/>
  <x:c r="L11541" i="2"/>
  <x:c r="K11542" i="2"/>
  <x:c r="L11542" i="2"/>
  <x:c r="K11543" i="2"/>
  <x:c r="L11543" i="2"/>
  <x:c r="K11544" i="2"/>
  <x:c r="L11544" i="2"/>
  <x:c r="K11545" i="2"/>
  <x:c r="L11545" i="2"/>
  <x:c r="K11546" i="2"/>
  <x:c r="L11546" i="2"/>
  <x:c r="K11547" i="2"/>
  <x:c r="L11547" i="2"/>
  <x:c r="K11548" i="2"/>
  <x:c r="L11548" i="2"/>
  <x:c r="K11549" i="2"/>
  <x:c r="L11549" i="2"/>
  <x:c r="K11550" i="2"/>
  <x:c r="L11550" i="2"/>
  <x:c r="K11551" i="2"/>
  <x:c r="L11551" i="2"/>
  <x:c r="K11552" i="2"/>
  <x:c r="L11552" i="2"/>
  <x:c r="K11553" i="2"/>
  <x:c r="L11553" i="2"/>
  <x:c r="K11554" i="2"/>
  <x:c r="L11554" i="2"/>
  <x:c r="K11555" i="2"/>
  <x:c r="L11555" i="2"/>
  <x:c r="K11556" i="2"/>
  <x:c r="L11556" i="2"/>
  <x:c r="K11557" i="2"/>
  <x:c r="L11557" i="2"/>
  <x:c r="K11558" i="2"/>
  <x:c r="L11558" i="2"/>
  <x:c r="K11559" i="2"/>
  <x:c r="L11559" i="2"/>
  <x:c r="K11560" i="2"/>
  <x:c r="L11560" i="2"/>
  <x:c r="K11561" i="2"/>
  <x:c r="L11561" i="2"/>
  <x:c r="K11562" i="2"/>
  <x:c r="L11562" i="2"/>
  <x:c r="K11563" i="2"/>
  <x:c r="L11563" i="2"/>
  <x:c r="K11564" i="2"/>
  <x:c r="L11564" i="2"/>
  <x:c r="K11565" i="2"/>
  <x:c r="L11565" i="2"/>
  <x:c r="K11566" i="2"/>
  <x:c r="L11566" i="2"/>
  <x:c r="K11567" i="2"/>
  <x:c r="L11567" i="2"/>
  <x:c r="K11568" i="2"/>
  <x:c r="L11568" i="2"/>
  <x:c r="K11569" i="2"/>
  <x:c r="L11569" i="2"/>
  <x:c r="K11570" i="2"/>
  <x:c r="L11570" i="2"/>
  <x:c r="K11571" i="2"/>
  <x:c r="L11571" i="2"/>
  <x:c r="K11572" i="2"/>
  <x:c r="L11572" i="2"/>
  <x:c r="K11573" i="2"/>
  <x:c r="L11573" i="2"/>
  <x:c r="K11574" i="2"/>
  <x:c r="L11574" i="2"/>
  <x:c r="K11575" i="2"/>
  <x:c r="L11575" i="2"/>
  <x:c r="K11576" i="2"/>
  <x:c r="L11576" i="2"/>
  <x:c r="K11577" i="2"/>
  <x:c r="L11577" i="2"/>
  <x:c r="K11578" i="2"/>
  <x:c r="L11578" i="2"/>
  <x:c r="K11579" i="2"/>
  <x:c r="L11579" i="2"/>
  <x:c r="K11580" i="2"/>
  <x:c r="L11580" i="2"/>
  <x:c r="K11581" i="2"/>
  <x:c r="L11581" i="2"/>
  <x:c r="K11582" i="2"/>
  <x:c r="L11582" i="2"/>
  <x:c r="K11583" i="2"/>
  <x:c r="L11583" i="2"/>
  <x:c r="K11584" i="2"/>
  <x:c r="L11584" i="2"/>
  <x:c r="K11585" i="2"/>
  <x:c r="L11585" i="2"/>
  <x:c r="K11586" i="2"/>
  <x:c r="L11586" i="2"/>
  <x:c r="K11587" i="2"/>
  <x:c r="L11587" i="2"/>
  <x:c r="K11588" i="2"/>
  <x:c r="L11588" i="2"/>
  <x:c r="K11589" i="2"/>
  <x:c r="L11589" i="2"/>
  <x:c r="K11590" i="2"/>
  <x:c r="L11590" i="2"/>
  <x:c r="K11591" i="2"/>
  <x:c r="L11591" i="2"/>
  <x:c r="K11592" i="2"/>
  <x:c r="L11592" i="2"/>
  <x:c r="K11593" i="2"/>
  <x:c r="L11593" i="2"/>
  <x:c r="K11594" i="2"/>
  <x:c r="L11594" i="2"/>
  <x:c r="K11595" i="2"/>
  <x:c r="L11595" i="2"/>
  <x:c r="K11596" i="2"/>
  <x:c r="L11596" i="2"/>
  <x:c r="K11597" i="2"/>
  <x:c r="L11597" i="2"/>
  <x:c r="K11598" i="2"/>
  <x:c r="L11598" i="2"/>
  <x:c r="K11599" i="2"/>
  <x:c r="L11599" i="2"/>
  <x:c r="K11600" i="2"/>
  <x:c r="L11600" i="2"/>
  <x:c r="K11601" i="2"/>
  <x:c r="L11601" i="2"/>
  <x:c r="K11602" i="2"/>
  <x:c r="L11602" i="2"/>
  <x:c r="K11603" i="2"/>
  <x:c r="L11603" i="2"/>
  <x:c r="K11604" i="2"/>
  <x:c r="L11604" i="2"/>
  <x:c r="K11605" i="2"/>
  <x:c r="L11605" i="2"/>
  <x:c r="K11606" i="2"/>
  <x:c r="L11606" i="2"/>
  <x:c r="K11607" i="2"/>
  <x:c r="L11607" i="2"/>
  <x:c r="K11608" i="2"/>
  <x:c r="L11608" i="2"/>
  <x:c r="K11609" i="2"/>
  <x:c r="L11609" i="2"/>
  <x:c r="K11610" i="2"/>
  <x:c r="L11610" i="2"/>
  <x:c r="K11611" i="2"/>
  <x:c r="L11611" i="2"/>
  <x:c r="K11612" i="2"/>
  <x:c r="L11612" i="2"/>
  <x:c r="K11613" i="2"/>
  <x:c r="L11613" i="2"/>
  <x:c r="K11614" i="2"/>
  <x:c r="L11614" i="2"/>
  <x:c r="K11615" i="2"/>
  <x:c r="L11615" i="2"/>
  <x:c r="K11616" i="2"/>
  <x:c r="L11616" i="2"/>
  <x:c r="K11617" i="2"/>
  <x:c r="L11617" i="2"/>
  <x:c r="K11618" i="2"/>
  <x:c r="L11618" i="2"/>
  <x:c r="K11619" i="2"/>
  <x:c r="L11619" i="2"/>
  <x:c r="K11620" i="2"/>
  <x:c r="L11620" i="2"/>
  <x:c r="K11621" i="2"/>
  <x:c r="L11621" i="2"/>
  <x:c r="K11622" i="2"/>
  <x:c r="L11622" i="2"/>
  <x:c r="K11623" i="2"/>
  <x:c r="L11623" i="2"/>
  <x:c r="K11624" i="2"/>
  <x:c r="L11624" i="2"/>
  <x:c r="K11625" i="2"/>
  <x:c r="L11625" i="2"/>
  <x:c r="K11626" i="2"/>
  <x:c r="L11626" i="2"/>
  <x:c r="K11627" i="2"/>
  <x:c r="L11627" i="2"/>
  <x:c r="K11628" i="2"/>
  <x:c r="L11628" i="2"/>
  <x:c r="K11629" i="2"/>
  <x:c r="L11629" i="2"/>
  <x:c r="K11630" i="2"/>
  <x:c r="L11630" i="2"/>
  <x:c r="K11631" i="2"/>
  <x:c r="L11631" i="2"/>
  <x:c r="K11632" i="2"/>
  <x:c r="L11632" i="2"/>
  <x:c r="K11633" i="2"/>
  <x:c r="L11633" i="2"/>
  <x:c r="K11634" i="2"/>
  <x:c r="L11634" i="2"/>
  <x:c r="K11635" i="2"/>
  <x:c r="L11635" i="2"/>
  <x:c r="K11636" i="2"/>
  <x:c r="L11636" i="2"/>
  <x:c r="K11637" i="2"/>
  <x:c r="L11637" i="2"/>
  <x:c r="K11638" i="2"/>
  <x:c r="L11638" i="2"/>
  <x:c r="K11639" i="2"/>
  <x:c r="L11639" i="2"/>
  <x:c r="K11640" i="2"/>
  <x:c r="L11640" i="2"/>
  <x:c r="K11641" i="2"/>
  <x:c r="L11641" i="2"/>
  <x:c r="K11642" i="2"/>
  <x:c r="L11642" i="2"/>
  <x:c r="K11643" i="2"/>
  <x:c r="L11643" i="2"/>
  <x:c r="K11644" i="2"/>
  <x:c r="L11644" i="2"/>
  <x:c r="K11645" i="2"/>
  <x:c r="L11645" i="2"/>
  <x:c r="K11646" i="2"/>
  <x:c r="L11646" i="2"/>
  <x:c r="K11647" i="2"/>
  <x:c r="L11647" i="2"/>
  <x:c r="K11648" i="2"/>
  <x:c r="L11648" i="2"/>
  <x:c r="K11649" i="2"/>
  <x:c r="L11649" i="2"/>
  <x:c r="K11650" i="2"/>
  <x:c r="L11650" i="2"/>
  <x:c r="K11651" i="2"/>
  <x:c r="L11651" i="2"/>
  <x:c r="K11652" i="2"/>
  <x:c r="L11652" i="2"/>
  <x:c r="K11653" i="2"/>
  <x:c r="L11653" i="2"/>
  <x:c r="K11654" i="2"/>
  <x:c r="L11654" i="2"/>
  <x:c r="K11655" i="2"/>
  <x:c r="L11655" i="2"/>
  <x:c r="K11656" i="2"/>
  <x:c r="L11656" i="2"/>
  <x:c r="K11657" i="2"/>
  <x:c r="L11657" i="2"/>
  <x:c r="K11658" i="2"/>
  <x:c r="L11658" i="2"/>
  <x:c r="K11659" i="2"/>
  <x:c r="L11659" i="2"/>
  <x:c r="K11660" i="2"/>
  <x:c r="L11660" i="2"/>
  <x:c r="K11661" i="2"/>
  <x:c r="L11661" i="2"/>
  <x:c r="K11662" i="2"/>
  <x:c r="L11662" i="2"/>
  <x:c r="K11663" i="2"/>
  <x:c r="L11663" i="2"/>
  <x:c r="K11664" i="2"/>
  <x:c r="L11664" i="2"/>
  <x:c r="K11665" i="2"/>
  <x:c r="L11665" i="2"/>
  <x:c r="K11666" i="2"/>
  <x:c r="L11666" i="2"/>
  <x:c r="K11667" i="2"/>
  <x:c r="L11667" i="2"/>
  <x:c r="K11668" i="2"/>
  <x:c r="L11668" i="2"/>
  <x:c r="K11669" i="2"/>
  <x:c r="L11669" i="2"/>
  <x:c r="K11670" i="2"/>
  <x:c r="L11670" i="2"/>
  <x:c r="K11671" i="2"/>
  <x:c r="L11671" i="2"/>
  <x:c r="K11672" i="2"/>
  <x:c r="L11672" i="2"/>
  <x:c r="K11673" i="2"/>
  <x:c r="L11673" i="2"/>
  <x:c r="K11674" i="2"/>
  <x:c r="L11674" i="2"/>
  <x:c r="K11675" i="2"/>
  <x:c r="L11675" i="2"/>
  <x:c r="K11676" i="2"/>
  <x:c r="L11676" i="2"/>
  <x:c r="K11677" i="2"/>
  <x:c r="L11677" i="2"/>
  <x:c r="K11678" i="2"/>
  <x:c r="L11678" i="2"/>
  <x:c r="K11679" i="2"/>
  <x:c r="L11679" i="2"/>
  <x:c r="K11680" i="2"/>
  <x:c r="L11680" i="2"/>
  <x:c r="K11681" i="2"/>
  <x:c r="L11681" i="2"/>
  <x:c r="K11682" i="2"/>
  <x:c r="L11682" i="2"/>
  <x:c r="K11683" i="2"/>
  <x:c r="L11683" i="2"/>
  <x:c r="K11684" i="2"/>
  <x:c r="L11684" i="2"/>
  <x:c r="K11685" i="2"/>
  <x:c r="L11685" i="2"/>
  <x:c r="K11686" i="2"/>
  <x:c r="L11686" i="2"/>
  <x:c r="K11687" i="2"/>
  <x:c r="L11687" i="2"/>
  <x:c r="K11688" i="2"/>
  <x:c r="L11688" i="2"/>
  <x:c r="K11689" i="2"/>
  <x:c r="L11689" i="2"/>
  <x:c r="K11690" i="2"/>
  <x:c r="L11690" i="2"/>
  <x:c r="K11691" i="2"/>
  <x:c r="L11691" i="2"/>
  <x:c r="K11692" i="2"/>
  <x:c r="L11692" i="2"/>
  <x:c r="K11693" i="2"/>
  <x:c r="L11693" i="2"/>
  <x:c r="K11694" i="2"/>
  <x:c r="L11694" i="2"/>
  <x:c r="K11695" i="2"/>
  <x:c r="L11695" i="2"/>
  <x:c r="K11696" i="2"/>
  <x:c r="L11696" i="2"/>
  <x:c r="K11697" i="2"/>
  <x:c r="L11697" i="2"/>
  <x:c r="K11698" i="2"/>
  <x:c r="L11698" i="2"/>
  <x:c r="K11699" i="2"/>
  <x:c r="L11699" i="2"/>
  <x:c r="K11700" i="2"/>
  <x:c r="L11700" i="2"/>
  <x:c r="K11701" i="2"/>
  <x:c r="L11701" i="2"/>
  <x:c r="K11702" i="2"/>
  <x:c r="L11702" i="2"/>
  <x:c r="K11703" i="2"/>
  <x:c r="L11703" i="2"/>
  <x:c r="K11704" i="2"/>
  <x:c r="L11704" i="2"/>
  <x:c r="K11705" i="2"/>
  <x:c r="L11705" i="2"/>
  <x:c r="K11706" i="2"/>
  <x:c r="L11706" i="2"/>
  <x:c r="K11707" i="2"/>
  <x:c r="L11707" i="2"/>
  <x:c r="K11708" i="2"/>
  <x:c r="L11708" i="2"/>
  <x:c r="K11709" i="2"/>
  <x:c r="L11709" i="2"/>
  <x:c r="K11710" i="2"/>
  <x:c r="L11710" i="2"/>
  <x:c r="K11711" i="2"/>
  <x:c r="L11711" i="2"/>
  <x:c r="K11712" i="2"/>
  <x:c r="L11712" i="2"/>
  <x:c r="K11713" i="2"/>
  <x:c r="L11713" i="2"/>
  <x:c r="K11714" i="2"/>
  <x:c r="L11714" i="2"/>
  <x:c r="K11715" i="2"/>
  <x:c r="L11715" i="2"/>
  <x:c r="K11716" i="2"/>
  <x:c r="L11716" i="2"/>
  <x:c r="K11717" i="2"/>
  <x:c r="L11717" i="2"/>
  <x:c r="K11718" i="2"/>
  <x:c r="L11718" i="2"/>
  <x:c r="K11719" i="2"/>
  <x:c r="L11719" i="2"/>
  <x:c r="K11720" i="2"/>
  <x:c r="L11720" i="2"/>
  <x:c r="K11721" i="2"/>
  <x:c r="L11721" i="2"/>
  <x:c r="K11722" i="2"/>
  <x:c r="L11722" i="2"/>
  <x:c r="K11723" i="2"/>
  <x:c r="L11723" i="2"/>
  <x:c r="K11724" i="2"/>
  <x:c r="L11724" i="2"/>
  <x:c r="K11725" i="2"/>
  <x:c r="L11725" i="2"/>
  <x:c r="K11726" i="2"/>
  <x:c r="L11726" i="2"/>
  <x:c r="K11727" i="2"/>
  <x:c r="L11727" i="2"/>
  <x:c r="K11728" i="2"/>
  <x:c r="L11728" i="2"/>
  <x:c r="K11729" i="2"/>
  <x:c r="L11729" i="2"/>
  <x:c r="K11730" i="2"/>
  <x:c r="L11730" i="2"/>
  <x:c r="K11731" i="2"/>
  <x:c r="L11731" i="2"/>
  <x:c r="K11732" i="2"/>
  <x:c r="L11732" i="2"/>
  <x:c r="K11733" i="2"/>
  <x:c r="L11733" i="2"/>
  <x:c r="K11734" i="2"/>
  <x:c r="L11734" i="2"/>
  <x:c r="K11735" i="2"/>
  <x:c r="L11735" i="2"/>
  <x:c r="K11736" i="2"/>
  <x:c r="L11736" i="2"/>
  <x:c r="K11737" i="2"/>
  <x:c r="L11737" i="2"/>
  <x:c r="K11738" i="2"/>
  <x:c r="L11738" i="2"/>
  <x:c r="K11739" i="2"/>
  <x:c r="L11739" i="2"/>
  <x:c r="K11740" i="2"/>
  <x:c r="L11740" i="2"/>
  <x:c r="K11741" i="2"/>
  <x:c r="L11741" i="2"/>
  <x:c r="K11742" i="2"/>
  <x:c r="L11742" i="2"/>
  <x:c r="K11743" i="2"/>
  <x:c r="L11743" i="2"/>
  <x:c r="K11744" i="2"/>
  <x:c r="L11744" i="2"/>
  <x:c r="K11745" i="2"/>
  <x:c r="L11745" i="2"/>
  <x:c r="K11746" i="2"/>
  <x:c r="L11746" i="2"/>
  <x:c r="K11747" i="2"/>
  <x:c r="L11747" i="2"/>
  <x:c r="K11748" i="2"/>
  <x:c r="L11748" i="2"/>
  <x:c r="K11749" i="2"/>
  <x:c r="L11749" i="2"/>
  <x:c r="K11750" i="2"/>
  <x:c r="L11750" i="2"/>
  <x:c r="K11751" i="2"/>
  <x:c r="L11751" i="2"/>
  <x:c r="K11752" i="2"/>
  <x:c r="L11752" i="2"/>
  <x:c r="K11753" i="2"/>
  <x:c r="L11753" i="2"/>
  <x:c r="K11754" i="2"/>
  <x:c r="L11754" i="2"/>
  <x:c r="K11755" i="2"/>
  <x:c r="L11755" i="2"/>
  <x:c r="K11756" i="2"/>
  <x:c r="L11756" i="2"/>
  <x:c r="K11757" i="2"/>
  <x:c r="L11757" i="2"/>
  <x:c r="K11758" i="2"/>
  <x:c r="L11758" i="2"/>
  <x:c r="K11759" i="2"/>
  <x:c r="L11759" i="2"/>
  <x:c r="K11760" i="2"/>
  <x:c r="L11760" i="2"/>
  <x:c r="K11761" i="2"/>
  <x:c r="L11761" i="2"/>
  <x:c r="K11762" i="2"/>
  <x:c r="L11762" i="2"/>
  <x:c r="K11763" i="2"/>
  <x:c r="L11763" i="2"/>
  <x:c r="K11764" i="2"/>
  <x:c r="L11764" i="2"/>
  <x:c r="K11765" i="2"/>
  <x:c r="L11765" i="2"/>
  <x:c r="K11766" i="2"/>
  <x:c r="L11766" i="2"/>
  <x:c r="K11767" i="2"/>
  <x:c r="L11767" i="2"/>
  <x:c r="K11768" i="2"/>
  <x:c r="L11768" i="2"/>
  <x:c r="K11769" i="2"/>
  <x:c r="L11769" i="2"/>
  <x:c r="K11770" i="2"/>
  <x:c r="L11770" i="2"/>
  <x:c r="K11771" i="2"/>
  <x:c r="L11771" i="2"/>
  <x:c r="K11772" i="2"/>
  <x:c r="L11772" i="2"/>
  <x:c r="K11773" i="2"/>
  <x:c r="L11773" i="2"/>
  <x:c r="K11774" i="2"/>
  <x:c r="L11774" i="2"/>
  <x:c r="K11775" i="2"/>
  <x:c r="L11775" i="2"/>
  <x:c r="K11776" i="2"/>
  <x:c r="L11776" i="2"/>
  <x:c r="K11777" i="2"/>
  <x:c r="L11777" i="2"/>
  <x:c r="K11778" i="2"/>
  <x:c r="L11778" i="2"/>
  <x:c r="K11779" i="2"/>
  <x:c r="L11779" i="2"/>
  <x:c r="K11780" i="2"/>
  <x:c r="L11780" i="2"/>
  <x:c r="K11781" i="2"/>
  <x:c r="L11781" i="2"/>
  <x:c r="K11782" i="2"/>
  <x:c r="L11782" i="2"/>
  <x:c r="K11783" i="2"/>
  <x:c r="L11783" i="2"/>
  <x:c r="K11784" i="2"/>
  <x:c r="L11784" i="2"/>
  <x:c r="K11785" i="2"/>
  <x:c r="L11785" i="2"/>
  <x:c r="K11786" i="2"/>
  <x:c r="L11786" i="2"/>
  <x:c r="K11787" i="2"/>
  <x:c r="L11787" i="2"/>
  <x:c r="K11788" i="2"/>
  <x:c r="L11788" i="2"/>
  <x:c r="K11789" i="2"/>
  <x:c r="L11789" i="2"/>
  <x:c r="K11790" i="2"/>
  <x:c r="L11790" i="2"/>
  <x:c r="K11791" i="2"/>
  <x:c r="L11791" i="2"/>
  <x:c r="K11792" i="2"/>
  <x:c r="L11792" i="2"/>
  <x:c r="K11793" i="2"/>
  <x:c r="L11793" i="2"/>
  <x:c r="K11794" i="2"/>
  <x:c r="L11794" i="2"/>
  <x:c r="K11795" i="2"/>
  <x:c r="L11795" i="2"/>
  <x:c r="K11796" i="2"/>
  <x:c r="L11796" i="2"/>
  <x:c r="K11797" i="2"/>
  <x:c r="L11797" i="2"/>
  <x:c r="K11798" i="2"/>
  <x:c r="L11798" i="2"/>
  <x:c r="K11799" i="2"/>
  <x:c r="L11799" i="2"/>
  <x:c r="K11800" i="2"/>
  <x:c r="L11800" i="2"/>
  <x:c r="K11801" i="2"/>
  <x:c r="L11801" i="2"/>
  <x:c r="K11802" i="2"/>
  <x:c r="L11802" i="2"/>
  <x:c r="K11803" i="2"/>
  <x:c r="L11803" i="2"/>
  <x:c r="K11804" i="2"/>
  <x:c r="L11804" i="2"/>
  <x:c r="K11805" i="2"/>
  <x:c r="L11805" i="2"/>
  <x:c r="K11806" i="2"/>
  <x:c r="L11806" i="2"/>
  <x:c r="K11807" i="2"/>
  <x:c r="L11807" i="2"/>
  <x:c r="K11808" i="2"/>
  <x:c r="L11808" i="2"/>
  <x:c r="K11809" i="2"/>
  <x:c r="L11809" i="2"/>
  <x:c r="K11810" i="2"/>
  <x:c r="L11810" i="2"/>
  <x:c r="K11811" i="2"/>
  <x:c r="L11811" i="2"/>
  <x:c r="K11812" i="2"/>
  <x:c r="L11812" i="2"/>
  <x:c r="K11813" i="2"/>
  <x:c r="L11813" i="2"/>
  <x:c r="K11814" i="2"/>
  <x:c r="L11814" i="2"/>
  <x:c r="K11815" i="2"/>
  <x:c r="L11815" i="2"/>
  <x:c r="K11816" i="2"/>
  <x:c r="L11816" i="2"/>
  <x:c r="K11817" i="2"/>
  <x:c r="L11817" i="2"/>
  <x:c r="K11818" i="2"/>
  <x:c r="L11818" i="2"/>
  <x:c r="K11819" i="2"/>
  <x:c r="L11819" i="2"/>
  <x:c r="K11820" i="2"/>
  <x:c r="L11820" i="2"/>
  <x:c r="K11821" i="2"/>
  <x:c r="L11821" i="2"/>
  <x:c r="K11822" i="2"/>
  <x:c r="L11822" i="2"/>
  <x:c r="K11823" i="2"/>
  <x:c r="L11823" i="2"/>
  <x:c r="K11824" i="2"/>
  <x:c r="L11824" i="2"/>
  <x:c r="K11825" i="2"/>
  <x:c r="L11825" i="2"/>
  <x:c r="K11826" i="2"/>
  <x:c r="L11826" i="2"/>
  <x:c r="K11827" i="2"/>
  <x:c r="L11827" i="2"/>
  <x:c r="K11828" i="2"/>
  <x:c r="L11828" i="2"/>
  <x:c r="K11829" i="2"/>
  <x:c r="L11829" i="2"/>
  <x:c r="K11830" i="2"/>
  <x:c r="L11830" i="2"/>
  <x:c r="K11831" i="2"/>
  <x:c r="L11831" i="2"/>
  <x:c r="K11832" i="2"/>
  <x:c r="L11832" i="2"/>
  <x:c r="K11833" i="2"/>
  <x:c r="L11833" i="2"/>
  <x:c r="K11834" i="2"/>
  <x:c r="L11834" i="2"/>
  <x:c r="K11835" i="2"/>
  <x:c r="L11835" i="2"/>
  <x:c r="K11836" i="2"/>
  <x:c r="L11836" i="2"/>
  <x:c r="K11837" i="2"/>
  <x:c r="L11837" i="2"/>
  <x:c r="K11838" i="2"/>
  <x:c r="L11838" i="2"/>
  <x:c r="K11839" i="2"/>
  <x:c r="L11839" i="2"/>
  <x:c r="K11840" i="2"/>
  <x:c r="L11840" i="2"/>
  <x:c r="K11841" i="2"/>
  <x:c r="L11841" i="2"/>
  <x:c r="K11842" i="2"/>
  <x:c r="L11842" i="2"/>
  <x:c r="K11843" i="2"/>
  <x:c r="L11843" i="2"/>
  <x:c r="K11844" i="2"/>
  <x:c r="L11844" i="2"/>
  <x:c r="K11845" i="2"/>
  <x:c r="L11845" i="2"/>
  <x:c r="K11846" i="2"/>
  <x:c r="L11846" i="2"/>
  <x:c r="K11847" i="2"/>
  <x:c r="L11847" i="2"/>
  <x:c r="K11848" i="2"/>
  <x:c r="L11848" i="2"/>
  <x:c r="K11849" i="2"/>
  <x:c r="L11849" i="2"/>
  <x:c r="K11850" i="2"/>
  <x:c r="L11850" i="2"/>
  <x:c r="K11851" i="2"/>
  <x:c r="L11851" i="2"/>
  <x:c r="K11852" i="2"/>
  <x:c r="L11852" i="2"/>
  <x:c r="K11853" i="2"/>
  <x:c r="L11853" i="2"/>
  <x:c r="K11854" i="2"/>
  <x:c r="L11854" i="2"/>
  <x:c r="K11855" i="2"/>
  <x:c r="L11855" i="2"/>
  <x:c r="K11856" i="2"/>
  <x:c r="L11856" i="2"/>
  <x:c r="K11857" i="2"/>
  <x:c r="L11857" i="2"/>
  <x:c r="K11858" i="2"/>
  <x:c r="L11858" i="2"/>
  <x:c r="K11859" i="2"/>
  <x:c r="L11859" i="2"/>
  <x:c r="K11860" i="2"/>
  <x:c r="L11860" i="2"/>
  <x:c r="K11861" i="2"/>
  <x:c r="L11861" i="2"/>
  <x:c r="K11862" i="2"/>
  <x:c r="L11862" i="2"/>
  <x:c r="K11863" i="2"/>
  <x:c r="L11863" i="2"/>
  <x:c r="K11864" i="2"/>
  <x:c r="L11864" i="2"/>
  <x:c r="K11865" i="2"/>
  <x:c r="L11865" i="2"/>
  <x:c r="K11866" i="2"/>
  <x:c r="L11866" i="2"/>
  <x:c r="K11867" i="2"/>
  <x:c r="L11867" i="2"/>
  <x:c r="K11868" i="2"/>
  <x:c r="L11868" i="2"/>
  <x:c r="K11869" i="2"/>
  <x:c r="L11869" i="2"/>
  <x:c r="K11870" i="2"/>
  <x:c r="L11870" i="2"/>
  <x:c r="K11871" i="2"/>
  <x:c r="L11871" i="2"/>
  <x:c r="K11872" i="2"/>
  <x:c r="L11872" i="2"/>
  <x:c r="K11873" i="2"/>
  <x:c r="L11873" i="2"/>
  <x:c r="K11874" i="2"/>
  <x:c r="L11874" i="2"/>
  <x:c r="K11875" i="2"/>
  <x:c r="L11875" i="2"/>
  <x:c r="K11876" i="2"/>
  <x:c r="L11876" i="2"/>
  <x:c r="K11877" i="2"/>
  <x:c r="L11877" i="2"/>
  <x:c r="K11878" i="2"/>
  <x:c r="L11878" i="2"/>
  <x:c r="K11879" i="2"/>
  <x:c r="L11879" i="2"/>
  <x:c r="K11880" i="2"/>
  <x:c r="L11880" i="2"/>
  <x:c r="K11881" i="2"/>
  <x:c r="L11881" i="2"/>
  <x:c r="K11882" i="2"/>
  <x:c r="L11882" i="2"/>
  <x:c r="K11883" i="2"/>
  <x:c r="L11883" i="2"/>
  <x:c r="K11884" i="2"/>
  <x:c r="L11884" i="2"/>
  <x:c r="K11885" i="2"/>
  <x:c r="L11885" i="2"/>
  <x:c r="K11886" i="2"/>
  <x:c r="L11886" i="2"/>
  <x:c r="K11887" i="2"/>
  <x:c r="L11887" i="2"/>
  <x:c r="K11888" i="2"/>
  <x:c r="L11888" i="2"/>
  <x:c r="K11889" i="2"/>
  <x:c r="L11889" i="2"/>
  <x:c r="K11890" i="2"/>
  <x:c r="L11890" i="2"/>
  <x:c r="K11891" i="2"/>
  <x:c r="L11891" i="2"/>
  <x:c r="K11892" i="2"/>
  <x:c r="L11892" i="2"/>
  <x:c r="K11893" i="2"/>
  <x:c r="L11893" i="2"/>
  <x:c r="K11894" i="2"/>
  <x:c r="L11894" i="2"/>
  <x:c r="K11895" i="2"/>
  <x:c r="L11895" i="2"/>
  <x:c r="K11896" i="2"/>
  <x:c r="L11896" i="2"/>
  <x:c r="K11897" i="2"/>
  <x:c r="L11897" i="2"/>
  <x:c r="K11898" i="2"/>
  <x:c r="L11898" i="2"/>
  <x:c r="K11899" i="2"/>
  <x:c r="L11899" i="2"/>
  <x:c r="K11900" i="2"/>
  <x:c r="L11900" i="2"/>
  <x:c r="K11901" i="2"/>
  <x:c r="L11901" i="2"/>
  <x:c r="K11902" i="2"/>
  <x:c r="L11902" i="2"/>
  <x:c r="K11903" i="2"/>
  <x:c r="L11903" i="2"/>
  <x:c r="K11904" i="2"/>
  <x:c r="L11904" i="2"/>
  <x:c r="K11905" i="2"/>
  <x:c r="L11905" i="2"/>
  <x:c r="K11906" i="2"/>
  <x:c r="L11906" i="2"/>
  <x:c r="K11907" i="2"/>
  <x:c r="L11907" i="2"/>
  <x:c r="K11908" i="2"/>
  <x:c r="L11908" i="2"/>
  <x:c r="K11909" i="2"/>
  <x:c r="L11909" i="2"/>
  <x:c r="K11910" i="2"/>
  <x:c r="L11910" i="2"/>
  <x:c r="K11911" i="2"/>
  <x:c r="L11911" i="2"/>
  <x:c r="K11912" i="2"/>
  <x:c r="L11912" i="2"/>
  <x:c r="K11913" i="2"/>
  <x:c r="L11913" i="2"/>
  <x:c r="K11914" i="2"/>
  <x:c r="L11914" i="2"/>
  <x:c r="K11915" i="2"/>
  <x:c r="L11915" i="2"/>
  <x:c r="K11916" i="2"/>
  <x:c r="L11916" i="2"/>
  <x:c r="K11917" i="2"/>
  <x:c r="L11917" i="2"/>
  <x:c r="K11918" i="2"/>
  <x:c r="L11918" i="2"/>
  <x:c r="K11919" i="2"/>
  <x:c r="L11919" i="2"/>
  <x:c r="K11920" i="2"/>
  <x:c r="L11920" i="2"/>
  <x:c r="K11921" i="2"/>
  <x:c r="L11921" i="2"/>
  <x:c r="K11922" i="2"/>
  <x:c r="L11922" i="2"/>
  <x:c r="K11923" i="2"/>
  <x:c r="L11923" i="2"/>
  <x:c r="K11924" i="2"/>
  <x:c r="L11924" i="2"/>
  <x:c r="K11925" i="2"/>
  <x:c r="L11925" i="2"/>
  <x:c r="K11926" i="2"/>
  <x:c r="L11926" i="2"/>
  <x:c r="K11927" i="2"/>
  <x:c r="L11927" i="2"/>
  <x:c r="K11928" i="2"/>
  <x:c r="L11928" i="2"/>
  <x:c r="K11929" i="2"/>
  <x:c r="L11929" i="2"/>
  <x:c r="K11930" i="2"/>
  <x:c r="L11930" i="2"/>
  <x:c r="K11931" i="2"/>
  <x:c r="L11931" i="2"/>
  <x:c r="K11932" i="2"/>
  <x:c r="L11932" i="2"/>
  <x:c r="K11933" i="2"/>
  <x:c r="L11933" i="2"/>
  <x:c r="K11934" i="2"/>
  <x:c r="L11934" i="2"/>
  <x:c r="K11935" i="2"/>
  <x:c r="L11935" i="2"/>
  <x:c r="K11936" i="2"/>
  <x:c r="L11936" i="2"/>
  <x:c r="K11937" i="2"/>
  <x:c r="L11937" i="2"/>
  <x:c r="K11938" i="2"/>
  <x:c r="L11938" i="2"/>
  <x:c r="K11939" i="2"/>
  <x:c r="L11939" i="2"/>
  <x:c r="K11940" i="2"/>
  <x:c r="L11940" i="2"/>
  <x:c r="K11941" i="2"/>
  <x:c r="L11941" i="2"/>
  <x:c r="K11942" i="2"/>
  <x:c r="L11942" i="2"/>
  <x:c r="K11943" i="2"/>
  <x:c r="L11943" i="2"/>
  <x:c r="K11944" i="2"/>
  <x:c r="L11944" i="2"/>
  <x:c r="K11945" i="2"/>
  <x:c r="L11945" i="2"/>
  <x:c r="K11946" i="2"/>
  <x:c r="L11946" i="2"/>
  <x:c r="K11947" i="2"/>
  <x:c r="L11947" i="2"/>
  <x:c r="K11948" i="2"/>
  <x:c r="L11948" i="2"/>
  <x:c r="K11949" i="2"/>
  <x:c r="L11949" i="2"/>
  <x:c r="K11950" i="2"/>
  <x:c r="L11950" i="2"/>
  <x:c r="K11951" i="2"/>
  <x:c r="L11951" i="2"/>
  <x:c r="K11952" i="2"/>
  <x:c r="L11952" i="2"/>
  <x:c r="K11953" i="2"/>
  <x:c r="L11953" i="2"/>
  <x:c r="K11954" i="2"/>
  <x:c r="L11954" i="2"/>
  <x:c r="K11955" i="2"/>
  <x:c r="L11955" i="2"/>
  <x:c r="K11956" i="2"/>
  <x:c r="L11956" i="2"/>
  <x:c r="K11957" i="2"/>
  <x:c r="L11957" i="2"/>
  <x:c r="K11958" i="2"/>
  <x:c r="L11958" i="2"/>
  <x:c r="K11959" i="2"/>
  <x:c r="L11959" i="2"/>
  <x:c r="K11960" i="2"/>
  <x:c r="L11960" i="2"/>
  <x:c r="K11961" i="2"/>
  <x:c r="L11961" i="2"/>
  <x:c r="K11962" i="2"/>
  <x:c r="L11962" i="2"/>
  <x:c r="K11963" i="2"/>
  <x:c r="L11963" i="2"/>
  <x:c r="K11964" i="2"/>
  <x:c r="L11964" i="2"/>
  <x:c r="K11965" i="2"/>
  <x:c r="L11965" i="2"/>
  <x:c r="K11966" i="2"/>
  <x:c r="L11966" i="2"/>
  <x:c r="K11967" i="2"/>
  <x:c r="L11967" i="2"/>
  <x:c r="K11968" i="2"/>
  <x:c r="L11968" i="2"/>
  <x:c r="K11969" i="2"/>
  <x:c r="L11969" i="2"/>
  <x:c r="K11970" i="2"/>
  <x:c r="L11970" i="2"/>
  <x:c r="K11971" i="2"/>
  <x:c r="L11971" i="2"/>
  <x:c r="K11972" i="2"/>
  <x:c r="L11972" i="2"/>
  <x:c r="K11973" i="2"/>
  <x:c r="L11973" i="2"/>
  <x:c r="K11974" i="2"/>
  <x:c r="L11974" i="2"/>
  <x:c r="K11975" i="2"/>
  <x:c r="L11975" i="2"/>
  <x:c r="K11976" i="2"/>
  <x:c r="L11976" i="2"/>
  <x:c r="K11977" i="2"/>
  <x:c r="L11977" i="2"/>
  <x:c r="K11978" i="2"/>
  <x:c r="L11978" i="2"/>
  <x:c r="K11979" i="2"/>
  <x:c r="L11979" i="2"/>
  <x:c r="K11980" i="2"/>
  <x:c r="L11980" i="2"/>
  <x:c r="K11981" i="2"/>
  <x:c r="L11981" i="2"/>
  <x:c r="K11982" i="2"/>
  <x:c r="L11982" i="2"/>
  <x:c r="K11983" i="2"/>
  <x:c r="L11983" i="2"/>
  <x:c r="K11984" i="2"/>
  <x:c r="L11984" i="2"/>
  <x:c r="K11985" i="2"/>
  <x:c r="L11985" i="2"/>
  <x:c r="K11986" i="2"/>
  <x:c r="L11986" i="2"/>
  <x:c r="K11987" i="2"/>
  <x:c r="L11987" i="2"/>
  <x:c r="K11988" i="2"/>
  <x:c r="L11988" i="2"/>
  <x:c r="K11989" i="2"/>
  <x:c r="L11989" i="2"/>
  <x:c r="K11990" i="2"/>
  <x:c r="L11990" i="2"/>
  <x:c r="K11991" i="2"/>
  <x:c r="L11991" i="2"/>
  <x:c r="K11992" i="2"/>
  <x:c r="L11992" i="2"/>
  <x:c r="K11993" i="2"/>
  <x:c r="L11993" i="2"/>
  <x:c r="K11994" i="2"/>
  <x:c r="L11994" i="2"/>
  <x:c r="K11995" i="2"/>
  <x:c r="L11995" i="2"/>
  <x:c r="K11996" i="2"/>
  <x:c r="L11996" i="2"/>
  <x:c r="K11997" i="2"/>
  <x:c r="L11997" i="2"/>
  <x:c r="K11998" i="2"/>
  <x:c r="L11998" i="2"/>
  <x:c r="K11999" i="2"/>
  <x:c r="L11999" i="2"/>
  <x:c r="K12000" i="2"/>
  <x:c r="L12000" i="2"/>
  <x:c r="K12001" i="2"/>
  <x:c r="L12001" i="2"/>
  <x:c r="K12002" i="2"/>
  <x:c r="L12002" i="2"/>
  <x:c r="K12003" i="2"/>
  <x:c r="L12003" i="2"/>
  <x:c r="K12004" i="2"/>
  <x:c r="L12004" i="2"/>
  <x:c r="K12005" i="2"/>
  <x:c r="L12005" i="2"/>
  <x:c r="K12006" i="2"/>
  <x:c r="L12006" i="2"/>
  <x:c r="K12007" i="2"/>
  <x:c r="L12007" i="2"/>
  <x:c r="K12008" i="2"/>
  <x:c r="L12008" i="2"/>
  <x:c r="K12009" i="2"/>
  <x:c r="L12009" i="2"/>
  <x:c r="K12010" i="2"/>
  <x:c r="L12010" i="2"/>
  <x:c r="K12011" i="2"/>
  <x:c r="L12011" i="2"/>
  <x:c r="K12012" i="2"/>
  <x:c r="L12012" i="2"/>
  <x:c r="K12013" i="2"/>
  <x:c r="L12013" i="2"/>
  <x:c r="K12014" i="2"/>
  <x:c r="L12014" i="2"/>
  <x:c r="K12015" i="2"/>
  <x:c r="L12015" i="2"/>
  <x:c r="K12016" i="2"/>
  <x:c r="L12016" i="2"/>
  <x:c r="K12017" i="2"/>
  <x:c r="L12017" i="2"/>
  <x:c r="K12018" i="2"/>
  <x:c r="L12018" i="2"/>
  <x:c r="K12019" i="2"/>
  <x:c r="L12019" i="2"/>
  <x:c r="K12020" i="2"/>
  <x:c r="L12020" i="2"/>
  <x:c r="K12021" i="2"/>
  <x:c r="L12021" i="2"/>
  <x:c r="K12022" i="2"/>
  <x:c r="L12022" i="2"/>
  <x:c r="K12023" i="2"/>
  <x:c r="L12023" i="2"/>
  <x:c r="K12024" i="2"/>
  <x:c r="L12024" i="2"/>
  <x:c r="K12025" i="2"/>
  <x:c r="L12025" i="2"/>
  <x:c r="K12026" i="2"/>
  <x:c r="L12026" i="2"/>
  <x:c r="K12027" i="2"/>
  <x:c r="L12027" i="2"/>
  <x:c r="K12028" i="2"/>
  <x:c r="L12028" i="2"/>
  <x:c r="K12029" i="2"/>
  <x:c r="L12029" i="2"/>
  <x:c r="K12030" i="2"/>
  <x:c r="L12030" i="2"/>
  <x:c r="K12031" i="2"/>
  <x:c r="L12031" i="2"/>
  <x:c r="K12032" i="2"/>
  <x:c r="L12032" i="2"/>
  <x:c r="K12033" i="2"/>
  <x:c r="L12033" i="2"/>
  <x:c r="K12034" i="2"/>
  <x:c r="L12034" i="2"/>
  <x:c r="K12035" i="2"/>
  <x:c r="L12035" i="2"/>
  <x:c r="K12036" i="2"/>
  <x:c r="L12036" i="2"/>
  <x:c r="K12037" i="2"/>
  <x:c r="L12037" i="2"/>
  <x:c r="K12038" i="2"/>
  <x:c r="L12038" i="2"/>
  <x:c r="K12039" i="2"/>
  <x:c r="L12039" i="2"/>
  <x:c r="K12040" i="2"/>
  <x:c r="L12040" i="2"/>
  <x:c r="K12041" i="2"/>
  <x:c r="L12041" i="2"/>
  <x:c r="K12042" i="2"/>
  <x:c r="L12042" i="2"/>
  <x:c r="K12043" i="2"/>
  <x:c r="L12043" i="2"/>
  <x:c r="K12044" i="2"/>
  <x:c r="L12044" i="2"/>
  <x:c r="K12045" i="2"/>
  <x:c r="L12045" i="2"/>
  <x:c r="K12046" i="2"/>
  <x:c r="L12046" i="2"/>
  <x:c r="K12047" i="2"/>
  <x:c r="L12047" i="2"/>
  <x:c r="K12048" i="2"/>
  <x:c r="L12048" i="2"/>
  <x:c r="K12049" i="2"/>
  <x:c r="L12049" i="2"/>
  <x:c r="K12050" i="2"/>
  <x:c r="L12050" i="2"/>
  <x:c r="K12051" i="2"/>
  <x:c r="L12051" i="2"/>
  <x:c r="K12052" i="2"/>
  <x:c r="L12052" i="2"/>
  <x:c r="K12053" i="2"/>
  <x:c r="L12053" i="2"/>
  <x:c r="K12054" i="2"/>
  <x:c r="L12054" i="2"/>
  <x:c r="K12055" i="2"/>
  <x:c r="L12055" i="2"/>
  <x:c r="K12056" i="2"/>
  <x:c r="L12056" i="2"/>
  <x:c r="K12057" i="2"/>
  <x:c r="L12057" i="2"/>
  <x:c r="K12058" i="2"/>
  <x:c r="L12058" i="2"/>
  <x:c r="K12059" i="2"/>
  <x:c r="L12059" i="2"/>
  <x:c r="K12060" i="2"/>
  <x:c r="L12060" i="2"/>
  <x:c r="K12061" i="2"/>
  <x:c r="L12061" i="2"/>
  <x:c r="K12062" i="2"/>
  <x:c r="L12062" i="2"/>
  <x:c r="K12063" i="2"/>
  <x:c r="L12063" i="2"/>
  <x:c r="K12064" i="2"/>
  <x:c r="L12064" i="2"/>
  <x:c r="K12065" i="2"/>
  <x:c r="L12065" i="2"/>
  <x:c r="K12066" i="2"/>
  <x:c r="L12066" i="2"/>
  <x:c r="K12067" i="2"/>
  <x:c r="L12067" i="2"/>
  <x:c r="K12068" i="2"/>
  <x:c r="L12068" i="2"/>
  <x:c r="K12069" i="2"/>
  <x:c r="L12069" i="2"/>
  <x:c r="K12070" i="2"/>
  <x:c r="L12070" i="2"/>
  <x:c r="K12071" i="2"/>
  <x:c r="L12071" i="2"/>
  <x:c r="K12072" i="2"/>
  <x:c r="L12072" i="2"/>
  <x:c r="K12073" i="2"/>
  <x:c r="L12073" i="2"/>
  <x:c r="K12074" i="2"/>
  <x:c r="L12074" i="2"/>
  <x:c r="K12075" i="2"/>
  <x:c r="L12075" i="2"/>
  <x:c r="K12076" i="2"/>
  <x:c r="L12076" i="2"/>
  <x:c r="K12077" i="2"/>
  <x:c r="L12077" i="2"/>
  <x:c r="K12078" i="2"/>
  <x:c r="L12078" i="2"/>
  <x:c r="K12079" i="2"/>
  <x:c r="L12079" i="2"/>
  <x:c r="K12080" i="2"/>
  <x:c r="L12080" i="2"/>
  <x:c r="K12081" i="2"/>
  <x:c r="L12081" i="2"/>
  <x:c r="K12082" i="2"/>
  <x:c r="L12082" i="2"/>
  <x:c r="K12083" i="2"/>
  <x:c r="L12083" i="2"/>
  <x:c r="K12084" i="2"/>
  <x:c r="L12084" i="2"/>
  <x:c r="K12085" i="2"/>
  <x:c r="L12085" i="2"/>
  <x:c r="K12086" i="2"/>
  <x:c r="L12086" i="2"/>
  <x:c r="K12087" i="2"/>
  <x:c r="L12087" i="2"/>
  <x:c r="K12088" i="2"/>
  <x:c r="L12088" i="2"/>
  <x:c r="K12089" i="2"/>
  <x:c r="L12089" i="2"/>
  <x:c r="K12090" i="2"/>
  <x:c r="L12090" i="2"/>
  <x:c r="K12091" i="2"/>
  <x:c r="L12091" i="2"/>
  <x:c r="K12092" i="2"/>
  <x:c r="L12092" i="2"/>
  <x:c r="K12093" i="2"/>
  <x:c r="L12093" i="2"/>
  <x:c r="K12094" i="2"/>
  <x:c r="L12094" i="2"/>
  <x:c r="K12095" i="2"/>
  <x:c r="L12095" i="2"/>
  <x:c r="K12096" i="2"/>
  <x:c r="L12096" i="2"/>
  <x:c r="K12097" i="2"/>
  <x:c r="L12097" i="2"/>
  <x:c r="K12098" i="2"/>
  <x:c r="L12098" i="2"/>
  <x:c r="K12099" i="2"/>
  <x:c r="L12099" i="2"/>
  <x:c r="K12100" i="2"/>
  <x:c r="L12100" i="2"/>
  <x:c r="K12101" i="2"/>
  <x:c r="L12101" i="2"/>
  <x:c r="K12102" i="2"/>
  <x:c r="L12102" i="2"/>
  <x:c r="K12103" i="2"/>
  <x:c r="L12103" i="2"/>
  <x:c r="K12104" i="2"/>
  <x:c r="L12104" i="2"/>
  <x:c r="K12105" i="2"/>
  <x:c r="L12105" i="2"/>
  <x:c r="K12106" i="2"/>
  <x:c r="L12106" i="2"/>
  <x:c r="K12107" i="2"/>
  <x:c r="L12107" i="2"/>
  <x:c r="K12108" i="2"/>
  <x:c r="L12108" i="2"/>
  <x:c r="K12109" i="2"/>
  <x:c r="L12109" i="2"/>
  <x:c r="K12110" i="2"/>
  <x:c r="L12110" i="2"/>
  <x:c r="K12111" i="2"/>
  <x:c r="L12111" i="2"/>
  <x:c r="K12112" i="2"/>
  <x:c r="L12112" i="2"/>
  <x:c r="K12113" i="2"/>
  <x:c r="L12113" i="2"/>
  <x:c r="K12114" i="2"/>
  <x:c r="L12114" i="2"/>
  <x:c r="K12115" i="2"/>
  <x:c r="L12115" i="2"/>
  <x:c r="K12116" i="2"/>
  <x:c r="L12116" i="2"/>
  <x:c r="K12117" i="2"/>
  <x:c r="L12117" i="2"/>
  <x:c r="K12118" i="2"/>
  <x:c r="L12118" i="2"/>
  <x:c r="K12119" i="2"/>
  <x:c r="L12119" i="2"/>
  <x:c r="K12120" i="2"/>
  <x:c r="L12120" i="2"/>
  <x:c r="K12121" i="2"/>
  <x:c r="L12121" i="2"/>
  <x:c r="K12122" i="2"/>
  <x:c r="L12122" i="2"/>
  <x:c r="K12123" i="2"/>
  <x:c r="L12123" i="2"/>
  <x:c r="K12124" i="2"/>
  <x:c r="L12124" i="2"/>
  <x:c r="K12125" i="2"/>
  <x:c r="L12125" i="2"/>
  <x:c r="K12126" i="2"/>
  <x:c r="L12126" i="2"/>
  <x:c r="K12127" i="2"/>
  <x:c r="L12127" i="2"/>
  <x:c r="K12128" i="2"/>
  <x:c r="L12128" i="2"/>
  <x:c r="K12129" i="2"/>
  <x:c r="L12129" i="2"/>
  <x:c r="K12130" i="2"/>
  <x:c r="L12130" i="2"/>
  <x:c r="K12131" i="2"/>
  <x:c r="L12131" i="2"/>
  <x:c r="K12132" i="2"/>
  <x:c r="L12132" i="2"/>
  <x:c r="K12133" i="2"/>
  <x:c r="L12133" i="2"/>
  <x:c r="K12134" i="2"/>
  <x:c r="L12134" i="2"/>
  <x:c r="K12135" i="2"/>
  <x:c r="L12135" i="2"/>
  <x:c r="K12136" i="2"/>
  <x:c r="L12136" i="2"/>
  <x:c r="K12137" i="2"/>
  <x:c r="L12137" i="2"/>
  <x:c r="K12138" i="2"/>
  <x:c r="L12138" i="2"/>
  <x:c r="K12139" i="2"/>
  <x:c r="L12139" i="2"/>
  <x:c r="K12140" i="2"/>
  <x:c r="L12140" i="2"/>
  <x:c r="K12141" i="2"/>
  <x:c r="L12141" i="2"/>
  <x:c r="K12142" i="2"/>
  <x:c r="L12142" i="2"/>
  <x:c r="K12143" i="2"/>
  <x:c r="L12143" i="2"/>
  <x:c r="K12144" i="2"/>
  <x:c r="L12144" i="2"/>
  <x:c r="K12145" i="2"/>
  <x:c r="L12145" i="2"/>
  <x:c r="K12146" i="2"/>
  <x:c r="L12146" i="2"/>
  <x:c r="K12147" i="2"/>
  <x:c r="L12147" i="2"/>
  <x:c r="K12148" i="2"/>
  <x:c r="L12148" i="2"/>
  <x:c r="K12149" i="2"/>
  <x:c r="L12149" i="2"/>
  <x:c r="K12150" i="2"/>
  <x:c r="L12150" i="2"/>
  <x:c r="K12151" i="2"/>
  <x:c r="L12151" i="2"/>
  <x:c r="K12152" i="2"/>
  <x:c r="L12152" i="2"/>
  <x:c r="K12153" i="2"/>
  <x:c r="L12153" i="2"/>
  <x:c r="K12154" i="2"/>
  <x:c r="L12154" i="2"/>
  <x:c r="K12155" i="2"/>
  <x:c r="L12155" i="2"/>
  <x:c r="K12156" i="2"/>
  <x:c r="L12156" i="2"/>
  <x:c r="K12157" i="2"/>
  <x:c r="L12157" i="2"/>
  <x:c r="K12158" i="2"/>
  <x:c r="L12158" i="2"/>
  <x:c r="K12159" i="2"/>
  <x:c r="L12159" i="2"/>
  <x:c r="K12160" i="2"/>
  <x:c r="L12160" i="2"/>
  <x:c r="K12161" i="2"/>
  <x:c r="L12161" i="2"/>
  <x:c r="K12162" i="2"/>
  <x:c r="L12162" i="2"/>
  <x:c r="K12163" i="2"/>
  <x:c r="L12163" i="2"/>
  <x:c r="K12164" i="2"/>
  <x:c r="L12164" i="2"/>
  <x:c r="K12165" i="2"/>
  <x:c r="L12165" i="2"/>
  <x:c r="K12166" i="2"/>
  <x:c r="L12166" i="2"/>
  <x:c r="K12167" i="2"/>
  <x:c r="L12167" i="2"/>
  <x:c r="K12168" i="2"/>
  <x:c r="L12168" i="2"/>
  <x:c r="K12169" i="2"/>
  <x:c r="L12169" i="2"/>
  <x:c r="K12170" i="2"/>
  <x:c r="L12170" i="2"/>
  <x:c r="K12171" i="2"/>
  <x:c r="L12171" i="2"/>
  <x:c r="K12172" i="2"/>
  <x:c r="L12172" i="2"/>
  <x:c r="K12173" i="2"/>
  <x:c r="L12173" i="2"/>
  <x:c r="K12174" i="2"/>
  <x:c r="L12174" i="2"/>
  <x:c r="K12175" i="2"/>
  <x:c r="L12175" i="2"/>
  <x:c r="K12176" i="2"/>
  <x:c r="L12176" i="2"/>
  <x:c r="K12177" i="2"/>
  <x:c r="L12177" i="2"/>
  <x:c r="K12178" i="2"/>
  <x:c r="L12178" i="2"/>
  <x:c r="K12179" i="2"/>
  <x:c r="L12179" i="2"/>
  <x:c r="K12180" i="2"/>
  <x:c r="L12180" i="2"/>
  <x:c r="K12181" i="2"/>
  <x:c r="L12181" i="2"/>
  <x:c r="K12182" i="2"/>
  <x:c r="L12182" i="2"/>
  <x:c r="K12183" i="2"/>
  <x:c r="L12183" i="2"/>
  <x:c r="K12184" i="2"/>
  <x:c r="L12184" i="2"/>
  <x:c r="K12185" i="2"/>
  <x:c r="L12185" i="2"/>
  <x:c r="K12186" i="2"/>
  <x:c r="L12186" i="2"/>
  <x:c r="K12187" i="2"/>
  <x:c r="L12187" i="2"/>
  <x:c r="K12188" i="2"/>
  <x:c r="L12188" i="2"/>
  <x:c r="K12189" i="2"/>
  <x:c r="L12189" i="2"/>
  <x:c r="K12190" i="2"/>
  <x:c r="L12190" i="2"/>
  <x:c r="K12191" i="2"/>
  <x:c r="L12191" i="2"/>
  <x:c r="K12192" i="2"/>
  <x:c r="L12192" i="2"/>
  <x:c r="K12193" i="2"/>
  <x:c r="L12193" i="2"/>
  <x:c r="K12194" i="2"/>
  <x:c r="L12194" i="2"/>
  <x:c r="K12195" i="2"/>
  <x:c r="L12195" i="2"/>
  <x:c r="K12196" i="2"/>
  <x:c r="L12196" i="2"/>
  <x:c r="K12197" i="2"/>
  <x:c r="L12197" i="2"/>
  <x:c r="K12198" i="2"/>
  <x:c r="L12198" i="2"/>
  <x:c r="K12199" i="2"/>
  <x:c r="L12199" i="2"/>
  <x:c r="K12200" i="2"/>
  <x:c r="L12200" i="2"/>
  <x:c r="K12201" i="2"/>
  <x:c r="L12201" i="2"/>
  <x:c r="K12202" i="2"/>
  <x:c r="L12202" i="2"/>
  <x:c r="K12203" i="2"/>
  <x:c r="L12203" i="2"/>
  <x:c r="K12204" i="2"/>
  <x:c r="L12204" i="2"/>
  <x:c r="K12205" i="2"/>
  <x:c r="L12205" i="2"/>
  <x:c r="K12206" i="2"/>
  <x:c r="L12206" i="2"/>
  <x:c r="K12207" i="2"/>
  <x:c r="L12207" i="2"/>
  <x:c r="K12208" i="2"/>
  <x:c r="L12208" i="2"/>
  <x:c r="K12209" i="2"/>
  <x:c r="L12209" i="2"/>
  <x:c r="K12210" i="2"/>
  <x:c r="L12210" i="2"/>
  <x:c r="K12211" i="2"/>
  <x:c r="L12211" i="2"/>
  <x:c r="K12212" i="2"/>
  <x:c r="L12212" i="2"/>
  <x:c r="K12213" i="2"/>
  <x:c r="L12213" i="2"/>
  <x:c r="K12214" i="2"/>
  <x:c r="L12214" i="2"/>
  <x:c r="K12215" i="2"/>
  <x:c r="L12215" i="2"/>
  <x:c r="K12216" i="2"/>
  <x:c r="L12216" i="2"/>
  <x:c r="K12217" i="2"/>
  <x:c r="L12217" i="2"/>
  <x:c r="K12218" i="2"/>
  <x:c r="L12218" i="2"/>
  <x:c r="K12219" i="2"/>
  <x:c r="L12219" i="2"/>
  <x:c r="K12220" i="2"/>
  <x:c r="L12220" i="2"/>
  <x:c r="K12221" i="2"/>
  <x:c r="L12221" i="2"/>
  <x:c r="K12222" i="2"/>
  <x:c r="L12222" i="2"/>
  <x:c r="K12223" i="2"/>
  <x:c r="L12223" i="2"/>
  <x:c r="K12224" i="2"/>
  <x:c r="L12224" i="2"/>
  <x:c r="K12225" i="2"/>
  <x:c r="L12225" i="2"/>
  <x:c r="K12226" i="2"/>
  <x:c r="L12226" i="2"/>
  <x:c r="K12227" i="2"/>
  <x:c r="L12227" i="2"/>
  <x:c r="K12228" i="2"/>
  <x:c r="L12228" i="2"/>
  <x:c r="K12229" i="2"/>
  <x:c r="L12229" i="2"/>
  <x:c r="K12230" i="2"/>
  <x:c r="L12230" i="2"/>
  <x:c r="K12231" i="2"/>
  <x:c r="L12231" i="2"/>
  <x:c r="K12232" i="2"/>
  <x:c r="L12232" i="2"/>
  <x:c r="K12233" i="2"/>
  <x:c r="L12233" i="2"/>
  <x:c r="K12234" i="2"/>
  <x:c r="L12234" i="2"/>
  <x:c r="K12235" i="2"/>
  <x:c r="L12235" i="2"/>
  <x:c r="K12236" i="2"/>
  <x:c r="L12236" i="2"/>
  <x:c r="K12237" i="2"/>
  <x:c r="L12237" i="2"/>
  <x:c r="K12238" i="2"/>
  <x:c r="L12238" i="2"/>
  <x:c r="K12239" i="2"/>
  <x:c r="L12239" i="2"/>
  <x:c r="K12240" i="2"/>
  <x:c r="L12240" i="2"/>
  <x:c r="K12241" i="2"/>
  <x:c r="L12241" i="2"/>
  <x:c r="K12242" i="2"/>
  <x:c r="L12242" i="2"/>
  <x:c r="K12243" i="2"/>
  <x:c r="L12243" i="2"/>
  <x:c r="K12244" i="2"/>
  <x:c r="L12244" i="2"/>
  <x:c r="K12245" i="2"/>
  <x:c r="L12245" i="2"/>
  <x:c r="K12246" i="2"/>
  <x:c r="L12246" i="2"/>
  <x:c r="K12247" i="2"/>
  <x:c r="L12247" i="2"/>
  <x:c r="K12248" i="2"/>
  <x:c r="L12248" i="2"/>
  <x:c r="K12249" i="2"/>
  <x:c r="L12249" i="2"/>
  <x:c r="K12250" i="2"/>
  <x:c r="L12250" i="2"/>
  <x:c r="K12251" i="2"/>
  <x:c r="L12251" i="2"/>
  <x:c r="K12252" i="2"/>
  <x:c r="L12252" i="2"/>
  <x:c r="K12253" i="2"/>
  <x:c r="L12253" i="2"/>
  <x:c r="K12254" i="2"/>
  <x:c r="L12254" i="2"/>
  <x:c r="K12255" i="2"/>
  <x:c r="L12255" i="2"/>
  <x:c r="K12256" i="2"/>
  <x:c r="L12256" i="2"/>
  <x:c r="K12257" i="2"/>
  <x:c r="L12257" i="2"/>
  <x:c r="K12258" i="2"/>
  <x:c r="L12258" i="2"/>
  <x:c r="K12259" i="2"/>
  <x:c r="L12259" i="2"/>
  <x:c r="K12260" i="2"/>
  <x:c r="L12260" i="2"/>
  <x:c r="K12261" i="2"/>
  <x:c r="L12261" i="2"/>
  <x:c r="K12262" i="2"/>
  <x:c r="L12262" i="2"/>
  <x:c r="K12263" i="2"/>
  <x:c r="L12263" i="2"/>
  <x:c r="K12264" i="2"/>
  <x:c r="L12264" i="2"/>
  <x:c r="K12265" i="2"/>
  <x:c r="L12265" i="2"/>
  <x:c r="K12266" i="2"/>
  <x:c r="L12266" i="2"/>
  <x:c r="K12267" i="2"/>
  <x:c r="L12267" i="2"/>
  <x:c r="K12268" i="2"/>
  <x:c r="L12268" i="2"/>
  <x:c r="K12269" i="2"/>
  <x:c r="L12269" i="2"/>
  <x:c r="K12270" i="2"/>
  <x:c r="L12270" i="2"/>
  <x:c r="K12271" i="2"/>
  <x:c r="L12271" i="2"/>
  <x:c r="K12272" i="2"/>
  <x:c r="L12272" i="2"/>
  <x:c r="K12273" i="2"/>
  <x:c r="L12273" i="2"/>
  <x:c r="K12274" i="2"/>
  <x:c r="L12274" i="2"/>
  <x:c r="K12275" i="2"/>
  <x:c r="L12275" i="2"/>
  <x:c r="K12276" i="2"/>
  <x:c r="L12276" i="2"/>
  <x:c r="K12277" i="2"/>
  <x:c r="L12277" i="2"/>
  <x:c r="K12278" i="2"/>
  <x:c r="L12278" i="2"/>
  <x:c r="K12279" i="2"/>
  <x:c r="L12279" i="2"/>
  <x:c r="K12280" i="2"/>
  <x:c r="L12280" i="2"/>
  <x:c r="K12281" i="2"/>
  <x:c r="L12281" i="2"/>
  <x:c r="K12282" i="2"/>
  <x:c r="L12282" i="2"/>
  <x:c r="K12283" i="2"/>
  <x:c r="L12283" i="2"/>
  <x:c r="K12284" i="2"/>
  <x:c r="L12284" i="2"/>
  <x:c r="K12285" i="2"/>
  <x:c r="L12285" i="2"/>
  <x:c r="K12286" i="2"/>
  <x:c r="L12286" i="2"/>
  <x:c r="K12287" i="2"/>
  <x:c r="L12287" i="2"/>
  <x:c r="K12288" i="2"/>
  <x:c r="L12288" i="2"/>
  <x:c r="K12289" i="2"/>
  <x:c r="L12289" i="2"/>
  <x:c r="K12290" i="2"/>
  <x:c r="L12290" i="2"/>
  <x:c r="K12291" i="2"/>
  <x:c r="L12291" i="2"/>
  <x:c r="K12292" i="2"/>
  <x:c r="L12292" i="2"/>
  <x:c r="K12293" i="2"/>
  <x:c r="L12293" i="2"/>
  <x:c r="K12294" i="2"/>
  <x:c r="L12294" i="2"/>
  <x:c r="K12295" i="2"/>
  <x:c r="L12295" i="2"/>
  <x:c r="K12296" i="2"/>
  <x:c r="L12296" i="2"/>
  <x:c r="K12297" i="2"/>
  <x:c r="L12297" i="2"/>
  <x:c r="K12298" i="2"/>
  <x:c r="L12298" i="2"/>
  <x:c r="K12299" i="2"/>
  <x:c r="L12299" i="2"/>
  <x:c r="K12300" i="2"/>
  <x:c r="L12300" i="2"/>
  <x:c r="K12301" i="2"/>
  <x:c r="L12301" i="2"/>
  <x:c r="K12302" i="2"/>
  <x:c r="L12302" i="2"/>
  <x:c r="K12303" i="2"/>
  <x:c r="L12303" i="2"/>
  <x:c r="K12304" i="2"/>
  <x:c r="L12304" i="2"/>
  <x:c r="K12305" i="2"/>
  <x:c r="L12305" i="2"/>
  <x:c r="K12306" i="2"/>
  <x:c r="L12306" i="2"/>
  <x:c r="K12307" i="2"/>
  <x:c r="L12307" i="2"/>
  <x:c r="K12308" i="2"/>
  <x:c r="L12308" i="2"/>
  <x:c r="K12309" i="2"/>
  <x:c r="L12309" i="2"/>
  <x:c r="K12310" i="2"/>
  <x:c r="L12310" i="2"/>
  <x:c r="K12311" i="2"/>
  <x:c r="L12311" i="2"/>
  <x:c r="K12312" i="2"/>
  <x:c r="L12312" i="2"/>
  <x:c r="K12313" i="2"/>
  <x:c r="L12313" i="2"/>
  <x:c r="K12314" i="2"/>
  <x:c r="L12314" i="2"/>
  <x:c r="K12315" i="2"/>
  <x:c r="L12315" i="2"/>
  <x:c r="K12316" i="2"/>
  <x:c r="L12316" i="2"/>
  <x:c r="K12317" i="2"/>
  <x:c r="L12317" i="2"/>
  <x:c r="K12318" i="2"/>
  <x:c r="L12318" i="2"/>
  <x:c r="K12319" i="2"/>
  <x:c r="L12319" i="2"/>
  <x:c r="K12320" i="2"/>
  <x:c r="L12320" i="2"/>
  <x:c r="K12321" i="2"/>
  <x:c r="L12321" i="2"/>
  <x:c r="K12322" i="2"/>
  <x:c r="L12322" i="2"/>
  <x:c r="K12323" i="2"/>
  <x:c r="L12323" i="2"/>
  <x:c r="K12324" i="2"/>
  <x:c r="L12324" i="2"/>
  <x:c r="K12325" i="2"/>
  <x:c r="L12325" i="2"/>
  <x:c r="K12326" i="2"/>
  <x:c r="L12326" i="2"/>
  <x:c r="K12327" i="2"/>
  <x:c r="L12327" i="2"/>
  <x:c r="K12328" i="2"/>
  <x:c r="L12328" i="2"/>
  <x:c r="K12329" i="2"/>
  <x:c r="L12329" i="2"/>
  <x:c r="K12330" i="2"/>
  <x:c r="L12330" i="2"/>
  <x:c r="K12331" i="2"/>
  <x:c r="L12331" i="2"/>
  <x:c r="K12332" i="2"/>
  <x:c r="L12332" i="2"/>
  <x:c r="K12333" i="2"/>
  <x:c r="L12333" i="2"/>
  <x:c r="K12334" i="2"/>
  <x:c r="L12334" i="2"/>
  <x:c r="K12335" i="2"/>
  <x:c r="L12335" i="2"/>
  <x:c r="K12336" i="2"/>
  <x:c r="L12336" i="2"/>
  <x:c r="K12337" i="2"/>
  <x:c r="L12337" i="2"/>
  <x:c r="K12338" i="2"/>
  <x:c r="L12338" i="2"/>
  <x:c r="K12339" i="2"/>
  <x:c r="L12339" i="2"/>
  <x:c r="K12340" i="2"/>
  <x:c r="L12340" i="2"/>
  <x:c r="K12341" i="2"/>
  <x:c r="L12341" i="2"/>
  <x:c r="K12342" i="2"/>
  <x:c r="L12342" i="2"/>
  <x:c r="K12343" i="2"/>
  <x:c r="L12343" i="2"/>
  <x:c r="K12344" i="2"/>
  <x:c r="L12344" i="2"/>
  <x:c r="K12345" i="2"/>
  <x:c r="L12345" i="2"/>
  <x:c r="K12346" i="2"/>
  <x:c r="L12346" i="2"/>
  <x:c r="K12347" i="2"/>
  <x:c r="L12347" i="2"/>
  <x:c r="K12348" i="2"/>
  <x:c r="L12348" i="2"/>
  <x:c r="K12349" i="2"/>
  <x:c r="L12349" i="2"/>
  <x:c r="K12350" i="2"/>
  <x:c r="L12350" i="2"/>
  <x:c r="K12351" i="2"/>
  <x:c r="L12351" i="2"/>
  <x:c r="K12352" i="2"/>
  <x:c r="L12352" i="2"/>
  <x:c r="K12353" i="2"/>
  <x:c r="L12353" i="2"/>
  <x:c r="K12354" i="2"/>
  <x:c r="L12354" i="2"/>
  <x:c r="K12355" i="2"/>
  <x:c r="L12355" i="2"/>
  <x:c r="K12356" i="2"/>
  <x:c r="L12356" i="2"/>
  <x:c r="K12357" i="2"/>
  <x:c r="L12357" i="2"/>
  <x:c r="K12358" i="2"/>
  <x:c r="L12358" i="2"/>
  <x:c r="K12359" i="2"/>
  <x:c r="L12359" i="2"/>
  <x:c r="K12360" i="2"/>
  <x:c r="L12360" i="2"/>
  <x:c r="K12361" i="2"/>
  <x:c r="L12361" i="2"/>
  <x:c r="K12362" i="2"/>
  <x:c r="L12362" i="2"/>
  <x:c r="K12363" i="2"/>
  <x:c r="L12363" i="2"/>
  <x:c r="K12364" i="2"/>
  <x:c r="L12364" i="2"/>
  <x:c r="K12365" i="2"/>
  <x:c r="L12365" i="2"/>
  <x:c r="K12366" i="2"/>
  <x:c r="L12366" i="2"/>
  <x:c r="K12367" i="2"/>
  <x:c r="L12367" i="2"/>
  <x:c r="K12368" i="2"/>
  <x:c r="L12368" i="2"/>
  <x:c r="K12369" i="2"/>
  <x:c r="L12369" i="2"/>
  <x:c r="K12370" i="2"/>
  <x:c r="L12370" i="2"/>
  <x:c r="K12371" i="2"/>
  <x:c r="L12371" i="2"/>
  <x:c r="K12372" i="2"/>
  <x:c r="L12372" i="2"/>
  <x:c r="K12373" i="2"/>
  <x:c r="L12373" i="2"/>
  <x:c r="K12374" i="2"/>
  <x:c r="L12374" i="2"/>
  <x:c r="K12375" i="2"/>
  <x:c r="L12375" i="2"/>
  <x:c r="K12376" i="2"/>
  <x:c r="L12376" i="2"/>
  <x:c r="K12377" i="2"/>
  <x:c r="L12377" i="2"/>
  <x:c r="K12378" i="2"/>
  <x:c r="L12378" i="2"/>
  <x:c r="K12379" i="2"/>
  <x:c r="L12379" i="2"/>
  <x:c r="K12380" i="2"/>
  <x:c r="L12380" i="2"/>
  <x:c r="K12381" i="2"/>
  <x:c r="L12381" i="2"/>
  <x:c r="K12382" i="2"/>
  <x:c r="L12382" i="2"/>
  <x:c r="K12383" i="2"/>
  <x:c r="L12383" i="2"/>
  <x:c r="K12384" i="2"/>
  <x:c r="L12384" i="2"/>
  <x:c r="K12385" i="2"/>
  <x:c r="L12385" i="2"/>
  <x:c r="K12386" i="2"/>
  <x:c r="L12386" i="2"/>
  <x:c r="K12387" i="2"/>
  <x:c r="L12387" i="2"/>
  <x:c r="K12388" i="2"/>
  <x:c r="L12388" i="2"/>
  <x:c r="K12389" i="2"/>
  <x:c r="L12389" i="2"/>
  <x:c r="K12390" i="2"/>
  <x:c r="L12390" i="2"/>
  <x:c r="K12391" i="2"/>
  <x:c r="L12391" i="2"/>
  <x:c r="K12392" i="2"/>
  <x:c r="L12392" i="2"/>
  <x:c r="K12393" i="2"/>
  <x:c r="L12393" i="2"/>
  <x:c r="K12394" i="2"/>
  <x:c r="L12394" i="2"/>
  <x:c r="K12395" i="2"/>
  <x:c r="L12395" i="2"/>
  <x:c r="K12396" i="2"/>
  <x:c r="L12396" i="2"/>
  <x:c r="K12397" i="2"/>
  <x:c r="L12397" i="2"/>
  <x:c r="K12398" i="2"/>
  <x:c r="L12398" i="2"/>
  <x:c r="K12399" i="2"/>
  <x:c r="L12399" i="2"/>
  <x:c r="K12400" i="2"/>
  <x:c r="L12400" i="2"/>
  <x:c r="K12401" i="2"/>
  <x:c r="L12401" i="2"/>
  <x:c r="K12402" i="2"/>
  <x:c r="L12402" i="2"/>
  <x:c r="K12403" i="2"/>
  <x:c r="L12403" i="2"/>
  <x:c r="K12404" i="2"/>
  <x:c r="L12404" i="2"/>
  <x:c r="K12405" i="2"/>
  <x:c r="L12405" i="2"/>
  <x:c r="K12406" i="2"/>
  <x:c r="L12406" i="2"/>
  <x:c r="K12407" i="2"/>
  <x:c r="L12407" i="2"/>
  <x:c r="K12408" i="2"/>
  <x:c r="L12408" i="2"/>
  <x:c r="K12409" i="2"/>
  <x:c r="L12409" i="2"/>
  <x:c r="K12410" i="2"/>
  <x:c r="L12410" i="2"/>
  <x:c r="K12411" i="2"/>
  <x:c r="L12411" i="2"/>
  <x:c r="K12412" i="2"/>
  <x:c r="L12412" i="2"/>
  <x:c r="K12413" i="2"/>
  <x:c r="L12413" i="2"/>
  <x:c r="K12414" i="2"/>
  <x:c r="L12414" i="2"/>
  <x:c r="K12415" i="2"/>
  <x:c r="L12415" i="2"/>
  <x:c r="K12416" i="2"/>
  <x:c r="L12416" i="2"/>
  <x:c r="K12417" i="2"/>
  <x:c r="L12417" i="2"/>
  <x:c r="K12418" i="2"/>
  <x:c r="L12418" i="2"/>
  <x:c r="K12419" i="2"/>
  <x:c r="L12419" i="2"/>
  <x:c r="K12420" i="2"/>
  <x:c r="L12420" i="2"/>
  <x:c r="K12421" i="2"/>
  <x:c r="L12421" i="2"/>
  <x:c r="K12422" i="2"/>
  <x:c r="L12422" i="2"/>
  <x:c r="K12423" i="2"/>
  <x:c r="L12423" i="2"/>
  <x:c r="K12424" i="2"/>
  <x:c r="L12424" i="2"/>
  <x:c r="K12425" i="2"/>
  <x:c r="L12425" i="2"/>
  <x:c r="K12426" i="2"/>
  <x:c r="L12426" i="2"/>
  <x:c r="K12427" i="2"/>
  <x:c r="L12427" i="2"/>
  <x:c r="K12428" i="2"/>
  <x:c r="L12428" i="2"/>
  <x:c r="K12429" i="2"/>
  <x:c r="L12429" i="2"/>
  <x:c r="K12430" i="2"/>
  <x:c r="L12430" i="2"/>
  <x:c r="K12431" i="2"/>
  <x:c r="L12431" i="2"/>
  <x:c r="K12432" i="2"/>
  <x:c r="L12432" i="2"/>
  <x:c r="K12433" i="2"/>
  <x:c r="L12433" i="2"/>
  <x:c r="K12434" i="2"/>
  <x:c r="L12434" i="2"/>
  <x:c r="K12435" i="2"/>
  <x:c r="L12435" i="2"/>
  <x:c r="K12436" i="2"/>
  <x:c r="L12436" i="2"/>
  <x:c r="K12437" i="2"/>
  <x:c r="L12437" i="2"/>
  <x:c r="K12438" i="2"/>
  <x:c r="L12438" i="2"/>
  <x:c r="K12439" i="2"/>
  <x:c r="L12439" i="2"/>
  <x:c r="K12440" i="2"/>
  <x:c r="L12440" i="2"/>
  <x:c r="K12441" i="2"/>
  <x:c r="L12441" i="2"/>
  <x:c r="K12442" i="2"/>
  <x:c r="L12442" i="2"/>
  <x:c r="K12443" i="2"/>
  <x:c r="L12443" i="2"/>
  <x:c r="K12444" i="2"/>
  <x:c r="L12444" i="2"/>
  <x:c r="K12445" i="2"/>
  <x:c r="L12445" i="2"/>
  <x:c r="K12446" i="2"/>
  <x:c r="L12446" i="2"/>
  <x:c r="K12447" i="2"/>
  <x:c r="L12447" i="2"/>
  <x:c r="K12448" i="2"/>
  <x:c r="L12448" i="2"/>
  <x:c r="K12449" i="2"/>
  <x:c r="L12449" i="2"/>
  <x:c r="K12450" i="2"/>
  <x:c r="L12450" i="2"/>
  <x:c r="K12451" i="2"/>
  <x:c r="L12451" i="2"/>
  <x:c r="K12452" i="2"/>
  <x:c r="L12452" i="2"/>
  <x:c r="K12453" i="2"/>
  <x:c r="L12453" i="2"/>
  <x:c r="K12454" i="2"/>
  <x:c r="L12454" i="2"/>
  <x:c r="K12455" i="2"/>
  <x:c r="L12455" i="2"/>
  <x:c r="K12456" i="2"/>
  <x:c r="L12456" i="2"/>
  <x:c r="K12457" i="2"/>
  <x:c r="L12457" i="2"/>
  <x:c r="K12458" i="2"/>
  <x:c r="L12458" i="2"/>
  <x:c r="K12459" i="2"/>
  <x:c r="L12459" i="2"/>
  <x:c r="K12460" i="2"/>
  <x:c r="L12460" i="2"/>
  <x:c r="K12461" i="2"/>
  <x:c r="L12461" i="2"/>
  <x:c r="K12462" i="2"/>
  <x:c r="L12462" i="2"/>
  <x:c r="K12463" i="2"/>
  <x:c r="L12463" i="2"/>
  <x:c r="K12464" i="2"/>
  <x:c r="L12464" i="2"/>
  <x:c r="K12465" i="2"/>
  <x:c r="L12465" i="2"/>
  <x:c r="K12466" i="2"/>
  <x:c r="L12466" i="2"/>
  <x:c r="K12467" i="2"/>
  <x:c r="L12467" i="2"/>
  <x:c r="K12468" i="2"/>
  <x:c r="L12468" i="2"/>
  <x:c r="K12469" i="2"/>
  <x:c r="L12469" i="2"/>
  <x:c r="K12470" i="2"/>
  <x:c r="L12470" i="2"/>
  <x:c r="K12471" i="2"/>
  <x:c r="L12471" i="2"/>
  <x:c r="K12472" i="2"/>
  <x:c r="L12472" i="2"/>
  <x:c r="K12473" i="2"/>
  <x:c r="L12473" i="2"/>
  <x:c r="K12474" i="2"/>
  <x:c r="L12474" i="2"/>
  <x:c r="K12475" i="2"/>
  <x:c r="L12475" i="2"/>
  <x:c r="K12476" i="2"/>
  <x:c r="L12476" i="2"/>
  <x:c r="K12477" i="2"/>
  <x:c r="L12477" i="2"/>
  <x:c r="K12478" i="2"/>
  <x:c r="L12478" i="2"/>
  <x:c r="K12479" i="2"/>
  <x:c r="L12479" i="2"/>
  <x:c r="K12480" i="2"/>
  <x:c r="L12480" i="2"/>
  <x:c r="K12481" i="2"/>
  <x:c r="L12481" i="2"/>
  <x:c r="K12482" i="2"/>
  <x:c r="L12482" i="2"/>
  <x:c r="K12483" i="2"/>
  <x:c r="L12483" i="2"/>
  <x:c r="K12484" i="2"/>
  <x:c r="L12484" i="2"/>
  <x:c r="K12485" i="2"/>
  <x:c r="L12485" i="2"/>
  <x:c r="K12486" i="2"/>
  <x:c r="L12486" i="2"/>
  <x:c r="K12487" i="2"/>
  <x:c r="L12487" i="2"/>
  <x:c r="K12488" i="2"/>
  <x:c r="L12488" i="2"/>
  <x:c r="K12489" i="2"/>
  <x:c r="L12489" i="2"/>
  <x:c r="K12490" i="2"/>
  <x:c r="L12490" i="2"/>
  <x:c r="K12491" i="2"/>
  <x:c r="L12491" i="2"/>
  <x:c r="K12492" i="2"/>
  <x:c r="L12492" i="2"/>
  <x:c r="K12493" i="2"/>
  <x:c r="L12493" i="2"/>
  <x:c r="K12494" i="2"/>
  <x:c r="L12494" i="2"/>
  <x:c r="K12495" i="2"/>
  <x:c r="L12495" i="2"/>
  <x:c r="K12496" i="2"/>
  <x:c r="L12496" i="2"/>
  <x:c r="K12497" i="2"/>
  <x:c r="L12497" i="2"/>
  <x:c r="K12498" i="2"/>
  <x:c r="L12498" i="2"/>
  <x:c r="K12499" i="2"/>
  <x:c r="L12499" i="2"/>
  <x:c r="K12500" i="2"/>
  <x:c r="L12500" i="2"/>
  <x:c r="K12501" i="2"/>
  <x:c r="L12501" i="2"/>
  <x:c r="K12502" i="2"/>
  <x:c r="L12502" i="2"/>
  <x:c r="K12503" i="2"/>
  <x:c r="L12503" i="2"/>
  <x:c r="K12504" i="2"/>
  <x:c r="L12504" i="2"/>
  <x:c r="K12505" i="2"/>
  <x:c r="L12505" i="2"/>
  <x:c r="K12506" i="2"/>
  <x:c r="L12506" i="2"/>
  <x:c r="K12507" i="2"/>
  <x:c r="L12507" i="2"/>
  <x:c r="K12508" i="2"/>
  <x:c r="L12508" i="2"/>
  <x:c r="K12509" i="2"/>
  <x:c r="L12509" i="2"/>
  <x:c r="K12510" i="2"/>
  <x:c r="L12510" i="2"/>
  <x:c r="K12511" i="2"/>
  <x:c r="L12511" i="2"/>
  <x:c r="K12512" i="2"/>
  <x:c r="L12512" i="2"/>
  <x:c r="K12513" i="2"/>
  <x:c r="L12513" i="2"/>
  <x:c r="K12514" i="2"/>
  <x:c r="L12514" i="2"/>
  <x:c r="K12515" i="2"/>
  <x:c r="L12515" i="2"/>
  <x:c r="K12516" i="2"/>
  <x:c r="L12516" i="2"/>
  <x:c r="K12517" i="2"/>
  <x:c r="L12517" i="2"/>
  <x:c r="K12518" i="2"/>
  <x:c r="L12518" i="2"/>
  <x:c r="K12519" i="2"/>
  <x:c r="L12519" i="2"/>
  <x:c r="K12520" i="2"/>
  <x:c r="L12520" i="2"/>
  <x:c r="K12521" i="2"/>
  <x:c r="L12521" i="2"/>
  <x:c r="K12522" i="2"/>
  <x:c r="L12522" i="2"/>
  <x:c r="K12523" i="2"/>
  <x:c r="L12523" i="2"/>
  <x:c r="K12524" i="2"/>
  <x:c r="L12524" i="2"/>
  <x:c r="K12525" i="2"/>
  <x:c r="L12525" i="2"/>
  <x:c r="K12526" i="2"/>
  <x:c r="L12526" i="2"/>
  <x:c r="K12527" i="2"/>
  <x:c r="L12527" i="2"/>
  <x:c r="K12528" i="2"/>
  <x:c r="L12528" i="2"/>
  <x:c r="K12529" i="2"/>
  <x:c r="L12529" i="2"/>
  <x:c r="K12530" i="2"/>
  <x:c r="L12530" i="2"/>
  <x:c r="K12531" i="2"/>
  <x:c r="L12531" i="2"/>
  <x:c r="K12532" i="2"/>
  <x:c r="L12532" i="2"/>
  <x:c r="K12533" i="2"/>
  <x:c r="L12533" i="2"/>
  <x:c r="K12534" i="2"/>
  <x:c r="L12534" i="2"/>
  <x:c r="K12535" i="2"/>
  <x:c r="L12535" i="2"/>
  <x:c r="K12536" i="2"/>
  <x:c r="L12536" i="2"/>
  <x:c r="K12537" i="2"/>
  <x:c r="L12537" i="2"/>
  <x:c r="K12538" i="2"/>
  <x:c r="L12538" i="2"/>
  <x:c r="K12539" i="2"/>
  <x:c r="L12539" i="2"/>
  <x:c r="K12540" i="2"/>
  <x:c r="L12540" i="2"/>
  <x:c r="K12541" i="2"/>
  <x:c r="L12541" i="2"/>
  <x:c r="K12542" i="2"/>
  <x:c r="L12542" i="2"/>
  <x:c r="K12543" i="2"/>
  <x:c r="L12543" i="2"/>
  <x:c r="K12544" i="2"/>
  <x:c r="L12544" i="2"/>
  <x:c r="K12545" i="2"/>
  <x:c r="L12545" i="2"/>
  <x:c r="K12546" i="2"/>
  <x:c r="L12546" i="2"/>
  <x:c r="K12547" i="2"/>
  <x:c r="L12547" i="2"/>
  <x:c r="K12548" i="2"/>
  <x:c r="L12548" i="2"/>
  <x:c r="K12549" i="2"/>
  <x:c r="L12549" i="2"/>
  <x:c r="K12550" i="2"/>
  <x:c r="L12550" i="2"/>
  <x:c r="K12551" i="2"/>
  <x:c r="L12551" i="2"/>
  <x:c r="K12552" i="2"/>
  <x:c r="L12552" i="2"/>
  <x:c r="K12553" i="2"/>
  <x:c r="L12553" i="2"/>
  <x:c r="K12554" i="2"/>
  <x:c r="L12554" i="2"/>
  <x:c r="K12555" i="2"/>
  <x:c r="L12555" i="2"/>
  <x:c r="K12556" i="2"/>
  <x:c r="L12556" i="2"/>
  <x:c r="K12557" i="2"/>
  <x:c r="L12557" i="2"/>
  <x:c r="K12558" i="2"/>
  <x:c r="L12558" i="2"/>
  <x:c r="K12559" i="2"/>
  <x:c r="L12559" i="2"/>
  <x:c r="K12560" i="2"/>
  <x:c r="L12560" i="2"/>
  <x:c r="K12561" i="2"/>
  <x:c r="L12561" i="2"/>
  <x:c r="K12562" i="2"/>
  <x:c r="L12562" i="2"/>
  <x:c r="K12563" i="2"/>
  <x:c r="L12563" i="2"/>
  <x:c r="K12564" i="2"/>
  <x:c r="L12564" i="2"/>
  <x:c r="K12565" i="2"/>
  <x:c r="L12565" i="2"/>
  <x:c r="K12566" i="2"/>
  <x:c r="L12566" i="2"/>
  <x:c r="K12567" i="2"/>
  <x:c r="L12567" i="2"/>
  <x:c r="K12568" i="2"/>
  <x:c r="L12568" i="2"/>
  <x:c r="K12569" i="2"/>
  <x:c r="L12569" i="2"/>
  <x:c r="K12570" i="2"/>
  <x:c r="L12570" i="2"/>
  <x:c r="K12571" i="2"/>
  <x:c r="L12571" i="2"/>
  <x:c r="K12572" i="2"/>
  <x:c r="L12572" i="2"/>
  <x:c r="K12573" i="2"/>
  <x:c r="L12573" i="2"/>
  <x:c r="K12574" i="2"/>
  <x:c r="L12574" i="2"/>
  <x:c r="K12575" i="2"/>
  <x:c r="L12575" i="2"/>
  <x:c r="K12576" i="2"/>
  <x:c r="L12576" i="2"/>
  <x:c r="K12577" i="2"/>
  <x:c r="L12577" i="2"/>
  <x:c r="K12578" i="2"/>
  <x:c r="L12578" i="2"/>
  <x:c r="K12579" i="2"/>
  <x:c r="L12579" i="2"/>
  <x:c r="K12580" i="2"/>
  <x:c r="L12580" i="2"/>
  <x:c r="K12581" i="2"/>
  <x:c r="L12581" i="2"/>
  <x:c r="K12582" i="2"/>
  <x:c r="L12582" i="2"/>
  <x:c r="K12583" i="2"/>
  <x:c r="L12583" i="2"/>
  <x:c r="K12584" i="2"/>
  <x:c r="L12584" i="2"/>
  <x:c r="K12585" i="2"/>
  <x:c r="L12585" i="2"/>
  <x:c r="K12586" i="2"/>
  <x:c r="L12586" i="2"/>
  <x:c r="K12587" i="2"/>
  <x:c r="L12587" i="2"/>
  <x:c r="K12588" i="2"/>
  <x:c r="L12588" i="2"/>
  <x:c r="K12589" i="2"/>
  <x:c r="L12589" i="2"/>
  <x:c r="K12590" i="2"/>
  <x:c r="L12590" i="2"/>
  <x:c r="K12591" i="2"/>
  <x:c r="L12591" i="2"/>
  <x:c r="K12592" i="2"/>
  <x:c r="L12592" i="2"/>
  <x:c r="K12593" i="2"/>
  <x:c r="L12593" i="2"/>
  <x:c r="K12594" i="2"/>
  <x:c r="L12594" i="2"/>
  <x:c r="K12595" i="2"/>
  <x:c r="L12595" i="2"/>
  <x:c r="K12596" i="2"/>
  <x:c r="L12596" i="2"/>
  <x:c r="K12597" i="2"/>
  <x:c r="L12597" i="2"/>
  <x:c r="K12598" i="2"/>
  <x:c r="L12598" i="2"/>
  <x:c r="K12599" i="2"/>
  <x:c r="L12599" i="2"/>
  <x:c r="K12600" i="2"/>
  <x:c r="L12600" i="2"/>
  <x:c r="K12601" i="2"/>
  <x:c r="L12601" i="2"/>
  <x:c r="K12602" i="2"/>
  <x:c r="L12602" i="2"/>
  <x:c r="K12603" i="2"/>
  <x:c r="L12603" i="2"/>
  <x:c r="K12604" i="2"/>
  <x:c r="L12604" i="2"/>
  <x:c r="K12605" i="2"/>
  <x:c r="L12605" i="2"/>
  <x:c r="K12606" i="2"/>
  <x:c r="L12606" i="2"/>
  <x:c r="K12607" i="2"/>
  <x:c r="L12607" i="2"/>
  <x:c r="K12608" i="2"/>
  <x:c r="L12608" i="2"/>
  <x:c r="K12609" i="2"/>
  <x:c r="L12609" i="2"/>
  <x:c r="K12610" i="2"/>
  <x:c r="L12610" i="2"/>
  <x:c r="K12611" i="2"/>
  <x:c r="L12611" i="2"/>
  <x:c r="K12612" i="2"/>
  <x:c r="L12612" i="2"/>
  <x:c r="K12613" i="2"/>
  <x:c r="L12613" i="2"/>
  <x:c r="K12614" i="2"/>
  <x:c r="L12614" i="2"/>
  <x:c r="K12615" i="2"/>
  <x:c r="L12615" i="2"/>
  <x:c r="K12616" i="2"/>
  <x:c r="L12616" i="2"/>
  <x:c r="K12617" i="2"/>
  <x:c r="L12617" i="2"/>
  <x:c r="K12618" i="2"/>
  <x:c r="L12618" i="2"/>
  <x:c r="K12619" i="2"/>
  <x:c r="L12619" i="2"/>
  <x:c r="K12620" i="2"/>
  <x:c r="L12620" i="2"/>
  <x:c r="K12621" i="2"/>
  <x:c r="L12621" i="2"/>
  <x:c r="K12622" i="2"/>
  <x:c r="L12622" i="2"/>
  <x:c r="K12623" i="2"/>
  <x:c r="L12623" i="2"/>
  <x:c r="K12624" i="2"/>
  <x:c r="L12624" i="2"/>
  <x:c r="K12625" i="2"/>
  <x:c r="L12625" i="2"/>
  <x:c r="K12626" i="2"/>
  <x:c r="L12626" i="2"/>
  <x:c r="K12627" i="2"/>
  <x:c r="L12627" i="2"/>
  <x:c r="K12628" i="2"/>
  <x:c r="L12628" i="2"/>
  <x:c r="K12629" i="2"/>
  <x:c r="L12629" i="2"/>
  <x:c r="K12630" i="2"/>
  <x:c r="L12630" i="2"/>
  <x:c r="K12631" i="2"/>
  <x:c r="L12631" i="2"/>
  <x:c r="K12632" i="2"/>
  <x:c r="L12632" i="2"/>
  <x:c r="K12633" i="2"/>
  <x:c r="L12633" i="2"/>
  <x:c r="K12634" i="2"/>
  <x:c r="L12634" i="2"/>
  <x:c r="K12635" i="2"/>
  <x:c r="L12635" i="2"/>
  <x:c r="K12636" i="2"/>
  <x:c r="L12636" i="2"/>
  <x:c r="K12637" i="2"/>
  <x:c r="L12637" i="2"/>
  <x:c r="K12638" i="2"/>
  <x:c r="L12638" i="2"/>
  <x:c r="K12639" i="2"/>
  <x:c r="L12639" i="2"/>
  <x:c r="K12640" i="2"/>
  <x:c r="L12640" i="2"/>
  <x:c r="K12641" i="2"/>
  <x:c r="L12641" i="2"/>
  <x:c r="K12642" i="2"/>
  <x:c r="L12642" i="2"/>
  <x:c r="K12643" i="2"/>
  <x:c r="L12643" i="2"/>
  <x:c r="K12644" i="2"/>
  <x:c r="L12644" i="2"/>
  <x:c r="K12645" i="2"/>
  <x:c r="L12645" i="2"/>
  <x:c r="K12646" i="2"/>
  <x:c r="L12646" i="2"/>
  <x:c r="K12647" i="2"/>
  <x:c r="L12647" i="2"/>
  <x:c r="K12648" i="2"/>
  <x:c r="L12648" i="2"/>
  <x:c r="K12649" i="2"/>
  <x:c r="L12649" i="2"/>
  <x:c r="K12650" i="2"/>
  <x:c r="L12650" i="2"/>
  <x:c r="K12651" i="2"/>
  <x:c r="L12651" i="2"/>
  <x:c r="K12652" i="2"/>
  <x:c r="L12652" i="2"/>
  <x:c r="K12653" i="2"/>
  <x:c r="L12653" i="2"/>
  <x:c r="K12654" i="2"/>
  <x:c r="L12654" i="2"/>
  <x:c r="K12655" i="2"/>
  <x:c r="L12655" i="2"/>
  <x:c r="K12656" i="2"/>
  <x:c r="L12656" i="2"/>
  <x:c r="K12657" i="2"/>
  <x:c r="L12657" i="2"/>
  <x:c r="K12658" i="2"/>
  <x:c r="L12658" i="2"/>
  <x:c r="K12659" i="2"/>
  <x:c r="L12659" i="2"/>
  <x:c r="K12660" i="2"/>
  <x:c r="L12660" i="2"/>
  <x:c r="K12661" i="2"/>
  <x:c r="L12661" i="2"/>
  <x:c r="K12662" i="2"/>
  <x:c r="L12662" i="2"/>
  <x:c r="K12663" i="2"/>
  <x:c r="L12663" i="2"/>
  <x:c r="K12664" i="2"/>
  <x:c r="L12664" i="2"/>
  <x:c r="K12665" i="2"/>
  <x:c r="L12665" i="2"/>
  <x:c r="K12666" i="2"/>
  <x:c r="L12666" i="2"/>
  <x:c r="K12667" i="2"/>
  <x:c r="L12667" i="2"/>
  <x:c r="K12668" i="2"/>
  <x:c r="L12668" i="2"/>
  <x:c r="K12669" i="2"/>
  <x:c r="L12669" i="2"/>
  <x:c r="K12670" i="2"/>
  <x:c r="L12670" i="2"/>
  <x:c r="K12671" i="2"/>
  <x:c r="L12671" i="2"/>
  <x:c r="K12672" i="2"/>
  <x:c r="L12672" i="2"/>
  <x:c r="K12673" i="2"/>
  <x:c r="L12673" i="2"/>
  <x:c r="K12674" i="2"/>
  <x:c r="L12674" i="2"/>
  <x:c r="K12675" i="2"/>
  <x:c r="L12675" i="2"/>
  <x:c r="K12676" i="2"/>
  <x:c r="L12676" i="2"/>
  <x:c r="K12677" i="2"/>
  <x:c r="L12677" i="2"/>
  <x:c r="K12678" i="2"/>
  <x:c r="L12678" i="2"/>
  <x:c r="K12679" i="2"/>
  <x:c r="L12679" i="2"/>
  <x:c r="K12680" i="2"/>
  <x:c r="L12680" i="2"/>
  <x:c r="K12681" i="2"/>
  <x:c r="L12681" i="2"/>
  <x:c r="K12682" i="2"/>
  <x:c r="L12682" i="2"/>
  <x:c r="K12683" i="2"/>
  <x:c r="L12683" i="2"/>
  <x:c r="K12684" i="2"/>
  <x:c r="L12684" i="2"/>
  <x:c r="K12685" i="2"/>
  <x:c r="L12685" i="2"/>
  <x:c r="K12686" i="2"/>
  <x:c r="L12686" i="2"/>
  <x:c r="K12687" i="2"/>
  <x:c r="L12687" i="2"/>
  <x:c r="K12688" i="2"/>
  <x:c r="L12688" i="2"/>
  <x:c r="K12689" i="2"/>
  <x:c r="L12689" i="2"/>
  <x:c r="K12690" i="2"/>
  <x:c r="L12690" i="2"/>
  <x:c r="K12691" i="2"/>
  <x:c r="L12691" i="2"/>
  <x:c r="K12692" i="2"/>
  <x:c r="L12692" i="2"/>
  <x:c r="K12693" i="2"/>
  <x:c r="L12693" i="2"/>
  <x:c r="K12694" i="2"/>
  <x:c r="L12694" i="2"/>
  <x:c r="K12695" i="2"/>
  <x:c r="L12695" i="2"/>
  <x:c r="K12696" i="2"/>
  <x:c r="L12696" i="2"/>
  <x:c r="K12697" i="2"/>
  <x:c r="L12697" i="2"/>
  <x:c r="K12698" i="2"/>
  <x:c r="L12698" i="2"/>
  <x:c r="K12699" i="2"/>
  <x:c r="L12699" i="2"/>
  <x:c r="K12700" i="2"/>
  <x:c r="L12700" i="2"/>
  <x:c r="K12701" i="2"/>
  <x:c r="L12701" i="2"/>
  <x:c r="K12702" i="2"/>
  <x:c r="L12702" i="2"/>
  <x:c r="K12703" i="2"/>
  <x:c r="L12703" i="2"/>
  <x:c r="K12704" i="2"/>
  <x:c r="L12704" i="2"/>
  <x:c r="K12705" i="2"/>
  <x:c r="L12705" i="2"/>
  <x:c r="K12706" i="2"/>
  <x:c r="L12706" i="2"/>
  <x:c r="K12707" i="2"/>
  <x:c r="L12707" i="2"/>
  <x:c r="K12708" i="2"/>
  <x:c r="L12708" i="2"/>
  <x:c r="K12709" i="2"/>
  <x:c r="L12709" i="2"/>
  <x:c r="K12710" i="2"/>
  <x:c r="L12710" i="2"/>
  <x:c r="K12711" i="2"/>
  <x:c r="L12711" i="2"/>
  <x:c r="K12712" i="2"/>
  <x:c r="L12712" i="2"/>
  <x:c r="K12713" i="2"/>
  <x:c r="L12713" i="2"/>
  <x:c r="K12714" i="2"/>
  <x:c r="L12714" i="2"/>
  <x:c r="K12715" i="2"/>
  <x:c r="L12715" i="2"/>
  <x:c r="K12716" i="2"/>
  <x:c r="L12716" i="2"/>
  <x:c r="K12717" i="2"/>
  <x:c r="L12717" i="2"/>
  <x:c r="K12718" i="2"/>
  <x:c r="L12718" i="2"/>
  <x:c r="K12719" i="2"/>
  <x:c r="L12719" i="2"/>
  <x:c r="K12720" i="2"/>
  <x:c r="L12720" i="2"/>
  <x:c r="K12721" i="2"/>
  <x:c r="L12721" i="2"/>
  <x:c r="K12722" i="2"/>
  <x:c r="L12722" i="2"/>
  <x:c r="K12723" i="2"/>
  <x:c r="L12723" i="2"/>
  <x:c r="K12724" i="2"/>
  <x:c r="L12724" i="2"/>
  <x:c r="K12725" i="2"/>
  <x:c r="L12725" i="2"/>
  <x:c r="K12726" i="2"/>
  <x:c r="L12726" i="2"/>
  <x:c r="K12727" i="2"/>
  <x:c r="L12727" i="2"/>
  <x:c r="K12728" i="2"/>
  <x:c r="L12728" i="2"/>
  <x:c r="K12729" i="2"/>
  <x:c r="L12729" i="2"/>
  <x:c r="K12730" i="2"/>
  <x:c r="L12730" i="2"/>
  <x:c r="K12731" i="2"/>
  <x:c r="L12731" i="2"/>
  <x:c r="K12732" i="2"/>
  <x:c r="L12732" i="2"/>
  <x:c r="K12733" i="2"/>
  <x:c r="L12733" i="2"/>
  <x:c r="K12734" i="2"/>
  <x:c r="L12734" i="2"/>
  <x:c r="K12735" i="2"/>
  <x:c r="L12735" i="2"/>
  <x:c r="K12736" i="2"/>
  <x:c r="L12736" i="2"/>
  <x:c r="K12737" i="2"/>
  <x:c r="L12737" i="2"/>
  <x:c r="K12738" i="2"/>
  <x:c r="L12738" i="2"/>
  <x:c r="K12739" i="2"/>
  <x:c r="L12739" i="2"/>
  <x:c r="K12740" i="2"/>
  <x:c r="L12740" i="2"/>
  <x:c r="K12741" i="2"/>
  <x:c r="L12741" i="2"/>
  <x:c r="K12742" i="2"/>
  <x:c r="L12742" i="2"/>
  <x:c r="K12743" i="2"/>
  <x:c r="L12743" i="2"/>
  <x:c r="K12744" i="2"/>
  <x:c r="L12744" i="2"/>
  <x:c r="K12745" i="2"/>
  <x:c r="L12745" i="2"/>
  <x:c r="K12746" i="2"/>
  <x:c r="L12746" i="2"/>
  <x:c r="K12747" i="2"/>
  <x:c r="L12747" i="2"/>
  <x:c r="K12748" i="2"/>
  <x:c r="L12748" i="2"/>
  <x:c r="K12749" i="2"/>
  <x:c r="L12749" i="2"/>
  <x:c r="K12750" i="2"/>
  <x:c r="L12750" i="2"/>
  <x:c r="K12751" i="2"/>
  <x:c r="L12751" i="2"/>
  <x:c r="K12752" i="2"/>
  <x:c r="L12752" i="2"/>
  <x:c r="K12753" i="2"/>
  <x:c r="L12753" i="2"/>
  <x:c r="K12754" i="2"/>
  <x:c r="L12754" i="2"/>
  <x:c r="K12755" i="2"/>
  <x:c r="L12755" i="2"/>
  <x:c r="K12756" i="2"/>
  <x:c r="L12756" i="2"/>
  <x:c r="K12757" i="2"/>
  <x:c r="L12757" i="2"/>
  <x:c r="K12758" i="2"/>
  <x:c r="L12758" i="2"/>
  <x:c r="K12759" i="2"/>
  <x:c r="L12759" i="2"/>
  <x:c r="K12760" i="2"/>
  <x:c r="L12760" i="2"/>
  <x:c r="K12761" i="2"/>
  <x:c r="L12761" i="2"/>
  <x:c r="K12762" i="2"/>
  <x:c r="L12762" i="2"/>
  <x:c r="K12763" i="2"/>
  <x:c r="L12763" i="2"/>
  <x:c r="K12764" i="2"/>
  <x:c r="L12764" i="2"/>
  <x:c r="K12765" i="2"/>
  <x:c r="L12765" i="2"/>
  <x:c r="K12766" i="2"/>
  <x:c r="L12766" i="2"/>
  <x:c r="K12767" i="2"/>
  <x:c r="L12767" i="2"/>
  <x:c r="K12768" i="2"/>
  <x:c r="L12768" i="2"/>
  <x:c r="K12769" i="2"/>
  <x:c r="L12769" i="2"/>
  <x:c r="K12770" i="2"/>
  <x:c r="L12770" i="2"/>
  <x:c r="K12771" i="2"/>
  <x:c r="L12771" i="2"/>
  <x:c r="K12772" i="2"/>
  <x:c r="L12772" i="2"/>
  <x:c r="K12773" i="2"/>
  <x:c r="L12773" i="2"/>
  <x:c r="K12774" i="2"/>
  <x:c r="L12774" i="2"/>
  <x:c r="K12775" i="2"/>
  <x:c r="L12775" i="2"/>
  <x:c r="K12776" i="2"/>
  <x:c r="L12776" i="2"/>
  <x:c r="K12777" i="2"/>
  <x:c r="L12777" i="2"/>
  <x:c r="K12778" i="2"/>
  <x:c r="L12778" i="2"/>
  <x:c r="K12779" i="2"/>
  <x:c r="L12779" i="2"/>
  <x:c r="K12780" i="2"/>
  <x:c r="L12780" i="2"/>
  <x:c r="K12781" i="2"/>
  <x:c r="L12781" i="2"/>
  <x:c r="K12782" i="2"/>
  <x:c r="L12782" i="2"/>
  <x:c r="K12783" i="2"/>
  <x:c r="L12783" i="2"/>
  <x:c r="K12784" i="2"/>
  <x:c r="L12784" i="2"/>
  <x:c r="K12785" i="2"/>
  <x:c r="L12785" i="2"/>
  <x:c r="K12786" i="2"/>
  <x:c r="L12786" i="2"/>
  <x:c r="K12787" i="2"/>
  <x:c r="L12787" i="2"/>
  <x:c r="K12788" i="2"/>
  <x:c r="L12788" i="2"/>
  <x:c r="K12789" i="2"/>
  <x:c r="L12789" i="2"/>
  <x:c r="K12790" i="2"/>
  <x:c r="L12790" i="2"/>
  <x:c r="K12791" i="2"/>
  <x:c r="L12791" i="2"/>
  <x:c r="K12792" i="2"/>
  <x:c r="L12792" i="2"/>
  <x:c r="K12793" i="2"/>
  <x:c r="L12793" i="2"/>
  <x:c r="K12794" i="2"/>
  <x:c r="L12794" i="2"/>
  <x:c r="K12795" i="2"/>
  <x:c r="L12795" i="2"/>
  <x:c r="K12796" i="2"/>
  <x:c r="L12796" i="2"/>
  <x:c r="K12797" i="2"/>
  <x:c r="L12797" i="2"/>
  <x:c r="K12798" i="2"/>
  <x:c r="L12798" i="2"/>
  <x:c r="K12799" i="2"/>
  <x:c r="L12799" i="2"/>
  <x:c r="K12800" i="2"/>
  <x:c r="L12800" i="2"/>
  <x:c r="K12801" i="2"/>
  <x:c r="L12801" i="2"/>
  <x:c r="K12802" i="2"/>
  <x:c r="L12802" i="2"/>
  <x:c r="K12803" i="2"/>
  <x:c r="L12803" i="2"/>
  <x:c r="K12804" i="2"/>
  <x:c r="L12804" i="2"/>
  <x:c r="K12805" i="2"/>
  <x:c r="L12805" i="2"/>
  <x:c r="K12806" i="2"/>
  <x:c r="L12806" i="2"/>
  <x:c r="K12807" i="2"/>
  <x:c r="L12807" i="2"/>
  <x:c r="K12808" i="2"/>
  <x:c r="L12808" i="2"/>
  <x:c r="K12809" i="2"/>
  <x:c r="L12809" i="2"/>
  <x:c r="K12810" i="2"/>
  <x:c r="L12810" i="2"/>
  <x:c r="K12811" i="2"/>
  <x:c r="L12811" i="2"/>
  <x:c r="K12812" i="2"/>
  <x:c r="L12812" i="2"/>
  <x:c r="K12813" i="2"/>
  <x:c r="L12813" i="2"/>
  <x:c r="K12814" i="2"/>
  <x:c r="L12814" i="2"/>
  <x:c r="K12815" i="2"/>
  <x:c r="L12815" i="2"/>
  <x:c r="K12816" i="2"/>
  <x:c r="L12816" i="2"/>
  <x:c r="K12817" i="2"/>
  <x:c r="L12817" i="2"/>
  <x:c r="K12818" i="2"/>
  <x:c r="L12818" i="2"/>
  <x:c r="K12819" i="2"/>
  <x:c r="L12819" i="2"/>
  <x:c r="K12820" i="2"/>
  <x:c r="L12820" i="2"/>
  <x:c r="K12821" i="2"/>
  <x:c r="L12821" i="2"/>
  <x:c r="K12822" i="2"/>
  <x:c r="L12822" i="2"/>
  <x:c r="K12823" i="2"/>
  <x:c r="L12823" i="2"/>
  <x:c r="K12824" i="2"/>
  <x:c r="L12824" i="2"/>
  <x:c r="K12825" i="2"/>
  <x:c r="L12825" i="2"/>
  <x:c r="K12826" i="2"/>
  <x:c r="L12826" i="2"/>
  <x:c r="K12827" i="2"/>
  <x:c r="L12827" i="2"/>
  <x:c r="K12828" i="2"/>
  <x:c r="L12828" i="2"/>
  <x:c r="K12829" i="2"/>
  <x:c r="L12829" i="2"/>
  <x:c r="K12830" i="2"/>
  <x:c r="L12830" i="2"/>
  <x:c r="K12831" i="2"/>
  <x:c r="L12831" i="2"/>
  <x:c r="K12832" i="2"/>
  <x:c r="L12832" i="2"/>
  <x:c r="K12833" i="2"/>
  <x:c r="L12833" i="2"/>
  <x:c r="K12834" i="2"/>
  <x:c r="L12834" i="2"/>
  <x:c r="K12835" i="2"/>
  <x:c r="L12835" i="2"/>
  <x:c r="K12836" i="2"/>
  <x:c r="L12836" i="2"/>
  <x:c r="K12837" i="2"/>
  <x:c r="L12837" i="2"/>
  <x:c r="K12838" i="2"/>
  <x:c r="L12838" i="2"/>
  <x:c r="K12839" i="2"/>
  <x:c r="L12839" i="2"/>
  <x:c r="K12840" i="2"/>
  <x:c r="L12840" i="2"/>
  <x:c r="K12841" i="2"/>
  <x:c r="L12841" i="2"/>
  <x:c r="K12842" i="2"/>
  <x:c r="L12842" i="2"/>
  <x:c r="K12843" i="2"/>
  <x:c r="L12843" i="2"/>
  <x:c r="K12844" i="2"/>
  <x:c r="L12844" i="2"/>
  <x:c r="K12845" i="2"/>
  <x:c r="L12845" i="2"/>
  <x:c r="K12846" i="2"/>
  <x:c r="L12846" i="2"/>
  <x:c r="K12847" i="2"/>
  <x:c r="L12847" i="2"/>
  <x:c r="K12848" i="2"/>
  <x:c r="L12848" i="2"/>
  <x:c r="K12849" i="2"/>
  <x:c r="L12849" i="2"/>
  <x:c r="K12850" i="2"/>
  <x:c r="L12850" i="2"/>
  <x:c r="K12851" i="2"/>
  <x:c r="L12851" i="2"/>
  <x:c r="K12852" i="2"/>
  <x:c r="L12852" i="2"/>
  <x:c r="K12853" i="2"/>
  <x:c r="L12853" i="2"/>
  <x:c r="K12854" i="2"/>
  <x:c r="L12854" i="2"/>
  <x:c r="K12855" i="2"/>
  <x:c r="L12855" i="2"/>
  <x:c r="K12856" i="2"/>
  <x:c r="L12856" i="2"/>
  <x:c r="K12857" i="2"/>
  <x:c r="L12857" i="2"/>
  <x:c r="K12858" i="2"/>
  <x:c r="L12858" i="2"/>
  <x:c r="K12859" i="2"/>
  <x:c r="L12859" i="2"/>
  <x:c r="K12860" i="2"/>
  <x:c r="L12860" i="2"/>
  <x:c r="K12861" i="2"/>
  <x:c r="L12861" i="2"/>
  <x:c r="K12862" i="2"/>
  <x:c r="L12862" i="2"/>
  <x:c r="K12863" i="2"/>
  <x:c r="L12863" i="2"/>
  <x:c r="K12864" i="2"/>
  <x:c r="L12864" i="2"/>
  <x:c r="K12865" i="2"/>
  <x:c r="L12865" i="2"/>
  <x:c r="K12866" i="2"/>
  <x:c r="L12866" i="2"/>
  <x:c r="K12867" i="2"/>
  <x:c r="L12867" i="2"/>
  <x:c r="K12868" i="2"/>
  <x:c r="L12868" i="2"/>
  <x:c r="K12869" i="2"/>
  <x:c r="L12869" i="2"/>
  <x:c r="K12870" i="2"/>
  <x:c r="L12870" i="2"/>
  <x:c r="K12871" i="2"/>
  <x:c r="L12871" i="2"/>
  <x:c r="K12872" i="2"/>
  <x:c r="L12872" i="2"/>
  <x:c r="K12873" i="2"/>
  <x:c r="L12873" i="2"/>
  <x:c r="K12874" i="2"/>
  <x:c r="L12874" i="2"/>
  <x:c r="K12875" i="2"/>
  <x:c r="L12875" i="2"/>
  <x:c r="K12876" i="2"/>
  <x:c r="L12876" i="2"/>
  <x:c r="K12877" i="2"/>
  <x:c r="L12877" i="2"/>
  <x:c r="K12878" i="2"/>
  <x:c r="L12878" i="2"/>
  <x:c r="K12879" i="2"/>
  <x:c r="L12879" i="2"/>
  <x:c r="K12880" i="2"/>
  <x:c r="L12880" i="2"/>
  <x:c r="K12881" i="2"/>
  <x:c r="L12881" i="2"/>
  <x:c r="K12882" i="2"/>
  <x:c r="L12882" i="2"/>
  <x:c r="K12883" i="2"/>
  <x:c r="L12883" i="2"/>
  <x:c r="K12884" i="2"/>
  <x:c r="L12884" i="2"/>
  <x:c r="K12885" i="2"/>
  <x:c r="L12885" i="2"/>
  <x:c r="K12886" i="2"/>
  <x:c r="L12886" i="2"/>
  <x:c r="K12887" i="2"/>
  <x:c r="L12887" i="2"/>
  <x:c r="K12888" i="2"/>
  <x:c r="L12888" i="2"/>
  <x:c r="K12889" i="2"/>
  <x:c r="L12889" i="2"/>
  <x:c r="K12890" i="2"/>
  <x:c r="L12890" i="2"/>
  <x:c r="K12891" i="2"/>
  <x:c r="L12891" i="2"/>
  <x:c r="K12892" i="2"/>
  <x:c r="L12892" i="2"/>
  <x:c r="K12893" i="2"/>
  <x:c r="L12893" i="2"/>
  <x:c r="K12894" i="2"/>
  <x:c r="L12894" i="2"/>
  <x:c r="K12895" i="2"/>
  <x:c r="L12895" i="2"/>
  <x:c r="K12896" i="2"/>
  <x:c r="L12896" i="2"/>
  <x:c r="K12897" i="2"/>
  <x:c r="L12897" i="2"/>
  <x:c r="K12898" i="2"/>
  <x:c r="L12898" i="2"/>
  <x:c r="K12899" i="2"/>
  <x:c r="L12899" i="2"/>
  <x:c r="K12900" i="2"/>
  <x:c r="L12900" i="2"/>
  <x:c r="K12901" i="2"/>
  <x:c r="L12901" i="2"/>
  <x:c r="K12902" i="2"/>
  <x:c r="L12902" i="2"/>
  <x:c r="K12903" i="2"/>
  <x:c r="L12903" i="2"/>
  <x:c r="K12904" i="2"/>
  <x:c r="L12904" i="2"/>
  <x:c r="K12905" i="2"/>
  <x:c r="L12905" i="2"/>
  <x:c r="K12906" i="2"/>
  <x:c r="L12906" i="2"/>
  <x:c r="K12907" i="2"/>
  <x:c r="L12907" i="2"/>
  <x:c r="K12908" i="2"/>
  <x:c r="L12908" i="2"/>
  <x:c r="K12909" i="2"/>
  <x:c r="L12909" i="2"/>
  <x:c r="K12910" i="2"/>
  <x:c r="L12910" i="2"/>
  <x:c r="K12911" i="2"/>
  <x:c r="L12911" i="2"/>
  <x:c r="K12912" i="2"/>
  <x:c r="L12912" i="2"/>
  <x:c r="K12913" i="2"/>
  <x:c r="L12913" i="2"/>
  <x:c r="K12914" i="2"/>
  <x:c r="L12914" i="2"/>
  <x:c r="K12915" i="2"/>
  <x:c r="L12915" i="2"/>
  <x:c r="K12916" i="2"/>
  <x:c r="L12916" i="2"/>
  <x:c r="K12917" i="2"/>
  <x:c r="L12917" i="2"/>
  <x:c r="K12918" i="2"/>
  <x:c r="L12918" i="2"/>
  <x:c r="K12919" i="2"/>
  <x:c r="L12919" i="2"/>
  <x:c r="K12920" i="2"/>
  <x:c r="L12920" i="2"/>
  <x:c r="K12921" i="2"/>
  <x:c r="L12921" i="2"/>
  <x:c r="K12922" i="2"/>
  <x:c r="L12922" i="2"/>
  <x:c r="K12923" i="2"/>
  <x:c r="L12923" i="2"/>
  <x:c r="K12924" i="2"/>
  <x:c r="L12924" i="2"/>
  <x:c r="K12925" i="2"/>
  <x:c r="L12925" i="2"/>
  <x:c r="K12926" i="2"/>
  <x:c r="L12926" i="2"/>
  <x:c r="K12927" i="2"/>
  <x:c r="L12927" i="2"/>
  <x:c r="K12928" i="2"/>
  <x:c r="L12928" i="2"/>
  <x:c r="K12929" i="2"/>
  <x:c r="L12929" i="2"/>
  <x:c r="K12930" i="2"/>
  <x:c r="L12930" i="2"/>
  <x:c r="K12931" i="2"/>
  <x:c r="L12931" i="2"/>
  <x:c r="K12932" i="2"/>
  <x:c r="L12932" i="2"/>
  <x:c r="K12933" i="2"/>
  <x:c r="L12933" i="2"/>
  <x:c r="K12934" i="2"/>
  <x:c r="L12934" i="2"/>
  <x:c r="K12935" i="2"/>
  <x:c r="L12935" i="2"/>
  <x:c r="K12936" i="2"/>
  <x:c r="L12936" i="2"/>
  <x:c r="K12937" i="2"/>
  <x:c r="L12937" i="2"/>
  <x:c r="K12938" i="2"/>
  <x:c r="L12938" i="2"/>
  <x:c r="K12939" i="2"/>
  <x:c r="L12939" i="2"/>
  <x:c r="K12940" i="2"/>
  <x:c r="L12940" i="2"/>
  <x:c r="K12941" i="2"/>
  <x:c r="L12941" i="2"/>
  <x:c r="K12942" i="2"/>
  <x:c r="L12942" i="2"/>
  <x:c r="K12943" i="2"/>
  <x:c r="L12943" i="2"/>
  <x:c r="K12944" i="2"/>
  <x:c r="L12944" i="2"/>
  <x:c r="K12945" i="2"/>
  <x:c r="L12945" i="2"/>
  <x:c r="K12946" i="2"/>
  <x:c r="L12946" i="2"/>
  <x:c r="K12947" i="2"/>
  <x:c r="L12947" i="2"/>
  <x:c r="K12948" i="2"/>
  <x:c r="L12948" i="2"/>
  <x:c r="K12949" i="2"/>
  <x:c r="L12949" i="2"/>
  <x:c r="K12950" i="2"/>
  <x:c r="L12950" i="2"/>
  <x:c r="K12951" i="2"/>
  <x:c r="L12951" i="2"/>
  <x:c r="K12952" i="2"/>
  <x:c r="L12952" i="2"/>
  <x:c r="K12953" i="2"/>
  <x:c r="L12953" i="2"/>
  <x:c r="K12954" i="2"/>
  <x:c r="L12954" i="2"/>
  <x:c r="K12955" i="2"/>
  <x:c r="L12955" i="2"/>
  <x:c r="K12956" i="2"/>
  <x:c r="L12956" i="2"/>
  <x:c r="K12957" i="2"/>
  <x:c r="L12957" i="2"/>
  <x:c r="K12958" i="2"/>
  <x:c r="L12958" i="2"/>
  <x:c r="K12959" i="2"/>
  <x:c r="L12959" i="2"/>
  <x:c r="K12960" i="2"/>
  <x:c r="L12960" i="2"/>
  <x:c r="K12961" i="2"/>
  <x:c r="L12961" i="2"/>
  <x:c r="K12962" i="2"/>
  <x:c r="L12962" i="2"/>
  <x:c r="K12963" i="2"/>
  <x:c r="L12963" i="2"/>
  <x:c r="K12964" i="2"/>
  <x:c r="L12964" i="2"/>
  <x:c r="K12965" i="2"/>
  <x:c r="L12965" i="2"/>
  <x:c r="K12966" i="2"/>
  <x:c r="L12966" i="2"/>
  <x:c r="K12967" i="2"/>
  <x:c r="L12967" i="2"/>
  <x:c r="K12968" i="2"/>
  <x:c r="L12968" i="2"/>
  <x:c r="K12969" i="2"/>
  <x:c r="L12969" i="2"/>
  <x:c r="K12970" i="2"/>
  <x:c r="L12970" i="2"/>
  <x:c r="K12971" i="2"/>
  <x:c r="L12971" i="2"/>
  <x:c r="K12972" i="2"/>
  <x:c r="L12972" i="2"/>
  <x:c r="K12973" i="2"/>
  <x:c r="L12973" i="2"/>
  <x:c r="K12974" i="2"/>
  <x:c r="L12974" i="2"/>
  <x:c r="K12975" i="2"/>
  <x:c r="L12975" i="2"/>
  <x:c r="K12976" i="2"/>
  <x:c r="L12976" i="2"/>
  <x:c r="K12977" i="2"/>
  <x:c r="L12977" i="2"/>
  <x:c r="K12978" i="2"/>
  <x:c r="L12978" i="2"/>
  <x:c r="K12979" i="2"/>
  <x:c r="L12979" i="2"/>
  <x:c r="K12980" i="2"/>
  <x:c r="L12980" i="2"/>
  <x:c r="K12981" i="2"/>
  <x:c r="L12981" i="2"/>
  <x:c r="K12982" i="2"/>
  <x:c r="L12982" i="2"/>
  <x:c r="K12983" i="2"/>
  <x:c r="L12983" i="2"/>
  <x:c r="K12984" i="2"/>
  <x:c r="L12984" i="2"/>
  <x:c r="K12985" i="2"/>
  <x:c r="L12985" i="2"/>
  <x:c r="K12986" i="2"/>
  <x:c r="L12986" i="2"/>
  <x:c r="K12987" i="2"/>
  <x:c r="L12987" i="2"/>
  <x:c r="K12988" i="2"/>
  <x:c r="L12988" i="2"/>
  <x:c r="K12989" i="2"/>
  <x:c r="L12989" i="2"/>
  <x:c r="K12990" i="2"/>
  <x:c r="L12990" i="2"/>
  <x:c r="K12991" i="2"/>
  <x:c r="L12991" i="2"/>
  <x:c r="K12992" i="2"/>
  <x:c r="L12992" i="2"/>
  <x:c r="K12993" i="2"/>
  <x:c r="L12993" i="2"/>
  <x:c r="K12994" i="2"/>
  <x:c r="L12994" i="2"/>
  <x:c r="K12995" i="2"/>
  <x:c r="L12995" i="2"/>
  <x:c r="K12996" i="2"/>
  <x:c r="L12996" i="2"/>
  <x:c r="K12997" i="2"/>
  <x:c r="L12997" i="2"/>
  <x:c r="K12998" i="2"/>
  <x:c r="L12998" i="2"/>
  <x:c r="K12999" i="2"/>
  <x:c r="L12999" i="2"/>
  <x:c r="K13000" i="2"/>
  <x:c r="L13000" i="2"/>
  <x:c r="K13001" i="2"/>
  <x:c r="L13001" i="2"/>
  <x:c r="K13002" i="2"/>
  <x:c r="L13002" i="2"/>
  <x:c r="K13003" i="2"/>
  <x:c r="L13003" i="2"/>
  <x:c r="K13004" i="2"/>
  <x:c r="L13004" i="2"/>
  <x:c r="K13005" i="2"/>
  <x:c r="L13005" i="2"/>
  <x:c r="K13006" i="2"/>
  <x:c r="L13006" i="2"/>
  <x:c r="K13007" i="2"/>
  <x:c r="L13007" i="2"/>
  <x:c r="K13008" i="2"/>
  <x:c r="L13008" i="2"/>
  <x:c r="K13009" i="2"/>
  <x:c r="L13009" i="2"/>
  <x:c r="K13010" i="2"/>
  <x:c r="L13010" i="2"/>
  <x:c r="K13011" i="2"/>
  <x:c r="L13011" i="2"/>
  <x:c r="K13012" i="2"/>
  <x:c r="L13012" i="2"/>
  <x:c r="K13013" i="2"/>
  <x:c r="L13013" i="2"/>
  <x:c r="K13014" i="2"/>
  <x:c r="L13014" i="2"/>
  <x:c r="K13015" i="2"/>
  <x:c r="L13015" i="2"/>
  <x:c r="K13016" i="2"/>
  <x:c r="L13016" i="2"/>
  <x:c r="K13017" i="2"/>
  <x:c r="L13017" i="2"/>
  <x:c r="K13018" i="2"/>
  <x:c r="L13018" i="2"/>
  <x:c r="K13019" i="2"/>
  <x:c r="L13019" i="2"/>
  <x:c r="K13020" i="2"/>
  <x:c r="L13020" i="2"/>
  <x:c r="K13021" i="2"/>
  <x:c r="L13021" i="2"/>
  <x:c r="K13022" i="2"/>
  <x:c r="L13022" i="2"/>
  <x:c r="K13023" i="2"/>
  <x:c r="L13023" i="2"/>
  <x:c r="K13024" i="2"/>
  <x:c r="L13024" i="2"/>
  <x:c r="K13025" i="2"/>
  <x:c r="L13025" i="2"/>
  <x:c r="K13026" i="2"/>
  <x:c r="L13026" i="2"/>
  <x:c r="K13027" i="2"/>
  <x:c r="L13027" i="2"/>
  <x:c r="K13028" i="2"/>
  <x:c r="L13028" i="2"/>
  <x:c r="K13029" i="2"/>
  <x:c r="L13029" i="2"/>
  <x:c r="K13030" i="2"/>
  <x:c r="L13030" i="2"/>
  <x:c r="K13031" i="2"/>
  <x:c r="L13031" i="2"/>
  <x:c r="K13032" i="2"/>
  <x:c r="L13032" i="2"/>
  <x:c r="K13033" i="2"/>
  <x:c r="L13033" i="2"/>
  <x:c r="K13034" i="2"/>
  <x:c r="L13034" i="2"/>
  <x:c r="K13035" i="2"/>
  <x:c r="L13035" i="2"/>
  <x:c r="K13036" i="2"/>
  <x:c r="L13036" i="2"/>
  <x:c r="K13037" i="2"/>
  <x:c r="L13037" i="2"/>
  <x:c r="K13038" i="2"/>
  <x:c r="L13038" i="2"/>
  <x:c r="K13039" i="2"/>
  <x:c r="L13039" i="2"/>
  <x:c r="K13040" i="2"/>
  <x:c r="L13040" i="2"/>
  <x:c r="K13041" i="2"/>
  <x:c r="L13041" i="2"/>
  <x:c r="K13042" i="2"/>
  <x:c r="L13042" i="2"/>
  <x:c r="K13043" i="2"/>
  <x:c r="L13043" i="2"/>
  <x:c r="K13044" i="2"/>
  <x:c r="L13044" i="2"/>
  <x:c r="K13045" i="2"/>
  <x:c r="L13045" i="2"/>
  <x:c r="K13046" i="2"/>
  <x:c r="L13046" i="2"/>
  <x:c r="K13047" i="2"/>
  <x:c r="L13047" i="2"/>
  <x:c r="K13048" i="2"/>
  <x:c r="L13048" i="2"/>
  <x:c r="K13049" i="2"/>
  <x:c r="L13049" i="2"/>
  <x:c r="K13050" i="2"/>
  <x:c r="L13050" i="2"/>
  <x:c r="K13051" i="2"/>
  <x:c r="L13051" i="2"/>
  <x:c r="K13052" i="2"/>
  <x:c r="L13052" i="2"/>
  <x:c r="K13053" i="2"/>
  <x:c r="L13053" i="2"/>
  <x:c r="K13054" i="2"/>
  <x:c r="L13054" i="2"/>
  <x:c r="K13055" i="2"/>
  <x:c r="L13055" i="2"/>
  <x:c r="K13056" i="2"/>
  <x:c r="L13056" i="2"/>
  <x:c r="K13057" i="2"/>
  <x:c r="L13057" i="2"/>
  <x:c r="K13058" i="2"/>
  <x:c r="L13058" i="2"/>
  <x:c r="K13059" i="2"/>
  <x:c r="L13059" i="2"/>
  <x:c r="K13060" i="2"/>
  <x:c r="L13060" i="2"/>
  <x:c r="K13061" i="2"/>
  <x:c r="L13061" i="2"/>
  <x:c r="K13062" i="2"/>
  <x:c r="L13062" i="2"/>
  <x:c r="K13063" i="2"/>
  <x:c r="L13063" i="2"/>
  <x:c r="K13064" i="2"/>
  <x:c r="L13064" i="2"/>
  <x:c r="K13065" i="2"/>
  <x:c r="L13065" i="2"/>
  <x:c r="K13066" i="2"/>
  <x:c r="L13066" i="2"/>
  <x:c r="K13067" i="2"/>
  <x:c r="L13067" i="2"/>
  <x:c r="K13068" i="2"/>
  <x:c r="L13068" i="2"/>
  <x:c r="K13069" i="2"/>
  <x:c r="L13069" i="2"/>
  <x:c r="K13070" i="2"/>
  <x:c r="L13070" i="2"/>
  <x:c r="K13071" i="2"/>
  <x:c r="L13071" i="2"/>
  <x:c r="K13072" i="2"/>
  <x:c r="L13072" i="2"/>
  <x:c r="K13073" i="2"/>
  <x:c r="L13073" i="2"/>
  <x:c r="K13074" i="2"/>
  <x:c r="L13074" i="2"/>
  <x:c r="K13075" i="2"/>
  <x:c r="L13075" i="2"/>
  <x:c r="K13076" i="2"/>
  <x:c r="L13076" i="2"/>
  <x:c r="K13077" i="2"/>
  <x:c r="L13077" i="2"/>
  <x:c r="K13078" i="2"/>
  <x:c r="L13078" i="2"/>
  <x:c r="K13079" i="2"/>
  <x:c r="L13079" i="2"/>
  <x:c r="K13080" i="2"/>
  <x:c r="L13080" i="2"/>
  <x:c r="K13081" i="2"/>
  <x:c r="L13081" i="2"/>
  <x:c r="K13082" i="2"/>
  <x:c r="L13082" i="2"/>
  <x:c r="K13083" i="2"/>
  <x:c r="L13083" i="2"/>
  <x:c r="K13084" i="2"/>
  <x:c r="L13084" i="2"/>
  <x:c r="K13085" i="2"/>
  <x:c r="L13085" i="2"/>
  <x:c r="K13086" i="2"/>
  <x:c r="L13086" i="2"/>
  <x:c r="K13087" i="2"/>
  <x:c r="L13087" i="2"/>
  <x:c r="K13088" i="2"/>
  <x:c r="L13088" i="2"/>
  <x:c r="K13089" i="2"/>
  <x:c r="L13089" i="2"/>
  <x:c r="K13090" i="2"/>
  <x:c r="L13090" i="2"/>
  <x:c r="K13091" i="2"/>
  <x:c r="L13091" i="2"/>
  <x:c r="K13092" i="2"/>
  <x:c r="L13092" i="2"/>
  <x:c r="K13093" i="2"/>
  <x:c r="L13093" i="2"/>
  <x:c r="K13094" i="2"/>
  <x:c r="L13094" i="2"/>
  <x:c r="K13095" i="2"/>
  <x:c r="L13095" i="2"/>
  <x:c r="K13096" i="2"/>
  <x:c r="L13096" i="2"/>
  <x:c r="K13097" i="2"/>
  <x:c r="L13097" i="2"/>
  <x:c r="K13098" i="2"/>
  <x:c r="L13098" i="2"/>
  <x:c r="K13099" i="2"/>
  <x:c r="L13099" i="2"/>
  <x:c r="K13100" i="2"/>
  <x:c r="L13100" i="2"/>
  <x:c r="K13101" i="2"/>
  <x:c r="L13101" i="2"/>
  <x:c r="K13102" i="2"/>
  <x:c r="L13102" i="2"/>
  <x:c r="K13103" i="2"/>
  <x:c r="L13103" i="2"/>
  <x:c r="K13104" i="2"/>
  <x:c r="L13104" i="2"/>
  <x:c r="K13105" i="2"/>
  <x:c r="L13105" i="2"/>
  <x:c r="K13106" i="2"/>
  <x:c r="L13106" i="2"/>
  <x:c r="K13107" i="2"/>
  <x:c r="L13107" i="2"/>
  <x:c r="K13108" i="2"/>
  <x:c r="L13108" i="2"/>
  <x:c r="K13109" i="2"/>
  <x:c r="L13109" i="2"/>
  <x:c r="K13110" i="2"/>
  <x:c r="L13110" i="2"/>
  <x:c r="K13111" i="2"/>
  <x:c r="L13111" i="2"/>
  <x:c r="K13112" i="2"/>
  <x:c r="L13112" i="2"/>
  <x:c r="K13113" i="2"/>
  <x:c r="L13113" i="2"/>
  <x:c r="K13114" i="2"/>
  <x:c r="L13114" i="2"/>
  <x:c r="K13115" i="2"/>
  <x:c r="L13115" i="2"/>
  <x:c r="K13116" i="2"/>
  <x:c r="L13116" i="2"/>
  <x:c r="K13117" i="2"/>
  <x:c r="L13117" i="2"/>
  <x:c r="K13118" i="2"/>
  <x:c r="L13118" i="2"/>
  <x:c r="K13119" i="2"/>
  <x:c r="L13119" i="2"/>
  <x:c r="K13120" i="2"/>
  <x:c r="L13120" i="2"/>
  <x:c r="K13121" i="2"/>
  <x:c r="L13121" i="2"/>
  <x:c r="K13122" i="2"/>
  <x:c r="L13122" i="2"/>
  <x:c r="K13123" i="2"/>
  <x:c r="L13123" i="2"/>
  <x:c r="K13124" i="2"/>
  <x:c r="L13124" i="2"/>
  <x:c r="K13125" i="2"/>
  <x:c r="L13125" i="2"/>
  <x:c r="K13126" i="2"/>
  <x:c r="L13126" i="2"/>
  <x:c r="K13127" i="2"/>
  <x:c r="L13127" i="2"/>
  <x:c r="K13128" i="2"/>
  <x:c r="L13128" i="2"/>
  <x:c r="K13129" i="2"/>
  <x:c r="L13129" i="2"/>
  <x:c r="K13130" i="2"/>
  <x:c r="L13130" i="2"/>
  <x:c r="K13131" i="2"/>
  <x:c r="L13131" i="2"/>
  <x:c r="K13132" i="2"/>
  <x:c r="L13132" i="2"/>
  <x:c r="K13133" i="2"/>
  <x:c r="L13133" i="2"/>
  <x:c r="K13134" i="2"/>
  <x:c r="L13134" i="2"/>
  <x:c r="K13135" i="2"/>
  <x:c r="L13135" i="2"/>
  <x:c r="K13136" i="2"/>
  <x:c r="L13136" i="2"/>
  <x:c r="K13137" i="2"/>
  <x:c r="L13137" i="2"/>
  <x:c r="K13138" i="2"/>
  <x:c r="L13138" i="2"/>
  <x:c r="K13139" i="2"/>
  <x:c r="L13139" i="2"/>
  <x:c r="K13140" i="2"/>
  <x:c r="L13140" i="2"/>
  <x:c r="K13141" i="2"/>
  <x:c r="L13141" i="2"/>
  <x:c r="K13142" i="2"/>
  <x:c r="L13142" i="2"/>
  <x:c r="K13143" i="2"/>
  <x:c r="L13143" i="2"/>
  <x:c r="K13144" i="2"/>
  <x:c r="L13144" i="2"/>
  <x:c r="K13145" i="2"/>
  <x:c r="L13145" i="2"/>
  <x:c r="K13146" i="2"/>
  <x:c r="L13146" i="2"/>
  <x:c r="K13147" i="2"/>
  <x:c r="L13147" i="2"/>
  <x:c r="K13148" i="2"/>
  <x:c r="L13148" i="2"/>
  <x:c r="K13149" i="2"/>
  <x:c r="L13149" i="2"/>
  <x:c r="K13150" i="2"/>
  <x:c r="L13150" i="2"/>
  <x:c r="K13151" i="2"/>
  <x:c r="L13151" i="2"/>
  <x:c r="K13152" i="2"/>
  <x:c r="L13152" i="2"/>
  <x:c r="K13153" i="2"/>
  <x:c r="L13153" i="2"/>
  <x:c r="K13154" i="2"/>
  <x:c r="L13154" i="2"/>
  <x:c r="K13155" i="2"/>
  <x:c r="L13155" i="2"/>
  <x:c r="K13156" i="2"/>
  <x:c r="L13156" i="2"/>
  <x:c r="K13157" i="2"/>
  <x:c r="L13157" i="2"/>
  <x:c r="K13158" i="2"/>
  <x:c r="L13158" i="2"/>
  <x:c r="K13159" i="2"/>
  <x:c r="L13159" i="2"/>
  <x:c r="K13160" i="2"/>
  <x:c r="L13160" i="2"/>
  <x:c r="K13161" i="2"/>
  <x:c r="L13161" i="2"/>
  <x:c r="K13162" i="2"/>
  <x:c r="L13162" i="2"/>
  <x:c r="K13163" i="2"/>
  <x:c r="L13163" i="2"/>
  <x:c r="K13164" i="2"/>
  <x:c r="L13164" i="2"/>
  <x:c r="K13165" i="2"/>
  <x:c r="L13165" i="2"/>
  <x:c r="K13166" i="2"/>
  <x:c r="L13166" i="2"/>
  <x:c r="K13167" i="2"/>
  <x:c r="L13167" i="2"/>
  <x:c r="K13168" i="2"/>
  <x:c r="L13168" i="2"/>
  <x:c r="K13169" i="2"/>
  <x:c r="L13169" i="2"/>
  <x:c r="K13170" i="2"/>
  <x:c r="L13170" i="2"/>
  <x:c r="K13171" i="2"/>
  <x:c r="L13171" i="2"/>
  <x:c r="K13172" i="2"/>
  <x:c r="L13172" i="2"/>
  <x:c r="K13173" i="2"/>
  <x:c r="L13173" i="2"/>
  <x:c r="K13174" i="2"/>
  <x:c r="L13174" i="2"/>
  <x:c r="K13175" i="2"/>
  <x:c r="L13175" i="2"/>
  <x:c r="K13176" i="2"/>
  <x:c r="L13176" i="2"/>
  <x:c r="K13177" i="2"/>
  <x:c r="L13177" i="2"/>
  <x:c r="K13178" i="2"/>
  <x:c r="L13178" i="2"/>
  <x:c r="K13179" i="2"/>
  <x:c r="L13179" i="2"/>
  <x:c r="K13180" i="2"/>
  <x:c r="L13180" i="2"/>
  <x:c r="K13181" i="2"/>
  <x:c r="L13181" i="2"/>
  <x:c r="K13182" i="2"/>
  <x:c r="L13182" i="2"/>
  <x:c r="K13183" i="2"/>
  <x:c r="L13183" i="2"/>
  <x:c r="K13184" i="2"/>
  <x:c r="L13184" i="2"/>
  <x:c r="K13185" i="2"/>
  <x:c r="L13185" i="2"/>
  <x:c r="K13186" i="2"/>
  <x:c r="L13186" i="2"/>
  <x:c r="K13187" i="2"/>
  <x:c r="L13187" i="2"/>
  <x:c r="K13188" i="2"/>
  <x:c r="L13188" i="2"/>
  <x:c r="K13189" i="2"/>
  <x:c r="L13189" i="2"/>
  <x:c r="K13190" i="2"/>
  <x:c r="L13190" i="2"/>
  <x:c r="K13191" i="2"/>
  <x:c r="L13191" i="2"/>
  <x:c r="K13192" i="2"/>
  <x:c r="L13192" i="2"/>
  <x:c r="K13193" i="2"/>
  <x:c r="L13193" i="2"/>
  <x:c r="K13194" i="2"/>
  <x:c r="L13194" i="2"/>
  <x:c r="K13195" i="2"/>
  <x:c r="L13195" i="2"/>
  <x:c r="K13196" i="2"/>
  <x:c r="L13196" i="2"/>
  <x:c r="K13197" i="2"/>
  <x:c r="L13197" i="2"/>
  <x:c r="K13198" i="2"/>
  <x:c r="L13198" i="2"/>
  <x:c r="K13199" i="2"/>
  <x:c r="L13199" i="2"/>
  <x:c r="K13200" i="2"/>
  <x:c r="L13200" i="2"/>
  <x:c r="K13201" i="2"/>
  <x:c r="L13201" i="2"/>
  <x:c r="K13202" i="2"/>
  <x:c r="L13202" i="2"/>
  <x:c r="K13203" i="2"/>
  <x:c r="L13203" i="2"/>
  <x:c r="K13204" i="2"/>
  <x:c r="L13204" i="2"/>
  <x:c r="K13205" i="2"/>
  <x:c r="L13205" i="2"/>
  <x:c r="K13206" i="2"/>
  <x:c r="L13206" i="2"/>
  <x:c r="K13207" i="2"/>
  <x:c r="L13207" i="2"/>
  <x:c r="K13208" i="2"/>
  <x:c r="L13208" i="2"/>
  <x:c r="K13209" i="2"/>
  <x:c r="L13209" i="2"/>
  <x:c r="K13210" i="2"/>
  <x:c r="L13210" i="2"/>
  <x:c r="K13211" i="2"/>
  <x:c r="L13211" i="2"/>
  <x:c r="K13212" i="2"/>
  <x:c r="L13212" i="2"/>
  <x:c r="K13213" i="2"/>
  <x:c r="L13213" i="2"/>
  <x:c r="K13214" i="2"/>
  <x:c r="L13214" i="2"/>
  <x:c r="K13215" i="2"/>
  <x:c r="L13215" i="2"/>
  <x:c r="K13216" i="2"/>
  <x:c r="L13216" i="2"/>
  <x:c r="K13217" i="2"/>
  <x:c r="L13217" i="2"/>
  <x:c r="K13218" i="2"/>
  <x:c r="L13218" i="2"/>
  <x:c r="K13219" i="2"/>
  <x:c r="L13219" i="2"/>
  <x:c r="K13220" i="2"/>
  <x:c r="L13220" i="2"/>
  <x:c r="K13221" i="2"/>
  <x:c r="L13221" i="2"/>
  <x:c r="K13222" i="2"/>
  <x:c r="L13222" i="2"/>
  <x:c r="K13223" i="2"/>
  <x:c r="L13223" i="2"/>
  <x:c r="K13224" i="2"/>
  <x:c r="L13224" i="2"/>
  <x:c r="K13225" i="2"/>
  <x:c r="L13225" i="2"/>
  <x:c r="K13226" i="2"/>
  <x:c r="L13226" i="2"/>
  <x:c r="K13227" i="2"/>
  <x:c r="L13227" i="2"/>
  <x:c r="K13228" i="2"/>
  <x:c r="L13228" i="2"/>
  <x:c r="K13229" i="2"/>
  <x:c r="L13229" i="2"/>
  <x:c r="K13230" i="2"/>
  <x:c r="L13230" i="2"/>
  <x:c r="K13231" i="2"/>
  <x:c r="L13231" i="2"/>
  <x:c r="K13232" i="2"/>
  <x:c r="L13232" i="2"/>
  <x:c r="K13233" i="2"/>
  <x:c r="L13233" i="2"/>
  <x:c r="K13234" i="2"/>
  <x:c r="L13234" i="2"/>
  <x:c r="K13235" i="2"/>
  <x:c r="L13235" i="2"/>
  <x:c r="K13236" i="2"/>
  <x:c r="L13236" i="2"/>
  <x:c r="K13237" i="2"/>
  <x:c r="L13237" i="2"/>
  <x:c r="K13238" i="2"/>
  <x:c r="L13238" i="2"/>
  <x:c r="K13239" i="2"/>
  <x:c r="L13239" i="2"/>
  <x:c r="K13240" i="2"/>
  <x:c r="L13240" i="2"/>
  <x:c r="K13241" i="2"/>
  <x:c r="L13241" i="2"/>
  <x:c r="K13242" i="2"/>
  <x:c r="L13242" i="2"/>
  <x:c r="K13243" i="2"/>
  <x:c r="L13243" i="2"/>
  <x:c r="K13244" i="2"/>
  <x:c r="L13244" i="2"/>
  <x:c r="K13245" i="2"/>
  <x:c r="L13245" i="2"/>
  <x:c r="K13246" i="2"/>
  <x:c r="L13246" i="2"/>
  <x:c r="K13247" i="2"/>
  <x:c r="L13247" i="2"/>
  <x:c r="K13248" i="2"/>
  <x:c r="L13248" i="2"/>
  <x:c r="K13249" i="2"/>
  <x:c r="L13249" i="2"/>
  <x:c r="K13250" i="2"/>
  <x:c r="L13250" i="2"/>
  <x:c r="K13251" i="2"/>
  <x:c r="L13251" i="2"/>
  <x:c r="K13252" i="2"/>
  <x:c r="L13252" i="2"/>
  <x:c r="K13253" i="2"/>
  <x:c r="L13253" i="2"/>
  <x:c r="K13254" i="2"/>
  <x:c r="L13254" i="2"/>
  <x:c r="K13255" i="2"/>
  <x:c r="L13255" i="2"/>
  <x:c r="K13256" i="2"/>
  <x:c r="L13256" i="2"/>
  <x:c r="K13257" i="2"/>
  <x:c r="L13257" i="2"/>
  <x:c r="K13258" i="2"/>
  <x:c r="L13258" i="2"/>
  <x:c r="K13259" i="2"/>
  <x:c r="L13259" i="2"/>
  <x:c r="K13260" i="2"/>
  <x:c r="L13260" i="2"/>
  <x:c r="K13261" i="2"/>
  <x:c r="L13261" i="2"/>
  <x:c r="K13262" i="2"/>
  <x:c r="L13262" i="2"/>
  <x:c r="K13263" i="2"/>
  <x:c r="L13263" i="2"/>
  <x:c r="K13264" i="2"/>
  <x:c r="L13264" i="2"/>
  <x:c r="K13265" i="2"/>
  <x:c r="L13265" i="2"/>
  <x:c r="K13266" i="2"/>
  <x:c r="L13266" i="2"/>
  <x:c r="K13267" i="2"/>
  <x:c r="L13267" i="2"/>
  <x:c r="K13268" i="2"/>
  <x:c r="L13268" i="2"/>
  <x:c r="K13269" i="2"/>
  <x:c r="L13269" i="2"/>
  <x:c r="K13270" i="2"/>
  <x:c r="L13270" i="2"/>
  <x:c r="K13271" i="2"/>
  <x:c r="L13271" i="2"/>
  <x:c r="K13272" i="2"/>
  <x:c r="L13272" i="2"/>
  <x:c r="K13273" i="2"/>
  <x:c r="L13273" i="2"/>
  <x:c r="K13274" i="2"/>
  <x:c r="L13274" i="2"/>
  <x:c r="K13275" i="2"/>
  <x:c r="L13275" i="2"/>
  <x:c r="K13276" i="2"/>
  <x:c r="L13276" i="2"/>
  <x:c r="K13277" i="2"/>
  <x:c r="L13277" i="2"/>
  <x:c r="K13278" i="2"/>
  <x:c r="L13278" i="2"/>
  <x:c r="K13279" i="2"/>
  <x:c r="L13279" i="2"/>
  <x:c r="K13280" i="2"/>
  <x:c r="L13280" i="2"/>
  <x:c r="K13281" i="2"/>
  <x:c r="L13281" i="2"/>
  <x:c r="K13282" i="2"/>
  <x:c r="L13282" i="2"/>
  <x:c r="K13283" i="2"/>
  <x:c r="L13283" i="2"/>
  <x:c r="K13284" i="2"/>
  <x:c r="L13284" i="2"/>
  <x:c r="K13285" i="2"/>
  <x:c r="L13285" i="2"/>
  <x:c r="K13286" i="2"/>
  <x:c r="L13286" i="2"/>
  <x:c r="K13287" i="2"/>
  <x:c r="L13287" i="2"/>
  <x:c r="K13288" i="2"/>
  <x:c r="L13288" i="2"/>
  <x:c r="K13289" i="2"/>
  <x:c r="L13289" i="2"/>
  <x:c r="K13290" i="2"/>
  <x:c r="L13290" i="2"/>
  <x:c r="K13291" i="2"/>
  <x:c r="L13291" i="2"/>
  <x:c r="K13292" i="2"/>
  <x:c r="L13292" i="2"/>
  <x:c r="K13293" i="2"/>
  <x:c r="L13293" i="2"/>
  <x:c r="K13294" i="2"/>
  <x:c r="L13294" i="2"/>
  <x:c r="K13295" i="2"/>
  <x:c r="L13295" i="2"/>
  <x:c r="K13296" i="2"/>
  <x:c r="L13296" i="2"/>
  <x:c r="K13297" i="2"/>
  <x:c r="L13297" i="2"/>
  <x:c r="K13298" i="2"/>
  <x:c r="L13298" i="2"/>
  <x:c r="K13299" i="2"/>
  <x:c r="L13299" i="2"/>
  <x:c r="K13300" i="2"/>
  <x:c r="L13300" i="2"/>
  <x:c r="K13301" i="2"/>
  <x:c r="L13301" i="2"/>
  <x:c r="K13302" i="2"/>
  <x:c r="L13302" i="2"/>
  <x:c r="K13303" i="2"/>
  <x:c r="L13303" i="2"/>
  <x:c r="K13304" i="2"/>
  <x:c r="L13304" i="2"/>
  <x:c r="K13305" i="2"/>
  <x:c r="L13305" i="2"/>
  <x:c r="K13306" i="2"/>
  <x:c r="L13306" i="2"/>
  <x:c r="K13307" i="2"/>
  <x:c r="L13307" i="2"/>
  <x:c r="K13308" i="2"/>
  <x:c r="L13308" i="2"/>
  <x:c r="K13309" i="2"/>
  <x:c r="L13309" i="2"/>
  <x:c r="K13310" i="2"/>
  <x:c r="L13310" i="2"/>
  <x:c r="K13311" i="2"/>
  <x:c r="L13311" i="2"/>
  <x:c r="K13312" i="2"/>
  <x:c r="L13312" i="2"/>
  <x:c r="K13313" i="2"/>
  <x:c r="L13313" i="2"/>
  <x:c r="K13314" i="2"/>
  <x:c r="L13314" i="2"/>
  <x:c r="K13315" i="2"/>
  <x:c r="L13315" i="2"/>
  <x:c r="K13316" i="2"/>
  <x:c r="L13316" i="2"/>
  <x:c r="K13317" i="2"/>
  <x:c r="L13317" i="2"/>
  <x:c r="K13318" i="2"/>
  <x:c r="L13318" i="2"/>
  <x:c r="K13319" i="2"/>
  <x:c r="L13319" i="2"/>
  <x:c r="K13320" i="2"/>
  <x:c r="L13320" i="2"/>
  <x:c r="K13321" i="2"/>
  <x:c r="L13321" i="2"/>
  <x:c r="K13322" i="2"/>
  <x:c r="L13322" i="2"/>
  <x:c r="K13323" i="2"/>
  <x:c r="L13323" i="2"/>
  <x:c r="K13324" i="2"/>
  <x:c r="L13324" i="2"/>
  <x:c r="K13325" i="2"/>
  <x:c r="L13325" i="2"/>
  <x:c r="K13326" i="2"/>
  <x:c r="L13326" i="2"/>
  <x:c r="K13327" i="2"/>
  <x:c r="L13327" i="2"/>
  <x:c r="K13328" i="2"/>
  <x:c r="L13328" i="2"/>
  <x:c r="K13329" i="2"/>
  <x:c r="L13329" i="2"/>
  <x:c r="K13330" i="2"/>
  <x:c r="L13330" i="2"/>
  <x:c r="K13331" i="2"/>
  <x:c r="L13331" i="2"/>
  <x:c r="K13332" i="2"/>
  <x:c r="L13332" i="2"/>
  <x:c r="K13333" i="2"/>
  <x:c r="L13333" i="2"/>
  <x:c r="K13334" i="2"/>
  <x:c r="L13334" i="2"/>
  <x:c r="K13335" i="2"/>
  <x:c r="L13335" i="2"/>
  <x:c r="K13336" i="2"/>
  <x:c r="L13336" i="2"/>
  <x:c r="K13337" i="2"/>
  <x:c r="L13337" i="2"/>
  <x:c r="K13338" i="2"/>
  <x:c r="L13338" i="2"/>
  <x:c r="K13339" i="2"/>
  <x:c r="L13339" i="2"/>
  <x:c r="K13340" i="2"/>
  <x:c r="L13340" i="2"/>
  <x:c r="K13341" i="2"/>
  <x:c r="L13341" i="2"/>
  <x:c r="K13342" i="2"/>
  <x:c r="L13342" i="2"/>
  <x:c r="K13343" i="2"/>
  <x:c r="L13343" i="2"/>
  <x:c r="K13344" i="2"/>
  <x:c r="L13344" i="2"/>
  <x:c r="K13345" i="2"/>
  <x:c r="L13345" i="2"/>
  <x:c r="K13346" i="2"/>
  <x:c r="L13346" i="2"/>
  <x:c r="K13347" i="2"/>
  <x:c r="L13347" i="2"/>
  <x:c r="K13348" i="2"/>
  <x:c r="L13348" i="2"/>
  <x:c r="K13349" i="2"/>
  <x:c r="L13349" i="2"/>
  <x:c r="K13350" i="2"/>
  <x:c r="L13350" i="2"/>
  <x:c r="K13351" i="2"/>
  <x:c r="L13351" i="2"/>
  <x:c r="K13352" i="2"/>
  <x:c r="L13352" i="2"/>
  <x:c r="K13353" i="2"/>
  <x:c r="L13353" i="2"/>
  <x:c r="K13354" i="2"/>
  <x:c r="L13354" i="2"/>
  <x:c r="K13355" i="2"/>
  <x:c r="L13355" i="2"/>
  <x:c r="K13356" i="2"/>
  <x:c r="L13356" i="2"/>
  <x:c r="K13357" i="2"/>
  <x:c r="L13357" i="2"/>
  <x:c r="K13358" i="2"/>
  <x:c r="L13358" i="2"/>
  <x:c r="K13359" i="2"/>
  <x:c r="L13359" i="2"/>
  <x:c r="K13360" i="2"/>
  <x:c r="L13360" i="2"/>
  <x:c r="K13361" i="2"/>
  <x:c r="L13361" i="2"/>
  <x:c r="K13362" i="2"/>
  <x:c r="L13362" i="2"/>
  <x:c r="K13363" i="2"/>
  <x:c r="L13363" i="2"/>
  <x:c r="K13364" i="2"/>
  <x:c r="L13364" i="2"/>
  <x:c r="K13365" i="2"/>
  <x:c r="L13365" i="2"/>
  <x:c r="K13366" i="2"/>
  <x:c r="L13366" i="2"/>
  <x:c r="K13367" i="2"/>
  <x:c r="L13367" i="2"/>
  <x:c r="K13368" i="2"/>
  <x:c r="L13368" i="2"/>
  <x:c r="K13369" i="2"/>
  <x:c r="L13369" i="2"/>
  <x:c r="K13370" i="2"/>
  <x:c r="L13370" i="2"/>
  <x:c r="K13371" i="2"/>
  <x:c r="L13371" i="2"/>
  <x:c r="K13372" i="2"/>
  <x:c r="L13372" i="2"/>
  <x:c r="K13373" i="2"/>
  <x:c r="L13373" i="2"/>
  <x:c r="K13374" i="2"/>
  <x:c r="L13374" i="2"/>
  <x:c r="K13375" i="2"/>
  <x:c r="L13375" i="2"/>
  <x:c r="K13376" i="2"/>
  <x:c r="L13376" i="2"/>
  <x:c r="K13377" i="2"/>
  <x:c r="L13377" i="2"/>
  <x:c r="K13378" i="2"/>
  <x:c r="L13378" i="2"/>
  <x:c r="K13379" i="2"/>
  <x:c r="L13379" i="2"/>
  <x:c r="K13380" i="2"/>
  <x:c r="L13380" i="2"/>
  <x:c r="K13381" i="2"/>
  <x:c r="L13381" i="2"/>
  <x:c r="K13382" i="2"/>
  <x:c r="L13382" i="2"/>
  <x:c r="K13383" i="2"/>
  <x:c r="L13383" i="2"/>
  <x:c r="K13384" i="2"/>
  <x:c r="L13384" i="2"/>
  <x:c r="K13385" i="2"/>
  <x:c r="L13385" i="2"/>
  <x:c r="K13386" i="2"/>
  <x:c r="L13386" i="2"/>
  <x:c r="K13387" i="2"/>
  <x:c r="L13387" i="2"/>
  <x:c r="K13388" i="2"/>
  <x:c r="L13388" i="2"/>
  <x:c r="K13389" i="2"/>
  <x:c r="L13389" i="2"/>
  <x:c r="K13390" i="2"/>
  <x:c r="L13390" i="2"/>
  <x:c r="K13391" i="2"/>
  <x:c r="L13391" i="2"/>
  <x:c r="K13392" i="2"/>
  <x:c r="L13392" i="2"/>
  <x:c r="K13393" i="2"/>
  <x:c r="L13393" i="2"/>
  <x:c r="K13394" i="2"/>
  <x:c r="L13394" i="2"/>
  <x:c r="K13395" i="2"/>
  <x:c r="L13395" i="2"/>
  <x:c r="K13396" i="2"/>
  <x:c r="L13396" i="2"/>
  <x:c r="K13397" i="2"/>
  <x:c r="L13397" i="2"/>
  <x:c r="K13398" i="2"/>
  <x:c r="L13398" i="2"/>
  <x:c r="K13399" i="2"/>
  <x:c r="L13399" i="2"/>
  <x:c r="K13400" i="2"/>
  <x:c r="L13400" i="2"/>
  <x:c r="K13401" i="2"/>
  <x:c r="L13401" i="2"/>
  <x:c r="K13402" i="2"/>
  <x:c r="L13402" i="2"/>
  <x:c r="K13403" i="2"/>
  <x:c r="L13403" i="2"/>
  <x:c r="K13404" i="2"/>
  <x:c r="L13404" i="2"/>
  <x:c r="K13405" i="2"/>
  <x:c r="L13405" i="2"/>
  <x:c r="K13406" i="2"/>
  <x:c r="L13406" i="2"/>
  <x:c r="K13407" i="2"/>
  <x:c r="L13407" i="2"/>
  <x:c r="K13408" i="2"/>
  <x:c r="L13408" i="2"/>
  <x:c r="K13409" i="2"/>
  <x:c r="L13409" i="2"/>
  <x:c r="K13410" i="2"/>
  <x:c r="L13410" i="2"/>
  <x:c r="K13411" i="2"/>
  <x:c r="L13411" i="2"/>
  <x:c r="K13412" i="2"/>
  <x:c r="L13412" i="2"/>
  <x:c r="K13413" i="2"/>
  <x:c r="L13413" i="2"/>
  <x:c r="K13414" i="2"/>
  <x:c r="L13414" i="2"/>
  <x:c r="K13415" i="2"/>
  <x:c r="L13415" i="2"/>
  <x:c r="K13416" i="2"/>
  <x:c r="L13416" i="2"/>
  <x:c r="K13417" i="2"/>
  <x:c r="L13417" i="2"/>
  <x:c r="K13418" i="2"/>
  <x:c r="L13418" i="2"/>
  <x:c r="K13419" i="2"/>
  <x:c r="L13419" i="2"/>
  <x:c r="K13420" i="2"/>
  <x:c r="L13420" i="2"/>
  <x:c r="K13421" i="2"/>
  <x:c r="L13421" i="2"/>
  <x:c r="K13422" i="2"/>
  <x:c r="L13422" i="2"/>
  <x:c r="K13423" i="2"/>
  <x:c r="L13423" i="2"/>
  <x:c r="K13424" i="2"/>
  <x:c r="L13424" i="2"/>
  <x:c r="K13425" i="2"/>
  <x:c r="L13425" i="2"/>
  <x:c r="K13426" i="2"/>
  <x:c r="L13426" i="2"/>
  <x:c r="K13427" i="2"/>
  <x:c r="L13427" i="2"/>
  <x:c r="K13428" i="2"/>
  <x:c r="L13428" i="2"/>
  <x:c r="K13429" i="2"/>
  <x:c r="L13429" i="2"/>
  <x:c r="K13430" i="2"/>
  <x:c r="L13430" i="2"/>
  <x:c r="K13431" i="2"/>
  <x:c r="L13431" i="2"/>
  <x:c r="K13432" i="2"/>
  <x:c r="L13432" i="2"/>
  <x:c r="K13433" i="2"/>
  <x:c r="L13433" i="2"/>
  <x:c r="K13434" i="2"/>
  <x:c r="L13434" i="2"/>
  <x:c r="K13435" i="2"/>
  <x:c r="L13435" i="2"/>
  <x:c r="K13436" i="2"/>
  <x:c r="L13436" i="2"/>
  <x:c r="K13437" i="2"/>
  <x:c r="L13437" i="2"/>
  <x:c r="K13438" i="2"/>
  <x:c r="L13438" i="2"/>
  <x:c r="K13439" i="2"/>
  <x:c r="L13439" i="2"/>
  <x:c r="K13440" i="2"/>
  <x:c r="L13440" i="2"/>
  <x:c r="K13441" i="2"/>
  <x:c r="L13441" i="2"/>
  <x:c r="K13442" i="2"/>
  <x:c r="L13442" i="2"/>
  <x:c r="K13443" i="2"/>
  <x:c r="L13443" i="2"/>
  <x:c r="K13444" i="2"/>
  <x:c r="L13444" i="2"/>
  <x:c r="K13445" i="2"/>
  <x:c r="L13445" i="2"/>
  <x:c r="K13446" i="2"/>
  <x:c r="L13446" i="2"/>
  <x:c r="K13447" i="2"/>
  <x:c r="L13447" i="2"/>
  <x:c r="K13448" i="2"/>
  <x:c r="L13448" i="2"/>
  <x:c r="K13449" i="2"/>
  <x:c r="L13449" i="2"/>
  <x:c r="K13450" i="2"/>
  <x:c r="L13450" i="2"/>
  <x:c r="K13451" i="2"/>
  <x:c r="L13451" i="2"/>
  <x:c r="K13452" i="2"/>
  <x:c r="L13452" i="2"/>
  <x:c r="K13453" i="2"/>
  <x:c r="L13453" i="2"/>
  <x:c r="K13454" i="2"/>
  <x:c r="L13454" i="2"/>
  <x:c r="K13455" i="2"/>
  <x:c r="L13455" i="2"/>
  <x:c r="K13456" i="2"/>
  <x:c r="L13456" i="2"/>
  <x:c r="K13457" i="2"/>
  <x:c r="L13457" i="2"/>
  <x:c r="K13458" i="2"/>
  <x:c r="L13458" i="2"/>
  <x:c r="K13459" i="2"/>
  <x:c r="L13459" i="2"/>
  <x:c r="K13460" i="2"/>
  <x:c r="L13460" i="2"/>
  <x:c r="K13461" i="2"/>
  <x:c r="L13461" i="2"/>
  <x:c r="K13462" i="2"/>
  <x:c r="L13462" i="2"/>
  <x:c r="K13463" i="2"/>
  <x:c r="L13463" i="2"/>
  <x:c r="K13464" i="2"/>
  <x:c r="L13464" i="2"/>
  <x:c r="K13465" i="2"/>
  <x:c r="L13465" i="2"/>
  <x:c r="K13466" i="2"/>
  <x:c r="L13466" i="2"/>
  <x:c r="K13467" i="2"/>
  <x:c r="L13467" i="2"/>
  <x:c r="K13468" i="2"/>
  <x:c r="L13468" i="2"/>
  <x:c r="K13469" i="2"/>
  <x:c r="L13469" i="2"/>
  <x:c r="K13470" i="2"/>
  <x:c r="L13470" i="2"/>
  <x:c r="K13471" i="2"/>
  <x:c r="L13471" i="2"/>
  <x:c r="K13472" i="2"/>
  <x:c r="L13472" i="2"/>
  <x:c r="K13473" i="2"/>
  <x:c r="L13473" i="2"/>
  <x:c r="K13474" i="2"/>
  <x:c r="L13474" i="2"/>
  <x:c r="K13475" i="2"/>
  <x:c r="L13475" i="2"/>
  <x:c r="K13476" i="2"/>
  <x:c r="L13476" i="2"/>
  <x:c r="K13477" i="2"/>
  <x:c r="L13477" i="2"/>
  <x:c r="K13478" i="2"/>
  <x:c r="L13478" i="2"/>
  <x:c r="K13479" i="2"/>
  <x:c r="L13479" i="2"/>
  <x:c r="K13480" i="2"/>
  <x:c r="L13480" i="2"/>
  <x:c r="K13481" i="2"/>
  <x:c r="L13481" i="2"/>
  <x:c r="K13482" i="2"/>
  <x:c r="L13482" i="2"/>
  <x:c r="K13483" i="2"/>
  <x:c r="L13483" i="2"/>
  <x:c r="K13484" i="2"/>
  <x:c r="L13484" i="2"/>
  <x:c r="K13485" i="2"/>
  <x:c r="L13485" i="2"/>
  <x:c r="K13486" i="2"/>
  <x:c r="L13486" i="2"/>
  <x:c r="K13487" i="2"/>
  <x:c r="L13487" i="2"/>
  <x:c r="K13488" i="2"/>
  <x:c r="L13488" i="2"/>
  <x:c r="K13489" i="2"/>
  <x:c r="L13489" i="2"/>
  <x:c r="K13490" i="2"/>
  <x:c r="L13490" i="2"/>
  <x:c r="K13491" i="2"/>
  <x:c r="L13491" i="2"/>
  <x:c r="K13492" i="2"/>
  <x:c r="L13492" i="2"/>
  <x:c r="K13493" i="2"/>
  <x:c r="L13493" i="2"/>
  <x:c r="K13494" i="2"/>
  <x:c r="L13494" i="2"/>
  <x:c r="K13495" i="2"/>
  <x:c r="L13495" i="2"/>
  <x:c r="K13496" i="2"/>
  <x:c r="L13496" i="2"/>
  <x:c r="K13497" i="2"/>
  <x:c r="L13497" i="2"/>
  <x:c r="K13498" i="2"/>
  <x:c r="L13498" i="2"/>
  <x:c r="K13499" i="2"/>
  <x:c r="L13499" i="2"/>
  <x:c r="K13500" i="2"/>
  <x:c r="L13500" i="2"/>
  <x:c r="K13501" i="2"/>
  <x:c r="L13501" i="2"/>
  <x:c r="K13502" i="2"/>
  <x:c r="L13502" i="2"/>
  <x:c r="K13503" i="2"/>
  <x:c r="L13503" i="2"/>
  <x:c r="K13504" i="2"/>
  <x:c r="L13504" i="2"/>
  <x:c r="K13505" i="2"/>
  <x:c r="L13505" i="2"/>
  <x:c r="K13506" i="2"/>
  <x:c r="L13506" i="2"/>
  <x:c r="K13507" i="2"/>
  <x:c r="L13507" i="2"/>
  <x:c r="K13508" i="2"/>
  <x:c r="L13508" i="2"/>
  <x:c r="K13509" i="2"/>
  <x:c r="L13509" i="2"/>
  <x:c r="K13510" i="2"/>
  <x:c r="L13510" i="2"/>
  <x:c r="K13511" i="2"/>
  <x:c r="L13511" i="2"/>
  <x:c r="K13512" i="2"/>
  <x:c r="L13512" i="2"/>
  <x:c r="K13513" i="2"/>
  <x:c r="L13513" i="2"/>
  <x:c r="K13514" i="2"/>
  <x:c r="L13514" i="2"/>
  <x:c r="K13515" i="2"/>
  <x:c r="L13515" i="2"/>
  <x:c r="K13516" i="2"/>
  <x:c r="L13516" i="2"/>
  <x:c r="K13517" i="2"/>
  <x:c r="L13517" i="2"/>
  <x:c r="K13518" i="2"/>
  <x:c r="L13518" i="2"/>
  <x:c r="K13519" i="2"/>
  <x:c r="L13519" i="2"/>
  <x:c r="K13520" i="2"/>
  <x:c r="L13520" i="2"/>
  <x:c r="K13521" i="2"/>
  <x:c r="L13521" i="2"/>
  <x:c r="K13522" i="2"/>
  <x:c r="L13522" i="2"/>
  <x:c r="K13523" i="2"/>
  <x:c r="L13523" i="2"/>
  <x:c r="K13524" i="2"/>
  <x:c r="L13524" i="2"/>
  <x:c r="K13525" i="2"/>
  <x:c r="L13525" i="2"/>
  <x:c r="K13526" i="2"/>
  <x:c r="L13526" i="2"/>
  <x:c r="K13527" i="2"/>
  <x:c r="L13527" i="2"/>
  <x:c r="K13528" i="2"/>
  <x:c r="L13528" i="2"/>
  <x:c r="K13529" i="2"/>
  <x:c r="L13529" i="2"/>
  <x:c r="K13530" i="2"/>
  <x:c r="L13530" i="2"/>
  <x:c r="K13531" i="2"/>
  <x:c r="L13531" i="2"/>
  <x:c r="K13532" i="2"/>
  <x:c r="L13532" i="2"/>
  <x:c r="K13533" i="2"/>
  <x:c r="L13533" i="2"/>
  <x:c r="K13534" i="2"/>
  <x:c r="L13534" i="2"/>
  <x:c r="K13535" i="2"/>
  <x:c r="L13535" i="2"/>
  <x:c r="K13536" i="2"/>
  <x:c r="L13536" i="2"/>
  <x:c r="K13537" i="2"/>
  <x:c r="L13537" i="2"/>
  <x:c r="K13538" i="2"/>
  <x:c r="L13538" i="2"/>
  <x:c r="K13539" i="2"/>
  <x:c r="L13539" i="2"/>
  <x:c r="K13540" i="2"/>
  <x:c r="L13540" i="2"/>
  <x:c r="K13541" i="2"/>
  <x:c r="L13541" i="2"/>
  <x:c r="K13542" i="2"/>
  <x:c r="L13542" i="2"/>
  <x:c r="K13543" i="2"/>
  <x:c r="L13543" i="2"/>
  <x:c r="K13544" i="2"/>
  <x:c r="L13544" i="2"/>
  <x:c r="K13545" i="2"/>
  <x:c r="L13545" i="2"/>
  <x:c r="K13546" i="2"/>
  <x:c r="L13546" i="2"/>
  <x:c r="K13547" i="2"/>
  <x:c r="L13547" i="2"/>
  <x:c r="K13548" i="2"/>
  <x:c r="L13548" i="2"/>
  <x:c r="K13549" i="2"/>
  <x:c r="L13549" i="2"/>
  <x:c r="K13550" i="2"/>
  <x:c r="L13550" i="2"/>
  <x:c r="K13551" i="2"/>
  <x:c r="L13551" i="2"/>
  <x:c r="K13552" i="2"/>
  <x:c r="L13552" i="2"/>
  <x:c r="K13553" i="2"/>
  <x:c r="L13553" i="2"/>
  <x:c r="K13554" i="2"/>
  <x:c r="L13554" i="2"/>
  <x:c r="K13555" i="2"/>
  <x:c r="L13555" i="2"/>
  <x:c r="K13556" i="2"/>
  <x:c r="L13556" i="2"/>
  <x:c r="K13557" i="2"/>
  <x:c r="L13557" i="2"/>
  <x:c r="K13558" i="2"/>
  <x:c r="L13558" i="2"/>
  <x:c r="K13559" i="2"/>
  <x:c r="L13559" i="2"/>
  <x:c r="K13560" i="2"/>
  <x:c r="L13560" i="2"/>
  <x:c r="K13561" i="2"/>
  <x:c r="L13561" i="2"/>
  <x:c r="K13562" i="2"/>
  <x:c r="L13562" i="2"/>
  <x:c r="K13563" i="2"/>
  <x:c r="L13563" i="2"/>
  <x:c r="K13564" i="2"/>
  <x:c r="L13564" i="2"/>
  <x:c r="K13565" i="2"/>
  <x:c r="L13565" i="2"/>
  <x:c r="K13566" i="2"/>
  <x:c r="L13566" i="2"/>
  <x:c r="K13567" i="2"/>
  <x:c r="L13567" i="2"/>
  <x:c r="K13568" i="2"/>
  <x:c r="L13568" i="2"/>
  <x:c r="K13569" i="2"/>
  <x:c r="L13569" i="2"/>
  <x:c r="K13570" i="2"/>
  <x:c r="L13570" i="2"/>
  <x:c r="K13571" i="2"/>
  <x:c r="L13571" i="2"/>
  <x:c r="K13572" i="2"/>
  <x:c r="L13572" i="2"/>
  <x:c r="K13573" i="2"/>
  <x:c r="L13573" i="2"/>
  <x:c r="K13574" i="2"/>
  <x:c r="L13574" i="2"/>
  <x:c r="K13575" i="2"/>
  <x:c r="L13575" i="2"/>
  <x:c r="K13576" i="2"/>
  <x:c r="L13576" i="2"/>
  <x:c r="K13577" i="2"/>
  <x:c r="L13577" i="2"/>
  <x:c r="K13578" i="2"/>
  <x:c r="L13578" i="2"/>
  <x:c r="K13579" i="2"/>
  <x:c r="L13579" i="2"/>
  <x:c r="K13580" i="2"/>
  <x:c r="L13580" i="2"/>
  <x:c r="K13581" i="2"/>
  <x:c r="L13581" i="2"/>
  <x:c r="K13582" i="2"/>
  <x:c r="L13582" i="2"/>
  <x:c r="K13583" i="2"/>
  <x:c r="L13583" i="2"/>
  <x:c r="K13584" i="2"/>
  <x:c r="L13584" i="2"/>
  <x:c r="K13585" i="2"/>
  <x:c r="L13585" i="2"/>
  <x:c r="K13586" i="2"/>
  <x:c r="L13586" i="2"/>
  <x:c r="K13587" i="2"/>
  <x:c r="L13587" i="2"/>
  <x:c r="K13588" i="2"/>
  <x:c r="L13588" i="2"/>
  <x:c r="K13589" i="2"/>
  <x:c r="L13589" i="2"/>
  <x:c r="K13590" i="2"/>
  <x:c r="L13590" i="2"/>
  <x:c r="K13591" i="2"/>
  <x:c r="L13591" i="2"/>
  <x:c r="K13592" i="2"/>
  <x:c r="L13592" i="2"/>
  <x:c r="K13593" i="2"/>
  <x:c r="L13593" i="2"/>
  <x:c r="K13594" i="2"/>
  <x:c r="L13594" i="2"/>
  <x:c r="K13595" i="2"/>
  <x:c r="L13595" i="2"/>
  <x:c r="K13596" i="2"/>
  <x:c r="L13596" i="2"/>
  <x:c r="K13597" i="2"/>
  <x:c r="L13597" i="2"/>
  <x:c r="K13598" i="2"/>
  <x:c r="L13598" i="2"/>
  <x:c r="K13599" i="2"/>
  <x:c r="L13599" i="2"/>
  <x:c r="K13600" i="2"/>
  <x:c r="L13600" i="2"/>
  <x:c r="K13601" i="2"/>
  <x:c r="L13601" i="2"/>
  <x:c r="K13602" i="2"/>
  <x:c r="L13602" i="2"/>
  <x:c r="K13603" i="2"/>
  <x:c r="L13603" i="2"/>
  <x:c r="K13604" i="2"/>
  <x:c r="L13604" i="2"/>
  <x:c r="K13605" i="2"/>
  <x:c r="L13605" i="2"/>
  <x:c r="K13606" i="2"/>
  <x:c r="L13606" i="2"/>
  <x:c r="K13607" i="2"/>
  <x:c r="L13607" i="2"/>
  <x:c r="K13608" i="2"/>
  <x:c r="L13608" i="2"/>
  <x:c r="K13609" i="2"/>
  <x:c r="L13609" i="2"/>
  <x:c r="K13610" i="2"/>
  <x:c r="L13610" i="2"/>
  <x:c r="K13611" i="2"/>
  <x:c r="L13611" i="2"/>
  <x:c r="K13612" i="2"/>
  <x:c r="L13612" i="2"/>
  <x:c r="K13613" i="2"/>
  <x:c r="L13613" i="2"/>
  <x:c r="K13614" i="2"/>
  <x:c r="L13614" i="2"/>
  <x:c r="K13615" i="2"/>
  <x:c r="L13615" i="2"/>
  <x:c r="K13616" i="2"/>
  <x:c r="L13616" i="2"/>
  <x:c r="K13617" i="2"/>
  <x:c r="L13617" i="2"/>
  <x:c r="K13618" i="2"/>
  <x:c r="L13618" i="2"/>
  <x:c r="K13619" i="2"/>
  <x:c r="L13619" i="2"/>
  <x:c r="K13620" i="2"/>
  <x:c r="L13620" i="2"/>
  <x:c r="K13621" i="2"/>
  <x:c r="L13621" i="2"/>
  <x:c r="K13622" i="2"/>
  <x:c r="L13622" i="2"/>
  <x:c r="K13623" i="2"/>
  <x:c r="L13623" i="2"/>
  <x:c r="K13624" i="2"/>
  <x:c r="L13624" i="2"/>
  <x:c r="K13625" i="2"/>
  <x:c r="L13625" i="2"/>
  <x:c r="K13626" i="2"/>
  <x:c r="L13626" i="2"/>
  <x:c r="K13627" i="2"/>
  <x:c r="L13627" i="2"/>
  <x:c r="K13628" i="2"/>
  <x:c r="L13628" i="2"/>
  <x:c r="K13629" i="2"/>
  <x:c r="L13629" i="2"/>
  <x:c r="K13630" i="2"/>
  <x:c r="L13630" i="2"/>
  <x:c r="K13631" i="2"/>
  <x:c r="L13631" i="2"/>
  <x:c r="K13632" i="2"/>
  <x:c r="L13632" i="2"/>
  <x:c r="K13633" i="2"/>
  <x:c r="L13633" i="2"/>
  <x:c r="K13634" i="2"/>
  <x:c r="L13634" i="2"/>
  <x:c r="K13635" i="2"/>
  <x:c r="L13635" i="2"/>
  <x:c r="K13636" i="2"/>
  <x:c r="L13636" i="2"/>
  <x:c r="K13637" i="2"/>
  <x:c r="L13637" i="2"/>
  <x:c r="K13638" i="2"/>
  <x:c r="L13638" i="2"/>
  <x:c r="K13639" i="2"/>
  <x:c r="L13639" i="2"/>
  <x:c r="K13640" i="2"/>
  <x:c r="L13640" i="2"/>
  <x:c r="K13641" i="2"/>
  <x:c r="L13641" i="2"/>
  <x:c r="K13642" i="2"/>
  <x:c r="L13642" i="2"/>
  <x:c r="K13643" i="2"/>
  <x:c r="L13643" i="2"/>
  <x:c r="K13644" i="2"/>
  <x:c r="L13644" i="2"/>
  <x:c r="K13645" i="2"/>
  <x:c r="L13645" i="2"/>
  <x:c r="K13646" i="2"/>
  <x:c r="L13646" i="2"/>
  <x:c r="K13647" i="2"/>
  <x:c r="L13647" i="2"/>
  <x:c r="K13648" i="2"/>
  <x:c r="L13648" i="2"/>
  <x:c r="K13649" i="2"/>
  <x:c r="L13649" i="2"/>
  <x:c r="K13650" i="2"/>
  <x:c r="L13650" i="2"/>
  <x:c r="K13651" i="2"/>
  <x:c r="L13651" i="2"/>
  <x:c r="K13652" i="2"/>
  <x:c r="L13652" i="2"/>
  <x:c r="K13653" i="2"/>
  <x:c r="L13653" i="2"/>
  <x:c r="K13654" i="2"/>
  <x:c r="L13654" i="2"/>
  <x:c r="K13655" i="2"/>
  <x:c r="L13655" i="2"/>
  <x:c r="K13656" i="2"/>
  <x:c r="L13656" i="2"/>
  <x:c r="K13657" i="2"/>
  <x:c r="L13657" i="2"/>
  <x:c r="K13658" i="2"/>
  <x:c r="L13658" i="2"/>
  <x:c r="K13659" i="2"/>
  <x:c r="L13659" i="2"/>
  <x:c r="K13660" i="2"/>
  <x:c r="L13660" i="2"/>
  <x:c r="K13661" i="2"/>
  <x:c r="L13661" i="2"/>
  <x:c r="K13662" i="2"/>
  <x:c r="L13662" i="2"/>
  <x:c r="K13663" i="2"/>
  <x:c r="L13663" i="2"/>
  <x:c r="K13664" i="2"/>
  <x:c r="L13664" i="2"/>
  <x:c r="K13665" i="2"/>
  <x:c r="L13665" i="2"/>
  <x:c r="K13666" i="2"/>
  <x:c r="L13666" i="2"/>
  <x:c r="K13667" i="2"/>
  <x:c r="L13667" i="2"/>
  <x:c r="K13668" i="2"/>
  <x:c r="L13668" i="2"/>
  <x:c r="K13669" i="2"/>
  <x:c r="L13669" i="2"/>
  <x:c r="K13670" i="2"/>
  <x:c r="L13670" i="2"/>
  <x:c r="K13671" i="2"/>
  <x:c r="L13671" i="2"/>
  <x:c r="K13672" i="2"/>
  <x:c r="L13672" i="2"/>
  <x:c r="K13673" i="2"/>
  <x:c r="L13673" i="2"/>
  <x:c r="K13674" i="2"/>
  <x:c r="L13674" i="2"/>
  <x:c r="K13675" i="2"/>
  <x:c r="L13675" i="2"/>
  <x:c r="K13676" i="2"/>
  <x:c r="L13676" i="2"/>
  <x:c r="K13677" i="2"/>
  <x:c r="L13677" i="2"/>
  <x:c r="K13678" i="2"/>
  <x:c r="L13678" i="2"/>
  <x:c r="K13679" i="2"/>
  <x:c r="L13679" i="2"/>
  <x:c r="K13680" i="2"/>
  <x:c r="L13680" i="2"/>
  <x:c r="K13681" i="2"/>
  <x:c r="L13681" i="2"/>
  <x:c r="K13682" i="2"/>
  <x:c r="L13682" i="2"/>
  <x:c r="K13683" i="2"/>
  <x:c r="L13683" i="2"/>
  <x:c r="K13684" i="2"/>
  <x:c r="L13684" i="2"/>
  <x:c r="K13685" i="2"/>
  <x:c r="L13685" i="2"/>
  <x:c r="K13686" i="2"/>
  <x:c r="L13686" i="2"/>
  <x:c r="K13687" i="2"/>
  <x:c r="L13687" i="2"/>
  <x:c r="K13688" i="2"/>
  <x:c r="L13688" i="2"/>
  <x:c r="K13689" i="2"/>
  <x:c r="L13689" i="2"/>
  <x:c r="K13690" i="2"/>
  <x:c r="L13690" i="2"/>
  <x:c r="K13691" i="2"/>
  <x:c r="L13691" i="2"/>
  <x:c r="K13692" i="2"/>
  <x:c r="L13692" i="2"/>
  <x:c r="K13693" i="2"/>
  <x:c r="L13693" i="2"/>
  <x:c r="K13694" i="2"/>
  <x:c r="L13694" i="2"/>
  <x:c r="K13695" i="2"/>
  <x:c r="L13695" i="2"/>
  <x:c r="K13696" i="2"/>
  <x:c r="L13696" i="2"/>
  <x:c r="K13697" i="2"/>
  <x:c r="L13697" i="2"/>
  <x:c r="K13698" i="2"/>
  <x:c r="L13698" i="2"/>
  <x:c r="K13699" i="2"/>
  <x:c r="L13699" i="2"/>
  <x:c r="K13700" i="2"/>
  <x:c r="L13700" i="2"/>
  <x:c r="K13701" i="2"/>
  <x:c r="L13701" i="2"/>
  <x:c r="K13702" i="2"/>
  <x:c r="L13702" i="2"/>
  <x:c r="K13703" i="2"/>
  <x:c r="L13703" i="2"/>
  <x:c r="K13704" i="2"/>
  <x:c r="L13704" i="2"/>
  <x:c r="K13705" i="2"/>
  <x:c r="L13705" i="2"/>
  <x:c r="K13706" i="2"/>
  <x:c r="L13706" i="2"/>
  <x:c r="K13707" i="2"/>
  <x:c r="L13707" i="2"/>
  <x:c r="K13708" i="2"/>
  <x:c r="L13708" i="2"/>
  <x:c r="K13709" i="2"/>
  <x:c r="L13709" i="2"/>
  <x:c r="K13710" i="2"/>
  <x:c r="L13710" i="2"/>
  <x:c r="K13711" i="2"/>
  <x:c r="L13711" i="2"/>
  <x:c r="K13712" i="2"/>
  <x:c r="L13712" i="2"/>
  <x:c r="K13713" i="2"/>
  <x:c r="L13713" i="2"/>
  <x:c r="K13714" i="2"/>
  <x:c r="L13714" i="2"/>
  <x:c r="K13715" i="2"/>
  <x:c r="L13715" i="2"/>
  <x:c r="K13716" i="2"/>
  <x:c r="L13716" i="2"/>
  <x:c r="K13717" i="2"/>
  <x:c r="L13717" i="2"/>
  <x:c r="K13718" i="2"/>
  <x:c r="L13718" i="2"/>
  <x:c r="K13719" i="2"/>
  <x:c r="L13719" i="2"/>
  <x:c r="K13720" i="2"/>
  <x:c r="L13720" i="2"/>
  <x:c r="K13721" i="2"/>
  <x:c r="L13721" i="2"/>
  <x:c r="K13722" i="2"/>
  <x:c r="L13722" i="2"/>
  <x:c r="K13723" i="2"/>
  <x:c r="L13723" i="2"/>
  <x:c r="K13724" i="2"/>
  <x:c r="L13724" i="2"/>
  <x:c r="K13725" i="2"/>
  <x:c r="L13725" i="2"/>
  <x:c r="K13726" i="2"/>
  <x:c r="L13726" i="2"/>
  <x:c r="K13727" i="2"/>
  <x:c r="L13727" i="2"/>
  <x:c r="K13728" i="2"/>
  <x:c r="L13728" i="2"/>
  <x:c r="K13729" i="2"/>
  <x:c r="L13729" i="2"/>
  <x:c r="K13730" i="2"/>
  <x:c r="L13730" i="2"/>
  <x:c r="K13731" i="2"/>
  <x:c r="L13731" i="2"/>
  <x:c r="K13732" i="2"/>
  <x:c r="L13732" i="2"/>
  <x:c r="K13733" i="2"/>
  <x:c r="L13733" i="2"/>
  <x:c r="K13734" i="2"/>
  <x:c r="L13734" i="2"/>
  <x:c r="K13735" i="2"/>
  <x:c r="L13735" i="2"/>
  <x:c r="K13736" i="2"/>
  <x:c r="L13736" i="2"/>
  <x:c r="K13737" i="2"/>
  <x:c r="L13737" i="2"/>
  <x:c r="K13738" i="2"/>
  <x:c r="L13738" i="2"/>
  <x:c r="K13739" i="2"/>
  <x:c r="L13739" i="2"/>
  <x:c r="K13740" i="2"/>
  <x:c r="L13740" i="2"/>
  <x:c r="K13741" i="2"/>
  <x:c r="L13741" i="2"/>
  <x:c r="K13742" i="2"/>
  <x:c r="L13742" i="2"/>
  <x:c r="K13743" i="2"/>
  <x:c r="L13743" i="2"/>
  <x:c r="K13744" i="2"/>
  <x:c r="L13744" i="2"/>
  <x:c r="K13745" i="2"/>
  <x:c r="L13745" i="2"/>
  <x:c r="K13746" i="2"/>
  <x:c r="L13746" i="2"/>
  <x:c r="K13747" i="2"/>
  <x:c r="L13747" i="2"/>
  <x:c r="K13748" i="2"/>
  <x:c r="L13748" i="2"/>
  <x:c r="K13749" i="2"/>
  <x:c r="L13749" i="2"/>
  <x:c r="K13750" i="2"/>
  <x:c r="L13750" i="2"/>
  <x:c r="K13751" i="2"/>
  <x:c r="L13751" i="2"/>
  <x:c r="K13752" i="2"/>
  <x:c r="L13752" i="2"/>
  <x:c r="K13753" i="2"/>
  <x:c r="L13753" i="2"/>
  <x:c r="K13754" i="2"/>
  <x:c r="L13754" i="2"/>
  <x:c r="K13755" i="2"/>
  <x:c r="L13755" i="2"/>
  <x:c r="K13756" i="2"/>
  <x:c r="L13756" i="2"/>
  <x:c r="K13757" i="2"/>
  <x:c r="L13757" i="2"/>
  <x:c r="K13758" i="2"/>
  <x:c r="L13758" i="2"/>
  <x:c r="K13759" i="2"/>
  <x:c r="L13759" i="2"/>
  <x:c r="K13760" i="2"/>
  <x:c r="L13760" i="2"/>
  <x:c r="K13761" i="2"/>
  <x:c r="L13761" i="2"/>
  <x:c r="K13762" i="2"/>
  <x:c r="L13762" i="2"/>
  <x:c r="K13763" i="2"/>
  <x:c r="L13763" i="2"/>
  <x:c r="K13764" i="2"/>
  <x:c r="L13764" i="2"/>
  <x:c r="K13765" i="2"/>
  <x:c r="L13765" i="2"/>
  <x:c r="K13766" i="2"/>
  <x:c r="L13766" i="2"/>
  <x:c r="K13767" i="2"/>
  <x:c r="L13767" i="2"/>
  <x:c r="K13768" i="2"/>
  <x:c r="L13768" i="2"/>
  <x:c r="K13769" i="2"/>
  <x:c r="L13769" i="2"/>
  <x:c r="K13770" i="2"/>
  <x:c r="L13770" i="2"/>
  <x:c r="K13771" i="2"/>
  <x:c r="L13771" i="2"/>
  <x:c r="K13772" i="2"/>
  <x:c r="L13772" i="2"/>
  <x:c r="K13773" i="2"/>
  <x:c r="L13773" i="2"/>
  <x:c r="K13774" i="2"/>
  <x:c r="L13774" i="2"/>
  <x:c r="K13775" i="2"/>
  <x:c r="L13775" i="2"/>
  <x:c r="K13776" i="2"/>
  <x:c r="L13776" i="2"/>
  <x:c r="K13777" i="2"/>
  <x:c r="L13777" i="2"/>
  <x:c r="K13778" i="2"/>
  <x:c r="L13778" i="2"/>
  <x:c r="K13779" i="2"/>
  <x:c r="L13779" i="2"/>
  <x:c r="K13780" i="2"/>
  <x:c r="L13780" i="2"/>
  <x:c r="K13781" i="2"/>
  <x:c r="L13781" i="2"/>
  <x:c r="K13782" i="2"/>
  <x:c r="L13782" i="2"/>
  <x:c r="K13783" i="2"/>
  <x:c r="L13783" i="2"/>
  <x:c r="K13784" i="2"/>
  <x:c r="L13784" i="2"/>
  <x:c r="K13785" i="2"/>
  <x:c r="L13785" i="2"/>
  <x:c r="K13786" i="2"/>
  <x:c r="L13786" i="2"/>
  <x:c r="K13787" i="2"/>
  <x:c r="L13787" i="2"/>
  <x:c r="K13788" i="2"/>
  <x:c r="L13788" i="2"/>
  <x:c r="K13789" i="2"/>
  <x:c r="L13789" i="2"/>
  <x:c r="K13790" i="2"/>
  <x:c r="L13790" i="2"/>
  <x:c r="K13791" i="2"/>
  <x:c r="L13791" i="2"/>
  <x:c r="K13792" i="2"/>
  <x:c r="L13792" i="2"/>
  <x:c r="K13793" i="2"/>
  <x:c r="L13793" i="2"/>
  <x:c r="K13794" i="2"/>
  <x:c r="L13794" i="2"/>
  <x:c r="K13795" i="2"/>
  <x:c r="L13795" i="2"/>
  <x:c r="K13796" i="2"/>
  <x:c r="L13796" i="2"/>
  <x:c r="K13797" i="2"/>
  <x:c r="L13797" i="2"/>
  <x:c r="K13798" i="2"/>
  <x:c r="L13798" i="2"/>
  <x:c r="K13799" i="2"/>
  <x:c r="L13799" i="2"/>
  <x:c r="K13800" i="2"/>
  <x:c r="L13800" i="2"/>
  <x:c r="K13801" i="2"/>
  <x:c r="L13801" i="2"/>
  <x:c r="K13802" i="2"/>
  <x:c r="L13802" i="2"/>
  <x:c r="K13803" i="2"/>
  <x:c r="L13803" i="2"/>
  <x:c r="K13804" i="2"/>
  <x:c r="L13804" i="2"/>
  <x:c r="K13805" i="2"/>
  <x:c r="L13805" i="2"/>
  <x:c r="K13806" i="2"/>
  <x:c r="L13806" i="2"/>
  <x:c r="K13807" i="2"/>
  <x:c r="L13807" i="2"/>
  <x:c r="K13808" i="2"/>
  <x:c r="L13808" i="2"/>
  <x:c r="K13809" i="2"/>
  <x:c r="L13809" i="2"/>
  <x:c r="K13810" i="2"/>
  <x:c r="L13810" i="2"/>
  <x:c r="K13811" i="2"/>
  <x:c r="L13811" i="2"/>
  <x:c r="K13812" i="2"/>
  <x:c r="L13812" i="2"/>
  <x:c r="K13813" i="2"/>
  <x:c r="L13813" i="2"/>
  <x:c r="K13814" i="2"/>
  <x:c r="L13814" i="2"/>
  <x:c r="K13815" i="2"/>
  <x:c r="L13815" i="2"/>
  <x:c r="K13816" i="2"/>
  <x:c r="L13816" i="2"/>
  <x:c r="K13817" i="2"/>
  <x:c r="L13817" i="2"/>
  <x:c r="K13818" i="2"/>
  <x:c r="L13818" i="2"/>
  <x:c r="K13819" i="2"/>
  <x:c r="L13819" i="2"/>
  <x:c r="K13820" i="2"/>
  <x:c r="L13820" i="2"/>
  <x:c r="K13821" i="2"/>
  <x:c r="L13821" i="2"/>
  <x:c r="K13822" i="2"/>
  <x:c r="L13822" i="2"/>
  <x:c r="K13823" i="2"/>
  <x:c r="L13823" i="2"/>
  <x:c r="K13824" i="2"/>
  <x:c r="L13824" i="2"/>
  <x:c r="K13825" i="2"/>
  <x:c r="L13825" i="2"/>
  <x:c r="K13826" i="2"/>
  <x:c r="L13826" i="2"/>
  <x:c r="K13827" i="2"/>
  <x:c r="L13827" i="2"/>
  <x:c r="K13828" i="2"/>
  <x:c r="L13828" i="2"/>
  <x:c r="K13829" i="2"/>
  <x:c r="L13829" i="2"/>
  <x:c r="K13830" i="2"/>
  <x:c r="L13830" i="2"/>
  <x:c r="K13831" i="2"/>
  <x:c r="L13831" i="2"/>
  <x:c r="K13832" i="2"/>
  <x:c r="L13832" i="2"/>
  <x:c r="K13833" i="2"/>
  <x:c r="L13833" i="2"/>
  <x:c r="K13834" i="2"/>
  <x:c r="L13834" i="2"/>
  <x:c r="K13835" i="2"/>
  <x:c r="L13835" i="2"/>
  <x:c r="K13836" i="2"/>
  <x:c r="L13836" i="2"/>
  <x:c r="K13837" i="2"/>
  <x:c r="L13837" i="2"/>
  <x:c r="K13838" i="2"/>
  <x:c r="L13838" i="2"/>
  <x:c r="K13839" i="2"/>
  <x:c r="L13839" i="2"/>
  <x:c r="K13840" i="2"/>
  <x:c r="L13840" i="2"/>
  <x:c r="K13841" i="2"/>
  <x:c r="L13841" i="2"/>
  <x:c r="K13842" i="2"/>
  <x:c r="L13842" i="2"/>
  <x:c r="K13843" i="2"/>
  <x:c r="L13843" i="2"/>
  <x:c r="K13844" i="2"/>
  <x:c r="L13844" i="2"/>
  <x:c r="K13845" i="2"/>
  <x:c r="L13845" i="2"/>
  <x:c r="K13846" i="2"/>
  <x:c r="L13846" i="2"/>
  <x:c r="K13847" i="2"/>
  <x:c r="L13847" i="2"/>
  <x:c r="K13848" i="2"/>
  <x:c r="L13848" i="2"/>
  <x:c r="K13849" i="2"/>
  <x:c r="L13849" i="2"/>
  <x:c r="K13850" i="2"/>
  <x:c r="L13850" i="2"/>
  <x:c r="K13851" i="2"/>
  <x:c r="L13851" i="2"/>
  <x:c r="K13852" i="2"/>
  <x:c r="L13852" i="2"/>
  <x:c r="K13853" i="2"/>
  <x:c r="L13853" i="2"/>
  <x:c r="K13854" i="2"/>
  <x:c r="L13854" i="2"/>
  <x:c r="K13855" i="2"/>
  <x:c r="L13855" i="2"/>
  <x:c r="K13856" i="2"/>
  <x:c r="L13856" i="2"/>
  <x:c r="K13857" i="2"/>
  <x:c r="L13857" i="2"/>
  <x:c r="K13858" i="2"/>
  <x:c r="L13858" i="2"/>
  <x:c r="K13859" i="2"/>
  <x:c r="L13859" i="2"/>
  <x:c r="K13860" i="2"/>
  <x:c r="L13860" i="2"/>
  <x:c r="K13861" i="2"/>
  <x:c r="L13861" i="2"/>
  <x:c r="K13862" i="2"/>
  <x:c r="L13862" i="2"/>
  <x:c r="K13863" i="2"/>
  <x:c r="L13863" i="2"/>
  <x:c r="K13864" i="2"/>
  <x:c r="L13864" i="2"/>
  <x:c r="K13865" i="2"/>
  <x:c r="L13865" i="2"/>
  <x:c r="K13866" i="2"/>
  <x:c r="L13866" i="2"/>
  <x:c r="K13867" i="2"/>
  <x:c r="L13867" i="2"/>
</x:calcChain>
</file>

<file path=xl/sharedStrings.xml><?xml version="1.0" encoding="utf-8"?>
<x:sst xmlns:x="http://schemas.openxmlformats.org/spreadsheetml/2006/main" count="52204" uniqueCount="52204">
  <x:si>
    <x:t>Foundation URI</x:t>
  </x:si>
  <x:si>
    <x:t>Linearization (release) URI</x:t>
  </x:si>
  <x:si>
    <x:t>Code</x:t>
  </x:si>
  <x:si>
    <x:t>BlockId</x:t>
  </x:si>
  <x:si>
    <x:t>Title</x:t>
  </x:si>
  <x:si>
    <x:t>ClassKind</x:t>
  </x:si>
  <x:si>
    <x:t>DepthInKind</x:t>
  </x:si>
  <x:si>
    <x:t>IsResidual</x:t>
  </x:si>
  <x:si>
    <x:t>PrimaryLocation</x:t>
  </x:si>
  <x:si>
    <x:t>ChapterNo</x:t>
  </x:si>
  <x:si>
    <x:t>BrowserLink</x:t>
  </x:si>
  <x:si>
    <x:t>iCatLink</x:t>
  </x:si>
  <x:si>
    <x:t>isLeaf</x:t>
  </x:si>
  <x:si>
    <x:t>noOfNonResidualChildren</x:t>
  </x:si>
  <x:si>
    <x:t>Version:2023 Jan 05 - 22:30 UTC</x:t>
  </x:si>
  <x:si>
    <x:t>http://id.who.int/icd/entity/1190112446</x:t>
  </x:si>
  <x:si>
    <x:t>http://id.who.int/icd/release/11/beta/ichi/1190112446</x:t>
  </x:si>
  <x:si>
    <x:t>ICHI Category</x:t>
  </x:si>
  <x:si>
    <x:t>chapter</x:t>
  </x:si>
  <x:si>
    <x:t>1</x:t>
  </x:si>
  <x:si>
    <x:t>False</x:t>
  </x:si>
  <x:si>
    <x:t>True</x:t>
  </x:si>
  <x:si>
    <x:t>4</x:t>
  </x:si>
  <x:si>
    <x:t>http://id.who.int/icd/entity/775570186</x:t>
  </x:si>
  <x:si>
    <x:t>http://id.who.int/icd/release/11/beta/ichi/775570186</x:t>
  </x:si>
  <x:si>
    <x:t>- Target</x:t>
  </x:si>
  <x:si>
    <x:t>block</x:t>
  </x:si>
  <x:si>
    <x:t>http://id.who.int/icd/entity/237648262</x:t>
  </x:si>
  <x:si>
    <x:t>http://id.who.int/icd/release/11/beta/ichi/237648262</x:t>
  </x:si>
  <x:si>
    <x:t>- - Targets for body systems or functions</x:t>
  </x:si>
  <x:si>
    <x:t>2</x:t>
  </x:si>
  <x:si>
    <x:t>12</x:t>
  </x:si>
  <x:si>
    <x:t>http://id.who.int/icd/entity/1582424117</x:t>
  </x:si>
  <x:si>
    <x:t>http://id.who.int/icd/release/11/beta/ichi/1582424117</x:t>
  </x:si>
  <x:si>
    <x:t>- - - Nervous system and mental function targets</x:t>
  </x:si>
  <x:si>
    <x:t>3</x:t>
  </x:si>
  <x:si>
    <x:t>9</x:t>
  </x:si>
  <x:si>
    <x:t>http://id.who.int/icd/entity/1735522282</x:t>
  </x:si>
  <x:si>
    <x:t>http://id.who.int/icd/release/11/beta/ichi/1735522282</x:t>
  </x:si>
  <x:si>
    <x:t>- - - - Brain or cranial nerves</x:t>
  </x:si>
  <x:si>
    <x:t>5</x:t>
  </x:si>
  <x:si>
    <x:t>http://id.who.int/icd/entity/785599416</x:t>
  </x:si>
  <x:si>
    <x:t>http://id.who.int/icd/release/11/beta/ichi/785599416</x:t>
  </x:si>
  <x:si>
    <x:t>AAA</x:t>
  </x:si>
  <x:si>
    <x:t>- - - - - Brain</x:t>
  </x:si>
  <x:si>
    <x:t>category</x:t>
  </x:si>
  <x:si>
    <x:t>0</x:t>
  </x:si>
  <x:si>
    <x:t>http://id.who.int/icd/entity/842924453</x:t>
  </x:si>
  <x:si>
    <x:t>http://id.who.int/icd/release/11/beta/ichi/842924453</x:t>
  </x:si>
  <x:si>
    <x:t>AAC</x:t>
  </x:si>
  <x:si>
    <x:t>- - - - - Intracranial meninges</x:t>
  </x:si>
  <x:si>
    <x:t>http://id.who.int/icd/entity/1845252230</x:t>
  </x:si>
  <x:si>
    <x:t>http://id.who.int/icd/release/11/beta/ichi/1845252230</x:t>
  </x:si>
  <x:si>
    <x:t>AAE</x:t>
  </x:si>
  <x:si>
    <x:t>- - - - - Ventricular system of brain</x:t>
  </x:si>
  <x:si>
    <x:t>http://id.who.int/icd/entity/2013456078</x:t>
  </x:si>
  <x:si>
    <x:t>http://id.who.int/icd/release/11/beta/ichi/2013456078</x:t>
  </x:si>
  <x:si>
    <x:t>AAG</x:t>
  </x:si>
  <x:si>
    <x:t>- - - - - Intracranial space</x:t>
  </x:si>
  <x:si>
    <x:t>http://id.who.int/icd/entity/2110992800</x:t>
  </x:si>
  <x:si>
    <x:t>http://id.who.int/icd/release/11/beta/ichi/2110992800</x:t>
  </x:si>
  <x:si>
    <x:t>AAN</x:t>
  </x:si>
  <x:si>
    <x:t>- - - - - Cranial nerve</x:t>
  </x:si>
  <x:si>
    <x:t>http://id.who.int/icd/entity/1919596850</x:t>
  </x:si>
  <x:si>
    <x:t>http://id.who.int/icd/release/11/beta/ichi/1919596850</x:t>
  </x:si>
  <x:si>
    <x:t>- - - - Spinal cord structures</x:t>
  </x:si>
  <x:si>
    <x:t>http://id.who.int/icd/entity/1385417488</x:t>
  </x:si>
  <x:si>
    <x:t>http://id.who.int/icd/release/11/beta/ichi/1385417488</x:t>
  </x:si>
  <x:si>
    <x:t>ABA</x:t>
  </x:si>
  <x:si>
    <x:t>- - - - - Spinal cord</x:t>
  </x:si>
  <x:si>
    <x:t>http://id.who.int/icd/entity/304253705</x:t>
  </x:si>
  <x:si>
    <x:t>http://id.who.int/icd/release/11/beta/ichi/304253705</x:t>
  </x:si>
  <x:si>
    <x:t>ABC</x:t>
  </x:si>
  <x:si>
    <x:t>- - - - - Spinal meninges</x:t>
  </x:si>
  <x:si>
    <x:t>http://id.who.int/icd/entity/131874113</x:t>
  </x:si>
  <x:si>
    <x:t>http://id.who.int/icd/release/11/beta/ichi/131874113</x:t>
  </x:si>
  <x:si>
    <x:t>ABG</x:t>
  </x:si>
  <x:si>
    <x:t>- - - - - Spinal cavity</x:t>
  </x:si>
  <x:si>
    <x:t>http://id.who.int/icd/entity/1478388836</x:t>
  </x:si>
  <x:si>
    <x:t>http://id.who.int/icd/release/11/beta/ichi/1478388836</x:t>
  </x:si>
  <x:si>
    <x:t>ABN</x:t>
  </x:si>
  <x:si>
    <x:t>- - - - - Spinal nerve</x:t>
  </x:si>
  <x:si>
    <x:t>http://id.who.int/icd/entity/1830397974</x:t>
  </x:si>
  <x:si>
    <x:t>http://id.who.int/icd/release/11/beta/ichi/1830397974</x:t>
  </x:si>
  <x:si>
    <x:t>ACA</x:t>
  </x:si>
  <x:si>
    <x:t>- - - - Peripheral nervous system</x:t>
  </x:si>
  <x:si>
    <x:t>http://id.who.int/icd/entity/125537585</x:t>
  </x:si>
  <x:si>
    <x:t>http://id.who.int/icd/release/11/beta/ichi/125537585</x:t>
  </x:si>
  <x:si>
    <x:t>- - - - Sympathetic nervous system</x:t>
  </x:si>
  <x:si>
    <x:t>http://id.who.int/icd/entity/1124000456</x:t>
  </x:si>
  <x:si>
    <x:t>http://id.who.int/icd/release/11/beta/ichi/1124000456</x:t>
  </x:si>
  <x:si>
    <x:t>ADA</x:t>
  </x:si>
  <x:si>
    <x:t>- - - - - Sympathetic nervous system, not elsewhere classified</x:t>
  </x:si>
  <x:si>
    <x:t>http://id.who.int/icd/entity/1296525914</x:t>
  </x:si>
  <x:si>
    <x:t>http://id.who.int/icd/release/11/beta/ichi/1296525914</x:t>
  </x:si>
  <x:si>
    <x:t>ADB</x:t>
  </x:si>
  <x:si>
    <x:t>- - - - - Sympathetic nervous system, cervical</x:t>
  </x:si>
  <x:si>
    <x:t>http://id.who.int/icd/entity/1646507694</x:t>
  </x:si>
  <x:si>
    <x:t>http://id.who.int/icd/release/11/beta/ichi/1646507694</x:t>
  </x:si>
  <x:si>
    <x:t>ADC</x:t>
  </x:si>
  <x:si>
    <x:t>- - - - - Sympathetic nervous system, thoracic</x:t>
  </x:si>
  <x:si>
    <x:t>http://id.who.int/icd/entity/1462006488</x:t>
  </x:si>
  <x:si>
    <x:t>http://id.who.int/icd/release/11/beta/ichi/1462006488</x:t>
  </x:si>
  <x:si>
    <x:t>ADD</x:t>
  </x:si>
  <x:si>
    <x:t>- - - - - Sympathetic nervous system, lumbar</x:t>
  </x:si>
  <x:si>
    <x:t>http://id.who.int/icd/entity/748865529</x:t>
  </x:si>
  <x:si>
    <x:t>http://id.who.int/icd/release/11/beta/ichi/748865529</x:t>
  </x:si>
  <x:si>
    <x:t>ADE</x:t>
  </x:si>
  <x:si>
    <x:t>- - - - - Sympathetic nervous system, sacral</x:t>
  </x:si>
  <x:si>
    <x:t>http://id.who.int/icd/entity/1571411380</x:t>
  </x:si>
  <x:si>
    <x:t>http://id.who.int/icd/release/11/beta/ichi/1571411380</x:t>
  </x:si>
  <x:si>
    <x:t>- - - - Mental function</x:t>
  </x:si>
  <x:si>
    <x:t>http://id.who.int/icd/entity/757825081</x:t>
  </x:si>
  <x:si>
    <x:t>http://id.who.int/icd/release/11/beta/ichi/757825081</x:t>
  </x:si>
  <x:si>
    <x:t>AS1</x:t>
  </x:si>
  <x:si>
    <x:t>- - - - - Mental functions, unspecified</x:t>
  </x:si>
  <x:si>
    <x:t>http://id.who.int/icd/entity/929841379</x:t>
  </x:si>
  <x:si>
    <x:t>http://id.who.int/icd/release/11/beta/ichi/929841379</x:t>
  </x:si>
  <x:si>
    <x:t>- - - - Global mental functions</x:t>
  </x:si>
  <x:si>
    <x:t>8</x:t>
  </x:si>
  <x:si>
    <x:t>http://id.who.int/icd/entity/1206840174</x:t>
  </x:si>
  <x:si>
    <x:t>http://id.who.int/icd/release/11/beta/ichi/1206840174</x:t>
  </x:si>
  <x:si>
    <x:t>AT2</x:t>
  </x:si>
  <x:si>
    <x:t>- - - - - Global mental functions, not elsewhere classified</x:t>
  </x:si>
  <x:si>
    <x:t>http://id.who.int/icd/entity/2000222326</x:t>
  </x:si>
  <x:si>
    <x:t>http://id.who.int/icd/release/11/beta/ichi/2000222326</x:t>
  </x:si>
  <x:si>
    <x:t>ATC</x:t>
  </x:si>
  <x:si>
    <x:t>- - - - - Awareness and alertness functions</x:t>
  </x:si>
  <x:si>
    <x:t>http://id.who.int/icd/entity/1111440384</x:t>
  </x:si>
  <x:si>
    <x:t>http://id.who.int/icd/release/11/beta/ichi/1111440384</x:t>
  </x:si>
  <x:si>
    <x:t>ATD</x:t>
  </x:si>
  <x:si>
    <x:t>- - - - - Orientation functions</x:t>
  </x:si>
  <x:si>
    <x:t>http://id.who.int/icd/entity/2021748968</x:t>
  </x:si>
  <x:si>
    <x:t>http://id.who.int/icd/release/11/beta/ichi/2021748968</x:t>
  </x:si>
  <x:si>
    <x:t>ATE</x:t>
  </x:si>
  <x:si>
    <x:t>- - - - - Intellectual functions</x:t>
  </x:si>
  <x:si>
    <x:t>http://id.who.int/icd/entity/1300673682</x:t>
  </x:si>
  <x:si>
    <x:t>http://id.who.int/icd/release/11/beta/ichi/1300673682</x:t>
  </x:si>
  <x:si>
    <x:t>ATF</x:t>
  </x:si>
  <x:si>
    <x:t>- - - - - Global psychosocial functions</x:t>
  </x:si>
  <x:si>
    <x:t>http://id.who.int/icd/entity/905970099</x:t>
  </x:si>
  <x:si>
    <x:t>http://id.who.int/icd/release/11/beta/ichi/905970099</x:t>
  </x:si>
  <x:si>
    <x:t>ATH</x:t>
  </x:si>
  <x:si>
    <x:t>- - - - - Temperament and personality functions</x:t>
  </x:si>
  <x:si>
    <x:t>http://id.who.int/icd/entity/1565273380</x:t>
  </x:si>
  <x:si>
    <x:t>http://id.who.int/icd/release/11/beta/ichi/1565273380</x:t>
  </x:si>
  <x:si>
    <x:t>ATI</x:t>
  </x:si>
  <x:si>
    <x:t>- - - - - Energy and drive functions</x:t>
  </x:si>
  <x:si>
    <x:t>http://id.who.int/icd/entity/1749805394</x:t>
  </x:si>
  <x:si>
    <x:t>http://id.who.int/icd/release/11/beta/ichi/1749805394</x:t>
  </x:si>
  <x:si>
    <x:t>ATK</x:t>
  </x:si>
  <x:si>
    <x:t>- - - - - Sleep functions</x:t>
  </x:si>
  <x:si>
    <x:t>http://id.who.int/icd/entity/393267791</x:t>
  </x:si>
  <x:si>
    <x:t>http://id.who.int/icd/release/11/beta/ichi/393267791</x:t>
  </x:si>
  <x:si>
    <x:t>- - - - Specific mental functions</x:t>
  </x:si>
  <x:si>
    <x:t>http://id.who.int/icd/entity/1391830454</x:t>
  </x:si>
  <x:si>
    <x:t>http://id.who.int/icd/release/11/beta/ichi/1391830454</x:t>
  </x:si>
  <x:si>
    <x:t>AU2</x:t>
  </x:si>
  <x:si>
    <x:t>- - - - - Specific mental functions, not elsewhere classified</x:t>
  </x:si>
  <x:si>
    <x:t>http://id.who.int/icd/entity/2098392936</x:t>
  </x:si>
  <x:si>
    <x:t>http://id.who.int/icd/release/11/beta/ichi/2098392936</x:t>
  </x:si>
  <x:si>
    <x:t>AUA</x:t>
  </x:si>
  <x:si>
    <x:t>- - - - - Attention functions</x:t>
  </x:si>
  <x:si>
    <x:t>http://id.who.int/icd/entity/1209346846</x:t>
  </x:si>
  <x:si>
    <x:t>http://id.who.int/icd/release/11/beta/ichi/1209346846</x:t>
  </x:si>
  <x:si>
    <x:t>AUB</x:t>
  </x:si>
  <x:si>
    <x:t>- - - - - Memory functions</x:t>
  </x:si>
  <x:si>
    <x:t>http://id.who.int/icd/entity/865312317</x:t>
  </x:si>
  <x:si>
    <x:t>http://id.who.int/icd/release/11/beta/ichi/865312317</x:t>
  </x:si>
  <x:si>
    <x:t>AUC</x:t>
  </x:si>
  <x:si>
    <x:t>- - - - - Psychomotor functions</x:t>
  </x:si>
  <x:si>
    <x:t>http://id.who.int/icd/entity/1923835898</x:t>
  </x:si>
  <x:si>
    <x:t>http://id.who.int/icd/release/11/beta/ichi/1923835898</x:t>
  </x:si>
  <x:si>
    <x:t>AUD</x:t>
  </x:si>
  <x:si>
    <x:t>- - - - - Emotional functions</x:t>
  </x:si>
  <x:si>
    <x:t>http://id.who.int/icd/entity/1202496400</x:t>
  </x:si>
  <x:si>
    <x:t>http://id.who.int/icd/release/11/beta/ichi/1202496400</x:t>
  </x:si>
  <x:si>
    <x:t>AUE</x:t>
  </x:si>
  <x:si>
    <x:t>- - - - - Perceptual functions</x:t>
  </x:si>
  <x:si>
    <x:t>http://id.who.int/icd/entity/58458869</x:t>
  </x:si>
  <x:si>
    <x:t>http://id.who.int/icd/release/11/beta/ichi/58458869</x:t>
  </x:si>
  <x:si>
    <x:t>AUF</x:t>
  </x:si>
  <x:si>
    <x:t>- - - - - Thought functions</x:t>
  </x:si>
  <x:si>
    <x:t>http://id.who.int/icd/entity/914081409</x:t>
  </x:si>
  <x:si>
    <x:t>http://id.who.int/icd/release/11/beta/ichi/914081409</x:t>
  </x:si>
  <x:si>
    <x:t>AUH</x:t>
  </x:si>
  <x:si>
    <x:t>- - - - - Higher-level cognitive functions</x:t>
  </x:si>
  <x:si>
    <x:t>http://id.who.int/icd/entity/1308455840</x:t>
  </x:si>
  <x:si>
    <x:t>http://id.who.int/icd/release/11/beta/ichi/1308455840</x:t>
  </x:si>
  <x:si>
    <x:t>AUI</x:t>
  </x:si>
  <x:si>
    <x:t>- - - - - Mental functions of language</x:t>
  </x:si>
  <x:si>
    <x:t>http://id.who.int/icd/entity/214272615</x:t>
  </x:si>
  <x:si>
    <x:t>http://id.who.int/icd/release/11/beta/ichi/214272615</x:t>
  </x:si>
  <x:si>
    <x:t>AUJ</x:t>
  </x:si>
  <x:si>
    <x:t>- - - - - Calculation functions</x:t>
  </x:si>
  <x:si>
    <x:t>http://id.who.int/icd/entity/969035283</x:t>
  </x:si>
  <x:si>
    <x:t>http://id.who.int/icd/release/11/beta/ichi/969035283</x:t>
  </x:si>
  <x:si>
    <x:t>AUK</x:t>
  </x:si>
  <x:si>
    <x:t>- - - - - Mental functions of sequencing complex movements</x:t>
  </x:si>
  <x:si>
    <x:t>http://id.who.int/icd/entity/688445349</x:t>
  </x:si>
  <x:si>
    <x:t>http://id.who.int/icd/release/11/beta/ichi/688445349</x:t>
  </x:si>
  <x:si>
    <x:t>AUL</x:t>
  </x:si>
  <x:si>
    <x:t>- - - - - Experience of self and time functions</x:t>
  </x:si>
  <x:si>
    <x:t>http://id.who.int/icd/entity/2037583380</x:t>
  </x:si>
  <x:si>
    <x:t>http://id.who.int/icd/release/11/beta/ichi/2037583380</x:t>
  </x:si>
  <x:si>
    <x:t>- - - - Sensory functions</x:t>
  </x:si>
  <x:si>
    <x:t>6</x:t>
  </x:si>
  <x:si>
    <x:t>http://id.who.int/icd/entity/860875135</x:t>
  </x:si>
  <x:si>
    <x:t>http://id.who.int/icd/release/11/beta/ichi/860875135</x:t>
  </x:si>
  <x:si>
    <x:t>AV2</x:t>
  </x:si>
  <x:si>
    <x:t>- - - - - Sensory functions, not elsewhere classified</x:t>
  </x:si>
  <x:si>
    <x:t>http://id.who.int/icd/entity/1407329238</x:t>
  </x:si>
  <x:si>
    <x:t>http://id.who.int/icd/release/11/beta/ichi/1407329238</x:t>
  </x:si>
  <x:si>
    <x:t>AVA</x:t>
  </x:si>
  <x:si>
    <x:t>- - - - - Taste function</x:t>
  </x:si>
  <x:si>
    <x:t>http://id.who.int/icd/entity/1726343072</x:t>
  </x:si>
  <x:si>
    <x:t>http://id.who.int/icd/release/11/beta/ichi/1726343072</x:t>
  </x:si>
  <x:si>
    <x:t>AVB</x:t>
  </x:si>
  <x:si>
    <x:t>- - - - - Smell function</x:t>
  </x:si>
  <x:si>
    <x:t>http://id.who.int/icd/entity/493048449</x:t>
  </x:si>
  <x:si>
    <x:t>http://id.who.int/icd/release/11/beta/ichi/493048449</x:t>
  </x:si>
  <x:si>
    <x:t>AVC</x:t>
  </x:si>
  <x:si>
    <x:t>- - - - - Proprioceptive function</x:t>
  </x:si>
  <x:si>
    <x:t>http://id.who.int/icd/entity/1549511496</x:t>
  </x:si>
  <x:si>
    <x:t>http://id.who.int/icd/release/11/beta/ichi/1549511496</x:t>
  </x:si>
  <x:si>
    <x:t>AVD</x:t>
  </x:si>
  <x:si>
    <x:t>- - - - - Touch function</x:t>
  </x:si>
  <x:si>
    <x:t>http://id.who.int/icd/entity/1767665458</x:t>
  </x:si>
  <x:si>
    <x:t>http://id.who.int/icd/release/11/beta/ichi/1767665458</x:t>
  </x:si>
  <x:si>
    <x:t>AVE</x:t>
  </x:si>
  <x:si>
    <x:t>- - - - - Sensory functions related to temperature and other stimuli</x:t>
  </x:si>
  <x:si>
    <x:t>http://id.who.int/icd/entity/1500480698</x:t>
  </x:si>
  <x:si>
    <x:t>http://id.who.int/icd/release/11/beta/ichi/1500480698</x:t>
  </x:si>
  <x:si>
    <x:t>- - - - Pain</x:t>
  </x:si>
  <x:si>
    <x:t>http://id.who.int/icd/entity/2039936644</x:t>
  </x:si>
  <x:si>
    <x:t>http://id.who.int/icd/release/11/beta/ichi/2039936644</x:t>
  </x:si>
  <x:si>
    <x:t>AXA</x:t>
  </x:si>
  <x:si>
    <x:t>- - - - - Sensation of pain</x:t>
  </x:si>
  <x:si>
    <x:t>http://id.who.int/icd/release/11/beta/ichi/1582424117/other</x:t>
  </x:si>
  <x:si>
    <x:t>AZY</x:t>
  </x:si>
  <x:si>
    <x:t>- - - - Other specified nervous system or mental function target</x:t>
  </x:si>
  <x:si>
    <x:t>http://id.who.int/icd/release/11/beta/ichi/1582424117/unspecified</x:t>
  </x:si>
  <x:si>
    <x:t>AZZ</x:t>
  </x:si>
  <x:si>
    <x:t>- - - - Nervous system or mental function target, unspecified</x:t>
  </x:si>
  <x:si>
    <x:t>http://id.who.int/icd/entity/474831665</x:t>
  </x:si>
  <x:si>
    <x:t>http://id.who.int/icd/release/11/beta/ichi/474831665</x:t>
  </x:si>
  <x:si>
    <x:t>- - - Visual system targets</x:t>
  </x:si>
  <x:si>
    <x:t>http://id.who.int/icd/entity/1278640768</x:t>
  </x:si>
  <x:si>
    <x:t>http://id.who.int/icd/release/11/beta/ichi/1278640768</x:t>
  </x:si>
  <x:si>
    <x:t>- - - - Eyelid, lacrimal system, orbit</x:t>
  </x:si>
  <x:si>
    <x:t>http://id.who.int/icd/entity/1018439949</x:t>
  </x:si>
  <x:si>
    <x:t>http://id.who.int/icd/release/11/beta/ichi/1018439949</x:t>
  </x:si>
  <x:si>
    <x:t>BAA</x:t>
  </x:si>
  <x:si>
    <x:t>- - - - - Eyelid</x:t>
  </x:si>
  <x:si>
    <x:t>http://id.who.int/icd/entity/653465559</x:t>
  </x:si>
  <x:si>
    <x:t>http://id.who.int/icd/release/11/beta/ichi/653465559</x:t>
  </x:si>
  <x:si>
    <x:t>BAD</x:t>
  </x:si>
  <x:si>
    <x:t>- - - - - Lacrimal apparatus</x:t>
  </x:si>
  <x:si>
    <x:t>http://id.who.int/icd/entity/329243053</x:t>
  </x:si>
  <x:si>
    <x:t>http://id.who.int/icd/release/11/beta/ichi/329243053</x:t>
  </x:si>
  <x:si>
    <x:t>BAM</x:t>
  </x:si>
  <x:si>
    <x:t>- - - - - Orbit</x:t>
  </x:si>
  <x:si>
    <x:t>http://id.who.int/icd/entity/412862209</x:t>
  </x:si>
  <x:si>
    <x:t>http://id.who.int/icd/release/11/beta/ichi/412862209</x:t>
  </x:si>
  <x:si>
    <x:t>- - - - Eye, anterior segment structures</x:t>
  </x:si>
  <x:si>
    <x:t>http://id.who.int/icd/entity/647503321</x:t>
  </x:si>
  <x:si>
    <x:t>http://id.who.int/icd/release/11/beta/ichi/647503321</x:t>
  </x:si>
  <x:si>
    <x:t>BBA</x:t>
  </x:si>
  <x:si>
    <x:t>- - - - - Conjunctiva</x:t>
  </x:si>
  <x:si>
    <x:t>http://id.who.int/icd/entity/1918784088</x:t>
  </x:si>
  <x:si>
    <x:t>http://id.who.int/icd/release/11/beta/ichi/1918784088</x:t>
  </x:si>
  <x:si>
    <x:t>BBB</x:t>
  </x:si>
  <x:si>
    <x:t>- - - - - Cornea</x:t>
  </x:si>
  <x:si>
    <x:t>http://id.who.int/icd/entity/420642497</x:t>
  </x:si>
  <x:si>
    <x:t>http://id.who.int/icd/release/11/beta/ichi/420642497</x:t>
  </x:si>
  <x:si>
    <x:t>BBC</x:t>
  </x:si>
  <x:si>
    <x:t>- - - - - Iris</x:t>
  </x:si>
  <x:si>
    <x:t>http://id.who.int/icd/entity/216844425</x:t>
  </x:si>
  <x:si>
    <x:t>http://id.who.int/icd/release/11/beta/ichi/216844425</x:t>
  </x:si>
  <x:si>
    <x:t>BBD</x:t>
  </x:si>
  <x:si>
    <x:t>- - - - - Ciliary body</x:t>
  </x:si>
  <x:si>
    <x:t>http://id.who.int/icd/entity/1943530390</x:t>
  </x:si>
  <x:si>
    <x:t>http://id.who.int/icd/release/11/beta/ichi/1943530390</x:t>
  </x:si>
  <x:si>
    <x:t>BBE</x:t>
  </x:si>
  <x:si>
    <x:t>- - - - - Anterior chamber of eye</x:t>
  </x:si>
  <x:si>
    <x:t>http://id.who.int/icd/entity/1713987038</x:t>
  </x:si>
  <x:si>
    <x:t>http://id.who.int/icd/release/11/beta/ichi/1713987038</x:t>
  </x:si>
  <x:si>
    <x:t>BBF</x:t>
  </x:si>
  <x:si>
    <x:t>- - - - - Lens</x:t>
  </x:si>
  <x:si>
    <x:t>http://id.who.int/icd/entity/1124202638</x:t>
  </x:si>
  <x:si>
    <x:t>http://id.who.int/icd/release/11/beta/ichi/1124202638</x:t>
  </x:si>
  <x:si>
    <x:t>- - - - Eye, posterior segment structures</x:t>
  </x:si>
  <x:si>
    <x:t>http://id.who.int/icd/entity/109352821</x:t>
  </x:si>
  <x:si>
    <x:t>http://id.who.int/icd/release/11/beta/ichi/109352821</x:t>
  </x:si>
  <x:si>
    <x:t>BCA</x:t>
  </x:si>
  <x:si>
    <x:t>- - - - - Posterior segment structures of eyeball</x:t>
  </x:si>
  <x:si>
    <x:t>http://id.who.int/icd/entity/700739035</x:t>
  </x:si>
  <x:si>
    <x:t>http://id.who.int/icd/release/11/beta/ichi/700739035</x:t>
  </x:si>
  <x:si>
    <x:t>BCB</x:t>
  </x:si>
  <x:si>
    <x:t>- - - - - Sclera</x:t>
  </x:si>
  <x:si>
    <x:t>http://id.who.int/icd/entity/482585007</x:t>
  </x:si>
  <x:si>
    <x:t>http://id.who.int/icd/release/11/beta/ichi/482585007</x:t>
  </x:si>
  <x:si>
    <x:t>BCC</x:t>
  </x:si>
  <x:si>
    <x:t>- - - - - Retina</x:t>
  </x:si>
  <x:si>
    <x:t>http://id.who.int/icd/entity/957281389</x:t>
  </x:si>
  <x:si>
    <x:t>http://id.who.int/icd/release/11/beta/ichi/957281389</x:t>
  </x:si>
  <x:si>
    <x:t>BCD</x:t>
  </x:si>
  <x:si>
    <x:t>- - - - - Vitreous body</x:t>
  </x:si>
  <x:si>
    <x:t>http://id.who.int/icd/entity/1651585906</x:t>
  </x:si>
  <x:si>
    <x:t>http://id.who.int/icd/release/11/beta/ichi/1651585906</x:t>
  </x:si>
  <x:si>
    <x:t>- - - - Ocular muscles</x:t>
  </x:si>
  <x:si>
    <x:t>http://id.who.int/icd/entity/1116225868</x:t>
  </x:si>
  <x:si>
    <x:t>http://id.who.int/icd/release/11/beta/ichi/1116225868</x:t>
  </x:si>
  <x:si>
    <x:t>BDA</x:t>
  </x:si>
  <x:si>
    <x:t>- - - - - Extraocular muscle</x:t>
  </x:si>
  <x:si>
    <x:t>http://id.who.int/icd/entity/1227616144</x:t>
  </x:si>
  <x:si>
    <x:t>http://id.who.int/icd/release/11/beta/ichi/1227616144</x:t>
  </x:si>
  <x:si>
    <x:t>- - - - Eye functions</x:t>
  </x:si>
  <x:si>
    <x:t>http://id.who.int/icd/entity/146056743</x:t>
  </x:si>
  <x:si>
    <x:t>http://id.who.int/icd/release/11/beta/ichi/146056743</x:t>
  </x:si>
  <x:si>
    <x:t>BT2</x:t>
  </x:si>
  <x:si>
    <x:t>- - - - - Seeing and related functions, not elsewhere classified</x:t>
  </x:si>
  <x:si>
    <x:t>http://id.who.int/icd/entity/659811577</x:t>
  </x:si>
  <x:si>
    <x:t>http://id.who.int/icd/release/11/beta/ichi/659811577</x:t>
  </x:si>
  <x:si>
    <x:t>BTB</x:t>
  </x:si>
  <x:si>
    <x:t>- - - - - Seeing functions</x:t>
  </x:si>
  <x:si>
    <x:t>http://id.who.int/icd/entity/1718293824</x:t>
  </x:si>
  <x:si>
    <x:t>http://id.who.int/icd/release/11/beta/ichi/1718293824</x:t>
  </x:si>
  <x:si>
    <x:t>BTF</x:t>
  </x:si>
  <x:si>
    <x:t>- - - - - Functions of structure adjoining the eye</x:t>
  </x:si>
  <x:si>
    <x:t>http://id.who.int/icd/entity/1399640394</x:t>
  </x:si>
  <x:si>
    <x:t>http://id.who.int/icd/release/11/beta/ichi/1399640394</x:t>
  </x:si>
  <x:si>
    <x:t>BTK</x:t>
  </x:si>
  <x:si>
    <x:t>- - - - - Sensations associated with the eye and adjoining structure</x:t>
  </x:si>
  <x:si>
    <x:t>http://id.who.int/icd/entity/1597441021</x:t>
  </x:si>
  <x:si>
    <x:t>http://id.who.int/icd/release/11/beta/ichi/1597441021</x:t>
  </x:si>
  <x:si>
    <x:t>- - - - Eye or eye functions, unspecified</x:t>
  </x:si>
  <x:si>
    <x:t>http://id.who.int/icd/entity/447900678</x:t>
  </x:si>
  <x:si>
    <x:t>http://id.who.int/icd/release/11/beta/ichi/447900678</x:t>
  </x:si>
  <x:si>
    <x:t>BZA</x:t>
  </x:si>
  <x:si>
    <x:t>- - - - - Eyeball</x:t>
  </x:si>
  <x:si>
    <x:t>http://id.who.int/icd/release/11/beta/ichi/474831665/other</x:t>
  </x:si>
  <x:si>
    <x:t>BZY</x:t>
  </x:si>
  <x:si>
    <x:t>- - - - Other specified visual system target</x:t>
  </x:si>
  <x:si>
    <x:t>http://id.who.int/icd/release/11/beta/ichi/474831665/unspecified</x:t>
  </x:si>
  <x:si>
    <x:t>BZZ</x:t>
  </x:si>
  <x:si>
    <x:t>- - - - Visual system target, unspecified</x:t>
  </x:si>
  <x:si>
    <x:t>http://id.who.int/icd/entity/504363578</x:t>
  </x:si>
  <x:si>
    <x:t>http://id.who.int/icd/release/11/beta/ichi/504363578</x:t>
  </x:si>
  <x:si>
    <x:t>- - - Ear or mastoid targets</x:t>
  </x:si>
  <x:si>
    <x:t>http://id.who.int/icd/entity/624430876</x:t>
  </x:si>
  <x:si>
    <x:t>http://id.who.int/icd/release/11/beta/ichi/624430876</x:t>
  </x:si>
  <x:si>
    <x:t>- - - - External ear</x:t>
  </x:si>
  <x:si>
    <x:t>http://id.who.int/icd/entity/537665762</x:t>
  </x:si>
  <x:si>
    <x:t>http://id.who.int/icd/release/11/beta/ichi/537665762</x:t>
  </x:si>
  <x:si>
    <x:t>CAA</x:t>
  </x:si>
  <x:si>
    <x:t>- - - - - External ear, unspecified</x:t>
  </x:si>
  <x:si>
    <x:t>http://id.who.int/icd/entity/1065300422</x:t>
  </x:si>
  <x:si>
    <x:t>http://id.who.int/icd/release/11/beta/ichi/1065300422</x:t>
  </x:si>
  <x:si>
    <x:t>CAC</x:t>
  </x:si>
  <x:si>
    <x:t>- - - - - Auricle</x:t>
  </x:si>
  <x:si>
    <x:t>http://id.who.int/icd/entity/1792360217</x:t>
  </x:si>
  <x:si>
    <x:t>http://id.who.int/icd/release/11/beta/ichi/1792360217</x:t>
  </x:si>
  <x:si>
    <x:t>CAE</x:t>
  </x:si>
  <x:si>
    <x:t>- - - - - External auditory canal</x:t>
  </x:si>
  <x:si>
    <x:t>http://id.who.int/icd/entity/78462064</x:t>
  </x:si>
  <x:si>
    <x:t>http://id.who.int/icd/release/11/beta/ichi/78462064</x:t>
  </x:si>
  <x:si>
    <x:t>- - - - Middle ear</x:t>
  </x:si>
  <x:si>
    <x:t>http://id.who.int/icd/entity/984540840</x:t>
  </x:si>
  <x:si>
    <x:t>http://id.who.int/icd/release/11/beta/ichi/984540840</x:t>
  </x:si>
  <x:si>
    <x:t>CBA</x:t>
  </x:si>
  <x:si>
    <x:t>- - - - - Middle ear, unspecified</x:t>
  </x:si>
  <x:si>
    <x:t>http://id.who.int/icd/entity/1349219327</x:t>
  </x:si>
  <x:si>
    <x:t>http://id.who.int/icd/release/11/beta/ichi/1349219327</x:t>
  </x:si>
  <x:si>
    <x:t>CBB</x:t>
  </x:si>
  <x:si>
    <x:t>- - - - - Tympanic membrane</x:t>
  </x:si>
  <x:si>
    <x:t>http://id.who.int/icd/entity/1084353097</x:t>
  </x:si>
  <x:si>
    <x:t>http://id.who.int/icd/release/11/beta/ichi/1084353097</x:t>
  </x:si>
  <x:si>
    <x:t>CBC</x:t>
  </x:si>
  <x:si>
    <x:t>- - - - - Stapes</x:t>
  </x:si>
  <x:si>
    <x:t>http://id.who.int/icd/entity/1973825085</x:t>
  </x:si>
  <x:si>
    <x:t>http://id.who.int/icd/release/11/beta/ichi/1973825085</x:t>
  </x:si>
  <x:si>
    <x:t>CBF</x:t>
  </x:si>
  <x:si>
    <x:t>- - - - - Other auditory ossicle</x:t>
  </x:si>
  <x:si>
    <x:t>http://id.who.int/icd/entity/1877020903</x:t>
  </x:si>
  <x:si>
    <x:t>http://id.who.int/icd/release/11/beta/ichi/1877020903</x:t>
  </x:si>
  <x:si>
    <x:t>CBH</x:t>
  </x:si>
  <x:si>
    <x:t>- - - - - Eustachian tube</x:t>
  </x:si>
  <x:si>
    <x:t>http://id.who.int/icd/entity/2048894639</x:t>
  </x:si>
  <x:si>
    <x:t>http://id.who.int/icd/release/11/beta/ichi/2048894639</x:t>
  </x:si>
  <x:si>
    <x:t>- - - - Internal ear</x:t>
  </x:si>
  <x:si>
    <x:t>http://id.who.int/icd/entity/1525077139</x:t>
  </x:si>
  <x:si>
    <x:t>http://id.who.int/icd/release/11/beta/ichi/1525077139</x:t>
  </x:si>
  <x:si>
    <x:t>CCA</x:t>
  </x:si>
  <x:si>
    <x:t>- - - - - Inner ear</x:t>
  </x:si>
  <x:si>
    <x:t>http://id.who.int/icd/entity/1258439829</x:t>
  </x:si>
  <x:si>
    <x:t>http://id.who.int/icd/release/11/beta/ichi/1258439829</x:t>
  </x:si>
  <x:si>
    <x:t>CCB</x:t>
  </x:si>
  <x:si>
    <x:t>- - - - - Cochlea</x:t>
  </x:si>
  <x:si>
    <x:t>http://id.who.int/icd/entity/171621714</x:t>
  </x:si>
  <x:si>
    <x:t>http://id.who.int/icd/release/11/beta/ichi/171621714</x:t>
  </x:si>
  <x:si>
    <x:t>CDA</x:t>
  </x:si>
  <x:si>
    <x:t>- - - - Mastoid sinus</x:t>
  </x:si>
  <x:si>
    <x:t>http://id.who.int/icd/entity/2060655825</x:t>
  </x:si>
  <x:si>
    <x:t>http://id.who.int/icd/release/11/beta/ichi/2060655825</x:t>
  </x:si>
  <x:si>
    <x:t>- - - - Ear functions</x:t>
  </x:si>
  <x:si>
    <x:t>http://id.who.int/icd/entity/173127518</x:t>
  </x:si>
  <x:si>
    <x:t>http://id.who.int/icd/release/11/beta/ichi/173127518</x:t>
  </x:si>
  <x:si>
    <x:t>CT2</x:t>
  </x:si>
  <x:si>
    <x:t>- - - - - Hearing and vestibular functions, not elsewhere classified</x:t>
  </x:si>
  <x:si>
    <x:t>http://id.who.int/icd/entity/1620320779</x:t>
  </x:si>
  <x:si>
    <x:t>http://id.who.int/icd/release/11/beta/ichi/1620320779</x:t>
  </x:si>
  <x:si>
    <x:t>CTB</x:t>
  </x:si>
  <x:si>
    <x:t>- - - - - Hearing functions</x:t>
  </x:si>
  <x:si>
    <x:t>http://id.who.int/icd/entity/1435756159</x:t>
  </x:si>
  <x:si>
    <x:t>http://id.who.int/icd/release/11/beta/ichi/1435756159</x:t>
  </x:si>
  <x:si>
    <x:t>CTE</x:t>
  </x:si>
  <x:si>
    <x:t>- - - - - Vestibular functions</x:t>
  </x:si>
  <x:si>
    <x:t>http://id.who.int/icd/entity/1163493321</x:t>
  </x:si>
  <x:si>
    <x:t>http://id.who.int/icd/release/11/beta/ichi/1163493321</x:t>
  </x:si>
  <x:si>
    <x:t>CTK</x:t>
  </x:si>
  <x:si>
    <x:t>- - - - - Sensations associated with hearing and vestibular function</x:t>
  </x:si>
  <x:si>
    <x:t>http://id.who.int/icd/release/11/beta/ichi/504363578/other</x:t>
  </x:si>
  <x:si>
    <x:t>CZY</x:t>
  </x:si>
  <x:si>
    <x:t>- - - - Other specified ear or mastoid target</x:t>
  </x:si>
  <x:si>
    <x:t>http://id.who.int/icd/release/11/beta/ichi/504363578/unspecified</x:t>
  </x:si>
  <x:si>
    <x:t>CZZ</x:t>
  </x:si>
  <x:si>
    <x:t>- - - - Ear or mastoid target, unspecified</x:t>
  </x:si>
  <x:si>
    <x:t>http://id.who.int/icd/entity/1595818259</x:t>
  </x:si>
  <x:si>
    <x:t>http://id.who.int/icd/release/11/beta/ichi/1595818259</x:t>
  </x:si>
  <x:si>
    <x:t>- - - Haematopoietic or lymphatic system targets</x:t>
  </x:si>
  <x:si>
    <x:t>7</x:t>
  </x:si>
  <x:si>
    <x:t>http://id.who.int/icd/entity/1523553917</x:t>
  </x:si>
  <x:si>
    <x:t>http://id.who.int/icd/release/11/beta/ichi/1523553917</x:t>
  </x:si>
  <x:si>
    <x:t>- - - - Tonsil or adenoid</x:t>
  </x:si>
  <x:si>
    <x:t>http://id.who.int/icd/entity/446377708</x:t>
  </x:si>
  <x:si>
    <x:t>http://id.who.int/icd/release/11/beta/ichi/446377708</x:t>
  </x:si>
  <x:si>
    <x:t>DAA</x:t>
  </x:si>
  <x:si>
    <x:t>- - - - - Tonsil</x:t>
  </x:si>
  <x:si>
    <x:t>http://id.who.int/icd/entity/805962538</x:t>
  </x:si>
  <x:si>
    <x:t>http://id.who.int/icd/release/11/beta/ichi/805962538</x:t>
  </x:si>
  <x:si>
    <x:t>DAB</x:t>
  </x:si>
  <x:si>
    <x:t>- - - - - Adenoid</x:t>
  </x:si>
  <x:si>
    <x:t>http://id.who.int/icd/entity/84789088</x:t>
  </x:si>
  <x:si>
    <x:t>http://id.who.int/icd/release/11/beta/ichi/84789088</x:t>
  </x:si>
  <x:si>
    <x:t>DBA</x:t>
  </x:si>
  <x:si>
    <x:t>- - - - Thymus</x:t>
  </x:si>
  <x:si>
    <x:t>http://id.who.int/icd/entity/1699083621</x:t>
  </x:si>
  <x:si>
    <x:t>http://id.who.int/icd/release/11/beta/ichi/1699083621</x:t>
  </x:si>
  <x:si>
    <x:t>- - - - Lymphatic system</x:t>
  </x:si>
  <x:si>
    <x:t>http://id.who.int/icd/entity/1169983321</x:t>
  </x:si>
  <x:si>
    <x:t>http://id.who.int/icd/release/11/beta/ichi/1169983321</x:t>
  </x:si>
  <x:si>
    <x:t>DFA</x:t>
  </x:si>
  <x:si>
    <x:t>- - - - - Lymph node other and unspecified</x:t>
  </x:si>
  <x:si>
    <x:t>http://id.who.int/icd/entity/260071476</x:t>
  </x:si>
  <x:si>
    <x:t>http://id.who.int/icd/release/11/beta/ichi/260071476</x:t>
  </x:si>
  <x:si>
    <x:t>DFB</x:t>
  </x:si>
  <x:si>
    <x:t>- - - - - Lymph node of neck</x:t>
  </x:si>
  <x:si>
    <x:t>http://id.who.int/icd/entity/1880945501</x:t>
  </x:si>
  <x:si>
    <x:t>http://id.who.int/icd/release/11/beta/ichi/1880945501</x:t>
  </x:si>
  <x:si>
    <x:t>DFC</x:t>
  </x:si>
  <x:si>
    <x:t>- - - - - Lymph node of axilla</x:t>
  </x:si>
  <x:si>
    <x:t>http://id.who.int/icd/entity/1159411497</x:t>
  </x:si>
  <x:si>
    <x:t>http://id.who.int/icd/release/11/beta/ichi/1159411497</x:t>
  </x:si>
  <x:si>
    <x:t>DFE</x:t>
  </x:si>
  <x:si>
    <x:t>- - - - - Lymph node of mediastinum</x:t>
  </x:si>
  <x:si>
    <x:t>http://id.who.int/icd/entity/2141551567</x:t>
  </x:si>
  <x:si>
    <x:t>http://id.who.int/icd/release/11/beta/ichi/2141551567</x:t>
  </x:si>
  <x:si>
    <x:t>DFF</x:t>
  </x:si>
  <x:si>
    <x:t>- - - - - Lymph node of abdomen or pelvic region</x:t>
  </x:si>
  <x:si>
    <x:t>http://id.who.int/icd/entity/1274507577</x:t>
  </x:si>
  <x:si>
    <x:t>http://id.who.int/icd/release/11/beta/ichi/1274507577</x:t>
  </x:si>
  <x:si>
    <x:t>DFM</x:t>
  </x:si>
  <x:si>
    <x:t>- - - - - Inguinal lymph node</x:t>
  </x:si>
  <x:si>
    <x:t>http://id.who.int/icd/entity/2129704269</x:t>
  </x:si>
  <x:si>
    <x:t>http://id.who.int/icd/release/11/beta/ichi/2129704269</x:t>
  </x:si>
  <x:si>
    <x:t>DFO</x:t>
  </x:si>
  <x:si>
    <x:t>- - - - - Lymphatic vessel, other and unspecified</x:t>
  </x:si>
  <x:si>
    <x:t>http://id.who.int/icd/entity/1146026411</x:t>
  </x:si>
  <x:si>
    <x:t>http://id.who.int/icd/release/11/beta/ichi/1146026411</x:t>
  </x:si>
  <x:si>
    <x:t>DFP</x:t>
  </x:si>
  <x:si>
    <x:t>- - - - - Thoracic duct</x:t>
  </x:si>
  <x:si>
    <x:t>http://id.who.int/icd/entity/1900625375</x:t>
  </x:si>
  <x:si>
    <x:t>http://id.who.int/icd/release/11/beta/ichi/1900625375</x:t>
  </x:si>
  <x:si>
    <x:t>DFZ</x:t>
  </x:si>
  <x:si>
    <x:t>- - - - - Lymphatic structure, unspecified</x:t>
  </x:si>
  <x:si>
    <x:t>http://id.who.int/icd/entity/181373184</x:t>
  </x:si>
  <x:si>
    <x:t>http://id.who.int/icd/release/11/beta/ichi/181373184</x:t>
  </x:si>
  <x:si>
    <x:t>DGA</x:t>
  </x:si>
  <x:si>
    <x:t>- - - - Bone marrow</x:t>
  </x:si>
  <x:si>
    <x:t>http://id.who.int/icd/entity/1249822969</x:t>
  </x:si>
  <x:si>
    <x:t>http://id.who.int/icd/release/11/beta/ichi/1249822969</x:t>
  </x:si>
  <x:si>
    <x:t>DIA</x:t>
  </x:si>
  <x:si>
    <x:t>- - - - Blood</x:t>
  </x:si>
  <x:si>
    <x:t>http://id.who.int/icd/entity/549150126</x:t>
  </x:si>
  <x:si>
    <x:t>http://id.who.int/icd/release/11/beta/ichi/549150126</x:t>
  </x:si>
  <x:si>
    <x:t>DJA</x:t>
  </x:si>
  <x:si>
    <x:t>- - - - Spleen</x:t>
  </x:si>
  <x:si>
    <x:t>http://id.who.int/icd/entity/815021192</x:t>
  </x:si>
  <x:si>
    <x:t>http://id.who.int/icd/release/11/beta/ichi/815021192</x:t>
  </x:si>
  <x:si>
    <x:t>- - - - Functions of haematopoietic or reticuloendothelial system</x:t>
  </x:si>
  <x:si>
    <x:t>http://id.who.int/icd/entity/275599030</x:t>
  </x:si>
  <x:si>
    <x:t>http://id.who.int/icd/release/11/beta/ichi/275599030</x:t>
  </x:si>
  <x:si>
    <x:t>DTA</x:t>
  </x:si>
  <x:si>
    <x:t>- - - - - Haematological system function</x:t>
  </x:si>
  <x:si>
    <x:t>http://id.who.int/icd/entity/2057886691</x:t>
  </x:si>
  <x:si>
    <x:t>http://id.who.int/icd/release/11/beta/ichi/2057886691</x:t>
  </x:si>
  <x:si>
    <x:t>DTB</x:t>
  </x:si>
  <x:si>
    <x:t>- - - - - Immunological system function</x:t>
  </x:si>
  <x:si>
    <x:t>http://id.who.int/icd/release/11/beta/ichi/1595818259/other</x:t>
  </x:si>
  <x:si>
    <x:t>DZY</x:t>
  </x:si>
  <x:si>
    <x:t>- - - - Other specified haematopoietic or lymphatic system target</x:t>
  </x:si>
  <x:si>
    <x:t>http://id.who.int/icd/release/11/beta/ichi/1595818259/unspecified</x:t>
  </x:si>
  <x:si>
    <x:t>DZZ</x:t>
  </x:si>
  <x:si>
    <x:t>- - - - Haematopoietic or lymphatic system target, unspecified</x:t>
  </x:si>
  <x:si>
    <x:t>http://id.who.int/icd/entity/1540886559</x:t>
  </x:si>
  <x:si>
    <x:t>http://id.who.int/icd/release/11/beta/ichi/1540886559</x:t>
  </x:si>
  <x:si>
    <x:t>- - - Endocrine system targets</x:t>
  </x:si>
  <x:si>
    <x:t>http://id.who.int/icd/entity/1881504911</x:t>
  </x:si>
  <x:si>
    <x:t>http://id.who.int/icd/release/11/beta/ichi/1881504911</x:t>
  </x:si>
  <x:si>
    <x:t>- - - - Cerebral endocrine structures</x:t>
  </x:si>
  <x:si>
    <x:t>http://id.who.int/icd/entity/2065785379</x:t>
  </x:si>
  <x:si>
    <x:t>http://id.who.int/icd/release/11/beta/ichi/2065785379</x:t>
  </x:si>
  <x:si>
    <x:t>EAA</x:t>
  </x:si>
  <x:si>
    <x:t>- - - - - Pituitary gland</x:t>
  </x:si>
  <x:si>
    <x:t>http://id.who.int/icd/entity/2134590573</x:t>
  </x:si>
  <x:si>
    <x:t>http://id.who.int/icd/release/11/beta/ichi/2134590573</x:t>
  </x:si>
  <x:si>
    <x:t>EAB</x:t>
  </x:si>
  <x:si>
    <x:t>- - - - - Pineal gland</x:t>
  </x:si>
  <x:si>
    <x:t>http://id.who.int/icd/entity/519753624</x:t>
  </x:si>
  <x:si>
    <x:t>http://id.who.int/icd/release/11/beta/ichi/519753624</x:t>
  </x:si>
  <x:si>
    <x:t>- - - - Peripheral endocrine structures</x:t>
  </x:si>
  <x:si>
    <x:t>http://id.who.int/icd/entity/1040432554</x:t>
  </x:si>
  <x:si>
    <x:t>http://id.who.int/icd/release/11/beta/ichi/1040432554</x:t>
  </x:si>
  <x:si>
    <x:t>EBA</x:t>
  </x:si>
  <x:si>
    <x:t>- - - - - Thyroid gland</x:t>
  </x:si>
  <x:si>
    <x:t>http://id.who.int/icd/entity/1047050150</x:t>
  </x:si>
  <x:si>
    <x:t>http://id.who.int/icd/release/11/beta/ichi/1047050150</x:t>
  </x:si>
  <x:si>
    <x:t>EBB</x:t>
  </x:si>
  <x:si>
    <x:t>- - - - - Parathyroid gland</x:t>
  </x:si>
  <x:si>
    <x:t>http://id.who.int/icd/entity/191853520</x:t>
  </x:si>
  <x:si>
    <x:t>http://id.who.int/icd/release/11/beta/ichi/191853520</x:t>
  </x:si>
  <x:si>
    <x:t>EBC</x:t>
  </x:si>
  <x:si>
    <x:t>- - - - - Adrenal gland</x:t>
  </x:si>
  <x:si>
    <x:t>http://id.who.int/icd/entity/835796792</x:t>
  </x:si>
  <x:si>
    <x:t>http://id.who.int/icd/release/11/beta/ichi/835796792</x:t>
  </x:si>
  <x:si>
    <x:t>EBD</x:t>
  </x:si>
  <x:si>
    <x:t>- - - - - Endocrine pancreas</x:t>
  </x:si>
  <x:si>
    <x:t>http://id.who.int/icd/entity/81197890</x:t>
  </x:si>
  <x:si>
    <x:t>http://id.who.int/icd/release/11/beta/ichi/81197890</x:t>
  </x:si>
  <x:si>
    <x:t>EBE</x:t>
  </x:si>
  <x:si>
    <x:t>- - - - - Paraganglion</x:t>
  </x:si>
  <x:si>
    <x:t>http://id.who.int/icd/entity/1604926559</x:t>
  </x:si>
  <x:si>
    <x:t>http://id.who.int/icd/release/11/beta/ichi/1604926559</x:t>
  </x:si>
  <x:si>
    <x:t>- - - - Metabolic or endocrine functions</x:t>
  </x:si>
  <x:si>
    <x:t>http://id.who.int/icd/entity/1071713892</x:t>
  </x:si>
  <x:si>
    <x:t>http://id.who.int/icd/release/11/beta/ichi/1071713892</x:t>
  </x:si>
  <x:si>
    <x:t>ETB</x:t>
  </x:si>
  <x:si>
    <x:t>- - - - - General metabolic functions</x:t>
  </x:si>
  <x:si>
    <x:t>http://id.who.int/icd/entity/2128213923</x:t>
  </x:si>
  <x:si>
    <x:t>http://id.who.int/icd/release/11/beta/ichi/2128213923</x:t>
  </x:si>
  <x:si>
    <x:t>ETE</x:t>
  </x:si>
  <x:si>
    <x:t>- - - - - Water, mineral and electrolyte balance functions</x:t>
  </x:si>
  <x:si>
    <x:t>http://id.who.int/icd/entity/1272853463</x:t>
  </x:si>
  <x:si>
    <x:t>http://id.who.int/icd/release/11/beta/ichi/1272853463</x:t>
  </x:si>
  <x:si>
    <x:t>ETG</x:t>
  </x:si>
  <x:si>
    <x:t>- - - - - Thermoregulatory functions</x:t>
  </x:si>
  <x:si>
    <x:t>http://id.who.int/icd/entity/729020798</x:t>
  </x:si>
  <x:si>
    <x:t>http://id.who.int/icd/release/11/beta/ichi/729020798</x:t>
  </x:si>
  <x:si>
    <x:t>ETK</x:t>
  </x:si>
  <x:si>
    <x:t>- - - - - Endocrine gland functions</x:t>
  </x:si>
  <x:si>
    <x:t>http://id.who.int/icd/entity/510934280</x:t>
  </x:si>
  <x:si>
    <x:t>http://id.who.int/icd/release/11/beta/ichi/510934280</x:t>
  </x:si>
  <x:si>
    <x:t>ETM</x:t>
  </x:si>
  <x:si>
    <x:t>- - - - - Growth maintenance functions</x:t>
  </x:si>
  <x:si>
    <x:t>http://id.who.int/icd/release/11/beta/ichi/1540886559/other</x:t>
  </x:si>
  <x:si>
    <x:t>EZY</x:t>
  </x:si>
  <x:si>
    <x:t>- - - - Other specified endocrine system target</x:t>
  </x:si>
  <x:si>
    <x:t>http://id.who.int/icd/release/11/beta/ichi/1540886559/unspecified</x:t>
  </x:si>
  <x:si>
    <x:t>EZZ</x:t>
  </x:si>
  <x:si>
    <x:t>- - - - Endocrine system target, unspecified</x:t>
  </x:si>
  <x:si>
    <x:t>http://id.who.int/icd/entity/802058050</x:t>
  </x:si>
  <x:si>
    <x:t>http://id.who.int/icd/release/11/beta/ichi/802058050</x:t>
  </x:si>
  <x:si>
    <x:t>- - - Circulatory system targets</x:t>
  </x:si>
  <x:si>
    <x:t>15</x:t>
  </x:si>
  <x:si>
    <x:t>http://id.who.int/icd/entity/351902308</x:t>
  </x:si>
  <x:si>
    <x:t>http://id.who.int/icd/release/11/beta/ichi/351902308</x:t>
  </x:si>
  <x:si>
    <x:t>- - - - Heart, atrium</x:t>
  </x:si>
  <x:si>
    <x:t>http://id.who.int/icd/entity/255270272</x:t>
  </x:si>
  <x:si>
    <x:t>http://id.who.int/icd/release/11/beta/ichi/255270272</x:t>
  </x:si>
  <x:si>
    <x:t>HAA</x:t>
  </x:si>
  <x:si>
    <x:t>- - - - - Left atrium</x:t>
  </x:si>
  <x:si>
    <x:t>http://id.who.int/icd/entity/1590000911</x:t>
  </x:si>
  <x:si>
    <x:t>http://id.who.int/icd/release/11/beta/ichi/1590000911</x:t>
  </x:si>
  <x:si>
    <x:t>HAB</x:t>
  </x:si>
  <x:si>
    <x:t>- - - - - Right atrium</x:t>
  </x:si>
  <x:si>
    <x:t>http://id.who.int/icd/entity/625199150</x:t>
  </x:si>
  <x:si>
    <x:t>http://id.who.int/icd/release/11/beta/ichi/625199150</x:t>
  </x:si>
  <x:si>
    <x:t>HAD</x:t>
  </x:si>
  <x:si>
    <x:t>- - - - - Atrial septum</x:t>
  </x:si>
  <x:si>
    <x:t>http://id.who.int/icd/entity/559541856</x:t>
  </x:si>
  <x:si>
    <x:t>http://id.who.int/icd/release/11/beta/ichi/559541856</x:t>
  </x:si>
  <x:si>
    <x:t>HAM</x:t>
  </x:si>
  <x:si>
    <x:t>- - - - - Complex congenital heart malformation, atrium</x:t>
  </x:si>
  <x:si>
    <x:t>http://id.who.int/icd/entity/341715478</x:t>
  </x:si>
  <x:si>
    <x:t>http://id.who.int/icd/release/11/beta/ichi/341715478</x:t>
  </x:si>
  <x:si>
    <x:t>HAZ</x:t>
  </x:si>
  <x:si>
    <x:t>- - - - - Atrium, unspecified</x:t>
  </x:si>
  <x:si>
    <x:t>http://id.who.int/icd/entity/236524752</x:t>
  </x:si>
  <x:si>
    <x:t>http://id.who.int/icd/release/11/beta/ichi/236524752</x:t>
  </x:si>
  <x:si>
    <x:t>- - - - Heart, ventricle</x:t>
  </x:si>
  <x:si>
    <x:t>http://id.who.int/icd/entity/786458354</x:t>
  </x:si>
  <x:si>
    <x:t>http://id.who.int/icd/release/11/beta/ichi/786458354</x:t>
  </x:si>
  <x:si>
    <x:t>HBA</x:t>
  </x:si>
  <x:si>
    <x:t>- - - - - Left cardiac ventricle</x:t>
  </x:si>
  <x:si>
    <x:t>http://id.who.int/icd/entity/760822375</x:t>
  </x:si>
  <x:si>
    <x:t>http://id.who.int/icd/release/11/beta/ichi/760822375</x:t>
  </x:si>
  <x:si>
    <x:t>HBB</x:t>
  </x:si>
  <x:si>
    <x:t>- - - - - Right cardiac ventricle</x:t>
  </x:si>
  <x:si>
    <x:t>http://id.who.int/icd/entity/408878611</x:t>
  </x:si>
  <x:si>
    <x:t>http://id.who.int/icd/release/11/beta/ichi/408878611</x:t>
  </x:si>
  <x:si>
    <x:t>HBD</x:t>
  </x:si>
  <x:si>
    <x:t>- - - - - Ventricular septum</x:t>
  </x:si>
  <x:si>
    <x:t>http://id.who.int/icd/entity/1675119410</x:t>
  </x:si>
  <x:si>
    <x:t>http://id.who.int/icd/release/11/beta/ichi/1675119410</x:t>
  </x:si>
  <x:si>
    <x:t>HBM</x:t>
  </x:si>
  <x:si>
    <x:t>- - - - - Complex congenital heart malformation, ventricle</x:t>
  </x:si>
  <x:si>
    <x:t>http://id.who.int/icd/entity/585151221</x:t>
  </x:si>
  <x:si>
    <x:t>http://id.who.int/icd/release/11/beta/ichi/585151221</x:t>
  </x:si>
  <x:si>
    <x:t>HBZ</x:t>
  </x:si>
  <x:si>
    <x:t>- - - - - Heart ventricle, unspecified</x:t>
  </x:si>
  <x:si>
    <x:t>http://id.who.int/icd/entity/924714173</x:t>
  </x:si>
  <x:si>
    <x:t>http://id.who.int/icd/release/11/beta/ichi/924714173</x:t>
  </x:si>
  <x:si>
    <x:t>- - - - Heart valves</x:t>
  </x:si>
  <x:si>
    <x:t>http://id.who.int/icd/entity/401045121</x:t>
  </x:si>
  <x:si>
    <x:t>http://id.who.int/icd/release/11/beta/ichi/401045121</x:t>
  </x:si>
  <x:si>
    <x:t>HDE</x:t>
  </x:si>
  <x:si>
    <x:t>- - - - - Aortic valve</x:t>
  </x:si>
  <x:si>
    <x:t>http://id.who.int/icd/entity/1236049508</x:t>
  </x:si>
  <x:si>
    <x:t>http://id.who.int/icd/release/11/beta/ichi/1236049508</x:t>
  </x:si>
  <x:si>
    <x:t>HDF</x:t>
  </x:si>
  <x:si>
    <x:t>- - - - - Mitral valve</x:t>
  </x:si>
  <x:si>
    <x:t>http://id.who.int/icd/entity/678237593</x:t>
  </x:si>
  <x:si>
    <x:t>http://id.who.int/icd/release/11/beta/ichi/678237593</x:t>
  </x:si>
  <x:si>
    <x:t>HDG</x:t>
  </x:si>
  <x:si>
    <x:t>- - - - - Pulmonary valve</x:t>
  </x:si>
  <x:si>
    <x:t>http://id.who.int/icd/entity/59799817</x:t>
  </x:si>
  <x:si>
    <x:t>http://id.who.int/icd/release/11/beta/ichi/59799817</x:t>
  </x:si>
  <x:si>
    <x:t>HDH</x:t>
  </x:si>
  <x:si>
    <x:t>- - - - - Tricuspid valve</x:t>
  </x:si>
  <x:si>
    <x:t>http://id.who.int/icd/entity/1850829920</x:t>
  </x:si>
  <x:si>
    <x:t>http://id.who.int/icd/release/11/beta/ichi/1850829920</x:t>
  </x:si>
  <x:si>
    <x:t>HDI</x:t>
  </x:si>
  <x:si>
    <x:t>- - - - - Truncal valve</x:t>
  </x:si>
  <x:si>
    <x:t>http://id.who.int/icd/entity/1748610320</x:t>
  </x:si>
  <x:si>
    <x:t>http://id.who.int/icd/release/11/beta/ichi/1748610320</x:t>
  </x:si>
  <x:si>
    <x:t>HDM</x:t>
  </x:si>
  <x:si>
    <x:t>- - - - - Congenitally malformed atrioventricular valve</x:t>
  </x:si>
  <x:si>
    <x:t>http://id.who.int/icd/entity/860252691</x:t>
  </x:si>
  <x:si>
    <x:t>http://id.who.int/icd/release/11/beta/ichi/860252691</x:t>
  </x:si>
  <x:si>
    <x:t>- - - - Endocardium, pericardium, myocardium</x:t>
  </x:si>
  <x:si>
    <x:t>http://id.who.int/icd/entity/331290671</x:t>
  </x:si>
  <x:si>
    <x:t>http://id.who.int/icd/release/11/beta/ichi/331290671</x:t>
  </x:si>
  <x:si>
    <x:t>HFA</x:t>
  </x:si>
  <x:si>
    <x:t>- - - - - Endocardium</x:t>
  </x:si>
  <x:si>
    <x:t>http://id.who.int/icd/entity/2038074744</x:t>
  </x:si>
  <x:si>
    <x:t>http://id.who.int/icd/release/11/beta/ichi/2038074744</x:t>
  </x:si>
  <x:si>
    <x:t>HFB</x:t>
  </x:si>
  <x:si>
    <x:t>- - - - - Atrioventricular septum</x:t>
  </x:si>
  <x:si>
    <x:t>http://id.who.int/icd/entity/305570287</x:t>
  </x:si>
  <x:si>
    <x:t>http://id.who.int/icd/release/11/beta/ichi/305570287</x:t>
  </x:si>
  <x:si>
    <x:t>HFC</x:t>
  </x:si>
  <x:si>
    <x:t>- - - - - Conducting system of heart</x:t>
  </x:si>
  <x:si>
    <x:t>http://id.who.int/icd/entity/657548699</x:t>
  </x:si>
  <x:si>
    <x:t>http://id.who.int/icd/release/11/beta/ichi/657548699</x:t>
  </x:si>
  <x:si>
    <x:t>HFD</x:t>
  </x:si>
  <x:si>
    <x:t>- - - - - Myocardium</x:t>
  </x:si>
  <x:si>
    <x:t>http://id.who.int/icd/entity/495921533</x:t>
  </x:si>
  <x:si>
    <x:t>http://id.who.int/icd/release/11/beta/ichi/495921533</x:t>
  </x:si>
  <x:si>
    <x:t>HFF</x:t>
  </x:si>
  <x:si>
    <x:t>- - - - - Pericardium</x:t>
  </x:si>
  <x:si>
    <x:t>http://id.who.int/icd/entity/141664053</x:t>
  </x:si>
  <x:si>
    <x:t>http://id.who.int/icd/release/11/beta/ichi/141664053</x:t>
  </x:si>
  <x:si>
    <x:t>- - - - Coronary arteries or great vessels</x:t>
  </x:si>
  <x:si>
    <x:t>13</x:t>
  </x:si>
  <x:si>
    <x:t>http://id.who.int/icd/entity/680062217</x:t>
  </x:si>
  <x:si>
    <x:t>http://id.who.int/icd/release/11/beta/ichi/680062217</x:t>
  </x:si>
  <x:si>
    <x:t>HIA</x:t>
  </x:si>
  <x:si>
    <x:t>- - - - - Coronary artery</x:t>
  </x:si>
  <x:si>
    <x:t>http://id.who.int/icd/entity/664196587</x:t>
  </x:si>
  <x:si>
    <x:t>http://id.who.int/icd/release/11/beta/ichi/664196587</x:t>
  </x:si>
  <x:si>
    <x:t>HIB</x:t>
  </x:si>
  <x:si>
    <x:t>- - - - - Vena cava superior</x:t>
  </x:si>
  <x:si>
    <x:t>http://id.who.int/icd/entity/1487795958</x:t>
  </x:si>
  <x:si>
    <x:t>http://id.who.int/icd/release/11/beta/ichi/1487795958</x:t>
  </x:si>
  <x:si>
    <x:t>HIC</x:t>
  </x:si>
  <x:si>
    <x:t>- - - - - Vena cava inferior</x:t>
  </x:si>
  <x:si>
    <x:t>http://id.who.int/icd/entity/1297301694</x:t>
  </x:si>
  <x:si>
    <x:t>http://id.who.int/icd/release/11/beta/ichi/1297301694</x:t>
  </x:si>
  <x:si>
    <x:t>HID</x:t>
  </x:si>
  <x:si>
    <x:t>- - - - - Pulmonary artery</x:t>
  </x:si>
  <x:si>
    <x:t>http://id.who.int/icd/entity/919991709</x:t>
  </x:si>
  <x:si>
    <x:t>http://id.who.int/icd/release/11/beta/ichi/919991709</x:t>
  </x:si>
  <x:si>
    <x:t>HIE</x:t>
  </x:si>
  <x:si>
    <x:t>- - - - - Pulmonary vein</x:t>
  </x:si>
  <x:si>
    <x:t>http://id.who.int/icd/entity/490967811</x:t>
  </x:si>
  <x:si>
    <x:t>http://id.who.int/icd/release/11/beta/ichi/490967811</x:t>
  </x:si>
  <x:si>
    <x:t>HIF</x:t>
  </x:si>
  <x:si>
    <x:t>- - - - - Ascending aorta</x:t>
  </x:si>
  <x:si>
    <x:t>http://id.who.int/icd/entity/675567479</x:t>
  </x:si>
  <x:si>
    <x:t>http://id.who.int/icd/release/11/beta/ichi/675567479</x:t>
  </x:si>
  <x:si>
    <x:t>HIG</x:t>
  </x:si>
  <x:si>
    <x:t>- - - - - Aorta, thoracic descending</x:t>
  </x:si>
  <x:si>
    <x:t>http://id.who.int/icd/entity/318380945</x:t>
  </x:si>
  <x:si>
    <x:t>http://id.who.int/icd/release/11/beta/ichi/318380945</x:t>
  </x:si>
  <x:si>
    <x:t>HIH</x:t>
  </x:si>
  <x:si>
    <x:t>- - - - - Aorta, abdominal</x:t>
  </x:si>
  <x:si>
    <x:t>http://id.who.int/icd/entity/1652076574</x:t>
  </x:si>
  <x:si>
    <x:t>http://id.who.int/icd/release/11/beta/ichi/1652076574</x:t>
  </x:si>
  <x:si>
    <x:t>HIJ</x:t>
  </x:si>
  <x:si>
    <x:t>- - - - - Ductus arteriosus</x:t>
  </x:si>
  <x:si>
    <x:t>http://id.who.int/icd/entity/1380670358</x:t>
  </x:si>
  <x:si>
    <x:t>http://id.who.int/icd/release/11/beta/ichi/1380670358</x:t>
  </x:si>
  <x:si>
    <x:t>HIK</x:t>
  </x:si>
  <x:si>
    <x:t>- - - - - Aortic arch</x:t>
  </x:si>
  <x:si>
    <x:t>http://id.who.int/icd/entity/1733074916</x:t>
  </x:si>
  <x:si>
    <x:t>http://id.who.int/icd/release/11/beta/ichi/1733074916</x:t>
  </x:si>
  <x:si>
    <x:t>HIL</x:t>
  </x:si>
  <x:si>
    <x:t>- - - - - Aortic root</x:t>
  </x:si>
  <x:si>
    <x:t>http://id.who.int/icd/entity/483011267</x:t>
  </x:si>
  <x:si>
    <x:t>http://id.who.int/icd/release/11/beta/ichi/483011267</x:t>
  </x:si>
  <x:si>
    <x:t>HIM</x:t>
  </x:si>
  <x:si>
    <x:t>- - - - - Complex congenital heart malformation, coronary artery</x:t>
  </x:si>
  <x:si>
    <x:t>http://id.who.int/icd/entity/1576194820</x:t>
  </x:si>
  <x:si>
    <x:t>http://id.who.int/icd/release/11/beta/ichi/1576194820</x:t>
  </x:si>
  <x:si>
    <x:t>HIN</x:t>
  </x:si>
  <x:si>
    <x:t>- - - - - Complex congenital heart malformation, great vessel</x:t>
  </x:si>
  <x:si>
    <x:t>http://id.who.int/icd/entity/1459015082</x:t>
  </x:si>
  <x:si>
    <x:t>http://id.who.int/icd/release/11/beta/ichi/1459015082</x:t>
  </x:si>
  <x:si>
    <x:t>- - - - Functions of heart or cardiovascular system</x:t>
  </x:si>
  <x:si>
    <x:t>http://id.who.int/icd/entity/1760892786</x:t>
  </x:si>
  <x:si>
    <x:t>http://id.who.int/icd/release/11/beta/ichi/1760892786</x:t>
  </x:si>
  <x:si>
    <x:t>HT2</x:t>
  </x:si>
  <x:si>
    <x:t>- - - - - Functions of the cardiovascular system, not elsewhere classified</x:t>
  </x:si>
  <x:si>
    <x:t>http://id.who.int/icd/entity/1478689898</x:t>
  </x:si>
  <x:si>
    <x:t>http://id.who.int/icd/release/11/beta/ichi/1478689898</x:t>
  </x:si>
  <x:si>
    <x:t>HTB</x:t>
  </x:si>
  <x:si>
    <x:t>- - - - - Heart functions, not elsewhere classified</x:t>
  </x:si>
  <x:si>
    <x:t>http://id.who.int/icd/entity/1654474894</x:t>
  </x:si>
  <x:si>
    <x:t>http://id.who.int/icd/release/11/beta/ichi/1654474894</x:t>
  </x:si>
  <x:si>
    <x:t>HTC</x:t>
  </x:si>
  <x:si>
    <x:t>- - - - - Functions involved in supplying blood to the heart</x:t>
  </x:si>
  <x:si>
    <x:t>http://id.who.int/icd/entity/1469746424</x:t>
  </x:si>
  <x:si>
    <x:t>http://id.who.int/icd/release/11/beta/ichi/1469746424</x:t>
  </x:si>
  <x:si>
    <x:t>HTG</x:t>
  </x:si>
  <x:si>
    <x:t>- - - - - Functions involved in the heart rhythm</x:t>
  </x:si>
  <x:si>
    <x:t>http://id.who.int/icd/entity/740047321</x:t>
  </x:si>
  <x:si>
    <x:t>http://id.who.int/icd/release/11/beta/ichi/740047321</x:t>
  </x:si>
  <x:si>
    <x:t>HTK</x:t>
  </x:si>
  <x:si>
    <x:t>- - - - - Functions involved in the contraction force of ventricular muscles</x:t>
  </x:si>
  <x:si>
    <x:t>http://id.who.int/icd/entity/1196430670</x:t>
  </x:si>
  <x:si>
    <x:t>http://id.who.int/icd/release/11/beta/ichi/1196430670</x:t>
  </x:si>
  <x:si>
    <x:t>HTM</x:t>
  </x:si>
  <x:si>
    <x:t>- - - - - Exercise tolerance functions</x:t>
  </x:si>
  <x:si>
    <x:t>http://id.who.int/icd/entity/1918357820</x:t>
  </x:si>
  <x:si>
    <x:t>http://id.who.int/icd/release/11/beta/ichi/1918357820</x:t>
  </x:si>
  <x:si>
    <x:t>HTR</x:t>
  </x:si>
  <x:si>
    <x:t>- - - - - Functions involved in the heart rate</x:t>
  </x:si>
  <x:si>
    <x:t>http://id.who.int/icd/entity/225243685</x:t>
  </x:si>
  <x:si>
    <x:t>http://id.who.int/icd/release/11/beta/ichi/225243685</x:t>
  </x:si>
  <x:si>
    <x:t>- - - - Heart, not elsewhere classified</x:t>
  </x:si>
  <x:si>
    <x:t>http://id.who.int/icd/entity/1223269852</x:t>
  </x:si>
  <x:si>
    <x:t>http://id.who.int/icd/release/11/beta/ichi/1223269852</x:t>
  </x:si>
  <x:si>
    <x:t>HZA</x:t>
  </x:si>
  <x:si>
    <x:t>- - - - - Left heart, not elsewhere classified</x:t>
  </x:si>
  <x:si>
    <x:t>http://id.who.int/icd/entity/1729025794</x:t>
  </x:si>
  <x:si>
    <x:t>http://id.who.int/icd/release/11/beta/ichi/1729025794</x:t>
  </x:si>
  <x:si>
    <x:t>HZB</x:t>
  </x:si>
  <x:si>
    <x:t>- - - - - Right heart, not elsewhere classified</x:t>
  </x:si>
  <x:si>
    <x:t>http://id.who.int/icd/entity/1376326520</x:t>
  </x:si>
  <x:si>
    <x:t>http://id.who.int/icd/release/11/beta/ichi/1376326520</x:t>
  </x:si>
  <x:si>
    <x:t>HZM</x:t>
  </x:si>
  <x:si>
    <x:t>- - - - - Complex congenital heart malformation, unspecified</x:t>
  </x:si>
  <x:si>
    <x:t>http://id.who.int/icd/entity/697280087</x:t>
  </x:si>
  <x:si>
    <x:t>http://id.who.int/icd/release/11/beta/ichi/697280087</x:t>
  </x:si>
  <x:si>
    <x:t>HZZ</x:t>
  </x:si>
  <x:si>
    <x:t>- - - - - Entire heart or great vessel, unspecified</x:t>
  </x:si>
  <x:si>
    <x:t>http://id.who.int/icd/entity/952927777</x:t>
  </x:si>
  <x:si>
    <x:t>http://id.who.int/icd/release/11/beta/ichi/952927777</x:t>
  </x:si>
  <x:si>
    <x:t>- - - - Cerebral vessels</x:t>
  </x:si>
  <x:si>
    <x:t>http://id.who.int/icd/entity/406189085</x:t>
  </x:si>
  <x:si>
    <x:t>http://id.who.int/icd/release/11/beta/ichi/406189085</x:t>
  </x:si>
  <x:si>
    <x:t>IAA</x:t>
  </x:si>
  <x:si>
    <x:t>- - - - - Intracranial artery</x:t>
  </x:si>
  <x:si>
    <x:t>http://id.who.int/icd/entity/2106976032</x:t>
  </x:si>
  <x:si>
    <x:t>http://id.who.int/icd/release/11/beta/ichi/2106976032</x:t>
  </x:si>
  <x:si>
    <x:t>IAD</x:t>
  </x:si>
  <x:si>
    <x:t>- - - - - Intracranial vein</x:t>
  </x:si>
  <x:si>
    <x:t>http://id.who.int/icd/entity/45007873</x:t>
  </x:si>
  <x:si>
    <x:t>http://id.who.int/icd/release/11/beta/ichi/45007873</x:t>
  </x:si>
  <x:si>
    <x:t>- - - - Vessels of head or neck</x:t>
  </x:si>
  <x:si>
    <x:t>http://id.who.int/icd/entity/101929535</x:t>
  </x:si>
  <x:si>
    <x:t>http://id.who.int/icd/release/11/beta/ichi/101929535</x:t>
  </x:si>
  <x:si>
    <x:t>IBA</x:t>
  </x:si>
  <x:si>
    <x:t>- - - - - Artery of head and neck, extracranial</x:t>
  </x:si>
  <x:si>
    <x:t>http://id.who.int/icd/entity/1659303484</x:t>
  </x:si>
  <x:si>
    <x:t>http://id.who.int/icd/release/11/beta/ichi/1659303484</x:t>
  </x:si>
  <x:si>
    <x:t>IBB</x:t>
  </x:si>
  <x:si>
    <x:t>- - - - - Carotid artery, extracranial</x:t>
  </x:si>
  <x:si>
    <x:t>http://id.who.int/icd/entity/1474376270</x:t>
  </x:si>
  <x:si>
    <x:t>http://id.who.int/icd/release/11/beta/ichi/1474376270</x:t>
  </x:si>
  <x:si>
    <x:t>IBD</x:t>
  </x:si>
  <x:si>
    <x:t>- - - - - Vein of head and neck, extracranial</x:t>
  </x:si>
  <x:si>
    <x:t>http://id.who.int/icd/entity/1302727828</x:t>
  </x:si>
  <x:si>
    <x:t>http://id.who.int/icd/release/11/beta/ichi/1302727828</x:t>
  </x:si>
  <x:si>
    <x:t>- - - - Vessels of upper limb</x:t>
  </x:si>
  <x:si>
    <x:t>http://id.who.int/icd/entity/136536941</x:t>
  </x:si>
  <x:si>
    <x:t>http://id.who.int/icd/release/11/beta/ichi/136536941</x:t>
  </x:si>
  <x:si>
    <x:t>ICA</x:t>
  </x:si>
  <x:si>
    <x:t>- - - - - Artery of upper limb</x:t>
  </x:si>
  <x:si>
    <x:t>http://id.who.int/icd/entity/1754180040</x:t>
  </x:si>
  <x:si>
    <x:t>http://id.who.int/icd/release/11/beta/ichi/1754180040</x:t>
  </x:si>
  <x:si>
    <x:t>ICD</x:t>
  </x:si>
  <x:si>
    <x:t>- - - - - Vein of upper limb</x:t>
  </x:si>
  <x:si>
    <x:t>http://id.who.int/icd/entity/397773529</x:t>
  </x:si>
  <x:si>
    <x:t>http://id.who.int/icd/release/11/beta/ichi/397773529</x:t>
  </x:si>
  <x:si>
    <x:t>- - - - Vessels of thorax</x:t>
  </x:si>
  <x:si>
    <x:t>http://id.who.int/icd/entity/1378936096</x:t>
  </x:si>
  <x:si>
    <x:t>http://id.who.int/icd/release/11/beta/ichi/1378936096</x:t>
  </x:si>
  <x:si>
    <x:t>IDA</x:t>
  </x:si>
  <x:si>
    <x:t>- - - - - Artery of thorax</x:t>
  </x:si>
  <x:si>
    <x:t>http://id.who.int/icd/entity/1459931870</x:t>
  </x:si>
  <x:si>
    <x:t>http://id.who.int/icd/release/11/beta/ichi/1459931870</x:t>
  </x:si>
  <x:si>
    <x:t>IDB</x:t>
  </x:si>
  <x:si>
    <x:t>- - - - - Vein of thorax</x:t>
  </x:si>
  <x:si>
    <x:t>http://id.who.int/icd/entity/1644367532</x:t>
  </x:si>
  <x:si>
    <x:t>http://id.who.int/icd/release/11/beta/ichi/1644367532</x:t>
  </x:si>
  <x:si>
    <x:t>IDM</x:t>
  </x:si>
  <x:si>
    <x:t>- - - - - Complex congenital malformation, thoracic artery</x:t>
  </x:si>
  <x:si>
    <x:t>http://id.who.int/icd/entity/2017734770</x:t>
  </x:si>
  <x:si>
    <x:t>http://id.who.int/icd/release/11/beta/ichi/2017734770</x:t>
  </x:si>
  <x:si>
    <x:t>- - - - Abdominal vessels</x:t>
  </x:si>
  <x:si>
    <x:t>http://id.who.int/icd/entity/1488798284</x:t>
  </x:si>
  <x:si>
    <x:t>http://id.who.int/icd/release/11/beta/ichi/1488798284</x:t>
  </x:si>
  <x:si>
    <x:t>IEA</x:t>
  </x:si>
  <x:si>
    <x:t>- - - - - Abdominal or pelvic artery</x:t>
  </x:si>
  <x:si>
    <x:t>http://id.who.int/icd/entity/2002389138</x:t>
  </x:si>
  <x:si>
    <x:t>http://id.who.int/icd/release/11/beta/ichi/2002389138</x:t>
  </x:si>
  <x:si>
    <x:t>IED</x:t>
  </x:si>
  <x:si>
    <x:t>- - - - - Abdominal or pelvic vein</x:t>
  </x:si>
  <x:si>
    <x:t>http://id.who.int/icd/entity/1113443560</x:t>
  </x:si>
  <x:si>
    <x:t>http://id.who.int/icd/release/11/beta/ichi/1113443560</x:t>
  </x:si>
  <x:si>
    <x:t>IEF</x:t>
  </x:si>
  <x:si>
    <x:t>- - - - - Portal vein and branches</x:t>
  </x:si>
  <x:si>
    <x:t>http://id.who.int/icd/entity/421661691</x:t>
  </x:si>
  <x:si>
    <x:t>http://id.who.int/icd/release/11/beta/ichi/421661691</x:t>
  </x:si>
  <x:si>
    <x:t>- - - - Vessels of lower limb</x:t>
  </x:si>
  <x:si>
    <x:t>http://id.who.int/icd/entity/970684871</x:t>
  </x:si>
  <x:si>
    <x:t>http://id.who.int/icd/release/11/beta/ichi/970684871</x:t>
  </x:si>
  <x:si>
    <x:t>IFA</x:t>
  </x:si>
  <x:si>
    <x:t>- - - - - Artery of lower limb</x:t>
  </x:si>
  <x:si>
    <x:t>http://id.who.int/icd/entity/1483864114</x:t>
  </x:si>
  <x:si>
    <x:t>http://id.who.int/icd/release/11/beta/ichi/1483864114</x:t>
  </x:si>
  <x:si>
    <x:t>IFD</x:t>
  </x:si>
  <x:si>
    <x:t>- - - - - Vein of lower limb</x:t>
  </x:si>
  <x:si>
    <x:t>http://id.who.int/icd/entity/1400235680</x:t>
  </x:si>
  <x:si>
    <x:t>http://id.who.int/icd/release/11/beta/ichi/1400235680</x:t>
  </x:si>
  <x:si>
    <x:t>- - - - Vessel functions</x:t>
  </x:si>
  <x:si>
    <x:t>http://id.who.int/icd/entity/1836465224</x:t>
  </x:si>
  <x:si>
    <x:t>http://id.who.int/icd/release/11/beta/ichi/1836465224</x:t>
  </x:si>
  <x:si>
    <x:t>ITA</x:t>
  </x:si>
  <x:si>
    <x:t>- - - - - Blood pressure functions</x:t>
  </x:si>
  <x:si>
    <x:t>http://id.who.int/icd/entity/129214737</x:t>
  </x:si>
  <x:si>
    <x:t>http://id.who.int/icd/release/11/beta/ichi/129214737</x:t>
  </x:si>
  <x:si>
    <x:t>ITB</x:t>
  </x:si>
  <x:si>
    <x:t>- - - - - Blood vessel functions</x:t>
  </x:si>
  <x:si>
    <x:t>http://id.who.int/icd/entity/1392271198</x:t>
  </x:si>
  <x:si>
    <x:t>http://id.who.int/icd/release/11/beta/ichi/1392271198</x:t>
  </x:si>
  <x:si>
    <x:t>- - - - Vessels, not elsewhere classified</x:t>
  </x:si>
  <x:si>
    <x:t>http://id.who.int/icd/entity/393818279</x:t>
  </x:si>
  <x:si>
    <x:t>http://id.who.int/icd/release/11/beta/ichi/393818279</x:t>
  </x:si>
  <x:si>
    <x:t>IZA</x:t>
  </x:si>
  <x:si>
    <x:t>- - - - - Artery, not elsewhere classified</x:t>
  </x:si>
  <x:si>
    <x:t>http://id.who.int/icd/entity/2109515250</x:t>
  </x:si>
  <x:si>
    <x:t>http://id.who.int/icd/release/11/beta/ichi/2109515250</x:t>
  </x:si>
  <x:si>
    <x:t>IZD</x:t>
  </x:si>
  <x:si>
    <x:t>- - - - - Vein, not elsewhere classified</x:t>
  </x:si>
  <x:si>
    <x:t>http://id.who.int/icd/entity/801024522</x:t>
  </x:si>
  <x:si>
    <x:t>http://id.who.int/icd/release/11/beta/ichi/801024522</x:t>
  </x:si>
  <x:si>
    <x:t>IZE</x:t>
  </x:si>
  <x:si>
    <x:t>- - - - - Blood vessel, not elsewhere classified</x:t>
  </x:si>
  <x:si>
    <x:t>http://id.who.int/icd/release/11/beta/ichi/802058050/other</x:t>
  </x:si>
  <x:si>
    <x:t>IZY</x:t>
  </x:si>
  <x:si>
    <x:t>- - - - Other specified circulatory system target</x:t>
  </x:si>
  <x:si>
    <x:t>http://id.who.int/icd/release/11/beta/ichi/802058050/unspecified</x:t>
  </x:si>
  <x:si>
    <x:t>IZZ</x:t>
  </x:si>
  <x:si>
    <x:t>- - - - Circulatory system target, unspecified</x:t>
  </x:si>
  <x:si>
    <x:t>http://id.who.int/icd/entity/1838400728</x:t>
  </x:si>
  <x:si>
    <x:t>http://id.who.int/icd/release/11/beta/ichi/1838400728</x:t>
  </x:si>
  <x:si>
    <x:t>- - - Respiratory system or voice or speech targets</x:t>
  </x:si>
  <x:si>
    <x:t>http://id.who.int/icd/entity/1038622055</x:t>
  </x:si>
  <x:si>
    <x:t>http://id.who.int/icd/release/11/beta/ichi/1038622055</x:t>
  </x:si>
  <x:si>
    <x:t>- - - - Upper respiratory tract</x:t>
  </x:si>
  <x:si>
    <x:t>10</x:t>
  </x:si>
  <x:si>
    <x:t>http://id.who.int/icd/entity/859690149</x:t>
  </x:si>
  <x:si>
    <x:t>http://id.who.int/icd/release/11/beta/ichi/859690149</x:t>
  </x:si>
  <x:si>
    <x:t>JAA</x:t>
  </x:si>
  <x:si>
    <x:t>- - - - - Nose</x:t>
  </x:si>
  <x:si>
    <x:t>http://id.who.int/icd/entity/313059273</x:t>
  </x:si>
  <x:si>
    <x:t>http://id.who.int/icd/release/11/beta/ichi/313059273</x:t>
  </x:si>
  <x:si>
    <x:t>JAB</x:t>
  </x:si>
  <x:si>
    <x:t>- - - - - Nasal septum</x:t>
  </x:si>
  <x:si>
    <x:t>http://id.who.int/icd/entity/1764643560</x:t>
  </x:si>
  <x:si>
    <x:t>http://id.who.int/icd/release/11/beta/ichi/1764643560</x:t>
  </x:si>
  <x:si>
    <x:t>JAC</x:t>
  </x:si>
  <x:si>
    <x:t>- - - - - Turbinate</x:t>
  </x:si>
  <x:si>
    <x:t>http://id.who.int/icd/entity/40009343</x:t>
  </x:si>
  <x:si>
    <x:t>http://id.who.int/icd/release/11/beta/ichi/40009343</x:t>
  </x:si>
  <x:si>
    <x:t>JAE</x:t>
  </x:si>
  <x:si>
    <x:t>- - - - - Paranasal sinus, not elsewhere classified</x:t>
  </x:si>
  <x:si>
    <x:t>http://id.who.int/icd/entity/929413643</x:t>
  </x:si>
  <x:si>
    <x:t>http://id.who.int/icd/release/11/beta/ichi/929413643</x:t>
  </x:si>
  <x:si>
    <x:t>JAF</x:t>
  </x:si>
  <x:si>
    <x:t>- - - - - Maxillary sinus</x:t>
  </x:si>
  <x:si>
    <x:t>http://id.who.int/icd/entity/232519405</x:t>
  </x:si>
  <x:si>
    <x:t>http://id.who.int/icd/release/11/beta/ichi/232519405</x:t>
  </x:si>
  <x:si>
    <x:t>JAG</x:t>
  </x:si>
  <x:si>
    <x:t>- - - - - Frontal sinus</x:t>
  </x:si>
  <x:si>
    <x:t>http://id.who.int/icd/entity/953954969</x:t>
  </x:si>
  <x:si>
    <x:t>http://id.who.int/icd/release/11/beta/ichi/953954969</x:t>
  </x:si>
  <x:si>
    <x:t>JAH</x:t>
  </x:si>
  <x:si>
    <x:t>- - - - - Ethmoid sinus</x:t>
  </x:si>
  <x:si>
    <x:t>http://id.who.int/icd/entity/1130006458</x:t>
  </x:si>
  <x:si>
    <x:t>http://id.who.int/icd/release/11/beta/ichi/1130006458</x:t>
  </x:si>
  <x:si>
    <x:t>JAI</x:t>
  </x:si>
  <x:si>
    <x:t>- - - - - Sphenoid sinus</x:t>
  </x:si>
  <x:si>
    <x:t>http://id.who.int/icd/entity/1195418104</x:t>
  </x:si>
  <x:si>
    <x:t>http://id.who.int/icd/release/11/beta/ichi/1195418104</x:t>
  </x:si>
  <x:si>
    <x:t>JAM</x:t>
  </x:si>
  <x:si>
    <x:t>- - - - - Nasal pharynx</x:t>
  </x:si>
  <x:si>
    <x:t>http://id.who.int/icd/entity/1917281666</x:t>
  </x:si>
  <x:si>
    <x:t>http://id.who.int/icd/release/11/beta/ichi/1917281666</x:t>
  </x:si>
  <x:si>
    <x:t>JAN</x:t>
  </x:si>
  <x:si>
    <x:t>- - - - - Larynx and epiglottis</x:t>
  </x:si>
  <x:si>
    <x:t>http://id.who.int/icd/entity/763704481</x:t>
  </x:si>
  <x:si>
    <x:t>http://id.who.int/icd/release/11/beta/ichi/763704481</x:t>
  </x:si>
  <x:si>
    <x:t>- - - - Lower respiratory tract</x:t>
  </x:si>
  <x:si>
    <x:t>http://id.who.int/icd/entity/226248349</x:t>
  </x:si>
  <x:si>
    <x:t>http://id.who.int/icd/release/11/beta/ichi/226248349</x:t>
  </x:si>
  <x:si>
    <x:t>JBA</x:t>
  </x:si>
  <x:si>
    <x:t>- - - - - Trachea</x:t>
  </x:si>
  <x:si>
    <x:t>http://id.who.int/icd/entity/433536599</x:t>
  </x:si>
  <x:si>
    <x:t>http://id.who.int/icd/release/11/beta/ichi/433536599</x:t>
  </x:si>
  <x:si>
    <x:t>JBB</x:t>
  </x:si>
  <x:si>
    <x:t>- - - - - Bronchus</x:t>
  </x:si>
  <x:si>
    <x:t>http://id.who.int/icd/entity/204048415</x:t>
  </x:si>
  <x:si>
    <x:t>http://id.who.int/icd/release/11/beta/ichi/204048415</x:t>
  </x:si>
  <x:si>
    <x:t>JBF</x:t>
  </x:si>
  <x:si>
    <x:t>- - - - - Lung parenchyma</x:t>
  </x:si>
  <x:si>
    <x:t>http://id.who.int/icd/entity/1930603264</x:t>
  </x:si>
  <x:si>
    <x:t>http://id.who.int/icd/release/11/beta/ichi/1930603264</x:t>
  </x:si>
  <x:si>
    <x:t>- - - - Pleura or thoracic spaces</x:t>
  </x:si>
  <x:si>
    <x:t>http://id.who.int/icd/entity/915916025</x:t>
  </x:si>
  <x:si>
    <x:t>http://id.who.int/icd/release/11/beta/ichi/915916025</x:t>
  </x:si>
  <x:si>
    <x:t>JCA</x:t>
  </x:si>
  <x:si>
    <x:t>- - - - - Pleura</x:t>
  </x:si>
  <x:si>
    <x:t>http://id.who.int/icd/entity/1982235902</x:t>
  </x:si>
  <x:si>
    <x:t>http://id.who.int/icd/release/11/beta/ichi/1982235902</x:t>
  </x:si>
  <x:si>
    <x:t>JCB</x:t>
  </x:si>
  <x:si>
    <x:t>- - - - - Pleural cavity</x:t>
  </x:si>
  <x:si>
    <x:t>http://id.who.int/icd/entity/1126252684</x:t>
  </x:si>
  <x:si>
    <x:t>http://id.who.int/icd/release/11/beta/ichi/1126252684</x:t>
  </x:si>
  <x:si>
    <x:t>JCG</x:t>
  </x:si>
  <x:si>
    <x:t>- - - - - Mediastinal space</x:t>
  </x:si>
  <x:si>
    <x:t>http://id.who.int/icd/entity/950531499</x:t>
  </x:si>
  <x:si>
    <x:t>http://id.who.int/icd/release/11/beta/ichi/950531499</x:t>
  </x:si>
  <x:si>
    <x:t>JCH</x:t>
  </x:si>
  <x:si>
    <x:t>- - - - - Thoracic cavity</x:t>
  </x:si>
  <x:si>
    <x:t>http://id.who.int/icd/entity/152938465</x:t>
  </x:si>
  <x:si>
    <x:t>http://id.who.int/icd/release/11/beta/ichi/152938465</x:t>
  </x:si>
  <x:si>
    <x:t>- - - - Functions of respiratory system</x:t>
  </x:si>
  <x:si>
    <x:t>http://id.who.int/icd/entity/2040466540</x:t>
  </x:si>
  <x:si>
    <x:t>http://id.who.int/icd/release/11/beta/ichi/2040466540</x:t>
  </x:si>
  <x:si>
    <x:t>JT2</x:t>
  </x:si>
  <x:si>
    <x:t>- - - - - Functions of the respiratory system, not elsewhere classified</x:t>
  </x:si>
  <x:si>
    <x:t>http://id.who.int/icd/entity/1229528952</x:t>
  </x:si>
  <x:si>
    <x:t>http://id.who.int/icd/release/11/beta/ichi/1229528952</x:t>
  </x:si>
  <x:si>
    <x:t>JTB</x:t>
  </x:si>
  <x:si>
    <x:t>- - - - - Respiration functions</x:t>
  </x:si>
  <x:si>
    <x:t>http://id.who.int/icd/entity/2085542658</x:t>
  </x:si>
  <x:si>
    <x:t>http://id.who.int/icd/release/11/beta/ichi/2085542658</x:t>
  </x:si>
  <x:si>
    <x:t>JTC</x:t>
  </x:si>
  <x:si>
    <x:t>- - - - - Respiratory muscle functions</x:t>
  </x:si>
  <x:si>
    <x:t>http://id.who.int/icd/entity/1190172646</x:t>
  </x:si>
  <x:si>
    <x:t>http://id.who.int/icd/release/11/beta/ichi/1190172646</x:t>
  </x:si>
  <x:si>
    <x:t>JTG</x:t>
  </x:si>
  <x:si>
    <x:t>- - - - - Additional functions of the respiratory system</x:t>
  </x:si>
  <x:si>
    <x:t>http://id.who.int/icd/entity/1136965660</x:t>
  </x:si>
  <x:si>
    <x:t>http://id.who.int/icd/release/11/beta/ichi/1136965660</x:t>
  </x:si>
  <x:si>
    <x:t>- - - - Voice or speech</x:t>
  </x:si>
  <x:si>
    <x:t>http://id.who.int/icd/entity/104978403</x:t>
  </x:si>
  <x:si>
    <x:t>http://id.who.int/icd/release/11/beta/ichi/104978403</x:t>
  </x:si>
  <x:si>
    <x:t>JU1</x:t>
  </x:si>
  <x:si>
    <x:t>- - - - - Voice or speech functions, unspecified</x:t>
  </x:si>
  <x:si>
    <x:t>http://id.who.int/icd/entity/1820607156</x:t>
  </x:si>
  <x:si>
    <x:t>http://id.who.int/icd/release/11/beta/ichi/1820607156</x:t>
  </x:si>
  <x:si>
    <x:t>JUB</x:t>
  </x:si>
  <x:si>
    <x:t>- - - - - Voice functions</x:t>
  </x:si>
  <x:si>
    <x:t>http://id.who.int/icd/entity/1501791938</x:t>
  </x:si>
  <x:si>
    <x:t>http://id.who.int/icd/release/11/beta/ichi/1501791938</x:t>
  </x:si>
  <x:si>
    <x:t>JUC</x:t>
  </x:si>
  <x:si>
    <x:t>- - - - - Speech functions</x:t>
  </x:si>
  <x:si>
    <x:t>http://id.who.int/icd/entity/570766305</x:t>
  </x:si>
  <x:si>
    <x:t>http://id.who.int/icd/release/11/beta/ichi/570766305</x:t>
  </x:si>
  <x:si>
    <x:t>JUD</x:t>
  </x:si>
  <x:si>
    <x:t>- - - - - Articulation functions</x:t>
  </x:si>
  <x:si>
    <x:t>http://id.who.int/icd/entity/639571375</x:t>
  </x:si>
  <x:si>
    <x:t>http://id.who.int/icd/release/11/beta/ichi/639571375</x:t>
  </x:si>
  <x:si>
    <x:t>JUF</x:t>
  </x:si>
  <x:si>
    <x:t>- - - - - Fluency and rhythm of speech functions</x:t>
  </x:si>
  <x:si>
    <x:t>http://id.who.int/icd/entity/157282049</x:t>
  </x:si>
  <x:si>
    <x:t>http://id.who.int/icd/release/11/beta/ichi/157282049</x:t>
  </x:si>
  <x:si>
    <x:t>JUG</x:t>
  </x:si>
  <x:si>
    <x:t>- - - - - Alternative vocalisation functions</x:t>
  </x:si>
  <x:si>
    <x:t>http://id.who.int/icd/release/11/beta/ichi/1838400728/other</x:t>
  </x:si>
  <x:si>
    <x:t>JZY</x:t>
  </x:si>
  <x:si>
    <x:t>- - - - Other specified respiratory system, voice or speech target</x:t>
  </x:si>
  <x:si>
    <x:t>http://id.who.int/icd/release/11/beta/ichi/1838400728/unspecified</x:t>
  </x:si>
  <x:si>
    <x:t>JZZ</x:t>
  </x:si>
  <x:si>
    <x:t>- - - - Respiratory system, voice or speech target, unspecified</x:t>
  </x:si>
  <x:si>
    <x:t>http://id.who.int/icd/entity/483021639</x:t>
  </x:si>
  <x:si>
    <x:t>http://id.who.int/icd/release/11/beta/ichi/483021639</x:t>
  </x:si>
  <x:si>
    <x:t>- - - Digestive system targets</x:t>
  </x:si>
  <x:si>
    <x:t>http://id.who.int/icd/entity/1124598374</x:t>
  </x:si>
  <x:si>
    <x:t>http://id.who.int/icd/release/11/beta/ichi/1124598374</x:t>
  </x:si>
  <x:si>
    <x:t>- - - - Mouth or pharynx</x:t>
  </x:si>
  <x:si>
    <x:t>http://id.who.int/icd/entity/1009983867</x:t>
  </x:si>
  <x:si>
    <x:t>http://id.who.int/icd/release/11/beta/ichi/1009983867</x:t>
  </x:si>
  <x:si>
    <x:t>KAA</x:t>
  </x:si>
  <x:si>
    <x:t>- - - - - Lip</x:t>
  </x:si>
  <x:si>
    <x:t>http://id.who.int/icd/entity/591409247</x:t>
  </x:si>
  <x:si>
    <x:t>http://id.who.int/icd/release/11/beta/ichi/591409247</x:t>
  </x:si>
  <x:si>
    <x:t>KAB</x:t>
  </x:si>
  <x:si>
    <x:t>- - - - - Tongue</x:t>
  </x:si>
  <x:si>
    <x:t>http://id.who.int/icd/entity/373814315</x:t>
  </x:si>
  <x:si>
    <x:t>http://id.who.int/icd/release/11/beta/ichi/373814315</x:t>
  </x:si>
  <x:si>
    <x:t>KAE</x:t>
  </x:si>
  <x:si>
    <x:t>- - - - - Teeth</x:t>
  </x:si>
  <x:si>
    <x:t>http://id.who.int/icd/entity/1233495306</x:t>
  </x:si>
  <x:si>
    <x:t>http://id.who.int/icd/release/11/beta/ichi/1233495306</x:t>
  </x:si>
  <x:si>
    <x:t>KAG</x:t>
  </x:si>
  <x:si>
    <x:t>- - - - - Gums</x:t>
  </x:si>
  <x:si>
    <x:t>http://id.who.int/icd/entity/436108473</x:t>
  </x:si>
  <x:si>
    <x:t>http://id.who.int/icd/release/11/beta/ichi/436108473</x:t>
  </x:si>
  <x:si>
    <x:t>KAL</x:t>
  </x:si>
  <x:si>
    <x:t>- - - - - Parotid gland</x:t>
  </x:si>
  <x:si>
    <x:t>http://id.who.int/icd/entity/2035529234</x:t>
  </x:si>
  <x:si>
    <x:t>http://id.who.int/icd/release/11/beta/ichi/2035529234</x:t>
  </x:si>
  <x:si>
    <x:t>KAM</x:t>
  </x:si>
  <x:si>
    <x:t>- - - - - Salivary gland</x:t>
  </x:si>
  <x:si>
    <x:t>http://id.who.int/icd/entity/936560455</x:t>
  </x:si>
  <x:si>
    <x:t>http://id.who.int/icd/release/11/beta/ichi/936560455</x:t>
  </x:si>
  <x:si>
    <x:t>KAR</x:t>
  </x:si>
  <x:si>
    <x:t>- - - - - Oral pharynx</x:t>
  </x:si>
  <x:si>
    <x:t>http://id.who.int/icd/entity/647096113</x:t>
  </x:si>
  <x:si>
    <x:t>http://id.who.int/icd/release/11/beta/ichi/647096113</x:t>
  </x:si>
  <x:si>
    <x:t>KAS</x:t>
  </x:si>
  <x:si>
    <x:t>- - - - - Soft palate</x:t>
  </x:si>
  <x:si>
    <x:t>http://id.who.int/icd/entity/2112757806</x:t>
  </x:si>
  <x:si>
    <x:t>http://id.who.int/icd/release/11/beta/ichi/2112757806</x:t>
  </x:si>
  <x:si>
    <x:t>KAT</x:t>
  </x:si>
  <x:si>
    <x:t>- - - - - Hard palate</x:t>
  </x:si>
  <x:si>
    <x:t>http://id.who.int/icd/entity/379718843</x:t>
  </x:si>
  <x:si>
    <x:t>http://id.who.int/icd/release/11/beta/ichi/379718843</x:t>
  </x:si>
  <x:si>
    <x:t>KAZ</x:t>
  </x:si>
  <x:si>
    <x:t>- - - - - Oral cavity, not elsewhere classified</x:t>
  </x:si>
  <x:si>
    <x:t>http://id.who.int/icd/entity/971175445</x:t>
  </x:si>
  <x:si>
    <x:t>http://id.who.int/icd/release/11/beta/ichi/971175445</x:t>
  </x:si>
  <x:si>
    <x:t>- - - - Gastrointestinal tract</x:t>
  </x:si>
  <x:si>
    <x:t>11</x:t>
  </x:si>
  <x:si>
    <x:t>http://id.who.int/icd/entity/1029660715</x:t>
  </x:si>
  <x:si>
    <x:t>http://id.who.int/icd/release/11/beta/ichi/1029660715</x:t>
  </x:si>
  <x:si>
    <x:t>KBA</x:t>
  </x:si>
  <x:si>
    <x:t>- - - - - Oesophagus</x:t>
  </x:si>
  <x:si>
    <x:t>http://id.who.int/icd/entity/1469773180</x:t>
  </x:si>
  <x:si>
    <x:t>http://id.who.int/icd/release/11/beta/ichi/1469773180</x:t>
  </x:si>
  <x:si>
    <x:t>KBE</x:t>
  </x:si>
  <x:si>
    <x:t>- - - - - Gastroesophageal junction</x:t>
  </x:si>
  <x:si>
    <x:t>http://id.who.int/icd/entity/1400951602</x:t>
  </x:si>
  <x:si>
    <x:t>http://id.who.int/icd/release/11/beta/ichi/1400951602</x:t>
  </x:si>
  <x:si>
    <x:t>KBF</x:t>
  </x:si>
  <x:si>
    <x:t>- - - - - Stomach</x:t>
  </x:si>
  <x:si>
    <x:t>http://id.who.int/icd/entity/2021506978</x:t>
  </x:si>
  <x:si>
    <x:t>http://id.who.int/icd/release/11/beta/ichi/2021506978</x:t>
  </x:si>
  <x:si>
    <x:t>KBI</x:t>
  </x:si>
  <x:si>
    <x:t>- - - - - Duodenum</x:t>
  </x:si>
  <x:si>
    <x:t>http://id.who.int/icd/entity/960841317</x:t>
  </x:si>
  <x:si>
    <x:t>http://id.who.int/icd/release/11/beta/ichi/960841317</x:t>
  </x:si>
  <x:si>
    <x:t>KBK</x:t>
  </x:si>
  <x:si>
    <x:t>- - - - - Small intestine, not elsewhere classified</x:t>
  </x:si>
  <x:si>
    <x:t>http://id.who.int/icd/entity/314059509</x:t>
  </x:si>
  <x:si>
    <x:t>http://id.who.int/icd/release/11/beta/ichi/314059509</x:t>
  </x:si>
  <x:si>
    <x:t>KBO</x:t>
  </x:si>
  <x:si>
    <x:t>- - - - - Appendix</x:t>
  </x:si>
  <x:si>
    <x:t>http://id.who.int/icd/entity/551559834</x:t>
  </x:si>
  <x:si>
    <x:t>http://id.who.int/icd/release/11/beta/ichi/551559834</x:t>
  </x:si>
  <x:si>
    <x:t>KBP</x:t>
  </x:si>
  <x:si>
    <x:t>- - - - - Colon</x:t>
  </x:si>
  <x:si>
    <x:t>http://id.who.int/icd/entity/1243985869</x:t>
  </x:si>
  <x:si>
    <x:t>http://id.who.int/icd/release/11/beta/ichi/1243985869</x:t>
  </x:si>
  <x:si>
    <x:t>KBU</x:t>
  </x:si>
  <x:si>
    <x:t>- - - - - Sigmoid colon</x:t>
  </x:si>
  <x:si>
    <x:t>http://id.who.int/icd/entity/2132964281</x:t>
  </x:si>
  <x:si>
    <x:t>http://id.who.int/icd/release/11/beta/ichi/2132964281</x:t>
  </x:si>
  <x:si>
    <x:t>KBW</x:t>
  </x:si>
  <x:si>
    <x:t>- - - - - Rectum</x:t>
  </x:si>
  <x:si>
    <x:t>http://id.who.int/icd/entity/711820790</x:t>
  </x:si>
  <x:si>
    <x:t>http://id.who.int/icd/release/11/beta/ichi/711820790</x:t>
  </x:si>
  <x:si>
    <x:t>KBX</x:t>
  </x:si>
  <x:si>
    <x:t>- - - - - Anus and anal canal</x:t>
  </x:si>
  <x:si>
    <x:t>http://id.who.int/icd/entity/1066611646</x:t>
  </x:si>
  <x:si>
    <x:t>http://id.who.int/icd/release/11/beta/ichi/1066611646</x:t>
  </x:si>
  <x:si>
    <x:t>KBZ</x:t>
  </x:si>
  <x:si>
    <x:t>- - - - - Large intestine, not elsewhere classified</x:t>
  </x:si>
  <x:si>
    <x:t>http://id.who.int/icd/entity/1615946397</x:t>
  </x:si>
  <x:si>
    <x:t>http://id.who.int/icd/release/11/beta/ichi/1615946397</x:t>
  </x:si>
  <x:si>
    <x:t>- - - - Hepatic or biliary structures</x:t>
  </x:si>
  <x:si>
    <x:t>http://id.who.int/icd/entity/1084756129</x:t>
  </x:si>
  <x:si>
    <x:t>http://id.who.int/icd/release/11/beta/ichi/1084756129</x:t>
  </x:si>
  <x:si>
    <x:t>KCA</x:t>
  </x:si>
  <x:si>
    <x:t>- - - - - Liver</x:t>
  </x:si>
  <x:si>
    <x:t>http://id.who.int/icd/entity/1887306683</x:t>
  </x:si>
  <x:si>
    <x:t>http://id.who.int/icd/release/11/beta/ichi/1887306683</x:t>
  </x:si>
  <x:si>
    <x:t>KCF</x:t>
  </x:si>
  <x:si>
    <x:t>- - - - - Gall bladder</x:t>
  </x:si>
  <x:si>
    <x:t>http://id.who.int/icd/entity/1165608911</x:t>
  </x:si>
  <x:si>
    <x:t>http://id.who.int/icd/release/11/beta/ichi/1165608911</x:t>
  </x:si>
  <x:si>
    <x:t>KCM</x:t>
  </x:si>
  <x:si>
    <x:t>- - - - - Bile duct</x:t>
  </x:si>
  <x:si>
    <x:t>http://id.who.int/icd/entity/1254117213</x:t>
  </x:si>
  <x:si>
    <x:t>http://id.who.int/icd/release/11/beta/ichi/1254117213</x:t>
  </x:si>
  <x:si>
    <x:t>KCO</x:t>
  </x:si>
  <x:si>
    <x:t>- - - - - Pancreas and pancreatic duct</x:t>
  </x:si>
  <x:si>
    <x:t>http://id.who.int/icd/entity/297764928</x:t>
  </x:si>
  <x:si>
    <x:t>http://id.who.int/icd/release/11/beta/ichi/297764928</x:t>
  </x:si>
  <x:si>
    <x:t>- - - - Peritoneum</x:t>
  </x:si>
  <x:si>
    <x:t>http://id.who.int/icd/entity/826735230</x:t>
  </x:si>
  <x:si>
    <x:t>http://id.who.int/icd/release/11/beta/ichi/826735230</x:t>
  </x:si>
  <x:si>
    <x:t>KMA</x:t>
  </x:si>
  <x:si>
    <x:t>- - - - - Peritoneum and peritoneal cavity</x:t>
  </x:si>
  <x:si>
    <x:t>http://id.who.int/icd/entity/1078847537</x:t>
  </x:si>
  <x:si>
    <x:t>http://id.who.int/icd/release/11/beta/ichi/1078847537</x:t>
  </x:si>
  <x:si>
    <x:t>- - - - Functions of digestive system</x:t>
  </x:si>
  <x:si>
    <x:t>http://id.who.int/icd/entity/1622448653</x:t>
  </x:si>
  <x:si>
    <x:t>http://id.who.int/icd/release/11/beta/ichi/1622448653</x:t>
  </x:si>
  <x:si>
    <x:t>KT2</x:t>
  </x:si>
  <x:si>
    <x:t>- - - - - Functions related to the digestive system, not elsewhere classified</x:t>
  </x:si>
  <x:si>
    <x:t>http://id.who.int/icd/entity/1330893011</x:t>
  </x:si>
  <x:si>
    <x:t>http://id.who.int/icd/release/11/beta/ichi/1330893011</x:t>
  </x:si>
  <x:si>
    <x:t>KTB</x:t>
  </x:si>
  <x:si>
    <x:t>- - - - - Ingestion functions</x:t>
  </x:si>
  <x:si>
    <x:t>http://id.who.int/icd/entity/886400498</x:t>
  </x:si>
  <x:si>
    <x:t>http://id.who.int/icd/release/11/beta/ichi/886400498</x:t>
  </x:si>
  <x:si>
    <x:t>KTC</x:t>
  </x:si>
  <x:si>
    <x:t>- - - - - Swallowing</x:t>
  </x:si>
  <x:si>
    <x:t>http://id.who.int/icd/entity/1978506293</x:t>
  </x:si>
  <x:si>
    <x:t>http://id.who.int/icd/release/11/beta/ichi/1978506293</x:t>
  </x:si>
  <x:si>
    <x:t>KTE</x:t>
  </x:si>
  <x:si>
    <x:t>- - - - - Digestive functions</x:t>
  </x:si>
  <x:si>
    <x:t>http://id.who.int/icd/entity/1089099841</x:t>
  </x:si>
  <x:si>
    <x:t>http://id.who.int/icd/release/11/beta/ichi/1089099841</x:t>
  </x:si>
  <x:si>
    <x:t>KTH</x:t>
  </x:si>
  <x:si>
    <x:t>- - - - - Assimilation functions</x:t>
  </x:si>
  <x:si>
    <x:t>http://id.who.int/icd/entity/284855296</x:t>
  </x:si>
  <x:si>
    <x:t>http://id.who.int/icd/release/11/beta/ichi/284855296</x:t>
  </x:si>
  <x:si>
    <x:t>KTK</x:t>
  </x:si>
  <x:si>
    <x:t>- - - - - Defaecation functions</x:t>
  </x:si>
  <x:si>
    <x:t>http://id.who.int/icd/entity/637357962</x:t>
  </x:si>
  <x:si>
    <x:t>http://id.who.int/icd/release/11/beta/ichi/637357962</x:t>
  </x:si>
  <x:si>
    <x:t>KTN</x:t>
  </x:si>
  <x:si>
    <x:t>- - - - - Weight maintenance functions</x:t>
  </x:si>
  <x:si>
    <x:t>http://id.who.int/icd/entity/1585183403</x:t>
  </x:si>
  <x:si>
    <x:t>http://id.who.int/icd/release/11/beta/ichi/1585183403</x:t>
  </x:si>
  <x:si>
    <x:t>KTQ</x:t>
  </x:si>
  <x:si>
    <x:t>- - - - - Sensations associated with the digestive system</x:t>
  </x:si>
  <x:si>
    <x:t>http://id.who.int/icd/release/11/beta/ichi/483021639/other</x:t>
  </x:si>
  <x:si>
    <x:t>KZY</x:t>
  </x:si>
  <x:si>
    <x:t>- - - - Other specified digestive system target</x:t>
  </x:si>
  <x:si>
    <x:t>http://id.who.int/icd/release/11/beta/ichi/483021639/unspecified</x:t>
  </x:si>
  <x:si>
    <x:t>KZZ</x:t>
  </x:si>
  <x:si>
    <x:t>- - - - Digestive system target, unspecified</x:t>
  </x:si>
  <x:si>
    <x:t>http://id.who.int/icd/entity/2131439959</x:t>
  </x:si>
  <x:si>
    <x:t>http://id.who.int/icd/release/11/beta/ichi/2131439959</x:t>
  </x:si>
  <x:si>
    <x:t>- - - Integumentary system targets</x:t>
  </x:si>
  <x:si>
    <x:t>http://id.who.int/icd/entity/1425432007</x:t>
  </x:si>
  <x:si>
    <x:t>http://id.who.int/icd/release/11/beta/ichi/1425432007</x:t>
  </x:si>
  <x:si>
    <x:t>- - - - Skin</x:t>
  </x:si>
  <x:si>
    <x:t>http://id.who.int/icd/entity/1609712491</x:t>
  </x:si>
  <x:si>
    <x:t>http://id.who.int/icd/release/11/beta/ichi/1609712491</x:t>
  </x:si>
  <x:si>
    <x:t>LAA</x:t>
  </x:si>
  <x:si>
    <x:t>- - - - - Skin and subcutaneous cell tissue of head or neck</x:t>
  </x:si>
  <x:si>
    <x:t>http://id.who.int/icd/entity/1043581074</x:t>
  </x:si>
  <x:si>
    <x:t>http://id.who.int/icd/release/11/beta/ichi/1043581074</x:t>
  </x:si>
  <x:si>
    <x:t>LAB</x:t>
  </x:si>
  <x:si>
    <x:t>- - - - - Skin and subcutaneous cell tissue of trunk</x:t>
  </x:si>
  <x:si>
    <x:t>http://id.who.int/icd/entity/622376730</x:t>
  </x:si>
  <x:si>
    <x:t>http://id.who.int/icd/release/11/beta/ichi/622376730</x:t>
  </x:si>
  <x:si>
    <x:t>LAE</x:t>
  </x:si>
  <x:si>
    <x:t>- - - - - Skin and subcutaneous cell tissue of the upper limb</x:t>
  </x:si>
  <x:si>
    <x:t>http://id.who.int/icd/entity/270496624</x:t>
  </x:si>
  <x:si>
    <x:t>http://id.who.int/icd/release/11/beta/ichi/270496624</x:t>
  </x:si>
  <x:si>
    <x:t>LAG</x:t>
  </x:si>
  <x:si>
    <x:t>- - - - - Skin and subcutaneous cell tissue of the lower limb</x:t>
  </x:si>
  <x:si>
    <x:t>http://id.who.int/icd/entity/1864650865</x:t>
  </x:si>
  <x:si>
    <x:t>http://id.who.int/icd/release/11/beta/ichi/1864650865</x:t>
  </x:si>
  <x:si>
    <x:t>- - - - Skin appendages</x:t>
  </x:si>
  <x:si>
    <x:t>http://id.who.int/icd/entity/715210632</x:t>
  </x:si>
  <x:si>
    <x:t>http://id.who.int/icd/release/11/beta/ichi/715210632</x:t>
  </x:si>
  <x:si>
    <x:t>LBA</x:t>
  </x:si>
  <x:si>
    <x:t>- - - - - Skin appendage of head or neck</x:t>
  </x:si>
  <x:si>
    <x:t>http://id.who.int/icd/entity/798298230</x:t>
  </x:si>
  <x:si>
    <x:t>http://id.who.int/icd/release/11/beta/ichi/798298230</x:t>
  </x:si>
  <x:si>
    <x:t>LBB</x:t>
  </x:si>
  <x:si>
    <x:t>- - - - - Skin appendage of trunk</x:t>
  </x:si>
  <x:si>
    <x:t>http://id.who.int/icd/entity/980133438</x:t>
  </x:si>
  <x:si>
    <x:t>http://id.who.int/icd/release/11/beta/ichi/980133438</x:t>
  </x:si>
  <x:si>
    <x:t>LBD</x:t>
  </x:si>
  <x:si>
    <x:t>- - - - - Nail of finger</x:t>
  </x:si>
  <x:si>
    <x:t>http://id.who.int/icd/entity/14019290</x:t>
  </x:si>
  <x:si>
    <x:t>http://id.who.int/icd/release/11/beta/ichi/14019290</x:t>
  </x:si>
  <x:si>
    <x:t>LBE</x:t>
  </x:si>
  <x:si>
    <x:t>- - - - - Skin appendage of upper limb, not elsewhere classified</x:t>
  </x:si>
  <x:si>
    <x:t>http://id.who.int/icd/entity/1884766549</x:t>
  </x:si>
  <x:si>
    <x:t>http://id.who.int/icd/release/11/beta/ichi/1884766549</x:t>
  </x:si>
  <x:si>
    <x:t>LBF</x:t>
  </x:si>
  <x:si>
    <x:t>- - - - - Nail of toe</x:t>
  </x:si>
  <x:si>
    <x:t>http://id.who.int/icd/entity/265015866</x:t>
  </x:si>
  <x:si>
    <x:t>http://id.who.int/icd/release/11/beta/ichi/265015866</x:t>
  </x:si>
  <x:si>
    <x:t>LBG</x:t>
  </x:si>
  <x:si>
    <x:t>- - - - - Skin appendage of lower limb, not elsewhere classified</x:t>
  </x:si>
  <x:si>
    <x:t>http://id.who.int/icd/entity/1605372811</x:t>
  </x:si>
  <x:si>
    <x:t>http://id.who.int/icd/release/11/beta/ichi/1605372811</x:t>
  </x:si>
  <x:si>
    <x:t>- - - - Breast</x:t>
  </x:si>
  <x:si>
    <x:t>http://id.who.int/icd/entity/439706738</x:t>
  </x:si>
  <x:si>
    <x:t>http://id.who.int/icd/release/11/beta/ichi/439706738</x:t>
  </x:si>
  <x:si>
    <x:t>LCA</x:t>
  </x:si>
  <x:si>
    <x:t>- - - - - Breast and related structures</x:t>
  </x:si>
  <x:si>
    <x:t>http://id.who.int/icd/entity/730805816</x:t>
  </x:si>
  <x:si>
    <x:t>http://id.who.int/icd/release/11/beta/ichi/730805816</x:t>
  </x:si>
  <x:si>
    <x:t>- - - - Skin functions</x:t>
  </x:si>
  <x:si>
    <x:t>http://id.who.int/icd/entity/361557216</x:t>
  </x:si>
  <x:si>
    <x:t>http://id.who.int/icd/release/11/beta/ichi/361557216</x:t>
  </x:si>
  <x:si>
    <x:t>LT2</x:t>
  </x:si>
  <x:si>
    <x:t>- - - - - Functions of the skin, not elsewhere classified</x:t>
  </x:si>
  <x:si>
    <x:t>http://id.who.int/icd/entity/19371050</x:t>
  </x:si>
  <x:si>
    <x:t>http://id.who.int/icd/release/11/beta/ichi/19371050</x:t>
  </x:si>
  <x:si>
    <x:t>LTC</x:t>
  </x:si>
  <x:si>
    <x:t>- - - - - Protective functions of the skin</x:t>
  </x:si>
  <x:si>
    <x:t>http://id.who.int/icd/entity/999938254</x:t>
  </x:si>
  <x:si>
    <x:t>http://id.who.int/icd/release/11/beta/ichi/999938254</x:t>
  </x:si>
  <x:si>
    <x:t>LTD</x:t>
  </x:si>
  <x:si>
    <x:t>- - - - - Repair functions of the skin</x:t>
  </x:si>
  <x:si>
    <x:t>http://id.who.int/icd/entity/245243064</x:t>
  </x:si>
  <x:si>
    <x:t>http://id.who.int/icd/release/11/beta/ichi/245243064</x:t>
  </x:si>
  <x:si>
    <x:t>LTK</x:t>
  </x:si>
  <x:si>
    <x:t>- - - - - Other functions of the skin, not elsewhere classified</x:t>
  </x:si>
  <x:si>
    <x:t>http://id.who.int/icd/entity/1964550553</x:t>
  </x:si>
  <x:si>
    <x:t>http://id.who.int/icd/release/11/beta/ichi/1964550553</x:t>
  </x:si>
  <x:si>
    <x:t>LTP</x:t>
  </x:si>
  <x:si>
    <x:t>- - - - - Sensations related to the skin</x:t>
  </x:si>
  <x:si>
    <x:t>http://id.who.int/icd/entity/1859530371</x:t>
  </x:si>
  <x:si>
    <x:t>http://id.who.int/icd/release/11/beta/ichi/1859530371</x:t>
  </x:si>
  <x:si>
    <x:t>- - - - Skin appendages functions</x:t>
  </x:si>
  <x:si>
    <x:t>http://id.who.int/icd/entity/508855566</x:t>
  </x:si>
  <x:si>
    <x:t>http://id.who.int/icd/release/11/beta/ichi/508855566</x:t>
  </x:si>
  <x:si>
    <x:t>LU2</x:t>
  </x:si>
  <x:si>
    <x:t>- - - - - Functions of the hair and nails, not elsewhere classified</x:t>
  </x:si>
  <x:si>
    <x:t>http://id.who.int/icd/entity/1955663961</x:t>
  </x:si>
  <x:si>
    <x:t>http://id.who.int/icd/release/11/beta/ichi/1955663961</x:t>
  </x:si>
  <x:si>
    <x:t>LUB</x:t>
  </x:si>
  <x:si>
    <x:t>- - - - - Functions of hair</x:t>
  </x:si>
  <x:si>
    <x:t>http://id.who.int/icd/entity/1100403757</x:t>
  </x:si>
  <x:si>
    <x:t>http://id.who.int/icd/release/11/beta/ichi/1100403757</x:t>
  </x:si>
  <x:si>
    <x:t>LUC</x:t>
  </x:si>
  <x:si>
    <x:t>- - - - - Functions of nails</x:t>
  </x:si>
  <x:si>
    <x:t>http://id.who.int/icd/release/11/beta/ichi/2131439959/other</x:t>
  </x:si>
  <x:si>
    <x:t>LZY</x:t>
  </x:si>
  <x:si>
    <x:t>- - - - Other specified integumentary system target</x:t>
  </x:si>
  <x:si>
    <x:t>http://id.who.int/icd/release/11/beta/ichi/2131439959/unspecified</x:t>
  </x:si>
  <x:si>
    <x:t>LZZ</x:t>
  </x:si>
  <x:si>
    <x:t>- - - - Integumentary system target, unspecified</x:t>
  </x:si>
  <x:si>
    <x:t>http://id.who.int/icd/entity/2130268069</x:t>
  </x:si>
  <x:si>
    <x:t>http://id.who.int/icd/release/11/beta/ichi/2130268069</x:t>
  </x:si>
  <x:si>
    <x:t>- - - Musculoskeletal system targets</x:t>
  </x:si>
  <x:si>
    <x:t>18</x:t>
  </x:si>
  <x:si>
    <x:t>http://id.who.int/icd/entity/189778902</x:t>
  </x:si>
  <x:si>
    <x:t>http://id.who.int/icd/release/11/beta/ichi/189778902</x:t>
  </x:si>
  <x:si>
    <x:t>- - - - Musculoskeletal structures of head or neck</x:t>
  </x:si>
  <x:si>
    <x:t>14</x:t>
  </x:si>
  <x:si>
    <x:t>http://id.who.int/icd/entity/1577074073</x:t>
  </x:si>
  <x:si>
    <x:t>http://id.who.int/icd/release/11/beta/ichi/1577074073</x:t>
  </x:si>
  <x:si>
    <x:t>MAA</x:t>
  </x:si>
  <x:si>
    <x:t>- - - - - Skull</x:t>
  </x:si>
  <x:si>
    <x:t>http://id.who.int/icd/entity/1953818825</x:t>
  </x:si>
  <x:si>
    <x:t>http://id.who.int/icd/release/11/beta/ichi/1953818825</x:t>
  </x:si>
  <x:si>
    <x:t>MAB</x:t>
  </x:si>
  <x:si>
    <x:t>- - - - - Facial bone, unspecified</x:t>
  </x:si>
  <x:si>
    <x:t>http://id.who.int/icd/entity/267541994</x:t>
  </x:si>
  <x:si>
    <x:t>http://id.who.int/icd/release/11/beta/ichi/267541994</x:t>
  </x:si>
  <x:si>
    <x:t>MAC</x:t>
  </x:si>
  <x:si>
    <x:t>- - - - - Zygomatic bone</x:t>
  </x:si>
  <x:si>
    <x:t>http://id.who.int/icd/entity/199785384</x:t>
  </x:si>
  <x:si>
    <x:t>http://id.who.int/icd/release/11/beta/ichi/199785384</x:t>
  </x:si>
  <x:si>
    <x:t>MAD</x:t>
  </x:si>
  <x:si>
    <x:t>- - - - - Ethmoid</x:t>
  </x:si>
  <x:si>
    <x:t>http://id.who.int/icd/entity/1055899602</x:t>
  </x:si>
  <x:si>
    <x:t>http://id.who.int/icd/release/11/beta/ichi/1055899602</x:t>
  </x:si>
  <x:si>
    <x:t>MAE</x:t>
  </x:si>
  <x:si>
    <x:t>- - - - - Nasal bone</x:t>
  </x:si>
  <x:si>
    <x:t>http://id.who.int/icd/entity/72479542</x:t>
  </x:si>
  <x:si>
    <x:t>http://id.who.int/icd/release/11/beta/ichi/72479542</x:t>
  </x:si>
  <x:si>
    <x:t>MAF</x:t>
  </x:si>
  <x:si>
    <x:t>- - - - - Maxilla</x:t>
  </x:si>
  <x:si>
    <x:t>http://id.who.int/icd/entity/827733824</x:t>
  </x:si>
  <x:si>
    <x:t>http://id.who.int/icd/release/11/beta/ichi/827733824</x:t>
  </x:si>
  <x:si>
    <x:t>MAG</x:t>
  </x:si>
  <x:si>
    <x:t>- - - - - Mandible</x:t>
  </x:si>
  <x:si>
    <x:t>http://id.who.int/icd/entity/1255178849</x:t>
  </x:si>
  <x:si>
    <x:t>http://id.who.int/icd/release/11/beta/ichi/1255178849</x:t>
  </x:si>
  <x:si>
    <x:t>MAH</x:t>
  </x:si>
  <x:si>
    <x:t>- - - - - Hyoid bone</x:t>
  </x:si>
  <x:si>
    <x:t>http://id.who.int/icd/entity/1632036095</x:t>
  </x:si>
  <x:si>
    <x:t>http://id.who.int/icd/release/11/beta/ichi/1632036095</x:t>
  </x:si>
  <x:si>
    <x:t>MAI</x:t>
  </x:si>
  <x:si>
    <x:t>- - - - - Mastoid bone</x:t>
  </x:si>
  <x:si>
    <x:t>http://id.who.int/icd/entity/1958236855</x:t>
  </x:si>
  <x:si>
    <x:t>http://id.who.int/icd/release/11/beta/ichi/1958236855</x:t>
  </x:si>
  <x:si>
    <x:t>MAJ</x:t>
  </x:si>
  <x:si>
    <x:t>- - - - - Joint of head or neck</x:t>
  </x:si>
  <x:si>
    <x:t>http://id.who.int/icd/entity/1309023825</x:t>
  </x:si>
  <x:si>
    <x:t>http://id.who.int/icd/release/11/beta/ichi/1309023825</x:t>
  </x:si>
  <x:si>
    <x:t>MAL</x:t>
  </x:si>
  <x:si>
    <x:t>- - - - - Ligament or fascia of head or neck</x:t>
  </x:si>
  <x:si>
    <x:t>http://id.who.int/icd/entity/2063718949</x:t>
  </x:si>
  <x:si>
    <x:t>http://id.who.int/icd/release/11/beta/ichi/2063718949</x:t>
  </x:si>
  <x:si>
    <x:t>MAM</x:t>
  </x:si>
  <x:si>
    <x:t>- - - - - Muscle of head or neck</x:t>
  </x:si>
  <x:si>
    <x:t>http://id.who.int/icd/entity/8875782</x:t>
  </x:si>
  <x:si>
    <x:t>http://id.who.int/icd/release/11/beta/ichi/8875782</x:t>
  </x:si>
  <x:si>
    <x:t>MAS</x:t>
  </x:si>
  <x:si>
    <x:t>- - - - - Soft tissue of head or neck</x:t>
  </x:si>
  <x:si>
    <x:t>http://id.who.int/icd/entity/457828382</x:t>
  </x:si>
  <x:si>
    <x:t>http://id.who.int/icd/release/11/beta/ichi/457828382</x:t>
  </x:si>
  <x:si>
    <x:t>MAT</x:t>
  </x:si>
  <x:si>
    <x:t>- - - - - Tendon of head or neck</x:t>
  </x:si>
  <x:si>
    <x:t>http://id.who.int/icd/entity/17749700</x:t>
  </x:si>
  <x:si>
    <x:t>http://id.who.int/icd/release/11/beta/ichi/17749700</x:t>
  </x:si>
  <x:si>
    <x:t>- - - - Vertebral column</x:t>
  </x:si>
  <x:si>
    <x:t>http://id.who.int/icd/entity/569877754</x:t>
  </x:si>
  <x:si>
    <x:t>http://id.who.int/icd/release/11/beta/ichi/569877754</x:t>
  </x:si>
  <x:si>
    <x:t>MBA</x:t>
  </x:si>
  <x:si>
    <x:t>- - - - - Cervical vertebral column</x:t>
  </x:si>
  <x:si>
    <x:t>http://id.who.int/icd/entity/287422434</x:t>
  </x:si>
  <x:si>
    <x:t>http://id.who.int/icd/release/11/beta/ichi/287422434</x:t>
  </x:si>
  <x:si>
    <x:t>MBB</x:t>
  </x:si>
  <x:si>
    <x:t>- - - - - Cervical intervertebral disc</x:t>
  </x:si>
  <x:si>
    <x:t>http://id.who.int/icd/entity/606499736</x:t>
  </x:si>
  <x:si>
    <x:t>http://id.who.int/icd/release/11/beta/ichi/606499736</x:t>
  </x:si>
  <x:si>
    <x:t>MBC</x:t>
  </x:si>
  <x:si>
    <x:t>- - - - - Cervicothoracic vertebral column</x:t>
  </x:si>
  <x:si>
    <x:t>http://id.who.int/icd/entity/1046564174</x:t>
  </x:si>
  <x:si>
    <x:t>http://id.who.int/icd/release/11/beta/ichi/1046564174</x:t>
  </x:si>
  <x:si>
    <x:t>MBG</x:t>
  </x:si>
  <x:si>
    <x:t>- - - - - Thoracic vertebral column</x:t>
  </x:si>
  <x:si>
    <x:t>http://id.who.int/icd/entity/191269176</x:t>
  </x:si>
  <x:si>
    <x:t>http://id.who.int/icd/release/11/beta/ichi/191269176</x:t>
  </x:si>
  <x:si>
    <x:t>MBH</x:t>
  </x:si>
  <x:si>
    <x:t>- - - - - Thoracic intervertebral disc</x:t>
  </x:si>
  <x:si>
    <x:t>http://id.who.int/icd/entity/1893743641</x:t>
  </x:si>
  <x:si>
    <x:t>http://id.who.int/icd/release/11/beta/ichi/1893743641</x:t>
  </x:si>
  <x:si>
    <x:t>MBI</x:t>
  </x:si>
  <x:si>
    <x:t>- - - - - Thoracolumbar vertebral column</x:t>
  </x:si>
  <x:si>
    <x:t>http://id.who.int/icd/entity/1798224643</x:t>
  </x:si>
  <x:si>
    <x:t>http://id.who.int/icd/release/11/beta/ichi/1798224643</x:t>
  </x:si>
  <x:si>
    <x:t>MBM</x:t>
  </x:si>
  <x:si>
    <x:t>- - - - - Lumbar vertebral column</x:t>
  </x:si>
  <x:si>
    <x:t>http://id.who.int/icd/entity/279449124</x:t>
  </x:si>
  <x:si>
    <x:t>http://id.who.int/icd/release/11/beta/ichi/279449124</x:t>
  </x:si>
  <x:si>
    <x:t>MBN</x:t>
  </x:si>
  <x:si>
    <x:t>- - - - - Lumbar intervertebral disc</x:t>
  </x:si>
  <x:si>
    <x:t>http://id.who.int/icd/entity/1368455141</x:t>
  </x:si>
  <x:si>
    <x:t>http://id.who.int/icd/release/11/beta/ichi/1368455141</x:t>
  </x:si>
  <x:si>
    <x:t>MBO</x:t>
  </x:si>
  <x:si>
    <x:t>- - - - - Lumbosacral vertebral column</x:t>
  </x:si>
  <x:si>
    <x:t>http://id.who.int/icd/entity/1148076461</x:t>
  </x:si>
  <x:si>
    <x:t>http://id.who.int/icd/release/11/beta/ichi/1148076461</x:t>
  </x:si>
  <x:si>
    <x:t>MBR</x:t>
  </x:si>
  <x:si>
    <x:t>- - - - - Sacral vertebral column</x:t>
  </x:si>
  <x:si>
    <x:t>http://id.who.int/icd/entity/1005769410</x:t>
  </x:si>
  <x:si>
    <x:t>http://id.who.int/icd/release/11/beta/ichi/1005769410</x:t>
  </x:si>
  <x:si>
    <x:t>MBU</x:t>
  </x:si>
  <x:si>
    <x:t>- - - - - Coccyx</x:t>
  </x:si>
  <x:si>
    <x:t>http://id.who.int/icd/entity/1948554629</x:t>
  </x:si>
  <x:si>
    <x:t>http://id.who.int/icd/release/11/beta/ichi/1948554629</x:t>
  </x:si>
  <x:si>
    <x:t>MBV</x:t>
  </x:si>
  <x:si>
    <x:t>- - - - - Vertebral column, not elsewhere classified</x:t>
  </x:si>
  <x:si>
    <x:t>http://id.who.int/icd/entity/250943160</x:t>
  </x:si>
  <x:si>
    <x:t>http://id.who.int/icd/release/11/beta/ichi/250943160</x:t>
  </x:si>
  <x:si>
    <x:t>MBY</x:t>
  </x:si>
  <x:si>
    <x:t>- - - - - Intervertebral disc, not elsewhere classified</x:t>
  </x:si>
  <x:si>
    <x:t>http://id.who.int/icd/entity/1154085341</x:t>
  </x:si>
  <x:si>
    <x:t>http://id.who.int/icd/release/11/beta/ichi/1154085341</x:t>
  </x:si>
  <x:si>
    <x:t>- - - - Musculoskeletal structures of trunk</x:t>
  </x:si>
  <x:si>
    <x:t>http://id.who.int/icd/entity/877353552</x:t>
  </x:si>
  <x:si>
    <x:t>http://id.who.int/icd/release/11/beta/ichi/877353552</x:t>
  </x:si>
  <x:si>
    <x:t>MCB</x:t>
  </x:si>
  <x:si>
    <x:t>- - - - - Bone of thoracic cage</x:t>
  </x:si>
  <x:si>
    <x:t>http://id.who.int/icd/entity/1737088886</x:t>
  </x:si>
  <x:si>
    <x:t>http://id.who.int/icd/release/11/beta/ichi/1737088886</x:t>
  </x:si>
  <x:si>
    <x:t>MCL</x:t>
  </x:si>
  <x:si>
    <x:t>- - - - - Ligament or fascia of trunk</x:t>
  </x:si>
  <x:si>
    <x:t>http://id.who.int/icd/entity/470772309</x:t>
  </x:si>
  <x:si>
    <x:t>http://id.who.int/icd/release/11/beta/ichi/470772309</x:t>
  </x:si>
  <x:si>
    <x:t>MCM</x:t>
  </x:si>
  <x:si>
    <x:t>- - - - - Muscle of trunk</x:t>
  </x:si>
  <x:si>
    <x:t>http://id.who.int/icd/entity/1563923346</x:t>
  </x:si>
  <x:si>
    <x:t>http://id.who.int/icd/release/11/beta/ichi/1563923346</x:t>
  </x:si>
  <x:si>
    <x:t>MCS</x:t>
  </x:si>
  <x:si>
    <x:t>- - - - - Soft tissue of trunk</x:t>
  </x:si>
  <x:si>
    <x:t>http://id.who.int/icd/entity/1446219072</x:t>
  </x:si>
  <x:si>
    <x:t>http://id.who.int/icd/release/11/beta/ichi/1446219072</x:t>
  </x:si>
  <x:si>
    <x:t>MCT</x:t>
  </x:si>
  <x:si>
    <x:t>- - - - - Tendon of trunk</x:t>
  </x:si>
  <x:si>
    <x:t>http://id.who.int/icd/entity/1031774633</x:t>
  </x:si>
  <x:si>
    <x:t>http://id.who.int/icd/release/11/beta/ichi/1031774633</x:t>
  </x:si>
  <x:si>
    <x:t>MCX</x:t>
  </x:si>
  <x:si>
    <x:t>- - - - - Diaphragm</x:t>
  </x:si>
  <x:si>
    <x:t>http://id.who.int/icd/entity/679548897</x:t>
  </x:si>
  <x:si>
    <x:t>http://id.who.int/icd/release/11/beta/ichi/679548897</x:t>
  </x:si>
  <x:si>
    <x:t>- - - - Musculoskeletal structures of shoulder</x:t>
  </x:si>
  <x:si>
    <x:t>http://id.who.int/icd/entity/142108125</x:t>
  </x:si>
  <x:si>
    <x:t>http://id.who.int/icd/release/11/beta/ichi/142108125</x:t>
  </x:si>
  <x:si>
    <x:t>MDB</x:t>
  </x:si>
  <x:si>
    <x:t>- - - - - Bone of shoulder region</x:t>
  </x:si>
  <x:si>
    <x:t>http://id.who.int/icd/entity/2085050478</x:t>
  </x:si>
  <x:si>
    <x:t>http://id.who.int/icd/release/11/beta/ichi/2085050478</x:t>
  </x:si>
  <x:si>
    <x:t>MDC</x:t>
  </x:si>
  <x:si>
    <x:t>- - - - - Shoulder cartilage</x:t>
  </x:si>
  <x:si>
    <x:t>http://id.who.int/icd/entity/1735141350</x:t>
  </x:si>
  <x:si>
    <x:t>http://id.who.int/icd/release/11/beta/ichi/1735141350</x:t>
  </x:si>
  <x:si>
    <x:t>MDJ</x:t>
  </x:si>
  <x:si>
    <x:t>- - - - - Joint of the shoulder region</x:t>
  </x:si>
  <x:si>
    <x:t>http://id.who.int/icd/entity/1818769736</x:t>
  </x:si>
  <x:si>
    <x:t>http://id.who.int/icd/release/11/beta/ichi/1818769736</x:t>
  </x:si>
  <x:si>
    <x:t>MDL</x:t>
  </x:si>
  <x:si>
    <x:t>- - - - - Ligament or fascia of shoulder region</x:t>
  </x:si>
  <x:si>
    <x:t>http://id.who.int/icd/entity/760266895</x:t>
  </x:si>
  <x:si>
    <x:t>http://id.who.int/icd/release/11/beta/ichi/760266895</x:t>
  </x:si>
  <x:si>
    <x:t>MDM</x:t>
  </x:si>
  <x:si>
    <x:t>- - - - - Muscle of shoulder region</x:t>
  </x:si>
  <x:si>
    <x:t>http://id.who.int/icd/entity/408356091</x:t>
  </x:si>
  <x:si>
    <x:t>http://id.who.int/icd/release/11/beta/ichi/408356091</x:t>
  </x:si>
  <x:si>
    <x:t>MDT</x:t>
  </x:si>
  <x:si>
    <x:t>- - - - - Tendon of shoulder region</x:t>
  </x:si>
  <x:si>
    <x:t>http://id.who.int/icd/entity/1293480628</x:t>
  </x:si>
  <x:si>
    <x:t>http://id.who.int/icd/release/11/beta/ichi/1293480628</x:t>
  </x:si>
  <x:si>
    <x:t>- - - - Musculoskeletal structures of upper arm</x:t>
  </x:si>
  <x:si>
    <x:t>http://id.who.int/icd/entity/144547149</x:t>
  </x:si>
  <x:si>
    <x:t>http://id.who.int/icd/release/11/beta/ichi/144547149</x:t>
  </x:si>
  <x:si>
    <x:t>MEB</x:t>
  </x:si>
  <x:si>
    <x:t>- - - - - Bone of upper arm</x:t>
  </x:si>
  <x:si>
    <x:t>http://id.who.int/icd/entity/668821475</x:t>
  </x:si>
  <x:si>
    <x:t>http://id.who.int/icd/release/11/beta/ichi/668821475</x:t>
  </x:si>
  <x:si>
    <x:t>MEC</x:t>
  </x:si>
  <x:si>
    <x:t>- - - - - Elbow cartilage</x:t>
  </x:si>
  <x:si>
    <x:t>http://id.who.int/icd/entity/316318615</x:t>
  </x:si>
  <x:si>
    <x:t>http://id.who.int/icd/release/11/beta/ichi/316318615</x:t>
  </x:si>
  <x:si>
    <x:t>MEJ</x:t>
  </x:si>
  <x:si>
    <x:t>- - - - - Elbow joint</x:t>
  </x:si>
  <x:si>
    <x:t>http://id.who.int/icd/entity/1833316600</x:t>
  </x:si>
  <x:si>
    <x:t>http://id.who.int/icd/release/11/beta/ichi/1833316600</x:t>
  </x:si>
  <x:si>
    <x:t>MEL</x:t>
  </x:si>
  <x:si>
    <x:t>- - - - - Ligament or fascia of upper arm</x:t>
  </x:si>
  <x:si>
    <x:t>http://id.who.int/icd/entity/1480717454</x:t>
  </x:si>
  <x:si>
    <x:t>http://id.who.int/icd/release/11/beta/ichi/1480717454</x:t>
  </x:si>
  <x:si>
    <x:t>MEM</x:t>
  </x:si>
  <x:si>
    <x:t>- - - - - Muscle of upper arm</x:t>
  </x:si>
  <x:si>
    <x:t>http://id.who.int/icd/entity/600261037</x:t>
  </x:si>
  <x:si>
    <x:t>http://id.who.int/icd/release/11/beta/ichi/600261037</x:t>
  </x:si>
  <x:si>
    <x:t>MET</x:t>
  </x:si>
  <x:si>
    <x:t>- - - - - Tendon of upper arm</x:t>
  </x:si>
  <x:si>
    <x:t>http://id.who.int/icd/entity/1107741272</x:t>
  </x:si>
  <x:si>
    <x:t>http://id.who.int/icd/release/11/beta/ichi/1107741272</x:t>
  </x:si>
  <x:si>
    <x:t>- - - - Musculoskeletal structures of forearm</x:t>
  </x:si>
  <x:si>
    <x:t>http://id.who.int/icd/entity/1660926058</x:t>
  </x:si>
  <x:si>
    <x:t>http://id.who.int/icd/release/11/beta/ichi/1660926058</x:t>
  </x:si>
  <x:si>
    <x:t>MFB</x:t>
  </x:si>
  <x:si>
    <x:t>- - - - - Bone of forearm</x:t>
  </x:si>
  <x:si>
    <x:t>http://id.who.int/icd/entity/2003436590</x:t>
  </x:si>
  <x:si>
    <x:t>http://id.who.int/icd/release/11/beta/ichi/2003436590</x:t>
  </x:si>
  <x:si>
    <x:t>MFC</x:t>
  </x:si>
  <x:si>
    <x:t>- - - - - Wrist cartilage</x:t>
  </x:si>
  <x:si>
    <x:t>http://id.who.int/icd/entity/1305757898</x:t>
  </x:si>
  <x:si>
    <x:t>http://id.who.int/icd/release/11/beta/ichi/1305757898</x:t>
  </x:si>
  <x:si>
    <x:t>MFJ</x:t>
  </x:si>
  <x:si>
    <x:t>- - - - - Wrist joint</x:t>
  </x:si>
  <x:si>
    <x:t>http://id.who.int/icd/entity/2027130048</x:t>
  </x:si>
  <x:si>
    <x:t>http://id.who.int/icd/release/11/beta/ichi/2027130048</x:t>
  </x:si>
  <x:si>
    <x:t>MFL</x:t>
  </x:si>
  <x:si>
    <x:t>- - - - - Ligament or fascia of forearm</x:t>
  </x:si>
  <x:si>
    <x:t>http://id.who.int/icd/entity/55916959</x:t>
  </x:si>
  <x:si>
    <x:t>http://id.who.int/icd/release/11/beta/ichi/55916959</x:t>
  </x:si>
  <x:si>
    <x:t>MFM</x:t>
  </x:si>
  <x:si>
    <x:t>- - - - - Muscle of forearm</x:t>
  </x:si>
  <x:si>
    <x:t>http://id.who.int/icd/entity/1746474250</x:t>
  </x:si>
  <x:si>
    <x:t>http://id.who.int/icd/release/11/beta/ichi/1746474250</x:t>
  </x:si>
  <x:si>
    <x:t>MFT</x:t>
  </x:si>
  <x:si>
    <x:t>- - - - - Tendon of forearm</x:t>
  </x:si>
  <x:si>
    <x:t>http://id.who.int/icd/entity/1662847908</x:t>
  </x:si>
  <x:si>
    <x:t>http://id.who.int/icd/release/11/beta/ichi/1662847908</x:t>
  </x:si>
  <x:si>
    <x:t>- - - - Musculoskeletal structures of hand or fingers</x:t>
  </x:si>
  <x:si>
    <x:t>http://id.who.int/icd/entity/1562300796</x:t>
  </x:si>
  <x:si>
    <x:t>http://id.who.int/icd/release/11/beta/ichi/1562300796</x:t>
  </x:si>
  <x:si>
    <x:t>MGB</x:t>
  </x:si>
  <x:si>
    <x:t>- - - - - Bone of hand or fingers</x:t>
  </x:si>
  <x:si>
    <x:t>http://id.who.int/icd/entity/1467387520</x:t>
  </x:si>
  <x:si>
    <x:t>http://id.who.int/icd/release/11/beta/ichi/1467387520</x:t>
  </x:si>
  <x:si>
    <x:t>MGJ</x:t>
  </x:si>
  <x:si>
    <x:t>- - - - - Joint of hand or fingers</x:t>
  </x:si>
  <x:si>
    <x:t>http://id.who.int/icd/entity/1651591926</x:t>
  </x:si>
  <x:si>
    <x:t>http://id.who.int/icd/release/11/beta/ichi/1651591926</x:t>
  </x:si>
  <x:si>
    <x:t>MGL</x:t>
  </x:si>
  <x:si>
    <x:t>- - - - - Ligament or fascia of hand or fingers</x:t>
  </x:si>
  <x:si>
    <x:t>http://id.who.int/icd/entity/435683285</x:t>
  </x:si>
  <x:si>
    <x:t>http://id.who.int/icd/release/11/beta/ichi/435683285</x:t>
  </x:si>
  <x:si>
    <x:t>MGM</x:t>
  </x:si>
  <x:si>
    <x:t>- - - - - Muscle of hand</x:t>
  </x:si>
  <x:si>
    <x:t>http://id.who.int/icd/entity/1489962514</x:t>
  </x:si>
  <x:si>
    <x:t>http://id.who.int/icd/release/11/beta/ichi/1489962514</x:t>
  </x:si>
  <x:si>
    <x:t>MGT</x:t>
  </x:si>
  <x:si>
    <x:t>- - - - - Tendon of hand or fingers</x:t>
  </x:si>
  <x:si>
    <x:t>http://id.who.int/icd/entity/1405819072</x:t>
  </x:si>
  <x:si>
    <x:t>http://id.who.int/icd/release/11/beta/ichi/1405819072</x:t>
  </x:si>
  <x:si>
    <x:t>- - - - Musculoskeletal structures of upper limb, not elsewhere classified</x:t>
  </x:si>
  <x:si>
    <x:t>http://id.who.int/icd/entity/1841873512</x:t>
  </x:si>
  <x:si>
    <x:t>http://id.who.int/icd/release/11/beta/ichi/1841873512</x:t>
  </x:si>
  <x:si>
    <x:t>MIS</x:t>
  </x:si>
  <x:si>
    <x:t>- - - - - Soft tissue of upper limb, not elsewhere classified</x:t>
  </x:si>
  <x:si>
    <x:t>http://id.who.int/icd/entity/1924911940</x:t>
  </x:si>
  <x:si>
    <x:t>http://id.who.int/icd/release/11/beta/ichi/1924911940</x:t>
  </x:si>
  <x:si>
    <x:t>- - - - Musculoskeletal structures of pelvic region</x:t>
  </x:si>
  <x:si>
    <x:t>http://id.who.int/icd/entity/1380098430</x:t>
  </x:si>
  <x:si>
    <x:t>http://id.who.int/icd/release/11/beta/ichi/1380098430</x:t>
  </x:si>
  <x:si>
    <x:t>MKB</x:t>
  </x:si>
  <x:si>
    <x:t>- - - - - Bone of pelvic region</x:t>
  </x:si>
  <x:si>
    <x:t>http://id.who.int/icd/entity/1566349726</x:t>
  </x:si>
  <x:si>
    <x:t>http://id.who.int/icd/release/11/beta/ichi/1566349726</x:t>
  </x:si>
  <x:si>
    <x:t>MKJ</x:t>
  </x:si>
  <x:si>
    <x:t>- - - - - Joint of pelvic region</x:t>
  </x:si>
  <x:si>
    <x:t>http://id.who.int/icd/entity/1990325518</x:t>
  </x:si>
  <x:si>
    <x:t>http://id.who.int/icd/release/11/beta/ichi/1990325518</x:t>
  </x:si>
  <x:si>
    <x:t>MKL</x:t>
  </x:si>
  <x:si>
    <x:t>- - - - - Ligament or fascia of pelvic region</x:t>
  </x:si>
  <x:si>
    <x:t>http://id.who.int/icd/entity/932777163</x:t>
  </x:si>
  <x:si>
    <x:t>http://id.who.int/icd/release/11/beta/ichi/932777163</x:t>
  </x:si>
  <x:si>
    <x:t>MKM</x:t>
  </x:si>
  <x:si>
    <x:t>- - - - - Muscle of pelvic region</x:t>
  </x:si>
  <x:si>
    <x:t>http://id.who.int/icd/entity/948656764</x:t>
  </x:si>
  <x:si>
    <x:t>http://id.who.int/icd/release/11/beta/ichi/948656764</x:t>
  </x:si>
  <x:si>
    <x:t>MKT</x:t>
  </x:si>
  <x:si>
    <x:t>- - - - - Tendon of pelvic region</x:t>
  </x:si>
  <x:si>
    <x:t>http://id.who.int/icd/entity/1747156418</x:t>
  </x:si>
  <x:si>
    <x:t>http://id.who.int/icd/release/11/beta/ichi/1747156418</x:t>
  </x:si>
  <x:si>
    <x:t>- - - - Musculoskeletal structures of thigh</x:t>
  </x:si>
  <x:si>
    <x:t>http://id.who.int/icd/entity/476340315</x:t>
  </x:si>
  <x:si>
    <x:t>http://id.who.int/icd/release/11/beta/ichi/476340315</x:t>
  </x:si>
  <x:si>
    <x:t>MLB</x:t>
  </x:si>
  <x:si>
    <x:t>- - - - - Bone of thigh</x:t>
  </x:si>
  <x:si>
    <x:t>http://id.who.int/icd/entity/1093092436</x:t>
  </x:si>
  <x:si>
    <x:t>http://id.who.int/icd/release/11/beta/ichi/1093092436</x:t>
  </x:si>
  <x:si>
    <x:t>MLC</x:t>
  </x:si>
  <x:si>
    <x:t>- - - - - Hip cartilage</x:t>
  </x:si>
  <x:si>
    <x:t>http://id.who.int/icd/entity/48687255</x:t>
  </x:si>
  <x:si>
    <x:t>http://id.who.int/icd/release/11/beta/ichi/48687255</x:t>
  </x:si>
  <x:si>
    <x:t>MLJ</x:t>
  </x:si>
  <x:si>
    <x:t>- - - - - Hip joint</x:t>
  </x:si>
  <x:si>
    <x:t>http://id.who.int/icd/entity/937503971</x:t>
  </x:si>
  <x:si>
    <x:t>http://id.who.int/icd/release/11/beta/ichi/937503971</x:t>
  </x:si>
  <x:si>
    <x:t>MLL</x:t>
  </x:si>
  <x:si>
    <x:t>- - - - - Ligament or fascia of thigh</x:t>
  </x:si>
  <x:si>
    <x:t>http://id.who.int/icd/entity/1281857988</x:t>
  </x:si>
  <x:si>
    <x:t>http://id.who.int/icd/release/11/beta/ichi/1281857988</x:t>
  </x:si>
  <x:si>
    <x:t>MLM</x:t>
  </x:si>
  <x:si>
    <x:t>- - - - - Muscle of thigh</x:t>
  </x:si>
  <x:si>
    <x:t>http://id.who.int/icd/entity/131254121</x:t>
  </x:si>
  <x:si>
    <x:t>http://id.who.int/icd/release/11/beta/ichi/131254121</x:t>
  </x:si>
  <x:si>
    <x:t>MLT</x:t>
  </x:si>
  <x:si>
    <x:t>- - - - - Tendon of thigh</x:t>
  </x:si>
  <x:si>
    <x:t>http://id.who.int/icd/entity/215407045</x:t>
  </x:si>
  <x:si>
    <x:t>http://id.who.int/icd/release/11/beta/ichi/215407045</x:t>
  </x:si>
  <x:si>
    <x:t>- - - - Musculoskeletal structures of knee</x:t>
  </x:si>
  <x:si>
    <x:t>http://id.who.int/icd/entity/852820765</x:t>
  </x:si>
  <x:si>
    <x:t>http://id.who.int/icd/release/11/beta/ichi/852820765</x:t>
  </x:si>
  <x:si>
    <x:t>MMC</x:t>
  </x:si>
  <x:si>
    <x:t>- - - - - Knee cartilage</x:t>
  </x:si>
  <x:si>
    <x:t>http://id.who.int/icd/entity/1477482058</x:t>
  </x:si>
  <x:si>
    <x:t>http://id.who.int/icd/release/11/beta/ichi/1477482058</x:t>
  </x:si>
  <x:si>
    <x:t>MMD</x:t>
  </x:si>
  <x:si>
    <x:t>- - - - - Knee meniscus</x:t>
  </x:si>
  <x:si>
    <x:t>http://id.who.int/icd/entity/1572946212</x:t>
  </x:si>
  <x:si>
    <x:t>http://id.who.int/icd/release/11/beta/ichi/1572946212</x:t>
  </x:si>
  <x:si>
    <x:t>MMJ</x:t>
  </x:si>
  <x:si>
    <x:t>- - - - - Knee joint</x:t>
  </x:si>
  <x:si>
    <x:t>http://id.who.int/icd/entity/1757840722</x:t>
  </x:si>
  <x:si>
    <x:t>http://id.who.int/icd/release/11/beta/ichi/1757840722</x:t>
  </x:si>
  <x:si>
    <x:t>MML</x:t>
  </x:si>
  <x:si>
    <x:t>- - - - - Knee ligament</x:t>
  </x:si>
  <x:si>
    <x:t>http://id.who.int/icd/entity/1383647670</x:t>
  </x:si>
  <x:si>
    <x:t>http://id.who.int/icd/release/11/beta/ichi/1383647670</x:t>
  </x:si>
  <x:si>
    <x:t>MMP</x:t>
  </x:si>
  <x:si>
    <x:t>- - - - - Patella</x:t>
  </x:si>
  <x:si>
    <x:t>http://id.who.int/icd/entity/1736379844</x:t>
  </x:si>
  <x:si>
    <x:t>http://id.who.int/icd/release/11/beta/ichi/1736379844</x:t>
  </x:si>
  <x:si>
    <x:t>MMT</x:t>
  </x:si>
  <x:si>
    <x:t>- - - - - Knee tendon</x:t>
  </x:si>
  <x:si>
    <x:t>http://id.who.int/icd/entity/842070925</x:t>
  </x:si>
  <x:si>
    <x:t>http://id.who.int/icd/release/11/beta/ichi/842070925</x:t>
  </x:si>
  <x:si>
    <x:t>- - - - Musculoskeletal structures of lower leg</x:t>
  </x:si>
  <x:si>
    <x:t>http://id.who.int/icd/entity/486127843</x:t>
  </x:si>
  <x:si>
    <x:t>http://id.who.int/icd/release/11/beta/ichi/486127843</x:t>
  </x:si>
  <x:si>
    <x:t>MNB</x:t>
  </x:si>
  <x:si>
    <x:t>- - - - - Bone of lower leg</x:t>
  </x:si>
  <x:si>
    <x:t>http://id.who.int/icd/entity/493879587</x:t>
  </x:si>
  <x:si>
    <x:t>http://id.who.int/icd/release/11/beta/ichi/493879587</x:t>
  </x:si>
  <x:si>
    <x:t>MNC</x:t>
  </x:si>
  <x:si>
    <x:t>- - - - - Ankle cartilage</x:t>
  </x:si>
  <x:si>
    <x:t>http://id.who.int/icd/entity/678937943</x:t>
  </x:si>
  <x:si>
    <x:t>http://id.who.int/icd/release/11/beta/ichi/678937943</x:t>
  </x:si>
  <x:si>
    <x:t>MNJ</x:t>
  </x:si>
  <x:si>
    <x:t>- - - - - Ankle joint</x:t>
  </x:si>
  <x:si>
    <x:t>http://id.who.int/icd/entity/848776189</x:t>
  </x:si>
  <x:si>
    <x:t>http://id.who.int/icd/release/11/beta/ichi/848776189</x:t>
  </x:si>
  <x:si>
    <x:t>MNL</x:t>
  </x:si>
  <x:si>
    <x:t>- - - - - Ligament or fascia of lower leg</x:t>
  </x:si>
  <x:si>
    <x:t>http://id.who.int/icd/entity/126914441</x:t>
  </x:si>
  <x:si>
    <x:t>http://id.who.int/icd/release/11/beta/ichi/126914441</x:t>
  </x:si>
  <x:si>
    <x:t>MNM</x:t>
  </x:si>
  <x:si>
    <x:t>- - - - - Muscle of lower leg</x:t>
  </x:si>
  <x:si>
    <x:t>http://id.who.int/icd/entity/2024516758</x:t>
  </x:si>
  <x:si>
    <x:t>http://id.who.int/icd/release/11/beta/ichi/2024516758</x:t>
  </x:si>
  <x:si>
    <x:t>MNT</x:t>
  </x:si>
  <x:si>
    <x:t>- - - - - Tendon of lower leg</x:t>
  </x:si>
  <x:si>
    <x:t>http://id.who.int/icd/entity/1834293982</x:t>
  </x:si>
  <x:si>
    <x:t>http://id.who.int/icd/release/11/beta/ichi/1834293982</x:t>
  </x:si>
  <x:si>
    <x:t>- - - - Musculoskeletal structures of foot or toes</x:t>
  </x:si>
  <x:si>
    <x:t>http://id.who.int/icd/entity/1303144676</x:t>
  </x:si>
  <x:si>
    <x:t>http://id.who.int/icd/release/11/beta/ichi/1303144676</x:t>
  </x:si>
  <x:si>
    <x:t>MOB</x:t>
  </x:si>
  <x:si>
    <x:t>- - - - - Bone of foot or toe</x:t>
  </x:si>
  <x:si>
    <x:t>http://id.who.int/icd/entity/1653053508</x:t>
  </x:si>
  <x:si>
    <x:t>http://id.who.int/icd/release/11/beta/ichi/1653053508</x:t>
  </x:si>
  <x:si>
    <x:t>MOJ</x:t>
  </x:si>
  <x:si>
    <x:t>- - - - - Joint of foot or toe</x:t>
  </x:si>
  <x:si>
    <x:t>http://id.who.int/icd/entity/47164025</x:t>
  </x:si>
  <x:si>
    <x:t>http://id.who.int/icd/release/11/beta/ichi/47164025</x:t>
  </x:si>
  <x:si>
    <x:t>MOL</x:t>
  </x:si>
  <x:si>
    <x:t>- - - - - Ligament or fascia of foot or toe</x:t>
  </x:si>
  <x:si>
    <x:t>http://id.who.int/icd/entity/2034835288</x:t>
  </x:si>
  <x:si>
    <x:t>http://id.who.int/icd/release/11/beta/ichi/2034835288</x:t>
  </x:si>
  <x:si>
    <x:t>MOM</x:t>
  </x:si>
  <x:si>
    <x:t>- - - - - Muscle of foot or toe</x:t>
  </x:si>
  <x:si>
    <x:t>http://id.who.int/icd/entity/411604131</x:t>
  </x:si>
  <x:si>
    <x:t>http://id.who.int/icd/release/11/beta/ichi/411604131</x:t>
  </x:si>
  <x:si>
    <x:t>MOT</x:t>
  </x:si>
  <x:si>
    <x:t>- - - - - Tendon of foot or toe</x:t>
  </x:si>
  <x:si>
    <x:t>http://id.who.int/icd/entity/327977487</x:t>
  </x:si>
  <x:si>
    <x:t>http://id.who.int/icd/release/11/beta/ichi/327977487</x:t>
  </x:si>
  <x:si>
    <x:t>- - - - Musculoskeletal structures of lower limb, not elsewhere classified</x:t>
  </x:si>
  <x:si>
    <x:t>http://id.who.int/icd/entity/764367063</x:t>
  </x:si>
  <x:si>
    <x:t>http://id.who.int/icd/release/11/beta/ichi/764367063</x:t>
  </x:si>
  <x:si>
    <x:t>MQS</x:t>
  </x:si>
  <x:si>
    <x:t>- - - - - Soft tissue of lower limb, not elsewhere classified</x:t>
  </x:si>
  <x:si>
    <x:t>http://id.who.int/icd/entity/1650614484</x:t>
  </x:si>
  <x:si>
    <x:t>http://id.who.int/icd/release/11/beta/ichi/1650614484</x:t>
  </x:si>
  <x:si>
    <x:t>- - - - Musculoskeletal structures, not elsewhere classified</x:t>
  </x:si>
  <x:si>
    <x:t>http://id.who.int/icd/entity/669454123</x:t>
  </x:si>
  <x:si>
    <x:t>http://id.who.int/icd/release/11/beta/ichi/669454123</x:t>
  </x:si>
  <x:si>
    <x:t>MRB</x:t>
  </x:si>
  <x:si>
    <x:t>- - - - - Bone of unspecified site</x:t>
  </x:si>
  <x:si>
    <x:t>http://id.who.int/icd/entity/1733709614</x:t>
  </x:si>
  <x:si>
    <x:t>http://id.who.int/icd/release/11/beta/ichi/1733709614</x:t>
  </x:si>
  <x:si>
    <x:t>MRJ</x:t>
  </x:si>
  <x:si>
    <x:t>- - - - - Joint of unspecified site</x:t>
  </x:si>
  <x:si>
    <x:t>http://id.who.int/icd/entity/1381075800</x:t>
  </x:si>
  <x:si>
    <x:t>http://id.who.int/icd/release/11/beta/ichi/1381075800</x:t>
  </x:si>
  <x:si>
    <x:t>MRM</x:t>
  </x:si>
  <x:si>
    <x:t>- - - - - Muscle of unspecified site</x:t>
  </x:si>
  <x:si>
    <x:t>http://id.who.int/icd/entity/701972089</x:t>
  </x:si>
  <x:si>
    <x:t>http://id.who.int/icd/release/11/beta/ichi/701972089</x:t>
  </x:si>
  <x:si>
    <x:t>MRS</x:t>
  </x:si>
  <x:si>
    <x:t>- - - - - Soft tissue of unspecified site</x:t>
  </x:si>
  <x:si>
    <x:t>http://id.who.int/icd/entity/409824307</x:t>
  </x:si>
  <x:si>
    <x:t>http://id.who.int/icd/release/11/beta/ichi/409824307</x:t>
  </x:si>
  <x:si>
    <x:t>MRT</x:t>
  </x:si>
  <x:si>
    <x:t>- - - - - Tendon of unspecified site</x:t>
  </x:si>
  <x:si>
    <x:t>http://id.who.int/icd/entity/1125296944</x:t>
  </x:si>
  <x:si>
    <x:t>http://id.who.int/icd/release/11/beta/ichi/1125296944</x:t>
  </x:si>
  <x:si>
    <x:t>- - - - Functions of joints and bones</x:t>
  </x:si>
  <x:si>
    <x:t>http://id.who.int/icd/entity/1275892684</x:t>
  </x:si>
  <x:si>
    <x:t>http://id.who.int/icd/release/11/beta/ichi/1275892684</x:t>
  </x:si>
  <x:si>
    <x:t>MT2</x:t>
  </x:si>
  <x:si>
    <x:t>- - - - - Functions of joints and bones, not elsewhere classified</x:t>
  </x:si>
  <x:si>
    <x:t>http://id.who.int/icd/entity/221538827</x:t>
  </x:si>
  <x:si>
    <x:t>http://id.who.int/icd/release/11/beta/ichi/221538827</x:t>
  </x:si>
  <x:si>
    <x:t>MTB</x:t>
  </x:si>
  <x:si>
    <x:t>- - - - - Mobility of joint functions</x:t>
  </x:si>
  <x:si>
    <x:t>http://id.who.int/icd/entity/942911103</x:t>
  </x:si>
  <x:si>
    <x:t>http://id.who.int/icd/release/11/beta/ichi/942911103</x:t>
  </x:si>
  <x:si>
    <x:t>MTC</x:t>
  </x:si>
  <x:si>
    <x:t>- - - - - Stability of joint functions</x:t>
  </x:si>
  <x:si>
    <x:t>http://id.who.int/icd/entity/2095255300</x:t>
  </x:si>
  <x:si>
    <x:t>http://id.who.int/icd/release/11/beta/ichi/2095255300</x:t>
  </x:si>
  <x:si>
    <x:t>MTD</x:t>
  </x:si>
  <x:si>
    <x:t>- - - - - Mobility of bone functions</x:t>
  </x:si>
  <x:si>
    <x:t>http://id.who.int/icd/entity/1763555660</x:t>
  </x:si>
  <x:si>
    <x:t>http://id.who.int/icd/release/11/beta/ichi/1763555660</x:t>
  </x:si>
  <x:si>
    <x:t>- - - - Muscle functions</x:t>
  </x:si>
  <x:si>
    <x:t>http://id.who.int/icd/entity/1239731058</x:t>
  </x:si>
  <x:si>
    <x:t>http://id.who.int/icd/release/11/beta/ichi/1239731058</x:t>
  </x:si>
  <x:si>
    <x:t>MU2</x:t>
  </x:si>
  <x:si>
    <x:t>- - - - - Muscle functions, not elsewhere classified</x:t>
  </x:si>
  <x:si>
    <x:t>http://id.who.int/icd/entity/589389351</x:t>
  </x:si>
  <x:si>
    <x:t>http://id.who.int/icd/release/11/beta/ichi/589389351</x:t>
  </x:si>
  <x:si>
    <x:t>MUB</x:t>
  </x:si>
  <x:si>
    <x:t>- - - - - Muscle power functions</x:t>
  </x:si>
  <x:si>
    <x:t>http://id.who.int/icd/entity/1487399686</x:t>
  </x:si>
  <x:si>
    <x:t>http://id.who.int/icd/release/11/beta/ichi/1487399686</x:t>
  </x:si>
  <x:si>
    <x:t>MUC</x:t>
  </x:si>
  <x:si>
    <x:t>- - - - - Muscle tone functions</x:t>
  </x:si>
  <x:si>
    <x:t>http://id.who.int/icd/entity/871090065</x:t>
  </x:si>
  <x:si>
    <x:t>http://id.who.int/icd/release/11/beta/ichi/871090065</x:t>
  </x:si>
  <x:si>
    <x:t>MUD</x:t>
  </x:si>
  <x:si>
    <x:t>- - - - - Muscle endurance functions</x:t>
  </x:si>
  <x:si>
    <x:t>http://id.who.int/icd/entity/638939609</x:t>
  </x:si>
  <x:si>
    <x:t>http://id.who.int/icd/release/11/beta/ichi/638939609</x:t>
  </x:si>
  <x:si>
    <x:t>- - - - Movement</x:t>
  </x:si>
  <x:si>
    <x:t>http://id.who.int/icd/entity/116130789</x:t>
  </x:si>
  <x:si>
    <x:t>http://id.who.int/icd/release/11/beta/ichi/116130789</x:t>
  </x:si>
  <x:si>
    <x:t>MV2</x:t>
  </x:si>
  <x:si>
    <x:t>- - - - - Movement functions, not elsewhere classified</x:t>
  </x:si>
  <x:si>
    <x:t>http://id.who.int/icd/entity/1814664882</x:t>
  </x:si>
  <x:si>
    <x:t>http://id.who.int/icd/release/11/beta/ichi/1814664882</x:t>
  </x:si>
  <x:si>
    <x:t>MVB</x:t>
  </x:si>
  <x:si>
    <x:t>- - - - - Motor reflex functions</x:t>
  </x:si>
  <x:si>
    <x:t>http://id.who.int/icd/entity/210000921</x:t>
  </x:si>
  <x:si>
    <x:t>http://id.who.int/icd/release/11/beta/ichi/210000921</x:t>
  </x:si>
  <x:si>
    <x:t>MVC</x:t>
  </x:si>
  <x:si>
    <x:t>- - - - - Involuntary movement reaction functions</x:t>
  </x:si>
  <x:si>
    <x:t>http://id.who.int/icd/entity/964925549</x:t>
  </x:si>
  <x:si>
    <x:t>http://id.who.int/icd/release/11/beta/ichi/964925549</x:t>
  </x:si>
  <x:si>
    <x:t>MVD</x:t>
  </x:si>
  <x:si>
    <x:t>- - - - - Control of voluntary movement functions</x:t>
  </x:si>
  <x:si>
    <x:t>http://id.who.int/icd/entity/1107635532</x:t>
  </x:si>
  <x:si>
    <x:t>http://id.who.int/icd/release/11/beta/ichi/1107635532</x:t>
  </x:si>
  <x:si>
    <x:t>MVF</x:t>
  </x:si>
  <x:si>
    <x:t>- - - - - Involuntary movement functions</x:t>
  </x:si>
  <x:si>
    <x:t>http://id.who.int/icd/entity/54383755</x:t>
  </x:si>
  <x:si>
    <x:t>http://id.who.int/icd/release/11/beta/ichi/54383755</x:t>
  </x:si>
  <x:si>
    <x:t>MVG</x:t>
  </x:si>
  <x:si>
    <x:t>- - - - - Gait pattern functions</x:t>
  </x:si>
  <x:si>
    <x:t>http://id.who.int/icd/entity/909775103</x:t>
  </x:si>
  <x:si>
    <x:t>http://id.who.int/icd/release/11/beta/ichi/909775103</x:t>
  </x:si>
  <x:si>
    <x:t>MVH</x:t>
  </x:si>
  <x:si>
    <x:t>- - - - - Spontaneous movements</x:t>
  </x:si>
  <x:si>
    <x:t>http://id.who.int/icd/entity/101317493</x:t>
  </x:si>
  <x:si>
    <x:t>http://id.who.int/icd/release/11/beta/ichi/101317493</x:t>
  </x:si>
  <x:si>
    <x:t>MVI</x:t>
  </x:si>
  <x:si>
    <x:t>- - - - - Sensations related to muscle and movement functions</x:t>
  </x:si>
  <x:si>
    <x:t>http://id.who.int/icd/release/11/beta/ichi/2130268069/other</x:t>
  </x:si>
  <x:si>
    <x:t>MZY</x:t>
  </x:si>
  <x:si>
    <x:t>- - - - Other specified musculoskeletal system target</x:t>
  </x:si>
  <x:si>
    <x:t>http://id.who.int/icd/release/11/beta/ichi/2130268069/unspecified</x:t>
  </x:si>
  <x:si>
    <x:t>MZZ</x:t>
  </x:si>
  <x:si>
    <x:t>- - - - Musculoskeletal system target, unspecified</x:t>
  </x:si>
  <x:si>
    <x:t>http://id.who.int/icd/entity/474924463</x:t>
  </x:si>
  <x:si>
    <x:t>http://id.who.int/icd/release/11/beta/ichi/474924463</x:t>
  </x:si>
  <x:si>
    <x:t>- - - Genitourinary system targets</x:t>
  </x:si>
  <x:si>
    <x:t>http://id.who.int/icd/entity/112085765</x:t>
  </x:si>
  <x:si>
    <x:t>http://id.who.int/icd/release/11/beta/ichi/112085765</x:t>
  </x:si>
  <x:si>
    <x:t>- - - - Urinary system</x:t>
  </x:si>
  <x:si>
    <x:t>http://id.who.int/icd/entity/1506519640</x:t>
  </x:si>
  <x:si>
    <x:t>http://id.who.int/icd/release/11/beta/ichi/1506519640</x:t>
  </x:si>
  <x:si>
    <x:t>NAA</x:t>
  </x:si>
  <x:si>
    <x:t>- - - - - Kidney</x:t>
  </x:si>
  <x:si>
    <x:t>http://id.who.int/icd/entity/1819008596</x:t>
  </x:si>
  <x:si>
    <x:t>http://id.who.int/icd/release/11/beta/ichi/1819008596</x:t>
  </x:si>
  <x:si>
    <x:t>NAB</x:t>
  </x:si>
  <x:si>
    <x:t>- - - - - Renal pelvis and pyeloureteral junction</x:t>
  </x:si>
  <x:si>
    <x:t>http://id.who.int/icd/entity/1500256806</x:t>
  </x:si>
  <x:si>
    <x:t>http://id.who.int/icd/release/11/beta/ichi/1500256806</x:t>
  </x:si>
  <x:si>
    <x:t>NAE</x:t>
  </x:si>
  <x:si>
    <x:t>- - - - - Ureter</x:t>
  </x:si>
  <x:si>
    <x:t>http://id.who.int/icd/entity/159173017</x:t>
  </x:si>
  <x:si>
    <x:t>http://id.who.int/icd/release/11/beta/ichi/159173017</x:t>
  </x:si>
  <x:si>
    <x:t>NAI</x:t>
  </x:si>
  <x:si>
    <x:t>- - - - - Urinary bladder</x:t>
  </x:si>
  <x:si>
    <x:t>http://id.who.int/icd/entity/478314449</x:t>
  </x:si>
  <x:si>
    <x:t>http://id.who.int/icd/release/11/beta/ichi/478314449</x:t>
  </x:si>
  <x:si>
    <x:t>NAK</x:t>
  </x:si>
  <x:si>
    <x:t>- - - - - Neck of urinary bladder</x:t>
  </x:si>
  <x:si>
    <x:t>http://id.who.int/icd/entity/1673092302</x:t>
  </x:si>
  <x:si>
    <x:t>http://id.who.int/icd/release/11/beta/ichi/1673092302</x:t>
  </x:si>
  <x:si>
    <x:t>NAM</x:t>
  </x:si>
  <x:si>
    <x:t>- - - - - Urethra</x:t>
  </x:si>
  <x:si>
    <x:t>http://id.who.int/icd/entity/2132839209</x:t>
  </x:si>
  <x:si>
    <x:t>http://id.who.int/icd/release/11/beta/ichi/2132839209</x:t>
  </x:si>
  <x:si>
    <x:t>NAN</x:t>
  </x:si>
  <x:si>
    <x:t>- - - - - Urinary system, not elsewhere classified</x:t>
  </x:si>
  <x:si>
    <x:t>http://id.who.int/icd/entity/66154229</x:t>
  </x:si>
  <x:si>
    <x:t>http://id.who.int/icd/release/11/beta/ichi/66154229</x:t>
  </x:si>
  <x:si>
    <x:t>- - - - Male genital system</x:t>
  </x:si>
  <x:si>
    <x:t>http://id.who.int/icd/entity/587734217</x:t>
  </x:si>
  <x:si>
    <x:t>http://id.who.int/icd/release/11/beta/ichi/587734217</x:t>
  </x:si>
  <x:si>
    <x:t>NGA</x:t>
  </x:si>
  <x:si>
    <x:t>- - - - - Prostate and seminal vesicle</x:t>
  </x:si>
  <x:si>
    <x:t>http://id.who.int/icd/entity/1765079970</x:t>
  </x:si>
  <x:si>
    <x:t>http://id.who.int/icd/release/11/beta/ichi/1765079970</x:t>
  </x:si>
  <x:si>
    <x:t>NGD</x:t>
  </x:si>
  <x:si>
    <x:t>- - - - - Spermatic cord</x:t>
  </x:si>
  <x:si>
    <x:t>http://id.who.int/icd/entity/122484939</x:t>
  </x:si>
  <x:si>
    <x:t>http://id.who.int/icd/release/11/beta/ichi/122484939</x:t>
  </x:si>
  <x:si>
    <x:t>NGG</x:t>
  </x:si>
  <x:si>
    <x:t>- - - - - Scrotum</x:t>
  </x:si>
  <x:si>
    <x:t>http://id.who.int/icd/entity/476546881</x:t>
  </x:si>
  <x:si>
    <x:t>http://id.who.int/icd/release/11/beta/ichi/476546881</x:t>
  </x:si>
  <x:si>
    <x:t>NGL</x:t>
  </x:si>
  <x:si>
    <x:t>- - - - - Testis</x:t>
  </x:si>
  <x:si>
    <x:t>http://id.who.int/icd/entity/161034505</x:t>
  </x:si>
  <x:si>
    <x:t>http://id.who.int/icd/release/11/beta/ichi/161034505</x:t>
  </x:si>
  <x:si>
    <x:t>NGM</x:t>
  </x:si>
  <x:si>
    <x:t>- - - - - Penis</x:t>
  </x:si>
  <x:si>
    <x:t>http://id.who.int/icd/entity/1041789678</x:t>
  </x:si>
  <x:si>
    <x:t>http://id.who.int/icd/release/11/beta/ichi/1041789678</x:t>
  </x:si>
  <x:si>
    <x:t>NGN</x:t>
  </x:si>
  <x:si>
    <x:t>- - - - - Male genital system, not elsewhere classified</x:t>
  </x:si>
  <x:si>
    <x:t>http://id.who.int/icd/entity/1667015774</x:t>
  </x:si>
  <x:si>
    <x:t>http://id.who.int/icd/release/11/beta/ichi/1667015774</x:t>
  </x:si>
  <x:si>
    <x:t>- - - - Female genital system</x:t>
  </x:si>
  <x:si>
    <x:t>http://id.who.int/icd/entity/1134941796</x:t>
  </x:si>
  <x:si>
    <x:t>http://id.who.int/icd/release/11/beta/ichi/1134941796</x:t>
  </x:si>
  <x:si>
    <x:t>NMA</x:t>
  </x:si>
  <x:si>
    <x:t>- - - - - Ovary</x:t>
  </x:si>
  <x:si>
    <x:t>http://id.who.int/icd/entity/51680869</x:t>
  </x:si>
  <x:si>
    <x:t>http://id.who.int/icd/release/11/beta/ichi/51680869</x:t>
  </x:si>
  <x:si>
    <x:t>NMC</x:t>
  </x:si>
  <x:si>
    <x:t>- - - - - Fallopian tube</x:t>
  </x:si>
  <x:si>
    <x:t>http://id.who.int/icd/entity/967498371</x:t>
  </x:si>
  <x:si>
    <x:t>http://id.who.int/icd/release/11/beta/ichi/967498371</x:t>
  </x:si>
  <x:si>
    <x:t>NME</x:t>
  </x:si>
  <x:si>
    <x:t>- - - - - Uterus</x:t>
  </x:si>
  <x:si>
    <x:t>http://id.who.int/icd/entity/212672247</x:t>
  </x:si>
  <x:si>
    <x:t>http://id.who.int/icd/release/11/beta/ichi/212672247</x:t>
  </x:si>
  <x:si>
    <x:t>NMF</x:t>
  </x:si>
  <x:si>
    <x:t>- - - - - Cervix uteri</x:t>
  </x:si>
  <x:si>
    <x:t>http://id.who.int/icd/entity/1999350744</x:t>
  </x:si>
  <x:si>
    <x:t>http://id.who.int/icd/release/11/beta/ichi/1999350744</x:t>
  </x:si>
  <x:si>
    <x:t>NMH</x:t>
  </x:si>
  <x:si>
    <x:t>- - - - - Vagina</x:t>
  </x:si>
  <x:si>
    <x:t>http://id.who.int/icd/entity/592073769</x:t>
  </x:si>
  <x:si>
    <x:t>http://id.who.int/icd/release/11/beta/ichi/592073769</x:t>
  </x:si>
  <x:si>
    <x:t>NMI</x:t>
  </x:si>
  <x:si>
    <x:t>- - - - - Vulva</x:t>
  </x:si>
  <x:si>
    <x:t>http://id.who.int/icd/entity/2089288972</x:t>
  </x:si>
  <x:si>
    <x:t>http://id.who.int/icd/release/11/beta/ichi/2089288972</x:t>
  </x:si>
  <x:si>
    <x:t>NMM</x:t>
  </x:si>
  <x:si>
    <x:t>- - - - - Placenta, amnion, cord</x:t>
  </x:si>
  <x:si>
    <x:t>http://id.who.int/icd/entity/1234157950</x:t>
  </x:si>
  <x:si>
    <x:t>http://id.who.int/icd/release/11/beta/ichi/1234157950</x:t>
  </x:si>
  <x:si>
    <x:t>NMR</x:t>
  </x:si>
  <x:si>
    <x:t>- - - - - Fetal or embryonic structure</x:t>
  </x:si>
  <x:si>
    <x:t>http://id.who.int/icd/entity/186627740</x:t>
  </x:si>
  <x:si>
    <x:t>http://id.who.int/icd/release/11/beta/ichi/186627740</x:t>
  </x:si>
  <x:si>
    <x:t>NMS</x:t>
  </x:si>
  <x:si>
    <x:t>- - - - - Female genital system, not elsewhere classified</x:t>
  </x:si>
  <x:si>
    <x:t>http://id.who.int/icd/entity/547884556</x:t>
  </x:si>
  <x:si>
    <x:t>http://id.who.int/icd/release/11/beta/ichi/547884556</x:t>
  </x:si>
  <x:si>
    <x:t>- - - - Urinary functions</x:t>
  </x:si>
  <x:si>
    <x:t>http://id.who.int/icd/entity/1788143975</x:t>
  </x:si>
  <x:si>
    <x:t>http://id.who.int/icd/release/11/beta/ichi/1788143975</x:t>
  </x:si>
  <x:si>
    <x:t>NT2</x:t>
  </x:si>
  <x:si>
    <x:t>- - - - - Urinary functions, not elsewhere classified</x:t>
  </x:si>
  <x:si>
    <x:t>http://id.who.int/icd/entity/1603480851</x:t>
  </x:si>
  <x:si>
    <x:t>http://id.who.int/icd/release/11/beta/ichi/1603480851</x:t>
  </x:si>
  <x:si>
    <x:t>NTC</x:t>
  </x:si>
  <x:si>
    <x:t>- - - - - Urinary excretory functions</x:t>
  </x:si>
  <x:si>
    <x:t>http://id.who.int/icd/entity/1331279013</x:t>
  </x:si>
  <x:si>
    <x:t>http://id.who.int/icd/release/11/beta/ichi/1331279013</x:t>
  </x:si>
  <x:si>
    <x:t>NTD</x:t>
  </x:si>
  <x:si>
    <x:t>- - - - - Urination functions</x:t>
  </x:si>
  <x:si>
    <x:t>http://id.who.int/icd/entity/2053009617</x:t>
  </x:si>
  <x:si>
    <x:t>http://id.who.int/icd/release/11/beta/ichi/2053009617</x:t>
  </x:si>
  <x:si>
    <x:t>NTE</x:t>
  </x:si>
  <x:si>
    <x:t>- - - - - Sensations associated with urinary functions</x:t>
  </x:si>
  <x:si>
    <x:t>http://id.who.int/icd/entity/555857870</x:t>
  </x:si>
  <x:si>
    <x:t>http://id.who.int/icd/release/11/beta/ichi/555857870</x:t>
  </x:si>
  <x:si>
    <x:t>- - - - Genital or reproductive functions</x:t>
  </x:si>
  <x:si>
    <x:t>http://id.who.int/icd/entity/30983664</x:t>
  </x:si>
  <x:si>
    <x:t>http://id.who.int/icd/release/11/beta/ichi/30983664</x:t>
  </x:si>
  <x:si>
    <x:t>NU2</x:t>
  </x:si>
  <x:si>
    <x:t>- - - - - Genital and reproductive functions, not elsewhere classified</x:t>
  </x:si>
  <x:si>
    <x:t>http://id.who.int/icd/entity/1797083303</x:t>
  </x:si>
  <x:si>
    <x:t>http://id.who.int/icd/release/11/beta/ichi/1797083303</x:t>
  </x:si>
  <x:si>
    <x:t>NUA</x:t>
  </x:si>
  <x:si>
    <x:t>- - - - - Sexual functions</x:t>
  </x:si>
  <x:si>
    <x:t>http://id.who.int/icd/entity/1882599213</x:t>
  </x:si>
  <x:si>
    <x:t>http://id.who.int/icd/release/11/beta/ichi/1882599213</x:t>
  </x:si>
  <x:si>
    <x:t>NUB</x:t>
  </x:si>
  <x:si>
    <x:t>- - - - - Menstruation functions</x:t>
  </x:si>
  <x:si>
    <x:t>http://id.who.int/icd/entity/2140121023</x:t>
  </x:si>
  <x:si>
    <x:t>http://id.who.int/icd/release/11/beta/ichi/2140121023</x:t>
  </x:si>
  <x:si>
    <x:t>NUD</x:t>
  </x:si>
  <x:si>
    <x:t>- - - - - Functions related to fertility</x:t>
  </x:si>
  <x:si>
    <x:t>http://id.who.int/icd/entity/1250452427</x:t>
  </x:si>
  <x:si>
    <x:t>http://id.who.int/icd/release/11/beta/ichi/1250452427</x:t>
  </x:si>
  <x:si>
    <x:t>NUE</x:t>
  </x:si>
  <x:si>
    <x:t>- - - - - Functions related to pregnancy</x:t>
  </x:si>
  <x:si>
    <x:t>http://id.who.int/icd/entity/823056108</x:t>
  </x:si>
  <x:si>
    <x:t>http://id.who.int/icd/release/11/beta/ichi/823056108</x:t>
  </x:si>
  <x:si>
    <x:t>NUG</x:t>
  </x:si>
  <x:si>
    <x:t>- - - - - Functions related to childbirth</x:t>
  </x:si>
  <x:si>
    <x:t>http://id.who.int/icd/entity/1514338941</x:t>
  </x:si>
  <x:si>
    <x:t>http://id.who.int/icd/release/11/beta/ichi/1514338941</x:t>
  </x:si>
  <x:si>
    <x:t>NUH</x:t>
  </x:si>
  <x:si>
    <x:t>- - - - - Lactation</x:t>
  </x:si>
  <x:si>
    <x:t>http://id.who.int/icd/entity/1866808841</x:t>
  </x:si>
  <x:si>
    <x:t>http://id.who.int/icd/release/11/beta/ichi/1866808841</x:t>
  </x:si>
  <x:si>
    <x:t>NUK</x:t>
  </x:si>
  <x:si>
    <x:t>- - - - - Sensations associated with genital and reproductive functions</x:t>
  </x:si>
  <x:si>
    <x:t>http://id.who.int/icd/release/11/beta/ichi/474924463/other</x:t>
  </x:si>
  <x:si>
    <x:t>NZY</x:t>
  </x:si>
  <x:si>
    <x:t>- - - - Other specified genitourinary system target</x:t>
  </x:si>
  <x:si>
    <x:t>http://id.who.int/icd/release/11/beta/ichi/474924463/unspecified</x:t>
  </x:si>
  <x:si>
    <x:t>NZZ</x:t>
  </x:si>
  <x:si>
    <x:t>- - - - Genitourinary system target, unspecified</x:t>
  </x:si>
  <x:si>
    <x:t>http://id.who.int/icd/entity/1524976141</x:t>
  </x:si>
  <x:si>
    <x:t>http://id.who.int/icd/release/11/beta/ichi/1524976141</x:t>
  </x:si>
  <x:si>
    <x:t>- - - Other or unspecified body system or function targets</x:t>
  </x:si>
  <x:si>
    <x:t>http://id.who.int/icd/entity/178164668</x:t>
  </x:si>
  <x:si>
    <x:t>http://id.who.int/icd/release/11/beta/ichi/178164668</x:t>
  </x:si>
  <x:si>
    <x:t>- - - - Topographical regions: Trunk, head or neck, not otherwise specified</x:t>
  </x:si>
  <x:si>
    <x:t>http://id.who.int/icd/entity/2048669745</x:t>
  </x:si>
  <x:si>
    <x:t>http://id.who.int/icd/release/11/beta/ichi/2048669745</x:t>
  </x:si>
  <x:si>
    <x:t>PAA</x:t>
  </x:si>
  <x:si>
    <x:t>- - - - - Trunk, not otherwise specified</x:t>
  </x:si>
  <x:si>
    <x:t>http://id.who.int/icd/entity/1084388567</x:t>
  </x:si>
  <x:si>
    <x:t>http://id.who.int/icd/release/11/beta/ichi/1084388567</x:t>
  </x:si>
  <x:si>
    <x:t>PAB</x:t>
  </x:si>
  <x:si>
    <x:t>- - - - - Head or neck, not otherwise specified</x:t>
  </x:si>
  <x:si>
    <x:t>http://id.who.int/icd/entity/280143722</x:t>
  </x:si>
  <x:si>
    <x:t>http://id.who.int/icd/release/11/beta/ichi/280143722</x:t>
  </x:si>
  <x:si>
    <x:t>PAE</x:t>
  </x:si>
  <x:si>
    <x:t>- - - - - Thorax</x:t>
  </x:si>
  <x:si>
    <x:t>http://id.who.int/icd/entity/632644380</x:t>
  </x:si>
  <x:si>
    <x:t>http://id.who.int/icd/release/11/beta/ichi/632644380</x:t>
  </x:si>
  <x:si>
    <x:t>PAF</x:t>
  </x:si>
  <x:si>
    <x:t>- - - - - Chest wall, not otherwise specified</x:t>
  </x:si>
  <x:si>
    <x:t>http://id.who.int/icd/entity/1580455485</x:t>
  </x:si>
  <x:si>
    <x:t>http://id.who.int/icd/release/11/beta/ichi/1580455485</x:t>
  </x:si>
  <x:si>
    <x:t>PAK</x:t>
  </x:si>
  <x:si>
    <x:t>- - - - - Abdomen, not otherwise specified</x:t>
  </x:si>
  <x:si>
    <x:t>http://id.who.int/icd/entity/1332803147</x:t>
  </x:si>
  <x:si>
    <x:t>http://id.who.int/icd/release/11/beta/ichi/1332803147</x:t>
  </x:si>
  <x:si>
    <x:t>PAL</x:t>
  </x:si>
  <x:si>
    <x:t>- - - - - Abdominal wall, not otherwise specified</x:t>
  </x:si>
  <x:si>
    <x:t>http://id.who.int/icd/entity/888554348</x:t>
  </x:si>
  <x:si>
    <x:t>http://id.who.int/icd/release/11/beta/ichi/888554348</x:t>
  </x:si>
  <x:si>
    <x:t>PAM</x:t>
  </x:si>
  <x:si>
    <x:t>- - - - - Abdominal wall, inguinal</x:t>
  </x:si>
  <x:si>
    <x:t>http://id.who.int/icd/entity/1606053885</x:t>
  </x:si>
  <x:si>
    <x:t>http://id.who.int/icd/release/11/beta/ichi/1606053885</x:t>
  </x:si>
  <x:si>
    <x:t>PAN</x:t>
  </x:si>
  <x:si>
    <x:t>- - - - - Abdominal wall, femoral</x:t>
  </x:si>
  <x:si>
    <x:t>http://id.who.int/icd/entity/1790815113</x:t>
  </x:si>
  <x:si>
    <x:t>http://id.who.int/icd/release/11/beta/ichi/1790815113</x:t>
  </x:si>
  <x:si>
    <x:t>PAO</x:t>
  </x:si>
  <x:si>
    <x:t>- - - - - Abdominal wall, umbilical</x:t>
  </x:si>
  <x:si>
    <x:t>http://id.who.int/icd/entity/1342433135</x:t>
  </x:si>
  <x:si>
    <x:t>http://id.who.int/icd/release/11/beta/ichi/1342433135</x:t>
  </x:si>
  <x:si>
    <x:t>PAW</x:t>
  </x:si>
  <x:si>
    <x:t>- - - - - Perineum</x:t>
  </x:si>
  <x:si>
    <x:t>http://id.who.int/icd/entity/1174229287</x:t>
  </x:si>
  <x:si>
    <x:t>http://id.who.int/icd/release/11/beta/ichi/1174229287</x:t>
  </x:si>
  <x:si>
    <x:t>- - - - Topographical regions: Upper limb, not otherwise specified</x:t>
  </x:si>
  <x:si>
    <x:t>http://id.who.int/icd/entity/1694769947</x:t>
  </x:si>
  <x:si>
    <x:t>http://id.who.int/icd/release/11/beta/ichi/1694769947</x:t>
  </x:si>
  <x:si>
    <x:t>PMA</x:t>
  </x:si>
  <x:si>
    <x:t>- - - - - Upper limb, not otherwise specified</x:t>
  </x:si>
  <x:si>
    <x:t>http://id.who.int/icd/entity/1439838209</x:t>
  </x:si>
  <x:si>
    <x:t>http://id.who.int/icd/release/11/beta/ichi/1439838209</x:t>
  </x:si>
  <x:si>
    <x:t>PMB</x:t>
  </x:si>
  <x:si>
    <x:t>- - - - - Upper arm</x:t>
  </x:si>
  <x:si>
    <x:t>http://id.who.int/icd/entity/777291042</x:t>
  </x:si>
  <x:si>
    <x:t>http://id.who.int/icd/release/11/beta/ichi/777291042</x:t>
  </x:si>
  <x:si>
    <x:t>PMC</x:t>
  </x:si>
  <x:si>
    <x:t>- - - - - Forearm</x:t>
  </x:si>
  <x:si>
    <x:t>http://id.who.int/icd/entity/1869380839</x:t>
  </x:si>
  <x:si>
    <x:t>http://id.who.int/icd/release/11/beta/ichi/1869380839</x:t>
  </x:si>
  <x:si>
    <x:t>PMD</x:t>
  </x:si>
  <x:si>
    <x:t>- - - - - Hand</x:t>
  </x:si>
  <x:si>
    <x:t>http://id.who.int/icd/entity/1517009043</x:t>
  </x:si>
  <x:si>
    <x:t>http://id.who.int/icd/release/11/beta/ichi/1517009043</x:t>
  </x:si>
  <x:si>
    <x:t>PME</x:t>
  </x:si>
  <x:si>
    <x:t>- - - - - Finger</x:t>
  </x:si>
  <x:si>
    <x:t>http://id.who.int/icd/entity/1784173337</x:t>
  </x:si>
  <x:si>
    <x:t>http://id.who.int/icd/release/11/beta/ichi/1784173337</x:t>
  </x:si>
  <x:si>
    <x:t>- - - - Topographical regions: Lower limb, not otherwise specified</x:t>
  </x:si>
  <x:si>
    <x:t>http://id.who.int/icd/entity/1252073765</x:t>
  </x:si>
  <x:si>
    <x:t>http://id.who.int/icd/release/11/beta/ichi/1252073765</x:t>
  </x:si>
  <x:si>
    <x:t>PNA</x:t>
  </x:si>
  <x:si>
    <x:t>- - - - - Lower limb, not otherwise specified</x:t>
  </x:si>
  <x:si>
    <x:t>http://id.who.int/icd/entity/543470706</x:t>
  </x:si>
  <x:si>
    <x:t>http://id.who.int/icd/release/11/beta/ichi/543470706</x:t>
  </x:si>
  <x:si>
    <x:t>PNB</x:t>
  </x:si>
  <x:si>
    <x:t>- - - - - Thigh</x:t>
  </x:si>
  <x:si>
    <x:t>http://id.who.int/icd/entity/358838280</x:t>
  </x:si>
  <x:si>
    <x:t>http://id.who.int/icd/release/11/beta/ichi/358838280</x:t>
  </x:si>
  <x:si>
    <x:t>PNC</x:t>
  </x:si>
  <x:si>
    <x:t>- - - - - Lower leg</x:t>
  </x:si>
  <x:si>
    <x:t>http://id.who.int/icd/entity/1860551975</x:t>
  </x:si>
  <x:si>
    <x:t>http://id.who.int/icd/release/11/beta/ichi/1860551975</x:t>
  </x:si>
  <x:si>
    <x:t>PND</x:t>
  </x:si>
  <x:si>
    <x:t>- - - - - Foot</x:t>
  </x:si>
  <x:si>
    <x:t>http://id.who.int/icd/entity/1795154793</x:t>
  </x:si>
  <x:si>
    <x:t>http://id.who.int/icd/release/11/beta/ichi/1795154793</x:t>
  </x:si>
  <x:si>
    <x:t>PNE</x:t>
  </x:si>
  <x:si>
    <x:t>- - - - - Toe</x:t>
  </x:si>
  <x:si>
    <x:t>http://id.who.int/icd/entity/2130793761</x:t>
  </x:si>
  <x:si>
    <x:t>http://id.who.int/icd/release/11/beta/ichi/2130793761</x:t>
  </x:si>
  <x:si>
    <x:t>- - - - Topographical regions: Set of viscera, not otherwise specified</x:t>
  </x:si>
  <x:si>
    <x:t>http://id.who.int/icd/entity/1610098461</x:t>
  </x:si>
  <x:si>
    <x:t>http://id.who.int/icd/release/11/beta/ichi/1610098461</x:t>
  </x:si>
  <x:si>
    <x:t>PSA</x:t>
  </x:si>
  <x:si>
    <x:t>- - - - - Set of thoracic viscera</x:t>
  </x:si>
  <x:si>
    <x:t>http://id.who.int/icd/entity/365215862</x:t>
  </x:si>
  <x:si>
    <x:t>http://id.who.int/icd/release/11/beta/ichi/365215862</x:t>
  </x:si>
  <x:si>
    <x:t>PSB</x:t>
  </x:si>
  <x:si>
    <x:t>- - - - - Set of female pelvic viscera</x:t>
  </x:si>
  <x:si>
    <x:t>http://id.who.int/icd/entity/563530370</x:t>
  </x:si>
  <x:si>
    <x:t>http://id.who.int/icd/release/11/beta/ichi/563530370</x:t>
  </x:si>
  <x:si>
    <x:t>PSC</x:t>
  </x:si>
  <x:si>
    <x:t>- - - - - Set of male pelvic viscera</x:t>
  </x:si>
  <x:si>
    <x:t>http://id.who.int/icd/entity/1588455839</x:t>
  </x:si>
  <x:si>
    <x:t>http://id.who.int/icd/release/11/beta/ichi/1588455839</x:t>
  </x:si>
  <x:si>
    <x:t>- - - - Artificial body structure</x:t>
  </x:si>
  <x:si>
    <x:t>http://id.who.int/icd/entity/2119474083</x:t>
  </x:si>
  <x:si>
    <x:t>http://id.who.int/icd/release/11/beta/ichi/2119474083</x:t>
  </x:si>
  <x:si>
    <x:t>PTA</x:t>
  </x:si>
  <x:si>
    <x:t>- - - - - Artificial body structure: Gastrostomy</x:t>
  </x:si>
  <x:si>
    <x:t>http://id.who.int/icd/entity/505194904</x:t>
  </x:si>
  <x:si>
    <x:t>http://id.who.int/icd/release/11/beta/ichi/505194904</x:t>
  </x:si>
  <x:si>
    <x:t>PTB</x:t>
  </x:si>
  <x:si>
    <x:t>- - - - - Artificial body structure: Enterostomy</x:t>
  </x:si>
  <x:si>
    <x:t>http://id.who.int/icd/entity/828134200</x:t>
  </x:si>
  <x:si>
    <x:t>http://id.who.int/icd/release/11/beta/ichi/828134200</x:t>
  </x:si>
  <x:si>
    <x:t>PTC</x:t>
  </x:si>
  <x:si>
    <x:t>- - - - - Artificial body structure: Tracheostomy</x:t>
  </x:si>
  <x:si>
    <x:t>http://id.who.int/icd/entity/73111362</x:t>
  </x:si>
  <x:si>
    <x:t>http://id.who.int/icd/release/11/beta/ichi/73111362</x:t>
  </x:si>
  <x:si>
    <x:t>PTD</x:t>
  </x:si>
  <x:si>
    <x:t>- - - - - Artificial body structure: Other stoma</x:t>
  </x:si>
  <x:si>
    <x:t>http://id.who.int/icd/entity/1141845973</x:t>
  </x:si>
  <x:si>
    <x:t>http://id.who.int/icd/release/11/beta/ichi/1141845973</x:t>
  </x:si>
  <x:si>
    <x:t>- - - - Genome: Microscopic body structure</x:t>
  </x:si>
  <x:si>
    <x:t>http://id.who.int/icd/entity/1693867497</x:t>
  </x:si>
  <x:si>
    <x:t>http://id.who.int/icd/release/11/beta/ichi/1693867497</x:t>
  </x:si>
  <x:si>
    <x:t>PYA</x:t>
  </x:si>
  <x:si>
    <x:t>- - - - - Genome</x:t>
  </x:si>
  <x:si>
    <x:t>http://id.who.int/icd/entity/785037956</x:t>
  </x:si>
  <x:si>
    <x:t>http://id.who.int/icd/release/11/beta/ichi/785037956</x:t>
  </x:si>
  <x:si>
    <x:t>- - - - Comprehensive or unspecified topography</x:t>
  </x:si>
  <x:si>
    <x:t>http://id.who.int/icd/entity/238274750</x:t>
  </x:si>
  <x:si>
    <x:t>http://id.who.int/icd/release/11/beta/ichi/238274750</x:t>
  </x:si>
  <x:si>
    <x:t>PZA</x:t>
  </x:si>
  <x:si>
    <x:t>- - - - - Whole body</x:t>
  </x:si>
  <x:si>
    <x:t>http://id.who.int/icd/entity/1317177529</x:t>
  </x:si>
  <x:si>
    <x:t>http://id.who.int/icd/release/11/beta/ichi/1317177529</x:t>
  </x:si>
  <x:si>
    <x:t>PZB</x:t>
  </x:si>
  <x:si>
    <x:t>- - - - - Whole person</x:t>
  </x:si>
  <x:si>
    <x:t>http://id.who.int/icd/entity/2072333517</x:t>
  </x:si>
  <x:si>
    <x:t>http://id.who.int/icd/release/11/beta/ichi/2072333517</x:t>
  </x:si>
  <x:si>
    <x:t>PZX</x:t>
  </x:si>
  <x:si>
    <x:t>- - - - - Any site, not elsewhere classified</x:t>
  </x:si>
  <x:si>
    <x:t>http://id.who.int/icd/release/11/beta/ichi/785037956/unspecified</x:t>
  </x:si>
  <x:si>
    <x:t>PZZ</x:t>
  </x:si>
  <x:si>
    <x:t>- - - - - Unspecified site</x:t>
  </x:si>
  <x:si>
    <x:t>http://id.who.int/icd/entity/1422243427</x:t>
  </x:si>
  <x:si>
    <x:t>http://id.who.int/icd/release/11/beta/ichi/1422243427</x:t>
  </x:si>
  <x:si>
    <x:t>- - Targets for activities and participation domains</x:t>
  </x:si>
  <x:si>
    <x:t>http://id.who.int/icd/entity/1311062217</x:t>
  </x:si>
  <x:si>
    <x:t>http://id.who.int/icd/release/11/beta/ichi/1311062217</x:t>
  </x:si>
  <x:si>
    <x:t>- - - Learning and applying knowledge targets</x:t>
  </x:si>
  <x:si>
    <x:t>http://id.who.int/icd/entity/1950139487</x:t>
  </x:si>
  <x:si>
    <x:t>http://id.who.int/icd/release/11/beta/ichi/1950139487</x:t>
  </x:si>
  <x:si>
    <x:t>SA1</x:t>
  </x:si>
  <x:si>
    <x:t>- - - - Learning and applying knowledge, unspecified</x:t>
  </x:si>
  <x:si>
    <x:t>http://id.who.int/icd/entity/509534586</x:t>
  </x:si>
  <x:si>
    <x:t>http://id.who.int/icd/release/11/beta/ichi/509534586</x:t>
  </x:si>
  <x:si>
    <x:t>- - - - Purposeful sensory experiences</x:t>
  </x:si>
  <x:si>
    <x:t>http://id.who.int/icd/entity/1415710227</x:t>
  </x:si>
  <x:si>
    <x:t>http://id.who.int/icd/release/11/beta/ichi/1415710227</x:t>
  </x:si>
  <x:si>
    <x:t>SA2</x:t>
  </x:si>
  <x:si>
    <x:t>- - - - - Purposeful sensory experiences, not elsewhere classified</x:t>
  </x:si>
  <x:si>
    <x:t>http://id.who.int/icd/entity/74634668</x:t>
  </x:si>
  <x:si>
    <x:t>http://id.who.int/icd/release/11/beta/ichi/74634668</x:t>
  </x:si>
  <x:si>
    <x:t>SAA</x:t>
  </x:si>
  <x:si>
    <x:t>- - - - - Watching</x:t>
  </x:si>
  <x:si>
    <x:t>http://id.who.int/icd/entity/829755866</x:t>
  </x:si>
  <x:si>
    <x:t>http://id.who.int/icd/release/11/beta/ichi/829755866</x:t>
  </x:si>
  <x:si>
    <x:t>SAD</x:t>
  </x:si>
  <x:si>
    <x:t>- - - - - Listening</x:t>
  </x:si>
  <x:si>
    <x:t>http://id.who.int/icd/entity/1257481465</x:t>
  </x:si>
  <x:si>
    <x:t>http://id.who.int/icd/release/11/beta/ichi/1257481465</x:t>
  </x:si>
  <x:si>
    <x:t>SAE</x:t>
  </x:si>
  <x:si>
    <x:t>- - - - - Purposeful sensing</x:t>
  </x:si>
  <x:si>
    <x:t>http://id.who.int/icd/entity/724709124</x:t>
  </x:si>
  <x:si>
    <x:t>http://id.who.int/icd/release/11/beta/ichi/724709124</x:t>
  </x:si>
  <x:si>
    <x:t>- - - - Basic learning</x:t>
  </x:si>
  <x:si>
    <x:t>http://id.who.int/icd/entity/197877054</x:t>
  </x:si>
  <x:si>
    <x:t>http://id.who.int/icd/release/11/beta/ichi/197877054</x:t>
  </x:si>
  <x:si>
    <x:t>SB2</x:t>
  </x:si>
  <x:si>
    <x:t>- - - - - Basic learning, not elsewhere classified</x:t>
  </x:si>
  <x:si>
    <x:t>http://id.who.int/icd/entity/1266294073</x:t>
  </x:si>
  <x:si>
    <x:t>http://id.who.int/icd/release/11/beta/ichi/1266294073</x:t>
  </x:si>
  <x:si>
    <x:t>SBA</x:t>
  </x:si>
  <x:si>
    <x:t>- - - - - Copying</x:t>
  </x:si>
  <x:si>
    <x:t>http://id.who.int/icd/entity/2122176845</x:t>
  </x:si>
  <x:si>
    <x:t>http://id.who.int/icd/release/11/beta/ichi/2122176845</x:t>
  </x:si>
  <x:si>
    <x:t>SBB</x:t>
  </x:si>
  <x:si>
    <x:t>- - - - - Learning through actions with objects and persons</x:t>
  </x:si>
  <x:si>
    <x:t>http://id.who.int/icd/entity/1681581975</x:t>
  </x:si>
  <x:si>
    <x:t>http://id.who.int/icd/release/11/beta/ichi/1681581975</x:t>
  </x:si>
  <x:si>
    <x:t>SBC</x:t>
  </x:si>
  <x:si>
    <x:t>- - - - - Acquiring language</x:t>
  </x:si>
  <x:si>
    <x:t>http://id.who.int/icd/entity/347622426</x:t>
  </x:si>
  <x:si>
    <x:t>http://id.who.int/icd/release/11/beta/ichi/347622426</x:t>
  </x:si>
  <x:si>
    <x:t>SBD</x:t>
  </x:si>
  <x:si>
    <x:t>- - - - - Acquiring an additional language</x:t>
  </x:si>
  <x:si>
    <x:t>http://id.who.int/icd/entity/1424815245</x:t>
  </x:si>
  <x:si>
    <x:t>http://id.who.int/icd/release/11/beta/ichi/1424815245</x:t>
  </x:si>
  <x:si>
    <x:t>SBF</x:t>
  </x:si>
  <x:si>
    <x:t>- - - - - Rehearsing</x:t>
  </x:si>
  <x:si>
    <x:t>http://id.who.int/icd/entity/1642803449</x:t>
  </x:si>
  <x:si>
    <x:t>http://id.who.int/icd/release/11/beta/ichi/1642803449</x:t>
  </x:si>
  <x:si>
    <x:t>SBG</x:t>
  </x:si>
  <x:si>
    <x:t>- - - - - Acquiring concepts</x:t>
  </x:si>
  <x:si>
    <x:t>http://id.who.int/icd/entity/516953062</x:t>
  </x:si>
  <x:si>
    <x:t>http://id.who.int/icd/release/11/beta/ichi/516953062</x:t>
  </x:si>
  <x:si>
    <x:t>SBH</x:t>
  </x:si>
  <x:si>
    <x:t>- - - - - Acquiring information</x:t>
  </x:si>
  <x:si>
    <x:t>http://id.who.int/icd/entity/187606446</x:t>
  </x:si>
  <x:si>
    <x:t>http://id.who.int/icd/release/11/beta/ichi/187606446</x:t>
  </x:si>
  <x:si>
    <x:t>SBI</x:t>
  </x:si>
  <x:si>
    <x:t>- - - - - Learning to read</x:t>
  </x:si>
  <x:si>
    <x:t>http://id.who.int/icd/entity/1890062479</x:t>
  </x:si>
  <x:si>
    <x:t>http://id.who.int/icd/release/11/beta/ichi/1890062479</x:t>
  </x:si>
  <x:si>
    <x:t>SBL</x:t>
  </x:si>
  <x:si>
    <x:t>- - - - - Learning to write</x:t>
  </x:si>
  <x:si>
    <x:t>http://id.who.int/icd/entity/467942424</x:t>
  </x:si>
  <x:si>
    <x:t>http://id.who.int/icd/release/11/beta/ichi/467942424</x:t>
  </x:si>
  <x:si>
    <x:t>SBN</x:t>
  </x:si>
  <x:si>
    <x:t>- - - - - Learning to calculate</x:t>
  </x:si>
  <x:si>
    <x:t>http://id.who.int/icd/entity/786692206</x:t>
  </x:si>
  <x:si>
    <x:t>http://id.who.int/icd/release/11/beta/ichi/786692206</x:t>
  </x:si>
  <x:si>
    <x:t>SBQ</x:t>
  </x:si>
  <x:si>
    <x:t>- - - - - Acquiring skills</x:t>
  </x:si>
  <x:si>
    <x:t>http://id.who.int/icd/entity/1373166451</x:t>
  </x:si>
  <x:si>
    <x:t>http://id.who.int/icd/release/11/beta/ichi/1373166451</x:t>
  </x:si>
  <x:si>
    <x:t>- - - - Applying knowledge</x:t>
  </x:si>
  <x:si>
    <x:t>http://id.who.int/icd/entity/341685386</x:t>
  </x:si>
  <x:si>
    <x:t>http://id.who.int/icd/release/11/beta/ichi/341685386</x:t>
  </x:si>
  <x:si>
    <x:t>SC2</x:t>
  </x:si>
  <x:si>
    <x:t>- - - - - Applying knowledge, not elsewhere classified</x:t>
  </x:si>
  <x:si>
    <x:t>http://id.who.int/icd/entity/1002110548</x:t>
  </x:si>
  <x:si>
    <x:t>http://id.who.int/icd/release/11/beta/ichi/1002110548</x:t>
  </x:si>
  <x:si>
    <x:t>SCA</x:t>
  </x:si>
  <x:si>
    <x:t>- - - - - Focusing attention</x:t>
  </x:si>
  <x:si>
    <x:t>http://id.who.int/icd/entity/247282210</x:t>
  </x:si>
  <x:si>
    <x:t>http://id.who.int/icd/release/11/beta/ichi/247282210</x:t>
  </x:si>
  <x:si>
    <x:t>SCC</x:t>
  </x:si>
  <x:si>
    <x:t>- - - - - Thinking</x:t>
  </x:si>
  <x:si>
    <x:t>http://id.who.int/icd/entity/1966837505</x:t>
  </x:si>
  <x:si>
    <x:t>http://id.who.int/icd/release/11/beta/ichi/1966837505</x:t>
  </x:si>
  <x:si>
    <x:t>SCF</x:t>
  </x:si>
  <x:si>
    <x:t>- - - - - Reading</x:t>
  </x:si>
  <x:si>
    <x:t>http://id.who.int/icd/entity/872642246</x:t>
  </x:si>
  <x:si>
    <x:t>http://id.who.int/icd/release/11/beta/ichi/872642246</x:t>
  </x:si>
  <x:si>
    <x:t>SCG</x:t>
  </x:si>
  <x:si>
    <x:t>- - - - - Writing</x:t>
  </x:si>
  <x:si>
    <x:t>http://id.who.int/icd/entity/17085108</x:t>
  </x:si>
  <x:si>
    <x:t>http://id.who.int/icd/release/11/beta/ichi/17085108</x:t>
  </x:si>
  <x:si>
    <x:t>SCI</x:t>
  </x:si>
  <x:si>
    <x:t>- - - - - Calculating</x:t>
  </x:si>
  <x:si>
    <x:t>http://id.who.int/icd/entity/1388722070</x:t>
  </x:si>
  <x:si>
    <x:t>http://id.who.int/icd/release/11/beta/ichi/1388722070</x:t>
  </x:si>
  <x:si>
    <x:t>SCJ</x:t>
  </x:si>
  <x:si>
    <x:t>- - - - - Solving problems</x:t>
  </x:si>
  <x:si>
    <x:t>http://id.who.int/icd/entity/1740764132</x:t>
  </x:si>
  <x:si>
    <x:t>http://id.who.int/icd/release/11/beta/ichi/1740764132</x:t>
  </x:si>
  <x:si>
    <x:t>SCL</x:t>
  </x:si>
  <x:si>
    <x:t>- - - - - Making decisions</x:t>
  </x:si>
  <x:si>
    <x:t>http://id.who.int/icd/entity/419090685</x:t>
  </x:si>
  <x:si>
    <x:t>http://id.who.int/icd/release/11/beta/ichi/419090685</x:t>
  </x:si>
  <x:si>
    <x:t>- - - General task and demand targets</x:t>
  </x:si>
  <x:si>
    <x:t>http://id.who.int/icd/entity/474433219</x:t>
  </x:si>
  <x:si>
    <x:t>http://id.who.int/icd/release/11/beta/ichi/474433219</x:t>
  </x:si>
  <x:si>
    <x:t>SD1</x:t>
  </x:si>
  <x:si>
    <x:t>- - - - General tasks and demands, unspecified</x:t>
  </x:si>
  <x:si>
    <x:t>http://id.who.int/icd/entity/1303717554</x:t>
  </x:si>
  <x:si>
    <x:t>http://id.who.int/icd/release/11/beta/ichi/1303717554</x:t>
  </x:si>
  <x:si>
    <x:t>SDA</x:t>
  </x:si>
  <x:si>
    <x:t>- - - - Undertaking tasks</x:t>
  </x:si>
  <x:si>
    <x:t>http://id.who.int/icd/entity/909349779</x:t>
  </x:si>
  <x:si>
    <x:t>http://id.who.int/icd/release/11/beta/ichi/909349779</x:t>
  </x:si>
  <x:si>
    <x:t>SDG</x:t>
  </x:si>
  <x:si>
    <x:t>- - - - Carrying out daily routine</x:t>
  </x:si>
  <x:si>
    <x:t>http://id.who.int/icd/entity/1997236822</x:t>
  </x:si>
  <x:si>
    <x:t>http://id.who.int/icd/release/11/beta/ichi/1997236822</x:t>
  </x:si>
  <x:si>
    <x:t>SDJ</x:t>
  </x:si>
  <x:si>
    <x:t>- - - - Handling stress and other psychological demands</x:t>
  </x:si>
  <x:si>
    <x:t>http://id.who.int/icd/entity/39327415</x:t>
  </x:si>
  <x:si>
    <x:t>http://id.who.int/icd/release/11/beta/ichi/39327415</x:t>
  </x:si>
  <x:si>
    <x:t>- - - Communication targets</x:t>
  </x:si>
  <x:si>
    <x:t>http://id.who.int/icd/entity/1378078470</x:t>
  </x:si>
  <x:si>
    <x:t>http://id.who.int/icd/release/11/beta/ichi/1378078470</x:t>
  </x:si>
  <x:si>
    <x:t>- - - - Receiving communication</x:t>
  </x:si>
  <x:si>
    <x:t>http://id.who.int/icd/entity/1559627462</x:t>
  </x:si>
  <x:si>
    <x:t>http://id.who.int/icd/release/11/beta/ichi/1559627462</x:t>
  </x:si>
  <x:si>
    <x:t>SE1</x:t>
  </x:si>
  <x:si>
    <x:t>- - - - - Communication, unspecified</x:t>
  </x:si>
  <x:si>
    <x:t>http://id.who.int/icd/entity/2103653802</x:t>
  </x:si>
  <x:si>
    <x:t>http://id.who.int/icd/release/11/beta/ichi/2103653802</x:t>
  </x:si>
  <x:si>
    <x:t>SE2</x:t>
  </x:si>
  <x:si>
    <x:t>- - - - - Communicating - receiving, not elsewhere classified</x:t>
  </x:si>
  <x:si>
    <x:t>http://id.who.int/icd/entity/115703945</x:t>
  </x:si>
  <x:si>
    <x:t>http://id.who.int/icd/release/11/beta/ichi/115703945</x:t>
  </x:si>
  <x:si>
    <x:t>SEA</x:t>
  </x:si>
  <x:si>
    <x:t>- - - - - Communicating with - receiving spoken messages</x:t>
  </x:si>
  <x:si>
    <x:t>http://id.who.int/icd/entity/124533065</x:t>
  </x:si>
  <x:si>
    <x:t>http://id.who.int/icd/release/11/beta/ichi/124533065</x:t>
  </x:si>
  <x:si>
    <x:t>SED</x:t>
  </x:si>
  <x:si>
    <x:t>- - - - - Communicating with - receiving nonverbal messages</x:t>
  </x:si>
  <x:si>
    <x:t>http://id.who.int/icd/entity/845937981</x:t>
  </x:si>
  <x:si>
    <x:t>http://id.who.int/icd/release/11/beta/ichi/845937981</x:t>
  </x:si>
  <x:si>
    <x:t>SEG</x:t>
  </x:si>
  <x:si>
    <x:t>- - - - - Communicating with - receiving sign language messages</x:t>
  </x:si>
  <x:si>
    <x:t>http://id.who.int/icd/entity/1308061268</x:t>
  </x:si>
  <x:si>
    <x:t>http://id.who.int/icd/release/11/beta/ichi/1308061268</x:t>
  </x:si>
  <x:si>
    <x:t>SEJ</x:t>
  </x:si>
  <x:si>
    <x:t>- - - - - Communicating with - receiving written messages</x:t>
  </x:si>
  <x:si>
    <x:t>http://id.who.int/icd/entity/1031128543</x:t>
  </x:si>
  <x:si>
    <x:t>http://id.who.int/icd/release/11/beta/ichi/1031128543</x:t>
  </x:si>
  <x:si>
    <x:t>- - - - Producing communication</x:t>
  </x:si>
  <x:si>
    <x:t>http://id.who.int/icd/entity/2029038118</x:t>
  </x:si>
  <x:si>
    <x:t>http://id.who.int/icd/release/11/beta/ichi/2029038118</x:t>
  </x:si>
  <x:si>
    <x:t>SF2</x:t>
  </x:si>
  <x:si>
    <x:t>- - - - - Communication - producing, not elsewhere classified</x:t>
  </x:si>
  <x:si>
    <x:t>http://id.who.int/icd/entity/305479537</x:t>
  </x:si>
  <x:si>
    <x:t>http://id.who.int/icd/release/11/beta/ichi/305479537</x:t>
  </x:si>
  <x:si>
    <x:t>SFA</x:t>
  </x:si>
  <x:si>
    <x:t>- - - - - Speaking</x:t>
  </x:si>
  <x:si>
    <x:t>http://id.who.int/icd/entity/1957102509</x:t>
  </x:si>
  <x:si>
    <x:t>http://id.who.int/icd/release/11/beta/ichi/1957102509</x:t>
  </x:si>
  <x:si>
    <x:t>SFB</x:t>
  </x:si>
  <x:si>
    <x:t>- - - - - Non-speech vocal expression</x:t>
  </x:si>
  <x:si>
    <x:t>http://id.who.int/icd/entity/253867662</x:t>
  </x:si>
  <x:si>
    <x:t>http://id.who.int/icd/release/11/beta/ichi/253867662</x:t>
  </x:si>
  <x:si>
    <x:t>SFC</x:t>
  </x:si>
  <x:si>
    <x:t>- - - - - Singing</x:t>
  </x:si>
  <x:si>
    <x:t>http://id.who.int/icd/entity/1773374034</x:t>
  </x:si>
  <x:si>
    <x:t>http://id.who.int/icd/release/11/beta/ichi/1773374034</x:t>
  </x:si>
  <x:si>
    <x:t>SFD</x:t>
  </x:si>
  <x:si>
    <x:t>- - - - - Producing nonverbal messages</x:t>
  </x:si>
  <x:si>
    <x:t>http://id.who.int/icd/entity/1109781710</x:t>
  </x:si>
  <x:si>
    <x:t>http://id.who.int/icd/release/11/beta/ichi/1109781710</x:t>
  </x:si>
  <x:si>
    <x:t>SFJ</x:t>
  </x:si>
  <x:si>
    <x:t>- - - - - Producing messages in formal sign languages</x:t>
  </x:si>
  <x:si>
    <x:t>http://id.who.int/icd/entity/1998727356</x:t>
  </x:si>
  <x:si>
    <x:t>http://id.who.int/icd/release/11/beta/ichi/1998727356</x:t>
  </x:si>
  <x:si>
    <x:t>SFK</x:t>
  </x:si>
  <x:si>
    <x:t>- - - - - Writing messages</x:t>
  </x:si>
  <x:si>
    <x:t>http://id.who.int/icd/entity/135859109</x:t>
  </x:si>
  <x:si>
    <x:t>http://id.who.int/icd/release/11/beta/ichi/135859109</x:t>
  </x:si>
  <x:si>
    <x:t>- - - - Conversation and use of communication devices and techniques</x:t>
  </x:si>
  <x:si>
    <x:t>http://id.who.int/icd/entity/1302094940</x:t>
  </x:si>
  <x:si>
    <x:t>http://id.who.int/icd/release/11/beta/ichi/1302094940</x:t>
  </x:si>
  <x:si>
    <x:t>SG2</x:t>
  </x:si>
  <x:si>
    <x:t>- - - - - Conversation and use of communication devices and techniques, not elsewhere classified</x:t>
  </x:si>
  <x:si>
    <x:t>http://id.who.int/icd/entity/221062235</x:t>
  </x:si>
  <x:si>
    <x:t>http://id.who.int/icd/release/11/beta/ichi/221062235</x:t>
  </x:si>
  <x:si>
    <x:t>SGA</x:t>
  </x:si>
  <x:si>
    <x:t>- - - - - Having a conversation</x:t>
  </x:si>
  <x:si>
    <x:t>http://id.who.int/icd/entity/942333999</x:t>
  </x:si>
  <x:si>
    <x:t>http://id.who.int/icd/release/11/beta/ichi/942333999</x:t>
  </x:si>
  <x:si>
    <x:t>SGD</x:t>
  </x:si>
  <x:si>
    <x:t>- - - - - Discussion</x:t>
  </x:si>
  <x:si>
    <x:t>http://id.who.int/icd/entity/1135367440</x:t>
  </x:si>
  <x:si>
    <x:t>http://id.who.int/icd/release/11/beta/ichi/1135367440</x:t>
  </x:si>
  <x:si>
    <x:t>SGG</x:t>
  </x:si>
  <x:si>
    <x:t>- - - - - Using communication devices and techniques</x:t>
  </x:si>
  <x:si>
    <x:t>http://id.who.int/icd/entity/1914046278</x:t>
  </x:si>
  <x:si>
    <x:t>http://id.who.int/icd/release/11/beta/ichi/1914046278</x:t>
  </x:si>
  <x:si>
    <x:t>- - - Mobility targets</x:t>
  </x:si>
  <x:si>
    <x:t>http://id.who.int/icd/entity/2009583660</x:t>
  </x:si>
  <x:si>
    <x:t>http://id.who.int/icd/release/11/beta/ichi/2009583660</x:t>
  </x:si>
  <x:si>
    <x:t>- - - - Mobility, changing and maintaining body position</x:t>
  </x:si>
  <x:si>
    <x:t>http://id.who.int/icd/entity/43297993</x:t>
  </x:si>
  <x:si>
    <x:t>http://id.who.int/icd/release/11/beta/ichi/43297993</x:t>
  </x:si>
  <x:si>
    <x:t>SH1</x:t>
  </x:si>
  <x:si>
    <x:t>- - - - - Mobility, unspecified</x:t>
  </x:si>
  <x:si>
    <x:t>http://id.who.int/icd/entity/432001859</x:t>
  </x:si>
  <x:si>
    <x:t>http://id.who.int/icd/release/11/beta/ichi/432001859</x:t>
  </x:si>
  <x:si>
    <x:t>SH2</x:t>
  </x:si>
  <x:si>
    <x:t>- - - - - Changing and maintaining body position, not elsewhere classified</x:t>
  </x:si>
  <x:si>
    <x:t>http://id.who.int/icd/entity/1485253252</x:t>
  </x:si>
  <x:si>
    <x:t>http://id.who.int/icd/release/11/beta/ichi/1485253252</x:t>
  </x:si>
  <x:si>
    <x:t>SHA</x:t>
  </x:si>
  <x:si>
    <x:t>- - - - - Changing basic body position</x:t>
  </x:si>
  <x:si>
    <x:t>http://id.who.int/icd/entity/1837166322</x:t>
  </x:si>
  <x:si>
    <x:t>http://id.who.int/icd/release/11/beta/ichi/1837166322</x:t>
  </x:si>
  <x:si>
    <x:t>SHD</x:t>
  </x:si>
  <x:si>
    <x:t>- - - - - Maintaining a body position</x:t>
  </x:si>
  <x:si>
    <x:t>http://id.who.int/icd/entity/2102032200</x:t>
  </x:si>
  <x:si>
    <x:t>http://id.who.int/icd/release/11/beta/ichi/2102032200</x:t>
  </x:si>
  <x:si>
    <x:t>SHG</x:t>
  </x:si>
  <x:si>
    <x:t>- - - - - Transferring oneself</x:t>
  </x:si>
  <x:si>
    <x:t>http://id.who.int/icd/entity/758230775</x:t>
  </x:si>
  <x:si>
    <x:t>http://id.who.int/icd/release/11/beta/ichi/758230775</x:t>
  </x:si>
  <x:si>
    <x:t>- - - - Carrying, moving and handling objects</x:t>
  </x:si>
  <x:si>
    <x:t>http://id.who.int/icd/entity/231267531</x:t>
  </x:si>
  <x:si>
    <x:t>http://id.who.int/icd/release/11/beta/ichi/231267531</x:t>
  </x:si>
  <x:si>
    <x:t>SI2</x:t>
  </x:si>
  <x:si>
    <x:t>- - - - - Carrying, moving and handling objects, not elsewhere classified</x:t>
  </x:si>
  <x:si>
    <x:t>http://id.who.int/icd/entity/1728924062</x:t>
  </x:si>
  <x:si>
    <x:t>http://id.who.int/icd/release/11/beta/ichi/1728924062</x:t>
  </x:si>
  <x:si>
    <x:t>SIA</x:t>
  </x:si>
  <x:si>
    <x:t>- - - - - Lifting and carrying objects</x:t>
  </x:si>
  <x:si>
    <x:t>http://id.who.int/icd/entity/412211955</x:t>
  </x:si>
  <x:si>
    <x:t>http://id.who.int/icd/release/11/beta/ichi/412211955</x:t>
  </x:si>
  <x:si>
    <x:t>SID</x:t>
  </x:si>
  <x:si>
    <x:t>- - - - - Moving objects with lower extremities</x:t>
  </x:si>
  <x:si>
    <x:t>http://id.who.int/icd/entity/1223295812</x:t>
  </x:si>
  <x:si>
    <x:t>http://id.who.int/icd/release/11/beta/ichi/1223295812</x:t>
  </x:si>
  <x:si>
    <x:t>SIG</x:t>
  </x:si>
  <x:si>
    <x:t>- - - - - Fine hand use</x:t>
  </x:si>
  <x:si>
    <x:t>http://id.who.int/icd/entity/1918128036</x:t>
  </x:si>
  <x:si>
    <x:t>http://id.who.int/icd/release/11/beta/ichi/1918128036</x:t>
  </x:si>
  <x:si>
    <x:t>SIJ</x:t>
  </x:si>
  <x:si>
    <x:t>- - - - - Hand and arm use</x:t>
  </x:si>
  <x:si>
    <x:t>http://id.who.int/icd/entity/1196657618</x:t>
  </x:si>
  <x:si>
    <x:t>http://id.who.int/icd/release/11/beta/ichi/1196657618</x:t>
  </x:si>
  <x:si>
    <x:t>SIK</x:t>
  </x:si>
  <x:si>
    <x:t>- - - - - Fine foot use</x:t>
  </x:si>
  <x:si>
    <x:t>http://id.who.int/icd/entity/557081715</x:t>
  </x:si>
  <x:si>
    <x:t>http://id.who.int/icd/release/11/beta/ichi/557081715</x:t>
  </x:si>
  <x:si>
    <x:t>- - - - Walking and moving</x:t>
  </x:si>
  <x:si>
    <x:t>http://id.who.int/icd/entity/472665293</x:t>
  </x:si>
  <x:si>
    <x:t>http://id.who.int/icd/release/11/beta/ichi/472665293</x:t>
  </x:si>
  <x:si>
    <x:t>SJ2</x:t>
  </x:si>
  <x:si>
    <x:t>- - - - - Walking and moving, not elsewhere classified</x:t>
  </x:si>
  <x:si>
    <x:t>http://id.who.int/icd/entity/1330407196</x:t>
  </x:si>
  <x:si>
    <x:t>http://id.who.int/icd/release/11/beta/ichi/1330407196</x:t>
  </x:si>
  <x:si>
    <x:t>SJA</x:t>
  </x:si>
  <x:si>
    <x:t>- - - - - Walking</x:t>
  </x:si>
  <x:si>
    <x:t>http://id.who.int/icd/entity/242523869</x:t>
  </x:si>
  <x:si>
    <x:t>http://id.who.int/icd/release/11/beta/ichi/242523869</x:t>
  </x:si>
  <x:si>
    <x:t>SJB</x:t>
  </x:si>
  <x:si>
    <x:t>- - - - - Going up and down stairs</x:t>
  </x:si>
  <x:si>
    <x:t>http://id.who.int/icd/entity/997415593</x:t>
  </x:si>
  <x:si>
    <x:t>http://id.who.int/icd/release/11/beta/ichi/997415593</x:t>
  </x:si>
  <x:si>
    <x:t>SJD</x:t>
  </x:si>
  <x:si>
    <x:t>- - - - - Moving around</x:t>
  </x:si>
  <x:si>
    <x:t>http://id.who.int/icd/entity/2076318384</x:t>
  </x:si>
  <x:si>
    <x:t>http://id.who.int/icd/release/11/beta/ichi/2076318384</x:t>
  </x:si>
  <x:si>
    <x:t>SJG</x:t>
  </x:si>
  <x:si>
    <x:t>- - - - - Moving around in different locations</x:t>
  </x:si>
  <x:si>
    <x:t>http://id.who.int/icd/entity/1098667592</x:t>
  </x:si>
  <x:si>
    <x:t>http://id.who.int/icd/release/11/beta/ichi/1098667592</x:t>
  </x:si>
  <x:si>
    <x:t>SJJ</x:t>
  </x:si>
  <x:si>
    <x:t>- - - - - Moving around using equipment</x:t>
  </x:si>
  <x:si>
    <x:t>http://id.who.int/icd/entity/838794693</x:t>
  </x:si>
  <x:si>
    <x:t>http://id.who.int/icd/release/11/beta/ichi/838794693</x:t>
  </x:si>
  <x:si>
    <x:t>- - - - Moving around using transportation</x:t>
  </x:si>
  <x:si>
    <x:t>http://id.who.int/icd/entity/1954255422</x:t>
  </x:si>
  <x:si>
    <x:t>http://id.who.int/icd/release/11/beta/ichi/1954255422</x:t>
  </x:si>
  <x:si>
    <x:t>SK2</x:t>
  </x:si>
  <x:si>
    <x:t>- - - - - Moving around using transportation, not elsewhere classified</x:t>
  </x:si>
  <x:si>
    <x:t>http://id.who.int/icd/entity/1152221478</x:t>
  </x:si>
  <x:si>
    <x:t>http://id.who.int/icd/release/11/beta/ichi/1152221478</x:t>
  </x:si>
  <x:si>
    <x:t>SKA</x:t>
  </x:si>
  <x:si>
    <x:t>- - - - - Using transportation as a passenger</x:t>
  </x:si>
  <x:si>
    <x:t>http://id.who.int/icd/entity/1059795975</x:t>
  </x:si>
  <x:si>
    <x:t>http://id.who.int/icd/release/11/beta/ichi/1059795975</x:t>
  </x:si>
  <x:si>
    <x:t>SKD</x:t>
  </x:si>
  <x:si>
    <x:t>- - - - - Driving</x:t>
  </x:si>
  <x:si>
    <x:t>http://id.who.int/icd/entity/2115227074</x:t>
  </x:si>
  <x:si>
    <x:t>http://id.who.int/icd/release/11/beta/ichi/2115227074</x:t>
  </x:si>
  <x:si>
    <x:t>SKG</x:t>
  </x:si>
  <x:si>
    <x:t>- - - - - Riding animals for transportation</x:t>
  </x:si>
  <x:si>
    <x:t>http://id.who.int/icd/entity/1964495724</x:t>
  </x:si>
  <x:si>
    <x:t>http://id.who.int/icd/release/11/beta/ichi/1964495724</x:t>
  </x:si>
  <x:si>
    <x:t>- - - Self care targets</x:t>
  </x:si>
  <x:si>
    <x:t>http://id.who.int/icd/entity/1259604404</x:t>
  </x:si>
  <x:si>
    <x:t>http://id.who.int/icd/release/11/beta/ichi/1259604404</x:t>
  </x:si>
  <x:si>
    <x:t>SM1</x:t>
  </x:si>
  <x:si>
    <x:t>- - - - Self care, unspecified</x:t>
  </x:si>
  <x:si>
    <x:t>http://id.who.int/icd/entity/1416042640</x:t>
  </x:si>
  <x:si>
    <x:t>http://id.who.int/icd/release/11/beta/ichi/1416042640</x:t>
  </x:si>
  <x:si>
    <x:t>SMB</x:t>
  </x:si>
  <x:si>
    <x:t>- - - - Washing oneself</x:t>
  </x:si>
  <x:si>
    <x:t>http://id.who.int/icd/entity/1633737958</x:t>
  </x:si>
  <x:si>
    <x:t>http://id.who.int/icd/release/11/beta/ichi/1633737958</x:t>
  </x:si>
  <x:si>
    <x:t>SMC</x:t>
  </x:si>
  <x:si>
    <x:t>- - - - Caring for body parts</x:t>
  </x:si>
  <x:si>
    <x:t>http://id.who.int/icd/entity/519851915</x:t>
  </x:si>
  <x:si>
    <x:t>http://id.who.int/icd/release/11/beta/ichi/519851915</x:t>
  </x:si>
  <x:si>
    <x:t>SMD</x:t>
  </x:si>
  <x:si>
    <x:t>- - - - Toileting</x:t>
  </x:si>
  <x:si>
    <x:t>http://id.who.int/icd/entity/737905663</x:t>
  </x:si>
  <x:si>
    <x:t>http://id.who.int/icd/release/11/beta/ichi/737905663</x:t>
  </x:si>
  <x:si>
    <x:t>SME</x:t>
  </x:si>
  <x:si>
    <x:t>- - - - Dressing</x:t>
  </x:si>
  <x:si>
    <x:t>http://id.who.int/icd/entity/1350385374</x:t>
  </x:si>
  <x:si>
    <x:t>http://id.who.int/icd/release/11/beta/ichi/1350385374</x:t>
  </x:si>
  <x:si>
    <x:t>SMF</x:t>
  </x:si>
  <x:si>
    <x:t>- - - - Eating</x:t>
  </x:si>
  <x:si>
    <x:t>http://id.who.int/icd/entity/289785625</x:t>
  </x:si>
  <x:si>
    <x:t>http://id.who.int/icd/release/11/beta/ichi/289785625</x:t>
  </x:si>
  <x:si>
    <x:t>SMG</x:t>
  </x:si>
  <x:si>
    <x:t>- - - - Drinking</x:t>
  </x:si>
  <x:si>
    <x:t>http://id.who.int/icd/entity/608306029</x:t>
  </x:si>
  <x:si>
    <x:t>http://id.who.int/icd/release/11/beta/ichi/608306029</x:t>
  </x:si>
  <x:si>
    <x:t>SMH</x:t>
  </x:si>
  <x:si>
    <x:t>- - - - Looking after one's health</x:t>
  </x:si>
  <x:si>
    <x:t>http://id.who.int/icd/entity/1638688412</x:t>
  </x:si>
  <x:si>
    <x:t>http://id.who.int/icd/release/11/beta/ichi/1638688412</x:t>
  </x:si>
  <x:si>
    <x:t>- - - Domestic life targets</x:t>
  </x:si>
  <x:si>
    <x:t>http://id.who.int/icd/entity/1047410617</x:t>
  </x:si>
  <x:si>
    <x:t>http://id.who.int/icd/release/11/beta/ichi/1047410617</x:t>
  </x:si>
  <x:si>
    <x:t>- - - - Domestic life - Acquisition of necessities</x:t>
  </x:si>
  <x:si>
    <x:t>http://id.who.int/icd/entity/288279831</x:t>
  </x:si>
  <x:si>
    <x:t>http://id.who.int/icd/release/11/beta/ichi/288279831</x:t>
  </x:si>
  <x:si>
    <x:t>SN1</x:t>
  </x:si>
  <x:si>
    <x:t>- - - - - Domestic life, unspecified</x:t>
  </x:si>
  <x:si>
    <x:t>http://id.who.int/icd/entity/1343632594</x:t>
  </x:si>
  <x:si>
    <x:t>http://id.who.int/icd/release/11/beta/ichi/1343632594</x:t>
  </x:si>
  <x:si>
    <x:t>SN2</x:t>
  </x:si>
  <x:si>
    <x:t>- - - - - Acquisition of necessities, not elsewhere classified</x:t>
  </x:si>
  <x:si>
    <x:t>http://id.who.int/icd/entity/995760199</x:t>
  </x:si>
  <x:si>
    <x:t>http://id.who.int/icd/release/11/beta/ichi/995760199</x:t>
  </x:si>
  <x:si>
    <x:t>SNC</x:t>
  </x:si>
  <x:si>
    <x:t>- - - - - Acquiring a place to live</x:t>
  </x:si>
  <x:si>
    <x:t>http://id.who.int/icd/entity/241032243</x:t>
  </x:si>
  <x:si>
    <x:t>http://id.who.int/icd/release/11/beta/ichi/241032243</x:t>
  </x:si>
  <x:si>
    <x:t>SND</x:t>
  </x:si>
  <x:si>
    <x:t>- - - - - Acquisition of goods and services</x:t>
  </x:si>
  <x:si>
    <x:t>http://id.who.int/icd/entity/1902575406</x:t>
  </x:si>
  <x:si>
    <x:t>http://id.who.int/icd/release/11/beta/ichi/1902575406</x:t>
  </x:si>
  <x:si>
    <x:t>- - - - Household tasks</x:t>
  </x:si>
  <x:si>
    <x:t>http://id.who.int/icd/entity/887328981</x:t>
  </x:si>
  <x:si>
    <x:t>http://id.who.int/icd/release/11/beta/ichi/887328981</x:t>
  </x:si>
  <x:si>
    <x:t>SO2</x:t>
  </x:si>
  <x:si>
    <x:t>- - - - - Household tasks, not elsewhere classified</x:t>
  </x:si>
  <x:si>
    <x:t>http://id.who.int/icd/entity/70616015</x:t>
  </x:si>
  <x:si>
    <x:t>http://id.who.int/icd/release/11/beta/ichi/70616015</x:t>
  </x:si>
  <x:si>
    <x:t>SOA</x:t>
  </x:si>
  <x:si>
    <x:t>- - - - - Preparing meals</x:t>
  </x:si>
  <x:si>
    <x:t>http://id.who.int/icd/entity/825378747</x:t>
  </x:si>
  <x:si>
    <x:t>http://id.who.int/icd/release/11/beta/ichi/825378747</x:t>
  </x:si>
  <x:si>
    <x:t>SOD</x:t>
  </x:si>
  <x:si>
    <x:t>- - - - - Doing housework</x:t>
  </x:si>
  <x:si>
    <x:t>http://id.who.int/icd/entity/1309238436</x:t>
  </x:si>
  <x:si>
    <x:t>http://id.who.int/icd/release/11/beta/ichi/1309238436</x:t>
  </x:si>
  <x:si>
    <x:t>- - - - Caring for household objects and assisting others</x:t>
  </x:si>
  <x:si>
    <x:t>http://id.who.int/icd/entity/1253372572</x:t>
  </x:si>
  <x:si>
    <x:t>http://id.who.int/icd/release/11/beta/ichi/1253372572</x:t>
  </x:si>
  <x:si>
    <x:t>SP2</x:t>
  </x:si>
  <x:si>
    <x:t>- - - - - Caring for household objects and assisting others, not elsewhere classified</x:t>
  </x:si>
  <x:si>
    <x:t>http://id.who.int/icd/entity/544303053</x:t>
  </x:si>
  <x:si>
    <x:t>http://id.who.int/icd/release/11/beta/ichi/544303053</x:t>
  </x:si>
  <x:si>
    <x:t>SPA</x:t>
  </x:si>
  <x:si>
    <x:t>- - - - - Caring for household objects</x:t>
  </x:si>
  <x:si>
    <x:t>http://id.who.int/icd/entity/1262308186</x:t>
  </x:si>
  <x:si>
    <x:t>http://id.who.int/icd/release/11/beta/ichi/1262308186</x:t>
  </x:si>
  <x:si>
    <x:t>SPD</x:t>
  </x:si>
  <x:si>
    <x:t>- - - - - Assisting others</x:t>
  </x:si>
  <x:si>
    <x:t>http://id.who.int/icd/entity/1077499384</x:t>
  </x:si>
  <x:si>
    <x:t>http://id.who.int/icd/release/11/beta/ichi/1077499384</x:t>
  </x:si>
  <x:si>
    <x:t>- - - Interpersonal interaction and relationship targets</x:t>
  </x:si>
  <x:si>
    <x:t>http://id.who.int/icd/entity/1366979968</x:t>
  </x:si>
  <x:si>
    <x:t>http://id.who.int/icd/release/11/beta/ichi/1366979968</x:t>
  </x:si>
  <x:si>
    <x:t>- - - - Interpersonal interactions and relationships, general interpersonal interactions</x:t>
  </x:si>
  <x:si>
    <x:t>http://id.who.int/icd/entity/2117766960</x:t>
  </x:si>
  <x:si>
    <x:t>http://id.who.int/icd/release/11/beta/ichi/2117766960</x:t>
  </x:si>
  <x:si>
    <x:t>SR1</x:t>
  </x:si>
  <x:si>
    <x:t>- - - - - Engaging in interpersonal interactions and relationships, unspecified</x:t>
  </x:si>
  <x:si>
    <x:t>http://id.who.int/icd/entity/236950739</x:t>
  </x:si>
  <x:si>
    <x:t>http://id.who.int/icd/release/11/beta/ichi/236950739</x:t>
  </x:si>
  <x:si>
    <x:t>SR2</x:t>
  </x:si>
  <x:si>
    <x:t>- - - - - Engaging in general interpersonal interactions, not elsewhere classified</x:t>
  </x:si>
  <x:si>
    <x:t>http://id.who.int/icd/entity/991449255</x:t>
  </x:si>
  <x:si>
    <x:t>http://id.who.int/icd/release/11/beta/ichi/991449255</x:t>
  </x:si>
  <x:si>
    <x:t>SRC</x:t>
  </x:si>
  <x:si>
    <x:t>- - - - - Engaging in basic interpersonal interactions</x:t>
  </x:si>
  <x:si>
    <x:t>http://id.who.int/icd/entity/27663425</x:t>
  </x:si>
  <x:si>
    <x:t>http://id.who.int/icd/release/11/beta/ichi/27663425</x:t>
  </x:si>
  <x:si>
    <x:t>SRD</x:t>
  </x:si>
  <x:si>
    <x:t>- - - - - Engaging in complex interpersonal interactions</x:t>
  </x:si>
  <x:si>
    <x:t>http://id.who.int/icd/entity/1898231756</x:t>
  </x:si>
  <x:si>
    <x:t>http://id.who.int/icd/release/11/beta/ichi/1898231756</x:t>
  </x:si>
  <x:si>
    <x:t>- - - - Particular interpersonal relationships</x:t>
  </x:si>
  <x:si>
    <x:t>http://id.who.int/icd/entity/883021877</x:t>
  </x:si>
  <x:si>
    <x:t>http://id.who.int/icd/release/11/beta/ichi/883021877</x:t>
  </x:si>
  <x:si>
    <x:t>SS2</x:t>
  </x:si>
  <x:si>
    <x:t>- - - - - Engaging in particular interpersonal relationships, not elsewhere classified</x:t>
  </x:si>
  <x:si>
    <x:t>http://id.who.int/icd/entity/537567487</x:t>
  </x:si>
  <x:si>
    <x:t>http://id.who.int/icd/release/11/beta/ichi/537567487</x:t>
  </x:si>
  <x:si>
    <x:t>SSA</x:t>
  </x:si>
  <x:si>
    <x:t>- - - - - Relating with strangers</x:t>
  </x:si>
  <x:si>
    <x:t>http://id.who.int/icd/entity/1535907294</x:t>
  </x:si>
  <x:si>
    <x:t>http://id.who.int/icd/release/11/beta/ichi/1535907294</x:t>
  </x:si>
  <x:si>
    <x:t>SSD</x:t>
  </x:si>
  <x:si>
    <x:t>- - - - - Engaging in formal relationships</x:t>
  </x:si>
  <x:si>
    <x:t>http://id.who.int/icd/entity/448064537</x:t>
  </x:si>
  <x:si>
    <x:t>http://id.who.int/icd/release/11/beta/ichi/448064537</x:t>
  </x:si>
  <x:si>
    <x:t>SSG</x:t>
  </x:si>
  <x:si>
    <x:t>- - - - - Engaging in informal social relationships</x:t>
  </x:si>
  <x:si>
    <x:t>http://id.who.int/icd/entity/800270445</x:t>
  </x:si>
  <x:si>
    <x:t>http://id.who.int/icd/release/11/beta/ichi/800270445</x:t>
  </x:si>
  <x:si>
    <x:t>SSJ</x:t>
  </x:si>
  <x:si>
    <x:t>- - - - - Engaging in family relationships</x:t>
  </x:si>
  <x:si>
    <x:t>http://id.who.int/icd/entity/1064939995</x:t>
  </x:si>
  <x:si>
    <x:t>http://id.who.int/icd/release/11/beta/ichi/1064939995</x:t>
  </x:si>
  <x:si>
    <x:t>SSK</x:t>
  </x:si>
  <x:si>
    <x:t>- - - - - Engaging in parent-child relationships</x:t>
  </x:si>
  <x:si>
    <x:t>http://id.who.int/icd/entity/176059823</x:t>
  </x:si>
  <x:si>
    <x:t>http://id.who.int/icd/release/11/beta/ichi/176059823</x:t>
  </x:si>
  <x:si>
    <x:t>SSM</x:t>
  </x:si>
  <x:si>
    <x:t>- - - - - Engaging in intimate relationships</x:t>
  </x:si>
  <x:si>
    <x:t>http://id.who.int/icd/entity/1967478448</x:t>
  </x:si>
  <x:si>
    <x:t>http://id.who.int/icd/release/11/beta/ichi/1967478448</x:t>
  </x:si>
  <x:si>
    <x:t>- - - Major life area targets</x:t>
  </x:si>
  <x:si>
    <x:t>http://id.who.int/icd/entity/624856833</x:t>
  </x:si>
  <x:si>
    <x:t>http://id.who.int/icd/release/11/beta/ichi/624856833</x:t>
  </x:si>
  <x:si>
    <x:t>- - - - Major life areas - Education</x:t>
  </x:si>
  <x:si>
    <x:t>http://id.who.int/icd/entity/1912127632</x:t>
  </x:si>
  <x:si>
    <x:t>http://id.who.int/icd/release/11/beta/ichi/1912127632</x:t>
  </x:si>
  <x:si>
    <x:t>ST1</x:t>
  </x:si>
  <x:si>
    <x:t>- - - - - Engaging in major life areas, unspecified</x:t>
  </x:si>
  <x:si>
    <x:t>http://id.who.int/icd/entity/1349383140</x:t>
  </x:si>
  <x:si>
    <x:t>http://id.who.int/icd/release/11/beta/ichi/1349383140</x:t>
  </x:si>
  <x:si>
    <x:t>ST2</x:t>
  </x:si>
  <x:si>
    <x:t>- - - - - Engaging in education, not elsewhere classified</x:t>
  </x:si>
  <x:si>
    <x:t>http://id.who.int/icd/entity/736839363</x:t>
  </x:si>
  <x:si>
    <x:t>http://id.who.int/icd/release/11/beta/ichi/736839363</x:t>
  </x:si>
  <x:si>
    <x:t>STC</x:t>
  </x:si>
  <x:si>
    <x:t>- - - - - Engaging in informal education</x:t>
  </x:si>
  <x:si>
    <x:t>http://id.who.int/icd/entity/1792261892</x:t>
  </x:si>
  <x:si>
    <x:t>http://id.who.int/icd/release/11/beta/ichi/1792261892</x:t>
  </x:si>
  <x:si>
    <x:t>STD</x:t>
  </x:si>
  <x:si>
    <x:t>- - - - - Engaging in preschool education</x:t>
  </x:si>
  <x:si>
    <x:t>http://id.who.int/icd/entity/1607760754</x:t>
  </x:si>
  <x:si>
    <x:t>http://id.who.int/icd/release/11/beta/ichi/1607760754</x:t>
  </x:si>
  <x:si>
    <x:t>STE</x:t>
  </x:si>
  <x:si>
    <x:t>- - - - - Engaging in school education</x:t>
  </x:si>
  <x:si>
    <x:t>http://id.who.int/icd/entity/1327424200</x:t>
  </x:si>
  <x:si>
    <x:t>http://id.who.int/icd/release/11/beta/ichi/1327424200</x:t>
  </x:si>
  <x:si>
    <x:t>STF</x:t>
  </x:si>
  <x:si>
    <x:t>- - - - - Engaging in vocational training</x:t>
  </x:si>
  <x:si>
    <x:t>http://id.who.int/icd/entity/2048468658</x:t>
  </x:si>
  <x:si>
    <x:t>http://id.who.int/icd/release/11/beta/ichi/2048468658</x:t>
  </x:si>
  <x:si>
    <x:t>STG</x:t>
  </x:si>
  <x:si>
    <x:t>- - - - - Engaging in higher education</x:t>
  </x:si>
  <x:si>
    <x:t>http://id.who.int/icd/entity/27235219</x:t>
  </x:si>
  <x:si>
    <x:t>http://id.who.int/icd/release/11/beta/ichi/27235219</x:t>
  </x:si>
  <x:si>
    <x:t>STJ</x:t>
  </x:si>
  <x:si>
    <x:t>- - - - - Engaging in education life</x:t>
  </x:si>
  <x:si>
    <x:t>http://id.who.int/icd/entity/282899429</x:t>
  </x:si>
  <x:si>
    <x:t>http://id.who.int/icd/release/11/beta/ichi/282899429</x:t>
  </x:si>
  <x:si>
    <x:t>- - - - Work and employment</x:t>
  </x:si>
  <x:si>
    <x:t>http://id.who.int/icd/entity/807780825</x:t>
  </x:si>
  <x:si>
    <x:t>http://id.who.int/icd/release/11/beta/ichi/807780825</x:t>
  </x:si>
  <x:si>
    <x:t>SU2</x:t>
  </x:si>
  <x:si>
    <x:t>- - - - - Engaging in work and employment, not elsewhere classified</x:t>
  </x:si>
  <x:si>
    <x:t>http://id.who.int/icd/entity/532843271</x:t>
  </x:si>
  <x:si>
    <x:t>http://id.who.int/icd/release/11/beta/ichi/532843271</x:t>
  </x:si>
  <x:si>
    <x:t>SUA</x:t>
  </x:si>
  <x:si>
    <x:t>- - - - - Engaging in apprenticeship</x:t>
  </x:si>
  <x:si>
    <x:t>http://id.who.int/icd/entity/1682193958</x:t>
  </x:si>
  <x:si>
    <x:t>http://id.who.int/icd/release/11/beta/ichi/1682193958</x:t>
  </x:si>
  <x:si>
    <x:t>SUD</x:t>
  </x:si>
  <x:si>
    <x:t>- - - - - Acquiring, keeping and terminating a job</x:t>
  </x:si>
  <x:si>
    <x:t>http://id.who.int/icd/entity/628934625</x:t>
  </x:si>
  <x:si>
    <x:t>http://id.who.int/icd/release/11/beta/ichi/628934625</x:t>
  </x:si>
  <x:si>
    <x:t>SUG</x:t>
  </x:si>
  <x:si>
    <x:t>- - - - - Engaging in remunerative employment</x:t>
  </x:si>
  <x:si>
    <x:t>http://id.who.int/icd/entity/276497301</x:t>
  </x:si>
  <x:si>
    <x:t>http://id.who.int/icd/release/11/beta/ichi/276497301</x:t>
  </x:si>
  <x:si>
    <x:t>SUJ</x:t>
  </x:si>
  <x:si>
    <x:t>- - - - - Engaging in non-remunerative employment</x:t>
  </x:si>
  <x:si>
    <x:t>http://id.who.int/icd/entity/1620222486</x:t>
  </x:si>
  <x:si>
    <x:t>http://id.who.int/icd/release/11/beta/ichi/1620222486</x:t>
  </x:si>
  <x:si>
    <x:t>- - - - Economic life</x:t>
  </x:si>
  <x:si>
    <x:t>http://id.who.int/icd/entity/1080807468</x:t>
  </x:si>
  <x:si>
    <x:t>http://id.who.int/icd/release/11/beta/ichi/1080807468</x:t>
  </x:si>
  <x:si>
    <x:t>SV2</x:t>
  </x:si>
  <x:si>
    <x:t>- - - - - Engaging in economic life, not elsewhere classified</x:t>
  </x:si>
  <x:si>
    <x:t>http://id.who.int/icd/entity/716064125</x:t>
  </x:si>
  <x:si>
    <x:t>http://id.who.int/icd/release/11/beta/ichi/716064125</x:t>
  </x:si>
  <x:si>
    <x:t>SVA</x:t>
  </x:si>
  <x:si>
    <x:t>- - - - - Engaging in basic economic transactions</x:t>
  </x:si>
  <x:si>
    <x:t>http://id.who.int/icd/entity/531202313</x:t>
  </x:si>
  <x:si>
    <x:t>http://id.who.int/icd/release/11/beta/ichi/531202313</x:t>
  </x:si>
  <x:si>
    <x:t>SVD</x:t>
  </x:si>
  <x:si>
    <x:t>- - - - - Engaging in complex economic transactions</x:t>
  </x:si>
  <x:si>
    <x:t>http://id.who.int/icd/entity/1680815146</x:t>
  </x:si>
  <x:si>
    <x:t>http://id.who.int/icd/release/11/beta/ichi/1680815146</x:t>
  </x:si>
  <x:si>
    <x:t>SVG</x:t>
  </x:si>
  <x:si>
    <x:t>- - - - - Engaging in economic self-sufficiency</x:t>
  </x:si>
  <x:si>
    <x:t>http://id.who.int/icd/entity/798648963</x:t>
  </x:si>
  <x:si>
    <x:t>http://id.who.int/icd/release/11/beta/ichi/798648963</x:t>
  </x:si>
  <x:si>
    <x:t>- - - Community, social and civic life targets</x:t>
  </x:si>
  <x:si>
    <x:t>http://id.who.int/icd/entity/73860627</x:t>
  </x:si>
  <x:si>
    <x:t>http://id.who.int/icd/release/11/beta/ichi/73860627</x:t>
  </x:si>
  <x:si>
    <x:t>- - - - Community, social and civic life</x:t>
  </x:si>
  <x:si>
    <x:t>http://id.who.int/icd/entity/258152639</x:t>
  </x:si>
  <x:si>
    <x:t>http://id.who.int/icd/release/11/beta/ichi/258152639</x:t>
  </x:si>
  <x:si>
    <x:t>SX1</x:t>
  </x:si>
  <x:si>
    <x:t>- - - - - Engaging in community, social and civic life, unspecified</x:t>
  </x:si>
  <x:si>
    <x:t>http://id.who.int/icd/entity/1314644344</x:t>
  </x:si>
  <x:si>
    <x:t>http://id.who.int/icd/release/11/beta/ichi/1314644344</x:t>
  </x:si>
  <x:si>
    <x:t>SXB</x:t>
  </x:si>
  <x:si>
    <x:t>- - - - - Engaging in community life</x:t>
  </x:si>
  <x:si>
    <x:t>http://id.who.int/icd/entity/1433444084</x:t>
  </x:si>
  <x:si>
    <x:t>http://id.who.int/icd/release/11/beta/ichi/1433444084</x:t>
  </x:si>
  <x:si>
    <x:t>SXC</x:t>
  </x:si>
  <x:si>
    <x:t>- - - - - Engaging in recreation and leisure</x:t>
  </x:si>
  <x:si>
    <x:t>http://id.who.int/icd/entity/1618434694</x:t>
  </x:si>
  <x:si>
    <x:t>http://id.who.int/icd/release/11/beta/ichi/1618434694</x:t>
  </x:si>
  <x:si>
    <x:t>SXD</x:t>
  </x:si>
  <x:si>
    <x:t>- - - - - Playing</x:t>
  </x:si>
  <x:si>
    <x:t>http://id.who.int/icd/entity/1523127906</x:t>
  </x:si>
  <x:si>
    <x:t>http://id.who.int/icd/release/11/beta/ichi/1523127906</x:t>
  </x:si>
  <x:si>
    <x:t>SXH</x:t>
  </x:si>
  <x:si>
    <x:t>- - - - - Engaging in religion and spirituality</x:t>
  </x:si>
  <x:si>
    <x:t>http://id.who.int/icd/entity/1875825172</x:t>
  </x:si>
  <x:si>
    <x:t>http://id.who.int/icd/release/11/beta/ichi/1875825172</x:t>
  </x:si>
  <x:si>
    <x:t>SXK</x:t>
  </x:si>
  <x:si>
    <x:t>- - - - - Enjoying human rights</x:t>
  </x:si>
  <x:si>
    <x:t>http://id.who.int/icd/entity/340289333</x:t>
  </x:si>
  <x:si>
    <x:t>http://id.who.int/icd/release/11/beta/ichi/340289333</x:t>
  </x:si>
  <x:si>
    <x:t>SXL</x:t>
  </x:si>
  <x:si>
    <x:t>- - - - - Engaging in political life and citizenship</x:t>
  </x:si>
  <x:si>
    <x:t>http://id.who.int/icd/release/11/beta/ichi/1422243427/other</x:t>
  </x:si>
  <x:si>
    <x:t>SZY</x:t>
  </x:si>
  <x:si>
    <x:t>- - - Other specified target for activities and participation domains</x:t>
  </x:si>
  <x:si>
    <x:t>http://id.who.int/icd/release/11/beta/ichi/1422243427/unspecified</x:t>
  </x:si>
  <x:si>
    <x:t>SZZ</x:t>
  </x:si>
  <x:si>
    <x:t>- - - Target for activities and participation domains, unspecified</x:t>
  </x:si>
  <x:si>
    <x:t>http://id.who.int/icd/entity/1610430880</x:t>
  </x:si>
  <x:si>
    <x:t>http://id.who.int/icd/release/11/beta/ichi/1610430880</x:t>
  </x:si>
  <x:si>
    <x:t>- - Targets for the environment</x:t>
  </x:si>
  <x:si>
    <x:t>http://id.who.int/icd/entity/1946178832</x:t>
  </x:si>
  <x:si>
    <x:t>http://id.who.int/icd/release/11/beta/ichi/1946178832</x:t>
  </x:si>
  <x:si>
    <x:t>- - - Products and technology targets</x:t>
  </x:si>
  <x:si>
    <x:t>http://id.who.int/icd/entity/1698919800</x:t>
  </x:si>
  <x:si>
    <x:t>http://id.who.int/icd/release/11/beta/ichi/1698919800</x:t>
  </x:si>
  <x:si>
    <x:t>- - - - Products and technology</x:t>
  </x:si>
  <x:si>
    <x:t>16</x:t>
  </x:si>
  <x:si>
    <x:t>http://id.who.int/icd/entity/2130987938</x:t>
  </x:si>
  <x:si>
    <x:t>http://id.who.int/icd/release/11/beta/ichi/2130987938</x:t>
  </x:si>
  <x:si>
    <x:t>UA1</x:t>
  </x:si>
  <x:si>
    <x:t>- - - - - Products and technology, unspecified</x:t>
  </x:si>
  <x:si>
    <x:t>http://id.who.int/icd/entity/1784499612</x:t>
  </x:si>
  <x:si>
    <x:t>http://id.who.int/icd/release/11/beta/ichi/1784499612</x:t>
  </x:si>
  <x:si>
    <x:t>UAA</x:t>
  </x:si>
  <x:si>
    <x:t>- - - - - Products or substances for personal consumption, not elsewhere classified</x:t>
  </x:si>
  <x:si>
    <x:t>http://id.who.int/icd/entity/299628731</x:t>
  </x:si>
  <x:si>
    <x:t>http://id.who.int/icd/release/11/beta/ichi/299628731</x:t>
  </x:si>
  <x:si>
    <x:t>UAB</x:t>
  </x:si>
  <x:si>
    <x:t>- - - - - Food</x:t>
  </x:si>
  <x:si>
    <x:t>http://id.who.int/icd/entity/1880781634</x:t>
  </x:si>
  <x:si>
    <x:t>http://id.who.int/icd/release/11/beta/ichi/1880781634</x:t>
  </x:si>
  <x:si>
    <x:t>UAC</x:t>
  </x:si>
  <x:si>
    <x:t>- - - - - Medicaments</x:t>
  </x:si>
  <x:si>
    <x:t>http://id.who.int/icd/entity/1159575348</x:t>
  </x:si>
  <x:si>
    <x:t>http://id.who.int/icd/release/11/beta/ichi/1159575348</x:t>
  </x:si>
  <x:si>
    <x:t>UAD</x:t>
  </x:si>
  <x:si>
    <x:t>- - - - - Products and technology for personal use in daily living</x:t>
  </x:si>
  <x:si>
    <x:t>http://id.who.int/icd/entity/969199118</x:t>
  </x:si>
  <x:si>
    <x:t>http://id.who.int/icd/release/11/beta/ichi/969199118</x:t>
  </x:si>
  <x:si>
    <x:t>UAE</x:t>
  </x:si>
  <x:si>
    <x:t>- - - - - Products and technology for personal indoor and outdoor mobility and transportation</x:t>
  </x:si>
  <x:si>
    <x:t>http://id.who.int/icd/entity/1111653167</x:t>
  </x:si>
  <x:si>
    <x:t>http://id.who.int/icd/release/11/beta/ichi/1111653167</x:t>
  </x:si>
  <x:si>
    <x:t>UAF</x:t>
  </x:si>
  <x:si>
    <x:t>- - - - - Products and technology for communication</x:t>
  </x:si>
  <x:si>
    <x:t>http://id.who.int/icd/entity/1945643365</x:t>
  </x:si>
  <x:si>
    <x:t>http://id.who.int/icd/release/11/beta/ichi/1945643365</x:t>
  </x:si>
  <x:si>
    <x:t>UAG</x:t>
  </x:si>
  <x:si>
    <x:t>- - - - - Products and technology for education</x:t>
  </x:si>
  <x:si>
    <x:t>http://id.who.int/icd/entity/142515268</x:t>
  </x:si>
  <x:si>
    <x:t>http://id.who.int/icd/release/11/beta/ichi/142515268</x:t>
  </x:si>
  <x:si>
    <x:t>UAH</x:t>
  </x:si>
  <x:si>
    <x:t>- - - - - Products and technology for employment</x:t>
  </x:si>
  <x:si>
    <x:t>http://id.who.int/icd/entity/330308448</x:t>
  </x:si>
  <x:si>
    <x:t>http://id.who.int/icd/release/11/beta/ichi/330308448</x:t>
  </x:si>
  <x:si>
    <x:t>UAI</x:t>
  </x:si>
  <x:si>
    <x:t>- - - - - Products and technology for culture, recreation and sport</x:t>
  </x:si>
  <x:si>
    <x:t>http://id.who.int/icd/entity/1748414079</x:t>
  </x:si>
  <x:si>
    <x:t>http://id.who.int/icd/release/11/beta/ichi/1748414079</x:t>
  </x:si>
  <x:si>
    <x:t>UAJ</x:t>
  </x:si>
  <x:si>
    <x:t>- - - - - Products and technology for the practice of religion and spirituality</x:t>
  </x:si>
  <x:si>
    <x:t>http://id.who.int/icd/entity/688805816</x:t>
  </x:si>
  <x:si>
    <x:t>http://id.who.int/icd/release/11/beta/ichi/688805816</x:t>
  </x:si>
  <x:si>
    <x:t>UAK</x:t>
  </x:si>
  <x:si>
    <x:t>- - - - - Design, construction and building products and technology of buildings for public use</x:t>
  </x:si>
  <x:si>
    <x:t>http://id.who.int/icd/entity/470389710</x:t>
  </x:si>
  <x:si>
    <x:t>http://id.who.int/icd/release/11/beta/ichi/470389710</x:t>
  </x:si>
  <x:si>
    <x:t>UAL</x:t>
  </x:si>
  <x:si>
    <x:t>- - - - - Design, construction and building products and technology of buildings for private use</x:t>
  </x:si>
  <x:si>
    <x:t>http://id.who.int/icd/entity/2091145575</x:t>
  </x:si>
  <x:si>
    <x:t>http://id.who.int/icd/release/11/beta/ichi/2091145575</x:t>
  </x:si>
  <x:si>
    <x:t>UAM</x:t>
  </x:si>
  <x:si>
    <x:t>- - - - - Design, construction and building products and technology of buildings unspecified</x:t>
  </x:si>
  <x:si>
    <x:t>http://id.who.int/icd/entity/1235459347</x:t>
  </x:si>
  <x:si>
    <x:t>http://id.who.int/icd/release/11/beta/ichi/1235459347</x:t>
  </x:si>
  <x:si>
    <x:t>UAN</x:t>
  </x:si>
  <x:si>
    <x:t>- - - - - Products and technology of land development</x:t>
  </x:si>
  <x:si>
    <x:t>http://id.who.int/icd/entity/841295924</x:t>
  </x:si>
  <x:si>
    <x:t>http://id.who.int/icd/release/11/beta/ichi/841295924</x:t>
  </x:si>
  <x:si>
    <x:t>UAO</x:t>
  </x:si>
  <x:si>
    <x:t>- - - - - Assets</x:t>
  </x:si>
  <x:si>
    <x:t>http://id.who.int/icd/entity/60783226</x:t>
  </x:si>
  <x:si>
    <x:t>http://id.who.int/icd/release/11/beta/ichi/60783226</x:t>
  </x:si>
  <x:si>
    <x:t>- - - Natural environment including human changes targets</x:t>
  </x:si>
  <x:si>
    <x:t>http://id.who.int/icd/entity/1982463499</x:t>
  </x:si>
  <x:si>
    <x:t>http://id.who.int/icd/release/11/beta/ichi/1982463499</x:t>
  </x:si>
  <x:si>
    <x:t>- - - - Natural environment including human changes</x:t>
  </x:si>
  <x:si>
    <x:t>22</x:t>
  </x:si>
  <x:si>
    <x:t>http://id.who.int/icd/entity/1931334133</x:t>
  </x:si>
  <x:si>
    <x:t>http://id.who.int/icd/release/11/beta/ichi/1931334133</x:t>
  </x:si>
  <x:si>
    <x:t>UB1</x:t>
  </x:si>
  <x:si>
    <x:t>- - - - - Natural environment and human-made changes to environment, unspecified</x:t>
  </x:si>
  <x:si>
    <x:t>http://id.who.int/icd/entity/66845263</x:t>
  </x:si>
  <x:si>
    <x:t>http://id.who.int/icd/release/11/beta/ichi/66845263</x:t>
  </x:si>
  <x:si>
    <x:t>UBA</x:t>
  </x:si>
  <x:si>
    <x:t>- - - - - Land forms</x:t>
  </x:si>
  <x:si>
    <x:t>http://id.who.int/icd/entity/408026466</x:t>
  </x:si>
  <x:si>
    <x:t>http://id.who.int/icd/release/11/beta/ichi/408026466</x:t>
  </x:si>
  <x:si>
    <x:t>UBB</x:t>
  </x:si>
  <x:si>
    <x:t>- - - - - Bodies of water</x:t>
  </x:si>
  <x:si>
    <x:t>http://id.who.int/icd/entity/1500054693</x:t>
  </x:si>
  <x:si>
    <x:t>http://id.who.int/icd/release/11/beta/ichi/1500054693</x:t>
  </x:si>
  <x:si>
    <x:t>UBC</x:t>
  </x:si>
  <x:si>
    <x:t>- - - - - Population</x:t>
  </x:si>
  <x:si>
    <x:t>http://id.who.int/icd/entity/1819197649</x:t>
  </x:si>
  <x:si>
    <x:t>http://id.who.int/icd/release/11/beta/ichi/1819197649</x:t>
  </x:si>
  <x:si>
    <x:t>UBD</x:t>
  </x:si>
  <x:si>
    <x:t>- - - - - Flora and fauna</x:t>
  </x:si>
  <x:si>
    <x:t>http://id.who.int/icd/entity/334648254</x:t>
  </x:si>
  <x:si>
    <x:t>http://id.who.int/icd/release/11/beta/ichi/334648254</x:t>
  </x:si>
  <x:si>
    <x:t>UBE</x:t>
  </x:si>
  <x:si>
    <x:t>- - - - - Climate</x:t>
  </x:si>
  <x:si>
    <x:t>http://id.who.int/icd/entity/653629388</x:t>
  </x:si>
  <x:si>
    <x:t>http://id.who.int/icd/release/11/beta/ichi/653629388</x:t>
  </x:si>
  <x:si>
    <x:t>UBF</x:t>
  </x:si>
  <x:si>
    <x:t>- - - - - Natural events</x:t>
  </x:si>
  <x:si>
    <x:t>http://id.who.int/icd/entity/1567826667</x:t>
  </x:si>
  <x:si>
    <x:t>http://id.who.int/icd/release/11/beta/ichi/1567826667</x:t>
  </x:si>
  <x:si>
    <x:t>UBG</x:t>
  </x:si>
  <x:si>
    <x:t>- - - - - Human-caused events, not elsewhere classified</x:t>
  </x:si>
  <x:si>
    <x:t>http://id.who.int/icd/entity/474733356</x:t>
  </x:si>
  <x:si>
    <x:t>http://id.who.int/icd/release/11/beta/ichi/474733356</x:t>
  </x:si>
  <x:si>
    <x:t>UBH</x:t>
  </x:si>
  <x:si>
    <x:t>- - - - - Light</x:t>
  </x:si>
  <x:si>
    <x:t>http://id.who.int/icd/entity/692854618</x:t>
  </x:si>
  <x:si>
    <x:t>http://id.who.int/icd/release/11/beta/ichi/692854618</x:t>
  </x:si>
  <x:si>
    <x:t>UBI</x:t>
  </x:si>
  <x:si>
    <x:t>- - - - - Time-related changes</x:t>
  </x:si>
  <x:si>
    <x:t>http://id.who.int/icd/entity/2036124903</x:t>
  </x:si>
  <x:si>
    <x:t>http://id.who.int/icd/release/11/beta/ichi/2036124903</x:t>
  </x:si>
  <x:si>
    <x:t>UBJ</x:t>
  </x:si>
  <x:si>
    <x:t>- - - - - Sound</x:t>
  </x:si>
  <x:si>
    <x:t>http://id.who.int/icd/entity/1281034387</x:t>
  </x:si>
  <x:si>
    <x:t>http://id.who.int/icd/release/11/beta/ichi/1281034387</x:t>
  </x:si>
  <x:si>
    <x:t>UBK</x:t>
  </x:si>
  <x:si>
    <x:t>- - - - - Vibration</x:t>
  </x:si>
  <x:si>
    <x:t>http://id.who.int/icd/entity/937278900</x:t>
  </x:si>
  <x:si>
    <x:t>http://id.who.int/icd/release/11/beta/ichi/937278900</x:t>
  </x:si>
  <x:si>
    <x:t>UBL</x:t>
  </x:si>
  <x:si>
    <x:t>- - - - - Indoor air quality</x:t>
  </x:si>
  <x:si>
    <x:t>http://id.who.int/icd/entity/107474938</x:t>
  </x:si>
  <x:si>
    <x:t>http://id.who.int/icd/release/11/beta/ichi/107474938</x:t>
  </x:si>
  <x:si>
    <x:t>UBM</x:t>
  </x:si>
  <x:si>
    <x:t>- - - - - Outdoor air quality</x:t>
  </x:si>
  <x:si>
    <x:t>http://id.who.int/icd/entity/1561864421</x:t>
  </x:si>
  <x:si>
    <x:t>http://id.who.int/icd/release/11/beta/ichi/1561864421</x:t>
  </x:si>
  <x:si>
    <x:t>UBN</x:t>
  </x:si>
  <x:si>
    <x:t>- - - - - Water quality</x:t>
  </x:si>
  <x:si>
    <x:t>http://id.who.int/icd/entity/1188474879</x:t>
  </x:si>
  <x:si>
    <x:t>http://id.who.int/icd/release/11/beta/ichi/1188474879</x:t>
  </x:si>
  <x:si>
    <x:t>UBO</x:t>
  </x:si>
  <x:si>
    <x:t>- - - - - Soil quality</x:t>
  </x:si>
  <x:si>
    <x:t>http://id.who.int/icd/entity/245173781</x:t>
  </x:si>
  <x:si>
    <x:t>http://id.who.int/icd/release/11/beta/ichi/245173781</x:t>
  </x:si>
  <x:si>
    <x:t>UBP</x:t>
  </x:si>
  <x:si>
    <x:t>- - - - - Biological diversity</x:t>
  </x:si>
  <x:si>
    <x:t>http://id.who.int/icd/entity/497641698</x:t>
  </x:si>
  <x:si>
    <x:t>http://id.who.int/icd/release/11/beta/ichi/497641698</x:t>
  </x:si>
  <x:si>
    <x:t>UBQ</x:t>
  </x:si>
  <x:si>
    <x:t>- - - - - Animals as vectors of disease</x:t>
  </x:si>
  <x:si>
    <x:t>http://id.who.int/icd/entity/2104553282</x:t>
  </x:si>
  <x:si>
    <x:t>http://id.who.int/icd/release/11/beta/ichi/2104553282</x:t>
  </x:si>
  <x:si>
    <x:t>UBR</x:t>
  </x:si>
  <x:si>
    <x:t>- - - - - Radiation</x:t>
  </x:si>
  <x:si>
    <x:t>http://id.who.int/icd/entity/1215769400</x:t>
  </x:si>
  <x:si>
    <x:t>http://id.who.int/icd/release/11/beta/ichi/1215769400</x:t>
  </x:si>
  <x:si>
    <x:t>UBS</x:t>
  </x:si>
  <x:si>
    <x:t>- - - - - Climate change</x:t>
  </x:si>
  <x:si>
    <x:t>http://id.who.int/icd/entity/1154984611</x:t>
  </x:si>
  <x:si>
    <x:t>http://id.who.int/icd/release/11/beta/ichi/1154984611</x:t>
  </x:si>
  <x:si>
    <x:t>UBT</x:t>
  </x:si>
  <x:si>
    <x:t>- - - - - Land pollution</x:t>
  </x:si>
  <x:si>
    <x:t>http://id.who.int/icd/entity/1909485271</x:t>
  </x:si>
  <x:si>
    <x:t>http://id.who.int/icd/release/11/beta/ichi/1909485271</x:t>
  </x:si>
  <x:si>
    <x:t>UBU</x:t>
  </x:si>
  <x:si>
    <x:t>- - - - - Water pollution</x:t>
  </x:si>
  <x:si>
    <x:t>http://id.who.int/icd/entity/2003631541</x:t>
  </x:si>
  <x:si>
    <x:t>http://id.who.int/icd/release/11/beta/ichi/2003631541</x:t>
  </x:si>
  <x:si>
    <x:t>- - - Support and relationship targets</x:t>
  </x:si>
  <x:si>
    <x:t>http://id.who.int/icd/entity/1010588558</x:t>
  </x:si>
  <x:si>
    <x:t>http://id.who.int/icd/release/11/beta/ichi/1010588558</x:t>
  </x:si>
  <x:si>
    <x:t>- - - - Support and relationships</x:t>
  </x:si>
  <x:si>
    <x:t>http://id.who.int/icd/entity/1469419401</x:t>
  </x:si>
  <x:si>
    <x:t>http://id.who.int/icd/release/11/beta/ichi/1469419401</x:t>
  </x:si>
  <x:si>
    <x:t>UC1</x:t>
  </x:si>
  <x:si>
    <x:t>- - - - - Support and relationships, unspecified</x:t>
  </x:si>
  <x:si>
    <x:t>http://id.who.int/icd/entity/1979759845</x:t>
  </x:si>
  <x:si>
    <x:t>http://id.who.int/icd/release/11/beta/ichi/1979759845</x:t>
  </x:si>
  <x:si>
    <x:t>UCB</x:t>
  </x:si>
  <x:si>
    <x:t>- - - - - Support from immediate family</x:t>
  </x:si>
  <x:si>
    <x:t>http://id.who.int/icd/entity/226888132</x:t>
  </x:si>
  <x:si>
    <x:t>http://id.who.int/icd/release/11/beta/ichi/226888132</x:t>
  </x:si>
  <x:si>
    <x:t>UCC</x:t>
  </x:si>
  <x:si>
    <x:t>- - - - - Support from extended family</x:t>
  </x:si>
  <x:si>
    <x:t>http://id.who.int/icd/entity/1724523859</x:t>
  </x:si>
  <x:si>
    <x:t>http://id.who.int/icd/release/11/beta/ichi/1724523859</x:t>
  </x:si>
  <x:si>
    <x:t>UCD</x:t>
  </x:si>
  <x:si>
    <x:t>- - - - - Support from friends</x:t>
  </x:si>
  <x:si>
    <x:t>http://id.who.int/icd/entity/1406001447</x:t>
  </x:si>
  <x:si>
    <x:t>http://id.who.int/icd/release/11/beta/ichi/1406001447</x:t>
  </x:si>
  <x:si>
    <x:t>UCE</x:t>
  </x:si>
  <x:si>
    <x:t>- - - - - Support from acquaintances, peers, colleagues, neighbours and community members</x:t>
  </x:si>
  <x:si>
    <x:t>http://id.who.int/icd/entity/1769188801</x:t>
  </x:si>
  <x:si>
    <x:t>http://id.who.int/icd/release/11/beta/ichi/1769188801</x:t>
  </x:si>
  <x:si>
    <x:t>UCF</x:t>
  </x:si>
  <x:si>
    <x:t>- - - - - Support from people in positions of authority</x:t>
  </x:si>
  <x:si>
    <x:t>http://id.who.int/icd/entity/1551133109</x:t>
  </x:si>
  <x:si>
    <x:t>http://id.who.int/icd/release/11/beta/ichi/1551133109</x:t>
  </x:si>
  <x:si>
    <x:t>UCG</x:t>
  </x:si>
  <x:si>
    <x:t>- - - - - Support from people in subordinate positions</x:t>
  </x:si>
  <x:si>
    <x:t>http://id.who.int/icd/entity/670227606</x:t>
  </x:si>
  <x:si>
    <x:t>http://id.who.int/icd/release/11/beta/ichi/670227606</x:t>
  </x:si>
  <x:si>
    <x:t>UCH</x:t>
  </x:si>
  <x:si>
    <x:t>- - - - - Support from personal care providers and personal assistants</x:t>
  </x:si>
  <x:si>
    <x:t>http://id.who.int/icd/entity/602471132</x:t>
  </x:si>
  <x:si>
    <x:t>http://id.who.int/icd/release/11/beta/ichi/602471132</x:t>
  </x:si>
  <x:si>
    <x:t>UCI</x:t>
  </x:si>
  <x:si>
    <x:t>- - - - - Support from strangers</x:t>
  </x:si>
  <x:si>
    <x:t>http://id.who.int/icd/entity/384777902</x:t>
  </x:si>
  <x:si>
    <x:t>http://id.who.int/icd/release/11/beta/ichi/384777902</x:t>
  </x:si>
  <x:si>
    <x:t>UCJ</x:t>
  </x:si>
  <x:si>
    <x:t>- - - - - Support from domesticated animals</x:t>
  </x:si>
  <x:si>
    <x:t>http://id.who.int/icd/entity/743535178</x:t>
  </x:si>
  <x:si>
    <x:t>http://id.who.int/icd/release/11/beta/ichi/743535178</x:t>
  </x:si>
  <x:si>
    <x:t>UCK</x:t>
  </x:si>
  <x:si>
    <x:t>- - - - - Support from health professionals</x:t>
  </x:si>
  <x:si>
    <x:t>http://id.who.int/icd/entity/425113148</x:t>
  </x:si>
  <x:si>
    <x:t>http://id.who.int/icd/release/11/beta/ichi/425113148</x:t>
  </x:si>
  <x:si>
    <x:t>UCL</x:t>
  </x:si>
  <x:si>
    <x:t>- - - - - Support from other professionals</x:t>
  </x:si>
  <x:si>
    <x:t>http://id.who.int/icd/entity/1110012193</x:t>
  </x:si>
  <x:si>
    <x:t>http://id.who.int/icd/release/11/beta/ichi/1110012193</x:t>
  </x:si>
  <x:si>
    <x:t>- - - Attitudes targets</x:t>
  </x:si>
  <x:si>
    <x:t>http://id.who.int/icd/entity/755285196</x:t>
  </x:si>
  <x:si>
    <x:t>http://id.who.int/icd/release/11/beta/ichi/755285196</x:t>
  </x:si>
  <x:si>
    <x:t>- - - - Attitudes</x:t>
  </x:si>
  <x:si>
    <x:t>http://id.who.int/icd/entity/1657799453</x:t>
  </x:si>
  <x:si>
    <x:t>http://id.who.int/icd/release/11/beta/ichi/1657799453</x:t>
  </x:si>
  <x:si>
    <x:t>UD1</x:t>
  </x:si>
  <x:si>
    <x:t>- - - - - Attitudes, unspecified</x:t>
  </x:si>
  <x:si>
    <x:t>http://id.who.int/icd/entity/1731746721</x:t>
  </x:si>
  <x:si>
    <x:t>http://id.who.int/icd/release/11/beta/ichi/1731746721</x:t>
  </x:si>
  <x:si>
    <x:t>UDB</x:t>
  </x:si>
  <x:si>
    <x:t>- - - - - Individual attitudes of immediate family members</x:t>
  </x:si>
  <x:si>
    <x:t>http://id.who.int/icd/entity/482274946</x:t>
  </x:si>
  <x:si>
    <x:t>http://id.who.int/icd/release/11/beta/ichi/482274946</x:t>
  </x:si>
  <x:si>
    <x:t>UDC</x:t>
  </x:si>
  <x:si>
    <x:t>- - - - - Individual attitudes of extended family members</x:t>
  </x:si>
  <x:si>
    <x:t>http://id.who.int/icd/entity/2012398103</x:t>
  </x:si>
  <x:si>
    <x:t>http://id.who.int/icd/release/11/beta/ichi/2012398103</x:t>
  </x:si>
  <x:si>
    <x:t>UDD</x:t>
  </x:si>
  <x:si>
    <x:t>- - - - - Individual attitudes of friends</x:t>
  </x:si>
  <x:si>
    <x:t>http://id.who.int/icd/entity/1123354211</x:t>
  </x:si>
  <x:si>
    <x:t>http://id.who.int/icd/release/11/beta/ichi/1123354211</x:t>
  </x:si>
  <x:si>
    <x:t>UDE</x:t>
  </x:si>
  <x:si>
    <x:t>- - - - - Individual attitudes of acquaintances, peers, colleagues, neighbours and community members</x:t>
  </x:si>
  <x:si>
    <x:t>http://id.who.int/icd/entity/2018200197</x:t>
  </x:si>
  <x:si>
    <x:t>http://id.who.int/icd/release/11/beta/ichi/2018200197</x:t>
  </x:si>
  <x:si>
    <x:t>UDF</x:t>
  </x:si>
  <x:si>
    <x:t>- - - - - Individual attitudes of people in positions of authority</x:t>
  </x:si>
  <x:si>
    <x:t>http://id.who.int/icd/entity/1296862961</x:t>
  </x:si>
  <x:si>
    <x:t>http://id.who.int/icd/release/11/beta/ichi/1296862961</x:t>
  </x:si>
  <x:si>
    <x:t>UDG</x:t>
  </x:si>
  <x:si>
    <x:t>- - - - - Individual attitudes of people in subordinate positions</x:t>
  </x:si>
  <x:si>
    <x:t>http://id.who.int/icd/entity/919223248</x:t>
  </x:si>
  <x:si>
    <x:t>http://id.who.int/icd/release/11/beta/ichi/919223248</x:t>
  </x:si>
  <x:si>
    <x:t>UDH</x:t>
  </x:si>
  <x:si>
    <x:t>- - - - - Individual attitudes of personal care providers and personal assistants</x:t>
  </x:si>
  <x:si>
    <x:t>http://id.who.int/icd/entity/769737820</x:t>
  </x:si>
  <x:si>
    <x:t>http://id.who.int/icd/release/11/beta/ichi/769737820</x:t>
  </x:si>
  <x:si>
    <x:t>UDI</x:t>
  </x:si>
  <x:si>
    <x:t>- - - - - Individual attitudes of strangers</x:t>
  </x:si>
  <x:si>
    <x:t>http://id.who.int/icd/entity/417759278</x:t>
  </x:si>
  <x:si>
    <x:t>http://id.who.int/icd/release/11/beta/ichi/417759278</x:t>
  </x:si>
  <x:si>
    <x:t>UDJ</x:t>
  </x:si>
  <x:si>
    <x:t>- - - - - Individual attitudes of health professionals</x:t>
  </x:si>
  <x:si>
    <x:t>http://id.who.int/icd/entity/576244938</x:t>
  </x:si>
  <x:si>
    <x:t>http://id.who.int/icd/release/11/beta/ichi/576244938</x:t>
  </x:si>
  <x:si>
    <x:t>UDK</x:t>
  </x:si>
  <x:si>
    <x:t>- - - - - Individual attitudes of other professionals</x:t>
  </x:si>
  <x:si>
    <x:t>http://id.who.int/icd/entity/392104124</x:t>
  </x:si>
  <x:si>
    <x:t>http://id.who.int/icd/release/11/beta/ichi/392104124</x:t>
  </x:si>
  <x:si>
    <x:t>UDL</x:t>
  </x:si>
  <x:si>
    <x:t>- - - - - Societal attitudes</x:t>
  </x:si>
  <x:si>
    <x:t>http://id.who.int/icd/entity/1826209181</x:t>
  </x:si>
  <x:si>
    <x:t>http://id.who.int/icd/release/11/beta/ichi/1826209181</x:t>
  </x:si>
  <x:si>
    <x:t>UDM</x:t>
  </x:si>
  <x:si>
    <x:t>- - - - - Social norms, practices and ideologies</x:t>
  </x:si>
  <x:si>
    <x:t>http://id.who.int/icd/entity/661447480</x:t>
  </x:si>
  <x:si>
    <x:t>http://id.who.int/icd/release/11/beta/ichi/661447480</x:t>
  </x:si>
  <x:si>
    <x:t>- - - Services, systems and policies targets</x:t>
  </x:si>
  <x:si>
    <x:t>http://id.who.int/icd/entity/210866088</x:t>
  </x:si>
  <x:si>
    <x:t>http://id.who.int/icd/release/11/beta/ichi/210866088</x:t>
  </x:si>
  <x:si>
    <x:t>- - - - Services, systems, policies</x:t>
  </x:si>
  <x:si>
    <x:t>http://id.who.int/icd/entity/127242506</x:t>
  </x:si>
  <x:si>
    <x:t>http://id.who.int/icd/release/11/beta/ichi/127242506</x:t>
  </x:si>
  <x:si>
    <x:t>UE1</x:t>
  </x:si>
  <x:si>
    <x:t>- - - - - Services, systems and policies, unspecified</x:t>
  </x:si>
  <x:si>
    <x:t>http://id.who.int/icd/entity/1185769677</x:t>
  </x:si>
  <x:si>
    <x:t>http://id.who.int/icd/release/11/beta/ichi/1185769677</x:t>
  </x:si>
  <x:si>
    <x:t>UEB</x:t>
  </x:si>
  <x:si>
    <x:t>- - - - - Services, systems and policies for the production of consumer goods</x:t>
  </x:si>
  <x:si>
    <x:t>http://id.who.int/icd/entity/1119309443</x:t>
  </x:si>
  <x:si>
    <x:t>http://id.who.int/icd/release/11/beta/ichi/1119309443</x:t>
  </x:si>
  <x:si>
    <x:t>UEC</x:t>
  </x:si>
  <x:si>
    <x:t>- - - - - Architecture and construction services, systems and policies</x:t>
  </x:si>
  <x:si>
    <x:t>http://id.who.int/icd/entity/2008058615</x:t>
  </x:si>
  <x:si>
    <x:t>http://id.who.int/icd/release/11/beta/ichi/2008058615</x:t>
  </x:si>
  <x:si>
    <x:t>UED</x:t>
  </x:si>
  <x:si>
    <x:t>- - - - - Open space planning services, systems and policies</x:t>
  </x:si>
  <x:si>
    <x:t>http://id.who.int/icd/entity/1292813841</x:t>
  </x:si>
  <x:si>
    <x:t>http://id.who.int/icd/release/11/beta/ichi/1292813841</x:t>
  </x:si>
  <x:si>
    <x:t>UEE</x:t>
  </x:si>
  <x:si>
    <x:t>- - - - - Housing services, systems and policies</x:t>
  </x:si>
  <x:si>
    <x:t>http://id.who.int/icd/entity/59750212</x:t>
  </x:si>
  <x:si>
    <x:t>http://id.who.int/icd/release/11/beta/ichi/59750212</x:t>
  </x:si>
  <x:si>
    <x:t>UEG</x:t>
  </x:si>
  <x:si>
    <x:t>- - - - - Communication services, systems and policies</x:t>
  </x:si>
  <x:si>
    <x:t>http://id.who.int/icd/entity/672780764</x:t>
  </x:si>
  <x:si>
    <x:t>http://id.who.int/icd/release/11/beta/ichi/672780764</x:t>
  </x:si>
  <x:si>
    <x:t>UEH</x:t>
  </x:si>
  <x:si>
    <x:t>- - - - - Transportation services, systems and policies</x:t>
  </x:si>
  <x:si>
    <x:t>http://id.who.int/icd/entity/488510894</x:t>
  </x:si>
  <x:si>
    <x:t>http://id.who.int/icd/release/11/beta/ichi/488510894</x:t>
  </x:si>
  <x:si>
    <x:t>UEI</x:t>
  </x:si>
  <x:si>
    <x:t>- - - - - Civil protection services, systems and policies, not elsewhere classified</x:t>
  </x:si>
  <x:si>
    <x:t>http://id.who.int/icd/entity/664820042</x:t>
  </x:si>
  <x:si>
    <x:t>http://id.who.int/icd/release/11/beta/ichi/664820042</x:t>
  </x:si>
  <x:si>
    <x:t>UEJ</x:t>
  </x:si>
  <x:si>
    <x:t>- - - - - Legal services, systems and policies</x:t>
  </x:si>
  <x:si>
    <x:t>http://id.who.int/icd/entity/312974652</x:t>
  </x:si>
  <x:si>
    <x:t>http://id.who.int/icd/release/11/beta/ichi/312974652</x:t>
  </x:si>
  <x:si>
    <x:t>UEK</x:t>
  </x:si>
  <x:si>
    <x:t>- - - - - Associations and organisational services, systems and policies</x:t>
  </x:si>
  <x:si>
    <x:t>http://id.who.int/icd/entity/1763780637</x:t>
  </x:si>
  <x:si>
    <x:t>http://id.who.int/icd/release/11/beta/ichi/1763780637</x:t>
  </x:si>
  <x:si>
    <x:t>UEL</x:t>
  </x:si>
  <x:si>
    <x:t>- - - - - Media services, systems and policies</x:t>
  </x:si>
  <x:si>
    <x:t>http://id.who.int/icd/entity/40699018</x:t>
  </x:si>
  <x:si>
    <x:t>http://id.who.int/icd/release/11/beta/ichi/40699018</x:t>
  </x:si>
  <x:si>
    <x:t>UEM</x:t>
  </x:si>
  <x:si>
    <x:t>- - - - - Economic services, systems and policies</x:t>
  </x:si>
  <x:si>
    <x:t>http://id.who.int/icd/entity/929743104</x:t>
  </x:si>
  <x:si>
    <x:t>http://id.who.int/icd/release/11/beta/ichi/929743104</x:t>
  </x:si>
  <x:si>
    <x:t>UEN</x:t>
  </x:si>
  <x:si>
    <x:t>- - - - - Social security services, systems and policies</x:t>
  </x:si>
  <x:si>
    <x:t>http://id.who.int/icd/entity/232033304</x:t>
  </x:si>
  <x:si>
    <x:t>http://id.who.int/icd/release/11/beta/ichi/232033304</x:t>
  </x:si>
  <x:si>
    <x:t>UEO</x:t>
  </x:si>
  <x:si>
    <x:t>- - - - - General social support services, systems and policies</x:t>
  </x:si>
  <x:si>
    <x:t>http://id.who.int/icd/entity/953370734</x:t>
  </x:si>
  <x:si>
    <x:t>http://id.who.int/icd/release/11/beta/ichi/953370734</x:t>
  </x:si>
  <x:si>
    <x:t>UEP</x:t>
  </x:si>
  <x:si>
    <x:t>- - - - - Health services, systems and policies</x:t>
  </x:si>
  <x:si>
    <x:t>http://id.who.int/icd/entity/1129708877</x:t>
  </x:si>
  <x:si>
    <x:t>http://id.who.int/icd/release/11/beta/ichi/1129708877</x:t>
  </x:si>
  <x:si>
    <x:t>UEQ</x:t>
  </x:si>
  <x:si>
    <x:t>- - - - - Education and training services, systems and policies</x:t>
  </x:si>
  <x:si>
    <x:t>http://id.who.int/icd/entity/1484686023</x:t>
  </x:si>
  <x:si>
    <x:t>http://id.who.int/icd/release/11/beta/ichi/1484686023</x:t>
  </x:si>
  <x:si>
    <x:t>UER</x:t>
  </x:si>
  <x:si>
    <x:t>- - - - - Labour and employment services, systems and policies</x:t>
  </x:si>
  <x:si>
    <x:t>http://id.who.int/icd/entity/1836664499</x:t>
  </x:si>
  <x:si>
    <x:t>http://id.who.int/icd/release/11/beta/ichi/1836664499</x:t>
  </x:si>
  <x:si>
    <x:t>UES</x:t>
  </x:si>
  <x:si>
    <x:t>- - - - - Political services, systems and policies</x:t>
  </x:si>
  <x:si>
    <x:t>http://id.who.int/icd/entity/1448774813</x:t>
  </x:si>
  <x:si>
    <x:t>http://id.who.int/icd/release/11/beta/ichi/1448774813</x:t>
  </x:si>
  <x:si>
    <x:t>UET</x:t>
  </x:si>
  <x:si>
    <x:t>- - - - - Water collection, treatment and supply services, systems and policies</x:t>
  </x:si>
  <x:si>
    <x:t>http://id.who.int/icd/entity/346913144</x:t>
  </x:si>
  <x:si>
    <x:t>http://id.who.int/icd/release/11/beta/ichi/346913144</x:t>
  </x:si>
  <x:si>
    <x:t>UEU</x:t>
  </x:si>
  <x:si>
    <x:t>- - - - - Sewerage services, systems and policies</x:t>
  </x:si>
  <x:si>
    <x:t>http://id.who.int/icd/entity/1024892938</x:t>
  </x:si>
  <x:si>
    <x:t>http://id.who.int/icd/release/11/beta/ichi/1024892938</x:t>
  </x:si>
  <x:si>
    <x:t>UEV</x:t>
  </x:si>
  <x:si>
    <x:t>- - - - - Waste collection and disposal services, systems and policies</x:t>
  </x:si>
  <x:si>
    <x:t>http://id.who.int/icd/entity/135357568</x:t>
  </x:si>
  <x:si>
    <x:t>http://id.who.int/icd/release/11/beta/ichi/135357568</x:t>
  </x:si>
  <x:si>
    <x:t>UEW</x:t>
  </x:si>
  <x:si>
    <x:t>- - - - - Waste recycling and reuse services, systems and policies</x:t>
  </x:si>
  <x:si>
    <x:t>http://id.who.int/icd/entity/162635600</x:t>
  </x:si>
  <x:si>
    <x:t>http://id.who.int/icd/release/11/beta/ichi/162635600</x:t>
  </x:si>
  <x:si>
    <x:t>- - - Additional environmental industries and products targets</x:t>
  </x:si>
  <x:si>
    <x:t>20</x:t>
  </x:si>
  <x:si>
    <x:t>http://id.who.int/icd/entity/2115395442</x:t>
  </x:si>
  <x:si>
    <x:t>http://id.who.int/icd/release/11/beta/ichi/2115395442</x:t>
  </x:si>
  <x:si>
    <x:t>UG1</x:t>
  </x:si>
  <x:si>
    <x:t>- - - - Additional environmental industries and products, unspecified</x:t>
  </x:si>
  <x:si>
    <x:t>http://id.who.int/icd/entity/664609966</x:t>
  </x:si>
  <x:si>
    <x:t>http://id.who.int/icd/release/11/beta/ichi/664609966</x:t>
  </x:si>
  <x:si>
    <x:t>UGA</x:t>
  </x:si>
  <x:si>
    <x:t>- - - - Extraction of crude petroleum and natural gas</x:t>
  </x:si>
  <x:si>
    <x:t>http://id.who.int/icd/entity/488859722</x:t>
  </x:si>
  <x:si>
    <x:t>http://id.who.int/icd/release/11/beta/ichi/488859722</x:t>
  </x:si>
  <x:si>
    <x:t>UGB</x:t>
  </x:si>
  <x:si>
    <x:t>- - - - Mining of coal and lignite</x:t>
  </x:si>
  <x:si>
    <x:t>http://id.who.int/icd/entity/673492028</x:t>
  </x:si>
  <x:si>
    <x:t>http://id.who.int/icd/release/11/beta/ichi/673492028</x:t>
  </x:si>
  <x:si>
    <x:t>UGC</x:t>
  </x:si>
  <x:si>
    <x:t>- - - - Manufacture of coke and refined petroleum products</x:t>
  </x:si>
  <x:si>
    <x:t>http://id.who.int/icd/entity/1403132189</x:t>
  </x:si>
  <x:si>
    <x:t>http://id.who.int/icd/release/11/beta/ichi/1403132189</x:t>
  </x:si>
  <x:si>
    <x:t>UGD</x:t>
  </x:si>
  <x:si>
    <x:t>- - - - Coal and coke</x:t>
  </x:si>
  <x:si>
    <x:t>http://id.who.int/icd/entity/955135370</x:t>
  </x:si>
  <x:si>
    <x:t>http://id.who.int/icd/release/11/beta/ichi/955135370</x:t>
  </x:si>
  <x:si>
    <x:t>UGE</x:t>
  </x:si>
  <x:si>
    <x:t>- - - - Refined petroleum products</x:t>
  </x:si>
  <x:si>
    <x:t>http://id.who.int/icd/entity/233435648</x:t>
  </x:si>
  <x:si>
    <x:t>http://id.who.int/icd/release/11/beta/ichi/233435648</x:t>
  </x:si>
  <x:si>
    <x:t>UGF</x:t>
  </x:si>
  <x:si>
    <x:t>- - - - Electricity generation and supply</x:t>
  </x:si>
  <x:si>
    <x:t>http://id.who.int/icd/entity/99570532</x:t>
  </x:si>
  <x:si>
    <x:t>http://id.who.int/icd/release/11/beta/ichi/99570532</x:t>
  </x:si>
  <x:si>
    <x:t>UGG</x:t>
  </x:si>
  <x:si>
    <x:t>- - - - Gas production and supply</x:t>
  </x:si>
  <x:si>
    <x:t>http://id.who.int/icd/entity/928496920</x:t>
  </x:si>
  <x:si>
    <x:t>http://id.who.int/icd/release/11/beta/ichi/928496920</x:t>
  </x:si>
  <x:si>
    <x:t>UGH</x:t>
  </x:si>
  <x:si>
    <x:t>- - - - Nuclear fuel</x:t>
  </x:si>
  <x:si>
    <x:t>http://id.who.int/icd/entity/38828398</x:t>
  </x:si>
  <x:si>
    <x:t>http://id.who.int/icd/release/11/beta/ichi/38828398</x:t>
  </x:si>
  <x:si>
    <x:t>UGJ</x:t>
  </x:si>
  <x:si>
    <x:t>- - - - Renewable energy sources</x:t>
  </x:si>
  <x:si>
    <x:t>http://id.who.int/icd/entity/2044120141</x:t>
  </x:si>
  <x:si>
    <x:t>http://id.who.int/icd/release/11/beta/ichi/2044120141</x:t>
  </x:si>
  <x:si>
    <x:t>UGK</x:t>
  </x:si>
  <x:si>
    <x:t>- - - - Manufacture of chemicals and chemical products</x:t>
  </x:si>
  <x:si>
    <x:t>http://id.who.int/icd/entity/1002818386</x:t>
  </x:si>
  <x:si>
    <x:t>http://id.who.int/icd/release/11/beta/ichi/1002818386</x:t>
  </x:si>
  <x:si>
    <x:t>UGL</x:t>
  </x:si>
  <x:si>
    <x:t>- - - - Chemicals and chemical products</x:t>
  </x:si>
  <x:si>
    <x:t>http://id.who.int/icd/entity/2110581251</x:t>
  </x:si>
  <x:si>
    <x:t>http://id.who.int/icd/release/11/beta/ichi/2110581251</x:t>
  </x:si>
  <x:si>
    <x:t>UGM</x:t>
  </x:si>
  <x:si>
    <x:t>- - - - Rubber and plastics products</x:t>
  </x:si>
  <x:si>
    <x:t>http://id.who.int/icd/entity/247598888</x:t>
  </x:si>
  <x:si>
    <x:t>http://id.who.int/icd/release/11/beta/ichi/247598888</x:t>
  </x:si>
  <x:si>
    <x:t>UGN</x:t>
  </x:si>
  <x:si>
    <x:t>- - - - Construction of buildings</x:t>
  </x:si>
  <x:si>
    <x:t>http://id.who.int/icd/entity/1902025801</x:t>
  </x:si>
  <x:si>
    <x:t>http://id.who.int/icd/release/11/beta/ichi/1902025801</x:t>
  </x:si>
  <x:si>
    <x:t>UGP</x:t>
  </x:si>
  <x:si>
    <x:t>- - - - Residential buildings</x:t>
  </x:si>
  <x:si>
    <x:t>http://id.who.int/icd/entity/1146705981</x:t>
  </x:si>
  <x:si>
    <x:t>http://id.who.int/icd/release/11/beta/ichi/1146705981</x:t>
  </x:si>
  <x:si>
    <x:t>UGQ</x:t>
  </x:si>
  <x:si>
    <x:t>- - - - Non-residential buildings</x:t>
  </x:si>
  <x:si>
    <x:t>http://id.who.int/icd/entity/1221275255</x:t>
  </x:si>
  <x:si>
    <x:t>http://id.who.int/icd/release/11/beta/ichi/1221275255</x:t>
  </x:si>
  <x:si>
    <x:t>UGR</x:t>
  </x:si>
  <x:si>
    <x:t>- - - - Agriculture</x:t>
  </x:si>
  <x:si>
    <x:t>http://id.who.int/icd/entity/1920295569</x:t>
  </x:si>
  <x:si>
    <x:t>http://id.who.int/icd/release/11/beta/ichi/1920295569</x:t>
  </x:si>
  <x:si>
    <x:t>UGS</x:t>
  </x:si>
  <x:si>
    <x:t>- - - - Wastes or scraps</x:t>
  </x:si>
  <x:si>
    <x:t>http://id.who.int/icd/entity/1198696165</x:t>
  </x:si>
  <x:si>
    <x:t>http://id.who.int/icd/release/11/beta/ichi/1198696165</x:t>
  </x:si>
  <x:si>
    <x:t>UGT</x:t>
  </x:si>
  <x:si>
    <x:t>- - - - Electronic products</x:t>
  </x:si>
  <x:si>
    <x:t>http://id.who.int/icd/entity/1022628804</x:t>
  </x:si>
  <x:si>
    <x:t>http://id.who.int/icd/release/11/beta/ichi/1022628804</x:t>
  </x:si>
  <x:si>
    <x:t>UGU</x:t>
  </x:si>
  <x:si>
    <x:t>- - - - Motor vehicles</x:t>
  </x:si>
  <x:si>
    <x:t>http://id.who.int/icd/release/11/beta/ichi/1610430880/other</x:t>
  </x:si>
  <x:si>
    <x:t>UZY</x:t>
  </x:si>
  <x:si>
    <x:t>- - - Other specified target for the environment</x:t>
  </x:si>
  <x:si>
    <x:t>http://id.who.int/icd/release/11/beta/ichi/1610430880/unspecified</x:t>
  </x:si>
  <x:si>
    <x:t>UZZ</x:t>
  </x:si>
  <x:si>
    <x:t>- - - Target for the environment, unspecified</x:t>
  </x:si>
  <x:si>
    <x:t>http://id.who.int/icd/entity/2000582761</x:t>
  </x:si>
  <x:si>
    <x:t>http://id.who.int/icd/release/11/beta/ichi/2000582761</x:t>
  </x:si>
  <x:si>
    <x:t>- - Targets for health-related behaviours</x:t>
  </x:si>
  <x:si>
    <x:t>http://id.who.int/icd/entity/658874842</x:t>
  </x:si>
  <x:si>
    <x:t>http://id.who.int/icd/release/11/beta/ichi/658874842</x:t>
  </x:si>
  <x:si>
    <x:t>- - - Health-related behaviour targets</x:t>
  </x:si>
  <x:si>
    <x:t>http://id.who.int/icd/entity/1391666603</x:t>
  </x:si>
  <x:si>
    <x:t>http://id.who.int/icd/release/11/beta/ichi/1391666603</x:t>
  </x:si>
  <x:si>
    <x:t>- - - - Substance-related and addictive behaviours</x:t>
  </x:si>
  <x:si>
    <x:t>http://id.who.int/icd/entity/1472662101</x:t>
  </x:si>
  <x:si>
    <x:t>http://id.who.int/icd/release/11/beta/ichi/1472662101</x:t>
  </x:si>
  <x:si>
    <x:t>VA1</x:t>
  </x:si>
  <x:si>
    <x:t>- - - - - Substance-related and addictive behaviours, unspecified</x:t>
  </x:si>
  <x:si>
    <x:t>http://id.who.int/icd/entity/943108350</x:t>
  </x:si>
  <x:si>
    <x:t>http://id.who.int/icd/release/11/beta/ichi/943108350</x:t>
  </x:si>
  <x:si>
    <x:t>VAA</x:t>
  </x:si>
  <x:si>
    <x:t>- - - - - Alcohol use behaviours</x:t>
  </x:si>
  <x:si>
    <x:t>http://id.who.int/icd/entity/858959440</x:t>
  </x:si>
  <x:si>
    <x:t>http://id.who.int/icd/release/11/beta/ichi/858959440</x:t>
  </x:si>
  <x:si>
    <x:t>VAB</x:t>
  </x:si>
  <x:si>
    <x:t>- - - - - Tobacco use behaviours</x:t>
  </x:si>
  <x:si>
    <x:t>http://id.who.int/icd/entity/1202332563</x:t>
  </x:si>
  <x:si>
    <x:t>http://id.who.int/icd/release/11/beta/ichi/1202332563</x:t>
  </x:si>
  <x:si>
    <x:t>VAC</x:t>
  </x:si>
  <x:si>
    <x:t>- - - - - Illicit drug use behaviours</x:t>
  </x:si>
  <x:si>
    <x:t>http://id.who.int/icd/entity/409498290</x:t>
  </x:si>
  <x:si>
    <x:t>http://id.who.int/icd/release/11/beta/ichi/409498290</x:t>
  </x:si>
  <x:si>
    <x:t>VAD</x:t>
  </x:si>
  <x:si>
    <x:t>- - - - - Pharmaceutical use behaviours</x:t>
  </x:si>
  <x:si>
    <x:t>http://id.who.int/icd/entity/1980789209</x:t>
  </x:si>
  <x:si>
    <x:t>http://id.who.int/icd/release/11/beta/ichi/1980789209</x:t>
  </x:si>
  <x:si>
    <x:t>VAE</x:t>
  </x:si>
  <x:si>
    <x:t>- - - - - Gambling behaviours</x:t>
  </x:si>
  <x:si>
    <x:t>http://id.who.int/icd/entity/238000237</x:t>
  </x:si>
  <x:si>
    <x:t>http://id.who.int/icd/release/11/beta/ichi/238000237</x:t>
  </x:si>
  <x:si>
    <x:t>VAF</x:t>
  </x:si>
  <x:si>
    <x:t>- - - - - Digital technology use behaviours</x:t>
  </x:si>
  <x:si>
    <x:t>http://id.who.int/icd/entity/1693060412</x:t>
  </x:si>
  <x:si>
    <x:t>http://id.who.int/icd/release/11/beta/ichi/1693060412</x:t>
  </x:si>
  <x:si>
    <x:t>- - - - Violence-related behaviours</x:t>
  </x:si>
  <x:si>
    <x:t>http://id.who.int/icd/entity/342402743</x:t>
  </x:si>
  <x:si>
    <x:t>http://id.who.int/icd/release/11/beta/ichi/342402743</x:t>
  </x:si>
  <x:si>
    <x:t>VB1</x:t>
  </x:si>
  <x:si>
    <x:t>- - - - - Violence-related behaviours, unspecified</x:t>
  </x:si>
  <x:si>
    <x:t>http://id.who.int/icd/entity/609963325</x:t>
  </x:si>
  <x:si>
    <x:t>http://id.who.int/icd/release/11/beta/ichi/609963325</x:t>
  </x:si>
  <x:si>
    <x:t>VBA</x:t>
  </x:si>
  <x:si>
    <x:t>- - - - - Self-harm behaviours</x:t>
  </x:si>
  <x:si>
    <x:t>http://id.who.int/icd/entity/2133101088</x:t>
  </x:si>
  <x:si>
    <x:t>http://id.who.int/icd/release/11/beta/ichi/2133101088</x:t>
  </x:si>
  <x:si>
    <x:t>VBB</x:t>
  </x:si>
  <x:si>
    <x:t>- - - - - Family and partner violence behaviours</x:t>
  </x:si>
  <x:si>
    <x:t>http://id.who.int/icd/entity/1852287576</x:t>
  </x:si>
  <x:si>
    <x:t>http://id.who.int/icd/release/11/beta/ichi/1852287576</x:t>
  </x:si>
  <x:si>
    <x:t>VBC</x:t>
  </x:si>
  <x:si>
    <x:t>- - - - - Community violence behaviours</x:t>
  </x:si>
  <x:si>
    <x:t>http://id.who.int/icd/entity/775099073</x:t>
  </x:si>
  <x:si>
    <x:t>http://id.who.int/icd/release/11/beta/ichi/775099073</x:t>
  </x:si>
  <x:si>
    <x:t>- - - - Safety-related behaviours</x:t>
  </x:si>
  <x:si>
    <x:t>http://id.who.int/icd/entity/1807121722</x:t>
  </x:si>
  <x:si>
    <x:t>http://id.who.int/icd/release/11/beta/ichi/1807121722</x:t>
  </x:si>
  <x:si>
    <x:t>VC1</x:t>
  </x:si>
  <x:si>
    <x:t>- - - - - Safety-related behaviours, unspecified</x:t>
  </x:si>
  <x:si>
    <x:t>http://id.who.int/icd/entity/1157007254</x:t>
  </x:si>
  <x:si>
    <x:t>http://id.who.int/icd/release/11/beta/ichi/1157007254</x:t>
  </x:si>
  <x:si>
    <x:t>VCA</x:t>
  </x:si>
  <x:si>
    <x:t>- - - - - Road safety behaviours</x:t>
  </x:si>
  <x:si>
    <x:t>http://id.who.int/icd/entity/1359491550</x:t>
  </x:si>
  <x:si>
    <x:t>http://id.who.int/icd/release/11/beta/ichi/1359491550</x:t>
  </x:si>
  <x:si>
    <x:t>VCB</x:t>
  </x:si>
  <x:si>
    <x:t>- - - - - Workplace safety behaviours</x:t>
  </x:si>
  <x:si>
    <x:t>http://id.who.int/icd/entity/71813009</x:t>
  </x:si>
  <x:si>
    <x:t>http://id.who.int/icd/release/11/beta/ichi/71813009</x:t>
  </x:si>
  <x:si>
    <x:t>VCC</x:t>
  </x:si>
  <x:si>
    <x:t>- - - - - Home safety behaviours</x:t>
  </x:si>
  <x:si>
    <x:t>http://id.who.int/icd/entity/490265977</x:t>
  </x:si>
  <x:si>
    <x:t>http://id.who.int/icd/release/11/beta/ichi/490265977</x:t>
  </x:si>
  <x:si>
    <x:t>VCD</x:t>
  </x:si>
  <x:si>
    <x:t>- - - - - Water safety behaviours</x:t>
  </x:si>
  <x:si>
    <x:t>http://id.who.int/icd/entity/800762625</x:t>
  </x:si>
  <x:si>
    <x:t>http://id.who.int/icd/release/11/beta/ichi/800762625</x:t>
  </x:si>
  <x:si>
    <x:t>- - - - Health service-related behaviours</x:t>
  </x:si>
  <x:si>
    <x:t>http://id.who.int/icd/entity/297365977</x:t>
  </x:si>
  <x:si>
    <x:t>http://id.who.int/icd/release/11/beta/ichi/297365977</x:t>
  </x:si>
  <x:si>
    <x:t>VD1</x:t>
  </x:si>
  <x:si>
    <x:t>- - - - - Health service-related behaviours, unspecified</x:t>
  </x:si>
  <x:si>
    <x:t>http://id.who.int/icd/entity/1165966936</x:t>
  </x:si>
  <x:si>
    <x:t>http://id.who.int/icd/release/11/beta/ichi/1165966936</x:t>
  </x:si>
  <x:si>
    <x:t>VDA</x:t>
  </x:si>
  <x:si>
    <x:t>- - - - - Immunisation behaviours</x:t>
  </x:si>
  <x:si>
    <x:t>http://id.who.int/icd/entity/287228329</x:t>
  </x:si>
  <x:si>
    <x:t>http://id.who.int/icd/release/11/beta/ichi/287228329</x:t>
  </x:si>
  <x:si>
    <x:t>VDB</x:t>
  </x:si>
  <x:si>
    <x:t>- - - - - Screening behaviours</x:t>
  </x:si>
  <x:si>
    <x:t>http://id.who.int/icd/entity/1323077772</x:t>
  </x:si>
  <x:si>
    <x:t>http://id.who.int/icd/release/11/beta/ichi/1323077772</x:t>
  </x:si>
  <x:si>
    <x:t>- - - - Lifestyle-related behaviours</x:t>
  </x:si>
  <x:si>
    <x:t>http://id.who.int/icd/entity/1247872692</x:t>
  </x:si>
  <x:si>
    <x:t>http://id.who.int/icd/release/11/beta/ichi/1247872692</x:t>
  </x:si>
  <x:si>
    <x:t>VE1</x:t>
  </x:si>
  <x:si>
    <x:t>- - - - - Lifestyle behaviours, unspecified</x:t>
  </x:si>
  <x:si>
    <x:t>http://id.who.int/icd/entity/1320655492</x:t>
  </x:si>
  <x:si>
    <x:t>http://id.who.int/icd/release/11/beta/ichi/1320655492</x:t>
  </x:si>
  <x:si>
    <x:t>VEA</x:t>
  </x:si>
  <x:si>
    <x:t>- - - - - Eating behaviours</x:t>
  </x:si>
  <x:si>
    <x:t>http://id.who.int/icd/entity/1043673353</x:t>
  </x:si>
  <x:si>
    <x:t>http://id.who.int/icd/release/11/beta/ichi/1043673353</x:t>
  </x:si>
  <x:si>
    <x:t>VEB</x:t>
  </x:si>
  <x:si>
    <x:t>- - - - - Physical activity behaviours</x:t>
  </x:si>
  <x:si>
    <x:t>http://id.who.int/icd/entity/1643601964</x:t>
  </x:si>
  <x:si>
    <x:t>http://id.who.int/icd/release/11/beta/ichi/1643601964</x:t>
  </x:si>
  <x:si>
    <x:t>VEC</x:t>
  </x:si>
  <x:si>
    <x:t>- - - - - Sleep and rest behaviours</x:t>
  </x:si>
  <x:si>
    <x:t>http://id.who.int/icd/entity/1794342534</x:t>
  </x:si>
  <x:si>
    <x:t>http://id.who.int/icd/release/11/beta/ichi/1794342534</x:t>
  </x:si>
  <x:si>
    <x:t>VED</x:t>
  </x:si>
  <x:si>
    <x:t>- - - - - Hygiene behaviours</x:t>
  </x:si>
  <x:si>
    <x:t>http://id.who.int/icd/entity/339862617</x:t>
  </x:si>
  <x:si>
    <x:t>http://id.who.int/icd/release/11/beta/ichi/339862617</x:t>
  </x:si>
  <x:si>
    <x:t>VEE</x:t>
  </x:si>
  <x:si>
    <x:t>- - - - - Oral hygiene behaviours</x:t>
  </x:si>
  <x:si>
    <x:t>http://id.who.int/icd/entity/1803208520</x:t>
  </x:si>
  <x:si>
    <x:t>http://id.who.int/icd/release/11/beta/ichi/1803208520</x:t>
  </x:si>
  <x:si>
    <x:t>VEF</x:t>
  </x:si>
  <x:si>
    <x:t>- - - - - Sexual behaviours</x:t>
  </x:si>
  <x:si>
    <x:t>http://id.who.int/icd/entity/1618926058</x:t>
  </x:si>
  <x:si>
    <x:t>http://id.who.int/icd/release/11/beta/ichi/1618926058</x:t>
  </x:si>
  <x:si>
    <x:t>VEG</x:t>
  </x:si>
  <x:si>
    <x:t>- - - - - Ultraviolet radiation exposure behaviours</x:t>
  </x:si>
  <x:si>
    <x:t>http://id.who.int/icd/entity/724467665</x:t>
  </x:si>
  <x:si>
    <x:t>http://id.who.int/icd/release/11/beta/ichi/724467665</x:t>
  </x:si>
  <x:si>
    <x:t>VEH</x:t>
  </x:si>
  <x:si>
    <x:t>- - - - - Breastfeeding behaviours</x:t>
  </x:si>
  <x:si>
    <x:t>http://id.who.int/icd/entity/1628608700</x:t>
  </x:si>
  <x:si>
    <x:t>http://id.who.int/icd/release/11/beta/ichi/1628608700</x:t>
  </x:si>
  <x:si>
    <x:t>VEJ</x:t>
  </x:si>
  <x:si>
    <x:t>- - - - - Parenting behaviours</x:t>
  </x:si>
  <x:si>
    <x:t>http://id.who.int/icd/entity/346299593</x:t>
  </x:si>
  <x:si>
    <x:t>http://id.who.int/icd/release/11/beta/ichi/346299593</x:t>
  </x:si>
  <x:si>
    <x:t>VEK</x:t>
  </x:si>
  <x:si>
    <x:t>- - - - - Social behaviours</x:t>
  </x:si>
  <x:si>
    <x:t>http://id.who.int/icd/entity/1680258886</x:t>
  </x:si>
  <x:si>
    <x:t>http://id.who.int/icd/release/11/beta/ichi/1680258886</x:t>
  </x:si>
  <x:si>
    <x:t>VEL</x:t>
  </x:si>
  <x:si>
    <x:t>- - - - - Behaviours related to psychological health and wellbeing</x:t>
  </x:si>
  <x:si>
    <x:t>http://id.who.int/icd/entity/1004856935</x:t>
  </x:si>
  <x:si>
    <x:t>http://id.who.int/icd/release/11/beta/ichi/1004856935</x:t>
  </x:si>
  <x:si>
    <x:t>- - - - Other health-related behaviours</x:t>
  </x:si>
  <x:si>
    <x:t>http://id.who.int/icd/entity/454923355</x:t>
  </x:si>
  <x:si>
    <x:t>http://id.who.int/icd/release/11/beta/ichi/454923355</x:t>
  </x:si>
  <x:si>
    <x:t>VFS</x:t>
  </x:si>
  <x:si>
    <x:t>- - - - - Health literacy</x:t>
  </x:si>
  <x:si>
    <x:t>http://id.who.int/icd/entity/335785145</x:t>
  </x:si>
  <x:si>
    <x:t>http://id.who.int/icd/release/11/beta/ichi/335785145</x:t>
  </x:si>
  <x:si>
    <x:t>VFX</x:t>
  </x:si>
  <x:si>
    <x:t>- - - - - Other health-related behaviours, not elsewhere classified</x:t>
  </x:si>
  <x:si>
    <x:t>http://id.who.int/icd/release/11/beta/ichi/2000582761/other</x:t>
  </x:si>
  <x:si>
    <x:t>VFY</x:t>
  </x:si>
  <x:si>
    <x:t>- - - Other specified target for health-related behaviours</x:t>
  </x:si>
  <x:si>
    <x:t>http://id.who.int/icd/release/11/beta/ichi/2000582761/unspecified</x:t>
  </x:si>
  <x:si>
    <x:t>VFZ</x:t>
  </x:si>
  <x:si>
    <x:t>- - - Target for health-related behaviours, unspecified</x:t>
  </x:si>
  <x:si>
    <x:t>http://id.who.int/icd/release/11/beta/ichi/775570186/other</x:t>
  </x:si>
  <x:si>
    <x:t>ZZY</x:t>
  </x:si>
  <x:si>
    <x:t>- - Other specified target</x:t>
  </x:si>
  <x:si>
    <x:t>http://id.who.int/icd/release/11/beta/ichi/775570186/unspecified</x:t>
  </x:si>
  <x:si>
    <x:t>ZZZ</x:t>
  </x:si>
  <x:si>
    <x:t>- - Target, unspecified</x:t>
  </x:si>
  <x:si>
    <x:t>http://id.who.int/icd/entity/1855234240</x:t>
  </x:si>
  <x:si>
    <x:t>http://id.who.int/icd/release/11/beta/ichi/1855234240</x:t>
  </x:si>
  <x:si>
    <x:t>- Action</x:t>
  </x:si>
  <x:si>
    <x:t>http://id.who.int/icd/entity/1183950562</x:t>
  </x:si>
  <x:si>
    <x:t>http://id.who.int/icd/release/11/beta/ichi/1183950562</x:t>
  </x:si>
  <x:si>
    <x:t>- - Diagnostic</x:t>
  </x:si>
  <x:si>
    <x:t>http://id.who.int/icd/entity/1718146268</x:t>
  </x:si>
  <x:si>
    <x:t>http://id.who.int/icd/release/11/beta/ichi/1718146268</x:t>
  </x:si>
  <x:si>
    <x:t>AA</x:t>
  </x:si>
  <x:si>
    <x:t>- - - Assessment</x:t>
  </x:si>
  <x:si>
    <x:t>http://id.who.int/icd/entity/1598604035</x:t>
  </x:si>
  <x:si>
    <x:t>http://id.who.int/icd/release/11/beta/ichi/1598604035</x:t>
  </x:si>
  <x:si>
    <x:t>AB</x:t>
  </x:si>
  <x:si>
    <x:t>- - - Measurement</x:t>
  </x:si>
  <x:si>
    <x:t>http://id.who.int/icd/entity/721307504</x:t>
  </x:si>
  <x:si>
    <x:t>http://id.who.int/icd/release/11/beta/ichi/721307504</x:t>
  </x:si>
  <x:si>
    <x:t>AC</x:t>
  </x:si>
  <x:si>
    <x:t>- - - Test</x:t>
  </x:si>
  <x:si>
    <x:t>http://id.who.int/icd/entity/1518136573</x:t>
  </x:si>
  <x:si>
    <x:t>http://id.who.int/icd/release/11/beta/ichi/1518136573</x:t>
  </x:si>
  <x:si>
    <x:t>AD</x:t>
  </x:si>
  <x:si>
    <x:t>- - - Biopsy</x:t>
  </x:si>
  <x:si>
    <x:t>http://id.who.int/icd/entity/247112562</x:t>
  </x:si>
  <x:si>
    <x:t>http://id.who.int/icd/release/11/beta/ichi/247112562</x:t>
  </x:si>
  <x:si>
    <x:t>AE</x:t>
  </x:si>
  <x:si>
    <x:t>- - - Inspection</x:t>
  </x:si>
  <x:si>
    <x:t>http://id.who.int/icd/entity/986785366</x:t>
  </x:si>
  <x:si>
    <x:t>http://id.who.int/icd/release/11/beta/ichi/986785366</x:t>
  </x:si>
  <x:si>
    <x:t>AF</x:t>
  </x:si>
  <x:si>
    <x:t>- - - Mapping</x:t>
  </x:si>
  <x:si>
    <x:t>http://id.who.int/icd/entity/1789591527</x:t>
  </x:si>
  <x:si>
    <x:t>http://id.who.int/icd/release/11/beta/ichi/1789591527</x:t>
  </x:si>
  <x:si>
    <x:t>AH</x:t>
  </x:si>
  <x:si>
    <x:t>- - - Specimen collection</x:t>
  </x:si>
  <x:si>
    <x:t>http://id.who.int/icd/entity/1071974824</x:t>
  </x:si>
  <x:si>
    <x:t>http://id.who.int/icd/release/11/beta/ichi/1071974824</x:t>
  </x:si>
  <x:si>
    <x:t>AI</x:t>
  </x:si>
  <x:si>
    <x:t>- - - Monitoring</x:t>
  </x:si>
  <x:si>
    <x:t>http://id.who.int/icd/entity/811368762</x:t>
  </x:si>
  <x:si>
    <x:t>http://id.who.int/icd/release/11/beta/ichi/811368762</x:t>
  </x:si>
  <x:si>
    <x:t>AM</x:t>
  </x:si>
  <x:si>
    <x:t>- - - Observation</x:t>
  </x:si>
  <x:si>
    <x:t>http://id.who.int/icd/entity/1613191307</x:t>
  </x:si>
  <x:si>
    <x:t>http://id.who.int/icd/release/11/beta/ichi/1613191307</x:t>
  </x:si>
  <x:si>
    <x:t>AN</x:t>
  </x:si>
  <x:si>
    <x:t>- - - Interview</x:t>
  </x:si>
  <x:si>
    <x:t>http://id.who.int/icd/entity/1061337562</x:t>
  </x:si>
  <x:si>
    <x:t>http://id.who.int/icd/release/11/beta/ichi/1061337562</x:t>
  </x:si>
  <x:si>
    <x:t>BA</x:t>
  </x:si>
  <x:si>
    <x:t>- - - Imaging</x:t>
  </x:si>
  <x:si>
    <x:t>http://id.who.int/icd/release/11/beta/ichi/1183950562/other</x:t>
  </x:si>
  <x:si>
    <x:t>BY</x:t>
  </x:si>
  <x:si>
    <x:t>- - - Other specified diagnostic action</x:t>
  </x:si>
  <x:si>
    <x:t>http://id.who.int/icd/entity/1866031209</x:t>
  </x:si>
  <x:si>
    <x:t>http://id.who.int/icd/release/11/beta/ichi/1866031209</x:t>
  </x:si>
  <x:si>
    <x:t>- - Therapeutic</x:t>
  </x:si>
  <x:si>
    <x:t>77</x:t>
  </x:si>
  <x:si>
    <x:t>http://id.who.int/icd/entity/1337987669</x:t>
  </x:si>
  <x:si>
    <x:t>http://id.who.int/icd/release/11/beta/ichi/1337987669</x:t>
  </x:si>
  <x:si>
    <x:t>DA</x:t>
  </x:si>
  <x:si>
    <x:t>- - - Alimentation</x:t>
  </x:si>
  <x:si>
    <x:t>http://id.who.int/icd/entity/100463934</x:t>
  </x:si>
  <x:si>
    <x:t>http://id.who.int/icd/release/11/beta/ichi/100463934</x:t>
  </x:si>
  <x:si>
    <x:t>DB</x:t>
  </x:si>
  <x:si>
    <x:t>- - - Application of substance</x:t>
  </x:si>
  <x:si>
    <x:t>http://id.who.int/icd/entity/2061758585</x:t>
  </x:si>
  <x:si>
    <x:t>http://id.who.int/icd/release/11/beta/ichi/2061758585</x:t>
  </x:si>
  <x:si>
    <x:t>DC</x:t>
  </x:si>
  <x:si>
    <x:t>- - - Anaesthesia</x:t>
  </x:si>
  <x:si>
    <x:t>http://id.who.int/icd/entity/98095974</x:t>
  </x:si>
  <x:si>
    <x:t>http://id.who.int/icd/release/11/beta/ichi/98095974</x:t>
  </x:si>
  <x:si>
    <x:t>DD</x:t>
  </x:si>
  <x:si>
    <x:t>- - - Oxygenation</x:t>
  </x:si>
  <x:si>
    <x:t>http://id.who.int/icd/entity/774225910</x:t>
  </x:si>
  <x:si>
    <x:t>http://id.who.int/icd/release/11/beta/ichi/774225910</x:t>
  </x:si>
  <x:si>
    <x:t>DE</x:t>
  </x:si>
  <x:si>
    <x:t>- - - Ventilation</x:t>
  </x:si>
  <x:si>
    <x:t>http://id.who.int/icd/entity/1855258609</x:t>
  </x:si>
  <x:si>
    <x:t>http://id.who.int/icd/release/11/beta/ichi/1855258609</x:t>
  </x:si>
  <x:si>
    <x:t>DG</x:t>
  </x:si>
  <x:si>
    <x:t>- - - Transfusion</x:t>
  </x:si>
  <x:si>
    <x:t>http://id.who.int/icd/entity/257258506</x:t>
  </x:si>
  <x:si>
    <x:t>http://id.who.int/icd/release/11/beta/ichi/257258506</x:t>
  </x:si>
  <x:si>
    <x:t>DH</x:t>
  </x:si>
  <x:si>
    <x:t>- - - Fertilisation</x:t>
  </x:si>
  <x:si>
    <x:t>http://id.who.int/icd/entity/2047215849</x:t>
  </x:si>
  <x:si>
    <x:t>http://id.who.int/icd/release/11/beta/ichi/2047215849</x:t>
  </x:si>
  <x:si>
    <x:t>DK</x:t>
  </x:si>
  <x:si>
    <x:t>- - - Application of dressing</x:t>
  </x:si>
  <x:si>
    <x:t>http://id.who.int/icd/entity/881293756</x:t>
  </x:si>
  <x:si>
    <x:t>http://id.who.int/icd/release/11/beta/ichi/881293756</x:t>
  </x:si>
  <x:si>
    <x:t>DL</x:t>
  </x:si>
  <x:si>
    <x:t>- - - Insertion of internal device</x:t>
  </x:si>
  <x:si>
    <x:t>http://id.who.int/icd/entity/1085817871</x:t>
  </x:si>
  <x:si>
    <x:t>http://id.who.int/icd/release/11/beta/ichi/1085817871</x:t>
  </x:si>
  <x:si>
    <x:t>DN</x:t>
  </x:si>
  <x:si>
    <x:t>- - - Implantation of internal device</x:t>
  </x:si>
  <x:si>
    <x:t>http://id.who.int/icd/entity/590856</x:t>
  </x:si>
  <x:si>
    <x:t>http://id.who.int/icd/release/11/beta/ichi/590856</x:t>
  </x:si>
  <x:si>
    <x:t>DP</x:t>
  </x:si>
  <x:si>
    <x:t>- - - Installation of assistive product</x:t>
  </x:si>
  <x:si>
    <x:t>http://id.who.int/icd/entity/1949710779</x:t>
  </x:si>
  <x:si>
    <x:t>http://id.who.int/icd/release/11/beta/ichi/1949710779</x:t>
  </x:si>
  <x:si>
    <x:t>FA</x:t>
  </x:si>
  <x:si>
    <x:t>- - - Incision</x:t>
  </x:si>
  <x:si>
    <x:t>http://id.who.int/icd/entity/11449466</x:t>
  </x:si>
  <x:si>
    <x:t>http://id.who.int/icd/release/11/beta/ichi/11449466</x:t>
  </x:si>
  <x:si>
    <x:t>FB</x:t>
  </x:si>
  <x:si>
    <x:t>- - - Division</x:t>
  </x:si>
  <x:si>
    <x:t>http://id.who.int/icd/entity/451512996</x:t>
  </x:si>
  <x:si>
    <x:t>http://id.who.int/icd/release/11/beta/ichi/451512996</x:t>
  </x:si>
  <x:si>
    <x:t>FC</x:t>
  </x:si>
  <x:si>
    <x:t>- - - Release</x:t>
  </x:si>
  <x:si>
    <x:t>http://id.who.int/icd/entity/239268458</x:t>
  </x:si>
  <x:si>
    <x:t>http://id.who.int/icd/release/11/beta/ichi/239268458</x:t>
  </x:si>
  <x:si>
    <x:t>GA</x:t>
  </x:si>
  <x:si>
    <x:t>- - - Destruction</x:t>
  </x:si>
  <x:si>
    <x:t>http://id.who.int/icd/entity/288482126</x:t>
  </x:si>
  <x:si>
    <x:t>http://id.who.int/icd/release/11/beta/ichi/288482126</x:t>
  </x:si>
  <x:si>
    <x:t>JA</x:t>
  </x:si>
  <x:si>
    <x:t>- - - Irrigation</x:t>
  </x:si>
  <x:si>
    <x:t>http://id.who.int/icd/entity/1324593775</x:t>
  </x:si>
  <x:si>
    <x:t>http://id.who.int/icd/release/11/beta/ichi/1324593775</x:t>
  </x:si>
  <x:si>
    <x:t>JB</x:t>
  </x:si>
  <x:si>
    <x:t>- - - Drainage</x:t>
  </x:si>
  <x:si>
    <x:t>http://id.who.int/icd/entity/1591530313</x:t>
  </x:si>
  <x:si>
    <x:t>http://id.who.int/icd/release/11/beta/ichi/1591530313</x:t>
  </x:si>
  <x:si>
    <x:t>JC</x:t>
  </x:si>
  <x:si>
    <x:t>- - - Dialysis</x:t>
  </x:si>
  <x:si>
    <x:t>http://id.who.int/icd/entity/350237732</x:t>
  </x:si>
  <x:si>
    <x:t>http://id.who.int/icd/release/11/beta/ichi/350237732</x:t>
  </x:si>
  <x:si>
    <x:t>JD</x:t>
  </x:si>
  <x:si>
    <x:t>- - - Removal of internal device or foreign body</x:t>
  </x:si>
  <x:si>
    <x:t>http://id.who.int/icd/entity/535046798</x:t>
  </x:si>
  <x:si>
    <x:t>http://id.who.int/icd/release/11/beta/ichi/535046798</x:t>
  </x:si>
  <x:si>
    <x:t>JE</x:t>
  </x:si>
  <x:si>
    <x:t>- - - Extraction</x:t>
  </x:si>
  <x:si>
    <x:t>http://id.who.int/icd/entity/2141984949</x:t>
  </x:si>
  <x:si>
    <x:t>http://id.who.int/icd/release/11/beta/ichi/2141984949</x:t>
  </x:si>
  <x:si>
    <x:t>JF</x:t>
  </x:si>
  <x:si>
    <x:t>- - - Delivery</x:t>
  </x:si>
  <x:si>
    <x:t>http://id.who.int/icd/entity/1310083839</x:t>
  </x:si>
  <x:si>
    <x:t>http://id.who.int/icd/release/11/beta/ichi/1310083839</x:t>
  </x:si>
  <x:si>
    <x:t>JG</x:t>
  </x:si>
  <x:si>
    <x:t>- - - Debridement</x:t>
  </x:si>
  <x:si>
    <x:t>http://id.who.int/icd/entity/1425458261</x:t>
  </x:si>
  <x:si>
    <x:t>http://id.who.int/icd/release/11/beta/ichi/1425458261</x:t>
  </x:si>
  <x:si>
    <x:t>JH</x:t>
  </x:si>
  <x:si>
    <x:t>- - - Procurement</x:t>
  </x:si>
  <x:si>
    <x:t>http://id.who.int/icd/entity/76357092</x:t>
  </x:si>
  <x:si>
    <x:t>http://id.who.int/icd/release/11/beta/ichi/76357092</x:t>
  </x:si>
  <x:si>
    <x:t>JI</x:t>
  </x:si>
  <x:si>
    <x:t>- - - Excision, local</x:t>
  </x:si>
  <x:si>
    <x:t>http://id.who.int/icd/entity/1320286863</x:t>
  </x:si>
  <x:si>
    <x:t>http://id.who.int/icd/release/11/beta/ichi/1320286863</x:t>
  </x:si>
  <x:si>
    <x:t>JJ</x:t>
  </x:si>
  <x:si>
    <x:t>- - - Excision, partial</x:t>
  </x:si>
  <x:si>
    <x:t>http://id.who.int/icd/entity/190816122</x:t>
  </x:si>
  <x:si>
    <x:t>http://id.who.int/icd/release/11/beta/ichi/190816122</x:t>
  </x:si>
  <x:si>
    <x:t>JK</x:t>
  </x:si>
  <x:si>
    <x:t>- - - Excision, total</x:t>
  </x:si>
  <x:si>
    <x:t>http://id.who.int/icd/entity/1952758887</x:t>
  </x:si>
  <x:si>
    <x:t>http://id.who.int/icd/release/11/beta/ichi/1952758887</x:t>
  </x:si>
  <x:si>
    <x:t>JL</x:t>
  </x:si>
  <x:si>
    <x:t>- - - Excision, extended</x:t>
  </x:si>
  <x:si>
    <x:t>http://id.who.int/icd/entity/606037462</x:t>
  </x:si>
  <x:si>
    <x:t>http://id.who.int/icd/release/11/beta/ichi/606037462</x:t>
  </x:si>
  <x:si>
    <x:t>JN</x:t>
  </x:si>
  <x:si>
    <x:t>- - - Amputation</x:t>
  </x:si>
  <x:si>
    <x:t>http://id.who.int/icd/entity/338464350</x:t>
  </x:si>
  <x:si>
    <x:t>http://id.who.int/icd/release/11/beta/ichi/338464350</x:t>
  </x:si>
  <x:si>
    <x:t>KA</x:t>
  </x:si>
  <x:si>
    <x:t>- - - Replacement of internal device</x:t>
  </x:si>
  <x:si>
    <x:t>http://id.who.int/icd/entity/2052361525</x:t>
  </x:si>
  <x:si>
    <x:t>http://id.who.int/icd/release/11/beta/ichi/2052361525</x:t>
  </x:si>
  <x:si>
    <x:t>KB</x:t>
  </x:si>
  <x:si>
    <x:t>- - - Change of assistive product</x:t>
  </x:si>
  <x:si>
    <x:t>http://id.who.int/icd/entity/462751440</x:t>
  </x:si>
  <x:si>
    <x:t>http://id.who.int/icd/release/11/beta/ichi/462751440</x:t>
  </x:si>
  <x:si>
    <x:t>KD</x:t>
  </x:si>
  <x:si>
    <x:t>- - - Transplantation</x:t>
  </x:si>
  <x:si>
    <x:t>http://id.who.int/icd/entity/1312753681</x:t>
  </x:si>
  <x:si>
    <x:t>http://id.who.int/icd/release/11/beta/ichi/1312753681</x:t>
  </x:si>
  <x:si>
    <x:t>LA</x:t>
  </x:si>
  <x:si>
    <x:t>- - - Occlusion</x:t>
  </x:si>
  <x:si>
    <x:t>http://id.who.int/icd/entity/1635775167</x:t>
  </x:si>
  <x:si>
    <x:t>http://id.who.int/icd/release/11/beta/ichi/1635775167</x:t>
  </x:si>
  <x:si>
    <x:t>LB</x:t>
  </x:si>
  <x:si>
    <x:t>- - - Reattachment</x:t>
  </x:si>
  <x:si>
    <x:t>http://id.who.int/icd/entity/1250074159</x:t>
  </x:si>
  <x:si>
    <x:t>http://id.who.int/icd/release/11/beta/ichi/1250074159</x:t>
  </x:si>
  <x:si>
    <x:t>LC</x:t>
  </x:si>
  <x:si>
    <x:t>- - - Set</x:t>
  </x:si>
  <x:si>
    <x:t>http://id.who.int/icd/entity/460389984</x:t>
  </x:si>
  <x:si>
    <x:t>http://id.who.int/icd/release/11/beta/ichi/460389984</x:t>
  </x:si>
  <x:si>
    <x:t>LD</x:t>
  </x:si>
  <x:si>
    <x:t>- - - Position</x:t>
  </x:si>
  <x:si>
    <x:t>http://id.who.int/icd/entity/342804156</x:t>
  </x:si>
  <x:si>
    <x:t>http://id.who.int/icd/release/11/beta/ichi/342804156</x:t>
  </x:si>
  <x:si>
    <x:t>LE</x:t>
  </x:si>
  <x:si>
    <x:t>- - - Fusion</x:t>
  </x:si>
  <x:si>
    <x:t>http://id.who.int/icd/entity/237631590</x:t>
  </x:si>
  <x:si>
    <x:t>http://id.who.int/icd/release/11/beta/ichi/237631590</x:t>
  </x:si>
  <x:si>
    <x:t>LG</x:t>
  </x:si>
  <x:si>
    <x:t>- - - Dilatation</x:t>
  </x:si>
  <x:si>
    <x:t>http://id.who.int/icd/entity/634688758</x:t>
  </x:si>
  <x:si>
    <x:t>http://id.who.int/icd/release/11/beta/ichi/634688758</x:t>
  </x:si>
  <x:si>
    <x:t>LH</x:t>
  </x:si>
  <x:si>
    <x:t>- - - Dilatation with insertion of device</x:t>
  </x:si>
  <x:si>
    <x:t>http://id.who.int/icd/entity/579557613</x:t>
  </x:si>
  <x:si>
    <x:t>http://id.who.int/icd/release/11/beta/ichi/579557613</x:t>
  </x:si>
  <x:si>
    <x:t>LI</x:t>
  </x:si>
  <x:si>
    <x:t>- - - Deviation</x:t>
  </x:si>
  <x:si>
    <x:t>http://id.who.int/icd/entity/231449155</x:t>
  </x:si>
  <x:si>
    <x:t>http://id.who.int/icd/release/11/beta/ichi/231449155</x:t>
  </x:si>
  <x:si>
    <x:t>LJ</x:t>
  </x:si>
  <x:si>
    <x:t>- - - Transfer</x:t>
  </x:si>
  <x:si>
    <x:t>http://id.who.int/icd/entity/486620149</x:t>
  </x:si>
  <x:si>
    <x:t>http://id.who.int/icd/release/11/beta/ichi/486620149</x:t>
  </x:si>
  <x:si>
    <x:t>LK</x:t>
  </x:si>
  <x:si>
    <x:t>- - - Increase size</x:t>
  </x:si>
  <x:si>
    <x:t>http://id.who.int/icd/entity/314094439</x:t>
  </x:si>
  <x:si>
    <x:t>http://id.who.int/icd/release/11/beta/ichi/314094439</x:t>
  </x:si>
  <x:si>
    <x:t>LL</x:t>
  </x:si>
  <x:si>
    <x:t>- - - Decrease size</x:t>
  </x:si>
  <x:si>
    <x:t>http://id.who.int/icd/entity/577675389</x:t>
  </x:si>
  <x:si>
    <x:t>http://id.who.int/icd/release/11/beta/ichi/577675389</x:t>
  </x:si>
  <x:si>
    <x:t>MA</x:t>
  </x:si>
  <x:si>
    <x:t>- - - Creation</x:t>
  </x:si>
  <x:si>
    <x:t>http://id.who.int/icd/entity/1391201266</x:t>
  </x:si>
  <x:si>
    <x:t>http://id.who.int/icd/release/11/beta/ichi/1391201266</x:t>
  </x:si>
  <x:si>
    <x:t>MC</x:t>
  </x:si>
  <x:si>
    <x:t>- - - Resuscitation</x:t>
  </x:si>
  <x:si>
    <x:t>http://id.who.int/icd/entity/1219179820</x:t>
  </x:si>
  <x:si>
    <x:t>http://id.who.int/icd/release/11/beta/ichi/1219179820</x:t>
  </x:si>
  <x:si>
    <x:t>MK</x:t>
  </x:si>
  <x:si>
    <x:t>- - - Repair</x:t>
  </x:si>
  <x:si>
    <x:t>http://id.who.int/icd/entity/1302272726</x:t>
  </x:si>
  <x:si>
    <x:t>http://id.who.int/icd/release/11/beta/ichi/1302272726</x:t>
  </x:si>
  <x:si>
    <x:t>ML</x:t>
  </x:si>
  <x:si>
    <x:t>- - - Reconstruction</x:t>
  </x:si>
  <x:si>
    <x:t>http://id.who.int/icd/entity/128187839</x:t>
  </x:si>
  <x:si>
    <x:t>http://id.who.int/icd/release/11/beta/ichi/128187839</x:t>
  </x:si>
  <x:si>
    <x:t>PA</x:t>
  </x:si>
  <x:si>
    <x:t>- - - Manipulation</x:t>
  </x:si>
  <x:si>
    <x:t>http://id.who.int/icd/entity/212329235</x:t>
  </x:si>
  <x:si>
    <x:t>http://id.who.int/icd/release/11/beta/ichi/212329235</x:t>
  </x:si>
  <x:si>
    <x:t>PB</x:t>
  </x:si>
  <x:si>
    <x:t>- - - Mobilisation</x:t>
  </x:si>
  <x:si>
    <x:t>http://id.who.int/icd/entity/675592033</x:t>
  </x:si>
  <x:si>
    <x:t>http://id.who.int/icd/release/11/beta/ichi/675592033</x:t>
  </x:si>
  <x:si>
    <x:t>PC</x:t>
  </x:si>
  <x:si>
    <x:t>- - - Massage</x:t>
  </x:si>
  <x:si>
    <x:t>http://id.who.int/icd/entity/591440333</x:t>
  </x:si>
  <x:si>
    <x:t>http://id.who.int/icd/release/11/beta/ichi/591440333</x:t>
  </x:si>
  <x:si>
    <x:t>PD</x:t>
  </x:si>
  <x:si>
    <x:t>- - - Stretch</x:t>
  </x:si>
  <x:si>
    <x:t>http://id.who.int/icd/entity/1115759158</x:t>
  </x:si>
  <x:si>
    <x:t>http://id.who.int/icd/release/11/beta/ichi/1115759158</x:t>
  </x:si>
  <x:si>
    <x:t>PG</x:t>
  </x:si>
  <x:si>
    <x:t>- - - Assisting or leading exercise</x:t>
  </x:si>
  <x:si>
    <x:t>http://id.who.int/icd/entity/664155645</x:t>
  </x:si>
  <x:si>
    <x:t>http://id.who.int/icd/release/11/beta/ichi/664155645</x:t>
  </x:si>
  <x:si>
    <x:t>PH</x:t>
  </x:si>
  <x:si>
    <x:t>- - - Training</x:t>
  </x:si>
  <x:si>
    <x:t>http://id.who.int/icd/entity/1240348308</x:t>
  </x:si>
  <x:si>
    <x:t>http://id.who.int/icd/release/11/beta/ichi/1240348308</x:t>
  </x:si>
  <x:si>
    <x:t>PJ</x:t>
  </x:si>
  <x:si>
    <x:t>- - - Deconditioning from use of internal or external device</x:t>
  </x:si>
  <x:si>
    <x:t>http://id.who.int/icd/entity/674217327</x:t>
  </x:si>
  <x:si>
    <x:t>http://id.who.int/icd/release/11/beta/ichi/674217327</x:t>
  </x:si>
  <x:si>
    <x:t>PM</x:t>
  </x:si>
  <x:si>
    <x:t>- - - Education</x:t>
  </x:si>
  <x:si>
    <x:t>http://id.who.int/icd/entity/590062531</x:t>
  </x:si>
  <x:si>
    <x:t>http://id.who.int/icd/release/11/beta/ichi/590062531</x:t>
  </x:si>
  <x:si>
    <x:t>PN</x:t>
  </x:si>
  <x:si>
    <x:t>- - - Advising</x:t>
  </x:si>
  <x:si>
    <x:t>http://id.who.int/icd/entity/1755250024</x:t>
  </x:si>
  <x:si>
    <x:t>http://id.who.int/icd/release/11/beta/ichi/1755250024</x:t>
  </x:si>
  <x:si>
    <x:t>PP</x:t>
  </x:si>
  <x:si>
    <x:t>- - - Counselling</x:t>
  </x:si>
  <x:si>
    <x:t>http://id.who.int/icd/entity/1205733320</x:t>
  </x:si>
  <x:si>
    <x:t>http://id.who.int/icd/release/11/beta/ichi/1205733320</x:t>
  </x:si>
  <x:si>
    <x:t>PQ</x:t>
  </x:si>
  <x:si>
    <x:t>- - - Psychotherapy</x:t>
  </x:si>
  <x:si>
    <x:t>http://id.who.int/icd/entity/1475438306</x:t>
  </x:si>
  <x:si>
    <x:t>http://id.who.int/icd/release/11/beta/ichi/1475438306</x:t>
  </x:si>
  <x:si>
    <x:t>RA</x:t>
  </x:si>
  <x:si>
    <x:t>- - - Task performed by another</x:t>
  </x:si>
  <x:si>
    <x:t>http://id.who.int/icd/entity/426776501</x:t>
  </x:si>
  <x:si>
    <x:t>http://id.who.int/icd/release/11/beta/ichi/426776501</x:t>
  </x:si>
  <x:si>
    <x:t>RB</x:t>
  </x:si>
  <x:si>
    <x:t>- - - Practical support</x:t>
  </x:si>
  <x:si>
    <x:t>http://id.who.int/icd/entity/1303795772</x:t>
  </x:si>
  <x:si>
    <x:t>http://id.who.int/icd/release/11/beta/ichi/1303795772</x:t>
  </x:si>
  <x:si>
    <x:t>RC</x:t>
  </x:si>
  <x:si>
    <x:t>- - - Emotional support</x:t>
  </x:si>
  <x:si>
    <x:t>http://id.who.int/icd/entity/2105914288</x:t>
  </x:si>
  <x:si>
    <x:t>http://id.who.int/icd/release/11/beta/ichi/2105914288</x:t>
  </x:si>
  <x:si>
    <x:t>RD</x:t>
  </x:si>
  <x:si>
    <x:t>- - - Providing goods</x:t>
  </x:si>
  <x:si>
    <x:t>http://id.who.int/icd/entity/218568765</x:t>
  </x:si>
  <x:si>
    <x:t>http://id.who.int/icd/release/11/beta/ichi/218568765</x:t>
  </x:si>
  <x:si>
    <x:t>RE</x:t>
  </x:si>
  <x:si>
    <x:t>- - - Providing peer support</x:t>
  </x:si>
  <x:si>
    <x:t>http://id.who.int/icd/entity/1388661024</x:t>
  </x:si>
  <x:si>
    <x:t>http://id.who.int/icd/release/11/beta/ichi/1388661024</x:t>
  </x:si>
  <x:si>
    <x:t>RF</x:t>
  </x:si>
  <x:si>
    <x:t>- - - Providing opportunities for participation</x:t>
  </x:si>
  <x:si>
    <x:t>http://id.who.int/icd/entity/369445895</x:t>
  </x:si>
  <x:si>
    <x:t>http://id.who.int/icd/release/11/beta/ichi/369445895</x:t>
  </x:si>
  <x:si>
    <x:t>RG</x:t>
  </x:si>
  <x:si>
    <x:t>- - - Providing services</x:t>
  </x:si>
  <x:si>
    <x:t>http://id.who.int/icd/entity/1195114328</x:t>
  </x:si>
  <x:si>
    <x:t>http://id.who.int/icd/release/11/beta/ichi/1195114328</x:t>
  </x:si>
  <x:si>
    <x:t>SB</x:t>
  </x:si>
  <x:si>
    <x:t>- - - Acupressure</x:t>
  </x:si>
  <x:si>
    <x:t>http://id.who.int/icd/entity/2099381186</x:t>
  </x:si>
  <x:si>
    <x:t>http://id.who.int/icd/release/11/beta/ichi/2099381186</x:t>
  </x:si>
  <x:si>
    <x:t>SC</x:t>
  </x:si>
  <x:si>
    <x:t>- - - Stimulation</x:t>
  </x:si>
  <x:si>
    <x:t>http://id.who.int/icd/entity/924771499</x:t>
  </x:si>
  <x:si>
    <x:t>http://id.who.int/icd/release/11/beta/ichi/924771499</x:t>
  </x:si>
  <x:si>
    <x:t>SD</x:t>
  </x:si>
  <x:si>
    <x:t>- - - Hyperthermy</x:t>
  </x:si>
  <x:si>
    <x:t>http://id.who.int/icd/entity/1714484122</x:t>
  </x:si>
  <x:si>
    <x:t>http://id.who.int/icd/release/11/beta/ichi/1714484122</x:t>
  </x:si>
  <x:si>
    <x:t>SE</x:t>
  </x:si>
  <x:si>
    <x:t>- - - Hypothermy</x:t>
  </x:si>
  <x:si>
    <x:t>http://id.who.int/icd/entity/380786709</x:t>
  </x:si>
  <x:si>
    <x:t>http://id.who.int/icd/release/11/beta/ichi/380786709</x:t>
  </x:si>
  <x:si>
    <x:t>SH</x:t>
  </x:si>
  <x:si>
    <x:t>- - - Augmentation and induction of labour</x:t>
  </x:si>
  <x:si>
    <x:t>http://id.who.int/icd/entity/1770617612</x:t>
  </x:si>
  <x:si>
    <x:t>http://id.who.int/icd/release/11/beta/ichi/1770617612</x:t>
  </x:si>
  <x:si>
    <x:t>SI</x:t>
  </x:si>
  <x:si>
    <x:t>- - - Preparation</x:t>
  </x:si>
  <x:si>
    <x:t>http://id.who.int/icd/entity/1279534792</x:t>
  </x:si>
  <x:si>
    <x:t>http://id.who.int/icd/release/11/beta/ichi/1279534792</x:t>
  </x:si>
  <x:si>
    <x:t>SJ</x:t>
  </x:si>
  <x:si>
    <x:t>- - - Producing goods</x:t>
  </x:si>
  <x:si>
    <x:t>http://id.who.int/icd/entity/574367137</x:t>
  </x:si>
  <x:si>
    <x:t>http://id.who.int/icd/release/11/beta/ichi/574367137</x:t>
  </x:si>
  <x:si>
    <x:t>SM</x:t>
  </x:si>
  <x:si>
    <x:t>- - - Management of assistive product</x:t>
  </x:si>
  <x:si>
    <x:t>http://id.who.int/icd/entity/863962583</x:t>
  </x:si>
  <x:si>
    <x:t>http://id.who.int/icd/release/11/beta/ichi/863962583</x:t>
  </x:si>
  <x:si>
    <x:t>SN</x:t>
  </x:si>
  <x:si>
    <x:t>- - - Management of internal device</x:t>
  </x:si>
  <x:si>
    <x:t>http://id.who.int/icd/entity/592471281</x:t>
  </x:si>
  <x:si>
    <x:t>http://id.who.int/icd/release/11/beta/ichi/592471281</x:t>
  </x:si>
  <x:si>
    <x:t>SO</x:t>
  </x:si>
  <x:si>
    <x:t>- - - Removal of an assistive product</x:t>
  </x:si>
  <x:si>
    <x:t>http://id.who.int/icd/entity/2089956820</x:t>
  </x:si>
  <x:si>
    <x:t>http://id.who.int/icd/release/11/beta/ichi/2089956820</x:t>
  </x:si>
  <x:si>
    <x:t>SP</x:t>
  </x:si>
  <x:si>
    <x:t>- - - Acupuncture</x:t>
  </x:si>
  <x:si>
    <x:t>http://id.who.int/icd/entity/1768719260</x:t>
  </x:si>
  <x:si>
    <x:t>http://id.who.int/icd/release/11/beta/ichi/1768719260</x:t>
  </x:si>
  <x:si>
    <x:t>SQ</x:t>
  </x:si>
  <x:si>
    <x:t>- - - Moxibustion</x:t>
  </x:si>
  <x:si>
    <x:t>http://id.who.int/icd/entity/1008956885</x:t>
  </x:si>
  <x:si>
    <x:t>http://id.who.int/icd/release/11/beta/ichi/1008956885</x:t>
  </x:si>
  <x:si>
    <x:t>SR</x:t>
  </x:si>
  <x:si>
    <x:t>- - - Cupping</x:t>
  </x:si>
  <x:si>
    <x:t>http://id.who.int/icd/release/11/beta/ichi/1866031209/other</x:t>
  </x:si>
  <x:si>
    <x:t>SY</x:t>
  </x:si>
  <x:si>
    <x:t>- - - Other specified therapeutic action</x:t>
  </x:si>
  <x:si>
    <x:t>http://id.who.int/icd/entity/1817750630</x:t>
  </x:si>
  <x:si>
    <x:t>http://id.who.int/icd/release/11/beta/ichi/1817750630</x:t>
  </x:si>
  <x:si>
    <x:t>- - Managing</x:t>
  </x:si>
  <x:si>
    <x:t>http://id.who.int/icd/entity/702399389</x:t>
  </x:si>
  <x:si>
    <x:t>http://id.who.int/icd/release/11/beta/ichi/702399389</x:t>
  </x:si>
  <x:si>
    <x:t>TA</x:t>
  </x:si>
  <x:si>
    <x:t>- - - Advocacy</x:t>
  </x:si>
  <x:si>
    <x:t>http://id.who.int/icd/entity/644107023</x:t>
  </x:si>
  <x:si>
    <x:t>http://id.who.int/icd/release/11/beta/ichi/644107023</x:t>
  </x:si>
  <x:si>
    <x:t>TB</x:t>
  </x:si>
  <x:si>
    <x:t>- - - Planning</x:t>
  </x:si>
  <x:si>
    <x:t>http://id.who.int/icd/entity/478001049</x:t>
  </x:si>
  <x:si>
    <x:t>http://id.who.int/icd/release/11/beta/ichi/478001049</x:t>
  </x:si>
  <x:si>
    <x:t>TC</x:t>
  </x:si>
  <x:si>
    <x:t>- - - Navigating</x:t>
  </x:si>
  <x:si>
    <x:t>http://id.who.int/icd/entity/159580625</x:t>
  </x:si>
  <x:si>
    <x:t>http://id.who.int/icd/release/11/beta/ichi/159580625</x:t>
  </x:si>
  <x:si>
    <x:t>TD</x:t>
  </x:si>
  <x:si>
    <x:t>- - - Collaborating</x:t>
  </x:si>
  <x:si>
    <x:t>http://id.who.int/icd/entity/1447121140</x:t>
  </x:si>
  <x:si>
    <x:t>http://id.who.int/icd/release/11/beta/ichi/1447121140</x:t>
  </x:si>
  <x:si>
    <x:t>TE</x:t>
  </x:si>
  <x:si>
    <x:t>- - - Detoxification</x:t>
  </x:si>
  <x:si>
    <x:t>http://id.who.int/icd/entity/2109488228</x:t>
  </x:si>
  <x:si>
    <x:t>http://id.who.int/icd/release/11/beta/ichi/2109488228</x:t>
  </x:si>
  <x:si>
    <x:t>TH</x:t>
  </x:si>
  <x:si>
    <x:t>- - - Post mortem care</x:t>
  </x:si>
  <x:si>
    <x:t>http://id.who.int/icd/entity/106005325</x:t>
  </x:si>
  <x:si>
    <x:t>http://id.who.int/icd/release/11/beta/ichi/106005325</x:t>
  </x:si>
  <x:si>
    <x:t>TI</x:t>
  </x:si>
  <x:si>
    <x:t>- - - Prescription</x:t>
  </x:si>
  <x:si>
    <x:t>http://id.who.int/icd/entity/1282237478</x:t>
  </x:si>
  <x:si>
    <x:t>http://id.who.int/icd/release/11/beta/ichi/1282237478</x:t>
  </x:si>
  <x:si>
    <x:t>TJ</x:t>
  </x:si>
  <x:si>
    <x:t>- - - Transport</x:t>
  </x:si>
  <x:si>
    <x:t>http://id.who.int/icd/entity/387097403</x:t>
  </x:si>
  <x:si>
    <x:t>http://id.who.int/icd/release/11/beta/ichi/387097403</x:t>
  </x:si>
  <x:si>
    <x:t>TK</x:t>
  </x:si>
  <x:si>
    <x:t>- - - Public facilities or infrastructure development</x:t>
  </x:si>
  <x:si>
    <x:t>http://id.who.int/icd/entity/740644381</x:t>
  </x:si>
  <x:si>
    <x:t>http://id.who.int/icd/release/11/beta/ichi/740644381</x:t>
  </x:si>
  <x:si>
    <x:t>TM</x:t>
  </x:si>
  <x:si>
    <x:t>- - - Environment modification</x:t>
  </x:si>
  <x:si>
    <x:t>http://id.who.int/icd/entity/1273024687</x:t>
  </x:si>
  <x:si>
    <x:t>http://id.who.int/icd/release/11/beta/ichi/1273024687</x:t>
  </x:si>
  <x:si>
    <x:t>TN</x:t>
  </x:si>
  <x:si>
    <x:t>- - - Disposal</x:t>
  </x:si>
  <x:si>
    <x:t>http://id.who.int/icd/release/11/beta/ichi/1817750630/other</x:t>
  </x:si>
  <x:si>
    <x:t>TY</x:t>
  </x:si>
  <x:si>
    <x:t>- - - Other specified managing action</x:t>
  </x:si>
  <x:si>
    <x:t>http://id.who.int/icd/entity/912419015</x:t>
  </x:si>
  <x:si>
    <x:t>http://id.who.int/icd/release/11/beta/ichi/912419015</x:t>
  </x:si>
  <x:si>
    <x:t>- - Preventing</x:t>
  </x:si>
  <x:si>
    <x:t>http://id.who.int/icd/entity/1944520512</x:t>
  </x:si>
  <x:si>
    <x:t>http://id.who.int/icd/release/11/beta/ichi/1944520512</x:t>
  </x:si>
  <x:si>
    <x:t>VA</x:t>
  </x:si>
  <x:si>
    <x:t>- - - Capacity building</x:t>
  </x:si>
  <x:si>
    <x:t>http://id.who.int/icd/entity/112491485</x:t>
  </x:si>
  <x:si>
    <x:t>http://id.who.int/icd/release/11/beta/ichi/112491485</x:t>
  </x:si>
  <x:si>
    <x:t>VB</x:t>
  </x:si>
  <x:si>
    <x:t>- - - Awareness raising</x:t>
  </x:si>
  <x:si>
    <x:t>http://id.who.int/icd/entity/759764813</x:t>
  </x:si>
  <x:si>
    <x:t>http://id.who.int/icd/release/11/beta/ichi/759764813</x:t>
  </x:si>
  <x:si>
    <x:t>VC</x:t>
  </x:si>
  <x:si>
    <x:t>- - - Public health surveillance</x:t>
  </x:si>
  <x:si>
    <x:t>http://id.who.int/icd/entity/730220270</x:t>
  </x:si>
  <x:si>
    <x:t>http://id.who.int/icd/release/11/beta/ichi/730220270</x:t>
  </x:si>
  <x:si>
    <x:t>VD</x:t>
  </x:si>
  <x:si>
    <x:t>- - - Vaccination</x:t>
  </x:si>
  <x:si>
    <x:t>http://id.who.int/icd/entity/1284021430</x:t>
  </x:si>
  <x:si>
    <x:t>http://id.who.int/icd/release/11/beta/ichi/1284021430</x:t>
  </x:si>
  <x:si>
    <x:t>VE</x:t>
  </x:si>
  <x:si>
    <x:t>- - - Infection control measures</x:t>
  </x:si>
  <x:si>
    <x:t>http://id.who.int/icd/entity/1735782438</x:t>
  </x:si>
  <x:si>
    <x:t>http://id.who.int/icd/release/11/beta/ichi/1735782438</x:t>
  </x:si>
  <x:si>
    <x:t>VF</x:t>
  </x:si>
  <x:si>
    <x:t>- - - Alerting</x:t>
  </x:si>
  <x:si>
    <x:t>http://id.who.int/icd/entity/1547830528</x:t>
  </x:si>
  <x:si>
    <x:t>http://id.who.int/icd/release/11/beta/ichi/1547830528</x:t>
  </x:si>
  <x:si>
    <x:t>VI</x:t>
  </x:si>
  <x:si>
    <x:t>- - - Fortification or enrichment</x:t>
  </x:si>
  <x:si>
    <x:t>http://id.who.int/icd/entity/1174748122</x:t>
  </x:si>
  <x:si>
    <x:t>http://id.who.int/icd/release/11/beta/ichi/1174748122</x:t>
  </x:si>
  <x:si>
    <x:t>VL</x:t>
  </x:si>
  <x:si>
    <x:t>- - - Environmental remediation</x:t>
  </x:si>
  <x:si>
    <x:t>http://id.who.int/icd/entity/1291920760</x:t>
  </x:si>
  <x:si>
    <x:t>http://id.who.int/icd/release/11/beta/ichi/1291920760</x:t>
  </x:si>
  <x:si>
    <x:t>VN</x:t>
  </x:si>
  <x:si>
    <x:t>- - - Establishing health services or health-related services</x:t>
  </x:si>
  <x:si>
    <x:t>http://id.who.int/icd/entity/1558558066</x:t>
  </x:si>
  <x:si>
    <x:t>http://id.who.int/icd/release/11/beta/ichi/1558558066</x:t>
  </x:si>
  <x:si>
    <x:t>VO</x:t>
  </x:si>
  <x:si>
    <x:t>- - - Marshalling health services or health-related services</x:t>
  </x:si>
  <x:si>
    <x:t>http://id.who.int/icd/entity/601790063</x:t>
  </x:si>
  <x:si>
    <x:t>http://id.who.int/icd/release/11/beta/ichi/601790063</x:t>
  </x:si>
  <x:si>
    <x:t>VP</x:t>
  </x:si>
  <x:si>
    <x:t>- - - Improving access to health services or health-related services</x:t>
  </x:si>
  <x:si>
    <x:t>http://id.who.int/icd/entity/547688655</x:t>
  </x:si>
  <x:si>
    <x:t>http://id.who.int/icd/release/11/beta/ichi/547688655</x:t>
  </x:si>
  <x:si>
    <x:t>VR</x:t>
  </x:si>
  <x:si>
    <x:t>- - - Reducing emissions</x:t>
  </x:si>
  <x:si>
    <x:t>http://id.who.int/icd/entity/1709352195</x:t>
  </x:si>
  <x:si>
    <x:t>http://id.who.int/icd/release/11/beta/ichi/1709352195</x:t>
  </x:si>
  <x:si>
    <x:t>WB</x:t>
  </x:si>
  <x:si>
    <x:t>- - - Restrictions on movement of people or animals</x:t>
  </x:si>
  <x:si>
    <x:t>http://id.who.int/icd/entity/1880888139</x:t>
  </x:si>
  <x:si>
    <x:t>http://id.who.int/icd/release/11/beta/ichi/1880888139</x:t>
  </x:si>
  <x:si>
    <x:t>WC</x:t>
  </x:si>
  <x:si>
    <x:t>- - - Restrictions on the sale or distribution of products or services</x:t>
  </x:si>
  <x:si>
    <x:t>http://id.who.int/icd/entity/803095146</x:t>
  </x:si>
  <x:si>
    <x:t>http://id.who.int/icd/release/11/beta/ichi/803095146</x:t>
  </x:si>
  <x:si>
    <x:t>WD</x:t>
  </x:si>
  <x:si>
    <x:t>- - - Restrictions on advertising, promotion or sponsorship of products or services</x:t>
  </x:si>
  <x:si>
    <x:t>http://id.who.int/icd/entity/1101414657</x:t>
  </x:si>
  <x:si>
    <x:t>http://id.who.int/icd/release/11/beta/ichi/1101414657</x:t>
  </x:si>
  <x:si>
    <x:t>WE</x:t>
  </x:si>
  <x:si>
    <x:t>- - - Restrictions on production or importation of products or services</x:t>
  </x:si>
  <x:si>
    <x:t>http://id.who.int/icd/entity/1516815899</x:t>
  </x:si>
  <x:si>
    <x:t>http://id.who.int/icd/release/11/beta/ichi/1516815899</x:t>
  </x:si>
  <x:si>
    <x:t>WF</x:t>
  </x:si>
  <x:si>
    <x:t>- - - Restrictions on the consumption or use of products or services</x:t>
  </x:si>
  <x:si>
    <x:t>http://id.who.int/icd/entity/626255110</x:t>
  </x:si>
  <x:si>
    <x:t>http://id.who.int/icd/release/11/beta/ichi/626255110</x:t>
  </x:si>
  <x:si>
    <x:t>WG</x:t>
  </x:si>
  <x:si>
    <x:t>- - - Applying incentives</x:t>
  </x:si>
  <x:si>
    <x:t>http://id.who.int/icd/entity/1965571253</x:t>
  </x:si>
  <x:si>
    <x:t>http://id.who.int/icd/release/11/beta/ichi/1965571253</x:t>
  </x:si>
  <x:si>
    <x:t>WI</x:t>
  </x:si>
  <x:si>
    <x:t>- - - Restrictions through laws or standards</x:t>
  </x:si>
  <x:si>
    <x:t>http://id.who.int/icd/entity/1895427035</x:t>
  </x:si>
  <x:si>
    <x:t>http://id.who.int/icd/release/11/beta/ichi/1895427035</x:t>
  </x:si>
  <x:si>
    <x:t>WJ</x:t>
  </x:si>
  <x:si>
    <x:t>- - - Policy change</x:t>
  </x:si>
  <x:si>
    <x:t>http://id.who.int/icd/release/11/beta/ichi/912419015/other</x:t>
  </x:si>
  <x:si>
    <x:t>WY</x:t>
  </x:si>
  <x:si>
    <x:t>- - - Other specified preventing action</x:t>
  </x:si>
  <x:si>
    <x:t>http://id.who.int/icd/release/11/beta/ichi/1855234240/other</x:t>
  </x:si>
  <x:si>
    <x:t>ZY</x:t>
  </x:si>
  <x:si>
    <x:t>- - Other specified action</x:t>
  </x:si>
  <x:si>
    <x:t>http://id.who.int/icd/release/11/beta/ichi/1855234240/unspecified</x:t>
  </x:si>
  <x:si>
    <x:t>ZZ</x:t>
  </x:si>
  <x:si>
    <x:t>- - Action, unspecified</x:t>
  </x:si>
  <x:si>
    <x:t>http://id.who.int/icd/entity/1994942409</x:t>
  </x:si>
  <x:si>
    <x:t>http://id.who.int/icd/release/11/beta/ichi/1994942409</x:t>
  </x:si>
  <x:si>
    <x:t>- Means</x:t>
  </x:si>
  <x:si>
    <x:t>http://id.who.int/icd/entity/1766031288</x:t>
  </x:si>
  <x:si>
    <x:t>http://id.who.int/icd/release/11/beta/ichi/1766031288</x:t>
  </x:si>
  <x:si>
    <x:t>- - Approach</x:t>
  </x:si>
  <x:si>
    <x:t>http://id.who.int/icd/entity/1236929926</x:t>
  </x:si>
  <x:si>
    <x:t>http://id.who.int/icd/release/11/beta/ichi/1236929926</x:t>
  </x:si>
  <x:si>
    <x:t>- - - Open approach</x:t>
  </x:si>
  <x:si>
    <x:t>http://id.who.int/icd/entity/551666666</x:t>
  </x:si>
  <x:si>
    <x:t>http://id.who.int/icd/release/11/beta/ichi/551666666</x:t>
  </x:si>
  <x:si>
    <x:t>- - - Percutaneous endoscopic</x:t>
  </x:si>
  <x:si>
    <x:t>http://id.who.int/icd/entity/1615889389</x:t>
  </x:si>
  <x:si>
    <x:t>http://id.who.int/icd/release/11/beta/ichi/1615889389</x:t>
  </x:si>
  <x:si>
    <x:t>- - - Per orifice</x:t>
  </x:si>
  <x:si>
    <x:t>http://id.who.int/icd/entity/1800707393</x:t>
  </x:si>
  <x:si>
    <x:t>http://id.who.int/icd/release/11/beta/ichi/1800707393</x:t>
  </x:si>
  <x:si>
    <x:t>- - - Per orifice endoscopic</x:t>
  </x:si>
  <x:si>
    <x:t>http://id.who.int/icd/entity/1066586830</x:t>
  </x:si>
  <x:si>
    <x:t>http://id.who.int/icd/release/11/beta/ichi/1066586830</x:t>
  </x:si>
  <x:si>
    <x:t>- - - Percutaneous</x:t>
  </x:si>
  <x:si>
    <x:t>http://id.who.int/icd/entity/800961512</x:t>
  </x:si>
  <x:si>
    <x:t>http://id.who.int/icd/release/11/beta/ichi/800961512</x:t>
  </x:si>
  <x:si>
    <x:t>- - - Percutaneous transluminal</x:t>
  </x:si>
  <x:si>
    <x:t>http://id.who.int/icd/entity/1702974595</x:t>
  </x:si>
  <x:si>
    <x:t>http://id.who.int/icd/release/11/beta/ichi/1702974595</x:t>
  </x:si>
  <x:si>
    <x:t>AG</x:t>
  </x:si>
  <x:si>
    <x:t>- - - Transparietal intraluminal endoscopic access</x:t>
  </x:si>
  <x:si>
    <x:t>http://id.who.int/icd/entity/1437777673</x:t>
  </x:si>
  <x:si>
    <x:t>http://id.who.int/icd/release/11/beta/ichi/1437777673</x:t>
  </x:si>
  <x:si>
    <x:t>- - - External</x:t>
  </x:si>
  <x:si>
    <x:t>http://id.who.int/icd/entity/623907972</x:t>
  </x:si>
  <x:si>
    <x:t>http://id.who.int/icd/release/11/beta/ichi/623907972</x:t>
  </x:si>
  <x:si>
    <x:t>- - - Combined approach, percutaneous endoscopic and by orifice</x:t>
  </x:si>
  <x:si>
    <x:t>http://id.who.int/icd/entity/529422436</x:t>
  </x:si>
  <x:si>
    <x:t>http://id.who.int/icd/release/11/beta/ichi/529422436</x:t>
  </x:si>
  <x:si>
    <x:t>AJ</x:t>
  </x:si>
  <x:si>
    <x:t>- - - Combined approach, percutaneous and per orifice endoscopic</x:t>
  </x:si>
  <x:si>
    <x:t>http://id.who.int/icd/entity/713661462</x:t>
  </x:si>
  <x:si>
    <x:t>http://id.who.int/icd/release/11/beta/ichi/713661462</x:t>
  </x:si>
  <x:si>
    <x:t>AK</x:t>
  </x:si>
  <x:si>
    <x:t>- - - Combined approach, open and transparietal or transvascular</x:t>
  </x:si>
  <x:si>
    <x:t>http://id.who.int/icd/entity/812192446</x:t>
  </x:si>
  <x:si>
    <x:t>http://id.who.int/icd/release/11/beta/ichi/812192446</x:t>
  </x:si>
  <x:si>
    <x:t>AL</x:t>
  </x:si>
  <x:si>
    <x:t>- - - Combined approach, not otherwise specified</x:t>
  </x:si>
  <x:si>
    <x:t>http://id.who.int/icd/entity/91150024</x:t>
  </x:si>
  <x:si>
    <x:t>http://id.who.int/icd/release/11/beta/ichi/91150024</x:t>
  </x:si>
  <x:si>
    <x:t>AZ</x:t>
  </x:si>
  <x:si>
    <x:t>- - - Approach not elsewhere classified</x:t>
  </x:si>
  <x:si>
    <x:t>http://id.who.int/icd/entity/1521256427</x:t>
  </x:si>
  <x:si>
    <x:t>http://id.who.int/icd/release/11/beta/ichi/1521256427</x:t>
  </x:si>
  <x:si>
    <x:t>- - Technique</x:t>
  </x:si>
  <x:si>
    <x:t>http://id.who.int/icd/entity/1578176981</x:t>
  </x:si>
  <x:si>
    <x:t>http://id.who.int/icd/release/11/beta/ichi/1578176981</x:t>
  </x:si>
  <x:si>
    <x:t>- - - Radiation, not otherwise specified</x:t>
  </x:si>
  <x:si>
    <x:t>http://id.who.int/icd/entity/1429285153</x:t>
  </x:si>
  <x:si>
    <x:t>http://id.who.int/icd/release/11/beta/ichi/1429285153</x:t>
  </x:si>
  <x:si>
    <x:t>BB</x:t>
  </x:si>
  <x:si>
    <x:t>- - - Radiation with contrast medium</x:t>
  </x:si>
  <x:si>
    <x:t>http://id.who.int/icd/entity/1518903731</x:t>
  </x:si>
  <x:si>
    <x:t>http://id.who.int/icd/release/11/beta/ichi/1518903731</x:t>
  </x:si>
  <x:si>
    <x:t>BC</x:t>
  </x:si>
  <x:si>
    <x:t>- - - Computerised tomography, not otherwise specified</x:t>
  </x:si>
  <x:si>
    <x:t>http://id.who.int/icd/entity/792602050</x:t>
  </x:si>
  <x:si>
    <x:t>http://id.who.int/icd/release/11/beta/ichi/792602050</x:t>
  </x:si>
  <x:si>
    <x:t>BD</x:t>
  </x:si>
  <x:si>
    <x:t>- - - Computerised tomography with contrast medium</x:t>
  </x:si>
  <x:si>
    <x:t>http://id.who.int/icd/entity/1606192717</x:t>
  </x:si>
  <x:si>
    <x:t>http://id.who.int/icd/release/11/beta/ichi/1606192717</x:t>
  </x:si>
  <x:si>
    <x:t>BE</x:t>
  </x:si>
  <x:si>
    <x:t>- - - Ionising agents, open, not otherwise specified</x:t>
  </x:si>
  <x:si>
    <x:t>http://id.who.int/icd/entity/1342506719</x:t>
  </x:si>
  <x:si>
    <x:t>http://id.who.int/icd/release/11/beta/ichi/1342506719</x:t>
  </x:si>
  <x:si>
    <x:t>BF</x:t>
  </x:si>
  <x:si>
    <x:t>- - - Ionising agents emitting single photons</x:t>
  </x:si>
  <x:si>
    <x:t>http://id.who.int/icd/entity/1440010673</x:t>
  </x:si>
  <x:si>
    <x:t>http://id.who.int/icd/release/11/beta/ichi/1440010673</x:t>
  </x:si>
  <x:si>
    <x:t>BG</x:t>
  </x:si>
  <x:si>
    <x:t>- - - Ionising agents emitting positrons</x:t>
  </x:si>
  <x:si>
    <x:t>http://id.who.int/icd/entity/458596582</x:t>
  </x:si>
  <x:si>
    <x:t>http://id.who.int/icd/release/11/beta/ichi/458596582</x:t>
  </x:si>
  <x:si>
    <x:t>BH</x:t>
  </x:si>
  <x:si>
    <x:t>- - - Nuclear magnetic resonance, not otherwise specified</x:t>
  </x:si>
  <x:si>
    <x:t>http://id.who.int/icd/entity/1869258071</x:t>
  </x:si>
  <x:si>
    <x:t>http://id.who.int/icd/release/11/beta/ichi/1869258071</x:t>
  </x:si>
  <x:si>
    <x:t>BI</x:t>
  </x:si>
  <x:si>
    <x:t>- - - Nuclear magnetic resonance with contrast medium</x:t>
  </x:si>
  <x:si>
    <x:t>http://id.who.int/icd/entity/450631972</x:t>
  </x:si>
  <x:si>
    <x:t>http://id.who.int/icd/release/11/beta/ichi/450631972</x:t>
  </x:si>
  <x:si>
    <x:t>BJ</x:t>
  </x:si>
  <x:si>
    <x:t>- - - Ultrasound, not otherwise specified</x:t>
  </x:si>
  <x:si>
    <x:t>http://id.who.int/icd/entity/789307162</x:t>
  </x:si>
  <x:si>
    <x:t>http://id.who.int/icd/release/11/beta/ichi/789307162</x:t>
  </x:si>
  <x:si>
    <x:t>BK</x:t>
  </x:si>
  <x:si>
    <x:t>- - - Ultrasound, per orifice</x:t>
  </x:si>
  <x:si>
    <x:t>http://id.who.int/icd/entity/253931372</x:t>
  </x:si>
  <x:si>
    <x:t>http://id.who.int/icd/release/11/beta/ichi/253931372</x:t>
  </x:si>
  <x:si>
    <x:t>BL</x:t>
  </x:si>
  <x:si>
    <x:t>- - - Image capture and analysis</x:t>
  </x:si>
  <x:si>
    <x:t>http://id.who.int/icd/entity/543315396</x:t>
  </x:si>
  <x:si>
    <x:t>http://id.who.int/icd/release/11/beta/ichi/543315396</x:t>
  </x:si>
  <x:si>
    <x:t>BO</x:t>
  </x:si>
  <x:si>
    <x:t>- - - Magnetic field</x:t>
  </x:si>
  <x:si>
    <x:t>http://id.who.int/icd/entity/1541726435</x:t>
  </x:si>
  <x:si>
    <x:t>http://id.who.int/icd/release/11/beta/ichi/1541726435</x:t>
  </x:si>
  <x:si>
    <x:t>BP</x:t>
  </x:si>
  <x:si>
    <x:t>- - - Electric field</x:t>
  </x:si>
  <x:si>
    <x:t>http://id.who.int/icd/entity/1610532525</x:t>
  </x:si>
  <x:si>
    <x:t>http://id.who.int/icd/release/11/beta/ichi/1610532525</x:t>
  </x:si>
  <x:si>
    <x:t>BQ</x:t>
  </x:si>
  <x:si>
    <x:t>- - - Heat</x:t>
  </x:si>
  <x:si>
    <x:t>http://id.who.int/icd/entity/1794704089</x:t>
  </x:si>
  <x:si>
    <x:t>http://id.who.int/icd/release/11/beta/ichi/1794704089</x:t>
  </x:si>
  <x:si>
    <x:t>BS</x:t>
  </x:si>
  <x:si>
    <x:t>- - - Water</x:t>
  </x:si>
  <x:si>
    <x:t>http://id.who.int/icd/entity/893080570</x:t>
  </x:si>
  <x:si>
    <x:t>http://id.who.int/icd/release/11/beta/ichi/893080570</x:t>
  </x:si>
  <x:si>
    <x:t>- - Method</x:t>
  </x:si>
  <x:si>
    <x:t>http://id.who.int/icd/entity/1891515395</x:t>
  </x:si>
  <x:si>
    <x:t>http://id.who.int/icd/release/11/beta/ichi/1891515395</x:t>
  </x:si>
  <x:si>
    <x:t>QD</x:t>
  </x:si>
  <x:si>
    <x:t>- - - Enactment</x:t>
  </x:si>
  <x:si>
    <x:t>http://id.who.int/icd/entity/563096368</x:t>
  </x:si>
  <x:si>
    <x:t>http://id.who.int/icd/release/11/beta/ichi/563096368</x:t>
  </x:si>
  <x:si>
    <x:t>QE</x:t>
  </x:si>
  <x:si>
    <x:t>- - - Enforcement</x:t>
  </x:si>
  <x:si>
    <x:t>http://id.who.int/icd/entity/174933920</x:t>
  </x:si>
  <x:si>
    <x:t>http://id.who.int/icd/release/11/beta/ichi/174933920</x:t>
  </x:si>
  <x:si>
    <x:t>QF</x:t>
  </x:si>
  <x:si>
    <x:t>- - - Economic instruments</x:t>
  </x:si>
  <x:si>
    <x:t>http://id.who.int/icd/entity/1003951594</x:t>
  </x:si>
  <x:si>
    <x:t>http://id.who.int/icd/release/11/beta/ichi/1003951594</x:t>
  </x:si>
  <x:si>
    <x:t>- - Sample</x:t>
  </x:si>
  <x:si>
    <x:t>http://id.who.int/icd/entity/456026072</x:t>
  </x:si>
  <x:si>
    <x:t>http://id.who.int/icd/release/11/beta/ichi/456026072</x:t>
  </x:si>
  <x:si>
    <x:t>XA</x:t>
  </x:si>
  <x:si>
    <x:t>- - - Blood sample</x:t>
  </x:si>
  <x:si>
    <x:t>http://id.who.int/icd/entity/1537157073</x:t>
  </x:si>
  <x:si>
    <x:t>http://id.who.int/icd/release/11/beta/ichi/1537157073</x:t>
  </x:si>
  <x:si>
    <x:t>XB</x:t>
  </x:si>
  <x:si>
    <x:t>- - - Urine sample</x:t>
  </x:si>
  <x:si>
    <x:t>http://id.who.int/icd/entity/538546930</x:t>
  </x:si>
  <x:si>
    <x:t>http://id.who.int/icd/release/11/beta/ichi/538546930</x:t>
  </x:si>
  <x:si>
    <x:t>XC</x:t>
  </x:si>
  <x:si>
    <x:t>- - - Sputum sample</x:t>
  </x:si>
  <x:si>
    <x:t>http://id.who.int/icd/entity/1629580087</x:t>
  </x:si>
  <x:si>
    <x:t>http://id.who.int/icd/release/11/beta/ichi/1629580087</x:t>
  </x:si>
  <x:si>
    <x:t>XD</x:t>
  </x:si>
  <x:si>
    <x:t>- - - Saliva sample</x:t>
  </x:si>
  <x:si>
    <x:t>http://id.who.int/icd/entity/1411821379</x:t>
  </x:si>
  <x:si>
    <x:t>http://id.who.int/icd/release/11/beta/ichi/1411821379</x:t>
  </x:si>
  <x:si>
    <x:t>XE</x:t>
  </x:si>
  <x:si>
    <x:t>- - - Fluid sample</x:t>
  </x:si>
  <x:si>
    <x:t>http://id.who.int/icd/entity/881550824</x:t>
  </x:si>
  <x:si>
    <x:t>http://id.who.int/icd/release/11/beta/ichi/881550824</x:t>
  </x:si>
  <x:si>
    <x:t>XF</x:t>
  </x:si>
  <x:si>
    <x:t>- - - Secretion sample</x:t>
  </x:si>
  <x:si>
    <x:t>http://id.who.int/icd/entity/25993630</x:t>
  </x:si>
  <x:si>
    <x:t>http://id.who.int/icd/release/11/beta/ichi/25993630</x:t>
  </x:si>
  <x:si>
    <x:t>XG</x:t>
  </x:si>
  <x:si>
    <x:t>- - - Faeces sample</x:t>
  </x:si>
  <x:si>
    <x:t>http://id.who.int/icd/entity/1582231743</x:t>
  </x:si>
  <x:si>
    <x:t>http://id.who.int/icd/release/11/beta/ichi/1582231743</x:t>
  </x:si>
  <x:si>
    <x:t>XH</x:t>
  </x:si>
  <x:si>
    <x:t>- - - Tissue sample</x:t>
  </x:si>
  <x:si>
    <x:t>http://id.who.int/icd/release/11/beta/ichi/1994942409/other</x:t>
  </x:si>
  <x:si>
    <x:t>- - Other method or technique, not elsewhere classified</x:t>
  </x:si>
  <x:si>
    <x:t>http://id.who.int/icd/release/11/beta/ichi/1994942409/unspecified</x:t>
  </x:si>
  <x:si>
    <x:t>- - Unspecified method or technique</x:t>
  </x:si>
  <x:si>
    <x:t>http://id.who.int/icd/entity/289140506</x:t>
  </x:si>
  <x:si>
    <x:t>http://id.who.int/icd/release/11/beta/ichi/289140506</x:t>
  </x:si>
  <x:si>
    <x:t>BlockL1-AAA</x:t>
  </x:si>
  <x:si>
    <x:t>- Health interventions</x:t>
  </x:si>
  <x:si>
    <x:t>http://id.who.int/icd/entity/2026946783</x:t>
  </x:si>
  <x:si>
    <x:t>http://id.who.int/icd/release/11/beta/ichi/2026946783</x:t>
  </x:si>
  <x:si>
    <x:t>BlockL2-AAA</x:t>
  </x:si>
  <x:si>
    <x:t>- - Interventions on body systems or functions</x:t>
  </x:si>
  <x:si>
    <x:t>http://id.who.int/icd/entity/1395502159</x:t>
  </x:si>
  <x:si>
    <x:t>http://id.who.int/icd/release/11/beta/ichi/1395502159</x:t>
  </x:si>
  <x:si>
    <x:t>BlockL3-AAA</x:t>
  </x:si>
  <x:si>
    <x:t>- - - Interventions on the nervous system or mental functions</x:t>
  </x:si>
  <x:si>
    <x:t>http://id.who.int/icd/entity/613206725</x:t>
  </x:si>
  <x:si>
    <x:t>http://id.who.int/icd/release/11/beta/ichi/613206725</x:t>
  </x:si>
  <x:si>
    <x:t>BlockL4-AAA</x:t>
  </x:si>
  <x:si>
    <x:t>- - - - Interventions on brain or cranial nerve</x:t>
  </x:si>
  <x:si>
    <x:t>91</x:t>
  </x:si>
  <x:si>
    <x:t>http://id.who.int/icd/entity/1479127779</x:t>
  </x:si>
  <x:si>
    <x:t>http://id.who.int/icd/release/11/beta/ichi/1479127779</x:t>
  </x:si>
  <x:si>
    <x:t>AAA.AD.AA</x:t>
  </x:si>
  <x:si>
    <x:t>- - - - - Biopsy of brain</x:t>
  </x:si>
  <x:si>
    <x:t>http://id.who.int/icd/entity/565765435</x:t>
  </x:si>
  <x:si>
    <x:t>http://id.who.int/icd/release/11/beta/ichi/565765435</x:t>
  </x:si>
  <x:si>
    <x:t>AAA.AD.AE</x:t>
  </x:si>
  <x:si>
    <x:t>- - - - - Percutaneous biopsy of brain</x:t>
  </x:si>
  <x:si>
    <x:t>http://id.who.int/icd/entity/1803813456</x:t>
  </x:si>
  <x:si>
    <x:t>http://id.who.int/icd/release/11/beta/ichi/1803813456</x:t>
  </x:si>
  <x:si>
    <x:t>AAA.AF.AH</x:t>
  </x:si>
  <x:si>
    <x:t>- - - - - Electroencephalography, not elsewhere classified</x:t>
  </x:si>
  <x:si>
    <x:t>http://id.who.int/icd/entity/76562537</x:t>
  </x:si>
  <x:si>
    <x:t>http://id.who.int/icd/release/11/beta/ichi/76562537</x:t>
  </x:si>
  <x:si>
    <x:t>AAA.AF.BO</x:t>
  </x:si>
  <x:si>
    <x:t>- - - - - Magnetoelectroencephalography</x:t>
  </x:si>
  <x:si>
    <x:t>http://id.who.int/icd/entity/559750571</x:t>
  </x:si>
  <x:si>
    <x:t>http://id.who.int/icd/release/11/beta/ichi/559750571</x:t>
  </x:si>
  <x:si>
    <x:t>AAA.AI.AA</x:t>
  </x:si>
  <x:si>
    <x:t>- - - - - Electroencephalography monitoring via burr holes</x:t>
  </x:si>
  <x:si>
    <x:t>http://id.who.int/icd/entity/1876716800</x:t>
  </x:si>
  <x:si>
    <x:t>http://id.who.int/icd/release/11/beta/ichi/1876716800</x:t>
  </x:si>
  <x:si>
    <x:t>AAA.AI.AE</x:t>
  </x:si>
  <x:si>
    <x:t>- - - - - Percutaneous monitoring of the brain</x:t>
  </x:si>
  <x:si>
    <x:t>http://id.who.int/icd/entity/2124369032</x:t>
  </x:si>
  <x:si>
    <x:t>http://id.who.int/icd/release/11/beta/ichi/2124369032</x:t>
  </x:si>
  <x:si>
    <x:t>AAA.AI.AH</x:t>
  </x:si>
  <x:si>
    <x:t>- - - - - Electroencephalography monitoring</x:t>
  </x:si>
  <x:si>
    <x:t>http://id.who.int/icd/entity/1904309356</x:t>
  </x:si>
  <x:si>
    <x:t>http://id.who.int/icd/release/11/beta/ichi/1904309356</x:t>
  </x:si>
  <x:si>
    <x:t>AAA.AI.BL</x:t>
  </x:si>
  <x:si>
    <x:t>- - - - - Video or radio-telemetered electroencephalography monitoring</x:t>
  </x:si>
  <x:si>
    <x:t>http://id.who.int/icd/entity/247093109</x:t>
  </x:si>
  <x:si>
    <x:t>http://id.who.int/icd/release/11/beta/ichi/247093109</x:t>
  </x:si>
  <x:si>
    <x:t>AAA.BA.BA</x:t>
  </x:si>
  <x:si>
    <x:t>- - - - - Encephalography</x:t>
  </x:si>
  <x:si>
    <x:t>http://id.who.int/icd/entity/1623348252</x:t>
  </x:si>
  <x:si>
    <x:t>http://id.who.int/icd/release/11/beta/ichi/1623348252</x:t>
  </x:si>
  <x:si>
    <x:t>AAA.BA.BB</x:t>
  </x:si>
  <x:si>
    <x:t>- - - - - Contrast radiogram of brain</x:t>
  </x:si>
  <x:si>
    <x:t>http://id.who.int/icd/entity/19397055</x:t>
  </x:si>
  <x:si>
    <x:t>http://id.who.int/icd/release/11/beta/ichi/19397055</x:t>
  </x:si>
  <x:si>
    <x:t>AAA.BA.BC</x:t>
  </x:si>
  <x:si>
    <x:t>- - - - - Computerised tomography of brain, not elsewhere classified</x:t>
  </x:si>
  <x:si>
    <x:t>http://id.who.int/icd/entity/245264685</x:t>
  </x:si>
  <x:si>
    <x:t>http://id.who.int/icd/release/11/beta/ichi/245264685</x:t>
  </x:si>
  <x:si>
    <x:t>AAA.BA.BD</x:t>
  </x:si>
  <x:si>
    <x:t>- - - - - Computerised tomography of brain with intravenous contrast medium</x:t>
  </x:si>
  <x:si>
    <x:t>http://id.who.int/icd/entity/508881051</x:t>
  </x:si>
  <x:si>
    <x:t>http://id.who.int/icd/release/11/beta/ichi/508881051</x:t>
  </x:si>
  <x:si>
    <x:t>AAA.BA.BF</x:t>
  </x:si>
  <x:si>
    <x:t>- - - - - Single photon emission computerised tomography of brain</x:t>
  </x:si>
  <x:si>
    <x:t>http://id.who.int/icd/entity/300769289</x:t>
  </x:si>
  <x:si>
    <x:t>http://id.who.int/icd/release/11/beta/ichi/300769289</x:t>
  </x:si>
  <x:si>
    <x:t>AAA.BA.BG</x:t>
  </x:si>
  <x:si>
    <x:t>- - - - - Positron emission tomography of brain</x:t>
  </x:si>
  <x:si>
    <x:t>http://id.who.int/icd/entity/1634716550</x:t>
  </x:si>
  <x:si>
    <x:t>http://id.who.int/icd/release/11/beta/ichi/1634716550</x:t>
  </x:si>
  <x:si>
    <x:t>AAA.BA.BH</x:t>
  </x:si>
  <x:si>
    <x:t>- - - - - Magnetic resonance imaging of brain, not elsewhere classified</x:t>
  </x:si>
  <x:si>
    <x:t>http://id.who.int/icd/entity/885376347</x:t>
  </x:si>
  <x:si>
    <x:t>http://id.who.int/icd/release/11/beta/ichi/885376347</x:t>
  </x:si>
  <x:si>
    <x:t>AAA.BA.BI</x:t>
  </x:si>
  <x:si>
    <x:t>- - - - - Magnetic resonance imaging of brain with intravenous contrast</x:t>
  </x:si>
  <x:si>
    <x:t>http://id.who.int/icd/entity/242977213</x:t>
  </x:si>
  <x:si>
    <x:t>http://id.who.int/icd/release/11/beta/ichi/242977213</x:t>
  </x:si>
  <x:si>
    <x:t>AAA.BA.BJ</x:t>
  </x:si>
  <x:si>
    <x:t>- - - - - Ultrasound of brain</x:t>
  </x:si>
  <x:si>
    <x:t>http://id.who.int/icd/entity/1171183384</x:t>
  </x:si>
  <x:si>
    <x:t>http://id.who.int/icd/release/11/beta/ichi/1171183384</x:t>
  </x:si>
  <x:si>
    <x:t>AAA.DL.AA</x:t>
  </x:si>
  <x:si>
    <x:t>- - - - - Insertion of device into brain</x:t>
  </x:si>
  <x:si>
    <x:t>http://id.who.int/icd/entity/789267009</x:t>
  </x:si>
  <x:si>
    <x:t>http://id.who.int/icd/release/11/beta/ichi/789267009</x:t>
  </x:si>
  <x:si>
    <x:t>AAA.DL.AE</x:t>
  </x:si>
  <x:si>
    <x:t>- - - - - Percutaneous insertion of device into brain</x:t>
  </x:si>
  <x:si>
    <x:t>http://id.who.int/icd/entity/1329117002</x:t>
  </x:si>
  <x:si>
    <x:t>http://id.who.int/icd/release/11/beta/ichi/1329117002</x:t>
  </x:si>
  <x:si>
    <x:t>AAA.FA.AA</x:t>
  </x:si>
  <x:si>
    <x:t>- - - - - Incision of brain</x:t>
  </x:si>
  <x:si>
    <x:t>http://id.who.int/icd/entity/260699983</x:t>
  </x:si>
  <x:si>
    <x:t>http://id.who.int/icd/release/11/beta/ichi/260699983</x:t>
  </x:si>
  <x:si>
    <x:t>AAA.FA.AE</x:t>
  </x:si>
  <x:si>
    <x:t>- - - - - Percutaneous incision of brain</x:t>
  </x:si>
  <x:si>
    <x:t>http://id.who.int/icd/entity/892844969</x:t>
  </x:si>
  <x:si>
    <x:t>http://id.who.int/icd/release/11/beta/ichi/892844969</x:t>
  </x:si>
  <x:si>
    <x:t>AAA.FB.AA</x:t>
  </x:si>
  <x:si>
    <x:t>- - - - - Division of brain tissue</x:t>
  </x:si>
  <x:si>
    <x:t>http://id.who.int/icd/entity/1620948342</x:t>
  </x:si>
  <x:si>
    <x:t>http://id.who.int/icd/release/11/beta/ichi/1620948342</x:t>
  </x:si>
  <x:si>
    <x:t>AAA.FC.AA</x:t>
  </x:si>
  <x:si>
    <x:t>- - - - - Intracranial release</x:t>
  </x:si>
  <x:si>
    <x:t>http://id.who.int/icd/entity/820407495</x:t>
  </x:si>
  <x:si>
    <x:t>http://id.who.int/icd/release/11/beta/ichi/820407495</x:t>
  </x:si>
  <x:si>
    <x:t>AAA.GA.AA</x:t>
  </x:si>
  <x:si>
    <x:t>- - - - - Destruction of lesion or tissue of brain</x:t>
  </x:si>
  <x:si>
    <x:t>http://id.who.int/icd/entity/258740191</x:t>
  </x:si>
  <x:si>
    <x:t>http://id.who.int/icd/release/11/beta/ichi/258740191</x:t>
  </x:si>
  <x:si>
    <x:t>AAA.GA.AH</x:t>
  </x:si>
  <x:si>
    <x:t>- - - - - Laser interstitial thermal therapy of lesion or tissue of brain</x:t>
  </x:si>
  <x:si>
    <x:t>http://id.who.int/icd/entity/1162930358</x:t>
  </x:si>
  <x:si>
    <x:t>http://id.who.int/icd/release/11/beta/ichi/1162930358</x:t>
  </x:si>
  <x:si>
    <x:t>AAA.GA.BA</x:t>
  </x:si>
  <x:si>
    <x:t>- - - - - Destruction of lesion or tissue of brain by radiotherapy</x:t>
  </x:si>
  <x:si>
    <x:t>http://id.who.int/icd/entity/1246679126</x:t>
  </x:si>
  <x:si>
    <x:t>http://id.who.int/icd/release/11/beta/ichi/1246679126</x:t>
  </x:si>
  <x:si>
    <x:t>AAA.JB.AA</x:t>
  </x:si>
  <x:si>
    <x:t>- - - - - Drainage of brain</x:t>
  </x:si>
  <x:si>
    <x:t>http://id.who.int/icd/entity/7485245</x:t>
  </x:si>
  <x:si>
    <x:t>http://id.who.int/icd/release/11/beta/ichi/7485245</x:t>
  </x:si>
  <x:si>
    <x:t>AAA.JD.AA</x:t>
  </x:si>
  <x:si>
    <x:t>- - - - - Removal of internal device or foreign body from brain</x:t>
  </x:si>
  <x:si>
    <x:t>http://id.who.int/icd/entity/186459039</x:t>
  </x:si>
  <x:si>
    <x:t>http://id.who.int/icd/release/11/beta/ichi/186459039</x:t>
  </x:si>
  <x:si>
    <x:t>AAA.JD.AE</x:t>
  </x:si>
  <x:si>
    <x:t>- - - - - Percutaneous removal of internal device or foreign body from brain</x:t>
  </x:si>
  <x:si>
    <x:t>http://id.who.int/icd/entity/711845987</x:t>
  </x:si>
  <x:si>
    <x:t>http://id.who.int/icd/release/11/beta/ichi/711845987</x:t>
  </x:si>
  <x:si>
    <x:t>AAA.JG.AA</x:t>
  </x:si>
  <x:si>
    <x:t>- - - - - Debridement of brain</x:t>
  </x:si>
  <x:si>
    <x:t>http://id.who.int/icd/entity/26248435</x:t>
  </x:si>
  <x:si>
    <x:t>http://id.who.int/icd/release/11/beta/ichi/26248435</x:t>
  </x:si>
  <x:si>
    <x:t>AAA.JI.AA</x:t>
  </x:si>
  <x:si>
    <x:t>- - - - - Local excision of lesion of brain</x:t>
  </x:si>
  <x:si>
    <x:t>http://id.who.int/icd/entity/445761199</x:t>
  </x:si>
  <x:si>
    <x:t>http://id.who.int/icd/release/11/beta/ichi/445761199</x:t>
  </x:si>
  <x:si>
    <x:t>AAA.JI.AB</x:t>
  </x:si>
  <x:si>
    <x:t>- - - - - Endoscopic local excision of lesion of brain</x:t>
  </x:si>
  <x:si>
    <x:t>http://id.who.int/icd/entity/1431751550</x:t>
  </x:si>
  <x:si>
    <x:t>http://id.who.int/icd/release/11/beta/ichi/1431751550</x:t>
  </x:si>
  <x:si>
    <x:t>AAA.JJ.AA</x:t>
  </x:si>
  <x:si>
    <x:t>- - - - - Partial excision of brain</x:t>
  </x:si>
  <x:si>
    <x:t>http://id.who.int/icd/entity/1165601372</x:t>
  </x:si>
  <x:si>
    <x:t>http://id.who.int/icd/release/11/beta/ichi/1165601372</x:t>
  </x:si>
  <x:si>
    <x:t>AAA.JJ.AE</x:t>
  </x:si>
  <x:si>
    <x:t>- - - - - Percutaneous partial excision of brain</x:t>
  </x:si>
  <x:si>
    <x:t>http://id.who.int/icd/entity/1782141172</x:t>
  </x:si>
  <x:si>
    <x:t>http://id.who.int/icd/release/11/beta/ichi/1782141172</x:t>
  </x:si>
  <x:si>
    <x:t>AAA.KA.AA</x:t>
  </x:si>
  <x:si>
    <x:t>- - - - - Replacement of intracranial device</x:t>
  </x:si>
  <x:si>
    <x:t>http://id.who.int/icd/entity/1863155466</x:t>
  </x:si>
  <x:si>
    <x:t>http://id.who.int/icd/release/11/beta/ichi/1863155466</x:t>
  </x:si>
  <x:si>
    <x:t>AAA.MK.AA</x:t>
  </x:si>
  <x:si>
    <x:t>- - - - - Repair of encephalocele of brain</x:t>
  </x:si>
  <x:si>
    <x:t>http://id.who.int/icd/entity/1622472600</x:t>
  </x:si>
  <x:si>
    <x:t>http://id.who.int/icd/release/11/beta/ichi/1622472600</x:t>
  </x:si>
  <x:si>
    <x:t>AAA.SC.BO</x:t>
  </x:si>
  <x:si>
    <x:t>- - - - - Transcranial magnetic stimulation</x:t>
  </x:si>
  <x:si>
    <x:t>http://id.who.int/icd/entity/522740983</x:t>
  </x:si>
  <x:si>
    <x:t>http://id.who.int/icd/release/11/beta/ichi/522740983</x:t>
  </x:si>
  <x:si>
    <x:t>AAA.SC.BP</x:t>
  </x:si>
  <x:si>
    <x:t>- - - - - Stimulation of the brain using electric fields</x:t>
  </x:si>
  <x:si>
    <x:t>http://id.who.int/icd/entity/1611876330</x:t>
  </x:si>
  <x:si>
    <x:t>http://id.who.int/icd/release/11/beta/ichi/1611876330</x:t>
  </x:si>
  <x:si>
    <x:t>AAC.AD.AA</x:t>
  </x:si>
  <x:si>
    <x:t>- - - - - Biopsy of cerebral meninges</x:t>
  </x:si>
  <x:si>
    <x:t>http://id.who.int/icd/entity/1009994990</x:t>
  </x:si>
  <x:si>
    <x:t>http://id.who.int/icd/release/11/beta/ichi/1009994990</x:t>
  </x:si>
  <x:si>
    <x:t>AAC.AD.AE</x:t>
  </x:si>
  <x:si>
    <x:t>- - - - - Percutaneous biopsy of cerebral meninges</x:t>
  </x:si>
  <x:si>
    <x:t>http://id.who.int/icd/entity/109903882</x:t>
  </x:si>
  <x:si>
    <x:t>http://id.who.int/icd/release/11/beta/ichi/109903882</x:t>
  </x:si>
  <x:si>
    <x:t>AAC.FC.AA</x:t>
  </x:si>
  <x:si>
    <x:t>- - - - - Release of cortical adhesions</x:t>
  </x:si>
  <x:si>
    <x:t>http://id.who.int/icd/entity/591420874</x:t>
  </x:si>
  <x:si>
    <x:t>http://id.who.int/icd/release/11/beta/ichi/591420874</x:t>
  </x:si>
  <x:si>
    <x:t>AAC.JB.AA</x:t>
  </x:si>
  <x:si>
    <x:t>- - - - - Drainage of cerebral meninges</x:t>
  </x:si>
  <x:si>
    <x:t>http://id.who.int/icd/entity/1295539875</x:t>
  </x:si>
  <x:si>
    <x:t>http://id.who.int/icd/release/11/beta/ichi/1295539875</x:t>
  </x:si>
  <x:si>
    <x:t>AAC.JI.AA</x:t>
  </x:si>
  <x:si>
    <x:t>- - - - - Local excision of lesion of cerebral meninges</x:t>
  </x:si>
  <x:si>
    <x:t>http://id.who.int/icd/entity/1551597269</x:t>
  </x:si>
  <x:si>
    <x:t>http://id.who.int/icd/release/11/beta/ichi/1551597269</x:t>
  </x:si>
  <x:si>
    <x:t>AAC.JJ.AA</x:t>
  </x:si>
  <x:si>
    <x:t>- - - - - Partial excision of cerebral meninges</x:t>
  </x:si>
  <x:si>
    <x:t>http://id.who.int/icd/entity/472892996</x:t>
  </x:si>
  <x:si>
    <x:t>http://id.who.int/icd/release/11/beta/ichi/472892996</x:t>
  </x:si>
  <x:si>
    <x:t>AAC.MK.AA</x:t>
  </x:si>
  <x:si>
    <x:t>- - - - - Repair of cerebral meninges</x:t>
  </x:si>
  <x:si>
    <x:t>http://id.who.int/icd/entity/549685297</x:t>
  </x:si>
  <x:si>
    <x:t>http://id.who.int/icd/release/11/beta/ichi/549685297</x:t>
  </x:si>
  <x:si>
    <x:t>AAC.MK.AD</x:t>
  </x:si>
  <x:si>
    <x:t>- - - - - Endoscopic repair of cerebral meninges</x:t>
  </x:si>
  <x:si>
    <x:t>http://id.who.int/icd/entity/1444094249</x:t>
  </x:si>
  <x:si>
    <x:t>http://id.who.int/icd/release/11/beta/ichi/1444094249</x:t>
  </x:si>
  <x:si>
    <x:t>AAC.ML.AA</x:t>
  </x:si>
  <x:si>
    <x:t>- - - - - Repair of cerebral meninges with cranioplasty</x:t>
  </x:si>
  <x:si>
    <x:t>http://id.who.int/icd/entity/379740464</x:t>
  </x:si>
  <x:si>
    <x:t>http://id.who.int/icd/release/11/beta/ichi/379740464</x:t>
  </x:si>
  <x:si>
    <x:t>AAE.AD.AB</x:t>
  </x:si>
  <x:si>
    <x:t>- - - - - Closed biopsy of ventricles of brain</x:t>
  </x:si>
  <x:si>
    <x:t>http://id.who.int/icd/entity/971152256</x:t>
  </x:si>
  <x:si>
    <x:t>http://id.who.int/icd/release/11/beta/ichi/971152256</x:t>
  </x:si>
  <x:si>
    <x:t>AAE.AE.AB</x:t>
  </x:si>
  <x:si>
    <x:t>- - - - - Ventriculoscopy</x:t>
  </x:si>
  <x:si>
    <x:t>http://id.who.int/icd/entity/1771651633</x:t>
  </x:si>
  <x:si>
    <x:t>http://id.who.int/icd/release/11/beta/ichi/1771651633</x:t>
  </x:si>
  <x:si>
    <x:t>AAE.AH.XE</x:t>
  </x:si>
  <x:si>
    <x:t>- - - - - Specimen collection from intracranial space</x:t>
  </x:si>
  <x:si>
    <x:t>http://id.who.int/icd/entity/587339052</x:t>
  </x:si>
  <x:si>
    <x:t>http://id.who.int/icd/release/11/beta/ichi/587339052</x:t>
  </x:si>
  <x:si>
    <x:t>AAE.DN.AA</x:t>
  </x:si>
  <x:si>
    <x:t>- - - - - Implantation of internal device into ventricles of brain</x:t>
  </x:si>
  <x:si>
    <x:t>http://id.who.int/icd/entity/1567530489</x:t>
  </x:si>
  <x:si>
    <x:t>http://id.who.int/icd/release/11/beta/ichi/1567530489</x:t>
  </x:si>
  <x:si>
    <x:t>AAE.FA.AA</x:t>
  </x:si>
  <x:si>
    <x:t>- - - - - Incision of ventricles of brain</x:t>
  </x:si>
  <x:si>
    <x:t>http://id.who.int/icd/entity/531011177</x:t>
  </x:si>
  <x:si>
    <x:t>http://id.who.int/icd/release/11/beta/ichi/531011177</x:t>
  </x:si>
  <x:si>
    <x:t>AAE.GA.AE</x:t>
  </x:si>
  <x:si>
    <x:t>- - - - - Endoscopic destruction of lesion or tissue of ventricles of brain</x:t>
  </x:si>
  <x:si>
    <x:t>http://id.who.int/icd/entity/205713284</x:t>
  </x:si>
  <x:si>
    <x:t>http://id.who.int/icd/release/11/beta/ichi/205713284</x:t>
  </x:si>
  <x:si>
    <x:t>AAE.JB.AA</x:t>
  </x:si>
  <x:si>
    <x:t>- - - - - Drainage of ventricles of brain</x:t>
  </x:si>
  <x:si>
    <x:t>http://id.who.int/icd/entity/496306559</x:t>
  </x:si>
  <x:si>
    <x:t>http://id.who.int/icd/release/11/beta/ichi/496306559</x:t>
  </x:si>
  <x:si>
    <x:t>AAE.JB.AE</x:t>
  </x:si>
  <x:si>
    <x:t>- - - - - Percutaneous drainage of ventricles of brain</x:t>
  </x:si>
  <x:si>
    <x:t>http://id.who.int/icd/entity/959324670</x:t>
  </x:si>
  <x:si>
    <x:t>http://id.who.int/icd/release/11/beta/ichi/959324670</x:t>
  </x:si>
  <x:si>
    <x:t>AAE.JD.AA</x:t>
  </x:si>
  <x:si>
    <x:t>- - - - - Removal of internal device or foreign body from ventricles of brain</x:t>
  </x:si>
  <x:si>
    <x:t>http://id.who.int/icd/entity/59796762</x:t>
  </x:si>
  <x:si>
    <x:t>http://id.who.int/icd/release/11/beta/ichi/59796762</x:t>
  </x:si>
  <x:si>
    <x:t>AAE.JD.AH</x:t>
  </x:si>
  <x:si>
    <x:t>- - - - - External removal of foreign body or internal device from ventricles of brain</x:t>
  </x:si>
  <x:si>
    <x:t>http://id.who.int/icd/entity/805900679</x:t>
  </x:si>
  <x:si>
    <x:t>http://id.who.int/icd/release/11/beta/ichi/805900679</x:t>
  </x:si>
  <x:si>
    <x:t>AAE.JI.AA</x:t>
  </x:si>
  <x:si>
    <x:t>- - - - - Local excision of lesion of the ventricles of the brain</x:t>
  </x:si>
  <x:si>
    <x:t>http://id.who.int/icd/entity/1875591332</x:t>
  </x:si>
  <x:si>
    <x:t>http://id.who.int/icd/release/11/beta/ichi/1875591332</x:t>
  </x:si>
  <x:si>
    <x:t>AAE.JI.AB</x:t>
  </x:si>
  <x:si>
    <x:t>- - - - - Endoscopic local excision of lesion of ventricles of the brain</x:t>
  </x:si>
  <x:si>
    <x:t>http://id.who.int/icd/entity/1457494871</x:t>
  </x:si>
  <x:si>
    <x:t>http://id.who.int/icd/release/11/beta/ichi/1457494871</x:t>
  </x:si>
  <x:si>
    <x:t>AAE.JJ.AA</x:t>
  </x:si>
  <x:si>
    <x:t>- - - - - Partial excision of ventricles of brain</x:t>
  </x:si>
  <x:si>
    <x:t>http://id.who.int/icd/entity/408873474</x:t>
  </x:si>
  <x:si>
    <x:t>http://id.who.int/icd/release/11/beta/ichi/408873474</x:t>
  </x:si>
  <x:si>
    <x:t>AAE.KA.AA</x:t>
  </x:si>
  <x:si>
    <x:t>- - - - - Replacement of ventricular device</x:t>
  </x:si>
  <x:si>
    <x:t>http://id.who.int/icd/entity/1382157673</x:t>
  </x:si>
  <x:si>
    <x:t>http://id.who.int/icd/release/11/beta/ichi/1382157673</x:t>
  </x:si>
  <x:si>
    <x:t>AAE.LH.AA</x:t>
  </x:si>
  <x:si>
    <x:t>- - - - - Dilatation of ventricles of brain with insertion of device</x:t>
  </x:si>
  <x:si>
    <x:t>http://id.who.int/icd/entity/2085533335</x:t>
  </x:si>
  <x:si>
    <x:t>http://id.who.int/icd/release/11/beta/ichi/2085533335</x:t>
  </x:si>
  <x:si>
    <x:t>AAE.LI.AA</x:t>
  </x:si>
  <x:si>
    <x:t>- - - - - Ventricular shunt</x:t>
  </x:si>
  <x:si>
    <x:t>http://id.who.int/icd/entity/687947992</x:t>
  </x:si>
  <x:si>
    <x:t>http://id.who.int/icd/release/11/beta/ichi/687947992</x:t>
  </x:si>
  <x:si>
    <x:t>AAE.LI.AB</x:t>
  </x:si>
  <x:si>
    <x:t>- - - - - Endoscopic ventricular shunt</x:t>
  </x:si>
  <x:si>
    <x:t>http://id.who.int/icd/entity/1205793729</x:t>
  </x:si>
  <x:si>
    <x:t>http://id.who.int/icd/release/11/beta/ichi/1205793729</x:t>
  </x:si>
  <x:si>
    <x:t>AAE.SN.AA</x:t>
  </x:si>
  <x:si>
    <x:t>- - - - - Management of internal device of ventricles of brain</x:t>
  </x:si>
  <x:si>
    <x:t>http://id.who.int/icd/entity/1938618679</x:t>
  </x:si>
  <x:si>
    <x:t>http://id.who.int/icd/release/11/beta/ichi/1938618679</x:t>
  </x:si>
  <x:si>
    <x:t>AAG.AH.AE</x:t>
  </x:si>
  <x:si>
    <x:t>- - - - - Cranial puncture</x:t>
  </x:si>
  <x:si>
    <x:t>http://id.who.int/icd/entity/393829682</x:t>
  </x:si>
  <x:si>
    <x:t>http://id.who.int/icd/release/11/beta/ichi/393829682</x:t>
  </x:si>
  <x:si>
    <x:t>AAG.DN.AA</x:t>
  </x:si>
  <x:si>
    <x:t>- - - - - Implantation of device into intracranial space</x:t>
  </x:si>
  <x:si>
    <x:t>http://id.who.int/icd/entity/1744565951</x:t>
  </x:si>
  <x:si>
    <x:t>http://id.who.int/icd/release/11/beta/ichi/1744565951</x:t>
  </x:si>
  <x:si>
    <x:t>AAG.JB.AA</x:t>
  </x:si>
  <x:si>
    <x:t>- - - - - Drainage of intracranial space</x:t>
  </x:si>
  <x:si>
    <x:t>http://id.who.int/icd/entity/2020417291</x:t>
  </x:si>
  <x:si>
    <x:t>http://id.who.int/icd/release/11/beta/ichi/2020417291</x:t>
  </x:si>
  <x:si>
    <x:t>AAG.JB.AE</x:t>
  </x:si>
  <x:si>
    <x:t>- - - - - Percutaneous drainage of intracranial space</x:t>
  </x:si>
  <x:si>
    <x:t>http://id.who.int/icd/entity/2010421145</x:t>
  </x:si>
  <x:si>
    <x:t>http://id.who.int/icd/release/11/beta/ichi/2010421145</x:t>
  </x:si>
  <x:si>
    <x:t>AAG.JI.AA</x:t>
  </x:si>
  <x:si>
    <x:t>- - - - - Local excision of lesion of intracranial space</x:t>
  </x:si>
  <x:si>
    <x:t>http://id.who.int/icd/entity/580608472</x:t>
  </x:si>
  <x:si>
    <x:t>http://id.who.int/icd/release/11/beta/ichi/580608472</x:t>
  </x:si>
  <x:si>
    <x:t>AAN.AD.AA</x:t>
  </x:si>
  <x:si>
    <x:t>- - - - - Biopsy of cranial nerve or ganglion</x:t>
  </x:si>
  <x:si>
    <x:t>http://id.who.int/icd/entity/232495992</x:t>
  </x:si>
  <x:si>
    <x:t>http://id.who.int/icd/release/11/beta/ichi/232495992</x:t>
  </x:si>
  <x:si>
    <x:t>AAN.AD.AE</x:t>
  </x:si>
  <x:si>
    <x:t>- - - - - Percutaneous biopsy of cranial nerve or ganglion</x:t>
  </x:si>
  <x:si>
    <x:t>http://id.who.int/icd/entity/196179643</x:t>
  </x:si>
  <x:si>
    <x:t>http://id.who.int/icd/release/11/beta/ichi/196179643</x:t>
  </x:si>
  <x:si>
    <x:t>AAN.DC.AE</x:t>
  </x:si>
  <x:si>
    <x:t>- - - - - Injection of anaesthetic into cranial nerve</x:t>
  </x:si>
  <x:si>
    <x:t>http://id.who.int/icd/entity/2102997237</x:t>
  </x:si>
  <x:si>
    <x:t>http://id.who.int/icd/release/11/beta/ichi/2102997237</x:t>
  </x:si>
  <x:si>
    <x:t>AAN.DL.AA</x:t>
  </x:si>
  <x:si>
    <x:t>- - - - - Insertion of cranial nerve device</x:t>
  </x:si>
  <x:si>
    <x:t>http://id.who.int/icd/entity/1279578831</x:t>
  </x:si>
  <x:si>
    <x:t>http://id.who.int/icd/release/11/beta/ichi/1279578831</x:t>
  </x:si>
  <x:si>
    <x:t>AAN.DN.AE</x:t>
  </x:si>
  <x:si>
    <x:t>- - - - - Percutaneous insertion of cranial nerve device</x:t>
  </x:si>
  <x:si>
    <x:t>http://id.who.int/icd/entity/1751858371</x:t>
  </x:si>
  <x:si>
    <x:t>http://id.who.int/icd/release/11/beta/ichi/1751858371</x:t>
  </x:si>
  <x:si>
    <x:t>AAN.FA.AA</x:t>
  </x:si>
  <x:si>
    <x:t>- - - - - Incision of cranial nerve</x:t>
  </x:si>
  <x:si>
    <x:t>http://id.who.int/icd/entity/101924780</x:t>
  </x:si>
  <x:si>
    <x:t>http://id.who.int/icd/release/11/beta/ichi/101924780</x:t>
  </x:si>
  <x:si>
    <x:t>AAN.FB.AA</x:t>
  </x:si>
  <x:si>
    <x:t>- - - - - Division of cranial nerve</x:t>
  </x:si>
  <x:si>
    <x:t>http://id.who.int/icd/entity/1389719589</x:t>
  </x:si>
  <x:si>
    <x:t>http://id.who.int/icd/release/11/beta/ichi/1389719589</x:t>
  </x:si>
  <x:si>
    <x:t>AAN.FC.AA</x:t>
  </x:si>
  <x:si>
    <x:t>- - - - - Release of cranial nerve</x:t>
  </x:si>
  <x:si>
    <x:t>http://id.who.int/icd/entity/1302749441</x:t>
  </x:si>
  <x:si>
    <x:t>http://id.who.int/icd/release/11/beta/ichi/1302749441</x:t>
  </x:si>
  <x:si>
    <x:t>AAN.GA.AA</x:t>
  </x:si>
  <x:si>
    <x:t>- - - - - Destruction of cranial nerve</x:t>
  </x:si>
  <x:si>
    <x:t>http://id.who.int/icd/entity/955325364</x:t>
  </x:si>
  <x:si>
    <x:t>http://id.who.int/icd/release/11/beta/ichi/955325364</x:t>
  </x:si>
  <x:si>
    <x:t>AAN.GA.AE</x:t>
  </x:si>
  <x:si>
    <x:t>- - - - - Percutaneous destruction of cranial nerve</x:t>
  </x:si>
  <x:si>
    <x:t>http://id.who.int/icd/entity/1754186835</x:t>
  </x:si>
  <x:si>
    <x:t>http://id.who.int/icd/release/11/beta/ichi/1754186835</x:t>
  </x:si>
  <x:si>
    <x:t>AAN.GA.BA</x:t>
  </x:si>
  <x:si>
    <x:t>- - - - - Destruction of cranial nerve by radiation therapy</x:t>
  </x:si>
  <x:si>
    <x:t>http://id.who.int/icd/entity/397797196</x:t>
  </x:si>
  <x:si>
    <x:t>http://id.who.int/icd/release/11/beta/ichi/397797196</x:t>
  </x:si>
  <x:si>
    <x:t>AAN.JD.AA</x:t>
  </x:si>
  <x:si>
    <x:t>- - - - - Removal of internal device or foreign body from cranial nerve</x:t>
  </x:si>
  <x:si>
    <x:t>http://id.who.int/icd/entity/125796090</x:t>
  </x:si>
  <x:si>
    <x:t>http://id.who.int/icd/release/11/beta/ichi/125796090</x:t>
  </x:si>
  <x:si>
    <x:t>AAN.JD.AE</x:t>
  </x:si>
  <x:si>
    <x:t>- - - - - Percutaneous removal of internal device or foreign body from cranial nerve</x:t>
  </x:si>
  <x:si>
    <x:t>http://id.who.int/icd/entity/147256936</x:t>
  </x:si>
  <x:si>
    <x:t>http://id.who.int/icd/release/11/beta/ichi/147256936</x:t>
  </x:si>
  <x:si>
    <x:t>AAN.JJ.AA</x:t>
  </x:si>
  <x:si>
    <x:t>- - - - - Partial excision of cranial nerve</x:t>
  </x:si>
  <x:si>
    <x:t>http://id.who.int/icd/entity/131649164</x:t>
  </x:si>
  <x:si>
    <x:t>http://id.who.int/icd/release/11/beta/ichi/131649164</x:t>
  </x:si>
  <x:si>
    <x:t>AAN.KA.AA</x:t>
  </x:si>
  <x:si>
    <x:t>- - - - - Replacement of cranial nerve device</x:t>
  </x:si>
  <x:si>
    <x:t>http://id.who.int/icd/entity/1306798561</x:t>
  </x:si>
  <x:si>
    <x:t>http://id.who.int/icd/release/11/beta/ichi/1306798561</x:t>
  </x:si>
  <x:si>
    <x:t>AAN.KA.AE</x:t>
  </x:si>
  <x:si>
    <x:t>- - - - - Percutaneous replacement of cranial nerve device</x:t>
  </x:si>
  <x:si>
    <x:t>http://id.who.int/icd/entity/1885253548</x:t>
  </x:si>
  <x:si>
    <x:t>http://id.who.int/icd/release/11/beta/ichi/1885253548</x:t>
  </x:si>
  <x:si>
    <x:t>AAN.LB.AA</x:t>
  </x:si>
  <x:si>
    <x:t>- - - - - Anastomosis of cranial nerve</x:t>
  </x:si>
  <x:si>
    <x:t>http://id.who.int/icd/entity/446380795</x:t>
  </x:si>
  <x:si>
    <x:t>http://id.who.int/icd/release/11/beta/ichi/446380795</x:t>
  </x:si>
  <x:si>
    <x:t>AAN.LJ.AA</x:t>
  </x:si>
  <x:si>
    <x:t>- - - - - Transposition of cranial nerve</x:t>
  </x:si>
  <x:si>
    <x:t>http://id.who.int/icd/entity/564973533</x:t>
  </x:si>
  <x:si>
    <x:t>http://id.who.int/icd/release/11/beta/ichi/564973533</x:t>
  </x:si>
  <x:si>
    <x:t>AAN.MK.AA</x:t>
  </x:si>
  <x:si>
    <x:t>- - - - - Repair of cranial nerve</x:t>
  </x:si>
  <x:si>
    <x:t>http://id.who.int/icd/entity/2121178880</x:t>
  </x:si>
  <x:si>
    <x:t>http://id.who.int/icd/release/11/beta/ichi/2121178880</x:t>
  </x:si>
  <x:si>
    <x:t>AAN.ML.AA</x:t>
  </x:si>
  <x:si>
    <x:t>- - - - - Cranial nerve graft</x:t>
  </x:si>
  <x:si>
    <x:t>http://id.who.int/icd/entity/250361203</x:t>
  </x:si>
  <x:si>
    <x:t>http://id.who.int/icd/release/11/beta/ichi/250361203</x:t>
  </x:si>
  <x:si>
    <x:t>AAN.SC.BP</x:t>
  </x:si>
  <x:si>
    <x:t>- - - - - Stimulation of cranial nerve</x:t>
  </x:si>
  <x:si>
    <x:t>http://id.who.int/icd/entity/1531329452</x:t>
  </x:si>
  <x:si>
    <x:t>http://id.who.int/icd/release/11/beta/ichi/1531329452</x:t>
  </x:si>
  <x:si>
    <x:t>BlockL4-ABA</x:t>
  </x:si>
  <x:si>
    <x:t>- - - - Interventions on spinal cord structures</x:t>
  </x:si>
  <x:si>
    <x:t>53</x:t>
  </x:si>
  <x:si>
    <x:t>http://id.who.int/icd/entity/2076133778</x:t>
  </x:si>
  <x:si>
    <x:t>http://id.who.int/icd/release/11/beta/ichi/2076133778</x:t>
  </x:si>
  <x:si>
    <x:t>ABA.AD.AA</x:t>
  </x:si>
  <x:si>
    <x:t>- - - - - Biopsy of spinal cord</x:t>
  </x:si>
  <x:si>
    <x:t>http://id.who.int/icd/entity/1935531037</x:t>
  </x:si>
  <x:si>
    <x:t>http://id.who.int/icd/release/11/beta/ichi/1935531037</x:t>
  </x:si>
  <x:si>
    <x:t>ABA.AD.AE</x:t>
  </x:si>
  <x:si>
    <x:t>- - - - - Percutaneous biopsy of spinal cord</x:t>
  </x:si>
  <x:si>
    <x:t>http://id.who.int/icd/entity/1946599684</x:t>
  </x:si>
  <x:si>
    <x:t>http://id.who.int/icd/release/11/beta/ichi/1946599684</x:t>
  </x:si>
  <x:si>
    <x:t>ABA.BA.BA</x:t>
  </x:si>
  <x:si>
    <x:t>- - - - - X-ray of spinal cord</x:t>
  </x:si>
  <x:si>
    <x:t>http://id.who.int/icd/entity/558446413</x:t>
  </x:si>
  <x:si>
    <x:t>http://id.who.int/icd/release/11/beta/ichi/558446413</x:t>
  </x:si>
  <x:si>
    <x:t>ABA.BA.BB</x:t>
  </x:si>
  <x:si>
    <x:t>- - - - - Radiography of the spinal cord with contrast medium</x:t>
  </x:si>
  <x:si>
    <x:t>http://id.who.int/icd/entity/235523555</x:t>
  </x:si>
  <x:si>
    <x:t>http://id.who.int/icd/release/11/beta/ichi/235523555</x:t>
  </x:si>
  <x:si>
    <x:t>ABA.BA.BH</x:t>
  </x:si>
  <x:si>
    <x:t>- - - - - Magnetic resonance imaging of spinal cord</x:t>
  </x:si>
  <x:si>
    <x:t>http://id.who.int/icd/entity/1584534610</x:t>
  </x:si>
  <x:si>
    <x:t>http://id.who.int/icd/release/11/beta/ichi/1584534610</x:t>
  </x:si>
  <x:si>
    <x:t>ABA.BA.BJ</x:t>
  </x:si>
  <x:si>
    <x:t>- - - - - Ultrasound of spinal cord</x:t>
  </x:si>
  <x:si>
    <x:t>http://id.who.int/icd/entity/1150458618</x:t>
  </x:si>
  <x:si>
    <x:t>http://id.who.int/icd/release/11/beta/ichi/1150458618</x:t>
  </x:si>
  <x:si>
    <x:t>ABA.FA.AA</x:t>
  </x:si>
  <x:si>
    <x:t>- - - - - Cordotomy</x:t>
  </x:si>
  <x:si>
    <x:t>http://id.who.int/icd/entity/1869608554</x:t>
  </x:si>
  <x:si>
    <x:t>http://id.who.int/icd/release/11/beta/ichi/1869608554</x:t>
  </x:si>
  <x:si>
    <x:t>ABA.FA.AE</x:t>
  </x:si>
  <x:si>
    <x:t>- - - - - Percutaneous cordotomy</x:t>
  </x:si>
  <x:si>
    <x:t>http://id.who.int/icd/entity/1591059492</x:t>
  </x:si>
  <x:si>
    <x:t>http://id.who.int/icd/release/11/beta/ichi/1591059492</x:t>
  </x:si>
  <x:si>
    <x:t>ABA.FC.AA</x:t>
  </x:si>
  <x:si>
    <x:t>- - - - - Release of spinal cord</x:t>
  </x:si>
  <x:si>
    <x:t>http://id.who.int/icd/entity/2118638610</x:t>
  </x:si>
  <x:si>
    <x:t>http://id.who.int/icd/release/11/beta/ichi/2118638610</x:t>
  </x:si>
  <x:si>
    <x:t>ABA.GA.AA</x:t>
  </x:si>
  <x:si>
    <x:t>- - - - - Destruction of spinal cord</x:t>
  </x:si>
  <x:si>
    <x:t>http://id.who.int/icd/entity/24968975</x:t>
  </x:si>
  <x:si>
    <x:t>http://id.who.int/icd/release/11/beta/ichi/24968975</x:t>
  </x:si>
  <x:si>
    <x:t>ABA.JG.AA</x:t>
  </x:si>
  <x:si>
    <x:t>- - - - - Debridement of spinal cord</x:t>
  </x:si>
  <x:si>
    <x:t>http://id.who.int/icd/entity/1359423166</x:t>
  </x:si>
  <x:si>
    <x:t>http://id.who.int/icd/release/11/beta/ichi/1359423166</x:t>
  </x:si>
  <x:si>
    <x:t>ABA.JI.AA</x:t>
  </x:si>
  <x:si>
    <x:t>- - - - - Local excision of lesion of spinal cord</x:t>
  </x:si>
  <x:si>
    <x:t>http://id.who.int/icd/entity/1412630848</x:t>
  </x:si>
  <x:si>
    <x:t>http://id.who.int/icd/release/11/beta/ichi/1412630848</x:t>
  </x:si>
  <x:si>
    <x:t>ABA.MK.AA</x:t>
  </x:si>
  <x:si>
    <x:t>- - - - - Repair of spinal cord</x:t>
  </x:si>
  <x:si>
    <x:t>http://id.who.int/icd/entity/200366179</x:t>
  </x:si>
  <x:si>
    <x:t>http://id.who.int/icd/release/11/beta/ichi/200366179</x:t>
  </x:si>
  <x:si>
    <x:t>ABA.ML.AA</x:t>
  </x:si>
  <x:si>
    <x:t>- - - - - Reconstruction of spinal cord</x:t>
  </x:si>
  <x:si>
    <x:t>http://id.who.int/icd/entity/2071196656</x:t>
  </x:si>
  <x:si>
    <x:t>http://id.who.int/icd/release/11/beta/ichi/2071196656</x:t>
  </x:si>
  <x:si>
    <x:t>ABC.AD.AA</x:t>
  </x:si>
  <x:si>
    <x:t>- - - - - Biopsy of spinal meninges</x:t>
  </x:si>
  <x:si>
    <x:t>http://id.who.int/icd/entity/2124555394</x:t>
  </x:si>
  <x:si>
    <x:t>http://id.who.int/icd/release/11/beta/ichi/2124555394</x:t>
  </x:si>
  <x:si>
    <x:t>ABC.GA.AA</x:t>
  </x:si>
  <x:si>
    <x:t>- - - - - Destruction of spinal meninges</x:t>
  </x:si>
  <x:si>
    <x:t>http://id.who.int/icd/entity/1897638932</x:t>
  </x:si>
  <x:si>
    <x:t>http://id.who.int/icd/release/11/beta/ichi/1897638932</x:t>
  </x:si>
  <x:si>
    <x:t>ABC.JB.AA</x:t>
  </x:si>
  <x:si>
    <x:t>- - - - - Drainage of spinal meninges</x:t>
  </x:si>
  <x:si>
    <x:t>http://id.who.int/icd/entity/290692649</x:t>
  </x:si>
  <x:si>
    <x:t>http://id.who.int/icd/release/11/beta/ichi/290692649</x:t>
  </x:si>
  <x:si>
    <x:t>ABC.JG.AA</x:t>
  </x:si>
  <x:si>
    <x:t>- - - - - Debridement of spinal meninges</x:t>
  </x:si>
  <x:si>
    <x:t>http://id.who.int/icd/entity/1093158808</x:t>
  </x:si>
  <x:si>
    <x:t>http://id.who.int/icd/release/11/beta/ichi/1093158808</x:t>
  </x:si>
  <x:si>
    <x:t>ABC.JI.AA</x:t>
  </x:si>
  <x:si>
    <x:t>- - - - - Local excision of lesion of spinal meninges</x:t>
  </x:si>
  <x:si>
    <x:t>http://id.who.int/icd/entity/518657723</x:t>
  </x:si>
  <x:si>
    <x:t>http://id.who.int/icd/release/11/beta/ichi/518657723</x:t>
  </x:si>
  <x:si>
    <x:t>ABC.JJ.AA</x:t>
  </x:si>
  <x:si>
    <x:t>- - - - - Partial excision of spinal meninges</x:t>
  </x:si>
  <x:si>
    <x:t>http://id.who.int/icd/entity/367921175</x:t>
  </x:si>
  <x:si>
    <x:t>http://id.who.int/icd/release/11/beta/ichi/367921175</x:t>
  </x:si>
  <x:si>
    <x:t>ABC.MK.AA</x:t>
  </x:si>
  <x:si>
    <x:t>- - - - - Repair of spinal meninges</x:t>
  </x:si>
  <x:si>
    <x:t>http://id.who.int/icd/entity/1052038391</x:t>
  </x:si>
  <x:si>
    <x:t>http://id.who.int/icd/release/11/beta/ichi/1052038391</x:t>
  </x:si>
  <x:si>
    <x:t>ABG.AE.AA</x:t>
  </x:si>
  <x:si>
    <x:t>- - - - - Exploration of spinal canal</x:t>
  </x:si>
  <x:si>
    <x:t>http://id.who.int/icd/entity/2079176138</x:t>
  </x:si>
  <x:si>
    <x:t>http://id.who.int/icd/release/11/beta/ichi/2079176138</x:t>
  </x:si>
  <x:si>
    <x:t>ABG.AH.AE</x:t>
  </x:si>
  <x:si>
    <x:t>- - - - - Lumbar puncture</x:t>
  </x:si>
  <x:si>
    <x:t>http://id.who.int/icd/entity/522765135</x:t>
  </x:si>
  <x:si>
    <x:t>http://id.who.int/icd/release/11/beta/ichi/522765135</x:t>
  </x:si>
  <x:si>
    <x:t>ABG.AH.XE</x:t>
  </x:si>
  <x:si>
    <x:t>- - - - - Specimen collection from spinal canal</x:t>
  </x:si>
  <x:si>
    <x:t>http://id.who.int/icd/entity/896320669</x:t>
  </x:si>
  <x:si>
    <x:t>http://id.who.int/icd/release/11/beta/ichi/896320669</x:t>
  </x:si>
  <x:si>
    <x:t>ABG.BA.BB</x:t>
  </x:si>
  <x:si>
    <x:t>- - - - - Contrast myelogram of spinal canal</x:t>
  </x:si>
  <x:si>
    <x:t>http://id.who.int/icd/entity/607118571</x:t>
  </x:si>
  <x:si>
    <x:t>http://id.who.int/icd/release/11/beta/ichi/607118571</x:t>
  </x:si>
  <x:si>
    <x:t>ABG.BA.BH</x:t>
  </x:si>
  <x:si>
    <x:t>- - - - - Magnetic resonance imaging of spinal canal</x:t>
  </x:si>
  <x:si>
    <x:t>http://id.who.int/icd/entity/1902121638</x:t>
  </x:si>
  <x:si>
    <x:t>http://id.who.int/icd/release/11/beta/ichi/1902121638</x:t>
  </x:si>
  <x:si>
    <x:t>ABG.DB.AE</x:t>
  </x:si>
  <x:si>
    <x:t>- - - - - Injection into spinal canal</x:t>
  </x:si>
  <x:si>
    <x:t>http://id.who.int/icd/entity/259467191</x:t>
  </x:si>
  <x:si>
    <x:t>http://id.who.int/icd/release/11/beta/ichi/259467191</x:t>
  </x:si>
  <x:si>
    <x:t>ABG.DC.AE</x:t>
  </x:si>
  <x:si>
    <x:t>- - - - - Injection of anaesthetic into spinal canal</x:t>
  </x:si>
  <x:si>
    <x:t>http://id.who.int/icd/entity/763353716</x:t>
  </x:si>
  <x:si>
    <x:t>http://id.who.int/icd/release/11/beta/ichi/763353716</x:t>
  </x:si>
  <x:si>
    <x:t>ABG.DL.AA</x:t>
  </x:si>
  <x:si>
    <x:t>- - - - - Insertion of device into spinal canal</x:t>
  </x:si>
  <x:si>
    <x:t>http://id.who.int/icd/entity/1579214858</x:t>
  </x:si>
  <x:si>
    <x:t>http://id.who.int/icd/release/11/beta/ichi/1579214858</x:t>
  </x:si>
  <x:si>
    <x:t>ABG.DL.AE</x:t>
  </x:si>
  <x:si>
    <x:t>- - - - - Percutaneous insertion of device into spinal canal</x:t>
  </x:si>
  <x:si>
    <x:t>http://id.who.int/icd/entity/2064141658</x:t>
  </x:si>
  <x:si>
    <x:t>http://id.who.int/icd/release/11/beta/ichi/2064141658</x:t>
  </x:si>
  <x:si>
    <x:t>ABG.FC.AA</x:t>
  </x:si>
  <x:si>
    <x:t>- - - - - Release of spinal canal</x:t>
  </x:si>
  <x:si>
    <x:t>http://id.who.int/icd/entity/1957807564</x:t>
  </x:si>
  <x:si>
    <x:t>http://id.who.int/icd/release/11/beta/ichi/1957807564</x:t>
  </x:si>
  <x:si>
    <x:t>ABG.GA.AE</x:t>
  </x:si>
  <x:si>
    <x:t>- - - - - Injection of destructive agent into spinal canal</x:t>
  </x:si>
  <x:si>
    <x:t>http://id.who.int/icd/entity/17252793</x:t>
  </x:si>
  <x:si>
    <x:t>http://id.who.int/icd/release/11/beta/ichi/17252793</x:t>
  </x:si>
  <x:si>
    <x:t>ABG.JB.AE</x:t>
  </x:si>
  <x:si>
    <x:t>- - - - - Drainage of spinal canal</x:t>
  </x:si>
  <x:si>
    <x:t>http://id.who.int/icd/entity/1367119880</x:t>
  </x:si>
  <x:si>
    <x:t>http://id.who.int/icd/release/11/beta/ichi/1367119880</x:t>
  </x:si>
  <x:si>
    <x:t>ABG.JD.AA</x:t>
  </x:si>
  <x:si>
    <x:t>- - - - - Removal of internal device or foreign body from spinal canal</x:t>
  </x:si>
  <x:si>
    <x:t>http://id.who.int/icd/entity/2117886632</x:t>
  </x:si>
  <x:si>
    <x:t>http://id.who.int/icd/release/11/beta/ichi/2117886632</x:t>
  </x:si>
  <x:si>
    <x:t>ABG.JD.AE</x:t>
  </x:si>
  <x:si>
    <x:t>- - - - - Percutaneous removal of internal device or foreign body from spinal canal</x:t>
  </x:si>
  <x:si>
    <x:t>http://id.who.int/icd/entity/1373317242</x:t>
  </x:si>
  <x:si>
    <x:t>http://id.who.int/icd/release/11/beta/ichi/1373317242</x:t>
  </x:si>
  <x:si>
    <x:t>ABG.JD.AH</x:t>
  </x:si>
  <x:si>
    <x:t>- - - - - Removal of external device or foreign body from spinal canal</x:t>
  </x:si>
  <x:si>
    <x:t>http://id.who.int/icd/entity/786434919</x:t>
  </x:si>
  <x:si>
    <x:t>http://id.who.int/icd/release/11/beta/ichi/786434919</x:t>
  </x:si>
  <x:si>
    <x:t>ABG.JI.AA</x:t>
  </x:si>
  <x:si>
    <x:t>- - - - - Local excision of lesion of spinal canal</x:t>
  </x:si>
  <x:si>
    <x:t>http://id.who.int/icd/entity/242381653</x:t>
  </x:si>
  <x:si>
    <x:t>http://id.who.int/icd/release/11/beta/ichi/242381653</x:t>
  </x:si>
  <x:si>
    <x:t>ABG.KA.AE</x:t>
  </x:si>
  <x:si>
    <x:t>- - - - - Percutaneous replacement of spinal canal device</x:t>
  </x:si>
  <x:si>
    <x:t>http://id.who.int/icd/entity/2129713370</x:t>
  </x:si>
  <x:si>
    <x:t>http://id.who.int/icd/release/11/beta/ichi/2129713370</x:t>
  </x:si>
  <x:si>
    <x:t>ABG.LI.AA</x:t>
  </x:si>
  <x:si>
    <x:t>- - - - - Spinal shunt</x:t>
  </x:si>
  <x:si>
    <x:t>http://id.who.int/icd/entity/1781781796</x:t>
  </x:si>
  <x:si>
    <x:t>http://id.who.int/icd/release/11/beta/ichi/1781781796</x:t>
  </x:si>
  <x:si>
    <x:t>ABG.SN.AE</x:t>
  </x:si>
  <x:si>
    <x:t>- - - - - Management of internal device of spinal canal</x:t>
  </x:si>
  <x:si>
    <x:t>http://id.who.int/icd/entity/183733858</x:t>
  </x:si>
  <x:si>
    <x:t>http://id.who.int/icd/release/11/beta/ichi/183733858</x:t>
  </x:si>
  <x:si>
    <x:t>ABN.AC.AH</x:t>
  </x:si>
  <x:si>
    <x:t>- - - - - Spinal nerve conduction study</x:t>
  </x:si>
  <x:si>
    <x:t>http://id.who.int/icd/entity/285303409</x:t>
  </x:si>
  <x:si>
    <x:t>http://id.who.int/icd/release/11/beta/ichi/285303409</x:t>
  </x:si>
  <x:si>
    <x:t>ABN.AF.BP</x:t>
  </x:si>
  <x:si>
    <x:t>- - - - - Dermatometric evoked potentials</x:t>
  </x:si>
  <x:si>
    <x:t>http://id.who.int/icd/entity/1849311600</x:t>
  </x:si>
  <x:si>
    <x:t>http://id.who.int/icd/release/11/beta/ichi/1849311600</x:t>
  </x:si>
  <x:si>
    <x:t>ABN.DB.AE</x:t>
  </x:si>
  <x:si>
    <x:t>- - - - - Injection into spinal nerve</x:t>
  </x:si>
  <x:si>
    <x:t>http://id.who.int/icd/entity/732822551</x:t>
  </x:si>
  <x:si>
    <x:t>http://id.who.int/icd/release/11/beta/ichi/732822551</x:t>
  </x:si>
  <x:si>
    <x:t>ABN.DC.AE</x:t>
  </x:si>
  <x:si>
    <x:t>- - - - - Injection of anaesthetic into spinal nerve</x:t>
  </x:si>
  <x:si>
    <x:t>http://id.who.int/icd/entity/4342279</x:t>
  </x:si>
  <x:si>
    <x:t>http://id.who.int/icd/release/11/beta/ichi/4342279</x:t>
  </x:si>
  <x:si>
    <x:t>ABN.DL.AA</x:t>
  </x:si>
  <x:si>
    <x:t>- - - - - Insertion of device into spinal nerve</x:t>
  </x:si>
  <x:si>
    <x:t>http://id.who.int/icd/entity/815026461</x:t>
  </x:si>
  <x:si>
    <x:t>http://id.who.int/icd/release/11/beta/ichi/815026461</x:t>
  </x:si>
  <x:si>
    <x:t>ABN.DN.AE</x:t>
  </x:si>
  <x:si>
    <x:t>- - - - - Percutaneous implantation of device into spinal nerve</x:t>
  </x:si>
  <x:si>
    <x:t>http://id.who.int/icd/entity/1515308108</x:t>
  </x:si>
  <x:si>
    <x:t>http://id.who.int/icd/release/11/beta/ichi/1515308108</x:t>
  </x:si>
  <x:si>
    <x:t>ABN.FB.AA</x:t>
  </x:si>
  <x:si>
    <x:t>- - - - - Division of intraspinal nerve root</x:t>
  </x:si>
  <x:si>
    <x:t>http://id.who.int/icd/entity/1100956496</x:t>
  </x:si>
  <x:si>
    <x:t>http://id.who.int/icd/release/11/beta/ichi/1100956496</x:t>
  </x:si>
  <x:si>
    <x:t>ABN.FC.AA</x:t>
  </x:si>
  <x:si>
    <x:t>- - - - - Release of spinal nerve root</x:t>
  </x:si>
  <x:si>
    <x:t>http://id.who.int/icd/entity/727373319</x:t>
  </x:si>
  <x:si>
    <x:t>http://id.who.int/icd/release/11/beta/ichi/727373319</x:t>
  </x:si>
  <x:si>
    <x:t>ABN.GA.AA</x:t>
  </x:si>
  <x:si>
    <x:t>- - - - - Destruction of spinal nerve root</x:t>
  </x:si>
  <x:si>
    <x:t>http://id.who.int/icd/entity/1950299988</x:t>
  </x:si>
  <x:si>
    <x:t>http://id.who.int/icd/release/11/beta/ichi/1950299988</x:t>
  </x:si>
  <x:si>
    <x:t>ABN.GA.AE</x:t>
  </x:si>
  <x:si>
    <x:t>- - - - - Percutaneous destruction of spinal nerve root</x:t>
  </x:si>
  <x:si>
    <x:t>http://id.who.int/icd/entity/519741955</x:t>
  </x:si>
  <x:si>
    <x:t>http://id.who.int/icd/release/11/beta/ichi/519741955</x:t>
  </x:si>
  <x:si>
    <x:t>ABN.JD.AE</x:t>
  </x:si>
  <x:si>
    <x:t>- - - - - Percutaneous removal of internal device or foreign body from spinal nerve</x:t>
  </x:si>
  <x:si>
    <x:t>http://id.who.int/icd/entity/173136585</x:t>
  </x:si>
  <x:si>
    <x:t>http://id.who.int/icd/release/11/beta/ichi/173136585</x:t>
  </x:si>
  <x:si>
    <x:t>ABN.KA.AE</x:t>
  </x:si>
  <x:si>
    <x:t>- - - - - Percutaneous replacement of spinal nerve device</x:t>
  </x:si>
  <x:si>
    <x:t>http://id.who.int/icd/entity/2059510400</x:t>
  </x:si>
  <x:si>
    <x:t>http://id.who.int/icd/release/11/beta/ichi/2059510400</x:t>
  </x:si>
  <x:si>
    <x:t>ABN.SC.BP</x:t>
  </x:si>
  <x:si>
    <x:t>- - - - - Stimulation of spinal nerve</x:t>
  </x:si>
  <x:si>
    <x:t>http://id.who.int/icd/entity/1080901028</x:t>
  </x:si>
  <x:si>
    <x:t>http://id.who.int/icd/release/11/beta/ichi/1080901028</x:t>
  </x:si>
  <x:si>
    <x:t>BlockL4-ACA</x:t>
  </x:si>
  <x:si>
    <x:t>- - - - Interventions on peripheral nervous system</x:t>
  </x:si>
  <x:si>
    <x:t>25</x:t>
  </x:si>
  <x:si>
    <x:t>http://id.who.int/icd/entity/1620332446</x:t>
  </x:si>
  <x:si>
    <x:t>http://id.who.int/icd/release/11/beta/ichi/1620332446</x:t>
  </x:si>
  <x:si>
    <x:t>ACA.AC.AH</x:t>
  </x:si>
  <x:si>
    <x:t>- - - - - Peripheral nerve conduction study</x:t>
  </x:si>
  <x:si>
    <x:t>http://id.who.int/icd/entity/1885263400</x:t>
  </x:si>
  <x:si>
    <x:t>http://id.who.int/icd/release/11/beta/ichi/1885263400</x:t>
  </x:si>
  <x:si>
    <x:t>ACA.AD.AA</x:t>
  </x:si>
  <x:si>
    <x:t>- - - - - Biopsy of peripheral nerve</x:t>
  </x:si>
  <x:si>
    <x:t>http://id.who.int/icd/entity/258340151</x:t>
  </x:si>
  <x:si>
    <x:t>http://id.who.int/icd/release/11/beta/ichi/258340151</x:t>
  </x:si>
  <x:si>
    <x:t>ACA.AD.AE</x:t>
  </x:si>
  <x:si>
    <x:t>- - - - - Percutaneous biopsy of peripheral nerve</x:t>
  </x:si>
  <x:si>
    <x:t>http://id.who.int/icd/entity/1352414330</x:t>
  </x:si>
  <x:si>
    <x:t>http://id.who.int/icd/release/11/beta/ichi/1352414330</x:t>
  </x:si>
  <x:si>
    <x:t>ACA.AE.AA</x:t>
  </x:si>
  <x:si>
    <x:t>- - - - - Exploration of peripheral nerve</x:t>
  </x:si>
  <x:si>
    <x:t>http://id.who.int/icd/entity/1034927048</x:t>
  </x:si>
  <x:si>
    <x:t>http://id.who.int/icd/release/11/beta/ichi/1034927048</x:t>
  </x:si>
  <x:si>
    <x:t>ACA.BA.BH</x:t>
  </x:si>
  <x:si>
    <x:t>- - - - - Magnetic resonance neurography, not elsewhere classified</x:t>
  </x:si>
  <x:si>
    <x:t>http://id.who.int/icd/entity/1209614267</x:t>
  </x:si>
  <x:si>
    <x:t>http://id.who.int/icd/release/11/beta/ichi/1209614267</x:t>
  </x:si>
  <x:si>
    <x:t>ACA.BA.BI</x:t>
  </x:si>
  <x:si>
    <x:t>- - - - - Magnetic resonance neurography with intravenous contrast</x:t>
  </x:si>
  <x:si>
    <x:t>http://id.who.int/icd/entity/1629353568</x:t>
  </x:si>
  <x:si>
    <x:t>http://id.who.int/icd/release/11/beta/ichi/1629353568</x:t>
  </x:si>
  <x:si>
    <x:t>ACA.DB.AE</x:t>
  </x:si>
  <x:si>
    <x:t>- - - - - Injection into a peripheral nerve</x:t>
  </x:si>
  <x:si>
    <x:t>http://id.who.int/icd/entity/555768699</x:t>
  </x:si>
  <x:si>
    <x:t>http://id.who.int/icd/release/11/beta/ichi/555768699</x:t>
  </x:si>
  <x:si>
    <x:t>ACA.DC.AE</x:t>
  </x:si>
  <x:si>
    <x:t>- - - - - Injection of anaesthetic into peripheral nerve</x:t>
  </x:si>
  <x:si>
    <x:t>http://id.who.int/icd/entity/1328631202</x:t>
  </x:si>
  <x:si>
    <x:t>http://id.who.int/icd/release/11/beta/ichi/1328631202</x:t>
  </x:si>
  <x:si>
    <x:t>ACA.DL.AA</x:t>
  </x:si>
  <x:si>
    <x:t>- - - - - Insertion of device into peripheral nerve</x:t>
  </x:si>
  <x:si>
    <x:t>http://id.who.int/icd/entity/636803319</x:t>
  </x:si>
  <x:si>
    <x:t>http://id.who.int/icd/release/11/beta/ichi/636803319</x:t>
  </x:si>
  <x:si>
    <x:t>ACA.DL.AE</x:t>
  </x:si>
  <x:si>
    <x:t>- - - - - Percutaneous insertion of device into peripheral nerve</x:t>
  </x:si>
  <x:si>
    <x:t>http://id.who.int/icd/entity/1170008782</x:t>
  </x:si>
  <x:si>
    <x:t>http://id.who.int/icd/release/11/beta/ichi/1170008782</x:t>
  </x:si>
  <x:si>
    <x:t>ACA.FA.AA</x:t>
  </x:si>
  <x:si>
    <x:t>- - - - - Incision of peripheral nerve</x:t>
  </x:si>
  <x:si>
    <x:t>http://id.who.int/icd/entity/444513263</x:t>
  </x:si>
  <x:si>
    <x:t>http://id.who.int/icd/release/11/beta/ichi/444513263</x:t>
  </x:si>
  <x:si>
    <x:t>ACA.FB.AA</x:t>
  </x:si>
  <x:si>
    <x:t>- - - - - Division of peripheral nerve</x:t>
  </x:si>
  <x:si>
    <x:t>http://id.who.int/icd/entity/1357245684</x:t>
  </x:si>
  <x:si>
    <x:t>http://id.who.int/icd/release/11/beta/ichi/1357245684</x:t>
  </x:si>
  <x:si>
    <x:t>ACA.FC.AA</x:t>
  </x:si>
  <x:si>
    <x:t>- - - - - Release of peripheral nerve</x:t>
  </x:si>
  <x:si>
    <x:t>http://id.who.int/icd/entity/803131371</x:t>
  </x:si>
  <x:si>
    <x:t>http://id.who.int/icd/release/11/beta/ichi/803131371</x:t>
  </x:si>
  <x:si>
    <x:t>ACA.FC.AB</x:t>
  </x:si>
  <x:si>
    <x:t>- - - - - Endoscopic release of peripheral nerve</x:t>
  </x:si>
  <x:si>
    <x:t>http://id.who.int/icd/entity/256686041</x:t>
  </x:si>
  <x:si>
    <x:t>http://id.who.int/icd/release/11/beta/ichi/256686041</x:t>
  </x:si>
  <x:si>
    <x:t>ACA.GA.AE</x:t>
  </x:si>
  <x:si>
    <x:t>- - - - - Percutaneous destruction of peripheral nerve</x:t>
  </x:si>
  <x:si>
    <x:t>http://id.who.int/icd/entity/16072523</x:t>
  </x:si>
  <x:si>
    <x:t>http://id.who.int/icd/release/11/beta/ichi/16072523</x:t>
  </x:si>
  <x:si>
    <x:t>ACA.JD.AE</x:t>
  </x:si>
  <x:si>
    <x:t>- - - - - Percutaneous removal of internal device or foreign body from peripheral nerve</x:t>
  </x:si>
  <x:si>
    <x:t>http://id.who.int/icd/entity/624452233</x:t>
  </x:si>
  <x:si>
    <x:t>http://id.who.int/icd/release/11/beta/ichi/624452233</x:t>
  </x:si>
  <x:si>
    <x:t>ACA.JG.AA</x:t>
  </x:si>
  <x:si>
    <x:t>- - - - - Debridement of peripheral nerve</x:t>
  </x:si>
  <x:si>
    <x:t>http://id.who.int/icd/entity/2063217578</x:t>
  </x:si>
  <x:si>
    <x:t>http://id.who.int/icd/release/11/beta/ichi/2063217578</x:t>
  </x:si>
  <x:si>
    <x:t>ACA.JJ.AA</x:t>
  </x:si>
  <x:si>
    <x:t>- - - - - Partial excision of peripheral nerve</x:t>
  </x:si>
  <x:si>
    <x:t>http://id.who.int/icd/entity/793787765</x:t>
  </x:si>
  <x:si>
    <x:t>http://id.who.int/icd/release/11/beta/ichi/793787765</x:t>
  </x:si>
  <x:si>
    <x:t>ACA.JK.AA</x:t>
  </x:si>
  <x:si>
    <x:t>- - - - - Excision of peripheral nerve</x:t>
  </x:si>
  <x:si>
    <x:t>http://id.who.int/icd/entity/1167435812</x:t>
  </x:si>
  <x:si>
    <x:t>http://id.who.int/icd/release/11/beta/ichi/1167435812</x:t>
  </x:si>
  <x:si>
    <x:t>ACA.KA.AE</x:t>
  </x:si>
  <x:si>
    <x:t>- - - - - Percutaneous replacement of peripheral nerve device</x:t>
  </x:si>
  <x:si>
    <x:t>http://id.who.int/icd/entity/635279897</x:t>
  </x:si>
  <x:si>
    <x:t>http://id.who.int/icd/release/11/beta/ichi/635279897</x:t>
  </x:si>
  <x:si>
    <x:t>ACA.KD.AA</x:t>
  </x:si>
  <x:si>
    <x:t>- - - - - Nerve transplantation</x:t>
  </x:si>
  <x:si>
    <x:t>http://id.who.int/icd/entity/237041289</x:t>
  </x:si>
  <x:si>
    <x:t>http://id.who.int/icd/release/11/beta/ichi/237041289</x:t>
  </x:si>
  <x:si>
    <x:t>ACA.LB.AA</x:t>
  </x:si>
  <x:si>
    <x:t>- - - - - Anastomosis of peripheral nerve</x:t>
  </x:si>
  <x:si>
    <x:t>http://id.who.int/icd/entity/2048903994</x:t>
  </x:si>
  <x:si>
    <x:t>http://id.who.int/icd/release/11/beta/ichi/2048903994</x:t>
  </x:si>
  <x:si>
    <x:t>ACA.LJ.AA</x:t>
  </x:si>
  <x:si>
    <x:t>- - - - - Transposition of peripheral nerve</x:t>
  </x:si>
  <x:si>
    <x:t>http://id.who.int/icd/entity/1627342226</x:t>
  </x:si>
  <x:si>
    <x:t>http://id.who.int/icd/release/11/beta/ichi/1627342226</x:t>
  </x:si>
  <x:si>
    <x:t>ACA.MK.AA</x:t>
  </x:si>
  <x:si>
    <x:t>- - - - - Repair of peripheral nerve</x:t>
  </x:si>
  <x:si>
    <x:t>http://id.who.int/icd/entity/1258432770</x:t>
  </x:si>
  <x:si>
    <x:t>http://id.who.int/icd/release/11/beta/ichi/1258432770</x:t>
  </x:si>
  <x:si>
    <x:t>ACA.ML.AA</x:t>
  </x:si>
  <x:si>
    <x:t>- - - - - Peripheral nerve graft</x:t>
  </x:si>
  <x:si>
    <x:t>http://id.who.int/icd/entity/1060967603</x:t>
  </x:si>
  <x:si>
    <x:t>http://id.who.int/icd/release/11/beta/ichi/1060967603</x:t>
  </x:si>
  <x:si>
    <x:t>BlockL4-ADA</x:t>
  </x:si>
  <x:si>
    <x:t>- - - - Interventions on sympathetic nervous system</x:t>
  </x:si>
  <x:si>
    <x:t>http://id.who.int/icd/entity/2058910540</x:t>
  </x:si>
  <x:si>
    <x:t>http://id.who.int/icd/release/11/beta/ichi/2058910540</x:t>
  </x:si>
  <x:si>
    <x:t>ADA.AD.AA</x:t>
  </x:si>
  <x:si>
    <x:t>- - - - - Biopsy of sympathetic nerve, not elsewhere classified</x:t>
  </x:si>
  <x:si>
    <x:t>http://id.who.int/icd/entity/946002090</x:t>
  </x:si>
  <x:si>
    <x:t>http://id.who.int/icd/release/11/beta/ichi/946002090</x:t>
  </x:si>
  <x:si>
    <x:t>ADA.DB.AE</x:t>
  </x:si>
  <x:si>
    <x:t>- - - - - Injection into a sympathetic nerve, not elsewhere classified</x:t>
  </x:si>
  <x:si>
    <x:t>http://id.who.int/icd/entity/1578858598</x:t>
  </x:si>
  <x:si>
    <x:t>http://id.who.int/icd/release/11/beta/ichi/1578858598</x:t>
  </x:si>
  <x:si>
    <x:t>ADA.DC.AE</x:t>
  </x:si>
  <x:si>
    <x:t>- - - - - Injection of anaesthetic into sympathetic nerve, not elsewhere classified</x:t>
  </x:si>
  <x:si>
    <x:t>http://id.who.int/icd/entity/165186276</x:t>
  </x:si>
  <x:si>
    <x:t>http://id.who.int/icd/release/11/beta/ichi/165186276</x:t>
  </x:si>
  <x:si>
    <x:t>ADA.FB.AA</x:t>
  </x:si>
  <x:si>
    <x:t>- - - - - Division of sympathetic nerve, not elsewhere classified</x:t>
  </x:si>
  <x:si>
    <x:t>http://id.who.int/icd/entity/420614998</x:t>
  </x:si>
  <x:si>
    <x:t>http://id.who.int/icd/release/11/beta/ichi/420614998</x:t>
  </x:si>
  <x:si>
    <x:t>ADA.GA.AA</x:t>
  </x:si>
  <x:si>
    <x:t>- - - - - Destruction of sympathetic nerve, not elsewhere classified</x:t>
  </x:si>
  <x:si>
    <x:t>http://id.who.int/icd/entity/598499250</x:t>
  </x:si>
  <x:si>
    <x:t>http://id.who.int/icd/release/11/beta/ichi/598499250</x:t>
  </x:si>
  <x:si>
    <x:t>ADA.GA.AB</x:t>
  </x:si>
  <x:si>
    <x:t>- - - - - Endoscopic destruction of sympathetic nerve, not elsewhere classified</x:t>
  </x:si>
  <x:si>
    <x:t>http://id.who.int/icd/entity/1677256485</x:t>
  </x:si>
  <x:si>
    <x:t>http://id.who.int/icd/release/11/beta/ichi/1677256485</x:t>
  </x:si>
  <x:si>
    <x:t>ADA.GA.AD</x:t>
  </x:si>
  <x:si>
    <x:t>- - - - - Endoscopic per orifice destruction of sympathetic nerve, not elsewhere classified</x:t>
  </x:si>
  <x:si>
    <x:t>http://id.who.int/icd/entity/1761409417</x:t>
  </x:si>
  <x:si>
    <x:t>http://id.who.int/icd/release/11/beta/ichi/1761409417</x:t>
  </x:si>
  <x:si>
    <x:t>ADA.GA.AE</x:t>
  </x:si>
  <x:si>
    <x:t>- - - - - Percutaneous destruction of a sympathetic nerve, not elsewhere classified</x:t>
  </x:si>
  <x:si>
    <x:t>http://id.who.int/icd/entity/1203438106</x:t>
  </x:si>
  <x:si>
    <x:t>http://id.who.int/icd/release/11/beta/ichi/1203438106</x:t>
  </x:si>
  <x:si>
    <x:t>ADA.GA.AF</x:t>
  </x:si>
  <x:si>
    <x:t>- - - - - Percutaneous transluminal destruction of sympathetic nerve, not elsewhere classified</x:t>
  </x:si>
  <x:si>
    <x:t>http://id.who.int/icd/entity/753938352</x:t>
  </x:si>
  <x:si>
    <x:t>http://id.who.int/icd/release/11/beta/ichi/753938352</x:t>
  </x:si>
  <x:si>
    <x:t>ADA.JJ.AA</x:t>
  </x:si>
  <x:si>
    <x:t>- - - - - Partial excision of sympathetic nerve, not elsewhere classified</x:t>
  </x:si>
  <x:si>
    <x:t>http://id.who.int/icd/entity/1116220633</x:t>
  </x:si>
  <x:si>
    <x:t>http://id.who.int/icd/release/11/beta/ichi/1116220633</x:t>
  </x:si>
  <x:si>
    <x:t>ADA.JK.AA</x:t>
  </x:si>
  <x:si>
    <x:t>- - - - - Total excision of sympathetic nerve, not elsewhere classified</x:t>
  </x:si>
  <x:si>
    <x:t>http://id.who.int/icd/entity/146066354</x:t>
  </x:si>
  <x:si>
    <x:t>http://id.who.int/icd/release/11/beta/ichi/146066354</x:t>
  </x:si>
  <x:si>
    <x:t>ADA.MK.AA</x:t>
  </x:si>
  <x:si>
    <x:t>- - - - - Repair of sympathetic nerve, not elsewhere classified</x:t>
  </x:si>
  <x:si>
    <x:t>http://id.who.int/icd/entity/1157363406</x:t>
  </x:si>
  <x:si>
    <x:t>http://id.who.int/icd/release/11/beta/ichi/1157363406</x:t>
  </x:si>
  <x:si>
    <x:t>ADB.DC.AE</x:t>
  </x:si>
  <x:si>
    <x:t>- - - - - Injection of anaesthetic into cervical sympathetic nerve</x:t>
  </x:si>
  <x:si>
    <x:t>http://id.who.int/icd/entity/1557476429</x:t>
  </x:si>
  <x:si>
    <x:t>http://id.who.int/icd/release/11/beta/ichi/1557476429</x:t>
  </x:si>
  <x:si>
    <x:t>ADB.JJ.AA</x:t>
  </x:si>
  <x:si>
    <x:t>- - - - - Partial excision of cervical sympathetic nerve</x:t>
  </x:si>
  <x:si>
    <x:t>http://id.who.int/icd/entity/51864942</x:t>
  </x:si>
  <x:si>
    <x:t>http://id.who.int/icd/release/11/beta/ichi/51864942</x:t>
  </x:si>
  <x:si>
    <x:t>ADB.JK.AA</x:t>
  </x:si>
  <x:si>
    <x:t>- - - - - Total excision of cervical sympathetic nerve</x:t>
  </x:si>
  <x:si>
    <x:t>http://id.who.int/icd/entity/1862703710</x:t>
  </x:si>
  <x:si>
    <x:t>http://id.who.int/icd/release/11/beta/ichi/1862703710</x:t>
  </x:si>
  <x:si>
    <x:t>ADC.DC.AE</x:t>
  </x:si>
  <x:si>
    <x:t>- - - - - Injection of anaesthetic into thoracic sympathetic nerve</x:t>
  </x:si>
  <x:si>
    <x:t>http://id.who.int/icd/entity/1939197667</x:t>
  </x:si>
  <x:si>
    <x:t>http://id.who.int/icd/release/11/beta/ichi/1939197667</x:t>
  </x:si>
  <x:si>
    <x:t>ADC.JJ.AA</x:t>
  </x:si>
  <x:si>
    <x:t>- - - - - Partial excision of thoracic sympathetic nerve</x:t>
  </x:si>
  <x:si>
    <x:t>http://id.who.int/icd/entity/1190723737</x:t>
  </x:si>
  <x:si>
    <x:t>http://id.who.int/icd/release/11/beta/ichi/1190723737</x:t>
  </x:si>
  <x:si>
    <x:t>ADC.JK.AA</x:t>
  </x:si>
  <x:si>
    <x:t>- - - - - Total excision of thoracic sympathetic nerve</x:t>
  </x:si>
  <x:si>
    <x:t>http://id.who.int/icd/entity/1773795895</x:t>
  </x:si>
  <x:si>
    <x:t>http://id.who.int/icd/release/11/beta/ichi/1773795895</x:t>
  </x:si>
  <x:si>
    <x:t>ADC.JK.AB</x:t>
  </x:si>
  <x:si>
    <x:t>- - - - - Thoracoscopic total excision of thoracic sympathetic nerve</x:t>
  </x:si>
  <x:si>
    <x:t>http://id.who.int/icd/entity/2118498858</x:t>
  </x:si>
  <x:si>
    <x:t>http://id.who.int/icd/release/11/beta/ichi/2118498858</x:t>
  </x:si>
  <x:si>
    <x:t>ADD.DC.AE</x:t>
  </x:si>
  <x:si>
    <x:t>- - - - - Injection of anaesthetic into lumbar sympathetic nerve</x:t>
  </x:si>
  <x:si>
    <x:t>http://id.who.int/icd/entity/658017124</x:t>
  </x:si>
  <x:si>
    <x:t>http://id.who.int/icd/release/11/beta/ichi/658017124</x:t>
  </x:si>
  <x:si>
    <x:t>ADD.JJ.AA</x:t>
  </x:si>
  <x:si>
    <x:t>- - - - - Partial excision of lumbar sympathetic nerve</x:t>
  </x:si>
  <x:si>
    <x:t>http://id.who.int/icd/entity/470777414</x:t>
  </x:si>
  <x:si>
    <x:t>http://id.who.int/icd/release/11/beta/ichi/470777414</x:t>
  </x:si>
  <x:si>
    <x:t>ADD.JK.AA</x:t>
  </x:si>
  <x:si>
    <x:t>- - - - - Total excision of lumbar sympathetic nerve</x:t>
  </x:si>
  <x:si>
    <x:t>http://id.who.int/icd/entity/1609107094</x:t>
  </x:si>
  <x:si>
    <x:t>http://id.who.int/icd/release/11/beta/ichi/1609107094</x:t>
  </x:si>
  <x:si>
    <x:t>ADE.DC.AE</x:t>
  </x:si>
  <x:si>
    <x:t>- - - - - Injection of anaesthetic into sacral sympathetic nerve</x:t>
  </x:si>
  <x:si>
    <x:t>http://id.who.int/icd/entity/1664376155</x:t>
  </x:si>
  <x:si>
    <x:t>http://id.who.int/icd/release/11/beta/ichi/1664376155</x:t>
  </x:si>
  <x:si>
    <x:t>ADE.JJ.AA</x:t>
  </x:si>
  <x:si>
    <x:t>- - - - - Partial excision of sacral sympathetic nerve</x:t>
  </x:si>
  <x:si>
    <x:t>http://id.who.int/icd/entity/860849386</x:t>
  </x:si>
  <x:si>
    <x:t>http://id.who.int/icd/release/11/beta/ichi/860849386</x:t>
  </x:si>
  <x:si>
    <x:t>ADE.JK.AA</x:t>
  </x:si>
  <x:si>
    <x:t>- - - - - Total excision of sacral sympathetic nerve</x:t>
  </x:si>
  <x:si>
    <x:t>http://id.who.int/icd/entity/1126750199</x:t>
  </x:si>
  <x:si>
    <x:t>http://id.who.int/icd/release/11/beta/ichi/1126750199</x:t>
  </x:si>
  <x:si>
    <x:t>BlockL4-AS1</x:t>
  </x:si>
  <x:si>
    <x:t>- - - - Interventions on mental functions</x:t>
  </x:si>
  <x:si>
    <x:t>http://id.who.int/icd/entity/1674683851</x:t>
  </x:si>
  <x:si>
    <x:t>http://id.who.int/icd/release/11/beta/ichi/1674683851</x:t>
  </x:si>
  <x:si>
    <x:t>AS1.AA.ZZ</x:t>
  </x:si>
  <x:si>
    <x:t>- - - - - Assessment of mental functions, unspecified</x:t>
  </x:si>
  <x:si>
    <x:t>http://id.who.int/icd/entity/1916089805</x:t>
  </x:si>
  <x:si>
    <x:t>http://id.who.int/icd/release/11/beta/ichi/1916089805</x:t>
  </x:si>
  <x:si>
    <x:t>AS1.AC.ZZ</x:t>
  </x:si>
  <x:si>
    <x:t>- - - - - Test of mental functions, unspecified</x:t>
  </x:si>
  <x:si>
    <x:t>http://id.who.int/icd/entity/101320830</x:t>
  </x:si>
  <x:si>
    <x:t>http://id.who.int/icd/release/11/beta/ichi/101320830</x:t>
  </x:si>
  <x:si>
    <x:t>AS1.AI.ZZ</x:t>
  </x:si>
  <x:si>
    <x:t>- - - - - Monitoring of mental functions, unspecified</x:t>
  </x:si>
  <x:si>
    <x:t>http://id.who.int/icd/entity/1461985101</x:t>
  </x:si>
  <x:si>
    <x:t>http://id.who.int/icd/release/11/beta/ichi/1461985101</x:t>
  </x:si>
  <x:si>
    <x:t>AS1.AM.ZZ</x:t>
  </x:si>
  <x:si>
    <x:t>- - - - - Observation of mental functions, unspecified</x:t>
  </x:si>
  <x:si>
    <x:t>http://id.who.int/icd/entity/673135700</x:t>
  </x:si>
  <x:si>
    <x:t>http://id.who.int/icd/release/11/beta/ichi/673135700</x:t>
  </x:si>
  <x:si>
    <x:t>AS1.BA.BH</x:t>
  </x:si>
  <x:si>
    <x:t>- - - - - Functional magnetic resonance imaging</x:t>
  </x:si>
  <x:si>
    <x:t>http://id.who.int/icd/entity/1181171515</x:t>
  </x:si>
  <x:si>
    <x:t>http://id.who.int/icd/release/11/beta/ichi/1181171515</x:t>
  </x:si>
  <x:si>
    <x:t>AS1.PG.ZZ</x:t>
  </x:si>
  <x:si>
    <x:t>- - - - - Assisting and leading exercise for mental functions, unspecified</x:t>
  </x:si>
  <x:si>
    <x:t>http://id.who.int/icd/entity/1571403809</x:t>
  </x:si>
  <x:si>
    <x:t>http://id.who.int/icd/release/11/beta/ichi/1571403809</x:t>
  </x:si>
  <x:si>
    <x:t>AS1.PH.ZZ</x:t>
  </x:si>
  <x:si>
    <x:t>- - - - - Training for mental functions, unspecified</x:t>
  </x:si>
  <x:si>
    <x:t>http://id.who.int/icd/entity/1206814459</x:t>
  </x:si>
  <x:si>
    <x:t>http://id.who.int/icd/release/11/beta/ichi/1206814459</x:t>
  </x:si>
  <x:si>
    <x:t>AS1.PM.ZZ</x:t>
  </x:si>
  <x:si>
    <x:t>- - - - - Education about mental functions, unspecified</x:t>
  </x:si>
  <x:si>
    <x:t>http://id.who.int/icd/entity/1290442839</x:t>
  </x:si>
  <x:si>
    <x:t>http://id.who.int/icd/release/11/beta/ichi/1290442839</x:t>
  </x:si>
  <x:si>
    <x:t>AS1.PN.ZZ</x:t>
  </x:si>
  <x:si>
    <x:t>- - - - - Advising about mental functions, unspecified</x:t>
  </x:si>
  <x:si>
    <x:t>http://id.who.int/icd/entity/1111445909</x:t>
  </x:si>
  <x:si>
    <x:t>http://id.who.int/icd/release/11/beta/ichi/1111445909</x:t>
  </x:si>
  <x:si>
    <x:t>AS1.PP.ZZ</x:t>
  </x:si>
  <x:si>
    <x:t>- - - - - Counselling for mental functions, unspecified</x:t>
  </x:si>
  <x:si>
    <x:t>http://id.who.int/icd/entity/1023701644</x:t>
  </x:si>
  <x:si>
    <x:t>http://id.who.int/icd/release/11/beta/ichi/1023701644</x:t>
  </x:si>
  <x:si>
    <x:t>AS1.PQ.ZZ</x:t>
  </x:si>
  <x:si>
    <x:t>- - - - - Psychotherapy for mental functions, unspecified</x:t>
  </x:si>
  <x:si>
    <x:t>http://id.who.int/icd/entity/415838024</x:t>
  </x:si>
  <x:si>
    <x:t>http://id.who.int/icd/release/11/beta/ichi/415838024</x:t>
  </x:si>
  <x:si>
    <x:t>AS1.RB.ZZ</x:t>
  </x:si>
  <x:si>
    <x:t>- - - - - Practical support with mental functions, unspecified</x:t>
  </x:si>
  <x:si>
    <x:t>http://id.who.int/icd/entity/1991322657</x:t>
  </x:si>
  <x:si>
    <x:t>http://id.who.int/icd/release/11/beta/ichi/1991322657</x:t>
  </x:si>
  <x:si>
    <x:t>AS1.RC.ZZ</x:t>
  </x:si>
  <x:si>
    <x:t>- - - - - Emotional support for mental functions, unspecified</x:t>
  </x:si>
  <x:si>
    <x:t>http://id.who.int/icd/entity/949480708</x:t>
  </x:si>
  <x:si>
    <x:t>http://id.who.int/icd/release/11/beta/ichi/949480708</x:t>
  </x:si>
  <x:si>
    <x:t>BlockL4-AT2</x:t>
  </x:si>
  <x:si>
    <x:t>- - - - Interventions on global mental functions</x:t>
  </x:si>
  <x:si>
    <x:t>http://id.who.int/icd/entity/409902906</x:t>
  </x:si>
  <x:si>
    <x:t>http://id.who.int/icd/release/11/beta/ichi/409902906</x:t>
  </x:si>
  <x:si>
    <x:t>AT2.AA.ZZ</x:t>
  </x:si>
  <x:si>
    <x:t>- - - - - Assessment of global mental functions, not elsewhere classified</x:t>
  </x:si>
  <x:si>
    <x:t>http://id.who.int/icd/entity/36282852</x:t>
  </x:si>
  <x:si>
    <x:t>http://id.who.int/icd/release/11/beta/ichi/36282852</x:t>
  </x:si>
  <x:si>
    <x:t>AT2.AC.ZZ</x:t>
  </x:si>
  <x:si>
    <x:t>- - - - - Test of global mental functions, not elsewhere classified</x:t>
  </x:si>
  <x:si>
    <x:t>http://id.who.int/icd/entity/1925185633</x:t>
  </x:si>
  <x:si>
    <x:t>http://id.who.int/icd/release/11/beta/ichi/1925185633</x:t>
  </x:si>
  <x:si>
    <x:t>AT2.AI.ZZ</x:t>
  </x:si>
  <x:si>
    <x:t>- - - - - Monitoring global mental functions, not elsewhere classified</x:t>
  </x:si>
  <x:si>
    <x:t>http://id.who.int/icd/entity/2042896077</x:t>
  </x:si>
  <x:si>
    <x:t>http://id.who.int/icd/release/11/beta/ichi/2042896077</x:t>
  </x:si>
  <x:si>
    <x:t>AT2.AM.ZZ</x:t>
  </x:si>
  <x:si>
    <x:t>- - - - - Observation of global mental functions, not elsewhere classified</x:t>
  </x:si>
  <x:si>
    <x:t>http://id.who.int/icd/entity/755126596</x:t>
  </x:si>
  <x:si>
    <x:t>http://id.who.int/icd/release/11/beta/ichi/755126596</x:t>
  </x:si>
  <x:si>
    <x:t>AT2.PG.ZZ</x:t>
  </x:si>
  <x:si>
    <x:t>- - - - - Assisting and leading exercise for global mental functions, not elsewhere classified</x:t>
  </x:si>
  <x:si>
    <x:t>http://id.who.int/icd/entity/2018354957</x:t>
  </x:si>
  <x:si>
    <x:t>http://id.who.int/icd/release/11/beta/ichi/2018354957</x:t>
  </x:si>
  <x:si>
    <x:t>AT2.PH.ZZ</x:t>
  </x:si>
  <x:si>
    <x:t>- - - - - Training for global mental functions, not elsewhere classified</x:t>
  </x:si>
  <x:si>
    <x:t>http://id.who.int/icd/entity/1460493731</x:t>
  </x:si>
  <x:si>
    <x:t>http://id.who.int/icd/release/11/beta/ichi/1460493731</x:t>
  </x:si>
  <x:si>
    <x:t>AT2.PM.ZZ</x:t>
  </x:si>
  <x:si>
    <x:t>- - - - - Education about global mental functions, not elsewhere classified</x:t>
  </x:si>
  <x:si>
    <x:t>http://id.who.int/icd/entity/663746096</x:t>
  </x:si>
  <x:si>
    <x:t>http://id.who.int/icd/release/11/beta/ichi/663746096</x:t>
  </x:si>
  <x:si>
    <x:t>AT2.PN.ZZ</x:t>
  </x:si>
  <x:si>
    <x:t>- - - - - Advising about global mental functions, not elsewhere classified</x:t>
  </x:si>
  <x:si>
    <x:t>http://id.who.int/icd/entity/1390185165</x:t>
  </x:si>
  <x:si>
    <x:t>http://id.who.int/icd/release/11/beta/ichi/1390185165</x:t>
  </x:si>
  <x:si>
    <x:t>AT2.PP.ZZ</x:t>
  </x:si>
  <x:si>
    <x:t>- - - - - Counselling for global mental functions, not elsewhere classified</x:t>
  </x:si>
  <x:si>
    <x:t>http://id.who.int/icd/entity/770157012</x:t>
  </x:si>
  <x:si>
    <x:t>http://id.who.int/icd/release/11/beta/ichi/770157012</x:t>
  </x:si>
  <x:si>
    <x:t>AT2.PQ.ZZ</x:t>
  </x:si>
  <x:si>
    <x:t>- - - - - Psychotherapy for global mental functions, not elsewhere classified</x:t>
  </x:si>
  <x:si>
    <x:t>http://id.who.int/icd/entity/1134537403</x:t>
  </x:si>
  <x:si>
    <x:t>http://id.who.int/icd/release/11/beta/ichi/1134537403</x:t>
  </x:si>
  <x:si>
    <x:t>AT2.RB.ZZ</x:t>
  </x:si>
  <x:si>
    <x:t>- - - - - Practical support for global mental functions, not elsewhere classified</x:t>
  </x:si>
  <x:si>
    <x:t>http://id.who.int/icd/entity/1481715105</x:t>
  </x:si>
  <x:si>
    <x:t>http://id.who.int/icd/release/11/beta/ichi/1481715105</x:t>
  </x:si>
  <x:si>
    <x:t>AT2.RC.ZZ</x:t>
  </x:si>
  <x:si>
    <x:t>- - - - - Emotional support for global mental functions, not elsewhere classified</x:t>
  </x:si>
  <x:si>
    <x:t>http://id.who.int/icd/entity/1225919959</x:t>
  </x:si>
  <x:si>
    <x:t>http://id.who.int/icd/release/11/beta/ichi/1225919959</x:t>
  </x:si>
  <x:si>
    <x:t>ATC.AA.ZZ</x:t>
  </x:si>
  <x:si>
    <x:t>- - - - - Assessment of awareness and alertness functions</x:t>
  </x:si>
  <x:si>
    <x:t>http://id.who.int/icd/entity/1727350537</x:t>
  </x:si>
  <x:si>
    <x:t>http://id.who.int/icd/release/11/beta/ichi/1727350537</x:t>
  </x:si>
  <x:si>
    <x:t>ATC.AC.ZZ</x:t>
  </x:si>
  <x:si>
    <x:t>- - - - - Test of awareness and alertness functions</x:t>
  </x:si>
  <x:si>
    <x:t>http://id.who.int/icd/entity/842205318</x:t>
  </x:si>
  <x:si>
    <x:t>http://id.who.int/icd/release/11/beta/ichi/842205318</x:t>
  </x:si>
  <x:si>
    <x:t>ATC.AI.ZZ</x:t>
  </x:si>
  <x:si>
    <x:t>- - - - - Monitoring of awareness and alertness functions</x:t>
  </x:si>
  <x:si>
    <x:t>http://id.who.int/icd/entity/1425426902</x:t>
  </x:si>
  <x:si>
    <x:t>http://id.who.int/icd/release/11/beta/ichi/1425426902</x:t>
  </x:si>
  <x:si>
    <x:t>ATC.PM.ZZ</x:t>
  </x:si>
  <x:si>
    <x:t>- - - - - Education about awareness and alertness functions</x:t>
  </x:si>
  <x:si>
    <x:t>http://id.who.int/icd/entity/734882505</x:t>
  </x:si>
  <x:si>
    <x:t>http://id.who.int/icd/release/11/beta/ichi/734882505</x:t>
  </x:si>
  <x:si>
    <x:t>ATC.PN.ZZ</x:t>
  </x:si>
  <x:si>
    <x:t>- - - - - Advising about awareness and alertness functions</x:t>
  </x:si>
  <x:si>
    <x:t>http://id.who.int/icd/entity/1169516962</x:t>
  </x:si>
  <x:si>
    <x:t>http://id.who.int/icd/release/11/beta/ichi/1169516962</x:t>
  </x:si>
  <x:si>
    <x:t>ATD.AA.ZZ</x:t>
  </x:si>
  <x:si>
    <x:t>- - - - - Assessment of orientation functions</x:t>
  </x:si>
  <x:si>
    <x:t>http://id.who.int/icd/entity/637361051</x:t>
  </x:si>
  <x:si>
    <x:t>http://id.who.int/icd/release/11/beta/ichi/637361051</x:t>
  </x:si>
  <x:si>
    <x:t>ATD.AC.ZZ</x:t>
  </x:si>
  <x:si>
    <x:t>- - - - - Test of orientation functions</x:t>
  </x:si>
  <x:si>
    <x:t>http://id.who.int/icd/entity/1874967792</x:t>
  </x:si>
  <x:si>
    <x:t>http://id.who.int/icd/release/11/beta/ichi/1874967792</x:t>
  </x:si>
  <x:si>
    <x:t>ATD.PG.ZZ</x:t>
  </x:si>
  <x:si>
    <x:t>- - - - - Assisting and leading exercise for orientation functions</x:t>
  </x:si>
  <x:si>
    <x:t>http://id.who.int/icd/entity/73951479</x:t>
  </x:si>
  <x:si>
    <x:t>http://id.who.int/icd/release/11/beta/ichi/73951479</x:t>
  </x:si>
  <x:si>
    <x:t>ATD.PH.ZZ</x:t>
  </x:si>
  <x:si>
    <x:t>- - - - - Training for orientation functions</x:t>
  </x:si>
  <x:si>
    <x:t>http://id.who.int/icd/entity/506418733</x:t>
  </x:si>
  <x:si>
    <x:t>http://id.who.int/icd/release/11/beta/ichi/506418733</x:t>
  </x:si>
  <x:si>
    <x:t>ATD.PM.ZZ</x:t>
  </x:si>
  <x:si>
    <x:t>- - - - - Education about orientation function</x:t>
  </x:si>
  <x:si>
    <x:t>http://id.who.int/icd/entity/355158145</x:t>
  </x:si>
  <x:si>
    <x:t>http://id.who.int/icd/release/11/beta/ichi/355158145</x:t>
  </x:si>
  <x:si>
    <x:t>ATD.PN.ZZ</x:t>
  </x:si>
  <x:si>
    <x:t>- - - - - Advising about orientation functions</x:t>
  </x:si>
  <x:si>
    <x:t>http://id.who.int/icd/entity/1805242976</x:t>
  </x:si>
  <x:si>
    <x:t>http://id.who.int/icd/release/11/beta/ichi/1805242976</x:t>
  </x:si>
  <x:si>
    <x:t>ATD.PP.ZZ</x:t>
  </x:si>
  <x:si>
    <x:t>- - - - - Counselling for orientation function</x:t>
  </x:si>
  <x:si>
    <x:t>http://id.who.int/icd/entity/346222913</x:t>
  </x:si>
  <x:si>
    <x:t>http://id.who.int/icd/release/11/beta/ichi/346222913</x:t>
  </x:si>
  <x:si>
    <x:t>ATD.RB.ZZ</x:t>
  </x:si>
  <x:si>
    <x:t>- - - - - Practical support with orientation functions</x:t>
  </x:si>
  <x:si>
    <x:t>http://id.who.int/icd/entity/2126566502</x:t>
  </x:si>
  <x:si>
    <x:t>http://id.who.int/icd/release/11/beta/ichi/2126566502</x:t>
  </x:si>
  <x:si>
    <x:t>ATD.RC.ZZ</x:t>
  </x:si>
  <x:si>
    <x:t>- - - - - Emotional support for orientation function</x:t>
  </x:si>
  <x:si>
    <x:t>http://id.who.int/icd/entity/239239147</x:t>
  </x:si>
  <x:si>
    <x:t>http://id.who.int/icd/release/11/beta/ichi/239239147</x:t>
  </x:si>
  <x:si>
    <x:t>ATD.ZZ.ZZ</x:t>
  </x:si>
  <x:si>
    <x:t>- - - - - Other interventions on orientation function, not elsewhere classified</x:t>
  </x:si>
  <x:si>
    <x:t>http://id.who.int/icd/entity/33290105</x:t>
  </x:si>
  <x:si>
    <x:t>http://id.who.int/icd/release/11/beta/ichi/33290105</x:t>
  </x:si>
  <x:si>
    <x:t>ATE.AA.ZZ</x:t>
  </x:si>
  <x:si>
    <x:t>- - - - - Assessment of intellectual functions</x:t>
  </x:si>
  <x:si>
    <x:t>http://id.who.int/icd/entity/1374364870</x:t>
  </x:si>
  <x:si>
    <x:t>http://id.who.int/icd/release/11/beta/ichi/1374364870</x:t>
  </x:si>
  <x:si>
    <x:t>ATE.AC.ZZ</x:t>
  </x:si>
  <x:si>
    <x:t>- - - - - Test of intellectual functions</x:t>
  </x:si>
  <x:si>
    <x:t>http://id.who.int/icd/entity/2125192810</x:t>
  </x:si>
  <x:si>
    <x:t>http://id.who.int/icd/release/11/beta/ichi/2125192810</x:t>
  </x:si>
  <x:si>
    <x:t>ATE.PG.ZZ</x:t>
  </x:si>
  <x:si>
    <x:t>- - - - - Assisting and leading exercise for intellectual functions</x:t>
  </x:si>
  <x:si>
    <x:t>http://id.who.int/icd/entity/237598181</x:t>
  </x:si>
  <x:si>
    <x:t>http://id.who.int/icd/release/11/beta/ichi/237598181</x:t>
  </x:si>
  <x:si>
    <x:t>ATE.PH.ZZ</x:t>
  </x:si>
  <x:si>
    <x:t>- - - - - Training for intellectual functions</x:t>
  </x:si>
  <x:si>
    <x:t>http://id.who.int/icd/entity/186472987</x:t>
  </x:si>
  <x:si>
    <x:t>http://id.who.int/icd/release/11/beta/ichi/186472987</x:t>
  </x:si>
  <x:si>
    <x:t>ATE.PM.ZZ</x:t>
  </x:si>
  <x:si>
    <x:t>- - - - - Education about intellectual functions</x:t>
  </x:si>
  <x:si>
    <x:t>http://id.who.int/icd/entity/1948678406</x:t>
  </x:si>
  <x:si>
    <x:t>http://id.who.int/icd/release/11/beta/ichi/1948678406</x:t>
  </x:si>
  <x:si>
    <x:t>ATE.PN.ZZ</x:t>
  </x:si>
  <x:si>
    <x:t>- - - - - Advising about intellectual functions</x:t>
  </x:si>
  <x:si>
    <x:t>http://id.who.int/icd/entity/442399341</x:t>
  </x:si>
  <x:si>
    <x:t>http://id.who.int/icd/release/11/beta/ichi/442399341</x:t>
  </x:si>
  <x:si>
    <x:t>ATE.PP.ZZ</x:t>
  </x:si>
  <x:si>
    <x:t>- - - - - Counselling for intellectual functions</x:t>
  </x:si>
  <x:si>
    <x:t>http://id.who.int/icd/entity/1912057452</x:t>
  </x:si>
  <x:si>
    <x:t>http://id.who.int/icd/release/11/beta/ichi/1912057452</x:t>
  </x:si>
  <x:si>
    <x:t>ATE.RB.ZZ</x:t>
  </x:si>
  <x:si>
    <x:t>- - - - - Practical support with intellectual functions</x:t>
  </x:si>
  <x:si>
    <x:t>http://id.who.int/icd/entity/1806733490</x:t>
  </x:si>
  <x:si>
    <x:t>http://id.who.int/icd/release/11/beta/ichi/1806733490</x:t>
  </x:si>
  <x:si>
    <x:t>ATE.RC.ZZ</x:t>
  </x:si>
  <x:si>
    <x:t>- - - - - Emotional support for intellectual functions</x:t>
  </x:si>
  <x:si>
    <x:t>http://id.who.int/icd/entity/1622445596</x:t>
  </x:si>
  <x:si>
    <x:t>http://id.who.int/icd/release/11/beta/ichi/1622445596</x:t>
  </x:si>
  <x:si>
    <x:t>ATF.AA.ZZ</x:t>
  </x:si>
  <x:si>
    <x:t>- - - - - Assessment of global psychosocial functions</x:t>
  </x:si>
  <x:si>
    <x:t>http://id.who.int/icd/entity/503715011</x:t>
  </x:si>
  <x:si>
    <x:t>http://id.who.int/icd/release/11/beta/ichi/503715011</x:t>
  </x:si>
  <x:si>
    <x:t>ATF.AC.ZZ</x:t>
  </x:si>
  <x:si>
    <x:t>- - - - - Test of global psychosocial functions</x:t>
  </x:si>
  <x:si>
    <x:t>http://id.who.int/icd/entity/1631401950</x:t>
  </x:si>
  <x:si>
    <x:t>http://id.who.int/icd/release/11/beta/ichi/1631401950</x:t>
  </x:si>
  <x:si>
    <x:t>ATF.PG.ZZ</x:t>
  </x:si>
  <x:si>
    <x:t>- - - - - Assisting and leading exercise for global psychosocial functions</x:t>
  </x:si>
  <x:si>
    <x:t>http://id.who.int/icd/entity/190780155</x:t>
  </x:si>
  <x:si>
    <x:t>http://id.who.int/icd/release/11/beta/ichi/190780155</x:t>
  </x:si>
  <x:si>
    <x:t>ATF.PH.ZZ</x:t>
  </x:si>
  <x:si>
    <x:t>- - - - - Training for global psychosocial functions</x:t>
  </x:si>
  <x:si>
    <x:t>http://id.who.int/icd/entity/2078128502</x:t>
  </x:si>
  <x:si>
    <x:t>http://id.who.int/icd/release/11/beta/ichi/2078128502</x:t>
  </x:si>
  <x:si>
    <x:t>ATF.PM.ZZ</x:t>
  </x:si>
  <x:si>
    <x:t>- - - - - Education for global psychosocial functions</x:t>
  </x:si>
  <x:si>
    <x:t>http://id.who.int/icd/entity/1419592666</x:t>
  </x:si>
  <x:si>
    <x:t>http://id.who.int/icd/release/11/beta/ichi/1419592666</x:t>
  </x:si>
  <x:si>
    <x:t>ATF.PN.ZZ</x:t>
  </x:si>
  <x:si>
    <x:t>- - - - - Advising about global psychosocial functions</x:t>
  </x:si>
  <x:si>
    <x:t>http://id.who.int/icd/entity/1532816226</x:t>
  </x:si>
  <x:si>
    <x:t>http://id.who.int/icd/release/11/beta/ichi/1532816226</x:t>
  </x:si>
  <x:si>
    <x:t>ATF.PP.ZZ</x:t>
  </x:si>
  <x:si>
    <x:t>- - - - - Counselling for global psychosocial functions</x:t>
  </x:si>
  <x:si>
    <x:t>http://id.who.int/icd/entity/832142901</x:t>
  </x:si>
  <x:si>
    <x:t>http://id.who.int/icd/release/11/beta/ichi/832142901</x:t>
  </x:si>
  <x:si>
    <x:t>ATF.RB.ZZ</x:t>
  </x:si>
  <x:si>
    <x:t>- - - - - Practical support with global psychosocial functions</x:t>
  </x:si>
  <x:si>
    <x:t>http://id.who.int/icd/entity/1608613214</x:t>
  </x:si>
  <x:si>
    <x:t>http://id.who.int/icd/release/11/beta/ichi/1608613214</x:t>
  </x:si>
  <x:si>
    <x:t>ATF.RC.ZZ</x:t>
  </x:si>
  <x:si>
    <x:t>- - - - - Emotional support for global psychosocial functions</x:t>
  </x:si>
  <x:si>
    <x:t>http://id.who.int/icd/entity/1315831320</x:t>
  </x:si>
  <x:si>
    <x:t>http://id.who.int/icd/release/11/beta/ichi/1315831320</x:t>
  </x:si>
  <x:si>
    <x:t>ATF.RE.ZZ</x:t>
  </x:si>
  <x:si>
    <x:t>- - - - - Provision of peer support for global psychosocial functions</x:t>
  </x:si>
  <x:si>
    <x:t>http://id.who.int/icd/entity/1143994950</x:t>
  </x:si>
  <x:si>
    <x:t>http://id.who.int/icd/release/11/beta/ichi/1143994950</x:t>
  </x:si>
  <x:si>
    <x:t>ATH.AA.ZZ</x:t>
  </x:si>
  <x:si>
    <x:t>- - - - - Assessment of temperament and personality functions</x:t>
  </x:si>
  <x:si>
    <x:t>http://id.who.int/icd/entity/1583924380</x:t>
  </x:si>
  <x:si>
    <x:t>http://id.who.int/icd/release/11/beta/ichi/1583924380</x:t>
  </x:si>
  <x:si>
    <x:t>ATH.AC.ZZ</x:t>
  </x:si>
  <x:si>
    <x:t>- - - - - Test of temperament and personality functions</x:t>
  </x:si>
  <x:si>
    <x:t>http://id.who.int/icd/entity/1433197106</x:t>
  </x:si>
  <x:si>
    <x:t>http://id.who.int/icd/release/11/beta/ichi/1433197106</x:t>
  </x:si>
  <x:si>
    <x:t>ATH.PG.ZZ</x:t>
  </x:si>
  <x:si>
    <x:t>- - - - - Assisting and leading exercise for temperament and personality functions</x:t>
  </x:si>
  <x:si>
    <x:t>http://id.who.int/icd/entity/1538855922</x:t>
  </x:si>
  <x:si>
    <x:t>http://id.who.int/icd/release/11/beta/ichi/1538855922</x:t>
  </x:si>
  <x:si>
    <x:t>ATH.PH.ZZ</x:t>
  </x:si>
  <x:si>
    <x:t>- - - - - Training for temperament and personality</x:t>
  </x:si>
  <x:si>
    <x:t>http://id.who.int/icd/entity/612511981</x:t>
  </x:si>
  <x:si>
    <x:t>http://id.who.int/icd/release/11/beta/ichi/612511981</x:t>
  </x:si>
  <x:si>
    <x:t>ATH.PM.ZZ</x:t>
  </x:si>
  <x:si>
    <x:t>- - - - - Education for temperament and personality</x:t>
  </x:si>
  <x:si>
    <x:t>http://id.who.int/icd/entity/565583635</x:t>
  </x:si>
  <x:si>
    <x:t>http://id.who.int/icd/release/11/beta/ichi/565583635</x:t>
  </x:si>
  <x:si>
    <x:t>ATH.PN.ZZ</x:t>
  </x:si>
  <x:si>
    <x:t>- - - - - Advising about temperament and personality</x:t>
  </x:si>
  <x:si>
    <x:t>http://id.who.int/icd/entity/1362408606</x:t>
  </x:si>
  <x:si>
    <x:t>http://id.who.int/icd/release/11/beta/ichi/1362408606</x:t>
  </x:si>
  <x:si>
    <x:t>ATH.PP.ZZ</x:t>
  </x:si>
  <x:si>
    <x:t>- - - - - Counselling for temperament and personality</x:t>
  </x:si>
  <x:si>
    <x:t>http://id.who.int/icd/entity/2121551410</x:t>
  </x:si>
  <x:si>
    <x:t>http://id.who.int/icd/release/11/beta/ichi/2121551410</x:t>
  </x:si>
  <x:si>
    <x:t>ATH.RB.ZZ</x:t>
  </x:si>
  <x:si>
    <x:t>- - - - - Practical support with temperament and personality functions</x:t>
  </x:si>
  <x:si>
    <x:t>http://id.who.int/icd/entity/1148039848</x:t>
  </x:si>
  <x:si>
    <x:t>http://id.who.int/icd/release/11/beta/ichi/1148039848</x:t>
  </x:si>
  <x:si>
    <x:t>ATH.RC.ZZ</x:t>
  </x:si>
  <x:si>
    <x:t>- - - - - Emotional support for temperament and personality functions</x:t>
  </x:si>
  <x:si>
    <x:t>http://id.who.int/icd/entity/706064847</x:t>
  </x:si>
  <x:si>
    <x:t>http://id.who.int/icd/release/11/beta/ichi/706064847</x:t>
  </x:si>
  <x:si>
    <x:t>ATI.AA.ZZ</x:t>
  </x:si>
  <x:si>
    <x:t>- - - - - Assessment of energy and drive functions</x:t>
  </x:si>
  <x:si>
    <x:t>http://id.who.int/icd/entity/464511877</x:t>
  </x:si>
  <x:si>
    <x:t>http://id.who.int/icd/release/11/beta/ichi/464511877</x:t>
  </x:si>
  <x:si>
    <x:t>ATI.AC.ZZ</x:t>
  </x:si>
  <x:si>
    <x:t>- - - - - Test of energy and drive functions</x:t>
  </x:si>
  <x:si>
    <x:t>http://id.who.int/icd/entity/504768423</x:t>
  </x:si>
  <x:si>
    <x:t>http://id.who.int/icd/release/11/beta/ichi/504768423</x:t>
  </x:si>
  <x:si>
    <x:t>ATI.AN.ZZ</x:t>
  </x:si>
  <x:si>
    <x:t>- - - - - Interview to assess sleep functions</x:t>
  </x:si>
  <x:si>
    <x:t>http://id.who.int/icd/entity/1799766536</x:t>
  </x:si>
  <x:si>
    <x:t>http://id.who.int/icd/release/11/beta/ichi/1799766536</x:t>
  </x:si>
  <x:si>
    <x:t>ATI.PG.ZZ</x:t>
  </x:si>
  <x:si>
    <x:t>- - - - - Assisting and leading exercise for energy and drive functions</x:t>
  </x:si>
  <x:si>
    <x:t>http://id.who.int/icd/entity/1614961834</x:t>
  </x:si>
  <x:si>
    <x:t>http://id.who.int/icd/release/11/beta/ichi/1614961834</x:t>
  </x:si>
  <x:si>
    <x:t>ATI.PH.ZZ</x:t>
  </x:si>
  <x:si>
    <x:t>- - - - - Training for energy and drive functions</x:t>
  </x:si>
  <x:si>
    <x:t>http://id.who.int/icd/entity/343761177</x:t>
  </x:si>
  <x:si>
    <x:t>http://id.who.int/icd/release/11/beta/ichi/343761177</x:t>
  </x:si>
  <x:si>
    <x:t>ATI.PM.ZZ</x:t>
  </x:si>
  <x:si>
    <x:t>- - - - - Education about energy and drive functions</x:t>
  </x:si>
  <x:si>
    <x:t>http://id.who.int/icd/entity/833633499</x:t>
  </x:si>
  <x:si>
    <x:t>http://id.who.int/icd/release/11/beta/ichi/833633499</x:t>
  </x:si>
  <x:si>
    <x:t>ATI.PN.ZZ</x:t>
  </x:si>
  <x:si>
    <x:t>- - - - - Advising about energy and drive functions</x:t>
  </x:si>
  <x:si>
    <x:t>http://id.who.int/icd/entity/737608193</x:t>
  </x:si>
  <x:si>
    <x:t>http://id.who.int/icd/release/11/beta/ichi/737608193</x:t>
  </x:si>
  <x:si>
    <x:t>ATI.PP.ZZ</x:t>
  </x:si>
  <x:si>
    <x:t>- - - - - Counselling for energy and drive functions</x:t>
  </x:si>
  <x:si>
    <x:t>http://id.who.int/icd/entity/552803501</x:t>
  </x:si>
  <x:si>
    <x:t>http://id.who.int/icd/release/11/beta/ichi/552803501</x:t>
  </x:si>
  <x:si>
    <x:t>ATI.RB.ZZ</x:t>
  </x:si>
  <x:si>
    <x:t>- - - - - Practical support with energy and drive functions</x:t>
  </x:si>
  <x:si>
    <x:t>http://id.who.int/icd/entity/774296943</x:t>
  </x:si>
  <x:si>
    <x:t>http://id.who.int/icd/release/11/beta/ichi/774296943</x:t>
  </x:si>
  <x:si>
    <x:t>ATI.RC.ZZ</x:t>
  </x:si>
  <x:si>
    <x:t>- - - - - Emotional support for energy and drive functions</x:t>
  </x:si>
  <x:si>
    <x:t>http://id.who.int/icd/entity/1360918128</x:t>
  </x:si>
  <x:si>
    <x:t>http://id.who.int/icd/release/11/beta/ichi/1360918128</x:t>
  </x:si>
  <x:si>
    <x:t>ATI.ZZ.ZZ</x:t>
  </x:si>
  <x:si>
    <x:t>- - - - - Other interventions on energy and drive functions, not elsewhere classified</x:t>
  </x:si>
  <x:si>
    <x:t>http://id.who.int/icd/entity/296531575</x:t>
  </x:si>
  <x:si>
    <x:t>http://id.who.int/icd/release/11/beta/ichi/296531575</x:t>
  </x:si>
  <x:si>
    <x:t>ATK.AA.ZZ</x:t>
  </x:si>
  <x:si>
    <x:t>- - - - - Assessment of sleep functions</x:t>
  </x:si>
  <x:si>
    <x:t>http://id.who.int/icd/entity/722664081</x:t>
  </x:si>
  <x:si>
    <x:t>http://id.who.int/icd/release/11/beta/ichi/722664081</x:t>
  </x:si>
  <x:si>
    <x:t>ATK.AC.ZZ</x:t>
  </x:si>
  <x:si>
    <x:t>- - - - - Test of sleep functions</x:t>
  </x:si>
  <x:si>
    <x:t>http://id.who.int/icd/entity/1953962946</x:t>
  </x:si>
  <x:si>
    <x:t>http://id.who.int/icd/release/11/beta/ichi/1953962946</x:t>
  </x:si>
  <x:si>
    <x:t>ATK.AI.AH</x:t>
  </x:si>
  <x:si>
    <x:t>- - - - - Polysomnogram</x:t>
  </x:si>
  <x:si>
    <x:t>http://id.who.int/icd/entity/515018389</x:t>
  </x:si>
  <x:si>
    <x:t>http://id.who.int/icd/release/11/beta/ichi/515018389</x:t>
  </x:si>
  <x:si>
    <x:t>ATK.PG.ZZ</x:t>
  </x:si>
  <x:si>
    <x:t>- - - - - Assisting and leading exercise for sleep functions</x:t>
  </x:si>
  <x:si>
    <x:t>http://id.who.int/icd/entity/364286009</x:t>
  </x:si>
  <x:si>
    <x:t>http://id.who.int/icd/release/11/beta/ichi/364286009</x:t>
  </x:si>
  <x:si>
    <x:t>ATK.PH.ZZ</x:t>
  </x:si>
  <x:si>
    <x:t>- - - - - Training for sleep functions</x:t>
  </x:si>
  <x:si>
    <x:t>http://id.who.int/icd/entity/1058943531</x:t>
  </x:si>
  <x:si>
    <x:t>http://id.who.int/icd/release/11/beta/ichi/1058943531</x:t>
  </x:si>
  <x:si>
    <x:t>ATK.PM.ZZ</x:t>
  </x:si>
  <x:si>
    <x:t>- - - - - Education about sleep functions</x:t>
  </x:si>
  <x:si>
    <x:t>http://id.who.int/icd/entity/1076171062</x:t>
  </x:si>
  <x:si>
    <x:t>http://id.who.int/icd/release/11/beta/ichi/1076171062</x:t>
  </x:si>
  <x:si>
    <x:t>ATK.PN.ZZ</x:t>
  </x:si>
  <x:si>
    <x:t>- - - - - Advising about sleep functions</x:t>
  </x:si>
  <x:si>
    <x:t>http://id.who.int/icd/entity/1158758092</x:t>
  </x:si>
  <x:si>
    <x:t>http://id.who.int/icd/release/11/beta/ichi/1158758092</x:t>
  </x:si>
  <x:si>
    <x:t>ATK.PP.ZZ</x:t>
  </x:si>
  <x:si>
    <x:t>- - - - - Counselling for sleep functions</x:t>
  </x:si>
  <x:si>
    <x:t>http://id.who.int/icd/entity/898864455</x:t>
  </x:si>
  <x:si>
    <x:t>http://id.who.int/icd/release/11/beta/ichi/898864455</x:t>
  </x:si>
  <x:si>
    <x:t>ATK.RB.ZZ</x:t>
  </x:si>
  <x:si>
    <x:t>- - - - - Practical support with sleep functions</x:t>
  </x:si>
  <x:si>
    <x:t>http://id.who.int/icd/entity/450064361</x:t>
  </x:si>
  <x:si>
    <x:t>http://id.who.int/icd/release/11/beta/ichi/450064361</x:t>
  </x:si>
  <x:si>
    <x:t>ATK.RC.ZZ</x:t>
  </x:si>
  <x:si>
    <x:t>- - - - - Emotional support for sleep functions</x:t>
  </x:si>
  <x:si>
    <x:t>http://id.who.int/icd/entity/1073466043</x:t>
  </x:si>
  <x:si>
    <x:t>http://id.who.int/icd/release/11/beta/ichi/1073466043</x:t>
  </x:si>
  <x:si>
    <x:t>ATK.ZZ.ZZ</x:t>
  </x:si>
  <x:si>
    <x:t>- - - - - Other interventions on sleep function, not elsewhere classified</x:t>
  </x:si>
  <x:si>
    <x:t>http://id.who.int/icd/entity/1975987664</x:t>
  </x:si>
  <x:si>
    <x:t>http://id.who.int/icd/release/11/beta/ichi/1975987664</x:t>
  </x:si>
  <x:si>
    <x:t>BlockL4-AU2</x:t>
  </x:si>
  <x:si>
    <x:t>- - - - Interventions on specific mental functions</x:t>
  </x:si>
  <x:si>
    <x:t>114</x:t>
  </x:si>
  <x:si>
    <x:t>http://id.who.int/icd/entity/1903868912</x:t>
  </x:si>
  <x:si>
    <x:t>http://id.who.int/icd/release/11/beta/ichi/1903868912</x:t>
  </x:si>
  <x:si>
    <x:t>AU2.AA.ZZ</x:t>
  </x:si>
  <x:si>
    <x:t>- - - - - Assessment of specific mental functions, not elsewhere classified</x:t>
  </x:si>
  <x:si>
    <x:t>http://id.who.int/icd/entity/1342861332</x:t>
  </x:si>
  <x:si>
    <x:t>http://id.who.int/icd/release/11/beta/ichi/1342861332</x:t>
  </x:si>
  <x:si>
    <x:t>AU2.AC.ZZ</x:t>
  </x:si>
  <x:si>
    <x:t>- - - - - Test of specific mental functions, not elsewhere classified</x:t>
  </x:si>
  <x:si>
    <x:t>http://id.who.int/icd/entity/1527672510</x:t>
  </x:si>
  <x:si>
    <x:t>http://id.who.int/icd/release/11/beta/ichi/1527672510</x:t>
  </x:si>
  <x:si>
    <x:t>AU2.AI.ZZ</x:t>
  </x:si>
  <x:si>
    <x:t>- - - - - Monitoring specific mental functions, not elsewhere classified</x:t>
  </x:si>
  <x:si>
    <x:t>http://id.who.int/icd/entity/264773937</x:t>
  </x:si>
  <x:si>
    <x:t>http://id.who.int/icd/release/11/beta/ichi/264773937</x:t>
  </x:si>
  <x:si>
    <x:t>AU2.AM.ZZ</x:t>
  </x:si>
  <x:si>
    <x:t>- - - - - Observation of specific mental functions, not elsewhere classified</x:t>
  </x:si>
  <x:si>
    <x:t>http://id.who.int/icd/entity/902946215</x:t>
  </x:si>
  <x:si>
    <x:t>http://id.who.int/icd/release/11/beta/ichi/902946215</x:t>
  </x:si>
  <x:si>
    <x:t>AU2.PG.ZZ</x:t>
  </x:si>
  <x:si>
    <x:t>- - - - - Assisting and leading exercise for specific mental functions, not elsewhere classified</x:t>
  </x:si>
  <x:si>
    <x:t>http://id.who.int/icd/entity/445720329</x:t>
  </x:si>
  <x:si>
    <x:t>http://id.who.int/icd/release/11/beta/ichi/445720329</x:t>
  </x:si>
  <x:si>
    <x:t>AU2.PH.ZZ</x:t>
  </x:si>
  <x:si>
    <x:t>- - - - - Training for specific mental functions, not elsewhere classified</x:t>
  </x:si>
  <x:si>
    <x:t>http://id.who.int/icd/entity/1779666054</x:t>
  </x:si>
  <x:si>
    <x:t>http://id.who.int/icd/release/11/beta/ichi/1779666054</x:t>
  </x:si>
  <x:si>
    <x:t>AU2.PM.ZZ</x:t>
  </x:si>
  <x:si>
    <x:t>- - - - - Education about specific mental functions, not elsewhere classified</x:t>
  </x:si>
  <x:si>
    <x:t>http://id.who.int/icd/entity/805169523</x:t>
  </x:si>
  <x:si>
    <x:t>http://id.who.int/icd/release/11/beta/ichi/805169523</x:t>
  </x:si>
  <x:si>
    <x:t>AU2.PN.ZZ</x:t>
  </x:si>
  <x:si>
    <x:t>- - - - - Advising about specific mental functions, not elsewhere classified</x:t>
  </x:si>
  <x:si>
    <x:t>http://id.who.int/icd/entity/1355205230</x:t>
  </x:si>
  <x:si>
    <x:t>http://id.who.int/icd/release/11/beta/ichi/1355205230</x:t>
  </x:si>
  <x:si>
    <x:t>AU2.PP.ZZ</x:t>
  </x:si>
  <x:si>
    <x:t>- - - - - Counselling for specific mental functions, not elsewhere classified</x:t>
  </x:si>
  <x:si>
    <x:t>http://id.who.int/icd/entity/1052690693</x:t>
  </x:si>
  <x:si>
    <x:t>http://id.who.int/icd/release/11/beta/ichi/1052690693</x:t>
  </x:si>
  <x:si>
    <x:t>AU2.PQ.ZZ</x:t>
  </x:si>
  <x:si>
    <x:t>- - - - - Psychotherapy for specific mental functions, not elsewhere classified</x:t>
  </x:si>
  <x:si>
    <x:t>http://id.who.int/icd/entity/628117023</x:t>
  </x:si>
  <x:si>
    <x:t>http://id.who.int/icd/release/11/beta/ichi/628117023</x:t>
  </x:si>
  <x:si>
    <x:t>AU2.RB.ZZ</x:t>
  </x:si>
  <x:si>
    <x:t>- - - - - Practical support with specific mental functions, not elsewhere classified</x:t>
  </x:si>
  <x:si>
    <x:t>http://id.who.int/icd/entity/1060597957</x:t>
  </x:si>
  <x:si>
    <x:t>http://id.who.int/icd/release/11/beta/ichi/1060597957</x:t>
  </x:si>
  <x:si>
    <x:t>AU2.RC.ZZ</x:t>
  </x:si>
  <x:si>
    <x:t>- - - - - Emotional support for specific mental functions, not elsewhere classified</x:t>
  </x:si>
  <x:si>
    <x:t>http://id.who.int/icd/entity/988194731</x:t>
  </x:si>
  <x:si>
    <x:t>http://id.who.int/icd/release/11/beta/ichi/988194731</x:t>
  </x:si>
  <x:si>
    <x:t>AUA.AA.ZZ</x:t>
  </x:si>
  <x:si>
    <x:t>- - - - - Assessment of attention functions</x:t>
  </x:si>
  <x:si>
    <x:t>http://id.who.int/icd/entity/1893351616</x:t>
  </x:si>
  <x:si>
    <x:t>http://id.who.int/icd/release/11/beta/ichi/1893351616</x:t>
  </x:si>
  <x:si>
    <x:t>AUA.AC.ZZ</x:t>
  </x:si>
  <x:si>
    <x:t>- - - - - Test of attention functions</x:t>
  </x:si>
  <x:si>
    <x:t>http://id.who.int/icd/entity/1978560318</x:t>
  </x:si>
  <x:si>
    <x:t>http://id.who.int/icd/release/11/beta/ichi/1978560318</x:t>
  </x:si>
  <x:si>
    <x:t>AUA.PG.ZZ</x:t>
  </x:si>
  <x:si>
    <x:t>- - - - - Assisting and leading exercise for attention functions</x:t>
  </x:si>
  <x:si>
    <x:t>http://id.who.int/icd/entity/181750817</x:t>
  </x:si>
  <x:si>
    <x:t>http://id.who.int/icd/release/11/beta/ichi/181750817</x:t>
  </x:si>
  <x:si>
    <x:t>AUA.PH.ZZ</x:t>
  </x:si>
  <x:si>
    <x:t>- - - - - Training for attention functions</x:t>
  </x:si>
  <x:si>
    <x:t>http://id.who.int/icd/entity/1689079626</x:t>
  </x:si>
  <x:si>
    <x:t>http://id.who.int/icd/release/11/beta/ichi/1689079626</x:t>
  </x:si>
  <x:si>
    <x:t>AUA.PM.ZZ</x:t>
  </x:si>
  <x:si>
    <x:t>- - - - - Education about attention functions</x:t>
  </x:si>
  <x:si>
    <x:t>http://id.who.int/icd/entity/271958667</x:t>
  </x:si>
  <x:si>
    <x:t>http://id.who.int/icd/release/11/beta/ichi/271958667</x:t>
  </x:si>
  <x:si>
    <x:t>AUA.PN.ZZ</x:t>
  </x:si>
  <x:si>
    <x:t>- - - - - Advising about attention functions</x:t>
  </x:si>
  <x:si>
    <x:t>http://id.who.int/icd/entity/175307857</x:t>
  </x:si>
  <x:si>
    <x:t>http://id.who.int/icd/release/11/beta/ichi/175307857</x:t>
  </x:si>
  <x:si>
    <x:t>AUA.PP.ZZ</x:t>
  </x:si>
  <x:si>
    <x:t>- - - - - Counselling for attention functions</x:t>
  </x:si>
  <x:si>
    <x:t>http://id.who.int/icd/entity/24568573</x:t>
  </x:si>
  <x:si>
    <x:t>http://id.who.int/icd/release/11/beta/ichi/24568573</x:t>
  </x:si>
  <x:si>
    <x:t>AUA.RB.ZZ</x:t>
  </x:si>
  <x:si>
    <x:t>- - - - - Practical support with attention function</x:t>
  </x:si>
  <x:si>
    <x:t>http://id.who.int/icd/entity/651189466</x:t>
  </x:si>
  <x:si>
    <x:t>http://id.who.int/icd/release/11/beta/ichi/651189466</x:t>
  </x:si>
  <x:si>
    <x:t>AUA.RC.ZZ</x:t>
  </x:si>
  <x:si>
    <x:t>- - - - - Emotional support for attention functions</x:t>
  </x:si>
  <x:si>
    <x:t>http://id.who.int/icd/entity/1508605893</x:t>
  </x:si>
  <x:si>
    <x:t>http://id.who.int/icd/release/11/beta/ichi/1508605893</x:t>
  </x:si>
  <x:si>
    <x:t>AUB.AA.ZZ</x:t>
  </x:si>
  <x:si>
    <x:t>- - - - - Assessment of memory</x:t>
  </x:si>
  <x:si>
    <x:t>http://id.who.int/icd/entity/212109708</x:t>
  </x:si>
  <x:si>
    <x:t>http://id.who.int/icd/release/11/beta/ichi/212109708</x:t>
  </x:si>
  <x:si>
    <x:t>AUB.AC.ZZ</x:t>
  </x:si>
  <x:si>
    <x:t>- - - - - Test of memory</x:t>
  </x:si>
  <x:si>
    <x:t>http://id.who.int/icd/entity/1939843733</x:t>
  </x:si>
  <x:si>
    <x:t>http://id.who.int/icd/release/11/beta/ichi/1939843733</x:t>
  </x:si>
  <x:si>
    <x:t>AUB.PG.ZZ</x:t>
  </x:si>
  <x:si>
    <x:t>- - - - - Assisting and leading exercise for memory functions</x:t>
  </x:si>
  <x:si>
    <x:t>http://id.who.int/icd/entity/114087544</x:t>
  </x:si>
  <x:si>
    <x:t>http://id.who.int/icd/release/11/beta/ichi/114087544</x:t>
  </x:si>
  <x:si>
    <x:t>AUB.PH.ZZ</x:t>
  </x:si>
  <x:si>
    <x:t>- - - - - Training for memory</x:t>
  </x:si>
  <x:si>
    <x:t>http://id.who.int/icd/entity/1984855547</x:t>
  </x:si>
  <x:si>
    <x:t>http://id.who.int/icd/release/11/beta/ichi/1984855547</x:t>
  </x:si>
  <x:si>
    <x:t>AUB.PM.ZZ</x:t>
  </x:si>
  <x:si>
    <x:t>- - - - - Education about memory</x:t>
  </x:si>
  <x:si>
    <x:t>http://id.who.int/icd/entity/1494124373</x:t>
  </x:si>
  <x:si>
    <x:t>http://id.who.int/icd/release/11/beta/ichi/1494124373</x:t>
  </x:si>
  <x:si>
    <x:t>AUB.PN.ZZ</x:t>
  </x:si>
  <x:si>
    <x:t>- - - - - Advising about memory</x:t>
  </x:si>
  <x:si>
    <x:t>http://id.who.int/icd/entity/205615388</x:t>
  </x:si>
  <x:si>
    <x:t>http://id.who.int/icd/release/11/beta/ichi/205615388</x:t>
  </x:si>
  <x:si>
    <x:t>AUB.PP.ZZ</x:t>
  </x:si>
  <x:si>
    <x:t>- - - - - Counselling for memory functions</x:t>
  </x:si>
  <x:si>
    <x:t>http://id.who.int/icd/entity/1647932019</x:t>
  </x:si>
  <x:si>
    <x:t>http://id.who.int/icd/release/11/beta/ichi/1647932019</x:t>
  </x:si>
  <x:si>
    <x:t>AUB.RB.ZZ</x:t>
  </x:si>
  <x:si>
    <x:t>- - - - - Practical support with memory</x:t>
  </x:si>
  <x:si>
    <x:t>http://id.who.int/icd/entity/1401102393</x:t>
  </x:si>
  <x:si>
    <x:t>http://id.who.int/icd/release/11/beta/ichi/1401102393</x:t>
  </x:si>
  <x:si>
    <x:t>AUB.RC.ZZ</x:t>
  </x:si>
  <x:si>
    <x:t>- - - - - Emotional support for memory</x:t>
  </x:si>
  <x:si>
    <x:t>http://id.who.int/icd/entity/216449386</x:t>
  </x:si>
  <x:si>
    <x:t>http://id.who.int/icd/release/11/beta/ichi/216449386</x:t>
  </x:si>
  <x:si>
    <x:t>AUC.AA.ZZ</x:t>
  </x:si>
  <x:si>
    <x:t>- - - - - Assessment of psychomotor functions</x:t>
  </x:si>
  <x:si>
    <x:t>http://id.who.int/icd/entity/132308936</x:t>
  </x:si>
  <x:si>
    <x:t>http://id.who.int/icd/release/11/beta/ichi/132308936</x:t>
  </x:si>
  <x:si>
    <x:t>AUC.AC.ZZ</x:t>
  </x:si>
  <x:si>
    <x:t>- - - - - Test of psychomotor functions</x:t>
  </x:si>
  <x:si>
    <x:t>http://id.who.int/icd/entity/1394905161</x:t>
  </x:si>
  <x:si>
    <x:t>http://id.who.int/icd/release/11/beta/ichi/1394905161</x:t>
  </x:si>
  <x:si>
    <x:t>AUC.PG.ZZ</x:t>
  </x:si>
  <x:si>
    <x:t>- - - - - Assisting and leading exercise for psychomotor function</x:t>
  </x:si>
  <x:si>
    <x:t>http://id.who.int/icd/entity/1186016271</x:t>
  </x:si>
  <x:si>
    <x:t>http://id.who.int/icd/release/11/beta/ichi/1186016271</x:t>
  </x:si>
  <x:si>
    <x:t>AUC.PH.ZZ</x:t>
  </x:si>
  <x:si>
    <x:t>- - - - - Training for psychomotor functions</x:t>
  </x:si>
  <x:si>
    <x:t>http://id.who.int/icd/entity/1225303197</x:t>
  </x:si>
  <x:si>
    <x:t>http://id.who.int/icd/release/11/beta/ichi/1225303197</x:t>
  </x:si>
  <x:si>
    <x:t>AUC.PM.ZZ</x:t>
  </x:si>
  <x:si>
    <x:t>- - - - - Education about psychomotor functions</x:t>
  </x:si>
  <x:si>
    <x:t>http://id.who.int/icd/entity/661694454</x:t>
  </x:si>
  <x:si>
    <x:t>http://id.who.int/icd/release/11/beta/ichi/661694454</x:t>
  </x:si>
  <x:si>
    <x:t>AUC.PN.ZZ</x:t>
  </x:si>
  <x:si>
    <x:t>- - - - - Advising about psychomotor functions</x:t>
  </x:si>
  <x:si>
    <x:t>http://id.who.int/icd/entity/1019093230</x:t>
  </x:si>
  <x:si>
    <x:t>http://id.who.int/icd/release/11/beta/ichi/1019093230</x:t>
  </x:si>
  <x:si>
    <x:t>AUC.PP.ZZ</x:t>
  </x:si>
  <x:si>
    <x:t>- - - - - Counselling for psychomotor functions</x:t>
  </x:si>
  <x:si>
    <x:t>http://id.who.int/icd/entity/653860404</x:t>
  </x:si>
  <x:si>
    <x:t>http://id.who.int/icd/release/11/beta/ichi/653860404</x:t>
  </x:si>
  <x:si>
    <x:t>AUC.RB.ZZ</x:t>
  </x:si>
  <x:si>
    <x:t>- - - - - Practical support with psychomotor function</x:t>
  </x:si>
  <x:si>
    <x:t>http://id.who.int/icd/entity/771555482</x:t>
  </x:si>
  <x:si>
    <x:t>http://id.who.int/icd/release/11/beta/ichi/771555482</x:t>
  </x:si>
  <x:si>
    <x:t>AUC.RC.ZZ</x:t>
  </x:si>
  <x:si>
    <x:t>- - - - - Emotional support for psychomotor functions</x:t>
  </x:si>
  <x:si>
    <x:t>http://id.who.int/icd/entity/589875546</x:t>
  </x:si>
  <x:si>
    <x:t>http://id.who.int/icd/release/11/beta/ichi/589875546</x:t>
  </x:si>
  <x:si>
    <x:t>AUD.AA.ZZ</x:t>
  </x:si>
  <x:si>
    <x:t>- - - - - Assessment of emotional functions</x:t>
  </x:si>
  <x:si>
    <x:t>http://id.who.int/icd/entity/747717064</x:t>
  </x:si>
  <x:si>
    <x:t>http://id.who.int/icd/release/11/beta/ichi/747717064</x:t>
  </x:si>
  <x:si>
    <x:t>AUD.AC.ZZ</x:t>
  </x:si>
  <x:si>
    <x:t>- - - - - Test of emotional functions</x:t>
  </x:si>
  <x:si>
    <x:t>http://id.who.int/icd/entity/2044639111</x:t>
  </x:si>
  <x:si>
    <x:t>http://id.who.int/icd/release/11/beta/ichi/2044639111</x:t>
  </x:si>
  <x:si>
    <x:t>AUD.PG.ZZ</x:t>
  </x:si>
  <x:si>
    <x:t>- - - - - Assisting and leading exercise for emotional function</x:t>
  </x:si>
  <x:si>
    <x:t>http://id.who.int/icd/entity/396801262</x:t>
  </x:si>
  <x:si>
    <x:t>http://id.who.int/icd/release/11/beta/ichi/396801262</x:t>
  </x:si>
  <x:si>
    <x:t>AUD.PH.ZZ</x:t>
  </x:si>
  <x:si>
    <x:t>- - - - - Training for emotional functions</x:t>
  </x:si>
  <x:si>
    <x:t>http://id.who.int/icd/entity/1671006557</x:t>
  </x:si>
  <x:si>
    <x:t>http://id.who.int/icd/release/11/beta/ichi/1671006557</x:t>
  </x:si>
  <x:si>
    <x:t>AUD.PM.ZZ</x:t>
  </x:si>
  <x:si>
    <x:t>- - - - - Education about emotional functions</x:t>
  </x:si>
  <x:si>
    <x:t>http://id.who.int/icd/entity/1501590987</x:t>
  </x:si>
  <x:si>
    <x:t>http://id.who.int/icd/release/11/beta/ichi/1501590987</x:t>
  </x:si>
  <x:si>
    <x:t>AUD.PN.ZZ</x:t>
  </x:si>
  <x:si>
    <x:t>- - - - - Advising about emotional functions</x:t>
  </x:si>
  <x:si>
    <x:t>http://id.who.int/icd/entity/1992331109</x:t>
  </x:si>
  <x:si>
    <x:t>http://id.who.int/icd/release/11/beta/ichi/1992331109</x:t>
  </x:si>
  <x:si>
    <x:t>AUD.PP.ZZ</x:t>
  </x:si>
  <x:si>
    <x:t>- - - - - Counselling for emotional functions</x:t>
  </x:si>
  <x:si>
    <x:t>http://id.who.int/icd/entity/943849008</x:t>
  </x:si>
  <x:si>
    <x:t>http://id.who.int/icd/release/11/beta/ichi/943849008</x:t>
  </x:si>
  <x:si>
    <x:t>AUD.RB.ZZ</x:t>
  </x:si>
  <x:si>
    <x:t>- - - - - Practical support with emotional functions</x:t>
  </x:si>
  <x:si>
    <x:t>http://id.who.int/icd/entity/2006270439</x:t>
  </x:si>
  <x:si>
    <x:t>http://id.who.int/icd/release/11/beta/ichi/2006270439</x:t>
  </x:si>
  <x:si>
    <x:t>AUD.RC.ZZ</x:t>
  </x:si>
  <x:si>
    <x:t>- - - - - Emotional support for emotional functions</x:t>
  </x:si>
  <x:si>
    <x:t>http://id.who.int/icd/entity/491836592</x:t>
  </x:si>
  <x:si>
    <x:t>http://id.who.int/icd/release/11/beta/ichi/491836592</x:t>
  </x:si>
  <x:si>
    <x:t>AUD.ZZ.ZZ</x:t>
  </x:si>
  <x:si>
    <x:t>- - - - - Other interventions on emotional functions, not elsewhere classified</x:t>
  </x:si>
  <x:si>
    <x:t>http://id.who.int/icd/entity/228216070</x:t>
  </x:si>
  <x:si>
    <x:t>http://id.who.int/icd/release/11/beta/ichi/228216070</x:t>
  </x:si>
  <x:si>
    <x:t>AUE.AA.ZZ</x:t>
  </x:si>
  <x:si>
    <x:t>- - - - - Assessment of perceptual function</x:t>
  </x:si>
  <x:si>
    <x:t>http://id.who.int/icd/entity/1923182105</x:t>
  </x:si>
  <x:si>
    <x:t>http://id.who.int/icd/release/11/beta/ichi/1923182105</x:t>
  </x:si>
  <x:si>
    <x:t>AUE.AC.ZZ</x:t>
  </x:si>
  <x:si>
    <x:t>- - - - - Test of perceptual functions</x:t>
  </x:si>
  <x:si>
    <x:t>http://id.who.int/icd/entity/1468648267</x:t>
  </x:si>
  <x:si>
    <x:t>http://id.who.int/icd/release/11/beta/ichi/1468648267</x:t>
  </x:si>
  <x:si>
    <x:t>AUE.PG.ZZ</x:t>
  </x:si>
  <x:si>
    <x:t>- - - - - Assisting and leading exercise for perceptual functions</x:t>
  </x:si>
  <x:si>
    <x:t>http://id.who.int/icd/entity/2026451429</x:t>
  </x:si>
  <x:si>
    <x:t>http://id.who.int/icd/release/11/beta/ichi/2026451429</x:t>
  </x:si>
  <x:si>
    <x:t>AUE.PH.ZZ</x:t>
  </x:si>
  <x:si>
    <x:t>- - - - - Training for perceptual functions</x:t>
  </x:si>
  <x:si>
    <x:t>http://id.who.int/icd/entity/2113740315</x:t>
  </x:si>
  <x:si>
    <x:t>http://id.who.int/icd/release/11/beta/ichi/2113740315</x:t>
  </x:si>
  <x:si>
    <x:t>AUE.PM.ZZ</x:t>
  </x:si>
  <x:si>
    <x:t>- - - - - Education about perceptual function</x:t>
  </x:si>
  <x:si>
    <x:t>http://id.who.int/icd/entity/1388176565</x:t>
  </x:si>
  <x:si>
    <x:t>http://id.who.int/icd/release/11/beta/ichi/1388176565</x:t>
  </x:si>
  <x:si>
    <x:t>AUE.PN.ZZ</x:t>
  </x:si>
  <x:si>
    <x:t>- - - - - Advising about perceptual function</x:t>
  </x:si>
  <x:si>
    <x:t>http://id.who.int/icd/entity/574574394</x:t>
  </x:si>
  <x:si>
    <x:t>http://id.who.int/icd/release/11/beta/ichi/574574394</x:t>
  </x:si>
  <x:si>
    <x:t>AUE.PP.ZZ</x:t>
  </x:si>
  <x:si>
    <x:t>- - - - - Counselling for perceptual function</x:t>
  </x:si>
  <x:si>
    <x:t>http://id.who.int/icd/entity/1214081567</x:t>
  </x:si>
  <x:si>
    <x:t>http://id.who.int/icd/release/11/beta/ichi/1214081567</x:t>
  </x:si>
  <x:si>
    <x:t>AUE.RB.ZZ</x:t>
  </x:si>
  <x:si>
    <x:t>- - - - - Practical support with perceptual function</x:t>
  </x:si>
  <x:si>
    <x:t>http://id.who.int/icd/entity/929450240</x:t>
  </x:si>
  <x:si>
    <x:t>http://id.who.int/icd/release/11/beta/ichi/929450240</x:t>
  </x:si>
  <x:si>
    <x:t>AUE.RC.ZZ</x:t>
  </x:si>
  <x:si>
    <x:t>- - - - - Emotional support for perceptual function</x:t>
  </x:si>
  <x:si>
    <x:t>http://id.who.int/icd/entity/466088137</x:t>
  </x:si>
  <x:si>
    <x:t>http://id.who.int/icd/release/11/beta/ichi/466088137</x:t>
  </x:si>
  <x:si>
    <x:t>AUE.SC.ZZ</x:t>
  </x:si>
  <x:si>
    <x:t>- - - - - Sensory stimulation for perceptual functions</x:t>
  </x:si>
  <x:si>
    <x:t>http://id.who.int/icd/entity/281276005</x:t>
  </x:si>
  <x:si>
    <x:t>http://id.who.int/icd/release/11/beta/ichi/281276005</x:t>
  </x:si>
  <x:si>
    <x:t>AUE.TM.ZZ</x:t>
  </x:si>
  <x:si>
    <x:t>- - - - - Environment modification in relation to perceptual functions</x:t>
  </x:si>
  <x:si>
    <x:t>http://id.who.int/icd/entity/1495157353</x:t>
  </x:si>
  <x:si>
    <x:t>http://id.who.int/icd/release/11/beta/ichi/1495157353</x:t>
  </x:si>
  <x:si>
    <x:t>AUF.AA.ZZ</x:t>
  </x:si>
  <x:si>
    <x:t>- - - - - Assessment of thought function</x:t>
  </x:si>
  <x:si>
    <x:t>http://id.who.int/icd/entity/2039231067</x:t>
  </x:si>
  <x:si>
    <x:t>http://id.who.int/icd/release/11/beta/ichi/2039231067</x:t>
  </x:si>
  <x:si>
    <x:t>AUF.AC.ZZ</x:t>
  </x:si>
  <x:si>
    <x:t>- - - - - Test of thought functions</x:t>
  </x:si>
  <x:si>
    <x:t>http://id.who.int/icd/entity/759856598</x:t>
  </x:si>
  <x:si>
    <x:t>http://id.who.int/icd/release/11/beta/ichi/759856598</x:t>
  </x:si>
  <x:si>
    <x:t>AUF.PG.ZZ</x:t>
  </x:si>
  <x:si>
    <x:t>- - - - - Assisting and leading exercise for thought function</x:t>
  </x:si>
  <x:si>
    <x:t>http://id.who.int/icd/entity/2013629339</x:t>
  </x:si>
  <x:si>
    <x:t>http://id.who.int/icd/release/11/beta/ichi/2013629339</x:t>
  </x:si>
  <x:si>
    <x:t>AUF.PH.ZZ</x:t>
  </x:si>
  <x:si>
    <x:t>- - - - - Training for thought functions</x:t>
  </x:si>
  <x:si>
    <x:t>http://id.who.int/icd/entity/1464168757</x:t>
  </x:si>
  <x:si>
    <x:t>http://id.who.int/icd/release/11/beta/ichi/1464168757</x:t>
  </x:si>
  <x:si>
    <x:t>AUF.PM.ZZ</x:t>
  </x:si>
  <x:si>
    <x:t>- - - - - Education about thought function</x:t>
  </x:si>
  <x:si>
    <x:t>http://id.who.int/icd/entity/667409082</x:t>
  </x:si>
  <x:si>
    <x:t>http://id.who.int/icd/release/11/beta/ichi/667409082</x:t>
  </x:si>
  <x:si>
    <x:t>AUF.PN.ZZ</x:t>
  </x:si>
  <x:si>
    <x:t>- - - - - Advising about thought function</x:t>
  </x:si>
  <x:si>
    <x:t>http://id.who.int/icd/entity/1385473627</x:t>
  </x:si>
  <x:si>
    <x:t>http://id.who.int/icd/release/11/beta/ichi/1385473627</x:t>
  </x:si>
  <x:si>
    <x:t>AUF.PP.ZZ</x:t>
  </x:si>
  <x:si>
    <x:t>- - - - - Counselling for thought function</x:t>
  </x:si>
  <x:si>
    <x:t>http://id.who.int/icd/entity/766477638</x:t>
  </x:si>
  <x:si>
    <x:t>http://id.who.int/icd/release/11/beta/ichi/766477638</x:t>
  </x:si>
  <x:si>
    <x:t>AUF.RB.ZZ</x:t>
  </x:si>
  <x:si>
    <x:t>- - - - - Practical support with thought function</x:t>
  </x:si>
  <x:si>
    <x:t>http://id.who.int/icd/entity/1138198061</x:t>
  </x:si>
  <x:si>
    <x:t>http://id.who.int/icd/release/11/beta/ichi/1138198061</x:t>
  </x:si>
  <x:si>
    <x:t>AUF.RC.ZZ</x:t>
  </x:si>
  <x:si>
    <x:t>- - - - - Emotional support for thought function</x:t>
  </x:si>
  <x:si>
    <x:t>http://id.who.int/icd/entity/1478033719</x:t>
  </x:si>
  <x:si>
    <x:t>http://id.who.int/icd/release/11/beta/ichi/1478033719</x:t>
  </x:si>
  <x:si>
    <x:t>AUH.AA.ZZ</x:t>
  </x:si>
  <x:si>
    <x:t>- - - - - Assessment of higher-level cognitive functions</x:t>
  </x:si>
  <x:si>
    <x:t>http://id.who.int/icd/entity/1772311421</x:t>
  </x:si>
  <x:si>
    <x:t>http://id.who.int/icd/release/11/beta/ichi/1772311421</x:t>
  </x:si>
  <x:si>
    <x:t>AUH.AC.ZZ</x:t>
  </x:si>
  <x:si>
    <x:t>- - - - - Test of higher-level cognitive functions</x:t>
  </x:si>
  <x:si>
    <x:t>http://id.who.int/icd/entity/490462912</x:t>
  </x:si>
  <x:si>
    <x:t>http://id.who.int/icd/release/11/beta/ichi/490462912</x:t>
  </x:si>
  <x:si>
    <x:t>AUH.PG.ZZ</x:t>
  </x:si>
  <x:si>
    <x:t>- - - - - Assisting and leading exercise for higher-level cognitive functions</x:t>
  </x:si>
  <x:si>
    <x:t>http://id.who.int/icd/entity/125624422</x:t>
  </x:si>
  <x:si>
    <x:t>http://id.who.int/icd/release/11/beta/ichi/125624422</x:t>
  </x:si>
  <x:si>
    <x:t>AUH.PH.ZZ</x:t>
  </x:si>
  <x:si>
    <x:t>- - - - - Training for higher-level cognitive functions</x:t>
  </x:si>
  <x:si>
    <x:t>http://id.who.int/icd/entity/1639555382</x:t>
  </x:si>
  <x:si>
    <x:t>http://id.who.int/icd/release/11/beta/ichi/1639555382</x:t>
  </x:si>
  <x:si>
    <x:t>AUH.PM.ZZ</x:t>
  </x:si>
  <x:si>
    <x:t>- - - - - Education about higher-level cognitive functions</x:t>
  </x:si>
  <x:si>
    <x:t>http://id.who.int/icd/entity/289082041</x:t>
  </x:si>
  <x:si>
    <x:t>http://id.who.int/icd/release/11/beta/ichi/289082041</x:t>
  </x:si>
  <x:si>
    <x:t>AUH.PN.ZZ</x:t>
  </x:si>
  <x:si>
    <x:t>- - - - - Advising about higher-level cognitive functions</x:t>
  </x:si>
  <x:si>
    <x:t>http://id.who.int/icd/entity/1048309783</x:t>
  </x:si>
  <x:si>
    <x:t>http://id.who.int/icd/release/11/beta/ichi/1048309783</x:t>
  </x:si>
  <x:si>
    <x:t>AUH.PP.ZZ</x:t>
  </x:si>
  <x:si>
    <x:t>- - - - - Counselling for higher-level cognitive functions</x:t>
  </x:si>
  <x:si>
    <x:t>http://id.who.int/icd/entity/1798571610</x:t>
  </x:si>
  <x:si>
    <x:t>http://id.who.int/icd/release/11/beta/ichi/1798571610</x:t>
  </x:si>
  <x:si>
    <x:t>AUH.RB.ZZ</x:t>
  </x:si>
  <x:si>
    <x:t>- - - - - Practical support with higher-level cognitive function</x:t>
  </x:si>
  <x:si>
    <x:t>http://id.who.int/icd/entity/88868145</x:t>
  </x:si>
  <x:si>
    <x:t>http://id.who.int/icd/release/11/beta/ichi/88868145</x:t>
  </x:si>
  <x:si>
    <x:t>AUH.RC.ZZ</x:t>
  </x:si>
  <x:si>
    <x:t>- - - - - Emotional support for higher-level cognitive functions</x:t>
  </x:si>
  <x:si>
    <x:t>http://id.who.int/icd/entity/888559483</x:t>
  </x:si>
  <x:si>
    <x:t>http://id.who.int/icd/release/11/beta/ichi/888559483</x:t>
  </x:si>
  <x:si>
    <x:t>AUI.AA.ZZ</x:t>
  </x:si>
  <x:si>
    <x:t>- - - - - Assessment of mental functions of language</x:t>
  </x:si>
  <x:si>
    <x:t>http://id.who.int/icd/entity/69223521</x:t>
  </x:si>
  <x:si>
    <x:t>http://id.who.int/icd/release/11/beta/ichi/69223521</x:t>
  </x:si>
  <x:si>
    <x:t>AUI.AC.ZZ</x:t>
  </x:si>
  <x:si>
    <x:t>- - - - - Test of mental functions of language</x:t>
  </x:si>
  <x:si>
    <x:t>http://id.who.int/icd/entity/510098107</x:t>
  </x:si>
  <x:si>
    <x:t>http://id.who.int/icd/release/11/beta/ichi/510098107</x:t>
  </x:si>
  <x:si>
    <x:t>AUI.PG.ZZ</x:t>
  </x:si>
  <x:si>
    <x:t>- - - - - Assisting and leading exercise for mental functions of language</x:t>
  </x:si>
  <x:si>
    <x:t>http://id.who.int/icd/entity/358835223</x:t>
  </x:si>
  <x:si>
    <x:t>http://id.who.int/icd/release/11/beta/ichi/358835223</x:t>
  </x:si>
  <x:si>
    <x:t>AUI.PH.ZZ</x:t>
  </x:si>
  <x:si>
    <x:t>- - - - - Training for mental functions of language</x:t>
  </x:si>
  <x:si>
    <x:t>http://id.who.int/icd/entity/1808924362</x:t>
  </x:si>
  <x:si>
    <x:t>http://id.who.int/icd/release/11/beta/ichi/1808924362</x:t>
  </x:si>
  <x:si>
    <x:t>AUI.PM.ZZ</x:t>
  </x:si>
  <x:si>
    <x:t>- - - - - Education about mental functions of language</x:t>
  </x:si>
  <x:si>
    <x:t>http://id.who.int/icd/entity/350936535</x:t>
  </x:si>
  <x:si>
    <x:t>http://id.who.int/icd/release/11/beta/ichi/350936535</x:t>
  </x:si>
  <x:si>
    <x:t>AUI.PN.ZZ</x:t>
  </x:si>
  <x:si>
    <x:t>- - - - - Advising about mental functions of language</x:t>
  </x:si>
  <x:si>
    <x:t>http://id.who.int/icd/entity/2122905840</x:t>
  </x:si>
  <x:si>
    <x:t>http://id.who.int/icd/release/11/beta/ichi/2122905840</x:t>
  </x:si>
  <x:si>
    <x:t>AUI.PP.ZZ</x:t>
  </x:si>
  <x:si>
    <x:t>- - - - - Counselling for mental functions of language</x:t>
  </x:si>
  <x:si>
    <x:t>http://id.who.int/icd/entity/235557757</x:t>
  </x:si>
  <x:si>
    <x:t>http://id.who.int/icd/release/11/beta/ichi/235557757</x:t>
  </x:si>
  <x:si>
    <x:t>AUI.RB.ZZ</x:t>
  </x:si>
  <x:si>
    <x:t>- - - - - Practical support with mental function of language</x:t>
  </x:si>
  <x:si>
    <x:t>http://id.who.int/icd/entity/558541267</x:t>
  </x:si>
  <x:si>
    <x:t>http://id.who.int/icd/release/11/beta/ichi/558541267</x:t>
  </x:si>
  <x:si>
    <x:t>AUI.RC.ZZ</x:t>
  </x:si>
  <x:si>
    <x:t>- - - - - Emotional support for mental functions of language</x:t>
  </x:si>
  <x:si>
    <x:t>http://id.who.int/icd/entity/887035285</x:t>
  </x:si>
  <x:si>
    <x:t>http://id.who.int/icd/release/11/beta/ichi/887035285</x:t>
  </x:si>
  <x:si>
    <x:t>AUJ.AA.ZZ</x:t>
  </x:si>
  <x:si>
    <x:t>- - - - - Assessment of calculation functions</x:t>
  </x:si>
  <x:si>
    <x:t>http://id.who.int/icd/entity/463466299</x:t>
  </x:si>
  <x:si>
    <x:t>http://id.who.int/icd/release/11/beta/ichi/463466299</x:t>
  </x:si>
  <x:si>
    <x:t>AUJ.AC.ZZ</x:t>
  </x:si>
  <x:si>
    <x:t>- - - - - Test of calculation functions</x:t>
  </x:si>
  <x:si>
    <x:t>http://id.who.int/icd/entity/278655383</x:t>
  </x:si>
  <x:si>
    <x:t>http://id.who.int/icd/release/11/beta/ichi/278655383</x:t>
  </x:si>
  <x:si>
    <x:t>AUJ.PG.ZZ</x:t>
  </x:si>
  <x:si>
    <x:t>- - - - - Assisting and leading exercise for calculation functions</x:t>
  </x:si>
  <x:si>
    <x:t>http://id.who.int/icd/entity/1848208202</x:t>
  </x:si>
  <x:si>
    <x:t>http://id.who.int/icd/release/11/beta/ichi/1848208202</x:t>
  </x:si>
  <x:si>
    <x:t>AUJ.PH.ZZ</x:t>
  </x:si>
  <x:si>
    <x:t>- - - - - Training for calculation functions</x:t>
  </x:si>
  <x:si>
    <x:t>http://id.who.int/icd/entity/286410839</x:t>
  </x:si>
  <x:si>
    <x:t>http://id.who.int/icd/release/11/beta/ichi/286410839</x:t>
  </x:si>
  <x:si>
    <x:t>AUJ.PM.ZZ</x:t>
  </x:si>
  <x:si>
    <x:t>- - - - - Education about calculations functions</x:t>
  </x:si>
  <x:si>
    <x:t>http://id.who.int/icd/entity/1681994934</x:t>
  </x:si>
  <x:si>
    <x:t>http://id.who.int/icd/release/11/beta/ichi/1681994934</x:t>
  </x:si>
  <x:si>
    <x:t>AUJ.PN.ZZ</x:t>
  </x:si>
  <x:si>
    <x:t>- - - - - Advising about calculations functions</x:t>
  </x:si>
  <x:si>
    <x:t>http://id.who.int/icd/entity/348364601</x:t>
  </x:si>
  <x:si>
    <x:t>http://id.who.int/icd/release/11/beta/ichi/348364601</x:t>
  </x:si>
  <x:si>
    <x:t>AUJ.PP.ZZ</x:t>
  </x:si>
  <x:si>
    <x:t>- - - - - Counselling for calculations functions</x:t>
  </x:si>
  <x:si>
    <x:t>http://id.who.int/icd/entity/998466967</x:t>
  </x:si>
  <x:si>
    <x:t>http://id.who.int/icd/release/11/beta/ichi/998466967</x:t>
  </x:si>
  <x:si>
    <x:t>AUJ.RB.ZZ</x:t>
  </x:si>
  <x:si>
    <x:t>- - - - - Practical support with calculation function</x:t>
  </x:si>
  <x:si>
    <x:t>http://id.who.int/icd/entity/1858900954</x:t>
  </x:si>
  <x:si>
    <x:t>http://id.who.int/icd/release/11/beta/ichi/1858900954</x:t>
  </x:si>
  <x:si>
    <x:t>AUJ.RC.ZZ</x:t>
  </x:si>
  <x:si>
    <x:t>- - - - - Emotional support for calculation functions</x:t>
  </x:si>
  <x:si>
    <x:t>http://id.who.int/icd/entity/11833521</x:t>
  </x:si>
  <x:si>
    <x:t>http://id.who.int/icd/release/11/beta/ichi/11833521</x:t>
  </x:si>
  <x:si>
    <x:t>AUK.AA.ZZ</x:t>
  </x:si>
  <x:si>
    <x:t>- - - - - Assessment of mental functions of sequencing complex movements</x:t>
  </x:si>
  <x:si>
    <x:t>http://id.who.int/icd/entity/823051003</x:t>
  </x:si>
  <x:si>
    <x:t>http://id.who.int/icd/release/11/beta/ichi/823051003</x:t>
  </x:si>
  <x:si>
    <x:t>AUK.AC.ZZ</x:t>
  </x:si>
  <x:si>
    <x:t>- - - - - Test of mental functions of sequencing complex movements</x:t>
  </x:si>
  <x:si>
    <x:t>http://id.who.int/icd/entity/1852515240</x:t>
  </x:si>
  <x:si>
    <x:t>http://id.who.int/icd/release/11/beta/ichi/1852515240</x:t>
  </x:si>
  <x:si>
    <x:t>AUK.PG.ZZ</x:t>
  </x:si>
  <x:si>
    <x:t>- - - - - Assisting and leading exercise for mental functions sequencing complex movements</x:t>
  </x:si>
  <x:si>
    <x:t>http://id.who.int/icd/entity/1701788934</x:t>
  </x:si>
  <x:si>
    <x:t>http://id.who.int/icd/release/11/beta/ichi/1701788934</x:t>
  </x:si>
  <x:si>
    <x:t>AUK.PH.ZZ</x:t>
  </x:si>
  <x:si>
    <x:t>- - - - - Training for mental functions of sequencing complex movements</x:t>
  </x:si>
  <x:si>
    <x:t>http://id.who.int/icd/entity/833188491</x:t>
  </x:si>
  <x:si>
    <x:t>http://id.who.int/icd/release/11/beta/ichi/833188491</x:t>
  </x:si>
  <x:si>
    <x:t>AUK.PM.ZZ</x:t>
  </x:si>
  <x:si>
    <x:t>- - - - - Education about mental functions of sequencing complex movements</x:t>
  </x:si>
  <x:si>
    <x:t>http://id.who.int/icd/entity/2000154390</x:t>
  </x:si>
  <x:si>
    <x:t>http://id.who.int/icd/release/11/beta/ichi/2000154390</x:t>
  </x:si>
  <x:si>
    <x:t>AUK.PN.ZZ</x:t>
  </x:si>
  <x:si>
    <x:t>- - - - - Advising about mental functions of sequencing complex movements</x:t>
  </x:si>
  <x:si>
    <x:t>http://id.who.int/icd/entity/1484199354</x:t>
  </x:si>
  <x:si>
    <x:t>http://id.who.int/icd/release/11/beta/ichi/1484199354</x:t>
  </x:si>
  <x:si>
    <x:t>AUK.PP.ZZ</x:t>
  </x:si>
  <x:si>
    <x:t>- - - - - Counselling for mental functions of sequencing complex movements</x:t>
  </x:si>
  <x:si>
    <x:t>http://id.who.int/icd/entity/687193655</x:t>
  </x:si>
  <x:si>
    <x:t>http://id.who.int/icd/release/11/beta/ichi/687193655</x:t>
  </x:si>
  <x:si>
    <x:t>AUK.RB.ZZ</x:t>
  </x:si>
  <x:si>
    <x:t>- - - - - Practical support with mental function of sequencing complex movements</x:t>
  </x:si>
  <x:si>
    <x:t>http://id.who.int/icd/entity/767660489</x:t>
  </x:si>
  <x:si>
    <x:t>http://id.who.int/icd/release/11/beta/ichi/767660489</x:t>
  </x:si>
  <x:si>
    <x:t>AUK.RC.ZZ</x:t>
  </x:si>
  <x:si>
    <x:t>- - - - - Emotional support for mental functions of sequencing complex movements</x:t>
  </x:si>
  <x:si>
    <x:t>http://id.who.int/icd/entity/1392161494</x:t>
  </x:si>
  <x:si>
    <x:t>http://id.who.int/icd/release/11/beta/ichi/1392161494</x:t>
  </x:si>
  <x:si>
    <x:t>AUL.AA.ZZ</x:t>
  </x:si>
  <x:si>
    <x:t>- - - - - Assessment of experience of self and time functions</x:t>
  </x:si>
  <x:si>
    <x:t>http://id.who.int/icd/entity/1015198143</x:t>
  </x:si>
  <x:si>
    <x:t>http://id.who.int/icd/release/11/beta/ichi/1015198143</x:t>
  </x:si>
  <x:si>
    <x:t>AUL.AC.ZZ</x:t>
  </x:si>
  <x:si>
    <x:t>- - - - - Test of experience of self and time functions</x:t>
  </x:si>
  <x:si>
    <x:t>http://id.who.int/icd/entity/1462461880</x:t>
  </x:si>
  <x:si>
    <x:t>http://id.who.int/icd/release/11/beta/ichi/1462461880</x:t>
  </x:si>
  <x:si>
    <x:t>AUL.PG.ZZ</x:t>
  </x:si>
  <x:si>
    <x:t>- - - - - Assisting and leading exercise for experience of self and time functions</x:t>
  </x:si>
  <x:si>
    <x:t>http://id.who.int/icd/entity/1298946914</x:t>
  </x:si>
  <x:si>
    <x:t>http://id.who.int/icd/release/11/beta/ichi/1298946914</x:t>
  </x:si>
  <x:si>
    <x:t>AUL.PH.ZZ</x:t>
  </x:si>
  <x:si>
    <x:t>- - - - - Training for experience of self and time functions</x:t>
  </x:si>
  <x:si>
    <x:t>http://id.who.int/icd/entity/1755383458</x:t>
  </x:si>
  <x:si>
    <x:t>http://id.who.int/icd/release/11/beta/ichi/1755383458</x:t>
  </x:si>
  <x:si>
    <x:t>AUL.PM.ZZ</x:t>
  </x:si>
  <x:si>
    <x:t>- - - - - Education about experience of self and time functions</x:t>
  </x:si>
  <x:si>
    <x:t>http://id.who.int/icd/entity/404991277</x:t>
  </x:si>
  <x:si>
    <x:t>http://id.who.int/icd/release/11/beta/ichi/404991277</x:t>
  </x:si>
  <x:si>
    <x:t>AUL.PN.ZZ</x:t>
  </x:si>
  <x:si>
    <x:t>- - - - - Advising about experience of self and time functions</x:t>
  </x:si>
  <x:si>
    <x:t>http://id.who.int/icd/entity/929257347</x:t>
  </x:si>
  <x:si>
    <x:t>http://id.who.int/icd/release/11/beta/ichi/929257347</x:t>
  </x:si>
  <x:si>
    <x:t>AUL.PP.ZZ</x:t>
  </x:si>
  <x:si>
    <x:t>- - - - - Counselling for experience of self and time functions</x:t>
  </x:si>
  <x:si>
    <x:t>http://id.who.int/icd/entity/226142997</x:t>
  </x:si>
  <x:si>
    <x:t>http://id.who.int/icd/release/11/beta/ichi/226142997</x:t>
  </x:si>
  <x:si>
    <x:t>AUL.RB.ZZ</x:t>
  </x:si>
  <x:si>
    <x:t>- - - - - Practical support with experience of self and time function</x:t>
  </x:si>
  <x:si>
    <x:t>http://id.who.int/icd/entity/1661118590</x:t>
  </x:si>
  <x:si>
    <x:t>http://id.who.int/icd/release/11/beta/ichi/1661118590</x:t>
  </x:si>
  <x:si>
    <x:t>AUL.RC.ZZ</x:t>
  </x:si>
  <x:si>
    <x:t>- - - - - Emotional support for experience of self and time functions</x:t>
  </x:si>
  <x:si>
    <x:t>http://id.who.int/icd/entity/389912015</x:t>
  </x:si>
  <x:si>
    <x:t>http://id.who.int/icd/release/11/beta/ichi/389912015</x:t>
  </x:si>
  <x:si>
    <x:t>BlockL4-AV2</x:t>
  </x:si>
  <x:si>
    <x:t>- - - - Interventions on sensory functions</x:t>
  </x:si>
  <x:si>
    <x:t>24</x:t>
  </x:si>
  <x:si>
    <x:t>http://id.who.int/icd/entity/1387854392</x:t>
  </x:si>
  <x:si>
    <x:t>http://id.who.int/icd/release/11/beta/ichi/1387854392</x:t>
  </x:si>
  <x:si>
    <x:t>AV2.AA.ZZ</x:t>
  </x:si>
  <x:si>
    <x:t>- - - - - Assessment of additional sensory functions, not elsewhere classified</x:t>
  </x:si>
  <x:si>
    <x:t>http://id.who.int/icd/entity/162281253</x:t>
  </x:si>
  <x:si>
    <x:t>http://id.who.int/icd/release/11/beta/ichi/162281253</x:t>
  </x:si>
  <x:si>
    <x:t>AV2.AC.ZZ</x:t>
  </x:si>
  <x:si>
    <x:t>- - - - - Test of additional sensory functions, not elsewhere classified</x:t>
  </x:si>
  <x:si>
    <x:t>http://id.who.int/icd/entity/1077962448</x:t>
  </x:si>
  <x:si>
    <x:t>http://id.who.int/icd/release/11/beta/ichi/1077962448</x:t>
  </x:si>
  <x:si>
    <x:t>AV2.PH.ZZ</x:t>
  </x:si>
  <x:si>
    <x:t>- - - - - Training for additional sensory functions, not elsewhere classified</x:t>
  </x:si>
  <x:si>
    <x:t>http://id.who.int/icd/entity/940991855</x:t>
  </x:si>
  <x:si>
    <x:t>http://id.who.int/icd/release/11/beta/ichi/940991855</x:t>
  </x:si>
  <x:si>
    <x:t>AVA.AA.ZZ</x:t>
  </x:si>
  <x:si>
    <x:t>- - - - - Assessment of taste function</x:t>
  </x:si>
  <x:si>
    <x:t>http://id.who.int/icd/entity/136679141</x:t>
  </x:si>
  <x:si>
    <x:t>http://id.who.int/icd/release/11/beta/ichi/136679141</x:t>
  </x:si>
  <x:si>
    <x:t>AVA.AC.ZZ</x:t>
  </x:si>
  <x:si>
    <x:t>- - - - - Test of taste functions</x:t>
  </x:si>
  <x:si>
    <x:t>http://id.who.int/icd/entity/52531273</x:t>
  </x:si>
  <x:si>
    <x:t>http://id.who.int/icd/release/11/beta/ichi/52531273</x:t>
  </x:si>
  <x:si>
    <x:t>AVA.PH.ZZ</x:t>
  </x:si>
  <x:si>
    <x:t>- - - - - Training for taste functions</x:t>
  </x:si>
  <x:si>
    <x:t>http://id.who.int/icd/entity/1474813894</x:t>
  </x:si>
  <x:si>
    <x:t>http://id.who.int/icd/release/11/beta/ichi/1474813894</x:t>
  </x:si>
  <x:si>
    <x:t>AVB.AA.ZZ</x:t>
  </x:si>
  <x:si>
    <x:t>- - - - - Assessment of smell</x:t>
  </x:si>
  <x:si>
    <x:t>http://id.who.int/icd/entity/1926199958</x:t>
  </x:si>
  <x:si>
    <x:t>http://id.who.int/icd/release/11/beta/ichi/1926199958</x:t>
  </x:si>
  <x:si>
    <x:t>AVB.AC.ZZ</x:t>
  </x:si>
  <x:si>
    <x:t>- - - - - Test of smell functions</x:t>
  </x:si>
  <x:si>
    <x:t>http://id.who.int/icd/entity/1569685562</x:t>
  </x:si>
  <x:si>
    <x:t>http://id.who.int/icd/release/11/beta/ichi/1569685562</x:t>
  </x:si>
  <x:si>
    <x:t>AVB.PH.ZZ</x:t>
  </x:si>
  <x:si>
    <x:t>- - - - - Training for smell functions</x:t>
  </x:si>
  <x:si>
    <x:t>http://id.who.int/icd/entity/755837879</x:t>
  </x:si>
  <x:si>
    <x:t>http://id.who.int/icd/release/11/beta/ichi/755837879</x:t>
  </x:si>
  <x:si>
    <x:t>AVC.AA.ZZ</x:t>
  </x:si>
  <x:si>
    <x:t>- - - - - Assessment of proprioception</x:t>
  </x:si>
  <x:si>
    <x:t>http://id.who.int/icd/entity/146830965</x:t>
  </x:si>
  <x:si>
    <x:t>http://id.who.int/icd/release/11/beta/ichi/146830965</x:t>
  </x:si>
  <x:si>
    <x:t>AVC.AC.ZZ</x:t>
  </x:si>
  <x:si>
    <x:t>- - - - - Test of proprioception</x:t>
  </x:si>
  <x:si>
    <x:t>http://id.who.int/icd/entity/310855855</x:t>
  </x:si>
  <x:si>
    <x:t>http://id.who.int/icd/release/11/beta/ichi/310855855</x:t>
  </x:si>
  <x:si>
    <x:t>AVC.AF.BP</x:t>
  </x:si>
  <x:si>
    <x:t>- - - - - Somatosensory evoked potentials</x:t>
  </x:si>
  <x:si>
    <x:t>http://id.who.int/icd/entity/2028301704</x:t>
  </x:si>
  <x:si>
    <x:t>http://id.who.int/icd/release/11/beta/ichi/2028301704</x:t>
  </x:si>
  <x:si>
    <x:t>AVC.PG.ZZ</x:t>
  </x:si>
  <x:si>
    <x:t>- - - - - Assisting and leading exercise for proprioceptive functions</x:t>
  </x:si>
  <x:si>
    <x:t>http://id.who.int/icd/entity/379416289</x:t>
  </x:si>
  <x:si>
    <x:t>http://id.who.int/icd/release/11/beta/ichi/379416289</x:t>
  </x:si>
  <x:si>
    <x:t>AVC.PH.ZZ</x:t>
  </x:si>
  <x:si>
    <x:t>- - - - - Training for proprioceptive functions</x:t>
  </x:si>
  <x:si>
    <x:t>http://id.who.int/icd/entity/1654805330</x:t>
  </x:si>
  <x:si>
    <x:t>http://id.who.int/icd/release/11/beta/ichi/1654805330</x:t>
  </x:si>
  <x:si>
    <x:t>AVD.AA.ZZ</x:t>
  </x:si>
  <x:si>
    <x:t>- - - - - Assessment of touch functions</x:t>
  </x:si>
  <x:si>
    <x:t>http://id.who.int/icd/entity/1980312472</x:t>
  </x:si>
  <x:si>
    <x:t>http://id.who.int/icd/release/11/beta/ichi/1980312472</x:t>
  </x:si>
  <x:si>
    <x:t>AVD.AC.ZZ</x:t>
  </x:si>
  <x:si>
    <x:t>- - - - - Test of touch functions</x:t>
  </x:si>
  <x:si>
    <x:t>http://id.who.int/icd/entity/2041619210</x:t>
  </x:si>
  <x:si>
    <x:t>http://id.who.int/icd/release/11/beta/ichi/2041619210</x:t>
  </x:si>
  <x:si>
    <x:t>AVD.PG.ZZ</x:t>
  </x:si>
  <x:si>
    <x:t>- - - - - Assisting and leading exercise for touch functions</x:t>
  </x:si>
  <x:si>
    <x:t>http://id.who.int/icd/entity/1769618108</x:t>
  </x:si>
  <x:si>
    <x:t>http://id.who.int/icd/release/11/beta/ichi/1769618108</x:t>
  </x:si>
  <x:si>
    <x:t>AVD.PH.ZZ</x:t>
  </x:si>
  <x:si>
    <x:t>- - - - - Training for touch functions</x:t>
  </x:si>
  <x:si>
    <x:t>http://id.who.int/icd/entity/1724101166</x:t>
  </x:si>
  <x:si>
    <x:t>http://id.who.int/icd/release/11/beta/ichi/1724101166</x:t>
  </x:si>
  <x:si>
    <x:t>AVD.PM.ZZ</x:t>
  </x:si>
  <x:si>
    <x:t>- - - - - Education about touch functions</x:t>
  </x:si>
  <x:si>
    <x:t>http://id.who.int/icd/entity/373365155</x:t>
  </x:si>
  <x:si>
    <x:t>http://id.who.int/icd/release/11/beta/ichi/373365155</x:t>
  </x:si>
  <x:si>
    <x:t>AVD.PN.ZZ</x:t>
  </x:si>
  <x:si>
    <x:t>- - - - - Advising about touch functions</x:t>
  </x:si>
  <x:si>
    <x:t>http://id.who.int/icd/entity/1662149952</x:t>
  </x:si>
  <x:si>
    <x:t>http://id.who.int/icd/release/11/beta/ichi/1662149952</x:t>
  </x:si>
  <x:si>
    <x:t>AVD.SC.ZZ</x:t>
  </x:si>
  <x:si>
    <x:t>- - - - - Stimulation of touch functions</x:t>
  </x:si>
  <x:si>
    <x:t>http://id.who.int/icd/entity/1504455080</x:t>
  </x:si>
  <x:si>
    <x:t>http://id.who.int/icd/release/11/beta/ichi/1504455080</x:t>
  </x:si>
  <x:si>
    <x:t>AVE.AA.ZZ</x:t>
  </x:si>
  <x:si>
    <x:t>- - - - - Assessment of sensations related to temperature and other stimuli</x:t>
  </x:si>
  <x:si>
    <x:t>http://id.who.int/icd/entity/1386755850</x:t>
  </x:si>
  <x:si>
    <x:t>http://id.who.int/icd/release/11/beta/ichi/1386755850</x:t>
  </x:si>
  <x:si>
    <x:t>AVE.AC.ZZ</x:t>
  </x:si>
  <x:si>
    <x:t>- - - - - Test of sensations related to temperature and other stimuli</x:t>
  </x:si>
  <x:si>
    <x:t>http://id.who.int/icd/entity/739945941</x:t>
  </x:si>
  <x:si>
    <x:t>http://id.who.int/icd/release/11/beta/ichi/739945941</x:t>
  </x:si>
  <x:si>
    <x:t>AVE.PH.ZZ</x:t>
  </x:si>
  <x:si>
    <x:t>- - - - - Training for sensory functions related to temperature and other stimuli</x:t>
  </x:si>
  <x:si>
    <x:t>http://id.who.int/icd/entity/597894471</x:t>
  </x:si>
  <x:si>
    <x:t>http://id.who.int/icd/release/11/beta/ichi/597894471</x:t>
  </x:si>
  <x:si>
    <x:t>BlockL4-AXA</x:t>
  </x:si>
  <x:si>
    <x:t>- - - - Interventions on pain</x:t>
  </x:si>
  <x:si>
    <x:t>http://id.who.int/icd/entity/1394708172</x:t>
  </x:si>
  <x:si>
    <x:t>http://id.who.int/icd/release/11/beta/ichi/1394708172</x:t>
  </x:si>
  <x:si>
    <x:t>AXA.AA.ZZ</x:t>
  </x:si>
  <x:si>
    <x:t>- - - - - Assessment of pain</x:t>
  </x:si>
  <x:si>
    <x:t>http://id.who.int/icd/entity/369316163</x:t>
  </x:si>
  <x:si>
    <x:t>http://id.who.int/icd/release/11/beta/ichi/369316163</x:t>
  </x:si>
  <x:si>
    <x:t>AXA.AC.ZZ</x:t>
  </x:si>
  <x:si>
    <x:t>- - - - - Test of pain</x:t>
  </x:si>
  <x:si>
    <x:t>http://id.who.int/icd/entity/1408054454</x:t>
  </x:si>
  <x:si>
    <x:t>http://id.who.int/icd/release/11/beta/ichi/1408054454</x:t>
  </x:si>
  <x:si>
    <x:t>AXA.DB.AC</x:t>
  </x:si>
  <x:si>
    <x:t>- - - - - Oral or enteral medication for pain</x:t>
  </x:si>
  <x:si>
    <x:t>http://id.who.int/icd/entity/493635041</x:t>
  </x:si>
  <x:si>
    <x:t>http://id.who.int/icd/release/11/beta/ichi/493635041</x:t>
  </x:si>
  <x:si>
    <x:t>AXA.DB.AF</x:t>
  </x:si>
  <x:si>
    <x:t>- - - - - Parenteral medication for pain</x:t>
  </x:si>
  <x:si>
    <x:t>http://id.who.int/icd/entity/752228267</x:t>
  </x:si>
  <x:si>
    <x:t>http://id.who.int/icd/release/11/beta/ichi/752228267</x:t>
  </x:si>
  <x:si>
    <x:t>AXA.DB.AH</x:t>
  </x:si>
  <x:si>
    <x:t>- - - - - Transdermal medication for pain</x:t>
  </x:si>
  <x:si>
    <x:t>http://id.who.int/icd/entity/484834337</x:t>
  </x:si>
  <x:si>
    <x:t>http://id.who.int/icd/release/11/beta/ichi/484834337</x:t>
  </x:si>
  <x:si>
    <x:t>AXA.DB.ZZ</x:t>
  </x:si>
  <x:si>
    <x:t>- - - - - Pharmacotherapy for pain, not elsewhere classified</x:t>
  </x:si>
  <x:si>
    <x:t>http://id.who.int/icd/entity/400679565</x:t>
  </x:si>
  <x:si>
    <x:t>http://id.who.int/icd/release/11/beta/ichi/400679565</x:t>
  </x:si>
  <x:si>
    <x:t>AXA.PG.ZZ</x:t>
  </x:si>
  <x:si>
    <x:t>- - - - - Assisting and leading exercise for pain</x:t>
  </x:si>
  <x:si>
    <x:t>http://id.who.int/icd/entity/1126673668</x:t>
  </x:si>
  <x:si>
    <x:t>http://id.who.int/icd/release/11/beta/ichi/1126673668</x:t>
  </x:si>
  <x:si>
    <x:t>AXA.PM.ZZ</x:t>
  </x:si>
  <x:si>
    <x:t>- - - - - Education concerning pain</x:t>
  </x:si>
  <x:si>
    <x:t>http://id.who.int/icd/entity/378381277</x:t>
  </x:si>
  <x:si>
    <x:t>http://id.who.int/icd/release/11/beta/ichi/378381277</x:t>
  </x:si>
  <x:si>
    <x:t>AXA.PN.ZZ</x:t>
  </x:si>
  <x:si>
    <x:t>- - - - - Advising about pain</x:t>
  </x:si>
  <x:si>
    <x:t>http://id.who.int/icd/entity/1773568194</x:t>
  </x:si>
  <x:si>
    <x:t>http://id.who.int/icd/release/11/beta/ichi/1773568194</x:t>
  </x:si>
  <x:si>
    <x:t>AXA.PP.ZZ</x:t>
  </x:si>
  <x:si>
    <x:t>- - - - - Counselling for pain</x:t>
  </x:si>
  <x:si>
    <x:t>http://id.who.int/icd/entity/130974635</x:t>
  </x:si>
  <x:si>
    <x:t>http://id.who.int/icd/release/11/beta/ichi/130974635</x:t>
  </x:si>
  <x:si>
    <x:t>AXA.PQ.ZZ</x:t>
  </x:si>
  <x:si>
    <x:t>- - - - - Psychotherapy for pain</x:t>
  </x:si>
  <x:si>
    <x:t>http://id.who.int/icd/entity/469763249</x:t>
  </x:si>
  <x:si>
    <x:t>http://id.who.int/icd/release/11/beta/ichi/469763249</x:t>
  </x:si>
  <x:si>
    <x:t>AXA.SC.BP</x:t>
  </x:si>
  <x:si>
    <x:t>- - - - - Electrical stimulation for pain</x:t>
  </x:si>
  <x:si>
    <x:t>http://id.who.int/icd/entity/1347992823</x:t>
  </x:si>
  <x:si>
    <x:t>http://id.who.int/icd/release/11/beta/ichi/1347992823</x:t>
  </x:si>
  <x:si>
    <x:t>AXA.SD.BQ</x:t>
  </x:si>
  <x:si>
    <x:t>- - - - - Hyperthermy for pain</x:t>
  </x:si>
  <x:si>
    <x:t>http://id.who.int/icd/entity/1992659430</x:t>
  </x:si>
  <x:si>
    <x:t>http://id.who.int/icd/release/11/beta/ichi/1992659430</x:t>
  </x:si>
  <x:si>
    <x:t>AXA.SE.AH</x:t>
  </x:si>
  <x:si>
    <x:t>- - - - - Hypothermy for pain</x:t>
  </x:si>
  <x:si>
    <x:t>http://id.who.int/icd/entity/156828297</x:t>
  </x:si>
  <x:si>
    <x:t>http://id.who.int/icd/release/11/beta/ichi/156828297</x:t>
  </x:si>
  <x:si>
    <x:t>AXA.ZZ.ZZ</x:t>
  </x:si>
  <x:si>
    <x:t>- - - - - Other interventions for pain, not elsewhere classified</x:t>
  </x:si>
  <x:si>
    <x:t>http://id.who.int/icd/entity/1130751458</x:t>
  </x:si>
  <x:si>
    <x:t>http://id.who.int/icd/release/11/beta/ichi/1130751458</x:t>
  </x:si>
  <x:si>
    <x:t>BlockL4-AZZ</x:t>
  </x:si>
  <x:si>
    <x:t>- - - - Interventions on nervous system, not elsewhere classified</x:t>
  </x:si>
  <x:si>
    <x:t>http://id.who.int/icd/entity/115378715</x:t>
  </x:si>
  <x:si>
    <x:t>http://id.who.int/icd/release/11/beta/ichi/115378715</x:t>
  </x:si>
  <x:si>
    <x:t>AZZ.AA.ZZ</x:t>
  </x:si>
  <x:si>
    <x:t>- - - - - Neurological assessment, not elsewhere classified</x:t>
  </x:si>
  <x:si>
    <x:t>http://id.who.int/icd/entity/1875330409</x:t>
  </x:si>
  <x:si>
    <x:t>http://id.who.int/icd/release/11/beta/ichi/1875330409</x:t>
  </x:si>
  <x:si>
    <x:t>AZZ.AD.AA</x:t>
  </x:si>
  <x:si>
    <x:t>- - - - - Biopsy of nerve, not elsewhere classified</x:t>
  </x:si>
  <x:si>
    <x:t>http://id.who.int/icd/entity/1705189208</x:t>
  </x:si>
  <x:si>
    <x:t>http://id.who.int/icd/release/11/beta/ichi/1705189208</x:t>
  </x:si>
  <x:si>
    <x:t>AZZ.JH.AA</x:t>
  </x:si>
  <x:si>
    <x:t>- - - - - Procurement of nerve for graft, not elsewhere classified</x:t>
  </x:si>
  <x:si>
    <x:t>http://id.who.int/icd/entity/805639242</x:t>
  </x:si>
  <x:si>
    <x:t>http://id.who.int/icd/release/11/beta/ichi/805639242</x:t>
  </x:si>
  <x:si>
    <x:t>AZZ.JI.AA</x:t>
  </x:si>
  <x:si>
    <x:t>- - - - - Local excision of lesion of nerve, not elsewhere classified</x:t>
  </x:si>
  <x:si>
    <x:t>http://id.who.int/icd/entity/989924072</x:t>
  </x:si>
  <x:si>
    <x:t>http://id.who.int/icd/release/11/beta/ichi/989924072</x:t>
  </x:si>
  <x:si>
    <x:t>AZZ.LK.AA</x:t>
  </x:si>
  <x:si>
    <x:t>- - - - - Lengthening of nerve, not elsewhere classified</x:t>
  </x:si>
  <x:si>
    <x:t>http://id.who.int/icd/entity/1699406341</x:t>
  </x:si>
  <x:si>
    <x:t>http://id.who.int/icd/release/11/beta/ichi/1699406341</x:t>
  </x:si>
  <x:si>
    <x:t>AZZ.MK.AA</x:t>
  </x:si>
  <x:si>
    <x:t>- - - - - Repair of nerve, not elsewhere classified</x:t>
  </x:si>
  <x:si>
    <x:t>http://id.who.int/icd/entity/982037286</x:t>
  </x:si>
  <x:si>
    <x:t>http://id.who.int/icd/release/11/beta/ichi/982037286</x:t>
  </x:si>
  <x:si>
    <x:t>AZZ.ML.AA</x:t>
  </x:si>
  <x:si>
    <x:t>- - - - - Nerve graft, not elsewhere classified</x:t>
  </x:si>
  <x:si>
    <x:t>http://id.who.int/icd/release/11/beta/ichi/1395502159/other</x:t>
  </x:si>
  <x:si>
    <x:t>AZZ.ZY.ZY</x:t>
  </x:si>
  <x:si>
    <x:t>- - - - Other specified interventions on the nervous system or mental functions</x:t>
  </x:si>
  <x:si>
    <x:t>http://id.who.int/icd/release/11/beta/ichi/1395502159/unspecified</x:t>
  </x:si>
  <x:si>
    <x:t>AZZ.ZZ.ZZ</x:t>
  </x:si>
  <x:si>
    <x:t>- - - - Interventions on the nervous system or mental functions, unspecified</x:t>
  </x:si>
  <x:si>
    <x:t>http://id.who.int/icd/entity/270114536</x:t>
  </x:si>
  <x:si>
    <x:t>http://id.who.int/icd/release/11/beta/ichi/270114536</x:t>
  </x:si>
  <x:si>
    <x:t>BlockL3-BAA</x:t>
  </x:si>
  <x:si>
    <x:t>- - - Interventions on the visual system</x:t>
  </x:si>
  <x:si>
    <x:t>http://id.who.int/icd/entity/1705974421</x:t>
  </x:si>
  <x:si>
    <x:t>http://id.who.int/icd/release/11/beta/ichi/1705974421</x:t>
  </x:si>
  <x:si>
    <x:t>BlockL4-BAA</x:t>
  </x:si>
  <x:si>
    <x:t>- - - - Interventions on eyelid, lacrimal system, orbit</x:t>
  </x:si>
  <x:si>
    <x:t>62</x:t>
  </x:si>
  <x:si>
    <x:t>http://id.who.int/icd/entity/1620784491</x:t>
  </x:si>
  <x:si>
    <x:t>http://id.who.int/icd/release/11/beta/ichi/1620784491</x:t>
  </x:si>
  <x:si>
    <x:t>BAA.AD.AA</x:t>
  </x:si>
  <x:si>
    <x:t>- - - - - Biopsy of eyelid</x:t>
  </x:si>
  <x:si>
    <x:t>http://id.who.int/icd/entity/798227966</x:t>
  </x:si>
  <x:si>
    <x:t>http://id.who.int/icd/release/11/beta/ichi/798227966</x:t>
  </x:si>
  <x:si>
    <x:t>BAA.AD.AE</x:t>
  </x:si>
  <x:si>
    <x:t>- - - - - Percutaneous biopsy of eyelid</x:t>
  </x:si>
  <x:si>
    <x:t>http://id.who.int/icd/entity/1105985175</x:t>
  </x:si>
  <x:si>
    <x:t>http://id.who.int/icd/release/11/beta/ichi/1105985175</x:t>
  </x:si>
  <x:si>
    <x:t>BAA.DB.AE</x:t>
  </x:si>
  <x:si>
    <x:t>- - - - - Injection into eyelid</x:t>
  </x:si>
  <x:si>
    <x:t>http://id.who.int/icd/entity/361365864</x:t>
  </x:si>
  <x:si>
    <x:t>http://id.who.int/icd/release/11/beta/ichi/361365864</x:t>
  </x:si>
  <x:si>
    <x:t>BAA.DK.AH</x:t>
  </x:si>
  <x:si>
    <x:t>- - - - - Dressing of eyelid</x:t>
  </x:si>
  <x:si>
    <x:t>http://id.who.int/icd/entity/1246253131</x:t>
  </x:si>
  <x:si>
    <x:t>http://id.who.int/icd/release/11/beta/ichi/1246253131</x:t>
  </x:si>
  <x:si>
    <x:t>BAA.DL.AA</x:t>
  </x:si>
  <x:si>
    <x:t>- - - - - Insertion of device into eyelid</x:t>
  </x:si>
  <x:si>
    <x:t>http://id.who.int/icd/entity/986381256</x:t>
  </x:si>
  <x:si>
    <x:t>http://id.who.int/icd/release/11/beta/ichi/986381256</x:t>
  </x:si>
  <x:si>
    <x:t>BAA.FA.AA</x:t>
  </x:si>
  <x:si>
    <x:t>- - - - - Incision of eyelid</x:t>
  </x:si>
  <x:si>
    <x:t>http://id.who.int/icd/entity/442008566</x:t>
  </x:si>
  <x:si>
    <x:t>http://id.who.int/icd/release/11/beta/ichi/442008566</x:t>
  </x:si>
  <x:si>
    <x:t>BAA.FB.AA</x:t>
  </x:si>
  <x:si>
    <x:t>- - - - - Severing of blepharorrhaphy</x:t>
  </x:si>
  <x:si>
    <x:t>http://id.who.int/icd/entity/1167774423</x:t>
  </x:si>
  <x:si>
    <x:t>http://id.who.int/icd/release/11/beta/ichi/1167774423</x:t>
  </x:si>
  <x:si>
    <x:t>BAA.FC.AA</x:t>
  </x:si>
  <x:si>
    <x:t>- - - - - Release of eyelid</x:t>
  </x:si>
  <x:si>
    <x:t>http://id.who.int/icd/entity/1085209897</x:t>
  </x:si>
  <x:si>
    <x:t>http://id.who.int/icd/release/11/beta/ichi/1085209897</x:t>
  </x:si>
  <x:si>
    <x:t>BAA.GA.AH</x:t>
  </x:si>
  <x:si>
    <x:t>- - - - - Destruction of lesion of eyelid</x:t>
  </x:si>
  <x:si>
    <x:t>http://id.who.int/icd/entity/282403994</x:t>
  </x:si>
  <x:si>
    <x:t>http://id.who.int/icd/release/11/beta/ichi/282403994</x:t>
  </x:si>
  <x:si>
    <x:t>BAA.GA.BA</x:t>
  </x:si>
  <x:si>
    <x:t>- - - - - Destruction of lesion or tissue of eyelid by radiotherapy</x:t>
  </x:si>
  <x:si>
    <x:t>http://id.who.int/icd/entity/1525269491</x:t>
  </x:si>
  <x:si>
    <x:t>http://id.who.int/icd/release/11/beta/ichi/1525269491</x:t>
  </x:si>
  <x:si>
    <x:t>BAA.JB.AA</x:t>
  </x:si>
  <x:si>
    <x:t>- - - - - Drainage of eyelid</x:t>
  </x:si>
  <x:si>
    <x:t>http://id.who.int/icd/entity/256101678</x:t>
  </x:si>
  <x:si>
    <x:t>http://id.who.int/icd/release/11/beta/ichi/256101678</x:t>
  </x:si>
  <x:si>
    <x:t>BAA.JB.AE</x:t>
  </x:si>
  <x:si>
    <x:t>- - - - - Percutaneous drainage of eyelid</x:t>
  </x:si>
  <x:si>
    <x:t>http://id.who.int/icd/entity/352646136</x:t>
  </x:si>
  <x:si>
    <x:t>http://id.who.int/icd/release/11/beta/ichi/352646136</x:t>
  </x:si>
  <x:si>
    <x:t>BAA.JD.AA</x:t>
  </x:si>
  <x:si>
    <x:t>- - - - - Removal of internal device or foreign body from eyelid</x:t>
  </x:si>
  <x:si>
    <x:t>http://id.who.int/icd/entity/818523700</x:t>
  </x:si>
  <x:si>
    <x:t>http://id.who.int/icd/release/11/beta/ichi/818523700</x:t>
  </x:si>
  <x:si>
    <x:t>BAA.JD.AH</x:t>
  </x:si>
  <x:si>
    <x:t>- - - - - Removal of internal device or foreign body from eyelid without incision</x:t>
  </x:si>
  <x:si>
    <x:t>http://id.who.int/icd/entity/2118704993</x:t>
  </x:si>
  <x:si>
    <x:t>http://id.who.int/icd/release/11/beta/ichi/2118704993</x:t>
  </x:si>
  <x:si>
    <x:t>BAA.JI.AA</x:t>
  </x:si>
  <x:si>
    <x:t>- - - - - Local excision of lesion of eyelid</x:t>
  </x:si>
  <x:si>
    <x:t>http://id.who.int/icd/entity/812523078</x:t>
  </x:si>
  <x:si>
    <x:t>http://id.who.int/icd/release/11/beta/ichi/812523078</x:t>
  </x:si>
  <x:si>
    <x:t>BAA.JJ.AA</x:t>
  </x:si>
  <x:si>
    <x:t>- - - - - Partial excision of eyelid</x:t>
  </x:si>
  <x:si>
    <x:t>http://id.who.int/icd/entity/181424802</x:t>
  </x:si>
  <x:si>
    <x:t>http://id.who.int/icd/release/11/beta/ichi/181424802</x:t>
  </x:si>
  <x:si>
    <x:t>BAA.MK.AA</x:t>
  </x:si>
  <x:si>
    <x:t>- - - - - Repair of eyelid</x:t>
  </x:si>
  <x:si>
    <x:t>http://id.who.int/icd/entity/873463610</x:t>
  </x:si>
  <x:si>
    <x:t>http://id.who.int/icd/release/11/beta/ichi/873463610</x:t>
  </x:si>
  <x:si>
    <x:t>BAA.ML.AA</x:t>
  </x:si>
  <x:si>
    <x:t>- - - - - Reconstruction of eyelid</x:t>
  </x:si>
  <x:si>
    <x:t>http://id.who.int/icd/entity/1808641563</x:t>
  </x:si>
  <x:si>
    <x:t>http://id.who.int/icd/release/11/beta/ichi/1808641563</x:t>
  </x:si>
  <x:si>
    <x:t>BAD.AC.AH</x:t>
  </x:si>
  <x:si>
    <x:t>- - - - - Dye disappearance test</x:t>
  </x:si>
  <x:si>
    <x:t>http://id.who.int/icd/entity/458163606</x:t>
  </x:si>
  <x:si>
    <x:t>http://id.who.int/icd/release/11/beta/ichi/458163606</x:t>
  </x:si>
  <x:si>
    <x:t>BAD.AD.AA</x:t>
  </x:si>
  <x:si>
    <x:t>- - - - - Biopsy of lacrimal apparatus</x:t>
  </x:si>
  <x:si>
    <x:t>http://id.who.int/icd/entity/1323633481</x:t>
  </x:si>
  <x:si>
    <x:t>http://id.who.int/icd/release/11/beta/ichi/1323633481</x:t>
  </x:si>
  <x:si>
    <x:t>BAD.BA.BA</x:t>
  </x:si>
  <x:si>
    <x:t>- - - - - Noncontrast x-ray of nasolacrimal duct</x:t>
  </x:si>
  <x:si>
    <x:t>http://id.who.int/icd/entity/287791722</x:t>
  </x:si>
  <x:si>
    <x:t>http://id.who.int/icd/release/11/beta/ichi/287791722</x:t>
  </x:si>
  <x:si>
    <x:t>BAD.BA.BB</x:t>
  </x:si>
  <x:si>
    <x:t>- - - - - Contrast dacryocystogram</x:t>
  </x:si>
  <x:si>
    <x:t>http://id.who.int/icd/entity/1096582107</x:t>
  </x:si>
  <x:si>
    <x:t>http://id.who.int/icd/release/11/beta/ichi/1096582107</x:t>
  </x:si>
  <x:si>
    <x:t>BAD.BA.BE</x:t>
  </x:si>
  <x:si>
    <x:t>- - - - - Nuclear imaging study of lacrimal apparatus</x:t>
  </x:si>
  <x:si>
    <x:t>http://id.who.int/icd/entity/555004386</x:t>
  </x:si>
  <x:si>
    <x:t>http://id.who.int/icd/release/11/beta/ichi/555004386</x:t>
  </x:si>
  <x:si>
    <x:t>BAD.FA.AA</x:t>
  </x:si>
  <x:si>
    <x:t>- - - - - Incision of lacrimal apparatus</x:t>
  </x:si>
  <x:si>
    <x:t>http://id.who.int/icd/entity/1428917331</x:t>
  </x:si>
  <x:si>
    <x:t>http://id.who.int/icd/release/11/beta/ichi/1428917331</x:t>
  </x:si>
  <x:si>
    <x:t>BAD.GA.AH</x:t>
  </x:si>
  <x:si>
    <x:t>- - - - - Destruction of lacrimal apparatus</x:t>
  </x:si>
  <x:si>
    <x:t>http://id.who.int/icd/entity/21656494</x:t>
  </x:si>
  <x:si>
    <x:t>http://id.who.int/icd/release/11/beta/ichi/21656494</x:t>
  </x:si>
  <x:si>
    <x:t>BAD.JA.AA</x:t>
  </x:si>
  <x:si>
    <x:t>- - - - - Irrigation of lacrimal apparatus</x:t>
  </x:si>
  <x:si>
    <x:t>http://id.who.int/icd/entity/2121355443</x:t>
  </x:si>
  <x:si>
    <x:t>http://id.who.int/icd/release/11/beta/ichi/2121355443</x:t>
  </x:si>
  <x:si>
    <x:t>BAD.JB.AA</x:t>
  </x:si>
  <x:si>
    <x:t>- - - - - Drainage of lacrimal passage</x:t>
  </x:si>
  <x:si>
    <x:t>http://id.who.int/icd/entity/772442370</x:t>
  </x:si>
  <x:si>
    <x:t>http://id.who.int/icd/release/11/beta/ichi/772442370</x:t>
  </x:si>
  <x:si>
    <x:t>BAD.JD.AA</x:t>
  </x:si>
  <x:si>
    <x:t>- - - - - Removal of internal device or foreign body from lacrimal apparatus</x:t>
  </x:si>
  <x:si>
    <x:t>http://id.who.int/icd/entity/1810164981</x:t>
  </x:si>
  <x:si>
    <x:t>http://id.who.int/icd/release/11/beta/ichi/1810164981</x:t>
  </x:si>
  <x:si>
    <x:t>BAD.JI.AA</x:t>
  </x:si>
  <x:si>
    <x:t>- - - - - Local excision of lesion of lacrimal gland</x:t>
  </x:si>
  <x:si>
    <x:t>http://id.who.int/icd/entity/874954200</x:t>
  </x:si>
  <x:si>
    <x:t>http://id.who.int/icd/release/11/beta/ichi/874954200</x:t>
  </x:si>
  <x:si>
    <x:t>BAD.JJ.AA</x:t>
  </x:si>
  <x:si>
    <x:t>- - - - - Partial excision of lacrimal apparatus</x:t>
  </x:si>
  <x:si>
    <x:t>http://id.who.int/icd/entity/1516158655</x:t>
  </x:si>
  <x:si>
    <x:t>http://id.who.int/icd/release/11/beta/ichi/1516158655</x:t>
  </x:si>
  <x:si>
    <x:t>BAD.JK.AA</x:t>
  </x:si>
  <x:si>
    <x:t>- - - - - Total excision of lacrimal apparatus</x:t>
  </x:si>
  <x:si>
    <x:t>http://id.who.int/icd/entity/1634290585</x:t>
  </x:si>
  <x:si>
    <x:t>http://id.who.int/icd/release/11/beta/ichi/1634290585</x:t>
  </x:si>
  <x:si>
    <x:t>BAD.LA.AA</x:t>
  </x:si>
  <x:si>
    <x:t>- - - - - Occlusion of lacrimal apparatus</x:t>
  </x:si>
  <x:si>
    <x:t>http://id.who.int/icd/entity/1311355191</x:t>
  </x:si>
  <x:si>
    <x:t>http://id.who.int/icd/release/11/beta/ichi/1311355191</x:t>
  </x:si>
  <x:si>
    <x:t>BAD.LI.AA</x:t>
  </x:si>
  <x:si>
    <x:t>- - - - - Dacryocystorhinostomy</x:t>
  </x:si>
  <x:si>
    <x:t>http://id.who.int/icd/entity/1577504785</x:t>
  </x:si>
  <x:si>
    <x:t>http://id.who.int/icd/release/11/beta/ichi/1577504785</x:t>
  </x:si>
  <x:si>
    <x:t>BAD.LI.AD</x:t>
  </x:si>
  <x:si>
    <x:t>- - - - - Endoscopic dacryocystorhinostomy</x:t>
  </x:si>
  <x:si>
    <x:t>http://id.who.int/icd/entity/1900423871</x:t>
  </x:si>
  <x:si>
    <x:t>http://id.who.int/icd/release/11/beta/ichi/1900423871</x:t>
  </x:si>
  <x:si>
    <x:t>BAD.MK.AA</x:t>
  </x:si>
  <x:si>
    <x:t>- - - - - Repair of canaliculus</x:t>
  </x:si>
  <x:si>
    <x:t>http://id.who.int/icd/entity/1636610825</x:t>
  </x:si>
  <x:si>
    <x:t>http://id.who.int/icd/release/11/beta/ichi/1636610825</x:t>
  </x:si>
  <x:si>
    <x:t>BAD.ML.AA</x:t>
  </x:si>
  <x:si>
    <x:t>- - - - - Reconstruction of canaliculus</x:t>
  </x:si>
  <x:si>
    <x:t>http://id.who.int/icd/entity/1787342245</x:t>
  </x:si>
  <x:si>
    <x:t>http://id.who.int/icd/release/11/beta/ichi/1787342245</x:t>
  </x:si>
  <x:si>
    <x:t>BAM.AD.AA</x:t>
  </x:si>
  <x:si>
    <x:t>- - - - - Biopsy of orbit</x:t>
  </x:si>
  <x:si>
    <x:t>http://id.who.int/icd/entity/1045357100</x:t>
  </x:si>
  <x:si>
    <x:t>http://id.who.int/icd/release/11/beta/ichi/1045357100</x:t>
  </x:si>
  <x:si>
    <x:t>BAM.AD.AB</x:t>
  </x:si>
  <x:si>
    <x:t>- - - - - Endoscopic biopsy of orbit</x:t>
  </x:si>
  <x:si>
    <x:t>http://id.who.int/icd/entity/72818366</x:t>
  </x:si>
  <x:si>
    <x:t>http://id.who.int/icd/release/11/beta/ichi/72818366</x:t>
  </x:si>
  <x:si>
    <x:t>BAM.AD.AE</x:t>
  </x:si>
  <x:si>
    <x:t>- - - - - Percutaneous biopsy of orbit</x:t>
  </x:si>
  <x:si>
    <x:t>http://id.who.int/icd/entity/722986002</x:t>
  </x:si>
  <x:si>
    <x:t>http://id.who.int/icd/release/11/beta/ichi/722986002</x:t>
  </x:si>
  <x:si>
    <x:t>BAM.BA.BA</x:t>
  </x:si>
  <x:si>
    <x:t>- - - - - X-ray of orbit</x:t>
  </x:si>
  <x:si>
    <x:t>http://id.who.int/icd/entity/1536511903</x:t>
  </x:si>
  <x:si>
    <x:t>http://id.who.int/icd/release/11/beta/ichi/1536511903</x:t>
  </x:si>
  <x:si>
    <x:t>BAM.BA.BB</x:t>
  </x:si>
  <x:si>
    <x:t>- - - - - Contrast radiogram of orbit</x:t>
  </x:si>
  <x:si>
    <x:t>http://id.who.int/icd/entity/1831589760</x:t>
  </x:si>
  <x:si>
    <x:t>http://id.who.int/icd/release/11/beta/ichi/1831589760</x:t>
  </x:si>
  <x:si>
    <x:t>BAM.BA.BC</x:t>
  </x:si>
  <x:si>
    <x:t>- - - - - Computerised tomography of orbit, not elsewhere classified</x:t>
  </x:si>
  <x:si>
    <x:t>http://id.who.int/icd/entity/655831061</x:t>
  </x:si>
  <x:si>
    <x:t>http://id.who.int/icd/release/11/beta/ichi/655831061</x:t>
  </x:si>
  <x:si>
    <x:t>BAM.BA.BD</x:t>
  </x:si>
  <x:si>
    <x:t>- - - - - Computerised tomography of orbit with intravenous contrast</x:t>
  </x:si>
  <x:si>
    <x:t>http://id.who.int/icd/entity/216685701</x:t>
  </x:si>
  <x:si>
    <x:t>http://id.who.int/icd/release/11/beta/ichi/216685701</x:t>
  </x:si>
  <x:si>
    <x:t>BAM.BA.BH</x:t>
  </x:si>
  <x:si>
    <x:t>- - - - - Magnetic resonance imaging of orbit, not elsewhere classified</x:t>
  </x:si>
  <x:si>
    <x:t>http://id.who.int/icd/entity/388291487</x:t>
  </x:si>
  <x:si>
    <x:t>http://id.who.int/icd/release/11/beta/ichi/388291487</x:t>
  </x:si>
  <x:si>
    <x:t>BAM.BA.BI</x:t>
  </x:si>
  <x:si>
    <x:t>- - - - - Magnetic resonance imaging of orbit with intravenous contrast</x:t>
  </x:si>
  <x:si>
    <x:t>http://id.who.int/icd/entity/1223068348</x:t>
  </x:si>
  <x:si>
    <x:t>http://id.who.int/icd/release/11/beta/ichi/1223068348</x:t>
  </x:si>
  <x:si>
    <x:t>BAM.BA.BJ</x:t>
  </x:si>
  <x:si>
    <x:t>- - - - - Ultrasound of orbit</x:t>
  </x:si>
  <x:si>
    <x:t>http://id.who.int/icd/entity/145895979</x:t>
  </x:si>
  <x:si>
    <x:t>http://id.who.int/icd/release/11/beta/ichi/145895979</x:t>
  </x:si>
  <x:si>
    <x:t>BAM.FA.AA</x:t>
  </x:si>
  <x:si>
    <x:t>- - - - - Orbitotomy</x:t>
  </x:si>
  <x:si>
    <x:t>http://id.who.int/icd/entity/1466983176</x:t>
  </x:si>
  <x:si>
    <x:t>http://id.who.int/icd/release/11/beta/ichi/1466983176</x:t>
  </x:si>
  <x:si>
    <x:t>BAM.FC.AA</x:t>
  </x:si>
  <x:si>
    <x:t>- - - - - Decompression of orbit</x:t>
  </x:si>
  <x:si>
    <x:t>http://id.who.int/icd/entity/1925005004</x:t>
  </x:si>
  <x:si>
    <x:t>http://id.who.int/icd/release/11/beta/ichi/1925005004</x:t>
  </x:si>
  <x:si>
    <x:t>BAM.FC.AD</x:t>
  </x:si>
  <x:si>
    <x:t>- - - - - Endoscopic decompression of orbit</x:t>
  </x:si>
  <x:si>
    <x:t>http://id.who.int/icd/entity/37721415</x:t>
  </x:si>
  <x:si>
    <x:t>http://id.who.int/icd/release/11/beta/ichi/37721415</x:t>
  </x:si>
  <x:si>
    <x:t>BAM.JB.AA</x:t>
  </x:si>
  <x:si>
    <x:t>- - - - - Aspiration of orbit</x:t>
  </x:si>
  <x:si>
    <x:t>http://id.who.int/icd/entity/1576911972</x:t>
  </x:si>
  <x:si>
    <x:t>http://id.who.int/icd/release/11/beta/ichi/1576911972</x:t>
  </x:si>
  <x:si>
    <x:t>BAM.JB.AB</x:t>
  </x:si>
  <x:si>
    <x:t>- - - - - Endoscopic aspiration of orbit</x:t>
  </x:si>
  <x:si>
    <x:t>http://id.who.int/icd/entity/1979754740</x:t>
  </x:si>
  <x:si>
    <x:t>http://id.who.int/icd/release/11/beta/ichi/1979754740</x:t>
  </x:si>
  <x:si>
    <x:t>BAM.JB.AE</x:t>
  </x:si>
  <x:si>
    <x:t>- - - - - Percutaneous aspiration of orbit</x:t>
  </x:si>
  <x:si>
    <x:t>http://id.who.int/icd/entity/576804619</x:t>
  </x:si>
  <x:si>
    <x:t>http://id.who.int/icd/release/11/beta/ichi/576804619</x:t>
  </x:si>
  <x:si>
    <x:t>BAM.JD.AA</x:t>
  </x:si>
  <x:si>
    <x:t>- - - - - Removal of internal device or foreign body from eye, not elsewhere classified</x:t>
  </x:si>
  <x:si>
    <x:t>http://id.who.int/icd/entity/942041553</x:t>
  </x:si>
  <x:si>
    <x:t>http://id.who.int/icd/release/11/beta/ichi/942041553</x:t>
  </x:si>
  <x:si>
    <x:t>BAM.JD.AC</x:t>
  </x:si>
  <x:si>
    <x:t>- - - - - Removal of orbital implant</x:t>
  </x:si>
  <x:si>
    <x:t>http://id.who.int/icd/entity/333120833</x:t>
  </x:si>
  <x:si>
    <x:t>http://id.who.int/icd/release/11/beta/ichi/333120833</x:t>
  </x:si>
  <x:si>
    <x:t>BAM.JD.AH</x:t>
  </x:si>
  <x:si>
    <x:t>- - - - - Removal of internal device or foreign body from orbit without incision, not elsewhere classified</x:t>
  </x:si>
  <x:si>
    <x:t>http://id.who.int/icd/entity/1748417136</x:t>
  </x:si>
  <x:si>
    <x:t>http://id.who.int/icd/release/11/beta/ichi/1748417136</x:t>
  </x:si>
  <x:si>
    <x:t>BAM.JI.AA</x:t>
  </x:si>
  <x:si>
    <x:t>- - - - - Local excision of lesion of orbit</x:t>
  </x:si>
  <x:si>
    <x:t>http://id.who.int/icd/entity/938797901</x:t>
  </x:si>
  <x:si>
    <x:t>http://id.who.int/icd/release/11/beta/ichi/938797901</x:t>
  </x:si>
  <x:si>
    <x:t>BAM.JJ.AC</x:t>
  </x:si>
  <x:si>
    <x:t>- - - - - Subtotal exenteration of orbit</x:t>
  </x:si>
  <x:si>
    <x:t>http://id.who.int/icd/entity/1737437950</x:t>
  </x:si>
  <x:si>
    <x:t>http://id.who.int/icd/release/11/beta/ichi/1737437950</x:t>
  </x:si>
  <x:si>
    <x:t>BAM.JK.AC</x:t>
  </x:si>
  <x:si>
    <x:t>- - - - - Exenteration of orbit</x:t>
  </x:si>
  <x:si>
    <x:t>http://id.who.int/icd/entity/851494067</x:t>
  </x:si>
  <x:si>
    <x:t>http://id.who.int/icd/release/11/beta/ichi/851494067</x:t>
  </x:si>
  <x:si>
    <x:t>BAM.JL.AC</x:t>
  </x:si>
  <x:si>
    <x:t>- - - - - Extended exenteration of orbit</x:t>
  </x:si>
  <x:si>
    <x:t>http://id.who.int/icd/entity/494943773</x:t>
  </x:si>
  <x:si>
    <x:t>http://id.who.int/icd/release/11/beta/ichi/494943773</x:t>
  </x:si>
  <x:si>
    <x:t>BAM.MK.AA</x:t>
  </x:si>
  <x:si>
    <x:t>- - - - - Repair of orbit</x:t>
  </x:si>
  <x:si>
    <x:t>http://id.who.int/icd/entity/1828885906</x:t>
  </x:si>
  <x:si>
    <x:t>http://id.who.int/icd/release/11/beta/ichi/1828885906</x:t>
  </x:si>
  <x:si>
    <x:t>BAM.ML.AA</x:t>
  </x:si>
  <x:si>
    <x:t>- - - - - Reconstruction of orbit</x:t>
  </x:si>
  <x:si>
    <x:t>http://id.who.int/icd/entity/1758675712</x:t>
  </x:si>
  <x:si>
    <x:t>http://id.who.int/icd/release/11/beta/ichi/1758675712</x:t>
  </x:si>
  <x:si>
    <x:t>BAM.ML.AC</x:t>
  </x:si>
  <x:si>
    <x:t>- - - - - Secondary interventions after removal of eyeball</x:t>
  </x:si>
  <x:si>
    <x:t>http://id.who.int/icd/entity/923866077</x:t>
  </x:si>
  <x:si>
    <x:t>http://id.who.int/icd/release/11/beta/ichi/923866077</x:t>
  </x:si>
  <x:si>
    <x:t>BlockL4-BBA</x:t>
  </x:si>
  <x:si>
    <x:t>- - - - Interventions on eye, anterior segment structures</x:t>
  </x:si>
  <x:si>
    <x:t>69</x:t>
  </x:si>
  <x:si>
    <x:t>http://id.who.int/icd/entity/401105377</x:t>
  </x:si>
  <x:si>
    <x:t>http://id.who.int/icd/release/11/beta/ichi/401105377</x:t>
  </x:si>
  <x:si>
    <x:t>BBA.AC.AH</x:t>
  </x:si>
  <x:si>
    <x:t>- - - - - Conjunctival provocation test</x:t>
  </x:si>
  <x:si>
    <x:t>http://id.who.int/icd/entity/1843883266</x:t>
  </x:si>
  <x:si>
    <x:t>http://id.who.int/icd/release/11/beta/ichi/1843883266</x:t>
  </x:si>
  <x:si>
    <x:t>BBA.AD.AA</x:t>
  </x:si>
  <x:si>
    <x:t>- - - - - Biopsy of conjunctiva</x:t>
  </x:si>
  <x:si>
    <x:t>http://id.who.int/icd/entity/1033680049</x:t>
  </x:si>
  <x:si>
    <x:t>http://id.who.int/icd/release/11/beta/ichi/1033680049</x:t>
  </x:si>
  <x:si>
    <x:t>BBA.DB.AE</x:t>
  </x:si>
  <x:si>
    <x:t>- - - - - Injection into subconjunctiva</x:t>
  </x:si>
  <x:si>
    <x:t>http://id.who.int/icd/entity/1476301208</x:t>
  </x:si>
  <x:si>
    <x:t>http://id.who.int/icd/release/11/beta/ichi/1476301208</x:t>
  </x:si>
  <x:si>
    <x:t>BBA.FA.AA</x:t>
  </x:si>
  <x:si>
    <x:t>- - - - - Incision of conjunctiva</x:t>
  </x:si>
  <x:si>
    <x:t>http://id.who.int/icd/entity/1304014670</x:t>
  </x:si>
  <x:si>
    <x:t>http://id.who.int/icd/release/11/beta/ichi/1304014670</x:t>
  </x:si>
  <x:si>
    <x:t>BBA.FC.AA</x:t>
  </x:si>
  <x:si>
    <x:t>- - - - - Release of conjunctiva</x:t>
  </x:si>
  <x:si>
    <x:t>http://id.who.int/icd/entity/1540141646</x:t>
  </x:si>
  <x:si>
    <x:t>http://id.who.int/icd/release/11/beta/ichi/1540141646</x:t>
  </x:si>
  <x:si>
    <x:t>BBA.GA.AA</x:t>
  </x:si>
  <x:si>
    <x:t>- - - - - Destruction of lesion or tissue of conjunctiva</x:t>
  </x:si>
  <x:si>
    <x:t>http://id.who.int/icd/entity/1955350754</x:t>
  </x:si>
  <x:si>
    <x:t>http://id.who.int/icd/release/11/beta/ichi/1955350754</x:t>
  </x:si>
  <x:si>
    <x:t>BBA.JB.AA</x:t>
  </x:si>
  <x:si>
    <x:t>- - - - - Drainage of conjunctiva</x:t>
  </x:si>
  <x:si>
    <x:t>http://id.who.int/icd/entity/2139641420</x:t>
  </x:si>
  <x:si>
    <x:t>http://id.who.int/icd/release/11/beta/ichi/2139641420</x:t>
  </x:si>
  <x:si>
    <x:t>BBA.JB.AE</x:t>
  </x:si>
  <x:si>
    <x:t>- - - - - Percutaneous drainage of conjunctiva</x:t>
  </x:si>
  <x:si>
    <x:t>http://id.who.int/icd/entity/566476463</x:t>
  </x:si>
  <x:si>
    <x:t>http://id.who.int/icd/release/11/beta/ichi/566476463</x:t>
  </x:si>
  <x:si>
    <x:t>BBA.JD.AA</x:t>
  </x:si>
  <x:si>
    <x:t>- - - - - Removal of internal device or foreign body from conjunctiva with incision</x:t>
  </x:si>
  <x:si>
    <x:t>http://id.who.int/icd/entity/1258695672</x:t>
  </x:si>
  <x:si>
    <x:t>http://id.who.int/icd/release/11/beta/ichi/1258695672</x:t>
  </x:si>
  <x:si>
    <x:t>BBA.JD.AH</x:t>
  </x:si>
  <x:si>
    <x:t>- - - - - Removal of internal device or foreign body from conjunctiva without incision</x:t>
  </x:si>
  <x:si>
    <x:t>http://id.who.int/icd/entity/1322777750</x:t>
  </x:si>
  <x:si>
    <x:t>http://id.who.int/icd/release/11/beta/ichi/1322777750</x:t>
  </x:si>
  <x:si>
    <x:t>BBA.JI.AA</x:t>
  </x:si>
  <x:si>
    <x:t>- - - - - Local excision of lesion of conjunctiva</x:t>
  </x:si>
  <x:si>
    <x:t>http://id.who.int/icd/entity/1697288198</x:t>
  </x:si>
  <x:si>
    <x:t>http://id.who.int/icd/release/11/beta/ichi/1697288198</x:t>
  </x:si>
  <x:si>
    <x:t>BBA.JJ.AA</x:t>
  </x:si>
  <x:si>
    <x:t>- - - - - Partial excision of conjunctiva</x:t>
  </x:si>
  <x:si>
    <x:t>http://id.who.int/icd/entity/837607305</x:t>
  </x:si>
  <x:si>
    <x:t>http://id.who.int/icd/release/11/beta/ichi/837607305</x:t>
  </x:si>
  <x:si>
    <x:t>BBA.LI.AA</x:t>
  </x:si>
  <x:si>
    <x:t>- - - - - Conjunctivocystorhinostomy</x:t>
  </x:si>
  <x:si>
    <x:t>http://id.who.int/icd/entity/886632567</x:t>
  </x:si>
  <x:si>
    <x:t>http://id.who.int/icd/release/11/beta/ichi/886632567</x:t>
  </x:si>
  <x:si>
    <x:t>BBA.LI.AD</x:t>
  </x:si>
  <x:si>
    <x:t>- - - - - Endoscopic conjunctivocystorhinostomy</x:t>
  </x:si>
  <x:si>
    <x:t>http://id.who.int/icd/entity/2128877342</x:t>
  </x:si>
  <x:si>
    <x:t>http://id.who.int/icd/release/11/beta/ichi/2128877342</x:t>
  </x:si>
  <x:si>
    <x:t>BBA.MK.AA</x:t>
  </x:si>
  <x:si>
    <x:t>- - - - - Repair of conjuctiva</x:t>
  </x:si>
  <x:si>
    <x:t>http://id.who.int/icd/entity/562165327</x:t>
  </x:si>
  <x:si>
    <x:t>http://id.who.int/icd/release/11/beta/ichi/562165327</x:t>
  </x:si>
  <x:si>
    <x:t>BBA.ML.AA</x:t>
  </x:si>
  <x:si>
    <x:t>- - - - - Reconstruction of conjunctival cul-de-sac</x:t>
  </x:si>
  <x:si>
    <x:t>http://id.who.int/icd/entity/175938271</x:t>
  </x:si>
  <x:si>
    <x:t>http://id.who.int/icd/release/11/beta/ichi/175938271</x:t>
  </x:si>
  <x:si>
    <x:t>BBB.AB.AH</x:t>
  </x:si>
  <x:si>
    <x:t>- - - - - Measurement of cornea</x:t>
  </x:si>
  <x:si>
    <x:t>http://id.who.int/icd/entity/1589302610</x:t>
  </x:si>
  <x:si>
    <x:t>http://id.who.int/icd/release/11/beta/ichi/1589302610</x:t>
  </x:si>
  <x:si>
    <x:t>BBB.AB.BA</x:t>
  </x:si>
  <x:si>
    <x:t>- - - - - Corneal topography</x:t>
  </x:si>
  <x:si>
    <x:t>http://id.who.int/icd/entity/1590812510</x:t>
  </x:si>
  <x:si>
    <x:t>http://id.who.int/icd/release/11/beta/ichi/1590812510</x:t>
  </x:si>
  <x:si>
    <x:t>BBB.AD.AA</x:t>
  </x:si>
  <x:si>
    <x:t>- - - - - Biopsy of cornea</x:t>
  </x:si>
  <x:si>
    <x:t>http://id.who.int/icd/entity/569048129</x:t>
  </x:si>
  <x:si>
    <x:t>http://id.who.int/icd/release/11/beta/ichi/569048129</x:t>
  </x:si>
  <x:si>
    <x:t>BBB.DB.AE</x:t>
  </x:si>
  <x:si>
    <x:t>- - - - - Injection of agent into cornea</x:t>
  </x:si>
  <x:si>
    <x:t>http://id.who.int/icd/entity/1514957887</x:t>
  </x:si>
  <x:si>
    <x:t>http://id.who.int/icd/release/11/beta/ichi/1514957887</x:t>
  </x:si>
  <x:si>
    <x:t>BBB.DK.AH</x:t>
  </x:si>
  <x:si>
    <x:t>- - - - - Application of bandage contact lens to cornea</x:t>
  </x:si>
  <x:si>
    <x:t>http://id.who.int/icd/entity/618582975</x:t>
  </x:si>
  <x:si>
    <x:t>http://id.who.int/icd/release/11/beta/ichi/618582975</x:t>
  </x:si>
  <x:si>
    <x:t>BBB.DL.AC</x:t>
  </x:si>
  <x:si>
    <x:t>- - - - - Insertion of corneal implant</x:t>
  </x:si>
  <x:si>
    <x:t>http://id.who.int/icd/entity/1415346226</x:t>
  </x:si>
  <x:si>
    <x:t>http://id.who.int/icd/release/11/beta/ichi/1415346226</x:t>
  </x:si>
  <x:si>
    <x:t>BBB.FA.AA</x:t>
  </x:si>
  <x:si>
    <x:t>- - - - - Incision of cornea</x:t>
  </x:si>
  <x:si>
    <x:t>http://id.who.int/icd/entity/2065466014</x:t>
  </x:si>
  <x:si>
    <x:t>http://id.who.int/icd/release/11/beta/ichi/2065466014</x:t>
  </x:si>
  <x:si>
    <x:t>BBB.FC.AA</x:t>
  </x:si>
  <x:si>
    <x:t>- - - - - Release of cornea</x:t>
  </x:si>
  <x:si>
    <x:t>http://id.who.int/icd/entity/994589195</x:t>
  </x:si>
  <x:si>
    <x:t>http://id.who.int/icd/release/11/beta/ichi/994589195</x:t>
  </x:si>
  <x:si>
    <x:t>BBB.GA.AH</x:t>
  </x:si>
  <x:si>
    <x:t>- - - - - Destruction of corneal lesion</x:t>
  </x:si>
  <x:si>
    <x:t>http://id.who.int/icd/entity/280319643</x:t>
  </x:si>
  <x:si>
    <x:t>http://id.who.int/icd/release/11/beta/ichi/280319643</x:t>
  </x:si>
  <x:si>
    <x:t>BBB.JA.AH</x:t>
  </x:si>
  <x:si>
    <x:t>- - - - - Irrigation of cornea</x:t>
  </x:si>
  <x:si>
    <x:t>http://id.who.int/icd/entity/32929517</x:t>
  </x:si>
  <x:si>
    <x:t>http://id.who.int/icd/release/11/beta/ichi/32929517</x:t>
  </x:si>
  <x:si>
    <x:t>BBB.JD.AA</x:t>
  </x:si>
  <x:si>
    <x:t>- - - - - Removal of internal device or foreign body from cornea with incision</x:t>
  </x:si>
  <x:si>
    <x:t>http://id.who.int/icd/entity/1095186154</x:t>
  </x:si>
  <x:si>
    <x:t>http://id.who.int/icd/release/11/beta/ichi/1095186154</x:t>
  </x:si>
  <x:si>
    <x:t>BBB.JD.AH</x:t>
  </x:si>
  <x:si>
    <x:t>- - - - - Removal of internal device or foreign body from cornea without incision</x:t>
  </x:si>
  <x:si>
    <x:t>http://id.who.int/icd/entity/512059337</x:t>
  </x:si>
  <x:si>
    <x:t>http://id.who.int/icd/release/11/beta/ichi/512059337</x:t>
  </x:si>
  <x:si>
    <x:t>BBB.JJ.AA</x:t>
  </x:si>
  <x:si>
    <x:t>- - - - - Partial excision of cornea</x:t>
  </x:si>
  <x:si>
    <x:t>http://id.who.int/icd/entity/1411264724</x:t>
  </x:si>
  <x:si>
    <x:t>http://id.who.int/icd/release/11/beta/ichi/1411264724</x:t>
  </x:si>
  <x:si>
    <x:t>BBB.KD.AA</x:t>
  </x:si>
  <x:si>
    <x:t>- - - - - Corneal transplant</x:t>
  </x:si>
  <x:si>
    <x:t>http://id.who.int/icd/entity/2145606724</x:t>
  </x:si>
  <x:si>
    <x:t>http://id.who.int/icd/release/11/beta/ichi/2145606724</x:t>
  </x:si>
  <x:si>
    <x:t>BBB.MK.AA</x:t>
  </x:si>
  <x:si>
    <x:t>- - - - - Repair of cornea</x:t>
  </x:si>
  <x:si>
    <x:t>http://id.who.int/icd/entity/1326235788</x:t>
  </x:si>
  <x:si>
    <x:t>http://id.who.int/icd/release/11/beta/ichi/1326235788</x:t>
  </x:si>
  <x:si>
    <x:t>BBB.ML.AA</x:t>
  </x:si>
  <x:si>
    <x:t>- - - - - Keratoplasty</x:t>
  </x:si>
  <x:si>
    <x:t>http://id.who.int/icd/entity/527898939</x:t>
  </x:si>
  <x:si>
    <x:t>http://id.who.int/icd/release/11/beta/ichi/527898939</x:t>
  </x:si>
  <x:si>
    <x:t>BBC.AB.AH</x:t>
  </x:si>
  <x:si>
    <x:t>- - - - - Measurement of iris</x:t>
  </x:si>
  <x:si>
    <x:t>http://id.who.int/icd/entity/808969109</x:t>
  </x:si>
  <x:si>
    <x:t>http://id.who.int/icd/release/11/beta/ichi/808969109</x:t>
  </x:si>
  <x:si>
    <x:t>BBC.AD.AA</x:t>
  </x:si>
  <x:si>
    <x:t>- - - - - Biopsy of iris</x:t>
  </x:si>
  <x:si>
    <x:t>http://id.who.int/icd/entity/1166108648</x:t>
  </x:si>
  <x:si>
    <x:t>http://id.who.int/icd/release/11/beta/ichi/1166108648</x:t>
  </x:si>
  <x:si>
    <x:t>BBC.FA.AA</x:t>
  </x:si>
  <x:si>
    <x:t>- - - - - Iridotomy</x:t>
  </x:si>
  <x:si>
    <x:t>http://id.who.int/icd/entity/368754263</x:t>
  </x:si>
  <x:si>
    <x:t>http://id.who.int/icd/release/11/beta/ichi/368754263</x:t>
  </x:si>
  <x:si>
    <x:t>BBC.FC.AA</x:t>
  </x:si>
  <x:si>
    <x:t>- - - - - Release of iris</x:t>
  </x:si>
  <x:si>
    <x:t>http://id.who.int/icd/entity/1245245302</x:t>
  </x:si>
  <x:si>
    <x:t>http://id.who.int/icd/release/11/beta/ichi/1245245302</x:t>
  </x:si>
  <x:si>
    <x:t>BBC.GA.AH</x:t>
  </x:si>
  <x:si>
    <x:t>- - - - - Destruction of lesion of iris</x:t>
  </x:si>
  <x:si>
    <x:t>http://id.who.int/icd/entity/2062482542</x:t>
  </x:si>
  <x:si>
    <x:t>http://id.who.int/icd/release/11/beta/ichi/2062482542</x:t>
  </x:si>
  <x:si>
    <x:t>BBC.JB.AA</x:t>
  </x:si>
  <x:si>
    <x:t>- - - - - Drainage of the iris</x:t>
  </x:si>
  <x:si>
    <x:t>http://id.who.int/icd/entity/1360236798</x:t>
  </x:si>
  <x:si>
    <x:t>http://id.who.int/icd/release/11/beta/ichi/1360236798</x:t>
  </x:si>
  <x:si>
    <x:t>BBC.JI.AA</x:t>
  </x:si>
  <x:si>
    <x:t>- - - - - Local excision of lesion of iris</x:t>
  </x:si>
  <x:si>
    <x:t>http://id.who.int/icd/entity/1079029898</x:t>
  </x:si>
  <x:si>
    <x:t>http://id.who.int/icd/release/11/beta/ichi/1079029898</x:t>
  </x:si>
  <x:si>
    <x:t>BBC.JJ.AA</x:t>
  </x:si>
  <x:si>
    <x:t>- - - - - Partial iridectomy</x:t>
  </x:si>
  <x:si>
    <x:t>http://id.who.int/icd/entity/904279291</x:t>
  </x:si>
  <x:si>
    <x:t>http://id.who.int/icd/release/11/beta/ichi/904279291</x:t>
  </x:si>
  <x:si>
    <x:t>BBC.JK.AA</x:t>
  </x:si>
  <x:si>
    <x:t>- - - - - Total iridectomy</x:t>
  </x:si>
  <x:si>
    <x:t>http://id.who.int/icd/entity/1704848714</x:t>
  </x:si>
  <x:si>
    <x:t>http://id.who.int/icd/release/11/beta/ichi/1704848714</x:t>
  </x:si>
  <x:si>
    <x:t>BBC.MK.AA</x:t>
  </x:si>
  <x:si>
    <x:t>- - - - - Repair of iris</x:t>
  </x:si>
  <x:si>
    <x:t>http://id.who.int/icd/entity/257456157</x:t>
  </x:si>
  <x:si>
    <x:t>http://id.who.int/icd/release/11/beta/ichi/257456157</x:t>
  </x:si>
  <x:si>
    <x:t>BBD.AD.AA</x:t>
  </x:si>
  <x:si>
    <x:t>- - - - - Biopsy of ciliary body</x:t>
  </x:si>
  <x:si>
    <x:t>http://id.who.int/icd/entity/364443319</x:t>
  </x:si>
  <x:si>
    <x:t>http://id.who.int/icd/release/11/beta/ichi/364443319</x:t>
  </x:si>
  <x:si>
    <x:t>BBD.GA.AH</x:t>
  </x:si>
  <x:si>
    <x:t>- - - - - Destruction of lesion of ciliary body</x:t>
  </x:si>
  <x:si>
    <x:t>http://id.who.int/icd/entity/1044748839</x:t>
  </x:si>
  <x:si>
    <x:t>http://id.who.int/icd/release/11/beta/ichi/1044748839</x:t>
  </x:si>
  <x:si>
    <x:t>BBD.JI.AA</x:t>
  </x:si>
  <x:si>
    <x:t>- - - - - Local excision of lesion of ciliary body</x:t>
  </x:si>
  <x:si>
    <x:t>http://id.who.int/icd/entity/268421229</x:t>
  </x:si>
  <x:si>
    <x:t>http://id.who.int/icd/release/11/beta/ichi/268421229</x:t>
  </x:si>
  <x:si>
    <x:t>BBD.JJ.AA</x:t>
  </x:si>
  <x:si>
    <x:t>- - - - - Partial excision of ciliary body</x:t>
  </x:si>
  <x:si>
    <x:t>http://id.who.int/icd/entity/795717727</x:t>
  </x:si>
  <x:si>
    <x:t>http://id.who.int/icd/release/11/beta/ichi/795717727</x:t>
  </x:si>
  <x:si>
    <x:t>BBD.LI.AA</x:t>
  </x:si>
  <x:si>
    <x:t>- - - - - Bypass of ciliary body</x:t>
  </x:si>
  <x:si>
    <x:t>http://id.who.int/icd/entity/366214329</x:t>
  </x:si>
  <x:si>
    <x:t>http://id.who.int/icd/release/11/beta/ichi/366214329</x:t>
  </x:si>
  <x:si>
    <x:t>BBD.MK.AA</x:t>
  </x:si>
  <x:si>
    <x:t>- - - - - Repair of ciliary body</x:t>
  </x:si>
  <x:si>
    <x:t>http://id.who.int/icd/entity/517464597</x:t>
  </x:si>
  <x:si>
    <x:t>http://id.who.int/icd/release/11/beta/ichi/517464597</x:t>
  </x:si>
  <x:si>
    <x:t>BBE.AA.AH</x:t>
  </x:si>
  <x:si>
    <x:t>- - - - - Examination of anterior chamber of eye</x:t>
  </x:si>
  <x:si>
    <x:t>http://id.who.int/icd/entity/635442995</x:t>
  </x:si>
  <x:si>
    <x:t>http://id.who.int/icd/release/11/beta/ichi/635442995</x:t>
  </x:si>
  <x:si>
    <x:t>BBE.AE.AH</x:t>
  </x:si>
  <x:si>
    <x:t>- - - - - Gonioscopy</x:t>
  </x:si>
  <x:si>
    <x:t>http://id.who.int/icd/entity/2049066512</x:t>
  </x:si>
  <x:si>
    <x:t>http://id.who.int/icd/release/11/beta/ichi/2049066512</x:t>
  </x:si>
  <x:si>
    <x:t>BBE.BA.BE</x:t>
  </x:si>
  <x:si>
    <x:t>- - - - - Fluorescein angiography of anterior chamber of eye</x:t>
  </x:si>
  <x:si>
    <x:t>http://id.who.int/icd/entity/710516641</x:t>
  </x:si>
  <x:si>
    <x:t>http://id.who.int/icd/release/11/beta/ichi/710516641</x:t>
  </x:si>
  <x:si>
    <x:t>BBE.DB.AE</x:t>
  </x:si>
  <x:si>
    <x:t>- - - - - Injection into anterior chamber of eye</x:t>
  </x:si>
  <x:si>
    <x:t>http://id.who.int/icd/entity/980876935</x:t>
  </x:si>
  <x:si>
    <x:t>http://id.who.int/icd/release/11/beta/ichi/980876935</x:t>
  </x:si>
  <x:si>
    <x:t>BBE.GA.AH</x:t>
  </x:si>
  <x:si>
    <x:t>- - - - - Destruction of anterior chamber of eye</x:t>
  </x:si>
  <x:si>
    <x:t>http://id.who.int/icd/entity/1353935826</x:t>
  </x:si>
  <x:si>
    <x:t>http://id.who.int/icd/release/11/beta/ichi/1353935826</x:t>
  </x:si>
  <x:si>
    <x:t>BBE.JB.AA</x:t>
  </x:si>
  <x:si>
    <x:t>- - - - - Drainage of anterior chamber of eye</x:t>
  </x:si>
  <x:si>
    <x:t>http://id.who.int/icd/entity/268577751</x:t>
  </x:si>
  <x:si>
    <x:t>http://id.who.int/icd/release/11/beta/ichi/268577751</x:t>
  </x:si>
  <x:si>
    <x:t>BBE.JB.AE</x:t>
  </x:si>
  <x:si>
    <x:t>- - - - - Percutaneous drainage of anterior chamber of eye</x:t>
  </x:si>
  <x:si>
    <x:t>http://id.who.int/icd/entity/532390725</x:t>
  </x:si>
  <x:si>
    <x:t>http://id.who.int/icd/release/11/beta/ichi/532390725</x:t>
  </x:si>
  <x:si>
    <x:t>BBE.JD.AA</x:t>
  </x:si>
  <x:si>
    <x:t>- - - - - Removal of internal device or foreign body from anterior chamber of eye</x:t>
  </x:si>
  <x:si>
    <x:t>http://id.who.int/icd/entity/89861615</x:t>
  </x:si>
  <x:si>
    <x:t>http://id.who.int/icd/release/11/beta/ichi/89861615</x:t>
  </x:si>
  <x:si>
    <x:t>BBE.JI.AA</x:t>
  </x:si>
  <x:si>
    <x:t>- - - - - Local excision of lesion of anterior chamber of eye</x:t>
  </x:si>
  <x:si>
    <x:t>http://id.who.int/icd/entity/1977189988</x:t>
  </x:si>
  <x:si>
    <x:t>http://id.who.int/icd/release/11/beta/ichi/1977189988</x:t>
  </x:si>
  <x:si>
    <x:t>BBE.JJ.AA</x:t>
  </x:si>
  <x:si>
    <x:t>- - - - - Partial excision of anterior chamber of eye</x:t>
  </x:si>
  <x:si>
    <x:t>http://id.who.int/icd/entity/1520008396</x:t>
  </x:si>
  <x:si>
    <x:t>http://id.who.int/icd/release/11/beta/ichi/1520008396</x:t>
  </x:si>
  <x:si>
    <x:t>BBE.LI.AA</x:t>
  </x:si>
  <x:si>
    <x:t>- - - - - Facilitation of circulation in anterior chamber of eye</x:t>
  </x:si>
  <x:si>
    <x:t>http://id.who.int/icd/entity/1983634503</x:t>
  </x:si>
  <x:si>
    <x:t>http://id.who.int/icd/release/11/beta/ichi/1983634503</x:t>
  </x:si>
  <x:si>
    <x:t>BBE.LI.AC</x:t>
  </x:si>
  <x:si>
    <x:t>- - - - - Goniopuncture without goniotomy</x:t>
  </x:si>
  <x:si>
    <x:t>http://id.who.int/icd/entity/641730038</x:t>
  </x:si>
  <x:si>
    <x:t>http://id.who.int/icd/release/11/beta/ichi/641730038</x:t>
  </x:si>
  <x:si>
    <x:t>BBE.MK.AA</x:t>
  </x:si>
  <x:si>
    <x:t>- - - - - Repair of anterior chamber of eye</x:t>
  </x:si>
  <x:si>
    <x:t>http://id.who.int/icd/entity/704220516</x:t>
  </x:si>
  <x:si>
    <x:t>http://id.who.int/icd/release/11/beta/ichi/704220516</x:t>
  </x:si>
  <x:si>
    <x:t>BBE.SN.AA</x:t>
  </x:si>
  <x:si>
    <x:t>- - - - - Management of internal device of anterior chamber of eye</x:t>
  </x:si>
  <x:si>
    <x:t>http://id.who.int/icd/entity/1548683543</x:t>
  </x:si>
  <x:si>
    <x:t>http://id.who.int/icd/release/11/beta/ichi/1548683543</x:t>
  </x:si>
  <x:si>
    <x:t>BBF.FA.AA</x:t>
  </x:si>
  <x:si>
    <x:t>- - - - - Capsulotomy</x:t>
  </x:si>
  <x:si>
    <x:t>http://id.who.int/icd/entity/204787880</x:t>
  </x:si>
  <x:si>
    <x:t>http://id.who.int/icd/release/11/beta/ichi/204787880</x:t>
  </x:si>
  <x:si>
    <x:t>BBF.GA.AA</x:t>
  </x:si>
  <x:si>
    <x:t>- - - - - Mechanical fragmentation of secondary membrane</x:t>
  </x:si>
  <x:si>
    <x:t>http://id.who.int/icd/entity/1930425273</x:t>
  </x:si>
  <x:si>
    <x:t>http://id.who.int/icd/release/11/beta/ichi/1930425273</x:t>
  </x:si>
  <x:si>
    <x:t>BBF.JD.AA</x:t>
  </x:si>
  <x:si>
    <x:t>- - - - - Removal of internal device or foreign body from lens</x:t>
  </x:si>
  <x:si>
    <x:t>http://id.who.int/icd/entity/1138352291</x:t>
  </x:si>
  <x:si>
    <x:t>http://id.who.int/icd/release/11/beta/ichi/1138352291</x:t>
  </x:si>
  <x:si>
    <x:t>BBF.JK.AA</x:t>
  </x:si>
  <x:si>
    <x:t>- - - - - Extracapsular extraction of lens</x:t>
  </x:si>
  <x:si>
    <x:t>http://id.who.int/icd/entity/740841994</x:t>
  </x:si>
  <x:si>
    <x:t>http://id.who.int/icd/release/11/beta/ichi/740841994</x:t>
  </x:si>
  <x:si>
    <x:t>BBF.JK.AE</x:t>
  </x:si>
  <x:si>
    <x:t>- - - - - Phacoemulsification of lens</x:t>
  </x:si>
  <x:si>
    <x:t>http://id.who.int/icd/entity/378935022</x:t>
  </x:si>
  <x:si>
    <x:t>http://id.who.int/icd/release/11/beta/ichi/378935022</x:t>
  </x:si>
  <x:si>
    <x:t>BBF.LD.AA</x:t>
  </x:si>
  <x:si>
    <x:t>- - - - - Repositioning of lens</x:t>
  </x:si>
  <x:si>
    <x:t>http://id.who.int/icd/entity/209098822</x:t>
  </x:si>
  <x:si>
    <x:t>http://id.who.int/icd/release/11/beta/ichi/209098822</x:t>
  </x:si>
  <x:si>
    <x:t>BBF.ML.AA</x:t>
  </x:si>
  <x:si>
    <x:t>- - - - - Insertion of prosthetic lens</x:t>
  </x:si>
  <x:si>
    <x:t>http://id.who.int/icd/entity/63901908</x:t>
  </x:si>
  <x:si>
    <x:t>http://id.who.int/icd/release/11/beta/ichi/63901908</x:t>
  </x:si>
  <x:si>
    <x:t>BlockL4-BCA</x:t>
  </x:si>
  <x:si>
    <x:t>- - - - Interventions on eye, posterior segment structures</x:t>
  </x:si>
  <x:si>
    <x:t>32</x:t>
  </x:si>
  <x:si>
    <x:t>http://id.who.int/icd/entity/124946156</x:t>
  </x:si>
  <x:si>
    <x:t>http://id.who.int/icd/release/11/beta/ichi/124946156</x:t>
  </x:si>
  <x:si>
    <x:t>BCA.AD.AA</x:t>
  </x:si>
  <x:si>
    <x:t>- - - - - Biopsy of posterior segment structures of eyeball</x:t>
  </x:si>
  <x:si>
    <x:t>http://id.who.int/icd/entity/593324262</x:t>
  </x:si>
  <x:si>
    <x:t>http://id.who.int/icd/release/11/beta/ichi/593324262</x:t>
  </x:si>
  <x:si>
    <x:t>BCA.BA.BE</x:t>
  </x:si>
  <x:si>
    <x:t>- - - - - Fluorescein angiography of posterior chamber of eye</x:t>
  </x:si>
  <x:si>
    <x:t>http://id.who.int/icd/entity/647924181</x:t>
  </x:si>
  <x:si>
    <x:t>http://id.who.int/icd/release/11/beta/ichi/647924181</x:t>
  </x:si>
  <x:si>
    <x:t>BCA.DB.AE</x:t>
  </x:si>
  <x:si>
    <x:t>- - - - - Injection into posterior segment structures of eye</x:t>
  </x:si>
  <x:si>
    <x:t>http://id.who.int/icd/entity/1019205706</x:t>
  </x:si>
  <x:si>
    <x:t>http://id.who.int/icd/release/11/beta/ichi/1019205706</x:t>
  </x:si>
  <x:si>
    <x:t>BCA.DC.AE</x:t>
  </x:si>
  <x:si>
    <x:t>- - - - - Injection of anaesthesia into posterior structures of eye</x:t>
  </x:si>
  <x:si>
    <x:t>http://id.who.int/icd/entity/1931915607</x:t>
  </x:si>
  <x:si>
    <x:t>http://id.who.int/icd/release/11/beta/ichi/1931915607</x:t>
  </x:si>
  <x:si>
    <x:t>BCA.FA.AA</x:t>
  </x:si>
  <x:si>
    <x:t>- - - - - Incision of posterior chamber</x:t>
  </x:si>
  <x:si>
    <x:t>http://id.who.int/icd/entity/1550207993</x:t>
  </x:si>
  <x:si>
    <x:t>http://id.who.int/icd/release/11/beta/ichi/1550207993</x:t>
  </x:si>
  <x:si>
    <x:t>BCA.GA.AH</x:t>
  </x:si>
  <x:si>
    <x:t>- - - - - Destruction of chorioretinal lesion</x:t>
  </x:si>
  <x:si>
    <x:t>http://id.who.int/icd/entity/701550474</x:t>
  </x:si>
  <x:si>
    <x:t>http://id.who.int/icd/release/11/beta/ichi/701550474</x:t>
  </x:si>
  <x:si>
    <x:t>BCA.GA.BA</x:t>
  </x:si>
  <x:si>
    <x:t>- - - - - Destruction of lesion or tissue of posterior structures of eyeball by radiotherapy</x:t>
  </x:si>
  <x:si>
    <x:t>http://id.who.int/icd/entity/1202244835</x:t>
  </x:si>
  <x:si>
    <x:t>http://id.who.int/icd/release/11/beta/ichi/1202244835</x:t>
  </x:si>
  <x:si>
    <x:t>BCA.JD.AA</x:t>
  </x:si>
  <x:si>
    <x:t>- - - - - Removal of internal device or foreign body from posterior segment of eye</x:t>
  </x:si>
  <x:si>
    <x:t>http://id.who.int/icd/entity/1458302101</x:t>
  </x:si>
  <x:si>
    <x:t>http://id.who.int/icd/release/11/beta/ichi/1458302101</x:t>
  </x:si>
  <x:si>
    <x:t>BCB.AD.AA</x:t>
  </x:si>
  <x:si>
    <x:t>- - - - - Biopsy of sclera</x:t>
  </x:si>
  <x:si>
    <x:t>http://id.who.int/icd/entity/1396325371</x:t>
  </x:si>
  <x:si>
    <x:t>http://id.who.int/icd/release/11/beta/ichi/1396325371</x:t>
  </x:si>
  <x:si>
    <x:t>BCB.FA.AA</x:t>
  </x:si>
  <x:si>
    <x:t>- - - - - Incision of sclera</x:t>
  </x:si>
  <x:si>
    <x:t>http://id.who.int/icd/entity/419880082</x:t>
  </x:si>
  <x:si>
    <x:t>http://id.who.int/icd/release/11/beta/ichi/419880082</x:t>
  </x:si>
  <x:si>
    <x:t>BCB.GA.AH</x:t>
  </x:si>
  <x:si>
    <x:t>- - - - - Destruction of lesion of sclera</x:t>
  </x:si>
  <x:si>
    <x:t>http://id.who.int/icd/entity/2004803577</x:t>
  </x:si>
  <x:si>
    <x:t>http://id.who.int/icd/release/11/beta/ichi/2004803577</x:t>
  </x:si>
  <x:si>
    <x:t>BCB.JB.AA</x:t>
  </x:si>
  <x:si>
    <x:t>- - - - - Drainage of sclera</x:t>
  </x:si>
  <x:si>
    <x:t>http://id.who.int/icd/entity/936353792</x:t>
  </x:si>
  <x:si>
    <x:t>http://id.who.int/icd/release/11/beta/ichi/936353792</x:t>
  </x:si>
  <x:si>
    <x:t>BCB.JD.AA</x:t>
  </x:si>
  <x:si>
    <x:t>- - - - - Removal of internal device or foreign body from sclera</x:t>
  </x:si>
  <x:si>
    <x:t>http://id.who.int/icd/entity/1139843661</x:t>
  </x:si>
  <x:si>
    <x:t>http://id.who.int/icd/release/11/beta/ichi/1139843661</x:t>
  </x:si>
  <x:si>
    <x:t>BCB.JD.AH</x:t>
  </x:si>
  <x:si>
    <x:t>- - - - - Removal of internal device or foreign body from sclera without incision</x:t>
  </x:si>
  <x:si>
    <x:t>http://id.who.int/icd/entity/1494232295</x:t>
  </x:si>
  <x:si>
    <x:t>http://id.who.int/icd/release/11/beta/ichi/1494232295</x:t>
  </x:si>
  <x:si>
    <x:t>BCB.JI.AA</x:t>
  </x:si>
  <x:si>
    <x:t>- - - - - Local excision of lesion of sclera</x:t>
  </x:si>
  <x:si>
    <x:t>http://id.who.int/icd/entity/1985009225</x:t>
  </x:si>
  <x:si>
    <x:t>http://id.who.int/icd/release/11/beta/ichi/1985009225</x:t>
  </x:si>
  <x:si>
    <x:t>BCB.LI.AA</x:t>
  </x:si>
  <x:si>
    <x:t>- - - - - Deviation interventions on the sclera</x:t>
  </x:si>
  <x:si>
    <x:t>http://id.who.int/icd/entity/405329186</x:t>
  </x:si>
  <x:si>
    <x:t>http://id.who.int/icd/release/11/beta/ichi/405329186</x:t>
  </x:si>
  <x:si>
    <x:t>BCB.MK.AA</x:t>
  </x:si>
  <x:si>
    <x:t>- - - - - Repair of sclera</x:t>
  </x:si>
  <x:si>
    <x:t>http://id.who.int/icd/entity/684149226</x:t>
  </x:si>
  <x:si>
    <x:t>http://id.who.int/icd/release/11/beta/ichi/684149226</x:t>
  </x:si>
  <x:si>
    <x:t>BCB.ML.AA</x:t>
  </x:si>
  <x:si>
    <x:t>- - - - - Reinforcement of sclera</x:t>
  </x:si>
  <x:si>
    <x:t>http://id.who.int/icd/entity/2025623641</x:t>
  </x:si>
  <x:si>
    <x:t>http://id.who.int/icd/release/11/beta/ichi/2025623641</x:t>
  </x:si>
  <x:si>
    <x:t>BCC.AF.AH</x:t>
  </x:si>
  <x:si>
    <x:t>- - - - - Electroretinogram</x:t>
  </x:si>
  <x:si>
    <x:t>http://id.who.int/icd/entity/883177082</x:t>
  </x:si>
  <x:si>
    <x:t>http://id.who.int/icd/release/11/beta/ichi/883177082</x:t>
  </x:si>
  <x:si>
    <x:t>BCC.BA.BC</x:t>
  </x:si>
  <x:si>
    <x:t>- - - - - Computerised tomography of the retina, not elsewhere classified</x:t>
  </x:si>
  <x:si>
    <x:t>http://id.who.int/icd/entity/1493239800</x:t>
  </x:si>
  <x:si>
    <x:t>http://id.who.int/icd/release/11/beta/ichi/1493239800</x:t>
  </x:si>
  <x:si>
    <x:t>BCC.BA.BE</x:t>
  </x:si>
  <x:si>
    <x:t>- - - - - Fluorescein angiography of retina</x:t>
  </x:si>
  <x:si>
    <x:t>http://id.who.int/icd/entity/101583496</x:t>
  </x:si>
  <x:si>
    <x:t>http://id.who.int/icd/release/11/beta/ichi/101583496</x:t>
  </x:si>
  <x:si>
    <x:t>BCC.BA.BL</x:t>
  </x:si>
  <x:si>
    <x:t>- - - - - Fundus photography</x:t>
  </x:si>
  <x:si>
    <x:t>http://id.who.int/icd/entity/1915828021</x:t>
  </x:si>
  <x:si>
    <x:t>http://id.who.int/icd/release/11/beta/ichi/1915828021</x:t>
  </x:si>
  <x:si>
    <x:t>BCC.GA.AA</x:t>
  </x:si>
  <x:si>
    <x:t>- - - - - Destruction of retina</x:t>
  </x:si>
  <x:si>
    <x:t>http://id.who.int/icd/entity/2011226203</x:t>
  </x:si>
  <x:si>
    <x:t>http://id.who.int/icd/release/11/beta/ichi/2011226203</x:t>
  </x:si>
  <x:si>
    <x:t>BCC.JB.AA</x:t>
  </x:si>
  <x:si>
    <x:t>- - - - - Drainage of retina</x:t>
  </x:si>
  <x:si>
    <x:t>http://id.who.int/icd/entity/2019125449</x:t>
  </x:si>
  <x:si>
    <x:t>http://id.who.int/icd/release/11/beta/ichi/2019125449</x:t>
  </x:si>
  <x:si>
    <x:t>BCC.JJ.AA</x:t>
  </x:si>
  <x:si>
    <x:t>- - - - - Partial excision of retina</x:t>
  </x:si>
  <x:si>
    <x:t>http://id.who.int/icd/entity/920131996</x:t>
  </x:si>
  <x:si>
    <x:t>http://id.who.int/icd/release/11/beta/ichi/920131996</x:t>
  </x:si>
  <x:si>
    <x:t>BCC.MK.AA</x:t>
  </x:si>
  <x:si>
    <x:t>- - - - - Repair of retina</x:t>
  </x:si>
  <x:si>
    <x:t>http://id.who.int/icd/entity/233827514</x:t>
  </x:si>
  <x:si>
    <x:t>http://id.who.int/icd/release/11/beta/ichi/233827514</x:t>
  </x:si>
  <x:si>
    <x:t>BCD.AD.AA</x:t>
  </x:si>
  <x:si>
    <x:t>- - - - - Diagnostic aspiration of vitreous</x:t>
  </x:si>
  <x:si>
    <x:t>http://id.who.int/icd/entity/1378729369</x:t>
  </x:si>
  <x:si>
    <x:t>http://id.who.int/icd/release/11/beta/ichi/1378729369</x:t>
  </x:si>
  <x:si>
    <x:t>BCD.DB.AE</x:t>
  </x:si>
  <x:si>
    <x:t>- - - - - Injection into vitreous body</x:t>
  </x:si>
  <x:si>
    <x:t>http://id.who.int/icd/entity/39216168</x:t>
  </x:si>
  <x:si>
    <x:t>http://id.who.int/icd/release/11/beta/ichi/39216168</x:t>
  </x:si>
  <x:si>
    <x:t>BCD.GA.AA</x:t>
  </x:si>
  <x:si>
    <x:t>- - - - - Destruction of vitreous</x:t>
  </x:si>
  <x:si>
    <x:t>http://id.who.int/icd/entity/414640772</x:t>
  </x:si>
  <x:si>
    <x:t>http://id.who.int/icd/release/11/beta/ichi/414640772</x:t>
  </x:si>
  <x:si>
    <x:t>BCD.JB.AA</x:t>
  </x:si>
  <x:si>
    <x:t>- - - - - Drainage of vitreous</x:t>
  </x:si>
  <x:si>
    <x:t>http://id.who.int/icd/entity/1551052116</x:t>
  </x:si>
  <x:si>
    <x:t>http://id.who.int/icd/release/11/beta/ichi/1551052116</x:t>
  </x:si>
  <x:si>
    <x:t>BCD.JJ.AA</x:t>
  </x:si>
  <x:si>
    <x:t>- - - - - Subtotal vitrectomy</x:t>
  </x:si>
  <x:si>
    <x:t>http://id.who.int/icd/entity/386884114</x:t>
  </x:si>
  <x:si>
    <x:t>http://id.who.int/icd/release/11/beta/ichi/386884114</x:t>
  </x:si>
  <x:si>
    <x:t>BCD.JK.AA</x:t>
  </x:si>
  <x:si>
    <x:t>- - - - - Vitrectomy</x:t>
  </x:si>
  <x:si>
    <x:t>http://id.who.int/icd/entity/1737345437</x:t>
  </x:si>
  <x:si>
    <x:t>http://id.who.int/icd/release/11/beta/ichi/1737345437</x:t>
  </x:si>
  <x:si>
    <x:t>BlockL4-BDA</x:t>
  </x:si>
  <x:si>
    <x:t>- - - - Interventions on ocular muscles</x:t>
  </x:si>
  <x:si>
    <x:t>http://id.who.int/icd/entity/1198832545</x:t>
  </x:si>
  <x:si>
    <x:t>http://id.who.int/icd/release/11/beta/ichi/1198832545</x:t>
  </x:si>
  <x:si>
    <x:t>BDA.AB.AE</x:t>
  </x:si>
  <x:si>
    <x:t>- - - - - Percutaneous electrophysiological measurement of ocular muscles or tendons</x:t>
  </x:si>
  <x:si>
    <x:t>http://id.who.int/icd/entity/1508186443</x:t>
  </x:si>
  <x:si>
    <x:t>http://id.who.int/icd/release/11/beta/ichi/1508186443</x:t>
  </x:si>
  <x:si>
    <x:t>BDA.AB.AH</x:t>
  </x:si>
  <x:si>
    <x:t>- - - - - Electrophysiological measurement of ocular muscles or tendons</x:t>
  </x:si>
  <x:si>
    <x:t>http://id.who.int/icd/entity/1218853181</x:t>
  </x:si>
  <x:si>
    <x:t>http://id.who.int/icd/release/11/beta/ichi/1218853181</x:t>
  </x:si>
  <x:si>
    <x:t>BDA.AD.AA</x:t>
  </x:si>
  <x:si>
    <x:t>- - - - - Biopsy of extraocular muscle or tendon</x:t>
  </x:si>
  <x:si>
    <x:t>http://id.who.int/icd/entity/501862258</x:t>
  </x:si>
  <x:si>
    <x:t>http://id.who.int/icd/release/11/beta/ichi/501862258</x:t>
  </x:si>
  <x:si>
    <x:t>BDA.AD.AE</x:t>
  </x:si>
  <x:si>
    <x:t>- - - - - Percutaneous biopsy of extraocular muscle or tendon</x:t>
  </x:si>
  <x:si>
    <x:t>http://id.who.int/icd/entity/1938934811</x:t>
  </x:si>
  <x:si>
    <x:t>http://id.who.int/icd/release/11/beta/ichi/1938934811</x:t>
  </x:si>
  <x:si>
    <x:t>BDA.FA.AA</x:t>
  </x:si>
  <x:si>
    <x:t>- - - - - Incision of extraocular muscles or tendons</x:t>
  </x:si>
  <x:si>
    <x:t>http://id.who.int/icd/entity/1110154833</x:t>
  </x:si>
  <x:si>
    <x:t>http://id.who.int/icd/release/11/beta/ichi/1110154833</x:t>
  </x:si>
  <x:si>
    <x:t>BDA.FC.AA</x:t>
  </x:si>
  <x:si>
    <x:t>- - - - - Release of ocular muscles or tendons</x:t>
  </x:si>
  <x:si>
    <x:t>http://id.who.int/icd/entity/930669236</x:t>
  </x:si>
  <x:si>
    <x:t>http://id.who.int/icd/release/11/beta/ichi/930669236</x:t>
  </x:si>
  <x:si>
    <x:t>BDA.JJ.AA</x:t>
  </x:si>
  <x:si>
    <x:t>- - - - - Partial excision of ocular muscles or tendons</x:t>
  </x:si>
  <x:si>
    <x:t>http://id.who.int/icd/entity/2126358658</x:t>
  </x:si>
  <x:si>
    <x:t>http://id.who.int/icd/release/11/beta/ichi/2126358658</x:t>
  </x:si>
  <x:si>
    <x:t>BDA.LC.AA</x:t>
  </x:si>
  <x:si>
    <x:t>- - - - - Fixation of ocular muscles</x:t>
  </x:si>
  <x:si>
    <x:t>http://id.who.int/icd/entity/1212400045</x:t>
  </x:si>
  <x:si>
    <x:t>http://id.who.int/icd/release/11/beta/ichi/1212400045</x:t>
  </x:si>
  <x:si>
    <x:t>BDA.LD.AA</x:t>
  </x:si>
  <x:si>
    <x:t>- - - - - Transposition of extraocular muscles</x:t>
  </x:si>
  <x:si>
    <x:t>http://id.who.int/icd/entity/1838062703</x:t>
  </x:si>
  <x:si>
    <x:t>http://id.who.int/icd/release/11/beta/ichi/1838062703</x:t>
  </x:si>
  <x:si>
    <x:t>BDA.LK.AA</x:t>
  </x:si>
  <x:si>
    <x:t>- - - - - Advancement of extraocular muscle</x:t>
  </x:si>
  <x:si>
    <x:t>http://id.who.int/icd/entity/66494216</x:t>
  </x:si>
  <x:si>
    <x:t>http://id.who.int/icd/release/11/beta/ichi/66494216</x:t>
  </x:si>
  <x:si>
    <x:t>BDA.LL.AA</x:t>
  </x:si>
  <x:si>
    <x:t>- - - - - Shortening of extraocular muscle</x:t>
  </x:si>
  <x:si>
    <x:t>http://id.who.int/icd/entity/843894094</x:t>
  </x:si>
  <x:si>
    <x:t>http://id.who.int/icd/release/11/beta/ichi/843894094</x:t>
  </x:si>
  <x:si>
    <x:t>BDA.MK.AA</x:t>
  </x:si>
  <x:si>
    <x:t>- - - - - Repair of extraocular muscle</x:t>
  </x:si>
  <x:si>
    <x:t>http://id.who.int/icd/entity/497780628</x:t>
  </x:si>
  <x:si>
    <x:t>http://id.who.int/icd/release/11/beta/ichi/497780628</x:t>
  </x:si>
  <x:si>
    <x:t>BlockL4-BT2</x:t>
  </x:si>
  <x:si>
    <x:t>- - - - Interventions on eye functions</x:t>
  </x:si>
  <x:si>
    <x:t>http://id.who.int/icd/entity/1028847022</x:t>
  </x:si>
  <x:si>
    <x:t>http://id.who.int/icd/release/11/beta/ichi/1028847022</x:t>
  </x:si>
  <x:si>
    <x:t>BT2.AA.ZZ</x:t>
  </x:si>
  <x:si>
    <x:t>- - - - - Assessment of seeing and related functions, not elsewhere classified</x:t>
  </x:si>
  <x:si>
    <x:t>http://id.who.int/icd/entity/303173378</x:t>
  </x:si>
  <x:si>
    <x:t>http://id.who.int/icd/release/11/beta/ichi/303173378</x:t>
  </x:si>
  <x:si>
    <x:t>BT2.AC.ZZ</x:t>
  </x:si>
  <x:si>
    <x:t>- - - - - Test of seeing and related functions, not elsewhere classified</x:t>
  </x:si>
  <x:si>
    <x:t>http://id.who.int/icd/entity/1412316268</x:t>
  </x:si>
  <x:si>
    <x:t>http://id.who.int/icd/release/11/beta/ichi/1412316268</x:t>
  </x:si>
  <x:si>
    <x:t>BT2.PG.ZZ</x:t>
  </x:si>
  <x:si>
    <x:t>- - - - - Assisting and leading exercise for seeing and related functions, not elsewhere classified</x:t>
  </x:si>
  <x:si>
    <x:t>http://id.who.int/icd/entity/200043855</x:t>
  </x:si>
  <x:si>
    <x:t>http://id.who.int/icd/release/11/beta/ichi/200043855</x:t>
  </x:si>
  <x:si>
    <x:t>BTB.AA.ZZ</x:t>
  </x:si>
  <x:si>
    <x:t>- - - - - Assessment of seeing functions</x:t>
  </x:si>
  <x:si>
    <x:t>http://id.who.int/icd/entity/2119887166</x:t>
  </x:si>
  <x:si>
    <x:t>http://id.who.int/icd/release/11/beta/ichi/2119887166</x:t>
  </x:si>
  <x:si>
    <x:t>BTB.AB.ZZ</x:t>
  </x:si>
  <x:si>
    <x:t>- - - - - Measurement of seeing functions</x:t>
  </x:si>
  <x:si>
    <x:t>http://id.who.int/icd/entity/1679677416</x:t>
  </x:si>
  <x:si>
    <x:t>http://id.who.int/icd/release/11/beta/ichi/1679677416</x:t>
  </x:si>
  <x:si>
    <x:t>BTB.AC.ZZ</x:t>
  </x:si>
  <x:si>
    <x:t>- - - - - Test of seeing functions</x:t>
  </x:si>
  <x:si>
    <x:t>http://id.who.int/icd/entity/1640759434</x:t>
  </x:si>
  <x:si>
    <x:t>http://id.who.int/icd/release/11/beta/ichi/1640759434</x:t>
  </x:si>
  <x:si>
    <x:t>BTB.AF.BP</x:t>
  </x:si>
  <x:si>
    <x:t>- - - - - Visual evoked potentials</x:t>
  </x:si>
  <x:si>
    <x:t>http://id.who.int/icd/entity/1694290902</x:t>
  </x:si>
  <x:si>
    <x:t>http://id.who.int/icd/release/11/beta/ichi/1694290902</x:t>
  </x:si>
  <x:si>
    <x:t>BTB.PH.ZZ</x:t>
  </x:si>
  <x:si>
    <x:t>- - - - - Training for seeing functions</x:t>
  </x:si>
  <x:si>
    <x:t>http://id.who.int/icd/entity/1040887051</x:t>
  </x:si>
  <x:si>
    <x:t>http://id.who.int/icd/release/11/beta/ichi/1040887051</x:t>
  </x:si>
  <x:si>
    <x:t>BTB.PM.ZZ</x:t>
  </x:si>
  <x:si>
    <x:t>- - - - - Education about seeing functions</x:t>
  </x:si>
  <x:si>
    <x:t>http://id.who.int/icd/entity/1852929210</x:t>
  </x:si>
  <x:si>
    <x:t>http://id.who.int/icd/release/11/beta/ichi/1852929210</x:t>
  </x:si>
  <x:si>
    <x:t>BTB.PN.ZZ</x:t>
  </x:si>
  <x:si>
    <x:t>- - - - - Advising about seeing functions</x:t>
  </x:si>
  <x:si>
    <x:t>http://id.who.int/icd/entity/1317861926</x:t>
  </x:si>
  <x:si>
    <x:t>http://id.who.int/icd/release/11/beta/ichi/1317861926</x:t>
  </x:si>
  <x:si>
    <x:t>BTF.AA.ZZ</x:t>
  </x:si>
  <x:si>
    <x:t>- - - - - Assessment of functions of structures adjoining the eye</x:t>
  </x:si>
  <x:si>
    <x:t>http://id.who.int/icd/entity/465767529</x:t>
  </x:si>
  <x:si>
    <x:t>http://id.who.int/icd/release/11/beta/ichi/465767529</x:t>
  </x:si>
  <x:si>
    <x:t>BTF.AC.ZZ</x:t>
  </x:si>
  <x:si>
    <x:t>- - - - - Test of functions of structures adjoining the eye</x:t>
  </x:si>
  <x:si>
    <x:t>http://id.who.int/icd/entity/881063623</x:t>
  </x:si>
  <x:si>
    <x:t>http://id.who.int/icd/release/11/beta/ichi/881063623</x:t>
  </x:si>
  <x:si>
    <x:t>BTF.AF.AH</x:t>
  </x:si>
  <x:si>
    <x:t>- - - - - Electrooculography</x:t>
  </x:si>
  <x:si>
    <x:t>http://id.who.int/icd/entity/1065871467</x:t>
  </x:si>
  <x:si>
    <x:t>http://id.who.int/icd/release/11/beta/ichi/1065871467</x:t>
  </x:si>
  <x:si>
    <x:t>BTK.AA.ZZ</x:t>
  </x:si>
  <x:si>
    <x:t>- - - - - Assessment of sensations associated with the eye and adjoining structures</x:t>
  </x:si>
  <x:si>
    <x:t>http://id.who.int/icd/entity/874792631</x:t>
  </x:si>
  <x:si>
    <x:t>http://id.who.int/icd/release/11/beta/ichi/874792631</x:t>
  </x:si>
  <x:si>
    <x:t>BTK.AC.ZZ</x:t>
  </x:si>
  <x:si>
    <x:t>- - - - - Test of sensations associated with the eye and adjoining structures</x:t>
  </x:si>
  <x:si>
    <x:t>http://id.who.int/icd/entity/2057648100</x:t>
  </x:si>
  <x:si>
    <x:t>http://id.who.int/icd/release/11/beta/ichi/2057648100</x:t>
  </x:si>
  <x:si>
    <x:t>BlockL4-BZA</x:t>
  </x:si>
  <x:si>
    <x:t>- - - - Interventions on eye or eye functions, not elsewhere classified</x:t>
  </x:si>
  <x:si>
    <x:t>23</x:t>
  </x:si>
  <x:si>
    <x:t>http://id.who.int/icd/entity/1515996638</x:t>
  </x:si>
  <x:si>
    <x:t>http://id.who.int/icd/release/11/beta/ichi/1515996638</x:t>
  </x:si>
  <x:si>
    <x:t>BZA.AB.AH</x:t>
  </x:si>
  <x:si>
    <x:t>- - - - - Measurement of the eye, not elsewhere classified</x:t>
  </x:si>
  <x:si>
    <x:t>http://id.who.int/icd/entity/250675295</x:t>
  </x:si>
  <x:si>
    <x:t>http://id.who.int/icd/release/11/beta/ichi/250675295</x:t>
  </x:si>
  <x:si>
    <x:t>BZA.AC.AH</x:t>
  </x:si>
  <x:si>
    <x:t>- - - - - Test of the eyeball, not elsewhere classified</x:t>
  </x:si>
  <x:si>
    <x:t>http://id.who.int/icd/entity/725376413</x:t>
  </x:si>
  <x:si>
    <x:t>http://id.who.int/icd/release/11/beta/ichi/725376413</x:t>
  </x:si>
  <x:si>
    <x:t>BZA.AD.AA</x:t>
  </x:si>
  <x:si>
    <x:t>- - - - - Biopsy of eyeball, not elsewhere classified</x:t>
  </x:si>
  <x:si>
    <x:t>http://id.who.int/icd/entity/830169927</x:t>
  </x:si>
  <x:si>
    <x:t>http://id.who.int/icd/release/11/beta/ichi/830169927</x:t>
  </x:si>
  <x:si>
    <x:t>BZA.AD.AE</x:t>
  </x:si>
  <x:si>
    <x:t>- - - - - Percutaneous biopsy of eyeball, not elsewhere classified</x:t>
  </x:si>
  <x:si>
    <x:t>http://id.who.int/icd/entity/444993495</x:t>
  </x:si>
  <x:si>
    <x:t>http://id.who.int/icd/release/11/beta/ichi/444993495</x:t>
  </x:si>
  <x:si>
    <x:t>BZA.BA.BA</x:t>
  </x:si>
  <x:si>
    <x:t>- - - - - X-ray of eye</x:t>
  </x:si>
  <x:si>
    <x:t>http://id.who.int/icd/entity/1898961874</x:t>
  </x:si>
  <x:si>
    <x:t>http://id.who.int/icd/release/11/beta/ichi/1898961874</x:t>
  </x:si>
  <x:si>
    <x:t>BZA.BA.BJ</x:t>
  </x:si>
  <x:si>
    <x:t>- - - - - Ultrasound of eyeball</x:t>
  </x:si>
  <x:si>
    <x:t>http://id.who.int/icd/entity/1802036492</x:t>
  </x:si>
  <x:si>
    <x:t>http://id.who.int/icd/release/11/beta/ichi/1802036492</x:t>
  </x:si>
  <x:si>
    <x:t>BZA.JD.AA</x:t>
  </x:si>
  <x:si>
    <x:t>- - - - - Removal of foreign body from eyeball with incision</x:t>
  </x:si>
  <x:si>
    <x:t>http://id.who.int/icd/entity/1083541916</x:t>
  </x:si>
  <x:si>
    <x:t>http://id.who.int/icd/release/11/beta/ichi/1083541916</x:t>
  </x:si>
  <x:si>
    <x:t>BZA.JD.AH</x:t>
  </x:si>
  <x:si>
    <x:t>- - - - - Removal of foreign body from eyeball without incision</x:t>
  </x:si>
  <x:si>
    <x:t>http://id.who.int/icd/entity/2074246334</x:t>
  </x:si>
  <x:si>
    <x:t>http://id.who.int/icd/release/11/beta/ichi/2074246334</x:t>
  </x:si>
  <x:si>
    <x:t>BZA.JK.AA</x:t>
  </x:si>
  <x:si>
    <x:t>- - - - - Enucleation of eyeball</x:t>
  </x:si>
  <x:si>
    <x:t>http://id.who.int/icd/entity/292022763</x:t>
  </x:si>
  <x:si>
    <x:t>http://id.who.int/icd/release/11/beta/ichi/292022763</x:t>
  </x:si>
  <x:si>
    <x:t>BZA.MK.AA</x:t>
  </x:si>
  <x:si>
    <x:t>- - - - - Repair of eyeball, not elsewhere classified</x:t>
  </x:si>
  <x:si>
    <x:t>http://id.who.int/icd/entity/729683325</x:t>
  </x:si>
  <x:si>
    <x:t>http://id.who.int/icd/release/11/beta/ichi/729683325</x:t>
  </x:si>
  <x:si>
    <x:t>BZZ.AA.AH</x:t>
  </x:si>
  <x:si>
    <x:t>- - - - - Assessment of the eye and eye functions</x:t>
  </x:si>
  <x:si>
    <x:t>http://id.who.int/icd/entity/316386301</x:t>
  </x:si>
  <x:si>
    <x:t>http://id.who.int/icd/release/11/beta/ichi/316386301</x:t>
  </x:si>
  <x:si>
    <x:t>BZZ.AA.ZZ</x:t>
  </x:si>
  <x:si>
    <x:t>- - - - - Assessment of eye, not elsewhere classified</x:t>
  </x:si>
  <x:si>
    <x:t>http://id.who.int/icd/entity/2091100308</x:t>
  </x:si>
  <x:si>
    <x:t>http://id.who.int/icd/release/11/beta/ichi/2091100308</x:t>
  </x:si>
  <x:si>
    <x:t>BZZ.DK.AH</x:t>
  </x:si>
  <x:si>
    <x:t>- - - - - Dressing of eye</x:t>
  </x:si>
  <x:si>
    <x:t>http://id.who.int/icd/entity/1843431652</x:t>
  </x:si>
  <x:si>
    <x:t>http://id.who.int/icd/release/11/beta/ichi/1843431652</x:t>
  </x:si>
  <x:si>
    <x:t>BZZ.DL.AC</x:t>
  </x:si>
  <x:si>
    <x:t>- - - - - Insertion of ocular implant</x:t>
  </x:si>
  <x:si>
    <x:t>http://id.who.int/icd/entity/1574134632</x:t>
  </x:si>
  <x:si>
    <x:t>http://id.who.int/icd/release/11/beta/ichi/1574134632</x:t>
  </x:si>
  <x:si>
    <x:t>BZZ.JA.AH</x:t>
  </x:si>
  <x:si>
    <x:t>- - - - - Irrigation of eye</x:t>
  </x:si>
  <x:si>
    <x:t>http://id.who.int/icd/entity/1982730232</x:t>
  </x:si>
  <x:si>
    <x:t>http://id.who.int/icd/release/11/beta/ichi/1982730232</x:t>
  </x:si>
  <x:si>
    <x:t>BZZ.JB.AA</x:t>
  </x:si>
  <x:si>
    <x:t>- - - - - Drainage of eye, not elsewhere classified</x:t>
  </x:si>
  <x:si>
    <x:t>http://id.who.int/icd/entity/585646199</x:t>
  </x:si>
  <x:si>
    <x:t>http://id.who.int/icd/release/11/beta/ichi/585646199</x:t>
  </x:si>
  <x:si>
    <x:t>BZZ.JD.AA</x:t>
  </x:si>
  <x:si>
    <x:t>- - - - - Removal of superficial foreign body from eye with incision</x:t>
  </x:si>
  <x:si>
    <x:t>http://id.who.int/icd/entity/658085657</x:t>
  </x:si>
  <x:si>
    <x:t>http://id.who.int/icd/release/11/beta/ichi/658085657</x:t>
  </x:si>
  <x:si>
    <x:t>BZZ.JD.AC</x:t>
  </x:si>
  <x:si>
    <x:t>- - - - - Removal of ocular implant, not elsewhere classified</x:t>
  </x:si>
  <x:si>
    <x:t>http://id.who.int/icd/entity/214236041</x:t>
  </x:si>
  <x:si>
    <x:t>http://id.who.int/icd/release/11/beta/ichi/214236041</x:t>
  </x:si>
  <x:si>
    <x:t>BZZ.JD.AH</x:t>
  </x:si>
  <x:si>
    <x:t>- - - - - Removal of internal device or superficial foreign body from eye without incision</x:t>
  </x:si>
  <x:si>
    <x:t>http://id.who.int/icd/entity/1031711171</x:t>
  </x:si>
  <x:si>
    <x:t>http://id.who.int/icd/release/11/beta/ichi/1031711171</x:t>
  </x:si>
  <x:si>
    <x:t>BZZ.JI.AA</x:t>
  </x:si>
  <x:si>
    <x:t>- - - - - Local excision of lesion of eye, unspecified structure</x:t>
  </x:si>
  <x:si>
    <x:t>http://id.who.int/icd/entity/1221078448</x:t>
  </x:si>
  <x:si>
    <x:t>http://id.who.int/icd/release/11/beta/ichi/1221078448</x:t>
  </x:si>
  <x:si>
    <x:t>BZZ.MK.AA</x:t>
  </x:si>
  <x:si>
    <x:t>- - - - - Repair of eye, not elsewhere classified</x:t>
  </x:si>
  <x:si>
    <x:t>http://id.who.int/icd/entity/649080537</x:t>
  </x:si>
  <x:si>
    <x:t>http://id.who.int/icd/release/11/beta/ichi/649080537</x:t>
  </x:si>
  <x:si>
    <x:t>BZZ.SD.BQ</x:t>
  </x:si>
  <x:si>
    <x:t>- - - - - Eye hyperthermy</x:t>
  </x:si>
  <x:si>
    <x:t>http://id.who.int/icd/entity/938675887</x:t>
  </x:si>
  <x:si>
    <x:t>http://id.who.int/icd/release/11/beta/ichi/938675887</x:t>
  </x:si>
  <x:si>
    <x:t>BZZ.SM.AH</x:t>
  </x:si>
  <x:si>
    <x:t>- - - - - Management of ocular prosthetics</x:t>
  </x:si>
  <x:si>
    <x:t>http://id.who.int/icd/release/11/beta/ichi/270114536/other</x:t>
  </x:si>
  <x:si>
    <x:t>BZZ.ZY.ZY</x:t>
  </x:si>
  <x:si>
    <x:t>- - - - Other specified interventions on the visual system</x:t>
  </x:si>
  <x:si>
    <x:t>http://id.who.int/icd/release/11/beta/ichi/270114536/unspecified</x:t>
  </x:si>
  <x:si>
    <x:t>BZZ.ZZ.ZZ</x:t>
  </x:si>
  <x:si>
    <x:t>- - - - Interventions on the visual system, unspecified</x:t>
  </x:si>
  <x:si>
    <x:t>http://id.who.int/icd/entity/1378394908</x:t>
  </x:si>
  <x:si>
    <x:t>http://id.who.int/icd/release/11/beta/ichi/1378394908</x:t>
  </x:si>
  <x:si>
    <x:t>BlockL3-CAA</x:t>
  </x:si>
  <x:si>
    <x:t>- - - Interventions on the ear or mastoid</x:t>
  </x:si>
  <x:si>
    <x:t>http://id.who.int/icd/entity/1732537698</x:t>
  </x:si>
  <x:si>
    <x:t>http://id.who.int/icd/release/11/beta/ichi/1732537698</x:t>
  </x:si>
  <x:si>
    <x:t>BlockL4-CAA</x:t>
  </x:si>
  <x:si>
    <x:t>- - - - Interventions on external ear</x:t>
  </x:si>
  <x:si>
    <x:t>30</x:t>
  </x:si>
  <x:si>
    <x:t>http://id.who.int/icd/entity/1926353190</x:t>
  </x:si>
  <x:si>
    <x:t>http://id.who.int/icd/release/11/beta/ichi/1926353190</x:t>
  </x:si>
  <x:si>
    <x:t>CAA.AB.AH</x:t>
  </x:si>
  <x:si>
    <x:t>- - - - - Size measurement of external ear, not elsewhere classified</x:t>
  </x:si>
  <x:si>
    <x:t>http://id.who.int/icd/entity/1208260558</x:t>
  </x:si>
  <x:si>
    <x:t>http://id.who.int/icd/release/11/beta/ichi/1208260558</x:t>
  </x:si>
  <x:si>
    <x:t>CAA.AD.AA</x:t>
  </x:si>
  <x:si>
    <x:t>- - - - - Biopsy of external ear, not elsewhere classified</x:t>
  </x:si>
  <x:si>
    <x:t>http://id.who.int/icd/entity/1677327198</x:t>
  </x:si>
  <x:si>
    <x:t>http://id.who.int/icd/release/11/beta/ichi/1677327198</x:t>
  </x:si>
  <x:si>
    <x:t>CAA.DK.AH</x:t>
  </x:si>
  <x:si>
    <x:t>- - - - - Dressing of external ear, not elsewhere classified</x:t>
  </x:si>
  <x:si>
    <x:t>http://id.who.int/icd/entity/2016902214</x:t>
  </x:si>
  <x:si>
    <x:t>http://id.who.int/icd/release/11/beta/ichi/2016902214</x:t>
  </x:si>
  <x:si>
    <x:t>CAA.FA.AA</x:t>
  </x:si>
  <x:si>
    <x:t>- - - - - Incision of external ear, not elsewhere classified</x:t>
  </x:si>
  <x:si>
    <x:t>http://id.who.int/icd/entity/670379367</x:t>
  </x:si>
  <x:si>
    <x:t>http://id.who.int/icd/release/11/beta/ichi/670379367</x:t>
  </x:si>
  <x:si>
    <x:t>CAA.JB.AA</x:t>
  </x:si>
  <x:si>
    <x:t>- - - - - Drainage of external ear, not elsewhere classified</x:t>
  </x:si>
  <x:si>
    <x:t>http://id.who.int/icd/entity/2005857496</x:t>
  </x:si>
  <x:si>
    <x:t>http://id.who.int/icd/release/11/beta/ichi/2005857496</x:t>
  </x:si>
  <x:si>
    <x:t>CAA.JD.AA</x:t>
  </x:si>
  <x:si>
    <x:t>- - - - - Removal of foreign body external ear, not elsewhere classified</x:t>
  </x:si>
  <x:si>
    <x:t>http://id.who.int/icd/entity/1918837690</x:t>
  </x:si>
  <x:si>
    <x:t>http://id.who.int/icd/release/11/beta/ichi/1918837690</x:t>
  </x:si>
  <x:si>
    <x:t>CAA.JJ.AA</x:t>
  </x:si>
  <x:si>
    <x:t>- - - - - Partial excision of external ear, not elsewhere classified</x:t>
  </x:si>
  <x:si>
    <x:t>http://id.who.int/icd/entity/1503809322</x:t>
  </x:si>
  <x:si>
    <x:t>http://id.who.int/icd/release/11/beta/ichi/1503809322</x:t>
  </x:si>
  <x:si>
    <x:t>CAA.ML.AA</x:t>
  </x:si>
  <x:si>
    <x:t>- - - - - Reconstruction of external ear, not elsewhere classified</x:t>
  </x:si>
  <x:si>
    <x:t>http://id.who.int/icd/entity/329164867</x:t>
  </x:si>
  <x:si>
    <x:t>http://id.who.int/icd/release/11/beta/ichi/329164867</x:t>
  </x:si>
  <x:si>
    <x:t>CAC.AD.AA</x:t>
  </x:si>
  <x:si>
    <x:t>- - - - - Biopsy of auricle</x:t>
  </x:si>
  <x:si>
    <x:t>http://id.who.int/icd/entity/682188133</x:t>
  </x:si>
  <x:si>
    <x:t>http://id.who.int/icd/release/11/beta/ichi/682188133</x:t>
  </x:si>
  <x:si>
    <x:t>CAC.FA.AA</x:t>
  </x:si>
  <x:si>
    <x:t>- - - - - Incision of auricle of ear</x:t>
  </x:si>
  <x:si>
    <x:t>http://id.who.int/icd/entity/303501699</x:t>
  </x:si>
  <x:si>
    <x:t>http://id.who.int/icd/release/11/beta/ichi/303501699</x:t>
  </x:si>
  <x:si>
    <x:t>CAC.GA.AA</x:t>
  </x:si>
  <x:si>
    <x:t>- - - - - Destruction of auricle of ear</x:t>
  </x:si>
  <x:si>
    <x:t>http://id.who.int/icd/entity/420679471</x:t>
  </x:si>
  <x:si>
    <x:t>http://id.who.int/icd/release/11/beta/ichi/420679471</x:t>
  </x:si>
  <x:si>
    <x:t>CAC.JB.AA</x:t>
  </x:si>
  <x:si>
    <x:t>- - - - - Drainage of auricle</x:t>
  </x:si>
  <x:si>
    <x:t>http://id.who.int/icd/entity/1299378386</x:t>
  </x:si>
  <x:si>
    <x:t>http://id.who.int/icd/release/11/beta/ichi/1299378386</x:t>
  </x:si>
  <x:si>
    <x:t>CAC.JD.AA</x:t>
  </x:si>
  <x:si>
    <x:t>- - - - - Removal of internal device or foreign body of auricle</x:t>
  </x:si>
  <x:si>
    <x:t>http://id.who.int/icd/entity/2135134708</x:t>
  </x:si>
  <x:si>
    <x:t>http://id.who.int/icd/release/11/beta/ichi/2135134708</x:t>
  </x:si>
  <x:si>
    <x:t>CAC.JG.AC</x:t>
  </x:si>
  <x:si>
    <x:t>- - - - - Debridement of auricle of ear</x:t>
  </x:si>
  <x:si>
    <x:t>http://id.who.int/icd/entity/1463143948</x:t>
  </x:si>
  <x:si>
    <x:t>http://id.who.int/icd/release/11/beta/ichi/1463143948</x:t>
  </x:si>
  <x:si>
    <x:t>CAC.JI.AA</x:t>
  </x:si>
  <x:si>
    <x:t>- - - - - Local excision of lesion of auricle of ear</x:t>
  </x:si>
  <x:si>
    <x:t>http://id.who.int/icd/entity/2093523612</x:t>
  </x:si>
  <x:si>
    <x:t>http://id.who.int/icd/release/11/beta/ichi/2093523612</x:t>
  </x:si>
  <x:si>
    <x:t>CAC.JJ.AA</x:t>
  </x:si>
  <x:si>
    <x:t>- - - - - Partial excision of auricle of ear</x:t>
  </x:si>
  <x:si>
    <x:t>http://id.who.int/icd/entity/1751374418</x:t>
  </x:si>
  <x:si>
    <x:t>http://id.who.int/icd/release/11/beta/ichi/1751374418</x:t>
  </x:si>
  <x:si>
    <x:t>CAC.JK.AA</x:t>
  </x:si>
  <x:si>
    <x:t>- - - - - Total excision of auricle of ear</x:t>
  </x:si>
  <x:si>
    <x:t>http://id.who.int/icd/entity/475850723</x:t>
  </x:si>
  <x:si>
    <x:t>http://id.who.int/icd/release/11/beta/ichi/475850723</x:t>
  </x:si>
  <x:si>
    <x:t>CAC.JL.AA</x:t>
  </x:si>
  <x:si>
    <x:t>- - - - - Radical excision of auricle of ear</x:t>
  </x:si>
  <x:si>
    <x:t>http://id.who.int/icd/entity/1776968592</x:t>
  </x:si>
  <x:si>
    <x:t>http://id.who.int/icd/release/11/beta/ichi/1776968592</x:t>
  </x:si>
  <x:si>
    <x:t>CAC.LB.AA</x:t>
  </x:si>
  <x:si>
    <x:t>- - - - - Reattachment of auricle</x:t>
  </x:si>
  <x:si>
    <x:t>http://id.who.int/icd/entity/1311749878</x:t>
  </x:si>
  <x:si>
    <x:t>http://id.who.int/icd/release/11/beta/ichi/1311749878</x:t>
  </x:si>
  <x:si>
    <x:t>CAC.LC.AH</x:t>
  </x:si>
  <x:si>
    <x:t>- - - - - Application of splint to auricle of ear</x:t>
  </x:si>
  <x:si>
    <x:t>http://id.who.int/icd/entity/1716775682</x:t>
  </x:si>
  <x:si>
    <x:t>http://id.who.int/icd/release/11/beta/ichi/1716775682</x:t>
  </x:si>
  <x:si>
    <x:t>CAC.LJ.AA</x:t>
  </x:si>
  <x:si>
    <x:t>- - - - - Transfer of auricle of ear</x:t>
  </x:si>
  <x:si>
    <x:t>http://id.who.int/icd/entity/1451620378</x:t>
  </x:si>
  <x:si>
    <x:t>http://id.who.int/icd/release/11/beta/ichi/1451620378</x:t>
  </x:si>
  <x:si>
    <x:t>CAC.MK.AA</x:t>
  </x:si>
  <x:si>
    <x:t>- - - - - Repair of external ear</x:t>
  </x:si>
  <x:si>
    <x:t>http://id.who.int/icd/entity/155691323</x:t>
  </x:si>
  <x:si>
    <x:t>http://id.who.int/icd/release/11/beta/ichi/155691323</x:t>
  </x:si>
  <x:si>
    <x:t>CAC.ML.AA</x:t>
  </x:si>
  <x:si>
    <x:t>- - - - - Reconstruction of auricle of ear</x:t>
  </x:si>
  <x:si>
    <x:t>http://id.who.int/icd/entity/1240918334</x:t>
  </x:si>
  <x:si>
    <x:t>http://id.who.int/icd/release/11/beta/ichi/1240918334</x:t>
  </x:si>
  <x:si>
    <x:t>CAE.AD.AA</x:t>
  </x:si>
  <x:si>
    <x:t>- - - - - Biopsy of external auditory canal</x:t>
  </x:si>
  <x:si>
    <x:t>http://id.who.int/icd/entity/372553759</x:t>
  </x:si>
  <x:si>
    <x:t>http://id.who.int/icd/release/11/beta/ichi/372553759</x:t>
  </x:si>
  <x:si>
    <x:t>CAE.DK.AC</x:t>
  </x:si>
  <x:si>
    <x:t>- - - - - Packing of external auditory canal</x:t>
  </x:si>
  <x:si>
    <x:t>http://id.who.int/icd/entity/1723208594</x:t>
  </x:si>
  <x:si>
    <x:t>http://id.who.int/icd/release/11/beta/ichi/1723208594</x:t>
  </x:si>
  <x:si>
    <x:t>CAE.FA.AC</x:t>
  </x:si>
  <x:si>
    <x:t>- - - - - Incision of external auditory canal</x:t>
  </x:si>
  <x:si>
    <x:t>http://id.who.int/icd/entity/2086051130</x:t>
  </x:si>
  <x:si>
    <x:t>http://id.who.int/icd/release/11/beta/ichi/2086051130</x:t>
  </x:si>
  <x:si>
    <x:t>CAE.JA.AC</x:t>
  </x:si>
  <x:si>
    <x:t>- - - - - Irrigation of external auditory canal</x:t>
  </x:si>
  <x:si>
    <x:t>http://id.who.int/icd/entity/1712432100</x:t>
  </x:si>
  <x:si>
    <x:t>http://id.who.int/icd/release/11/beta/ichi/1712432100</x:t>
  </x:si>
  <x:si>
    <x:t>CAE.JD.AC</x:t>
  </x:si>
  <x:si>
    <x:t>- - - - - Removal of internal device or foreign body from external auditory canal</x:t>
  </x:si>
  <x:si>
    <x:t>http://id.who.int/icd/entity/1400728986</x:t>
  </x:si>
  <x:si>
    <x:t>http://id.who.int/icd/release/11/beta/ichi/1400728986</x:t>
  </x:si>
  <x:si>
    <x:t>CAE.JI.AC</x:t>
  </x:si>
  <x:si>
    <x:t>- - - - - Local excision of lesion of external auditory canal</x:t>
  </x:si>
  <x:si>
    <x:t>http://id.who.int/icd/entity/603964949</x:t>
  </x:si>
  <x:si>
    <x:t>http://id.who.int/icd/release/11/beta/ichi/603964949</x:t>
  </x:si>
  <x:si>
    <x:t>CAE.ML.AA</x:t>
  </x:si>
  <x:si>
    <x:t>- - - - - Reconstruction of external auditory canal</x:t>
  </x:si>
  <x:si>
    <x:t>http://id.who.int/icd/entity/742805127</x:t>
  </x:si>
  <x:si>
    <x:t>http://id.who.int/icd/release/11/beta/ichi/742805127</x:t>
  </x:si>
  <x:si>
    <x:t>BlockL4-CBA</x:t>
  </x:si>
  <x:si>
    <x:t>- - - - Interventions on middle ear</x:t>
  </x:si>
  <x:si>
    <x:t>38</x:t>
  </x:si>
  <x:si>
    <x:t>http://id.who.int/icd/entity/213859515</x:t>
  </x:si>
  <x:si>
    <x:t>http://id.who.int/icd/release/11/beta/ichi/213859515</x:t>
  </x:si>
  <x:si>
    <x:t>CBA.AD.AC</x:t>
  </x:si>
  <x:si>
    <x:t>- - - - - Biopsy of middle ear, not elsewhere classified</x:t>
  </x:si>
  <x:si>
    <x:t>http://id.who.int/icd/entity/695361913</x:t>
  </x:si>
  <x:si>
    <x:t>http://id.who.int/icd/release/11/beta/ichi/695361913</x:t>
  </x:si>
  <x:si>
    <x:t>CBA.AE.AC</x:t>
  </x:si>
  <x:si>
    <x:t>- - - - - Examination of middle ear, not elsewhere classified</x:t>
  </x:si>
  <x:si>
    <x:t>http://id.who.int/icd/entity/1447641704</x:t>
  </x:si>
  <x:si>
    <x:t>http://id.who.int/icd/release/11/beta/ichi/1447641704</x:t>
  </x:si>
  <x:si>
    <x:t>CBA.AE.AD</x:t>
  </x:si>
  <x:si>
    <x:t>- - - - - Endoscopic examination of the middle ear, not elsewhere classified</x:t>
  </x:si>
  <x:si>
    <x:t>http://id.who.int/icd/entity/588922501</x:t>
  </x:si>
  <x:si>
    <x:t>http://id.who.int/icd/release/11/beta/ichi/588922501</x:t>
  </x:si>
  <x:si>
    <x:t>CBA.DN.AC</x:t>
  </x:si>
  <x:si>
    <x:t>- - - - - Implantation of internal device in middle ear, not elsewhere classified</x:t>
  </x:si>
  <x:si>
    <x:t>http://id.who.int/icd/entity/748926487</x:t>
  </x:si>
  <x:si>
    <x:t>http://id.who.int/icd/release/11/beta/ichi/748926487</x:t>
  </x:si>
  <x:si>
    <x:t>CBA.FA.AC</x:t>
  </x:si>
  <x:si>
    <x:t>- - - - - Incision of middle ear, not elsewhere classified</x:t>
  </x:si>
  <x:si>
    <x:t>http://id.who.int/icd/entity/665299131</x:t>
  </x:si>
  <x:si>
    <x:t>http://id.who.int/icd/release/11/beta/ichi/665299131</x:t>
  </x:si>
  <x:si>
    <x:t>CBA.FC.AC</x:t>
  </x:si>
  <x:si>
    <x:t>- - - - - Release of middle ear, not elsewhere classifed</x:t>
  </x:si>
  <x:si>
    <x:t>http://id.who.int/icd/entity/1206884992</x:t>
  </x:si>
  <x:si>
    <x:t>http://id.who.int/icd/release/11/beta/ichi/1206884992</x:t>
  </x:si>
  <x:si>
    <x:t>CBA.JB.AC</x:t>
  </x:si>
  <x:si>
    <x:t>- - - - - Drainage of middle ear, not elsewhere classified</x:t>
  </x:si>
  <x:si>
    <x:t>http://id.who.int/icd/entity/869312307</x:t>
  </x:si>
  <x:si>
    <x:t>http://id.who.int/icd/release/11/beta/ichi/869312307</x:t>
  </x:si>
  <x:si>
    <x:t>CBA.JD.AC</x:t>
  </x:si>
  <x:si>
    <x:t>- - - - - Removal of internal device or foreign body from middle ear, not elsewhere classified</x:t>
  </x:si>
  <x:si>
    <x:t>http://id.who.int/icd/entity/2035019818</x:t>
  </x:si>
  <x:si>
    <x:t>http://id.who.int/icd/release/11/beta/ichi/2035019818</x:t>
  </x:si>
  <x:si>
    <x:t>CBA.JI.AC</x:t>
  </x:si>
  <x:si>
    <x:t>- - - - - Local excision of lesion of middle ear, not elsewhere classified</x:t>
  </x:si>
  <x:si>
    <x:t>http://id.who.int/icd/entity/1661783796</x:t>
  </x:si>
  <x:si>
    <x:t>http://id.who.int/icd/release/11/beta/ichi/1661783796</x:t>
  </x:si>
  <x:si>
    <x:t>CBA.JI.AD</x:t>
  </x:si>
  <x:si>
    <x:t>- - - - - Endoscopic local excision of lesion of middle ear, not elsewhere classified</x:t>
  </x:si>
  <x:si>
    <x:t>http://id.who.int/icd/entity/1223795300</x:t>
  </x:si>
  <x:si>
    <x:t>http://id.who.int/icd/release/11/beta/ichi/1223795300</x:t>
  </x:si>
  <x:si>
    <x:t>CBA.JJ.AA</x:t>
  </x:si>
  <x:si>
    <x:t>- - - - - Partial excision of middle ear, not elsewhere classified</x:t>
  </x:si>
  <x:si>
    <x:t>http://id.who.int/icd/entity/1867979845</x:t>
  </x:si>
  <x:si>
    <x:t>http://id.who.int/icd/release/11/beta/ichi/1867979845</x:t>
  </x:si>
  <x:si>
    <x:t>CBA.LA.AC</x:t>
  </x:si>
  <x:si>
    <x:t>- - - - - Obliteration of tympanomastoid cavity, not elsewhere classified</x:t>
  </x:si>
  <x:si>
    <x:t>http://id.who.int/icd/entity/815091046</x:t>
  </x:si>
  <x:si>
    <x:t>http://id.who.int/icd/release/11/beta/ichi/815091046</x:t>
  </x:si>
  <x:si>
    <x:t>CBA.MK.AC</x:t>
  </x:si>
  <x:si>
    <x:t>- - - - - Repair of middle ear, not elsewhere classified</x:t>
  </x:si>
  <x:si>
    <x:t>http://id.who.int/icd/entity/999379916</x:t>
  </x:si>
  <x:si>
    <x:t>http://id.who.int/icd/release/11/beta/ichi/999379916</x:t>
  </x:si>
  <x:si>
    <x:t>CBA.SM.AC</x:t>
  </x:si>
  <x:si>
    <x:t>- - - - - Adjustment of prosthetic device of the middle ear, not elsewhere classified</x:t>
  </x:si>
  <x:si>
    <x:t>http://id.who.int/icd/entity/1294100934</x:t>
  </x:si>
  <x:si>
    <x:t>http://id.who.int/icd/release/11/beta/ichi/1294100934</x:t>
  </x:si>
  <x:si>
    <x:t>CBB.AC.AC</x:t>
  </x:si>
  <x:si>
    <x:t>- - - - - Tympanometry</x:t>
  </x:si>
  <x:si>
    <x:t>http://id.who.int/icd/entity/2065699789</x:t>
  </x:si>
  <x:si>
    <x:t>http://id.who.int/icd/release/11/beta/ichi/2065699789</x:t>
  </x:si>
  <x:si>
    <x:t>CBB.DB.AC</x:t>
  </x:si>
  <x:si>
    <x:t>- - - - - Injection into tympanic membrane</x:t>
  </x:si>
  <x:si>
    <x:t>http://id.who.int/icd/entity/1784886203</x:t>
  </x:si>
  <x:si>
    <x:t>http://id.who.int/icd/release/11/beta/ichi/1784886203</x:t>
  </x:si>
  <x:si>
    <x:t>CBB.FA.AC</x:t>
  </x:si>
  <x:si>
    <x:t>- - - - - Myringotomy</x:t>
  </x:si>
  <x:si>
    <x:t>http://id.who.int/icd/entity/708283180</x:t>
  </x:si>
  <x:si>
    <x:t>http://id.who.int/icd/release/11/beta/ichi/708283180</x:t>
  </x:si>
  <x:si>
    <x:t>CBB.FA.AD</x:t>
  </x:si>
  <x:si>
    <x:t>- - - - - Endoscopic myringotomy</x:t>
  </x:si>
  <x:si>
    <x:t>http://id.who.int/icd/entity/557028738</x:t>
  </x:si>
  <x:si>
    <x:t>http://id.who.int/icd/release/11/beta/ichi/557028738</x:t>
  </x:si>
  <x:si>
    <x:t>CBB.FB.AC</x:t>
  </x:si>
  <x:si>
    <x:t>- - - - - Division of tympanum</x:t>
  </x:si>
  <x:si>
    <x:t>http://id.who.int/icd/entity/812692982</x:t>
  </x:si>
  <x:si>
    <x:t>http://id.who.int/icd/release/11/beta/ichi/812692982</x:t>
  </x:si>
  <x:si>
    <x:t>CBB.JB.AC</x:t>
  </x:si>
  <x:si>
    <x:t>- - - - - Myringotomy with insertion of tube</x:t>
  </x:si>
  <x:si>
    <x:t>http://id.who.int/icd/entity/1170616709</x:t>
  </x:si>
  <x:si>
    <x:t>http://id.who.int/icd/release/11/beta/ichi/1170616709</x:t>
  </x:si>
  <x:si>
    <x:t>CBB.JB.AD</x:t>
  </x:si>
  <x:si>
    <x:t>- - - - - Endoscopic myringotomy with insertion of tube</x:t>
  </x:si>
  <x:si>
    <x:t>http://id.who.int/icd/entity/1787218731</x:t>
  </x:si>
  <x:si>
    <x:t>http://id.who.int/icd/release/11/beta/ichi/1787218731</x:t>
  </x:si>
  <x:si>
    <x:t>CBB.JD.AC</x:t>
  </x:si>
  <x:si>
    <x:t>- - - - - Removal of internal device or foreign body from tympanic membrane</x:t>
  </x:si>
  <x:si>
    <x:t>http://id.who.int/icd/entity/538811442</x:t>
  </x:si>
  <x:si>
    <x:t>http://id.who.int/icd/release/11/beta/ichi/538811442</x:t>
  </x:si>
  <x:si>
    <x:t>CBB.JJ.AC</x:t>
  </x:si>
  <x:si>
    <x:t>- - - - - Tympanectomy</x:t>
  </x:si>
  <x:si>
    <x:t>http://id.who.int/icd/entity/1855778149</x:t>
  </x:si>
  <x:si>
    <x:t>http://id.who.int/icd/release/11/beta/ichi/1855778149</x:t>
  </x:si>
  <x:si>
    <x:t>CBB.MK.AC</x:t>
  </x:si>
  <x:si>
    <x:t>- - - - - Myringoplasty</x:t>
  </x:si>
  <x:si>
    <x:t>http://id.who.int/icd/entity/2145373459</x:t>
  </x:si>
  <x:si>
    <x:t>http://id.who.int/icd/release/11/beta/ichi/2145373459</x:t>
  </x:si>
  <x:si>
    <x:t>CBB.ML.AC</x:t>
  </x:si>
  <x:si>
    <x:t>- - - - - Reconstruction of tympanic membrane</x:t>
  </x:si>
  <x:si>
    <x:t>http://id.who.int/icd/entity/1253245801</x:t>
  </x:si>
  <x:si>
    <x:t>http://id.who.int/icd/release/11/beta/ichi/1253245801</x:t>
  </x:si>
  <x:si>
    <x:t>CBC.FA.AC</x:t>
  </x:si>
  <x:si>
    <x:t>- - - - - Stapedotomy</x:t>
  </x:si>
  <x:si>
    <x:t>http://id.who.int/icd/entity/363201507</x:t>
  </x:si>
  <x:si>
    <x:t>http://id.who.int/icd/release/11/beta/ichi/363201507</x:t>
  </x:si>
  <x:si>
    <x:t>CBC.FA.AD</x:t>
  </x:si>
  <x:si>
    <x:t>- - - - - Endoscopic stapedotomy</x:t>
  </x:si>
  <x:si>
    <x:t>http://id.who.int/icd/entity/449370842</x:t>
  </x:si>
  <x:si>
    <x:t>http://id.who.int/icd/release/11/beta/ichi/449370842</x:t>
  </x:si>
  <x:si>
    <x:t>CBC.FC.AC</x:t>
  </x:si>
  <x:si>
    <x:t>- - - - - Release of stapes</x:t>
  </x:si>
  <x:si>
    <x:t>http://id.who.int/icd/entity/1861740395</x:t>
  </x:si>
  <x:si>
    <x:t>http://id.who.int/icd/release/11/beta/ichi/1861740395</x:t>
  </x:si>
  <x:si>
    <x:t>CBC.JJ.AC</x:t>
  </x:si>
  <x:si>
    <x:t>- - - - - Stapedectomy</x:t>
  </x:si>
  <x:si>
    <x:t>http://id.who.int/icd/entity/1438650957</x:t>
  </x:si>
  <x:si>
    <x:t>http://id.who.int/icd/release/11/beta/ichi/1438650957</x:t>
  </x:si>
  <x:si>
    <x:t>CBC.ML.AC</x:t>
  </x:si>
  <x:si>
    <x:t>- - - - - Reconstruction of stapes</x:t>
  </x:si>
  <x:si>
    <x:t>http://id.who.int/icd/entity/251970985</x:t>
  </x:si>
  <x:si>
    <x:t>http://id.who.int/icd/release/11/beta/ichi/251970985</x:t>
  </x:si>
  <x:si>
    <x:t>CBC.ML.AD</x:t>
  </x:si>
  <x:si>
    <x:t>- - - - - Endoscopic reconstruction of stapes</x:t>
  </x:si>
  <x:si>
    <x:t>http://id.who.int/icd/entity/1870552747</x:t>
  </x:si>
  <x:si>
    <x:t>http://id.who.int/icd/release/11/beta/ichi/1870552747</x:t>
  </x:si>
  <x:si>
    <x:t>CBF.JJ.AC</x:t>
  </x:si>
  <x:si>
    <x:t>- - - - - Excision of other auditory ossicle</x:t>
  </x:si>
  <x:si>
    <x:t>http://id.who.int/icd/entity/986992756</x:t>
  </x:si>
  <x:si>
    <x:t>http://id.who.int/icd/release/11/beta/ichi/986992756</x:t>
  </x:si>
  <x:si>
    <x:t>CBF.ML.AC</x:t>
  </x:si>
  <x:si>
    <x:t>- - - - - Reconstruction of other auditory ossicle</x:t>
  </x:si>
  <x:si>
    <x:t>http://id.who.int/icd/entity/1247214585</x:t>
  </x:si>
  <x:si>
    <x:t>http://id.who.int/icd/release/11/beta/ichi/1247214585</x:t>
  </x:si>
  <x:si>
    <x:t>CBH.DB.AC</x:t>
  </x:si>
  <x:si>
    <x:t>- - - - - Injection into eustachian tube</x:t>
  </x:si>
  <x:si>
    <x:t>http://id.who.int/icd/entity/1695940951</x:t>
  </x:si>
  <x:si>
    <x:t>http://id.who.int/icd/release/11/beta/ichi/1695940951</x:t>
  </x:si>
  <x:si>
    <x:t>CBH.DL.AC</x:t>
  </x:si>
  <x:si>
    <x:t>- - - - - Insertion of catheter into eustachian tube</x:t>
  </x:si>
  <x:si>
    <x:t>http://id.who.int/icd/entity/811202328</x:t>
  </x:si>
  <x:si>
    <x:t>http://id.who.int/icd/release/11/beta/ichi/811202328</x:t>
  </x:si>
  <x:si>
    <x:t>CBH.JB.AC</x:t>
  </x:si>
  <x:si>
    <x:t>- - - - - Drainage of eustachian tube</x:t>
  </x:si>
  <x:si>
    <x:t>http://id.who.int/icd/entity/1612852905</x:t>
  </x:si>
  <x:si>
    <x:t>http://id.who.int/icd/release/11/beta/ichi/1612852905</x:t>
  </x:si>
  <x:si>
    <x:t>CBH.JD.AC</x:t>
  </x:si>
  <x:si>
    <x:t>- - - - - Removal of internal device or foreign body from eustachian tube</x:t>
  </x:si>
  <x:si>
    <x:t>http://id.who.int/icd/entity/1331876871</x:t>
  </x:si>
  <x:si>
    <x:t>http://id.who.int/icd/release/11/beta/ichi/1331876871</x:t>
  </x:si>
  <x:si>
    <x:t>CBH.LG.AC</x:t>
  </x:si>
  <x:si>
    <x:t>- - - - - Dilatation of eustachian tube</x:t>
  </x:si>
  <x:si>
    <x:t>http://id.who.int/icd/entity/100238108</x:t>
  </x:si>
  <x:si>
    <x:t>http://id.who.int/icd/release/11/beta/ichi/100238108</x:t>
  </x:si>
  <x:si>
    <x:t>BlockL4-CCA</x:t>
  </x:si>
  <x:si>
    <x:t>- - - - Interventions on internal ear</x:t>
  </x:si>
  <x:si>
    <x:t>http://id.who.int/icd/entity/1081928933</x:t>
  </x:si>
  <x:si>
    <x:t>http://id.who.int/icd/release/11/beta/ichi/1081928933</x:t>
  </x:si>
  <x:si>
    <x:t>CCA.AD.AC</x:t>
  </x:si>
  <x:si>
    <x:t>- - - - - Biopsy of inner ear</x:t>
  </x:si>
  <x:si>
    <x:t>http://id.who.int/icd/entity/1338336375</x:t>
  </x:si>
  <x:si>
    <x:t>http://id.who.int/icd/release/11/beta/ichi/1338336375</x:t>
  </x:si>
  <x:si>
    <x:t>CCA.BA.BH</x:t>
  </x:si>
  <x:si>
    <x:t>- - - - - Magnetic resonance imaging of internal ear, not elsewhere classifed</x:t>
  </x:si>
  <x:si>
    <x:t>http://id.who.int/icd/entity/518746948</x:t>
  </x:si>
  <x:si>
    <x:t>http://id.who.int/icd/release/11/beta/ichi/518746948</x:t>
  </x:si>
  <x:si>
    <x:t>CCA.DB.AC</x:t>
  </x:si>
  <x:si>
    <x:t>- - - - - Injection into inner ear</x:t>
  </x:si>
  <x:si>
    <x:t>http://id.who.int/icd/entity/1093214823</x:t>
  </x:si>
  <x:si>
    <x:t>http://id.who.int/icd/release/11/beta/ichi/1093214823</x:t>
  </x:si>
  <x:si>
    <x:t>CCA.FA.AC</x:t>
  </x:si>
  <x:si>
    <x:t>- - - - - Incision of inner ear</x:t>
  </x:si>
  <x:si>
    <x:t>http://id.who.int/icd/entity/560009310</x:t>
  </x:si>
  <x:si>
    <x:t>http://id.who.int/icd/release/11/beta/ichi/560009310</x:t>
  </x:si>
  <x:si>
    <x:t>CCA.GA.AC</x:t>
  </x:si>
  <x:si>
    <x:t>- - - - - Destruction of inner ear</x:t>
  </x:si>
  <x:si>
    <x:t>http://id.who.int/icd/entity/1269073163</x:t>
  </x:si>
  <x:si>
    <x:t>http://id.who.int/icd/release/11/beta/ichi/1269073163</x:t>
  </x:si>
  <x:si>
    <x:t>CCA.JB.AC</x:t>
  </x:si>
  <x:si>
    <x:t>- - - - - Drainage of inner ear</x:t>
  </x:si>
  <x:si>
    <x:t>http://id.who.int/icd/entity/635209314</x:t>
  </x:si>
  <x:si>
    <x:t>http://id.who.int/icd/release/11/beta/ichi/635209314</x:t>
  </x:si>
  <x:si>
    <x:t>CCA.JJ.AC</x:t>
  </x:si>
  <x:si>
    <x:t>- - - - - Excision of inner ear</x:t>
  </x:si>
  <x:si>
    <x:t>http://id.who.int/icd/entity/1316311653</x:t>
  </x:si>
  <x:si>
    <x:t>http://id.who.int/icd/release/11/beta/ichi/1316311653</x:t>
  </x:si>
  <x:si>
    <x:t>CCA.LI.AA</x:t>
  </x:si>
  <x:si>
    <x:t>- - - - - Endolymphatic shunt</x:t>
  </x:si>
  <x:si>
    <x:t>http://id.who.int/icd/entity/1103944439</x:t>
  </x:si>
  <x:si>
    <x:t>http://id.who.int/icd/release/11/beta/ichi/1103944439</x:t>
  </x:si>
  <x:si>
    <x:t>CCA.MK.AA</x:t>
  </x:si>
  <x:si>
    <x:t>- - - - - Repair of inner ear</x:t>
  </x:si>
  <x:si>
    <x:t>http://id.who.int/icd/entity/25008880</x:t>
  </x:si>
  <x:si>
    <x:t>http://id.who.int/icd/release/11/beta/ichi/25008880</x:t>
  </x:si>
  <x:si>
    <x:t>CCA.ML.AA</x:t>
  </x:si>
  <x:si>
    <x:t>- - - - - Fenestration of inner ear with graft</x:t>
  </x:si>
  <x:si>
    <x:t>http://id.who.int/icd/entity/1589627859</x:t>
  </x:si>
  <x:si>
    <x:t>http://id.who.int/icd/release/11/beta/ichi/1589627859</x:t>
  </x:si>
  <x:si>
    <x:t>CCB.AB.AC</x:t>
  </x:si>
  <x:si>
    <x:t>- - - - - Electrocochleography</x:t>
  </x:si>
  <x:si>
    <x:t>http://id.who.int/icd/entity/337943754</x:t>
  </x:si>
  <x:si>
    <x:t>http://id.who.int/icd/release/11/beta/ichi/337943754</x:t>
  </x:si>
  <x:si>
    <x:t>CCB.DN.AA</x:t>
  </x:si>
  <x:si>
    <x:t>- - - - - Implantation of cochlear prosthetic device</x:t>
  </x:si>
  <x:si>
    <x:t>http://id.who.int/icd/entity/1147094393</x:t>
  </x:si>
  <x:si>
    <x:t>http://id.who.int/icd/release/11/beta/ichi/1147094393</x:t>
  </x:si>
  <x:si>
    <x:t>CCB.JD.AA</x:t>
  </x:si>
  <x:si>
    <x:t>- - - - - Removal of cochlear prosthetic device</x:t>
  </x:si>
  <x:si>
    <x:t>http://id.who.int/icd/entity/1590264861</x:t>
  </x:si>
  <x:si>
    <x:t>http://id.who.int/icd/release/11/beta/ichi/1590264861</x:t>
  </x:si>
  <x:si>
    <x:t>CCB.KA.AA</x:t>
  </x:si>
  <x:si>
    <x:t>- - - - - Replacement of cochlear prosthetic device</x:t>
  </x:si>
  <x:si>
    <x:t>http://id.who.int/icd/entity/241410580</x:t>
  </x:si>
  <x:si>
    <x:t>http://id.who.int/icd/release/11/beta/ichi/241410580</x:t>
  </x:si>
  <x:si>
    <x:t>CCB.ML.AC</x:t>
  </x:si>
  <x:si>
    <x:t>- - - - - Reconstruction of cochlea</x:t>
  </x:si>
  <x:si>
    <x:t>http://id.who.int/icd/entity/990866538</x:t>
  </x:si>
  <x:si>
    <x:t>http://id.who.int/icd/release/11/beta/ichi/990866538</x:t>
  </x:si>
  <x:si>
    <x:t>CCB.SM.AH</x:t>
  </x:si>
  <x:si>
    <x:t>- - - - - Adjustment of cochlear prosthetic device</x:t>
  </x:si>
  <x:si>
    <x:t>http://id.who.int/icd/entity/806056644</x:t>
  </x:si>
  <x:si>
    <x:t>http://id.who.int/icd/release/11/beta/ichi/806056644</x:t>
  </x:si>
  <x:si>
    <x:t>BlockL4-CDA</x:t>
  </x:si>
  <x:si>
    <x:t>- - - - Interventions on mastoid sinus</x:t>
  </x:si>
  <x:si>
    <x:t>http://id.who.int/icd/entity/284295418</x:t>
  </x:si>
  <x:si>
    <x:t>http://id.who.int/icd/release/11/beta/ichi/284295418</x:t>
  </x:si>
  <x:si>
    <x:t>CDA.FA.AC</x:t>
  </x:si>
  <x:si>
    <x:t>- - - - - Incision of mastoid</x:t>
  </x:si>
  <x:si>
    <x:t>http://id.who.int/icd/entity/1946658045</x:t>
  </x:si>
  <x:si>
    <x:t>http://id.who.int/icd/release/11/beta/ichi/1946658045</x:t>
  </x:si>
  <x:si>
    <x:t>CDA.JJ.AC</x:t>
  </x:si>
  <x:si>
    <x:t>- - - - - Mastoidectomy, not elsewhere classified</x:t>
  </x:si>
  <x:si>
    <x:t>http://id.who.int/icd/entity/612138318</x:t>
  </x:si>
  <x:si>
    <x:t>http://id.who.int/icd/release/11/beta/ichi/612138318</x:t>
  </x:si>
  <x:si>
    <x:t>CDA.JK.AC</x:t>
  </x:si>
  <x:si>
    <x:t>- - - - - Total mastoidectomy</x:t>
  </x:si>
  <x:si>
    <x:t>http://id.who.int/icd/entity/1531403859</x:t>
  </x:si>
  <x:si>
    <x:t>http://id.who.int/icd/release/11/beta/ichi/1531403859</x:t>
  </x:si>
  <x:si>
    <x:t>CDA.JL.AC</x:t>
  </x:si>
  <x:si>
    <x:t>- - - - - Radical mastoidectomy</x:t>
  </x:si>
  <x:si>
    <x:t>http://id.who.int/icd/entity/773071538</x:t>
  </x:si>
  <x:si>
    <x:t>http://id.who.int/icd/release/11/beta/ichi/773071538</x:t>
  </x:si>
  <x:si>
    <x:t>CDA.LA.AA</x:t>
  </x:si>
  <x:si>
    <x:t>- - - - - Obliteration of mastoid cavity</x:t>
  </x:si>
  <x:si>
    <x:t>http://id.who.int/icd/entity/1080828377</x:t>
  </x:si>
  <x:si>
    <x:t>http://id.who.int/icd/release/11/beta/ichi/1080828377</x:t>
  </x:si>
  <x:si>
    <x:t>BlockL4-CT2</x:t>
  </x:si>
  <x:si>
    <x:t>- - - - Interventions on ear functions</x:t>
  </x:si>
  <x:si>
    <x:t>http://id.who.int/icd/entity/1620399077</x:t>
  </x:si>
  <x:si>
    <x:t>http://id.who.int/icd/release/11/beta/ichi/1620399077</x:t>
  </x:si>
  <x:si>
    <x:t>CT2.AA.ZZ</x:t>
  </x:si>
  <x:si>
    <x:t>- - - - - Assessment of hearing and vestibular functions, not elsewhere classified</x:t>
  </x:si>
  <x:si>
    <x:t>http://id.who.int/icd/entity/614041054</x:t>
  </x:si>
  <x:si>
    <x:t>http://id.who.int/icd/release/11/beta/ichi/614041054</x:t>
  </x:si>
  <x:si>
    <x:t>CT2.AC.ZZ</x:t>
  </x:si>
  <x:si>
    <x:t>- - - - - Test of hearing and vestibular functions, not elsewhere classified</x:t>
  </x:si>
  <x:si>
    <x:t>http://id.who.int/icd/entity/1256294069</x:t>
  </x:si>
  <x:si>
    <x:t>http://id.who.int/icd/release/11/beta/ichi/1256294069</x:t>
  </x:si>
  <x:si>
    <x:t>CTB.AA.ZZ</x:t>
  </x:si>
  <x:si>
    <x:t>- - - - - Assessment of hearing functions</x:t>
  </x:si>
  <x:si>
    <x:t>http://id.who.int/icd/entity/1094854761</x:t>
  </x:si>
  <x:si>
    <x:t>http://id.who.int/icd/release/11/beta/ichi/1094854761</x:t>
  </x:si>
  <x:si>
    <x:t>CTB.AB.ZZ</x:t>
  </x:si>
  <x:si>
    <x:t>- - - - - Audiometry</x:t>
  </x:si>
  <x:si>
    <x:t>http://id.who.int/icd/entity/264460604</x:t>
  </x:si>
  <x:si>
    <x:t>http://id.who.int/icd/release/11/beta/ichi/264460604</x:t>
  </x:si>
  <x:si>
    <x:t>CTB.AC.ZZ</x:t>
  </x:si>
  <x:si>
    <x:t>- - - - - Test of hearing functions</x:t>
  </x:si>
  <x:si>
    <x:t>http://id.who.int/icd/entity/1527060147</x:t>
  </x:si>
  <x:si>
    <x:t>http://id.who.int/icd/release/11/beta/ichi/1527060147</x:t>
  </x:si>
  <x:si>
    <x:t>CTB.AF.ZZ</x:t>
  </x:si>
  <x:si>
    <x:t>- - - - - Auditory evoked potentials</x:t>
  </x:si>
  <x:si>
    <x:t>http://id.who.int/icd/entity/1414311540</x:t>
  </x:si>
  <x:si>
    <x:t>http://id.who.int/icd/release/11/beta/ichi/1414311540</x:t>
  </x:si>
  <x:si>
    <x:t>CTB.PM.ZZ</x:t>
  </x:si>
  <x:si>
    <x:t>- - - - - Education about hearing functions</x:t>
  </x:si>
  <x:si>
    <x:t>http://id.who.int/icd/entity/70744005</x:t>
  </x:si>
  <x:si>
    <x:t>http://id.who.int/icd/release/11/beta/ichi/70744005</x:t>
  </x:si>
  <x:si>
    <x:t>CTB.PN.ZZ</x:t>
  </x:si>
  <x:si>
    <x:t>- - - - - Advising about hearing functions</x:t>
  </x:si>
  <x:si>
    <x:t>http://id.who.int/icd/entity/1841008212</x:t>
  </x:si>
  <x:si>
    <x:t>http://id.who.int/icd/release/11/beta/ichi/1841008212</x:t>
  </x:si>
  <x:si>
    <x:t>CTE.AA.ZZ</x:t>
  </x:si>
  <x:si>
    <x:t>- - - - - Assessment of vestibular functions</x:t>
  </x:si>
  <x:si>
    <x:t>http://id.who.int/icd/entity/663185721</x:t>
  </x:si>
  <x:si>
    <x:t>http://id.who.int/icd/release/11/beta/ichi/663185721</x:t>
  </x:si>
  <x:si>
    <x:t>CTE.AC.ZZ</x:t>
  </x:si>
  <x:si>
    <x:t>- - - - - Test of vestibular functions</x:t>
  </x:si>
  <x:si>
    <x:t>http://id.who.int/icd/entity/193920855</x:t>
  </x:si>
  <x:si>
    <x:t>http://id.who.int/icd/release/11/beta/ichi/193920855</x:t>
  </x:si>
  <x:si>
    <x:t>CTE.PH.ZZ</x:t>
  </x:si>
  <x:si>
    <x:t>- - - - - Training for vestibular functions</x:t>
  </x:si>
  <x:si>
    <x:t>http://id.who.int/icd/entity/746813333</x:t>
  </x:si>
  <x:si>
    <x:t>http://id.who.int/icd/release/11/beta/ichi/746813333</x:t>
  </x:si>
  <x:si>
    <x:t>CTK.AA.ZZ</x:t>
  </x:si>
  <x:si>
    <x:t>- - - - - Assessment of sensations associated with hearing and vestibular functions</x:t>
  </x:si>
  <x:si>
    <x:t>http://id.who.int/icd/entity/1754243502</x:t>
  </x:si>
  <x:si>
    <x:t>http://id.who.int/icd/release/11/beta/ichi/1754243502</x:t>
  </x:si>
  <x:si>
    <x:t>CTK.AC.ZZ</x:t>
  </x:si>
  <x:si>
    <x:t>- - - - - Test of sensations associated with hearing and vestibular functions</x:t>
  </x:si>
  <x:si>
    <x:t>http://id.who.int/icd/entity/2023800972</x:t>
  </x:si>
  <x:si>
    <x:t>http://id.who.int/icd/release/11/beta/ichi/2023800972</x:t>
  </x:si>
  <x:si>
    <x:t>CTK.PH.ZZ</x:t>
  </x:si>
  <x:si>
    <x:t>- - - - - Training for sensations associated with hearing and vestibular functions</x:t>
  </x:si>
  <x:si>
    <x:t>http://id.who.int/icd/entity/1474312740</x:t>
  </x:si>
  <x:si>
    <x:t>http://id.who.int/icd/release/11/beta/ichi/1474312740</x:t>
  </x:si>
  <x:si>
    <x:t>CTK.PM.ZZ</x:t>
  </x:si>
  <x:si>
    <x:t>- - - - - Education about sensations associated with hearing and vestibular functions</x:t>
  </x:si>
  <x:si>
    <x:t>http://id.who.int/icd/entity/1193976722</x:t>
  </x:si>
  <x:si>
    <x:t>http://id.who.int/icd/release/11/beta/ichi/1193976722</x:t>
  </x:si>
  <x:si>
    <x:t>BlockL4-CZZ</x:t>
  </x:si>
  <x:si>
    <x:t>- - - - Interventions on ear or ear functions, not elsewhere classified</x:t>
  </x:si>
  <x:si>
    <x:t>http://id.who.int/icd/entity/933759007</x:t>
  </x:si>
  <x:si>
    <x:t>http://id.who.int/icd/release/11/beta/ichi/933759007</x:t>
  </x:si>
  <x:si>
    <x:t>CZZ.AA.ZZ</x:t>
  </x:si>
  <x:si>
    <x:t>- - - - - Assessment of ear, not elsewhere classified</x:t>
  </x:si>
  <x:si>
    <x:t>http://id.who.int/icd/entity/219563257</x:t>
  </x:si>
  <x:si>
    <x:t>http://id.who.int/icd/release/11/beta/ichi/219563257</x:t>
  </x:si>
  <x:si>
    <x:t>CZZ.AE.AD</x:t>
  </x:si>
  <x:si>
    <x:t>- - - - - Otoscopy</x:t>
  </x:si>
  <x:si>
    <x:t>http://id.who.int/icd/entity/1921701782</x:t>
  </x:si>
  <x:si>
    <x:t>http://id.who.int/icd/release/11/beta/ichi/1921701782</x:t>
  </x:si>
  <x:si>
    <x:t>CZZ.JA.AC</x:t>
  </x:si>
  <x:si>
    <x:t>- - - - - Irrigation of ear, not elsewhere classified</x:t>
  </x:si>
  <x:si>
    <x:t>http://id.who.int/icd/entity/1573530938</x:t>
  </x:si>
  <x:si>
    <x:t>http://id.who.int/icd/release/11/beta/ichi/1573530938</x:t>
  </x:si>
  <x:si>
    <x:t>CZZ.JD.AC</x:t>
  </x:si>
  <x:si>
    <x:t>- - - - - Removal of internal device or foreign body from ear without incision, not elsewhere classified</x:t>
  </x:si>
  <x:si>
    <x:t>http://id.who.int/icd/entity/759727797</x:t>
  </x:si>
  <x:si>
    <x:t>http://id.who.int/icd/release/11/beta/ichi/759727797</x:t>
  </x:si>
  <x:si>
    <x:t>CZZ.JJ.AA</x:t>
  </x:si>
  <x:si>
    <x:t>- - - - - Partial excision of ear, not elsewhere classified</x:t>
  </x:si>
  <x:si>
    <x:t>http://id.who.int/icd/release/11/beta/ichi/1378394908/other</x:t>
  </x:si>
  <x:si>
    <x:t>CZZ.ZY.ZY</x:t>
  </x:si>
  <x:si>
    <x:t>- - - - Other specified interventions on the ear or mastoid</x:t>
  </x:si>
  <x:si>
    <x:t>http://id.who.int/icd/release/11/beta/ichi/1378394908/unspecified</x:t>
  </x:si>
  <x:si>
    <x:t>CZZ.ZZ.ZZ</x:t>
  </x:si>
  <x:si>
    <x:t>- - - - Interventions on the ear or mastoid, unspecified</x:t>
  </x:si>
  <x:si>
    <x:t>http://id.who.int/icd/entity/2045100852</x:t>
  </x:si>
  <x:si>
    <x:t>http://id.who.int/icd/release/11/beta/ichi/2045100852</x:t>
  </x:si>
  <x:si>
    <x:t>BlockL3-DAA</x:t>
  </x:si>
  <x:si>
    <x:t>- - - Interventions on the haematopoietic or lymphatic system</x:t>
  </x:si>
  <x:si>
    <x:t>http://id.who.int/icd/entity/1121072658</x:t>
  </x:si>
  <x:si>
    <x:t>http://id.who.int/icd/release/11/beta/ichi/1121072658</x:t>
  </x:si>
  <x:si>
    <x:t>BlockL4-DAA</x:t>
  </x:si>
  <x:si>
    <x:t>- - - - Interventions on tonsil or adenoid</x:t>
  </x:si>
  <x:si>
    <x:t>17</x:t>
  </x:si>
  <x:si>
    <x:t>http://id.who.int/icd/entity/1206262252</x:t>
  </x:si>
  <x:si>
    <x:t>http://id.who.int/icd/release/11/beta/ichi/1206262252</x:t>
  </x:si>
  <x:si>
    <x:t>DAA.AD.AC</x:t>
  </x:si>
  <x:si>
    <x:t>- - - - - Biopsy of tonsils</x:t>
  </x:si>
  <x:si>
    <x:t>http://id.who.int/icd/entity/149868921</x:t>
  </x:si>
  <x:si>
    <x:t>http://id.who.int/icd/release/11/beta/ichi/149868921</x:t>
  </x:si>
  <x:si>
    <x:t>DAA.AD.AE</x:t>
  </x:si>
  <x:si>
    <x:t>- - - - - Percutaneous biopsy of tonsil</x:t>
  </x:si>
  <x:si>
    <x:t>http://id.who.int/icd/entity/1220176366</x:t>
  </x:si>
  <x:si>
    <x:t>http://id.who.int/icd/release/11/beta/ichi/1220176366</x:t>
  </x:si>
  <x:si>
    <x:t>DAA.FA.AC</x:t>
  </x:si>
  <x:si>
    <x:t>- - - - - Incision of tonsil or peritonsillar structures</x:t>
  </x:si>
  <x:si>
    <x:t>http://id.who.int/icd/entity/1665598846</x:t>
  </x:si>
  <x:si>
    <x:t>http://id.who.int/icd/release/11/beta/ichi/1665598846</x:t>
  </x:si>
  <x:si>
    <x:t>DAA.GA.AC</x:t>
  </x:si>
  <x:si>
    <x:t>- - - - - Destruction of tonsils</x:t>
  </x:si>
  <x:si>
    <x:t>http://id.who.int/icd/entity/954846957</x:t>
  </x:si>
  <x:si>
    <x:t>http://id.who.int/icd/release/11/beta/ichi/954846957</x:t>
  </x:si>
  <x:si>
    <x:t>DAA.JB.AA</x:t>
  </x:si>
  <x:si>
    <x:t>- - - - - Open drainage or aspiration of retropharyngeal abscess</x:t>
  </x:si>
  <x:si>
    <x:t>http://id.who.int/icd/entity/393754829</x:t>
  </x:si>
  <x:si>
    <x:t>http://id.who.int/icd/release/11/beta/ichi/393754829</x:t>
  </x:si>
  <x:si>
    <x:t>DAA.JB.AC</x:t>
  </x:si>
  <x:si>
    <x:t>- - - - - Drainage of tonsil or peritonsillar structures</x:t>
  </x:si>
  <x:si>
    <x:t>http://id.who.int/icd/entity/1657715904</x:t>
  </x:si>
  <x:si>
    <x:t>http://id.who.int/icd/release/11/beta/ichi/1657715904</x:t>
  </x:si>
  <x:si>
    <x:t>DAA.JD.AC</x:t>
  </x:si>
  <x:si>
    <x:t>- - - - - Removal of internal device or foreign body from tonsil</x:t>
  </x:si>
  <x:si>
    <x:t>http://id.who.int/icd/entity/1228132400</x:t>
  </x:si>
  <x:si>
    <x:t>http://id.who.int/icd/release/11/beta/ichi/1228132400</x:t>
  </x:si>
  <x:si>
    <x:t>DAA.JI.AC</x:t>
  </x:si>
  <x:si>
    <x:t>- - - - - Local excision of lesion of tonsil</x:t>
  </x:si>
  <x:si>
    <x:t>http://id.who.int/icd/entity/2022277734</x:t>
  </x:si>
  <x:si>
    <x:t>http://id.who.int/icd/release/11/beta/ichi/2022277734</x:t>
  </x:si>
  <x:si>
    <x:t>DAA.JJ.AC</x:t>
  </x:si>
  <x:si>
    <x:t>- - - - - Partial excision of lingual tonsil</x:t>
  </x:si>
  <x:si>
    <x:t>http://id.who.int/icd/entity/669803319</x:t>
  </x:si>
  <x:si>
    <x:t>http://id.who.int/icd/release/11/beta/ichi/669803319</x:t>
  </x:si>
  <x:si>
    <x:t>DAA.JK.AC</x:t>
  </x:si>
  <x:si>
    <x:t>- - - - - Tonsillectomy</x:t>
  </x:si>
  <x:si>
    <x:t>http://id.who.int/icd/entity/676719525</x:t>
  </x:si>
  <x:si>
    <x:t>http://id.who.int/icd/release/11/beta/ichi/676719525</x:t>
  </x:si>
  <x:si>
    <x:t>DAA.LA.AC</x:t>
  </x:si>
  <x:si>
    <x:t>- - - - - Control of haemorrhage after tonsillectomy</x:t>
  </x:si>
  <x:si>
    <x:t>http://id.who.int/icd/entity/2016293396</x:t>
  </x:si>
  <x:si>
    <x:t>http://id.who.int/icd/release/11/beta/ichi/2016293396</x:t>
  </x:si>
  <x:si>
    <x:t>DAB.AD.AC</x:t>
  </x:si>
  <x:si>
    <x:t>- - - - - Biopsy of adenoids</x:t>
  </x:si>
  <x:si>
    <x:t>http://id.who.int/icd/entity/1461119122</x:t>
  </x:si>
  <x:si>
    <x:t>http://id.who.int/icd/release/11/beta/ichi/1461119122</x:t>
  </x:si>
  <x:si>
    <x:t>DAB.AD.AE</x:t>
  </x:si>
  <x:si>
    <x:t>- - - - - Percutaneous biopsy of adenoid</x:t>
  </x:si>
  <x:si>
    <x:t>http://id.who.int/icd/entity/1544746560</x:t>
  </x:si>
  <x:si>
    <x:t>http://id.who.int/icd/release/11/beta/ichi/1544746560</x:t>
  </x:si>
  <x:si>
    <x:t>DAB.JD.AC</x:t>
  </x:si>
  <x:si>
    <x:t>- - - - - Removal of internal device or foreign body from adenoid</x:t>
  </x:si>
  <x:si>
    <x:t>http://id.who.int/icd/entity/1297208904</x:t>
  </x:si>
  <x:si>
    <x:t>http://id.who.int/icd/release/11/beta/ichi/1297208904</x:t>
  </x:si>
  <x:si>
    <x:t>DAB.JI.AC</x:t>
  </x:si>
  <x:si>
    <x:t>- - - - - Local excision of lesion of adenoid</x:t>
  </x:si>
  <x:si>
    <x:t>http://id.who.int/icd/entity/954683963</x:t>
  </x:si>
  <x:si>
    <x:t>http://id.who.int/icd/release/11/beta/ichi/954683963</x:t>
  </x:si>
  <x:si>
    <x:t>DAB.JK.AC</x:t>
  </x:si>
  <x:si>
    <x:t>- - - - - Adenoidectomy</x:t>
  </x:si>
  <x:si>
    <x:t>http://id.who.int/icd/entity/1453281620</x:t>
  </x:si>
  <x:si>
    <x:t>http://id.who.int/icd/release/11/beta/ichi/1453281620</x:t>
  </x:si>
  <x:si>
    <x:t>DAB.LA.AC</x:t>
  </x:si>
  <x:si>
    <x:t>- - - - - Control of haemorrhage after adenoidectomy</x:t>
  </x:si>
  <x:si>
    <x:t>http://id.who.int/icd/entity/1730478874</x:t>
  </x:si>
  <x:si>
    <x:t>http://id.who.int/icd/release/11/beta/ichi/1730478874</x:t>
  </x:si>
  <x:si>
    <x:t>BlockL4-DBA</x:t>
  </x:si>
  <x:si>
    <x:t>- - - - Interventions on thymus</x:t>
  </x:si>
  <x:si>
    <x:t>http://id.who.int/icd/entity/1205629220</x:t>
  </x:si>
  <x:si>
    <x:t>http://id.who.int/icd/release/11/beta/ichi/1205629220</x:t>
  </x:si>
  <x:si>
    <x:t>DBA.AD.AA</x:t>
  </x:si>
  <x:si>
    <x:t>- - - - - Biopsy of thymus</x:t>
  </x:si>
  <x:si>
    <x:t>http://id.who.int/icd/entity/309755899</x:t>
  </x:si>
  <x:si>
    <x:t>http://id.who.int/icd/release/11/beta/ichi/309755899</x:t>
  </x:si>
  <x:si>
    <x:t>DBA.AD.AB</x:t>
  </x:si>
  <x:si>
    <x:t>- - - - - Thorascopic biopsy of thymus</x:t>
  </x:si>
  <x:si>
    <x:t>http://id.who.int/icd/entity/1303654104</x:t>
  </x:si>
  <x:si>
    <x:t>http://id.who.int/icd/release/11/beta/ichi/1303654104</x:t>
  </x:si>
  <x:si>
    <x:t>DBA.AD.AE</x:t>
  </x:si>
  <x:si>
    <x:t>- - - - - Percutaneous biopsy of thymus</x:t>
  </x:si>
  <x:si>
    <x:t>http://id.who.int/icd/entity/1716077128</x:t>
  </x:si>
  <x:si>
    <x:t>http://id.who.int/icd/release/11/beta/ichi/1716077128</x:t>
  </x:si>
  <x:si>
    <x:t>DBA.AE.AA</x:t>
  </x:si>
  <x:si>
    <x:t>- - - - - Exploration of thymus</x:t>
  </x:si>
  <x:si>
    <x:t>http://id.who.int/icd/entity/1568585582</x:t>
  </x:si>
  <x:si>
    <x:t>http://id.who.int/icd/release/11/beta/ichi/1568585582</x:t>
  </x:si>
  <x:si>
    <x:t>DBA.FA.AA</x:t>
  </x:si>
  <x:si>
    <x:t>- - - - - Incision of thymus</x:t>
  </x:si>
  <x:si>
    <x:t>http://id.who.int/icd/entity/45934157</x:t>
  </x:si>
  <x:si>
    <x:t>http://id.who.int/icd/release/11/beta/ichi/45934157</x:t>
  </x:si>
  <x:si>
    <x:t>DBA.FA.AB</x:t>
  </x:si>
  <x:si>
    <x:t>- - - - - Thorascopic incision of thymus</x:t>
  </x:si>
  <x:si>
    <x:t>http://id.who.int/icd/entity/1388789756</x:t>
  </x:si>
  <x:si>
    <x:t>http://id.who.int/icd/release/11/beta/ichi/1388789756</x:t>
  </x:si>
  <x:si>
    <x:t>DBA.JJ.AA</x:t>
  </x:si>
  <x:si>
    <x:t>- - - - - Partial excision of thymus</x:t>
  </x:si>
  <x:si>
    <x:t>http://id.who.int/icd/entity/1210560856</x:t>
  </x:si>
  <x:si>
    <x:t>http://id.who.int/icd/release/11/beta/ichi/1210560856</x:t>
  </x:si>
  <x:si>
    <x:t>DBA.JJ.AB</x:t>
  </x:si>
  <x:si>
    <x:t>- - - - - Thoracoscopic partial excision of thymus</x:t>
  </x:si>
  <x:si>
    <x:t>http://id.who.int/icd/entity/1675288008</x:t>
  </x:si>
  <x:si>
    <x:t>http://id.who.int/icd/release/11/beta/ichi/1675288008</x:t>
  </x:si>
  <x:si>
    <x:t>DBA.JK.AA</x:t>
  </x:si>
  <x:si>
    <x:t>- - - - - Thymectomy</x:t>
  </x:si>
  <x:si>
    <x:t>http://id.who.int/icd/entity/1922694576</x:t>
  </x:si>
  <x:si>
    <x:t>http://id.who.int/icd/release/11/beta/ichi/1922694576</x:t>
  </x:si>
  <x:si>
    <x:t>DBA.JK.AB</x:t>
  </x:si>
  <x:si>
    <x:t>- - - - - Thoracoscopic total excision of thymus</x:t>
  </x:si>
  <x:si>
    <x:t>http://id.who.int/icd/entity/1207251914</x:t>
  </x:si>
  <x:si>
    <x:t>http://id.who.int/icd/release/11/beta/ichi/1207251914</x:t>
  </x:si>
  <x:si>
    <x:t>DBA.LC.AA</x:t>
  </x:si>
  <x:si>
    <x:t>- - - - - Fixation of thymus</x:t>
  </x:si>
  <x:si>
    <x:t>http://id.who.int/icd/entity/930584647</x:t>
  </x:si>
  <x:si>
    <x:t>http://id.who.int/icd/release/11/beta/ichi/930584647</x:t>
  </x:si>
  <x:si>
    <x:t>DBA.LC.AB</x:t>
  </x:si>
  <x:si>
    <x:t>- - - - - Thoracoscopic fixation of thymus</x:t>
  </x:si>
  <x:si>
    <x:t>http://id.who.int/icd/entity/406282985</x:t>
  </x:si>
  <x:si>
    <x:t>http://id.who.int/icd/release/11/beta/ichi/406282985</x:t>
  </x:si>
  <x:si>
    <x:t>DBA.MK.AA</x:t>
  </x:si>
  <x:si>
    <x:t>- - - - - Repair of thymus</x:t>
  </x:si>
  <x:si>
    <x:t>http://id.who.int/icd/entity/1299748006</x:t>
  </x:si>
  <x:si>
    <x:t>http://id.who.int/icd/release/11/beta/ichi/1299748006</x:t>
  </x:si>
  <x:si>
    <x:t>BlockL4-DFA</x:t>
  </x:si>
  <x:si>
    <x:t>- - - - Interventions on lymphatic system</x:t>
  </x:si>
  <x:si>
    <x:t>103</x:t>
  </x:si>
  <x:si>
    <x:t>http://id.who.int/icd/entity/1837229724</x:t>
  </x:si>
  <x:si>
    <x:t>http://id.who.int/icd/release/11/beta/ichi/1837229724</x:t>
  </x:si>
  <x:si>
    <x:t>DFA.AD.AA</x:t>
  </x:si>
  <x:si>
    <x:t>- - - - - Biopsy of lymph node, not elsewhere classified</x:t>
  </x:si>
  <x:si>
    <x:t>http://id.who.int/icd/entity/1647865354</x:t>
  </x:si>
  <x:si>
    <x:t>http://id.who.int/icd/release/11/beta/ichi/1647865354</x:t>
  </x:si>
  <x:si>
    <x:t>DFA.AD.AB</x:t>
  </x:si>
  <x:si>
    <x:t>- - - - - Percutaneous endoscopic biopsy of lymph node, not elsewhere classified</x:t>
  </x:si>
  <x:si>
    <x:t>http://id.who.int/icd/entity/1237648026</x:t>
  </x:si>
  <x:si>
    <x:t>http://id.who.int/icd/release/11/beta/ichi/1237648026</x:t>
  </x:si>
  <x:si>
    <x:t>DFA.AD.AD</x:t>
  </x:si>
  <x:si>
    <x:t>- - - - - Endoscopic biopsy of lymph node, not elsewhere classified</x:t>
  </x:si>
  <x:si>
    <x:t>http://id.who.int/icd/entity/43361443</x:t>
  </x:si>
  <x:si>
    <x:t>http://id.who.int/icd/release/11/beta/ichi/43361443</x:t>
  </x:si>
  <x:si>
    <x:t>DFA.AD.AE</x:t>
  </x:si>
  <x:si>
    <x:t>- - - - - Percutaneous biopsy of lymph node, not elsewhere classified</x:t>
  </x:si>
  <x:si>
    <x:t>http://id.who.int/icd/entity/670248995</x:t>
  </x:si>
  <x:si>
    <x:t>http://id.who.int/icd/release/11/beta/ichi/670248995</x:t>
  </x:si>
  <x:si>
    <x:t>DFA.BA.BJ</x:t>
  </x:si>
  <x:si>
    <x:t>- - - - - Ultrasound of lymph node, not otherwise classified</x:t>
  </x:si>
  <x:si>
    <x:t>http://id.who.int/icd/entity/2016502016</x:t>
  </x:si>
  <x:si>
    <x:t>http://id.who.int/icd/release/11/beta/ichi/2016502016</x:t>
  </x:si>
  <x:si>
    <x:t>DFA.BA.ZZ</x:t>
  </x:si>
  <x:si>
    <x:t>- - - - - Lymphogram, not elsewhere classified</x:t>
  </x:si>
  <x:si>
    <x:t>http://id.who.int/icd/entity/1566045568</x:t>
  </x:si>
  <x:si>
    <x:t>http://id.who.int/icd/release/11/beta/ichi/1566045568</x:t>
  </x:si>
  <x:si>
    <x:t>DFA.GA.BA</x:t>
  </x:si>
  <x:si>
    <x:t>- - - - - Destruction of lesion or tissue of other and unspecified lymph node by radiotherapy</x:t>
  </x:si>
  <x:si>
    <x:t>http://id.who.int/icd/entity/332825813</x:t>
  </x:si>
  <x:si>
    <x:t>http://id.who.int/icd/release/11/beta/ichi/332825813</x:t>
  </x:si>
  <x:si>
    <x:t>DFA.JB.AA</x:t>
  </x:si>
  <x:si>
    <x:t>- - - - - Drainage of lymph node, not elsewhere classified</x:t>
  </x:si>
  <x:si>
    <x:t>http://id.who.int/icd/entity/1302162486</x:t>
  </x:si>
  <x:si>
    <x:t>http://id.who.int/icd/release/11/beta/ichi/1302162486</x:t>
  </x:si>
  <x:si>
    <x:t>DFA.JB.AE</x:t>
  </x:si>
  <x:si>
    <x:t>- - - - - Percutanous drainage of lymph node, not elsewhere classifed</x:t>
  </x:si>
  <x:si>
    <x:t>http://id.who.int/icd/entity/1109714084</x:t>
  </x:si>
  <x:si>
    <x:t>http://id.who.int/icd/release/11/beta/ichi/1109714084</x:t>
  </x:si>
  <x:si>
    <x:t>DFA.JJ.AA</x:t>
  </x:si>
  <x:si>
    <x:t>- - - - - Partial excision of lymph node, not elsewhere classified</x:t>
  </x:si>
  <x:si>
    <x:t>http://id.who.int/icd/entity/1295703112</x:t>
  </x:si>
  <x:si>
    <x:t>http://id.who.int/icd/release/11/beta/ichi/1295703112</x:t>
  </x:si>
  <x:si>
    <x:t>DFA.JK.AA</x:t>
  </x:si>
  <x:si>
    <x:t>- - - - - Total excision of lymph node, not elsewhere classified</x:t>
  </x:si>
  <x:si>
    <x:t>http://id.who.int/icd/entity/2005176480</x:t>
  </x:si>
  <x:si>
    <x:t>http://id.who.int/icd/release/11/beta/ichi/2005176480</x:t>
  </x:si>
  <x:si>
    <x:t>DFA.JL.AA</x:t>
  </x:si>
  <x:si>
    <x:t>- - - - - Radical excision of lymph node, not elsewhere classified</x:t>
  </x:si>
  <x:si>
    <x:t>http://id.who.int/icd/entity/1551498288</x:t>
  </x:si>
  <x:si>
    <x:t>http://id.who.int/icd/release/11/beta/ichi/1551498288</x:t>
  </x:si>
  <x:si>
    <x:t>DFB.AD.AA</x:t>
  </x:si>
  <x:si>
    <x:t>- - - - - Biopsy of cervical lymph node</x:t>
  </x:si>
  <x:si>
    <x:t>http://id.who.int/icd/entity/861155803</x:t>
  </x:si>
  <x:si>
    <x:t>http://id.who.int/icd/release/11/beta/ichi/861155803</x:t>
  </x:si>
  <x:si>
    <x:t>DFB.AD.AE</x:t>
  </x:si>
  <x:si>
    <x:t>- - - - - Percutaneous biopsy of cervical lymph node</x:t>
  </x:si>
  <x:si>
    <x:t>http://id.who.int/icd/entity/202267827</x:t>
  </x:si>
  <x:si>
    <x:t>http://id.who.int/icd/release/11/beta/ichi/202267827</x:t>
  </x:si>
  <x:si>
    <x:t>DFB.BA.BB</x:t>
  </x:si>
  <x:si>
    <x:t>- - - - - Lymphogram of cervical lymph node</x:t>
  </x:si>
  <x:si>
    <x:t>http://id.who.int/icd/entity/1197406858</x:t>
  </x:si>
  <x:si>
    <x:t>http://id.who.int/icd/release/11/beta/ichi/1197406858</x:t>
  </x:si>
  <x:si>
    <x:t>DFB.BA.BJ</x:t>
  </x:si>
  <x:si>
    <x:t>- - - - - Ultrasound of cervical lymph node</x:t>
  </x:si>
  <x:si>
    <x:t>http://id.who.int/icd/entity/1821794552</x:t>
  </x:si>
  <x:si>
    <x:t>http://id.who.int/icd/release/11/beta/ichi/1821794552</x:t>
  </x:si>
  <x:si>
    <x:t>DFB.GA.BA</x:t>
  </x:si>
  <x:si>
    <x:t>- - - - - Destruction of lesion or tissue of cervical lymph node by radiotherapy</x:t>
  </x:si>
  <x:si>
    <x:t>http://id.who.int/icd/entity/571937197</x:t>
  </x:si>
  <x:si>
    <x:t>http://id.who.int/icd/release/11/beta/ichi/571937197</x:t>
  </x:si>
  <x:si>
    <x:t>DFB.JB.AA</x:t>
  </x:si>
  <x:si>
    <x:t>- - - - - Drainage of cervical lymph node</x:t>
  </x:si>
  <x:si>
    <x:t>http://id.who.int/icd/entity/2086467918</x:t>
  </x:si>
  <x:si>
    <x:t>http://id.who.int/icd/release/11/beta/ichi/2086467918</x:t>
  </x:si>
  <x:si>
    <x:t>DFB.JB.AE</x:t>
  </x:si>
  <x:si>
    <x:t>- - - - - Percutaneous drainage of cervical lymph node</x:t>
  </x:si>
  <x:si>
    <x:t>http://id.who.int/icd/entity/1944416732</x:t>
  </x:si>
  <x:si>
    <x:t>http://id.who.int/icd/release/11/beta/ichi/1944416732</x:t>
  </x:si>
  <x:si>
    <x:t>DFB.JJ.AA</x:t>
  </x:si>
  <x:si>
    <x:t>- - - - - Partial excision of cervical lymph node</x:t>
  </x:si>
  <x:si>
    <x:t>http://id.who.int/icd/entity/112594239</x:t>
  </x:si>
  <x:si>
    <x:t>http://id.who.int/icd/release/11/beta/ichi/112594239</x:t>
  </x:si>
  <x:si>
    <x:t>DFB.JK.AA</x:t>
  </x:si>
  <x:si>
    <x:t>- - - - - Total excision of cervical lymph node</x:t>
  </x:si>
  <x:si>
    <x:t>http://id.who.int/icd/entity/704051089</x:t>
  </x:si>
  <x:si>
    <x:t>http://id.who.int/icd/release/11/beta/ichi/704051089</x:t>
  </x:si>
  <x:si>
    <x:t>DFB.JL.AA</x:t>
  </x:si>
  <x:si>
    <x:t>- - - - - Radical neck dissection</x:t>
  </x:si>
  <x:si>
    <x:t>http://id.who.int/icd/entity/1547727844</x:t>
  </x:si>
  <x:si>
    <x:t>http://id.who.int/icd/release/11/beta/ichi/1547727844</x:t>
  </x:si>
  <x:si>
    <x:t>DFC.AD.AA</x:t>
  </x:si>
  <x:si>
    <x:t>- - - - - Biopsy of axillary lymph node</x:t>
  </x:si>
  <x:si>
    <x:t>http://id.who.int/icd/entity/205236819</x:t>
  </x:si>
  <x:si>
    <x:t>http://id.who.int/icd/release/11/beta/ichi/205236819</x:t>
  </x:si>
  <x:si>
    <x:t>DFC.AD.AE</x:t>
  </x:si>
  <x:si>
    <x:t>- - - - - Percutaneous biopsy of axillary lymph node</x:t>
  </x:si>
  <x:si>
    <x:t>http://id.who.int/icd/entity/412920747</x:t>
  </x:si>
  <x:si>
    <x:t>http://id.who.int/icd/release/11/beta/ichi/412920747</x:t>
  </x:si>
  <x:si>
    <x:t>DFC.BA.BB</x:t>
  </x:si>
  <x:si>
    <x:t>- - - - - Lymphogram of axillary lymph node</x:t>
  </x:si>
  <x:si>
    <x:t>http://id.who.int/icd/entity/1223127580</x:t>
  </x:si>
  <x:si>
    <x:t>http://id.who.int/icd/release/11/beta/ichi/1223127580</x:t>
  </x:si>
  <x:si>
    <x:t>DFC.BA.BJ</x:t>
  </x:si>
  <x:si>
    <x:t>- - - - - Ultrasound of axillary lymph node</x:t>
  </x:si>
  <x:si>
    <x:t>http://id.who.int/icd/entity/1408891762</x:t>
  </x:si>
  <x:si>
    <x:t>http://id.who.int/icd/release/11/beta/ichi/1408891762</x:t>
  </x:si>
  <x:si>
    <x:t>DFC.GA.BA</x:t>
  </x:si>
  <x:si>
    <x:t>- - - - - Destruction of lesion or tissue of axillary lymph node by radiotherapy</x:t>
  </x:si>
  <x:si>
    <x:t>http://id.who.int/icd/entity/425897067</x:t>
  </x:si>
  <x:si>
    <x:t>http://id.who.int/icd/release/11/beta/ichi/425897067</x:t>
  </x:si>
  <x:si>
    <x:t>DFC.JB.AA</x:t>
  </x:si>
  <x:si>
    <x:t>- - - - - Drainage of axillary lymph node</x:t>
  </x:si>
  <x:si>
    <x:t>http://id.who.int/icd/entity/1474551104</x:t>
  </x:si>
  <x:si>
    <x:t>http://id.who.int/icd/release/11/beta/ichi/1474551104</x:t>
  </x:si>
  <x:si>
    <x:t>DFC.JB.AE</x:t>
  </x:si>
  <x:si>
    <x:t>- - - - - Percutaneous drainage of axillary lymph node</x:t>
  </x:si>
  <x:si>
    <x:t>http://id.who.int/icd/entity/601677965</x:t>
  </x:si>
  <x:si>
    <x:t>http://id.who.int/icd/release/11/beta/ichi/601677965</x:t>
  </x:si>
  <x:si>
    <x:t>DFC.JJ.AA</x:t>
  </x:si>
  <x:si>
    <x:t>- - - - - Partial excision of axillary lymph node</x:t>
  </x:si>
  <x:si>
    <x:t>http://id.who.int/icd/entity/1028473447</x:t>
  </x:si>
  <x:si>
    <x:t>http://id.who.int/icd/release/11/beta/ichi/1028473447</x:t>
  </x:si>
  <x:si>
    <x:t>DFC.JK.AA</x:t>
  </x:si>
  <x:si>
    <x:t>- - - - - Total excision of axillary lymph node</x:t>
  </x:si>
  <x:si>
    <x:t>http://id.who.int/icd/entity/2034340958</x:t>
  </x:si>
  <x:si>
    <x:t>http://id.who.int/icd/release/11/beta/ichi/2034340958</x:t>
  </x:si>
  <x:si>
    <x:t>DFC.JL.AA</x:t>
  </x:si>
  <x:si>
    <x:t>- - - - - Radical excision of axillary lymph node</x:t>
  </x:si>
  <x:si>
    <x:t>http://id.who.int/icd/entity/691686895</x:t>
  </x:si>
  <x:si>
    <x:t>http://id.who.int/icd/release/11/beta/ichi/691686895</x:t>
  </x:si>
  <x:si>
    <x:t>DFE.AD.AA</x:t>
  </x:si>
  <x:si>
    <x:t>- - - - - Biopsy of mediastinal lymph node</x:t>
  </x:si>
  <x:si>
    <x:t>http://id.who.int/icd/entity/1995971788</x:t>
  </x:si>
  <x:si>
    <x:t>http://id.who.int/icd/release/11/beta/ichi/1995971788</x:t>
  </x:si>
  <x:si>
    <x:t>DFE.AD.AD</x:t>
  </x:si>
  <x:si>
    <x:t>- - - - - Transbronchial biopsy of mediastinal lymph node</x:t>
  </x:si>
  <x:si>
    <x:t>http://id.who.int/icd/entity/1560637532</x:t>
  </x:si>
  <x:si>
    <x:t>http://id.who.int/icd/release/11/beta/ichi/1560637532</x:t>
  </x:si>
  <x:si>
    <x:t>DFE.AD.AE</x:t>
  </x:si>
  <x:si>
    <x:t>- - - - - Percutaneous biopsy of mediastinal lymph node</x:t>
  </x:si>
  <x:si>
    <x:t>http://id.who.int/icd/entity/1028781673</x:t>
  </x:si>
  <x:si>
    <x:t>http://id.who.int/icd/release/11/beta/ichi/1028781673</x:t>
  </x:si>
  <x:si>
    <x:t>DFE.BA.BB</x:t>
  </x:si>
  <x:si>
    <x:t>- - - - - Lymphogram of mediastinal lymph node</x:t>
  </x:si>
  <x:si>
    <x:t>http://id.who.int/icd/entity/917283931</x:t>
  </x:si>
  <x:si>
    <x:t>http://id.who.int/icd/release/11/beta/ichi/917283931</x:t>
  </x:si>
  <x:si>
    <x:t>DFE.BA.BH</x:t>
  </x:si>
  <x:si>
    <x:t>- - - - - Magnetic resonance imaging of mediastinal lymph node</x:t>
  </x:si>
  <x:si>
    <x:t>http://id.who.int/icd/entity/380410617</x:t>
  </x:si>
  <x:si>
    <x:t>http://id.who.int/icd/release/11/beta/ichi/380410617</x:t>
  </x:si>
  <x:si>
    <x:t>DFE.BA.BJ</x:t>
  </x:si>
  <x:si>
    <x:t>- - - - - Ultrasound of mediastinal lymph node</x:t>
  </x:si>
  <x:si>
    <x:t>http://id.who.int/icd/entity/1768879480</x:t>
  </x:si>
  <x:si>
    <x:t>http://id.who.int/icd/release/11/beta/ichi/1768879480</x:t>
  </x:si>
  <x:si>
    <x:t>DFE.GA.BA</x:t>
  </x:si>
  <x:si>
    <x:t>- - - - - Destruction of lesion or tissue of mediastinal lymph node by radiotherapy</x:t>
  </x:si>
  <x:si>
    <x:t>http://id.who.int/icd/entity/670008365</x:t>
  </x:si>
  <x:si>
    <x:t>http://id.who.int/icd/release/11/beta/ichi/670008365</x:t>
  </x:si>
  <x:si>
    <x:t>DFE.JB.AA</x:t>
  </x:si>
  <x:si>
    <x:t>- - - - - Drainage of mediastinal lymph node</x:t>
  </x:si>
  <x:si>
    <x:t>http://id.who.int/icd/entity/2040818894</x:t>
  </x:si>
  <x:si>
    <x:t>http://id.who.int/icd/release/11/beta/ichi/2040818894</x:t>
  </x:si>
  <x:si>
    <x:t>DFE.JB.AB</x:t>
  </x:si>
  <x:si>
    <x:t>- - - - - Thoracoscopic drainage of mediastinal lymph node</x:t>
  </x:si>
  <x:si>
    <x:t>http://id.who.int/icd/entity/644234733</x:t>
  </x:si>
  <x:si>
    <x:t>http://id.who.int/icd/release/11/beta/ichi/644234733</x:t>
  </x:si>
  <x:si>
    <x:t>DFE.JB.AE</x:t>
  </x:si>
  <x:si>
    <x:t>- - - - - Percutaneous drainage of mediastinal lymph node</x:t>
  </x:si>
  <x:si>
    <x:t>http://id.who.int/icd/entity/1828547320</x:t>
  </x:si>
  <x:si>
    <x:t>http://id.who.int/icd/release/11/beta/ichi/1828547320</x:t>
  </x:si>
  <x:si>
    <x:t>DFE.JJ.AA</x:t>
  </x:si>
  <x:si>
    <x:t>- - - - - Partial excision of mediastinal lymph node</x:t>
  </x:si>
  <x:si>
    <x:t>http://id.who.int/icd/entity/1665458790</x:t>
  </x:si>
  <x:si>
    <x:t>http://id.who.int/icd/release/11/beta/ichi/1665458790</x:t>
  </x:si>
  <x:si>
    <x:t>DFE.JJ.AB</x:t>
  </x:si>
  <x:si>
    <x:t>- - - - - Thoracoscopic partial excision of mediastinal lymph node</x:t>
  </x:si>
  <x:si>
    <x:t>http://id.who.int/icd/entity/1511584935</x:t>
  </x:si>
  <x:si>
    <x:t>http://id.who.int/icd/release/11/beta/ichi/1511584935</x:t>
  </x:si>
  <x:si>
    <x:t>DFE.JK.AA</x:t>
  </x:si>
  <x:si>
    <x:t>- - - - - Total excision of mediastinal lymph node</x:t>
  </x:si>
  <x:si>
    <x:t>http://id.who.int/icd/entity/1968705033</x:t>
  </x:si>
  <x:si>
    <x:t>http://id.who.int/icd/release/11/beta/ichi/1968705033</x:t>
  </x:si>
  <x:si>
    <x:t>DFE.JK.AB</x:t>
  </x:si>
  <x:si>
    <x:t>- - - - - Thoracoscopic total excision of mediastinal lymph node</x:t>
  </x:si>
  <x:si>
    <x:t>http://id.who.int/icd/entity/1004109662</x:t>
  </x:si>
  <x:si>
    <x:t>http://id.who.int/icd/release/11/beta/ichi/1004109662</x:t>
  </x:si>
  <x:si>
    <x:t>DFE.JL.AA</x:t>
  </x:si>
  <x:si>
    <x:t>- - - - - Radical excision of mediastinal lymph node</x:t>
  </x:si>
  <x:si>
    <x:t>http://id.who.int/icd/entity/15633020</x:t>
  </x:si>
  <x:si>
    <x:t>http://id.who.int/icd/release/11/beta/ichi/15633020</x:t>
  </x:si>
  <x:si>
    <x:t>DFF.AD.AA</x:t>
  </x:si>
  <x:si>
    <x:t>- - - - - Biopsy of abdominal or pelvic region lymph node</x:t>
  </x:si>
  <x:si>
    <x:t>http://id.who.int/icd/entity/1596775257</x:t>
  </x:si>
  <x:si>
    <x:t>http://id.who.int/icd/release/11/beta/ichi/1596775257</x:t>
  </x:si>
  <x:si>
    <x:t>DFF.AD.AB</x:t>
  </x:si>
  <x:si>
    <x:t>- - - - - Laparoscopic biopsy of lymph node of abdominal or pelvic region</x:t>
  </x:si>
  <x:si>
    <x:t>http://id.who.int/icd/entity/257360618</x:t>
  </x:si>
  <x:si>
    <x:t>http://id.who.int/icd/release/11/beta/ichi/257360618</x:t>
  </x:si>
  <x:si>
    <x:t>DFF.AD.AE</x:t>
  </x:si>
  <x:si>
    <x:t>- - - - - Percutaneous biopsy of abdominal or pelvic lymph node</x:t>
  </x:si>
  <x:si>
    <x:t>http://id.who.int/icd/entity/133151375</x:t>
  </x:si>
  <x:si>
    <x:t>http://id.who.int/icd/release/11/beta/ichi/133151375</x:t>
  </x:si>
  <x:si>
    <x:t>DFF.BA.BB</x:t>
  </x:si>
  <x:si>
    <x:t>- - - - - Lymphogram of abdominal or pelvic lymph node</x:t>
  </x:si>
  <x:si>
    <x:t>http://id.who.int/icd/entity/487535653</x:t>
  </x:si>
  <x:si>
    <x:t>http://id.who.int/icd/release/11/beta/ichi/487535653</x:t>
  </x:si>
  <x:si>
    <x:t>DFF.BA.BJ</x:t>
  </x:si>
  <x:si>
    <x:t>- - - - - Ultrasound of abdominal or pelvic lymph node</x:t>
  </x:si>
  <x:si>
    <x:t>http://id.who.int/icd/entity/2047114763</x:t>
  </x:si>
  <x:si>
    <x:t>http://id.who.int/icd/release/11/beta/ichi/2047114763</x:t>
  </x:si>
  <x:si>
    <x:t>DFF.GA.BA</x:t>
  </x:si>
  <x:si>
    <x:t>- - - - - Destruction of lesion or tissue of abdominal or pelvic lymph node by radiotherapy</x:t>
  </x:si>
  <x:si>
    <x:t>http://id.who.int/icd/entity/88038678</x:t>
  </x:si>
  <x:si>
    <x:t>http://id.who.int/icd/release/11/beta/ichi/88038678</x:t>
  </x:si>
  <x:si>
    <x:t>DFF.JB.AA</x:t>
  </x:si>
  <x:si>
    <x:t>- - - - - Drainage of abdominal or pelvic region lymph node</x:t>
  </x:si>
  <x:si>
    <x:t>http://id.who.int/icd/entity/1270754369</x:t>
  </x:si>
  <x:si>
    <x:t>http://id.who.int/icd/release/11/beta/ichi/1270754369</x:t>
  </x:si>
  <x:si>
    <x:t>DFF.JB.AE</x:t>
  </x:si>
  <x:si>
    <x:t>- - - - - Percutaneous drainage of abdominal or pelvic region lymph node</x:t>
  </x:si>
  <x:si>
    <x:t>http://id.who.int/icd/entity/368428196</x:t>
  </x:si>
  <x:si>
    <x:t>http://id.who.int/icd/release/11/beta/ichi/368428196</x:t>
  </x:si>
  <x:si>
    <x:t>DFF.JJ.AA</x:t>
  </x:si>
  <x:si>
    <x:t>- - - - - Partial excision of abdominal or pelvic region lymph node</x:t>
  </x:si>
  <x:si>
    <x:t>http://id.who.int/icd/entity/2133873141</x:t>
  </x:si>
  <x:si>
    <x:t>http://id.who.int/icd/release/11/beta/ichi/2133873141</x:t>
  </x:si>
  <x:si>
    <x:t>DFF.JJ.AB</x:t>
  </x:si>
  <x:si>
    <x:t>- - - - - Laparoscopic partial excision of abdominal or pelvic region lymph node</x:t>
  </x:si>
  <x:si>
    <x:t>http://id.who.int/icd/entity/1882089751</x:t>
  </x:si>
  <x:si>
    <x:t>http://id.who.int/icd/release/11/beta/ichi/1882089751</x:t>
  </x:si>
  <x:si>
    <x:t>DFF.JK.AA</x:t>
  </x:si>
  <x:si>
    <x:t>- - - - - Total excision of abdominal or pelvic lymph node</x:t>
  </x:si>
  <x:si>
    <x:t>http://id.who.int/icd/entity/1601082297</x:t>
  </x:si>
  <x:si>
    <x:t>http://id.who.int/icd/release/11/beta/ichi/1601082297</x:t>
  </x:si>
  <x:si>
    <x:t>DFF.JK.AB</x:t>
  </x:si>
  <x:si>
    <x:t>- - - - - Laparoscopic total excision of abdominal or pelvic region lymph node</x:t>
  </x:si>
  <x:si>
    <x:t>http://id.who.int/icd/entity/259932168</x:t>
  </x:si>
  <x:si>
    <x:t>http://id.who.int/icd/release/11/beta/ichi/259932168</x:t>
  </x:si>
  <x:si>
    <x:t>DFF.JL.AA</x:t>
  </x:si>
  <x:si>
    <x:t>- - - - - Radical excision of abdominal or pelvic region lymph node</x:t>
  </x:si>
  <x:si>
    <x:t>http://id.who.int/icd/entity/612576408</x:t>
  </x:si>
  <x:si>
    <x:t>http://id.who.int/icd/release/11/beta/ichi/612576408</x:t>
  </x:si>
  <x:si>
    <x:t>DFM.AD.AA</x:t>
  </x:si>
  <x:si>
    <x:t>- - - - - Biopsy of inguinal lymph node</x:t>
  </x:si>
  <x:si>
    <x:t>http://id.who.int/icd/entity/901778656</x:t>
  </x:si>
  <x:si>
    <x:t>http://id.who.int/icd/release/11/beta/ichi/901778656</x:t>
  </x:si>
  <x:si>
    <x:t>DFM.AD.AB</x:t>
  </x:si>
  <x:si>
    <x:t>- - - - - Laparoscopic biopsy of inguinal lymph node</x:t>
  </x:si>
  <x:si>
    <x:t>http://id.who.int/icd/entity/1081510035</x:t>
  </x:si>
  <x:si>
    <x:t>http://id.who.int/icd/release/11/beta/ichi/1081510035</x:t>
  </x:si>
  <x:si>
    <x:t>DFM.AD.AE</x:t>
  </x:si>
  <x:si>
    <x:t>- - - - - Percutaneous biopsy of inguinal lymph node</x:t>
  </x:si>
  <x:si>
    <x:t>http://id.who.int/icd/entity/1299508628</x:t>
  </x:si>
  <x:si>
    <x:t>http://id.who.int/icd/release/11/beta/ichi/1299508628</x:t>
  </x:si>
  <x:si>
    <x:t>DFM.BA.BB</x:t>
  </x:si>
  <x:si>
    <x:t>- - - - - Lymphogram of inguinal lymph node</x:t>
  </x:si>
  <x:si>
    <x:t>http://id.who.int/icd/entity/313965751</x:t>
  </x:si>
  <x:si>
    <x:t>http://id.who.int/icd/release/11/beta/ichi/313965751</x:t>
  </x:si>
  <x:si>
    <x:t>DFM.BA.BJ</x:t>
  </x:si>
  <x:si>
    <x:t>- - - - - Ultrasound of inguinal lymph node</x:t>
  </x:si>
  <x:si>
    <x:t>http://id.who.int/icd/entity/269308196</x:t>
  </x:si>
  <x:si>
    <x:t>http://id.who.int/icd/release/11/beta/ichi/269308196</x:t>
  </x:si>
  <x:si>
    <x:t>DFM.GA.BA</x:t>
  </x:si>
  <x:si>
    <x:t>- - - - - Destruction of lesion or tissue of inguinal lymph node by radiotherapy</x:t>
  </x:si>
  <x:si>
    <x:t>http://id.who.int/icd/entity/531945906</x:t>
  </x:si>
  <x:si>
    <x:t>http://id.who.int/icd/release/11/beta/ichi/531945906</x:t>
  </x:si>
  <x:si>
    <x:t>DFM.JB.AA</x:t>
  </x:si>
  <x:si>
    <x:t>- - - - - Drainage of inguinal lymph node</x:t>
  </x:si>
  <x:si>
    <x:t>http://id.who.int/icd/entity/2132349723</x:t>
  </x:si>
  <x:si>
    <x:t>http://id.who.int/icd/release/11/beta/ichi/2132349723</x:t>
  </x:si>
  <x:si>
    <x:t>DFM.JB.AE</x:t>
  </x:si>
  <x:si>
    <x:t>- - - - - Percutaneous drainage of inguinal lymph node</x:t>
  </x:si>
  <x:si>
    <x:t>http://id.who.int/icd/entity/1889573769</x:t>
  </x:si>
  <x:si>
    <x:t>http://id.who.int/icd/release/11/beta/ichi/1889573769</x:t>
  </x:si>
  <x:si>
    <x:t>DFM.JJ.AA</x:t>
  </x:si>
  <x:si>
    <x:t>- - - - - Partial excision of inguinal lymph node</x:t>
  </x:si>
  <x:si>
    <x:t>http://id.who.int/icd/entity/1972679799</x:t>
  </x:si>
  <x:si>
    <x:t>http://id.who.int/icd/release/11/beta/ichi/1972679799</x:t>
  </x:si>
  <x:si>
    <x:t>DFM.JJ.AB</x:t>
  </x:si>
  <x:si>
    <x:t>- - - - - Laparoscopic partial excision of inguinal lymph node</x:t>
  </x:si>
  <x:si>
    <x:t>http://id.who.int/icd/entity/2049785061</x:t>
  </x:si>
  <x:si>
    <x:t>http://id.who.int/icd/release/11/beta/ichi/2049785061</x:t>
  </x:si>
  <x:si>
    <x:t>DFM.JK.AA</x:t>
  </x:si>
  <x:si>
    <x:t>- - - - - Total excision of inguinal lymph node</x:t>
  </x:si>
  <x:si>
    <x:t>http://id.who.int/icd/entity/341131148</x:t>
  </x:si>
  <x:si>
    <x:t>http://id.who.int/icd/release/11/beta/ichi/341131148</x:t>
  </x:si>
  <x:si>
    <x:t>DFM.JK.AB</x:t>
  </x:si>
  <x:si>
    <x:t>- - - - - Laparoscopic total excision of inguinal lymph node</x:t>
  </x:si>
  <x:si>
    <x:t>http://id.who.int/icd/entity/457901936</x:t>
  </x:si>
  <x:si>
    <x:t>http://id.who.int/icd/release/11/beta/ichi/457901936</x:t>
  </x:si>
  <x:si>
    <x:t>DFM.JL.AA</x:t>
  </x:si>
  <x:si>
    <x:t>- - - - - Radical excision of inguinal lymph node</x:t>
  </x:si>
  <x:si>
    <x:t>http://id.who.int/icd/entity/168306456</x:t>
  </x:si>
  <x:si>
    <x:t>http://id.who.int/icd/release/11/beta/ichi/168306456</x:t>
  </x:si>
  <x:si>
    <x:t>DFO.BA.BB</x:t>
  </x:si>
  <x:si>
    <x:t>- - - - - Lymphangiogram</x:t>
  </x:si>
  <x:si>
    <x:t>http://id.who.int/icd/entity/2078229015</x:t>
  </x:si>
  <x:si>
    <x:t>http://id.who.int/icd/release/11/beta/ichi/2078229015</x:t>
  </x:si>
  <x:si>
    <x:t>DFO.BA.BE</x:t>
  </x:si>
  <x:si>
    <x:t>- - - - - Nuclear imaging study of the lymphatic vessel</x:t>
  </x:si>
  <x:si>
    <x:t>http://id.who.int/icd/entity/1952893573</x:t>
  </x:si>
  <x:si>
    <x:t>http://id.who.int/icd/release/11/beta/ichi/1952893573</x:t>
  </x:si>
  <x:si>
    <x:t>DFO.BA.BF</x:t>
  </x:si>
  <x:si>
    <x:t>- - - - - Single photon emission computerised tomography of lymphatic vessel</x:t>
  </x:si>
  <x:si>
    <x:t>http://id.who.int/icd/entity/556350668</x:t>
  </x:si>
  <x:si>
    <x:t>http://id.who.int/icd/release/11/beta/ichi/556350668</x:t>
  </x:si>
  <x:si>
    <x:t>DFO.BA.BG</x:t>
  </x:si>
  <x:si>
    <x:t>- - - - - Positron emission tomography of lymphatic vessel</x:t>
  </x:si>
  <x:si>
    <x:t>http://id.who.int/icd/entity/1873300895</x:t>
  </x:si>
  <x:si>
    <x:t>http://id.who.int/icd/release/11/beta/ichi/1873300895</x:t>
  </x:si>
  <x:si>
    <x:t>DFO.GA.AA</x:t>
  </x:si>
  <x:si>
    <x:t>- - - - - Destruction of lymphatic vessel</x:t>
  </x:si>
  <x:si>
    <x:t>http://id.who.int/icd/entity/997065234</x:t>
  </x:si>
  <x:si>
    <x:t>http://id.who.int/icd/release/11/beta/ichi/997065234</x:t>
  </x:si>
  <x:si>
    <x:t>DFO.JB.AA</x:t>
  </x:si>
  <x:si>
    <x:t>- - - - - Drainage of lymphatic vessel</x:t>
  </x:si>
  <x:si>
    <x:t>http://id.who.int/icd/entity/1312653043</x:t>
  </x:si>
  <x:si>
    <x:t>http://id.who.int/icd/release/11/beta/ichi/1312653043</x:t>
  </x:si>
  <x:si>
    <x:t>DFO.JB.AB</x:t>
  </x:si>
  <x:si>
    <x:t>- - - - - Laparoscopic drainage of lymphatic vessel</x:t>
  </x:si>
  <x:si>
    <x:t>http://id.who.int/icd/entity/1954755093</x:t>
  </x:si>
  <x:si>
    <x:t>http://id.who.int/icd/release/11/beta/ichi/1954755093</x:t>
  </x:si>
  <x:si>
    <x:t>DFO.JB.AE</x:t>
  </x:si>
  <x:si>
    <x:t>- - - - - Percutaneous drainage of lymphatic vessel</x:t>
  </x:si>
  <x:si>
    <x:t>http://id.who.int/icd/entity/348848174</x:t>
  </x:si>
  <x:si>
    <x:t>http://id.who.int/icd/release/11/beta/ichi/348848174</x:t>
  </x:si>
  <x:si>
    <x:t>DFO.JI.AA</x:t>
  </x:si>
  <x:si>
    <x:t>- - - - - Local excision of lesion of lymphatic vessel</x:t>
  </x:si>
  <x:si>
    <x:t>http://id.who.int/icd/entity/533667460</x:t>
  </x:si>
  <x:si>
    <x:t>http://id.who.int/icd/release/11/beta/ichi/533667460</x:t>
  </x:si>
  <x:si>
    <x:t>DFO.KD.AA</x:t>
  </x:si>
  <x:si>
    <x:t>- - - - - Transplantation of lymphatic vessel</x:t>
  </x:si>
  <x:si>
    <x:t>http://id.who.int/icd/entity/244072180</x:t>
  </x:si>
  <x:si>
    <x:t>http://id.who.int/icd/release/11/beta/ichi/244072180</x:t>
  </x:si>
  <x:si>
    <x:t>DFO.LA.AA</x:t>
  </x:si>
  <x:si>
    <x:t>- - - - - Occlusion of lymphatic vessel</x:t>
  </x:si>
  <x:si>
    <x:t>http://id.who.int/icd/entity/342667360</x:t>
  </x:si>
  <x:si>
    <x:t>http://id.who.int/icd/release/11/beta/ichi/342667360</x:t>
  </x:si>
  <x:si>
    <x:t>DFO.LB.AA</x:t>
  </x:si>
  <x:si>
    <x:t>- - - - - Anastomosis of lymphatic vessel</x:t>
  </x:si>
  <x:si>
    <x:t>http://id.who.int/icd/entity/1142385135</x:t>
  </x:si>
  <x:si>
    <x:t>http://id.who.int/icd/release/11/beta/ichi/1142385135</x:t>
  </x:si>
  <x:si>
    <x:t>DFO.LG.AA</x:t>
  </x:si>
  <x:si>
    <x:t>- - - - - Dilatation of peripheral lymphatic vessel</x:t>
  </x:si>
  <x:si>
    <x:t>http://id.who.int/icd/entity/1800901441</x:t>
  </x:si>
  <x:si>
    <x:t>http://id.who.int/icd/release/11/beta/ichi/1800901441</x:t>
  </x:si>
  <x:si>
    <x:t>DFO.LI.AA</x:t>
  </x:si>
  <x:si>
    <x:t>- - - - - Bypass of lymphatic vessel</x:t>
  </x:si>
  <x:si>
    <x:t>http://id.who.int/icd/entity/1799133519</x:t>
  </x:si>
  <x:si>
    <x:t>http://id.who.int/icd/release/11/beta/ichi/1799133519</x:t>
  </x:si>
  <x:si>
    <x:t>DFO.MK.AA</x:t>
  </x:si>
  <x:si>
    <x:t>- - - - - Repair of lymphatic vessels</x:t>
  </x:si>
  <x:si>
    <x:t>http://id.who.int/icd/entity/889112686</x:t>
  </x:si>
  <x:si>
    <x:t>http://id.who.int/icd/release/11/beta/ichi/889112686</x:t>
  </x:si>
  <x:si>
    <x:t>DFO.ML.AA</x:t>
  </x:si>
  <x:si>
    <x:t>- - - - - Reconstruction of lymphatic vessel</x:t>
  </x:si>
  <x:si>
    <x:t>http://id.who.int/icd/entity/1057619496</x:t>
  </x:si>
  <x:si>
    <x:t>http://id.who.int/icd/release/11/beta/ichi/1057619496</x:t>
  </x:si>
  <x:si>
    <x:t>DFO.ZZ.AF</x:t>
  </x:si>
  <x:si>
    <x:t>- - - - - Percutaneous occlusion of lymphatic vessel</x:t>
  </x:si>
  <x:si>
    <x:t>http://id.who.int/icd/entity/1686442461</x:t>
  </x:si>
  <x:si>
    <x:t>http://id.who.int/icd/release/11/beta/ichi/1686442461</x:t>
  </x:si>
  <x:si>
    <x:t>DFP.FA.AA</x:t>
  </x:si>
  <x:si>
    <x:t>- - - - - Fistulisation of thoracic duct</x:t>
  </x:si>
  <x:si>
    <x:t>http://id.who.int/icd/entity/288593326</x:t>
  </x:si>
  <x:si>
    <x:t>http://id.who.int/icd/release/11/beta/ichi/288593326</x:t>
  </x:si>
  <x:si>
    <x:t>DFP.JB.AF</x:t>
  </x:si>
  <x:si>
    <x:t>- - - - - Cannulation of thoracic duct</x:t>
  </x:si>
  <x:si>
    <x:t>http://id.who.int/icd/entity/986642750</x:t>
  </x:si>
  <x:si>
    <x:t>http://id.who.int/icd/release/11/beta/ichi/986642750</x:t>
  </x:si>
  <x:si>
    <x:t>DFP.LA.AA</x:t>
  </x:si>
  <x:si>
    <x:t>- - - - - Occlusion of thoracic duct</x:t>
  </x:si>
  <x:si>
    <x:t>http://id.who.int/icd/entity/192195444</x:t>
  </x:si>
  <x:si>
    <x:t>http://id.who.int/icd/release/11/beta/ichi/192195444</x:t>
  </x:si>
  <x:si>
    <x:t>DFP.LA.AB</x:t>
  </x:si>
  <x:si>
    <x:t>- - - - - Thoracoscopic occlusion of thoracic duct</x:t>
  </x:si>
  <x:si>
    <x:t>http://id.who.int/icd/entity/351572664</x:t>
  </x:si>
  <x:si>
    <x:t>http://id.who.int/icd/release/11/beta/ichi/351572664</x:t>
  </x:si>
  <x:si>
    <x:t>DFP.LA.AF</x:t>
  </x:si>
  <x:si>
    <x:t>- - - - - Percutaneous embolisation or occlusion of thoracic duct</x:t>
  </x:si>
  <x:si>
    <x:t>http://id.who.int/icd/entity/245726234</x:t>
  </x:si>
  <x:si>
    <x:t>http://id.who.int/icd/release/11/beta/ichi/245726234</x:t>
  </x:si>
  <x:si>
    <x:t>DFP.MK.AA</x:t>
  </x:si>
  <x:si>
    <x:t>- - - - - Closure of fistula of thoracic duct</x:t>
  </x:si>
  <x:si>
    <x:t>http://id.who.int/icd/entity/1591649707</x:t>
  </x:si>
  <x:si>
    <x:t>http://id.who.int/icd/release/11/beta/ichi/1591649707</x:t>
  </x:si>
  <x:si>
    <x:t>DFP.MK.AB</x:t>
  </x:si>
  <x:si>
    <x:t>- - - - - Thoracoscopic closure of fistula of thoracic duct</x:t>
  </x:si>
  <x:si>
    <x:t>http://id.who.int/icd/entity/1367783028</x:t>
  </x:si>
  <x:si>
    <x:t>http://id.who.int/icd/release/11/beta/ichi/1367783028</x:t>
  </x:si>
  <x:si>
    <x:t>DFZ.AA.ZZ</x:t>
  </x:si>
  <x:si>
    <x:t>- - - - - Assessment of lymphatic structure, not elsewhere classified</x:t>
  </x:si>
  <x:si>
    <x:t>http://id.who.int/icd/entity/239396695</x:t>
  </x:si>
  <x:si>
    <x:t>http://id.who.int/icd/release/11/beta/ichi/239396695</x:t>
  </x:si>
  <x:si>
    <x:t>DFZ.AB.ZZ</x:t>
  </x:si>
  <x:si>
    <x:t>- - - - - Measurement of lymphatic structure, not elsewhere classified</x:t>
  </x:si>
  <x:si>
    <x:t>http://id.who.int/icd/entity/18674824</x:t>
  </x:si>
  <x:si>
    <x:t>http://id.who.int/icd/release/11/beta/ichi/18674824</x:t>
  </x:si>
  <x:si>
    <x:t>DFZ.AD.AA</x:t>
  </x:si>
  <x:si>
    <x:t>- - - - - Biopsy of lymphatic structure, not elsewhere classified</x:t>
  </x:si>
  <x:si>
    <x:t>http://id.who.int/icd/entity/719427608</x:t>
  </x:si>
  <x:si>
    <x:t>http://id.who.int/icd/release/11/beta/ichi/719427608</x:t>
  </x:si>
  <x:si>
    <x:t>DFZ.JB.AA</x:t>
  </x:si>
  <x:si>
    <x:t>- - - - - Drainage of lymphatic structure, not elsewhere classified</x:t>
  </x:si>
  <x:si>
    <x:t>http://id.who.int/icd/entity/1414726343</x:t>
  </x:si>
  <x:si>
    <x:t>http://id.who.int/icd/release/11/beta/ichi/1414726343</x:t>
  </x:si>
  <x:si>
    <x:t>DFZ.JB.AH</x:t>
  </x:si>
  <x:si>
    <x:t>- - - - - External drainage of lymphatic structure, not elsewhere classified</x:t>
  </x:si>
  <x:si>
    <x:t>http://id.who.int/icd/entity/1050056594</x:t>
  </x:si>
  <x:si>
    <x:t>http://id.who.int/icd/release/11/beta/ichi/1050056594</x:t>
  </x:si>
  <x:si>
    <x:t>DFZ.JJ.AA</x:t>
  </x:si>
  <x:si>
    <x:t>- - - - - Partial excision of lymphatic structure, not elsewhere classified</x:t>
  </x:si>
  <x:si>
    <x:t>http://id.who.int/icd/entity/76507912</x:t>
  </x:si>
  <x:si>
    <x:t>http://id.who.int/icd/release/11/beta/ichi/76507912</x:t>
  </x:si>
  <x:si>
    <x:t>BlockL4-DGA</x:t>
  </x:si>
  <x:si>
    <x:t>- - - - Interventions on bone marrow</x:t>
  </x:si>
  <x:si>
    <x:t>http://id.who.int/icd/entity/611719482</x:t>
  </x:si>
  <x:si>
    <x:t>http://id.who.int/icd/release/11/beta/ichi/611719482</x:t>
  </x:si>
  <x:si>
    <x:t>DGA.AD.AE</x:t>
  </x:si>
  <x:si>
    <x:t>- - - - - Percutaneous biopsy of bone marrow</x:t>
  </x:si>
  <x:si>
    <x:t>http://id.who.int/icd/entity/2075412505</x:t>
  </x:si>
  <x:si>
    <x:t>http://id.who.int/icd/release/11/beta/ichi/2075412505</x:t>
  </x:si>
  <x:si>
    <x:t>DGA.BA.BH</x:t>
  </x:si>
  <x:si>
    <x:t>- - - - - Magnetic resonance imaging of bone marrow</x:t>
  </x:si>
  <x:si>
    <x:t>http://id.who.int/icd/entity/1292554488</x:t>
  </x:si>
  <x:si>
    <x:t>http://id.who.int/icd/release/11/beta/ichi/1292554488</x:t>
  </x:si>
  <x:si>
    <x:t>DGA.DB.AE</x:t>
  </x:si>
  <x:si>
    <x:t>- - - - - Injection into bone marrow</x:t>
  </x:si>
  <x:si>
    <x:t>http://id.who.int/icd/entity/1727511656</x:t>
  </x:si>
  <x:si>
    <x:t>http://id.who.int/icd/release/11/beta/ichi/1727511656</x:t>
  </x:si>
  <x:si>
    <x:t>DGA.JH.AE</x:t>
  </x:si>
  <x:si>
    <x:t>- - - - - Aspiration of bone marrow from donor for transplant</x:t>
  </x:si>
  <x:si>
    <x:t>http://id.who.int/icd/entity/2008325152</x:t>
  </x:si>
  <x:si>
    <x:t>http://id.who.int/icd/release/11/beta/ichi/2008325152</x:t>
  </x:si>
  <x:si>
    <x:t>DGA.KD.AF</x:t>
  </x:si>
  <x:si>
    <x:t>- - - - - Bone marrow or stem cell transplant</x:t>
  </x:si>
  <x:si>
    <x:t>http://id.who.int/icd/entity/402435621</x:t>
  </x:si>
  <x:si>
    <x:t>http://id.who.int/icd/release/11/beta/ichi/402435621</x:t>
  </x:si>
  <x:si>
    <x:t>BlockL4-DIA</x:t>
  </x:si>
  <x:si>
    <x:t>- - - - Interventions on blood</x:t>
  </x:si>
  <x:si>
    <x:t>http://id.who.int/icd/entity/1695591348</x:t>
  </x:si>
  <x:si>
    <x:t>http://id.who.int/icd/release/11/beta/ichi/1695591348</x:t>
  </x:si>
  <x:si>
    <x:t>DIA.AH.XA</x:t>
  </x:si>
  <x:si>
    <x:t>- - - - - Specimen collection of blood</x:t>
  </x:si>
  <x:si>
    <x:t>http://id.who.int/icd/entity/923130905</x:t>
  </x:si>
  <x:si>
    <x:t>http://id.who.int/icd/release/11/beta/ichi/923130905</x:t>
  </x:si>
  <x:si>
    <x:t>DIA.DG.AF</x:t>
  </x:si>
  <x:si>
    <x:t>- - - - - Transfusion of blood or blood products</x:t>
  </x:si>
  <x:si>
    <x:t>http://id.who.int/icd/entity/951866507</x:t>
  </x:si>
  <x:si>
    <x:t>http://id.who.int/icd/release/11/beta/ichi/951866507</x:t>
  </x:si>
  <x:si>
    <x:t>DIA.JC.AF</x:t>
  </x:si>
  <x:si>
    <x:t>- - - - - Therapeutic apheresis</x:t>
  </x:si>
  <x:si>
    <x:t>http://id.who.int/icd/entity/1307519080</x:t>
  </x:si>
  <x:si>
    <x:t>http://id.who.int/icd/release/11/beta/ichi/1307519080</x:t>
  </x:si>
  <x:si>
    <x:t>DIA.JH.AF</x:t>
  </x:si>
  <x:si>
    <x:t>- - - - - Collection of blood or blood products</x:t>
  </x:si>
  <x:si>
    <x:t>http://id.who.int/icd/entity/1919241074</x:t>
  </x:si>
  <x:si>
    <x:t>http://id.who.int/icd/release/11/beta/ichi/1919241074</x:t>
  </x:si>
  <x:si>
    <x:t>BlockL4-DJA</x:t>
  </x:si>
  <x:si>
    <x:t>- - - - Interventions on spleen</x:t>
  </x:si>
  <x:si>
    <x:t>19</x:t>
  </x:si>
  <x:si>
    <x:t>http://id.who.int/icd/entity/1554778144</x:t>
  </x:si>
  <x:si>
    <x:t>http://id.who.int/icd/release/11/beta/ichi/1554778144</x:t>
  </x:si>
  <x:si>
    <x:t>DJA.AD.AA</x:t>
  </x:si>
  <x:si>
    <x:t>- - - - - Biopsy of spleen</x:t>
  </x:si>
  <x:si>
    <x:t>http://id.who.int/icd/entity/945400859</x:t>
  </x:si>
  <x:si>
    <x:t>http://id.who.int/icd/release/11/beta/ichi/945400859</x:t>
  </x:si>
  <x:si>
    <x:t>DJA.AD.AB</x:t>
  </x:si>
  <x:si>
    <x:t>- - - - - Laparoscopic biopsy of spleen</x:t>
  </x:si>
  <x:si>
    <x:t>http://id.who.int/icd/entity/1747088812</x:t>
  </x:si>
  <x:si>
    <x:t>http://id.who.int/icd/release/11/beta/ichi/1747088812</x:t>
  </x:si>
  <x:si>
    <x:t>DJA.AD.AE</x:t>
  </x:si>
  <x:si>
    <x:t>- - - - - Percutaneous biopsy of spleen</x:t>
  </x:si>
  <x:si>
    <x:t>http://id.who.int/icd/entity/582558385</x:t>
  </x:si>
  <x:si>
    <x:t>http://id.who.int/icd/release/11/beta/ichi/582558385</x:t>
  </x:si>
  <x:si>
    <x:t>DJA.BA.BE</x:t>
  </x:si>
  <x:si>
    <x:t>- - - - - Spleen scan or function study</x:t>
  </x:si>
  <x:si>
    <x:t>http://id.who.int/icd/entity/2105242514</x:t>
  </x:si>
  <x:si>
    <x:t>http://id.who.int/icd/release/11/beta/ichi/2105242514</x:t>
  </x:si>
  <x:si>
    <x:t>DJA.FA.AA</x:t>
  </x:si>
  <x:si>
    <x:t>- - - - - Incision of spleen</x:t>
  </x:si>
  <x:si>
    <x:t>http://id.who.int/icd/entity/872022727</x:t>
  </x:si>
  <x:si>
    <x:t>http://id.who.int/icd/release/11/beta/ichi/872022727</x:t>
  </x:si>
  <x:si>
    <x:t>DJA.JB.AA</x:t>
  </x:si>
  <x:si>
    <x:t>- - - - - Drainage of spleen</x:t>
  </x:si>
  <x:si>
    <x:t>http://id.who.int/icd/entity/762028077</x:t>
  </x:si>
  <x:si>
    <x:t>http://id.who.int/icd/release/11/beta/ichi/762028077</x:t>
  </x:si>
  <x:si>
    <x:t>DJA.JB.AB</x:t>
  </x:si>
  <x:si>
    <x:t>- - - - - Laparoscopic drainage of spleen</x:t>
  </x:si>
  <x:si>
    <x:t>http://id.who.int/icd/entity/1733773128</x:t>
  </x:si>
  <x:si>
    <x:t>http://id.who.int/icd/release/11/beta/ichi/1733773128</x:t>
  </x:si>
  <x:si>
    <x:t>DJA.JB.AE</x:t>
  </x:si>
  <x:si>
    <x:t>- - - - - Percutaneous drainage of spleen</x:t>
  </x:si>
  <x:si>
    <x:t>http://id.who.int/icd/entity/1117395588</x:t>
  </x:si>
  <x:si>
    <x:t>http://id.who.int/icd/release/11/beta/ichi/1117395588</x:t>
  </x:si>
  <x:si>
    <x:t>DJA.JI.AA</x:t>
  </x:si>
  <x:si>
    <x:t>- - - - - Local excision of lesion of spleen</x:t>
  </x:si>
  <x:si>
    <x:t>http://id.who.int/icd/entity/492325799</x:t>
  </x:si>
  <x:si>
    <x:t>http://id.who.int/icd/release/11/beta/ichi/492325799</x:t>
  </x:si>
  <x:si>
    <x:t>DJA.JI.AB</x:t>
  </x:si>
  <x:si>
    <x:t>- - - - - Laparoscopic local excision of lesion of spleen</x:t>
  </x:si>
  <x:si>
    <x:t>http://id.who.int/icd/entity/1294176790</x:t>
  </x:si>
  <x:si>
    <x:t>http://id.who.int/icd/release/11/beta/ichi/1294176790</x:t>
  </x:si>
  <x:si>
    <x:t>DJA.JJ.AA</x:t>
  </x:si>
  <x:si>
    <x:t>- - - - - Partial splenectomy</x:t>
  </x:si>
  <x:si>
    <x:t>http://id.who.int/icd/entity/1745565510</x:t>
  </x:si>
  <x:si>
    <x:t>http://id.who.int/icd/release/11/beta/ichi/1745565510</x:t>
  </x:si>
  <x:si>
    <x:t>DJA.JJ.AB</x:t>
  </x:si>
  <x:si>
    <x:t>- - - - - Laparoscopic partial splenectomy</x:t>
  </x:si>
  <x:si>
    <x:t>http://id.who.int/icd/entity/1140218838</x:t>
  </x:si>
  <x:si>
    <x:t>http://id.who.int/icd/release/11/beta/ichi/1140218838</x:t>
  </x:si>
  <x:si>
    <x:t>DJA.JK.AA</x:t>
  </x:si>
  <x:si>
    <x:t>- - - - - Total splenectomy</x:t>
  </x:si>
  <x:si>
    <x:t>http://id.who.int/icd/entity/389026907</x:t>
  </x:si>
  <x:si>
    <x:t>http://id.who.int/icd/release/11/beta/ichi/389026907</x:t>
  </x:si>
  <x:si>
    <x:t>DJA.JK.AB</x:t>
  </x:si>
  <x:si>
    <x:t>- - - - - Laparoscopic total splenectomy</x:t>
  </x:si>
  <x:si>
    <x:t>http://id.who.int/icd/entity/1652985898</x:t>
  </x:si>
  <x:si>
    <x:t>http://id.who.int/icd/release/11/beta/ichi/1652985898</x:t>
  </x:si>
  <x:si>
    <x:t>DJA.KD.AA</x:t>
  </x:si>
  <x:si>
    <x:t>- - - - - Transplantation of spleen</x:t>
  </x:si>
  <x:si>
    <x:t>http://id.who.int/icd/entity/1832851644</x:t>
  </x:si>
  <x:si>
    <x:t>http://id.who.int/icd/release/11/beta/ichi/1832851644</x:t>
  </x:si>
  <x:si>
    <x:t>DJA.LC.AA</x:t>
  </x:si>
  <x:si>
    <x:t>- - - - - Fixation of spleen</x:t>
  </x:si>
  <x:si>
    <x:t>http://id.who.int/icd/entity/1027916043</x:t>
  </x:si>
  <x:si>
    <x:t>http://id.who.int/icd/release/11/beta/ichi/1027916043</x:t>
  </x:si>
  <x:si>
    <x:t>DJA.LC.AB</x:t>
  </x:si>
  <x:si>
    <x:t>- - - - - Laparoscopic fixation of spleen</x:t>
  </x:si>
  <x:si>
    <x:t>http://id.who.int/icd/entity/2011141648</x:t>
  </x:si>
  <x:si>
    <x:t>http://id.who.int/icd/release/11/beta/ichi/2011141648</x:t>
  </x:si>
  <x:si>
    <x:t>DJA.MK.AA</x:t>
  </x:si>
  <x:si>
    <x:t>- - - - - Repair of spleen</x:t>
  </x:si>
  <x:si>
    <x:t>http://id.who.int/icd/entity/1298258680</x:t>
  </x:si>
  <x:si>
    <x:t>http://id.who.int/icd/release/11/beta/ichi/1298258680</x:t>
  </x:si>
  <x:si>
    <x:t>DJA.MK.AB</x:t>
  </x:si>
  <x:si>
    <x:t>- - - - - Laparoscopic repair of spleen</x:t>
  </x:si>
  <x:si>
    <x:t>http://id.who.int/icd/entity/1535418072</x:t>
  </x:si>
  <x:si>
    <x:t>http://id.who.int/icd/release/11/beta/ichi/1535418072</x:t>
  </x:si>
  <x:si>
    <x:t>BlockL4-DTA</x:t>
  </x:si>
  <x:si>
    <x:t>- - - - Interventions on functions of haematopoietic or reticuloendothelial system</x:t>
  </x:si>
  <x:si>
    <x:t>28</x:t>
  </x:si>
  <x:si>
    <x:t>http://id.who.int/icd/entity/2071850214</x:t>
  </x:si>
  <x:si>
    <x:t>http://id.who.int/icd/release/11/beta/ichi/2071850214</x:t>
  </x:si>
  <x:si>
    <x:t>DTA.AA.ZZ</x:t>
  </x:si>
  <x:si>
    <x:t>- - - - - Assessment of haematological system functions</x:t>
  </x:si>
  <x:si>
    <x:t>http://id.who.int/icd/entity/1959027832</x:t>
  </x:si>
  <x:si>
    <x:t>http://id.who.int/icd/release/11/beta/ichi/1959027832</x:t>
  </x:si>
  <x:si>
    <x:t>DTA.AB.ZZ</x:t>
  </x:si>
  <x:si>
    <x:t>- - - - - Measurement of haematological system functions</x:t>
  </x:si>
  <x:si>
    <x:t>http://id.who.int/icd/entity/2143320794</x:t>
  </x:si>
  <x:si>
    <x:t>http://id.who.int/icd/release/11/beta/ichi/2143320794</x:t>
  </x:si>
  <x:si>
    <x:t>DTA.AC.ZZ</x:t>
  </x:si>
  <x:si>
    <x:t>- - - - - Test of functions of the haematological system</x:t>
  </x:si>
  <x:si>
    <x:t>http://id.who.int/icd/entity/24305669</x:t>
  </x:si>
  <x:si>
    <x:t>http://id.who.int/icd/release/11/beta/ichi/24305669</x:t>
  </x:si>
  <x:si>
    <x:t>DTA.AM.ZZ</x:t>
  </x:si>
  <x:si>
    <x:t>- - - - - Observation of functions of the haematological system</x:t>
  </x:si>
  <x:si>
    <x:t>http://id.who.int/icd/entity/2118763292</x:t>
  </x:si>
  <x:si>
    <x:t>http://id.who.int/icd/release/11/beta/ichi/2118763292</x:t>
  </x:si>
  <x:si>
    <x:t>DTA.DB.AE</x:t>
  </x:si>
  <x:si>
    <x:t>- - - - - Injection of anticoagulant</x:t>
  </x:si>
  <x:si>
    <x:t>http://id.who.int/icd/entity/1437904780</x:t>
  </x:si>
  <x:si>
    <x:t>http://id.who.int/icd/release/11/beta/ichi/1437904780</x:t>
  </x:si>
  <x:si>
    <x:t>DTA.PH.ZZ</x:t>
  </x:si>
  <x:si>
    <x:t>- - - - - Training for functions of the haematological system</x:t>
  </x:si>
  <x:si>
    <x:t>http://id.who.int/icd/entity/1533109832</x:t>
  </x:si>
  <x:si>
    <x:t>http://id.who.int/icd/release/11/beta/ichi/1533109832</x:t>
  </x:si>
  <x:si>
    <x:t>DTA.PM.ZZ</x:t>
  </x:si>
  <x:si>
    <x:t>- - - - - Education about functions of the haematological system</x:t>
  </x:si>
  <x:si>
    <x:t>http://id.who.int/icd/entity/609895767</x:t>
  </x:si>
  <x:si>
    <x:t>http://id.who.int/icd/release/11/beta/ichi/609895767</x:t>
  </x:si>
  <x:si>
    <x:t>DTA.PN.ZZ</x:t>
  </x:si>
  <x:si>
    <x:t>- - - - - Advising about functions of the haematological system</x:t>
  </x:si>
  <x:si>
    <x:t>http://id.who.int/icd/entity/560884393</x:t>
  </x:si>
  <x:si>
    <x:t>http://id.who.int/icd/release/11/beta/ichi/560884393</x:t>
  </x:si>
  <x:si>
    <x:t>DTA.PP.ZZ</x:t>
  </x:si>
  <x:si>
    <x:t>- - - - - Counselling for functions of the haematological system</x:t>
  </x:si>
  <x:si>
    <x:t>http://id.who.int/icd/entity/1374470436</x:t>
  </x:si>
  <x:si>
    <x:t>http://id.who.int/icd/release/11/beta/ichi/1374470436</x:t>
  </x:si>
  <x:si>
    <x:t>DTA.RB.ZZ</x:t>
  </x:si>
  <x:si>
    <x:t>- - - - - Practical support with functions of the haematological system</x:t>
  </x:si>
  <x:si>
    <x:t>http://id.who.int/icd/entity/2125216652</x:t>
  </x:si>
  <x:si>
    <x:t>http://id.who.int/icd/release/11/beta/ichi/2125216652</x:t>
  </x:si>
  <x:si>
    <x:t>DTA.RC.ZZ</x:t>
  </x:si>
  <x:si>
    <x:t>- - - - - Emotional support for functions of the haematological system</x:t>
  </x:si>
  <x:si>
    <x:t>http://id.who.int/icd/entity/1152763678</x:t>
  </x:si>
  <x:si>
    <x:t>http://id.who.int/icd/release/11/beta/ichi/1152763678</x:t>
  </x:si>
  <x:si>
    <x:t>DTB.AA.ZZ</x:t>
  </x:si>
  <x:si>
    <x:t>- - - - - Assessment of immunological system functions</x:t>
  </x:si>
  <x:si>
    <x:t>http://id.who.int/icd/entity/460822079</x:t>
  </x:si>
  <x:si>
    <x:t>http://id.who.int/icd/release/11/beta/ichi/460822079</x:t>
  </x:si>
  <x:si>
    <x:t>DTB.AB.ZZ</x:t>
  </x:si>
  <x:si>
    <x:t>- - - - - Measurement of immunological system functions</x:t>
  </x:si>
  <x:si>
    <x:t>http://id.who.int/icd/entity/1805531070</x:t>
  </x:si>
  <x:si>
    <x:t>http://id.who.int/icd/release/11/beta/ichi/1805531070</x:t>
  </x:si>
  <x:si>
    <x:t>DTB.AC.ZZ</x:t>
  </x:si>
  <x:si>
    <x:t>- - - - - Test of functions of the immunological system</x:t>
  </x:si>
  <x:si>
    <x:t>http://id.who.int/icd/entity/1620715792</x:t>
  </x:si>
  <x:si>
    <x:t>http://id.who.int/icd/release/11/beta/ichi/1620715792</x:t>
  </x:si>
  <x:si>
    <x:t>DTB.AM.ZZ</x:t>
  </x:si>
  <x:si>
    <x:t>- - - - - Observation of functions of the immunological system</x:t>
  </x:si>
  <x:si>
    <x:t>http://id.who.int/icd/entity/878470815</x:t>
  </x:si>
  <x:si>
    <x:t>http://id.who.int/icd/release/11/beta/ichi/878470815</x:t>
  </x:si>
  <x:si>
    <x:t>DTB.DB.AC</x:t>
  </x:si>
  <x:si>
    <x:t>- - - - - Oral administration of immunological agent</x:t>
  </x:si>
  <x:si>
    <x:t>http://id.who.int/icd/entity/828918113</x:t>
  </x:si>
  <x:si>
    <x:t>http://id.who.int/icd/release/11/beta/ichi/828918113</x:t>
  </x:si>
  <x:si>
    <x:t>DTB.DB.AD</x:t>
  </x:si>
  <x:si>
    <x:t>- - - - - Intravesical administration of immunological agent</x:t>
  </x:si>
  <x:si>
    <x:t>http://id.who.int/icd/entity/198575495</x:t>
  </x:si>
  <x:si>
    <x:t>http://id.who.int/icd/release/11/beta/ichi/198575495</x:t>
  </x:si>
  <x:si>
    <x:t>DTB.DB.AE</x:t>
  </x:si>
  <x:si>
    <x:t>- - - - - Percutaneous administration of immunological agent</x:t>
  </x:si>
  <x:si>
    <x:t>http://id.who.int/icd/entity/989861533</x:t>
  </x:si>
  <x:si>
    <x:t>http://id.who.int/icd/release/11/beta/ichi/989861533</x:t>
  </x:si>
  <x:si>
    <x:t>DTB.DB.AF</x:t>
  </x:si>
  <x:si>
    <x:t>- - - - - Intravenous administration of immunological agent</x:t>
  </x:si>
  <x:si>
    <x:t>http://id.who.int/icd/entity/1899819512</x:t>
  </x:si>
  <x:si>
    <x:t>http://id.who.int/icd/release/11/beta/ichi/1899819512</x:t>
  </x:si>
  <x:si>
    <x:t>DTB.DB.AH</x:t>
  </x:si>
  <x:si>
    <x:t>- - - - - Topical application of immunological agent</x:t>
  </x:si>
  <x:si>
    <x:t>http://id.who.int/icd/entity/2050551642</x:t>
  </x:si>
  <x:si>
    <x:t>http://id.who.int/icd/release/11/beta/ichi/2050551642</x:t>
  </x:si>
  <x:si>
    <x:t>DTB.PH.ZZ</x:t>
  </x:si>
  <x:si>
    <x:t>- - - - - Training for functions of the immunological system</x:t>
  </x:si>
  <x:si>
    <x:t>http://id.who.int/icd/entity/76182917</x:t>
  </x:si>
  <x:si>
    <x:t>http://id.who.int/icd/release/11/beta/ichi/76182917</x:t>
  </x:si>
  <x:si>
    <x:t>DTB.PM.ZZ</x:t>
  </x:si>
  <x:si>
    <x:t>- - - - - Education about functions of the immunological system</x:t>
  </x:si>
  <x:si>
    <x:t>http://id.who.int/icd/entity/187956503</x:t>
  </x:si>
  <x:si>
    <x:t>http://id.who.int/icd/release/11/beta/ichi/187956503</x:t>
  </x:si>
  <x:si>
    <x:t>DTB.PN.ZZ</x:t>
  </x:si>
  <x:si>
    <x:t>- - - - - Advising about functions of the immunological system</x:t>
  </x:si>
  <x:si>
    <x:t>http://id.who.int/icd/entity/824836481</x:t>
  </x:si>
  <x:si>
    <x:t>http://id.who.int/icd/release/11/beta/ichi/824836481</x:t>
  </x:si>
  <x:si>
    <x:t>DTB.PP.ZZ</x:t>
  </x:si>
  <x:si>
    <x:t>- - - - - Counselling for functions of the immunological system</x:t>
  </x:si>
  <x:si>
    <x:t>http://id.who.int/icd/entity/1599210216</x:t>
  </x:si>
  <x:si>
    <x:t>http://id.who.int/icd/release/11/beta/ichi/1599210216</x:t>
  </x:si>
  <x:si>
    <x:t>DTB.RB.ZZ</x:t>
  </x:si>
  <x:si>
    <x:t>- - - - - Practical support with functions of the immunological system</x:t>
  </x:si>
  <x:si>
    <x:t>http://id.who.int/icd/entity/1860718754</x:t>
  </x:si>
  <x:si>
    <x:t>http://id.who.int/icd/release/11/beta/ichi/1860718754</x:t>
  </x:si>
  <x:si>
    <x:t>DTB.RC.ZZ</x:t>
  </x:si>
  <x:si>
    <x:t>- - - - - Emotional support for functions of the immunological system</x:t>
  </x:si>
  <x:si>
    <x:t>http://id.who.int/icd/entity/349023302</x:t>
  </x:si>
  <x:si>
    <x:t>http://id.who.int/icd/release/11/beta/ichi/349023302</x:t>
  </x:si>
  <x:si>
    <x:t>DTB.VD.AC</x:t>
  </x:si>
  <x:si>
    <x:t>- - - - - Oral vaccination</x:t>
  </x:si>
  <x:si>
    <x:t>http://id.who.int/icd/entity/1257066153</x:t>
  </x:si>
  <x:si>
    <x:t>http://id.who.int/icd/release/11/beta/ichi/1257066153</x:t>
  </x:si>
  <x:si>
    <x:t>DTB.VD.AE</x:t>
  </x:si>
  <x:si>
    <x:t>- - - - - Percutaneous vaccination</x:t>
  </x:si>
  <x:si>
    <x:t>http://id.who.int/icd/entity/708375001</x:t>
  </x:si>
  <x:si>
    <x:t>http://id.who.int/icd/release/11/beta/ichi/708375001</x:t>
  </x:si>
  <x:si>
    <x:t>BlockL4-DZZ</x:t>
  </x:si>
  <x:si>
    <x:t>- - - - Interventions on haematopoietic or reticuloendothelial system, not elsewhere classified</x:t>
  </x:si>
  <x:si>
    <x:t>http://id.who.int/icd/entity/180454373</x:t>
  </x:si>
  <x:si>
    <x:t>http://id.who.int/icd/release/11/beta/ichi/180454373</x:t>
  </x:si>
  <x:si>
    <x:t>DZZ.AA.ZZ</x:t>
  </x:si>
  <x:si>
    <x:t>- - - - - Assessment of haematopoietic or reticuloendothelial system, not elsewhere classified</x:t>
  </x:si>
  <x:si>
    <x:t>http://id.who.int/icd/release/11/beta/ichi/2045100852/other</x:t>
  </x:si>
  <x:si>
    <x:t>DZZ.ZY.ZY</x:t>
  </x:si>
  <x:si>
    <x:t>- - - - Other specified interventions on the haematopoietic or lymphatic system</x:t>
  </x:si>
  <x:si>
    <x:t>http://id.who.int/icd/release/11/beta/ichi/2045100852/unspecified</x:t>
  </x:si>
  <x:si>
    <x:t>DZZ.ZZ.ZZ</x:t>
  </x:si>
  <x:si>
    <x:t>- - - - Interventions on the haematopoietic or lymphatic system, unspecified</x:t>
  </x:si>
  <x:si>
    <x:t>http://id.who.int/icd/entity/733038617</x:t>
  </x:si>
  <x:si>
    <x:t>http://id.who.int/icd/release/11/beta/ichi/733038617</x:t>
  </x:si>
  <x:si>
    <x:t>BlockL3-EAA</x:t>
  </x:si>
  <x:si>
    <x:t>- - - Interventions on the endocrine system</x:t>
  </x:si>
  <x:si>
    <x:t>http://id.who.int/icd/entity/988964975</x:t>
  </x:si>
  <x:si>
    <x:t>http://id.who.int/icd/release/11/beta/ichi/988964975</x:t>
  </x:si>
  <x:si>
    <x:t>BlockL4-EAA</x:t>
  </x:si>
  <x:si>
    <x:t>- - - - Interventions on cerebral endocrine structures</x:t>
  </x:si>
  <x:si>
    <x:t>29</x:t>
  </x:si>
  <x:si>
    <x:t>http://id.who.int/icd/entity/189282853</x:t>
  </x:si>
  <x:si>
    <x:t>http://id.who.int/icd/release/11/beta/ichi/189282853</x:t>
  </x:si>
  <x:si>
    <x:t>EAA.AD.AA</x:t>
  </x:si>
  <x:si>
    <x:t>- - - - - Biopsy of pituitary gland</x:t>
  </x:si>
  <x:si>
    <x:t>http://id.who.int/icd/entity/1364966504</x:t>
  </x:si>
  <x:si>
    <x:t>http://id.who.int/icd/release/11/beta/ichi/1364966504</x:t>
  </x:si>
  <x:si>
    <x:t>EAA.AD.AD</x:t>
  </x:si>
  <x:si>
    <x:t>- - - - - Endoscopic per orifice biopsy of pituitary gland</x:t>
  </x:si>
  <x:si>
    <x:t>http://id.who.int/icd/entity/94237671</x:t>
  </x:si>
  <x:si>
    <x:t>http://id.who.int/icd/release/11/beta/ichi/94237671</x:t>
  </x:si>
  <x:si>
    <x:t>EAA.AD.AE</x:t>
  </x:si>
  <x:si>
    <x:t>- - - - - Percutaneous biopsy of pituitary gland</x:t>
  </x:si>
  <x:si>
    <x:t>http://id.who.int/icd/entity/1881896852</x:t>
  </x:si>
  <x:si>
    <x:t>http://id.who.int/icd/release/11/beta/ichi/1881896852</x:t>
  </x:si>
  <x:si>
    <x:t>EAA.AE.AA</x:t>
  </x:si>
  <x:si>
    <x:t>- - - - - Exploration of pituitary fossa</x:t>
  </x:si>
  <x:si>
    <x:t>http://id.who.int/icd/entity/1540758276</x:t>
  </x:si>
  <x:si>
    <x:t>http://id.who.int/icd/release/11/beta/ichi/1540758276</x:t>
  </x:si>
  <x:si>
    <x:t>EAA.BA.BC</x:t>
  </x:si>
  <x:si>
    <x:t>- - - - - Computerised scan of pituitary gland, not elsewhere classified</x:t>
  </x:si>
  <x:si>
    <x:t>http://id.who.int/icd/entity/252728459</x:t>
  </x:si>
  <x:si>
    <x:t>http://id.who.int/icd/release/11/beta/ichi/252728459</x:t>
  </x:si>
  <x:si>
    <x:t>EAA.BA.BD</x:t>
  </x:si>
  <x:si>
    <x:t>- - - - - Computerised scan of pituitary gland with intravenous contrast</x:t>
  </x:si>
  <x:si>
    <x:t>http://id.who.int/icd/entity/889825309</x:t>
  </x:si>
  <x:si>
    <x:t>http://id.who.int/icd/release/11/beta/ichi/889825309</x:t>
  </x:si>
  <x:si>
    <x:t>EAA.BA.BG</x:t>
  </x:si>
  <x:si>
    <x:t>- - - - - Positron emission tomography of pituitary gland</x:t>
  </x:si>
  <x:si>
    <x:t>http://id.who.int/icd/entity/441012915</x:t>
  </x:si>
  <x:si>
    <x:t>http://id.who.int/icd/release/11/beta/ichi/441012915</x:t>
  </x:si>
  <x:si>
    <x:t>EAA.BA.BH</x:t>
  </x:si>
  <x:si>
    <x:t>- - - - - Magnetic resonance imaging of pituitary gland, not elsewhere classified</x:t>
  </x:si>
  <x:si>
    <x:t>http://id.who.int/icd/entity/1791752512</x:t>
  </x:si>
  <x:si>
    <x:t>http://id.who.int/icd/release/11/beta/ichi/1791752512</x:t>
  </x:si>
  <x:si>
    <x:t>EAA.BA.BI</x:t>
  </x:si>
  <x:si>
    <x:t>- - - - - Magnetic resonance imaging of pituitary gland with intravenous contrast</x:t>
  </x:si>
  <x:si>
    <x:t>http://id.who.int/icd/entity/790994121</x:t>
  </x:si>
  <x:si>
    <x:t>http://id.who.int/icd/release/11/beta/ichi/790994121</x:t>
  </x:si>
  <x:si>
    <x:t>EAA.DL.AA</x:t>
  </x:si>
  <x:si>
    <x:t>- - - - - Insertion of device into pituitary gland</x:t>
  </x:si>
  <x:si>
    <x:t>http://id.who.int/icd/entity/1344192472</x:t>
  </x:si>
  <x:si>
    <x:t>http://id.who.int/icd/release/11/beta/ichi/1344192472</x:t>
  </x:si>
  <x:si>
    <x:t>EAA.FA.AA</x:t>
  </x:si>
  <x:si>
    <x:t>- - - - - Incision of pituitary gland</x:t>
  </x:si>
  <x:si>
    <x:t>http://id.who.int/icd/entity/6645351</x:t>
  </x:si>
  <x:si>
    <x:t>http://id.who.int/icd/release/11/beta/ichi/6645351</x:t>
  </x:si>
  <x:si>
    <x:t>EAA.FB.AA</x:t>
  </x:si>
  <x:si>
    <x:t>- - - - - Division of pituitary gland</x:t>
  </x:si>
  <x:si>
    <x:t>http://id.who.int/icd/entity/89213337</x:t>
  </x:si>
  <x:si>
    <x:t>http://id.who.int/icd/release/11/beta/ichi/89213337</x:t>
  </x:si>
  <x:si>
    <x:t>EAA.GA.AA</x:t>
  </x:si>
  <x:si>
    <x:t>- - - - - Destruction of pituitary gland</x:t>
  </x:si>
  <x:si>
    <x:t>http://id.who.int/icd/entity/2053794438</x:t>
  </x:si>
  <x:si>
    <x:t>http://id.who.int/icd/release/11/beta/ichi/2053794438</x:t>
  </x:si>
  <x:si>
    <x:t>EAA.JB.AA</x:t>
  </x:si>
  <x:si>
    <x:t>- - - - - Drainage of pituitary gland</x:t>
  </x:si>
  <x:si>
    <x:t>http://id.who.int/icd/entity/255399525</x:t>
  </x:si>
  <x:si>
    <x:t>http://id.who.int/icd/release/11/beta/ichi/255399525</x:t>
  </x:si>
  <x:si>
    <x:t>EAA.JD.AA</x:t>
  </x:si>
  <x:si>
    <x:t>- - - - - Removal of device from pituitary gland</x:t>
  </x:si>
  <x:si>
    <x:t>http://id.who.int/icd/entity/616856309</x:t>
  </x:si>
  <x:si>
    <x:t>http://id.who.int/icd/release/11/beta/ichi/616856309</x:t>
  </x:si>
  <x:si>
    <x:t>EAA.JI.AA</x:t>
  </x:si>
  <x:si>
    <x:t>- - - - - Local excision of lesion of pituitary gland</x:t>
  </x:si>
  <x:si>
    <x:t>http://id.who.int/icd/entity/1358645064</x:t>
  </x:si>
  <x:si>
    <x:t>http://id.who.int/icd/release/11/beta/ichi/1358645064</x:t>
  </x:si>
  <x:si>
    <x:t>EAA.JJ.AA</x:t>
  </x:si>
  <x:si>
    <x:t>- - - - - Partial excision of pituitary gland</x:t>
  </x:si>
  <x:si>
    <x:t>http://id.who.int/icd/entity/817067389</x:t>
  </x:si>
  <x:si>
    <x:t>http://id.who.int/icd/release/11/beta/ichi/817067389</x:t>
  </x:si>
  <x:si>
    <x:t>EAA.JJ.AD</x:t>
  </x:si>
  <x:si>
    <x:t>- - - - - Endoscopic partial excision of pituitary gland</x:t>
  </x:si>
  <x:si>
    <x:t>http://id.who.int/icd/entity/2056229398</x:t>
  </x:si>
  <x:si>
    <x:t>http://id.who.int/icd/release/11/beta/ichi/2056229398</x:t>
  </x:si>
  <x:si>
    <x:t>EAA.JJ.AE</x:t>
  </x:si>
  <x:si>
    <x:t>- - - - - Percutaneous partial excision of pituitary gland</x:t>
  </x:si>
  <x:si>
    <x:t>http://id.who.int/icd/entity/1617894590</x:t>
  </x:si>
  <x:si>
    <x:t>http://id.who.int/icd/release/11/beta/ichi/1617894590</x:t>
  </x:si>
  <x:si>
    <x:t>EAA.JK.AA</x:t>
  </x:si>
  <x:si>
    <x:t>- - - - - Total excision of pituitary gland</x:t>
  </x:si>
  <x:si>
    <x:t>http://id.who.int/icd/entity/1523667034</x:t>
  </x:si>
  <x:si>
    <x:t>http://id.who.int/icd/release/11/beta/ichi/1523667034</x:t>
  </x:si>
  <x:si>
    <x:t>EAA.JK.AD</x:t>
  </x:si>
  <x:si>
    <x:t>- - - - - Endoscopic per orifice total excision of pituitary gland</x:t>
  </x:si>
  <x:si>
    <x:t>http://id.who.int/icd/entity/871800616</x:t>
  </x:si>
  <x:si>
    <x:t>http://id.who.int/icd/release/11/beta/ichi/871800616</x:t>
  </x:si>
  <x:si>
    <x:t>EAA.JK.AE</x:t>
  </x:si>
  <x:si>
    <x:t>- - - - - Percutaneous total excision of pituitary gland</x:t>
  </x:si>
  <x:si>
    <x:t>http://id.who.int/icd/entity/403436472</x:t>
  </x:si>
  <x:si>
    <x:t>http://id.who.int/icd/release/11/beta/ichi/403436472</x:t>
  </x:si>
  <x:si>
    <x:t>EAB.AD.AA</x:t>
  </x:si>
  <x:si>
    <x:t>- - - - - Biopsy of pineal gland</x:t>
  </x:si>
  <x:si>
    <x:t>http://id.who.int/icd/entity/155767760</x:t>
  </x:si>
  <x:si>
    <x:t>http://id.who.int/icd/release/11/beta/ichi/155767760</x:t>
  </x:si>
  <x:si>
    <x:t>EAB.AD.AB</x:t>
  </x:si>
  <x:si>
    <x:t>- - - - - Endoscopic biopsy of pineal gland</x:t>
  </x:si>
  <x:si>
    <x:t>http://id.who.int/icd/entity/2097043389</x:t>
  </x:si>
  <x:si>
    <x:t>http://id.who.int/icd/release/11/beta/ichi/2097043389</x:t>
  </x:si>
  <x:si>
    <x:t>EAB.AE.AA</x:t>
  </x:si>
  <x:si>
    <x:t>- - - - - Exploration of pineal gland</x:t>
  </x:si>
  <x:si>
    <x:t>http://id.who.int/icd/entity/746950156</x:t>
  </x:si>
  <x:si>
    <x:t>http://id.who.int/icd/release/11/beta/ichi/746950156</x:t>
  </x:si>
  <x:si>
    <x:t>EAB.FA.AA</x:t>
  </x:si>
  <x:si>
    <x:t>- - - - - Incision of pineal gland</x:t>
  </x:si>
  <x:si>
    <x:t>http://id.who.int/icd/entity/1934090031</x:t>
  </x:si>
  <x:si>
    <x:t>http://id.who.int/icd/release/11/beta/ichi/1934090031</x:t>
  </x:si>
  <x:si>
    <x:t>EAB.JI.AA</x:t>
  </x:si>
  <x:si>
    <x:t>- - - - - Local excision of lesion of pineal gland</x:t>
  </x:si>
  <x:si>
    <x:t>http://id.who.int/icd/entity/653119984</x:t>
  </x:si>
  <x:si>
    <x:t>http://id.who.int/icd/release/11/beta/ichi/653119984</x:t>
  </x:si>
  <x:si>
    <x:t>EAB.JJ.AA</x:t>
  </x:si>
  <x:si>
    <x:t>- - - - - Partial excision of pineal gland</x:t>
  </x:si>
  <x:si>
    <x:t>http://id.who.int/icd/entity/1989544001</x:t>
  </x:si>
  <x:si>
    <x:t>http://id.who.int/icd/release/11/beta/ichi/1989544001</x:t>
  </x:si>
  <x:si>
    <x:t>EAB.JK.AA</x:t>
  </x:si>
  <x:si>
    <x:t>- - - - - Total excision of pineal gland</x:t>
  </x:si>
  <x:si>
    <x:t>http://id.who.int/icd/entity/2033156307</x:t>
  </x:si>
  <x:si>
    <x:t>http://id.who.int/icd/release/11/beta/ichi/2033156307</x:t>
  </x:si>
  <x:si>
    <x:t>BlockL4-EBA</x:t>
  </x:si>
  <x:si>
    <x:t>- - - - Interventions on peripheral endocrine structures</x:t>
  </x:si>
  <x:si>
    <x:t>http://id.who.int/icd/entity/1507259119</x:t>
  </x:si>
  <x:si>
    <x:t>http://id.who.int/icd/release/11/beta/ichi/1507259119</x:t>
  </x:si>
  <x:si>
    <x:t>EBA.AD.AA</x:t>
  </x:si>
  <x:si>
    <x:t>- - - - - Biopsy of thyroid gland</x:t>
  </x:si>
  <x:si>
    <x:t>http://id.who.int/icd/entity/1558371601</x:t>
  </x:si>
  <x:si>
    <x:t>http://id.who.int/icd/release/11/beta/ichi/1558371601</x:t>
  </x:si>
  <x:si>
    <x:t>EBA.AD.AE</x:t>
  </x:si>
  <x:si>
    <x:t>- - - - - Percutaneous biopsy of thyroid gland</x:t>
  </x:si>
  <x:si>
    <x:t>http://id.who.int/icd/entity/1398494595</x:t>
  </x:si>
  <x:si>
    <x:t>http://id.who.int/icd/release/11/beta/ichi/1398494595</x:t>
  </x:si>
  <x:si>
    <x:t>EBA.AE.AA</x:t>
  </x:si>
  <x:si>
    <x:t>- - - - - Reopening of previous thyroid surgery site</x:t>
  </x:si>
  <x:si>
    <x:t>http://id.who.int/icd/entity/751290094</x:t>
  </x:si>
  <x:si>
    <x:t>http://id.who.int/icd/release/11/beta/ichi/751290094</x:t>
  </x:si>
  <x:si>
    <x:t>EBA.BA.BA</x:t>
  </x:si>
  <x:si>
    <x:t>- - - - - Noncontrast x-ray of thyroid region</x:t>
  </x:si>
  <x:si>
    <x:t>http://id.who.int/icd/entity/121285246</x:t>
  </x:si>
  <x:si>
    <x:t>http://id.who.int/icd/release/11/beta/ichi/121285246</x:t>
  </x:si>
  <x:si>
    <x:t>EBA.BA.BE</x:t>
  </x:si>
  <x:si>
    <x:t>- - - - - Thyroid scan or radioisotope function studies</x:t>
  </x:si>
  <x:si>
    <x:t>http://id.who.int/icd/entity/961269799</x:t>
  </x:si>
  <x:si>
    <x:t>http://id.who.int/icd/release/11/beta/ichi/961269799</x:t>
  </x:si>
  <x:si>
    <x:t>EBA.BA.BJ</x:t>
  </x:si>
  <x:si>
    <x:t>- - - - - Ultrasound of thyroid gland</x:t>
  </x:si>
  <x:si>
    <x:t>http://id.who.int/icd/entity/1292258583</x:t>
  </x:si>
  <x:si>
    <x:t>http://id.who.int/icd/release/11/beta/ichi/1292258583</x:t>
  </x:si>
  <x:si>
    <x:t>EBA.FA.AA</x:t>
  </x:si>
  <x:si>
    <x:t>- - - - - Incision of thyroid gland</x:t>
  </x:si>
  <x:si>
    <x:t>http://id.who.int/icd/entity/1936629185</x:t>
  </x:si>
  <x:si>
    <x:t>http://id.who.int/icd/release/11/beta/ichi/1936629185</x:t>
  </x:si>
  <x:si>
    <x:t>EBA.FB.AA</x:t>
  </x:si>
  <x:si>
    <x:t>- - - - - Division of thyroid isthmus</x:t>
  </x:si>
  <x:si>
    <x:t>http://id.who.int/icd/entity/1546545007</x:t>
  </x:si>
  <x:si>
    <x:t>http://id.who.int/icd/release/11/beta/ichi/1546545007</x:t>
  </x:si>
  <x:si>
    <x:t>EBA.GA.AE</x:t>
  </x:si>
  <x:si>
    <x:t>- - - - - Percutaneous destruction of tissue of thyroid</x:t>
  </x:si>
  <x:si>
    <x:t>http://id.who.int/icd/entity/480192362</x:t>
  </x:si>
  <x:si>
    <x:t>http://id.who.int/icd/release/11/beta/ichi/480192362</x:t>
  </x:si>
  <x:si>
    <x:t>EBA.GA.BA</x:t>
  </x:si>
  <x:si>
    <x:t>- - - - - Destruction of lesion or tissue of thyroid gland by radiotherapy</x:t>
  </x:si>
  <x:si>
    <x:t>http://id.who.int/icd/entity/639724430</x:t>
  </x:si>
  <x:si>
    <x:t>http://id.who.int/icd/release/11/beta/ichi/639724430</x:t>
  </x:si>
  <x:si>
    <x:t>EBA.GA.BE</x:t>
  </x:si>
  <x:si>
    <x:t>- - - - - Destruction of thyroid gland, using radioactive iodine</x:t>
  </x:si>
  <x:si>
    <x:t>http://id.who.int/icd/entity/1938515281</x:t>
  </x:si>
  <x:si>
    <x:t>http://id.who.int/icd/release/11/beta/ichi/1938515281</x:t>
  </x:si>
  <x:si>
    <x:t>EBA.JB.AA</x:t>
  </x:si>
  <x:si>
    <x:t>- - - - - Drainage of thyroid gland by incision</x:t>
  </x:si>
  <x:si>
    <x:t>http://id.who.int/icd/entity/1024070662</x:t>
  </x:si>
  <x:si>
    <x:t>http://id.who.int/icd/release/11/beta/ichi/1024070662</x:t>
  </x:si>
  <x:si>
    <x:t>EBA.JB.AE</x:t>
  </x:si>
  <x:si>
    <x:t>- - - - - Aspiration of thyroid gland</x:t>
  </x:si>
  <x:si>
    <x:t>http://id.who.int/icd/entity/212878928</x:t>
  </x:si>
  <x:si>
    <x:t>http://id.who.int/icd/release/11/beta/ichi/212878928</x:t>
  </x:si>
  <x:si>
    <x:t>EBA.JD.AA</x:t>
  </x:si>
  <x:si>
    <x:t>- - - - - Removal of internal device or foreign body from thyroid field by incision</x:t>
  </x:si>
  <x:si>
    <x:t>http://id.who.int/icd/entity/1015262660</x:t>
  </x:si>
  <x:si>
    <x:t>http://id.who.int/icd/release/11/beta/ichi/1015262660</x:t>
  </x:si>
  <x:si>
    <x:t>EBA.JI.AA</x:t>
  </x:si>
  <x:si>
    <x:t>- - - - - Local excision of lesion of thyroid</x:t>
  </x:si>
  <x:si>
    <x:t>http://id.who.int/icd/entity/859448662</x:t>
  </x:si>
  <x:si>
    <x:t>http://id.who.int/icd/release/11/beta/ichi/859448662</x:t>
  </x:si>
  <x:si>
    <x:t>EBA.JI.AB</x:t>
  </x:si>
  <x:si>
    <x:t>- - - - - Endoscopic local excision of lesion of thyroid</x:t>
  </x:si>
  <x:si>
    <x:t>http://id.who.int/icd/entity/1665268967</x:t>
  </x:si>
  <x:si>
    <x:t>http://id.who.int/icd/release/11/beta/ichi/1665268967</x:t>
  </x:si>
  <x:si>
    <x:t>EBA.JJ.AA</x:t>
  </x:si>
  <x:si>
    <x:t>- - - - - Partial thyroidectomy</x:t>
  </x:si>
  <x:si>
    <x:t>http://id.who.int/icd/entity/1457621219</x:t>
  </x:si>
  <x:si>
    <x:t>http://id.who.int/icd/release/11/beta/ichi/1457621219</x:t>
  </x:si>
  <x:si>
    <x:t>EBA.JJ.AB</x:t>
  </x:si>
  <x:si>
    <x:t>- - - - - Endoscopic partial thyroidectomy</x:t>
  </x:si>
  <x:si>
    <x:t>http://id.who.int/icd/entity/1614245514</x:t>
  </x:si>
  <x:si>
    <x:t>http://id.who.int/icd/release/11/beta/ichi/1614245514</x:t>
  </x:si>
  <x:si>
    <x:t>EBA.JJ.AD</x:t>
  </x:si>
  <x:si>
    <x:t>- - - - - Transoral endoscopic hemithyroidectomy vestibular approach</x:t>
  </x:si>
  <x:si>
    <x:t>http://id.who.int/icd/entity/1112207401</x:t>
  </x:si>
  <x:si>
    <x:t>http://id.who.int/icd/release/11/beta/ichi/1112207401</x:t>
  </x:si>
  <x:si>
    <x:t>EBA.JK.AA</x:t>
  </x:si>
  <x:si>
    <x:t>- - - - - Complete thyroidectomy</x:t>
  </x:si>
  <x:si>
    <x:t>http://id.who.int/icd/entity/1030869816</x:t>
  </x:si>
  <x:si>
    <x:t>http://id.who.int/icd/release/11/beta/ichi/1030869816</x:t>
  </x:si>
  <x:si>
    <x:t>EBA.JK.AB</x:t>
  </x:si>
  <x:si>
    <x:t>- - - - - Endoscopic complete thyroidectomy</x:t>
  </x:si>
  <x:si>
    <x:t>http://id.who.int/icd/entity/810334009</x:t>
  </x:si>
  <x:si>
    <x:t>http://id.who.int/icd/release/11/beta/ichi/810334009</x:t>
  </x:si>
  <x:si>
    <x:t>EBA.JK.AD</x:t>
  </x:si>
  <x:si>
    <x:t>- - - - - Transoral endoscopic thyroidectomy vestibular approach</x:t>
  </x:si>
  <x:si>
    <x:t>http://id.who.int/icd/entity/939291740</x:t>
  </x:si>
  <x:si>
    <x:t>http://id.who.int/icd/release/11/beta/ichi/939291740</x:t>
  </x:si>
  <x:si>
    <x:t>EBA.KD.AA</x:t>
  </x:si>
  <x:si>
    <x:t>- - - - - Transplant of thyroid tissue</x:t>
  </x:si>
  <x:si>
    <x:t>http://id.who.int/icd/entity/944110794</x:t>
  </x:si>
  <x:si>
    <x:t>http://id.who.int/icd/release/11/beta/ichi/944110794</x:t>
  </x:si>
  <x:si>
    <x:t>EBA.LA.AA</x:t>
  </x:si>
  <x:si>
    <x:t>- - - - - Control of haemorrhage of thyroid field</x:t>
  </x:si>
  <x:si>
    <x:t>http://id.who.int/icd/entity/2007551181</x:t>
  </x:si>
  <x:si>
    <x:t>http://id.who.int/icd/release/11/beta/ichi/2007551181</x:t>
  </x:si>
  <x:si>
    <x:t>EBA.MK.AA</x:t>
  </x:si>
  <x:si>
    <x:t>- - - - - Suture of thyroid gland</x:t>
  </x:si>
  <x:si>
    <x:t>http://id.who.int/icd/entity/1549115485</x:t>
  </x:si>
  <x:si>
    <x:t>http://id.who.int/icd/release/11/beta/ichi/1549115485</x:t>
  </x:si>
  <x:si>
    <x:t>EBB.AD.AA</x:t>
  </x:si>
  <x:si>
    <x:t>- - - - - Biopsy of parathyroid gland</x:t>
  </x:si>
  <x:si>
    <x:t>http://id.who.int/icd/entity/1293320235</x:t>
  </x:si>
  <x:si>
    <x:t>http://id.who.int/icd/release/11/beta/ichi/1293320235</x:t>
  </x:si>
  <x:si>
    <x:t>EBB.BA.BE</x:t>
  </x:si>
  <x:si>
    <x:t>- - - - - Parathyroid scan</x:t>
  </x:si>
  <x:si>
    <x:t>http://id.who.int/icd/entity/950010970</x:t>
  </x:si>
  <x:si>
    <x:t>http://id.who.int/icd/release/11/beta/ichi/950010970</x:t>
  </x:si>
  <x:si>
    <x:t>EBB.JJ.AA</x:t>
  </x:si>
  <x:si>
    <x:t>- - - - - Partial excision of parathyroid gland</x:t>
  </x:si>
  <x:si>
    <x:t>http://id.who.int/icd/entity/1981904141</x:t>
  </x:si>
  <x:si>
    <x:t>http://id.who.int/icd/release/11/beta/ichi/1981904141</x:t>
  </x:si>
  <x:si>
    <x:t>EBB.JK.AA</x:t>
  </x:si>
  <x:si>
    <x:t>- - - - - Complete parathyroidectomy</x:t>
  </x:si>
  <x:si>
    <x:t>http://id.who.int/icd/entity/1201350471</x:t>
  </x:si>
  <x:si>
    <x:t>http://id.who.int/icd/release/11/beta/ichi/1201350471</x:t>
  </x:si>
  <x:si>
    <x:t>EBB.JK.AB</x:t>
  </x:si>
  <x:si>
    <x:t>- - - - - Endoscopic parathyroidectomy</x:t>
  </x:si>
  <x:si>
    <x:t>http://id.who.int/icd/entity/419350038</x:t>
  </x:si>
  <x:si>
    <x:t>http://id.who.int/icd/release/11/beta/ichi/419350038</x:t>
  </x:si>
  <x:si>
    <x:t>EBB.KD.AA</x:t>
  </x:si>
  <x:si>
    <x:t>- - - - - Transplant of parathyroid gland</x:t>
  </x:si>
  <x:si>
    <x:t>http://id.who.int/icd/entity/335206584</x:t>
  </x:si>
  <x:si>
    <x:t>http://id.who.int/icd/release/11/beta/ichi/335206584</x:t>
  </x:si>
  <x:si>
    <x:t>EBC.AD.AA</x:t>
  </x:si>
  <x:si>
    <x:t>- - - - - Biopsy of adrenal gland</x:t>
  </x:si>
  <x:si>
    <x:t>http://id.who.int/icd/entity/1195153207</x:t>
  </x:si>
  <x:si>
    <x:t>http://id.who.int/icd/release/11/beta/ichi/1195153207</x:t>
  </x:si>
  <x:si>
    <x:t>EBC.AD.AE</x:t>
  </x:si>
  <x:si>
    <x:t>- - - - - Percutaneous biopsy of adrenal gland</x:t>
  </x:si>
  <x:si>
    <x:t>http://id.who.int/icd/entity/573276414</x:t>
  </x:si>
  <x:si>
    <x:t>http://id.who.int/icd/release/11/beta/ichi/573276414</x:t>
  </x:si>
  <x:si>
    <x:t>EBC.AE.AA</x:t>
  </x:si>
  <x:si>
    <x:t>- - - - - Exploration of adrenal gland</x:t>
  </x:si>
  <x:si>
    <x:t>http://id.who.int/icd/entity/946650664</x:t>
  </x:si>
  <x:si>
    <x:t>http://id.who.int/icd/release/11/beta/ichi/946650664</x:t>
  </x:si>
  <x:si>
    <x:t>EBC.BA.BB</x:t>
  </x:si>
  <x:si>
    <x:t>- - - - - Adrenal angiography</x:t>
  </x:si>
  <x:si>
    <x:t>http://id.who.int/icd/entity/1913721450</x:t>
  </x:si>
  <x:si>
    <x:t>http://id.who.int/icd/release/11/beta/ichi/1913721450</x:t>
  </x:si>
  <x:si>
    <x:t>EBC.BA.BE</x:t>
  </x:si>
  <x:si>
    <x:t>- - - - - Nuclear imaging study of adrenal gland</x:t>
  </x:si>
  <x:si>
    <x:t>http://id.who.int/icd/entity/328323768</x:t>
  </x:si>
  <x:si>
    <x:t>http://id.who.int/icd/release/11/beta/ichi/328323768</x:t>
  </x:si>
  <x:si>
    <x:t>EBC.FA.AA</x:t>
  </x:si>
  <x:si>
    <x:t>- - - - - Incision of adrenal gland</x:t>
  </x:si>
  <x:si>
    <x:t>http://id.who.int/icd/entity/1831028841</x:t>
  </x:si>
  <x:si>
    <x:t>http://id.who.int/icd/release/11/beta/ichi/1831028841</x:t>
  </x:si>
  <x:si>
    <x:t>EBC.GA.BA</x:t>
  </x:si>
  <x:si>
    <x:t>- - - - - Destruction of lesion or tissue of adrenal gland by radiotherapy</x:t>
  </x:si>
  <x:si>
    <x:t>http://id.who.int/icd/entity/1654309115</x:t>
  </x:si>
  <x:si>
    <x:t>http://id.who.int/icd/release/11/beta/ichi/1654309115</x:t>
  </x:si>
  <x:si>
    <x:t>EBC.JB.AA</x:t>
  </x:si>
  <x:si>
    <x:t>- - - - - Drainage of adrenal gland</x:t>
  </x:si>
  <x:si>
    <x:t>http://id.who.int/icd/entity/1202873769</x:t>
  </x:si>
  <x:si>
    <x:t>http://id.who.int/icd/release/11/beta/ichi/1202873769</x:t>
  </x:si>
  <x:si>
    <x:t>EBC.JB.AB</x:t>
  </x:si>
  <x:si>
    <x:t>- - - - - Endoscopic drainage of adrenal gland</x:t>
  </x:si>
  <x:si>
    <x:t>http://id.who.int/icd/entity/399096856</x:t>
  </x:si>
  <x:si>
    <x:t>http://id.who.int/icd/release/11/beta/ichi/399096856</x:t>
  </x:si>
  <x:si>
    <x:t>EBC.JB.AE</x:t>
  </x:si>
  <x:si>
    <x:t>- - - - - Percutaneous drainage of adrenal gland</x:t>
  </x:si>
  <x:si>
    <x:t>http://id.who.int/icd/entity/1208741179</x:t>
  </x:si>
  <x:si>
    <x:t>http://id.who.int/icd/release/11/beta/ichi/1208741179</x:t>
  </x:si>
  <x:si>
    <x:t>EBC.JI.AA</x:t>
  </x:si>
  <x:si>
    <x:t>- - - - - Local excision of lesion of adrenal gland</x:t>
  </x:si>
  <x:si>
    <x:t>http://id.who.int/icd/entity/1296024261</x:t>
  </x:si>
  <x:si>
    <x:t>http://id.who.int/icd/release/11/beta/ichi/1296024261</x:t>
  </x:si>
  <x:si>
    <x:t>EBC.JI.AB</x:t>
  </x:si>
  <x:si>
    <x:t>- - - - - Endoscopic local excision of lesion of adrenal gland</x:t>
  </x:si>
  <x:si>
    <x:t>http://id.who.int/icd/entity/1035823434</x:t>
  </x:si>
  <x:si>
    <x:t>http://id.who.int/icd/release/11/beta/ichi/1035823434</x:t>
  </x:si>
  <x:si>
    <x:t>EBC.JJ.AA</x:t>
  </x:si>
  <x:si>
    <x:t>- - - - - Partial adrenalectomy</x:t>
  </x:si>
  <x:si>
    <x:t>http://id.who.int/icd/entity/2004979235</x:t>
  </x:si>
  <x:si>
    <x:t>http://id.who.int/icd/release/11/beta/ichi/2004979235</x:t>
  </x:si>
  <x:si>
    <x:t>EBC.JJ.AB</x:t>
  </x:si>
  <x:si>
    <x:t>- - - - - Endoscopic partial adrenalectomy</x:t>
  </x:si>
  <x:si>
    <x:t>http://id.who.int/icd/entity/1301836469</x:t>
  </x:si>
  <x:si>
    <x:t>http://id.who.int/icd/release/11/beta/ichi/1301836469</x:t>
  </x:si>
  <x:si>
    <x:t>EBC.JK.AA</x:t>
  </x:si>
  <x:si>
    <x:t>- - - - - Adrenalectomy</x:t>
  </x:si>
  <x:si>
    <x:t>http://id.who.int/icd/entity/660465634</x:t>
  </x:si>
  <x:si>
    <x:t>http://id.who.int/icd/release/11/beta/ichi/660465634</x:t>
  </x:si>
  <x:si>
    <x:t>EBC.JK.AB</x:t>
  </x:si>
  <x:si>
    <x:t>- - - - - Endoscopic adrenalectomy</x:t>
  </x:si>
  <x:si>
    <x:t>http://id.who.int/icd/entity/1415975162</x:t>
  </x:si>
  <x:si>
    <x:t>http://id.who.int/icd/release/11/beta/ichi/1415975162</x:t>
  </x:si>
  <x:si>
    <x:t>EBC.JL.AA</x:t>
  </x:si>
  <x:si>
    <x:t>- - - - - Radical adrenalectomy</x:t>
  </x:si>
  <x:si>
    <x:t>http://id.who.int/icd/entity/195314137</x:t>
  </x:si>
  <x:si>
    <x:t>http://id.who.int/icd/release/11/beta/ichi/195314137</x:t>
  </x:si>
  <x:si>
    <x:t>EBC.JL.AB</x:t>
  </x:si>
  <x:si>
    <x:t>- - - - - Endoscopic radical adrenalectomy</x:t>
  </x:si>
  <x:si>
    <x:t>http://id.who.int/icd/entity/1541380200</x:t>
  </x:si>
  <x:si>
    <x:t>http://id.who.int/icd/release/11/beta/ichi/1541380200</x:t>
  </x:si>
  <x:si>
    <x:t>EBC.KD.AA</x:t>
  </x:si>
  <x:si>
    <x:t>- - - - - Transplant of adrenal tissue</x:t>
  </x:si>
  <x:si>
    <x:t>http://id.who.int/icd/entity/244346407</x:t>
  </x:si>
  <x:si>
    <x:t>http://id.who.int/icd/release/11/beta/ichi/244346407</x:t>
  </x:si>
  <x:si>
    <x:t>EBC.MK.AA</x:t>
  </x:si>
  <x:si>
    <x:t>- - - - - Repair of adrenal gland</x:t>
  </x:si>
  <x:si>
    <x:t>http://id.who.int/icd/entity/627901111</x:t>
  </x:si>
  <x:si>
    <x:t>http://id.who.int/icd/release/11/beta/ichi/627901111</x:t>
  </x:si>
  <x:si>
    <x:t>EBD.JH.AA</x:t>
  </x:si>
  <x:si>
    <x:t>- - - - - Procurement of cells of Islets of Langerhans</x:t>
  </x:si>
  <x:si>
    <x:t>http://id.who.int/icd/entity/875438785</x:t>
  </x:si>
  <x:si>
    <x:t>http://id.who.int/icd/release/11/beta/ichi/875438785</x:t>
  </x:si>
  <x:si>
    <x:t>EBD.KD.AA</x:t>
  </x:si>
  <x:si>
    <x:t>- - - - - Transplantation of cells of Islets of Langerhans</x:t>
  </x:si>
  <x:si>
    <x:t>http://id.who.int/icd/entity/1098735138</x:t>
  </x:si>
  <x:si>
    <x:t>http://id.who.int/icd/release/11/beta/ichi/1098735138</x:t>
  </x:si>
  <x:si>
    <x:t>BlockL4-ETB</x:t>
  </x:si>
  <x:si>
    <x:t>- - - - Interventions on metabolic or endocrine functions</x:t>
  </x:si>
  <x:si>
    <x:t>21</x:t>
  </x:si>
  <x:si>
    <x:t>http://id.who.int/icd/entity/83374555</x:t>
  </x:si>
  <x:si>
    <x:t>http://id.who.int/icd/release/11/beta/ichi/83374555</x:t>
  </x:si>
  <x:si>
    <x:t>ETB.AA.ZZ</x:t>
  </x:si>
  <x:si>
    <x:t>- - - - - Assessment of general metabolic functions</x:t>
  </x:si>
  <x:si>
    <x:t>http://id.who.int/icd/entity/1958092842</x:t>
  </x:si>
  <x:si>
    <x:t>http://id.who.int/icd/release/11/beta/ichi/1958092842</x:t>
  </x:si>
  <x:si>
    <x:t>ETB.AB.ZZ</x:t>
  </x:si>
  <x:si>
    <x:t>- - - - - Measurement of metabolic rate</x:t>
  </x:si>
  <x:si>
    <x:t>http://id.who.int/icd/entity/885774929</x:t>
  </x:si>
  <x:si>
    <x:t>http://id.who.int/icd/release/11/beta/ichi/885774929</x:t>
  </x:si>
  <x:si>
    <x:t>ETB.PG.ZZ</x:t>
  </x:si>
  <x:si>
    <x:t>- - - - - Assisting and leading exercise related to general metabolic functions</x:t>
  </x:si>
  <x:si>
    <x:t>http://id.who.int/icd/entity/774591739</x:t>
  </x:si>
  <x:si>
    <x:t>http://id.who.int/icd/release/11/beta/ichi/774591739</x:t>
  </x:si>
  <x:si>
    <x:t>ETB.PM.ZZ</x:t>
  </x:si>
  <x:si>
    <x:t>- - - - - Education about general metabolic functions</x:t>
  </x:si>
  <x:si>
    <x:t>http://id.who.int/icd/entity/563272809</x:t>
  </x:si>
  <x:si>
    <x:t>http://id.who.int/icd/release/11/beta/ichi/563272809</x:t>
  </x:si>
  <x:si>
    <x:t>ETB.PN.ZZ</x:t>
  </x:si>
  <x:si>
    <x:t>- - - - - Advising about general metabolic functions</x:t>
  </x:si>
  <x:si>
    <x:t>http://id.who.int/icd/entity/872898607</x:t>
  </x:si>
  <x:si>
    <x:t>http://id.who.int/icd/release/11/beta/ichi/872898607</x:t>
  </x:si>
  <x:si>
    <x:t>ETB.PP.ZZ</x:t>
  </x:si>
  <x:si>
    <x:t>- - - - - Counselling for general metabolic functions</x:t>
  </x:si>
  <x:si>
    <x:t>http://id.who.int/icd/entity/1808085262</x:t>
  </x:si>
  <x:si>
    <x:t>http://id.who.int/icd/release/11/beta/ichi/1808085262</x:t>
  </x:si>
  <x:si>
    <x:t>ETB.RC.ZZ</x:t>
  </x:si>
  <x:si>
    <x:t>- - - - - Emotional support for general metabolic functions</x:t>
  </x:si>
  <x:si>
    <x:t>http://id.who.int/icd/entity/1137784492</x:t>
  </x:si>
  <x:si>
    <x:t>http://id.who.int/icd/release/11/beta/ichi/1137784492</x:t>
  </x:si>
  <x:si>
    <x:t>ETE.AA.ZZ</x:t>
  </x:si>
  <x:si>
    <x:t>- - - - - Assessment of water, mineral and electrolyte balance function</x:t>
  </x:si>
  <x:si>
    <x:t>http://id.who.int/icd/entity/449717057</x:t>
  </x:si>
  <x:si>
    <x:t>http://id.who.int/icd/release/11/beta/ichi/449717057</x:t>
  </x:si>
  <x:si>
    <x:t>ETE.PM.ZZ</x:t>
  </x:si>
  <x:si>
    <x:t>- - - - - Education about water, mineral and electrolyte balance function</x:t>
  </x:si>
  <x:si>
    <x:t>http://id.who.int/icd/entity/387414307</x:t>
  </x:si>
  <x:si>
    <x:t>http://id.who.int/icd/release/11/beta/ichi/387414307</x:t>
  </x:si>
  <x:si>
    <x:t>ETG.AA.ZZ</x:t>
  </x:si>
  <x:si>
    <x:t>- - - - - Assessment of thermoregulatory function</x:t>
  </x:si>
  <x:si>
    <x:t>http://id.who.int/icd/entity/337373827</x:t>
  </x:si>
  <x:si>
    <x:t>http://id.who.int/icd/release/11/beta/ichi/337373827</x:t>
  </x:si>
  <x:si>
    <x:t>ETG.AB.ZZ</x:t>
  </x:si>
  <x:si>
    <x:t>- - - - - Measurement of body temperature</x:t>
  </x:si>
  <x:si>
    <x:t>http://id.who.int/icd/entity/995823661</x:t>
  </x:si>
  <x:si>
    <x:t>http://id.who.int/icd/release/11/beta/ichi/995823661</x:t>
  </x:si>
  <x:si>
    <x:t>ETG.PM.ZZ</x:t>
  </x:si>
  <x:si>
    <x:t>- - - - - Education about thermoregulatory function</x:t>
  </x:si>
  <x:si>
    <x:t>http://id.who.int/icd/entity/1846863460</x:t>
  </x:si>
  <x:si>
    <x:t>http://id.who.int/icd/release/11/beta/ichi/1846863460</x:t>
  </x:si>
  <x:si>
    <x:t>ETG.ZZ.ZZ</x:t>
  </x:si>
  <x:si>
    <x:t>- - - - - Other interventions on thermoregulatory function, not elsewhere classified</x:t>
  </x:si>
  <x:si>
    <x:t>http://id.who.int/icd/entity/1512835107</x:t>
  </x:si>
  <x:si>
    <x:t>http://id.who.int/icd/release/11/beta/ichi/1512835107</x:t>
  </x:si>
  <x:si>
    <x:t>ETK.AA.ZZ</x:t>
  </x:si>
  <x:si>
    <x:t>- - - - - Assessment of endocrine gland functions</x:t>
  </x:si>
  <x:si>
    <x:t>http://id.who.int/icd/entity/889308616</x:t>
  </x:si>
  <x:si>
    <x:t>http://id.who.int/icd/release/11/beta/ichi/889308616</x:t>
  </x:si>
  <x:si>
    <x:t>ETK.PG.ZZ</x:t>
  </x:si>
  <x:si>
    <x:t>- - - - - Assisting and leading exercise related to endocrine gland functions</x:t>
  </x:si>
  <x:si>
    <x:t>http://id.who.int/icd/entity/1791202539</x:t>
  </x:si>
  <x:si>
    <x:t>http://id.who.int/icd/release/11/beta/ichi/1791202539</x:t>
  </x:si>
  <x:si>
    <x:t>ETK.PM.ZZ</x:t>
  </x:si>
  <x:si>
    <x:t>- - - - - Education about endocrine gland functions</x:t>
  </x:si>
  <x:si>
    <x:t>http://id.who.int/icd/entity/985156954</x:t>
  </x:si>
  <x:si>
    <x:t>http://id.who.int/icd/release/11/beta/ichi/985156954</x:t>
  </x:si>
  <x:si>
    <x:t>ETK.PN.ZZ</x:t>
  </x:si>
  <x:si>
    <x:t>- - - - - Advising about endocrine gland functions</x:t>
  </x:si>
  <x:si>
    <x:t>http://id.who.int/icd/entity/1326369065</x:t>
  </x:si>
  <x:si>
    <x:t>http://id.who.int/icd/release/11/beta/ichi/1326369065</x:t>
  </x:si>
  <x:si>
    <x:t>ETK.PP.ZZ</x:t>
  </x:si>
  <x:si>
    <x:t>- - - - - Counselling for endocrine gland functions</x:t>
  </x:si>
  <x:si>
    <x:t>http://id.who.int/icd/entity/1693689273</x:t>
  </x:si>
  <x:si>
    <x:t>http://id.who.int/icd/release/11/beta/ichi/1693689273</x:t>
  </x:si>
  <x:si>
    <x:t>ETK.RC.ZZ</x:t>
  </x:si>
  <x:si>
    <x:t>- - - - - Emotional support for endocrine gland functions</x:t>
  </x:si>
  <x:si>
    <x:t>http://id.who.int/icd/entity/606601481</x:t>
  </x:si>
  <x:si>
    <x:t>http://id.who.int/icd/release/11/beta/ichi/606601481</x:t>
  </x:si>
  <x:si>
    <x:t>ETM.AA.ZZ</x:t>
  </x:si>
  <x:si>
    <x:t>- - - - - Assessment of growth and development</x:t>
  </x:si>
  <x:si>
    <x:t>http://id.who.int/icd/entity/1420470916</x:t>
  </x:si>
  <x:si>
    <x:t>http://id.who.int/icd/release/11/beta/ichi/1420470916</x:t>
  </x:si>
  <x:si>
    <x:t>ETM.PM.ZZ</x:t>
  </x:si>
  <x:si>
    <x:t>- - - - - Education about growth and development</x:t>
  </x:si>
  <x:si>
    <x:t>http://id.who.int/icd/entity/506592671</x:t>
  </x:si>
  <x:si>
    <x:t>http://id.who.int/icd/release/11/beta/ichi/506592671</x:t>
  </x:si>
  <x:si>
    <x:t>BlockL4-EZZ</x:t>
  </x:si>
  <x:si>
    <x:t>- - - - Interventions on endocrine system, not elsewhere classified</x:t>
  </x:si>
  <x:si>
    <x:t>http://id.who.int/icd/entity/1053331363</x:t>
  </x:si>
  <x:si>
    <x:t>http://id.who.int/icd/release/11/beta/ichi/1053331363</x:t>
  </x:si>
  <x:si>
    <x:t>EZZ.AA.ZZ</x:t>
  </x:si>
  <x:si>
    <x:t>- - - - - Assessment of endocrine system, not elsewhere classified</x:t>
  </x:si>
  <x:si>
    <x:t>http://id.who.int/icd/release/11/beta/ichi/733038617/other</x:t>
  </x:si>
  <x:si>
    <x:t>EZZ.ZY.ZY</x:t>
  </x:si>
  <x:si>
    <x:t>- - - - Other specified interventions on the endocrine system</x:t>
  </x:si>
  <x:si>
    <x:t>http://id.who.int/icd/release/11/beta/ichi/733038617/unspecified</x:t>
  </x:si>
  <x:si>
    <x:t>EZZ.ZZ.ZZ</x:t>
  </x:si>
  <x:si>
    <x:t>- - - - Interventions on the endocrine system, unspecified</x:t>
  </x:si>
  <x:si>
    <x:t>http://id.who.int/icd/entity/1582405162</x:t>
  </x:si>
  <x:si>
    <x:t>http://id.who.int/icd/release/11/beta/ichi/1582405162</x:t>
  </x:si>
  <x:si>
    <x:t>BlockL3-HAA</x:t>
  </x:si>
  <x:si>
    <x:t>- - - Interventions on the circulatory system</x:t>
  </x:si>
  <x:si>
    <x:t>http://id.who.int/icd/entity/1701208848</x:t>
  </x:si>
  <x:si>
    <x:t>http://id.who.int/icd/release/11/beta/ichi/1701208848</x:t>
  </x:si>
  <x:si>
    <x:t>BlockL4-HAA</x:t>
  </x:si>
  <x:si>
    <x:t>- - - - Interventions on heart, atrium</x:t>
  </x:si>
  <x:si>
    <x:t>26</x:t>
  </x:si>
  <x:si>
    <x:t>http://id.who.int/icd/entity/1616006386</x:t>
  </x:si>
  <x:si>
    <x:t>http://id.who.int/icd/release/11/beta/ichi/1616006386</x:t>
  </x:si>
  <x:si>
    <x:t>HAA.BA.BB</x:t>
  </x:si>
  <x:si>
    <x:t>- - - - - Left atrial angiography</x:t>
  </x:si>
  <x:si>
    <x:t>http://id.who.int/icd/entity/713773835</x:t>
  </x:si>
  <x:si>
    <x:t>http://id.who.int/icd/release/11/beta/ichi/713773835</x:t>
  </x:si>
  <x:si>
    <x:t>HAA.JJ.AA</x:t>
  </x:si>
  <x:si>
    <x:t>- - - - - Partial excision of left atrium</x:t>
  </x:si>
  <x:si>
    <x:t>http://id.who.int/icd/entity/2062584508</x:t>
  </x:si>
  <x:si>
    <x:t>http://id.who.int/icd/release/11/beta/ichi/2062584508</x:t>
  </x:si>
  <x:si>
    <x:t>HAA.JJ.AB</x:t>
  </x:si>
  <x:si>
    <x:t>- - - - - Thoracoscopic excision of left atrial appendage</x:t>
  </x:si>
  <x:si>
    <x:t>http://id.who.int/icd/entity/624090009</x:t>
  </x:si>
  <x:si>
    <x:t>http://id.who.int/icd/release/11/beta/ichi/624090009</x:t>
  </x:si>
  <x:si>
    <x:t>HAA.LA.AA</x:t>
  </x:si>
  <x:si>
    <x:t>- - - - - Occlusion of left atrial appendage</x:t>
  </x:si>
  <x:si>
    <x:t>http://id.who.int/icd/entity/248493833</x:t>
  </x:si>
  <x:si>
    <x:t>http://id.who.int/icd/release/11/beta/ichi/248493833</x:t>
  </x:si>
  <x:si>
    <x:t>HAA.LA.AB</x:t>
  </x:si>
  <x:si>
    <x:t>- - - - - Thoracoscopic occlusion of left atrial appendage</x:t>
  </x:si>
  <x:si>
    <x:t>http://id.who.int/icd/entity/794461285</x:t>
  </x:si>
  <x:si>
    <x:t>http://id.who.int/icd/release/11/beta/ichi/794461285</x:t>
  </x:si>
  <x:si>
    <x:t>HAA.LA.AF</x:t>
  </x:si>
  <x:si>
    <x:t>- - - - - Percutaneous transluminal occlusion of left atrial appendage</x:t>
  </x:si>
  <x:si>
    <x:t>http://id.who.int/icd/entity/905462319</x:t>
  </x:si>
  <x:si>
    <x:t>http://id.who.int/icd/release/11/beta/ichi/905462319</x:t>
  </x:si>
  <x:si>
    <x:t>HAB.LI.AA</x:t>
  </x:si>
  <x:si>
    <x:t>- - - - - Creation of a conduit between right atrium and pulmonary artery</x:t>
  </x:si>
  <x:si>
    <x:t>http://id.who.int/icd/entity/448313473</x:t>
  </x:si>
  <x:si>
    <x:t>http://id.who.int/icd/release/11/beta/ichi/448313473</x:t>
  </x:si>
  <x:si>
    <x:t>HAB.LL.AA</x:t>
  </x:si>
  <x:si>
    <x:t>- - - - - Plication of right atrium</x:t>
  </x:si>
  <x:si>
    <x:t>http://id.who.int/icd/entity/1617329141</x:t>
  </x:si>
  <x:si>
    <x:t>http://id.who.int/icd/release/11/beta/ichi/1617329141</x:t>
  </x:si>
  <x:si>
    <x:t>HAD.FA.AA</x:t>
  </x:si>
  <x:si>
    <x:t>- - - - - Incision of atrial septum</x:t>
  </x:si>
  <x:si>
    <x:t>http://id.who.int/icd/entity/5781035</x:t>
  </x:si>
  <x:si>
    <x:t>http://id.who.int/icd/release/11/beta/ichi/5781035</x:t>
  </x:si>
  <x:si>
    <x:t>HAD.JJ.AA</x:t>
  </x:si>
  <x:si>
    <x:t>- - - - - Atrial septectomy</x:t>
  </x:si>
  <x:si>
    <x:t>http://id.who.int/icd/entity/790154373</x:t>
  </x:si>
  <x:si>
    <x:t>http://id.who.int/icd/release/11/beta/ichi/790154373</x:t>
  </x:si>
  <x:si>
    <x:t>HAD.LG.AF</x:t>
  </x:si>
  <x:si>
    <x:t>- - - - - Percutaneous transluminal dilatation of interatrial communication</x:t>
  </x:si>
  <x:si>
    <x:t>http://id.who.int/icd/entity/982347971</x:t>
  </x:si>
  <x:si>
    <x:t>http://id.who.int/icd/release/11/beta/ichi/982347971</x:t>
  </x:si>
  <x:si>
    <x:t>HAD.LH.AF</x:t>
  </x:si>
  <x:si>
    <x:t>- - - - - Percutaneous transluminal dilatation with insertion of device into interatrial communication</x:t>
  </x:si>
  <x:si>
    <x:t>http://id.who.int/icd/entity/1346954644</x:t>
  </x:si>
  <x:si>
    <x:t>http://id.who.int/icd/release/11/beta/ichi/1346954644</x:t>
  </x:si>
  <x:si>
    <x:t>HAD.LL.AA</x:t>
  </x:si>
  <x:si>
    <x:t>- - - - - Partial closure of interatrial communication</x:t>
  </x:si>
  <x:si>
    <x:t>http://id.who.int/icd/entity/637428199</x:t>
  </x:si>
  <x:si>
    <x:t>http://id.who.int/icd/release/11/beta/ichi/637428199</x:t>
  </x:si>
  <x:si>
    <x:t>HAD.MK.AA</x:t>
  </x:si>
  <x:si>
    <x:t>- - - - - Repair of atrial septal defect</x:t>
  </x:si>
  <x:si>
    <x:t>http://id.who.int/icd/entity/2050764998</x:t>
  </x:si>
  <x:si>
    <x:t>http://id.who.int/icd/release/11/beta/ichi/2050764998</x:t>
  </x:si>
  <x:si>
    <x:t>HAD.MK.AB</x:t>
  </x:si>
  <x:si>
    <x:t>- - - - - Thoracoscopic repair of atrial septal defect</x:t>
  </x:si>
  <x:si>
    <x:t>http://id.who.int/icd/entity/258952231</x:t>
  </x:si>
  <x:si>
    <x:t>http://id.who.int/icd/release/11/beta/ichi/258952231</x:t>
  </x:si>
  <x:si>
    <x:t>HAD.ML.AA</x:t>
  </x:si>
  <x:si>
    <x:t>- - - - - Repair of atrial septal defect with patch or device</x:t>
  </x:si>
  <x:si>
    <x:t>http://id.who.int/icd/entity/1436103418</x:t>
  </x:si>
  <x:si>
    <x:t>http://id.who.int/icd/release/11/beta/ichi/1436103418</x:t>
  </x:si>
  <x:si>
    <x:t>HAD.ML.AF</x:t>
  </x:si>
  <x:si>
    <x:t>- - - - - Percutaneous transluminal repair of atrial septal defect with graft or prosthesis</x:t>
  </x:si>
  <x:si>
    <x:t>http://id.who.int/icd/entity/2061092950</x:t>
  </x:si>
  <x:si>
    <x:t>http://id.who.int/icd/release/11/beta/ichi/2061092950</x:t>
  </x:si>
  <x:si>
    <x:t>HAM.MK.AA</x:t>
  </x:si>
  <x:si>
    <x:t>- - - - - Repair of divided left atrium</x:t>
  </x:si>
  <x:si>
    <x:t>http://id.who.int/icd/entity/72700105</x:t>
  </x:si>
  <x:si>
    <x:t>http://id.who.int/icd/release/11/beta/ichi/72700105</x:t>
  </x:si>
  <x:si>
    <x:t>HAM.ML.AA</x:t>
  </x:si>
  <x:si>
    <x:t>- - - - - Sinus venosus defect closure</x:t>
  </x:si>
  <x:si>
    <x:t>http://id.who.int/icd/entity/2130301729</x:t>
  </x:si>
  <x:si>
    <x:t>http://id.who.int/icd/release/11/beta/ichi/2130301729</x:t>
  </x:si>
  <x:si>
    <x:t>HAM.ML.AF</x:t>
  </x:si>
  <x:si>
    <x:t>- - - - - Sinus venosus defect closure with transluminal device</x:t>
  </x:si>
  <x:si>
    <x:t>http://id.who.int/icd/entity/1073420253</x:t>
  </x:si>
  <x:si>
    <x:t>http://id.who.int/icd/release/11/beta/ichi/1073420253</x:t>
  </x:si>
  <x:si>
    <x:t>HAZ.FA.AA</x:t>
  </x:si>
  <x:si>
    <x:t>- - - - - Incision of atrium, not elsewhere classified</x:t>
  </x:si>
  <x:si>
    <x:t>http://id.who.int/icd/entity/1859453166</x:t>
  </x:si>
  <x:si>
    <x:t>http://id.who.int/icd/release/11/beta/ichi/1859453166</x:t>
  </x:si>
  <x:si>
    <x:t>HAZ.JE.AA</x:t>
  </x:si>
  <x:si>
    <x:t>- - - - - Thrombectomy from atrium</x:t>
  </x:si>
  <x:si>
    <x:t>http://id.who.int/icd/entity/1051646303</x:t>
  </x:si>
  <x:si>
    <x:t>http://id.who.int/icd/release/11/beta/ichi/1051646303</x:t>
  </x:si>
  <x:si>
    <x:t>HAZ.JE.AB</x:t>
  </x:si>
  <x:si>
    <x:t>- - - - - Thoracoscopic thrombectomy from atrium</x:t>
  </x:si>
  <x:si>
    <x:t>http://id.who.int/icd/entity/1634502780</x:t>
  </x:si>
  <x:si>
    <x:t>http://id.who.int/icd/release/11/beta/ichi/1634502780</x:t>
  </x:si>
  <x:si>
    <x:t>HAZ.JE.AF</x:t>
  </x:si>
  <x:si>
    <x:t>- - - - - Endovascular thrombectomy from atrium</x:t>
  </x:si>
  <x:si>
    <x:t>http://id.who.int/icd/entity/1611089086</x:t>
  </x:si>
  <x:si>
    <x:t>http://id.who.int/icd/release/11/beta/ichi/1611089086</x:t>
  </x:si>
  <x:si>
    <x:t>HAZ.LI.AA</x:t>
  </x:si>
  <x:si>
    <x:t>- - - - - Atrial baffle procedure</x:t>
  </x:si>
  <x:si>
    <x:t>http://id.who.int/icd/entity/1906708938</x:t>
  </x:si>
  <x:si>
    <x:t>http://id.who.int/icd/release/11/beta/ichi/1906708938</x:t>
  </x:si>
  <x:si>
    <x:t>HAZ.ML.AA</x:t>
  </x:si>
  <x:si>
    <x:t>- - - - - Septation of common atrium without a common atrioventricular junction</x:t>
  </x:si>
  <x:si>
    <x:t>http://id.who.int/icd/entity/245183189</x:t>
  </x:si>
  <x:si>
    <x:t>http://id.who.int/icd/release/11/beta/ichi/245183189</x:t>
  </x:si>
  <x:si>
    <x:t>BlockL4-HBA</x:t>
  </x:si>
  <x:si>
    <x:t>- - - - Interventions on heart, ventricle</x:t>
  </x:si>
  <x:si>
    <x:t>37</x:t>
  </x:si>
  <x:si>
    <x:t>http://id.who.int/icd/entity/778322153</x:t>
  </x:si>
  <x:si>
    <x:t>http://id.who.int/icd/release/11/beta/ichi/778322153</x:t>
  </x:si>
  <x:si>
    <x:t>HBA.AD.AF</x:t>
  </x:si>
  <x:si>
    <x:t>- - - - - Percutaneous transluminal left ventricular biopsy</x:t>
  </x:si>
  <x:si>
    <x:t>http://id.who.int/icd/entity/1530346508</x:t>
  </x:si>
  <x:si>
    <x:t>http://id.who.int/icd/release/11/beta/ichi/1530346508</x:t>
  </x:si>
  <x:si>
    <x:t>HBA.BA.BB</x:t>
  </x:si>
  <x:si>
    <x:t>- - - - - Left ventriculography</x:t>
  </x:si>
  <x:si>
    <x:t>http://id.who.int/icd/entity/1418638490</x:t>
  </x:si>
  <x:si>
    <x:t>http://id.who.int/icd/release/11/beta/ichi/1418638490</x:t>
  </x:si>
  <x:si>
    <x:t>HBA.DN.AA</x:t>
  </x:si>
  <x:si>
    <x:t>- - - - - Implantation of left ventricular assist device</x:t>
  </x:si>
  <x:si>
    <x:t>http://id.who.int/icd/entity/339735711</x:t>
  </x:si>
  <x:si>
    <x:t>http://id.who.int/icd/release/11/beta/ichi/339735711</x:t>
  </x:si>
  <x:si>
    <x:t>HBA.DN.AF</x:t>
  </x:si>
  <x:si>
    <x:t>- - - - - Percutaneous transluminal implantation of left ventricular assist device</x:t>
  </x:si>
  <x:si>
    <x:t>http://id.who.int/icd/entity/1145318704</x:t>
  </x:si>
  <x:si>
    <x:t>http://id.who.int/icd/release/11/beta/ichi/1145318704</x:t>
  </x:si>
  <x:si>
    <x:t>HBA.JD.AA</x:t>
  </x:si>
  <x:si>
    <x:t>- - - - - Removal of left ventricular assist device</x:t>
  </x:si>
  <x:si>
    <x:t>http://id.who.int/icd/entity/242797125</x:t>
  </x:si>
  <x:si>
    <x:t>http://id.who.int/icd/release/11/beta/ichi/242797125</x:t>
  </x:si>
  <x:si>
    <x:t>HBA.JI.AA</x:t>
  </x:si>
  <x:si>
    <x:t>- - - - - Local excision of left ventricular outflow tract tissue</x:t>
  </x:si>
  <x:si>
    <x:t>http://id.who.int/icd/entity/564101275</x:t>
  </x:si>
  <x:si>
    <x:t>http://id.who.int/icd/release/11/beta/ichi/564101275</x:t>
  </x:si>
  <x:si>
    <x:t>HBA.JJ.AA</x:t>
  </x:si>
  <x:si>
    <x:t>- - - - - Excision of left ventricular tissue</x:t>
  </x:si>
  <x:si>
    <x:t>http://id.who.int/icd/entity/1805871090</x:t>
  </x:si>
  <x:si>
    <x:t>http://id.who.int/icd/release/11/beta/ichi/1805871090</x:t>
  </x:si>
  <x:si>
    <x:t>HBA.LI.AA</x:t>
  </x:si>
  <x:si>
    <x:t>- - - - - Creation of conduit between left ventricle and aorta</x:t>
  </x:si>
  <x:si>
    <x:t>http://id.who.int/icd/entity/1261510596</x:t>
  </x:si>
  <x:si>
    <x:t>http://id.who.int/icd/release/11/beta/ichi/1261510596</x:t>
  </x:si>
  <x:si>
    <x:t>HBA.LL.AA</x:t>
  </x:si>
  <x:si>
    <x:t>- - - - - Surgical left ventricular reduction</x:t>
  </x:si>
  <x:si>
    <x:t>http://id.who.int/icd/entity/1149802322</x:t>
  </x:si>
  <x:si>
    <x:t>http://id.who.int/icd/release/11/beta/ichi/1149802322</x:t>
  </x:si>
  <x:si>
    <x:t>HBA.MK.AA</x:t>
  </x:si>
  <x:si>
    <x:t>- - - - - Repair of left ventricular aneurysm</x:t>
  </x:si>
  <x:si>
    <x:t>http://id.who.int/icd/entity/1958444250</x:t>
  </x:si>
  <x:si>
    <x:t>http://id.who.int/icd/release/11/beta/ichi/1958444250</x:t>
  </x:si>
  <x:si>
    <x:t>HBA.ML.AA</x:t>
  </x:si>
  <x:si>
    <x:t>- - - - - Reconstruction of left ventricle</x:t>
  </x:si>
  <x:si>
    <x:t>http://id.who.int/icd/entity/1598427210</x:t>
  </x:si>
  <x:si>
    <x:t>http://id.who.int/icd/release/11/beta/ichi/1598427210</x:t>
  </x:si>
  <x:si>
    <x:t>HBB.AD.AF</x:t>
  </x:si>
  <x:si>
    <x:t>- - - - - Percutaneous transluminal right ventricular biopsy</x:t>
  </x:si>
  <x:si>
    <x:t>http://id.who.int/icd/entity/1308962878</x:t>
  </x:si>
  <x:si>
    <x:t>http://id.who.int/icd/release/11/beta/ichi/1308962878</x:t>
  </x:si>
  <x:si>
    <x:t>HBB.BA.BB</x:t>
  </x:si>
  <x:si>
    <x:t>- - - - - Right ventriculography</x:t>
  </x:si>
  <x:si>
    <x:t>http://id.who.int/icd/entity/782826135</x:t>
  </x:si>
  <x:si>
    <x:t>http://id.who.int/icd/release/11/beta/ichi/782826135</x:t>
  </x:si>
  <x:si>
    <x:t>HBB.DN.AA</x:t>
  </x:si>
  <x:si>
    <x:t>- - - - - Implantation of right ventricular assist device</x:t>
  </x:si>
  <x:si>
    <x:t>http://id.who.int/icd/entity/554791429</x:t>
  </x:si>
  <x:si>
    <x:t>http://id.who.int/icd/release/11/beta/ichi/554791429</x:t>
  </x:si>
  <x:si>
    <x:t>HBB.DN.AF</x:t>
  </x:si>
  <x:si>
    <x:t>- - - - - Percutaneous transluminal implantation of right ventricular assist device</x:t>
  </x:si>
  <x:si>
    <x:t>http://id.who.int/icd/entity/1902816180</x:t>
  </x:si>
  <x:si>
    <x:t>http://id.who.int/icd/release/11/beta/ichi/1902816180</x:t>
  </x:si>
  <x:si>
    <x:t>HBB.FB.AA</x:t>
  </x:si>
  <x:si>
    <x:t>- - - - - Division of right ventricular trabecular muscle</x:t>
  </x:si>
  <x:si>
    <x:t>http://id.who.int/icd/entity/1952351306</x:t>
  </x:si>
  <x:si>
    <x:t>http://id.who.int/icd/release/11/beta/ichi/1952351306</x:t>
  </x:si>
  <x:si>
    <x:t>HBB.JD.AA</x:t>
  </x:si>
  <x:si>
    <x:t>- - - - - Removal of right ventricular assist device</x:t>
  </x:si>
  <x:si>
    <x:t>http://id.who.int/icd/entity/1323354286</x:t>
  </x:si>
  <x:si>
    <x:t>http://id.who.int/icd/release/11/beta/ichi/1323354286</x:t>
  </x:si>
  <x:si>
    <x:t>HBB.JI.AA</x:t>
  </x:si>
  <x:si>
    <x:t>- - - - - Local excision of right ventricular outflow tract tissue</x:t>
  </x:si>
  <x:si>
    <x:t>http://id.who.int/icd/entity/1107226702</x:t>
  </x:si>
  <x:si>
    <x:t>http://id.who.int/icd/release/11/beta/ichi/1107226702</x:t>
  </x:si>
  <x:si>
    <x:t>HBB.JJ.AA</x:t>
  </x:si>
  <x:si>
    <x:t>- - - - - Excision of right ventricular tissue</x:t>
  </x:si>
  <x:si>
    <x:t>http://id.who.int/icd/entity/2067840170</x:t>
  </x:si>
  <x:si>
    <x:t>http://id.who.int/icd/release/11/beta/ichi/2067840170</x:t>
  </x:si>
  <x:si>
    <x:t>HBB.KA.AA</x:t>
  </x:si>
  <x:si>
    <x:t>- - - - - Replacement of conduit between right ventricle and pulmonary artery</x:t>
  </x:si>
  <x:si>
    <x:t>http://id.who.int/icd/entity/308769756</x:t>
  </x:si>
  <x:si>
    <x:t>http://id.who.int/icd/release/11/beta/ichi/308769756</x:t>
  </x:si>
  <x:si>
    <x:t>HBB.LG.AF</x:t>
  </x:si>
  <x:si>
    <x:t>- - - - - Percutaneous transluminal balloon dilatation of right ventricular outflow tract</x:t>
  </x:si>
  <x:si>
    <x:t>http://id.who.int/icd/entity/890884149</x:t>
  </x:si>
  <x:si>
    <x:t>http://id.who.int/icd/release/11/beta/ichi/890884149</x:t>
  </x:si>
  <x:si>
    <x:t>HBB.LH.AF</x:t>
  </x:si>
  <x:si>
    <x:t>- - - - - Percutaneous transluminal dilatation with insertion of device into right ventricular outflow tract</x:t>
  </x:si>
  <x:si>
    <x:t>http://id.who.int/icd/entity/425946486</x:t>
  </x:si>
  <x:si>
    <x:t>http://id.who.int/icd/release/11/beta/ichi/425946486</x:t>
  </x:si>
  <x:si>
    <x:t>HBB.LI.AA</x:t>
  </x:si>
  <x:si>
    <x:t>- - - - - Creation of conduit between right ventricle and pulmonary arterial tree</x:t>
  </x:si>
  <x:si>
    <x:t>http://id.who.int/icd/entity/215618164</x:t>
  </x:si>
  <x:si>
    <x:t>http://id.who.int/icd/release/11/beta/ichi/215618164</x:t>
  </x:si>
  <x:si>
    <x:t>HBB.MK.AA</x:t>
  </x:si>
  <x:si>
    <x:t>- - - - - Repair of right ventricular aneurysm</x:t>
  </x:si>
  <x:si>
    <x:t>http://id.who.int/icd/entity/136334594</x:t>
  </x:si>
  <x:si>
    <x:t>http://id.who.int/icd/release/11/beta/ichi/136334594</x:t>
  </x:si>
  <x:si>
    <x:t>HBB.ML.AA</x:t>
  </x:si>
  <x:si>
    <x:t>- - - - - Reconstruction of right ventricle</x:t>
  </x:si>
  <x:si>
    <x:t>http://id.who.int/icd/entity/2107033971</x:t>
  </x:si>
  <x:si>
    <x:t>http://id.who.int/icd/release/11/beta/ichi/2107033971</x:t>
  </x:si>
  <x:si>
    <x:t>HBD.LI.AA</x:t>
  </x:si>
  <x:si>
    <x:t>- - - - - Double outlet right ventricle repair with intraventricular tunnel</x:t>
  </x:si>
  <x:si>
    <x:t>http://id.who.int/icd/entity/1174605199</x:t>
  </x:si>
  <x:si>
    <x:t>http://id.who.int/icd/release/11/beta/ichi/1174605199</x:t>
  </x:si>
  <x:si>
    <x:t>HBD.LI.AF</x:t>
  </x:si>
  <x:si>
    <x:t>- - - - - Percutaneous transluminal interventricular communication creation</x:t>
  </x:si>
  <x:si>
    <x:t>http://id.who.int/icd/entity/1389769693</x:t>
  </x:si>
  <x:si>
    <x:t>http://id.who.int/icd/release/11/beta/ichi/1389769693</x:t>
  </x:si>
  <x:si>
    <x:t>HBD.LK.AA</x:t>
  </x:si>
  <x:si>
    <x:t>- - - - - Enlargement of ventricular septal defect</x:t>
  </x:si>
  <x:si>
    <x:t>http://id.who.int/icd/entity/2032885581</x:t>
  </x:si>
  <x:si>
    <x:t>http://id.who.int/icd/release/11/beta/ichi/2032885581</x:t>
  </x:si>
  <x:si>
    <x:t>HBD.MK.AA</x:t>
  </x:si>
  <x:si>
    <x:t>- - - - - Repair of ventricular septal defect</x:t>
  </x:si>
  <x:si>
    <x:t>http://id.who.int/icd/entity/2013173391</x:t>
  </x:si>
  <x:si>
    <x:t>http://id.who.int/icd/release/11/beta/ichi/2013173391</x:t>
  </x:si>
  <x:si>
    <x:t>HBD.ML.AA</x:t>
  </x:si>
  <x:si>
    <x:t>- - - - - Repair of ventricular septal defect with patch or device</x:t>
  </x:si>
  <x:si>
    <x:t>http://id.who.int/icd/entity/675071916</x:t>
  </x:si>
  <x:si>
    <x:t>http://id.who.int/icd/release/11/beta/ichi/675071916</x:t>
  </x:si>
  <x:si>
    <x:t>HBD.ML.AF</x:t>
  </x:si>
  <x:si>
    <x:t>- - - - - Percutaneous transluminal repair of ventricular septal defect with patch or device</x:t>
  </x:si>
  <x:si>
    <x:t>http://id.who.int/icd/entity/63023932</x:t>
  </x:si>
  <x:si>
    <x:t>http://id.who.int/icd/release/11/beta/ichi/63023932</x:t>
  </x:si>
  <x:si>
    <x:t>HBD.ML.AK</x:t>
  </x:si>
  <x:si>
    <x:t>- - - - - Transparietal device closure of ventricular septal defect, hybrid approach</x:t>
  </x:si>
  <x:si>
    <x:t>http://id.who.int/icd/entity/1569342431</x:t>
  </x:si>
  <x:si>
    <x:t>http://id.who.int/icd/release/11/beta/ichi/1569342431</x:t>
  </x:si>
  <x:si>
    <x:t>HBZ.DN.AA</x:t>
  </x:si>
  <x:si>
    <x:t>- - - - - Implantation of biventricular assist device</x:t>
  </x:si>
  <x:si>
    <x:t>http://id.who.int/icd/entity/38277886</x:t>
  </x:si>
  <x:si>
    <x:t>http://id.who.int/icd/release/11/beta/ichi/38277886</x:t>
  </x:si>
  <x:si>
    <x:t>HBZ.FA.AA</x:t>
  </x:si>
  <x:si>
    <x:t>- - - - - Incision of ventricle</x:t>
  </x:si>
  <x:si>
    <x:t>http://id.who.int/icd/entity/699760238</x:t>
  </x:si>
  <x:si>
    <x:t>http://id.who.int/icd/release/11/beta/ichi/699760238</x:t>
  </x:si>
  <x:si>
    <x:t>HBZ.JD.AA</x:t>
  </x:si>
  <x:si>
    <x:t>- - - - - Removal of biventricular assist device</x:t>
  </x:si>
  <x:si>
    <x:t>http://id.who.int/icd/entity/386995396</x:t>
  </x:si>
  <x:si>
    <x:t>http://id.who.int/icd/release/11/beta/ichi/386995396</x:t>
  </x:si>
  <x:si>
    <x:t>HBZ.MA.AA</x:t>
  </x:si>
  <x:si>
    <x:t>- - - - - Ventricular septation procedure</x:t>
  </x:si>
  <x:si>
    <x:t>http://id.who.int/icd/entity/1744352583</x:t>
  </x:si>
  <x:si>
    <x:t>http://id.who.int/icd/release/11/beta/ichi/1744352583</x:t>
  </x:si>
  <x:si>
    <x:t>HBZ.SN.AA</x:t>
  </x:si>
  <x:si>
    <x:t>- - - - - Management of ventricular assist device</x:t>
  </x:si>
  <x:si>
    <x:t>http://id.who.int/icd/entity/222109714</x:t>
  </x:si>
  <x:si>
    <x:t>http://id.who.int/icd/release/11/beta/ichi/222109714</x:t>
  </x:si>
  <x:si>
    <x:t>BlockL4-HDE</x:t>
  </x:si>
  <x:si>
    <x:t>- - - - Interventions on heart valves</x:t>
  </x:si>
  <x:si>
    <x:t>55</x:t>
  </x:si>
  <x:si>
    <x:t>http://id.who.int/icd/entity/1220038633</x:t>
  </x:si>
  <x:si>
    <x:t>http://id.who.int/icd/release/11/beta/ichi/1220038633</x:t>
  </x:si>
  <x:si>
    <x:t>HDE.DN.AA</x:t>
  </x:si>
  <x:si>
    <x:t>- - - - - Replacement of aortic valve</x:t>
  </x:si>
  <x:si>
    <x:t>http://id.who.int/icd/entity/1836388907</x:t>
  </x:si>
  <x:si>
    <x:t>http://id.who.int/icd/release/11/beta/ichi/1836388907</x:t>
  </x:si>
  <x:si>
    <x:t>HDE.DN.AE</x:t>
  </x:si>
  <x:si>
    <x:t>- - - - - Percutaneous transcatheter aortic valve replacement</x:t>
  </x:si>
  <x:si>
    <x:t>http://id.who.int/icd/entity/1999777009</x:t>
  </x:si>
  <x:si>
    <x:t>http://id.who.int/icd/release/11/beta/ichi/1999777009</x:t>
  </x:si>
  <x:si>
    <x:t>HDE.DN.AF</x:t>
  </x:si>
  <x:si>
    <x:t>- - - - - Percutaneous transluminal transcatheter aortic valve replacement</x:t>
  </x:si>
  <x:si>
    <x:t>http://id.who.int/icd/entity/1927543711</x:t>
  </x:si>
  <x:si>
    <x:t>http://id.who.int/icd/release/11/beta/ichi/1927543711</x:t>
  </x:si>
  <x:si>
    <x:t>HDE.JI.AA</x:t>
  </x:si>
  <x:si>
    <x:t>- - - - - Local excision of subaortic fibromuscular shelf</x:t>
  </x:si>
  <x:si>
    <x:t>http://id.who.int/icd/entity/315928663</x:t>
  </x:si>
  <x:si>
    <x:t>http://id.who.int/icd/release/11/beta/ichi/315928663</x:t>
  </x:si>
  <x:si>
    <x:t>HDE.KA.AF</x:t>
  </x:si>
  <x:si>
    <x:t>- - - - - Transluminal implantation of prosthetic valve in replaced aortic valve</x:t>
  </x:si>
  <x:si>
    <x:t>http://id.who.int/icd/entity/39931924</x:t>
  </x:si>
  <x:si>
    <x:t>http://id.who.int/icd/release/11/beta/ichi/39931924</x:t>
  </x:si>
  <x:si>
    <x:t>HDE.LG.AA</x:t>
  </x:si>
  <x:si>
    <x:t>- - - - - Dilatation of aortic valve by transventricular approach</x:t>
  </x:si>
  <x:si>
    <x:t>http://id.who.int/icd/entity/1570963761</x:t>
  </x:si>
  <x:si>
    <x:t>http://id.who.int/icd/release/11/beta/ichi/1570963761</x:t>
  </x:si>
  <x:si>
    <x:t>HDE.LG.AF</x:t>
  </x:si>
  <x:si>
    <x:t>- - - - - Percutaneous transluminal balloon dilatation of aortic valve</x:t>
  </x:si>
  <x:si>
    <x:t>http://id.who.int/icd/entity/1486302927</x:t>
  </x:si>
  <x:si>
    <x:t>http://id.who.int/icd/release/11/beta/ichi/1486302927</x:t>
  </x:si>
  <x:si>
    <x:t>HDE.MK.AA</x:t>
  </x:si>
  <x:si>
    <x:t>- - - - - Repair of aortic valve</x:t>
  </x:si>
  <x:si>
    <x:t>http://id.who.int/icd/entity/183913863</x:t>
  </x:si>
  <x:si>
    <x:t>http://id.who.int/icd/release/11/beta/ichi/183913863</x:t>
  </x:si>
  <x:si>
    <x:t>HDE.ML.AA</x:t>
  </x:si>
  <x:si>
    <x:t>- - - - - Reconstruction of aortic valve</x:t>
  </x:si>
  <x:si>
    <x:t>http://id.who.int/icd/entity/149747584</x:t>
  </x:si>
  <x:si>
    <x:t>http://id.who.int/icd/release/11/beta/ichi/149747584</x:t>
  </x:si>
  <x:si>
    <x:t>HDF.DN.AA</x:t>
  </x:si>
  <x:si>
    <x:t>- - - - - Replacement of mitral valve</x:t>
  </x:si>
  <x:si>
    <x:t>http://id.who.int/icd/entity/1462675037</x:t>
  </x:si>
  <x:si>
    <x:t>http://id.who.int/icd/release/11/beta/ichi/1462675037</x:t>
  </x:si>
  <x:si>
    <x:t>HDF.DN.AB</x:t>
  </x:si>
  <x:si>
    <x:t>- - - - - Thoracoscopic mitral valve replacement</x:t>
  </x:si>
  <x:si>
    <x:t>http://id.who.int/icd/entity/1664768652</x:t>
  </x:si>
  <x:si>
    <x:t>http://id.who.int/icd/release/11/beta/ichi/1664768652</x:t>
  </x:si>
  <x:si>
    <x:t>HDF.DN.AE</x:t>
  </x:si>
  <x:si>
    <x:t>- - - - - Percutaneous transcatheter mitral valve replacement</x:t>
  </x:si>
  <x:si>
    <x:t>http://id.who.int/icd/entity/1028424572</x:t>
  </x:si>
  <x:si>
    <x:t>http://id.who.int/icd/release/11/beta/ichi/1028424572</x:t>
  </x:si>
  <x:si>
    <x:t>HDF.DN.AF</x:t>
  </x:si>
  <x:si>
    <x:t>- - - - - Percutaneous transluminal transcatheter mitral valve replacement</x:t>
  </x:si>
  <x:si>
    <x:t>http://id.who.int/icd/entity/1832344267</x:t>
  </x:si>
  <x:si>
    <x:t>http://id.who.int/icd/release/11/beta/ichi/1832344267</x:t>
  </x:si>
  <x:si>
    <x:t>HDF.FB.AA</x:t>
  </x:si>
  <x:si>
    <x:t>- - - - - Division of mitral subvalvar apparatus</x:t>
  </x:si>
  <x:si>
    <x:t>http://id.who.int/icd/entity/655080866</x:t>
  </x:si>
  <x:si>
    <x:t>http://id.who.int/icd/release/11/beta/ichi/655080866</x:t>
  </x:si>
  <x:si>
    <x:t>HDF.JJ.AA</x:t>
  </x:si>
  <x:si>
    <x:t>- - - - - Excision of supravalvar mitral ring</x:t>
  </x:si>
  <x:si>
    <x:t>http://id.who.int/icd/entity/1457313967</x:t>
  </x:si>
  <x:si>
    <x:t>http://id.who.int/icd/release/11/beta/ichi/1457313967</x:t>
  </x:si>
  <x:si>
    <x:t>HDF.KA.AF</x:t>
  </x:si>
  <x:si>
    <x:t>- - - - - Transluminal implantation of prosthetic valve in replaced mitral valve</x:t>
  </x:si>
  <x:si>
    <x:t>http://id.who.int/icd/entity/1818399817</x:t>
  </x:si>
  <x:si>
    <x:t>http://id.who.int/icd/release/11/beta/ichi/1818399817</x:t>
  </x:si>
  <x:si>
    <x:t>HDF.LB.AA</x:t>
  </x:si>
  <x:si>
    <x:t>- - - - - Reattachment procedure for mitral valve or subvalvar apparatus</x:t>
  </x:si>
  <x:si>
    <x:t>http://id.who.int/icd/entity/244011907</x:t>
  </x:si>
  <x:si>
    <x:t>http://id.who.int/icd/release/11/beta/ichi/244011907</x:t>
  </x:si>
  <x:si>
    <x:t>HDF.LG.AA</x:t>
  </x:si>
  <x:si>
    <x:t>- - - - - Closed mitral valvotomy</x:t>
  </x:si>
  <x:si>
    <x:t>http://id.who.int/icd/entity/1930528109</x:t>
  </x:si>
  <x:si>
    <x:t>http://id.who.int/icd/release/11/beta/ichi/1930528109</x:t>
  </x:si>
  <x:si>
    <x:t>HDF.LG.AF</x:t>
  </x:si>
  <x:si>
    <x:t>- - - - - Percutaneous transluminal balloon dilatation of mitral valve</x:t>
  </x:si>
  <x:si>
    <x:t>http://id.who.int/icd/entity/649825204</x:t>
  </x:si>
  <x:si>
    <x:t>http://id.who.int/icd/release/11/beta/ichi/649825204</x:t>
  </x:si>
  <x:si>
    <x:t>HDF.MK.AA</x:t>
  </x:si>
  <x:si>
    <x:t>- - - - - Repair of mitral valve or subvalvar apparatus</x:t>
  </x:si>
  <x:si>
    <x:t>http://id.who.int/icd/entity/1501604013</x:t>
  </x:si>
  <x:si>
    <x:t>http://id.who.int/icd/release/11/beta/ichi/1501604013</x:t>
  </x:si>
  <x:si>
    <x:t>HDF.MK.AB</x:t>
  </x:si>
  <x:si>
    <x:t>- - - - - Thoracoscopic repair of mitral valve or subvalvar apparatus</x:t>
  </x:si>
  <x:si>
    <x:t>http://id.who.int/icd/entity/1087023854</x:t>
  </x:si>
  <x:si>
    <x:t>http://id.who.int/icd/release/11/beta/ichi/1087023854</x:t>
  </x:si>
  <x:si>
    <x:t>HDF.ML.AA</x:t>
  </x:si>
  <x:si>
    <x:t>- - - - - Reconstruction of mitral valve or subvalvar apparatus</x:t>
  </x:si>
  <x:si>
    <x:t>http://id.who.int/icd/entity/1371289356</x:t>
  </x:si>
  <x:si>
    <x:t>http://id.who.int/icd/release/11/beta/ichi/1371289356</x:t>
  </x:si>
  <x:si>
    <x:t>HDF.ML.AB</x:t>
  </x:si>
  <x:si>
    <x:t>- - - - - Thoracoscopic reconstruction of mitral valve</x:t>
  </x:si>
  <x:si>
    <x:t>http://id.who.int/icd/entity/2072418554</x:t>
  </x:si>
  <x:si>
    <x:t>http://id.who.int/icd/release/11/beta/ichi/2072418554</x:t>
  </x:si>
  <x:si>
    <x:t>HDF.ML.AF</x:t>
  </x:si>
  <x:si>
    <x:t>- - - - - Percutaneous transluminal reconstruction of mitral valve</x:t>
  </x:si>
  <x:si>
    <x:t>http://id.who.int/icd/entity/422701226</x:t>
  </x:si>
  <x:si>
    <x:t>http://id.who.int/icd/release/11/beta/ichi/422701226</x:t>
  </x:si>
  <x:si>
    <x:t>HDG.DN.AA</x:t>
  </x:si>
  <x:si>
    <x:t>- - - - - Replacement of pulmonary valve</x:t>
  </x:si>
  <x:si>
    <x:t>http://id.who.int/icd/entity/1229599003</x:t>
  </x:si>
  <x:si>
    <x:t>http://id.who.int/icd/release/11/beta/ichi/1229599003</x:t>
  </x:si>
  <x:si>
    <x:t>HDG.DN.AF</x:t>
  </x:si>
  <x:si>
    <x:t>- - - - - Percutaneous transluminal transcatheter pulmonary valve replacement</x:t>
  </x:si>
  <x:si>
    <x:t>http://id.who.int/icd/entity/452098911</x:t>
  </x:si>
  <x:si>
    <x:t>http://id.who.int/icd/release/11/beta/ichi/452098911</x:t>
  </x:si>
  <x:si>
    <x:t>HDG.KA.AF</x:t>
  </x:si>
  <x:si>
    <x:t>- - - - - Transluminal implantation of prosthetic valve in replaced pulmonary valve</x:t>
  </x:si>
  <x:si>
    <x:t>http://id.who.int/icd/entity/378036280</x:t>
  </x:si>
  <x:si>
    <x:t>http://id.who.int/icd/release/11/beta/ichi/378036280</x:t>
  </x:si>
  <x:si>
    <x:t>HDG.LA.AA</x:t>
  </x:si>
  <x:si>
    <x:t>- - - - - Pulmonary valve closure-oversewing</x:t>
  </x:si>
  <x:si>
    <x:t>http://id.who.int/icd/entity/1544763171</x:t>
  </x:si>
  <x:si>
    <x:t>http://id.who.int/icd/release/11/beta/ichi/1544763171</x:t>
  </x:si>
  <x:si>
    <x:t>HDG.LG.AA</x:t>
  </x:si>
  <x:si>
    <x:t>- - - - - Closed pulmonary valvotomy</x:t>
  </x:si>
  <x:si>
    <x:t>http://id.who.int/icd/entity/311576182</x:t>
  </x:si>
  <x:si>
    <x:t>http://id.who.int/icd/release/11/beta/ichi/311576182</x:t>
  </x:si>
  <x:si>
    <x:t>HDG.LG.AF</x:t>
  </x:si>
  <x:si>
    <x:t>- - - - - Percutaneous transluminal balloon dilatation of pulmonary valve</x:t>
  </x:si>
  <x:si>
    <x:t>http://id.who.int/icd/entity/1179912697</x:t>
  </x:si>
  <x:si>
    <x:t>http://id.who.int/icd/release/11/beta/ichi/1179912697</x:t>
  </x:si>
  <x:si>
    <x:t>HDG.LH.AF</x:t>
  </x:si>
  <x:si>
    <x:t>- - - - - Percutaneous transluminal dilatation with insertion of device in pulmonary valve</x:t>
  </x:si>
  <x:si>
    <x:t>http://id.who.int/icd/entity/591601204</x:t>
  </x:si>
  <x:si>
    <x:t>http://id.who.int/icd/release/11/beta/ichi/591601204</x:t>
  </x:si>
  <x:si>
    <x:t>HDG.MK.AA</x:t>
  </x:si>
  <x:si>
    <x:t>- - - - - Repair of pulmonary valve</x:t>
  </x:si>
  <x:si>
    <x:t>http://id.who.int/icd/entity/2088849169</x:t>
  </x:si>
  <x:si>
    <x:t>http://id.who.int/icd/release/11/beta/ichi/2088849169</x:t>
  </x:si>
  <x:si>
    <x:t>HDG.MK.AF</x:t>
  </x:si>
  <x:si>
    <x:t>- - - - - Percutaneous transluminal repair of pulmonary valve</x:t>
  </x:si>
  <x:si>
    <x:t>http://id.who.int/icd/entity/280064861</x:t>
  </x:si>
  <x:si>
    <x:t>http://id.who.int/icd/release/11/beta/ichi/280064861</x:t>
  </x:si>
  <x:si>
    <x:t>HDG.ML.AA</x:t>
  </x:si>
  <x:si>
    <x:t>- - - - - Reconstruction of pulmonary valve</x:t>
  </x:si>
  <x:si>
    <x:t>http://id.who.int/icd/entity/1009782552</x:t>
  </x:si>
  <x:si>
    <x:t>http://id.who.int/icd/release/11/beta/ichi/1009782552</x:t>
  </x:si>
  <x:si>
    <x:t>HDH.DN.AA</x:t>
  </x:si>
  <x:si>
    <x:t>- - - - - Replacement of tricuspid valve</x:t>
  </x:si>
  <x:si>
    <x:t>http://id.who.int/icd/entity/1816909479</x:t>
  </x:si>
  <x:si>
    <x:t>http://id.who.int/icd/release/11/beta/ichi/1816909479</x:t>
  </x:si>
  <x:si>
    <x:t>HDH.DN.AF</x:t>
  </x:si>
  <x:si>
    <x:t>- - - - - Percutaneous transluminal transcatheter replacement of tricuspid valve</x:t>
  </x:si>
  <x:si>
    <x:t>http://id.who.int/icd/entity/864651142</x:t>
  </x:si>
  <x:si>
    <x:t>http://id.who.int/icd/release/11/beta/ichi/864651142</x:t>
  </x:si>
  <x:si>
    <x:t>HDH.KA.AF</x:t>
  </x:si>
  <x:si>
    <x:t>- - - - - Transluminal implantation of tricuspid valve in prosthetic valve</x:t>
  </x:si>
  <x:si>
    <x:t>http://id.who.int/icd/entity/1713604955</x:t>
  </x:si>
  <x:si>
    <x:t>http://id.who.int/icd/release/11/beta/ichi/1713604955</x:t>
  </x:si>
  <x:si>
    <x:t>HDH.LA.AA</x:t>
  </x:si>
  <x:si>
    <x:t>- - - - - Tricuspid valve closure-oversewing</x:t>
  </x:si>
  <x:si>
    <x:t>http://id.who.int/icd/entity/911757548</x:t>
  </x:si>
  <x:si>
    <x:t>http://id.who.int/icd/release/11/beta/ichi/911757548</x:t>
  </x:si>
  <x:si>
    <x:t>HDH.LB.AA</x:t>
  </x:si>
  <x:si>
    <x:t>- - - - - Reattachment procedure for tricuspid valve or subvalvar apparatus</x:t>
  </x:si>
  <x:si>
    <x:t>http://id.who.int/icd/entity/690700752</x:t>
  </x:si>
  <x:si>
    <x:t>http://id.who.int/icd/release/11/beta/ichi/690700752</x:t>
  </x:si>
  <x:si>
    <x:t>HDH.LG.AA</x:t>
  </x:si>
  <x:si>
    <x:t>- - - - - Dilatation of tricuspid valve by transventricular approach</x:t>
  </x:si>
  <x:si>
    <x:t>http://id.who.int/icd/entity/47590752</x:t>
  </x:si>
  <x:si>
    <x:t>http://id.who.int/icd/release/11/beta/ichi/47590752</x:t>
  </x:si>
  <x:si>
    <x:t>HDH.LG.AF</x:t>
  </x:si>
  <x:si>
    <x:t>- - - - - Percutaneous transluminal balloon dilatation of tricuspid valve</x:t>
  </x:si>
  <x:si>
    <x:t>http://id.who.int/icd/entity/862748438</x:t>
  </x:si>
  <x:si>
    <x:t>http://id.who.int/icd/release/11/beta/ichi/862748438</x:t>
  </x:si>
  <x:si>
    <x:t>HDH.MK.AA</x:t>
  </x:si>
  <x:si>
    <x:t>- - - - - Repair of tricuspid valve or subvalvar apparatus</x:t>
  </x:si>
  <x:si>
    <x:t>http://id.who.int/icd/entity/1695020846</x:t>
  </x:si>
  <x:si>
    <x:t>http://id.who.int/icd/release/11/beta/ichi/1695020846</x:t>
  </x:si>
  <x:si>
    <x:t>HDH.ML.AA</x:t>
  </x:si>
  <x:si>
    <x:t>- - - - - Reconstruction of tricuspid valve or subvalvar apparatus</x:t>
  </x:si>
  <x:si>
    <x:t>http://id.who.int/icd/entity/1290857595</x:t>
  </x:si>
  <x:si>
    <x:t>http://id.who.int/icd/release/11/beta/ichi/1290857595</x:t>
  </x:si>
  <x:si>
    <x:t>HDH.ML.AF</x:t>
  </x:si>
  <x:si>
    <x:t>- - - - - Percutaneous transluminal reconstruction of tricuspid valve</x:t>
  </x:si>
  <x:si>
    <x:t>http://id.who.int/icd/entity/1667536628</x:t>
  </x:si>
  <x:si>
    <x:t>http://id.who.int/icd/release/11/beta/ichi/1667536628</x:t>
  </x:si>
  <x:si>
    <x:t>HDI.DN.AA</x:t>
  </x:si>
  <x:si>
    <x:t>- - - - - Replacement of truncal valve</x:t>
  </x:si>
  <x:si>
    <x:t>http://id.who.int/icd/entity/870588898</x:t>
  </x:si>
  <x:si>
    <x:t>http://id.who.int/icd/release/11/beta/ichi/870588898</x:t>
  </x:si>
  <x:si>
    <x:t>HDI.LG.AF</x:t>
  </x:si>
  <x:si>
    <x:t>- - - - - Percutaneous transluminal balloon dilatation of truncal valve</x:t>
  </x:si>
  <x:si>
    <x:t>http://id.who.int/icd/entity/2023257117</x:t>
  </x:si>
  <x:si>
    <x:t>http://id.who.int/icd/release/11/beta/ichi/2023257117</x:t>
  </x:si>
  <x:si>
    <x:t>HDI.MK.AA</x:t>
  </x:si>
  <x:si>
    <x:t>- - - - - Repair of truncal valve</x:t>
  </x:si>
  <x:si>
    <x:t>http://id.who.int/icd/entity/694985401</x:t>
  </x:si>
  <x:si>
    <x:t>http://id.who.int/icd/release/11/beta/ichi/694985401</x:t>
  </x:si>
  <x:si>
    <x:t>HDI.ML.AA</x:t>
  </x:si>
  <x:si>
    <x:t>- - - - - Reconstruction of truncal valve</x:t>
  </x:si>
  <x:si>
    <x:t>http://id.who.int/icd/entity/1728938219</x:t>
  </x:si>
  <x:si>
    <x:t>http://id.who.int/icd/release/11/beta/ichi/1728938219</x:t>
  </x:si>
  <x:si>
    <x:t>HDM.DN.AA</x:t>
  </x:si>
  <x:si>
    <x:t>- - - - - Replacement of congenitally malformed atrioventricular valve</x:t>
  </x:si>
  <x:si>
    <x:t>http://id.who.int/icd/entity/1984864413</x:t>
  </x:si>
  <x:si>
    <x:t>http://id.who.int/icd/release/11/beta/ichi/1984864413</x:t>
  </x:si>
  <x:si>
    <x:t>HDM.FB.AA</x:t>
  </x:si>
  <x:si>
    <x:t>- - - - - Division of congenitally malformed atrioventricular subvalvar apparatus</x:t>
  </x:si>
  <x:si>
    <x:t>http://id.who.int/icd/entity/100133659</x:t>
  </x:si>
  <x:si>
    <x:t>http://id.who.int/icd/release/11/beta/ichi/100133659</x:t>
  </x:si>
  <x:si>
    <x:t>HDM.KA.AF</x:t>
  </x:si>
  <x:si>
    <x:t>- - - - - Transluminal implantation of prosthetic valve in replaced congenitally malformed atrioventricular valve</x:t>
  </x:si>
  <x:si>
    <x:t>http://id.who.int/icd/entity/1427017268</x:t>
  </x:si>
  <x:si>
    <x:t>http://id.who.int/icd/release/11/beta/ichi/1427017268</x:t>
  </x:si>
  <x:si>
    <x:t>HDM.LB.AA</x:t>
  </x:si>
  <x:si>
    <x:t>- - - - - Reattachment of congenitally malformed atrioventricular subvalvar apparatus</x:t>
  </x:si>
  <x:si>
    <x:t>http://id.who.int/icd/entity/1873855188</x:t>
  </x:si>
  <x:si>
    <x:t>http://id.who.int/icd/release/11/beta/ichi/1873855188</x:t>
  </x:si>
  <x:si>
    <x:t>HDM.LG.AF</x:t>
  </x:si>
  <x:si>
    <x:t>- - - - - Percutaneous transluminal dilatation of congenitally malformed atrioventricular valve</x:t>
  </x:si>
  <x:si>
    <x:t>http://id.who.int/icd/entity/1689574526</x:t>
  </x:si>
  <x:si>
    <x:t>http://id.who.int/icd/release/11/beta/ichi/1689574526</x:t>
  </x:si>
  <x:si>
    <x:t>HDM.MK.AA</x:t>
  </x:si>
  <x:si>
    <x:t>- - - - - Repair of congenitally malformed atrioventricular valve</x:t>
  </x:si>
  <x:si>
    <x:t>http://id.who.int/icd/entity/1602431320</x:t>
  </x:si>
  <x:si>
    <x:t>http://id.who.int/icd/release/11/beta/ichi/1602431320</x:t>
  </x:si>
  <x:si>
    <x:t>HDM.ML.AA</x:t>
  </x:si>
  <x:si>
    <x:t>- - - - - Reconstruction of congenitally malformed atrioventricular valve</x:t>
  </x:si>
  <x:si>
    <x:t>http://id.who.int/icd/entity/1170478978</x:t>
  </x:si>
  <x:si>
    <x:t>http://id.who.int/icd/release/11/beta/ichi/1170478978</x:t>
  </x:si>
  <x:si>
    <x:t>BlockL4-HFA</x:t>
  </x:si>
  <x:si>
    <x:t>- - - - Interventions on endocardium, pericardium, myocardium</x:t>
  </x:si>
  <x:si>
    <x:t>http://id.who.int/icd/entity/4290683</x:t>
  </x:si>
  <x:si>
    <x:t>http://id.who.int/icd/release/11/beta/ichi/4290683</x:t>
  </x:si>
  <x:si>
    <x:t>HFA.FA.AA</x:t>
  </x:si>
  <x:si>
    <x:t>- - - - - Incision of endocardium</x:t>
  </x:si>
  <x:si>
    <x:t>http://id.who.int/icd/entity/627694889</x:t>
  </x:si>
  <x:si>
    <x:t>http://id.who.int/icd/release/11/beta/ichi/627694889</x:t>
  </x:si>
  <x:si>
    <x:t>HFB.MK.AA</x:t>
  </x:si>
  <x:si>
    <x:t>- - - - - Repair of atrioventricular septal defect</x:t>
  </x:si>
  <x:si>
    <x:t>http://id.who.int/icd/entity/875232607</x:t>
  </x:si>
  <x:si>
    <x:t>http://id.who.int/icd/release/11/beta/ichi/875232607</x:t>
  </x:si>
  <x:si>
    <x:t>HFB.ML.AA</x:t>
  </x:si>
  <x:si>
    <x:t>- - - - - Repair of atrioventricular septal defect with patch</x:t>
  </x:si>
  <x:si>
    <x:t>http://id.who.int/icd/entity/253560953</x:t>
  </x:si>
  <x:si>
    <x:t>http://id.who.int/icd/release/11/beta/ichi/253560953</x:t>
  </x:si>
  <x:si>
    <x:t>HFC.AF.AF</x:t>
  </x:si>
  <x:si>
    <x:t>- - - - - Electrophysiological study of heart</x:t>
  </x:si>
  <x:si>
    <x:t>http://id.who.int/icd/entity/1708694832</x:t>
  </x:si>
  <x:si>
    <x:t>http://id.who.int/icd/release/11/beta/ichi/1708694832</x:t>
  </x:si>
  <x:si>
    <x:t>HFC.AI.AH</x:t>
  </x:si>
  <x:si>
    <x:t>- - - - - Cardiac electrophysiological monitoring</x:t>
  </x:si>
  <x:si>
    <x:t>http://id.who.int/icd/entity/1606508986</x:t>
  </x:si>
  <x:si>
    <x:t>http://id.who.int/icd/release/11/beta/ichi/1606508986</x:t>
  </x:si>
  <x:si>
    <x:t>HFC.DL.AA</x:t>
  </x:si>
  <x:si>
    <x:t>- - - - - Insertion of temporary epicardial pacemaker system</x:t>
  </x:si>
  <x:si>
    <x:t>http://id.who.int/icd/entity/263895049</x:t>
  </x:si>
  <x:si>
    <x:t>http://id.who.int/icd/release/11/beta/ichi/263895049</x:t>
  </x:si>
  <x:si>
    <x:t>HFC.DL.AF</x:t>
  </x:si>
  <x:si>
    <x:t>- - - - - Percutaneous transluminal insertion of temporary pacemaker system</x:t>
  </x:si>
  <x:si>
    <x:t>http://id.who.int/icd/entity/209051</x:t>
  </x:si>
  <x:si>
    <x:t>http://id.who.int/icd/release/11/beta/ichi/209051</x:t>
  </x:si>
  <x:si>
    <x:t>HFC.DN.AA</x:t>
  </x:si>
  <x:si>
    <x:t>- - - - - Implantation of permanent epicardial pacemaker or defibrillator system</x:t>
  </x:si>
  <x:si>
    <x:t>http://id.who.int/icd/entity/896532193</x:t>
  </x:si>
  <x:si>
    <x:t>http://id.who.int/icd/release/11/beta/ichi/896532193</x:t>
  </x:si>
  <x:si>
    <x:t>HFC.DN.AF</x:t>
  </x:si>
  <x:si>
    <x:t>- - - - - Percutaneous transluminal implantation of permanent pacemaker or defibrillator system</x:t>
  </x:si>
  <x:si>
    <x:t>http://id.who.int/icd/entity/1695819602</x:t>
  </x:si>
  <x:si>
    <x:t>http://id.who.int/icd/release/11/beta/ichi/1695819602</x:t>
  </x:si>
  <x:si>
    <x:t>HFC.GA.AA</x:t>
  </x:si>
  <x:si>
    <x:t>- - - - - Destruction of arrhythmia circuit</x:t>
  </x:si>
  <x:si>
    <x:t>http://id.who.int/icd/entity/1789767620</x:t>
  </x:si>
  <x:si>
    <x:t>http://id.who.int/icd/release/11/beta/ichi/1789767620</x:t>
  </x:si>
  <x:si>
    <x:t>HFC.GA.AF</x:t>
  </x:si>
  <x:si>
    <x:t>- - - - - Percutaneous transluminal destruction of arrhythmia circuit</x:t>
  </x:si>
  <x:si>
    <x:t>http://id.who.int/icd/entity/521874353</x:t>
  </x:si>
  <x:si>
    <x:t>http://id.who.int/icd/release/11/beta/ichi/521874353</x:t>
  </x:si>
  <x:si>
    <x:t>HFC.JD.AA</x:t>
  </x:si>
  <x:si>
    <x:t>- - - - - Removal of pacemaker system</x:t>
  </x:si>
  <x:si>
    <x:t>http://id.who.int/icd/entity/811323679</x:t>
  </x:si>
  <x:si>
    <x:t>http://id.who.int/icd/release/11/beta/ichi/811323679</x:t>
  </x:si>
  <x:si>
    <x:t>HFC.JD.AF</x:t>
  </x:si>
  <x:si>
    <x:t>- - - - - Percutaneous transluminal removal of pacemaker system</x:t>
  </x:si>
  <x:si>
    <x:t>http://id.who.int/icd/entity/463912335</x:t>
  </x:si>
  <x:si>
    <x:t>http://id.who.int/icd/release/11/beta/ichi/463912335</x:t>
  </x:si>
  <x:si>
    <x:t>HFC.KA.AA</x:t>
  </x:si>
  <x:si>
    <x:t>- - - - - Replacement of pacemaker system</x:t>
  </x:si>
  <x:si>
    <x:t>http://id.who.int/icd/entity/898238065</x:t>
  </x:si>
  <x:si>
    <x:t>http://id.who.int/icd/release/11/beta/ichi/898238065</x:t>
  </x:si>
  <x:si>
    <x:t>HFC.KA.AF</x:t>
  </x:si>
  <x:si>
    <x:t>- - - - - Percutaneous transluminal replacement of pacemaker system</x:t>
  </x:si>
  <x:si>
    <x:t>http://id.who.int/icd/entity/1599050534</x:t>
  </x:si>
  <x:si>
    <x:t>http://id.who.int/icd/release/11/beta/ichi/1599050534</x:t>
  </x:si>
  <x:si>
    <x:t>HFC.SC.AH</x:t>
  </x:si>
  <x:si>
    <x:t>- - - - - Conversion of cardiac rhythm</x:t>
  </x:si>
  <x:si>
    <x:t>http://id.who.int/icd/entity/96071163</x:t>
  </x:si>
  <x:si>
    <x:t>http://id.who.int/icd/release/11/beta/ichi/96071163</x:t>
  </x:si>
  <x:si>
    <x:t>HFC.SN.AA</x:t>
  </x:si>
  <x:si>
    <x:t>- - - - - Management of pacemaker system</x:t>
  </x:si>
  <x:si>
    <x:t>http://id.who.int/icd/entity/178771225</x:t>
  </x:si>
  <x:si>
    <x:t>http://id.who.int/icd/release/11/beta/ichi/178771225</x:t>
  </x:si>
  <x:si>
    <x:t>HFC.SN.AF</x:t>
  </x:si>
  <x:si>
    <x:t>- - - - - Percutaneous transluminal management of pacemaker system</x:t>
  </x:si>
  <x:si>
    <x:t>http://id.who.int/icd/entity/1524370602</x:t>
  </x:si>
  <x:si>
    <x:t>http://id.who.int/icd/release/11/beta/ichi/1524370602</x:t>
  </x:si>
  <x:si>
    <x:t>HFC.SN.AH</x:t>
  </x:si>
  <x:si>
    <x:t>- - - - - Pacemaker or cardioverter defibrillator function check</x:t>
  </x:si>
  <x:si>
    <x:t>http://id.who.int/icd/entity/236602151</x:t>
  </x:si>
  <x:si>
    <x:t>http://id.who.int/icd/release/11/beta/ichi/236602151</x:t>
  </x:si>
  <x:si>
    <x:t>HFD.AD.AA</x:t>
  </x:si>
  <x:si>
    <x:t>- - - - - Biopsy of myocardium</x:t>
  </x:si>
  <x:si>
    <x:t>http://id.who.int/icd/entity/1018946315</x:t>
  </x:si>
  <x:si>
    <x:t>http://id.who.int/icd/release/11/beta/ichi/1018946315</x:t>
  </x:si>
  <x:si>
    <x:t>HFD.AD.AF</x:t>
  </x:si>
  <x:si>
    <x:t>- - - - - Percutaneous transluminal biopsy of myocardium</x:t>
  </x:si>
  <x:si>
    <x:t>http://id.who.int/icd/entity/390500251</x:t>
  </x:si>
  <x:si>
    <x:t>http://id.who.int/icd/release/11/beta/ichi/390500251</x:t>
  </x:si>
  <x:si>
    <x:t>HFD.BA.BF</x:t>
  </x:si>
  <x:si>
    <x:t>- - - - - Single photon emission computerised tomography of myocardium</x:t>
  </x:si>
  <x:si>
    <x:t>http://id.who.int/icd/entity/1941121952</x:t>
  </x:si>
  <x:si>
    <x:t>http://id.who.int/icd/release/11/beta/ichi/1941121952</x:t>
  </x:si>
  <x:si>
    <x:t>HFD.BA.BG</x:t>
  </x:si>
  <x:si>
    <x:t>- - - - - Positron emission computerised tomography of myocardium</x:t>
  </x:si>
  <x:si>
    <x:t>http://id.who.int/icd/entity/233064913</x:t>
  </x:si>
  <x:si>
    <x:t>http://id.who.int/icd/release/11/beta/ichi/233064913</x:t>
  </x:si>
  <x:si>
    <x:t>HFD.FA.AA</x:t>
  </x:si>
  <x:si>
    <x:t>- - - - - Transmyocardial revascularisation</x:t>
  </x:si>
  <x:si>
    <x:t>http://id.who.int/icd/entity/1495402078</x:t>
  </x:si>
  <x:si>
    <x:t>http://id.who.int/icd/release/11/beta/ichi/1495402078</x:t>
  </x:si>
  <x:si>
    <x:t>HFD.FA.AB</x:t>
  </x:si>
  <x:si>
    <x:t>- - - - - Thoracoscopic transmyocardial revascularisation</x:t>
  </x:si>
  <x:si>
    <x:t>http://id.who.int/icd/entity/1544956320</x:t>
  </x:si>
  <x:si>
    <x:t>http://id.who.int/icd/release/11/beta/ichi/1544956320</x:t>
  </x:si>
  <x:si>
    <x:t>HFD.FA.AF</x:t>
  </x:si>
  <x:si>
    <x:t>- - - - - Percutaneous transmyocardial revascularisation</x:t>
  </x:si>
  <x:si>
    <x:t>http://id.who.int/icd/entity/1229926298</x:t>
  </x:si>
  <x:si>
    <x:t>http://id.who.int/icd/release/11/beta/ichi/1229926298</x:t>
  </x:si>
  <x:si>
    <x:t>HFF.AD.AE</x:t>
  </x:si>
  <x:si>
    <x:t>- - - - - Percutaneous biopsy of pericardium</x:t>
  </x:si>
  <x:si>
    <x:t>http://id.who.int/icd/entity/1655849738</x:t>
  </x:si>
  <x:si>
    <x:t>http://id.who.int/icd/release/11/beta/ichi/1655849738</x:t>
  </x:si>
  <x:si>
    <x:t>HFF.DB.AE</x:t>
  </x:si>
  <x:si>
    <x:t>- - - - - Injection into the pericardium</x:t>
  </x:si>
  <x:si>
    <x:t>http://id.who.int/icd/entity/1393037636</x:t>
  </x:si>
  <x:si>
    <x:t>http://id.who.int/icd/release/11/beta/ichi/1393037636</x:t>
  </x:si>
  <x:si>
    <x:t>HFF.FA.AA</x:t>
  </x:si>
  <x:si>
    <x:t>- - - - - Pericardiotomy</x:t>
  </x:si>
  <x:si>
    <x:t>http://id.who.int/icd/entity/51954429</x:t>
  </x:si>
  <x:si>
    <x:t>http://id.who.int/icd/release/11/beta/ichi/51954429</x:t>
  </x:si>
  <x:si>
    <x:t>HFF.FC.AA</x:t>
  </x:si>
  <x:si>
    <x:t>- - - - - Release of adhesions of pericardium</x:t>
  </x:si>
  <x:si>
    <x:t>http://id.who.int/icd/entity/1776113580</x:t>
  </x:si>
  <x:si>
    <x:t>http://id.who.int/icd/release/11/beta/ichi/1776113580</x:t>
  </x:si>
  <x:si>
    <x:t>HFF.JB.AE</x:t>
  </x:si>
  <x:si>
    <x:t>- - - - - Pericardiocentesis</x:t>
  </x:si>
  <x:si>
    <x:t>http://id.who.int/icd/entity/1109408572</x:t>
  </x:si>
  <x:si>
    <x:t>http://id.who.int/icd/release/11/beta/ichi/1109408572</x:t>
  </x:si>
  <x:si>
    <x:t>HFF.JI.AA</x:t>
  </x:si>
  <x:si>
    <x:t>- - - - - Local excision of lesion of pericardium</x:t>
  </x:si>
  <x:si>
    <x:t>http://id.who.int/icd/entity/1016242661</x:t>
  </x:si>
  <x:si>
    <x:t>http://id.who.int/icd/release/11/beta/ichi/1016242661</x:t>
  </x:si>
  <x:si>
    <x:t>HFF.JJ.AA</x:t>
  </x:si>
  <x:si>
    <x:t>- - - - - Partial pericardiectomy</x:t>
  </x:si>
  <x:si>
    <x:t>http://id.who.int/icd/entity/332553035</x:t>
  </x:si>
  <x:si>
    <x:t>http://id.who.int/icd/release/11/beta/ichi/332553035</x:t>
  </x:si>
  <x:si>
    <x:t>HFF.JJ.AB</x:t>
  </x:si>
  <x:si>
    <x:t>- - - - - Thorascopic partial pericardiectomy</x:t>
  </x:si>
  <x:si>
    <x:t>http://id.who.int/icd/entity/587483217</x:t>
  </x:si>
  <x:si>
    <x:t>http://id.who.int/icd/release/11/beta/ichi/587483217</x:t>
  </x:si>
  <x:si>
    <x:t>HFF.JK.AA</x:t>
  </x:si>
  <x:si>
    <x:t>- - - - - Total pericardiectomy</x:t>
  </x:si>
  <x:si>
    <x:t>http://id.who.int/icd/entity/431621303</x:t>
  </x:si>
  <x:si>
    <x:t>http://id.who.int/icd/release/11/beta/ichi/431621303</x:t>
  </x:si>
  <x:si>
    <x:t>HFF.JK.AB</x:t>
  </x:si>
  <x:si>
    <x:t>- - - - - Thoracoscopic total pericardiectmy</x:t>
  </x:si>
  <x:si>
    <x:t>http://id.who.int/icd/entity/1014454645</x:t>
  </x:si>
  <x:si>
    <x:t>http://id.who.int/icd/release/11/beta/ichi/1014454645</x:t>
  </x:si>
  <x:si>
    <x:t>HFF.MK.AA</x:t>
  </x:si>
  <x:si>
    <x:t>- - - - - Repair of pericardium</x:t>
  </x:si>
  <x:si>
    <x:t>http://id.who.int/icd/entity/1376737822</x:t>
  </x:si>
  <x:si>
    <x:t>http://id.who.int/icd/release/11/beta/ichi/1376737822</x:t>
  </x:si>
  <x:si>
    <x:t>BlockL4-HIA</x:t>
  </x:si>
  <x:si>
    <x:t>- - - - Interventions on coronary arteries or great vessels</x:t>
  </x:si>
  <x:si>
    <x:t>152</x:t>
  </x:si>
  <x:si>
    <x:t>http://id.who.int/icd/entity/1812758726</x:t>
  </x:si>
  <x:si>
    <x:t>http://id.who.int/icd/release/11/beta/ichi/1812758726</x:t>
  </x:si>
  <x:si>
    <x:t>HIA.AB.AF</x:t>
  </x:si>
  <x:si>
    <x:t>- - - - - Intravascular pressure measurement of coronary arteries</x:t>
  </x:si>
  <x:si>
    <x:t>http://id.who.int/icd/entity/1504507074</x:t>
  </x:si>
  <x:si>
    <x:t>http://id.who.int/icd/release/11/beta/ichi/1504507074</x:t>
  </x:si>
  <x:si>
    <x:t>HIA.BA.AF</x:t>
  </x:si>
  <x:si>
    <x:t>- - - - - Intravascular imaging of coronary vessels</x:t>
  </x:si>
  <x:si>
    <x:t>http://id.who.int/icd/entity/328209323</x:t>
  </x:si>
  <x:si>
    <x:t>http://id.who.int/icd/release/11/beta/ichi/328209323</x:t>
  </x:si>
  <x:si>
    <x:t>HIA.BA.BB</x:t>
  </x:si>
  <x:si>
    <x:t>- - - - - Coronary angiography</x:t>
  </x:si>
  <x:si>
    <x:t>http://id.who.int/icd/entity/1561420542</x:t>
  </x:si>
  <x:si>
    <x:t>http://id.who.int/icd/release/11/beta/ichi/1561420542</x:t>
  </x:si>
  <x:si>
    <x:t>HIA.DB.AF</x:t>
  </x:si>
  <x:si>
    <x:t>- - - - - Thrombolysis of coronary artery</x:t>
  </x:si>
  <x:si>
    <x:t>http://id.who.int/icd/entity/842837781</x:t>
  </x:si>
  <x:si>
    <x:t>http://id.who.int/icd/release/11/beta/ichi/842837781</x:t>
  </x:si>
  <x:si>
    <x:t>HIA.FA.AA</x:t>
  </x:si>
  <x:si>
    <x:t>- - - - - Incision of coronary artery</x:t>
  </x:si>
  <x:si>
    <x:t>http://id.who.int/icd/entity/1845427766</x:t>
  </x:si>
  <x:si>
    <x:t>http://id.who.int/icd/release/11/beta/ichi/1845427766</x:t>
  </x:si>
  <x:si>
    <x:t>HIA.JE.AA</x:t>
  </x:si>
  <x:si>
    <x:t>- - - - - Endarterectomy of coronary artery</x:t>
  </x:si>
  <x:si>
    <x:t>http://id.who.int/icd/entity/59178335</x:t>
  </x:si>
  <x:si>
    <x:t>http://id.who.int/icd/release/11/beta/ichi/59178335</x:t>
  </x:si>
  <x:si>
    <x:t>HIA.JE.AF</x:t>
  </x:si>
  <x:si>
    <x:t>- - - - - Endovascular extraction of obstruction from coronary artery</x:t>
  </x:si>
  <x:si>
    <x:t>http://id.who.int/icd/entity/2100586368</x:t>
  </x:si>
  <x:si>
    <x:t>http://id.who.int/icd/release/11/beta/ichi/2100586368</x:t>
  </x:si>
  <x:si>
    <x:t>HIA.LA.AF</x:t>
  </x:si>
  <x:si>
    <x:t>- - - - - Endovascular embolisation or occlusion of coronary artery</x:t>
  </x:si>
  <x:si>
    <x:t>http://id.who.int/icd/entity/586561187</x:t>
  </x:si>
  <x:si>
    <x:t>http://id.who.int/icd/release/11/beta/ichi/586561187</x:t>
  </x:si>
  <x:si>
    <x:t>HIA.LG.AF</x:t>
  </x:si>
  <x:si>
    <x:t>- - - - - Percutaneous transluminal dilatation of coronary artery</x:t>
  </x:si>
  <x:si>
    <x:t>http://id.who.int/icd/entity/523984679</x:t>
  </x:si>
  <x:si>
    <x:t>http://id.who.int/icd/release/11/beta/ichi/523984679</x:t>
  </x:si>
  <x:si>
    <x:t>HIA.LH.AF</x:t>
  </x:si>
  <x:si>
    <x:t>- - - - - Percutaneous transluminal dilatation with insertion of device into coronary artery</x:t>
  </x:si>
  <x:si>
    <x:t>http://id.who.int/icd/entity/1113324554</x:t>
  </x:si>
  <x:si>
    <x:t>http://id.who.int/icd/release/11/beta/ichi/1113324554</x:t>
  </x:si>
  <x:si>
    <x:t>HIA.LI.AA</x:t>
  </x:si>
  <x:si>
    <x:t>- - - - - Coronary artery bypass</x:t>
  </x:si>
  <x:si>
    <x:t>http://id.who.int/icd/entity/1478279892</x:t>
  </x:si>
  <x:si>
    <x:t>http://id.who.int/icd/release/11/beta/ichi/1478279892</x:t>
  </x:si>
  <x:si>
    <x:t>HIA.LI.AB</x:t>
  </x:si>
  <x:si>
    <x:t>- - - - - Totally endoscopic coronary artery bypass</x:t>
  </x:si>
  <x:si>
    <x:t>http://id.who.int/icd/entity/1944170052</x:t>
  </x:si>
  <x:si>
    <x:t>http://id.who.int/icd/release/11/beta/ichi/1944170052</x:t>
  </x:si>
  <x:si>
    <x:t>HIA.LI.AE</x:t>
  </x:si>
  <x:si>
    <x:t>- - - - - Minimally invasive direct coronary artery bypass graft</x:t>
  </x:si>
  <x:si>
    <x:t>http://id.who.int/icd/entity/1222007654</x:t>
  </x:si>
  <x:si>
    <x:t>http://id.who.int/icd/release/11/beta/ichi/1222007654</x:t>
  </x:si>
  <x:si>
    <x:t>HIA.MK.AA</x:t>
  </x:si>
  <x:si>
    <x:t>- - - - - Repair of coronary artery</x:t>
  </x:si>
  <x:si>
    <x:t>http://id.who.int/icd/entity/1919424386</x:t>
  </x:si>
  <x:si>
    <x:t>http://id.who.int/icd/release/11/beta/ichi/1919424386</x:t>
  </x:si>
  <x:si>
    <x:t>HIA.ML.AA</x:t>
  </x:si>
  <x:si>
    <x:t>- - - - - Reconstruction of coronary artery</x:t>
  </x:si>
  <x:si>
    <x:t>http://id.who.int/icd/entity/2037123376</x:t>
  </x:si>
  <x:si>
    <x:t>http://id.who.int/icd/release/11/beta/ichi/2037123376</x:t>
  </x:si>
  <x:si>
    <x:t>HIB.AB.AF</x:t>
  </x:si>
  <x:si>
    <x:t>- - - - - Intravascular pressure measurement of the superior vena cava</x:t>
  </x:si>
  <x:si>
    <x:t>http://id.who.int/icd/entity/1753782570</x:t>
  </x:si>
  <x:si>
    <x:t>http://id.who.int/icd/release/11/beta/ichi/1753782570</x:t>
  </x:si>
  <x:si>
    <x:t>HIB.BA.BB</x:t>
  </x:si>
  <x:si>
    <x:t>- - - - - Angiography of superior vena cava</x:t>
  </x:si>
  <x:si>
    <x:t>http://id.who.int/icd/entity/1731269052</x:t>
  </x:si>
  <x:si>
    <x:t>http://id.who.int/icd/release/11/beta/ichi/1731269052</x:t>
  </x:si>
  <x:si>
    <x:t>HIB.BA.BC</x:t>
  </x:si>
  <x:si>
    <x:t>- - - - - CT angiography of superior vena cava, not elsewhere classified</x:t>
  </x:si>
  <x:si>
    <x:t>http://id.who.int/icd/entity/1381883842</x:t>
  </x:si>
  <x:si>
    <x:t>http://id.who.int/icd/release/11/beta/ichi/1381883842</x:t>
  </x:si>
  <x:si>
    <x:t>HIB.BA.BD</x:t>
  </x:si>
  <x:si>
    <x:t>- - - - - CT angiography of superior vena cava with intravenous contrast medium</x:t>
  </x:si>
  <x:si>
    <x:t>http://id.who.int/icd/entity/36046449</x:t>
  </x:si>
  <x:si>
    <x:t>http://id.who.int/icd/release/11/beta/ichi/36046449</x:t>
  </x:si>
  <x:si>
    <x:t>HIB.DL.AA</x:t>
  </x:si>
  <x:si>
    <x:t>- - - - - Implantation of filter in superior vena cava</x:t>
  </x:si>
  <x:si>
    <x:t>http://id.who.int/icd/entity/7910125</x:t>
  </x:si>
  <x:si>
    <x:t>http://id.who.int/icd/release/11/beta/ichi/7910125</x:t>
  </x:si>
  <x:si>
    <x:t>HIB.DL.AF</x:t>
  </x:si>
  <x:si>
    <x:t>- - - - - Percutaneous transluminal insertion of device into superior vena cava</x:t>
  </x:si>
  <x:si>
    <x:t>http://id.who.int/icd/entity/1575245652</x:t>
  </x:si>
  <x:si>
    <x:t>http://id.who.int/icd/release/11/beta/ichi/1575245652</x:t>
  </x:si>
  <x:si>
    <x:t>HIB.FA.AA</x:t>
  </x:si>
  <x:si>
    <x:t>- - - - - Incision of superior vena cava</x:t>
  </x:si>
  <x:si>
    <x:t>http://id.who.int/icd/entity/1792421300</x:t>
  </x:si>
  <x:si>
    <x:t>http://id.who.int/icd/release/11/beta/ichi/1792421300</x:t>
  </x:si>
  <x:si>
    <x:t>HIB.JD.AF</x:t>
  </x:si>
  <x:si>
    <x:t>- - - - - Percutaneous transluminal removal of internal device or foreign body from superior vena cava</x:t>
  </x:si>
  <x:si>
    <x:t>http://id.who.int/icd/entity/1981365188</x:t>
  </x:si>
  <x:si>
    <x:t>http://id.who.int/icd/release/11/beta/ichi/1981365188</x:t>
  </x:si>
  <x:si>
    <x:t>HIB.JE.AA</x:t>
  </x:si>
  <x:si>
    <x:t>- - - - - Extraction of obstruction of superior vena cava</x:t>
  </x:si>
  <x:si>
    <x:t>http://id.who.int/icd/entity/1842855128</x:t>
  </x:si>
  <x:si>
    <x:t>http://id.who.int/icd/release/11/beta/ichi/1842855128</x:t>
  </x:si>
  <x:si>
    <x:t>HIB.JJ.AA</x:t>
  </x:si>
  <x:si>
    <x:t>- - - - - Partial excision of superior vena cava</x:t>
  </x:si>
  <x:si>
    <x:t>http://id.who.int/icd/entity/840297979</x:t>
  </x:si>
  <x:si>
    <x:t>http://id.who.int/icd/release/11/beta/ichi/840297979</x:t>
  </x:si>
  <x:si>
    <x:t>HIB.LA.AA</x:t>
  </x:si>
  <x:si>
    <x:t>- - - - - Occlusion of superior vena cava</x:t>
  </x:si>
  <x:si>
    <x:t>http://id.who.int/icd/entity/1910691398</x:t>
  </x:si>
  <x:si>
    <x:t>http://id.who.int/icd/release/11/beta/ichi/1910691398</x:t>
  </x:si>
  <x:si>
    <x:t>HIB.LA.AF</x:t>
  </x:si>
  <x:si>
    <x:t>- - - - - Endovascular occlusion of superior vena cava</x:t>
  </x:si>
  <x:si>
    <x:t>http://id.who.int/icd/entity/574262493</x:t>
  </x:si>
  <x:si>
    <x:t>http://id.who.int/icd/release/11/beta/ichi/574262493</x:t>
  </x:si>
  <x:si>
    <x:t>HIB.LG.AF</x:t>
  </x:si>
  <x:si>
    <x:t>- - - - - Percutaneous transluminal dilatation of superior vena cava</x:t>
  </x:si>
  <x:si>
    <x:t>http://id.who.int/icd/entity/1824259466</x:t>
  </x:si>
  <x:si>
    <x:t>http://id.who.int/icd/release/11/beta/ichi/1824259466</x:t>
  </x:si>
  <x:si>
    <x:t>HIB.LH.AF</x:t>
  </x:si>
  <x:si>
    <x:t>- - - - - Percutaneous transluminal dilatation with insertion of device into superior vena cava</x:t>
  </x:si>
  <x:si>
    <x:t>http://id.who.int/icd/entity/411353147</x:t>
  </x:si>
  <x:si>
    <x:t>http://id.who.int/icd/release/11/beta/ichi/411353147</x:t>
  </x:si>
  <x:si>
    <x:t>HIB.LI.AA</x:t>
  </x:si>
  <x:si>
    <x:t>- - - - - Superior cavopulmonary deviation</x:t>
  </x:si>
  <x:si>
    <x:t>http://id.who.int/icd/entity/1832010824</x:t>
  </x:si>
  <x:si>
    <x:t>http://id.who.int/icd/release/11/beta/ichi/1832010824</x:t>
  </x:si>
  <x:si>
    <x:t>HIB.LL.AA</x:t>
  </x:si>
  <x:si>
    <x:t>- - - - - Plication of superior vena cava</x:t>
  </x:si>
  <x:si>
    <x:t>http://id.who.int/icd/entity/1187981528</x:t>
  </x:si>
  <x:si>
    <x:t>http://id.who.int/icd/release/11/beta/ichi/1187981528</x:t>
  </x:si>
  <x:si>
    <x:t>HIB.ML.AA</x:t>
  </x:si>
  <x:si>
    <x:t>- - - - - Reconstruction of superior vena cava</x:t>
  </x:si>
  <x:si>
    <x:t>http://id.who.int/icd/entity/2004187794</x:t>
  </x:si>
  <x:si>
    <x:t>http://id.who.int/icd/release/11/beta/ichi/2004187794</x:t>
  </x:si>
  <x:si>
    <x:t>HIC.AB.AF</x:t>
  </x:si>
  <x:si>
    <x:t>- - - - - Intravascular pressure measurement of the inferior vena cava</x:t>
  </x:si>
  <x:si>
    <x:t>http://id.who.int/icd/entity/672177089</x:t>
  </x:si>
  <x:si>
    <x:t>http://id.who.int/icd/release/11/beta/ichi/672177089</x:t>
  </x:si>
  <x:si>
    <x:t>HIC.BA.BB</x:t>
  </x:si>
  <x:si>
    <x:t>- - - - - Angiography of inferior vena cava</x:t>
  </x:si>
  <x:si>
    <x:t>http://id.who.int/icd/entity/665391955</x:t>
  </x:si>
  <x:si>
    <x:t>http://id.who.int/icd/release/11/beta/ichi/665391955</x:t>
  </x:si>
  <x:si>
    <x:t>HIC.BA.BC</x:t>
  </x:si>
  <x:si>
    <x:t>- - - - - CT angiography of inferior vena cava, not elsewhere classified</x:t>
  </x:si>
  <x:si>
    <x:t>http://id.who.int/icd/entity/2010303204</x:t>
  </x:si>
  <x:si>
    <x:t>http://id.who.int/icd/release/11/beta/ichi/2010303204</x:t>
  </x:si>
  <x:si>
    <x:t>HIC.BA.BD</x:t>
  </x:si>
  <x:si>
    <x:t>- - - - - CT angiography of inferior vena cava with intravenous contrast medium</x:t>
  </x:si>
  <x:si>
    <x:t>http://id.who.int/icd/entity/1534093929</x:t>
  </x:si>
  <x:si>
    <x:t>http://id.who.int/icd/release/11/beta/ichi/1534093929</x:t>
  </x:si>
  <x:si>
    <x:t>HIC.DL.AF</x:t>
  </x:si>
  <x:si>
    <x:t>- - - - - Percutaneous transluminal implantation of device in inferior vena cava</x:t>
  </x:si>
  <x:si>
    <x:t>http://id.who.int/icd/entity/1888290553</x:t>
  </x:si>
  <x:si>
    <x:t>http://id.who.int/icd/release/11/beta/ichi/1888290553</x:t>
  </x:si>
  <x:si>
    <x:t>HIC.FA.AA</x:t>
  </x:si>
  <x:si>
    <x:t>- - - - - Incision of inferior vena cava</x:t>
  </x:si>
  <x:si>
    <x:t>http://id.who.int/icd/entity/1434252972</x:t>
  </x:si>
  <x:si>
    <x:t>http://id.who.int/icd/release/11/beta/ichi/1434252972</x:t>
  </x:si>
  <x:si>
    <x:t>HIC.JD.AF</x:t>
  </x:si>
  <x:si>
    <x:t>- - - - - Percutaneous transluminal removal of internal device or foreign body from inferior vena cava</x:t>
  </x:si>
  <x:si>
    <x:t>http://id.who.int/icd/entity/1640900239</x:t>
  </x:si>
  <x:si>
    <x:t>http://id.who.int/icd/release/11/beta/ichi/1640900239</x:t>
  </x:si>
  <x:si>
    <x:t>HIC.JE.AA</x:t>
  </x:si>
  <x:si>
    <x:t>- - - - - Extraction of obstruction of inferior vena cava</x:t>
  </x:si>
  <x:si>
    <x:t>http://id.who.int/icd/entity/880922816</x:t>
  </x:si>
  <x:si>
    <x:t>http://id.who.int/icd/release/11/beta/ichi/880922816</x:t>
  </x:si>
  <x:si>
    <x:t>HIC.JJ.AA</x:t>
  </x:si>
  <x:si>
    <x:t>- - - - - Partial excision of inferior vena cava</x:t>
  </x:si>
  <x:si>
    <x:t>http://id.who.int/icd/entity/1694108017</x:t>
  </x:si>
  <x:si>
    <x:t>http://id.who.int/icd/release/11/beta/ichi/1694108017</x:t>
  </x:si>
  <x:si>
    <x:t>HIC.LA.AA</x:t>
  </x:si>
  <x:si>
    <x:t>- - - - - Occlusion of inferior vena cava</x:t>
  </x:si>
  <x:si>
    <x:t>http://id.who.int/icd/entity/1799586275</x:t>
  </x:si>
  <x:si>
    <x:t>http://id.who.int/icd/release/11/beta/ichi/1799586275</x:t>
  </x:si>
  <x:si>
    <x:t>HIC.LG.AF</x:t>
  </x:si>
  <x:si>
    <x:t>- - - - - Percutaneous transluminal dilatation of inferior vena cava</x:t>
  </x:si>
  <x:si>
    <x:t>http://id.who.int/icd/entity/200166218</x:t>
  </x:si>
  <x:si>
    <x:t>http://id.who.int/icd/release/11/beta/ichi/200166218</x:t>
  </x:si>
  <x:si>
    <x:t>HIC.LH.AF</x:t>
  </x:si>
  <x:si>
    <x:t>- - - - - Percutaneous transluminal dilatation with insertion of device into inferior vena cava</x:t>
  </x:si>
  <x:si>
    <x:t>http://id.who.int/icd/entity/72860636</x:t>
  </x:si>
  <x:si>
    <x:t>http://id.who.int/icd/release/11/beta/ichi/72860636</x:t>
  </x:si>
  <x:si>
    <x:t>HIC.LI.AA</x:t>
  </x:si>
  <x:si>
    <x:t>- - - - - Total cavopulmonary connection completion</x:t>
  </x:si>
  <x:si>
    <x:t>http://id.who.int/icd/entity/1155957725</x:t>
  </x:si>
  <x:si>
    <x:t>http://id.who.int/icd/release/11/beta/ichi/1155957725</x:t>
  </x:si>
  <x:si>
    <x:t>HIC.LL.AA</x:t>
  </x:si>
  <x:si>
    <x:t>- - - - - Plication of inferior vena cava</x:t>
  </x:si>
  <x:si>
    <x:t>http://id.who.int/icd/entity/345856622</x:t>
  </x:si>
  <x:si>
    <x:t>http://id.who.int/icd/release/11/beta/ichi/345856622</x:t>
  </x:si>
  <x:si>
    <x:t>HIC.ML.AA</x:t>
  </x:si>
  <x:si>
    <x:t>- - - - - Reconstruction of inferior vena cava</x:t>
  </x:si>
  <x:si>
    <x:t>http://id.who.int/icd/entity/1501576893</x:t>
  </x:si>
  <x:si>
    <x:t>http://id.who.int/icd/release/11/beta/ichi/1501576893</x:t>
  </x:si>
  <x:si>
    <x:t>HID.BA.BB</x:t>
  </x:si>
  <x:si>
    <x:t>- - - - - Angiography of pulmonary artery</x:t>
  </x:si>
  <x:si>
    <x:t>http://id.who.int/icd/entity/168585135</x:t>
  </x:si>
  <x:si>
    <x:t>http://id.who.int/icd/release/11/beta/ichi/168585135</x:t>
  </x:si>
  <x:si>
    <x:t>HID.BA.BC</x:t>
  </x:si>
  <x:si>
    <x:t>- - - - - CT angiography of pulmonary artery, not elsewhere classified</x:t>
  </x:si>
  <x:si>
    <x:t>http://id.who.int/icd/entity/1517796896</x:t>
  </x:si>
  <x:si>
    <x:t>http://id.who.int/icd/release/11/beta/ichi/1517796896</x:t>
  </x:si>
  <x:si>
    <x:t>HID.BA.BD</x:t>
  </x:si>
  <x:si>
    <x:t>- - - - - CT angiography of pulmonary artery with intravenous contrast medium</x:t>
  </x:si>
  <x:si>
    <x:t>http://id.who.int/icd/entity/596675756</x:t>
  </x:si>
  <x:si>
    <x:t>http://id.who.int/icd/release/11/beta/ichi/596675756</x:t>
  </x:si>
  <x:si>
    <x:t>HID.BA.BJ</x:t>
  </x:si>
  <x:si>
    <x:t>- - - - - Ultrasound of pulmonary artery</x:t>
  </x:si>
  <x:si>
    <x:t>http://id.who.int/icd/entity/1030832847</x:t>
  </x:si>
  <x:si>
    <x:t>http://id.who.int/icd/release/11/beta/ichi/1030832847</x:t>
  </x:si>
  <x:si>
    <x:t>HID.DB.AF</x:t>
  </x:si>
  <x:si>
    <x:t>- - - - - Thrombolysis of pulmonary artery</x:t>
  </x:si>
  <x:si>
    <x:t>http://id.who.int/icd/entity/1264520015</x:t>
  </x:si>
  <x:si>
    <x:t>http://id.who.int/icd/release/11/beta/ichi/1264520015</x:t>
  </x:si>
  <x:si>
    <x:t>HID.FC.AA</x:t>
  </x:si>
  <x:si>
    <x:t>- - - - - Debanding of pulmonary artery</x:t>
  </x:si>
  <x:si>
    <x:t>http://id.who.int/icd/entity/1145123757</x:t>
  </x:si>
  <x:si>
    <x:t>http://id.who.int/icd/release/11/beta/ichi/1145123757</x:t>
  </x:si>
  <x:si>
    <x:t>HID.JE.AA</x:t>
  </x:si>
  <x:si>
    <x:t>- - - - - Pulmonary thromboembolectomy</x:t>
  </x:si>
  <x:si>
    <x:t>http://id.who.int/icd/entity/1874616125</x:t>
  </x:si>
  <x:si>
    <x:t>http://id.who.int/icd/release/11/beta/ichi/1874616125</x:t>
  </x:si>
  <x:si>
    <x:t>HID.JE.AF</x:t>
  </x:si>
  <x:si>
    <x:t>- - - - - Endovascular extraction of obstruction from pulmonary artery</x:t>
  </x:si>
  <x:si>
    <x:t>http://id.who.int/icd/entity/1791601102</x:t>
  </x:si>
  <x:si>
    <x:t>http://id.who.int/icd/release/11/beta/ichi/1791601102</x:t>
  </x:si>
  <x:si>
    <x:t>HID.JJ.AA</x:t>
  </x:si>
  <x:si>
    <x:t>- - - - - Partial excision of pulmonary artery</x:t>
  </x:si>
  <x:si>
    <x:t>http://id.who.int/icd/entity/2130673483</x:t>
  </x:si>
  <x:si>
    <x:t>http://id.who.int/icd/release/11/beta/ichi/2130673483</x:t>
  </x:si>
  <x:si>
    <x:t>HID.LA.AA</x:t>
  </x:si>
  <x:si>
    <x:t>- - - - - Occlusion of pulmonary artery</x:t>
  </x:si>
  <x:si>
    <x:t>http://id.who.int/icd/entity/640158783</x:t>
  </x:si>
  <x:si>
    <x:t>http://id.who.int/icd/release/11/beta/ichi/640158783</x:t>
  </x:si>
  <x:si>
    <x:t>HID.LA.AF</x:t>
  </x:si>
  <x:si>
    <x:t>- - - - - Endovascular embolisation or occlusion of pulmonary artery</x:t>
  </x:si>
  <x:si>
    <x:t>http://id.who.int/icd/entity/1802158861</x:t>
  </x:si>
  <x:si>
    <x:t>http://id.who.int/icd/release/11/beta/ichi/1802158861</x:t>
  </x:si>
  <x:si>
    <x:t>HID.LB.AA</x:t>
  </x:si>
  <x:si>
    <x:t>- - - - - Pulmonary artery origin from ascending aorta repair</x:t>
  </x:si>
  <x:si>
    <x:t>http://id.who.int/icd/entity/85114980</x:t>
  </x:si>
  <x:si>
    <x:t>http://id.who.int/icd/release/11/beta/ichi/85114980</x:t>
  </x:si>
  <x:si>
    <x:t>HID.LG.AF</x:t>
  </x:si>
  <x:si>
    <x:t>- - - - - Percutaneous transluminal dilatation of pulmonary artery</x:t>
  </x:si>
  <x:si>
    <x:t>http://id.who.int/icd/entity/340910100</x:t>
  </x:si>
  <x:si>
    <x:t>http://id.who.int/icd/release/11/beta/ichi/340910100</x:t>
  </x:si>
  <x:si>
    <x:t>HID.LH.AF</x:t>
  </x:si>
  <x:si>
    <x:t>- - - - - Percutaneous transluminal dilatation with insertion of device into pulmonary artery</x:t>
  </x:si>
  <x:si>
    <x:t>http://id.who.int/icd/entity/610405272</x:t>
  </x:si>
  <x:si>
    <x:t>http://id.who.int/icd/release/11/beta/ichi/610405272</x:t>
  </x:si>
  <x:si>
    <x:t>HID.LI.AA</x:t>
  </x:si>
  <x:si>
    <x:t>- - - - - Systemic to pulmonary arterial shunt</x:t>
  </x:si>
  <x:si>
    <x:t>http://id.who.int/icd/entity/1895929857</x:t>
  </x:si>
  <x:si>
    <x:t>http://id.who.int/icd/release/11/beta/ichi/1895929857</x:t>
  </x:si>
  <x:si>
    <x:t>HID.LJ.AA</x:t>
  </x:si>
  <x:si>
    <x:t>- - - - - Transfer of pulmonary artery</x:t>
  </x:si>
  <x:si>
    <x:t>http://id.who.int/icd/entity/1005904428</x:t>
  </x:si>
  <x:si>
    <x:t>http://id.who.int/icd/release/11/beta/ichi/1005904428</x:t>
  </x:si>
  <x:si>
    <x:t>HID.LL.AA</x:t>
  </x:si>
  <x:si>
    <x:t>- - - - - Banding of pulmonary artery</x:t>
  </x:si>
  <x:si>
    <x:t>http://id.who.int/icd/entity/877488830</x:t>
  </x:si>
  <x:si>
    <x:t>http://id.who.int/icd/release/11/beta/ichi/877488830</x:t>
  </x:si>
  <x:si>
    <x:t>HID.ML.AA</x:t>
  </x:si>
  <x:si>
    <x:t>- - - - - Reconstruction of pulmonary artery</x:t>
  </x:si>
  <x:si>
    <x:t>http://id.who.int/icd/entity/596587100</x:t>
  </x:si>
  <x:si>
    <x:t>http://id.who.int/icd/release/11/beta/ichi/596587100</x:t>
  </x:si>
  <x:si>
    <x:t>HIE.BA.BB</x:t>
  </x:si>
  <x:si>
    <x:t>- - - - - Angiography of pulmonary veins</x:t>
  </x:si>
  <x:si>
    <x:t>http://id.who.int/icd/entity/531629614</x:t>
  </x:si>
  <x:si>
    <x:t>http://id.who.int/icd/release/11/beta/ichi/531629614</x:t>
  </x:si>
  <x:si>
    <x:t>HIE.GA.AA</x:t>
  </x:si>
  <x:si>
    <x:t>- - - - - Pulmonary vein isolation with open ablation</x:t>
  </x:si>
  <x:si>
    <x:t>http://id.who.int/icd/entity/1107029709</x:t>
  </x:si>
  <x:si>
    <x:t>http://id.who.int/icd/release/11/beta/ichi/1107029709</x:t>
  </x:si>
  <x:si>
    <x:t>HIE.GA.AF</x:t>
  </x:si>
  <x:si>
    <x:t>- - - - - Percutanous transluminal pulmonary vein isolation</x:t>
  </x:si>
  <x:si>
    <x:t>http://id.who.int/icd/entity/1099151378</x:t>
  </x:si>
  <x:si>
    <x:t>http://id.who.int/icd/release/11/beta/ichi/1099151378</x:t>
  </x:si>
  <x:si>
    <x:t>HIE.JE.AA</x:t>
  </x:si>
  <x:si>
    <x:t>- - - - - Thrombectomy of pulmonary vein</x:t>
  </x:si>
  <x:si>
    <x:t>http://id.who.int/icd/entity/1046307741</x:t>
  </x:si>
  <x:si>
    <x:t>http://id.who.int/icd/release/11/beta/ichi/1046307741</x:t>
  </x:si>
  <x:si>
    <x:t>HIE.JJ.AA</x:t>
  </x:si>
  <x:si>
    <x:t>- - - - - Partial excision of pulmonary vein</x:t>
  </x:si>
  <x:si>
    <x:t>http://id.who.int/icd/entity/1056625645</x:t>
  </x:si>
  <x:si>
    <x:t>http://id.who.int/icd/release/11/beta/ichi/1056625645</x:t>
  </x:si>
  <x:si>
    <x:t>HIE.LA.AA</x:t>
  </x:si>
  <x:si>
    <x:t>- - - - - Occlusion of pulmonary vein</x:t>
  </x:si>
  <x:si>
    <x:t>http://id.who.int/icd/entity/1835225209</x:t>
  </x:si>
  <x:si>
    <x:t>http://id.who.int/icd/release/11/beta/ichi/1835225209</x:t>
  </x:si>
  <x:si>
    <x:t>HIE.LA.AF</x:t>
  </x:si>
  <x:si>
    <x:t>- - - - - Endovascular occlusion of pulmonary vein</x:t>
  </x:si>
  <x:si>
    <x:t>http://id.who.int/icd/entity/1052822994</x:t>
  </x:si>
  <x:si>
    <x:t>http://id.who.int/icd/release/11/beta/ichi/1052822994</x:t>
  </x:si>
  <x:si>
    <x:t>HIE.LB.AA</x:t>
  </x:si>
  <x:si>
    <x:t>- - - - - Total anomalous pulmonary venous connection repair</x:t>
  </x:si>
  <x:si>
    <x:t>http://id.who.int/icd/entity/1096572605</x:t>
  </x:si>
  <x:si>
    <x:t>http://id.who.int/icd/release/11/beta/ichi/1096572605</x:t>
  </x:si>
  <x:si>
    <x:t>HIE.LG.AF</x:t>
  </x:si>
  <x:si>
    <x:t>- - - - - Percutaneous transluminal dilatation of pulmonary vein</x:t>
  </x:si>
  <x:si>
    <x:t>http://id.who.int/icd/entity/513675166</x:t>
  </x:si>
  <x:si>
    <x:t>http://id.who.int/icd/release/11/beta/ichi/513675166</x:t>
  </x:si>
  <x:si>
    <x:t>HIE.LH.AF</x:t>
  </x:si>
  <x:si>
    <x:t>- - - - - Percutaneous transluminal dilatation with insertion of device into pulmonary vein</x:t>
  </x:si>
  <x:si>
    <x:t>http://id.who.int/icd/entity/1894124791</x:t>
  </x:si>
  <x:si>
    <x:t>http://id.who.int/icd/release/11/beta/ichi/1894124791</x:t>
  </x:si>
  <x:si>
    <x:t>HIE.LI.AA</x:t>
  </x:si>
  <x:si>
    <x:t>- - - - - Partial anomalous pulmonary venous connection repair</x:t>
  </x:si>
  <x:si>
    <x:t>http://id.who.int/icd/entity/2058869977</x:t>
  </x:si>
  <x:si>
    <x:t>http://id.who.int/icd/release/11/beta/ichi/2058869977</x:t>
  </x:si>
  <x:si>
    <x:t>HIE.MK.AA</x:t>
  </x:si>
  <x:si>
    <x:t>- - - - - Repair of pulmonary vein</x:t>
  </x:si>
  <x:si>
    <x:t>http://id.who.int/icd/entity/628461052</x:t>
  </x:si>
  <x:si>
    <x:t>http://id.who.int/icd/release/11/beta/ichi/628461052</x:t>
  </x:si>
  <x:si>
    <x:t>HIE.ML.AA</x:t>
  </x:si>
  <x:si>
    <x:t>- - - - - Reconstruction of the pulmonary vein</x:t>
  </x:si>
  <x:si>
    <x:t>http://id.who.int/icd/entity/446167687</x:t>
  </x:si>
  <x:si>
    <x:t>http://id.who.int/icd/release/11/beta/ichi/446167687</x:t>
  </x:si>
  <x:si>
    <x:t>HIF.AE.AA</x:t>
  </x:si>
  <x:si>
    <x:t>- - - - - Exploration of ascending aorta</x:t>
  </x:si>
  <x:si>
    <x:t>http://id.who.int/icd/entity/829068823</x:t>
  </x:si>
  <x:si>
    <x:t>http://id.who.int/icd/release/11/beta/ichi/829068823</x:t>
  </x:si>
  <x:si>
    <x:t>HIF.AE.AF</x:t>
  </x:si>
  <x:si>
    <x:t>- - - - - Angioscopy of ascending aorta</x:t>
  </x:si>
  <x:si>
    <x:t>http://id.who.int/icd/entity/779195222</x:t>
  </x:si>
  <x:si>
    <x:t>http://id.who.int/icd/release/11/beta/ichi/779195222</x:t>
  </x:si>
  <x:si>
    <x:t>HIF.BA.BB</x:t>
  </x:si>
  <x:si>
    <x:t>- - - - - Ascending aortography with contrast medium</x:t>
  </x:si>
  <x:si>
    <x:t>http://id.who.int/icd/entity/1354959241</x:t>
  </x:si>
  <x:si>
    <x:t>http://id.who.int/icd/release/11/beta/ichi/1354959241</x:t>
  </x:si>
  <x:si>
    <x:t>HIF.JJ.AA</x:t>
  </x:si>
  <x:si>
    <x:t>- - - - - Partial excision of ascending aorta</x:t>
  </x:si>
  <x:si>
    <x:t>http://id.who.int/icd/entity/251746474</x:t>
  </x:si>
  <x:si>
    <x:t>http://id.who.int/icd/release/11/beta/ichi/251746474</x:t>
  </x:si>
  <x:si>
    <x:t>HIF.LA.AA</x:t>
  </x:si>
  <x:si>
    <x:t>- - - - - Partial occlusion of ascending aorta</x:t>
  </x:si>
  <x:si>
    <x:t>http://id.who.int/icd/entity/67454472</x:t>
  </x:si>
  <x:si>
    <x:t>http://id.who.int/icd/release/11/beta/ichi/67454472</x:t>
  </x:si>
  <x:si>
    <x:t>HIF.LH.AF</x:t>
  </x:si>
  <x:si>
    <x:t>- - - - - Percutaneous transluminal dilatation with insertion of device into ascending aorta</x:t>
  </x:si>
  <x:si>
    <x:t>http://id.who.int/icd/entity/1331028029</x:t>
  </x:si>
  <x:si>
    <x:t>http://id.who.int/icd/release/11/beta/ichi/1331028029</x:t>
  </x:si>
  <x:si>
    <x:t>HIF.ML.AA</x:t>
  </x:si>
  <x:si>
    <x:t>- - - - - Reconstruction of ascending aorta</x:t>
  </x:si>
  <x:si>
    <x:t>http://id.who.int/icd/entity/630224236</x:t>
  </x:si>
  <x:si>
    <x:t>http://id.who.int/icd/release/11/beta/ichi/630224236</x:t>
  </x:si>
  <x:si>
    <x:t>HIG.AB.AF</x:t>
  </x:si>
  <x:si>
    <x:t>- - - - - Intravascular pressure measurement of descending thoracic aorta</x:t>
  </x:si>
  <x:si>
    <x:t>http://id.who.int/icd/entity/1187770525</x:t>
  </x:si>
  <x:si>
    <x:t>http://id.who.int/icd/release/11/beta/ichi/1187770525</x:t>
  </x:si>
  <x:si>
    <x:t>HIG.AE.AA</x:t>
  </x:si>
  <x:si>
    <x:t>- - - - - Exploration of descending thoracic aorta</x:t>
  </x:si>
  <x:si>
    <x:t>http://id.who.int/icd/entity/863859950</x:t>
  </x:si>
  <x:si>
    <x:t>http://id.who.int/icd/release/11/beta/ichi/863859950</x:t>
  </x:si>
  <x:si>
    <x:t>HIG.AE.AF</x:t>
  </x:si>
  <x:si>
    <x:t>- - - - - Angioscopy of descending thoracic aorta</x:t>
  </x:si>
  <x:si>
    <x:t>http://id.who.int/icd/entity/1344729369</x:t>
  </x:si>
  <x:si>
    <x:t>http://id.who.int/icd/release/11/beta/ichi/1344729369</x:t>
  </x:si>
  <x:si>
    <x:t>HIG.BA.AF</x:t>
  </x:si>
  <x:si>
    <x:t>- - - - - Intravascular imaging of the descending thoracic aorta</x:t>
  </x:si>
  <x:si>
    <x:t>http://id.who.int/icd/entity/1046409840</x:t>
  </x:si>
  <x:si>
    <x:t>http://id.who.int/icd/release/11/beta/ichi/1046409840</x:t>
  </x:si>
  <x:si>
    <x:t>HIG.BA.BB</x:t>
  </x:si>
  <x:si>
    <x:t>- - - - - Descending thoracic aortography with contrast medium</x:t>
  </x:si>
  <x:si>
    <x:t>http://id.who.int/icd/entity/1951123676</x:t>
  </x:si>
  <x:si>
    <x:t>http://id.who.int/icd/release/11/beta/ichi/1951123676</x:t>
  </x:si>
  <x:si>
    <x:t>HIG.DL.AF</x:t>
  </x:si>
  <x:si>
    <x:t>- - - - - Percutaneous transluminal insertion of device into descending thoracic aorta</x:t>
  </x:si>
  <x:si>
    <x:t>http://id.who.int/icd/entity/266641466</x:t>
  </x:si>
  <x:si>
    <x:t>http://id.who.int/icd/release/11/beta/ichi/266641466</x:t>
  </x:si>
  <x:si>
    <x:t>HIG.FA.AA</x:t>
  </x:si>
  <x:si>
    <x:t>- - - - - Incision of descending thoracic aorta</x:t>
  </x:si>
  <x:si>
    <x:t>http://id.who.int/icd/entity/16423130</x:t>
  </x:si>
  <x:si>
    <x:t>http://id.who.int/icd/release/11/beta/ichi/16423130</x:t>
  </x:si>
  <x:si>
    <x:t>HIG.JE.AA</x:t>
  </x:si>
  <x:si>
    <x:t>- - - - - Endarterectomy of descending thoracic aorta</x:t>
  </x:si>
  <x:si>
    <x:t>http://id.who.int/icd/entity/1597557243</x:t>
  </x:si>
  <x:si>
    <x:t>http://id.who.int/icd/release/11/beta/ichi/1597557243</x:t>
  </x:si>
  <x:si>
    <x:t>HIG.JJ.AA</x:t>
  </x:si>
  <x:si>
    <x:t>- - - - - Partial excision of descending thoracic aorta</x:t>
  </x:si>
  <x:si>
    <x:t>http://id.who.int/icd/entity/256053324</x:t>
  </x:si>
  <x:si>
    <x:t>http://id.who.int/icd/release/11/beta/ichi/256053324</x:t>
  </x:si>
  <x:si>
    <x:t>HIG.LA.AA</x:t>
  </x:si>
  <x:si>
    <x:t>- - - - - Partial occlusion of descending thoracic aorta</x:t>
  </x:si>
  <x:si>
    <x:t>http://id.who.int/icd/entity/636105375</x:t>
  </x:si>
  <x:si>
    <x:t>http://id.who.int/icd/release/11/beta/ichi/636105375</x:t>
  </x:si>
  <x:si>
    <x:t>HIG.LG.AF</x:t>
  </x:si>
  <x:si>
    <x:t>- - - - - Percutaneous transluminal dilatation of descending thoracic aorta</x:t>
  </x:si>
  <x:si>
    <x:t>http://id.who.int/icd/entity/976215602</x:t>
  </x:si>
  <x:si>
    <x:t>http://id.who.int/icd/release/11/beta/ichi/976215602</x:t>
  </x:si>
  <x:si>
    <x:t>HIG.LH.AF</x:t>
  </x:si>
  <x:si>
    <x:t>- - - - - Percutaneous transluminal dilatation with insertion of device into descending thoracic aorta</x:t>
  </x:si>
  <x:si>
    <x:t>http://id.who.int/icd/entity/824950940</x:t>
  </x:si>
  <x:si>
    <x:t>http://id.who.int/icd/release/11/beta/ichi/824950940</x:t>
  </x:si>
  <x:si>
    <x:t>HIG.LI.AA</x:t>
  </x:si>
  <x:si>
    <x:t>- - - - - Aorta-subclavian-carotid bypass</x:t>
  </x:si>
  <x:si>
    <x:t>http://id.who.int/icd/entity/2065115127</x:t>
  </x:si>
  <x:si>
    <x:t>http://id.who.int/icd/release/11/beta/ichi/2065115127</x:t>
  </x:si>
  <x:si>
    <x:t>HIG.ML.AA</x:t>
  </x:si>
  <x:si>
    <x:t>- - - - - Reconstruction of descending thoracic aorta</x:t>
  </x:si>
  <x:si>
    <x:t>http://id.who.int/icd/entity/1075892945</x:t>
  </x:si>
  <x:si>
    <x:t>http://id.who.int/icd/release/11/beta/ichi/1075892945</x:t>
  </x:si>
  <x:si>
    <x:t>HIH.AB.AF</x:t>
  </x:si>
  <x:si>
    <x:t>- - - - - Intravascular pressure measurement of abdominal aorta</x:t>
  </x:si>
  <x:si>
    <x:t>http://id.who.int/icd/entity/1661381983</x:t>
  </x:si>
  <x:si>
    <x:t>http://id.who.int/icd/release/11/beta/ichi/1661381983</x:t>
  </x:si>
  <x:si>
    <x:t>HIH.AE.AA</x:t>
  </x:si>
  <x:si>
    <x:t>- - - - - Exploration of abdominal aorta</x:t>
  </x:si>
  <x:si>
    <x:t>http://id.who.int/icd/entity/1019542652</x:t>
  </x:si>
  <x:si>
    <x:t>http://id.who.int/icd/release/11/beta/ichi/1019542652</x:t>
  </x:si>
  <x:si>
    <x:t>HIH.AE.AF</x:t>
  </x:si>
  <x:si>
    <x:t>- - - - - Angioscopy of abdominal aorta</x:t>
  </x:si>
  <x:si>
    <x:t>http://id.who.int/icd/entity/1058795984</x:t>
  </x:si>
  <x:si>
    <x:t>http://id.who.int/icd/release/11/beta/ichi/1058795984</x:t>
  </x:si>
  <x:si>
    <x:t>HIH.BA.AF</x:t>
  </x:si>
  <x:si>
    <x:t>- - - - - Intravascular imaging of the abdominal aorta</x:t>
  </x:si>
  <x:si>
    <x:t>http://id.who.int/icd/entity/1365504679</x:t>
  </x:si>
  <x:si>
    <x:t>http://id.who.int/icd/release/11/beta/ichi/1365504679</x:t>
  </x:si>
  <x:si>
    <x:t>HIH.BA.BB</x:t>
  </x:si>
  <x:si>
    <x:t>- - - - - Angiography of the abdominal aorta with contrast medium</x:t>
  </x:si>
  <x:si>
    <x:t>http://id.who.int/icd/entity/2135902553</x:t>
  </x:si>
  <x:si>
    <x:t>http://id.who.int/icd/release/11/beta/ichi/2135902553</x:t>
  </x:si>
  <x:si>
    <x:t>HIH.BA.BC</x:t>
  </x:si>
  <x:si>
    <x:t>- - - - - CT angiography of abdominal aorta, not elsewhere classified</x:t>
  </x:si>
  <x:si>
    <x:t>http://id.who.int/icd/entity/546117756</x:t>
  </x:si>
  <x:si>
    <x:t>http://id.who.int/icd/release/11/beta/ichi/546117756</x:t>
  </x:si>
  <x:si>
    <x:t>HIH.BA.BD</x:t>
  </x:si>
  <x:si>
    <x:t>- - - - - CT angiography of abdominal aorta with intravenous contrast medium</x:t>
  </x:si>
  <x:si>
    <x:t>http://id.who.int/icd/entity/191919340</x:t>
  </x:si>
  <x:si>
    <x:t>http://id.who.int/icd/release/11/beta/ichi/191919340</x:t>
  </x:si>
  <x:si>
    <x:t>HIH.DL.AF</x:t>
  </x:si>
  <x:si>
    <x:t>- - - - - Percutaneous transluminal insertion of device into abdominal aorta</x:t>
  </x:si>
  <x:si>
    <x:t>http://id.who.int/icd/entity/809992654</x:t>
  </x:si>
  <x:si>
    <x:t>http://id.who.int/icd/release/11/beta/ichi/809992654</x:t>
  </x:si>
  <x:si>
    <x:t>HIH.JE.AA</x:t>
  </x:si>
  <x:si>
    <x:t>- - - - - Endarterectomy of abdominal aorta</x:t>
  </x:si>
  <x:si>
    <x:t>http://id.who.int/icd/entity/1871040751</x:t>
  </x:si>
  <x:si>
    <x:t>http://id.who.int/icd/release/11/beta/ichi/1871040751</x:t>
  </x:si>
  <x:si>
    <x:t>HIH.JJ.AA</x:t>
  </x:si>
  <x:si>
    <x:t>- - - - - Partial excision of abdominal aorta</x:t>
  </x:si>
  <x:si>
    <x:t>http://id.who.int/icd/entity/1073613152</x:t>
  </x:si>
  <x:si>
    <x:t>http://id.who.int/icd/release/11/beta/ichi/1073613152</x:t>
  </x:si>
  <x:si>
    <x:t>HIH.LA.AA</x:t>
  </x:si>
  <x:si>
    <x:t>- - - - - Partial occlusion of abdominal aorta</x:t>
  </x:si>
  <x:si>
    <x:t>http://id.who.int/icd/entity/1407537022</x:t>
  </x:si>
  <x:si>
    <x:t>http://id.who.int/icd/release/11/beta/ichi/1407537022</x:t>
  </x:si>
  <x:si>
    <x:t>HIH.LG.AF</x:t>
  </x:si>
  <x:si>
    <x:t>- - - - - Percutaneous transluminal balloon dilatation of abdominal aorta</x:t>
  </x:si>
  <x:si>
    <x:t>http://id.who.int/icd/entity/1864523935</x:t>
  </x:si>
  <x:si>
    <x:t>http://id.who.int/icd/release/11/beta/ichi/1864523935</x:t>
  </x:si>
  <x:si>
    <x:t>HIH.LH.AF</x:t>
  </x:si>
  <x:si>
    <x:t>- - - - - Percutaneous transluminal dilatation with insertion of device into abdominal aorta</x:t>
  </x:si>
  <x:si>
    <x:t>http://id.who.int/icd/entity/689853427</x:t>
  </x:si>
  <x:si>
    <x:t>http://id.who.int/icd/release/11/beta/ichi/689853427</x:t>
  </x:si>
  <x:si>
    <x:t>HIH.LI.AA</x:t>
  </x:si>
  <x:si>
    <x:t>- - - - - Abdominal aortic bypass</x:t>
  </x:si>
  <x:si>
    <x:t>http://id.who.int/icd/entity/106867037</x:t>
  </x:si>
  <x:si>
    <x:t>http://id.who.int/icd/release/11/beta/ichi/106867037</x:t>
  </x:si>
  <x:si>
    <x:t>HIH.ML.AA</x:t>
  </x:si>
  <x:si>
    <x:t>- - - - - Reconstruction of abdominal aorta</x:t>
  </x:si>
  <x:si>
    <x:t>http://id.who.int/icd/entity/765707725</x:t>
  </x:si>
  <x:si>
    <x:t>http://id.who.int/icd/release/11/beta/ichi/765707725</x:t>
  </x:si>
  <x:si>
    <x:t>HIH.ML.AB</x:t>
  </x:si>
  <x:si>
    <x:t>- - - - - Laparoscopic reconstruction of abdominal aorta</x:t>
  </x:si>
  <x:si>
    <x:t>http://id.who.int/icd/entity/378810603</x:t>
  </x:si>
  <x:si>
    <x:t>http://id.who.int/icd/release/11/beta/ichi/378810603</x:t>
  </x:si>
  <x:si>
    <x:t>HIJ.DB.AC</x:t>
  </x:si>
  <x:si>
    <x:t>- - - - - Oral pharmacotherapy for ductus arteriosus</x:t>
  </x:si>
  <x:si>
    <x:t>http://id.who.int/icd/entity/530342904</x:t>
  </x:si>
  <x:si>
    <x:t>http://id.who.int/icd/release/11/beta/ichi/530342904</x:t>
  </x:si>
  <x:si>
    <x:t>HIJ.DB.AF</x:t>
  </x:si>
  <x:si>
    <x:t>- - - - - Intravenous pharmacotherapy for ductus arteriosus</x:t>
  </x:si>
  <x:si>
    <x:t>http://id.who.int/icd/entity/215158321</x:t>
  </x:si>
  <x:si>
    <x:t>http://id.who.int/icd/release/11/beta/ichi/215158321</x:t>
  </x:si>
  <x:si>
    <x:t>HIJ.LA.AA</x:t>
  </x:si>
  <x:si>
    <x:t>- - - - - Occlusion of ductus arteriosus</x:t>
  </x:si>
  <x:si>
    <x:t>http://id.who.int/icd/entity/1283962534</x:t>
  </x:si>
  <x:si>
    <x:t>http://id.who.int/icd/release/11/beta/ichi/1283962534</x:t>
  </x:si>
  <x:si>
    <x:t>HIJ.LA.AB</x:t>
  </x:si>
  <x:si>
    <x:t>- - - - - Thoracoscopic closure of arterial duct</x:t>
  </x:si>
  <x:si>
    <x:t>http://id.who.int/icd/entity/112939469</x:t>
  </x:si>
  <x:si>
    <x:t>http://id.who.int/icd/release/11/beta/ichi/112939469</x:t>
  </x:si>
  <x:si>
    <x:t>HIJ.LA.AF</x:t>
  </x:si>
  <x:si>
    <x:t>- - - - - Percutaneous transluminal arterial duct closure with transluminal device</x:t>
  </x:si>
  <x:si>
    <x:t>http://id.who.int/icd/entity/1175065034</x:t>
  </x:si>
  <x:si>
    <x:t>http://id.who.int/icd/release/11/beta/ichi/1175065034</x:t>
  </x:si>
  <x:si>
    <x:t>HIJ.LH.AF</x:t>
  </x:si>
  <x:si>
    <x:t>- - - - - Percutaneous transluminal dilatation with insertion of device into ductus arteriosus</x:t>
  </x:si>
  <x:si>
    <x:t>http://id.who.int/icd/entity/959525589</x:t>
  </x:si>
  <x:si>
    <x:t>http://id.who.int/icd/release/11/beta/ichi/959525589</x:t>
  </x:si>
  <x:si>
    <x:t>HIK.AB.AF</x:t>
  </x:si>
  <x:si>
    <x:t>- - - - - Intravascular pressure measurement of aortic arch</x:t>
  </x:si>
  <x:si>
    <x:t>http://id.who.int/icd/entity/389648620</x:t>
  </x:si>
  <x:si>
    <x:t>http://id.who.int/icd/release/11/beta/ichi/389648620</x:t>
  </x:si>
  <x:si>
    <x:t>HIK.AE.AA</x:t>
  </x:si>
  <x:si>
    <x:t>- - - - - Exploration of aortic arch</x:t>
  </x:si>
  <x:si>
    <x:t>http://id.who.int/icd/entity/1550399191</x:t>
  </x:si>
  <x:si>
    <x:t>http://id.who.int/icd/release/11/beta/ichi/1550399191</x:t>
  </x:si>
  <x:si>
    <x:t>HIK.AE.AF</x:t>
  </x:si>
  <x:si>
    <x:t>- - - - - Angioscopy of aortic arch</x:t>
  </x:si>
  <x:si>
    <x:t>http://id.who.int/icd/entity/1766517606</x:t>
  </x:si>
  <x:si>
    <x:t>http://id.who.int/icd/release/11/beta/ichi/1766517606</x:t>
  </x:si>
  <x:si>
    <x:t>HIK.BA.AF</x:t>
  </x:si>
  <x:si>
    <x:t>- - - - - Intravascular imaging of the aortic arch</x:t>
  </x:si>
  <x:si>
    <x:t>http://id.who.int/icd/entity/600947839</x:t>
  </x:si>
  <x:si>
    <x:t>http://id.who.int/icd/release/11/beta/ichi/600947839</x:t>
  </x:si>
  <x:si>
    <x:t>HIK.BA.BB</x:t>
  </x:si>
  <x:si>
    <x:t>- - - - - Angiography of the aortic arch with contrast medium</x:t>
  </x:si>
  <x:si>
    <x:t>http://id.who.int/icd/entity/966165157</x:t>
  </x:si>
  <x:si>
    <x:t>http://id.who.int/icd/release/11/beta/ichi/966165157</x:t>
  </x:si>
  <x:si>
    <x:t>HIK.BA.BJ</x:t>
  </x:si>
  <x:si>
    <x:t>- - - - - Ultrasound of the aortic arch</x:t>
  </x:si>
  <x:si>
    <x:t>http://id.who.int/icd/entity/848469001</x:t>
  </x:si>
  <x:si>
    <x:t>http://id.who.int/icd/release/11/beta/ichi/848469001</x:t>
  </x:si>
  <x:si>
    <x:t>HIK.FB.AA</x:t>
  </x:si>
  <x:si>
    <x:t>- - - - - Division of double aortic arch</x:t>
  </x:si>
  <x:si>
    <x:t>http://id.who.int/icd/entity/1233068838</x:t>
  </x:si>
  <x:si>
    <x:t>http://id.who.int/icd/release/11/beta/ichi/1233068838</x:t>
  </x:si>
  <x:si>
    <x:t>HIK.FC.AA</x:t>
  </x:si>
  <x:si>
    <x:t>- - - - - Release of vascular ring</x:t>
  </x:si>
  <x:si>
    <x:t>http://id.who.int/icd/entity/1396186620</x:t>
  </x:si>
  <x:si>
    <x:t>http://id.who.int/icd/release/11/beta/ichi/1396186620</x:t>
  </x:si>
  <x:si>
    <x:t>HIK.JJ.AA</x:t>
  </x:si>
  <x:si>
    <x:t>- - - - - Repair of coarctation of aortic arch</x:t>
  </x:si>
  <x:si>
    <x:t>http://id.who.int/icd/entity/1995784256</x:t>
  </x:si>
  <x:si>
    <x:t>http://id.who.int/icd/release/11/beta/ichi/1995784256</x:t>
  </x:si>
  <x:si>
    <x:t>HIK.LG.AF</x:t>
  </x:si>
  <x:si>
    <x:t>- - - - - Percutaneous transluminal dilatation of aortic arch</x:t>
  </x:si>
  <x:si>
    <x:t>http://id.who.int/icd/entity/947138923</x:t>
  </x:si>
  <x:si>
    <x:t>http://id.who.int/icd/release/11/beta/ichi/947138923</x:t>
  </x:si>
  <x:si>
    <x:t>HIK.LH.AF</x:t>
  </x:si>
  <x:si>
    <x:t>- - - - - Percutaneous transluminal dilatation with insertion of device into aortic arch</x:t>
  </x:si>
  <x:si>
    <x:t>http://id.who.int/icd/entity/691474717</x:t>
  </x:si>
  <x:si>
    <x:t>http://id.who.int/icd/release/11/beta/ichi/691474717</x:t>
  </x:si>
  <x:si>
    <x:t>HIK.LJ.AA</x:t>
  </x:si>
  <x:si>
    <x:t>- - - - - Aortopexy</x:t>
  </x:si>
  <x:si>
    <x:t>http://id.who.int/icd/entity/203404367</x:t>
  </x:si>
  <x:si>
    <x:t>http://id.who.int/icd/release/11/beta/ichi/203404367</x:t>
  </x:si>
  <x:si>
    <x:t>HIK.MK.AA</x:t>
  </x:si>
  <x:si>
    <x:t>- - - - - Repair of aortic arch</x:t>
  </x:si>
  <x:si>
    <x:t>http://id.who.int/icd/entity/1650964262</x:t>
  </x:si>
  <x:si>
    <x:t>http://id.who.int/icd/release/11/beta/ichi/1650964262</x:t>
  </x:si>
  <x:si>
    <x:t>HIK.ML.AA</x:t>
  </x:si>
  <x:si>
    <x:t>- - - - - Reconstruction of aortic arch</x:t>
  </x:si>
  <x:si>
    <x:t>http://id.who.int/icd/entity/1566596755</x:t>
  </x:si>
  <x:si>
    <x:t>http://id.who.int/icd/release/11/beta/ichi/1566596755</x:t>
  </x:si>
  <x:si>
    <x:t>HIL.DL.AA</x:t>
  </x:si>
  <x:si>
    <x:t>- - - - - Personalised external aortic root support procedure</x:t>
  </x:si>
  <x:si>
    <x:t>http://id.who.int/icd/entity/144843377</x:t>
  </x:si>
  <x:si>
    <x:t>http://id.who.int/icd/release/11/beta/ichi/144843377</x:t>
  </x:si>
  <x:si>
    <x:t>HIL.LA.AA</x:t>
  </x:si>
  <x:si>
    <x:t>- - - - - Partial occlusion of aortic root</x:t>
  </x:si>
  <x:si>
    <x:t>http://id.who.int/icd/entity/325887339</x:t>
  </x:si>
  <x:si>
    <x:t>http://id.who.int/icd/release/11/beta/ichi/325887339</x:t>
  </x:si>
  <x:si>
    <x:t>HIL.LA.AF</x:t>
  </x:si>
  <x:si>
    <x:t>- - - - - Percutaneous transluminal partial occlusion of aortic root</x:t>
  </x:si>
  <x:si>
    <x:t>http://id.who.int/icd/entity/701688205</x:t>
  </x:si>
  <x:si>
    <x:t>http://id.who.int/icd/release/11/beta/ichi/701688205</x:t>
  </x:si>
  <x:si>
    <x:t>HIL.MK.AA</x:t>
  </x:si>
  <x:si>
    <x:t>- - - - - Repair of aortic root</x:t>
  </x:si>
  <x:si>
    <x:t>http://id.who.int/icd/entity/1665777302</x:t>
  </x:si>
  <x:si>
    <x:t>http://id.who.int/icd/release/11/beta/ichi/1665777302</x:t>
  </x:si>
  <x:si>
    <x:t>HIL.ML.AA</x:t>
  </x:si>
  <x:si>
    <x:t>- - - - - Reconstruction of aortic root</x:t>
  </x:si>
  <x:si>
    <x:t>http://id.who.int/icd/entity/1275675706</x:t>
  </x:si>
  <x:si>
    <x:t>http://id.who.int/icd/release/11/beta/ichi/1275675706</x:t>
  </x:si>
  <x:si>
    <x:t>HIM.FC.AA</x:t>
  </x:si>
  <x:si>
    <x:t>- - - - - Release of congenital malformation of coronary artery</x:t>
  </x:si>
  <x:si>
    <x:t>http://id.who.int/icd/entity/1744054442</x:t>
  </x:si>
  <x:si>
    <x:t>http://id.who.int/icd/release/11/beta/ichi/1744054442</x:t>
  </x:si>
  <x:si>
    <x:t>HIM.LA.AA</x:t>
  </x:si>
  <x:si>
    <x:t>- - - - - Occlusion of congenital malformation of coronary artery</x:t>
  </x:si>
  <x:si>
    <x:t>http://id.who.int/icd/entity/1855025782</x:t>
  </x:si>
  <x:si>
    <x:t>http://id.who.int/icd/release/11/beta/ichi/1855025782</x:t>
  </x:si>
  <x:si>
    <x:t>HIM.LA.AF</x:t>
  </x:si>
  <x:si>
    <x:t>- - - - - Endovascular embolisation or occlusion of congenital malformation of coronary artery</x:t>
  </x:si>
  <x:si>
    <x:t>http://id.who.int/icd/entity/827532119</x:t>
  </x:si>
  <x:si>
    <x:t>http://id.who.int/icd/release/11/beta/ichi/827532119</x:t>
  </x:si>
  <x:si>
    <x:t>HIM.LB.AA</x:t>
  </x:si>
  <x:si>
    <x:t>- - - - - Reimplantation of anomalous origin of coronary artery</x:t>
  </x:si>
  <x:si>
    <x:t>http://id.who.int/icd/entity/447631303</x:t>
  </x:si>
  <x:si>
    <x:t>http://id.who.int/icd/release/11/beta/ichi/447631303</x:t>
  </x:si>
  <x:si>
    <x:t>HIM.MK.AA</x:t>
  </x:si>
  <x:si>
    <x:t>- - - - - Repair of anomalous aortic origin of coronary artery</x:t>
  </x:si>
  <x:si>
    <x:t>http://id.who.int/icd/entity/563722977</x:t>
  </x:si>
  <x:si>
    <x:t>http://id.who.int/icd/release/11/beta/ichi/563722977</x:t>
  </x:si>
  <x:si>
    <x:t>HIN.LG.AF</x:t>
  </x:si>
  <x:si>
    <x:t>- - - - - Percutaneous transluminal dilatation of systemic-to-pulmonary arterial shunt</x:t>
  </x:si>
  <x:si>
    <x:t>http://id.who.int/icd/entity/1587714558</x:t>
  </x:si>
  <x:si>
    <x:t>http://id.who.int/icd/release/11/beta/ichi/1587714558</x:t>
  </x:si>
  <x:si>
    <x:t>HIN.LH.AF</x:t>
  </x:si>
  <x:si>
    <x:t>- - - - - Percutaneous transluminal dilatation with insertion of device into systemic-to-pulmonary arterial shunt</x:t>
  </x:si>
  <x:si>
    <x:t>http://id.who.int/icd/entity/819632791</x:t>
  </x:si>
  <x:si>
    <x:t>http://id.who.int/icd/release/11/beta/ichi/819632791</x:t>
  </x:si>
  <x:si>
    <x:t>HIN.LI.AA</x:t>
  </x:si>
  <x:si>
    <x:t>- - - - - Pulmonary trunk to aorta end-to-side anastomosis</x:t>
  </x:si>
  <x:si>
    <x:t>http://id.who.int/icd/entity/821645</x:t>
  </x:si>
  <x:si>
    <x:t>http://id.who.int/icd/release/11/beta/ichi/821645</x:t>
  </x:si>
  <x:si>
    <x:t>HIN.LJ.AA</x:t>
  </x:si>
  <x:si>
    <x:t>- - - - - Arterial switch operation</x:t>
  </x:si>
  <x:si>
    <x:t>http://id.who.int/icd/entity/1791565018</x:t>
  </x:si>
  <x:si>
    <x:t>http://id.who.int/icd/release/11/beta/ichi/1791565018</x:t>
  </x:si>
  <x:si>
    <x:t>HIN.MK.AA</x:t>
  </x:si>
  <x:si>
    <x:t>- - - - - Closure of aortopulmonary window</x:t>
  </x:si>
  <x:si>
    <x:t>http://id.who.int/icd/entity/1486613916</x:t>
  </x:si>
  <x:si>
    <x:t>http://id.who.int/icd/release/11/beta/ichi/1486613916</x:t>
  </x:si>
  <x:si>
    <x:t>HIN.MK.AF</x:t>
  </x:si>
  <x:si>
    <x:t>- - - - - Percutaneous transluminal closure of aortopulmonary window</x:t>
  </x:si>
  <x:si>
    <x:t>http://id.who.int/icd/entity/1375660540</x:t>
  </x:si>
  <x:si>
    <x:t>http://id.who.int/icd/release/11/beta/ichi/1375660540</x:t>
  </x:si>
  <x:si>
    <x:t>HIN.ML.AA</x:t>
  </x:si>
  <x:si>
    <x:t>- - - - - Reconstruction of congenital great vessel malformation</x:t>
  </x:si>
  <x:si>
    <x:t>http://id.who.int/icd/entity/1581736302</x:t>
  </x:si>
  <x:si>
    <x:t>http://id.who.int/icd/release/11/beta/ichi/1581736302</x:t>
  </x:si>
  <x:si>
    <x:t>BlockL4-HT2</x:t>
  </x:si>
  <x:si>
    <x:t>- - - - Interventions on functions of heart or cardiovascular system</x:t>
  </x:si>
  <x:si>
    <x:t>http://id.who.int/icd/entity/465702551</x:t>
  </x:si>
  <x:si>
    <x:t>http://id.who.int/icd/release/11/beta/ichi/465702551</x:t>
  </x:si>
  <x:si>
    <x:t>HT2.AA.ZZ</x:t>
  </x:si>
  <x:si>
    <x:t>- - - - - Assessment of cardiovascular function, not elsewhere classified</x:t>
  </x:si>
  <x:si>
    <x:t>http://id.who.int/icd/entity/1260283736</x:t>
  </x:si>
  <x:si>
    <x:t>http://id.who.int/icd/release/11/beta/ichi/1260283736</x:t>
  </x:si>
  <x:si>
    <x:t>HT2.AB.AH</x:t>
  </x:si>
  <x:si>
    <x:t>- - - - - Other nonoperative cardiac and vascular measurements, not elsewhere classified</x:t>
  </x:si>
  <x:si>
    <x:t>http://id.who.int/icd/entity/459652839</x:t>
  </x:si>
  <x:si>
    <x:t>http://id.who.int/icd/release/11/beta/ichi/459652839</x:t>
  </x:si>
  <x:si>
    <x:t>HT2.AC.ZZ</x:t>
  </x:si>
  <x:si>
    <x:t>- - - - - Test of functions of the cardiovascular system, not elsewhere classified</x:t>
  </x:si>
  <x:si>
    <x:t>http://id.who.int/icd/entity/453948649</x:t>
  </x:si>
  <x:si>
    <x:t>http://id.who.int/icd/release/11/beta/ichi/453948649</x:t>
  </x:si>
  <x:si>
    <x:t>HT2.AM.ZZ</x:t>
  </x:si>
  <x:si>
    <x:t>- - - - - Observation of functions of the cardiovascular system, not elsewhere classified</x:t>
  </x:si>
  <x:si>
    <x:t>http://id.who.int/icd/entity/1681233912</x:t>
  </x:si>
  <x:si>
    <x:t>http://id.who.int/icd/release/11/beta/ichi/1681233912</x:t>
  </x:si>
  <x:si>
    <x:t>HT2.MC.AH</x:t>
  </x:si>
  <x:si>
    <x:t>- - - - - Cardiopulmonary resuscitation</x:t>
  </x:si>
  <x:si>
    <x:t>http://id.who.int/icd/entity/1627502602</x:t>
  </x:si>
  <x:si>
    <x:t>http://id.who.int/icd/release/11/beta/ichi/1627502602</x:t>
  </x:si>
  <x:si>
    <x:t>HT2.PG.ZZ</x:t>
  </x:si>
  <x:si>
    <x:t>- - - - - Assisting and leading exercise for functions of the cardiovascular system, not elsewhere classified</x:t>
  </x:si>
  <x:si>
    <x:t>http://id.who.int/icd/entity/796969309</x:t>
  </x:si>
  <x:si>
    <x:t>http://id.who.int/icd/release/11/beta/ichi/796969309</x:t>
  </x:si>
  <x:si>
    <x:t>HT2.PH.ZZ</x:t>
  </x:si>
  <x:si>
    <x:t>- - - - - Training for functions of the cardiovascular system, not elsewhere classified</x:t>
  </x:si>
  <x:si>
    <x:t>http://id.who.int/icd/entity/507157271</x:t>
  </x:si>
  <x:si>
    <x:t>http://id.who.int/icd/release/11/beta/ichi/507157271</x:t>
  </x:si>
  <x:si>
    <x:t>HT2.PM.ZZ</x:t>
  </x:si>
  <x:si>
    <x:t>- - - - - Education about functions of the cardiovascular system, not elsewhere classified</x:t>
  </x:si>
  <x:si>
    <x:t>http://id.who.int/icd/entity/1584276352</x:t>
  </x:si>
  <x:si>
    <x:t>http://id.who.int/icd/release/11/beta/ichi/1584276352</x:t>
  </x:si>
  <x:si>
    <x:t>HT2.PN.ZZ</x:t>
  </x:si>
  <x:si>
    <x:t>- - - - - Advising about functions of the cardiovascular system, not elsewhere classified</x:t>
  </x:si>
  <x:si>
    <x:t>http://id.who.int/icd/entity/1433025838</x:t>
  </x:si>
  <x:si>
    <x:t>http://id.who.int/icd/release/11/beta/ichi/1433025838</x:t>
  </x:si>
  <x:si>
    <x:t>HT2.PP.ZZ</x:t>
  </x:si>
  <x:si>
    <x:t>- - - - - Counselling for functions of the cardiovascular system, not elsewhere classified</x:t>
  </x:si>
  <x:si>
    <x:t>http://id.who.int/icd/entity/28078755</x:t>
  </x:si>
  <x:si>
    <x:t>http://id.who.int/icd/release/11/beta/ichi/28078755</x:t>
  </x:si>
  <x:si>
    <x:t>HT2.RB.ZZ</x:t>
  </x:si>
  <x:si>
    <x:t>- - - - - Practical support with functions of the cardiovascular system, not elsewhere classified</x:t>
  </x:si>
  <x:si>
    <x:t>http://id.who.int/icd/entity/1424196844</x:t>
  </x:si>
  <x:si>
    <x:t>http://id.who.int/icd/release/11/beta/ichi/1424196844</x:t>
  </x:si>
  <x:si>
    <x:t>HT2.RC.ZZ</x:t>
  </x:si>
  <x:si>
    <x:t>- - - - - Emotional support for functions of the cardiovascular system, not elsewhere classified</x:t>
  </x:si>
  <x:si>
    <x:t>http://id.who.int/icd/entity/2074312260</x:t>
  </x:si>
  <x:si>
    <x:t>http://id.who.int/icd/release/11/beta/ichi/2074312260</x:t>
  </x:si>
  <x:si>
    <x:t>HTB.AA.ZZ</x:t>
  </x:si>
  <x:si>
    <x:t>- - - - - Assessment of heart functions, not elsewhere classified</x:t>
  </x:si>
  <x:si>
    <x:t>http://id.who.int/icd/entity/1048682955</x:t>
  </x:si>
  <x:si>
    <x:t>http://id.who.int/icd/release/11/beta/ichi/1048682955</x:t>
  </x:si>
  <x:si>
    <x:t>HTB.AC.AH</x:t>
  </x:si>
  <x:si>
    <x:t>- - - - - Electrocardiogram, not elsewhere classified</x:t>
  </x:si>
  <x:si>
    <x:t>http://id.who.int/icd/entity/825764185</x:t>
  </x:si>
  <x:si>
    <x:t>http://id.who.int/icd/release/11/beta/ichi/825764185</x:t>
  </x:si>
  <x:si>
    <x:t>HTB.BA.BE</x:t>
  </x:si>
  <x:si>
    <x:t>- - - - - Cardiac output scan, not elsewhere classified</x:t>
  </x:si>
  <x:si>
    <x:t>http://id.who.int/icd/entity/181644093</x:t>
  </x:si>
  <x:si>
    <x:t>http://id.who.int/icd/release/11/beta/ichi/181644093</x:t>
  </x:si>
  <x:si>
    <x:t>HTB.MC.AH</x:t>
  </x:si>
  <x:si>
    <x:t>- - - - - Closed chest cardiac massage</x:t>
  </x:si>
  <x:si>
    <x:t>http://id.who.int/icd/entity/1146280552</x:t>
  </x:si>
  <x:si>
    <x:t>http://id.who.int/icd/release/11/beta/ichi/1146280552</x:t>
  </x:si>
  <x:si>
    <x:t>HTC.BA.BE</x:t>
  </x:si>
  <x:si>
    <x:t>- - - - - Myocardial perfusion scan</x:t>
  </x:si>
  <x:si>
    <x:t>http://id.who.int/icd/entity/1427241504</x:t>
  </x:si>
  <x:si>
    <x:t>http://id.who.int/icd/release/11/beta/ichi/1427241504</x:t>
  </x:si>
  <x:si>
    <x:t>HTM.AA.ZZ</x:t>
  </x:si>
  <x:si>
    <x:t>- - - - - Assessment of exercise tolerance functions</x:t>
  </x:si>
  <x:si>
    <x:t>http://id.who.int/icd/entity/1344656866</x:t>
  </x:si>
  <x:si>
    <x:t>http://id.who.int/icd/release/11/beta/ichi/1344656866</x:t>
  </x:si>
  <x:si>
    <x:t>HTM.AC.ZZ</x:t>
  </x:si>
  <x:si>
    <x:t>- - - - - Test of exercise tolerance functions</x:t>
  </x:si>
  <x:si>
    <x:t>http://id.who.int/icd/entity/790558463</x:t>
  </x:si>
  <x:si>
    <x:t>http://id.who.int/icd/release/11/beta/ichi/790558463</x:t>
  </x:si>
  <x:si>
    <x:t>HTM.AF.ZZ</x:t>
  </x:si>
  <x:si>
    <x:t>- - - - - Exercise electrocardiogram</x:t>
  </x:si>
  <x:si>
    <x:t>http://id.who.int/icd/entity/533259749</x:t>
  </x:si>
  <x:si>
    <x:t>http://id.who.int/icd/release/11/beta/ichi/533259749</x:t>
  </x:si>
  <x:si>
    <x:t>HTM.PG.ZZ</x:t>
  </x:si>
  <x:si>
    <x:t>- - - - - Assisting and leading exercise for exercise tolerance function</x:t>
  </x:si>
  <x:si>
    <x:t>http://id.who.int/icd/entity/275869047</x:t>
  </x:si>
  <x:si>
    <x:t>http://id.who.int/icd/release/11/beta/ichi/275869047</x:t>
  </x:si>
  <x:si>
    <x:t>HTM.PH.ZZ</x:t>
  </x:si>
  <x:si>
    <x:t>- - - - - Training for exercise tolerance functions</x:t>
  </x:si>
  <x:si>
    <x:t>http://id.who.int/icd/entity/356860553</x:t>
  </x:si>
  <x:si>
    <x:t>http://id.who.int/icd/release/11/beta/ichi/356860553</x:t>
  </x:si>
  <x:si>
    <x:t>HTM.PM.ZZ</x:t>
  </x:si>
  <x:si>
    <x:t>- - - - - Education related to exercise tolerance</x:t>
  </x:si>
  <x:si>
    <x:t>http://id.who.int/icd/entity/528627693</x:t>
  </x:si>
  <x:si>
    <x:t>http://id.who.int/icd/release/11/beta/ichi/528627693</x:t>
  </x:si>
  <x:si>
    <x:t>HTM.PN.ZZ</x:t>
  </x:si>
  <x:si>
    <x:t>- - - - - Advising about exercise tolerance functions</x:t>
  </x:si>
  <x:si>
    <x:t>http://id.who.int/icd/entity/507599909</x:t>
  </x:si>
  <x:si>
    <x:t>http://id.who.int/icd/release/11/beta/ichi/507599909</x:t>
  </x:si>
  <x:si>
    <x:t>HTM.RC.ZZ</x:t>
  </x:si>
  <x:si>
    <x:t>- - - - - Emotional support for exercise tolerance functions</x:t>
  </x:si>
  <x:si>
    <x:t>http://id.who.int/icd/entity/855796633</x:t>
  </x:si>
  <x:si>
    <x:t>http://id.who.int/icd/release/11/beta/ichi/855796633</x:t>
  </x:si>
  <x:si>
    <x:t>BlockL4-HZA</x:t>
  </x:si>
  <x:si>
    <x:t>- - - - Interventions on heart, not elsewhere classified</x:t>
  </x:si>
  <x:si>
    <x:t>43</x:t>
  </x:si>
  <x:si>
    <x:t>http://id.who.int/icd/entity/1250366380</x:t>
  </x:si>
  <x:si>
    <x:t>http://id.who.int/icd/release/11/beta/ichi/1250366380</x:t>
  </x:si>
  <x:si>
    <x:t>HZA.AB.AF</x:t>
  </x:si>
  <x:si>
    <x:t>- - - - - Left heart cardiac catheterisation</x:t>
  </x:si>
  <x:si>
    <x:t>http://id.who.int/icd/entity/1348967680</x:t>
  </x:si>
  <x:si>
    <x:t>http://id.who.int/icd/release/11/beta/ichi/1348967680</x:t>
  </x:si>
  <x:si>
    <x:t>HZA.BA.BB</x:t>
  </x:si>
  <x:si>
    <x:t>- - - - - Angiocardiography of left heart structures</x:t>
  </x:si>
  <x:si>
    <x:t>http://id.who.int/icd/entity/2133288880</x:t>
  </x:si>
  <x:si>
    <x:t>http://id.who.int/icd/release/11/beta/ichi/2133288880</x:t>
  </x:si>
  <x:si>
    <x:t>HZA.LI.AA</x:t>
  </x:si>
  <x:si>
    <x:t>- - - - - Repair of double outlet left ventricle</x:t>
  </x:si>
  <x:si>
    <x:t>http://id.who.int/icd/entity/991469675</x:t>
  </x:si>
  <x:si>
    <x:t>http://id.who.int/icd/release/11/beta/ichi/991469675</x:t>
  </x:si>
  <x:si>
    <x:t>HZA.ML.AA</x:t>
  </x:si>
  <x:si>
    <x:t>- - - - - Reconstruction of complex left heart malformations, not elsewhere classified</x:t>
  </x:si>
  <x:si>
    <x:t>http://id.who.int/icd/entity/986251865</x:t>
  </x:si>
  <x:si>
    <x:t>http://id.who.int/icd/release/11/beta/ichi/986251865</x:t>
  </x:si>
  <x:si>
    <x:t>HZB.AB.AF</x:t>
  </x:si>
  <x:si>
    <x:t>- - - - - Right heart cardiac catheterisation</x:t>
  </x:si>
  <x:si>
    <x:t>http://id.who.int/icd/entity/835525877</x:t>
  </x:si>
  <x:si>
    <x:t>http://id.who.int/icd/release/11/beta/ichi/835525877</x:t>
  </x:si>
  <x:si>
    <x:t>HZB.BA.BB</x:t>
  </x:si>
  <x:si>
    <x:t>- - - - - Angiocardiography of right heart structures</x:t>
  </x:si>
  <x:si>
    <x:t>http://id.who.int/icd/entity/2079456160</x:t>
  </x:si>
  <x:si>
    <x:t>http://id.who.int/icd/release/11/beta/ichi/2079456160</x:t>
  </x:si>
  <x:si>
    <x:t>HZB.ML.AA</x:t>
  </x:si>
  <x:si>
    <x:t>- - - - - Repair of Tetralogy of Fallot</x:t>
  </x:si>
  <x:si>
    <x:t>http://id.who.int/icd/entity/2143564628</x:t>
  </x:si>
  <x:si>
    <x:t>http://id.who.int/icd/release/11/beta/ichi/2143564628</x:t>
  </x:si>
  <x:si>
    <x:t>HZM.LI.AA</x:t>
  </x:si>
  <x:si>
    <x:t>- - - - - Common arterial trunk repair</x:t>
  </x:si>
  <x:si>
    <x:t>http://id.who.int/icd/entity/465160613</x:t>
  </x:si>
  <x:si>
    <x:t>http://id.who.int/icd/release/11/beta/ichi/465160613</x:t>
  </x:si>
  <x:si>
    <x:t>HZM.ML.AA</x:t>
  </x:si>
  <x:si>
    <x:t>- - - - - Reconstruction of complex congenital heart malformations, not elsewhere classified</x:t>
  </x:si>
  <x:si>
    <x:t>http://id.who.int/icd/entity/1599137550</x:t>
  </x:si>
  <x:si>
    <x:t>http://id.who.int/icd/release/11/beta/ichi/1599137550</x:t>
  </x:si>
  <x:si>
    <x:t>HZZ.AA.ZZ</x:t>
  </x:si>
  <x:si>
    <x:t>- - - - - Assessment of entire heart, heart or great vessel, not elsewhere classified</x:t>
  </x:si>
  <x:si>
    <x:t>http://id.who.int/icd/entity/9614895</x:t>
  </x:si>
  <x:si>
    <x:t>http://id.who.int/icd/release/11/beta/ichi/9614895</x:t>
  </x:si>
  <x:si>
    <x:t>HZZ.AB.AF</x:t>
  </x:si>
  <x:si>
    <x:t>- - - - - Combined right and left heart cardiac catheterisation</x:t>
  </x:si>
  <x:si>
    <x:t>http://id.who.int/icd/entity/492151361</x:t>
  </x:si>
  <x:si>
    <x:t>http://id.who.int/icd/release/11/beta/ichi/492151361</x:t>
  </x:si>
  <x:si>
    <x:t>HZZ.AI.AH</x:t>
  </x:si>
  <x:si>
    <x:t>- - - - - Phonocardiogram</x:t>
  </x:si>
  <x:si>
    <x:t>http://id.who.int/icd/entity/94804433</x:t>
  </x:si>
  <x:si>
    <x:t>http://id.who.int/icd/release/11/beta/ichi/94804433</x:t>
  </x:si>
  <x:si>
    <x:t>HZZ.BA.AC</x:t>
  </x:si>
  <x:si>
    <x:t>- - - - - Transoesophageal echocardiography</x:t>
  </x:si>
  <x:si>
    <x:t>http://id.who.int/icd/entity/1965306460</x:t>
  </x:si>
  <x:si>
    <x:t>http://id.who.int/icd/release/11/beta/ichi/1965306460</x:t>
  </x:si>
  <x:si>
    <x:t>HZZ.BA.AF</x:t>
  </x:si>
  <x:si>
    <x:t>- - - - - Intracardiac echocardiography</x:t>
  </x:si>
  <x:si>
    <x:t>http://id.who.int/icd/entity/2057157326</x:t>
  </x:si>
  <x:si>
    <x:t>http://id.who.int/icd/release/11/beta/ichi/2057157326</x:t>
  </x:si>
  <x:si>
    <x:t>HZZ.BA.BA</x:t>
  </x:si>
  <x:si>
    <x:t>- - - - - X-ray of heart, not elsewhere classified</x:t>
  </x:si>
  <x:si>
    <x:t>http://id.who.int/icd/entity/637033373</x:t>
  </x:si>
  <x:si>
    <x:t>http://id.who.int/icd/release/11/beta/ichi/637033373</x:t>
  </x:si>
  <x:si>
    <x:t>HZZ.BA.BB</x:t>
  </x:si>
  <x:si>
    <x:t>- - - - - Angiocardiography, not elsewhere classified</x:t>
  </x:si>
  <x:si>
    <x:t>http://id.who.int/icd/entity/708956943</x:t>
  </x:si>
  <x:si>
    <x:t>http://id.who.int/icd/release/11/beta/ichi/708956943</x:t>
  </x:si>
  <x:si>
    <x:t>HZZ.BA.BC</x:t>
  </x:si>
  <x:si>
    <x:t>- - - - - Computerised tomography of heart, not elsewhere classified</x:t>
  </x:si>
  <x:si>
    <x:t>http://id.who.int/icd/entity/1522759810</x:t>
  </x:si>
  <x:si>
    <x:t>http://id.who.int/icd/release/11/beta/ichi/1522759810</x:t>
  </x:si>
  <x:si>
    <x:t>HZZ.BA.BD</x:t>
  </x:si>
  <x:si>
    <x:t>- - - - - Computerised tomography of heart with intravenous contrast medium</x:t>
  </x:si>
  <x:si>
    <x:t>http://id.who.int/icd/entity/115569542</x:t>
  </x:si>
  <x:si>
    <x:t>http://id.who.int/icd/release/11/beta/ichi/115569542</x:t>
  </x:si>
  <x:si>
    <x:t>HZZ.BA.BH</x:t>
  </x:si>
  <x:si>
    <x:t>- - - - - Magnetic resonance imaging of heart, not elsewhere classified</x:t>
  </x:si>
  <x:si>
    <x:t>http://id.who.int/icd/entity/2044219547</x:t>
  </x:si>
  <x:si>
    <x:t>http://id.who.int/icd/release/11/beta/ichi/2044219547</x:t>
  </x:si>
  <x:si>
    <x:t>HZZ.BA.BI</x:t>
  </x:si>
  <x:si>
    <x:t>- - - - - Magnetic resonance imaging of heart with intravenous contrast medium</x:t>
  </x:si>
  <x:si>
    <x:t>http://id.who.int/icd/entity/396383218</x:t>
  </x:si>
  <x:si>
    <x:t>http://id.who.int/icd/release/11/beta/ichi/396383218</x:t>
  </x:si>
  <x:si>
    <x:t>HZZ.BA.BJ</x:t>
  </x:si>
  <x:si>
    <x:t>- - - - - Echocardiography</x:t>
  </x:si>
  <x:si>
    <x:t>http://id.who.int/icd/entity/748136148</x:t>
  </x:si>
  <x:si>
    <x:t>http://id.who.int/icd/release/11/beta/ichi/748136148</x:t>
  </x:si>
  <x:si>
    <x:t>HZZ.DB.AE</x:t>
  </x:si>
  <x:si>
    <x:t>- - - - - Injection into heart</x:t>
  </x:si>
  <x:si>
    <x:t>http://id.who.int/icd/entity/1403815371</x:t>
  </x:si>
  <x:si>
    <x:t>http://id.who.int/icd/release/11/beta/ichi/1403815371</x:t>
  </x:si>
  <x:si>
    <x:t>HZZ.DN.AA</x:t>
  </x:si>
  <x:si>
    <x:t>- - - - - Implantation of cardiac assist device, not elsewhere classified</x:t>
  </x:si>
  <x:si>
    <x:t>http://id.who.int/icd/entity/1668978385</x:t>
  </x:si>
  <x:si>
    <x:t>http://id.who.int/icd/release/11/beta/ichi/1668978385</x:t>
  </x:si>
  <x:si>
    <x:t>HZZ.DN.AF</x:t>
  </x:si>
  <x:si>
    <x:t>- - - - - Implantation of cardiac assist device, percutaneous transluminal</x:t>
  </x:si>
  <x:si>
    <x:t>http://id.who.int/icd/entity/771483526</x:t>
  </x:si>
  <x:si>
    <x:t>http://id.who.int/icd/release/11/beta/ichi/771483526</x:t>
  </x:si>
  <x:si>
    <x:t>HZZ.FA.AA</x:t>
  </x:si>
  <x:si>
    <x:t>- - - - - Cardiotomy</x:t>
  </x:si>
  <x:si>
    <x:t>http://id.who.int/icd/entity/2034083851</x:t>
  </x:si>
  <x:si>
    <x:t>http://id.who.int/icd/release/11/beta/ichi/2034083851</x:t>
  </x:si>
  <x:si>
    <x:t>HZZ.FC.AA</x:t>
  </x:si>
  <x:si>
    <x:t>- - - - - Release of cardiac adhesions, not elsewhere classified</x:t>
  </x:si>
  <x:si>
    <x:t>http://id.who.int/icd/entity/1559295433</x:t>
  </x:si>
  <x:si>
    <x:t>http://id.who.int/icd/release/11/beta/ichi/1559295433</x:t>
  </x:si>
  <x:si>
    <x:t>HZZ.JD.AA</x:t>
  </x:si>
  <x:si>
    <x:t>- - - - - Removal of cardiac circuitry device</x:t>
  </x:si>
  <x:si>
    <x:t>http://id.who.int/icd/entity/53650668</x:t>
  </x:si>
  <x:si>
    <x:t>http://id.who.int/icd/release/11/beta/ichi/53650668</x:t>
  </x:si>
  <x:si>
    <x:t>HZZ.JD.AE</x:t>
  </x:si>
  <x:si>
    <x:t>- - - - - Percutaneous removal of internal device or foreign body from heart, not elsewhere classified</x:t>
  </x:si>
  <x:si>
    <x:t>http://id.who.int/icd/entity/1940918119</x:t>
  </x:si>
  <x:si>
    <x:t>http://id.who.int/icd/release/11/beta/ichi/1940918119</x:t>
  </x:si>
  <x:si>
    <x:t>HZZ.JD.AF</x:t>
  </x:si>
  <x:si>
    <x:t>- - - - - Percutaneous transluminal removal of internal device or foreign body from heart, not elsewhere classified</x:t>
  </x:si>
  <x:si>
    <x:t>http://id.who.int/icd/entity/1766883789</x:t>
  </x:si>
  <x:si>
    <x:t>http://id.who.int/icd/release/11/beta/ichi/1766883789</x:t>
  </x:si>
  <x:si>
    <x:t>HZZ.JD.AH</x:t>
  </x:si>
  <x:si>
    <x:t>- - - - - Removal of extrinsic heart assist device</x:t>
  </x:si>
  <x:si>
    <x:t>http://id.who.int/icd/entity/1118694749</x:t>
  </x:si>
  <x:si>
    <x:t>http://id.who.int/icd/release/11/beta/ichi/1118694749</x:t>
  </x:si>
  <x:si>
    <x:t>HZZ.JE.AA</x:t>
  </x:si>
  <x:si>
    <x:t>- - - - - Extraction of cardiac vegetations, not elsewhere classified</x:t>
  </x:si>
  <x:si>
    <x:t>http://id.who.int/icd/entity/1408159019</x:t>
  </x:si>
  <x:si>
    <x:t>http://id.who.int/icd/release/11/beta/ichi/1408159019</x:t>
  </x:si>
  <x:si>
    <x:t>HZZ.JH.AA</x:t>
  </x:si>
  <x:si>
    <x:t>- - - - - Procurement of heart</x:t>
  </x:si>
  <x:si>
    <x:t>http://id.who.int/icd/entity/1719796561</x:t>
  </x:si>
  <x:si>
    <x:t>http://id.who.int/icd/release/11/beta/ichi/1719796561</x:t>
  </x:si>
  <x:si>
    <x:t>HZZ.JI.AA</x:t>
  </x:si>
  <x:si>
    <x:t>- - - - - Local excision of lesion of heart, not elsewhere classified</x:t>
  </x:si>
  <x:si>
    <x:t>http://id.who.int/icd/entity/150601784</x:t>
  </x:si>
  <x:si>
    <x:t>http://id.who.int/icd/release/11/beta/ichi/150601784</x:t>
  </x:si>
  <x:si>
    <x:t>HZZ.JI.AF</x:t>
  </x:si>
  <x:si>
    <x:t>- - - - - Endovascular local excision of lesion of heart, not elsewhere classified</x:t>
  </x:si>
  <x:si>
    <x:t>http://id.who.int/icd/entity/431562832</x:t>
  </x:si>
  <x:si>
    <x:t>http://id.who.int/icd/release/11/beta/ichi/431562832</x:t>
  </x:si>
  <x:si>
    <x:t>HZZ.KA.AE</x:t>
  </x:si>
  <x:si>
    <x:t>- - - - - Replacement of subcutaneous device for intracardiac or great vessel haemodynamic monitoring</x:t>
  </x:si>
  <x:si>
    <x:t>http://id.who.int/icd/entity/696961988</x:t>
  </x:si>
  <x:si>
    <x:t>http://id.who.int/icd/release/11/beta/ichi/696961988</x:t>
  </x:si>
  <x:si>
    <x:t>HZZ.KD.AA</x:t>
  </x:si>
  <x:si>
    <x:t>- - - - - Heart transplantation</x:t>
  </x:si>
  <x:si>
    <x:t>http://id.who.int/icd/entity/41396052</x:t>
  </x:si>
  <x:si>
    <x:t>http://id.who.int/icd/release/11/beta/ichi/41396052</x:t>
  </x:si>
  <x:si>
    <x:t>HZZ.LG.AF</x:t>
  </x:si>
  <x:si>
    <x:t>- - - - - Percutaneous transluminal dilatation of cardiac conduit</x:t>
  </x:si>
  <x:si>
    <x:t>http://id.who.int/icd/entity/1454500059</x:t>
  </x:si>
  <x:si>
    <x:t>http://id.who.int/icd/release/11/beta/ichi/1454500059</x:t>
  </x:si>
  <x:si>
    <x:t>HZZ.LH.AF</x:t>
  </x:si>
  <x:si>
    <x:t>- - - - - Percutaneous transluminal dilatation with insertion of device in cardiac conduit</x:t>
  </x:si>
  <x:si>
    <x:t>http://id.who.int/icd/entity/1939426697</x:t>
  </x:si>
  <x:si>
    <x:t>http://id.who.int/icd/release/11/beta/ichi/1939426697</x:t>
  </x:si>
  <x:si>
    <x:t>HZZ.MC.AA</x:t>
  </x:si>
  <x:si>
    <x:t>- - - - - Open chest cardiac massage</x:t>
  </x:si>
  <x:si>
    <x:t>http://id.who.int/icd/entity/1482957081</x:t>
  </x:si>
  <x:si>
    <x:t>http://id.who.int/icd/release/11/beta/ichi/1482957081</x:t>
  </x:si>
  <x:si>
    <x:t>HZZ.MK.AA</x:t>
  </x:si>
  <x:si>
    <x:t>- - - - - Repair of heart, not elsewhere classified</x:t>
  </x:si>
  <x:si>
    <x:t>http://id.who.int/icd/entity/211971736</x:t>
  </x:si>
  <x:si>
    <x:t>http://id.who.int/icd/release/11/beta/ichi/211971736</x:t>
  </x:si>
  <x:si>
    <x:t>HZZ.ML.AA</x:t>
  </x:si>
  <x:si>
    <x:t>- - - - - Reconstruction of the heart, not elsewhere classified</x:t>
  </x:si>
  <x:si>
    <x:t>http://id.who.int/icd/entity/2031413989</x:t>
  </x:si>
  <x:si>
    <x:t>http://id.who.int/icd/release/11/beta/ichi/2031413989</x:t>
  </x:si>
  <x:si>
    <x:t>HZZ.SN.AA</x:t>
  </x:si>
  <x:si>
    <x:t>- - - - - Management of cardiac assist device</x:t>
  </x:si>
  <x:si>
    <x:t>http://id.who.int/icd/entity/1666438207</x:t>
  </x:si>
  <x:si>
    <x:t>http://id.who.int/icd/release/11/beta/ichi/1666438207</x:t>
  </x:si>
  <x:si>
    <x:t>HZZ.SN.AF</x:t>
  </x:si>
  <x:si>
    <x:t>- - - - - Percutaneous transluminal management of cardiac assist device</x:t>
  </x:si>
  <x:si>
    <x:t>http://id.who.int/icd/entity/853177214</x:t>
  </x:si>
  <x:si>
    <x:t>http://id.who.int/icd/release/11/beta/ichi/853177214</x:t>
  </x:si>
  <x:si>
    <x:t>BlockL4-IAA</x:t>
  </x:si>
  <x:si>
    <x:t>- - - - Interventions on cerebral vessels</x:t>
  </x:si>
  <x:si>
    <x:t>http://id.who.int/icd/entity/304283968</x:t>
  </x:si>
  <x:si>
    <x:t>http://id.who.int/icd/release/11/beta/ichi/304283968</x:t>
  </x:si>
  <x:si>
    <x:t>IAA.BA.BB</x:t>
  </x:si>
  <x:si>
    <x:t>- - - - - Angiography of intracranial arteries</x:t>
  </x:si>
  <x:si>
    <x:t>http://id.who.int/icd/entity/1029962736</x:t>
  </x:si>
  <x:si>
    <x:t>http://id.who.int/icd/release/11/beta/ichi/1029962736</x:t>
  </x:si>
  <x:si>
    <x:t>IAA.BA.BC</x:t>
  </x:si>
  <x:si>
    <x:t>- - - - - CT angiography of intracranial arteries, not elsewhere classified</x:t>
  </x:si>
  <x:si>
    <x:t>http://id.who.int/icd/entity/1221951389</x:t>
  </x:si>
  <x:si>
    <x:t>http://id.who.int/icd/release/11/beta/ichi/1221951389</x:t>
  </x:si>
  <x:si>
    <x:t>IAA.BA.BD</x:t>
  </x:si>
  <x:si>
    <x:t>- - - - - CT angiography of intracranial arteries with intravenous contrast medium</x:t>
  </x:si>
  <x:si>
    <x:t>http://id.who.int/icd/entity/788571925</x:t>
  </x:si>
  <x:si>
    <x:t>http://id.who.int/icd/release/11/beta/ichi/788571925</x:t>
  </x:si>
  <x:si>
    <x:t>IAA.BA.BH</x:t>
  </x:si>
  <x:si>
    <x:t>- - - - - Magnetic resonance angiography of intracranial arteries, not elsewhere classified</x:t>
  </x:si>
  <x:si>
    <x:t>http://id.who.int/icd/entity/431898612</x:t>
  </x:si>
  <x:si>
    <x:t>http://id.who.int/icd/release/11/beta/ichi/431898612</x:t>
  </x:si>
  <x:si>
    <x:t>IAA.BA.BI</x:t>
  </x:si>
  <x:si>
    <x:t>- - - - - Magnetic resonance angiography of intracranial arteries with intravenous contrast medium</x:t>
  </x:si>
  <x:si>
    <x:t>http://id.who.int/icd/entity/1663570701</x:t>
  </x:si>
  <x:si>
    <x:t>http://id.who.int/icd/release/11/beta/ichi/1663570701</x:t>
  </x:si>
  <x:si>
    <x:t>IAA.BA.BJ</x:t>
  </x:si>
  <x:si>
    <x:t>- - - - - Transcranial doppler ultrasound of intracranial arteries</x:t>
  </x:si>
  <x:si>
    <x:t>http://id.who.int/icd/entity/1919628155</x:t>
  </x:si>
  <x:si>
    <x:t>http://id.who.int/icd/release/11/beta/ichi/1919628155</x:t>
  </x:si>
  <x:si>
    <x:t>IAA.DB.AF</x:t>
  </x:si>
  <x:si>
    <x:t>- - - - - Thrombolysis of intracranial artery</x:t>
  </x:si>
  <x:si>
    <x:t>http://id.who.int/icd/entity/2008736789</x:t>
  </x:si>
  <x:si>
    <x:t>http://id.who.int/icd/release/11/beta/ichi/2008736789</x:t>
  </x:si>
  <x:si>
    <x:t>IAA.FA.AA</x:t>
  </x:si>
  <x:si>
    <x:t>- - - - - Incision of intracranial artery</x:t>
  </x:si>
  <x:si>
    <x:t>http://id.who.int/icd/entity/1032192896</x:t>
  </x:si>
  <x:si>
    <x:t>http://id.who.int/icd/release/11/beta/ichi/1032192896</x:t>
  </x:si>
  <x:si>
    <x:t>IAA.JE.AA</x:t>
  </x:si>
  <x:si>
    <x:t>- - - - - Endarterectomy of intracranial artery, open approach</x:t>
  </x:si>
  <x:si>
    <x:t>http://id.who.int/icd/entity/1409155095</x:t>
  </x:si>
  <x:si>
    <x:t>http://id.who.int/icd/release/11/beta/ichi/1409155095</x:t>
  </x:si>
  <x:si>
    <x:t>IAA.JE.AF</x:t>
  </x:si>
  <x:si>
    <x:t>- - - - - Endovascular extraction of obstruction from intracranial artery</x:t>
  </x:si>
  <x:si>
    <x:t>http://id.who.int/icd/entity/1758065969</x:t>
  </x:si>
  <x:si>
    <x:t>http://id.who.int/icd/release/11/beta/ichi/1758065969</x:t>
  </x:si>
  <x:si>
    <x:t>IAA.LA.AA</x:t>
  </x:si>
  <x:si>
    <x:t>- - - - - Occlusion of intracranial artery</x:t>
  </x:si>
  <x:si>
    <x:t>http://id.who.int/icd/entity/816982857</x:t>
  </x:si>
  <x:si>
    <x:t>http://id.who.int/icd/release/11/beta/ichi/816982857</x:t>
  </x:si>
  <x:si>
    <x:t>IAA.LA.AF</x:t>
  </x:si>
  <x:si>
    <x:t>- - - - - Endovascular embolisation or occlusion of intracranial artery</x:t>
  </x:si>
  <x:si>
    <x:t>http://id.who.int/icd/entity/586486364</x:t>
  </x:si>
  <x:si>
    <x:t>http://id.who.int/icd/release/11/beta/ichi/586486364</x:t>
  </x:si>
  <x:si>
    <x:t>IAA.LB.AA</x:t>
  </x:si>
  <x:si>
    <x:t>- - - - - Anastomosis of intracranial artery</x:t>
  </x:si>
  <x:si>
    <x:t>http://id.who.int/icd/entity/2106651401</x:t>
  </x:si>
  <x:si>
    <x:t>http://id.who.int/icd/release/11/beta/ichi/2106651401</x:t>
  </x:si>
  <x:si>
    <x:t>IAA.LG.AF</x:t>
  </x:si>
  <x:si>
    <x:t>- - - - - Percutaneous transluminal dilatation of intracranial artery</x:t>
  </x:si>
  <x:si>
    <x:t>http://id.who.int/icd/entity/1915321243</x:t>
  </x:si>
  <x:si>
    <x:t>http://id.who.int/icd/release/11/beta/ichi/1915321243</x:t>
  </x:si>
  <x:si>
    <x:t>IAA.LH.AF</x:t>
  </x:si>
  <x:si>
    <x:t>- - - - - Percutaneous transluminal dilatation with insertion of device into intracranial artery</x:t>
  </x:si>
  <x:si>
    <x:t>http://id.who.int/icd/entity/475101426</x:t>
  </x:si>
  <x:si>
    <x:t>http://id.who.int/icd/release/11/beta/ichi/475101426</x:t>
  </x:si>
  <x:si>
    <x:t>IAA.LI.AF</x:t>
  </x:si>
  <x:si>
    <x:t>- - - - - Percutaneous transluminal intracranial bypass</x:t>
  </x:si>
  <x:si>
    <x:t>http://id.who.int/icd/entity/1740425181</x:t>
  </x:si>
  <x:si>
    <x:t>http://id.who.int/icd/release/11/beta/ichi/1740425181</x:t>
  </x:si>
  <x:si>
    <x:t>IAA.ML.AA</x:t>
  </x:si>
  <x:si>
    <x:t>- - - - - Reconstruction of intracranial artery</x:t>
  </x:si>
  <x:si>
    <x:t>http://id.who.int/icd/entity/1901503948</x:t>
  </x:si>
  <x:si>
    <x:t>http://id.who.int/icd/release/11/beta/ichi/1901503948</x:t>
  </x:si>
  <x:si>
    <x:t>IAD.BA.BC</x:t>
  </x:si>
  <x:si>
    <x:t>- - - - - CT angiography of intracranial veins, not elsewhere classified</x:t>
  </x:si>
  <x:si>
    <x:t>http://id.who.int/icd/entity/1521207644</x:t>
  </x:si>
  <x:si>
    <x:t>http://id.who.int/icd/release/11/beta/ichi/1521207644</x:t>
  </x:si>
  <x:si>
    <x:t>IAD.BA.BD</x:t>
  </x:si>
  <x:si>
    <x:t>- - - - - CT angiography of intracranial veins with intravenous contrast medium</x:t>
  </x:si>
  <x:si>
    <x:t>http://id.who.int/icd/entity/1348296715</x:t>
  </x:si>
  <x:si>
    <x:t>http://id.who.int/icd/release/11/beta/ichi/1348296715</x:t>
  </x:si>
  <x:si>
    <x:t>IAD.BA.BH</x:t>
  </x:si>
  <x:si>
    <x:t>- - - - - Magnetic resonance venography of intracranial vein, not elsewhere classified</x:t>
  </x:si>
  <x:si>
    <x:t>http://id.who.int/icd/entity/2537916</x:t>
  </x:si>
  <x:si>
    <x:t>http://id.who.int/icd/release/11/beta/ichi/2537916</x:t>
  </x:si>
  <x:si>
    <x:t>IAD.BA.BI</x:t>
  </x:si>
  <x:si>
    <x:t>- - - - - Magnetic resonance venography of intracranial vein with intravenous contrast medium</x:t>
  </x:si>
  <x:si>
    <x:t>http://id.who.int/icd/entity/226054794</x:t>
  </x:si>
  <x:si>
    <x:t>http://id.who.int/icd/release/11/beta/ichi/226054794</x:t>
  </x:si>
  <x:si>
    <x:t>BlockL4-IBA</x:t>
  </x:si>
  <x:si>
    <x:t>- - - - Interventions on vessels of head and neck</x:t>
  </x:si>
  <x:si>
    <x:t>http://id.who.int/icd/entity/2113665287</x:t>
  </x:si>
  <x:si>
    <x:t>http://id.who.int/icd/release/11/beta/ichi/2113665287</x:t>
  </x:si>
  <x:si>
    <x:t>IBA.BA.AF</x:t>
  </x:si>
  <x:si>
    <x:t>- - - - - Intravascular imaging of extracranial cerebral vessels</x:t>
  </x:si>
  <x:si>
    <x:t>http://id.who.int/icd/entity/911124396</x:t>
  </x:si>
  <x:si>
    <x:t>http://id.who.int/icd/release/11/beta/ichi/911124396</x:t>
  </x:si>
  <x:si>
    <x:t>IBA.BA.BB</x:t>
  </x:si>
  <x:si>
    <x:t>- - - - - Arteriography of artery of head and neck</x:t>
  </x:si>
  <x:si>
    <x:t>http://id.who.int/icd/entity/1653139491</x:t>
  </x:si>
  <x:si>
    <x:t>http://id.who.int/icd/release/11/beta/ichi/1653139491</x:t>
  </x:si>
  <x:si>
    <x:t>IBA.BA.BC</x:t>
  </x:si>
  <x:si>
    <x:t>- - - - - CT angiography of artery of head and neck, not elsewhere classified</x:t>
  </x:si>
  <x:si>
    <x:t>http://id.who.int/icd/entity/1733902157</x:t>
  </x:si>
  <x:si>
    <x:t>http://id.who.int/icd/release/11/beta/ichi/1733902157</x:t>
  </x:si>
  <x:si>
    <x:t>IBA.BA.BD</x:t>
  </x:si>
  <x:si>
    <x:t>- - - - - CT angiography of artery of head and neck with intravenous contrast medium</x:t>
  </x:si>
  <x:si>
    <x:t>http://id.who.int/icd/entity/301690727</x:t>
  </x:si>
  <x:si>
    <x:t>http://id.who.int/icd/release/11/beta/ichi/301690727</x:t>
  </x:si>
  <x:si>
    <x:t>IBA.BA.BH</x:t>
  </x:si>
  <x:si>
    <x:t>- - - - - Magnetic resonance angiography of artery of head and neck, not elsewhere classified</x:t>
  </x:si>
  <x:si>
    <x:t>http://id.who.int/icd/entity/1312374342</x:t>
  </x:si>
  <x:si>
    <x:t>http://id.who.int/icd/release/11/beta/ichi/1312374342</x:t>
  </x:si>
  <x:si>
    <x:t>IBA.BA.BI</x:t>
  </x:si>
  <x:si>
    <x:t>- - - - - Magnetic resonance angiography of artery of head and neck with intravenous contrast medium</x:t>
  </x:si>
  <x:si>
    <x:t>http://id.who.int/icd/entity/1285837789</x:t>
  </x:si>
  <x:si>
    <x:t>http://id.who.int/icd/release/11/beta/ichi/1285837789</x:t>
  </x:si>
  <x:si>
    <x:t>IBA.BA.BJ</x:t>
  </x:si>
  <x:si>
    <x:t>- - - - - Ultrasound of artery of head and neck</x:t>
  </x:si>
  <x:si>
    <x:t>http://id.who.int/icd/entity/110671032</x:t>
  </x:si>
  <x:si>
    <x:t>http://id.who.int/icd/release/11/beta/ichi/110671032</x:t>
  </x:si>
  <x:si>
    <x:t>IBA.DB.AF</x:t>
  </x:si>
  <x:si>
    <x:t>- - - - - Thrombolysis of artery of head and neck</x:t>
  </x:si>
  <x:si>
    <x:t>http://id.who.int/icd/entity/1034895762</x:t>
  </x:si>
  <x:si>
    <x:t>http://id.who.int/icd/release/11/beta/ichi/1034895762</x:t>
  </x:si>
  <x:si>
    <x:t>IBA.FA.AA</x:t>
  </x:si>
  <x:si>
    <x:t>- - - - - Incision of artery of head and neck</x:t>
  </x:si>
  <x:si>
    <x:t>http://id.who.int/icd/entity/1651314867</x:t>
  </x:si>
  <x:si>
    <x:t>http://id.who.int/icd/release/11/beta/ichi/1651314867</x:t>
  </x:si>
  <x:si>
    <x:t>IBA.JE.AA</x:t>
  </x:si>
  <x:si>
    <x:t>- - - - - Endarterectomy of artery of head and neck, open approach</x:t>
  </x:si>
  <x:si>
    <x:t>http://id.who.int/icd/entity/840354052</x:t>
  </x:si>
  <x:si>
    <x:t>http://id.who.int/icd/release/11/beta/ichi/840354052</x:t>
  </x:si>
  <x:si>
    <x:t>IBA.JE.AF</x:t>
  </x:si>
  <x:si>
    <x:t>- - - - - Endovascular extraction of obstruction from artery of head and neck</x:t>
  </x:si>
  <x:si>
    <x:t>http://id.who.int/icd/entity/502367198</x:t>
  </x:si>
  <x:si>
    <x:t>http://id.who.int/icd/release/11/beta/ichi/502367198</x:t>
  </x:si>
  <x:si>
    <x:t>IBA.JJ.AA</x:t>
  </x:si>
  <x:si>
    <x:t>- - - - - Partial excision of artery of head and neck</x:t>
  </x:si>
  <x:si>
    <x:t>http://id.who.int/icd/entity/1110692607</x:t>
  </x:si>
  <x:si>
    <x:t>http://id.who.int/icd/release/11/beta/ichi/1110692607</x:t>
  </x:si>
  <x:si>
    <x:t>IBA.LA.AA</x:t>
  </x:si>
  <x:si>
    <x:t>- - - - - Occlusion of artery of head and neck</x:t>
  </x:si>
  <x:si>
    <x:t>http://id.who.int/icd/entity/620139439</x:t>
  </x:si>
  <x:si>
    <x:t>http://id.who.int/icd/release/11/beta/ichi/620139439</x:t>
  </x:si>
  <x:si>
    <x:t>IBA.LA.AF</x:t>
  </x:si>
  <x:si>
    <x:t>- - - - - Endovascular embolisation or occlusion of artery of head and neck</x:t>
  </x:si>
  <x:si>
    <x:t>http://id.who.int/icd/entity/1955416608</x:t>
  </x:si>
  <x:si>
    <x:t>http://id.who.int/icd/release/11/beta/ichi/1955416608</x:t>
  </x:si>
  <x:si>
    <x:t>IBA.LG.AF</x:t>
  </x:si>
  <x:si>
    <x:t>- - - - - Percutaneous transluminal dilatation of artery of head and neck</x:t>
  </x:si>
  <x:si>
    <x:t>http://id.who.int/icd/entity/508092233</x:t>
  </x:si>
  <x:si>
    <x:t>http://id.who.int/icd/release/11/beta/ichi/508092233</x:t>
  </x:si>
  <x:si>
    <x:t>IBA.LH.AF</x:t>
  </x:si>
  <x:si>
    <x:t>- - - - - Percutaneous transluminal dilatation with insertion of device into artery of head and neck</x:t>
  </x:si>
  <x:si>
    <x:t>http://id.who.int/icd/entity/1811831612</x:t>
  </x:si>
  <x:si>
    <x:t>http://id.who.int/icd/release/11/beta/ichi/1811831612</x:t>
  </x:si>
  <x:si>
    <x:t>IBA.LI.AA</x:t>
  </x:si>
  <x:si>
    <x:t>- - - - - Bypass of artery of head and neck</x:t>
  </x:si>
  <x:si>
    <x:t>http://id.who.int/icd/entity/1073952684</x:t>
  </x:si>
  <x:si>
    <x:t>http://id.who.int/icd/release/11/beta/ichi/1073952684</x:t>
  </x:si>
  <x:si>
    <x:t>IBA.ML.AA</x:t>
  </x:si>
  <x:si>
    <x:t>- - - - - Reconstruction of artery of head and neck</x:t>
  </x:si>
  <x:si>
    <x:t>http://id.who.int/icd/entity/1363154908</x:t>
  </x:si>
  <x:si>
    <x:t>http://id.who.int/icd/release/11/beta/ichi/1363154908</x:t>
  </x:si>
  <x:si>
    <x:t>IBB.AB.AF</x:t>
  </x:si>
  <x:si>
    <x:t>- - - - - Intravascular pressure measurement of carotid artery</x:t>
  </x:si>
  <x:si>
    <x:t>http://id.who.int/icd/entity/1891825206</x:t>
  </x:si>
  <x:si>
    <x:t>http://id.who.int/icd/release/11/beta/ichi/1891825206</x:t>
  </x:si>
  <x:si>
    <x:t>IBB.AC.AF</x:t>
  </x:si>
  <x:si>
    <x:t>- - - - - Carotid artery balloon test occlusion</x:t>
  </x:si>
  <x:si>
    <x:t>http://id.who.int/icd/entity/1418838194</x:t>
  </x:si>
  <x:si>
    <x:t>http://id.who.int/icd/release/11/beta/ichi/1418838194</x:t>
  </x:si>
  <x:si>
    <x:t>IBB.BA.BB</x:t>
  </x:si>
  <x:si>
    <x:t>- - - - - Angiography of carotid artery, extracranial</x:t>
  </x:si>
  <x:si>
    <x:t>http://id.who.int/icd/entity/82450691</x:t>
  </x:si>
  <x:si>
    <x:t>http://id.who.int/icd/release/11/beta/ichi/82450691</x:t>
  </x:si>
  <x:si>
    <x:t>IBB.BA.BC</x:t>
  </x:si>
  <x:si>
    <x:t>- - - - - CT angiography of carotid artery, extracranial</x:t>
  </x:si>
  <x:si>
    <x:t>http://id.who.int/icd/entity/1529366560</x:t>
  </x:si>
  <x:si>
    <x:t>http://id.who.int/icd/release/11/beta/ichi/1529366560</x:t>
  </x:si>
  <x:si>
    <x:t>IBB.BA.BD</x:t>
  </x:si>
  <x:si>
    <x:t>- - - - - CT angiography of carotid artery, extracranial, with intravenous contrast medium</x:t>
  </x:si>
  <x:si>
    <x:t>http://id.who.int/icd/entity/843273060</x:t>
  </x:si>
  <x:si>
    <x:t>http://id.who.int/icd/release/11/beta/ichi/843273060</x:t>
  </x:si>
  <x:si>
    <x:t>IBB.BA.BH</x:t>
  </x:si>
  <x:si>
    <x:t>- - - - - Magnetic resonance angiography of carotid artery, extracranial</x:t>
  </x:si>
  <x:si>
    <x:t>http://id.who.int/icd/entity/587232020</x:t>
  </x:si>
  <x:si>
    <x:t>http://id.who.int/icd/release/11/beta/ichi/587232020</x:t>
  </x:si>
  <x:si>
    <x:t>IBB.BA.BI</x:t>
  </x:si>
  <x:si>
    <x:t>- - - - - Magnetic resonance angiography of carotid artery, extracranial, with intravenous contrast medium</x:t>
  </x:si>
  <x:si>
    <x:t>http://id.who.int/icd/entity/507701237</x:t>
  </x:si>
  <x:si>
    <x:t>http://id.who.int/icd/release/11/beta/ichi/507701237</x:t>
  </x:si>
  <x:si>
    <x:t>IBB.BA.BJ</x:t>
  </x:si>
  <x:si>
    <x:t>- - - - - Ultrasound of carotid artery, extracranial</x:t>
  </x:si>
  <x:si>
    <x:t>http://id.who.int/icd/entity/1893016752</x:t>
  </x:si>
  <x:si>
    <x:t>http://id.who.int/icd/release/11/beta/ichi/1893016752</x:t>
  </x:si>
  <x:si>
    <x:t>IBB.DB.AF</x:t>
  </x:si>
  <x:si>
    <x:t>- - - - - Thrombolysis of carotid artery, extracranial</x:t>
  </x:si>
  <x:si>
    <x:t>http://id.who.int/icd/entity/722958176</x:t>
  </x:si>
  <x:si>
    <x:t>http://id.who.int/icd/release/11/beta/ichi/722958176</x:t>
  </x:si>
  <x:si>
    <x:t>IBB.DL.AA</x:t>
  </x:si>
  <x:si>
    <x:t>- - - - - Insertion of device into carotid artery</x:t>
  </x:si>
  <x:si>
    <x:t>http://id.who.int/icd/entity/1273155990</x:t>
  </x:si>
  <x:si>
    <x:t>http://id.who.int/icd/release/11/beta/ichi/1273155990</x:t>
  </x:si>
  <x:si>
    <x:t>IBB.FA.AA</x:t>
  </x:si>
  <x:si>
    <x:t>- - - - - Incision of carotid artery, extracranial</x:t>
  </x:si>
  <x:si>
    <x:t>http://id.who.int/icd/entity/1360559039</x:t>
  </x:si>
  <x:si>
    <x:t>http://id.who.int/icd/release/11/beta/ichi/1360559039</x:t>
  </x:si>
  <x:si>
    <x:t>IBB.JD.AA</x:t>
  </x:si>
  <x:si>
    <x:t>- - - - - Removal of internal device or foreign body from carotid artery</x:t>
  </x:si>
  <x:si>
    <x:t>http://id.who.int/icd/entity/337674421</x:t>
  </x:si>
  <x:si>
    <x:t>http://id.who.int/icd/release/11/beta/ichi/337674421</x:t>
  </x:si>
  <x:si>
    <x:t>IBB.JE.AA</x:t>
  </x:si>
  <x:si>
    <x:t>- - - - - Endarterectomy of carotid artery, extracranial</x:t>
  </x:si>
  <x:si>
    <x:t>http://id.who.int/icd/entity/1688349498</x:t>
  </x:si>
  <x:si>
    <x:t>http://id.who.int/icd/release/11/beta/ichi/1688349498</x:t>
  </x:si>
  <x:si>
    <x:t>IBB.JE.AF</x:t>
  </x:si>
  <x:si>
    <x:t>- - - - - Endovascular extraction of obstruction from carotid artery, extracranial</x:t>
  </x:si>
  <x:si>
    <x:t>http://id.who.int/icd/entity/247467551</x:t>
  </x:si>
  <x:si>
    <x:t>http://id.who.int/icd/release/11/beta/ichi/247467551</x:t>
  </x:si>
  <x:si>
    <x:t>IBB.JJ.AA</x:t>
  </x:si>
  <x:si>
    <x:t>- - - - - Partial excision of carotid artery, extracranial</x:t>
  </x:si>
  <x:si>
    <x:t>http://id.who.int/icd/entity/2070720239</x:t>
  </x:si>
  <x:si>
    <x:t>http://id.who.int/icd/release/11/beta/ichi/2070720239</x:t>
  </x:si>
  <x:si>
    <x:t>IBB.KA.AA</x:t>
  </x:si>
  <x:si>
    <x:t>- - - - - Replacement of carotid artery device</x:t>
  </x:si>
  <x:si>
    <x:t>http://id.who.int/icd/entity/1912286464</x:t>
  </x:si>
  <x:si>
    <x:t>http://id.who.int/icd/release/11/beta/ichi/1912286464</x:t>
  </x:si>
  <x:si>
    <x:t>IBB.LA.AA</x:t>
  </x:si>
  <x:si>
    <x:t>- - - - - Occlusion of carotid artery, extracranial</x:t>
  </x:si>
  <x:si>
    <x:t>http://id.who.int/icd/entity/1985205648</x:t>
  </x:si>
  <x:si>
    <x:t>http://id.who.int/icd/release/11/beta/ichi/1985205648</x:t>
  </x:si>
  <x:si>
    <x:t>IBB.LA.AF</x:t>
  </x:si>
  <x:si>
    <x:t>- - - - - Endovascular embolisation or occlusion of carotid artery, extracranial</x:t>
  </x:si>
  <x:si>
    <x:t>http://id.who.int/icd/entity/1120962053</x:t>
  </x:si>
  <x:si>
    <x:t>http://id.who.int/icd/release/11/beta/ichi/1120962053</x:t>
  </x:si>
  <x:si>
    <x:t>IBB.LG.AF</x:t>
  </x:si>
  <x:si>
    <x:t>- - - - - Percutaneous transluminal dilatation of carotid artery, extracranial</x:t>
  </x:si>
  <x:si>
    <x:t>http://id.who.int/icd/entity/1684967752</x:t>
  </x:si>
  <x:si>
    <x:t>http://id.who.int/icd/release/11/beta/ichi/1684967752</x:t>
  </x:si>
  <x:si>
    <x:t>IBB.LH.AF</x:t>
  </x:si>
  <x:si>
    <x:t>- - - - - Percutaneous transluminal dilatation with insertion of device into carotid artery, extracranial</x:t>
  </x:si>
  <x:si>
    <x:t>http://id.who.int/icd/entity/1590746528</x:t>
  </x:si>
  <x:si>
    <x:t>http://id.who.int/icd/release/11/beta/ichi/1590746528</x:t>
  </x:si>
  <x:si>
    <x:t>IBB.LI.AA</x:t>
  </x:si>
  <x:si>
    <x:t>- - - - - Bypass of carotid artery, extracranial</x:t>
  </x:si>
  <x:si>
    <x:t>http://id.who.int/icd/entity/1965928752</x:t>
  </x:si>
  <x:si>
    <x:t>http://id.who.int/icd/release/11/beta/ichi/1965928752</x:t>
  </x:si>
  <x:si>
    <x:t>IBB.LI.AF</x:t>
  </x:si>
  <x:si>
    <x:t>- - - - - Percutaneous transluminal bypass of carotid artery, extracranial</x:t>
  </x:si>
  <x:si>
    <x:t>http://id.who.int/icd/entity/1310344214</x:t>
  </x:si>
  <x:si>
    <x:t>http://id.who.int/icd/release/11/beta/ichi/1310344214</x:t>
  </x:si>
  <x:si>
    <x:t>IBB.MK.AA</x:t>
  </x:si>
  <x:si>
    <x:t>- - - - - Repair of carotid artery, extracranial</x:t>
  </x:si>
  <x:si>
    <x:t>http://id.who.int/icd/entity/299373877</x:t>
  </x:si>
  <x:si>
    <x:t>http://id.who.int/icd/release/11/beta/ichi/299373877</x:t>
  </x:si>
  <x:si>
    <x:t>IBB.ML.AA</x:t>
  </x:si>
  <x:si>
    <x:t>- - - - - Reconstruction of carotid artery, extracranial</x:t>
  </x:si>
  <x:si>
    <x:t>http://id.who.int/icd/entity/1101253764</x:t>
  </x:si>
  <x:si>
    <x:t>http://id.who.int/icd/release/11/beta/ichi/1101253764</x:t>
  </x:si>
  <x:si>
    <x:t>IBD.BA.BB</x:t>
  </x:si>
  <x:si>
    <x:t>- - - - - Angiography of veins of head and neck with contrast medium</x:t>
  </x:si>
  <x:si>
    <x:t>http://id.who.int/icd/entity/1811178374</x:t>
  </x:si>
  <x:si>
    <x:t>http://id.who.int/icd/release/11/beta/ichi/1811178374</x:t>
  </x:si>
  <x:si>
    <x:t>IBD.BA.BC</x:t>
  </x:si>
  <x:si>
    <x:t>- - - - - CT angiography of veins of head and neck, not elsewhere classified</x:t>
  </x:si>
  <x:si>
    <x:t>http://id.who.int/icd/entity/1074335510</x:t>
  </x:si>
  <x:si>
    <x:t>http://id.who.int/icd/release/11/beta/ichi/1074335510</x:t>
  </x:si>
  <x:si>
    <x:t>IBD.BA.BD</x:t>
  </x:si>
  <x:si>
    <x:t>- - - - - CT angiography of veins of head and neck with intravenous contrast medium</x:t>
  </x:si>
  <x:si>
    <x:t>http://id.who.int/icd/entity/1608837273</x:t>
  </x:si>
  <x:si>
    <x:t>http://id.who.int/icd/release/11/beta/ichi/1608837273</x:t>
  </x:si>
  <x:si>
    <x:t>IBD.BA.BH</x:t>
  </x:si>
  <x:si>
    <x:t>- - - - - Magnetic resonance venography of vein of head and neck, not elsewhere classified</x:t>
  </x:si>
  <x:si>
    <x:t>http://id.who.int/icd/entity/1947829257</x:t>
  </x:si>
  <x:si>
    <x:t>http://id.who.int/icd/release/11/beta/ichi/1947829257</x:t>
  </x:si>
  <x:si>
    <x:t>IBD.BA.BI</x:t>
  </x:si>
  <x:si>
    <x:t>- - - - - Magnetic resonance venography of vein of head and neck with intravenous contrast medium</x:t>
  </x:si>
  <x:si>
    <x:t>http://id.who.int/icd/entity/1148328938</x:t>
  </x:si>
  <x:si>
    <x:t>http://id.who.int/icd/release/11/beta/ichi/1148328938</x:t>
  </x:si>
  <x:si>
    <x:t>IBD.DL.AF</x:t>
  </x:si>
  <x:si>
    <x:t>- - - - - Percutaneous transluminal insertion of device into vein of head and neck</x:t>
  </x:si>
  <x:si>
    <x:t>http://id.who.int/icd/entity/1271632760</x:t>
  </x:si>
  <x:si>
    <x:t>http://id.who.int/icd/release/11/beta/ichi/1271632760</x:t>
  </x:si>
  <x:si>
    <x:t>IBD.FA.AA</x:t>
  </x:si>
  <x:si>
    <x:t>- - - - - Incision of vein of head and neck</x:t>
  </x:si>
  <x:si>
    <x:t>http://id.who.int/icd/entity/464538313</x:t>
  </x:si>
  <x:si>
    <x:t>http://id.who.int/icd/release/11/beta/ichi/464538313</x:t>
  </x:si>
  <x:si>
    <x:t>IBD.JD.AF</x:t>
  </x:si>
  <x:si>
    <x:t>- - - - - Removal of internal device or foreign body from vein of head and neck, extracranial</x:t>
  </x:si>
  <x:si>
    <x:t>http://id.who.int/icd/entity/1325382790</x:t>
  </x:si>
  <x:si>
    <x:t>http://id.who.int/icd/release/11/beta/ichi/1325382790</x:t>
  </x:si>
  <x:si>
    <x:t>IBD.JE.AA</x:t>
  </x:si>
  <x:si>
    <x:t>- - - - - Extraction of obstruction from head and neck vein</x:t>
  </x:si>
  <x:si>
    <x:t>http://id.who.int/icd/entity/1694683158</x:t>
  </x:si>
  <x:si>
    <x:t>http://id.who.int/icd/release/11/beta/ichi/1694683158</x:t>
  </x:si>
  <x:si>
    <x:t>IBD.JE.AF</x:t>
  </x:si>
  <x:si>
    <x:t>- - - - - Endovascular extraction of obstruction from head and neck vein</x:t>
  </x:si>
  <x:si>
    <x:t>http://id.who.int/icd/entity/834969497</x:t>
  </x:si>
  <x:si>
    <x:t>http://id.who.int/icd/release/11/beta/ichi/834969497</x:t>
  </x:si>
  <x:si>
    <x:t>IBD.LA.AA</x:t>
  </x:si>
  <x:si>
    <x:t>- - - - - Occlusion of vein of head and neck</x:t>
  </x:si>
  <x:si>
    <x:t>http://id.who.int/icd/entity/1922401410</x:t>
  </x:si>
  <x:si>
    <x:t>http://id.who.int/icd/release/11/beta/ichi/1922401410</x:t>
  </x:si>
  <x:si>
    <x:t>IBD.LA.AF</x:t>
  </x:si>
  <x:si>
    <x:t>- - - - - Endovascular embolisation or occlusion of vein of head and neck</x:t>
  </x:si>
  <x:si>
    <x:t>http://id.who.int/icd/entity/723783987</x:t>
  </x:si>
  <x:si>
    <x:t>http://id.who.int/icd/release/11/beta/ichi/723783987</x:t>
  </x:si>
  <x:si>
    <x:t>IBD.ML.AA</x:t>
  </x:si>
  <x:si>
    <x:t>- - - - - Reconstruction of vein of head and neck</x:t>
  </x:si>
  <x:si>
    <x:t>http://id.who.int/icd/entity/538972063</x:t>
  </x:si>
  <x:si>
    <x:t>http://id.who.int/icd/release/11/beta/ichi/538972063</x:t>
  </x:si>
  <x:si>
    <x:t>BlockL4-ICA</x:t>
  </x:si>
  <x:si>
    <x:t>- - - - Interventions on vessels of upper limb</x:t>
  </x:si>
  <x:si>
    <x:t>http://id.who.int/icd/entity/1828547885</x:t>
  </x:si>
  <x:si>
    <x:t>http://id.who.int/icd/release/11/beta/ichi/1828547885</x:t>
  </x:si>
  <x:si>
    <x:t>ICA.AE.AA</x:t>
  </x:si>
  <x:si>
    <x:t>- - - - - Exploration of artery of upper limb</x:t>
  </x:si>
  <x:si>
    <x:t>http://id.who.int/icd/entity/1015461022</x:t>
  </x:si>
  <x:si>
    <x:t>http://id.who.int/icd/release/11/beta/ichi/1015461022</x:t>
  </x:si>
  <x:si>
    <x:t>ICA.AE.AF</x:t>
  </x:si>
  <x:si>
    <x:t>- - - - - Angioscopy of artery of upper limb</x:t>
  </x:si>
  <x:si>
    <x:t>http://id.who.int/icd/entity/14253475</x:t>
  </x:si>
  <x:si>
    <x:t>http://id.who.int/icd/release/11/beta/ichi/14253475</x:t>
  </x:si>
  <x:si>
    <x:t>ICA.BA.BB</x:t>
  </x:si>
  <x:si>
    <x:t>- - - - - Angiography of artery of upper limb</x:t>
  </x:si>
  <x:si>
    <x:t>http://id.who.int/icd/entity/2013115000</x:t>
  </x:si>
  <x:si>
    <x:t>http://id.who.int/icd/release/11/beta/ichi/2013115000</x:t>
  </x:si>
  <x:si>
    <x:t>ICA.BA.BC</x:t>
  </x:si>
  <x:si>
    <x:t>- - - - - CT angiography of artery of upper limb, not elsewhere classified</x:t>
  </x:si>
  <x:si>
    <x:t>http://id.who.int/icd/entity/663120839</x:t>
  </x:si>
  <x:si>
    <x:t>http://id.who.int/icd/release/11/beta/ichi/663120839</x:t>
  </x:si>
  <x:si>
    <x:t>ICA.BA.BD</x:t>
  </x:si>
  <x:si>
    <x:t>- - - - - CT angiography of artery of upper limb with intravenous contrast medium</x:t>
  </x:si>
  <x:si>
    <x:t>http://id.who.int/icd/entity/1454831457</x:t>
  </x:si>
  <x:si>
    <x:t>http://id.who.int/icd/release/11/beta/ichi/1454831457</x:t>
  </x:si>
  <x:si>
    <x:t>ICA.BA.BH</x:t>
  </x:si>
  <x:si>
    <x:t>- - - - - Magnetic resonance angiography of artery of upper limb, not elsewhere classified</x:t>
  </x:si>
  <x:si>
    <x:t>http://id.who.int/icd/entity/114110160</x:t>
  </x:si>
  <x:si>
    <x:t>http://id.who.int/icd/release/11/beta/ichi/114110160</x:t>
  </x:si>
  <x:si>
    <x:t>ICA.BA.BI</x:t>
  </x:si>
  <x:si>
    <x:t>- - - - - Magnetic resonance angiography of artery of upper limb with intravenous contrast medium</x:t>
  </x:si>
  <x:si>
    <x:t>http://id.who.int/icd/entity/875967141</x:t>
  </x:si>
  <x:si>
    <x:t>http://id.who.int/icd/release/11/beta/ichi/875967141</x:t>
  </x:si>
  <x:si>
    <x:t>ICA.BA.BJ</x:t>
  </x:si>
  <x:si>
    <x:t>- - - - - Ultrasound of artery of upper limb</x:t>
  </x:si>
  <x:si>
    <x:t>http://id.who.int/icd/entity/2017737446</x:t>
  </x:si>
  <x:si>
    <x:t>http://id.who.int/icd/release/11/beta/ichi/2017737446</x:t>
  </x:si>
  <x:si>
    <x:t>ICA.DB.AF</x:t>
  </x:si>
  <x:si>
    <x:t>- - - - - Thrombolysis of artery of upper limb</x:t>
  </x:si>
  <x:si>
    <x:t>http://id.who.int/icd/entity/1404655222</x:t>
  </x:si>
  <x:si>
    <x:t>http://id.who.int/icd/release/11/beta/ichi/1404655222</x:t>
  </x:si>
  <x:si>
    <x:t>ICA.FA.AA</x:t>
  </x:si>
  <x:si>
    <x:t>- - - - - Incision of artery of upper limb</x:t>
  </x:si>
  <x:si>
    <x:t>http://id.who.int/icd/entity/1754178388</x:t>
  </x:si>
  <x:si>
    <x:t>http://id.who.int/icd/release/11/beta/ichi/1754178388</x:t>
  </x:si>
  <x:si>
    <x:t>ICA.JE.AA</x:t>
  </x:si>
  <x:si>
    <x:t>- - - - - Endarterectomy of artery of upper limb</x:t>
  </x:si>
  <x:si>
    <x:t>http://id.who.int/icd/entity/927789681</x:t>
  </x:si>
  <x:si>
    <x:t>http://id.who.int/icd/release/11/beta/ichi/927789681</x:t>
  </x:si>
  <x:si>
    <x:t>ICA.JJ.AA</x:t>
  </x:si>
  <x:si>
    <x:t>- - - - - Partial excision of artery of upper limb</x:t>
  </x:si>
  <x:si>
    <x:t>http://id.who.int/icd/entity/1731668930</x:t>
  </x:si>
  <x:si>
    <x:t>http://id.who.int/icd/release/11/beta/ichi/1731668930</x:t>
  </x:si>
  <x:si>
    <x:t>ICA.LA.AA</x:t>
  </x:si>
  <x:si>
    <x:t>- - - - - Occlusion of artery of upper limb</x:t>
  </x:si>
  <x:si>
    <x:t>http://id.who.int/icd/entity/634561187</x:t>
  </x:si>
  <x:si>
    <x:t>http://id.who.int/icd/release/11/beta/ichi/634561187</x:t>
  </x:si>
  <x:si>
    <x:t>ICA.LA.AF</x:t>
  </x:si>
  <x:si>
    <x:t>- - - - - Endovascular embolisation or occlusion of artery of upper limb</x:t>
  </x:si>
  <x:si>
    <x:t>http://id.who.int/icd/entity/686877636</x:t>
  </x:si>
  <x:si>
    <x:t>http://id.who.int/icd/release/11/beta/ichi/686877636</x:t>
  </x:si>
  <x:si>
    <x:t>ICA.LG.AF</x:t>
  </x:si>
  <x:si>
    <x:t>- - - - - Percutaneous transluminal dilatation of artery of upper limb</x:t>
  </x:si>
  <x:si>
    <x:t>http://id.who.int/icd/entity/1302726144</x:t>
  </x:si>
  <x:si>
    <x:t>http://id.who.int/icd/release/11/beta/ichi/1302726144</x:t>
  </x:si>
  <x:si>
    <x:t>ICA.LH.AF</x:t>
  </x:si>
  <x:si>
    <x:t>- - - - - Percutaneous transluminal dilatation with insertion of device into artery of upper limb</x:t>
  </x:si>
  <x:si>
    <x:t>http://id.who.int/icd/entity/601752937</x:t>
  </x:si>
  <x:si>
    <x:t>http://id.who.int/icd/release/11/beta/ichi/601752937</x:t>
  </x:si>
  <x:si>
    <x:t>ICA.LI.AA</x:t>
  </x:si>
  <x:si>
    <x:t>- - - - - Bypass of artery of upper limb</x:t>
  </x:si>
  <x:si>
    <x:t>http://id.who.int/icd/entity/2106977676</x:t>
  </x:si>
  <x:si>
    <x:t>http://id.who.int/icd/release/11/beta/ichi/2106977676</x:t>
  </x:si>
  <x:si>
    <x:t>ICA.LI.AF</x:t>
  </x:si>
  <x:si>
    <x:t>- - - - - Percutaneous transluminal bypass of artery of upper limb</x:t>
  </x:si>
  <x:si>
    <x:t>http://id.who.int/icd/entity/1915512090</x:t>
  </x:si>
  <x:si>
    <x:t>http://id.who.int/icd/release/11/beta/ichi/1915512090</x:t>
  </x:si>
  <x:si>
    <x:t>ICA.ML.AA</x:t>
  </x:si>
  <x:si>
    <x:t>- - - - - Reconstruction of artery of upper limb</x:t>
  </x:si>
  <x:si>
    <x:t>http://id.who.int/icd/entity/1758260146</x:t>
  </x:si>
  <x:si>
    <x:t>http://id.who.int/icd/release/11/beta/ichi/1758260146</x:t>
  </x:si>
  <x:si>
    <x:t>ICD.BA.BB</x:t>
  </x:si>
  <x:si>
    <x:t>- - - - - Angiography of upper limb veins with contrast medium</x:t>
  </x:si>
  <x:si>
    <x:t>http://id.who.int/icd/entity/33377455</x:t>
  </x:si>
  <x:si>
    <x:t>http://id.who.int/icd/release/11/beta/ichi/33377455</x:t>
  </x:si>
  <x:si>
    <x:t>ICD.BA.BC</x:t>
  </x:si>
  <x:si>
    <x:t>- - - - - CT angiography of vein of upper limb, not elsewhere classified</x:t>
  </x:si>
  <x:si>
    <x:t>http://id.who.int/icd/entity/1367774496</x:t>
  </x:si>
  <x:si>
    <x:t>http://id.who.int/icd/release/11/beta/ichi/1367774496</x:t>
  </x:si>
  <x:si>
    <x:t>ICD.BA.BD</x:t>
  </x:si>
  <x:si>
    <x:t>- - - - - CT angiography of vein of upper limb with intravenous contrast medium</x:t>
  </x:si>
  <x:si>
    <x:t>http://id.who.int/icd/entity/544766968</x:t>
  </x:si>
  <x:si>
    <x:t>http://id.who.int/icd/release/11/beta/ichi/544766968</x:t>
  </x:si>
  <x:si>
    <x:t>ICD.BA.BH</x:t>
  </x:si>
  <x:si>
    <x:t>- - - - - Magnetic resonance venography of vein of upper limb, not elsewhere classified</x:t>
  </x:si>
  <x:si>
    <x:t>http://id.who.int/icd/entity/2142907093</x:t>
  </x:si>
  <x:si>
    <x:t>http://id.who.int/icd/release/11/beta/ichi/2142907093</x:t>
  </x:si>
  <x:si>
    <x:t>ICD.BA.BI</x:t>
  </x:si>
  <x:si>
    <x:t>- - - - - Magnetic resonance venography of vein of upper limb with intravenous contrast medium</x:t>
  </x:si>
  <x:si>
    <x:t>http://id.who.int/icd/entity/881951445</x:t>
  </x:si>
  <x:si>
    <x:t>http://id.who.int/icd/release/11/beta/ichi/881951445</x:t>
  </x:si>
  <x:si>
    <x:t>ICD.BA.BJ</x:t>
  </x:si>
  <x:si>
    <x:t>- - - - - Ultrasound of vein of upper limb</x:t>
  </x:si>
  <x:si>
    <x:t>http://id.who.int/icd/entity/951529987</x:t>
  </x:si>
  <x:si>
    <x:t>http://id.who.int/icd/release/11/beta/ichi/951529987</x:t>
  </x:si>
  <x:si>
    <x:t>ICD.JE.AA</x:t>
  </x:si>
  <x:si>
    <x:t>- - - - - Extraction of obstruction from vein of upper limb</x:t>
  </x:si>
  <x:si>
    <x:t>http://id.who.int/icd/entity/1735746336</x:t>
  </x:si>
  <x:si>
    <x:t>http://id.who.int/icd/release/11/beta/ichi/1735746336</x:t>
  </x:si>
  <x:si>
    <x:t>ICD.LA.AA</x:t>
  </x:si>
  <x:si>
    <x:t>- - - - - Occlusion of vein of upper limb</x:t>
  </x:si>
  <x:si>
    <x:t>http://id.who.int/icd/entity/1053283297</x:t>
  </x:si>
  <x:si>
    <x:t>http://id.who.int/icd/release/11/beta/ichi/1053283297</x:t>
  </x:si>
  <x:si>
    <x:t>ICD.LD.AA</x:t>
  </x:si>
  <x:si>
    <x:t>- - - - - Repositioning of vein of upper limb</x:t>
  </x:si>
  <x:si>
    <x:t>http://id.who.int/icd/entity/1346951510</x:t>
  </x:si>
  <x:si>
    <x:t>http://id.who.int/icd/release/11/beta/ichi/1346951510</x:t>
  </x:si>
  <x:si>
    <x:t>ICD.LH.AF</x:t>
  </x:si>
  <x:si>
    <x:t>- - - - - Percutaneous transluminal dilatation with insertion of device into vein of upper limb</x:t>
  </x:si>
  <x:si>
    <x:t>http://id.who.int/icd/entity/1819377038</x:t>
  </x:si>
  <x:si>
    <x:t>http://id.who.int/icd/release/11/beta/ichi/1819377038</x:t>
  </x:si>
  <x:si>
    <x:t>BlockL4-IDA</x:t>
  </x:si>
  <x:si>
    <x:t>- - - - Interventions on vessels of thorax</x:t>
  </x:si>
  <x:si>
    <x:t>44</x:t>
  </x:si>
  <x:si>
    <x:t>http://id.who.int/icd/entity/1283985328</x:t>
  </x:si>
  <x:si>
    <x:t>http://id.who.int/icd/release/11/beta/ichi/1283985328</x:t>
  </x:si>
  <x:si>
    <x:t>IDA.AB.AF</x:t>
  </x:si>
  <x:si>
    <x:t>- - - - - Intravascular pressure measurement of intrathoracic arteries</x:t>
  </x:si>
  <x:si>
    <x:t>http://id.who.int/icd/entity/1755832766</x:t>
  </x:si>
  <x:si>
    <x:t>http://id.who.int/icd/release/11/beta/ichi/1755832766</x:t>
  </x:si>
  <x:si>
    <x:t>IDA.BA.AF</x:t>
  </x:si>
  <x:si>
    <x:t>- - - - - Intravascular imaging of intrathoracic vessels</x:t>
  </x:si>
  <x:si>
    <x:t>http://id.who.int/icd/entity/405097009</x:t>
  </x:si>
  <x:si>
    <x:t>http://id.who.int/icd/release/11/beta/ichi/405097009</x:t>
  </x:si>
  <x:si>
    <x:t>IDA.BA.BB</x:t>
  </x:si>
  <x:si>
    <x:t>- - - - - Angiography of artery of thorax</x:t>
  </x:si>
  <x:si>
    <x:t>http://id.who.int/icd/entity/1038620659</x:t>
  </x:si>
  <x:si>
    <x:t>http://id.who.int/icd/release/11/beta/ichi/1038620659</x:t>
  </x:si>
  <x:si>
    <x:t>IDA.BA.BC</x:t>
  </x:si>
  <x:si>
    <x:t>- - - - - CT angiography of artery of thorax, not elsewhere classified</x:t>
  </x:si>
  <x:si>
    <x:t>http://id.who.int/icd/entity/1646937810</x:t>
  </x:si>
  <x:si>
    <x:t>http://id.who.int/icd/release/11/beta/ichi/1646937810</x:t>
  </x:si>
  <x:si>
    <x:t>IDA.BA.BD</x:t>
  </x:si>
  <x:si>
    <x:t>- - - - - CT angiography of artery of thorax with intravenous contrast medium</x:t>
  </x:si>
  <x:si>
    <x:t>http://id.who.int/icd/entity/1494188019</x:t>
  </x:si>
  <x:si>
    <x:t>http://id.who.int/icd/release/11/beta/ichi/1494188019</x:t>
  </x:si>
  <x:si>
    <x:t>IDA.BA.BH</x:t>
  </x:si>
  <x:si>
    <x:t>- - - - - Magnetic resonance angiography of artery of thorax, not elsewhere classified</x:t>
  </x:si>
  <x:si>
    <x:t>http://id.who.int/icd/entity/1928467299</x:t>
  </x:si>
  <x:si>
    <x:t>http://id.who.int/icd/release/11/beta/ichi/1928467299</x:t>
  </x:si>
  <x:si>
    <x:t>IDA.BA.BI</x:t>
  </x:si>
  <x:si>
    <x:t>- - - - - Magnetic resonance angiography of artery of thorax with intravenous contrast medium</x:t>
  </x:si>
  <x:si>
    <x:t>http://id.who.int/icd/entity/1451341999</x:t>
  </x:si>
  <x:si>
    <x:t>http://id.who.int/icd/release/11/beta/ichi/1451341999</x:t>
  </x:si>
  <x:si>
    <x:t>IDA.BA.BJ</x:t>
  </x:si>
  <x:si>
    <x:t>- - - - - Ultrasound of artery of thorax</x:t>
  </x:si>
  <x:si>
    <x:t>http://id.who.int/icd/entity/844210017</x:t>
  </x:si>
  <x:si>
    <x:t>http://id.who.int/icd/release/11/beta/ichi/844210017</x:t>
  </x:si>
  <x:si>
    <x:t>IDA.DB.AF</x:t>
  </x:si>
  <x:si>
    <x:t>- - - - - Thrombolysis of artery of thorax</x:t>
  </x:si>
  <x:si>
    <x:t>http://id.who.int/icd/entity/931153935</x:t>
  </x:si>
  <x:si>
    <x:t>http://id.who.int/icd/release/11/beta/ichi/931153935</x:t>
  </x:si>
  <x:si>
    <x:t>IDA.FA.AA</x:t>
  </x:si>
  <x:si>
    <x:t>- - - - - Incision of artery of thorax</x:t>
  </x:si>
  <x:si>
    <x:t>http://id.who.int/icd/entity/477963423</x:t>
  </x:si>
  <x:si>
    <x:t>http://id.who.int/icd/release/11/beta/ichi/477963423</x:t>
  </x:si>
  <x:si>
    <x:t>IDA.JE.AA</x:t>
  </x:si>
  <x:si>
    <x:t>- - - - - Endarterectomy of artery of thorax</x:t>
  </x:si>
  <x:si>
    <x:t>http://id.who.int/icd/entity/222168297</x:t>
  </x:si>
  <x:si>
    <x:t>http://id.who.int/icd/release/11/beta/ichi/222168297</x:t>
  </x:si>
  <x:si>
    <x:t>IDA.JJ.AA</x:t>
  </x:si>
  <x:si>
    <x:t>- - - - - Partial excision of thoracic artery</x:t>
  </x:si>
  <x:si>
    <x:t>http://id.who.int/icd/entity/2022211740</x:t>
  </x:si>
  <x:si>
    <x:t>http://id.who.int/icd/release/11/beta/ichi/2022211740</x:t>
  </x:si>
  <x:si>
    <x:t>IDA.LA.AA</x:t>
  </x:si>
  <x:si>
    <x:t>- - - - - Occlusion of thoracic artery</x:t>
  </x:si>
  <x:si>
    <x:t>http://id.who.int/icd/entity/384861171</x:t>
  </x:si>
  <x:si>
    <x:t>http://id.who.int/icd/release/11/beta/ichi/384861171</x:t>
  </x:si>
  <x:si>
    <x:t>IDA.LA.AF</x:t>
  </x:si>
  <x:si>
    <x:t>- - - - - Endovascular embolisation or occlusion of thoracic artery</x:t>
  </x:si>
  <x:si>
    <x:t>http://id.who.int/icd/entity/129213317</x:t>
  </x:si>
  <x:si>
    <x:t>http://id.who.int/icd/release/11/beta/ichi/129213317</x:t>
  </x:si>
  <x:si>
    <x:t>IDA.LG.AF</x:t>
  </x:si>
  <x:si>
    <x:t>- - - - - Percutaneous transluminal dilatation of artery of thorax</x:t>
  </x:si>
  <x:si>
    <x:t>http://id.who.int/icd/entity/491990319</x:t>
  </x:si>
  <x:si>
    <x:t>http://id.who.int/icd/release/11/beta/ichi/491990319</x:t>
  </x:si>
  <x:si>
    <x:t>IDA.LH.AF</x:t>
  </x:si>
  <x:si>
    <x:t>- - - - - Percutaneous transluminal dilatation with insertion of device into artery of thorax</x:t>
  </x:si>
  <x:si>
    <x:t>http://id.who.int/icd/entity/1294529696</x:t>
  </x:si>
  <x:si>
    <x:t>http://id.who.int/icd/release/11/beta/ichi/1294529696</x:t>
  </x:si>
  <x:si>
    <x:t>IDA.LI.AA</x:t>
  </x:si>
  <x:si>
    <x:t>- - - - - Intrathoracic vascular shunt or bypass</x:t>
  </x:si>
  <x:si>
    <x:t>http://id.who.int/icd/entity/840161153</x:t>
  </x:si>
  <x:si>
    <x:t>http://id.who.int/icd/release/11/beta/ichi/840161153</x:t>
  </x:si>
  <x:si>
    <x:t>IDA.LI.AF</x:t>
  </x:si>
  <x:si>
    <x:t>- - - - - Percutaneous transluminal bypass of artery of thorax, not elsewhere classified</x:t>
  </x:si>
  <x:si>
    <x:t>http://id.who.int/icd/entity/435075857</x:t>
  </x:si>
  <x:si>
    <x:t>http://id.who.int/icd/release/11/beta/ichi/435075857</x:t>
  </x:si>
  <x:si>
    <x:t>IDA.MK.AA</x:t>
  </x:si>
  <x:si>
    <x:t>- - - - - Repair of artery of thorax, not elsewhere classified</x:t>
  </x:si>
  <x:si>
    <x:t>http://id.who.int/icd/entity/1992521466</x:t>
  </x:si>
  <x:si>
    <x:t>http://id.who.int/icd/release/11/beta/ichi/1992521466</x:t>
  </x:si>
  <x:si>
    <x:t>IDA.ML.AA</x:t>
  </x:si>
  <x:si>
    <x:t>- - - - - Reconstruction of artery of thorax, not elsewhere classified</x:t>
  </x:si>
  <x:si>
    <x:t>http://id.who.int/icd/entity/687941593</x:t>
  </x:si>
  <x:si>
    <x:t>http://id.who.int/icd/release/11/beta/ichi/687941593</x:t>
  </x:si>
  <x:si>
    <x:t>IDB.BA.BB</x:t>
  </x:si>
  <x:si>
    <x:t>- - - - - Angiography of vein of thorax with contrast medium</x:t>
  </x:si>
  <x:si>
    <x:t>http://id.who.int/icd/entity/1199121584</x:t>
  </x:si>
  <x:si>
    <x:t>http://id.who.int/icd/release/11/beta/ichi/1199121584</x:t>
  </x:si>
  <x:si>
    <x:t>IDB.BA.BC</x:t>
  </x:si>
  <x:si>
    <x:t>- - - - - CT angiography of vein of thorax, not elsewhere classified</x:t>
  </x:si>
  <x:si>
    <x:t>http://id.who.int/icd/entity/2085540246</x:t>
  </x:si>
  <x:si>
    <x:t>http://id.who.int/icd/release/11/beta/ichi/2085540246</x:t>
  </x:si>
  <x:si>
    <x:t>IDB.BA.BD</x:t>
  </x:si>
  <x:si>
    <x:t>- - - - - CT angiography of vein of thorax with intravenous contrast medium</x:t>
  </x:si>
  <x:si>
    <x:t>http://id.who.int/icd/entity/801239910</x:t>
  </x:si>
  <x:si>
    <x:t>http://id.who.int/icd/release/11/beta/ichi/801239910</x:t>
  </x:si>
  <x:si>
    <x:t>IDB.BA.BH</x:t>
  </x:si>
  <x:si>
    <x:t>- - - - - Magnetic resonance venography of vein of thorax, not elsewhere classified</x:t>
  </x:si>
  <x:si>
    <x:t>http://id.who.int/icd/entity/56841199</x:t>
  </x:si>
  <x:si>
    <x:t>http://id.who.int/icd/release/11/beta/ichi/56841199</x:t>
  </x:si>
  <x:si>
    <x:t>IDB.BA.BI</x:t>
  </x:si>
  <x:si>
    <x:t>- - - - - Magnetic resonance venography of vein of thorax with intravenous contrast medium</x:t>
  </x:si>
  <x:si>
    <x:t>http://id.who.int/icd/entity/590822622</x:t>
  </x:si>
  <x:si>
    <x:t>http://id.who.int/icd/release/11/beta/ichi/590822622</x:t>
  </x:si>
  <x:si>
    <x:t>IDB.BA.BJ</x:t>
  </x:si>
  <x:si>
    <x:t>- - - - - Ultrasound of vein of thorax</x:t>
  </x:si>
  <x:si>
    <x:t>http://id.who.int/icd/entity/1293291986</x:t>
  </x:si>
  <x:si>
    <x:t>http://id.who.int/icd/release/11/beta/ichi/1293291986</x:t>
  </x:si>
  <x:si>
    <x:t>IDB.DL.AF</x:t>
  </x:si>
  <x:si>
    <x:t>- - - - - Percutaneous transluminal insertion of device into vein of thorax</x:t>
  </x:si>
  <x:si>
    <x:t>http://id.who.int/icd/entity/596410549</x:t>
  </x:si>
  <x:si>
    <x:t>http://id.who.int/icd/release/11/beta/ichi/596410549</x:t>
  </x:si>
  <x:si>
    <x:t>IDB.FA.AA</x:t>
  </x:si>
  <x:si>
    <x:t>- - - - - Incision of vein of thorax</x:t>
  </x:si>
  <x:si>
    <x:t>http://id.who.int/icd/entity/380459414</x:t>
  </x:si>
  <x:si>
    <x:t>http://id.who.int/icd/release/11/beta/ichi/380459414</x:t>
  </x:si>
  <x:si>
    <x:t>IDB.GA.AD</x:t>
  </x:si>
  <x:si>
    <x:t>- - - - - Endoscopic sclerotherapy of oesophageal varices</x:t>
  </x:si>
  <x:si>
    <x:t>http://id.who.int/icd/entity/1230049852</x:t>
  </x:si>
  <x:si>
    <x:t>http://id.who.int/icd/release/11/beta/ichi/1230049852</x:t>
  </x:si>
  <x:si>
    <x:t>IDB.GA.AF</x:t>
  </x:si>
  <x:si>
    <x:t>- - - - - Percutaneous transluminal destruction of vein of thorax</x:t>
  </x:si>
  <x:si>
    <x:t>http://id.who.int/icd/entity/1945590020</x:t>
  </x:si>
  <x:si>
    <x:t>http://id.who.int/icd/release/11/beta/ichi/1945590020</x:t>
  </x:si>
  <x:si>
    <x:t>IDB.JE.AA</x:t>
  </x:si>
  <x:si>
    <x:t>- - - - - Extraction of obstruction from vein of thorax</x:t>
  </x:si>
  <x:si>
    <x:t>http://id.who.int/icd/entity/1982238314</x:t>
  </x:si>
  <x:si>
    <x:t>http://id.who.int/icd/release/11/beta/ichi/1982238314</x:t>
  </x:si>
  <x:si>
    <x:t>IDB.JJ.AA</x:t>
  </x:si>
  <x:si>
    <x:t>- - - - - Partial excision of vein of thorax</x:t>
  </x:si>
  <x:si>
    <x:t>http://id.who.int/icd/entity/1574691578</x:t>
  </x:si>
  <x:si>
    <x:t>http://id.who.int/icd/release/11/beta/ichi/1574691578</x:t>
  </x:si>
  <x:si>
    <x:t>IDB.LA.AA</x:t>
  </x:si>
  <x:si>
    <x:t>- - - - - Occlusion of vein of thorax</x:t>
  </x:si>
  <x:si>
    <x:t>http://id.who.int/icd/entity/1285079694</x:t>
  </x:si>
  <x:si>
    <x:t>http://id.who.int/icd/release/11/beta/ichi/1285079694</x:t>
  </x:si>
  <x:si>
    <x:t>IDB.LA.AF</x:t>
  </x:si>
  <x:si>
    <x:t>- - - - - Endovascular embolisation or occlusion of vein of thorax</x:t>
  </x:si>
  <x:si>
    <x:t>http://id.who.int/icd/entity/959334143</x:t>
  </x:si>
  <x:si>
    <x:t>http://id.who.int/icd/release/11/beta/ichi/959334143</x:t>
  </x:si>
  <x:si>
    <x:t>IDB.LG.AF</x:t>
  </x:si>
  <x:si>
    <x:t>- - - - - Percutaneous transluminal dilatation of vein of thorax</x:t>
  </x:si>
  <x:si>
    <x:t>http://id.who.int/icd/entity/1767219022</x:t>
  </x:si>
  <x:si>
    <x:t>http://id.who.int/icd/release/11/beta/ichi/1767219022</x:t>
  </x:si>
  <x:si>
    <x:t>IDB.LH.AF</x:t>
  </x:si>
  <x:si>
    <x:t>- - - - - Percutaneous transluminal dilatation with insertion of device into vein of thorax</x:t>
  </x:si>
  <x:si>
    <x:t>http://id.who.int/icd/entity/915918445</x:t>
  </x:si>
  <x:si>
    <x:t>http://id.who.int/icd/release/11/beta/ichi/915918445</x:t>
  </x:si>
  <x:si>
    <x:t>IDB.LI.AA</x:t>
  </x:si>
  <x:si>
    <x:t>- - - - - Thoracic anomalous systemic venous connection repair</x:t>
  </x:si>
  <x:si>
    <x:t>http://id.who.int/icd/entity/1225481474</x:t>
  </x:si>
  <x:si>
    <x:t>http://id.who.int/icd/release/11/beta/ichi/1225481474</x:t>
  </x:si>
  <x:si>
    <x:t>IDB.MK.AA</x:t>
  </x:si>
  <x:si>
    <x:t>- - - - - Repair of vein of thorax, not elsewhere classified</x:t>
  </x:si>
  <x:si>
    <x:t>http://id.who.int/icd/entity/382274593</x:t>
  </x:si>
  <x:si>
    <x:t>http://id.who.int/icd/release/11/beta/ichi/382274593</x:t>
  </x:si>
  <x:si>
    <x:t>IDB.ML.AA</x:t>
  </x:si>
  <x:si>
    <x:t>- - - - - Reconstruction of vein of thorax</x:t>
  </x:si>
  <x:si>
    <x:t>http://id.who.int/icd/entity/1186125200</x:t>
  </x:si>
  <x:si>
    <x:t>http://id.who.int/icd/release/11/beta/ichi/1186125200</x:t>
  </x:si>
  <x:si>
    <x:t>IDM.LA.AA</x:t>
  </x:si>
  <x:si>
    <x:t>- - - - - Systemic to pulmonary collateral artery occlusion</x:t>
  </x:si>
  <x:si>
    <x:t>http://id.who.int/icd/entity/598065755</x:t>
  </x:si>
  <x:si>
    <x:t>http://id.who.int/icd/release/11/beta/ichi/598065755</x:t>
  </x:si>
  <x:si>
    <x:t>IDM.LA.AF</x:t>
  </x:si>
  <x:si>
    <x:t>- - - - - Percutaneous transluminal systemic to pulmonary artery occlusion</x:t>
  </x:si>
  <x:si>
    <x:t>http://id.who.int/icd/entity/2087162744</x:t>
  </x:si>
  <x:si>
    <x:t>http://id.who.int/icd/release/11/beta/ichi/2087162744</x:t>
  </x:si>
  <x:si>
    <x:t>IDM.LG.AF</x:t>
  </x:si>
  <x:si>
    <x:t>- - - - - Percutaneous transluminal balloon dilatation of systemic to pulmonary collateral artery</x:t>
  </x:si>
  <x:si>
    <x:t>http://id.who.int/icd/entity/853991981</x:t>
  </x:si>
  <x:si>
    <x:t>http://id.who.int/icd/release/11/beta/ichi/853991981</x:t>
  </x:si>
  <x:si>
    <x:t>IDM.LH.AF</x:t>
  </x:si>
  <x:si>
    <x:t>- - - - - Percutaneous transluminal dilatation and stent placement in systemic to pulmonary collateral artery</x:t>
  </x:si>
  <x:si>
    <x:t>http://id.who.int/icd/entity/1823279822</x:t>
  </x:si>
  <x:si>
    <x:t>http://id.who.int/icd/release/11/beta/ichi/1823279822</x:t>
  </x:si>
  <x:si>
    <x:t>IDM.MK.AA</x:t>
  </x:si>
  <x:si>
    <x:t>- - - - - Unifocalisation procedure</x:t>
  </x:si>
  <x:si>
    <x:t>http://id.who.int/icd/entity/1662288476</x:t>
  </x:si>
  <x:si>
    <x:t>http://id.who.int/icd/release/11/beta/ichi/1662288476</x:t>
  </x:si>
  <x:si>
    <x:t>BlockL4-IEA</x:t>
  </x:si>
  <x:si>
    <x:t>- - - - Interventions on abdominal vessels</x:t>
  </x:si>
  <x:si>
    <x:t>49</x:t>
  </x:si>
  <x:si>
    <x:t>http://id.who.int/icd/entity/111101964</x:t>
  </x:si>
  <x:si>
    <x:t>http://id.who.int/icd/release/11/beta/ichi/111101964</x:t>
  </x:si>
  <x:si>
    <x:t>IEA.AE.AA</x:t>
  </x:si>
  <x:si>
    <x:t>- - - - - Exploration of abdominal or pelvic artery</x:t>
  </x:si>
  <x:si>
    <x:t>http://id.who.int/icd/entity/761406620</x:t>
  </x:si>
  <x:si>
    <x:t>http://id.who.int/icd/release/11/beta/ichi/761406620</x:t>
  </x:si>
  <x:si>
    <x:t>IEA.AE.AF</x:t>
  </x:si>
  <x:si>
    <x:t>- - - - - Angioscopy of abdominal or pelvic artery</x:t>
  </x:si>
  <x:si>
    <x:t>http://id.who.int/icd/entity/328608209</x:t>
  </x:si>
  <x:si>
    <x:t>http://id.who.int/icd/release/11/beta/ichi/328608209</x:t>
  </x:si>
  <x:si>
    <x:t>IEA.BA.BB</x:t>
  </x:si>
  <x:si>
    <x:t>- - - - - Angiography of abdominal or pelvic artery</x:t>
  </x:si>
  <x:si>
    <x:t>http://id.who.int/icd/entity/373817023</x:t>
  </x:si>
  <x:si>
    <x:t>http://id.who.int/icd/release/11/beta/ichi/373817023</x:t>
  </x:si>
  <x:si>
    <x:t>IEA.BA.BC</x:t>
  </x:si>
  <x:si>
    <x:t>- - - - - CT angiography of abdominal or pelvic artery, not elsewhere classified</x:t>
  </x:si>
  <x:si>
    <x:t>http://id.who.int/icd/entity/1233498014</x:t>
  </x:si>
  <x:si>
    <x:t>http://id.who.int/icd/release/11/beta/ichi/1233498014</x:t>
  </x:si>
  <x:si>
    <x:t>IEA.BA.BD</x:t>
  </x:si>
  <x:si>
    <x:t>- - - - - CT angiography of abdominal or pelvic artery with intravenous contrast medium</x:t>
  </x:si>
  <x:si>
    <x:t>http://id.who.int/icd/entity/966964570</x:t>
  </x:si>
  <x:si>
    <x:t>http://id.who.int/icd/release/11/beta/ichi/966964570</x:t>
  </x:si>
  <x:si>
    <x:t>IEA.BA.BH</x:t>
  </x:si>
  <x:si>
    <x:t>- - - - - Magnetic resonance angiography of abdominal or pelvic artery, not elsewhere classified</x:t>
  </x:si>
  <x:si>
    <x:t>http://id.who.int/icd/entity/1717625979</x:t>
  </x:si>
  <x:si>
    <x:t>http://id.who.int/icd/release/11/beta/ichi/1717625979</x:t>
  </x:si>
  <x:si>
    <x:t>IEA.BA.BI</x:t>
  </x:si>
  <x:si>
    <x:t>- - - - - Magnetic resonance angiography of abdominal or pelvic artery with intravenous contrast medium</x:t>
  </x:si>
  <x:si>
    <x:t>http://id.who.int/icd/entity/1652081422</x:t>
  </x:si>
  <x:si>
    <x:t>http://id.who.int/icd/release/11/beta/ichi/1652081422</x:t>
  </x:si>
  <x:si>
    <x:t>IEA.BA.BJ</x:t>
  </x:si>
  <x:si>
    <x:t>- - - - - Ultrasound of abdominal or pelvic artery</x:t>
  </x:si>
  <x:si>
    <x:t>http://id.who.int/icd/entity/483023315</x:t>
  </x:si>
  <x:si>
    <x:t>http://id.who.int/icd/release/11/beta/ichi/483023315</x:t>
  </x:si>
  <x:si>
    <x:t>IEA.DB.AF</x:t>
  </x:si>
  <x:si>
    <x:t>- - - - - Thrombolysis of abdominal or pelvic artery</x:t>
  </x:si>
  <x:si>
    <x:t>http://id.who.int/icd/entity/1124600050</x:t>
  </x:si>
  <x:si>
    <x:t>http://id.who.int/icd/release/11/beta/ichi/1124600050</x:t>
  </x:si>
  <x:si>
    <x:t>IEA.FA.AA</x:t>
  </x:si>
  <x:si>
    <x:t>- - - - - Incision of abdominal or pelvic artery</x:t>
  </x:si>
  <x:si>
    <x:t>http://id.who.int/icd/entity/1760912482</x:t>
  </x:si>
  <x:si>
    <x:t>http://id.who.int/icd/release/11/beta/ichi/1760912482</x:t>
  </x:si>
  <x:si>
    <x:t>IEA.JE.AA</x:t>
  </x:si>
  <x:si>
    <x:t>- - - - - Endarterectomy of abdominal or pelvic artery</x:t>
  </x:si>
  <x:si>
    <x:t>http://id.who.int/icd/entity/1568159329</x:t>
  </x:si>
  <x:si>
    <x:t>http://id.who.int/icd/release/11/beta/ichi/1568159329</x:t>
  </x:si>
  <x:si>
    <x:t>IEA.JE.AF</x:t>
  </x:si>
  <x:si>
    <x:t>- - - - - Endovascular extraction of obstruction of abdominal or pelvic artery</x:t>
  </x:si>
  <x:si>
    <x:t>http://id.who.int/icd/entity/1016372127</x:t>
  </x:si>
  <x:si>
    <x:t>http://id.who.int/icd/release/11/beta/ichi/1016372127</x:t>
  </x:si>
  <x:si>
    <x:t>IEA.JJ.AA</x:t>
  </x:si>
  <x:si>
    <x:t>- - - - - Partial excision of abdominal or pelvic artery</x:t>
  </x:si>
  <x:si>
    <x:t>http://id.who.int/icd/entity/1666632382</x:t>
  </x:si>
  <x:si>
    <x:t>http://id.who.int/icd/release/11/beta/ichi/1666632382</x:t>
  </x:si>
  <x:si>
    <x:t>IEA.LA.AA</x:t>
  </x:si>
  <x:si>
    <x:t>- - - - - Occlusion of abdominal or pelvic artery</x:t>
  </x:si>
  <x:si>
    <x:t>http://id.who.int/icd/entity/858592013</x:t>
  </x:si>
  <x:si>
    <x:t>http://id.who.int/icd/release/11/beta/ichi/858592013</x:t>
  </x:si>
  <x:si>
    <x:t>IEA.LA.AF</x:t>
  </x:si>
  <x:si>
    <x:t>- - - - - Endovascular embolisation or occlusion of abdominal or pelvic artery</x:t>
  </x:si>
  <x:si>
    <x:t>http://id.who.int/icd/entity/529511304</x:t>
  </x:si>
  <x:si>
    <x:t>http://id.who.int/icd/release/11/beta/ichi/529511304</x:t>
  </x:si>
  <x:si>
    <x:t>IEA.LB.AA</x:t>
  </x:si>
  <x:si>
    <x:t>- - - - - Reimplantation of aberrant renal vessel</x:t>
  </x:si>
  <x:si>
    <x:t>http://id.who.int/icd/entity/879943448</x:t>
  </x:si>
  <x:si>
    <x:t>http://id.who.int/icd/release/11/beta/ichi/879943448</x:t>
  </x:si>
  <x:si>
    <x:t>IEA.LG.AF</x:t>
  </x:si>
  <x:si>
    <x:t>- - - - - Percutaneous transluminal dilatation of abdominal or pelvic artery</x:t>
  </x:si>
  <x:si>
    <x:t>http://id.who.int/icd/entity/624033632</x:t>
  </x:si>
  <x:si>
    <x:t>http://id.who.int/icd/release/11/beta/ichi/624033632</x:t>
  </x:si>
  <x:si>
    <x:t>IEA.LH.AF</x:t>
  </x:si>
  <x:si>
    <x:t>- - - - - Percutaneous transluminal dilatation with insertion of device into abdominal or pelvic artery</x:t>
  </x:si>
  <x:si>
    <x:t>http://id.who.int/icd/entity/1351056147</x:t>
  </x:si>
  <x:si>
    <x:t>http://id.who.int/icd/release/11/beta/ichi/1351056147</x:t>
  </x:si>
  <x:si>
    <x:t>IEA.LI.AA</x:t>
  </x:si>
  <x:si>
    <x:t>- - - - - Intra-abdominal vascular shunt or bypass</x:t>
  </x:si>
  <x:si>
    <x:t>http://id.who.int/icd/entity/977464900</x:t>
  </x:si>
  <x:si>
    <x:t>http://id.who.int/icd/release/11/beta/ichi/977464900</x:t>
  </x:si>
  <x:si>
    <x:t>IEA.LI.AF</x:t>
  </x:si>
  <x:si>
    <x:t>- - - - - Percutaneous transluminal bypass of abdominal or pelvic artery</x:t>
  </x:si>
  <x:si>
    <x:t>http://id.who.int/icd/entity/1782134773</x:t>
  </x:si>
  <x:si>
    <x:t>http://id.who.int/icd/release/11/beta/ichi/1782134773</x:t>
  </x:si>
  <x:si>
    <x:t>IEA.ML.AA</x:t>
  </x:si>
  <x:si>
    <x:t>- - - - - Reconstruction of abdominal or pelvic artery</x:t>
  </x:si>
  <x:si>
    <x:t>http://id.who.int/icd/entity/1877532827</x:t>
  </x:si>
  <x:si>
    <x:t>http://id.who.int/icd/release/11/beta/ichi/1877532827</x:t>
  </x:si>
  <x:si>
    <x:t>IED.BA.AF</x:t>
  </x:si>
  <x:si>
    <x:t>- - - - - Intravascular imaging of renal vessels</x:t>
  </x:si>
  <x:si>
    <x:t>http://id.who.int/icd/entity/1142262795</x:t>
  </x:si>
  <x:si>
    <x:t>http://id.who.int/icd/release/11/beta/ichi/1142262795</x:t>
  </x:si>
  <x:si>
    <x:t>IED.BA.BB</x:t>
  </x:si>
  <x:si>
    <x:t>- - - - - Angiography of abdominal or pelvic vein with contrast medium</x:t>
  </x:si>
  <x:si>
    <x:t>http://id.who.int/icd/entity/1431743613</x:t>
  </x:si>
  <x:si>
    <x:t>http://id.who.int/icd/release/11/beta/ichi/1431743613</x:t>
  </x:si>
  <x:si>
    <x:t>IED.BA.BC</x:t>
  </x:si>
  <x:si>
    <x:t>- - - - - CT angiography of abdominal or pelvic vein, not elsewhere classified</x:t>
  </x:si>
  <x:si>
    <x:t>http://id.who.int/icd/entity/551561230</x:t>
  </x:si>
  <x:si>
    <x:t>http://id.who.int/icd/release/11/beta/ichi/551561230</x:t>
  </x:si>
  <x:si>
    <x:t>IED.BA.BD</x:t>
  </x:si>
  <x:si>
    <x:t>- - - - - CT angiography of abdominal or pelvic vein with intravenous contrast medium</x:t>
  </x:si>
  <x:si>
    <x:t>http://id.who.int/icd/entity/681459583</x:t>
  </x:si>
  <x:si>
    <x:t>http://id.who.int/icd/release/11/beta/ichi/681459583</x:t>
  </x:si>
  <x:si>
    <x:t>IED.BA.BH</x:t>
  </x:si>
  <x:si>
    <x:t>- - - - - Magnetic resonance venography of abdominal or pelvic vein, not elsewhere classified</x:t>
  </x:si>
  <x:si>
    <x:t>http://id.who.int/icd/entity/970792713</x:t>
  </x:si>
  <x:si>
    <x:t>http://id.who.int/icd/release/11/beta/ichi/970792713</x:t>
  </x:si>
  <x:si>
    <x:t>IED.BA.BI</x:t>
  </x:si>
  <x:si>
    <x:t>- - - - - Magnetic resonance venography of abdominal or pelvic vein with intravenous contrast medium</x:t>
  </x:si>
  <x:si>
    <x:t>http://id.who.int/icd/entity/680825346</x:t>
  </x:si>
  <x:si>
    <x:t>http://id.who.int/icd/release/11/beta/ichi/680825346</x:t>
  </x:si>
  <x:si>
    <x:t>IED.BA.BJ</x:t>
  </x:si>
  <x:si>
    <x:t>- - - - - Ultrasound of abdominal or pelvic vein</x:t>
  </x:si>
  <x:si>
    <x:t>http://id.who.int/icd/entity/1889268159</x:t>
  </x:si>
  <x:si>
    <x:t>http://id.who.int/icd/release/11/beta/ichi/1889268159</x:t>
  </x:si>
  <x:si>
    <x:t>IED.DL.AF</x:t>
  </x:si>
  <x:si>
    <x:t>- - - - - Percutaneous transluminal insertion of catheter into umbilical vein</x:t>
  </x:si>
  <x:si>
    <x:t>http://id.who.int/icd/entity/794402972</x:t>
  </x:si>
  <x:si>
    <x:t>http://id.who.int/icd/release/11/beta/ichi/794402972</x:t>
  </x:si>
  <x:si>
    <x:t>IED.FA.AA</x:t>
  </x:si>
  <x:si>
    <x:t>- - - - - Incision of abdominal or pelvic vein</x:t>
  </x:si>
  <x:si>
    <x:t>http://id.who.int/icd/entity/77909004</x:t>
  </x:si>
  <x:si>
    <x:t>http://id.who.int/icd/release/11/beta/ichi/77909004</x:t>
  </x:si>
  <x:si>
    <x:t>IED.JJ.AA</x:t>
  </x:si>
  <x:si>
    <x:t>- - - - - Partial excision of abdominal or pelvic vein</x:t>
  </x:si>
  <x:si>
    <x:t>http://id.who.int/icd/entity/1355101171</x:t>
  </x:si>
  <x:si>
    <x:t>http://id.who.int/icd/release/11/beta/ichi/1355101171</x:t>
  </x:si>
  <x:si>
    <x:t>IED.LA.AA</x:t>
  </x:si>
  <x:si>
    <x:t>- - - - - Occlusion of abdominal or pelvic vein</x:t>
  </x:si>
  <x:si>
    <x:t>http://id.who.int/icd/entity/1476700484</x:t>
  </x:si>
  <x:si>
    <x:t>http://id.who.int/icd/release/11/beta/ichi/1476700484</x:t>
  </x:si>
  <x:si>
    <x:t>IED.LA.AF</x:t>
  </x:si>
  <x:si>
    <x:t>- - - - - Endovascular embolisation or occlusion of abdominal or pelvic vein</x:t>
  </x:si>
  <x:si>
    <x:t>http://id.who.int/icd/entity/452580504</x:t>
  </x:si>
  <x:si>
    <x:t>http://id.who.int/icd/release/11/beta/ichi/452580504</x:t>
  </x:si>
  <x:si>
    <x:t>IED.LI.AA</x:t>
  </x:si>
  <x:si>
    <x:t>- - - - - Intra-abdominal venous shunt</x:t>
  </x:si>
  <x:si>
    <x:t>http://id.who.int/icd/entity/1595388271</x:t>
  </x:si>
  <x:si>
    <x:t>http://id.who.int/icd/release/11/beta/ichi/1595388271</x:t>
  </x:si>
  <x:si>
    <x:t>IED.ML.AA</x:t>
  </x:si>
  <x:si>
    <x:t>- - - - - Reconstruction of abdominal or pelvic vein</x:t>
  </x:si>
  <x:si>
    <x:t>http://id.who.int/icd/entity/14016590</x:t>
  </x:si>
  <x:si>
    <x:t>http://id.who.int/icd/release/11/beta/ichi/14016590</x:t>
  </x:si>
  <x:si>
    <x:t>IEF.BA.BB</x:t>
  </x:si>
  <x:si>
    <x:t>- - - - - Angiography of the portal vein and branches with contrast medium</x:t>
  </x:si>
  <x:si>
    <x:t>http://id.who.int/icd/entity/1282120572</x:t>
  </x:si>
  <x:si>
    <x:t>http://id.who.int/icd/release/11/beta/ichi/1282120572</x:t>
  </x:si>
  <x:si>
    <x:t>IEF.BA.BH</x:t>
  </x:si>
  <x:si>
    <x:t>- - - - - Magnetic resonance venography of portal vein and branches, not elsewhere classified</x:t>
  </x:si>
  <x:si>
    <x:t>http://id.who.int/icd/entity/470827723</x:t>
  </x:si>
  <x:si>
    <x:t>http://id.who.int/icd/release/11/beta/ichi/470827723</x:t>
  </x:si>
  <x:si>
    <x:t>IEF.BA.BI</x:t>
  </x:si>
  <x:si>
    <x:t>- - - - - Magnetic resonance venography of portal vein and branches with intravenous contrast medium</x:t>
  </x:si>
  <x:si>
    <x:t>http://id.who.int/icd/entity/622378382</x:t>
  </x:si>
  <x:si>
    <x:t>http://id.who.int/icd/release/11/beta/ichi/622378382</x:t>
  </x:si>
  <x:si>
    <x:t>IEF.DB.AF</x:t>
  </x:si>
  <x:si>
    <x:t>- - - - - Thrombolysis of portal vein and branches</x:t>
  </x:si>
  <x:si>
    <x:t>http://id.who.int/icd/entity/1969447999</x:t>
  </x:si>
  <x:si>
    <x:t>http://id.who.int/icd/release/11/beta/ichi/1969447999</x:t>
  </x:si>
  <x:si>
    <x:t>IEF.FA.AA</x:t>
  </x:si>
  <x:si>
    <x:t>- - - - - Incision of portal vein and branches</x:t>
  </x:si>
  <x:si>
    <x:t>http://id.who.int/icd/entity/2840305</x:t>
  </x:si>
  <x:si>
    <x:t>http://id.who.int/icd/release/11/beta/ichi/2840305</x:t>
  </x:si>
  <x:si>
    <x:t>IEF.JD.AF</x:t>
  </x:si>
  <x:si>
    <x:t>- - - - - Percutaneous transluminal removal of internal device or foreign body from portal vein and branches</x:t>
  </x:si>
  <x:si>
    <x:t>http://id.who.int/icd/entity/715207964</x:t>
  </x:si>
  <x:si>
    <x:t>http://id.who.int/icd/release/11/beta/ichi/715207964</x:t>
  </x:si>
  <x:si>
    <x:t>IEF.JE.AA</x:t>
  </x:si>
  <x:si>
    <x:t>- - - - - Extraction of obstruction of portal vein and branches</x:t>
  </x:si>
  <x:si>
    <x:t>http://id.who.int/icd/entity/2131442627</x:t>
  </x:si>
  <x:si>
    <x:t>http://id.who.int/icd/release/11/beta/ichi/2131442627</x:t>
  </x:si>
  <x:si>
    <x:t>IEF.JJ.AA</x:t>
  </x:si>
  <x:si>
    <x:t>- - - - - Excision of portal vein and branches</x:t>
  </x:si>
  <x:si>
    <x:t>http://id.who.int/icd/entity/260673616</x:t>
  </x:si>
  <x:si>
    <x:t>http://id.who.int/icd/release/11/beta/ichi/260673616</x:t>
  </x:si>
  <x:si>
    <x:t>IEF.LA.AA</x:t>
  </x:si>
  <x:si>
    <x:t>- - - - - Occlusion of portal vein and branches</x:t>
  </x:si>
  <x:si>
    <x:t>http://id.who.int/icd/entity/1919974418</x:t>
  </x:si>
  <x:si>
    <x:t>http://id.who.int/icd/release/11/beta/ichi/1919974418</x:t>
  </x:si>
  <x:si>
    <x:t>IEF.LA.AF</x:t>
  </x:si>
  <x:si>
    <x:t>- - - - - Endovascular embolisation or occlusion of portal vein and branches</x:t>
  </x:si>
  <x:si>
    <x:t>http://id.who.int/icd/entity/1347141997</x:t>
  </x:si>
  <x:si>
    <x:t>http://id.who.int/icd/release/11/beta/ichi/1347141997</x:t>
  </x:si>
  <x:si>
    <x:t>IEF.LG.AF</x:t>
  </x:si>
  <x:si>
    <x:t>- - - - - Percutaneous transluminal dilatation of portal vein and branches</x:t>
  </x:si>
  <x:si>
    <x:t>http://id.who.int/icd/entity/1434447507</x:t>
  </x:si>
  <x:si>
    <x:t>http://id.who.int/icd/release/11/beta/ichi/1434447507</x:t>
  </x:si>
  <x:si>
    <x:t>IEF.LH.AF</x:t>
  </x:si>
  <x:si>
    <x:t>- - - - - Percutaneous transluminal dilatation with insertion of device into portal vein and branches</x:t>
  </x:si>
  <x:si>
    <x:t>http://id.who.int/icd/entity/637355294</x:t>
  </x:si>
  <x:si>
    <x:t>http://id.who.int/icd/release/11/beta/ichi/637355294</x:t>
  </x:si>
  <x:si>
    <x:t>IEF.LI.AF</x:t>
  </x:si>
  <x:si>
    <x:t>- - - - - Percutaneous transluminal bypass of portal vein and branches</x:t>
  </x:si>
  <x:si>
    <x:t>http://id.who.int/icd/entity/2050954301</x:t>
  </x:si>
  <x:si>
    <x:t>http://id.who.int/icd/release/11/beta/ichi/2050954301</x:t>
  </x:si>
  <x:si>
    <x:t>IEF.ML.AA</x:t>
  </x:si>
  <x:si>
    <x:t>- - - - - Reconstruction of portal vein and branches</x:t>
  </x:si>
  <x:si>
    <x:t>http://id.who.int/icd/entity/274542874</x:t>
  </x:si>
  <x:si>
    <x:t>http://id.who.int/icd/release/11/beta/ichi/274542874</x:t>
  </x:si>
  <x:si>
    <x:t>BlockL4-IFA</x:t>
  </x:si>
  <x:si>
    <x:t>- - - - Interventions on vessels of lower limb</x:t>
  </x:si>
  <x:si>
    <x:t>34</x:t>
  </x:si>
  <x:si>
    <x:t>http://id.who.int/icd/entity/1734263793</x:t>
  </x:si>
  <x:si>
    <x:t>http://id.who.int/icd/release/11/beta/ichi/1734263793</x:t>
  </x:si>
  <x:si>
    <x:t>IFA.AE.AA</x:t>
  </x:si>
  <x:si>
    <x:t>- - - - - Exploration of artery of lower limb</x:t>
  </x:si>
  <x:si>
    <x:t>http://id.who.int/icd/entity/859782160</x:t>
  </x:si>
  <x:si>
    <x:t>http://id.who.int/icd/release/11/beta/ichi/859782160</x:t>
  </x:si>
  <x:si>
    <x:t>IFA.AE.AF</x:t>
  </x:si>
  <x:si>
    <x:t>- - - - - Angioscopy of artery of lower limb</x:t>
  </x:si>
  <x:si>
    <x:t>http://id.who.int/icd/entity/1371699373</x:t>
  </x:si>
  <x:si>
    <x:t>http://id.who.int/icd/release/11/beta/ichi/1371699373</x:t>
  </x:si>
  <x:si>
    <x:t>IFA.BA.BB</x:t>
  </x:si>
  <x:si>
    <x:t>- - - - - Angiography of artery of lower limb</x:t>
  </x:si>
  <x:si>
    <x:t>http://id.who.int/icd/entity/536799900</x:t>
  </x:si>
  <x:si>
    <x:t>http://id.who.int/icd/release/11/beta/ichi/536799900</x:t>
  </x:si>
  <x:si>
    <x:t>IFA.BA.BC</x:t>
  </x:si>
  <x:si>
    <x:t>- - - - - CT angiography of artery of lower limb, not elsewhere classified</x:t>
  </x:si>
  <x:si>
    <x:t>http://id.who.int/icd/entity/247319276</x:t>
  </x:si>
  <x:si>
    <x:t>http://id.who.int/icd/release/11/beta/ichi/247319276</x:t>
  </x:si>
  <x:si>
    <x:t>IFA.BA.BD</x:t>
  </x:si>
  <x:si>
    <x:t>- - - - - CT angiography of artery of lower limb with intravenous contrast medium</x:t>
  </x:si>
  <x:si>
    <x:t>http://id.who.int/icd/entity/907754956</x:t>
  </x:si>
  <x:si>
    <x:t>http://id.who.int/icd/release/11/beta/ichi/907754956</x:t>
  </x:si>
  <x:si>
    <x:t>IFA.BA.BH</x:t>
  </x:si>
  <x:si>
    <x:t>- - - - - Magnetic resonance angiography of artery of lower limb, not elsewhere classified</x:t>
  </x:si>
  <x:si>
    <x:t>http://id.who.int/icd/entity/1135458745</x:t>
  </x:si>
  <x:si>
    <x:t>http://id.who.int/icd/release/11/beta/ichi/1135458745</x:t>
  </x:si>
  <x:si>
    <x:t>IFA.BA.BI</x:t>
  </x:si>
  <x:si>
    <x:t>- - - - - Magnetic resonance angiography of artery of lower limb with intravenous contrast medium</x:t>
  </x:si>
  <x:si>
    <x:t>http://id.who.int/icd/entity/1197701028</x:t>
  </x:si>
  <x:si>
    <x:t>http://id.who.int/icd/release/11/beta/ichi/1197701028</x:t>
  </x:si>
  <x:si>
    <x:t>IFA.BA.BJ</x:t>
  </x:si>
  <x:si>
    <x:t>- - - - - Ultrasound of artery of lower limb</x:t>
  </x:si>
  <x:si>
    <x:t>http://id.who.int/icd/entity/535083400</x:t>
  </x:si>
  <x:si>
    <x:t>http://id.who.int/icd/release/11/beta/ichi/535083400</x:t>
  </x:si>
  <x:si>
    <x:t>IFA.DB.AF</x:t>
  </x:si>
  <x:si>
    <x:t>- - - - - Thrombolysis of artery of lower limb</x:t>
  </x:si>
  <x:si>
    <x:t>http://id.who.int/icd/entity/874108184</x:t>
  </x:si>
  <x:si>
    <x:t>http://id.who.int/icd/release/11/beta/ichi/874108184</x:t>
  </x:si>
  <x:si>
    <x:t>IFA.FA.AA</x:t>
  </x:si>
  <x:si>
    <x:t>- - - - - Incision of artery of lower limb</x:t>
  </x:si>
  <x:si>
    <x:t>http://id.who.int/icd/entity/1530140915</x:t>
  </x:si>
  <x:si>
    <x:t>http://id.who.int/icd/release/11/beta/ichi/1530140915</x:t>
  </x:si>
  <x:si>
    <x:t>IFA.JE.AA</x:t>
  </x:si>
  <x:si>
    <x:t>- - - - - Endarterectomy of artery of lower limb</x:t>
  </x:si>
  <x:si>
    <x:t>http://id.who.int/icd/entity/83249616</x:t>
  </x:si>
  <x:si>
    <x:t>http://id.who.int/icd/release/11/beta/ichi/83249616</x:t>
  </x:si>
  <x:si>
    <x:t>IFA.JJ.AA</x:t>
  </x:si>
  <x:si>
    <x:t>- - - - - Partial excision of artery of lower limb</x:t>
  </x:si>
  <x:si>
    <x:t>http://id.who.int/icd/entity/1418563681</x:t>
  </x:si>
  <x:si>
    <x:t>http://id.who.int/icd/release/11/beta/ichi/1418563681</x:t>
  </x:si>
  <x:si>
    <x:t>IFA.LA.AA</x:t>
  </x:si>
  <x:si>
    <x:t>- - - - - Occlusion of artery of lower limb</x:t>
  </x:si>
  <x:si>
    <x:t>http://id.who.int/icd/entity/946935379</x:t>
  </x:si>
  <x:si>
    <x:t>http://id.who.int/icd/release/11/beta/ichi/946935379</x:t>
  </x:si>
  <x:si>
    <x:t>IFA.LA.AF</x:t>
  </x:si>
  <x:si>
    <x:t>- - - - - Endovascular embolisation or occlusion of artery of lower limb</x:t>
  </x:si>
  <x:si>
    <x:t>http://id.who.int/icd/entity/557519892</x:t>
  </x:si>
  <x:si>
    <x:t>http://id.who.int/icd/release/11/beta/ichi/557519892</x:t>
  </x:si>
  <x:si>
    <x:t>IFA.LG.AF</x:t>
  </x:si>
  <x:si>
    <x:t>- - - - - Percutaneous transluminal dilatation of artery of lower limb</x:t>
  </x:si>
  <x:si>
    <x:t>http://id.who.int/icd/entity/780311682</x:t>
  </x:si>
  <x:si>
    <x:t>http://id.who.int/icd/release/11/beta/ichi/780311682</x:t>
  </x:si>
  <x:si>
    <x:t>IFA.LH.AF</x:t>
  </x:si>
  <x:si>
    <x:t>- - - - - Percutaneous transluminal dilatation with insertion of device into artery of lower limb</x:t>
  </x:si>
  <x:si>
    <x:t>http://id.who.int/icd/entity/508858266</x:t>
  </x:si>
  <x:si>
    <x:t>http://id.who.int/icd/release/11/beta/ichi/508858266</x:t>
  </x:si>
  <x:si>
    <x:t>IFA.LI.AA</x:t>
  </x:si>
  <x:si>
    <x:t>- - - - - Bypass of artery of lower limb</x:t>
  </x:si>
  <x:si>
    <x:t>http://id.who.int/icd/entity/1311725099</x:t>
  </x:si>
  <x:si>
    <x:t>http://id.who.int/icd/release/11/beta/ichi/1311725099</x:t>
  </x:si>
  <x:si>
    <x:t>IFA.LI.AF</x:t>
  </x:si>
  <x:si>
    <x:t>- - - - - Percutaneous transluminal bypass of artery of lower limb</x:t>
  </x:si>
  <x:si>
    <x:t>http://id.who.int/icd/entity/300746504</x:t>
  </x:si>
  <x:si>
    <x:t>http://id.who.int/icd/release/11/beta/ichi/300746504</x:t>
  </x:si>
  <x:si>
    <x:t>IFA.ML.AA</x:t>
  </x:si>
  <x:si>
    <x:t>- - - - - Reconstruction of artery of lower limb</x:t>
  </x:si>
  <x:si>
    <x:t>http://id.who.int/icd/entity/974154648</x:t>
  </x:si>
  <x:si>
    <x:t>http://id.who.int/icd/release/11/beta/ichi/974154648</x:t>
  </x:si>
  <x:si>
    <x:t>IFD.BA.BB</x:t>
  </x:si>
  <x:si>
    <x:t>- - - - - Angiography of lower limb vein with contrast medium</x:t>
  </x:si>
  <x:si>
    <x:t>http://id.who.int/icd/entity/1768328884</x:t>
  </x:si>
  <x:si>
    <x:t>http://id.who.int/icd/release/11/beta/ichi/1768328884</x:t>
  </x:si>
  <x:si>
    <x:t>IFD.BA.BC</x:t>
  </x:si>
  <x:si>
    <x:t>- - - - - CT angiography of vein of lower limb, not elsewhere classified</x:t>
  </x:si>
  <x:si>
    <x:t>http://id.who.int/icd/entity/2015735492</x:t>
  </x:si>
  <x:si>
    <x:t>http://id.who.int/icd/release/11/beta/ichi/2015735492</x:t>
  </x:si>
  <x:si>
    <x:t>IFD.BA.BD</x:t>
  </x:si>
  <x:si>
    <x:t>- - - - - CT angiography of vein of lower limb with intravenous contrast medium</x:t>
  </x:si>
  <x:si>
    <x:t>http://id.who.int/icd/entity/1137841130</x:t>
  </x:si>
  <x:si>
    <x:t>http://id.who.int/icd/release/11/beta/ichi/1137841130</x:t>
  </x:si>
  <x:si>
    <x:t>IFD.BA.BH</x:t>
  </x:si>
  <x:si>
    <x:t>- - - - - Magnetic resonance venography of vein of lower limb, not elsewhere classified</x:t>
  </x:si>
  <x:si>
    <x:t>http://id.who.int/icd/entity/1747943290</x:t>
  </x:si>
  <x:si>
    <x:t>http://id.who.int/icd/release/11/beta/ichi/1747943290</x:t>
  </x:si>
  <x:si>
    <x:t>IFD.BA.BI</x:t>
  </x:si>
  <x:si>
    <x:t>- - - - - Magnetic resonance venography of vein of lower limb with intravenous contrast medium</x:t>
  </x:si>
  <x:si>
    <x:t>http://id.who.int/icd/entity/409836799</x:t>
  </x:si>
  <x:si>
    <x:t>http://id.who.int/icd/release/11/beta/ichi/409836799</x:t>
  </x:si>
  <x:si>
    <x:t>IFD.BA.BJ</x:t>
  </x:si>
  <x:si>
    <x:t>- - - - - Ultrasound of vein of lower limb</x:t>
  </x:si>
  <x:si>
    <x:t>http://id.who.int/icd/entity/19373758</x:t>
  </x:si>
  <x:si>
    <x:t>http://id.who.int/icd/release/11/beta/ichi/19373758</x:t>
  </x:si>
  <x:si>
    <x:t>IFD.FA.AA</x:t>
  </x:si>
  <x:si>
    <x:t>- - - - - Incision of lower limb vein</x:t>
  </x:si>
  <x:si>
    <x:t>http://id.who.int/icd/entity/1592119197</x:t>
  </x:si>
  <x:si>
    <x:t>http://id.who.int/icd/release/11/beta/ichi/1592119197</x:t>
  </x:si>
  <x:si>
    <x:t>IFD.GA.AF</x:t>
  </x:si>
  <x:si>
    <x:t>- - - - - Endovenous destruction of vein of lower limb</x:t>
  </x:si>
  <x:si>
    <x:t>http://id.who.int/icd/entity/245241388</x:t>
  </x:si>
  <x:si>
    <x:t>http://id.who.int/icd/release/11/beta/ichi/245241388</x:t>
  </x:si>
  <x:si>
    <x:t>IFD.JE.AA</x:t>
  </x:si>
  <x:si>
    <x:t>- - - - - Extraction of obstruction from vein of lower limb</x:t>
  </x:si>
  <x:si>
    <x:t>http://id.who.int/icd/entity/343840904</x:t>
  </x:si>
  <x:si>
    <x:t>http://id.who.int/icd/release/11/beta/ichi/343840904</x:t>
  </x:si>
  <x:si>
    <x:t>IFD.JE.AF</x:t>
  </x:si>
  <x:si>
    <x:t>- - - - - Endovascular extraction of obstruction from vein of lower limb</x:t>
  </x:si>
  <x:si>
    <x:t>http://id.who.int/icd/entity/1065612312</x:t>
  </x:si>
  <x:si>
    <x:t>http://id.who.int/icd/release/11/beta/ichi/1065612312</x:t>
  </x:si>
  <x:si>
    <x:t>IFD.JJ.AA</x:t>
  </x:si>
  <x:si>
    <x:t>- - - - - Partial excision of lower limb vein</x:t>
  </x:si>
  <x:si>
    <x:t>http://id.who.int/icd/entity/784389216</x:t>
  </x:si>
  <x:si>
    <x:t>http://id.who.int/icd/release/11/beta/ichi/784389216</x:t>
  </x:si>
  <x:si>
    <x:t>IFD.LA.AA</x:t>
  </x:si>
  <x:si>
    <x:t>- - - - - Occlusion of lower limb vein</x:t>
  </x:si>
  <x:si>
    <x:t>http://id.who.int/icd/entity/1169143593</x:t>
  </x:si>
  <x:si>
    <x:t>http://id.who.int/icd/release/11/beta/ichi/1169143593</x:t>
  </x:si>
  <x:si>
    <x:t>IFD.LA.AF</x:t>
  </x:si>
  <x:si>
    <x:t>- - - - - Endovascular embolisation or occlusion of lower limb vein</x:t>
  </x:si>
  <x:si>
    <x:t>http://id.who.int/icd/entity/728357893</x:t>
  </x:si>
  <x:si>
    <x:t>http://id.who.int/icd/release/11/beta/ichi/728357893</x:t>
  </x:si>
  <x:si>
    <x:t>IFD.LH.AF</x:t>
  </x:si>
  <x:si>
    <x:t>- - - - - Percutaneous transluminal dilatation with insertion of device into vein of lower limb</x:t>
  </x:si>
  <x:si>
    <x:t>http://id.who.int/icd/entity/464263706</x:t>
  </x:si>
  <x:si>
    <x:t>http://id.who.int/icd/release/11/beta/ichi/464263706</x:t>
  </x:si>
  <x:si>
    <x:t>IFD.ML.AA</x:t>
  </x:si>
  <x:si>
    <x:t>- - - - - Reconstruction of lower limb vein</x:t>
  </x:si>
  <x:si>
    <x:t>http://id.who.int/icd/entity/1798222231</x:t>
  </x:si>
  <x:si>
    <x:t>http://id.who.int/icd/release/11/beta/ichi/1798222231</x:t>
  </x:si>
  <x:si>
    <x:t>BlockL4-ITA</x:t>
  </x:si>
  <x:si>
    <x:t>- - - - Interventions on vessel functions</x:t>
  </x:si>
  <x:si>
    <x:t>http://id.who.int/icd/entity/1272431531</x:t>
  </x:si>
  <x:si>
    <x:t>http://id.who.int/icd/release/11/beta/ichi/1272431531</x:t>
  </x:si>
  <x:si>
    <x:t>ITA.AA.ZZ</x:t>
  </x:si>
  <x:si>
    <x:t>- - - - - Assessment of blood pressure functions</x:t>
  </x:si>
  <x:si>
    <x:t>http://id.who.int/icd/entity/521243686</x:t>
  </x:si>
  <x:si>
    <x:t>http://id.who.int/icd/release/11/beta/ichi/521243686</x:t>
  </x:si>
  <x:si>
    <x:t>ITA.AB.AH</x:t>
  </x:si>
  <x:si>
    <x:t>- - - - - Measurement of blood pressure</x:t>
  </x:si>
  <x:si>
    <x:t>http://id.who.int/icd/entity/1638078203</x:t>
  </x:si>
  <x:si>
    <x:t>http://id.who.int/icd/release/11/beta/ichi/1638078203</x:t>
  </x:si>
  <x:si>
    <x:t>ITA.AI.AF</x:t>
  </x:si>
  <x:si>
    <x:t>- - - - - Percutaneous blood pressure monitoring</x:t>
  </x:si>
  <x:si>
    <x:t>http://id.who.int/icd/entity/513291748</x:t>
  </x:si>
  <x:si>
    <x:t>http://id.who.int/icd/release/11/beta/ichi/513291748</x:t>
  </x:si>
  <x:si>
    <x:t>ITA.AI.AH</x:t>
  </x:si>
  <x:si>
    <x:t>- - - - - Ambulatory blood pressure monitoring</x:t>
  </x:si>
  <x:si>
    <x:t>http://id.who.int/icd/entity/1808484615</x:t>
  </x:si>
  <x:si>
    <x:t>http://id.who.int/icd/release/11/beta/ichi/1808484615</x:t>
  </x:si>
  <x:si>
    <x:t>ITA.PH.ZZ</x:t>
  </x:si>
  <x:si>
    <x:t>- - - - - Training for blood pressure function</x:t>
  </x:si>
  <x:si>
    <x:t>http://id.who.int/icd/entity/457826954</x:t>
  </x:si>
  <x:si>
    <x:t>http://id.who.int/icd/release/11/beta/ichi/457826954</x:t>
  </x:si>
  <x:si>
    <x:t>ITB.AA.ZZ</x:t>
  </x:si>
  <x:si>
    <x:t>- - - - - Assessment of blood vessel functions</x:t>
  </x:si>
  <x:si>
    <x:t>http://id.who.int/icd/entity/873011238</x:t>
  </x:si>
  <x:si>
    <x:t>http://id.who.int/icd/release/11/beta/ichi/873011238</x:t>
  </x:si>
  <x:si>
    <x:t>ITB.AB.AH</x:t>
  </x:si>
  <x:si>
    <x:t>- - - - - Measurement of blood vessel functions</x:t>
  </x:si>
  <x:si>
    <x:t>http://id.who.int/icd/entity/1958238243</x:t>
  </x:si>
  <x:si>
    <x:t>http://id.who.int/icd/release/11/beta/ichi/1958238243</x:t>
  </x:si>
  <x:si>
    <x:t>ITB.AF.AH</x:t>
  </x:si>
  <x:si>
    <x:t>- - - - - Carotid pulse tracing with ECG lead</x:t>
  </x:si>
  <x:si>
    <x:t>http://id.who.int/icd/entity/729417986</x:t>
  </x:si>
  <x:si>
    <x:t>http://id.who.int/icd/release/11/beta/ichi/729417986</x:t>
  </x:si>
  <x:si>
    <x:t>ITB.PG.ZZ</x:t>
  </x:si>
  <x:si>
    <x:t>- - - - - Assisting and leading exercise for blood vessel function</x:t>
  </x:si>
  <x:si>
    <x:t>http://id.who.int/icd/entity/1710979157</x:t>
  </x:si>
  <x:si>
    <x:t>http://id.who.int/icd/release/11/beta/ichi/1710979157</x:t>
  </x:si>
  <x:si>
    <x:t>BlockL4-IZA</x:t>
  </x:si>
  <x:si>
    <x:t>- - - - Interventions on vessels, not elsewhere classified</x:t>
  </x:si>
  <x:si>
    <x:t>56</x:t>
  </x:si>
  <x:si>
    <x:t>http://id.who.int/icd/entity/1543021197</x:t>
  </x:si>
  <x:si>
    <x:t>http://id.who.int/icd/release/11/beta/ichi/1543021197</x:t>
  </x:si>
  <x:si>
    <x:t>IZA.AB.AF</x:t>
  </x:si>
  <x:si>
    <x:t>- - - - - Intravascular pressure measurement of artery, not elsewhere classified</x:t>
  </x:si>
  <x:si>
    <x:t>http://id.who.int/icd/entity/1793409207</x:t>
  </x:si>
  <x:si>
    <x:t>http://id.who.int/icd/release/11/beta/ichi/1793409207</x:t>
  </x:si>
  <x:si>
    <x:t>IZA.BA.BB</x:t>
  </x:si>
  <x:si>
    <x:t>- - - - - Angiography of artery, not elsewhere classified</x:t>
  </x:si>
  <x:si>
    <x:t>http://id.who.int/icd/entity/1042485048</x:t>
  </x:si>
  <x:si>
    <x:t>http://id.who.int/icd/release/11/beta/ichi/1042485048</x:t>
  </x:si>
  <x:si>
    <x:t>IZA.BA.BJ</x:t>
  </x:si>
  <x:si>
    <x:t>- - - - - Ultrasound of artery, not elsewhere classified</x:t>
  </x:si>
  <x:si>
    <x:t>http://id.who.int/icd/entity/1491488360</x:t>
  </x:si>
  <x:si>
    <x:t>http://id.who.int/icd/release/11/beta/ichi/1491488360</x:t>
  </x:si>
  <x:si>
    <x:t>IZA.DB.AF</x:t>
  </x:si>
  <x:si>
    <x:t>- - - - - Thrombolysis of artery, not elsewhere classified</x:t>
  </x:si>
  <x:si>
    <x:t>http://id.who.int/icd/entity/668822903</x:t>
  </x:si>
  <x:si>
    <x:t>http://id.who.int/icd/release/11/beta/ichi/668822903</x:t>
  </x:si>
  <x:si>
    <x:t>IZA.DL.AF</x:t>
  </x:si>
  <x:si>
    <x:t>- - - - - Percutaneous transluminal insertion of device into artery, not elsewhere classified</x:t>
  </x:si>
  <x:si>
    <x:t>http://id.who.int/icd/entity/1200971596</x:t>
  </x:si>
  <x:si>
    <x:t>http://id.who.int/icd/release/11/beta/ichi/1200971596</x:t>
  </x:si>
  <x:si>
    <x:t>IZA.FA.AA</x:t>
  </x:si>
  <x:si>
    <x:t>- - - - - Incision of artery, not elsewhere classified</x:t>
  </x:si>
  <x:si>
    <x:t>http://id.who.int/icd/entity/2039204027</x:t>
  </x:si>
  <x:si>
    <x:t>http://id.who.int/icd/release/11/beta/ichi/2039204027</x:t>
  </x:si>
  <x:si>
    <x:t>IZA.JD.AF</x:t>
  </x:si>
  <x:si>
    <x:t>- - - - - Removal of intravascular internal device or foreign body from artery, not elsewhere classified</x:t>
  </x:si>
  <x:si>
    <x:t>http://id.who.int/icd/entity/924316865</x:t>
  </x:si>
  <x:si>
    <x:t>http://id.who.int/icd/release/11/beta/ichi/924316865</x:t>
  </x:si>
  <x:si>
    <x:t>IZA.JE.AA</x:t>
  </x:si>
  <x:si>
    <x:t>- - - - - Endarterectomy of artery, not elsewhere classified</x:t>
  </x:si>
  <x:si>
    <x:t>http://id.who.int/icd/entity/950959187</x:t>
  </x:si>
  <x:si>
    <x:t>http://id.who.int/icd/release/11/beta/ichi/950959187</x:t>
  </x:si>
  <x:si>
    <x:t>IZA.JE.AF</x:t>
  </x:si>
  <x:si>
    <x:t>- - - - - Endovascular extraction of obstruction of artery, not elsewhere classified</x:t>
  </x:si>
  <x:si>
    <x:t>http://id.who.int/icd/entity/322720447</x:t>
  </x:si>
  <x:si>
    <x:t>http://id.who.int/icd/release/11/beta/ichi/322720447</x:t>
  </x:si>
  <x:si>
    <x:t>IZA.JH.AA</x:t>
  </x:si>
  <x:si>
    <x:t>- - - - - Procurement of artery for graft, not elsewhere classified</x:t>
  </x:si>
  <x:si>
    <x:t>http://id.who.int/icd/entity/1476638456</x:t>
  </x:si>
  <x:si>
    <x:t>http://id.who.int/icd/release/11/beta/ichi/1476638456</x:t>
  </x:si>
  <x:si>
    <x:t>IZA.JJ.AA</x:t>
  </x:si>
  <x:si>
    <x:t>- - - - - Partial excision of artery, not elsewhere classified</x:t>
  </x:si>
  <x:si>
    <x:t>http://id.who.int/icd/entity/1946081896</x:t>
  </x:si>
  <x:si>
    <x:t>http://id.who.int/icd/release/11/beta/ichi/1946081896</x:t>
  </x:si>
  <x:si>
    <x:t>IZA.LA.AA</x:t>
  </x:si>
  <x:si>
    <x:t>- - - - - Occlusion of artery, not elsewhere classified</x:t>
  </x:si>
  <x:si>
    <x:t>http://id.who.int/icd/entity/130148315</x:t>
  </x:si>
  <x:si>
    <x:t>http://id.who.int/icd/release/11/beta/ichi/130148315</x:t>
  </x:si>
  <x:si>
    <x:t>IZA.LA.AF</x:t>
  </x:si>
  <x:si>
    <x:t>- - - - - Endovascular occlusion of artery, not elsewhere classified</x:t>
  </x:si>
  <x:si>
    <x:t>http://id.who.int/icd/entity/1247010406</x:t>
  </x:si>
  <x:si>
    <x:t>http://id.who.int/icd/release/11/beta/ichi/1247010406</x:t>
  </x:si>
  <x:si>
    <x:t>IZA.LB.AA</x:t>
  </x:si>
  <x:si>
    <x:t>- - - - - Anastomosis of artery, not elsewhere classified</x:t>
  </x:si>
  <x:si>
    <x:t>http://id.who.int/icd/entity/571259417</x:t>
  </x:si>
  <x:si>
    <x:t>http://id.who.int/icd/release/11/beta/ichi/571259417</x:t>
  </x:si>
  <x:si>
    <x:t>IZA.LG.AF</x:t>
  </x:si>
  <x:si>
    <x:t>- - - - - Percutaneous transluminal dilatation of artery, not elsewhere classified</x:t>
  </x:si>
  <x:si>
    <x:t>http://id.who.int/icd/entity/1221144398</x:t>
  </x:si>
  <x:si>
    <x:t>http://id.who.int/icd/release/11/beta/ichi/1221144398</x:t>
  </x:si>
  <x:si>
    <x:t>IZA.LH.AF</x:t>
  </x:si>
  <x:si>
    <x:t>- - - - - Percutaneous transluminal dilatation with insertion of device into artery, not elsewhere classified</x:t>
  </x:si>
  <x:si>
    <x:t>http://id.who.int/icd/entity/928365601</x:t>
  </x:si>
  <x:si>
    <x:t>http://id.who.int/icd/release/11/beta/ichi/928365601</x:t>
  </x:si>
  <x:si>
    <x:t>IZA.LI.AA</x:t>
  </x:si>
  <x:si>
    <x:t>- - - - - Open peripheral vascular shunt or bypass, not elsewhere classified</x:t>
  </x:si>
  <x:si>
    <x:t>http://id.who.int/icd/entity/1569728888</x:t>
  </x:si>
  <x:si>
    <x:t>http://id.who.int/icd/release/11/beta/ichi/1569728888</x:t>
  </x:si>
  <x:si>
    <x:t>IZA.LI.AF</x:t>
  </x:si>
  <x:si>
    <x:t>- - - - - Percutaneous transluminal bypass of artery, not elsewhere classified</x:t>
  </x:si>
  <x:si>
    <x:t>http://id.who.int/icd/entity/2097303878</x:t>
  </x:si>
  <x:si>
    <x:t>http://id.who.int/icd/release/11/beta/ichi/2097303878</x:t>
  </x:si>
  <x:si>
    <x:t>IZA.MK.AA</x:t>
  </x:si>
  <x:si>
    <x:t>- - - - - Repair of artery, not elsewhere classified</x:t>
  </x:si>
  <x:si>
    <x:t>http://id.who.int/icd/entity/482597567</x:t>
  </x:si>
  <x:si>
    <x:t>http://id.who.int/icd/release/11/beta/ichi/482597567</x:t>
  </x:si>
  <x:si>
    <x:t>IZA.ML.AA</x:t>
  </x:si>
  <x:si>
    <x:t>- - - - - Reconstruction of artery, not elsewhere classified</x:t>
  </x:si>
  <x:si>
    <x:t>http://id.who.int/icd/entity/1651589218</x:t>
  </x:si>
  <x:si>
    <x:t>http://id.who.int/icd/release/11/beta/ichi/1651589218</x:t>
  </x:si>
  <x:si>
    <x:t>IZD.BA.BB</x:t>
  </x:si>
  <x:si>
    <x:t>- - - - - Angiography of vein, not elsewhere classified</x:t>
  </x:si>
  <x:si>
    <x:t>http://id.who.int/icd/entity/279152355</x:t>
  </x:si>
  <x:si>
    <x:t>http://id.who.int/icd/release/11/beta/ichi/279152355</x:t>
  </x:si>
  <x:si>
    <x:t>IZD.BA.BJ</x:t>
  </x:si>
  <x:si>
    <x:t>- - - - - Ultrasound of vein, not elsewhere classified</x:t>
  </x:si>
  <x:si>
    <x:t>http://id.who.int/icd/entity/491414399</x:t>
  </x:si>
  <x:si>
    <x:t>http://id.who.int/icd/release/11/beta/ichi/491414399</x:t>
  </x:si>
  <x:si>
    <x:t>IZD.DB.AF</x:t>
  </x:si>
  <x:si>
    <x:t>- - - - - Thrombolysis of vein, not elsewhere classified</x:t>
  </x:si>
  <x:si>
    <x:t>http://id.who.int/icd/entity/1746476958</x:t>
  </x:si>
  <x:si>
    <x:t>http://id.who.int/icd/release/11/beta/ichi/1746476958</x:t>
  </x:si>
  <x:si>
    <x:t>IZD.DL.AA</x:t>
  </x:si>
  <x:si>
    <x:t>- - - - - Insertion of a device into a vein, not elsewhere classified</x:t>
  </x:si>
  <x:si>
    <x:t>http://id.who.int/icd/entity/945997357</x:t>
  </x:si>
  <x:si>
    <x:t>http://id.who.int/icd/release/11/beta/ichi/945997357</x:t>
  </x:si>
  <x:si>
    <x:t>IZD.DL.AF</x:t>
  </x:si>
  <x:si>
    <x:t>- - - - - Percutaneous transluminal insertion of device into vein, not elsewhere classified</x:t>
  </x:si>
  <x:si>
    <x:t>http://id.who.int/icd/entity/2003439290</x:t>
  </x:si>
  <x:si>
    <x:t>http://id.who.int/icd/release/11/beta/ichi/2003439290</x:t>
  </x:si>
  <x:si>
    <x:t>IZD.FA.AA</x:t>
  </x:si>
  <x:si>
    <x:t>- - - - - Incision of vein, not elsewhere classified</x:t>
  </x:si>
  <x:si>
    <x:t>http://id.who.int/icd/entity/498047983</x:t>
  </x:si>
  <x:si>
    <x:t>http://id.who.int/icd/release/11/beta/ichi/498047983</x:t>
  </x:si>
  <x:si>
    <x:t>IZD.GA.AF</x:t>
  </x:si>
  <x:si>
    <x:t>- - - - - Percutaneous transluminal destruction of vein, not elsewhere classified</x:t>
  </x:si>
  <x:si>
    <x:t>http://id.who.int/icd/entity/2086281173</x:t>
  </x:si>
  <x:si>
    <x:t>http://id.who.int/icd/release/11/beta/ichi/2086281173</x:t>
  </x:si>
  <x:si>
    <x:t>IZD.JD.AF</x:t>
  </x:si>
  <x:si>
    <x:t>- - - - - Removal of intravascular internal device or foreign body from vein, not elsewhere classified</x:t>
  </x:si>
  <x:si>
    <x:t>http://id.who.int/icd/entity/1128762128</x:t>
  </x:si>
  <x:si>
    <x:t>http://id.who.int/icd/release/11/beta/ichi/1128762128</x:t>
  </x:si>
  <x:si>
    <x:t>IZD.JH.AA</x:t>
  </x:si>
  <x:si>
    <x:t>- - - - - Procurement of vein for graft, not elsewhere classified</x:t>
  </x:si>
  <x:si>
    <x:t>http://id.who.int/icd/entity/1116502576</x:t>
  </x:si>
  <x:si>
    <x:t>http://id.who.int/icd/release/11/beta/ichi/1116502576</x:t>
  </x:si>
  <x:si>
    <x:t>IZD.LA.AA</x:t>
  </x:si>
  <x:si>
    <x:t>- - - - - Occlusion of vein, not elsewhere classified</x:t>
  </x:si>
  <x:si>
    <x:t>http://id.who.int/icd/entity/2042334986</x:t>
  </x:si>
  <x:si>
    <x:t>http://id.who.int/icd/release/11/beta/ichi/2042334986</x:t>
  </x:si>
  <x:si>
    <x:t>IZD.LA.AF</x:t>
  </x:si>
  <x:si>
    <x:t>- - - - - Endovascular embolisation or occlusion of vein, not elsewhere classified</x:t>
  </x:si>
  <x:si>
    <x:t>http://id.who.int/icd/entity/1002255545</x:t>
  </x:si>
  <x:si>
    <x:t>http://id.who.int/icd/release/11/beta/ichi/1002255545</x:t>
  </x:si>
  <x:si>
    <x:t>IZD.LB.AA</x:t>
  </x:si>
  <x:si>
    <x:t>- - - - - Anastomosis of vein, not elsewhere classified</x:t>
  </x:si>
  <x:si>
    <x:t>http://id.who.int/icd/entity/666265465</x:t>
  </x:si>
  <x:si>
    <x:t>http://id.who.int/icd/release/11/beta/ichi/666265465</x:t>
  </x:si>
  <x:si>
    <x:t>IZD.LG.AF</x:t>
  </x:si>
  <x:si>
    <x:t>- - - - - Percutaneous transluminal dilatation of vein, not elsewhere classified</x:t>
  </x:si>
  <x:si>
    <x:t>http://id.who.int/icd/entity/1238262800</x:t>
  </x:si>
  <x:si>
    <x:t>http://id.who.int/icd/release/11/beta/ichi/1238262800</x:t>
  </x:si>
  <x:si>
    <x:t>IZD.LH.AF</x:t>
  </x:si>
  <x:si>
    <x:t>- - - - - Percutaneous transluminal dilatation with insertion of device into vein, not elsewhere classified</x:t>
  </x:si>
  <x:si>
    <x:t>http://id.who.int/icd/entity/2020882010</x:t>
  </x:si>
  <x:si>
    <x:t>http://id.who.int/icd/release/11/beta/ichi/2020882010</x:t>
  </x:si>
  <x:si>
    <x:t>IZD.MK.AA</x:t>
  </x:si>
  <x:si>
    <x:t>- - - - - Repair of vein, not elsewhere classified</x:t>
  </x:si>
  <x:si>
    <x:t>http://id.who.int/icd/entity/315196197</x:t>
  </x:si>
  <x:si>
    <x:t>http://id.who.int/icd/release/11/beta/ichi/315196197</x:t>
  </x:si>
  <x:si>
    <x:t>IZE.AA.ZZ</x:t>
  </x:si>
  <x:si>
    <x:t>- - - - - Assessment of blood vessel, not elsewhere classified</x:t>
  </x:si>
  <x:si>
    <x:t>http://id.who.int/icd/entity/959770549</x:t>
  </x:si>
  <x:si>
    <x:t>http://id.who.int/icd/release/11/beta/ichi/959770549</x:t>
  </x:si>
  <x:si>
    <x:t>IZE.AB.AF</x:t>
  </x:si>
  <x:si>
    <x:t>- - - - - Intravascular pressure measurement of blood vessel, not elsewhere classified</x:t>
  </x:si>
  <x:si>
    <x:t>http://id.who.int/icd/entity/678940611</x:t>
  </x:si>
  <x:si>
    <x:t>http://id.who.int/icd/release/11/beta/ichi/678940611</x:t>
  </x:si>
  <x:si>
    <x:t>IZE.AD.AA</x:t>
  </x:si>
  <x:si>
    <x:t>- - - - - Biopsy of blood vessel, not elsewhere classified</x:t>
  </x:si>
  <x:si>
    <x:t>http://id.who.int/icd/entity/1572948912</x:t>
  </x:si>
  <x:si>
    <x:t>http://id.who.int/icd/release/11/beta/ichi/1572948912</x:t>
  </x:si>
  <x:si>
    <x:t>IZE.AE.AF</x:t>
  </x:si>
  <x:si>
    <x:t>- - - - - Angioscopy of blood vessel, not elsewhere classified</x:t>
  </x:si>
  <x:si>
    <x:t>http://id.who.int/icd/entity/230330881</x:t>
  </x:si>
  <x:si>
    <x:t>http://id.who.int/icd/release/11/beta/ichi/230330881</x:t>
  </x:si>
  <x:si>
    <x:t>IZE.BA.AF</x:t>
  </x:si>
  <x:si>
    <x:t>- - - - - Intravascular imaging of blood vessel, not elsewhere classified</x:t>
  </x:si>
  <x:si>
    <x:t>http://id.who.int/icd/entity/1230224554</x:t>
  </x:si>
  <x:si>
    <x:t>http://id.who.int/icd/release/11/beta/ichi/1230224554</x:t>
  </x:si>
  <x:si>
    <x:t>IZE.BA.BA</x:t>
  </x:si>
  <x:si>
    <x:t>- - - - - Imaging of blood vessel, not elsewhere classified</x:t>
  </x:si>
  <x:si>
    <x:t>http://id.who.int/icd/entity/1501355408</x:t>
  </x:si>
  <x:si>
    <x:t>http://id.who.int/icd/release/11/beta/ichi/1501355408</x:t>
  </x:si>
  <x:si>
    <x:t>IZE.BA.BJ</x:t>
  </x:si>
  <x:si>
    <x:t>- - - - - Ultrasound of blood vessel, not elsewhere classified</x:t>
  </x:si>
  <x:si>
    <x:t>http://id.who.int/icd/entity/2028596964</x:t>
  </x:si>
  <x:si>
    <x:t>http://id.who.int/icd/release/11/beta/ichi/2028596964</x:t>
  </x:si>
  <x:si>
    <x:t>IZE.DD.AH</x:t>
  </x:si>
  <x:si>
    <x:t>- - - - - Super saturated oxygen therapy</x:t>
  </x:si>
  <x:si>
    <x:t>http://id.who.int/icd/entity/413261017</x:t>
  </x:si>
  <x:si>
    <x:t>http://id.who.int/icd/release/11/beta/ichi/413261017</x:t>
  </x:si>
  <x:si>
    <x:t>IZE.DL.AF</x:t>
  </x:si>
  <x:si>
    <x:t>- - - - - Percutaneous transluminal insertion of device into blood vessel, not elsewhere classified</x:t>
  </x:si>
  <x:si>
    <x:t>http://id.who.int/icd/entity/1197706746</x:t>
  </x:si>
  <x:si>
    <x:t>http://id.who.int/icd/release/11/beta/ichi/1197706746</x:t>
  </x:si>
  <x:si>
    <x:t>IZE.DN.AF</x:t>
  </x:si>
  <x:si>
    <x:t>- - - - - Implantation of intra-aneurysm sac pressure monitoring device</x:t>
  </x:si>
  <x:si>
    <x:t>http://id.who.int/icd/entity/387470411</x:t>
  </x:si>
  <x:si>
    <x:t>http://id.who.int/icd/release/11/beta/ichi/387470411</x:t>
  </x:si>
  <x:si>
    <x:t>IZE.FA.AA</x:t>
  </x:si>
  <x:si>
    <x:t>- - - - - Incision of blood vessel, not elsewhere classified</x:t>
  </x:si>
  <x:si>
    <x:t>http://id.who.int/icd/entity/234412769</x:t>
  </x:si>
  <x:si>
    <x:t>http://id.who.int/icd/release/11/beta/ichi/234412769</x:t>
  </x:si>
  <x:si>
    <x:t>IZE.FC.AA</x:t>
  </x:si>
  <x:si>
    <x:t>- - - - - Release of blood vessel, not elsewhere classified</x:t>
  </x:si>
  <x:si>
    <x:t>http://id.who.int/icd/entity/1732097688</x:t>
  </x:si>
  <x:si>
    <x:t>http://id.who.int/icd/release/11/beta/ichi/1732097688</x:t>
  </x:si>
  <x:si>
    <x:t>IZE.JD.AF</x:t>
  </x:si>
  <x:si>
    <x:t>- - - - - Removal of intravascular internal device or foreign body from blood vessel, not elsewhere classified</x:t>
  </x:si>
  <x:si>
    <x:t>http://id.who.int/icd/entity/37835379</x:t>
  </x:si>
  <x:si>
    <x:t>http://id.who.int/icd/release/11/beta/ichi/37835379</x:t>
  </x:si>
  <x:si>
    <x:t>IZE.JE.AA</x:t>
  </x:si>
  <x:si>
    <x:t>- - - - - Extraction of obstruction of blood vessel, not elsewhere classified</x:t>
  </x:si>
  <x:si>
    <x:t>http://id.who.int/icd/entity/1379568580</x:t>
  </x:si>
  <x:si>
    <x:t>http://id.who.int/icd/release/11/beta/ichi/1379568580</x:t>
  </x:si>
  <x:si>
    <x:t>IZE.JJ.AA</x:t>
  </x:si>
  <x:si>
    <x:t>- - - - - Partial excision of blood vessel, not elsewhere classified</x:t>
  </x:si>
  <x:si>
    <x:t>http://id.who.int/icd/entity/1733707194</x:t>
  </x:si>
  <x:si>
    <x:t>http://id.who.int/icd/release/11/beta/ichi/1733707194</x:t>
  </x:si>
  <x:si>
    <x:t>IZE.LA.AA</x:t>
  </x:si>
  <x:si>
    <x:t>- - - - - Occlusion of blood vessel, not elsewhere classified</x:t>
  </x:si>
  <x:si>
    <x:t>http://id.who.int/icd/entity/227791087</x:t>
  </x:si>
  <x:si>
    <x:t>http://id.who.int/icd/release/11/beta/ichi/227791087</x:t>
  </x:si>
  <x:si>
    <x:t>IZE.LI.AA</x:t>
  </x:si>
  <x:si>
    <x:t>- - - - - Bypass of blood vessel, not elsewhere classified</x:t>
  </x:si>
  <x:si>
    <x:t>http://id.who.int/icd/entity/644791423</x:t>
  </x:si>
  <x:si>
    <x:t>http://id.who.int/icd/release/11/beta/ichi/644791423</x:t>
  </x:si>
  <x:si>
    <x:t>IZE.MK.AA</x:t>
  </x:si>
  <x:si>
    <x:t>- - - - - Repair of blood vessel, not elsewhere classified</x:t>
  </x:si>
  <x:si>
    <x:t>http://id.who.int/icd/entity/1117460602</x:t>
  </x:si>
  <x:si>
    <x:t>http://id.who.int/icd/release/11/beta/ichi/1117460602</x:t>
  </x:si>
  <x:si>
    <x:t>IZE.ML.AA</x:t>
  </x:si>
  <x:si>
    <x:t>- - - - - Reconstruction of blood vessel, not elsewhere classified</x:t>
  </x:si>
  <x:si>
    <x:t>http://id.who.int/icd/entity/203057455</x:t>
  </x:si>
  <x:si>
    <x:t>http://id.who.int/icd/release/11/beta/ichi/203057455</x:t>
  </x:si>
  <x:si>
    <x:t>IZE.SN.AF</x:t>
  </x:si>
  <x:si>
    <x:t>- - - - - Management of vascular device, not elsewhere classified</x:t>
  </x:si>
  <x:si>
    <x:t>http://id.who.int/icd/entity/1196085012</x:t>
  </x:si>
  <x:si>
    <x:t>http://id.who.int/icd/release/11/beta/ichi/1196085012</x:t>
  </x:si>
  <x:si>
    <x:t>IZE.ZY.ZZ</x:t>
  </x:si>
  <x:si>
    <x:t>- - - - - Other interventions on vessels, not elsewhere classified</x:t>
  </x:si>
  <x:si>
    <x:t>http://id.who.int/icd/release/11/beta/ichi/1582405162/other</x:t>
  </x:si>
  <x:si>
    <x:t>IZZ.ZY.ZY</x:t>
  </x:si>
  <x:si>
    <x:t>- - - - Other specified interventions on the circulatory system</x:t>
  </x:si>
  <x:si>
    <x:t>http://id.who.int/icd/release/11/beta/ichi/1582405162/unspecified</x:t>
  </x:si>
  <x:si>
    <x:t>IZZ.ZZ.ZZ</x:t>
  </x:si>
  <x:si>
    <x:t>- - - - Interventions on the circulatory system, unspecified</x:t>
  </x:si>
  <x:si>
    <x:t>http://id.who.int/icd/entity/1304914040</x:t>
  </x:si>
  <x:si>
    <x:t>http://id.who.int/icd/release/11/beta/ichi/1304914040</x:t>
  </x:si>
  <x:si>
    <x:t>BlockL3-JAA</x:t>
  </x:si>
  <x:si>
    <x:t>- - - Interventions on the respiratory system or voice or speech</x:t>
  </x:si>
  <x:si>
    <x:t>http://id.who.int/icd/entity/302332251</x:t>
  </x:si>
  <x:si>
    <x:t>http://id.who.int/icd/release/11/beta/ichi/302332251</x:t>
  </x:si>
  <x:si>
    <x:t>BlockL4-JAA</x:t>
  </x:si>
  <x:si>
    <x:t>- - - - Interventions on upper respiratory tract</x:t>
  </x:si>
  <x:si>
    <x:t>140</x:t>
  </x:si>
  <x:si>
    <x:t>http://id.who.int/icd/entity/1832786502</x:t>
  </x:si>
  <x:si>
    <x:t>http://id.who.int/icd/release/11/beta/ichi/1832786502</x:t>
  </x:si>
  <x:si>
    <x:t>JAA.AB.AC</x:t>
  </x:si>
  <x:si>
    <x:t>- - - - - Nasal function study</x:t>
  </x:si>
  <x:si>
    <x:t>http://id.who.int/icd/entity/1486777922</x:t>
  </x:si>
  <x:si>
    <x:t>http://id.who.int/icd/release/11/beta/ichi/1486777922</x:t>
  </x:si>
  <x:si>
    <x:t>JAA.AC.AC</x:t>
  </x:si>
  <x:si>
    <x:t>- - - - - Nasal provocation test</x:t>
  </x:si>
  <x:si>
    <x:t>http://id.who.int/icd/entity/1462232788</x:t>
  </x:si>
  <x:si>
    <x:t>http://id.who.int/icd/release/11/beta/ichi/1462232788</x:t>
  </x:si>
  <x:si>
    <x:t>JAA.AD.AA</x:t>
  </x:si>
  <x:si>
    <x:t>- - - - - Biopsy of nose</x:t>
  </x:si>
  <x:si>
    <x:t>http://id.who.int/icd/entity/123486051</x:t>
  </x:si>
  <x:si>
    <x:t>http://id.who.int/icd/release/11/beta/ichi/123486051</x:t>
  </x:si>
  <x:si>
    <x:t>JAA.AD.AD</x:t>
  </x:si>
  <x:si>
    <x:t>- - - - - Endoscopic biopsy of nose</x:t>
  </x:si>
  <x:si>
    <x:t>http://id.who.int/icd/entity/653296605</x:t>
  </x:si>
  <x:si>
    <x:t>http://id.who.int/icd/release/11/beta/ichi/653296605</x:t>
  </x:si>
  <x:si>
    <x:t>JAA.AE.AD</x:t>
  </x:si>
  <x:si>
    <x:t>- - - - - Rhinoscopy</x:t>
  </x:si>
  <x:si>
    <x:t>http://id.who.int/icd/entity/162560371</x:t>
  </x:si>
  <x:si>
    <x:t>http://id.who.int/icd/release/11/beta/ichi/162560371</x:t>
  </x:si>
  <x:si>
    <x:t>JAA.DN.AC</x:t>
  </x:si>
  <x:si>
    <x:t>- - - - - Implantation of device into nose</x:t>
  </x:si>
  <x:si>
    <x:t>http://id.who.int/icd/entity/1506517188</x:t>
  </x:si>
  <x:si>
    <x:t>http://id.who.int/icd/release/11/beta/ichi/1506517188</x:t>
  </x:si>
  <x:si>
    <x:t>JAA.FA.AA</x:t>
  </x:si>
  <x:si>
    <x:t>- - - - - Incision of nose</x:t>
  </x:si>
  <x:si>
    <x:t>http://id.who.int/icd/entity/1560252222</x:t>
  </x:si>
  <x:si>
    <x:t>http://id.who.int/icd/release/11/beta/ichi/1560252222</x:t>
  </x:si>
  <x:si>
    <x:t>JAA.FC.AA</x:t>
  </x:si>
  <x:si>
    <x:t>- - - - - Release of adhesions of nose</x:t>
  </x:si>
  <x:si>
    <x:t>http://id.who.int/icd/entity/381904983</x:t>
  </x:si>
  <x:si>
    <x:t>http://id.who.int/icd/release/11/beta/ichi/381904983</x:t>
  </x:si>
  <x:si>
    <x:t>JAA.FC.AD</x:t>
  </x:si>
  <x:si>
    <x:t>- - - - - Endoscopic release of adhesions of nose</x:t>
  </x:si>
  <x:si>
    <x:t>http://id.who.int/icd/entity/1986962172</x:t>
  </x:si>
  <x:si>
    <x:t>http://id.who.int/icd/release/11/beta/ichi/1986962172</x:t>
  </x:si>
  <x:si>
    <x:t>JAA.GA.AC</x:t>
  </x:si>
  <x:si>
    <x:t>- - - - - Destruction of intranasal lesion</x:t>
  </x:si>
  <x:si>
    <x:t>http://id.who.int/icd/entity/2104147026</x:t>
  </x:si>
  <x:si>
    <x:t>http://id.who.int/icd/release/11/beta/ichi/2104147026</x:t>
  </x:si>
  <x:si>
    <x:t>JAA.JA.AC</x:t>
  </x:si>
  <x:si>
    <x:t>- - - - - Irrigation of nasal passages</x:t>
  </x:si>
  <x:si>
    <x:t>http://id.who.int/icd/entity/1814666278</x:t>
  </x:si>
  <x:si>
    <x:t>http://id.who.int/icd/release/11/beta/ichi/1814666278</x:t>
  </x:si>
  <x:si>
    <x:t>JAA.JD.AA</x:t>
  </x:si>
  <x:si>
    <x:t>- - - - - Removal of internal device or foreign body from nose</x:t>
  </x:si>
  <x:si>
    <x:t>http://id.who.int/icd/entity/2095252880</x:t>
  </x:si>
  <x:si>
    <x:t>http://id.who.int/icd/release/11/beta/ichi/2095252880</x:t>
  </x:si>
  <x:si>
    <x:t>JAA.JD.AC</x:t>
  </x:si>
  <x:si>
    <x:t>- - - - - Removal of intraluminal internal device or foreign body from nose without incision</x:t>
  </x:si>
  <x:si>
    <x:t>http://id.who.int/icd/entity/1935314178</x:t>
  </x:si>
  <x:si>
    <x:t>http://id.who.int/icd/release/11/beta/ichi/1935314178</x:t>
  </x:si>
  <x:si>
    <x:t>JAA.JI.AA</x:t>
  </x:si>
  <x:si>
    <x:t>- - - - - Local excision of lesion of nose</x:t>
  </x:si>
  <x:si>
    <x:t>http://id.who.int/icd/entity/2084877794</x:t>
  </x:si>
  <x:si>
    <x:t>http://id.who.int/icd/release/11/beta/ichi/2084877794</x:t>
  </x:si>
  <x:si>
    <x:t>JAA.JI.AD</x:t>
  </x:si>
  <x:si>
    <x:t>- - - - - Endoscopic local excision of lesion of nose</x:t>
  </x:si>
  <x:si>
    <x:t>http://id.who.int/icd/entity/214310509</x:t>
  </x:si>
  <x:si>
    <x:t>http://id.who.int/icd/release/11/beta/ichi/214310509</x:t>
  </x:si>
  <x:si>
    <x:t>JAA.JJ.AA</x:t>
  </x:si>
  <x:si>
    <x:t>- - - - - Partial excision of nose</x:t>
  </x:si>
  <x:si>
    <x:t>http://id.who.int/icd/entity/596042947</x:t>
  </x:si>
  <x:si>
    <x:t>http://id.who.int/icd/release/11/beta/ichi/596042947</x:t>
  </x:si>
  <x:si>
    <x:t>JAA.JN.AA</x:t>
  </x:si>
  <x:si>
    <x:t>- - - - - Resection of nose</x:t>
  </x:si>
  <x:si>
    <x:t>http://id.who.int/icd/entity/907237509</x:t>
  </x:si>
  <x:si>
    <x:t>http://id.who.int/icd/release/11/beta/ichi/907237509</x:t>
  </x:si>
  <x:si>
    <x:t>JAA.KA.AC</x:t>
  </x:si>
  <x:si>
    <x:t>- - - - - Replacement of nasal packing</x:t>
  </x:si>
  <x:si>
    <x:t>http://id.who.int/icd/entity/1718124852</x:t>
  </x:si>
  <x:si>
    <x:t>http://id.who.int/icd/release/11/beta/ichi/1718124852</x:t>
  </x:si>
  <x:si>
    <x:t>JAA.LA.AC</x:t>
  </x:si>
  <x:si>
    <x:t>- - - - - Control of epistaxis</x:t>
  </x:si>
  <x:si>
    <x:t>http://id.who.int/icd/entity/1149638566</x:t>
  </x:si>
  <x:si>
    <x:t>http://id.who.int/icd/release/11/beta/ichi/1149638566</x:t>
  </x:si>
  <x:si>
    <x:t>JAA.LB.AA</x:t>
  </x:si>
  <x:si>
    <x:t>- - - - - Reattachment of nose</x:t>
  </x:si>
  <x:si>
    <x:t>http://id.who.int/icd/entity/967495703</x:t>
  </x:si>
  <x:si>
    <x:t>http://id.who.int/icd/release/11/beta/ichi/967495703</x:t>
  </x:si>
  <x:si>
    <x:t>JAA.LC.AH</x:t>
  </x:si>
  <x:si>
    <x:t>- - - - - Immobilisation of nose</x:t>
  </x:si>
  <x:si>
    <x:t>http://id.who.int/icd/entity/1017053161</x:t>
  </x:si>
  <x:si>
    <x:t>http://id.who.int/icd/release/11/beta/ichi/1017053161</x:t>
  </x:si>
  <x:si>
    <x:t>JAA.MK.AA</x:t>
  </x:si>
  <x:si>
    <x:t>- - - - - Closure of nasal fistula</x:t>
  </x:si>
  <x:si>
    <x:t>http://id.who.int/icd/entity/1448831680</x:t>
  </x:si>
  <x:si>
    <x:t>http://id.who.int/icd/release/11/beta/ichi/1448831680</x:t>
  </x:si>
  <x:si>
    <x:t>JAA.ML.AA</x:t>
  </x:si>
  <x:si>
    <x:t>- - - - - Reconstruction of nose</x:t>
  </x:si>
  <x:si>
    <x:t>http://id.who.int/icd/entity/671877361</x:t>
  </x:si>
  <x:si>
    <x:t>http://id.who.int/icd/release/11/beta/ichi/671877361</x:t>
  </x:si>
  <x:si>
    <x:t>JAB.FA.AC</x:t>
  </x:si>
  <x:si>
    <x:t>- - - - - Nasal septotomy</x:t>
  </x:si>
  <x:si>
    <x:t>http://id.who.int/icd/entity/961489031</x:t>
  </x:si>
  <x:si>
    <x:t>http://id.who.int/icd/release/11/beta/ichi/961489031</x:t>
  </x:si>
  <x:si>
    <x:t>JAB.GA.AC</x:t>
  </x:si>
  <x:si>
    <x:t>- - - - - Destruction of nasal septum</x:t>
  </x:si>
  <x:si>
    <x:t>http://id.who.int/icd/entity/696627505</x:t>
  </x:si>
  <x:si>
    <x:t>http://id.who.int/icd/release/11/beta/ichi/696627505</x:t>
  </x:si>
  <x:si>
    <x:t>JAB.JJ.AC</x:t>
  </x:si>
  <x:si>
    <x:t>- - - - - Submucous resection of nasal septum</x:t>
  </x:si>
  <x:si>
    <x:t>http://id.who.int/icd/entity/41475489</x:t>
  </x:si>
  <x:si>
    <x:t>http://id.who.int/icd/release/11/beta/ichi/41475489</x:t>
  </x:si>
  <x:si>
    <x:t>JAB.ML.AC</x:t>
  </x:si>
  <x:si>
    <x:t>- - - - - Septoplasty</x:t>
  </x:si>
  <x:si>
    <x:t>http://id.who.int/icd/entity/1367962522</x:t>
  </x:si>
  <x:si>
    <x:t>http://id.who.int/icd/release/11/beta/ichi/1367962522</x:t>
  </x:si>
  <x:si>
    <x:t>JAC.AH.XF</x:t>
  </x:si>
  <x:si>
    <x:t>- - - - - Specimen collection from nasal turbinate</x:t>
  </x:si>
  <x:si>
    <x:t>http://id.who.int/icd/entity/1455329840</x:t>
  </x:si>
  <x:si>
    <x:t>http://id.who.int/icd/release/11/beta/ichi/1455329840</x:t>
  </x:si>
  <x:si>
    <x:t>JAC.FB.AC</x:t>
  </x:si>
  <x:si>
    <x:t>- - - - - Fracture of the turbinates</x:t>
  </x:si>
  <x:si>
    <x:t>http://id.who.int/icd/entity/1281236100</x:t>
  </x:si>
  <x:si>
    <x:t>http://id.who.int/icd/release/11/beta/ichi/1281236100</x:t>
  </x:si>
  <x:si>
    <x:t>JAC.GA.AC</x:t>
  </x:si>
  <x:si>
    <x:t>- - - - - Destruction procedures on nasal turbinate</x:t>
  </x:si>
  <x:si>
    <x:t>http://id.who.int/icd/entity/1738764308</x:t>
  </x:si>
  <x:si>
    <x:t>http://id.who.int/icd/release/11/beta/ichi/1738764308</x:t>
  </x:si>
  <x:si>
    <x:t>JAC.JJ.AC</x:t>
  </x:si>
  <x:si>
    <x:t>- - - - - Partial turbinectomy</x:t>
  </x:si>
  <x:si>
    <x:t>http://id.who.int/icd/entity/862273435</x:t>
  </x:si>
  <x:si>
    <x:t>http://id.who.int/icd/release/11/beta/ichi/862273435</x:t>
  </x:si>
  <x:si>
    <x:t>JAC.JJ.AD</x:t>
  </x:si>
  <x:si>
    <x:t>- - - - - Endoscopic endonasal partial turbinectomy</x:t>
  </x:si>
  <x:si>
    <x:t>http://id.who.int/icd/entity/533176082</x:t>
  </x:si>
  <x:si>
    <x:t>http://id.who.int/icd/release/11/beta/ichi/533176082</x:t>
  </x:si>
  <x:si>
    <x:t>JAC.JK.AC</x:t>
  </x:si>
  <x:si>
    <x:t>- - - - - Total turbinectomy</x:t>
  </x:si>
  <x:si>
    <x:t>http://id.who.int/icd/entity/348357052</x:t>
  </x:si>
  <x:si>
    <x:t>http://id.who.int/icd/release/11/beta/ichi/348357052</x:t>
  </x:si>
  <x:si>
    <x:t>JAC.JK.AD</x:t>
  </x:si>
  <x:si>
    <x:t>- - - - - Endoscopic endonasal turbinectomy</x:t>
  </x:si>
  <x:si>
    <x:t>http://id.who.int/icd/entity/1318816798</x:t>
  </x:si>
  <x:si>
    <x:t>http://id.who.int/icd/release/11/beta/ichi/1318816798</x:t>
  </x:si>
  <x:si>
    <x:t>JAC.LA.AC</x:t>
  </x:si>
  <x:si>
    <x:t>- - - - - Control of turbinate epistaxis</x:t>
  </x:si>
  <x:si>
    <x:t>http://id.who.int/icd/entity/92316108</x:t>
  </x:si>
  <x:si>
    <x:t>http://id.who.int/icd/release/11/beta/ichi/92316108</x:t>
  </x:si>
  <x:si>
    <x:t>JAE.AD.AA</x:t>
  </x:si>
  <x:si>
    <x:t>- - - - - Biopsy of paranasal sinus, not elsewhere classified</x:t>
  </x:si>
  <x:si>
    <x:t>http://id.who.int/icd/entity/900942400</x:t>
  </x:si>
  <x:si>
    <x:t>http://id.who.int/icd/release/11/beta/ichi/900942400</x:t>
  </x:si>
  <x:si>
    <x:t>JAE.AD.AD</x:t>
  </x:si>
  <x:si>
    <x:t>- - - - - Endoscopic biopsy of paranasal sinus, not elsewhere classified</x:t>
  </x:si>
  <x:si>
    <x:t>http://id.who.int/icd/entity/508438224</x:t>
  </x:si>
  <x:si>
    <x:t>http://id.who.int/icd/release/11/beta/ichi/508438224</x:t>
  </x:si>
  <x:si>
    <x:t>JAE.AD.AE</x:t>
  </x:si>
  <x:si>
    <x:t>- - - - - Percutaneous biopsy of paranasal sinus, not elsewhere classified</x:t>
  </x:si>
  <x:si>
    <x:t>http://id.who.int/icd/entity/1785797475</x:t>
  </x:si>
  <x:si>
    <x:t>http://id.who.int/icd/release/11/beta/ichi/1785797475</x:t>
  </x:si>
  <x:si>
    <x:t>JAE.AE.AC</x:t>
  </x:si>
  <x:si>
    <x:t>- - - - - Transillumination of paranasal sinus, not elsewhere classified</x:t>
  </x:si>
  <x:si>
    <x:t>http://id.who.int/icd/entity/1872808973</x:t>
  </x:si>
  <x:si>
    <x:t>http://id.who.int/icd/release/11/beta/ichi/1872808973</x:t>
  </x:si>
  <x:si>
    <x:t>JAE.AE.AD</x:t>
  </x:si>
  <x:si>
    <x:t>- - - - - Endoscopy of paranasal sinus, not elsewhere classified</x:t>
  </x:si>
  <x:si>
    <x:t>http://id.who.int/icd/entity/608172011</x:t>
  </x:si>
  <x:si>
    <x:t>http://id.who.int/icd/release/11/beta/ichi/608172011</x:t>
  </x:si>
  <x:si>
    <x:t>JAE.AH.XF</x:t>
  </x:si>
  <x:si>
    <x:t>- - - - - Specimen collection from paranasal sinus, not elsewhere classified</x:t>
  </x:si>
  <x:si>
    <x:t>http://id.who.int/icd/entity/1146986653</x:t>
  </x:si>
  <x:si>
    <x:t>http://id.who.int/icd/release/11/beta/ichi/1146986653</x:t>
  </x:si>
  <x:si>
    <x:t>JAE.BA.BA</x:t>
  </x:si>
  <x:si>
    <x:t>- - - - - X-ray of paranasal sinuses, not elsewhere classified</x:t>
  </x:si>
  <x:si>
    <x:t>http://id.who.int/icd/entity/1428062443</x:t>
  </x:si>
  <x:si>
    <x:t>http://id.who.int/icd/release/11/beta/ichi/1428062443</x:t>
  </x:si>
  <x:si>
    <x:t>JAE.BA.BB</x:t>
  </x:si>
  <x:si>
    <x:t>- - - - - Contrast radiogram of paranasal sinus, not elsewhere classified</x:t>
  </x:si>
  <x:si>
    <x:t>http://id.who.int/icd/entity/5338790</x:t>
  </x:si>
  <x:si>
    <x:t>http://id.who.int/icd/release/11/beta/ichi/5338790</x:t>
  </x:si>
  <x:si>
    <x:t>JAE.BA.BC</x:t>
  </x:si>
  <x:si>
    <x:t>- - - - - Computerised tomography of paranasal sinuses, not elsewhere classified</x:t>
  </x:si>
  <x:si>
    <x:t>http://id.who.int/icd/entity/1848210893</x:t>
  </x:si>
  <x:si>
    <x:t>http://id.who.int/icd/release/11/beta/ichi/1848210893</x:t>
  </x:si>
  <x:si>
    <x:t>JAE.BA.BD</x:t>
  </x:si>
  <x:si>
    <x:t>- - - - - Computerised tomography of paranasal sinuses with intravenous contrast medium, not elsewhere classified</x:t>
  </x:si>
  <x:si>
    <x:t>http://id.who.int/icd/entity/1603479431</x:t>
  </x:si>
  <x:si>
    <x:t>http://id.who.int/icd/release/11/beta/ichi/1603479431</x:t>
  </x:si>
  <x:si>
    <x:t>JAE.BA.BJ</x:t>
  </x:si>
  <x:si>
    <x:t>- - - - - Ultrasound of paranasal sinus, not elsewhere classified</x:t>
  </x:si>
  <x:si>
    <x:t>http://id.who.int/icd/entity/1165207853</x:t>
  </x:si>
  <x:si>
    <x:t>http://id.who.int/icd/release/11/beta/ichi/1165207853</x:t>
  </x:si>
  <x:si>
    <x:t>JAE.FA.AA</x:t>
  </x:si>
  <x:si>
    <x:t>- - - - - Sinusotomy, not elsewhere classified</x:t>
  </x:si>
  <x:si>
    <x:t>http://id.who.int/icd/entity/722184772</x:t>
  </x:si>
  <x:si>
    <x:t>http://id.who.int/icd/release/11/beta/ichi/722184772</x:t>
  </x:si>
  <x:si>
    <x:t>JAE.JB.AA</x:t>
  </x:si>
  <x:si>
    <x:t>- - - - - Drainage of paranasal sinus, not elsewhere classified</x:t>
  </x:si>
  <x:si>
    <x:t>http://id.who.int/icd/entity/1597282295</x:t>
  </x:si>
  <x:si>
    <x:t>http://id.who.int/icd/release/11/beta/ichi/1597282295</x:t>
  </x:si>
  <x:si>
    <x:t>JAE.JB.AC</x:t>
  </x:si>
  <x:si>
    <x:t>- - - - - Drainage of paranasal sinus through natural ostium, not elsewhere classified</x:t>
  </x:si>
  <x:si>
    <x:t>http://id.who.int/icd/entity/1252076465</x:t>
  </x:si>
  <x:si>
    <x:t>http://id.who.int/icd/release/11/beta/ichi/1252076465</x:t>
  </x:si>
  <x:si>
    <x:t>JAE.JB.AE</x:t>
  </x:si>
  <x:si>
    <x:t>- - - - - Puncture of paranasal sinus for aspiration or lavage, not elsewhere classified</x:t>
  </x:si>
  <x:si>
    <x:t>http://id.who.int/icd/entity/1709297951</x:t>
  </x:si>
  <x:si>
    <x:t>http://id.who.int/icd/release/11/beta/ichi/1709297951</x:t>
  </x:si>
  <x:si>
    <x:t>JAE.JI.AC</x:t>
  </x:si>
  <x:si>
    <x:t>- - - - - Local excision of lesion of paranasal sinus, not elsewhere classified</x:t>
  </x:si>
  <x:si>
    <x:t>http://id.who.int/icd/entity/518018479</x:t>
  </x:si>
  <x:si>
    <x:t>http://id.who.int/icd/release/11/beta/ichi/518018479</x:t>
  </x:si>
  <x:si>
    <x:t>JAE.JI.AD</x:t>
  </x:si>
  <x:si>
    <x:t>- - - - - Endoscopic local excision of lesion of paranasal sinus, not elsewhere classified</x:t>
  </x:si>
  <x:si>
    <x:t>http://id.who.int/icd/entity/358840980</x:t>
  </x:si>
  <x:si>
    <x:t>http://id.who.int/icd/release/11/beta/ichi/358840980</x:t>
  </x:si>
  <x:si>
    <x:t>JAE.JJ.AA</x:t>
  </x:si>
  <x:si>
    <x:t>- - - - - Paranasal sinusectomy, not elsewhere classified</x:t>
  </x:si>
  <x:si>
    <x:t>http://id.who.int/icd/entity/1624637153</x:t>
  </x:si>
  <x:si>
    <x:t>http://id.who.int/icd/release/11/beta/ichi/1624637153</x:t>
  </x:si>
  <x:si>
    <x:t>JAE.JJ.AD</x:t>
  </x:si>
  <x:si>
    <x:t>- - - - - Endoscopic paranasal sinusectomy, not elsewhere classified</x:t>
  </x:si>
  <x:si>
    <x:t>http://id.who.int/icd/entity/168848312</x:t>
  </x:si>
  <x:si>
    <x:t>http://id.who.int/icd/release/11/beta/ichi/168848312</x:t>
  </x:si>
  <x:si>
    <x:t>JAE.LG.AC</x:t>
  </x:si>
  <x:si>
    <x:t>- - - - - Dilatation of frontonasal duct, not elsewhere classified</x:t>
  </x:si>
  <x:si>
    <x:t>http://id.who.int/icd/entity/2135103317</x:t>
  </x:si>
  <x:si>
    <x:t>http://id.who.int/icd/release/11/beta/ichi/2135103317</x:t>
  </x:si>
  <x:si>
    <x:t>JAE.MK.AA</x:t>
  </x:si>
  <x:si>
    <x:t>- - - - - Repair of paranasal sinus, not elsewhere classified</x:t>
  </x:si>
  <x:si>
    <x:t>http://id.who.int/icd/entity/264412027</x:t>
  </x:si>
  <x:si>
    <x:t>http://id.who.int/icd/release/11/beta/ichi/264412027</x:t>
  </x:si>
  <x:si>
    <x:t>JAF.AH.XF</x:t>
  </x:si>
  <x:si>
    <x:t>- - - - - Specimen collection from maxillary sinus</x:t>
  </x:si>
  <x:si>
    <x:t>http://id.who.int/icd/entity/289084476</x:t>
  </x:si>
  <x:si>
    <x:t>http://id.who.int/icd/release/11/beta/ichi/289084476</x:t>
  </x:si>
  <x:si>
    <x:t>JAF.FA.AA</x:t>
  </x:si>
  <x:si>
    <x:t>- - - - - Radical maxillary antrotomy</x:t>
  </x:si>
  <x:si>
    <x:t>http://id.who.int/icd/entity/1527247703</x:t>
  </x:si>
  <x:si>
    <x:t>http://id.who.int/icd/release/11/beta/ichi/1527247703</x:t>
  </x:si>
  <x:si>
    <x:t>JAF.FA.AD</x:t>
  </x:si>
  <x:si>
    <x:t>- - - - - Endoscopic radical maxillary antrotomy</x:t>
  </x:si>
  <x:si>
    <x:t>http://id.who.int/icd/entity/1613760113</x:t>
  </x:si>
  <x:si>
    <x:t>http://id.who.int/icd/release/11/beta/ichi/1613760113</x:t>
  </x:si>
  <x:si>
    <x:t>JAF.JB.AC</x:t>
  </x:si>
  <x:si>
    <x:t>- - - - - Drainage of maxillary sinus</x:t>
  </x:si>
  <x:si>
    <x:t>http://id.who.int/icd/entity/1072846674</x:t>
  </x:si>
  <x:si>
    <x:t>http://id.who.int/icd/release/11/beta/ichi/1072846674</x:t>
  </x:si>
  <x:si>
    <x:t>JAF.JB.AD</x:t>
  </x:si>
  <x:si>
    <x:t>- - - - - Endoscopic drainage of maxillary sinus</x:t>
  </x:si>
  <x:si>
    <x:t>http://id.who.int/icd/entity/1871285987</x:t>
  </x:si>
  <x:si>
    <x:t>http://id.who.int/icd/release/11/beta/ichi/1871285987</x:t>
  </x:si>
  <x:si>
    <x:t>JAF.JI.AC</x:t>
  </x:si>
  <x:si>
    <x:t>- - - - - Local excision of lesion of maxillary sinus</x:t>
  </x:si>
  <x:si>
    <x:t>http://id.who.int/icd/entity/1044185547</x:t>
  </x:si>
  <x:si>
    <x:t>http://id.who.int/icd/release/11/beta/ichi/1044185547</x:t>
  </x:si>
  <x:si>
    <x:t>JAF.JI.AD</x:t>
  </x:si>
  <x:si>
    <x:t>- - - - - Endoscopic local excision of lesion of maxillary sinus</x:t>
  </x:si>
  <x:si>
    <x:t>http://id.who.int/icd/entity/99331012</x:t>
  </x:si>
  <x:si>
    <x:t>http://id.who.int/icd/release/11/beta/ichi/99331012</x:t>
  </x:si>
  <x:si>
    <x:t>JAF.JJ.AA</x:t>
  </x:si>
  <x:si>
    <x:t>- - - - - Maxillary sinusectomy</x:t>
  </x:si>
  <x:si>
    <x:t>http://id.who.int/icd/entity/1062594340</x:t>
  </x:si>
  <x:si>
    <x:t>http://id.who.int/icd/release/11/beta/ichi/1062594340</x:t>
  </x:si>
  <x:si>
    <x:t>JAF.MK.AA</x:t>
  </x:si>
  <x:si>
    <x:t>- - - - - Repair of maxillary sinus</x:t>
  </x:si>
  <x:si>
    <x:t>http://id.who.int/icd/entity/185069012</x:t>
  </x:si>
  <x:si>
    <x:t>http://id.who.int/icd/release/11/beta/ichi/185069012</x:t>
  </x:si>
  <x:si>
    <x:t>JAF.ML.AA</x:t>
  </x:si>
  <x:si>
    <x:t>- - - - - Reconstruction of maxillary sinus</x:t>
  </x:si>
  <x:si>
    <x:t>http://id.who.int/icd/entity/258938</x:t>
  </x:si>
  <x:si>
    <x:t>http://id.who.int/icd/release/11/beta/ichi/258938</x:t>
  </x:si>
  <x:si>
    <x:t>JAG.AD.AA</x:t>
  </x:si>
  <x:si>
    <x:t>- - - - - Biopsy of frontal sinus</x:t>
  </x:si>
  <x:si>
    <x:t>http://id.who.int/icd/entity/511818509</x:t>
  </x:si>
  <x:si>
    <x:t>http://id.who.int/icd/release/11/beta/ichi/511818509</x:t>
  </x:si>
  <x:si>
    <x:t>JAG.AH.XF</x:t>
  </x:si>
  <x:si>
    <x:t>- - - - - Specimen collection from frontal sinus</x:t>
  </x:si>
  <x:si>
    <x:t>http://id.who.int/icd/entity/289461006</x:t>
  </x:si>
  <x:si>
    <x:t>http://id.who.int/icd/release/11/beta/ichi/289461006</x:t>
  </x:si>
  <x:si>
    <x:t>JAG.FA.AA</x:t>
  </x:si>
  <x:si>
    <x:t>- - - - - Frontal sinusotomy</x:t>
  </x:si>
  <x:si>
    <x:t>http://id.who.int/icd/entity/1144130858</x:t>
  </x:si>
  <x:si>
    <x:t>http://id.who.int/icd/release/11/beta/ichi/1144130858</x:t>
  </x:si>
  <x:si>
    <x:t>JAG.FA.AD</x:t>
  </x:si>
  <x:si>
    <x:t>- - - - - Endoscopic frontal sinusotomy</x:t>
  </x:si>
  <x:si>
    <x:t>http://id.who.int/icd/entity/1693865853</x:t>
  </x:si>
  <x:si>
    <x:t>http://id.who.int/icd/release/11/beta/ichi/1693865853</x:t>
  </x:si>
  <x:si>
    <x:t>JAG.JB.AE</x:t>
  </x:si>
  <x:si>
    <x:t>- - - - - Percutaneous drainage of the frontal sinus</x:t>
  </x:si>
  <x:si>
    <x:t>http://id.who.int/icd/entity/881692366</x:t>
  </x:si>
  <x:si>
    <x:t>http://id.who.int/icd/release/11/beta/ichi/881692366</x:t>
  </x:si>
  <x:si>
    <x:t>JAG.JI.AC</x:t>
  </x:si>
  <x:si>
    <x:t>- - - - - Local excision of lesion of frontal sinus</x:t>
  </x:si>
  <x:si>
    <x:t>http://id.who.int/icd/entity/466449506</x:t>
  </x:si>
  <x:si>
    <x:t>http://id.who.int/icd/release/11/beta/ichi/466449506</x:t>
  </x:si>
  <x:si>
    <x:t>JAG.JI.AD</x:t>
  </x:si>
  <x:si>
    <x:t>- - - - - Endoscopic local excision of lesion of frontal sinus</x:t>
  </x:si>
  <x:si>
    <x:t>http://id.who.int/icd/entity/1055248690</x:t>
  </x:si>
  <x:si>
    <x:t>http://id.who.int/icd/release/11/beta/ichi/1055248690</x:t>
  </x:si>
  <x:si>
    <x:t>JAG.JJ.AA</x:t>
  </x:si>
  <x:si>
    <x:t>- - - - - Frontal sinusectomy</x:t>
  </x:si>
  <x:si>
    <x:t>http://id.who.int/icd/entity/1855850625</x:t>
  </x:si>
  <x:si>
    <x:t>http://id.who.int/icd/release/11/beta/ichi/1855850625</x:t>
  </x:si>
  <x:si>
    <x:t>JAG.LA.AA</x:t>
  </x:si>
  <x:si>
    <x:t>- - - - - Obliteration of frontal sinus</x:t>
  </x:si>
  <x:si>
    <x:t>http://id.who.int/icd/entity/1105130031</x:t>
  </x:si>
  <x:si>
    <x:t>http://id.who.int/icd/release/11/beta/ichi/1105130031</x:t>
  </x:si>
  <x:si>
    <x:t>JAG.ML.AA</x:t>
  </x:si>
  <x:si>
    <x:t>- - - - - Reconstruction of frontonasal duct, not elsewhere classified</x:t>
  </x:si>
  <x:si>
    <x:t>http://id.who.int/icd/entity/345048160</x:t>
  </x:si>
  <x:si>
    <x:t>http://id.who.int/icd/release/11/beta/ichi/345048160</x:t>
  </x:si>
  <x:si>
    <x:t>JAH.AD.AA</x:t>
  </x:si>
  <x:si>
    <x:t>- - - - - Biopsy of ethmoidal sinus</x:t>
  </x:si>
  <x:si>
    <x:t>http://id.who.int/icd/entity/458255459</x:t>
  </x:si>
  <x:si>
    <x:t>http://id.who.int/icd/release/11/beta/ichi/458255459</x:t>
  </x:si>
  <x:si>
    <x:t>JAH.AH.XF</x:t>
  </x:si>
  <x:si>
    <x:t>- - - - - Specimen collection from ethmoid sinus</x:t>
  </x:si>
  <x:si>
    <x:t>http://id.who.int/icd/entity/1156242897</x:t>
  </x:si>
  <x:si>
    <x:t>http://id.who.int/icd/release/11/beta/ichi/1156242897</x:t>
  </x:si>
  <x:si>
    <x:t>JAH.FA.AA</x:t>
  </x:si>
  <x:si>
    <x:t>- - - - - Ethmoidotomy</x:t>
  </x:si>
  <x:si>
    <x:t>http://id.who.int/icd/entity/455642354</x:t>
  </x:si>
  <x:si>
    <x:t>http://id.who.int/icd/release/11/beta/ichi/455642354</x:t>
  </x:si>
  <x:si>
    <x:t>JAH.JI.AC</x:t>
  </x:si>
  <x:si>
    <x:t>- - - - - Local excision of lesion of ethmoidal sinus</x:t>
  </x:si>
  <x:si>
    <x:t>http://id.who.int/icd/entity/1629137018</x:t>
  </x:si>
  <x:si>
    <x:t>http://id.who.int/icd/release/11/beta/ichi/1629137018</x:t>
  </x:si>
  <x:si>
    <x:t>JAH.JI.AD</x:t>
  </x:si>
  <x:si>
    <x:t>- - - - - Endoscopic local excision of lesion of ethmoidal sinus</x:t>
  </x:si>
  <x:si>
    <x:t>http://id.who.int/icd/entity/1900718549</x:t>
  </x:si>
  <x:si>
    <x:t>http://id.who.int/icd/release/11/beta/ichi/1900718549</x:t>
  </x:si>
  <x:si>
    <x:t>JAH.JJ.AA</x:t>
  </x:si>
  <x:si>
    <x:t>- - - - - Ethmoidectomy</x:t>
  </x:si>
  <x:si>
    <x:t>http://id.who.int/icd/entity/29885018</x:t>
  </x:si>
  <x:si>
    <x:t>http://id.who.int/icd/release/11/beta/ichi/29885018</x:t>
  </x:si>
  <x:si>
    <x:t>JAH.JJ.AD</x:t>
  </x:si>
  <x:si>
    <x:t>- - - - - Endoscopic ethmoidectomy</x:t>
  </x:si>
  <x:si>
    <x:t>http://id.who.int/icd/entity/1577735035</x:t>
  </x:si>
  <x:si>
    <x:t>http://id.who.int/icd/release/11/beta/ichi/1577735035</x:t>
  </x:si>
  <x:si>
    <x:t>JAH.JK.AA</x:t>
  </x:si>
  <x:si>
    <x:t>- - - - - Total ethmoidectomy</x:t>
  </x:si>
  <x:si>
    <x:t>http://id.who.int/icd/entity/1979138027</x:t>
  </x:si>
  <x:si>
    <x:t>http://id.who.int/icd/release/11/beta/ichi/1979138027</x:t>
  </x:si>
  <x:si>
    <x:t>JAI.AD.AA</x:t>
  </x:si>
  <x:si>
    <x:t>- - - - - Biopsy of sphenoidal sinus</x:t>
  </x:si>
  <x:si>
    <x:t>http://id.who.int/icd/entity/1261155796</x:t>
  </x:si>
  <x:si>
    <x:t>http://id.who.int/icd/release/11/beta/ichi/1261155796</x:t>
  </x:si>
  <x:si>
    <x:t>JAI.AH.XF</x:t>
  </x:si>
  <x:si>
    <x:t>- - - - - Specimen collection from sphenoid sinus</x:t>
  </x:si>
  <x:si>
    <x:t>http://id.who.int/icd/entity/236617924</x:t>
  </x:si>
  <x:si>
    <x:t>http://id.who.int/icd/release/11/beta/ichi/236617924</x:t>
  </x:si>
  <x:si>
    <x:t>JAI.FA.AA</x:t>
  </x:si>
  <x:si>
    <x:t>- - - - - Sphenoidotomy</x:t>
  </x:si>
  <x:si>
    <x:t>http://id.who.int/icd/entity/1373164007</x:t>
  </x:si>
  <x:si>
    <x:t>http://id.who.int/icd/release/11/beta/ichi/1373164007</x:t>
  </x:si>
  <x:si>
    <x:t>JAI.JI.AC</x:t>
  </x:si>
  <x:si>
    <x:t>- - - - - Local excision of lesion of sphenoidal sinus</x:t>
  </x:si>
  <x:si>
    <x:t>http://id.who.int/icd/entity/828469705</x:t>
  </x:si>
  <x:si>
    <x:t>http://id.who.int/icd/release/11/beta/ichi/828469705</x:t>
  </x:si>
  <x:si>
    <x:t>JAI.JI.AD</x:t>
  </x:si>
  <x:si>
    <x:t>- - - - - Endoscopic local excision of lesion of sphenoidal sinus</x:t>
  </x:si>
  <x:si>
    <x:t>http://id.who.int/icd/entity/1067504270</x:t>
  </x:si>
  <x:si>
    <x:t>http://id.who.int/icd/release/11/beta/ichi/1067504270</x:t>
  </x:si>
  <x:si>
    <x:t>JAI.JJ.AA</x:t>
  </x:si>
  <x:si>
    <x:t>- - - - - Sphenoidectomy</x:t>
  </x:si>
  <x:si>
    <x:t>http://id.who.int/icd/entity/77014952</x:t>
  </x:si>
  <x:si>
    <x:t>http://id.who.int/icd/release/11/beta/ichi/77014952</x:t>
  </x:si>
  <x:si>
    <x:t>JAI.JJ.AD</x:t>
  </x:si>
  <x:si>
    <x:t>- - - - - Endoscopic sphenoidectomy</x:t>
  </x:si>
  <x:si>
    <x:t>http://id.who.int/icd/entity/1532327563</x:t>
  </x:si>
  <x:si>
    <x:t>http://id.who.int/icd/release/11/beta/ichi/1532327563</x:t>
  </x:si>
  <x:si>
    <x:t>JAM.AD.AD</x:t>
  </x:si>
  <x:si>
    <x:t>- - - - - Nasopharyngoscopy with biopsy</x:t>
  </x:si>
  <x:si>
    <x:t>http://id.who.int/icd/entity/187608890</x:t>
  </x:si>
  <x:si>
    <x:t>http://id.who.int/icd/release/11/beta/ichi/187608890</x:t>
  </x:si>
  <x:si>
    <x:t>JAM.AE.AD</x:t>
  </x:si>
  <x:si>
    <x:t>- - - - - Nasopharyngoscopy</x:t>
  </x:si>
  <x:si>
    <x:t>http://id.who.int/icd/entity/350872817</x:t>
  </x:si>
  <x:si>
    <x:t>http://id.who.int/icd/release/11/beta/ichi/350872817</x:t>
  </x:si>
  <x:si>
    <x:t>JAM.AH.XF</x:t>
  </x:si>
  <x:si>
    <x:t>- - - - - Specimen collection from nasopharynx</x:t>
  </x:si>
  <x:si>
    <x:t>http://id.who.int/icd/entity/251623508</x:t>
  </x:si>
  <x:si>
    <x:t>http://id.who.int/icd/release/11/beta/ichi/251623508</x:t>
  </x:si>
  <x:si>
    <x:t>JAM.BA.BA</x:t>
  </x:si>
  <x:si>
    <x:t>- - - - - Noncontrast x-ray of nasopharynx</x:t>
  </x:si>
  <x:si>
    <x:t>http://id.who.int/icd/entity/620893380</x:t>
  </x:si>
  <x:si>
    <x:t>http://id.who.int/icd/release/11/beta/ichi/620893380</x:t>
  </x:si>
  <x:si>
    <x:t>JAM.BA.BB</x:t>
  </x:si>
  <x:si>
    <x:t>- - - - - Contrast radiogram of nasopharynx</x:t>
  </x:si>
  <x:si>
    <x:t>http://id.who.int/icd/entity/347621006</x:t>
  </x:si>
  <x:si>
    <x:t>http://id.who.int/icd/release/11/beta/ichi/347621006</x:t>
  </x:si>
  <x:si>
    <x:t>JAM.DL.AC</x:t>
  </x:si>
  <x:si>
    <x:t>- - - - - Insertion of nasopharyngeal airway</x:t>
  </x:si>
  <x:si>
    <x:t>http://id.who.int/icd/entity/1628357373</x:t>
  </x:si>
  <x:si>
    <x:t>http://id.who.int/icd/release/11/beta/ichi/1628357373</x:t>
  </x:si>
  <x:si>
    <x:t>JAM.JB.AC</x:t>
  </x:si>
  <x:si>
    <x:t>- - - - - Nasopharyngeal suctioning</x:t>
  </x:si>
  <x:si>
    <x:t>http://id.who.int/icd/entity/829758286</x:t>
  </x:si>
  <x:si>
    <x:t>http://id.who.int/icd/release/11/beta/ichi/829758286</x:t>
  </x:si>
  <x:si>
    <x:t>JAM.JD.AC</x:t>
  </x:si>
  <x:si>
    <x:t>- - - - - Removal of intraluminal foreign body from nasal pharynx without incision</x:t>
  </x:si>
  <x:si>
    <x:t>http://id.who.int/icd/entity/1857505903</x:t>
  </x:si>
  <x:si>
    <x:t>http://id.who.int/icd/release/11/beta/ichi/1857505903</x:t>
  </x:si>
  <x:si>
    <x:t>JAM.JI.AC</x:t>
  </x:si>
  <x:si>
    <x:t>- - - - - Local excision of lesion of nasal pharynx</x:t>
  </x:si>
  <x:si>
    <x:t>http://id.who.int/icd/entity/81096522</x:t>
  </x:si>
  <x:si>
    <x:t>http://id.who.int/icd/release/11/beta/ichi/81096522</x:t>
  </x:si>
  <x:si>
    <x:t>JAM.JJ.AC</x:t>
  </x:si>
  <x:si>
    <x:t>- - - - - Partial excision of nasal pharynx</x:t>
  </x:si>
  <x:si>
    <x:t>http://id.who.int/icd/entity/1420736249</x:t>
  </x:si>
  <x:si>
    <x:t>http://id.who.int/icd/release/11/beta/ichi/1420736249</x:t>
  </x:si>
  <x:si>
    <x:t>JAM.JL.AD</x:t>
  </x:si>
  <x:si>
    <x:t>- - - - - Radical excision of nasal pharynx</x:t>
  </x:si>
  <x:si>
    <x:t>http://id.who.int/icd/entity/191686620</x:t>
  </x:si>
  <x:si>
    <x:t>http://id.who.int/icd/release/11/beta/ichi/191686620</x:t>
  </x:si>
  <x:si>
    <x:t>JAM.ML.AA</x:t>
  </x:si>
  <x:si>
    <x:t>- - - - - Reconstruction of nasopharynx</x:t>
  </x:si>
  <x:si>
    <x:t>http://id.who.int/icd/entity/546409292</x:t>
  </x:si>
  <x:si>
    <x:t>http://id.who.int/icd/release/11/beta/ichi/546409292</x:t>
  </x:si>
  <x:si>
    <x:t>JAM.ML.AD</x:t>
  </x:si>
  <x:si>
    <x:t>- - - - - Endoscopic reconstruction of nasopharynx</x:t>
  </x:si>
  <x:si>
    <x:t>http://id.who.int/icd/entity/1037205307</x:t>
  </x:si>
  <x:si>
    <x:t>http://id.who.int/icd/release/11/beta/ichi/1037205307</x:t>
  </x:si>
  <x:si>
    <x:t>JAN.AD.AA</x:t>
  </x:si>
  <x:si>
    <x:t>- - - - - Biopsy of larynx</x:t>
  </x:si>
  <x:si>
    <x:t>http://id.who.int/icd/entity/1122589732</x:t>
  </x:si>
  <x:si>
    <x:t>http://id.who.int/icd/release/11/beta/ichi/1122589732</x:t>
  </x:si>
  <x:si>
    <x:t>JAN.AD.AD</x:t>
  </x:si>
  <x:si>
    <x:t>- - - - - Laryngoscopy with biopsy</x:t>
  </x:si>
  <x:si>
    <x:t>http://id.who.int/icd/entity/581004831</x:t>
  </x:si>
  <x:si>
    <x:t>http://id.who.int/icd/release/11/beta/ichi/581004831</x:t>
  </x:si>
  <x:si>
    <x:t>JAN.AE.AC</x:t>
  </x:si>
  <x:si>
    <x:t>- - - - - Laryngoscopy</x:t>
  </x:si>
  <x:si>
    <x:t>http://id.who.int/icd/entity/157024911</x:t>
  </x:si>
  <x:si>
    <x:t>http://id.who.int/icd/release/11/beta/ichi/157024911</x:t>
  </x:si>
  <x:si>
    <x:t>JAN.BA.BA</x:t>
  </x:si>
  <x:si>
    <x:t>- - - - - Noncontrast x-ray of larynx</x:t>
  </x:si>
  <x:si>
    <x:t>http://id.who.int/icd/entity/404693753</x:t>
  </x:si>
  <x:si>
    <x:t>http://id.who.int/icd/release/11/beta/ichi/404693753</x:t>
  </x:si>
  <x:si>
    <x:t>JAN.BA.BB</x:t>
  </x:si>
  <x:si>
    <x:t>- - - - - Contrast laryngogram</x:t>
  </x:si>
  <x:si>
    <x:t>http://id.who.int/icd/entity/1027049387</x:t>
  </x:si>
  <x:si>
    <x:t>http://id.who.int/icd/release/11/beta/ichi/1027049387</x:t>
  </x:si>
  <x:si>
    <x:t>JAN.BA.BC</x:t>
  </x:si>
  <x:si>
    <x:t>- - - - - Computerised tomography, larynx, not elsewhere classified</x:t>
  </x:si>
  <x:si>
    <x:t>http://id.who.int/icd/entity/1397720260</x:t>
  </x:si>
  <x:si>
    <x:t>http://id.who.int/icd/release/11/beta/ichi/1397720260</x:t>
  </x:si>
  <x:si>
    <x:t>JAN.BA.BD</x:t>
  </x:si>
  <x:si>
    <x:t>- - - - - Computerised tomography larynx with intravenous contrast</x:t>
  </x:si>
  <x:si>
    <x:t>http://id.who.int/icd/entity/1660278410</x:t>
  </x:si>
  <x:si>
    <x:t>http://id.who.int/icd/release/11/beta/ichi/1660278410</x:t>
  </x:si>
  <x:si>
    <x:t>JAN.BA.BJ</x:t>
  </x:si>
  <x:si>
    <x:t>- - - - - Ultrasound of larynx</x:t>
  </x:si>
  <x:si>
    <x:t>http://id.who.int/icd/entity/1916751680</x:t>
  </x:si>
  <x:si>
    <x:t>http://id.who.int/icd/release/11/beta/ichi/1916751680</x:t>
  </x:si>
  <x:si>
    <x:t>JAN.DB.AD</x:t>
  </x:si>
  <x:si>
    <x:t>- - - - - Injection into larynx</x:t>
  </x:si>
  <x:si>
    <x:t>http://id.who.int/icd/entity/1568650640</x:t>
  </x:si>
  <x:si>
    <x:t>http://id.who.int/icd/release/11/beta/ichi/1568650640</x:t>
  </x:si>
  <x:si>
    <x:t>JAN.DL.AC</x:t>
  </x:si>
  <x:si>
    <x:t>- - - - - Insertion of device into larynx</x:t>
  </x:si>
  <x:si>
    <x:t>http://id.who.int/icd/entity/182212463</x:t>
  </x:si>
  <x:si>
    <x:t>http://id.who.int/icd/release/11/beta/ichi/182212463</x:t>
  </x:si>
  <x:si>
    <x:t>JAN.DN.AA</x:t>
  </x:si>
  <x:si>
    <x:t>- - - - - Implantation of device into larynx</x:t>
  </x:si>
  <x:si>
    <x:t>http://id.who.int/icd/entity/555826175</x:t>
  </x:si>
  <x:si>
    <x:t>http://id.who.int/icd/release/11/beta/ichi/555826175</x:t>
  </x:si>
  <x:si>
    <x:t>JAN.DN.AD</x:t>
  </x:si>
  <x:si>
    <x:t>- - - - - Endoscopic implantation of device into larynx</x:t>
  </x:si>
  <x:si>
    <x:t>http://id.who.int/icd/entity/771563037</x:t>
  </x:si>
  <x:si>
    <x:t>http://id.who.int/icd/release/11/beta/ichi/771563037</x:t>
  </x:si>
  <x:si>
    <x:t>JAN.FA.AA</x:t>
  </x:si>
  <x:si>
    <x:t>- - - - - Incision of larynx</x:t>
  </x:si>
  <x:si>
    <x:t>http://id.who.int/icd/entity/924684471</x:t>
  </x:si>
  <x:si>
    <x:t>http://id.who.int/icd/release/11/beta/ichi/924684471</x:t>
  </x:si>
  <x:si>
    <x:t>JAN.FC.AA</x:t>
  </x:si>
  <x:si>
    <x:t>- - - - - Release of adhesions of larynx</x:t>
  </x:si>
  <x:si>
    <x:t>http://id.who.int/icd/entity/950278181</x:t>
  </x:si>
  <x:si>
    <x:t>http://id.who.int/icd/release/11/beta/ichi/950278181</x:t>
  </x:si>
  <x:si>
    <x:t>JAN.FC.AC</x:t>
  </x:si>
  <x:si>
    <x:t>- - - - - Release of congenital web of larynx</x:t>
  </x:si>
  <x:si>
    <x:t>http://id.who.int/icd/entity/1759494548</x:t>
  </x:si>
  <x:si>
    <x:t>http://id.who.int/icd/release/11/beta/ichi/1759494548</x:t>
  </x:si>
  <x:si>
    <x:t>JAN.GA.AA</x:t>
  </x:si>
  <x:si>
    <x:t>- - - - - Destruction of lesion or tissue of larynx</x:t>
  </x:si>
  <x:si>
    <x:t>http://id.who.int/icd/entity/758228067</x:t>
  </x:si>
  <x:si>
    <x:t>http://id.who.int/icd/release/11/beta/ichi/758228067</x:t>
  </x:si>
  <x:si>
    <x:t>JAN.GA.AD</x:t>
  </x:si>
  <x:si>
    <x:t>- - - - - Endoscopic destruction of lesion or tissue of larynx</x:t>
  </x:si>
  <x:si>
    <x:t>http://id.who.int/icd/entity/395307141</x:t>
  </x:si>
  <x:si>
    <x:t>http://id.who.int/icd/release/11/beta/ichi/395307141</x:t>
  </x:si>
  <x:si>
    <x:t>JAN.JB.AC</x:t>
  </x:si>
  <x:si>
    <x:t>- - - - - Drainage of larynx</x:t>
  </x:si>
  <x:si>
    <x:t>http://id.who.int/icd/entity/843232583</x:t>
  </x:si>
  <x:si>
    <x:t>http://id.who.int/icd/release/11/beta/ichi/843232583</x:t>
  </x:si>
  <x:si>
    <x:t>JAN.JB.AD</x:t>
  </x:si>
  <x:si>
    <x:t>- - - - - Endoscopic drainage of larynx</x:t>
  </x:si>
  <x:si>
    <x:t>http://id.who.int/icd/entity/2093204498</x:t>
  </x:si>
  <x:si>
    <x:t>http://id.who.int/icd/release/11/beta/ichi/2093204498</x:t>
  </x:si>
  <x:si>
    <x:t>JAN.JD.AD</x:t>
  </x:si>
  <x:si>
    <x:t>- - - - - Endoscopic removal of internal device or foreign body from larynx</x:t>
  </x:si>
  <x:si>
    <x:t>http://id.who.int/icd/entity/1299813976</x:t>
  </x:si>
  <x:si>
    <x:t>http://id.who.int/icd/release/11/beta/ichi/1299813976</x:t>
  </x:si>
  <x:si>
    <x:t>JAN.JI.AC</x:t>
  </x:si>
  <x:si>
    <x:t>- - - - - Local excision of lesion or tissue of larynx</x:t>
  </x:si>
  <x:si>
    <x:t>http://id.who.int/icd/entity/221064911</x:t>
  </x:si>
  <x:si>
    <x:t>http://id.who.int/icd/release/11/beta/ichi/221064911</x:t>
  </x:si>
  <x:si>
    <x:t>JAN.JI.AD</x:t>
  </x:si>
  <x:si>
    <x:t>- - - - - Endoscopic local excision of lesion of larynx</x:t>
  </x:si>
  <x:si>
    <x:t>http://id.who.int/icd/entity/103362659</x:t>
  </x:si>
  <x:si>
    <x:t>http://id.who.int/icd/release/11/beta/ichi/103362659</x:t>
  </x:si>
  <x:si>
    <x:t>JAN.JJ.AA</x:t>
  </x:si>
  <x:si>
    <x:t>- - - - - Partial laryngectomy</x:t>
  </x:si>
  <x:si>
    <x:t>http://id.who.int/icd/entity/1827448116</x:t>
  </x:si>
  <x:si>
    <x:t>http://id.who.int/icd/release/11/beta/ichi/1827448116</x:t>
  </x:si>
  <x:si>
    <x:t>JAN.JJ.AD</x:t>
  </x:si>
  <x:si>
    <x:t>- - - - - Endoscopic partial laryngectomy</x:t>
  </x:si>
  <x:si>
    <x:t>http://id.who.int/icd/entity/308166635</x:t>
  </x:si>
  <x:si>
    <x:t>http://id.who.int/icd/release/11/beta/ichi/308166635</x:t>
  </x:si>
  <x:si>
    <x:t>JAN.JK.AA</x:t>
  </x:si>
  <x:si>
    <x:t>- - - - - Complete laryngectomy</x:t>
  </x:si>
  <x:si>
    <x:t>http://id.who.int/icd/entity/1302097608</x:t>
  </x:si>
  <x:si>
    <x:t>http://id.who.int/icd/release/11/beta/ichi/1302097608</x:t>
  </x:si>
  <x:si>
    <x:t>JAN.JK.AD</x:t>
  </x:si>
  <x:si>
    <x:t>- - - - - Vocal cordectomy</x:t>
  </x:si>
  <x:si>
    <x:t>http://id.who.int/icd/entity/1184395366</x:t>
  </x:si>
  <x:si>
    <x:t>http://id.who.int/icd/release/11/beta/ichi/1184395366</x:t>
  </x:si>
  <x:si>
    <x:t>JAN.JL.AA</x:t>
  </x:si>
  <x:si>
    <x:t>- - - - - Radical laryngectomy</x:t>
  </x:si>
  <x:si>
    <x:t>http://id.who.int/icd/entity/318345115</x:t>
  </x:si>
  <x:si>
    <x:t>http://id.who.int/icd/release/11/beta/ichi/318345115</x:t>
  </x:si>
  <x:si>
    <x:t>JAN.KA.AD</x:t>
  </x:si>
  <x:si>
    <x:t>- - - - - Replacement of laryngeal stent</x:t>
  </x:si>
  <x:si>
    <x:t>http://id.who.int/icd/entity/1295769274</x:t>
  </x:si>
  <x:si>
    <x:t>http://id.who.int/icd/release/11/beta/ichi/1295769274</x:t>
  </x:si>
  <x:si>
    <x:t>JAN.LC.AA</x:t>
  </x:si>
  <x:si>
    <x:t>- - - - - Arytenoidopexy</x:t>
  </x:si>
  <x:si>
    <x:t>http://id.who.int/icd/entity/99552381</x:t>
  </x:si>
  <x:si>
    <x:t>http://id.who.int/icd/release/11/beta/ichi/99552381</x:t>
  </x:si>
  <x:si>
    <x:t>JAN.LC.AD</x:t>
  </x:si>
  <x:si>
    <x:t>- - - - - Endoscopic arytenoidopexy</x:t>
  </x:si>
  <x:si>
    <x:t>http://id.who.int/icd/entity/490735369</x:t>
  </x:si>
  <x:si>
    <x:t>http://id.who.int/icd/release/11/beta/ichi/490735369</x:t>
  </x:si>
  <x:si>
    <x:t>JAN.LG.AD</x:t>
  </x:si>
  <x:si>
    <x:t>- - - - - Endoscopic dilatation of larynx</x:t>
  </x:si>
  <x:si>
    <x:t>http://id.who.int/icd/entity/1849429358</x:t>
  </x:si>
  <x:si>
    <x:t>http://id.who.int/icd/release/11/beta/ichi/1849429358</x:t>
  </x:si>
  <x:si>
    <x:t>JAN.LH.AD</x:t>
  </x:si>
  <x:si>
    <x:t>- - - - - Endoscopic dilatation with insertion of device into larynx</x:t>
  </x:si>
  <x:si>
    <x:t>http://id.who.int/icd/entity/195380007</x:t>
  </x:si>
  <x:si>
    <x:t>http://id.who.int/icd/release/11/beta/ichi/195380007</x:t>
  </x:si>
  <x:si>
    <x:t>JAN.LI.AA</x:t>
  </x:si>
  <x:si>
    <x:t>- - - - - Laryngostomy</x:t>
  </x:si>
  <x:si>
    <x:t>http://id.who.int/icd/entity/1416040964</x:t>
  </x:si>
  <x:si>
    <x:t>http://id.who.int/icd/release/11/beta/ichi/1416040964</x:t>
  </x:si>
  <x:si>
    <x:t>JAN.MK.AA</x:t>
  </x:si>
  <x:si>
    <x:t>- - - - - Repair of larynx</x:t>
  </x:si>
  <x:si>
    <x:t>http://id.who.int/icd/entity/874726131</x:t>
  </x:si>
  <x:si>
    <x:t>http://id.who.int/icd/release/11/beta/ichi/874726131</x:t>
  </x:si>
  <x:si>
    <x:t>JAN.MK.AD</x:t>
  </x:si>
  <x:si>
    <x:t>- - - - - Endoscopic repair of larynx</x:t>
  </x:si>
  <x:si>
    <x:t>http://id.who.int/icd/entity/1364409850</x:t>
  </x:si>
  <x:si>
    <x:t>http://id.who.int/icd/release/11/beta/ichi/1364409850</x:t>
  </x:si>
  <x:si>
    <x:t>JAN.ML.AA</x:t>
  </x:si>
  <x:si>
    <x:t>- - - - - Reconstruction of larynx</x:t>
  </x:si>
  <x:si>
    <x:t>http://id.who.int/icd/entity/778575589</x:t>
  </x:si>
  <x:si>
    <x:t>http://id.who.int/icd/release/11/beta/ichi/778575589</x:t>
  </x:si>
  <x:si>
    <x:t>BlockL4-JBA</x:t>
  </x:si>
  <x:si>
    <x:t>- - - - Interventions on lower respiratory tract</x:t>
  </x:si>
  <x:si>
    <x:t>90</x:t>
  </x:si>
  <x:si>
    <x:t>http://id.who.int/icd/entity/1810723102</x:t>
  </x:si>
  <x:si>
    <x:t>http://id.who.int/icd/release/11/beta/ichi/1810723102</x:t>
  </x:si>
  <x:si>
    <x:t>JBA.AD.AA</x:t>
  </x:si>
  <x:si>
    <x:t>- - - - - Biopsy of trachea</x:t>
  </x:si>
  <x:si>
    <x:t>http://id.who.int/icd/entity/4498715</x:t>
  </x:si>
  <x:si>
    <x:t>http://id.who.int/icd/release/11/beta/ichi/4498715</x:t>
  </x:si>
  <x:si>
    <x:t>JBA.AD.AD</x:t>
  </x:si>
  <x:si>
    <x:t>- - - - - Endoscopic biopsy of trachea</x:t>
  </x:si>
  <x:si>
    <x:t>http://id.who.int/icd/entity/838793041</x:t>
  </x:si>
  <x:si>
    <x:t>http://id.who.int/icd/release/11/beta/ichi/838793041</x:t>
  </x:si>
  <x:si>
    <x:t>JBA.AE.AB</x:t>
  </x:si>
  <x:si>
    <x:t>- - - - - Tracheoscopy through artificial stoma</x:t>
  </x:si>
  <x:si>
    <x:t>http://id.who.int/icd/entity/437612509</x:t>
  </x:si>
  <x:si>
    <x:t>http://id.who.int/icd/release/11/beta/ichi/437612509</x:t>
  </x:si>
  <x:si>
    <x:t>JBA.AH.XF</x:t>
  </x:si>
  <x:si>
    <x:t>- - - - - Specimen collection from trachea</x:t>
  </x:si>
  <x:si>
    <x:t>http://id.who.int/icd/entity/1145598754</x:t>
  </x:si>
  <x:si>
    <x:t>http://id.who.int/icd/release/11/beta/ichi/1145598754</x:t>
  </x:si>
  <x:si>
    <x:t>JBA.BA.BA</x:t>
  </x:si>
  <x:si>
    <x:t>- - - - - X-ray of trachea, not elsewhere classified</x:t>
  </x:si>
  <x:si>
    <x:t>http://id.who.int/icd/entity/338930323</x:t>
  </x:si>
  <x:si>
    <x:t>http://id.who.int/icd/release/11/beta/ichi/338930323</x:t>
  </x:si>
  <x:si>
    <x:t>JBA.DB.AD</x:t>
  </x:si>
  <x:si>
    <x:t>- - - - - Endoscopic injection into trachea</x:t>
  </x:si>
  <x:si>
    <x:t>http://id.who.int/icd/entity/997412925</x:t>
  </x:si>
  <x:si>
    <x:t>http://id.who.int/icd/release/11/beta/ichi/997412925</x:t>
  </x:si>
  <x:si>
    <x:t>JBA.DL.AC</x:t>
  </x:si>
  <x:si>
    <x:t>- - - - - Insertion of endotracheal tube</x:t>
  </x:si>
  <x:si>
    <x:t>http://id.who.int/icd/entity/725399872</x:t>
  </x:si>
  <x:si>
    <x:t>http://id.who.int/icd/release/11/beta/ichi/725399872</x:t>
  </x:si>
  <x:si>
    <x:t>JBA.DN.AC</x:t>
  </x:si>
  <x:si>
    <x:t>- - - - - Implantation of device into trachea</x:t>
  </x:si>
  <x:si>
    <x:t>http://id.who.int/icd/entity/563338903</x:t>
  </x:si>
  <x:si>
    <x:t>http://id.who.int/icd/release/11/beta/ichi/563338903</x:t>
  </x:si>
  <x:si>
    <x:t>JBA.FA.AA</x:t>
  </x:si>
  <x:si>
    <x:t>- - - - - Incision of trachea</x:t>
  </x:si>
  <x:si>
    <x:t>http://id.who.int/icd/entity/1911031590</x:t>
  </x:si>
  <x:si>
    <x:t>http://id.who.int/icd/release/11/beta/ichi/1911031590</x:t>
  </x:si>
  <x:si>
    <x:t>JBA.FC.AA</x:t>
  </x:si>
  <x:si>
    <x:t>- - - - - Release of adhesions of trachea</x:t>
  </x:si>
  <x:si>
    <x:t>http://id.who.int/icd/entity/2119274420</x:t>
  </x:si>
  <x:si>
    <x:t>http://id.who.int/icd/release/11/beta/ichi/2119274420</x:t>
  </x:si>
  <x:si>
    <x:t>JBA.GA.AA</x:t>
  </x:si>
  <x:si>
    <x:t>- - - - - Destruction of lesion or tissue of trachea</x:t>
  </x:si>
  <x:si>
    <x:t>http://id.who.int/icd/entity/1262305742</x:t>
  </x:si>
  <x:si>
    <x:t>http://id.who.int/icd/release/11/beta/ichi/1262305742</x:t>
  </x:si>
  <x:si>
    <x:t>JBA.GA.AD</x:t>
  </x:si>
  <x:si>
    <x:t>- - - - - Endoscopic destruction of lesion or tissue of trachea</x:t>
  </x:si>
  <x:si>
    <x:t>http://id.who.int/icd/entity/2107850211</x:t>
  </x:si>
  <x:si>
    <x:t>http://id.who.int/icd/release/11/beta/ichi/2107850211</x:t>
  </x:si>
  <x:si>
    <x:t>JBA.JB.AC</x:t>
  </x:si>
  <x:si>
    <x:t>- - - - - Suctioning of endotracheal tube</x:t>
  </x:si>
  <x:si>
    <x:t>http://id.who.int/icd/entity/457611391</x:t>
  </x:si>
  <x:si>
    <x:t>http://id.who.int/icd/release/11/beta/ichi/457611391</x:t>
  </x:si>
  <x:si>
    <x:t>JBA.JD.AA</x:t>
  </x:si>
  <x:si>
    <x:t>- - - - - Removal of internal device or foreign body from trachea</x:t>
  </x:si>
  <x:si>
    <x:t>http://id.who.int/icd/entity/1954231224</x:t>
  </x:si>
  <x:si>
    <x:t>http://id.who.int/icd/release/11/beta/ichi/1954231224</x:t>
  </x:si>
  <x:si>
    <x:t>JBA.JD.AC</x:t>
  </x:si>
  <x:si>
    <x:t>- - - - - Removal of endotracheal tube</x:t>
  </x:si>
  <x:si>
    <x:t>http://id.who.int/icd/entity/352260333</x:t>
  </x:si>
  <x:si>
    <x:t>http://id.who.int/icd/release/11/beta/ichi/352260333</x:t>
  </x:si>
  <x:si>
    <x:t>JBA.JD.AD</x:t>
  </x:si>
  <x:si>
    <x:t>- - - - - Endoscopic removal of internal device or foreign body from trachea</x:t>
  </x:si>
  <x:si>
    <x:t>http://id.who.int/icd/entity/1102112418</x:t>
  </x:si>
  <x:si>
    <x:t>http://id.who.int/icd/release/11/beta/ichi/1102112418</x:t>
  </x:si>
  <x:si>
    <x:t>JBA.JI.AA</x:t>
  </x:si>
  <x:si>
    <x:t>- - - - - Local excision of lesion of trachea</x:t>
  </x:si>
  <x:si>
    <x:t>http://id.who.int/icd/entity/2095338639</x:t>
  </x:si>
  <x:si>
    <x:t>http://id.who.int/icd/release/11/beta/ichi/2095338639</x:t>
  </x:si>
  <x:si>
    <x:t>JBA.JI.AD</x:t>
  </x:si>
  <x:si>
    <x:t>- - - - - Endoscopic local excision of lesion of trachea</x:t>
  </x:si>
  <x:si>
    <x:t>http://id.who.int/icd/entity/801695179</x:t>
  </x:si>
  <x:si>
    <x:t>http://id.who.int/icd/release/11/beta/ichi/801695179</x:t>
  </x:si>
  <x:si>
    <x:t>JBA.JJ.AA</x:t>
  </x:si>
  <x:si>
    <x:t>- - - - - Partial excision of trachea</x:t>
  </x:si>
  <x:si>
    <x:t>http://id.who.int/icd/entity/1049347517</x:t>
  </x:si>
  <x:si>
    <x:t>http://id.who.int/icd/release/11/beta/ichi/1049347517</x:t>
  </x:si>
  <x:si>
    <x:t>JBA.KA.AC</x:t>
  </x:si>
  <x:si>
    <x:t>- - - - - Replacement of tracheal device</x:t>
  </x:si>
  <x:si>
    <x:t>http://id.who.int/icd/entity/995758803</x:t>
  </x:si>
  <x:si>
    <x:t>http://id.who.int/icd/release/11/beta/ichi/995758803</x:t>
  </x:si>
  <x:si>
    <x:t>JBA.KA.AD</x:t>
  </x:si>
  <x:si>
    <x:t>- - - - - Endoscopic replacement of tracheal stent</x:t>
  </x:si>
  <x:si>
    <x:t>http://id.who.int/icd/entity/1797376868</x:t>
  </x:si>
  <x:si>
    <x:t>http://id.who.int/icd/release/11/beta/ichi/1797376868</x:t>
  </x:si>
  <x:si>
    <x:t>JBA.LG.AD</x:t>
  </x:si>
  <x:si>
    <x:t>- - - - - Endoscopic dilatation of trachea</x:t>
  </x:si>
  <x:si>
    <x:t>http://id.who.int/icd/entity/337307773</x:t>
  </x:si>
  <x:si>
    <x:t>http://id.who.int/icd/release/11/beta/ichi/337307773</x:t>
  </x:si>
  <x:si>
    <x:t>JBA.LH.AD</x:t>
  </x:si>
  <x:si>
    <x:t>- - - - - Endoscopic dilatation with insertion of device into trachea</x:t>
  </x:si>
  <x:si>
    <x:t>http://id.who.int/icd/entity/288278403</x:t>
  </x:si>
  <x:si>
    <x:t>http://id.who.int/icd/release/11/beta/ichi/288278403</x:t>
  </x:si>
  <x:si>
    <x:t>JBA.LI.AA</x:t>
  </x:si>
  <x:si>
    <x:t>- - - - - Tracheostomy</x:t>
  </x:si>
  <x:si>
    <x:t>http://id.who.int/icd/entity/513232657</x:t>
  </x:si>
  <x:si>
    <x:t>http://id.who.int/icd/release/11/beta/ichi/513232657</x:t>
  </x:si>
  <x:si>
    <x:t>JBA.LI.AE</x:t>
  </x:si>
  <x:si>
    <x:t>- - - - - Percutaneous tracheostomy</x:t>
  </x:si>
  <x:si>
    <x:t>http://id.who.int/icd/entity/829425103</x:t>
  </x:si>
  <x:si>
    <x:t>http://id.who.int/icd/release/11/beta/ichi/829425103</x:t>
  </x:si>
  <x:si>
    <x:t>JBA.MK.AA</x:t>
  </x:si>
  <x:si>
    <x:t>- - - - - Repair of trachea</x:t>
  </x:si>
  <x:si>
    <x:t>http://id.who.int/icd/entity/198068521</x:t>
  </x:si>
  <x:si>
    <x:t>http://id.who.int/icd/release/11/beta/ichi/198068521</x:t>
  </x:si>
  <x:si>
    <x:t>JBA.MK.AB</x:t>
  </x:si>
  <x:si>
    <x:t>- - - - - Thoracoscopic repair of trachea</x:t>
  </x:si>
  <x:si>
    <x:t>http://id.who.int/icd/entity/1327425620</x:t>
  </x:si>
  <x:si>
    <x:t>http://id.who.int/icd/release/11/beta/ichi/1327425620</x:t>
  </x:si>
  <x:si>
    <x:t>JBA.MK.AD</x:t>
  </x:si>
  <x:si>
    <x:t>- - - - - Endoscopic repair of trachea</x:t>
  </x:si>
  <x:si>
    <x:t>http://id.who.int/icd/entity/1616777980</x:t>
  </x:si>
  <x:si>
    <x:t>http://id.who.int/icd/release/11/beta/ichi/1616777980</x:t>
  </x:si>
  <x:si>
    <x:t>JBA.ML.AA</x:t>
  </x:si>
  <x:si>
    <x:t>- - - - - Reconstruction of trachea</x:t>
  </x:si>
  <x:si>
    <x:t>http://id.who.int/icd/entity/1167281984</x:t>
  </x:si>
  <x:si>
    <x:t>http://id.who.int/icd/release/11/beta/ichi/1167281984</x:t>
  </x:si>
  <x:si>
    <x:t>JBB.AC.AC</x:t>
  </x:si>
  <x:si>
    <x:t>- - - - - Bronchial provocation test</x:t>
  </x:si>
  <x:si>
    <x:t>http://id.who.int/icd/entity/1792259472</x:t>
  </x:si>
  <x:si>
    <x:t>http://id.who.int/icd/release/11/beta/ichi/1792259472</x:t>
  </x:si>
  <x:si>
    <x:t>JBB.AD.AA</x:t>
  </x:si>
  <x:si>
    <x:t>- - - - - Biopsy of bronchus</x:t>
  </x:si>
  <x:si>
    <x:t>http://id.who.int/icd/entity/441523741</x:t>
  </x:si>
  <x:si>
    <x:t>http://id.who.int/icd/release/11/beta/ichi/441523741</x:t>
  </x:si>
  <x:si>
    <x:t>JBB.AD.AD</x:t>
  </x:si>
  <x:si>
    <x:t>- - - - - Endoscopic biopsy of bronchus</x:t>
  </x:si>
  <x:si>
    <x:t>http://id.who.int/icd/entity/528533875</x:t>
  </x:si>
  <x:si>
    <x:t>http://id.who.int/icd/release/11/beta/ichi/528533875</x:t>
  </x:si>
  <x:si>
    <x:t>JBB.AE.AD</x:t>
  </x:si>
  <x:si>
    <x:t>- - - - - Bronchoscopy</x:t>
  </x:si>
  <x:si>
    <x:t>http://id.who.int/icd/entity/288331265</x:t>
  </x:si>
  <x:si>
    <x:t>http://id.who.int/icd/release/11/beta/ichi/288331265</x:t>
  </x:si>
  <x:si>
    <x:t>JBB.AH.XC</x:t>
  </x:si>
  <x:si>
    <x:t>- - - - - Specimen collection of sputum</x:t>
  </x:si>
  <x:si>
    <x:t>http://id.who.int/icd/entity/1708573211</x:t>
  </x:si>
  <x:si>
    <x:t>http://id.who.int/icd/release/11/beta/ichi/1708573211</x:t>
  </x:si>
  <x:si>
    <x:t>JBB.BA.AD</x:t>
  </x:si>
  <x:si>
    <x:t>- - - - - Endoscopic ultrasonography of bronchus</x:t>
  </x:si>
  <x:si>
    <x:t>http://id.who.int/icd/entity/272187873</x:t>
  </x:si>
  <x:si>
    <x:t>http://id.who.int/icd/release/11/beta/ichi/272187873</x:t>
  </x:si>
  <x:si>
    <x:t>JBB.BA.BB</x:t>
  </x:si>
  <x:si>
    <x:t>- - - - - Other contrast bronchogram</x:t>
  </x:si>
  <x:si>
    <x:t>http://id.who.int/icd/entity/1589129396</x:t>
  </x:si>
  <x:si>
    <x:t>http://id.who.int/icd/release/11/beta/ichi/1589129396</x:t>
  </x:si>
  <x:si>
    <x:t>JBB.DN.AD</x:t>
  </x:si>
  <x:si>
    <x:t>- - - - - Endoscopic implantation of bronchial device</x:t>
  </x:si>
  <x:si>
    <x:t>http://id.who.int/icd/entity/503935155</x:t>
  </x:si>
  <x:si>
    <x:t>http://id.who.int/icd/release/11/beta/ichi/503935155</x:t>
  </x:si>
  <x:si>
    <x:t>JBB.FA.AA</x:t>
  </x:si>
  <x:si>
    <x:t>- - - - - Incision of bronchus</x:t>
  </x:si>
  <x:si>
    <x:t>http://id.who.int/icd/entity/256528581</x:t>
  </x:si>
  <x:si>
    <x:t>http://id.who.int/icd/release/11/beta/ichi/256528581</x:t>
  </x:si>
  <x:si>
    <x:t>JBB.GA.AA</x:t>
  </x:si>
  <x:si>
    <x:t>- - - - - Destruction of lesion or tissue of bronchus</x:t>
  </x:si>
  <x:si>
    <x:t>http://id.who.int/icd/entity/363519599</x:t>
  </x:si>
  <x:si>
    <x:t>http://id.who.int/icd/release/11/beta/ichi/363519599</x:t>
  </x:si>
  <x:si>
    <x:t>JBB.GA.AD</x:t>
  </x:si>
  <x:si>
    <x:t>- - - - - Endoscopic destruction of lesion or tissue of bronchus</x:t>
  </x:si>
  <x:si>
    <x:t>http://id.who.int/icd/entity/2077416710</x:t>
  </x:si>
  <x:si>
    <x:t>http://id.who.int/icd/release/11/beta/ichi/2077416710</x:t>
  </x:si>
  <x:si>
    <x:t>JBB.JA.AD</x:t>
  </x:si>
  <x:si>
    <x:t>- - - - - Endoscopic irrigation of bronchus</x:t>
  </x:si>
  <x:si>
    <x:t>http://id.who.int/icd/entity/657981476</x:t>
  </x:si>
  <x:si>
    <x:t>http://id.who.int/icd/release/11/beta/ichi/657981476</x:t>
  </x:si>
  <x:si>
    <x:t>JBB.JB.AD</x:t>
  </x:si>
  <x:si>
    <x:t>- - - - - Endoscopic drainage of bronchus</x:t>
  </x:si>
  <x:si>
    <x:t>http://id.who.int/icd/entity/1248366412</x:t>
  </x:si>
  <x:si>
    <x:t>http://id.who.int/icd/release/11/beta/ichi/1248366412</x:t>
  </x:si>
  <x:si>
    <x:t>JBB.JD.AA</x:t>
  </x:si>
  <x:si>
    <x:t>- - - - - Removal of internal device or foreign body from bronchus</x:t>
  </x:si>
  <x:si>
    <x:t>http://id.who.int/icd/entity/981544655</x:t>
  </x:si>
  <x:si>
    <x:t>http://id.who.int/icd/release/11/beta/ichi/981544655</x:t>
  </x:si>
  <x:si>
    <x:t>JBB.JD.AD</x:t>
  </x:si>
  <x:si>
    <x:t>- - - - - Endoscopic removal of internal device or foreign body from bronchus</x:t>
  </x:si>
  <x:si>
    <x:t>http://id.who.int/icd/entity/892905053</x:t>
  </x:si>
  <x:si>
    <x:t>http://id.who.int/icd/release/11/beta/ichi/892905053</x:t>
  </x:si>
  <x:si>
    <x:t>JBB.JI.AA</x:t>
  </x:si>
  <x:si>
    <x:t>- - - - - Local excision of lesion of bronchus</x:t>
  </x:si>
  <x:si>
    <x:t>http://id.who.int/icd/entity/2075776778</x:t>
  </x:si>
  <x:si>
    <x:t>http://id.who.int/icd/release/11/beta/ichi/2075776778</x:t>
  </x:si>
  <x:si>
    <x:t>JBB.JI.AD</x:t>
  </x:si>
  <x:si>
    <x:t>- - - - - Endoscopic local excision of lesion of bronchus</x:t>
  </x:si>
  <x:si>
    <x:t>http://id.who.int/icd/entity/1618432018</x:t>
  </x:si>
  <x:si>
    <x:t>http://id.who.int/icd/release/11/beta/ichi/1618432018</x:t>
  </x:si>
  <x:si>
    <x:t>JBB.JJ.AA</x:t>
  </x:si>
  <x:si>
    <x:t>- - - - - Partial excision of bronchus</x:t>
  </x:si>
  <x:si>
    <x:t>http://id.who.int/icd/entity/2049994440</x:t>
  </x:si>
  <x:si>
    <x:t>http://id.who.int/icd/release/11/beta/ichi/2049994440</x:t>
  </x:si>
  <x:si>
    <x:t>JBB.KA.AD</x:t>
  </x:si>
  <x:si>
    <x:t>- - - - - Endoscopic replacement of bronchial device</x:t>
  </x:si>
  <x:si>
    <x:t>http://id.who.int/icd/entity/1899262054</x:t>
  </x:si>
  <x:si>
    <x:t>http://id.who.int/icd/release/11/beta/ichi/1899262054</x:t>
  </x:si>
  <x:si>
    <x:t>JBB.LA.AA</x:t>
  </x:si>
  <x:si>
    <x:t>- - - - - Ligation of bronchus</x:t>
  </x:si>
  <x:si>
    <x:t>http://id.who.int/icd/entity/769188946</x:t>
  </x:si>
  <x:si>
    <x:t>http://id.who.int/icd/release/11/beta/ichi/769188946</x:t>
  </x:si>
  <x:si>
    <x:t>JBB.LA.AD</x:t>
  </x:si>
  <x:si>
    <x:t>- - - - - Endoscopic haemostasis of bronchus</x:t>
  </x:si>
  <x:si>
    <x:t>http://id.who.int/icd/entity/979687007</x:t>
  </x:si>
  <x:si>
    <x:t>http://id.who.int/icd/release/11/beta/ichi/979687007</x:t>
  </x:si>
  <x:si>
    <x:t>JBB.LG.AD</x:t>
  </x:si>
  <x:si>
    <x:t>- - - - - Endoscopic dilatation of bronchus</x:t>
  </x:si>
  <x:si>
    <x:t>http://id.who.int/icd/entity/539224197</x:t>
  </x:si>
  <x:si>
    <x:t>http://id.who.int/icd/release/11/beta/ichi/539224197</x:t>
  </x:si>
  <x:si>
    <x:t>JBB.LH.AD</x:t>
  </x:si>
  <x:si>
    <x:t>- - - - - Endoscopic dilatation with insertion of device into bronchus</x:t>
  </x:si>
  <x:si>
    <x:t>http://id.who.int/icd/entity/99530055</x:t>
  </x:si>
  <x:si>
    <x:t>http://id.who.int/icd/release/11/beta/ichi/99530055</x:t>
  </x:si>
  <x:si>
    <x:t>JBB.MK.AA</x:t>
  </x:si>
  <x:si>
    <x:t>- - - - - Repair of bronchus</x:t>
  </x:si>
  <x:si>
    <x:t>http://id.who.int/icd/entity/1512891494</x:t>
  </x:si>
  <x:si>
    <x:t>http://id.who.int/icd/release/11/beta/ichi/1512891494</x:t>
  </x:si>
  <x:si>
    <x:t>JBB.MK.AB</x:t>
  </x:si>
  <x:si>
    <x:t>- - - - - Transparietal repair of bronchus</x:t>
  </x:si>
  <x:si>
    <x:t>http://id.who.int/icd/entity/88671543</x:t>
  </x:si>
  <x:si>
    <x:t>http://id.who.int/icd/release/11/beta/ichi/88671543</x:t>
  </x:si>
  <x:si>
    <x:t>JBB.MK.AD</x:t>
  </x:si>
  <x:si>
    <x:t>- - - - - Endoscopic repair of bronchus</x:t>
  </x:si>
  <x:si>
    <x:t>http://id.who.int/icd/entity/1333125724</x:t>
  </x:si>
  <x:si>
    <x:t>http://id.who.int/icd/release/11/beta/ichi/1333125724</x:t>
  </x:si>
  <x:si>
    <x:t>JBB.ML.AA</x:t>
  </x:si>
  <x:si>
    <x:t>- - - - - Reconstruction of bronchus</x:t>
  </x:si>
  <x:si>
    <x:t>http://id.who.int/icd/entity/1148321010</x:t>
  </x:si>
  <x:si>
    <x:t>http://id.who.int/icd/release/11/beta/ichi/1148321010</x:t>
  </x:si>
  <x:si>
    <x:t>JBF.AD.AA</x:t>
  </x:si>
  <x:si>
    <x:t>- - - - - Biopsy of lung</x:t>
  </x:si>
  <x:si>
    <x:t>http://id.who.int/icd/entity/642919726</x:t>
  </x:si>
  <x:si>
    <x:t>http://id.who.int/icd/release/11/beta/ichi/642919726</x:t>
  </x:si>
  <x:si>
    <x:t>JBF.AD.AB</x:t>
  </x:si>
  <x:si>
    <x:t>- - - - - Thoracoscopic biopsy of lung</x:t>
  </x:si>
  <x:si>
    <x:t>http://id.who.int/icd/entity/2039512077</x:t>
  </x:si>
  <x:si>
    <x:t>http://id.who.int/icd/release/11/beta/ichi/2039512077</x:t>
  </x:si>
  <x:si>
    <x:t>JBF.AD.AD</x:t>
  </x:si>
  <x:si>
    <x:t>- - - - - Bronchoscopic lung biopsy</x:t>
  </x:si>
  <x:si>
    <x:t>http://id.who.int/icd/entity/2091144179</x:t>
  </x:si>
  <x:si>
    <x:t>http://id.who.int/icd/release/11/beta/ichi/2091144179</x:t>
  </x:si>
  <x:si>
    <x:t>JBF.AD.AE</x:t>
  </x:si>
  <x:si>
    <x:t>- - - - - Percutaneous biopsy of lung</x:t>
  </x:si>
  <x:si>
    <x:t>http://id.who.int/icd/entity/375506598</x:t>
  </x:si>
  <x:si>
    <x:t>http://id.who.int/icd/release/11/beta/ichi/375506598</x:t>
  </x:si>
  <x:si>
    <x:t>JBF.BA.BA</x:t>
  </x:si>
  <x:si>
    <x:t>- - - - - X-ray of lung, not elsewhere classified</x:t>
  </x:si>
  <x:si>
    <x:t>http://id.who.int/icd/entity/493213704</x:t>
  </x:si>
  <x:si>
    <x:t>http://id.who.int/icd/release/11/beta/ichi/493213704</x:t>
  </x:si>
  <x:si>
    <x:t>JBF.BA.BB</x:t>
  </x:si>
  <x:si>
    <x:t>- - - - - Radiography of lung with contrast medium</x:t>
  </x:si>
  <x:si>
    <x:t>http://id.who.int/icd/entity/330305996</x:t>
  </x:si>
  <x:si>
    <x:t>http://id.who.int/icd/release/11/beta/ichi/330305996</x:t>
  </x:si>
  <x:si>
    <x:t>JBF.BA.BE</x:t>
  </x:si>
  <x:si>
    <x:t>- - - - - Pulmonary scan</x:t>
  </x:si>
  <x:si>
    <x:t>http://id.who.int/icd/entity/1821061845</x:t>
  </x:si>
  <x:si>
    <x:t>http://id.who.int/icd/release/11/beta/ichi/1821061845</x:t>
  </x:si>
  <x:si>
    <x:t>JBF.BA.BH</x:t>
  </x:si>
  <x:si>
    <x:t>- - - - - Magnetic resonance imaging of lung</x:t>
  </x:si>
  <x:si>
    <x:t>http://id.who.int/icd/entity/1774132523</x:t>
  </x:si>
  <x:si>
    <x:t>http://id.who.int/icd/release/11/beta/ichi/1774132523</x:t>
  </x:si>
  <x:si>
    <x:t>JBF.BA.BJ</x:t>
  </x:si>
  <x:si>
    <x:t>- - - - - Ultrasound of lung</x:t>
  </x:si>
  <x:si>
    <x:t>http://id.who.int/icd/entity/969196698</x:t>
  </x:si>
  <x:si>
    <x:t>http://id.who.int/icd/release/11/beta/ichi/969196698</x:t>
  </x:si>
  <x:si>
    <x:t>JBF.FA.AA</x:t>
  </x:si>
  <x:si>
    <x:t>- - - - - Incision of lung</x:t>
  </x:si>
  <x:si>
    <x:t>http://id.who.int/icd/entity/1711707577</x:t>
  </x:si>
  <x:si>
    <x:t>http://id.who.int/icd/release/11/beta/ichi/1711707577</x:t>
  </x:si>
  <x:si>
    <x:t>JBF.FC.AA</x:t>
  </x:si>
  <x:si>
    <x:t>- - - - - Pneumonolysis</x:t>
  </x:si>
  <x:si>
    <x:t>http://id.who.int/icd/entity/748536484</x:t>
  </x:si>
  <x:si>
    <x:t>http://id.who.int/icd/release/11/beta/ichi/748536484</x:t>
  </x:si>
  <x:si>
    <x:t>JBF.FC.AB</x:t>
  </x:si>
  <x:si>
    <x:t>- - - - - Thoracoscopic pneumonolysis</x:t>
  </x:si>
  <x:si>
    <x:t>http://id.who.int/icd/entity/1545562415</x:t>
  </x:si>
  <x:si>
    <x:t>http://id.who.int/icd/release/11/beta/ichi/1545562415</x:t>
  </x:si>
  <x:si>
    <x:t>JBF.GA.AA</x:t>
  </x:si>
  <x:si>
    <x:t>- - - - - Destruction of lesion or tissue of lung</x:t>
  </x:si>
  <x:si>
    <x:t>http://id.who.int/icd/entity/1935643521</x:t>
  </x:si>
  <x:si>
    <x:t>http://id.who.int/icd/release/11/beta/ichi/1935643521</x:t>
  </x:si>
  <x:si>
    <x:t>JBF.GA.AB</x:t>
  </x:si>
  <x:si>
    <x:t>- - - - - Endoscopic destruction of lesion or tissue of lung</x:t>
  </x:si>
  <x:si>
    <x:t>http://id.who.int/icd/entity/1177771515</x:t>
  </x:si>
  <x:si>
    <x:t>http://id.who.int/icd/release/11/beta/ichi/1177771515</x:t>
  </x:si>
  <x:si>
    <x:t>JBF.GA.AE</x:t>
  </x:si>
  <x:si>
    <x:t>- - - - - Percutaneous destruction of lesion or tissue of the lung</x:t>
  </x:si>
  <x:si>
    <x:t>http://id.who.int/icd/entity/917632630</x:t>
  </x:si>
  <x:si>
    <x:t>http://id.who.int/icd/release/11/beta/ichi/917632630</x:t>
  </x:si>
  <x:si>
    <x:t>JBF.JA.AD</x:t>
  </x:si>
  <x:si>
    <x:t>- - - - - Irrigation of lung</x:t>
  </x:si>
  <x:si>
    <x:t>http://id.who.int/icd/entity/956858084</x:t>
  </x:si>
  <x:si>
    <x:t>http://id.who.int/icd/release/11/beta/ichi/956858084</x:t>
  </x:si>
  <x:si>
    <x:t>JBF.JB.AB</x:t>
  </x:si>
  <x:si>
    <x:t>- - - - - Thoracoscopic drainage of lung parenchym</x:t>
  </x:si>
  <x:si>
    <x:t>http://id.who.int/icd/entity/1287584407</x:t>
  </x:si>
  <x:si>
    <x:t>http://id.who.int/icd/release/11/beta/ichi/1287584407</x:t>
  </x:si>
  <x:si>
    <x:t>JBF.JB.AE</x:t>
  </x:si>
  <x:si>
    <x:t>- - - - - Puncture of lung</x:t>
  </x:si>
  <x:si>
    <x:t>http://id.who.int/icd/entity/583465472</x:t>
  </x:si>
  <x:si>
    <x:t>http://id.who.int/icd/release/11/beta/ichi/583465472</x:t>
  </x:si>
  <x:si>
    <x:t>JBF.JH.AA</x:t>
  </x:si>
  <x:si>
    <x:t>- - - - - Procurement of lung</x:t>
  </x:si>
  <x:si>
    <x:t>http://id.who.int/icd/entity/864409992</x:t>
  </x:si>
  <x:si>
    <x:t>http://id.who.int/icd/release/11/beta/ichi/864409992</x:t>
  </x:si>
  <x:si>
    <x:t>JBF.JH.AB</x:t>
  </x:si>
  <x:si>
    <x:t>- - - - - Thoracoscopic procurement of lung</x:t>
  </x:si>
  <x:si>
    <x:t>http://id.who.int/icd/entity/911478502</x:t>
  </x:si>
  <x:si>
    <x:t>http://id.who.int/icd/release/11/beta/ichi/911478502</x:t>
  </x:si>
  <x:si>
    <x:t>JBF.JI.AA</x:t>
  </x:si>
  <x:si>
    <x:t>- - - - - Local excision of lesion of lung</x:t>
  </x:si>
  <x:si>
    <x:t>http://id.who.int/icd/entity/1188472171</x:t>
  </x:si>
  <x:si>
    <x:t>http://id.who.int/icd/release/11/beta/ichi/1188472171</x:t>
  </x:si>
  <x:si>
    <x:t>JBF.JI.AB</x:t>
  </x:si>
  <x:si>
    <x:t>- - - - - Thoracoscopic local excision of lesion of lung</x:t>
  </x:si>
  <x:si>
    <x:t>http://id.who.int/icd/entity/420803658</x:t>
  </x:si>
  <x:si>
    <x:t>http://id.who.int/icd/release/11/beta/ichi/420803658</x:t>
  </x:si>
  <x:si>
    <x:t>JBF.JI.AD</x:t>
  </x:si>
  <x:si>
    <x:t>- - - - - Endoscopic local excision of lesion of lung</x:t>
  </x:si>
  <x:si>
    <x:t>http://id.who.int/icd/entity/471915448</x:t>
  </x:si>
  <x:si>
    <x:t>http://id.who.int/icd/release/11/beta/ichi/471915448</x:t>
  </x:si>
  <x:si>
    <x:t>JBF.JJ.AA</x:t>
  </x:si>
  <x:si>
    <x:t>- - - - - Partial excision of lung</x:t>
  </x:si>
  <x:si>
    <x:t>http://id.who.int/icd/entity/861937944</x:t>
  </x:si>
  <x:si>
    <x:t>http://id.who.int/icd/release/11/beta/ichi/861937944</x:t>
  </x:si>
  <x:si>
    <x:t>JBF.JJ.AB</x:t>
  </x:si>
  <x:si>
    <x:t>- - - - - Thoracoscopic partial excision of lung</x:t>
  </x:si>
  <x:si>
    <x:t>http://id.who.int/icd/entity/412962184</x:t>
  </x:si>
  <x:si>
    <x:t>http://id.who.int/icd/release/11/beta/ichi/412962184</x:t>
  </x:si>
  <x:si>
    <x:t>JBF.JK.AA</x:t>
  </x:si>
  <x:si>
    <x:t>- - - - - Total excision of lung</x:t>
  </x:si>
  <x:si>
    <x:t>http://id.who.int/icd/entity/158981518</x:t>
  </x:si>
  <x:si>
    <x:t>http://id.who.int/icd/release/11/beta/ichi/158981518</x:t>
  </x:si>
  <x:si>
    <x:t>JBF.JK.AB</x:t>
  </x:si>
  <x:si>
    <x:t>- - - - - Thoracoscopic pneumonectomy</x:t>
  </x:si>
  <x:si>
    <x:t>http://id.who.int/icd/entity/1984102033</x:t>
  </x:si>
  <x:si>
    <x:t>http://id.who.int/icd/release/11/beta/ichi/1984102033</x:t>
  </x:si>
  <x:si>
    <x:t>JBF.JL.AA</x:t>
  </x:si>
  <x:si>
    <x:t>- - - - - Radical pneumonectomy</x:t>
  </x:si>
  <x:si>
    <x:t>http://id.who.int/icd/entity/1572835841</x:t>
  </x:si>
  <x:si>
    <x:t>http://id.who.int/icd/release/11/beta/ichi/1572835841</x:t>
  </x:si>
  <x:si>
    <x:t>JBF.KD.AA</x:t>
  </x:si>
  <x:si>
    <x:t>- - - - - Lung transplantation</x:t>
  </x:si>
  <x:si>
    <x:t>http://id.who.int/icd/entity/1833963209</x:t>
  </x:si>
  <x:si>
    <x:t>http://id.who.int/icd/release/11/beta/ichi/1833963209</x:t>
  </x:si>
  <x:si>
    <x:t>JBF.LL.AA</x:t>
  </x:si>
  <x:si>
    <x:t>- - - - - Lung volume reduction surgery</x:t>
  </x:si>
  <x:si>
    <x:t>http://id.who.int/icd/entity/219692274</x:t>
  </x:si>
  <x:si>
    <x:t>http://id.who.int/icd/release/11/beta/ichi/219692274</x:t>
  </x:si>
  <x:si>
    <x:t>JBF.LL.AB</x:t>
  </x:si>
  <x:si>
    <x:t>- - - - - Thoracoscopic lung volume reduction surgery</x:t>
  </x:si>
  <x:si>
    <x:t>http://id.who.int/icd/entity/1667252123</x:t>
  </x:si>
  <x:si>
    <x:t>http://id.who.int/icd/release/11/beta/ichi/1667252123</x:t>
  </x:si>
  <x:si>
    <x:t>JBF.LL.AE</x:t>
  </x:si>
  <x:si>
    <x:t>- - - - - Artificial pneumothorax for collapse of lung</x:t>
  </x:si>
  <x:si>
    <x:t>http://id.who.int/icd/entity/392102440</x:t>
  </x:si>
  <x:si>
    <x:t>http://id.who.int/icd/release/11/beta/ichi/392102440</x:t>
  </x:si>
  <x:si>
    <x:t>JBF.MK.AA</x:t>
  </x:si>
  <x:si>
    <x:t>- - - - - Repair of lung</x:t>
  </x:si>
  <x:si>
    <x:t>http://id.who.int/icd/entity/1123355895</x:t>
  </x:si>
  <x:si>
    <x:t>http://id.who.int/icd/release/11/beta/ichi/1123355895</x:t>
  </x:si>
  <x:si>
    <x:t>JBF.ML.AA</x:t>
  </x:si>
  <x:si>
    <x:t>- - - - - Reconstruction of lung</x:t>
  </x:si>
  <x:si>
    <x:t>http://id.who.int/icd/entity/2018197521</x:t>
  </x:si>
  <x:si>
    <x:t>http://id.who.int/icd/release/11/beta/ichi/2018197521</x:t>
  </x:si>
  <x:si>
    <x:t>BlockL4-JCA</x:t>
  </x:si>
  <x:si>
    <x:t>- - - - Interventions on pleura or thoracic spaces</x:t>
  </x:si>
  <x:si>
    <x:t>http://id.who.int/icd/entity/1488073261</x:t>
  </x:si>
  <x:si>
    <x:t>http://id.who.int/icd/release/11/beta/ichi/1488073261</x:t>
  </x:si>
  <x:si>
    <x:t>JCA.AD.AA</x:t>
  </x:si>
  <x:si>
    <x:t>- - - - - Biopsy of pleura</x:t>
  </x:si>
  <x:si>
    <x:t>http://id.who.int/icd/entity/1215867803</x:t>
  </x:si>
  <x:si>
    <x:t>http://id.who.int/icd/release/11/beta/ichi/1215867803</x:t>
  </x:si>
  <x:si>
    <x:t>JCA.AD.AB</x:t>
  </x:si>
  <x:si>
    <x:t>- - - - - Thoracoscopic pleural biopsy</x:t>
  </x:si>
  <x:si>
    <x:t>http://id.who.int/icd/entity/1202703838</x:t>
  </x:si>
  <x:si>
    <x:t>http://id.who.int/icd/release/11/beta/ichi/1202703838</x:t>
  </x:si>
  <x:si>
    <x:t>JCA.AD.AE</x:t>
  </x:si>
  <x:si>
    <x:t>- - - - - Percutaneous biopsy of pleura</x:t>
  </x:si>
  <x:si>
    <x:t>http://id.who.int/icd/entity/2042821073</x:t>
  </x:si>
  <x:si>
    <x:t>http://id.who.int/icd/release/11/beta/ichi/2042821073</x:t>
  </x:si>
  <x:si>
    <x:t>JCA.GA.AA</x:t>
  </x:si>
  <x:si>
    <x:t>- - - - - Pleurodesis</x:t>
  </x:si>
  <x:si>
    <x:t>http://id.who.int/icd/entity/1385702705</x:t>
  </x:si>
  <x:si>
    <x:t>http://id.who.int/icd/release/11/beta/ichi/1385702705</x:t>
  </x:si>
  <x:si>
    <x:t>JCA.GA.AB</x:t>
  </x:si>
  <x:si>
    <x:t>- - - - - Thoracoscopic pleurodesis</x:t>
  </x:si>
  <x:si>
    <x:t>http://id.who.int/icd/entity/1896124573</x:t>
  </x:si>
  <x:si>
    <x:t>http://id.who.int/icd/release/11/beta/ichi/1896124573</x:t>
  </x:si>
  <x:si>
    <x:t>JCA.GA.AE</x:t>
  </x:si>
  <x:si>
    <x:t>- - - - - Pleurodesis using percutaneous administration of agent</x:t>
  </x:si>
  <x:si>
    <x:t>http://id.who.int/icd/entity/1693058992</x:t>
  </x:si>
  <x:si>
    <x:t>http://id.who.int/icd/release/11/beta/ichi/1693058992</x:t>
  </x:si>
  <x:si>
    <x:t>JCA.JB.AE</x:t>
  </x:si>
  <x:si>
    <x:t>- - - - - Thoracentesis</x:t>
  </x:si>
  <x:si>
    <x:t>http://id.who.int/icd/entity/48495746</x:t>
  </x:si>
  <x:si>
    <x:t>http://id.who.int/icd/release/11/beta/ichi/48495746</x:t>
  </x:si>
  <x:si>
    <x:t>JCA.JD.AA</x:t>
  </x:si>
  <x:si>
    <x:t>- - - - - Removal of internal device or foreign body from pleura</x:t>
  </x:si>
  <x:si>
    <x:t>http://id.who.int/icd/entity/1744104267</x:t>
  </x:si>
  <x:si>
    <x:t>http://id.who.int/icd/release/11/beta/ichi/1744104267</x:t>
  </x:si>
  <x:si>
    <x:t>JCA.JI.AA</x:t>
  </x:si>
  <x:si>
    <x:t>- - - - - Local excision of lesion of pleura</x:t>
  </x:si>
  <x:si>
    <x:t>http://id.who.int/icd/entity/943110762</x:t>
  </x:si>
  <x:si>
    <x:t>http://id.who.int/icd/release/11/beta/ichi/943110762</x:t>
  </x:si>
  <x:si>
    <x:t>JCA.JJ.AA</x:t>
  </x:si>
  <x:si>
    <x:t>- - - - - Partial excision of pleura</x:t>
  </x:si>
  <x:si>
    <x:t>http://id.who.int/icd/entity/1219760613</x:t>
  </x:si>
  <x:si>
    <x:t>http://id.who.int/icd/release/11/beta/ichi/1219760613</x:t>
  </x:si>
  <x:si>
    <x:t>JCA.JJ.AB</x:t>
  </x:si>
  <x:si>
    <x:t>- - - - - Thoracoscopic partial excision of pleura</x:t>
  </x:si>
  <x:si>
    <x:t>http://id.who.int/icd/entity/1300250139</x:t>
  </x:si>
  <x:si>
    <x:t>http://id.who.int/icd/release/11/beta/ichi/1300250139</x:t>
  </x:si>
  <x:si>
    <x:t>JCA.JK.AA</x:t>
  </x:si>
  <x:si>
    <x:t>- - - - - Total excision of the pleura</x:t>
  </x:si>
  <x:si>
    <x:t>http://id.who.int/icd/entity/2000581373</x:t>
  </x:si>
  <x:si>
    <x:t>http://id.who.int/icd/release/11/beta/ichi/2000581373</x:t>
  </x:si>
  <x:si>
    <x:t>JCA.JK.AB</x:t>
  </x:si>
  <x:si>
    <x:t>- - - - - Thoracoscopic total excision of pleura</x:t>
  </x:si>
  <x:si>
    <x:t>http://id.who.int/icd/entity/1556291181</x:t>
  </x:si>
  <x:si>
    <x:t>http://id.who.int/icd/release/11/beta/ichi/1556291181</x:t>
  </x:si>
  <x:si>
    <x:t>JCA.LI.AA</x:t>
  </x:si>
  <x:si>
    <x:t>- - - - - Pleuroperitoneal shunt</x:t>
  </x:si>
  <x:si>
    <x:t>http://id.who.int/icd/entity/395556950</x:t>
  </x:si>
  <x:si>
    <x:t>http://id.who.int/icd/release/11/beta/ichi/395556950</x:t>
  </x:si>
  <x:si>
    <x:t>JCA.MK.AA</x:t>
  </x:si>
  <x:si>
    <x:t>- - - - - Repair of pleura</x:t>
  </x:si>
  <x:si>
    <x:t>http://id.who.int/icd/entity/1788757822</x:t>
  </x:si>
  <x:si>
    <x:t>http://id.who.int/icd/release/11/beta/ichi/1788757822</x:t>
  </x:si>
  <x:si>
    <x:t>JCB.AH.XE</x:t>
  </x:si>
  <x:si>
    <x:t>- - - - - Specimen collection of pleural fluid</x:t>
  </x:si>
  <x:si>
    <x:t>http://id.who.int/icd/entity/398129848</x:t>
  </x:si>
  <x:si>
    <x:t>http://id.who.int/icd/release/11/beta/ichi/398129848</x:t>
  </x:si>
  <x:si>
    <x:t>JCB.JB.AA</x:t>
  </x:si>
  <x:si>
    <x:t>- - - - - Drainage of pleural cavity</x:t>
  </x:si>
  <x:si>
    <x:t>http://id.who.int/icd/entity/1755880265</x:t>
  </x:si>
  <x:si>
    <x:t>http://id.who.int/icd/release/11/beta/ichi/1755880265</x:t>
  </x:si>
  <x:si>
    <x:t>JCB.JB.AB</x:t>
  </x:si>
  <x:si>
    <x:t>- - - - - Thoracoscopic drainage of pleural cavity</x:t>
  </x:si>
  <x:si>
    <x:t>http://id.who.int/icd/entity/953369338</x:t>
  </x:si>
  <x:si>
    <x:t>http://id.who.int/icd/release/11/beta/ichi/953369338</x:t>
  </x:si>
  <x:si>
    <x:t>JCB.JB.AE</x:t>
  </x:si>
  <x:si>
    <x:t>- - - - - Percutaneous drainage of pleural cavity</x:t>
  </x:si>
  <x:si>
    <x:t>http://id.who.int/icd/entity/1430376786</x:t>
  </x:si>
  <x:si>
    <x:t>http://id.who.int/icd/release/11/beta/ichi/1430376786</x:t>
  </x:si>
  <x:si>
    <x:t>JCB.JD.AE</x:t>
  </x:si>
  <x:si>
    <x:t>- - - - - Removal of drainage device from pleural cavity</x:t>
  </x:si>
  <x:si>
    <x:t>http://id.who.int/icd/entity/1752804851</x:t>
  </x:si>
  <x:si>
    <x:t>http://id.who.int/icd/release/11/beta/ichi/1752804851</x:t>
  </x:si>
  <x:si>
    <x:t>JCB.KA.AA</x:t>
  </x:si>
  <x:si>
    <x:t>- - - - - Replacement of pleural drainage device</x:t>
  </x:si>
  <x:si>
    <x:t>http://id.who.int/icd/entity/1298515595</x:t>
  </x:si>
  <x:si>
    <x:t>http://id.who.int/icd/release/11/beta/ichi/1298515595</x:t>
  </x:si>
  <x:si>
    <x:t>JCG.AD.AA</x:t>
  </x:si>
  <x:si>
    <x:t>- - - - - Mediastinal biopsy</x:t>
  </x:si>
  <x:si>
    <x:t>http://id.who.int/icd/entity/1646607397</x:t>
  </x:si>
  <x:si>
    <x:t>http://id.who.int/icd/release/11/beta/ichi/1646607397</x:t>
  </x:si>
  <x:si>
    <x:t>JCG.AD.AB</x:t>
  </x:si>
  <x:si>
    <x:t>- - - - - Endoscopic biopsy of mediastinum</x:t>
  </x:si>
  <x:si>
    <x:t>http://id.who.int/icd/entity/845079958</x:t>
  </x:si>
  <x:si>
    <x:t>http://id.who.int/icd/release/11/beta/ichi/845079958</x:t>
  </x:si>
  <x:si>
    <x:t>JCG.AD.AE</x:t>
  </x:si>
  <x:si>
    <x:t>- - - - - Percutaneous biopsy of mediastinum</x:t>
  </x:si>
  <x:si>
    <x:t>http://id.who.int/icd/entity/2026222223</x:t>
  </x:si>
  <x:si>
    <x:t>http://id.who.int/icd/release/11/beta/ichi/2026222223</x:t>
  </x:si>
  <x:si>
    <x:t>JCG.AE.AB</x:t>
  </x:si>
  <x:si>
    <x:t>- - - - - Mediastinoscopy</x:t>
  </x:si>
  <x:si>
    <x:t>http://id.who.int/icd/entity/654828460</x:t>
  </x:si>
  <x:si>
    <x:t>http://id.who.int/icd/release/11/beta/ichi/654828460</x:t>
  </x:si>
  <x:si>
    <x:t>JCG.BA.BA</x:t>
  </x:si>
  <x:si>
    <x:t>- - - - - X-ray of mediastinum, not elsewhere classified</x:t>
  </x:si>
  <x:si>
    <x:t>http://id.who.int/icd/entity/2004630045</x:t>
  </x:si>
  <x:si>
    <x:t>http://id.who.int/icd/release/11/beta/ichi/2004630045</x:t>
  </x:si>
  <x:si>
    <x:t>JCG.FA.AA</x:t>
  </x:si>
  <x:si>
    <x:t>- - - - - Incision of mediastinum</x:t>
  </x:si>
  <x:si>
    <x:t>http://id.who.int/icd/entity/1103274748</x:t>
  </x:si>
  <x:si>
    <x:t>http://id.who.int/icd/release/11/beta/ichi/1103274748</x:t>
  </x:si>
  <x:si>
    <x:t>JCG.FA.AB</x:t>
  </x:si>
  <x:si>
    <x:t>- - - - - Thoracoscopic incision of mediastinum</x:t>
  </x:si>
  <x:si>
    <x:t>http://id.who.int/icd/entity/1782566508</x:t>
  </x:si>
  <x:si>
    <x:t>http://id.who.int/icd/release/11/beta/ichi/1782566508</x:t>
  </x:si>
  <x:si>
    <x:t>JCG.GA.AA</x:t>
  </x:si>
  <x:si>
    <x:t>- - - - - Destruction of lesion or tissue of mediastinum</x:t>
  </x:si>
  <x:si>
    <x:t>http://id.who.int/icd/entity/2071784988</x:t>
  </x:si>
  <x:si>
    <x:t>http://id.who.int/icd/release/11/beta/ichi/2071784988</x:t>
  </x:si>
  <x:si>
    <x:t>JCG.GA.AB</x:t>
  </x:si>
  <x:si>
    <x:t>- - - - - Endoscopic destruction of lesion or tissue of mediastinum</x:t>
  </x:si>
  <x:si>
    <x:t>http://id.who.int/icd/entity/1976191073</x:t>
  </x:si>
  <x:si>
    <x:t>http://id.who.int/icd/release/11/beta/ichi/1976191073</x:t>
  </x:si>
  <x:si>
    <x:t>JCG.JB.AA</x:t>
  </x:si>
  <x:si>
    <x:t>- - - - - Drainage of mediastinum</x:t>
  </x:si>
  <x:si>
    <x:t>http://id.who.int/icd/entity/478487642</x:t>
  </x:si>
  <x:si>
    <x:t>http://id.who.int/icd/release/11/beta/ichi/478487642</x:t>
  </x:si>
  <x:si>
    <x:t>JCG.JB.AB</x:t>
  </x:si>
  <x:si>
    <x:t>- - - - - Thoracoscopic drainage of mediastinum</x:t>
  </x:si>
  <x:si>
    <x:t>http://id.who.int/icd/entity/1291779563</x:t>
  </x:si>
  <x:si>
    <x:t>http://id.who.int/icd/release/11/beta/ichi/1291779563</x:t>
  </x:si>
  <x:si>
    <x:t>JCG.JB.AE</x:t>
  </x:si>
  <x:si>
    <x:t>- - - - - Percutaneous drainage of mediastinum</x:t>
  </x:si>
  <x:si>
    <x:t>http://id.who.int/icd/entity/248146537</x:t>
  </x:si>
  <x:si>
    <x:t>http://id.who.int/icd/release/11/beta/ichi/248146537</x:t>
  </x:si>
  <x:si>
    <x:t>JCG.JD.AB</x:t>
  </x:si>
  <x:si>
    <x:t>- - - - - Endoscopic removal of internal device or foreign body from mediastinum</x:t>
  </x:si>
  <x:si>
    <x:t>http://id.who.int/icd/entity/1588704216</x:t>
  </x:si>
  <x:si>
    <x:t>http://id.who.int/icd/release/11/beta/ichi/1588704216</x:t>
  </x:si>
  <x:si>
    <x:t>JCG.JD.AE</x:t>
  </x:si>
  <x:si>
    <x:t>- - - - - Removal of mediastinal drainage device</x:t>
  </x:si>
  <x:si>
    <x:t>http://id.who.int/icd/entity/562729159</x:t>
  </x:si>
  <x:si>
    <x:t>http://id.who.int/icd/release/11/beta/ichi/562729159</x:t>
  </x:si>
  <x:si>
    <x:t>JCG.JI.AA</x:t>
  </x:si>
  <x:si>
    <x:t>- - - - - Local excision of lesion of mediastinum</x:t>
  </x:si>
  <x:si>
    <x:t>http://id.who.int/icd/entity/1423567908</x:t>
  </x:si>
  <x:si>
    <x:t>http://id.who.int/icd/release/11/beta/ichi/1423567908</x:t>
  </x:si>
  <x:si>
    <x:t>JCG.JI.AB</x:t>
  </x:si>
  <x:si>
    <x:t>- - - - - Endoscopic local excision of lesion of mediastinum</x:t>
  </x:si>
  <x:si>
    <x:t>http://id.who.int/icd/entity/77739413</x:t>
  </x:si>
  <x:si>
    <x:t>http://id.who.int/icd/release/11/beta/ichi/77739413</x:t>
  </x:si>
  <x:si>
    <x:t>JCG.MK.AA</x:t>
  </x:si>
  <x:si>
    <x:t>- - - - - Repair of mediastinum</x:t>
  </x:si>
  <x:si>
    <x:t>http://id.who.int/icd/entity/2073630348</x:t>
  </x:si>
  <x:si>
    <x:t>http://id.who.int/icd/release/11/beta/ichi/2073630348</x:t>
  </x:si>
  <x:si>
    <x:t>JCH.AE.AA</x:t>
  </x:si>
  <x:si>
    <x:t>- - - - - Exploratory thoracotomy</x:t>
  </x:si>
  <x:si>
    <x:t>http://id.who.int/icd/entity/466691249</x:t>
  </x:si>
  <x:si>
    <x:t>http://id.who.int/icd/release/11/beta/ichi/466691249</x:t>
  </x:si>
  <x:si>
    <x:t>JCH.AE.AB</x:t>
  </x:si>
  <x:si>
    <x:t>- - - - - Transpleural thoracoscopy</x:t>
  </x:si>
  <x:si>
    <x:t>http://id.who.int/icd/entity/808208417</x:t>
  </x:si>
  <x:si>
    <x:t>http://id.who.int/icd/release/11/beta/ichi/808208417</x:t>
  </x:si>
  <x:si>
    <x:t>JCH.DB.AD</x:t>
  </x:si>
  <x:si>
    <x:t>- - - - - Injection into thoracic cavity</x:t>
  </x:si>
  <x:si>
    <x:t>http://id.who.int/icd/entity/283448301</x:t>
  </x:si>
  <x:si>
    <x:t>http://id.who.int/icd/release/11/beta/ichi/283448301</x:t>
  </x:si>
  <x:si>
    <x:t>JCH.FA.AA</x:t>
  </x:si>
  <x:si>
    <x:t>- - - - - Thoracotomy, not elsewhere classified</x:t>
  </x:si>
  <x:si>
    <x:t>http://id.who.int/icd/entity/243802761</x:t>
  </x:si>
  <x:si>
    <x:t>http://id.who.int/icd/release/11/beta/ichi/243802761</x:t>
  </x:si>
  <x:si>
    <x:t>JCH.JG.AB</x:t>
  </x:si>
  <x:si>
    <x:t>- - - - - Thoracoscopic debridement of thoracic cavity</x:t>
  </x:si>
  <x:si>
    <x:t>http://id.who.int/icd/entity/20032027</x:t>
  </x:si>
  <x:si>
    <x:t>http://id.who.int/icd/release/11/beta/ichi/20032027</x:t>
  </x:si>
  <x:si>
    <x:t>JCH.MK.AA</x:t>
  </x:si>
  <x:si>
    <x:t>- - - - - Closure of fistula of the thoracic cavity</x:t>
  </x:si>
  <x:si>
    <x:t>http://id.who.int/icd/entity/346297949</x:t>
  </x:si>
  <x:si>
    <x:t>http://id.who.int/icd/release/11/beta/ichi/346297949</x:t>
  </x:si>
  <x:si>
    <x:t>BlockL4-JT2</x:t>
  </x:si>
  <x:si>
    <x:t>- - - - Interventions on functions of respiratory system</x:t>
  </x:si>
  <x:si>
    <x:t>http://id.who.int/icd/entity/878535777</x:t>
  </x:si>
  <x:si>
    <x:t>http://id.who.int/icd/release/11/beta/ichi/878535777</x:t>
  </x:si>
  <x:si>
    <x:t>JT2.AA.ZZ</x:t>
  </x:si>
  <x:si>
    <x:t>- - - - - Assessment of functions of the respiratory system, not elsewhere classified</x:t>
  </x:si>
  <x:si>
    <x:t>http://id.who.int/icd/entity/773479099</x:t>
  </x:si>
  <x:si>
    <x:t>http://id.who.int/icd/release/11/beta/ichi/773479099</x:t>
  </x:si>
  <x:si>
    <x:t>JT2.AB.ZZ</x:t>
  </x:si>
  <x:si>
    <x:t>- - - - - Measurement of functions of the respiratory system, not elsewhere classified</x:t>
  </x:si>
  <x:si>
    <x:t>http://id.who.int/icd/entity/1538055880</x:t>
  </x:si>
  <x:si>
    <x:t>http://id.who.int/icd/release/11/beta/ichi/1538055880</x:t>
  </x:si>
  <x:si>
    <x:t>JT2.AC.ZZ</x:t>
  </x:si>
  <x:si>
    <x:t>- - - - - Test of functions of the respiratory system, not elsewhere classified</x:t>
  </x:si>
  <x:si>
    <x:t>http://id.who.int/icd/entity/903142817</x:t>
  </x:si>
  <x:si>
    <x:t>http://id.who.int/icd/release/11/beta/ichi/903142817</x:t>
  </x:si>
  <x:si>
    <x:t>JT2.PG.ZZ</x:t>
  </x:si>
  <x:si>
    <x:t>- - - - - Assisting and leading exercise for functions of the respiratory system, not elsewhere classified</x:t>
  </x:si>
  <x:si>
    <x:t>http://id.who.int/icd/entity/74354667</x:t>
  </x:si>
  <x:si>
    <x:t>http://id.who.int/icd/release/11/beta/ichi/74354667</x:t>
  </x:si>
  <x:si>
    <x:t>JT2.PH.ZZ</x:t>
  </x:si>
  <x:si>
    <x:t>- - - - - Training for functions of the respiratory system, not elsewhere classified</x:t>
  </x:si>
  <x:si>
    <x:t>http://id.who.int/icd/entity/1144665980</x:t>
  </x:si>
  <x:si>
    <x:t>http://id.who.int/icd/release/11/beta/ichi/1144665980</x:t>
  </x:si>
  <x:si>
    <x:t>JT2.PM.ZZ</x:t>
  </x:si>
  <x:si>
    <x:t>- - - - - Education about functions of the respiratory system, not elsewhere classified</x:t>
  </x:si>
  <x:si>
    <x:t>http://id.who.int/icd/entity/1329474002</x:t>
  </x:si>
  <x:si>
    <x:t>http://id.who.int/icd/release/11/beta/ichi/1329474002</x:t>
  </x:si>
  <x:si>
    <x:t>JT2.PN.ZZ</x:t>
  </x:si>
  <x:si>
    <x:t>- - - - - Advising about functions of the respiratory system, not elsewhere classified</x:t>
  </x:si>
  <x:si>
    <x:t>http://id.who.int/icd/entity/469263967</x:t>
  </x:si>
  <x:si>
    <x:t>http://id.who.int/icd/release/11/beta/ichi/469263967</x:t>
  </x:si>
  <x:si>
    <x:t>JT2.PP.ZZ</x:t>
  </x:si>
  <x:si>
    <x:t>- - - - - Counselling for functions of the respiratory system, not elsewhere classified</x:t>
  </x:si>
  <x:si>
    <x:t>http://id.who.int/icd/entity/1320652816</x:t>
  </x:si>
  <x:si>
    <x:t>http://id.who.int/icd/release/11/beta/ichi/1320652816</x:t>
  </x:si>
  <x:si>
    <x:t>JT2.RB.ZZ</x:t>
  </x:si>
  <x:si>
    <x:t>- - - - - Practical support with functions of the respiratory system, not elsewhere classified</x:t>
  </x:si>
  <x:si>
    <x:t>http://id.who.int/icd/entity/1643604672</x:t>
  </x:si>
  <x:si>
    <x:t>http://id.who.int/icd/release/11/beta/ichi/1643604672</x:t>
  </x:si>
  <x:si>
    <x:t>JT2.RC.ZZ</x:t>
  </x:si>
  <x:si>
    <x:t>- - - - - Emotional support for functions of the respiratory system, not elsewhere classified</x:t>
  </x:si>
  <x:si>
    <x:t>http://id.who.int/icd/entity/194334617</x:t>
  </x:si>
  <x:si>
    <x:t>http://id.who.int/icd/release/11/beta/ichi/194334617</x:t>
  </x:si>
  <x:si>
    <x:t>JTB.AA.ZZ</x:t>
  </x:si>
  <x:si>
    <x:t>- - - - - Assessment of respiration functions</x:t>
  </x:si>
  <x:si>
    <x:t>http://id.who.int/icd/entity/1101637876</x:t>
  </x:si>
  <x:si>
    <x:t>http://id.who.int/icd/release/11/beta/ichi/1101637876</x:t>
  </x:si>
  <x:si>
    <x:t>JTB.AB.ZZ</x:t>
  </x:si>
  <x:si>
    <x:t>- - - - - Measurement of respiration function</x:t>
  </x:si>
  <x:si>
    <x:t>http://id.who.int/icd/entity/2023509856</x:t>
  </x:si>
  <x:si>
    <x:t>http://id.who.int/icd/release/11/beta/ichi/2023509856</x:t>
  </x:si>
  <x:si>
    <x:t>JTB.AC.ZZ</x:t>
  </x:si>
  <x:si>
    <x:t>- - - - - Test of respiration function</x:t>
  </x:si>
  <x:si>
    <x:t>http://id.who.int/icd/entity/1565594268</x:t>
  </x:si>
  <x:si>
    <x:t>http://id.who.int/icd/release/11/beta/ichi/1565594268</x:t>
  </x:si>
  <x:si>
    <x:t>JTB.AI.ZZ</x:t>
  </x:si>
  <x:si>
    <x:t>- - - - - Monitoring respiration function</x:t>
  </x:si>
  <x:si>
    <x:t>http://id.who.int/icd/entity/393082359</x:t>
  </x:si>
  <x:si>
    <x:t>http://id.who.int/icd/release/11/beta/ichi/393082359</x:t>
  </x:si>
  <x:si>
    <x:t>JTB.AM.ZZ</x:t>
  </x:si>
  <x:si>
    <x:t>- - - - - Observation of respiration function</x:t>
  </x:si>
  <x:si>
    <x:t>http://id.who.int/icd/entity/2031482526</x:t>
  </x:si>
  <x:si>
    <x:t>http://id.who.int/icd/release/11/beta/ichi/2031482526</x:t>
  </x:si>
  <x:si>
    <x:t>JTB.DE.AC</x:t>
  </x:si>
  <x:si>
    <x:t>- - - - - Artificial ventilation</x:t>
  </x:si>
  <x:si>
    <x:t>http://id.who.int/icd/entity/2009087838</x:t>
  </x:si>
  <x:si>
    <x:t>http://id.who.int/icd/release/11/beta/ichi/2009087838</x:t>
  </x:si>
  <x:si>
    <x:t>JTB.JB.ZZ</x:t>
  </x:si>
  <x:si>
    <x:t>- - - - - Postural drainage</x:t>
  </x:si>
  <x:si>
    <x:t>http://id.who.int/icd/entity/671247999</x:t>
  </x:si>
  <x:si>
    <x:t>http://id.who.int/icd/release/11/beta/ichi/671247999</x:t>
  </x:si>
  <x:si>
    <x:t>JTB.PG.ZZ</x:t>
  </x:si>
  <x:si>
    <x:t>- - - - - Assisting or leading exercise for respiration function</x:t>
  </x:si>
  <x:si>
    <x:t>http://id.who.int/icd/entity/231683005</x:t>
  </x:si>
  <x:si>
    <x:t>http://id.who.int/icd/release/11/beta/ichi/231683005</x:t>
  </x:si>
  <x:si>
    <x:t>JTB.PH.ZZ</x:t>
  </x:si>
  <x:si>
    <x:t>- - - - - Training for respiration function</x:t>
  </x:si>
  <x:si>
    <x:t>http://id.who.int/icd/entity/1672949972</x:t>
  </x:si>
  <x:si>
    <x:t>http://id.who.int/icd/release/11/beta/ichi/1672949972</x:t>
  </x:si>
  <x:si>
    <x:t>JTB.PM.ZZ</x:t>
  </x:si>
  <x:si>
    <x:t>- - - - - Education about respiration function</x:t>
  </x:si>
  <x:si>
    <x:t>http://id.who.int/icd/entity/1376608926</x:t>
  </x:si>
  <x:si>
    <x:t>http://id.who.int/icd/release/11/beta/ichi/1376608926</x:t>
  </x:si>
  <x:si>
    <x:t>JTB.PN.ZZ</x:t>
  </x:si>
  <x:si>
    <x:t>- - - - - Advising about respiration function</x:t>
  </x:si>
  <x:si>
    <x:t>http://id.who.int/icd/entity/224953293</x:t>
  </x:si>
  <x:si>
    <x:t>http://id.who.int/icd/release/11/beta/ichi/224953293</x:t>
  </x:si>
  <x:si>
    <x:t>JTB.ZZ.ZZ</x:t>
  </x:si>
  <x:si>
    <x:t>- - - - - Other interventions on respiration function, not elsewhere classified</x:t>
  </x:si>
  <x:si>
    <x:t>http://id.who.int/icd/entity/47254367</x:t>
  </x:si>
  <x:si>
    <x:t>http://id.who.int/icd/release/11/beta/ichi/47254367</x:t>
  </x:si>
  <x:si>
    <x:t>JTC.AA.ZZ</x:t>
  </x:si>
  <x:si>
    <x:t>- - - - - Assessment of respiratory muscle function</x:t>
  </x:si>
  <x:si>
    <x:t>http://id.who.int/icd/entity/45744465</x:t>
  </x:si>
  <x:si>
    <x:t>http://id.who.int/icd/release/11/beta/ichi/45744465</x:t>
  </x:si>
  <x:si>
    <x:t>JTC.AB.ZZ</x:t>
  </x:si>
  <x:si>
    <x:t>- - - - - Respiratory pressure measurement</x:t>
  </x:si>
  <x:si>
    <x:t>http://id.who.int/icd/entity/1824653880</x:t>
  </x:si>
  <x:si>
    <x:t>http://id.who.int/icd/release/11/beta/ichi/1824653880</x:t>
  </x:si>
  <x:si>
    <x:t>JTC.PG.ZZ</x:t>
  </x:si>
  <x:si>
    <x:t>- - - - - Assisting and leading exercise for respiratory muscles</x:t>
  </x:si>
  <x:si>
    <x:t>http://id.who.int/icd/entity/419250059</x:t>
  </x:si>
  <x:si>
    <x:t>http://id.who.int/icd/release/11/beta/ichi/419250059</x:t>
  </x:si>
  <x:si>
    <x:t>JTG.AA.ZZ</x:t>
  </x:si>
  <x:si>
    <x:t>- - - - - Assessment of coughing, sneezing, expectorating and other functions related to breathing</x:t>
  </x:si>
  <x:si>
    <x:t>http://id.who.int/icd/entity/499716213</x:t>
  </x:si>
  <x:si>
    <x:t>http://id.who.int/icd/release/11/beta/ichi/499716213</x:t>
  </x:si>
  <x:si>
    <x:t>JTG.PG.ZZ</x:t>
  </x:si>
  <x:si>
    <x:t>- - - - - Assisting and leading exercise for additional respiratory functions</x:t>
  </x:si>
  <x:si>
    <x:t>http://id.who.int/icd/entity/1997309220</x:t>
  </x:si>
  <x:si>
    <x:t>http://id.who.int/icd/release/11/beta/ichi/1997309220</x:t>
  </x:si>
  <x:si>
    <x:t>JTG.PH.ZZ</x:t>
  </x:si>
  <x:si>
    <x:t>- - - - - Training coughing, sneezing, expectorating and other functions related to breathing</x:t>
  </x:si>
  <x:si>
    <x:t>http://id.who.int/icd/entity/1378099312</x:t>
  </x:si>
  <x:si>
    <x:t>http://id.who.int/icd/release/11/beta/ichi/1378099312</x:t>
  </x:si>
  <x:si>
    <x:t>JTG.RB.ZZ</x:t>
  </x:si>
  <x:si>
    <x:t>- - - - - Practical support for coughing, sneezing, expectorating and other respiratory functions related to breathing</x:t>
  </x:si>
  <x:si>
    <x:t>http://id.who.int/icd/entity/480596261</x:t>
  </x:si>
  <x:si>
    <x:t>http://id.who.int/icd/release/11/beta/ichi/480596261</x:t>
  </x:si>
  <x:si>
    <x:t>BlockL4-JU1</x:t>
  </x:si>
  <x:si>
    <x:t>- - - - Interventions on voice and speech</x:t>
  </x:si>
  <x:si>
    <x:t>60</x:t>
  </x:si>
  <x:si>
    <x:t>http://id.who.int/icd/entity/1012671257</x:t>
  </x:si>
  <x:si>
    <x:t>http://id.who.int/icd/release/11/beta/ichi/1012671257</x:t>
  </x:si>
  <x:si>
    <x:t>JU1.AA.ZZ</x:t>
  </x:si>
  <x:si>
    <x:t>- - - - - Assessment of voice and speech functions, unspecified</x:t>
  </x:si>
  <x:si>
    <x:t>http://id.who.int/icd/entity/2018571554</x:t>
  </x:si>
  <x:si>
    <x:t>http://id.who.int/icd/release/11/beta/ichi/2018571554</x:t>
  </x:si>
  <x:si>
    <x:t>JU1.AC.ZZ</x:t>
  </x:si>
  <x:si>
    <x:t>- - - - - Test of voice and speech functions, unspecified</x:t>
  </x:si>
  <x:si>
    <x:t>http://id.who.int/icd/entity/371783241</x:t>
  </x:si>
  <x:si>
    <x:t>http://id.who.int/icd/release/11/beta/ichi/371783241</x:t>
  </x:si>
  <x:si>
    <x:t>JU1.AM.ZZ</x:t>
  </x:si>
  <x:si>
    <x:t>- - - - - Observation of voice and speech functions, unspecified</x:t>
  </x:si>
  <x:si>
    <x:t>http://id.who.int/icd/entity/663921667</x:t>
  </x:si>
  <x:si>
    <x:t>http://id.who.int/icd/release/11/beta/ichi/663921667</x:t>
  </x:si>
  <x:si>
    <x:t>JU1.PG.ZZ</x:t>
  </x:si>
  <x:si>
    <x:t>- - - - - Assisting and leading exercise for voice and speech functions, unspecified</x:t>
  </x:si>
  <x:si>
    <x:t>http://id.who.int/icd/entity/2029471056</x:t>
  </x:si>
  <x:si>
    <x:t>http://id.who.int/icd/release/11/beta/ichi/2029471056</x:t>
  </x:si>
  <x:si>
    <x:t>JU1.PH.ZZ</x:t>
  </x:si>
  <x:si>
    <x:t>- - - - - Training of voice and speech functions, unspecified</x:t>
  </x:si>
  <x:si>
    <x:t>http://id.who.int/icd/entity/1945328638</x:t>
  </x:si>
  <x:si>
    <x:t>http://id.who.int/icd/release/11/beta/ichi/1945328638</x:t>
  </x:si>
  <x:si>
    <x:t>JU1.PM.ZZ</x:t>
  </x:si>
  <x:si>
    <x:t>- - - - - Education about voice and speech functions, unspecified</x:t>
  </x:si>
  <x:si>
    <x:t>http://id.who.int/icd/entity/657790067</x:t>
  </x:si>
  <x:si>
    <x:t>http://id.who.int/icd/release/11/beta/ichi/657790067</x:t>
  </x:si>
  <x:si>
    <x:t>JU1.PN.ZZ</x:t>
  </x:si>
  <x:si>
    <x:t>- - - - - Advising about voice and speech functions, unspecified</x:t>
  </x:si>
  <x:si>
    <x:t>http://id.who.int/icd/entity/643881713</x:t>
  </x:si>
  <x:si>
    <x:t>http://id.who.int/icd/release/11/beta/ichi/643881713</x:t>
  </x:si>
  <x:si>
    <x:t>JU1.PP.ZZ</x:t>
  </x:si>
  <x:si>
    <x:t>- - - - - Counselling for voice and speech functions, unspecified</x:t>
  </x:si>
  <x:si>
    <x:t>http://id.who.int/icd/entity/153100383</x:t>
  </x:si>
  <x:si>
    <x:t>http://id.who.int/icd/release/11/beta/ichi/153100383</x:t>
  </x:si>
  <x:si>
    <x:t>JU1.RB.ZZ</x:t>
  </x:si>
  <x:si>
    <x:t>- - - - - Practical support with voice and speech functions, unspecified</x:t>
  </x:si>
  <x:si>
    <x:t>http://id.who.int/icd/entity/2040695762</x:t>
  </x:si>
  <x:si>
    <x:t>http://id.who.int/icd/release/11/beta/ichi/2040695762</x:t>
  </x:si>
  <x:si>
    <x:t>JU1.RC.ZZ</x:t>
  </x:si>
  <x:si>
    <x:t>- - - - - Emotional support for voice and speech functions, unspecified</x:t>
  </x:si>
  <x:si>
    <x:t>http://id.who.int/icd/entity/2090247212</x:t>
  </x:si>
  <x:si>
    <x:t>http://id.who.int/icd/release/11/beta/ichi/2090247212</x:t>
  </x:si>
  <x:si>
    <x:t>JUB.AA.ZZ</x:t>
  </x:si>
  <x:si>
    <x:t>- - - - - Assessment of voice functions</x:t>
  </x:si>
  <x:si>
    <x:t>http://id.who.int/icd/entity/61703987</x:t>
  </x:si>
  <x:si>
    <x:t>http://id.who.int/icd/release/11/beta/ichi/61703987</x:t>
  </x:si>
  <x:si>
    <x:t>JUB.AC.ZZ</x:t>
  </x:si>
  <x:si>
    <x:t>- - - - - Test of voice functions</x:t>
  </x:si>
  <x:si>
    <x:t>http://id.who.int/icd/entity/1842709596</x:t>
  </x:si>
  <x:si>
    <x:t>http://id.who.int/icd/release/11/beta/ichi/1842709596</x:t>
  </x:si>
  <x:si>
    <x:t>JUB.AM.ZZ</x:t>
  </x:si>
  <x:si>
    <x:t>- - - - - Observation of voice functions</x:t>
  </x:si>
  <x:si>
    <x:t>http://id.who.int/icd/entity/108810333</x:t>
  </x:si>
  <x:si>
    <x:t>http://id.who.int/icd/release/11/beta/ichi/108810333</x:t>
  </x:si>
  <x:si>
    <x:t>JUB.PG.ZZ</x:t>
  </x:si>
  <x:si>
    <x:t>- - - - - Assisting and leading exercise for voice functions</x:t>
  </x:si>
  <x:si>
    <x:t>http://id.who.int/icd/entity/1019354299</x:t>
  </x:si>
  <x:si>
    <x:t>http://id.who.int/icd/release/11/beta/ichi/1019354299</x:t>
  </x:si>
  <x:si>
    <x:t>JUB.PH.ZZ</x:t>
  </x:si>
  <x:si>
    <x:t>- - - - - Training of voice functions</x:t>
  </x:si>
  <x:si>
    <x:t>http://id.who.int/icd/entity/972436293</x:t>
  </x:si>
  <x:si>
    <x:t>http://id.who.int/icd/release/11/beta/ichi/972436293</x:t>
  </x:si>
  <x:si>
    <x:t>JUB.PM.ZZ</x:t>
  </x:si>
  <x:si>
    <x:t>- - - - - Education about voice functions</x:t>
  </x:si>
  <x:si>
    <x:t>http://id.who.int/icd/entity/1232378058</x:t>
  </x:si>
  <x:si>
    <x:t>http://id.who.int/icd/release/11/beta/ichi/1232378058</x:t>
  </x:si>
  <x:si>
    <x:t>JUB.PN.ZZ</x:t>
  </x:si>
  <x:si>
    <x:t>- - - - - Advising about voice functions</x:t>
  </x:si>
  <x:si>
    <x:t>http://id.who.int/icd/entity/1714709094</x:t>
  </x:si>
  <x:si>
    <x:t>http://id.who.int/icd/release/11/beta/ichi/1714709094</x:t>
  </x:si>
  <x:si>
    <x:t>JUB.PP.ZZ</x:t>
  </x:si>
  <x:si>
    <x:t>- - - - - Counselling for voice functions</x:t>
  </x:si>
  <x:si>
    <x:t>http://id.who.int/icd/entity/1546493680</x:t>
  </x:si>
  <x:si>
    <x:t>http://id.who.int/icd/release/11/beta/ichi/1546493680</x:t>
  </x:si>
  <x:si>
    <x:t>JUB.RB.ZZ</x:t>
  </x:si>
  <x:si>
    <x:t>- - - - - Practical support with voice functions</x:t>
  </x:si>
  <x:si>
    <x:t>http://id.who.int/icd/entity/844471705</x:t>
  </x:si>
  <x:si>
    <x:t>http://id.who.int/icd/release/11/beta/ichi/844471705</x:t>
  </x:si>
  <x:si>
    <x:t>JUB.RC.ZZ</x:t>
  </x:si>
  <x:si>
    <x:t>- - - - - Emotional support for voice functions</x:t>
  </x:si>
  <x:si>
    <x:t>http://id.who.int/icd/entity/66047955</x:t>
  </x:si>
  <x:si>
    <x:t>http://id.who.int/icd/release/11/beta/ichi/66047955</x:t>
  </x:si>
  <x:si>
    <x:t>JUC.AA.ZZ</x:t>
  </x:si>
  <x:si>
    <x:t>- - - - - Assessment of speech functions</x:t>
  </x:si>
  <x:si>
    <x:t>http://id.who.int/icd/entity/1492845248</x:t>
  </x:si>
  <x:si>
    <x:t>http://id.who.int/icd/release/11/beta/ichi/1492845248</x:t>
  </x:si>
  <x:si>
    <x:t>JUC.AC.ZZ</x:t>
  </x:si>
  <x:si>
    <x:t>- - - - - Test of speech functions</x:t>
  </x:si>
  <x:si>
    <x:t>http://id.who.int/icd/entity/1765888138</x:t>
  </x:si>
  <x:si>
    <x:t>http://id.who.int/icd/release/11/beta/ichi/1765888138</x:t>
  </x:si>
  <x:si>
    <x:t>JUC.AM.ZZ</x:t>
  </x:si>
  <x:si>
    <x:t>- - - - - Observation of speech functions</x:t>
  </x:si>
  <x:si>
    <x:t>http://id.who.int/icd/entity/1500691202</x:t>
  </x:si>
  <x:si>
    <x:t>http://id.who.int/icd/release/11/beta/ichi/1500691202</x:t>
  </x:si>
  <x:si>
    <x:t>JUC.PG.ZZ</x:t>
  </x:si>
  <x:si>
    <x:t>- - - - - Assisting and leading exercise for speech functions</x:t>
  </x:si>
  <x:si>
    <x:t>http://id.who.int/icd/entity/1383507372</x:t>
  </x:si>
  <x:si>
    <x:t>http://id.who.int/icd/release/11/beta/ichi/1383507372</x:t>
  </x:si>
  <x:si>
    <x:t>JUC.PH.ZZ</x:t>
  </x:si>
  <x:si>
    <x:t>- - - - - Training of speech functions</x:t>
  </x:si>
  <x:si>
    <x:t>http://id.who.int/icd/entity/112257571</x:t>
  </x:si>
  <x:si>
    <x:t>http://id.who.int/icd/release/11/beta/ichi/112257571</x:t>
  </x:si>
  <x:si>
    <x:t>JUC.PM.ZZ</x:t>
  </x:si>
  <x:si>
    <x:t>- - - - - Education about speech functions</x:t>
  </x:si>
  <x:si>
    <x:t>http://id.who.int/icd/entity/597184369</x:t>
  </x:si>
  <x:si>
    <x:t>http://id.who.int/icd/release/11/beta/ichi/597184369</x:t>
  </x:si>
  <x:si>
    <x:t>JUC.PN.ZZ</x:t>
  </x:si>
  <x:si>
    <x:t>- - - - - Advising about speech functions</x:t>
  </x:si>
  <x:si>
    <x:t>http://id.who.int/icd/entity/215528927</x:t>
  </x:si>
  <x:si>
    <x:t>http://id.who.int/icd/release/11/beta/ichi/215528927</x:t>
  </x:si>
  <x:si>
    <x:t>JUC.PP.ZZ</x:t>
  </x:si>
  <x:si>
    <x:t>- - - - - Counselling for speech functions</x:t>
  </x:si>
  <x:si>
    <x:t>http://id.who.int/icd/entity/2086280786</x:t>
  </x:si>
  <x:si>
    <x:t>http://id.who.int/icd/release/11/beta/ichi/2086280786</x:t>
  </x:si>
  <x:si>
    <x:t>JUC.RB.ZZ</x:t>
  </x:si>
  <x:si>
    <x:t>- - - - - Practical support with speech funcions</x:t>
  </x:si>
  <x:si>
    <x:t>http://id.who.int/icd/entity/2037264812</x:t>
  </x:si>
  <x:si>
    <x:t>http://id.who.int/icd/release/11/beta/ichi/2037264812</x:t>
  </x:si>
  <x:si>
    <x:t>JUC.RC.ZZ</x:t>
  </x:si>
  <x:si>
    <x:t>- - - - - Emotional support for speech functions</x:t>
  </x:si>
  <x:si>
    <x:t>http://id.who.int/icd/entity/106238643</x:t>
  </x:si>
  <x:si>
    <x:t>http://id.who.int/icd/release/11/beta/ichi/106238643</x:t>
  </x:si>
  <x:si>
    <x:t>JUD.AA.ZZ</x:t>
  </x:si>
  <x:si>
    <x:t>- - - - - Assessment of articulation functions</x:t>
  </x:si>
  <x:si>
    <x:t>http://id.who.int/icd/entity/1747784156</x:t>
  </x:si>
  <x:si>
    <x:t>http://id.who.int/icd/release/11/beta/ichi/1747784156</x:t>
  </x:si>
  <x:si>
    <x:t>JUD.AC.ZZ</x:t>
  </x:si>
  <x:si>
    <x:t>- - - - - Test of articulation functions</x:t>
  </x:si>
  <x:si>
    <x:t>http://id.who.int/icd/entity/481664025</x:t>
  </x:si>
  <x:si>
    <x:t>http://id.who.int/icd/release/11/beta/ichi/481664025</x:t>
  </x:si>
  <x:si>
    <x:t>JUD.AM.ZZ</x:t>
  </x:si>
  <x:si>
    <x:t>- - - - - Observation of articulation functions</x:t>
  </x:si>
  <x:si>
    <x:t>http://id.who.int/icd/entity/116564675</x:t>
  </x:si>
  <x:si>
    <x:t>http://id.who.int/icd/release/11/beta/ichi/116564675</x:t>
  </x:si>
  <x:si>
    <x:t>JUD.PG.ZZ</x:t>
  </x:si>
  <x:si>
    <x:t>- - - - - Assisting and leading exercise for articulation functions</x:t>
  </x:si>
  <x:si>
    <x:t>http://id.who.int/icd/entity/2049694713</x:t>
  </x:si>
  <x:si>
    <x:t>http://id.who.int/icd/release/11/beta/ichi/2049694713</x:t>
  </x:si>
  <x:si>
    <x:t>JUD.PH.ZZ</x:t>
  </x:si>
  <x:si>
    <x:t>- - - - - Training of articulation functions</x:t>
  </x:si>
  <x:si>
    <x:t>http://id.who.int/icd/entity/178876534</x:t>
  </x:si>
  <x:si>
    <x:t>http://id.who.int/icd/release/11/beta/ichi/178876534</x:t>
  </x:si>
  <x:si>
    <x:t>JUD.PM.ZZ</x:t>
  </x:si>
  <x:si>
    <x:t>- - - - - Education about articulation functions</x:t>
  </x:si>
  <x:si>
    <x:t>http://id.who.int/icd/entity/636062426</x:t>
  </x:si>
  <x:si>
    <x:t>http://id.who.int/icd/release/11/beta/ichi/636062426</x:t>
  </x:si>
  <x:si>
    <x:t>JUD.PN.ZZ</x:t>
  </x:si>
  <x:si>
    <x:t>- - - - - Advising about articulation functions</x:t>
  </x:si>
  <x:si>
    <x:t>http://id.who.int/icd/entity/1889959061</x:t>
  </x:si>
  <x:si>
    <x:t>http://id.who.int/icd/release/11/beta/ichi/1889959061</x:t>
  </x:si>
  <x:si>
    <x:t>JUD.PP.ZZ</x:t>
  </x:si>
  <x:si>
    <x:t>- - - - - Counselling for articulation functions</x:t>
  </x:si>
  <x:si>
    <x:t>http://id.who.int/icd/entity/517898236</x:t>
  </x:si>
  <x:si>
    <x:t>http://id.who.int/icd/release/11/beta/ichi/517898236</x:t>
  </x:si>
  <x:si>
    <x:t>JUD.RB.ZZ</x:t>
  </x:si>
  <x:si>
    <x:t>- - - - - Practical support with articulation functions</x:t>
  </x:si>
  <x:si>
    <x:t>http://id.who.int/icd/entity/795094454</x:t>
  </x:si>
  <x:si>
    <x:t>http://id.who.int/icd/release/11/beta/ichi/795094454</x:t>
  </x:si>
  <x:si>
    <x:t>JUD.RC.ZZ</x:t>
  </x:si>
  <x:si>
    <x:t>- - - - - Emotional support for articulation functions</x:t>
  </x:si>
  <x:si>
    <x:t>http://id.who.int/icd/entity/1865454881</x:t>
  </x:si>
  <x:si>
    <x:t>http://id.who.int/icd/release/11/beta/ichi/1865454881</x:t>
  </x:si>
  <x:si>
    <x:t>JUF.AA.ZZ</x:t>
  </x:si>
  <x:si>
    <x:t>- - - - - Assessment of fluency and rhythm of speech functions</x:t>
  </x:si>
  <x:si>
    <x:t>http://id.who.int/icd/entity/1681165197</x:t>
  </x:si>
  <x:si>
    <x:t>http://id.who.int/icd/release/11/beta/ichi/1681165197</x:t>
  </x:si>
  <x:si>
    <x:t>JUF.AC.ZZ</x:t>
  </x:si>
  <x:si>
    <x:t>- - - - - Test of fluency and rhythm of speech functions</x:t>
  </x:si>
  <x:si>
    <x:t>http://id.who.int/icd/entity/821216258</x:t>
  </x:si>
  <x:si>
    <x:t>http://id.who.int/icd/release/11/beta/ichi/821216258</x:t>
  </x:si>
  <x:si>
    <x:t>JUF.AM.ZZ</x:t>
  </x:si>
  <x:si>
    <x:t>- - - - - Observation of fluency and rhythm of speech functions</x:t>
  </x:si>
  <x:si>
    <x:t>http://id.who.int/icd/entity/1706897997</x:t>
  </x:si>
  <x:si>
    <x:t>http://id.who.int/icd/release/11/beta/ichi/1706897997</x:t>
  </x:si>
  <x:si>
    <x:t>JUF.PG.ZZ</x:t>
  </x:si>
  <x:si>
    <x:t>- - - - - Assisting and leading exercise for fluency and rhythm of speech functions</x:t>
  </x:si>
  <x:si>
    <x:t>http://id.who.int/icd/entity/1778694879</x:t>
  </x:si>
  <x:si>
    <x:t>http://id.who.int/icd/release/11/beta/ichi/1778694879</x:t>
  </x:si>
  <x:si>
    <x:t>JUF.PH.ZZ</x:t>
  </x:si>
  <x:si>
    <x:t>- - - - - Training of fluency and rhythm of speech functions</x:t>
  </x:si>
  <x:si>
    <x:t>http://id.who.int/icd/entity/75282870</x:t>
  </x:si>
  <x:si>
    <x:t>http://id.who.int/icd/release/11/beta/ichi/75282870</x:t>
  </x:si>
  <x:si>
    <x:t>JUF.PM.ZZ</x:t>
  </x:si>
  <x:si>
    <x:t>- - - - - Education about fluency and rhythm of speech functions</x:t>
  </x:si>
  <x:si>
    <x:t>http://id.who.int/icd/entity/1894003829</x:t>
  </x:si>
  <x:si>
    <x:t>http://id.who.int/icd/release/11/beta/ichi/1894003829</x:t>
  </x:si>
  <x:si>
    <x:t>JUF.PN.ZZ</x:t>
  </x:si>
  <x:si>
    <x:t>- - - - - Advising about fluency and rhythm of speech functions</x:t>
  </x:si>
  <x:si>
    <x:t>http://id.who.int/icd/entity/1789069999</x:t>
  </x:si>
  <x:si>
    <x:t>http://id.who.int/icd/release/11/beta/ichi/1789069999</x:t>
  </x:si>
  <x:si>
    <x:t>JUF.PP.ZZ</x:t>
  </x:si>
  <x:si>
    <x:t>- - - - - Counselling for fluency and rhythm of speech functions</x:t>
  </x:si>
  <x:si>
    <x:t>http://id.who.int/icd/entity/1638339587</x:t>
  </x:si>
  <x:si>
    <x:t>http://id.who.int/icd/release/11/beta/ichi/1638339587</x:t>
  </x:si>
  <x:si>
    <x:t>JUF.RB.ZZ</x:t>
  </x:si>
  <x:si>
    <x:t>- - - - - Practical support with fluency and rhythm of speech functions</x:t>
  </x:si>
  <x:si>
    <x:t>http://id.who.int/icd/entity/1607451861</x:t>
  </x:si>
  <x:si>
    <x:t>http://id.who.int/icd/release/11/beta/ichi/1607451861</x:t>
  </x:si>
  <x:si>
    <x:t>JUF.RC.ZZ</x:t>
  </x:si>
  <x:si>
    <x:t>- - - - - Emotional support for fluency and rhythm of speech functions</x:t>
  </x:si>
  <x:si>
    <x:t>http://id.who.int/icd/entity/552921034</x:t>
  </x:si>
  <x:si>
    <x:t>http://id.who.int/icd/release/11/beta/ichi/552921034</x:t>
  </x:si>
  <x:si>
    <x:t>JUG.AA.ZZ</x:t>
  </x:si>
  <x:si>
    <x:t>- - - - - Assessment of alternative vocalisation functions</x:t>
  </x:si>
  <x:si>
    <x:t>http://id.who.int/icd/entity/633391156</x:t>
  </x:si>
  <x:si>
    <x:t>http://id.who.int/icd/release/11/beta/ichi/633391156</x:t>
  </x:si>
  <x:si>
    <x:t>JUG.AC.ZZ</x:t>
  </x:si>
  <x:si>
    <x:t>- - - - - Test of alternative vocalisation functions</x:t>
  </x:si>
  <x:si>
    <x:t>http://id.who.int/icd/entity/1430414265</x:t>
  </x:si>
  <x:si>
    <x:t>http://id.who.int/icd/release/11/beta/ichi/1430414265</x:t>
  </x:si>
  <x:si>
    <x:t>JUG.AM.ZZ</x:t>
  </x:si>
  <x:si>
    <x:t>- - - - - Observation of alternative vocalisation functions</x:t>
  </x:si>
  <x:si>
    <x:t>http://id.who.int/icd/entity/2046990615</x:t>
  </x:si>
  <x:si>
    <x:t>http://id.who.int/icd/release/11/beta/ichi/2046990615</x:t>
  </x:si>
  <x:si>
    <x:t>JUG.PG.ZZ</x:t>
  </x:si>
  <x:si>
    <x:t>- - - - - Assisting and leading exercise for alternative vocalisation functions</x:t>
  </x:si>
  <x:si>
    <x:t>http://id.who.int/icd/entity/447697854</x:t>
  </x:si>
  <x:si>
    <x:t>http://id.who.int/icd/release/11/beta/ichi/447697854</x:t>
  </x:si>
  <x:si>
    <x:t>JUG.PH.ZZ</x:t>
  </x:si>
  <x:si>
    <x:t>- - - - - Training of alternative vocalisation functions</x:t>
  </x:si>
  <x:si>
    <x:t>http://id.who.int/icd/entity/296439056</x:t>
  </x:si>
  <x:si>
    <x:t>http://id.who.int/icd/release/11/beta/ichi/296439056</x:t>
  </x:si>
  <x:si>
    <x:t>JUG.PM.ZZ</x:t>
  </x:si>
  <x:si>
    <x:t>- - - - - Education about alternative vocalisation functions</x:t>
  </x:si>
  <x:si>
    <x:t>http://id.who.int/icd/entity/1164771999</x:t>
  </x:si>
  <x:si>
    <x:t>http://id.who.int/icd/release/11/beta/ichi/1164771999</x:t>
  </x:si>
  <x:si>
    <x:t>JUG.PN.ZZ</x:t>
  </x:si>
  <x:si>
    <x:t>- - - - - Advising about alternative vocalisation functions</x:t>
  </x:si>
  <x:si>
    <x:t>http://id.who.int/icd/entity/270726354</x:t>
  </x:si>
  <x:si>
    <x:t>http://id.who.int/icd/release/11/beta/ichi/270726354</x:t>
  </x:si>
  <x:si>
    <x:t>JUG.PP.ZZ</x:t>
  </x:si>
  <x:si>
    <x:t>- - - - - Counselling for alternative vocalisation functions</x:t>
  </x:si>
  <x:si>
    <x:t>http://id.who.int/icd/entity/1063390846</x:t>
  </x:si>
  <x:si>
    <x:t>http://id.who.int/icd/release/11/beta/ichi/1063390846</x:t>
  </x:si>
  <x:si>
    <x:t>JUG.RB.ZZ</x:t>
  </x:si>
  <x:si>
    <x:t>- - - - - Practical support with alternative vocalisation functions</x:t>
  </x:si>
  <x:si>
    <x:t>http://id.who.int/icd/entity/1340122611</x:t>
  </x:si>
  <x:si>
    <x:t>http://id.who.int/icd/release/11/beta/ichi/1340122611</x:t>
  </x:si>
  <x:si>
    <x:t>JUG.RC.ZZ</x:t>
  </x:si>
  <x:si>
    <x:t>- - - - - Emotional support for alternative vocalisation functions</x:t>
  </x:si>
  <x:si>
    <x:t>http://id.who.int/icd/entity/92009192</x:t>
  </x:si>
  <x:si>
    <x:t>http://id.who.int/icd/release/11/beta/ichi/92009192</x:t>
  </x:si>
  <x:si>
    <x:t>BlockL4-JZZ</x:t>
  </x:si>
  <x:si>
    <x:t>- - - - Interventions on respiratory system, voice or speech, not elsewhere classified</x:t>
  </x:si>
  <x:si>
    <x:t>http://id.who.int/icd/entity/629309654</x:t>
  </x:si>
  <x:si>
    <x:t>http://id.who.int/icd/release/11/beta/ichi/629309654</x:t>
  </x:si>
  <x:si>
    <x:t>JZZ.AA.ZZ</x:t>
  </x:si>
  <x:si>
    <x:t>- - - - - Assessment of respiratory system, not elsewhere classified</x:t>
  </x:si>
  <x:si>
    <x:t>http://id.who.int/icd/entity/708511816</x:t>
  </x:si>
  <x:si>
    <x:t>http://id.who.int/icd/release/11/beta/ichi/708511816</x:t>
  </x:si>
  <x:si>
    <x:t>JZZ.DB.AC</x:t>
  </x:si>
  <x:si>
    <x:t>- - - - - Oral administration of pharmaceutical for respiratory system, not elsewhere classified</x:t>
  </x:si>
  <x:si>
    <x:t>http://id.who.int/icd/entity/2064981877</x:t>
  </x:si>
  <x:si>
    <x:t>http://id.who.int/icd/release/11/beta/ichi/2064981877</x:t>
  </x:si>
  <x:si>
    <x:t>JZZ.DL.AC</x:t>
  </x:si>
  <x:si>
    <x:t>- - - - - Other intubation of respiratory tract, not elsewhere classified</x:t>
  </x:si>
  <x:si>
    <x:t>http://id.who.int/icd/entity/618090072</x:t>
  </x:si>
  <x:si>
    <x:t>http://id.who.int/icd/release/11/beta/ichi/618090072</x:t>
  </x:si>
  <x:si>
    <x:t>JZZ.JA.AC</x:t>
  </x:si>
  <x:si>
    <x:t>- - - - - Other lavage of bronchus and trachea, not elsewhere classified</x:t>
  </x:si>
  <x:si>
    <x:t>http://id.who.int/icd/entity/1957468135</x:t>
  </x:si>
  <x:si>
    <x:t>http://id.who.int/icd/release/11/beta/ichi/1957468135</x:t>
  </x:si>
  <x:si>
    <x:t>JZZ.JB.AC</x:t>
  </x:si>
  <x:si>
    <x:t>- - - - - Suctioning of airways, not elsewhere classified</x:t>
  </x:si>
  <x:si>
    <x:t>http://id.who.int/icd/release/11/beta/ichi/1304914040/other</x:t>
  </x:si>
  <x:si>
    <x:t>JZZ.ZY.ZY</x:t>
  </x:si>
  <x:si>
    <x:t>- - - - Other specified interventions on the respiratory system, voice and speech</x:t>
  </x:si>
  <x:si>
    <x:t>http://id.who.int/icd/release/11/beta/ichi/1304914040/unspecified</x:t>
  </x:si>
  <x:si>
    <x:t>JZZ.ZZ.ZZ</x:t>
  </x:si>
  <x:si>
    <x:t>- - - - Interventions on the respiratory system, voice and speech, unspecified</x:t>
  </x:si>
  <x:si>
    <x:t>http://id.who.int/icd/entity/1343064949</x:t>
  </x:si>
  <x:si>
    <x:t>http://id.who.int/icd/release/11/beta/ichi/1343064949</x:t>
  </x:si>
  <x:si>
    <x:t>BlockL3-KAA</x:t>
  </x:si>
  <x:si>
    <x:t>- - - Interventions on the digestive system</x:t>
  </x:si>
  <x:si>
    <x:t>http://id.who.int/icd/entity/1095674627</x:t>
  </x:si>
  <x:si>
    <x:t>http://id.who.int/icd/release/11/beta/ichi/1095674627</x:t>
  </x:si>
  <x:si>
    <x:t>BlockL4-KAA</x:t>
  </x:si>
  <x:si>
    <x:t>- - - - Interventions on mouth or pharynx</x:t>
  </x:si>
  <x:si>
    <x:t>147</x:t>
  </x:si>
  <x:si>
    <x:t>http://id.who.int/icd/entity/1846432173</x:t>
  </x:si>
  <x:si>
    <x:t>http://id.who.int/icd/release/11/beta/ichi/1846432173</x:t>
  </x:si>
  <x:si>
    <x:t>KAA.AD.AA</x:t>
  </x:si>
  <x:si>
    <x:t>- - - - - Biopsy of lip</x:t>
  </x:si>
  <x:si>
    <x:t>http://id.who.int/icd/entity/554080570</x:t>
  </x:si>
  <x:si>
    <x:t>http://id.who.int/icd/release/11/beta/ichi/554080570</x:t>
  </x:si>
  <x:si>
    <x:t>KAA.FB.AA</x:t>
  </x:si>
  <x:si>
    <x:t>- - - - - Division of labial fraenum</x:t>
  </x:si>
  <x:si>
    <x:t>http://id.who.int/icd/entity/994158564</x:t>
  </x:si>
  <x:si>
    <x:t>http://id.who.int/icd/release/11/beta/ichi/994158564</x:t>
  </x:si>
  <x:si>
    <x:t>KAA.GA.AH</x:t>
  </x:si>
  <x:si>
    <x:t>- - - - - Destruction of lip</x:t>
  </x:si>
  <x:si>
    <x:t>http://id.who.int/icd/entity/346484030</x:t>
  </x:si>
  <x:si>
    <x:t>http://id.who.int/icd/release/11/beta/ichi/346484030</x:t>
  </x:si>
  <x:si>
    <x:t>KAA.JB.AA</x:t>
  </x:si>
  <x:si>
    <x:t>- - - - - Drainage of lip</x:t>
  </x:si>
  <x:si>
    <x:t>http://id.who.int/icd/entity/1004935058</x:t>
  </x:si>
  <x:si>
    <x:t>http://id.who.int/icd/release/11/beta/ichi/1004935058</x:t>
  </x:si>
  <x:si>
    <x:t>KAA.JD.AA</x:t>
  </x:si>
  <x:si>
    <x:t>- - - - - Removal of foreign body, lip</x:t>
  </x:si>
  <x:si>
    <x:t>http://id.who.int/icd/entity/1805504035</x:t>
  </x:si>
  <x:si>
    <x:t>http://id.who.int/icd/release/11/beta/ichi/1805504035</x:t>
  </x:si>
  <x:si>
    <x:t>KAA.JD.AE</x:t>
  </x:si>
  <x:si>
    <x:t>- - - - - Percutaneous removal of internal device or foreign body of lip</x:t>
  </x:si>
  <x:si>
    <x:t>http://id.who.int/icd/entity/779332566</x:t>
  </x:si>
  <x:si>
    <x:t>http://id.who.int/icd/release/11/beta/ichi/779332566</x:t>
  </x:si>
  <x:si>
    <x:t>KAA.JI.AA</x:t>
  </x:si>
  <x:si>
    <x:t>- - - - - Local excision of lesion of lip</x:t>
  </x:si>
  <x:si>
    <x:t>http://id.who.int/icd/entity/1363708107</x:t>
  </x:si>
  <x:si>
    <x:t>http://id.who.int/icd/release/11/beta/ichi/1363708107</x:t>
  </x:si>
  <x:si>
    <x:t>KAA.JJ.AA</x:t>
  </x:si>
  <x:si>
    <x:t>- - - - - Partial excision of lip</x:t>
  </x:si>
  <x:si>
    <x:t>http://id.who.int/icd/entity/822131442</x:t>
  </x:si>
  <x:si>
    <x:t>http://id.who.int/icd/release/11/beta/ichi/822131442</x:t>
  </x:si>
  <x:si>
    <x:t>KAA.LC.AA</x:t>
  </x:si>
  <x:si>
    <x:t>- - - - - Fixation of lip</x:t>
  </x:si>
  <x:si>
    <x:t>http://id.who.int/icd/entity/1099043197</x:t>
  </x:si>
  <x:si>
    <x:t>http://id.who.int/icd/release/11/beta/ichi/1099043197</x:t>
  </x:si>
  <x:si>
    <x:t>KAA.LK.AA</x:t>
  </x:si>
  <x:si>
    <x:t>- - - - - Increase of lip size</x:t>
  </x:si>
  <x:si>
    <x:t>http://id.who.int/icd/entity/1312528879</x:t>
  </x:si>
  <x:si>
    <x:t>http://id.who.int/icd/release/11/beta/ichi/1312528879</x:t>
  </x:si>
  <x:si>
    <x:t>KAA.LL.AA</x:t>
  </x:si>
  <x:si>
    <x:t>- - - - - Reduction of lip size</x:t>
  </x:si>
  <x:si>
    <x:t>http://id.who.int/icd/entity/1578432713</x:t>
  </x:si>
  <x:si>
    <x:t>http://id.who.int/icd/release/11/beta/ichi/1578432713</x:t>
  </x:si>
  <x:si>
    <x:t>KAA.MK.AA</x:t>
  </x:si>
  <x:si>
    <x:t>- - - - - Repair of lip</x:t>
  </x:si>
  <x:si>
    <x:t>http://id.who.int/icd/entity/1146340883</x:t>
  </x:si>
  <x:si>
    <x:t>http://id.who.int/icd/release/11/beta/ichi/1146340883</x:t>
  </x:si>
  <x:si>
    <x:t>KAA.ML.AA</x:t>
  </x:si>
  <x:si>
    <x:t>- - - - - Reconstruction of lip</x:t>
  </x:si>
  <x:si>
    <x:t>http://id.who.int/icd/entity/790620804</x:t>
  </x:si>
  <x:si>
    <x:t>http://id.who.int/icd/release/11/beta/ichi/790620804</x:t>
  </x:si>
  <x:si>
    <x:t>KAB.AD.AC</x:t>
  </x:si>
  <x:si>
    <x:t>- - - - - Biopsy of tongue</x:t>
  </x:si>
  <x:si>
    <x:t>http://id.who.int/icd/entity/2077861131</x:t>
  </x:si>
  <x:si>
    <x:t>http://id.who.int/icd/release/11/beta/ichi/2077861131</x:t>
  </x:si>
  <x:si>
    <x:t>KAB.AD.AE</x:t>
  </x:si>
  <x:si>
    <x:t>- - - - - Percutaneous biopsy of tongue</x:t>
  </x:si>
  <x:si>
    <x:t>http://id.who.int/icd/entity/826470928</x:t>
  </x:si>
  <x:si>
    <x:t>http://id.who.int/icd/release/11/beta/ichi/826470928</x:t>
  </x:si>
  <x:si>
    <x:t>KAB.FA.AC</x:t>
  </x:si>
  <x:si>
    <x:t>- - - - - Glossotomy</x:t>
  </x:si>
  <x:si>
    <x:t>http://id.who.int/icd/entity/1853924147</x:t>
  </x:si>
  <x:si>
    <x:t>http://id.who.int/icd/release/11/beta/ichi/1853924147</x:t>
  </x:si>
  <x:si>
    <x:t>KAB.FB.AC</x:t>
  </x:si>
  <x:si>
    <x:t>- - - - - Lingual fraenotomy</x:t>
  </x:si>
  <x:si>
    <x:t>http://id.who.int/icd/entity/16293978</x:t>
  </x:si>
  <x:si>
    <x:t>http://id.who.int/icd/release/11/beta/ichi/16293978</x:t>
  </x:si>
  <x:si>
    <x:t>KAB.FC.AC</x:t>
  </x:si>
  <x:si>
    <x:t>- - - - - Release of tongue</x:t>
  </x:si>
  <x:si>
    <x:t>http://id.who.int/icd/entity/599297779</x:t>
  </x:si>
  <x:si>
    <x:t>http://id.who.int/icd/release/11/beta/ichi/599297779</x:t>
  </x:si>
  <x:si>
    <x:t>KAB.GA.AC</x:t>
  </x:si>
  <x:si>
    <x:t>- - - - - Destruction of lesion or tissue of tongue</x:t>
  </x:si>
  <x:si>
    <x:t>http://id.who.int/icd/entity/855355013</x:t>
  </x:si>
  <x:si>
    <x:t>http://id.who.int/icd/release/11/beta/ichi/855355013</x:t>
  </x:si>
  <x:si>
    <x:t>KAB.JB.AC</x:t>
  </x:si>
  <x:si>
    <x:t>- - - - - Drainage of tongue</x:t>
  </x:si>
  <x:si>
    <x:t>http://id.who.int/icd/entity/1739872460</x:t>
  </x:si>
  <x:si>
    <x:t>http://id.who.int/icd/release/11/beta/ichi/1739872460</x:t>
  </x:si>
  <x:si>
    <x:t>KAB.JD.AC</x:t>
  </x:si>
  <x:si>
    <x:t>- - - - - Removal of foreign body from tongue</x:t>
  </x:si>
  <x:si>
    <x:t>http://id.who.int/icd/entity/936345979</x:t>
  </x:si>
  <x:si>
    <x:t>http://id.who.int/icd/release/11/beta/ichi/936345979</x:t>
  </x:si>
  <x:si>
    <x:t>KAB.JI.AC</x:t>
  </x:si>
  <x:si>
    <x:t>- - - - - Local excision of lesion of tongue</x:t>
  </x:si>
  <x:si>
    <x:t>http://id.who.int/icd/entity/412056533</x:t>
  </x:si>
  <x:si>
    <x:t>http://id.who.int/icd/release/11/beta/ichi/412056533</x:t>
  </x:si>
  <x:si>
    <x:t>KAB.JJ.AC</x:t>
  </x:si>
  <x:si>
    <x:t>- - - - - Partial glossectomy</x:t>
  </x:si>
  <x:si>
    <x:t>http://id.who.int/icd/entity/1490797378</x:t>
  </x:si>
  <x:si>
    <x:t>http://id.who.int/icd/release/11/beta/ichi/1490797378</x:t>
  </x:si>
  <x:si>
    <x:t>KAB.JK.AC</x:t>
  </x:si>
  <x:si>
    <x:t>- - - - - Complete glossectomy</x:t>
  </x:si>
  <x:si>
    <x:t>http://id.who.int/icd/entity/2006661614</x:t>
  </x:si>
  <x:si>
    <x:t>http://id.who.int/icd/release/11/beta/ichi/2006661614</x:t>
  </x:si>
  <x:si>
    <x:t>KAB.JL.AA</x:t>
  </x:si>
  <x:si>
    <x:t>- - - - - Radical glossectomy</x:t>
  </x:si>
  <x:si>
    <x:t>http://id.who.int/icd/entity/669048925</x:t>
  </x:si>
  <x:si>
    <x:t>http://id.who.int/icd/release/11/beta/ichi/669048925</x:t>
  </x:si>
  <x:si>
    <x:t>KAB.LC.AC</x:t>
  </x:si>
  <x:si>
    <x:t>- - - - - Fixation of tongue</x:t>
  </x:si>
  <x:si>
    <x:t>http://id.who.int/icd/entity/1924077076</x:t>
  </x:si>
  <x:si>
    <x:t>http://id.who.int/icd/release/11/beta/ichi/1924077076</x:t>
  </x:si>
  <x:si>
    <x:t>KAB.MK.AC</x:t>
  </x:si>
  <x:si>
    <x:t>- - - - - Repair of tongue</x:t>
  </x:si>
  <x:si>
    <x:t>http://id.who.int/icd/entity/1760045258</x:t>
  </x:si>
  <x:si>
    <x:t>http://id.who.int/icd/release/11/beta/ichi/1760045258</x:t>
  </x:si>
  <x:si>
    <x:t>KAB.ML.AC</x:t>
  </x:si>
  <x:si>
    <x:t>- - - - - Reconstruction of tongue</x:t>
  </x:si>
  <x:si>
    <x:t>http://id.who.int/icd/entity/1391580256</x:t>
  </x:si>
  <x:si>
    <x:t>http://id.who.int/icd/release/11/beta/ichi/1391580256</x:t>
  </x:si>
  <x:si>
    <x:t>KAE.AE.AC</x:t>
  </x:si>
  <x:si>
    <x:t>- - - - - Dental examination</x:t>
  </x:si>
  <x:si>
    <x:t>http://id.who.int/icd/entity/477144331</x:t>
  </x:si>
  <x:si>
    <x:t>http://id.who.int/icd/release/11/beta/ichi/477144331</x:t>
  </x:si>
  <x:si>
    <x:t>KAE.BA.BA</x:t>
  </x:si>
  <x:si>
    <x:t>- - - - - X-ray of teeth</x:t>
  </x:si>
  <x:si>
    <x:t>http://id.who.int/icd/entity/1224525611</x:t>
  </x:si>
  <x:si>
    <x:t>http://id.who.int/icd/release/11/beta/ichi/1224525611</x:t>
  </x:si>
  <x:si>
    <x:t>KAE.BA.BC</x:t>
  </x:si>
  <x:si>
    <x:t>- - - - - Computerised tomography of teeth, not elsewhere classified</x:t>
  </x:si>
  <x:si>
    <x:t>http://id.who.int/icd/entity/1447838304</x:t>
  </x:si>
  <x:si>
    <x:t>http://id.who.int/icd/release/11/beta/ichi/1447838304</x:t>
  </x:si>
  <x:si>
    <x:t>KAE.DB.AC</x:t>
  </x:si>
  <x:si>
    <x:t>- - - - - Application of substance to teeth</x:t>
  </x:si>
  <x:si>
    <x:t>http://id.who.int/icd/entity/1919134830</x:t>
  </x:si>
  <x:si>
    <x:t>http://id.who.int/icd/release/11/beta/ichi/1919134830</x:t>
  </x:si>
  <x:si>
    <x:t>KAE.DN.AC</x:t>
  </x:si>
  <x:si>
    <x:t>- - - - - Prosthetic dental implant</x:t>
  </x:si>
  <x:si>
    <x:t>http://id.who.int/icd/entity/1021500729</x:t>
  </x:si>
  <x:si>
    <x:t>http://id.who.int/icd/release/11/beta/ichi/1021500729</x:t>
  </x:si>
  <x:si>
    <x:t>KAE.JD.AC</x:t>
  </x:si>
  <x:si>
    <x:t>- - - - - Removal of dental internal device or foreign body</x:t>
  </x:si>
  <x:si>
    <x:t>http://id.who.int/icd/entity/1030448377</x:t>
  </x:si>
  <x:si>
    <x:t>http://id.who.int/icd/release/11/beta/ichi/1030448377</x:t>
  </x:si>
  <x:si>
    <x:t>KAE.JE.AC</x:t>
  </x:si>
  <x:si>
    <x:t>- - - - - Extraction of tooth without incision</x:t>
  </x:si>
  <x:si>
    <x:t>http://id.who.int/icd/entity/230520803</x:t>
  </x:si>
  <x:si>
    <x:t>http://id.who.int/icd/release/11/beta/ichi/230520803</x:t>
  </x:si>
  <x:si>
    <x:t>KAE.JG.AC</x:t>
  </x:si>
  <x:si>
    <x:t>- - - - - Dental scaling, polishing, and debridement</x:t>
  </x:si>
  <x:si>
    <x:t>http://id.who.int/icd/entity/1384064704</x:t>
  </x:si>
  <x:si>
    <x:t>http://id.who.int/icd/release/11/beta/ichi/1384064704</x:t>
  </x:si>
  <x:si>
    <x:t>KAE.JJ.AC</x:t>
  </x:si>
  <x:si>
    <x:t>- - - - - Apicoectomy</x:t>
  </x:si>
  <x:si>
    <x:t>http://id.who.int/icd/entity/667525811</x:t>
  </x:si>
  <x:si>
    <x:t>http://id.who.int/icd/release/11/beta/ichi/667525811</x:t>
  </x:si>
  <x:si>
    <x:t>KAE.JK.AC</x:t>
  </x:si>
  <x:si>
    <x:t>- - - - - Excision of tooth via incision</x:t>
  </x:si>
  <x:si>
    <x:t>http://id.who.int/icd/entity/204787235</x:t>
  </x:si>
  <x:si>
    <x:t>http://id.who.int/icd/release/11/beta/ichi/204787235</x:t>
  </x:si>
  <x:si>
    <x:t>KAE.KA.AC</x:t>
  </x:si>
  <x:si>
    <x:t>- - - - - Replacement of dental packing</x:t>
  </x:si>
  <x:si>
    <x:t>http://id.who.int/icd/entity/494399061</x:t>
  </x:si>
  <x:si>
    <x:t>http://id.who.int/icd/release/11/beta/ichi/494399061</x:t>
  </x:si>
  <x:si>
    <x:t>KAE.KD.AC</x:t>
  </x:si>
  <x:si>
    <x:t>- - - - - Transplantation of tooth or tooth bud</x:t>
  </x:si>
  <x:si>
    <x:t>http://id.who.int/icd/entity/127361279</x:t>
  </x:si>
  <x:si>
    <x:t>http://id.who.int/icd/release/11/beta/ichi/127361279</x:t>
  </x:si>
  <x:si>
    <x:t>KAE.LC.AC</x:t>
  </x:si>
  <x:si>
    <x:t>- - - - - Application of dental device</x:t>
  </x:si>
  <x:si>
    <x:t>http://id.who.int/icd/entity/2024555488</x:t>
  </x:si>
  <x:si>
    <x:t>http://id.who.int/icd/release/11/beta/ichi/2024555488</x:t>
  </x:si>
  <x:si>
    <x:t>KAE.LD.AC</x:t>
  </x:si>
  <x:si>
    <x:t>- - - - - Repositioning of displaced tooth</x:t>
  </x:si>
  <x:si>
    <x:t>http://id.who.int/icd/entity/188029451</x:t>
  </x:si>
  <x:si>
    <x:t>http://id.who.int/icd/release/11/beta/ichi/188029451</x:t>
  </x:si>
  <x:si>
    <x:t>KAE.MK.AC</x:t>
  </x:si>
  <x:si>
    <x:t>- - - - - Restoration of tooth</x:t>
  </x:si>
  <x:si>
    <x:t>http://id.who.int/icd/entity/340134703</x:t>
  </x:si>
  <x:si>
    <x:t>http://id.who.int/icd/release/11/beta/ichi/340134703</x:t>
  </x:si>
  <x:si>
    <x:t>KAE.ML.AC</x:t>
  </x:si>
  <x:si>
    <x:t>- - - - - Root canal therapy</x:t>
  </x:si>
  <x:si>
    <x:t>http://id.who.int/icd/entity/1690607780</x:t>
  </x:si>
  <x:si>
    <x:t>http://id.who.int/icd/release/11/beta/ichi/1690607780</x:t>
  </x:si>
  <x:si>
    <x:t>KAE.SM.AC</x:t>
  </x:si>
  <x:si>
    <x:t>- - - - - Management of external appliance of tooth</x:t>
  </x:si>
  <x:si>
    <x:t>http://id.who.int/icd/entity/788023241</x:t>
  </x:si>
  <x:si>
    <x:t>http://id.who.int/icd/release/11/beta/ichi/788023241</x:t>
  </x:si>
  <x:si>
    <x:t>KAE.ZZ.AC</x:t>
  </x:si>
  <x:si>
    <x:t>- - - - - Other interventions on teeth, not elsewhere classified</x:t>
  </x:si>
  <x:si>
    <x:t>http://id.who.int/icd/entity/1537948458</x:t>
  </x:si>
  <x:si>
    <x:t>http://id.who.int/icd/release/11/beta/ichi/1537948458</x:t>
  </x:si>
  <x:si>
    <x:t>KAG.AD.AC</x:t>
  </x:si>
  <x:si>
    <x:t>- - - - - Biopsy of gum</x:t>
  </x:si>
  <x:si>
    <x:t>http://id.who.int/icd/entity/1960927148</x:t>
  </x:si>
  <x:si>
    <x:t>http://id.who.int/icd/release/11/beta/ichi/1960927148</x:t>
  </x:si>
  <x:si>
    <x:t>KAG.DC.AC</x:t>
  </x:si>
  <x:si>
    <x:t>- - - - - Topical application of anaesthetic to gingiva</x:t>
  </x:si>
  <x:si>
    <x:t>http://id.who.int/icd/entity/1845612800</x:t>
  </x:si>
  <x:si>
    <x:t>http://id.who.int/icd/release/11/beta/ichi/1845612800</x:t>
  </x:si>
  <x:si>
    <x:t>KAG.DC.AF</x:t>
  </x:si>
  <x:si>
    <x:t>- - - - - Injection of anaesthesia into gingiva</x:t>
  </x:si>
  <x:si>
    <x:t>http://id.who.int/icd/entity/1105987056</x:t>
  </x:si>
  <x:si>
    <x:t>http://id.who.int/icd/release/11/beta/ichi/1105987056</x:t>
  </x:si>
  <x:si>
    <x:t>KAG.DL.AC</x:t>
  </x:si>
  <x:si>
    <x:t>- - - - - Insertion of internal device of gingiva</x:t>
  </x:si>
  <x:si>
    <x:t>http://id.who.int/icd/entity/1679906868</x:t>
  </x:si>
  <x:si>
    <x:t>http://id.who.int/icd/release/11/beta/ichi/1679906868</x:t>
  </x:si>
  <x:si>
    <x:t>KAG.FA.AC</x:t>
  </x:si>
  <x:si>
    <x:t>- - - - - Incision of gum</x:t>
  </x:si>
  <x:si>
    <x:t>http://id.who.int/icd/entity/346289087</x:t>
  </x:si>
  <x:si>
    <x:t>http://id.who.int/icd/release/11/beta/ichi/346289087</x:t>
  </x:si>
  <x:si>
    <x:t>KAG.GA.AC</x:t>
  </x:si>
  <x:si>
    <x:t>- - - - - Destruction of gingiva</x:t>
  </x:si>
  <x:si>
    <x:t>http://id.who.int/icd/entity/1572845391</x:t>
  </x:si>
  <x:si>
    <x:t>http://id.who.int/icd/release/11/beta/ichi/1572845391</x:t>
  </x:si>
  <x:si>
    <x:t>KAG.JA.AC</x:t>
  </x:si>
  <x:si>
    <x:t>- - - - - Irrigation of gingiva</x:t>
  </x:si>
  <x:si>
    <x:t>http://id.who.int/icd/entity/1004734737</x:t>
  </x:si>
  <x:si>
    <x:t>http://id.who.int/icd/release/11/beta/ichi/1004734737</x:t>
  </x:si>
  <x:si>
    <x:t>KAG.JB.AC</x:t>
  </x:si>
  <x:si>
    <x:t>- - - - - Drainage of gingiva</x:t>
  </x:si>
  <x:si>
    <x:t>http://id.who.int/icd/entity/1149213312</x:t>
  </x:si>
  <x:si>
    <x:t>http://id.who.int/icd/release/11/beta/ichi/1149213312</x:t>
  </x:si>
  <x:si>
    <x:t>KAG.JD.AC</x:t>
  </x:si>
  <x:si>
    <x:t>- - - - - Removal of internal device or foreign body of gingiva</x:t>
  </x:si>
  <x:si>
    <x:t>http://id.who.int/icd/entity/2126632600</x:t>
  </x:si>
  <x:si>
    <x:t>http://id.who.int/icd/release/11/beta/ichi/2126632600</x:t>
  </x:si>
  <x:si>
    <x:t>KAG.JI.AC</x:t>
  </x:si>
  <x:si>
    <x:t>- - - - - Local excision of lesion or tissue of gum</x:t>
  </x:si>
  <x:si>
    <x:t>http://id.who.int/icd/entity/1800694496</x:t>
  </x:si>
  <x:si>
    <x:t>http://id.who.int/icd/release/11/beta/ichi/1800694496</x:t>
  </x:si>
  <x:si>
    <x:t>KAG.JJ.AC</x:t>
  </x:si>
  <x:si>
    <x:t>- - - - - Partial excision of gingiva</x:t>
  </x:si>
  <x:si>
    <x:t>http://id.who.int/icd/entity/992981871</x:t>
  </x:si>
  <x:si>
    <x:t>http://id.who.int/icd/release/11/beta/ichi/992981871</x:t>
  </x:si>
  <x:si>
    <x:t>KAG.MK.AC</x:t>
  </x:si>
  <x:si>
    <x:t>- - - - - Repair of gum</x:t>
  </x:si>
  <x:si>
    <x:t>http://id.who.int/icd/entity/1897092102</x:t>
  </x:si>
  <x:si>
    <x:t>http://id.who.int/icd/release/11/beta/ichi/1897092102</x:t>
  </x:si>
  <x:si>
    <x:t>KAG.ML.AC</x:t>
  </x:si>
  <x:si>
    <x:t>- - - - - Gingivoplasty</x:t>
  </x:si>
  <x:si>
    <x:t>http://id.who.int/icd/entity/77975671</x:t>
  </x:si>
  <x:si>
    <x:t>http://id.who.int/icd/release/11/beta/ichi/77975671</x:t>
  </x:si>
  <x:si>
    <x:t>KAL.BA.BC</x:t>
  </x:si>
  <x:si>
    <x:t>- - - - - Computerised tomography of parotid gland, not elsewhere classified</x:t>
  </x:si>
  <x:si>
    <x:t>http://id.who.int/icd/entity/262262491</x:t>
  </x:si>
  <x:si>
    <x:t>http://id.who.int/icd/release/11/beta/ichi/262262491</x:t>
  </x:si>
  <x:si>
    <x:t>KAL.BA.BD</x:t>
  </x:si>
  <x:si>
    <x:t>- - - - - Computerised tomography of parotid gland with intravenous contrast medium</x:t>
  </x:si>
  <x:si>
    <x:t>http://id.who.int/icd/entity/2071822450</x:t>
  </x:si>
  <x:si>
    <x:t>http://id.who.int/icd/release/11/beta/ichi/2071822450</x:t>
  </x:si>
  <x:si>
    <x:t>KAL.BA.BE</x:t>
  </x:si>
  <x:si>
    <x:t>- - - - - Nuclear imaging study of parotid gland</x:t>
  </x:si>
  <x:si>
    <x:t>http://id.who.int/icd/entity/1754329786</x:t>
  </x:si>
  <x:si>
    <x:t>http://id.who.int/icd/release/11/beta/ichi/1754329786</x:t>
  </x:si>
  <x:si>
    <x:t>KAL.BA.BJ</x:t>
  </x:si>
  <x:si>
    <x:t>- - - - - Ultrasound of parotid gland</x:t>
  </x:si>
  <x:si>
    <x:t>http://id.who.int/icd/entity/1533509972</x:t>
  </x:si>
  <x:si>
    <x:t>http://id.who.int/icd/release/11/beta/ichi/1533509972</x:t>
  </x:si>
  <x:si>
    <x:t>KAL.GA.BA</x:t>
  </x:si>
  <x:si>
    <x:t>- - - - - Destruction of lesion or tissue of parotid gland by radiotherapy</x:t>
  </x:si>
  <x:si>
    <x:t>http://id.who.int/icd/entity/2119115784</x:t>
  </x:si>
  <x:si>
    <x:t>http://id.who.int/icd/release/11/beta/ichi/2119115784</x:t>
  </x:si>
  <x:si>
    <x:t>KAL.GA.BJ</x:t>
  </x:si>
  <x:si>
    <x:t>- - - - - Extracorporeal shockwave lithotripsy of parotid gland</x:t>
  </x:si>
  <x:si>
    <x:t>http://id.who.int/icd/entity/1359994536</x:t>
  </x:si>
  <x:si>
    <x:t>http://id.who.int/icd/release/11/beta/ichi/1359994536</x:t>
  </x:si>
  <x:si>
    <x:t>KAL.JB.AA</x:t>
  </x:si>
  <x:si>
    <x:t>- - - - - Drainage of parotid gland</x:t>
  </x:si>
  <x:si>
    <x:t>http://id.who.int/icd/entity/24381209</x:t>
  </x:si>
  <x:si>
    <x:t>http://id.who.int/icd/release/11/beta/ichi/24381209</x:t>
  </x:si>
  <x:si>
    <x:t>KAL.JB.AE</x:t>
  </x:si>
  <x:si>
    <x:t>- - - - - Percutaneous drainage of parotid gland</x:t>
  </x:si>
  <x:si>
    <x:t>http://id.who.int/icd/entity/1958904684</x:t>
  </x:si>
  <x:si>
    <x:t>http://id.who.int/icd/release/11/beta/ichi/1958904684</x:t>
  </x:si>
  <x:si>
    <x:t>KAL.JE.AA</x:t>
  </x:si>
  <x:si>
    <x:t>- - - - - Extraction of calculus from parotid gland</x:t>
  </x:si>
  <x:si>
    <x:t>http://id.who.int/icd/entity/2071661562</x:t>
  </x:si>
  <x:si>
    <x:t>http://id.who.int/icd/release/11/beta/ichi/2071661562</x:t>
  </x:si>
  <x:si>
    <x:t>KAL.JJ.AA</x:t>
  </x:si>
  <x:si>
    <x:t>- - - - - Partial excision of parotid gland</x:t>
  </x:si>
  <x:si>
    <x:t>http://id.who.int/icd/entity/1419526440</x:t>
  </x:si>
  <x:si>
    <x:t>http://id.who.int/icd/release/11/beta/ichi/1419526440</x:t>
  </x:si>
  <x:si>
    <x:t>KAL.JK.AA</x:t>
  </x:si>
  <x:si>
    <x:t>- - - - - Total excision of parotid gland</x:t>
  </x:si>
  <x:si>
    <x:t>http://id.who.int/icd/entity/988037711</x:t>
  </x:si>
  <x:si>
    <x:t>http://id.who.int/icd/release/11/beta/ichi/988037711</x:t>
  </x:si>
  <x:si>
    <x:t>KAL.JL.AA</x:t>
  </x:si>
  <x:si>
    <x:t>- - - - - Radical excision of parotid gland</x:t>
  </x:si>
  <x:si>
    <x:t>http://id.who.int/icd/entity/732389945</x:t>
  </x:si>
  <x:si>
    <x:t>http://id.who.int/icd/release/11/beta/ichi/732389945</x:t>
  </x:si>
  <x:si>
    <x:t>KAL.LJ.AA</x:t>
  </x:si>
  <x:si>
    <x:t>- - - - - Transposition of parotid gland</x:t>
  </x:si>
  <x:si>
    <x:t>http://id.who.int/icd/entity/1870119746</x:t>
  </x:si>
  <x:si>
    <x:t>http://id.who.int/icd/release/11/beta/ichi/1870119746</x:t>
  </x:si>
  <x:si>
    <x:t>KAL.MK.AA</x:t>
  </x:si>
  <x:si>
    <x:t>- - - - - Repair of parotid gland</x:t>
  </x:si>
  <x:si>
    <x:t>http://id.who.int/icd/entity/1077361134</x:t>
  </x:si>
  <x:si>
    <x:t>http://id.who.int/icd/release/11/beta/ichi/1077361134</x:t>
  </x:si>
  <x:si>
    <x:t>KAM.AD.AA</x:t>
  </x:si>
  <x:si>
    <x:t>- - - - - Biopsy of salivary gland or duct</x:t>
  </x:si>
  <x:si>
    <x:t>http://id.who.int/icd/entity/817205857</x:t>
  </x:si>
  <x:si>
    <x:t>http://id.who.int/icd/release/11/beta/ichi/817205857</x:t>
  </x:si>
  <x:si>
    <x:t>KAM.AD.AE</x:t>
  </x:si>
  <x:si>
    <x:t>- - - - - Percutaneous biopsy of salivary gland or duct</x:t>
  </x:si>
  <x:si>
    <x:t>http://id.who.int/icd/entity/360239011</x:t>
  </x:si>
  <x:si>
    <x:t>http://id.who.int/icd/release/11/beta/ichi/360239011</x:t>
  </x:si>
  <x:si>
    <x:t>KAM.BA.BA</x:t>
  </x:si>
  <x:si>
    <x:t>- - - - - X-ray of salivary gland</x:t>
  </x:si>
  <x:si>
    <x:t>http://id.who.int/icd/entity/1253744258</x:t>
  </x:si>
  <x:si>
    <x:t>http://id.who.int/icd/release/11/beta/ichi/1253744258</x:t>
  </x:si>
  <x:si>
    <x:t>KAM.BA.BB</x:t>
  </x:si>
  <x:si>
    <x:t>- - - - - X-ray of salivary gland with contrast medium</x:t>
  </x:si>
  <x:si>
    <x:t>http://id.who.int/icd/entity/1113429933</x:t>
  </x:si>
  <x:si>
    <x:t>http://id.who.int/icd/release/11/beta/ichi/1113429933</x:t>
  </x:si>
  <x:si>
    <x:t>KAM.BA.BE</x:t>
  </x:si>
  <x:si>
    <x:t>- - - - - Nuclear imaging study of salivary gland</x:t>
  </x:si>
  <x:si>
    <x:t>http://id.who.int/icd/entity/954936073</x:t>
  </x:si>
  <x:si>
    <x:t>http://id.who.int/icd/release/11/beta/ichi/954936073</x:t>
  </x:si>
  <x:si>
    <x:t>KAM.BA.BJ</x:t>
  </x:si>
  <x:si>
    <x:t>- - - - - Ultrasound of salivary gland</x:t>
  </x:si>
  <x:si>
    <x:t>http://id.who.int/icd/entity/616734185</x:t>
  </x:si>
  <x:si>
    <x:t>http://id.who.int/icd/release/11/beta/ichi/616734185</x:t>
  </x:si>
  <x:si>
    <x:t>KAM.FA.AA</x:t>
  </x:si>
  <x:si>
    <x:t>- - - - - Incision of salivary gland or duct</x:t>
  </x:si>
  <x:si>
    <x:t>http://id.who.int/icd/entity/1332431344</x:t>
  </x:si>
  <x:si>
    <x:t>http://id.who.int/icd/release/11/beta/ichi/1332431344</x:t>
  </x:si>
  <x:si>
    <x:t>KAM.JB.AA</x:t>
  </x:si>
  <x:si>
    <x:t>- - - - - Drainage of salivary gland</x:t>
  </x:si>
  <x:si>
    <x:t>http://id.who.int/icd/entity/1428977462</x:t>
  </x:si>
  <x:si>
    <x:t>http://id.who.int/icd/release/11/beta/ichi/1428977462</x:t>
  </x:si>
  <x:si>
    <x:t>KAM.JB.AE</x:t>
  </x:si>
  <x:si>
    <x:t>- - - - - Percutaneous drainage of salivary gland</x:t>
  </x:si>
  <x:si>
    <x:t>http://id.who.int/icd/entity/2127633318</x:t>
  </x:si>
  <x:si>
    <x:t>http://id.who.int/icd/release/11/beta/ichi/2127633318</x:t>
  </x:si>
  <x:si>
    <x:t>KAM.JE.AA</x:t>
  </x:si>
  <x:si>
    <x:t>- - - - - Extraction of calculus from salivary gland or duct</x:t>
  </x:si>
  <x:si>
    <x:t>http://id.who.int/icd/entity/1172762244</x:t>
  </x:si>
  <x:si>
    <x:t>http://id.who.int/icd/release/11/beta/ichi/1172762244</x:t>
  </x:si>
  <x:si>
    <x:t>KAM.JE.AD</x:t>
  </x:si>
  <x:si>
    <x:t>- - - - - Endoscopic extraction of calculus from salivary gland or duct</x:t>
  </x:si>
  <x:si>
    <x:t>http://id.who.int/icd/entity/2136515172</x:t>
  </x:si>
  <x:si>
    <x:t>http://id.who.int/icd/release/11/beta/ichi/2136515172</x:t>
  </x:si>
  <x:si>
    <x:t>KAM.JI.AC</x:t>
  </x:si>
  <x:si>
    <x:t>- - - - - Local excision of lesion or tissue of salivary gland</x:t>
  </x:si>
  <x:si>
    <x:t>http://id.who.int/icd/entity/1952234698</x:t>
  </x:si>
  <x:si>
    <x:t>http://id.who.int/icd/release/11/beta/ichi/1952234698</x:t>
  </x:si>
  <x:si>
    <x:t>KAM.JJ.AA</x:t>
  </x:si>
  <x:si>
    <x:t>- - - - - Partial excision of salivary gland</x:t>
  </x:si>
  <x:si>
    <x:t>http://id.who.int/icd/entity/1706568912</x:t>
  </x:si>
  <x:si>
    <x:t>http://id.who.int/icd/release/11/beta/ichi/1706568912</x:t>
  </x:si>
  <x:si>
    <x:t>KAM.JK.AA</x:t>
  </x:si>
  <x:si>
    <x:t>- - - - - Complete sialoadenectomy</x:t>
  </x:si>
  <x:si>
    <x:t>http://id.who.int/icd/entity/1628882213</x:t>
  </x:si>
  <x:si>
    <x:t>http://id.who.int/icd/release/11/beta/ichi/1628882213</x:t>
  </x:si>
  <x:si>
    <x:t>KAM.JL.AA</x:t>
  </x:si>
  <x:si>
    <x:t>- - - - - Radical sialoadenectomy</x:t>
  </x:si>
  <x:si>
    <x:t>http://id.who.int/icd/entity/1257821792</x:t>
  </x:si>
  <x:si>
    <x:t>http://id.who.int/icd/release/11/beta/ichi/1257821792</x:t>
  </x:si>
  <x:si>
    <x:t>KAM.LG.AA</x:t>
  </x:si>
  <x:si>
    <x:t>- - - - - Dilatation of salivary duct</x:t>
  </x:si>
  <x:si>
    <x:t>http://id.who.int/icd/entity/451413471</x:t>
  </x:si>
  <x:si>
    <x:t>http://id.who.int/icd/release/11/beta/ichi/451413471</x:t>
  </x:si>
  <x:si>
    <x:t>KAM.LJ.AA</x:t>
  </x:si>
  <x:si>
    <x:t>- - - - - Transposition of duct of major salivary gland</x:t>
  </x:si>
  <x:si>
    <x:t>http://id.who.int/icd/entity/823486799</x:t>
  </x:si>
  <x:si>
    <x:t>http://id.who.int/icd/release/11/beta/ichi/823486799</x:t>
  </x:si>
  <x:si>
    <x:t>KAM.MK.AA</x:t>
  </x:si>
  <x:si>
    <x:t>- - - - - Repair of salivary gland or duct</x:t>
  </x:si>
  <x:si>
    <x:t>http://id.who.int/icd/entity/1964621686</x:t>
  </x:si>
  <x:si>
    <x:t>http://id.who.int/icd/release/11/beta/ichi/1964621686</x:t>
  </x:si>
  <x:si>
    <x:t>KAR.AD.AA</x:t>
  </x:si>
  <x:si>
    <x:t>- - - - - Biopsy of oral pharynx</x:t>
  </x:si>
  <x:si>
    <x:t>http://id.who.int/icd/entity/999869987</x:t>
  </x:si>
  <x:si>
    <x:t>http://id.who.int/icd/release/11/beta/ichi/999869987</x:t>
  </x:si>
  <x:si>
    <x:t>KAR.AD.AD</x:t>
  </x:si>
  <x:si>
    <x:t>- - - - - Endoscopic biopsy oral pharynx</x:t>
  </x:si>
  <x:si>
    <x:t>http://id.who.int/icd/entity/719056469</x:t>
  </x:si>
  <x:si>
    <x:t>http://id.who.int/icd/release/11/beta/ichi/719056469</x:t>
  </x:si>
  <x:si>
    <x:t>KAR.AE.AD</x:t>
  </x:si>
  <x:si>
    <x:t>- - - - - Pharyngoscopy</x:t>
  </x:si>
  <x:si>
    <x:t>http://id.who.int/icd/entity/555916027</x:t>
  </x:si>
  <x:si>
    <x:t>http://id.who.int/icd/release/11/beta/ichi/555916027</x:t>
  </x:si>
  <x:si>
    <x:t>KAR.AH.XF</x:t>
  </x:si>
  <x:si>
    <x:t>- - - - - Specimen collection from oropharynx</x:t>
  </x:si>
  <x:si>
    <x:t>http://id.who.int/icd/entity/789199163</x:t>
  </x:si>
  <x:si>
    <x:t>http://id.who.int/icd/release/11/beta/ichi/789199163</x:t>
  </x:si>
  <x:si>
    <x:t>KAR.BA.BA</x:t>
  </x:si>
  <x:si>
    <x:t>- - - - - X-ray of oral pharynx</x:t>
  </x:si>
  <x:si>
    <x:t>http://id.who.int/icd/entity/2138169482</x:t>
  </x:si>
  <x:si>
    <x:t>http://id.who.int/icd/release/11/beta/ichi/2138169482</x:t>
  </x:si>
  <x:si>
    <x:t>KAR.DL.AC</x:t>
  </x:si>
  <x:si>
    <x:t>- - - - - Insertion of oropharyngeal airway</x:t>
  </x:si>
  <x:si>
    <x:t>http://id.who.int/icd/entity/548647337</x:t>
  </x:si>
  <x:si>
    <x:t>http://id.who.int/icd/release/11/beta/ichi/548647337</x:t>
  </x:si>
  <x:si>
    <x:t>KAR.FA.AA</x:t>
  </x:si>
  <x:si>
    <x:t>- - - - - Oral pharyngotomy</x:t>
  </x:si>
  <x:si>
    <x:t>http://id.who.int/icd/entity/189717817</x:t>
  </x:si>
  <x:si>
    <x:t>http://id.who.int/icd/release/11/beta/ichi/189717817</x:t>
  </x:si>
  <x:si>
    <x:t>KAR.FC.AA</x:t>
  </x:si>
  <x:si>
    <x:t>- - - - - Release of oral pharyngeal adhesions</x:t>
  </x:si>
  <x:si>
    <x:t>http://id.who.int/icd/entity/1426404828</x:t>
  </x:si>
  <x:si>
    <x:t>http://id.who.int/icd/release/11/beta/ichi/1426404828</x:t>
  </x:si>
  <x:si>
    <x:t>KAR.GA.AA</x:t>
  </x:si>
  <x:si>
    <x:t>- - - - - Destruction of lesion or tissue of oral pharynx</x:t>
  </x:si>
  <x:si>
    <x:t>http://id.who.int/icd/entity/180839673</x:t>
  </x:si>
  <x:si>
    <x:t>http://id.who.int/icd/release/11/beta/ichi/180839673</x:t>
  </x:si>
  <x:si>
    <x:t>KAR.JB.AA</x:t>
  </x:si>
  <x:si>
    <x:t>- - - - - Drainage of oral pharynx</x:t>
  </x:si>
  <x:si>
    <x:t>http://id.who.int/icd/entity/98130971</x:t>
  </x:si>
  <x:si>
    <x:t>http://id.who.int/icd/release/11/beta/ichi/98130971</x:t>
  </x:si>
  <x:si>
    <x:t>KAR.JB.AC</x:t>
  </x:si>
  <x:si>
    <x:t>- - - - - Oropharyngeal suctioning</x:t>
  </x:si>
  <x:si>
    <x:t>http://id.who.int/icd/entity/774123659</x:t>
  </x:si>
  <x:si>
    <x:t>http://id.who.int/icd/release/11/beta/ichi/774123659</x:t>
  </x:si>
  <x:si>
    <x:t>KAR.JB.AD</x:t>
  </x:si>
  <x:si>
    <x:t>- - - - - Endoscopic drainage of oral pharynx</x:t>
  </x:si>
  <x:si>
    <x:t>http://id.who.int/icd/entity/1063719165</x:t>
  </x:si>
  <x:si>
    <x:t>http://id.who.int/icd/release/11/beta/ichi/1063719165</x:t>
  </x:si>
  <x:si>
    <x:t>KAR.JB.AE</x:t>
  </x:si>
  <x:si>
    <x:t>- - - - - Percutaneous drainage of oral pharynx</x:t>
  </x:si>
  <x:si>
    <x:t>http://id.who.int/icd/entity/331722872</x:t>
  </x:si>
  <x:si>
    <x:t>http://id.who.int/icd/release/11/beta/ichi/331722872</x:t>
  </x:si>
  <x:si>
    <x:t>KAR.JD.AA</x:t>
  </x:si>
  <x:si>
    <x:t>- - - - - Removal of internal device or foreign body from oropharynx with incision</x:t>
  </x:si>
  <x:si>
    <x:t>http://id.who.int/icd/entity/1564786979</x:t>
  </x:si>
  <x:si>
    <x:t>http://id.who.int/icd/release/11/beta/ichi/1564786979</x:t>
  </x:si>
  <x:si>
    <x:t>KAR.JD.AC</x:t>
  </x:si>
  <x:si>
    <x:t>- - - - - Removal of internal device or foreign body from oropharynx without incision</x:t>
  </x:si>
  <x:si>
    <x:t>http://id.who.int/icd/entity/695991440</x:t>
  </x:si>
  <x:si>
    <x:t>http://id.who.int/icd/release/11/beta/ichi/695991440</x:t>
  </x:si>
  <x:si>
    <x:t>KAR.JI.AA</x:t>
  </x:si>
  <x:si>
    <x:t>- - - - - Local excision of lesion of oral pharynx</x:t>
  </x:si>
  <x:si>
    <x:t>http://id.who.int/icd/entity/743428974</x:t>
  </x:si>
  <x:si>
    <x:t>http://id.who.int/icd/release/11/beta/ichi/743428974</x:t>
  </x:si>
  <x:si>
    <x:t>KAR.JJ.AA</x:t>
  </x:si>
  <x:si>
    <x:t>- - - - - Partial oropharyngectomy</x:t>
  </x:si>
  <x:si>
    <x:t>http://id.who.int/icd/entity/1718825989</x:t>
  </x:si>
  <x:si>
    <x:t>http://id.who.int/icd/release/11/beta/ichi/1718825989</x:t>
  </x:si>
  <x:si>
    <x:t>KAR.JJ.AD</x:t>
  </x:si>
  <x:si>
    <x:t>- - - - - Endoscopic partial oropharyngectomy</x:t>
  </x:si>
  <x:si>
    <x:t>http://id.who.int/icd/entity/1671619435</x:t>
  </x:si>
  <x:si>
    <x:t>http://id.who.int/icd/release/11/beta/ichi/1671619435</x:t>
  </x:si>
  <x:si>
    <x:t>KAR.LG.AC</x:t>
  </x:si>
  <x:si>
    <x:t>- - - - - Dilatation of oral pharynx</x:t>
  </x:si>
  <x:si>
    <x:t>http://id.who.int/icd/entity/232448002</x:t>
  </x:si>
  <x:si>
    <x:t>http://id.who.int/icd/release/11/beta/ichi/232448002</x:t>
  </x:si>
  <x:si>
    <x:t>KAR.LG.AD</x:t>
  </x:si>
  <x:si>
    <x:t>- - - - - Endoscopic dilatation of oral pharynx</x:t>
  </x:si>
  <x:si>
    <x:t>http://id.who.int/icd/entity/1012970056</x:t>
  </x:si>
  <x:si>
    <x:t>http://id.who.int/icd/release/11/beta/ichi/1012970056</x:t>
  </x:si>
  <x:si>
    <x:t>KAR.MK.AA</x:t>
  </x:si>
  <x:si>
    <x:t>- - - - - Repair of oral pharynx</x:t>
  </x:si>
  <x:si>
    <x:t>http://id.who.int/icd/entity/626920912</x:t>
  </x:si>
  <x:si>
    <x:t>http://id.who.int/icd/release/11/beta/ichi/626920912</x:t>
  </x:si>
  <x:si>
    <x:t>KAR.ML.AA</x:t>
  </x:si>
  <x:si>
    <x:t>- - - - - Reconstruction of oral pharynx</x:t>
  </x:si>
  <x:si>
    <x:t>http://id.who.int/icd/entity/430829452</x:t>
  </x:si>
  <x:si>
    <x:t>http://id.who.int/icd/release/11/beta/ichi/430829452</x:t>
  </x:si>
  <x:si>
    <x:t>KAS.AD.AC</x:t>
  </x:si>
  <x:si>
    <x:t>- - - - - Biopsy of soft palate</x:t>
  </x:si>
  <x:si>
    <x:t>http://id.who.int/icd/entity/921507108</x:t>
  </x:si>
  <x:si>
    <x:t>http://id.who.int/icd/release/11/beta/ichi/921507108</x:t>
  </x:si>
  <x:si>
    <x:t>KAS.DN.AA</x:t>
  </x:si>
  <x:si>
    <x:t>- - - - - Implantation of device into soft palate</x:t>
  </x:si>
  <x:si>
    <x:t>http://id.who.int/icd/entity/739089296</x:t>
  </x:si>
  <x:si>
    <x:t>http://id.who.int/icd/release/11/beta/ichi/739089296</x:t>
  </x:si>
  <x:si>
    <x:t>KAS.FA.AA</x:t>
  </x:si>
  <x:si>
    <x:t>- - - - - Incision of soft palate</x:t>
  </x:si>
  <x:si>
    <x:t>http://id.who.int/icd/entity/1552887811</x:t>
  </x:si>
  <x:si>
    <x:t>http://id.who.int/icd/release/11/beta/ichi/1552887811</x:t>
  </x:si>
  <x:si>
    <x:t>KAS.GA.AC</x:t>
  </x:si>
  <x:si>
    <x:t>- - - - - Destruction of soft palate</x:t>
  </x:si>
  <x:si>
    <x:t>http://id.who.int/icd/entity/1942997677</x:t>
  </x:si>
  <x:si>
    <x:t>http://id.who.int/icd/release/11/beta/ichi/1942997677</x:t>
  </x:si>
  <x:si>
    <x:t>KAS.JB.AC</x:t>
  </x:si>
  <x:si>
    <x:t>- - - - - Drainage of soft palate</x:t>
  </x:si>
  <x:si>
    <x:t>http://id.who.int/icd/entity/1717204715</x:t>
  </x:si>
  <x:si>
    <x:t>http://id.who.int/icd/release/11/beta/ichi/1717204715</x:t>
  </x:si>
  <x:si>
    <x:t>KAS.JD.AA</x:t>
  </x:si>
  <x:si>
    <x:t>- - - - - Removal of internal device or foreign body from soft palate</x:t>
  </x:si>
  <x:si>
    <x:t>http://id.who.int/icd/entity/136476034</x:t>
  </x:si>
  <x:si>
    <x:t>http://id.who.int/icd/release/11/beta/ichi/136476034</x:t>
  </x:si>
  <x:si>
    <x:t>KAS.JI.AA</x:t>
  </x:si>
  <x:si>
    <x:t>- - - - - Local excision of lesion or tissue of soft palate</x:t>
  </x:si>
  <x:si>
    <x:t>http://id.who.int/icd/entity/966272968</x:t>
  </x:si>
  <x:si>
    <x:t>http://id.who.int/icd/release/11/beta/ichi/966272968</x:t>
  </x:si>
  <x:si>
    <x:t>KAS.JJ.AA</x:t>
  </x:si>
  <x:si>
    <x:t>- - - - - Partial excision of soft palate</x:t>
  </x:si>
  <x:si>
    <x:t>http://id.who.int/icd/entity/162253892</x:t>
  </x:si>
  <x:si>
    <x:t>http://id.who.int/icd/release/11/beta/ichi/162253892</x:t>
  </x:si>
  <x:si>
    <x:t>KAS.JK.AA</x:t>
  </x:si>
  <x:si>
    <x:t>- - - - - Total excision of uvula</x:t>
  </x:si>
  <x:si>
    <x:t>http://id.who.int/icd/entity/45077230</x:t>
  </x:si>
  <x:si>
    <x:t>http://id.who.int/icd/release/11/beta/ichi/45077230</x:t>
  </x:si>
  <x:si>
    <x:t>KAS.MK.AA</x:t>
  </x:si>
  <x:si>
    <x:t>- - - - - Repair of soft palate</x:t>
  </x:si>
  <x:si>
    <x:t>http://id.who.int/icd/entity/1933654067</x:t>
  </x:si>
  <x:si>
    <x:t>http://id.who.int/icd/release/11/beta/ichi/1933654067</x:t>
  </x:si>
  <x:si>
    <x:t>KAS.ML.AA</x:t>
  </x:si>
  <x:si>
    <x:t>- - - - - Reconstruction of soft palate</x:t>
  </x:si>
  <x:si>
    <x:t>http://id.who.int/icd/entity/209328942</x:t>
  </x:si>
  <x:si>
    <x:t>http://id.who.int/icd/release/11/beta/ichi/209328942</x:t>
  </x:si>
  <x:si>
    <x:t>KAT.AD.AA</x:t>
  </x:si>
  <x:si>
    <x:t>- - - - - Biopsy of hard palate</x:t>
  </x:si>
  <x:si>
    <x:t>http://id.who.int/icd/entity/2043453279</x:t>
  </x:si>
  <x:si>
    <x:t>http://id.who.int/icd/release/11/beta/ichi/2043453279</x:t>
  </x:si>
  <x:si>
    <x:t>KAT.DN.AA</x:t>
  </x:si>
  <x:si>
    <x:t>- - - - - Implantation of internal device of hard palate</x:t>
  </x:si>
  <x:si>
    <x:t>http://id.who.int/icd/entity/1987385293</x:t>
  </x:si>
  <x:si>
    <x:t>http://id.who.int/icd/release/11/beta/ichi/1987385293</x:t>
  </x:si>
  <x:si>
    <x:t>KAT.GA.AA</x:t>
  </x:si>
  <x:si>
    <x:t>- - - - - Destruction of lesion or tissue of hard palate</x:t>
  </x:si>
  <x:si>
    <x:t>http://id.who.int/icd/entity/638504572</x:t>
  </x:si>
  <x:si>
    <x:t>http://id.who.int/icd/release/11/beta/ichi/638504572</x:t>
  </x:si>
  <x:si>
    <x:t>KAT.JD.AA</x:t>
  </x:si>
  <x:si>
    <x:t>- - - - - Removal of foreign body from hard palate</x:t>
  </x:si>
  <x:si>
    <x:t>http://id.who.int/icd/entity/1022247128</x:t>
  </x:si>
  <x:si>
    <x:t>http://id.who.int/icd/release/11/beta/ichi/1022247128</x:t>
  </x:si>
  <x:si>
    <x:t>KAT.JI.AA</x:t>
  </x:si>
  <x:si>
    <x:t>- - - - - Local excision of lesion of hard palate</x:t>
  </x:si>
  <x:si>
    <x:t>http://id.who.int/icd/entity/387132488</x:t>
  </x:si>
  <x:si>
    <x:t>http://id.who.int/icd/release/11/beta/ichi/387132488</x:t>
  </x:si>
  <x:si>
    <x:t>KAT.JJ.AA</x:t>
  </x:si>
  <x:si>
    <x:t>- - - - - Partial excision of hard palate</x:t>
  </x:si>
  <x:si>
    <x:t>http://id.who.int/icd/entity/648642062</x:t>
  </x:si>
  <x:si>
    <x:t>http://id.who.int/icd/release/11/beta/ichi/648642062</x:t>
  </x:si>
  <x:si>
    <x:t>KAT.MK.AA</x:t>
  </x:si>
  <x:si>
    <x:t>- - - - - Repair of hard palate</x:t>
  </x:si>
  <x:si>
    <x:t>http://id.who.int/icd/entity/318469370</x:t>
  </x:si>
  <x:si>
    <x:t>http://id.who.int/icd/release/11/beta/ichi/318469370</x:t>
  </x:si>
  <x:si>
    <x:t>KAT.ML.AA</x:t>
  </x:si>
  <x:si>
    <x:t>- - - - - Reconstruction of hard palate</x:t>
  </x:si>
  <x:si>
    <x:t>http://id.who.int/icd/entity/1489474449</x:t>
  </x:si>
  <x:si>
    <x:t>http://id.who.int/icd/release/11/beta/ichi/1489474449</x:t>
  </x:si>
  <x:si>
    <x:t>KAZ.AD.AC</x:t>
  </x:si>
  <x:si>
    <x:t>- - - - - Biopsy of oral cavity, not elsewhere classified</x:t>
  </x:si>
  <x:si>
    <x:t>http://id.who.int/icd/entity/948937132</x:t>
  </x:si>
  <x:si>
    <x:t>http://id.who.int/icd/release/11/beta/ichi/948937132</x:t>
  </x:si>
  <x:si>
    <x:t>KAZ.AE.AC</x:t>
  </x:si>
  <x:si>
    <x:t>- - - - - Oral examination, not elsewhere classified</x:t>
  </x:si>
  <x:si>
    <x:t>http://id.who.int/icd/entity/1162766848</x:t>
  </x:si>
  <x:si>
    <x:t>http://id.who.int/icd/release/11/beta/ichi/1162766848</x:t>
  </x:si>
  <x:si>
    <x:t>KAZ.AH.XD</x:t>
  </x:si>
  <x:si>
    <x:t>- - - - - Specimen collection of saliva</x:t>
  </x:si>
  <x:si>
    <x:t>http://id.who.int/icd/entity/1203012277</x:t>
  </x:si>
  <x:si>
    <x:t>http://id.who.int/icd/release/11/beta/ichi/1203012277</x:t>
  </x:si>
  <x:si>
    <x:t>KAZ.FA.AC</x:t>
  </x:si>
  <x:si>
    <x:t>- - - - - Incision of oral cavity, not elsewhere classified</x:t>
  </x:si>
  <x:si>
    <x:t>http://id.who.int/icd/entity/701268444</x:t>
  </x:si>
  <x:si>
    <x:t>http://id.who.int/icd/release/11/beta/ichi/701268444</x:t>
  </x:si>
  <x:si>
    <x:t>KAZ.GA.AC</x:t>
  </x:si>
  <x:si>
    <x:t>- - - - - Destruction of oral cavity, not elsewhere classified</x:t>
  </x:si>
  <x:si>
    <x:t>http://id.who.int/icd/entity/1113937371</x:t>
  </x:si>
  <x:si>
    <x:t>http://id.who.int/icd/release/11/beta/ichi/1113937371</x:t>
  </x:si>
  <x:si>
    <x:t>KAZ.JB.AC</x:t>
  </x:si>
  <x:si>
    <x:t>- - - - - Drainage of oral cavity, not elsewhere classified</x:t>
  </x:si>
  <x:si>
    <x:t>http://id.who.int/icd/entity/497485048</x:t>
  </x:si>
  <x:si>
    <x:t>http://id.who.int/icd/release/11/beta/ichi/497485048</x:t>
  </x:si>
  <x:si>
    <x:t>KAZ.JB.AE</x:t>
  </x:si>
  <x:si>
    <x:t>- - - - - Percutaneous drainage of oral cavity, not elsewhere classified</x:t>
  </x:si>
  <x:si>
    <x:t>http://id.who.int/icd/entity/1306320201</x:t>
  </x:si>
  <x:si>
    <x:t>http://id.who.int/icd/release/11/beta/ichi/1306320201</x:t>
  </x:si>
  <x:si>
    <x:t>KAZ.JD.AA</x:t>
  </x:si>
  <x:si>
    <x:t>- - - - - Removal of internal device or foreign body from oral cavity, not elsewhere classified</x:t>
  </x:si>
  <x:si>
    <x:t>http://id.who.int/icd/entity/1223226039</x:t>
  </x:si>
  <x:si>
    <x:t>http://id.who.int/icd/release/11/beta/ichi/1223226039</x:t>
  </x:si>
  <x:si>
    <x:t>KAZ.JD.AC</x:t>
  </x:si>
  <x:si>
    <x:t>- - - - - Removal of internal device or foreign body from oral cavity without incision, not elsewhere classified</x:t>
  </x:si>
  <x:si>
    <x:t>http://id.who.int/icd/entity/936628650</x:t>
  </x:si>
  <x:si>
    <x:t>http://id.who.int/icd/release/11/beta/ichi/936628650</x:t>
  </x:si>
  <x:si>
    <x:t>KAZ.JG.AC</x:t>
  </x:si>
  <x:si>
    <x:t>- - - - - Debridement of oral cavity, not elsewhere classified</x:t>
  </x:si>
  <x:si>
    <x:t>http://id.who.int/icd/entity/1739065369</x:t>
  </x:si>
  <x:si>
    <x:t>http://id.who.int/icd/release/11/beta/ichi/1739065369</x:t>
  </x:si>
  <x:si>
    <x:t>KAZ.JI.AA</x:t>
  </x:si>
  <x:si>
    <x:t>- - - - - Local excision of lesion of oral cavity, not elsewhere classified</x:t>
  </x:si>
  <x:si>
    <x:t>http://id.who.int/icd/entity/2101905075</x:t>
  </x:si>
  <x:si>
    <x:t>http://id.who.int/icd/release/11/beta/ichi/2101905075</x:t>
  </x:si>
  <x:si>
    <x:t>KAZ.JJ.AC</x:t>
  </x:si>
  <x:si>
    <x:t>- - - - - Partial excision of oral cavity, not elsewhere classified</x:t>
  </x:si>
  <x:si>
    <x:t>http://id.who.int/icd/entity/1376287773</x:t>
  </x:si>
  <x:si>
    <x:t>http://id.who.int/icd/release/11/beta/ichi/1376287773</x:t>
  </x:si>
  <x:si>
    <x:t>KAZ.LK.AC</x:t>
  </x:si>
  <x:si>
    <x:t>- - - - - Extension or deepening of buccolabial or lingual sulcus of oral cavity, not elsewhere classified</x:t>
  </x:si>
  <x:si>
    <x:t>http://id.who.int/icd/entity/41133486</x:t>
  </x:si>
  <x:si>
    <x:t>http://id.who.int/icd/release/11/beta/ichi/41133486</x:t>
  </x:si>
  <x:si>
    <x:t>KAZ.MK.AC</x:t>
  </x:si>
  <x:si>
    <x:t>- - - - - Repair of oral cavity, not elsewhere classified</x:t>
  </x:si>
  <x:si>
    <x:t>http://id.who.int/icd/entity/1201520731</x:t>
  </x:si>
  <x:si>
    <x:t>http://id.who.int/icd/release/11/beta/ichi/1201520731</x:t>
  </x:si>
  <x:si>
    <x:t>KAZ.ML.AA</x:t>
  </x:si>
  <x:si>
    <x:t>- - - - - Reconstruction of oral cavity, not elsewhere classified</x:t>
  </x:si>
  <x:si>
    <x:t>http://id.who.int/icd/entity/1574633089</x:t>
  </x:si>
  <x:si>
    <x:t>http://id.who.int/icd/release/11/beta/ichi/1574633089</x:t>
  </x:si>
  <x:si>
    <x:t>BlockL4-KBA</x:t>
  </x:si>
  <x:si>
    <x:t>- - - - Interventions on gastrointestinal tract</x:t>
  </x:si>
  <x:si>
    <x:t>337</x:t>
  </x:si>
  <x:si>
    <x:t>http://id.who.int/icd/entity/408916344</x:t>
  </x:si>
  <x:si>
    <x:t>http://id.who.int/icd/release/11/beta/ichi/408916344</x:t>
  </x:si>
  <x:si>
    <x:t>KBA.AB.AC</x:t>
  </x:si>
  <x:si>
    <x:t>- - - - - Oesophageal manometry</x:t>
  </x:si>
  <x:si>
    <x:t>http://id.who.int/icd/entity/678198004</x:t>
  </x:si>
  <x:si>
    <x:t>http://id.who.int/icd/release/11/beta/ichi/678198004</x:t>
  </x:si>
  <x:si>
    <x:t>KBA.AD.AA</x:t>
  </x:si>
  <x:si>
    <x:t>- - - - - Biopsy of oesophagus</x:t>
  </x:si>
  <x:si>
    <x:t>http://id.who.int/icd/entity/1465342445</x:t>
  </x:si>
  <x:si>
    <x:t>http://id.who.int/icd/release/11/beta/ichi/1465342445</x:t>
  </x:si>
  <x:si>
    <x:t>KBA.AD.AB</x:t>
  </x:si>
  <x:si>
    <x:t>- - - - - Thoracoscopic biopsy of oesophagus</x:t>
  </x:si>
  <x:si>
    <x:t>http://id.who.int/icd/entity/2091529597</x:t>
  </x:si>
  <x:si>
    <x:t>http://id.who.int/icd/release/11/beta/ichi/2091529597</x:t>
  </x:si>
  <x:si>
    <x:t>KBA.AD.AD</x:t>
  </x:si>
  <x:si>
    <x:t>- - - - - Endoscopic biopsy of oesophagus</x:t>
  </x:si>
  <x:si>
    <x:t>http://id.who.int/icd/entity/1283204711</x:t>
  </x:si>
  <x:si>
    <x:t>http://id.who.int/icd/release/11/beta/ichi/1283204711</x:t>
  </x:si>
  <x:si>
    <x:t>KBA.AD.AE</x:t>
  </x:si>
  <x:si>
    <x:t>- - - - - Percutaneous biopsy of oesophagus</x:t>
  </x:si>
  <x:si>
    <x:t>http://id.who.int/icd/entity/1564411409</x:t>
  </x:si>
  <x:si>
    <x:t>http://id.who.int/icd/release/11/beta/ichi/1564411409</x:t>
  </x:si>
  <x:si>
    <x:t>KBA.AE.AD</x:t>
  </x:si>
  <x:si>
    <x:t>- - - - - Oesophagoscopy</x:t>
  </x:si>
  <x:si>
    <x:t>http://id.who.int/icd/entity/1307942823</x:t>
  </x:si>
  <x:si>
    <x:t>http://id.who.int/icd/release/11/beta/ichi/1307942823</x:t>
  </x:si>
  <x:si>
    <x:t>KBA.AI.AC</x:t>
  </x:si>
  <x:si>
    <x:t>- - - - - Oesophageal pH monitoring</x:t>
  </x:si>
  <x:si>
    <x:t>http://id.who.int/icd/entity/149963010</x:t>
  </x:si>
  <x:si>
    <x:t>http://id.who.int/icd/release/11/beta/ichi/149963010</x:t>
  </x:si>
  <x:si>
    <x:t>KBA.BA.AD</x:t>
  </x:si>
  <x:si>
    <x:t>- - - - - Endoscopic ultrasonography of oesophagus</x:t>
  </x:si>
  <x:si>
    <x:t>http://id.who.int/icd/entity/1711862583</x:t>
  </x:si>
  <x:si>
    <x:t>http://id.who.int/icd/release/11/beta/ichi/1711862583</x:t>
  </x:si>
  <x:si>
    <x:t>KBA.BA.BA</x:t>
  </x:si>
  <x:si>
    <x:t>- - - - - X-ray of oesophagus</x:t>
  </x:si>
  <x:si>
    <x:t>http://id.who.int/icd/entity/2001457985</x:t>
  </x:si>
  <x:si>
    <x:t>http://id.who.int/icd/release/11/beta/ichi/2001457985</x:t>
  </x:si>
  <x:si>
    <x:t>KBA.BA.BB</x:t>
  </x:si>
  <x:si>
    <x:t>- - - - - X-ray of oesophagus with contrast medium</x:t>
  </x:si>
  <x:si>
    <x:t>http://id.who.int/icd/entity/148324400</x:t>
  </x:si>
  <x:si>
    <x:t>http://id.who.int/icd/release/11/beta/ichi/148324400</x:t>
  </x:si>
  <x:si>
    <x:t>KBA.DB.AD</x:t>
  </x:si>
  <x:si>
    <x:t>- - - - - Endoscopic administration of agent into lesion of oesophagus</x:t>
  </x:si>
  <x:si>
    <x:t>http://id.who.int/icd/entity/589966528</x:t>
  </x:si>
  <x:si>
    <x:t>http://id.who.int/icd/release/11/beta/ichi/589966528</x:t>
  </x:si>
  <x:si>
    <x:t>KBA.DL.AC</x:t>
  </x:si>
  <x:si>
    <x:t>- - - - - Insertion of device into oesophagus</x:t>
  </x:si>
  <x:si>
    <x:t>http://id.who.int/icd/entity/81237033</x:t>
  </x:si>
  <x:si>
    <x:t>http://id.who.int/icd/release/11/beta/ichi/81237033</x:t>
  </x:si>
  <x:si>
    <x:t>KBA.FA.AA</x:t>
  </x:si>
  <x:si>
    <x:t>- - - - - Incision of oesophagus</x:t>
  </x:si>
  <x:si>
    <x:t>http://id.who.int/icd/entity/1789892416</x:t>
  </x:si>
  <x:si>
    <x:t>http://id.who.int/icd/release/11/beta/ichi/1789892416</x:t>
  </x:si>
  <x:si>
    <x:t>KBA.FA.AD</x:t>
  </x:si>
  <x:si>
    <x:t>- - - - - Endoscopic incision of oesophagus</x:t>
  </x:si>
  <x:si>
    <x:t>http://id.who.int/icd/entity/1528153354</x:t>
  </x:si>
  <x:si>
    <x:t>http://id.who.int/icd/release/11/beta/ichi/1528153354</x:t>
  </x:si>
  <x:si>
    <x:t>KBA.FC.AA</x:t>
  </x:si>
  <x:si>
    <x:t>- - - - - Release of oesophagus</x:t>
  </x:si>
  <x:si>
    <x:t>http://id.who.int/icd/entity/996013873</x:t>
  </x:si>
  <x:si>
    <x:t>http://id.who.int/icd/release/11/beta/ichi/996013873</x:t>
  </x:si>
  <x:si>
    <x:t>KBA.FC.AB</x:t>
  </x:si>
  <x:si>
    <x:t>- - - - - Endoscopic release of oesophagus</x:t>
  </x:si>
  <x:si>
    <x:t>http://id.who.int/icd/entity/1688184340</x:t>
  </x:si>
  <x:si>
    <x:t>http://id.who.int/icd/release/11/beta/ichi/1688184340</x:t>
  </x:si>
  <x:si>
    <x:t>KBA.GA.AA</x:t>
  </x:si>
  <x:si>
    <x:t>- - - - - Destruction of lesion or tissue of oesophagus</x:t>
  </x:si>
  <x:si>
    <x:t>http://id.who.int/icd/entity/887390115</x:t>
  </x:si>
  <x:si>
    <x:t>http://id.who.int/icd/release/11/beta/ichi/887390115</x:t>
  </x:si>
  <x:si>
    <x:t>KBA.GA.AD</x:t>
  </x:si>
  <x:si>
    <x:t>- - - - - Endoscopic destruction of lesion or tissue of oesophagus</x:t>
  </x:si>
  <x:si>
    <x:t>http://id.who.int/icd/entity/1632530814</x:t>
  </x:si>
  <x:si>
    <x:t>http://id.who.int/icd/release/11/beta/ichi/1632530814</x:t>
  </x:si>
  <x:si>
    <x:t>KBA.JD.AA</x:t>
  </x:si>
  <x:si>
    <x:t>- - - - - Removal of internal device or foreign body from oesophagus with incision</x:t>
  </x:si>
  <x:si>
    <x:t>http://id.who.int/icd/entity/1542471066</x:t>
  </x:si>
  <x:si>
    <x:t>http://id.who.int/icd/release/11/beta/ichi/1542471066</x:t>
  </x:si>
  <x:si>
    <x:t>KBA.JD.AB</x:t>
  </x:si>
  <x:si>
    <x:t>- - - - - Thoracoscopic removal of internal device or foreign body from oesophagus</x:t>
  </x:si>
  <x:si>
    <x:t>http://id.who.int/icd/entity/2117951578</x:t>
  </x:si>
  <x:si>
    <x:t>http://id.who.int/icd/release/11/beta/ichi/2117951578</x:t>
  </x:si>
  <x:si>
    <x:t>KBA.JD.AD</x:t>
  </x:si>
  <x:si>
    <x:t>- - - - - Endoscopic removal of internal device or foreign body from oesophagus</x:t>
  </x:si>
  <x:si>
    <x:t>http://id.who.int/icd/entity/817631501</x:t>
  </x:si>
  <x:si>
    <x:t>http://id.who.int/icd/release/11/beta/ichi/817631501</x:t>
  </x:si>
  <x:si>
    <x:t>KBA.JI.AA</x:t>
  </x:si>
  <x:si>
    <x:t>- - - - - Local excision of lesion of oesophagus</x:t>
  </x:si>
  <x:si>
    <x:t>http://id.who.int/icd/entity/1149447358</x:t>
  </x:si>
  <x:si>
    <x:t>http://id.who.int/icd/release/11/beta/ichi/1149447358</x:t>
  </x:si>
  <x:si>
    <x:t>KBA.JI.AB</x:t>
  </x:si>
  <x:si>
    <x:t>- - - - - Thoracoscopic local excision of lesion of oesophagus</x:t>
  </x:si>
  <x:si>
    <x:t>http://id.who.int/icd/entity/2124075048</x:t>
  </x:si>
  <x:si>
    <x:t>http://id.who.int/icd/release/11/beta/ichi/2124075048</x:t>
  </x:si>
  <x:si>
    <x:t>KBA.JI.AD</x:t>
  </x:si>
  <x:si>
    <x:t>- - - - - Endoscopic local excision of lesion of oesophagus</x:t>
  </x:si>
  <x:si>
    <x:t>http://id.who.int/icd/entity/1373252232</x:t>
  </x:si>
  <x:si>
    <x:t>http://id.who.int/icd/release/11/beta/ichi/1373252232</x:t>
  </x:si>
  <x:si>
    <x:t>KBA.JJ.AA</x:t>
  </x:si>
  <x:si>
    <x:t>- - - - - Partial oesophagectomy</x:t>
  </x:si>
  <x:si>
    <x:t>http://id.who.int/icd/entity/1370562696</x:t>
  </x:si>
  <x:si>
    <x:t>http://id.who.int/icd/release/11/beta/ichi/1370562696</x:t>
  </x:si>
  <x:si>
    <x:t>KBA.JJ.AB</x:t>
  </x:si>
  <x:si>
    <x:t>- - - - - Thoracoscopic partial oesophagectomy</x:t>
  </x:si>
  <x:si>
    <x:t>http://id.who.int/icd/entity/523260381</x:t>
  </x:si>
  <x:si>
    <x:t>http://id.who.int/icd/release/11/beta/ichi/523260381</x:t>
  </x:si>
  <x:si>
    <x:t>KBA.JK.AA</x:t>
  </x:si>
  <x:si>
    <x:t>- - - - - Total oesophagectomy</x:t>
  </x:si>
  <x:si>
    <x:t>http://id.who.int/icd/entity/1979040906</x:t>
  </x:si>
  <x:si>
    <x:t>http://id.who.int/icd/release/11/beta/ichi/1979040906</x:t>
  </x:si>
  <x:si>
    <x:t>KBA.JK.AB</x:t>
  </x:si>
  <x:si>
    <x:t>- - - - - Thoracoscopic total oesophagectomy</x:t>
  </x:si>
  <x:si>
    <x:t>http://id.who.int/icd/entity/733883497</x:t>
  </x:si>
  <x:si>
    <x:t>http://id.who.int/icd/release/11/beta/ichi/733883497</x:t>
  </x:si>
  <x:si>
    <x:t>KBA.JL.AA</x:t>
  </x:si>
  <x:si>
    <x:t>- - - - - Radical oesophagectomy</x:t>
  </x:si>
  <x:si>
    <x:t>http://id.who.int/icd/entity/83809991</x:t>
  </x:si>
  <x:si>
    <x:t>http://id.who.int/icd/release/11/beta/ichi/83809991</x:t>
  </x:si>
  <x:si>
    <x:t>KBA.JL.AB</x:t>
  </x:si>
  <x:si>
    <x:t>- - - - - Thoracoscopic radical oesophagectomy</x:t>
  </x:si>
  <x:si>
    <x:t>http://id.who.int/icd/entity/1683168366</x:t>
  </x:si>
  <x:si>
    <x:t>http://id.who.int/icd/release/11/beta/ichi/1683168366</x:t>
  </x:si>
  <x:si>
    <x:t>KBA.KA.AC</x:t>
  </x:si>
  <x:si>
    <x:t>- - - - - Replacement of oesophagostomy tube</x:t>
  </x:si>
  <x:si>
    <x:t>http://id.who.int/icd/entity/1336832254</x:t>
  </x:si>
  <x:si>
    <x:t>http://id.who.int/icd/release/11/beta/ichi/1336832254</x:t>
  </x:si>
  <x:si>
    <x:t>KBA.LA.AD</x:t>
  </x:si>
  <x:si>
    <x:t>- - - - - Endoscopic occlusion of oesophagus</x:t>
  </x:si>
  <x:si>
    <x:t>http://id.who.int/icd/entity/1051026097</x:t>
  </x:si>
  <x:si>
    <x:t>http://id.who.int/icd/release/11/beta/ichi/1051026097</x:t>
  </x:si>
  <x:si>
    <x:t>KBA.LB.AA</x:t>
  </x:si>
  <x:si>
    <x:t>- - - - - Anastomosis of oesophagus</x:t>
  </x:si>
  <x:si>
    <x:t>http://id.who.int/icd/entity/1634153364</x:t>
  </x:si>
  <x:si>
    <x:t>http://id.who.int/icd/release/11/beta/ichi/1634153364</x:t>
  </x:si>
  <x:si>
    <x:t>KBA.LB.AB</x:t>
  </x:si>
  <x:si>
    <x:t>- - - - - Thoracoscopic anastomosis of oesophagus</x:t>
  </x:si>
  <x:si>
    <x:t>http://id.who.int/icd/entity/823978531</x:t>
  </x:si>
  <x:si>
    <x:t>http://id.who.int/icd/release/11/beta/ichi/823978531</x:t>
  </x:si>
  <x:si>
    <x:t>KBA.LG.AC</x:t>
  </x:si>
  <x:si>
    <x:t>- - - - - Dilatation of oesophagus</x:t>
  </x:si>
  <x:si>
    <x:t>http://id.who.int/icd/entity/184882869</x:t>
  </x:si>
  <x:si>
    <x:t>http://id.who.int/icd/release/11/beta/ichi/184882869</x:t>
  </x:si>
  <x:si>
    <x:t>KBA.LG.AD</x:t>
  </x:si>
  <x:si>
    <x:t>- - - - - Endoscopic dilatation of oesophagus</x:t>
  </x:si>
  <x:si>
    <x:t>http://id.who.int/icd/entity/608562203</x:t>
  </x:si>
  <x:si>
    <x:t>http://id.who.int/icd/release/11/beta/ichi/608562203</x:t>
  </x:si>
  <x:si>
    <x:t>KBA.LH.AD</x:t>
  </x:si>
  <x:si>
    <x:t>- - - - - Endoscopic dilatation with insertion of oesophageal prosthesis</x:t>
  </x:si>
  <x:si>
    <x:t>http://id.who.int/icd/entity/1791270224</x:t>
  </x:si>
  <x:si>
    <x:t>http://id.who.int/icd/release/11/beta/ichi/1791270224</x:t>
  </x:si>
  <x:si>
    <x:t>KBA.LI.AA</x:t>
  </x:si>
  <x:si>
    <x:t>- - - - - Oesophagostomy</x:t>
  </x:si>
  <x:si>
    <x:t>http://id.who.int/icd/entity/1903311486</x:t>
  </x:si>
  <x:si>
    <x:t>http://id.who.int/icd/release/11/beta/ichi/1903311486</x:t>
  </x:si>
  <x:si>
    <x:t>KBA.MK.AA</x:t>
  </x:si>
  <x:si>
    <x:t>- - - - - Repair of oesophagus</x:t>
  </x:si>
  <x:si>
    <x:t>http://id.who.int/icd/entity/995024151</x:t>
  </x:si>
  <x:si>
    <x:t>http://id.who.int/icd/release/11/beta/ichi/995024151</x:t>
  </x:si>
  <x:si>
    <x:t>KBA.MK.AB</x:t>
  </x:si>
  <x:si>
    <x:t>- - - - - Thoracoscopic repair of oesophagus</x:t>
  </x:si>
  <x:si>
    <x:t>http://id.who.int/icd/entity/194563597</x:t>
  </x:si>
  <x:si>
    <x:t>http://id.who.int/icd/release/11/beta/ichi/194563597</x:t>
  </x:si>
  <x:si>
    <x:t>KBA.ML.AA</x:t>
  </x:si>
  <x:si>
    <x:t>- - - - - Reconstruction of oesophagus</x:t>
  </x:si>
  <x:si>
    <x:t>http://id.who.int/icd/entity/618149027</x:t>
  </x:si>
  <x:si>
    <x:t>http://id.who.int/icd/release/11/beta/ichi/618149027</x:t>
  </x:si>
  <x:si>
    <x:t>KBA.ML.AB</x:t>
  </x:si>
  <x:si>
    <x:t>- - - - - Thoracoscopic reconstruction of oesophagus</x:t>
  </x:si>
  <x:si>
    <x:t>http://id.who.int/icd/entity/1956900116</x:t>
  </x:si>
  <x:si>
    <x:t>http://id.who.int/icd/release/11/beta/ichi/1956900116</x:t>
  </x:si>
  <x:si>
    <x:t>KBA.SN.AC</x:t>
  </x:si>
  <x:si>
    <x:t>- - - - - Management of internal device for oesophagus</x:t>
  </x:si>
  <x:si>
    <x:t>http://id.who.int/icd/entity/569121629</x:t>
  </x:si>
  <x:si>
    <x:t>http://id.who.int/icd/release/11/beta/ichi/569121629</x:t>
  </x:si>
  <x:si>
    <x:t>KBE.FC.AA</x:t>
  </x:si>
  <x:si>
    <x:t>- - - - - Release gastroesophageal junction</x:t>
  </x:si>
  <x:si>
    <x:t>http://id.who.int/icd/entity/777360335</x:t>
  </x:si>
  <x:si>
    <x:t>http://id.who.int/icd/release/11/beta/ichi/777360335</x:t>
  </x:si>
  <x:si>
    <x:t>KBE.FC.AB</x:t>
  </x:si>
  <x:si>
    <x:t>- - - - - Laparoscopic release of gastroesophageal junction</x:t>
  </x:si>
  <x:si>
    <x:t>http://id.who.int/icd/entity/1624564378</x:t>
  </x:si>
  <x:si>
    <x:t>http://id.who.int/icd/release/11/beta/ichi/1624564378</x:t>
  </x:si>
  <x:si>
    <x:t>KBE.MK.AA</x:t>
  </x:si>
  <x:si>
    <x:t>- - - - - Repair of gastroesophageal junction</x:t>
  </x:si>
  <x:si>
    <x:t>http://id.who.int/icd/entity/884284773</x:t>
  </x:si>
  <x:si>
    <x:t>http://id.who.int/icd/release/11/beta/ichi/884284773</x:t>
  </x:si>
  <x:si>
    <x:t>KBE.MK.AB</x:t>
  </x:si>
  <x:si>
    <x:t>- - - - - Laparoscopic repair of gastroesophageal junction</x:t>
  </x:si>
  <x:si>
    <x:t>http://id.who.int/icd/entity/1802980422</x:t>
  </x:si>
  <x:si>
    <x:t>http://id.who.int/icd/release/11/beta/ichi/1802980422</x:t>
  </x:si>
  <x:si>
    <x:t>KBF.AD.AA</x:t>
  </x:si>
  <x:si>
    <x:t>- - - - - Biopsy of stomach</x:t>
  </x:si>
  <x:si>
    <x:t>http://id.who.int/icd/entity/84889391</x:t>
  </x:si>
  <x:si>
    <x:t>http://id.who.int/icd/release/11/beta/ichi/84889391</x:t>
  </x:si>
  <x:si>
    <x:t>KBF.AD.AD</x:t>
  </x:si>
  <x:si>
    <x:t>- - - - - Endoscopic biopsy of stomach</x:t>
  </x:si>
  <x:si>
    <x:t>http://id.who.int/icd/entity/1578861116</x:t>
  </x:si>
  <x:si>
    <x:t>http://id.who.int/icd/release/11/beta/ichi/1578861116</x:t>
  </x:si>
  <x:si>
    <x:t>KBF.AE.AB</x:t>
  </x:si>
  <x:si>
    <x:t>- - - - - Transabdominal gastroscopy</x:t>
  </x:si>
  <x:si>
    <x:t>http://id.who.int/icd/entity/1146928358</x:t>
  </x:si>
  <x:si>
    <x:t>http://id.who.int/icd/release/11/beta/ichi/1146928358</x:t>
  </x:si>
  <x:si>
    <x:t>KBF.AE.AD</x:t>
  </x:si>
  <x:si>
    <x:t>- - - - - Gastroscopy</x:t>
  </x:si>
  <x:si>
    <x:t>http://id.who.int/icd/entity/1462898723</x:t>
  </x:si>
  <x:si>
    <x:t>http://id.who.int/icd/release/11/beta/ichi/1462898723</x:t>
  </x:si>
  <x:si>
    <x:t>KBF.BA.AD</x:t>
  </x:si>
  <x:si>
    <x:t>- - - - - Endoscopic ultrasonography of stomach</x:t>
  </x:si>
  <x:si>
    <x:t>http://id.who.int/icd/entity/1814914182</x:t>
  </x:si>
  <x:si>
    <x:t>http://id.who.int/icd/release/11/beta/ichi/1814914182</x:t>
  </x:si>
  <x:si>
    <x:t>KBF.BA.BD</x:t>
  </x:si>
  <x:si>
    <x:t>- - - - - Computed tomographic gastrography</x:t>
  </x:si>
  <x:si>
    <x:t>http://id.who.int/icd/entity/1636950310</x:t>
  </x:si>
  <x:si>
    <x:t>http://id.who.int/icd/release/11/beta/ichi/1636950310</x:t>
  </x:si>
  <x:si>
    <x:t>KBF.DB.AD</x:t>
  </x:si>
  <x:si>
    <x:t>- - - - - Endoscopic administration of agent into lesion of stomach</x:t>
  </x:si>
  <x:si>
    <x:t>http://id.who.int/icd/entity/837433493</x:t>
  </x:si>
  <x:si>
    <x:t>http://id.who.int/icd/release/11/beta/ichi/837433493</x:t>
  </x:si>
  <x:si>
    <x:t>KBF.DL.AC</x:t>
  </x:si>
  <x:si>
    <x:t>- - - - - Insertion of device into stomach</x:t>
  </x:si>
  <x:si>
    <x:t>http://id.who.int/icd/entity/1045671943</x:t>
  </x:si>
  <x:si>
    <x:t>http://id.who.int/icd/release/11/beta/ichi/1045671943</x:t>
  </x:si>
  <x:si>
    <x:t>KBF.DL.AD</x:t>
  </x:si>
  <x:si>
    <x:t>- - - - - Endoscopic insertion of device in stomach</x:t>
  </x:si>
  <x:si>
    <x:t>http://id.who.int/icd/entity/461051221</x:t>
  </x:si>
  <x:si>
    <x:t>http://id.who.int/icd/release/11/beta/ichi/461051221</x:t>
  </x:si>
  <x:si>
    <x:t>KBF.DL.AJ</x:t>
  </x:si>
  <x:si>
    <x:t>- - - - - Percutaneous endoscopic insertion of internal device in stomach</x:t>
  </x:si>
  <x:si>
    <x:t>http://id.who.int/icd/entity/1442472962</x:t>
  </x:si>
  <x:si>
    <x:t>http://id.who.int/icd/release/11/beta/ichi/1442472962</x:t>
  </x:si>
  <x:si>
    <x:t>KBF.FA.AA</x:t>
  </x:si>
  <x:si>
    <x:t>- - - - - Gastrotomy</x:t>
  </x:si>
  <x:si>
    <x:t>http://id.who.int/icd/entity/20720527</x:t>
  </x:si>
  <x:si>
    <x:t>http://id.who.int/icd/release/11/beta/ichi/20720527</x:t>
  </x:si>
  <x:si>
    <x:t>KBF.FA.AB</x:t>
  </x:si>
  <x:si>
    <x:t>- - - - - Laparoscopic gastrotomy</x:t>
  </x:si>
  <x:si>
    <x:t>http://id.who.int/icd/entity/1416879552</x:t>
  </x:si>
  <x:si>
    <x:t>http://id.who.int/icd/release/11/beta/ichi/1416879552</x:t>
  </x:si>
  <x:si>
    <x:t>KBF.GA.AD</x:t>
  </x:si>
  <x:si>
    <x:t>- - - - - Endoscopic destruction of lesion or tissue of stomach</x:t>
  </x:si>
  <x:si>
    <x:t>http://id.who.int/icd/entity/1539986770</x:t>
  </x:si>
  <x:si>
    <x:t>http://id.who.int/icd/release/11/beta/ichi/1539986770</x:t>
  </x:si>
  <x:si>
    <x:t>KBF.JA.AC</x:t>
  </x:si>
  <x:si>
    <x:t>- - - - - Gastric lavage</x:t>
  </x:si>
  <x:si>
    <x:t>http://id.who.int/icd/entity/900879931</x:t>
  </x:si>
  <x:si>
    <x:t>http://id.who.int/icd/release/11/beta/ichi/900879931</x:t>
  </x:si>
  <x:si>
    <x:t>KBF.JB.AC</x:t>
  </x:si>
  <x:si>
    <x:t>- - - - - Drainage of stomach</x:t>
  </x:si>
  <x:si>
    <x:t>http://id.who.int/icd/entity/1641261508</x:t>
  </x:si>
  <x:si>
    <x:t>http://id.who.int/icd/release/11/beta/ichi/1641261508</x:t>
  </x:si>
  <x:si>
    <x:t>KBF.JD.AA</x:t>
  </x:si>
  <x:si>
    <x:t>- - - - - Removal of internal device or foreign body from stomach</x:t>
  </x:si>
  <x:si>
    <x:t>http://id.who.int/icd/entity/2073335582</x:t>
  </x:si>
  <x:si>
    <x:t>http://id.who.int/icd/release/11/beta/ichi/2073335582</x:t>
  </x:si>
  <x:si>
    <x:t>KBF.JD.AB</x:t>
  </x:si>
  <x:si>
    <x:t>- - - - - Laparoscopic removal of internal device or foreign body from stomach</x:t>
  </x:si>
  <x:si>
    <x:t>http://id.who.int/icd/entity/1338416618</x:t>
  </x:si>
  <x:si>
    <x:t>http://id.who.int/icd/release/11/beta/ichi/1338416618</x:t>
  </x:si>
  <x:si>
    <x:t>KBF.JD.AC</x:t>
  </x:si>
  <x:si>
    <x:t>- - - - - Removal of internal device or foreign body from stomach without incision</x:t>
  </x:si>
  <x:si>
    <x:t>http://id.who.int/icd/entity/1153598276</x:t>
  </x:si>
  <x:si>
    <x:t>http://id.who.int/icd/release/11/beta/ichi/1153598276</x:t>
  </x:si>
  <x:si>
    <x:t>KBF.JD.AD</x:t>
  </x:si>
  <x:si>
    <x:t>- - - - - Endoscopic removal of internal device or foreign body from stomach</x:t>
  </x:si>
  <x:si>
    <x:t>http://id.who.int/icd/entity/251552815</x:t>
  </x:si>
  <x:si>
    <x:t>http://id.who.int/icd/release/11/beta/ichi/251552815</x:t>
  </x:si>
  <x:si>
    <x:t>KBF.JI.AA</x:t>
  </x:si>
  <x:si>
    <x:t>- - - - - Local excision of lesion of stomach</x:t>
  </x:si>
  <x:si>
    <x:t>http://id.who.int/icd/entity/1354075342</x:t>
  </x:si>
  <x:si>
    <x:t>http://id.who.int/icd/release/11/beta/ichi/1354075342</x:t>
  </x:si>
  <x:si>
    <x:t>KBF.JI.AD</x:t>
  </x:si>
  <x:si>
    <x:t>- - - - - Endoscopic local excision of lesion of stomach</x:t>
  </x:si>
  <x:si>
    <x:t>http://id.who.int/icd/entity/980425115</x:t>
  </x:si>
  <x:si>
    <x:t>http://id.who.int/icd/release/11/beta/ichi/980425115</x:t>
  </x:si>
  <x:si>
    <x:t>KBF.JJ.AA</x:t>
  </x:si>
  <x:si>
    <x:t>- - - - - Partial gastrectomy</x:t>
  </x:si>
  <x:si>
    <x:t>http://id.who.int/icd/entity/635891759</x:t>
  </x:si>
  <x:si>
    <x:t>http://id.who.int/icd/release/11/beta/ichi/635891759</x:t>
  </x:si>
  <x:si>
    <x:t>KBF.JJ.AB</x:t>
  </x:si>
  <x:si>
    <x:t>- - - - - Laparoscopic partial gastrectomy</x:t>
  </x:si>
  <x:si>
    <x:t>http://id.who.int/icd/entity/795563843</x:t>
  </x:si>
  <x:si>
    <x:t>http://id.who.int/icd/release/11/beta/ichi/795563843</x:t>
  </x:si>
  <x:si>
    <x:t>KBF.JK.AA</x:t>
  </x:si>
  <x:si>
    <x:t>- - - - - Total gastrectomy</x:t>
  </x:si>
  <x:si>
    <x:t>http://id.who.int/icd/entity/544567201</x:t>
  </x:si>
  <x:si>
    <x:t>http://id.who.int/icd/release/11/beta/ichi/544567201</x:t>
  </x:si>
  <x:si>
    <x:t>KBF.JK.AB</x:t>
  </x:si>
  <x:si>
    <x:t>- - - - - Laparoscopic total gastrectomy</x:t>
  </x:si>
  <x:si>
    <x:t>http://id.who.int/icd/entity/255169807</x:t>
  </x:si>
  <x:si>
    <x:t>http://id.who.int/icd/release/11/beta/ichi/255169807</x:t>
  </x:si>
  <x:si>
    <x:t>KBF.JL.AA</x:t>
  </x:si>
  <x:si>
    <x:t>- - - - - Radical gastrectomy</x:t>
  </x:si>
  <x:si>
    <x:t>http://id.who.int/icd/entity/978934645</x:t>
  </x:si>
  <x:si>
    <x:t>http://id.who.int/icd/release/11/beta/ichi/978934645</x:t>
  </x:si>
  <x:si>
    <x:t>KBF.JL.AB</x:t>
  </x:si>
  <x:si>
    <x:t>- - - - - Laparoscopic radical gastrectomy</x:t>
  </x:si>
  <x:si>
    <x:t>http://id.who.int/icd/entity/295974885</x:t>
  </x:si>
  <x:si>
    <x:t>http://id.who.int/icd/release/11/beta/ichi/295974885</x:t>
  </x:si>
  <x:si>
    <x:t>KBF.KA.AC</x:t>
  </x:si>
  <x:si>
    <x:t>- - - - - Replacement of gastric device</x:t>
  </x:si>
  <x:si>
    <x:t>http://id.who.int/icd/entity/1164081260</x:t>
  </x:si>
  <x:si>
    <x:t>http://id.who.int/icd/release/11/beta/ichi/1164081260</x:t>
  </x:si>
  <x:si>
    <x:t>KBF.LA.AA</x:t>
  </x:si>
  <x:si>
    <x:t>- - - - - Occlusion of gastric varices</x:t>
  </x:si>
  <x:si>
    <x:t>http://id.who.int/icd/entity/1622091176</x:t>
  </x:si>
  <x:si>
    <x:t>http://id.who.int/icd/release/11/beta/ichi/1622091176</x:t>
  </x:si>
  <x:si>
    <x:t>KBF.LA.AB</x:t>
  </x:si>
  <x:si>
    <x:t>- - - - - Laparoscopic occlusion of gastric varices</x:t>
  </x:si>
  <x:si>
    <x:t>http://id.who.int/icd/entity/1511090512</x:t>
  </x:si>
  <x:si>
    <x:t>http://id.who.int/icd/release/11/beta/ichi/1511090512</x:t>
  </x:si>
  <x:si>
    <x:t>KBF.LA.AD</x:t>
  </x:si>
  <x:si>
    <x:t>- - - - - Endoscopic control of gastric bleeding</x:t>
  </x:si>
  <x:si>
    <x:t>http://id.who.int/icd/entity/1606467106</x:t>
  </x:si>
  <x:si>
    <x:t>http://id.who.int/icd/release/11/beta/ichi/1606467106</x:t>
  </x:si>
  <x:si>
    <x:t>KBF.LA.AF</x:t>
  </x:si>
  <x:si>
    <x:t>- - - - - Transcatheter embolisation for gastric bleeding</x:t>
  </x:si>
  <x:si>
    <x:t>http://id.who.int/icd/entity/1188564852</x:t>
  </x:si>
  <x:si>
    <x:t>http://id.who.int/icd/release/11/beta/ichi/1188564852</x:t>
  </x:si>
  <x:si>
    <x:t>KBF.LB.AA</x:t>
  </x:si>
  <x:si>
    <x:t>- - - - - Gastric anastomosis</x:t>
  </x:si>
  <x:si>
    <x:t>http://id.who.int/icd/entity/421158487</x:t>
  </x:si>
  <x:si>
    <x:t>http://id.who.int/icd/release/11/beta/ichi/421158487</x:t>
  </x:si>
  <x:si>
    <x:t>KBF.LB.AB</x:t>
  </x:si>
  <x:si>
    <x:t>- - - - - Laparoscopic gastric anastomosis</x:t>
  </x:si>
  <x:si>
    <x:t>http://id.who.int/icd/entity/1350121140</x:t>
  </x:si>
  <x:si>
    <x:t>http://id.who.int/icd/release/11/beta/ichi/1350121140</x:t>
  </x:si>
  <x:si>
    <x:t>KBF.LC.AA</x:t>
  </x:si>
  <x:si>
    <x:t>- - - - - Gastropexy</x:t>
  </x:si>
  <x:si>
    <x:t>http://id.who.int/icd/entity/634368705</x:t>
  </x:si>
  <x:si>
    <x:t>http://id.who.int/icd/release/11/beta/ichi/634368705</x:t>
  </x:si>
  <x:si>
    <x:t>KBF.LC.AB</x:t>
  </x:si>
  <x:si>
    <x:t>- - - - - Laparoscopic gastropexy</x:t>
  </x:si>
  <x:si>
    <x:t>http://id.who.int/icd/entity/1974758256</x:t>
  </x:si>
  <x:si>
    <x:t>http://id.who.int/icd/release/11/beta/ichi/1974758256</x:t>
  </x:si>
  <x:si>
    <x:t>KBF.LD.AA</x:t>
  </x:si>
  <x:si>
    <x:t>- - - - - Repositioning of stomach</x:t>
  </x:si>
  <x:si>
    <x:t>http://id.who.int/icd/entity/1525977568</x:t>
  </x:si>
  <x:si>
    <x:t>http://id.who.int/icd/release/11/beta/ichi/1525977568</x:t>
  </x:si>
  <x:si>
    <x:t>KBF.LD.AB</x:t>
  </x:si>
  <x:si>
    <x:t>- - - - - Laparoscopic repositioning of stomach</x:t>
  </x:si>
  <x:si>
    <x:t>http://id.who.int/icd/entity/627573425</x:t>
  </x:si>
  <x:si>
    <x:t>http://id.who.int/icd/release/11/beta/ichi/627573425</x:t>
  </x:si>
  <x:si>
    <x:t>KBF.LD.AD</x:t>
  </x:si>
  <x:si>
    <x:t>- - - - - Endoscopic repositioning of stomach</x:t>
  </x:si>
  <x:si>
    <x:t>http://id.who.int/icd/entity/718375459</x:t>
  </x:si>
  <x:si>
    <x:t>http://id.who.int/icd/release/11/beta/ichi/718375459</x:t>
  </x:si>
  <x:si>
    <x:t>KBF.LG.AA</x:t>
  </x:si>
  <x:si>
    <x:t>- - - - - Pyloroplasty</x:t>
  </x:si>
  <x:si>
    <x:t>http://id.who.int/icd/entity/1683028854</x:t>
  </x:si>
  <x:si>
    <x:t>http://id.who.int/icd/release/11/beta/ichi/1683028854</x:t>
  </x:si>
  <x:si>
    <x:t>KBF.LG.AB</x:t>
  </x:si>
  <x:si>
    <x:t>- - - - - Laparoscopic pyloroplasty</x:t>
  </x:si>
  <x:si>
    <x:t>http://id.who.int/icd/entity/1661941613</x:t>
  </x:si>
  <x:si>
    <x:t>http://id.who.int/icd/release/11/beta/ichi/1661941613</x:t>
  </x:si>
  <x:si>
    <x:t>KBF.LG.AD</x:t>
  </x:si>
  <x:si>
    <x:t>- - - - - Endoscopic pyloroplasty</x:t>
  </x:si>
  <x:si>
    <x:t>http://id.who.int/icd/entity/1280298435</x:t>
  </x:si>
  <x:si>
    <x:t>http://id.who.int/icd/release/11/beta/ichi/1280298435</x:t>
  </x:si>
  <x:si>
    <x:t>KBF.LH.AD</x:t>
  </x:si>
  <x:si>
    <x:t>- - - - - Endoscopic dilatation of stomach with insertion of gastroduodenal prosthesis</x:t>
  </x:si>
  <x:si>
    <x:t>http://id.who.int/icd/entity/972638640</x:t>
  </x:si>
  <x:si>
    <x:t>http://id.who.int/icd/release/11/beta/ichi/972638640</x:t>
  </x:si>
  <x:si>
    <x:t>KBF.LI.AA</x:t>
  </x:si>
  <x:si>
    <x:t>- - - - - Gastric bypass</x:t>
  </x:si>
  <x:si>
    <x:t>http://id.who.int/icd/entity/1770164225</x:t>
  </x:si>
  <x:si>
    <x:t>http://id.who.int/icd/release/11/beta/ichi/1770164225</x:t>
  </x:si>
  <x:si>
    <x:t>KBF.LI.AB</x:t>
  </x:si>
  <x:si>
    <x:t>- - - - - Laparoscopic gastric bypass</x:t>
  </x:si>
  <x:si>
    <x:t>http://id.who.int/icd/entity/1027923856</x:t>
  </x:si>
  <x:si>
    <x:t>http://id.who.int/icd/release/11/beta/ichi/1027923856</x:t>
  </x:si>
  <x:si>
    <x:t>KBF.LI.AJ</x:t>
  </x:si>
  <x:si>
    <x:t>- - - - - Percutaneous endoscopic gastric bypass</x:t>
  </x:si>
  <x:si>
    <x:t>http://id.who.int/icd/entity/1817397103</x:t>
  </x:si>
  <x:si>
    <x:t>http://id.who.int/icd/release/11/beta/ichi/1817397103</x:t>
  </x:si>
  <x:si>
    <x:t>KBF.LL.AA</x:t>
  </x:si>
  <x:si>
    <x:t>- - - - - Gastroplasty</x:t>
  </x:si>
  <x:si>
    <x:t>http://id.who.int/icd/entity/1235098285</x:t>
  </x:si>
  <x:si>
    <x:t>http://id.who.int/icd/release/11/beta/ichi/1235098285</x:t>
  </x:si>
  <x:si>
    <x:t>KBF.LL.AB</x:t>
  </x:si>
  <x:si>
    <x:t>- - - - - Laparoscopic gastroplasty</x:t>
  </x:si>
  <x:si>
    <x:t>http://id.who.int/icd/entity/434488094</x:t>
  </x:si>
  <x:si>
    <x:t>http://id.who.int/icd/release/11/beta/ichi/434488094</x:t>
  </x:si>
  <x:si>
    <x:t>KBF.MK.AA</x:t>
  </x:si>
  <x:si>
    <x:t>- - - - - Repair of stomach</x:t>
  </x:si>
  <x:si>
    <x:t>http://id.who.int/icd/entity/423785324</x:t>
  </x:si>
  <x:si>
    <x:t>http://id.who.int/icd/release/11/beta/ichi/423785324</x:t>
  </x:si>
  <x:si>
    <x:t>KBF.MK.AB</x:t>
  </x:si>
  <x:si>
    <x:t>- - - - - Laparoscopic repair of stomach</x:t>
  </x:si>
  <x:si>
    <x:t>http://id.who.int/icd/entity/1182802511</x:t>
  </x:si>
  <x:si>
    <x:t>http://id.who.int/icd/release/11/beta/ichi/1182802511</x:t>
  </x:si>
  <x:si>
    <x:t>KBF.ML.AA</x:t>
  </x:si>
  <x:si>
    <x:t>- - - - - Reconstruction of stomach</x:t>
  </x:si>
  <x:si>
    <x:t>http://id.who.int/icd/entity/687350054</x:t>
  </x:si>
  <x:si>
    <x:t>http://id.who.int/icd/release/11/beta/ichi/687350054</x:t>
  </x:si>
  <x:si>
    <x:t>KBF.ML.AB</x:t>
  </x:si>
  <x:si>
    <x:t>- - - - - Laparoscopic reconstruction on stomach</x:t>
  </x:si>
  <x:si>
    <x:t>http://id.who.int/icd/entity/1393925641</x:t>
  </x:si>
  <x:si>
    <x:t>http://id.who.int/icd/release/11/beta/ichi/1393925641</x:t>
  </x:si>
  <x:si>
    <x:t>KBF.SE.AC</x:t>
  </x:si>
  <x:si>
    <x:t>- - - - - Gastric hypothermia</x:t>
  </x:si>
  <x:si>
    <x:t>http://id.who.int/icd/entity/1772868335</x:t>
  </x:si>
  <x:si>
    <x:t>http://id.who.int/icd/release/11/beta/ichi/1772868335</x:t>
  </x:si>
  <x:si>
    <x:t>KBF.SN.AA</x:t>
  </x:si>
  <x:si>
    <x:t>- - - - - Adjustment of internal device of stomach via laparotomy</x:t>
  </x:si>
  <x:si>
    <x:t>http://id.who.int/icd/entity/1112981119</x:t>
  </x:si>
  <x:si>
    <x:t>http://id.who.int/icd/release/11/beta/ichi/1112981119</x:t>
  </x:si>
  <x:si>
    <x:t>KBF.SN.AB</x:t>
  </x:si>
  <x:si>
    <x:t>- - - - - Laparoscopic adjustment of internal device of stomach</x:t>
  </x:si>
  <x:si>
    <x:t>http://id.who.int/icd/entity/2036419417</x:t>
  </x:si>
  <x:si>
    <x:t>http://id.who.int/icd/release/11/beta/ichi/2036419417</x:t>
  </x:si>
  <x:si>
    <x:t>KBI.AB.AC</x:t>
  </x:si>
  <x:si>
    <x:t>- - - - - Duodenal manometry</x:t>
  </x:si>
  <x:si>
    <x:t>http://id.who.int/icd/entity/1663464835</x:t>
  </x:si>
  <x:si>
    <x:t>http://id.who.int/icd/release/11/beta/ichi/1663464835</x:t>
  </x:si>
  <x:si>
    <x:t>KBI.AD.AD</x:t>
  </x:si>
  <x:si>
    <x:t>- - - - - Oesophagogastroduodenoscopy with biopsy</x:t>
  </x:si>
  <x:si>
    <x:t>http://id.who.int/icd/entity/1408263833</x:t>
  </x:si>
  <x:si>
    <x:t>http://id.who.int/icd/release/11/beta/ichi/1408263833</x:t>
  </x:si>
  <x:si>
    <x:t>KBI.AE.AD</x:t>
  </x:si>
  <x:si>
    <x:t>- - - - - Oesophagogastroduodenoscopy</x:t>
  </x:si>
  <x:si>
    <x:t>http://id.who.int/icd/entity/1596638749</x:t>
  </x:si>
  <x:si>
    <x:t>http://id.who.int/icd/release/11/beta/ichi/1596638749</x:t>
  </x:si>
  <x:si>
    <x:t>KBI.BA.AD</x:t>
  </x:si>
  <x:si>
    <x:t>- - - - - Endoscopic ultrasonography of duodenum</x:t>
  </x:si>
  <x:si>
    <x:t>http://id.who.int/icd/entity/432833012</x:t>
  </x:si>
  <x:si>
    <x:t>http://id.who.int/icd/release/11/beta/ichi/432833012</x:t>
  </x:si>
  <x:si>
    <x:t>KBI.BA.BB</x:t>
  </x:si>
  <x:si>
    <x:t>- - - - - Barium oesophagogastroduodenography</x:t>
  </x:si>
  <x:si>
    <x:t>http://id.who.int/icd/entity/2038739913</x:t>
  </x:si>
  <x:si>
    <x:t>http://id.who.int/icd/release/11/beta/ichi/2038739913</x:t>
  </x:si>
  <x:si>
    <x:t>KBI.DB.AD</x:t>
  </x:si>
  <x:si>
    <x:t>- - - - - Endoscopic administration of agent into lesion of duodenum</x:t>
  </x:si>
  <x:si>
    <x:t>http://id.who.int/icd/entity/1383718745</x:t>
  </x:si>
  <x:si>
    <x:t>http://id.who.int/icd/release/11/beta/ichi/1383718745</x:t>
  </x:si>
  <x:si>
    <x:t>KBI.DL.AC</x:t>
  </x:si>
  <x:si>
    <x:t>- - - - - Insertion of nasoduodenal tube</x:t>
  </x:si>
  <x:si>
    <x:t>http://id.who.int/icd/entity/1127939887</x:t>
  </x:si>
  <x:si>
    <x:t>http://id.who.int/icd/release/11/beta/ichi/1127939887</x:t>
  </x:si>
  <x:si>
    <x:t>KBI.FA.AA</x:t>
  </x:si>
  <x:si>
    <x:t>- - - - - Incision of duodenum</x:t>
  </x:si>
  <x:si>
    <x:t>http://id.who.int/icd/entity/2032337849</x:t>
  </x:si>
  <x:si>
    <x:t>http://id.who.int/icd/release/11/beta/ichi/2032337849</x:t>
  </x:si>
  <x:si>
    <x:t>KBI.FA.AB</x:t>
  </x:si>
  <x:si>
    <x:t>- - - - - Laparoscopic incision of duodenum</x:t>
  </x:si>
  <x:si>
    <x:t>http://id.who.int/icd/entity/391839954</x:t>
  </x:si>
  <x:si>
    <x:t>http://id.who.int/icd/release/11/beta/ichi/391839954</x:t>
  </x:si>
  <x:si>
    <x:t>KBI.FA.AD</x:t>
  </x:si>
  <x:si>
    <x:t>- - - - - Endoscopic incision of duodenum</x:t>
  </x:si>
  <x:si>
    <x:t>http://id.who.int/icd/entity/652300956</x:t>
  </x:si>
  <x:si>
    <x:t>http://id.who.int/icd/release/11/beta/ichi/652300956</x:t>
  </x:si>
  <x:si>
    <x:t>KBI.GA.AD</x:t>
  </x:si>
  <x:si>
    <x:t>- - - - - Endoscopic destruction of lesion or tissue of duodenum</x:t>
  </x:si>
  <x:si>
    <x:t>http://id.who.int/icd/entity/1647440865</x:t>
  </x:si>
  <x:si>
    <x:t>http://id.who.int/icd/release/11/beta/ichi/1647440865</x:t>
  </x:si>
  <x:si>
    <x:t>KBI.JD.AD</x:t>
  </x:si>
  <x:si>
    <x:t>- - - - - Endoscopic removal of internal device or foreign body from duodenum</x:t>
  </x:si>
  <x:si>
    <x:t>http://id.who.int/icd/entity/1299253583</x:t>
  </x:si>
  <x:si>
    <x:t>http://id.who.int/icd/release/11/beta/ichi/1299253583</x:t>
  </x:si>
  <x:si>
    <x:t>KBI.JI.AA</x:t>
  </x:si>
  <x:si>
    <x:t>- - - - - Local excision of lesion of duodenum</x:t>
  </x:si>
  <x:si>
    <x:t>http://id.who.int/icd/entity/1039377092</x:t>
  </x:si>
  <x:si>
    <x:t>http://id.who.int/icd/release/11/beta/ichi/1039377092</x:t>
  </x:si>
  <x:si>
    <x:t>KBI.JI.AB</x:t>
  </x:si>
  <x:si>
    <x:t>- - - - - Laparoscopic local excision of lesion of duodenum</x:t>
  </x:si>
  <x:si>
    <x:t>http://id.who.int/icd/entity/1212491441</x:t>
  </x:si>
  <x:si>
    <x:t>http://id.who.int/icd/release/11/beta/ichi/1212491441</x:t>
  </x:si>
  <x:si>
    <x:t>KBI.JI.AD</x:t>
  </x:si>
  <x:si>
    <x:t>- - - - - Endoscopic local excision of lesion of duodenum</x:t>
  </x:si>
  <x:si>
    <x:t>http://id.who.int/icd/entity/41533914</x:t>
  </x:si>
  <x:si>
    <x:t>http://id.who.int/icd/release/11/beta/ichi/41533914</x:t>
  </x:si>
  <x:si>
    <x:t>KBI.JJ.AA</x:t>
  </x:si>
  <x:si>
    <x:t>- - - - - Partial excision of duodenum</x:t>
  </x:si>
  <x:si>
    <x:t>http://id.who.int/icd/entity/696560970</x:t>
  </x:si>
  <x:si>
    <x:t>http://id.who.int/icd/release/11/beta/ichi/696560970</x:t>
  </x:si>
  <x:si>
    <x:t>KBI.JJ.AB</x:t>
  </x:si>
  <x:si>
    <x:t>- - - - - Laparoscopic partial excision of duodenum</x:t>
  </x:si>
  <x:si>
    <x:t>http://id.who.int/icd/entity/1658063729</x:t>
  </x:si>
  <x:si>
    <x:t>http://id.who.int/icd/release/11/beta/ichi/1658063729</x:t>
  </x:si>
  <x:si>
    <x:t>KBI.KA.AD</x:t>
  </x:si>
  <x:si>
    <x:t>- - - - - Endoscopic replacement of duodenal device</x:t>
  </x:si>
  <x:si>
    <x:t>http://id.who.int/icd/entity/502212718</x:t>
  </x:si>
  <x:si>
    <x:t>http://id.who.int/icd/release/11/beta/ichi/502212718</x:t>
  </x:si>
  <x:si>
    <x:t>KBI.LA.AD</x:t>
  </x:si>
  <x:si>
    <x:t>- - - - - Endoscopic control of duodenal bleeding</x:t>
  </x:si>
  <x:si>
    <x:t>http://id.who.int/icd/entity/1939286791</x:t>
  </x:si>
  <x:si>
    <x:t>http://id.who.int/icd/release/11/beta/ichi/1939286791</x:t>
  </x:si>
  <x:si>
    <x:t>KBI.LA.AF</x:t>
  </x:si>
  <x:si>
    <x:t>- - - - - Transcatheter embolisation for duodenal bleeding</x:t>
  </x:si>
  <x:si>
    <x:t>http://id.who.int/icd/entity/1218502177</x:t>
  </x:si>
  <x:si>
    <x:t>http://id.who.int/icd/release/11/beta/ichi/1218502177</x:t>
  </x:si>
  <x:si>
    <x:t>KBI.LB.AA</x:t>
  </x:si>
  <x:si>
    <x:t>- - - - - Anastomosis of duodenum</x:t>
  </x:si>
  <x:si>
    <x:t>http://id.who.int/icd/entity/392335106</x:t>
  </x:si>
  <x:si>
    <x:t>http://id.who.int/icd/release/11/beta/ichi/392335106</x:t>
  </x:si>
  <x:si>
    <x:t>KBI.LB.AB</x:t>
  </x:si>
  <x:si>
    <x:t>- - - - - Laparoscopic anastomosis of duodenum</x:t>
  </x:si>
  <x:si>
    <x:t>http://id.who.int/icd/entity/1192842931</x:t>
  </x:si>
  <x:si>
    <x:t>http://id.who.int/icd/release/11/beta/ichi/1192842931</x:t>
  </x:si>
  <x:si>
    <x:t>KBI.LG.AD</x:t>
  </x:si>
  <x:si>
    <x:t>- - - - - Endoscopic dilatation of duodenum</x:t>
  </x:si>
  <x:si>
    <x:t>http://id.who.int/icd/entity/226623914</x:t>
  </x:si>
  <x:si>
    <x:t>http://id.who.int/icd/release/11/beta/ichi/226623914</x:t>
  </x:si>
  <x:si>
    <x:t>KBI.LH.AD</x:t>
  </x:si>
  <x:si>
    <x:t>- - - - - Endoscopic dilatation with insertion of device into duodenum</x:t>
  </x:si>
  <x:si>
    <x:t>http://id.who.int/icd/entity/926698830</x:t>
  </x:si>
  <x:si>
    <x:t>http://id.who.int/icd/release/11/beta/ichi/926698830</x:t>
  </x:si>
  <x:si>
    <x:t>KBI.LI.AA</x:t>
  </x:si>
  <x:si>
    <x:t>- - - - - Duodenostomy</x:t>
  </x:si>
  <x:si>
    <x:t>http://id.who.int/icd/entity/482419166</x:t>
  </x:si>
  <x:si>
    <x:t>http://id.who.int/icd/release/11/beta/ichi/482419166</x:t>
  </x:si>
  <x:si>
    <x:t>KBI.LI.AB</x:t>
  </x:si>
  <x:si>
    <x:t>- - - - - Laparoscopic duodenostomy</x:t>
  </x:si>
  <x:si>
    <x:t>http://id.who.int/icd/entity/1730977521</x:t>
  </x:si>
  <x:si>
    <x:t>http://id.who.int/icd/release/11/beta/ichi/1730977521</x:t>
  </x:si>
  <x:si>
    <x:t>KBI.LI.AJ</x:t>
  </x:si>
  <x:si>
    <x:t>- - - - - Percutaneous endoscopic duodenostomy</x:t>
  </x:si>
  <x:si>
    <x:t>http://id.who.int/icd/entity/955174868</x:t>
  </x:si>
  <x:si>
    <x:t>http://id.who.int/icd/release/11/beta/ichi/955174868</x:t>
  </x:si>
  <x:si>
    <x:t>KBI.MK.AA</x:t>
  </x:si>
  <x:si>
    <x:t>- - - - - Closure of fistula of duodenum</x:t>
  </x:si>
  <x:si>
    <x:t>http://id.who.int/icd/entity/1987034759</x:t>
  </x:si>
  <x:si>
    <x:t>http://id.who.int/icd/release/11/beta/ichi/1987034759</x:t>
  </x:si>
  <x:si>
    <x:t>KBI.MK.AB</x:t>
  </x:si>
  <x:si>
    <x:t>- - - - - Laparoscopic closure of fistula of duodenum</x:t>
  </x:si>
  <x:si>
    <x:t>http://id.who.int/icd/entity/673470054</x:t>
  </x:si>
  <x:si>
    <x:t>http://id.who.int/icd/release/11/beta/ichi/673470054</x:t>
  </x:si>
  <x:si>
    <x:t>KBI.ML.AA</x:t>
  </x:si>
  <x:si>
    <x:t>- - - - - Reconstruction of duodenum</x:t>
  </x:si>
  <x:si>
    <x:t>http://id.who.int/icd/entity/2011563847</x:t>
  </x:si>
  <x:si>
    <x:t>http://id.who.int/icd/release/11/beta/ichi/2011563847</x:t>
  </x:si>
  <x:si>
    <x:t>KBI.ML.AB</x:t>
  </x:si>
  <x:si>
    <x:t>- - - - - Laparoscopic reconstruction of duodenum</x:t>
  </x:si>
  <x:si>
    <x:t>http://id.who.int/icd/entity/1545300951</x:t>
  </x:si>
  <x:si>
    <x:t>http://id.who.int/icd/release/11/beta/ichi/1545300951</x:t>
  </x:si>
  <x:si>
    <x:t>KBK.AD.AA</x:t>
  </x:si>
  <x:si>
    <x:t>- - - - - Biopsy of small intestine, not elsewhere classified</x:t>
  </x:si>
  <x:si>
    <x:t>http://id.who.int/icd/entity/934461394</x:t>
  </x:si>
  <x:si>
    <x:t>http://id.who.int/icd/release/11/beta/ichi/934461394</x:t>
  </x:si>
  <x:si>
    <x:t>KBK.AD.AB</x:t>
  </x:si>
  <x:si>
    <x:t>- - - - - Laparoscopic biopsy of small intestine, not elsewhere classified</x:t>
  </x:si>
  <x:si>
    <x:t>http://id.who.int/icd/entity/1752231667</x:t>
  </x:si>
  <x:si>
    <x:t>http://id.who.int/icd/release/11/beta/ichi/1752231667</x:t>
  </x:si>
  <x:si>
    <x:t>KBK.AD.AD</x:t>
  </x:si>
  <x:si>
    <x:t>- - - - - Endoscopic biopsy of small intestine, not elsewhere classified</x:t>
  </x:si>
  <x:si>
    <x:t>http://id.who.int/icd/entity/940259140</x:t>
  </x:si>
  <x:si>
    <x:t>http://id.who.int/icd/release/11/beta/ichi/940259140</x:t>
  </x:si>
  <x:si>
    <x:t>KBK.AE.AB</x:t>
  </x:si>
  <x:si>
    <x:t>- - - - - Transabdominal endoscopy of small intestine, not elsewhere classified</x:t>
  </x:si>
  <x:si>
    <x:t>http://id.who.int/icd/entity/1027545278</x:t>
  </x:si>
  <x:si>
    <x:t>http://id.who.int/icd/release/11/beta/ichi/1027545278</x:t>
  </x:si>
  <x:si>
    <x:t>KBK.AE.AD</x:t>
  </x:si>
  <x:si>
    <x:t>- - - - - Endoscopy of small intestine, not elsewhere classified</x:t>
  </x:si>
  <x:si>
    <x:t>http://id.who.int/icd/entity/1960290957</x:t>
  </x:si>
  <x:si>
    <x:t>http://id.who.int/icd/release/11/beta/ichi/1960290957</x:t>
  </x:si>
  <x:si>
    <x:t>KBK.BA.AD</x:t>
  </x:si>
  <x:si>
    <x:t>- - - - - Endoscopic ultrasonography of small intestine, not elsewhere classified</x:t>
  </x:si>
  <x:si>
    <x:t>http://id.who.int/icd/entity/1660766623</x:t>
  </x:si>
  <x:si>
    <x:t>http://id.who.int/icd/release/11/beta/ichi/1660766623</x:t>
  </x:si>
  <x:si>
    <x:t>KBK.BA.BB</x:t>
  </x:si>
  <x:si>
    <x:t>- - - - - Small bowel series</x:t>
  </x:si>
  <x:si>
    <x:t>http://id.who.int/icd/entity/847679536</x:t>
  </x:si>
  <x:si>
    <x:t>http://id.who.int/icd/release/11/beta/ichi/847679536</x:t>
  </x:si>
  <x:si>
    <x:t>KBK.DL.AA</x:t>
  </x:si>
  <x:si>
    <x:t>- - - - - Insertion of internal device of small intestine, not elsewhere classified</x:t>
  </x:si>
  <x:si>
    <x:t>http://id.who.int/icd/entity/2015217461</x:t>
  </x:si>
  <x:si>
    <x:t>http://id.who.int/icd/release/11/beta/ichi/2015217461</x:t>
  </x:si>
  <x:si>
    <x:t>KBK.DL.AB</x:t>
  </x:si>
  <x:si>
    <x:t>- - - - - Laparoscopic insertion of internal device of small intestine, not elsewhere classified</x:t>
  </x:si>
  <x:si>
    <x:t>http://id.who.int/icd/entity/1118014419</x:t>
  </x:si>
  <x:si>
    <x:t>http://id.who.int/icd/release/11/beta/ichi/1118014419</x:t>
  </x:si>
  <x:si>
    <x:t>KBK.DL.AC</x:t>
  </x:si>
  <x:si>
    <x:t>- - - - - Insertion of naso-intestinal tube</x:t>
  </x:si>
  <x:si>
    <x:t>http://id.who.int/icd/entity/1767827267</x:t>
  </x:si>
  <x:si>
    <x:t>http://id.who.int/icd/release/11/beta/ichi/1767827267</x:t>
  </x:si>
  <x:si>
    <x:t>KBK.DL.AJ</x:t>
  </x:si>
  <x:si>
    <x:t>- - - - - Percutaneous endoscopic insertion of internal device of small intestine, not elsewhere classified</x:t>
  </x:si>
  <x:si>
    <x:t>http://id.who.int/icd/entity/1948062516</x:t>
  </x:si>
  <x:si>
    <x:t>http://id.who.int/icd/release/11/beta/ichi/1948062516</x:t>
  </x:si>
  <x:si>
    <x:t>KBK.FA.AA</x:t>
  </x:si>
  <x:si>
    <x:t>- - - - - Incision of small intestine, not elsewhere classified</x:t>
  </x:si>
  <x:si>
    <x:t>http://id.who.int/icd/entity/187052077</x:t>
  </x:si>
  <x:si>
    <x:t>http://id.who.int/icd/release/11/beta/ichi/187052077</x:t>
  </x:si>
  <x:si>
    <x:t>KBK.FA.AB</x:t>
  </x:si>
  <x:si>
    <x:t>- - - - - Laparoscopic incision of small intestine, not elsewhere classified</x:t>
  </x:si>
  <x:si>
    <x:t>http://id.who.int/icd/entity/551247037</x:t>
  </x:si>
  <x:si>
    <x:t>http://id.who.int/icd/release/11/beta/ichi/551247037</x:t>
  </x:si>
  <x:si>
    <x:t>KBK.GA.AA</x:t>
  </x:si>
  <x:si>
    <x:t>- - - - - Destruction of lesion of small intestine, not elsewhere classified</x:t>
  </x:si>
  <x:si>
    <x:t>http://id.who.int/icd/entity/468494747</x:t>
  </x:si>
  <x:si>
    <x:t>http://id.who.int/icd/release/11/beta/ichi/468494747</x:t>
  </x:si>
  <x:si>
    <x:t>KBK.GA.AB</x:t>
  </x:si>
  <x:si>
    <x:t>- - - - - Laparoscopic destruction of small intestine, not elsewhere classified</x:t>
  </x:si>
  <x:si>
    <x:t>http://id.who.int/icd/entity/1143929016</x:t>
  </x:si>
  <x:si>
    <x:t>http://id.who.int/icd/release/11/beta/ichi/1143929016</x:t>
  </x:si>
  <x:si>
    <x:t>KBK.JD.AA</x:t>
  </x:si>
  <x:si>
    <x:t>- - - - - Removal of internal device or foreign body from small intestine, not elsewhere classified</x:t>
  </x:si>
  <x:si>
    <x:t>http://id.who.int/icd/entity/710343633</x:t>
  </x:si>
  <x:si>
    <x:t>http://id.who.int/icd/release/11/beta/ichi/710343633</x:t>
  </x:si>
  <x:si>
    <x:t>KBK.JD.AB</x:t>
  </x:si>
  <x:si>
    <x:t>- - - - - Laparoscopic removal of internal device or foreign body from small intestine, not elsewhere classified</x:t>
  </x:si>
  <x:si>
    <x:t>http://id.who.int/icd/entity/308821055</x:t>
  </x:si>
  <x:si>
    <x:t>http://id.who.int/icd/release/11/beta/ichi/308821055</x:t>
  </x:si>
  <x:si>
    <x:t>KBK.JD.AC</x:t>
  </x:si>
  <x:si>
    <x:t>- - - - - Removal of internal device or foreign body from small intestine without incision</x:t>
  </x:si>
  <x:si>
    <x:t>http://id.who.int/icd/entity/1107242966</x:t>
  </x:si>
  <x:si>
    <x:t>http://id.who.int/icd/release/11/beta/ichi/1107242966</x:t>
  </x:si>
  <x:si>
    <x:t>KBK.JD.AD</x:t>
  </x:si>
  <x:si>
    <x:t>- - - - - Endoscopic removal of internal device or foreign body or device from small intestine, not elsewhere classified</x:t>
  </x:si>
  <x:si>
    <x:t>http://id.who.int/icd/entity/1538789644</x:t>
  </x:si>
  <x:si>
    <x:t>http://id.who.int/icd/release/11/beta/ichi/1538789644</x:t>
  </x:si>
  <x:si>
    <x:t>KBK.JH.AA</x:t>
  </x:si>
  <x:si>
    <x:t>- - - - - Procurement of small intestine, not elsewhere classified</x:t>
  </x:si>
  <x:si>
    <x:t>http://id.who.int/icd/entity/1883602332</x:t>
  </x:si>
  <x:si>
    <x:t>http://id.who.int/icd/release/11/beta/ichi/1883602332</x:t>
  </x:si>
  <x:si>
    <x:t>KBK.JI.AA</x:t>
  </x:si>
  <x:si>
    <x:t>- - - - - Local excision of lesion of small intestine, not elsewhere classified</x:t>
  </x:si>
  <x:si>
    <x:t>http://id.who.int/icd/entity/251127619</x:t>
  </x:si>
  <x:si>
    <x:t>http://id.who.int/icd/release/11/beta/ichi/251127619</x:t>
  </x:si>
  <x:si>
    <x:t>KBK.JI.AB</x:t>
  </x:si>
  <x:si>
    <x:t>- - - - - Laparoscopic local excision of lesion of small intestine, not elsewhere classified</x:t>
  </x:si>
  <x:si>
    <x:t>http://id.who.int/icd/entity/1154154536</x:t>
  </x:si>
  <x:si>
    <x:t>http://id.who.int/icd/release/11/beta/ichi/1154154536</x:t>
  </x:si>
  <x:si>
    <x:t>KBK.JI.AD</x:t>
  </x:si>
  <x:si>
    <x:t>- - - - - Endoscopic local excision of lesion of small intestine, not elsewhere classified</x:t>
  </x:si>
  <x:si>
    <x:t>http://id.who.int/icd/entity/2127756478</x:t>
  </x:si>
  <x:si>
    <x:t>http://id.who.int/icd/release/11/beta/ichi/2127756478</x:t>
  </x:si>
  <x:si>
    <x:t>KBK.JJ.AA</x:t>
  </x:si>
  <x:si>
    <x:t>- - - - - Partial excision of small intestine, not elsewhere classified</x:t>
  </x:si>
  <x:si>
    <x:t>http://id.who.int/icd/entity/32104353</x:t>
  </x:si>
  <x:si>
    <x:t>http://id.who.int/icd/release/11/beta/ichi/32104353</x:t>
  </x:si>
  <x:si>
    <x:t>KBK.JJ.AB</x:t>
  </x:si>
  <x:si>
    <x:t>- - - - - Laparoscopic partial excision of small intestine, not elsewhere classified</x:t>
  </x:si>
  <x:si>
    <x:t>http://id.who.int/icd/entity/1065422711</x:t>
  </x:si>
  <x:si>
    <x:t>http://id.who.int/icd/release/11/beta/ichi/1065422711</x:t>
  </x:si>
  <x:si>
    <x:t>KBK.JK.AA</x:t>
  </x:si>
  <x:si>
    <x:t>- - - - - Total excision of small intestine, not elsewhere classified</x:t>
  </x:si>
  <x:si>
    <x:t>http://id.who.int/icd/entity/784477953</x:t>
  </x:si>
  <x:si>
    <x:t>http://id.who.int/icd/release/11/beta/ichi/784477953</x:t>
  </x:si>
  <x:si>
    <x:t>KBK.JK.AB</x:t>
  </x:si>
  <x:si>
    <x:t>- - - - - Laparoscopic total excision of small intestine, not elsewhere classified</x:t>
  </x:si>
  <x:si>
    <x:t>http://id.who.int/icd/entity/1534372722</x:t>
  </x:si>
  <x:si>
    <x:t>http://id.who.int/icd/release/11/beta/ichi/1534372722</x:t>
  </x:si>
  <x:si>
    <x:t>KBK.KA.AC</x:t>
  </x:si>
  <x:si>
    <x:t>- - - - - Replacement of tube or enterostomy device of small intestine, not elsewhere classified</x:t>
  </x:si>
  <x:si>
    <x:t>http://id.who.int/icd/entity/185561795</x:t>
  </x:si>
  <x:si>
    <x:t>http://id.who.int/icd/release/11/beta/ichi/185561795</x:t>
  </x:si>
  <x:si>
    <x:t>KBK.KD.AA</x:t>
  </x:si>
  <x:si>
    <x:t>- - - - - Small intestine transplant</x:t>
  </x:si>
  <x:si>
    <x:t>http://id.who.int/icd/entity/1422730208</x:t>
  </x:si>
  <x:si>
    <x:t>http://id.who.int/icd/release/11/beta/ichi/1422730208</x:t>
  </x:si>
  <x:si>
    <x:t>KBK.LA.AF</x:t>
  </x:si>
  <x:si>
    <x:t>- - - - - Transcatheter embolisation for small intestinal bleeding</x:t>
  </x:si>
  <x:si>
    <x:t>http://id.who.int/icd/entity/2133872496</x:t>
  </x:si>
  <x:si>
    <x:t>http://id.who.int/icd/release/11/beta/ichi/2133872496</x:t>
  </x:si>
  <x:si>
    <x:t>KBK.LB.AA</x:t>
  </x:si>
  <x:si>
    <x:t>- - - - - Anastomosis of small intestine, not elsewhere classified</x:t>
  </x:si>
  <x:si>
    <x:t>http://id.who.int/icd/entity/878766411</x:t>
  </x:si>
  <x:si>
    <x:t>http://id.who.int/icd/release/11/beta/ichi/878766411</x:t>
  </x:si>
  <x:si>
    <x:t>KBK.LB.AB</x:t>
  </x:si>
  <x:si>
    <x:t>- - - - - Laparoscopic anastomosis of small intestine, not elsewhere classified</x:t>
  </x:si>
  <x:si>
    <x:t>http://id.who.int/icd/entity/1805826154</x:t>
  </x:si>
  <x:si>
    <x:t>http://id.who.int/icd/release/11/beta/ichi/1805826154</x:t>
  </x:si>
  <x:si>
    <x:t>KBK.LC.AA</x:t>
  </x:si>
  <x:si>
    <x:t>- - - - - Fixation of small intestine, not elsewhere classified</x:t>
  </x:si>
  <x:si>
    <x:t>http://id.who.int/icd/entity/722729071</x:t>
  </x:si>
  <x:si>
    <x:t>http://id.who.int/icd/release/11/beta/ichi/722729071</x:t>
  </x:si>
  <x:si>
    <x:t>KBK.LC.AB</x:t>
  </x:si>
  <x:si>
    <x:t>- - - - - Laparoscopic fixation of small intestine, not elsewhere classified</x:t>
  </x:si>
  <x:si>
    <x:t>http://id.who.int/icd/entity/1104571704</x:t>
  </x:si>
  <x:si>
    <x:t>http://id.who.int/icd/release/11/beta/ichi/1104571704</x:t>
  </x:si>
  <x:si>
    <x:t>KBK.LD.AA</x:t>
  </x:si>
  <x:si>
    <x:t>- - - - - Intra-abdominal manipulation of small intestine, not elsewhere classified</x:t>
  </x:si>
  <x:si>
    <x:t>http://id.who.int/icd/entity/257367149</x:t>
  </x:si>
  <x:si>
    <x:t>http://id.who.int/icd/release/11/beta/ichi/257367149</x:t>
  </x:si>
  <x:si>
    <x:t>KBK.LD.AB</x:t>
  </x:si>
  <x:si>
    <x:t>- - - - - Laparoscopic intra-abdominal manipulation of small intestine, not elsewhere classified</x:t>
  </x:si>
  <x:si>
    <x:t>http://id.who.int/icd/entity/1045102167</x:t>
  </x:si>
  <x:si>
    <x:t>http://id.who.int/icd/release/11/beta/ichi/1045102167</x:t>
  </x:si>
  <x:si>
    <x:t>KBK.LD.AC</x:t>
  </x:si>
  <x:si>
    <x:t>- - - - - Reduction of small intestine by enema</x:t>
  </x:si>
  <x:si>
    <x:t>http://id.who.int/icd/entity/1636347764</x:t>
  </x:si>
  <x:si>
    <x:t>http://id.who.int/icd/release/11/beta/ichi/1636347764</x:t>
  </x:si>
  <x:si>
    <x:t>KBK.LD.AD</x:t>
  </x:si>
  <x:si>
    <x:t>- - - - - Endoscopic reduction of small intestine, not elsewhere classified</x:t>
  </x:si>
  <x:si>
    <x:t>http://id.who.int/icd/entity/2003692380</x:t>
  </x:si>
  <x:si>
    <x:t>http://id.who.int/icd/release/11/beta/ichi/2003692380</x:t>
  </x:si>
  <x:si>
    <x:t>KBK.LD.AH</x:t>
  </x:si>
  <x:si>
    <x:t>- - - - - Manual reduction of ileostomy prolapse</x:t>
  </x:si>
  <x:si>
    <x:t>http://id.who.int/icd/entity/655766251</x:t>
  </x:si>
  <x:si>
    <x:t>http://id.who.int/icd/release/11/beta/ichi/655766251</x:t>
  </x:si>
  <x:si>
    <x:t>KBK.LG.AC</x:t>
  </x:si>
  <x:si>
    <x:t>- - - - - Dilatation of small intestine, not elsewhere classified</x:t>
  </x:si>
  <x:si>
    <x:t>http://id.who.int/icd/entity/1479348724</x:t>
  </x:si>
  <x:si>
    <x:t>http://id.who.int/icd/release/11/beta/ichi/1479348724</x:t>
  </x:si>
  <x:si>
    <x:t>KBK.LG.AD</x:t>
  </x:si>
  <x:si>
    <x:t>- - - - - Endoscopic dilatation of small intestine, not elsewhere classified</x:t>
  </x:si>
  <x:si>
    <x:t>http://id.who.int/icd/entity/1561935370</x:t>
  </x:si>
  <x:si>
    <x:t>http://id.who.int/icd/release/11/beta/ichi/1561935370</x:t>
  </x:si>
  <x:si>
    <x:t>KBK.LI.AA</x:t>
  </x:si>
  <x:si>
    <x:t>- - - - - Ileostomy</x:t>
  </x:si>
  <x:si>
    <x:t>http://id.who.int/icd/entity/1739027182</x:t>
  </x:si>
  <x:si>
    <x:t>http://id.who.int/icd/release/11/beta/ichi/1739027182</x:t>
  </x:si>
  <x:si>
    <x:t>KBK.LI.AB</x:t>
  </x:si>
  <x:si>
    <x:t>- - - - - Laparoscopic ileostomy</x:t>
  </x:si>
  <x:si>
    <x:t>http://id.who.int/icd/entity/1769126702</x:t>
  </x:si>
  <x:si>
    <x:t>http://id.who.int/icd/release/11/beta/ichi/1769126702</x:t>
  </x:si>
  <x:si>
    <x:t>KBK.LI.AJ</x:t>
  </x:si>
  <x:si>
    <x:t>- - - - - Percutaneous endoscopic jejunostomy</x:t>
  </x:si>
  <x:si>
    <x:t>http://id.who.int/icd/entity/1485162656</x:t>
  </x:si>
  <x:si>
    <x:t>http://id.who.int/icd/release/11/beta/ichi/1485162656</x:t>
  </x:si>
  <x:si>
    <x:t>KBK.LK.AA</x:t>
  </x:si>
  <x:si>
    <x:t>- - - - - Serial transverse enteroplasty</x:t>
  </x:si>
  <x:si>
    <x:t>http://id.who.int/icd/entity/1924938806</x:t>
  </x:si>
  <x:si>
    <x:t>http://id.who.int/icd/release/11/beta/ichi/1924938806</x:t>
  </x:si>
  <x:si>
    <x:t>KBK.MK.AA</x:t>
  </x:si>
  <x:si>
    <x:t>- - - - - Repair of small intestine, not elsewhere classified</x:t>
  </x:si>
  <x:si>
    <x:t>http://id.who.int/icd/entity/1566275308</x:t>
  </x:si>
  <x:si>
    <x:t>http://id.who.int/icd/release/11/beta/ichi/1566275308</x:t>
  </x:si>
  <x:si>
    <x:t>KBK.MK.AB</x:t>
  </x:si>
  <x:si>
    <x:t>- - - - - Laparoscopic repair of small intestine, not elsewhere classified</x:t>
  </x:si>
  <x:si>
    <x:t>http://id.who.int/icd/entity/392663425</x:t>
  </x:si>
  <x:si>
    <x:t>http://id.who.int/icd/release/11/beta/ichi/392663425</x:t>
  </x:si>
  <x:si>
    <x:t>KBO.JB.AA</x:t>
  </x:si>
  <x:si>
    <x:t>- - - - - Drainage of appendix</x:t>
  </x:si>
  <x:si>
    <x:t>http://id.who.int/icd/entity/1737371652</x:t>
  </x:si>
  <x:si>
    <x:t>http://id.who.int/icd/release/11/beta/ichi/1737371652</x:t>
  </x:si>
  <x:si>
    <x:t>KBO.JB.AB</x:t>
  </x:si>
  <x:si>
    <x:t>- - - - - Laparoscopic drainage of appendix</x:t>
  </x:si>
  <x:si>
    <x:t>http://id.who.int/icd/entity/1820995246</x:t>
  </x:si>
  <x:si>
    <x:t>http://id.who.int/icd/release/11/beta/ichi/1820995246</x:t>
  </x:si>
  <x:si>
    <x:t>KBO.JB.AE</x:t>
  </x:si>
  <x:si>
    <x:t>- - - - - Percutaneous drainage of appendix</x:t>
  </x:si>
  <x:si>
    <x:t>http://id.who.int/icd/entity/944529697</x:t>
  </x:si>
  <x:si>
    <x:t>http://id.who.int/icd/release/11/beta/ichi/944529697</x:t>
  </x:si>
  <x:si>
    <x:t>KBO.JK.AA</x:t>
  </x:si>
  <x:si>
    <x:t>- - - - - Appendicectomy</x:t>
  </x:si>
  <x:si>
    <x:t>http://id.who.int/icd/entity/2029855016</x:t>
  </x:si>
  <x:si>
    <x:t>http://id.who.int/icd/release/11/beta/ichi/2029855016</x:t>
  </x:si>
  <x:si>
    <x:t>KBO.JK.AB</x:t>
  </x:si>
  <x:si>
    <x:t>- - - - - Laparoscopic appendicectomy</x:t>
  </x:si>
  <x:si>
    <x:t>http://id.who.int/icd/entity/1472060296</x:t>
  </x:si>
  <x:si>
    <x:t>http://id.who.int/icd/release/11/beta/ichi/1472060296</x:t>
  </x:si>
  <x:si>
    <x:t>KBO.LI.AA</x:t>
  </x:si>
  <x:si>
    <x:t>- - - - - Appendicostomy</x:t>
  </x:si>
  <x:si>
    <x:t>http://id.who.int/icd/entity/1382812902</x:t>
  </x:si>
  <x:si>
    <x:t>http://id.who.int/icd/release/11/beta/ichi/1382812902</x:t>
  </x:si>
  <x:si>
    <x:t>KBO.MK.AA</x:t>
  </x:si>
  <x:si>
    <x:t>- - - - - Closure of appendiceal fistula</x:t>
  </x:si>
  <x:si>
    <x:t>http://id.who.int/icd/entity/35116375</x:t>
  </x:si>
  <x:si>
    <x:t>http://id.who.int/icd/release/11/beta/ichi/35116375</x:t>
  </x:si>
  <x:si>
    <x:t>KBP.AB.AC</x:t>
  </x:si>
  <x:si>
    <x:t>- - - - - Colonic manometry</x:t>
  </x:si>
  <x:si>
    <x:t>http://id.who.int/icd/entity/1574274164</x:t>
  </x:si>
  <x:si>
    <x:t>http://id.who.int/icd/release/11/beta/ichi/1574274164</x:t>
  </x:si>
  <x:si>
    <x:t>KBP.AD.AA</x:t>
  </x:si>
  <x:si>
    <x:t>- - - - - Biopsy of colon, not elsewhere classified</x:t>
  </x:si>
  <x:si>
    <x:t>http://id.who.int/icd/entity/1491184522</x:t>
  </x:si>
  <x:si>
    <x:t>http://id.who.int/icd/release/11/beta/ichi/1491184522</x:t>
  </x:si>
  <x:si>
    <x:t>KBP.AD.AB</x:t>
  </x:si>
  <x:si>
    <x:t>- - - - - Laparoscopic biopsy of colon, not elsewhere classified</x:t>
  </x:si>
  <x:si>
    <x:t>http://id.who.int/icd/entity/677576711</x:t>
  </x:si>
  <x:si>
    <x:t>http://id.who.int/icd/release/11/beta/ichi/677576711</x:t>
  </x:si>
  <x:si>
    <x:t>KBP.AD.AD</x:t>
  </x:si>
  <x:si>
    <x:t>- - - - - Endoscopic biopsy of colon</x:t>
  </x:si>
  <x:si>
    <x:t>http://id.who.int/icd/entity/2007060774</x:t>
  </x:si>
  <x:si>
    <x:t>http://id.who.int/icd/release/11/beta/ichi/2007060774</x:t>
  </x:si>
  <x:si>
    <x:t>KBP.AE.AD</x:t>
  </x:si>
  <x:si>
    <x:t>- - - - - Colonoscopy</x:t>
  </x:si>
  <x:si>
    <x:t>http://id.who.int/icd/entity/1065815224</x:t>
  </x:si>
  <x:si>
    <x:t>http://id.who.int/icd/release/11/beta/ichi/1065815224</x:t>
  </x:si>
  <x:si>
    <x:t>KBP.BA.AD</x:t>
  </x:si>
  <x:si>
    <x:t>- - - - - Endoscopic ultrasonography of colon</x:t>
  </x:si>
  <x:si>
    <x:t>http://id.who.int/icd/entity/1549548982</x:t>
  </x:si>
  <x:si>
    <x:t>http://id.who.int/icd/release/11/beta/ichi/1549548982</x:t>
  </x:si>
  <x:si>
    <x:t>KBP.BA.BB</x:t>
  </x:si>
  <x:si>
    <x:t>- - - - - X-ray of colon with contrast medium</x:t>
  </x:si>
  <x:si>
    <x:t>http://id.who.int/icd/entity/1303948724</x:t>
  </x:si>
  <x:si>
    <x:t>http://id.who.int/icd/release/11/beta/ichi/1303948724</x:t>
  </x:si>
  <x:si>
    <x:t>KBP.BA.BC</x:t>
  </x:si>
  <x:si>
    <x:t>- - - - - Computerised tomography of colon, not elsewhere classified</x:t>
  </x:si>
  <x:si>
    <x:t>http://id.who.int/icd/entity/1107371298</x:t>
  </x:si>
  <x:si>
    <x:t>http://id.who.int/icd/release/11/beta/ichi/1107371298</x:t>
  </x:si>
  <x:si>
    <x:t>KBP.BA.BD</x:t>
  </x:si>
  <x:si>
    <x:t>- - - - - Computerised tomography of colon with intravenous contrast</x:t>
  </x:si>
  <x:si>
    <x:t>http://id.who.int/icd/entity/114394203</x:t>
  </x:si>
  <x:si>
    <x:t>http://id.who.int/icd/release/11/beta/ichi/114394203</x:t>
  </x:si>
  <x:si>
    <x:t>KBP.BA.BH</x:t>
  </x:si>
  <x:si>
    <x:t>- - - - - Magnetic resonance imaging of colon, not elsewhere classified</x:t>
  </x:si>
  <x:si>
    <x:t>http://id.who.int/icd/entity/232102647</x:t>
  </x:si>
  <x:si>
    <x:t>http://id.who.int/icd/release/11/beta/ichi/232102647</x:t>
  </x:si>
  <x:si>
    <x:t>KBP.BA.BI</x:t>
  </x:si>
  <x:si>
    <x:t>- - - - - Magnetic resonance imaging of colon with intravenous contrast</x:t>
  </x:si>
  <x:si>
    <x:t>http://id.who.int/icd/entity/1494472058</x:t>
  </x:si>
  <x:si>
    <x:t>http://id.who.int/icd/release/11/beta/ichi/1494472058</x:t>
  </x:si>
  <x:si>
    <x:t>KBP.DB.AD</x:t>
  </x:si>
  <x:si>
    <x:t>- - - - - Endoscopic administration of agent into lesion of colon</x:t>
  </x:si>
  <x:si>
    <x:t>http://id.who.int/icd/entity/2094958778</x:t>
  </x:si>
  <x:si>
    <x:t>http://id.who.int/icd/release/11/beta/ichi/2094958778</x:t>
  </x:si>
  <x:si>
    <x:t>KBP.FA.AA</x:t>
  </x:si>
  <x:si>
    <x:t>- - - - - Colotomy</x:t>
  </x:si>
  <x:si>
    <x:t>http://id.who.int/icd/entity/1180746846</x:t>
  </x:si>
  <x:si>
    <x:t>http://id.who.int/icd/release/11/beta/ichi/1180746846</x:t>
  </x:si>
  <x:si>
    <x:t>KBP.FA.AB</x:t>
  </x:si>
  <x:si>
    <x:t>- - - - - Laparoscopic colotomy</x:t>
  </x:si>
  <x:si>
    <x:t>http://id.who.int/icd/entity/1839048910</x:t>
  </x:si>
  <x:si>
    <x:t>http://id.who.int/icd/release/11/beta/ichi/1839048910</x:t>
  </x:si>
  <x:si>
    <x:t>KBP.GA.AA</x:t>
  </x:si>
  <x:si>
    <x:t>- - - - - Destruction of lesion or tissue of colon</x:t>
  </x:si>
  <x:si>
    <x:t>http://id.who.int/icd/entity/650972919</x:t>
  </x:si>
  <x:si>
    <x:t>http://id.who.int/icd/release/11/beta/ichi/650972919</x:t>
  </x:si>
  <x:si>
    <x:t>KBP.GA.AD</x:t>
  </x:si>
  <x:si>
    <x:t>- - - - - Endoscopic destruction of lesion or tissue of colon</x:t>
  </x:si>
  <x:si>
    <x:t>http://id.who.int/icd/entity/2031050708</x:t>
  </x:si>
  <x:si>
    <x:t>http://id.who.int/icd/release/11/beta/ichi/2031050708</x:t>
  </x:si>
  <x:si>
    <x:t>KBP.JA.AC</x:t>
  </x:si>
  <x:si>
    <x:t>- - - - - Local irrigation of colon</x:t>
  </x:si>
  <x:si>
    <x:t>http://id.who.int/icd/entity/160298073</x:t>
  </x:si>
  <x:si>
    <x:t>http://id.who.int/icd/release/11/beta/ichi/160298073</x:t>
  </x:si>
  <x:si>
    <x:t>KBP.JD.AA</x:t>
  </x:si>
  <x:si>
    <x:t>- - - - - Removal of internal device or foreign body from colon</x:t>
  </x:si>
  <x:si>
    <x:t>http://id.who.int/icd/entity/742435227</x:t>
  </x:si>
  <x:si>
    <x:t>http://id.who.int/icd/release/11/beta/ichi/742435227</x:t>
  </x:si>
  <x:si>
    <x:t>KBP.JD.AB</x:t>
  </x:si>
  <x:si>
    <x:t>- - - - - Laparoscopic removal of internal device or foreign body from colon</x:t>
  </x:si>
  <x:si>
    <x:t>http://id.who.int/icd/entity/385803645</x:t>
  </x:si>
  <x:si>
    <x:t>http://id.who.int/icd/release/11/beta/ichi/385803645</x:t>
  </x:si>
  <x:si>
    <x:t>KBP.JD.AD</x:t>
  </x:si>
  <x:si>
    <x:t>- - - - - Endoscopic removal of internal device or foreign body from colon</x:t>
  </x:si>
  <x:si>
    <x:t>http://id.who.int/icd/entity/2090647644</x:t>
  </x:si>
  <x:si>
    <x:t>http://id.who.int/icd/release/11/beta/ichi/2090647644</x:t>
  </x:si>
  <x:si>
    <x:t>KBP.JI.AA</x:t>
  </x:si>
  <x:si>
    <x:t>- - - - - Local excision of lesion of colon</x:t>
  </x:si>
  <x:si>
    <x:t>http://id.who.int/icd/entity/203320279</x:t>
  </x:si>
  <x:si>
    <x:t>http://id.who.int/icd/release/11/beta/ichi/203320279</x:t>
  </x:si>
  <x:si>
    <x:t>KBP.JI.AB</x:t>
  </x:si>
  <x:si>
    <x:t>- - - - - Laparoscopic local excision of lesion of colon</x:t>
  </x:si>
  <x:si>
    <x:t>http://id.who.int/icd/entity/593400185</x:t>
  </x:si>
  <x:si>
    <x:t>http://id.who.int/icd/release/11/beta/ichi/593400185</x:t>
  </x:si>
  <x:si>
    <x:t>KBP.JI.AD</x:t>
  </x:si>
  <x:si>
    <x:t>- - - - - Endoscopic local excision of lesion of colon</x:t>
  </x:si>
  <x:si>
    <x:t>http://id.who.int/icd/entity/63760715</x:t>
  </x:si>
  <x:si>
    <x:t>http://id.who.int/icd/release/11/beta/ichi/63760715</x:t>
  </x:si>
  <x:si>
    <x:t>KBP.JJ.AA</x:t>
  </x:si>
  <x:si>
    <x:t>- - - - - Partial excision of colon</x:t>
  </x:si>
  <x:si>
    <x:t>http://id.who.int/icd/entity/1544468586</x:t>
  </x:si>
  <x:si>
    <x:t>http://id.who.int/icd/release/11/beta/ichi/1544468586</x:t>
  </x:si>
  <x:si>
    <x:t>KBP.JJ.AB</x:t>
  </x:si>
  <x:si>
    <x:t>- - - - - Laparoscopic partial excision of colon</x:t>
  </x:si>
  <x:si>
    <x:t>http://id.who.int/icd/entity/209019353</x:t>
  </x:si>
  <x:si>
    <x:t>http://id.who.int/icd/release/11/beta/ichi/209019353</x:t>
  </x:si>
  <x:si>
    <x:t>KBP.JK.AA</x:t>
  </x:si>
  <x:si>
    <x:t>- - - - - Total colectomy</x:t>
  </x:si>
  <x:si>
    <x:t>http://id.who.int/icd/entity/155274791</x:t>
  </x:si>
  <x:si>
    <x:t>http://id.who.int/icd/release/11/beta/ichi/155274791</x:t>
  </x:si>
  <x:si>
    <x:t>KBP.JK.AB</x:t>
  </x:si>
  <x:si>
    <x:t>- - - - - Laparoscopic total colectomy</x:t>
  </x:si>
  <x:si>
    <x:t>http://id.who.int/icd/entity/1451433734</x:t>
  </x:si>
  <x:si>
    <x:t>http://id.who.int/icd/release/11/beta/ichi/1451433734</x:t>
  </x:si>
  <x:si>
    <x:t>KBP.KA.AD</x:t>
  </x:si>
  <x:si>
    <x:t>- - - - - Endoscopic replacement of colonic device</x:t>
  </x:si>
  <x:si>
    <x:t>http://id.who.int/icd/entity/116967093</x:t>
  </x:si>
  <x:si>
    <x:t>http://id.who.int/icd/release/11/beta/ichi/116967093</x:t>
  </x:si>
  <x:si>
    <x:t>KBP.LA.AD</x:t>
  </x:si>
  <x:si>
    <x:t>- - - - - Endoscopic control of colonic bleeding</x:t>
  </x:si>
  <x:si>
    <x:t>http://id.who.int/icd/entity/53023195</x:t>
  </x:si>
  <x:si>
    <x:t>http://id.who.int/icd/release/11/beta/ichi/53023195</x:t>
  </x:si>
  <x:si>
    <x:t>KBP.LA.AF</x:t>
  </x:si>
  <x:si>
    <x:t>- - - - - Transcatheter embolisation for colonic bleeding</x:t>
  </x:si>
  <x:si>
    <x:t>http://id.who.int/icd/entity/685014347</x:t>
  </x:si>
  <x:si>
    <x:t>http://id.who.int/icd/release/11/beta/ichi/685014347</x:t>
  </x:si>
  <x:si>
    <x:t>KBP.LB.AA</x:t>
  </x:si>
  <x:si>
    <x:t>- - - - - Anastomosis of colon</x:t>
  </x:si>
  <x:si>
    <x:t>http://id.who.int/icd/entity/966221117</x:t>
  </x:si>
  <x:si>
    <x:t>http://id.who.int/icd/release/11/beta/ichi/966221117</x:t>
  </x:si>
  <x:si>
    <x:t>KBP.LB.AB</x:t>
  </x:si>
  <x:si>
    <x:t>- - - - - Laparoscopic anastomosis of colon</x:t>
  </x:si>
  <x:si>
    <x:t>http://id.who.int/icd/entity/1277286736</x:t>
  </x:si>
  <x:si>
    <x:t>http://id.who.int/icd/release/11/beta/ichi/1277286736</x:t>
  </x:si>
  <x:si>
    <x:t>KBP.LD.AA</x:t>
  </x:si>
  <x:si>
    <x:t>- - - - - Intra-abdominal manipulation of colon</x:t>
  </x:si>
  <x:si>
    <x:t>http://id.who.int/icd/entity/652495897</x:t>
  </x:si>
  <x:si>
    <x:t>http://id.who.int/icd/release/11/beta/ichi/652495897</x:t>
  </x:si>
  <x:si>
    <x:t>KBP.LD.AB</x:t>
  </x:si>
  <x:si>
    <x:t>- - - - - Laparoscopic intra-abdominal manipulation of colon</x:t>
  </x:si>
  <x:si>
    <x:t>http://id.who.int/icd/entity/151193287</x:t>
  </x:si>
  <x:si>
    <x:t>http://id.who.int/icd/release/11/beta/ichi/151193287</x:t>
  </x:si>
  <x:si>
    <x:t>KBP.LD.AC</x:t>
  </x:si>
  <x:si>
    <x:t>- - - - - Reduction of colon by enema</x:t>
  </x:si>
  <x:si>
    <x:t>http://id.who.int/icd/entity/1501093750</x:t>
  </x:si>
  <x:si>
    <x:t>http://id.who.int/icd/release/11/beta/ichi/1501093750</x:t>
  </x:si>
  <x:si>
    <x:t>KBP.LD.AD</x:t>
  </x:si>
  <x:si>
    <x:t>- - - - - Endoscopic reduction of colon</x:t>
  </x:si>
  <x:si>
    <x:t>http://id.who.int/icd/entity/112889429</x:t>
  </x:si>
  <x:si>
    <x:t>http://id.who.int/icd/release/11/beta/ichi/112889429</x:t>
  </x:si>
  <x:si>
    <x:t>KBP.LG.AD</x:t>
  </x:si>
  <x:si>
    <x:t>- - - - - Endoscopic dilatation of colon</x:t>
  </x:si>
  <x:si>
    <x:t>http://id.who.int/icd/entity/230592761</x:t>
  </x:si>
  <x:si>
    <x:t>http://id.who.int/icd/release/11/beta/ichi/230592761</x:t>
  </x:si>
  <x:si>
    <x:t>KBP.LH.AD</x:t>
  </x:si>
  <x:si>
    <x:t>- - - - - Endoscopic insertion of colonic stent</x:t>
  </x:si>
  <x:si>
    <x:t>http://id.who.int/icd/entity/1872576807</x:t>
  </x:si>
  <x:si>
    <x:t>http://id.who.int/icd/release/11/beta/ichi/1872576807</x:t>
  </x:si>
  <x:si>
    <x:t>KBP.LI.AA</x:t>
  </x:si>
  <x:si>
    <x:t>- - - - - Colostomy</x:t>
  </x:si>
  <x:si>
    <x:t>http://id.who.int/icd/entity/811536388</x:t>
  </x:si>
  <x:si>
    <x:t>http://id.who.int/icd/release/11/beta/ichi/811536388</x:t>
  </x:si>
  <x:si>
    <x:t>KBP.LI.AB</x:t>
  </x:si>
  <x:si>
    <x:t>- - - - - Laparoscopic colostomy</x:t>
  </x:si>
  <x:si>
    <x:t>http://id.who.int/icd/entity/1613023669</x:t>
  </x:si>
  <x:si>
    <x:t>http://id.who.int/icd/release/11/beta/ichi/1613023669</x:t>
  </x:si>
  <x:si>
    <x:t>KBP.MK.AA</x:t>
  </x:si>
  <x:si>
    <x:t>- - - - - Repair of colon</x:t>
  </x:si>
  <x:si>
    <x:t>http://id.who.int/icd/entity/1695606347</x:t>
  </x:si>
  <x:si>
    <x:t>http://id.who.int/icd/release/11/beta/ichi/1695606347</x:t>
  </x:si>
  <x:si>
    <x:t>KBP.MK.AB</x:t>
  </x:si>
  <x:si>
    <x:t>- - - - - Laparoscopic repair of colon</x:t>
  </x:si>
  <x:si>
    <x:t>http://id.who.int/icd/entity/986888040</x:t>
  </x:si>
  <x:si>
    <x:t>http://id.who.int/icd/release/11/beta/ichi/986888040</x:t>
  </x:si>
  <x:si>
    <x:t>KBU.AD.AA</x:t>
  </x:si>
  <x:si>
    <x:t>- - - - - Biopsy of sigmoid colon</x:t>
  </x:si>
  <x:si>
    <x:t>http://id.who.int/icd/entity/1789488857</x:t>
  </x:si>
  <x:si>
    <x:t>http://id.who.int/icd/release/11/beta/ichi/1789488857</x:t>
  </x:si>
  <x:si>
    <x:t>KBU.AD.AD</x:t>
  </x:si>
  <x:si>
    <x:t>- - - - - Endoscopic biopsy of sigmoid colon</x:t>
  </x:si>
  <x:si>
    <x:t>http://id.who.int/icd/entity/1870182839</x:t>
  </x:si>
  <x:si>
    <x:t>http://id.who.int/icd/release/11/beta/ichi/1870182839</x:t>
  </x:si>
  <x:si>
    <x:t>KBU.AE.AD</x:t>
  </x:si>
  <x:si>
    <x:t>- - - - - Sigmoidoscopy</x:t>
  </x:si>
  <x:si>
    <x:t>http://id.who.int/icd/entity/1615158677</x:t>
  </x:si>
  <x:si>
    <x:t>http://id.who.int/icd/release/11/beta/ichi/1615158677</x:t>
  </x:si>
  <x:si>
    <x:t>KBU.BA.AD</x:t>
  </x:si>
  <x:si>
    <x:t>- - - - - Endoscopic ultrasonography of sigmoid colon</x:t>
  </x:si>
  <x:si>
    <x:t>http://id.who.int/icd/entity/1685890843</x:t>
  </x:si>
  <x:si>
    <x:t>http://id.who.int/icd/release/11/beta/ichi/1685890843</x:t>
  </x:si>
  <x:si>
    <x:t>KBU.JI.AD</x:t>
  </x:si>
  <x:si>
    <x:t>- - - - - Endoscopic local excision of lesion of sigmoid colon</x:t>
  </x:si>
  <x:si>
    <x:t>http://id.who.int/icd/entity/817555604</x:t>
  </x:si>
  <x:si>
    <x:t>http://id.who.int/icd/release/11/beta/ichi/817555604</x:t>
  </x:si>
  <x:si>
    <x:t>KBU.JK.AA</x:t>
  </x:si>
  <x:si>
    <x:t>- - - - - Total sigmoidectomy</x:t>
  </x:si>
  <x:si>
    <x:t>http://id.who.int/icd/entity/1158442215</x:t>
  </x:si>
  <x:si>
    <x:t>http://id.who.int/icd/release/11/beta/ichi/1158442215</x:t>
  </x:si>
  <x:si>
    <x:t>KBU.JK.AB</x:t>
  </x:si>
  <x:si>
    <x:t>- - - - - Laparoscopic sigmoidectomy</x:t>
  </x:si>
  <x:si>
    <x:t>http://id.who.int/icd/entity/1861288055</x:t>
  </x:si>
  <x:si>
    <x:t>http://id.who.int/icd/release/11/beta/ichi/1861288055</x:t>
  </x:si>
  <x:si>
    <x:t>KBU.LD.AA</x:t>
  </x:si>
  <x:si>
    <x:t>- - - - - Intra-abdominal reduction of the sigmoid colon</x:t>
  </x:si>
  <x:si>
    <x:t>http://id.who.int/icd/entity/1598771773</x:t>
  </x:si>
  <x:si>
    <x:t>http://id.who.int/icd/release/11/beta/ichi/1598771773</x:t>
  </x:si>
  <x:si>
    <x:t>KBU.LD.AB</x:t>
  </x:si>
  <x:si>
    <x:t>- - - - - Laparoscopic reduction of sigmoid colon</x:t>
  </x:si>
  <x:si>
    <x:t>http://id.who.int/icd/entity/3060590</x:t>
  </x:si>
  <x:si>
    <x:t>http://id.who.int/icd/release/11/beta/ichi/3060590</x:t>
  </x:si>
  <x:si>
    <x:t>KBU.LD.AC</x:t>
  </x:si>
  <x:si>
    <x:t>- - - - - Transrectal reduction of sigmoid colon</x:t>
  </x:si>
  <x:si>
    <x:t>http://id.who.int/icd/entity/735305726</x:t>
  </x:si>
  <x:si>
    <x:t>http://id.who.int/icd/release/11/beta/ichi/735305726</x:t>
  </x:si>
  <x:si>
    <x:t>KBU.LD.AD</x:t>
  </x:si>
  <x:si>
    <x:t>- - - - - Endoscopic reduction of sigmoid colon</x:t>
  </x:si>
  <x:si>
    <x:t>http://id.who.int/icd/entity/1664153051</x:t>
  </x:si>
  <x:si>
    <x:t>http://id.who.int/icd/release/11/beta/ichi/1664153051</x:t>
  </x:si>
  <x:si>
    <x:t>KBU.LG.AD</x:t>
  </x:si>
  <x:si>
    <x:t>- - - - - Endoscopic dilatation of sigmoid colon</x:t>
  </x:si>
  <x:si>
    <x:t>http://id.who.int/icd/entity/1221433675</x:t>
  </x:si>
  <x:si>
    <x:t>http://id.who.int/icd/release/11/beta/ichi/1221433675</x:t>
  </x:si>
  <x:si>
    <x:t>KBU.LH.AD</x:t>
  </x:si>
  <x:si>
    <x:t>- - - - - Endoscopic dilatation with insertion of device into sigmoid colon</x:t>
  </x:si>
  <x:si>
    <x:t>http://id.who.int/icd/entity/982581130</x:t>
  </x:si>
  <x:si>
    <x:t>http://id.who.int/icd/release/11/beta/ichi/982581130</x:t>
  </x:si>
  <x:si>
    <x:t>KBU.LI.AA</x:t>
  </x:si>
  <x:si>
    <x:t>- - - - - Sigmoidostomy</x:t>
  </x:si>
  <x:si>
    <x:t>http://id.who.int/icd/entity/1334900363</x:t>
  </x:si>
  <x:si>
    <x:t>http://id.who.int/icd/release/11/beta/ichi/1334900363</x:t>
  </x:si>
  <x:si>
    <x:t>KBU.LI.AB</x:t>
  </x:si>
  <x:si>
    <x:t>- - - - - Laparoscopic sigmoidostomy</x:t>
  </x:si>
  <x:si>
    <x:t>http://id.who.int/icd/entity/788874190</x:t>
  </x:si>
  <x:si>
    <x:t>http://id.who.int/icd/release/11/beta/ichi/788874190</x:t>
  </x:si>
  <x:si>
    <x:t>KBW.AD.AA</x:t>
  </x:si>
  <x:si>
    <x:t>- - - - - Biopsy of rectum</x:t>
  </x:si>
  <x:si>
    <x:t>http://id.who.int/icd/entity/1098727591</x:t>
  </x:si>
  <x:si>
    <x:t>http://id.who.int/icd/release/11/beta/ichi/1098727591</x:t>
  </x:si>
  <x:si>
    <x:t>KBW.AD.AD</x:t>
  </x:si>
  <x:si>
    <x:t>- - - - - Endoscopic biopsy of rectum</x:t>
  </x:si>
  <x:si>
    <x:t>http://id.who.int/icd/entity/1346265297</x:t>
  </x:si>
  <x:si>
    <x:t>http://id.who.int/icd/release/11/beta/ichi/1346265297</x:t>
  </x:si>
  <x:si>
    <x:t>KBW.AD.AE</x:t>
  </x:si>
  <x:si>
    <x:t>- - - - - Percutaneous biopsy of rectum</x:t>
  </x:si>
  <x:si>
    <x:t>http://id.who.int/icd/entity/629728418</x:t>
  </x:si>
  <x:si>
    <x:t>http://id.who.int/icd/release/11/beta/ichi/629728418</x:t>
  </x:si>
  <x:si>
    <x:t>KBW.AE.AB</x:t>
  </x:si>
  <x:si>
    <x:t>- - - - - Transabdominal rectoscopy</x:t>
  </x:si>
  <x:si>
    <x:t>http://id.who.int/icd/entity/1795790327</x:t>
  </x:si>
  <x:si>
    <x:t>http://id.who.int/icd/release/11/beta/ichi/1795790327</x:t>
  </x:si>
  <x:si>
    <x:t>KBW.AE.AC</x:t>
  </x:si>
  <x:si>
    <x:t>- - - - - Examination of rectum</x:t>
  </x:si>
  <x:si>
    <x:t>http://id.who.int/icd/entity/1521731517</x:t>
  </x:si>
  <x:si>
    <x:t>http://id.who.int/icd/release/11/beta/ichi/1521731517</x:t>
  </x:si>
  <x:si>
    <x:t>KBW.AE.AD</x:t>
  </x:si>
  <x:si>
    <x:t>- - - - - Rectoscopy</x:t>
  </x:si>
  <x:si>
    <x:t>http://id.who.int/icd/entity/809403430</x:t>
  </x:si>
  <x:si>
    <x:t>http://id.who.int/icd/release/11/beta/ichi/809403430</x:t>
  </x:si>
  <x:si>
    <x:t>KBW.BA.AD</x:t>
  </x:si>
  <x:si>
    <x:t>- - - - - Endoscopic ultrasonography of rectum</x:t>
  </x:si>
  <x:si>
    <x:t>http://id.who.int/icd/entity/1165018786</x:t>
  </x:si>
  <x:si>
    <x:t>http://id.who.int/icd/release/11/beta/ichi/1165018786</x:t>
  </x:si>
  <x:si>
    <x:t>KBW.DK.AC</x:t>
  </x:si>
  <x:si>
    <x:t>- - - - - Rectal packing</x:t>
  </x:si>
  <x:si>
    <x:t>http://id.who.int/icd/entity/1251780251</x:t>
  </x:si>
  <x:si>
    <x:t>http://id.who.int/icd/release/11/beta/ichi/1251780251</x:t>
  </x:si>
  <x:si>
    <x:t>KBW.DL.AC</x:t>
  </x:si>
  <x:si>
    <x:t>- - - - - Insertion of device into rectum</x:t>
  </x:si>
  <x:si>
    <x:t>http://id.who.int/icd/entity/1881336445</x:t>
  </x:si>
  <x:si>
    <x:t>http://id.who.int/icd/release/11/beta/ichi/1881336445</x:t>
  </x:si>
  <x:si>
    <x:t>KBW.FA.AA</x:t>
  </x:si>
  <x:si>
    <x:t>- - - - - Proctotomy</x:t>
  </x:si>
  <x:si>
    <x:t>http://id.who.int/icd/entity/814983802</x:t>
  </x:si>
  <x:si>
    <x:t>http://id.who.int/icd/release/11/beta/ichi/814983802</x:t>
  </x:si>
  <x:si>
    <x:t>KBW.FB.AA</x:t>
  </x:si>
  <x:si>
    <x:t>- - - - - Division of rectovaginal septum</x:t>
  </x:si>
  <x:si>
    <x:t>http://id.who.int/icd/entity/460244714</x:t>
  </x:si>
  <x:si>
    <x:t>http://id.who.int/icd/release/11/beta/ichi/460244714</x:t>
  </x:si>
  <x:si>
    <x:t>KBW.FC.AA</x:t>
  </x:si>
  <x:si>
    <x:t>- - - - - Release of rectum</x:t>
  </x:si>
  <x:si>
    <x:t>http://id.who.int/icd/entity/718574752</x:t>
  </x:si>
  <x:si>
    <x:t>http://id.who.int/icd/release/11/beta/ichi/718574752</x:t>
  </x:si>
  <x:si>
    <x:t>KBW.GA.AC</x:t>
  </x:si>
  <x:si>
    <x:t>- - - - - Destruction of rectal lesion or tissue</x:t>
  </x:si>
  <x:si>
    <x:t>http://id.who.int/icd/entity/87285374</x:t>
  </x:si>
  <x:si>
    <x:t>http://id.who.int/icd/release/11/beta/ichi/87285374</x:t>
  </x:si>
  <x:si>
    <x:t>KBW.GA.AD</x:t>
  </x:si>
  <x:si>
    <x:t>- - - - - Endoscopic destruction of other lesion or tissue of rectum</x:t>
  </x:si>
  <x:si>
    <x:t>http://id.who.int/icd/entity/527753380</x:t>
  </x:si>
  <x:si>
    <x:t>http://id.who.int/icd/release/11/beta/ichi/527753380</x:t>
  </x:si>
  <x:si>
    <x:t>KBW.GA.AF</x:t>
  </x:si>
  <x:si>
    <x:t>- - - - - Percutaneous destruction of other lesion or tissue of rectum</x:t>
  </x:si>
  <x:si>
    <x:t>http://id.who.int/icd/entity/881429556</x:t>
  </x:si>
  <x:si>
    <x:t>http://id.who.int/icd/release/11/beta/ichi/881429556</x:t>
  </x:si>
  <x:si>
    <x:t>KBW.JA.AC</x:t>
  </x:si>
  <x:si>
    <x:t>- - - - - Irrigation of rectum</x:t>
  </x:si>
  <x:si>
    <x:t>http://id.who.int/icd/entity/1054366748</x:t>
  </x:si>
  <x:si>
    <x:t>http://id.who.int/icd/release/11/beta/ichi/1054366748</x:t>
  </x:si>
  <x:si>
    <x:t>KBW.JB.AA</x:t>
  </x:si>
  <x:si>
    <x:t>- - - - - Drainage of rectum and perirectal area</x:t>
  </x:si>
  <x:si>
    <x:t>http://id.who.int/icd/entity/1961147249</x:t>
  </x:si>
  <x:si>
    <x:t>http://id.who.int/icd/release/11/beta/ichi/1961147249</x:t>
  </x:si>
  <x:si>
    <x:t>KBW.JB.AC</x:t>
  </x:si>
  <x:si>
    <x:t>- - - - - Removal of impacted faeces</x:t>
  </x:si>
  <x:si>
    <x:t>http://id.who.int/icd/entity/1361700531</x:t>
  </x:si>
  <x:si>
    <x:t>http://id.who.int/icd/release/11/beta/ichi/1361700531</x:t>
  </x:si>
  <x:si>
    <x:t>KBW.JB.AD</x:t>
  </x:si>
  <x:si>
    <x:t>- - - - - Endoscopic drainage of rectum and perirectal area</x:t>
  </x:si>
  <x:si>
    <x:t>http://id.who.int/icd/entity/2120817693</x:t>
  </x:si>
  <x:si>
    <x:t>http://id.who.int/icd/release/11/beta/ichi/2120817693</x:t>
  </x:si>
  <x:si>
    <x:t>KBW.JD.AA</x:t>
  </x:si>
  <x:si>
    <x:t>- - - - - Removal of internal device or foreign body from rectum</x:t>
  </x:si>
  <x:si>
    <x:t>http://id.who.int/icd/entity/2075708275</x:t>
  </x:si>
  <x:si>
    <x:t>http://id.who.int/icd/release/11/beta/ichi/2075708275</x:t>
  </x:si>
  <x:si>
    <x:t>KBW.JD.AC</x:t>
  </x:si>
  <x:si>
    <x:t>- - - - - Transanal removal of internal device or foreign body from rectum</x:t>
  </x:si>
  <x:si>
    <x:t>http://id.who.int/icd/entity/1946239969</x:t>
  </x:si>
  <x:si>
    <x:t>http://id.who.int/icd/release/11/beta/ichi/1946239969</x:t>
  </x:si>
  <x:si>
    <x:t>KBW.JD.AD</x:t>
  </x:si>
  <x:si>
    <x:t>- - - - - Endoscopic removal of internal device or foreign body from rectum</x:t>
  </x:si>
  <x:si>
    <x:t>http://id.who.int/icd/entity/612014674</x:t>
  </x:si>
  <x:si>
    <x:t>http://id.who.int/icd/release/11/beta/ichi/612014674</x:t>
  </x:si>
  <x:si>
    <x:t>KBW.JI.AA</x:t>
  </x:si>
  <x:si>
    <x:t>- - - - - Local excision of lesion of rectum</x:t>
  </x:si>
  <x:si>
    <x:t>http://id.who.int/icd/entity/1899326495</x:t>
  </x:si>
  <x:si>
    <x:t>http://id.who.int/icd/release/11/beta/ichi/1899326495</x:t>
  </x:si>
  <x:si>
    <x:t>KBW.JI.AC</x:t>
  </x:si>
  <x:si>
    <x:t>- - - - - Transanal local excision of rectal lesion</x:t>
  </x:si>
  <x:si>
    <x:t>http://id.who.int/icd/entity/1584764593</x:t>
  </x:si>
  <x:si>
    <x:t>http://id.who.int/icd/release/11/beta/ichi/1584764593</x:t>
  </x:si>
  <x:si>
    <x:t>KBW.JI.AD</x:t>
  </x:si>
  <x:si>
    <x:t>- - - - - Endoscopic local excision of lesion of rectum</x:t>
  </x:si>
  <x:si>
    <x:t>http://id.who.int/icd/entity/1905450095</x:t>
  </x:si>
  <x:si>
    <x:t>http://id.who.int/icd/release/11/beta/ichi/1905450095</x:t>
  </x:si>
  <x:si>
    <x:t>KBW.JJ.AA</x:t>
  </x:si>
  <x:si>
    <x:t>- - - - - Partial excision of rectum</x:t>
  </x:si>
  <x:si>
    <x:t>http://id.who.int/icd/entity/1967407199</x:t>
  </x:si>
  <x:si>
    <x:t>http://id.who.int/icd/release/11/beta/ichi/1967407199</x:t>
  </x:si>
  <x:si>
    <x:t>KBW.JJ.AB</x:t>
  </x:si>
  <x:si>
    <x:t>- - - - - Laparoscopic partial excision of rectum</x:t>
  </x:si>
  <x:si>
    <x:t>http://id.who.int/icd/entity/826840680</x:t>
  </x:si>
  <x:si>
    <x:t>http://id.who.int/icd/release/11/beta/ichi/826840680</x:t>
  </x:si>
  <x:si>
    <x:t>KBW.JJ.AC</x:t>
  </x:si>
  <x:si>
    <x:t>- - - - - Transanal resection of rectum</x:t>
  </x:si>
  <x:si>
    <x:t>http://id.who.int/icd/entity/1103773163</x:t>
  </x:si>
  <x:si>
    <x:t>http://id.who.int/icd/release/11/beta/ichi/1103773163</x:t>
  </x:si>
  <x:si>
    <x:t>KBW.JK.AA</x:t>
  </x:si>
  <x:si>
    <x:t>- - - - - Total excision of rectum</x:t>
  </x:si>
  <x:si>
    <x:t>http://id.who.int/icd/entity/503868616</x:t>
  </x:si>
  <x:si>
    <x:t>http://id.who.int/icd/release/11/beta/ichi/503868616</x:t>
  </x:si>
  <x:si>
    <x:t>KBW.JK.AB</x:t>
  </x:si>
  <x:si>
    <x:t>- - - - - Laparoscopic total excision of rectum</x:t>
  </x:si>
  <x:si>
    <x:t>http://id.who.int/icd/entity/905248856</x:t>
  </x:si>
  <x:si>
    <x:t>http://id.who.int/icd/release/11/beta/ichi/905248856</x:t>
  </x:si>
  <x:si>
    <x:t>KBW.KA.AC</x:t>
  </x:si>
  <x:si>
    <x:t>- - - - - Replacement of rectal tube</x:t>
  </x:si>
  <x:si>
    <x:t>http://id.who.int/icd/entity/2124785251</x:t>
  </x:si>
  <x:si>
    <x:t>http://id.who.int/icd/release/11/beta/ichi/2124785251</x:t>
  </x:si>
  <x:si>
    <x:t>KBW.LA.AA</x:t>
  </x:si>
  <x:si>
    <x:t>- - - - - Haemostasis of rectum</x:t>
  </x:si>
  <x:si>
    <x:t>http://id.who.int/icd/entity/1692571833</x:t>
  </x:si>
  <x:si>
    <x:t>http://id.who.int/icd/release/11/beta/ichi/1692571833</x:t>
  </x:si>
  <x:si>
    <x:t>KBW.LA.AD</x:t>
  </x:si>
  <x:si>
    <x:t>- - - - - Endoscopic haemostasis of rectum</x:t>
  </x:si>
  <x:si>
    <x:t>http://id.who.int/icd/entity/1093649787</x:t>
  </x:si>
  <x:si>
    <x:t>http://id.who.int/icd/release/11/beta/ichi/1093649787</x:t>
  </x:si>
  <x:si>
    <x:t>KBW.LB.AA</x:t>
  </x:si>
  <x:si>
    <x:t>- - - - - Anastomosis of rectum</x:t>
  </x:si>
  <x:si>
    <x:t>http://id.who.int/icd/entity/290725066</x:t>
  </x:si>
  <x:si>
    <x:t>http://id.who.int/icd/release/11/beta/ichi/290725066</x:t>
  </x:si>
  <x:si>
    <x:t>KBW.LB.AB</x:t>
  </x:si>
  <x:si>
    <x:t>- - - - - Laparoscopic anastomosis of rectum</x:t>
  </x:si>
  <x:si>
    <x:t>http://id.who.int/icd/entity/1318473193</x:t>
  </x:si>
  <x:si>
    <x:t>http://id.who.int/icd/release/11/beta/ichi/1318473193</x:t>
  </x:si>
  <x:si>
    <x:t>KBW.LB.AC</x:t>
  </x:si>
  <x:si>
    <x:t>- - - - - Transanal anastomosis of rectum</x:t>
  </x:si>
  <x:si>
    <x:t>http://id.who.int/icd/entity/1701519737</x:t>
  </x:si>
  <x:si>
    <x:t>http://id.who.int/icd/release/11/beta/ichi/1701519737</x:t>
  </x:si>
  <x:si>
    <x:t>KBW.LC.AA</x:t>
  </x:si>
  <x:si>
    <x:t>- - - - - Rectopexy</x:t>
  </x:si>
  <x:si>
    <x:t>http://id.who.int/icd/entity/822795910</x:t>
  </x:si>
  <x:si>
    <x:t>http://id.who.int/icd/release/11/beta/ichi/822795910</x:t>
  </x:si>
  <x:si>
    <x:t>KBW.LC.AB</x:t>
  </x:si>
  <x:si>
    <x:t>- - - - - Laparoscopic rectopexy</x:t>
  </x:si>
  <x:si>
    <x:t>http://id.who.int/icd/entity/1858637733</x:t>
  </x:si>
  <x:si>
    <x:t>http://id.who.int/icd/release/11/beta/ichi/1858637733</x:t>
  </x:si>
  <x:si>
    <x:t>KBW.LC.AH</x:t>
  </x:si>
  <x:si>
    <x:t>- - - - - Manual reduction of rectal prolapse</x:t>
  </x:si>
  <x:si>
    <x:t>http://id.who.int/icd/entity/1051940372</x:t>
  </x:si>
  <x:si>
    <x:t>http://id.who.int/icd/release/11/beta/ichi/1051940372</x:t>
  </x:si>
  <x:si>
    <x:t>KBW.LG.AC</x:t>
  </x:si>
  <x:si>
    <x:t>- - - - - Dilatation of rectum</x:t>
  </x:si>
  <x:si>
    <x:t>http://id.who.int/icd/entity/687127753</x:t>
  </x:si>
  <x:si>
    <x:t>http://id.who.int/icd/release/11/beta/ichi/687127753</x:t>
  </x:si>
  <x:si>
    <x:t>KBW.LG.AD</x:t>
  </x:si>
  <x:si>
    <x:t>- - - - - Endoscopic dilatation of rectum</x:t>
  </x:si>
  <x:si>
    <x:t>http://id.who.int/icd/entity/129255015</x:t>
  </x:si>
  <x:si>
    <x:t>http://id.who.int/icd/release/11/beta/ichi/129255015</x:t>
  </x:si>
  <x:si>
    <x:t>KBW.LH.AD</x:t>
  </x:si>
  <x:si>
    <x:t>- - - - - Endoscopic dilatation with insertion of device into rectum</x:t>
  </x:si>
  <x:si>
    <x:t>http://id.who.int/icd/entity/2000088556</x:t>
  </x:si>
  <x:si>
    <x:t>http://id.who.int/icd/release/11/beta/ichi/2000088556</x:t>
  </x:si>
  <x:si>
    <x:t>KBW.LI.AA</x:t>
  </x:si>
  <x:si>
    <x:t>- - - - - Proctostomy</x:t>
  </x:si>
  <x:si>
    <x:t>http://id.who.int/icd/entity/41970073</x:t>
  </x:si>
  <x:si>
    <x:t>http://id.who.int/icd/release/11/beta/ichi/41970073</x:t>
  </x:si>
  <x:si>
    <x:t>KBW.MK.AA</x:t>
  </x:si>
  <x:si>
    <x:t>- - - - - Repair of rectum</x:t>
  </x:si>
  <x:si>
    <x:t>http://id.who.int/icd/entity/2109426312</x:t>
  </x:si>
  <x:si>
    <x:t>http://id.who.int/icd/release/11/beta/ichi/2109426312</x:t>
  </x:si>
  <x:si>
    <x:t>KBW.MK.AB</x:t>
  </x:si>
  <x:si>
    <x:t>- - - - - Laparoscopic repair of rectum</x:t>
  </x:si>
  <x:si>
    <x:t>http://id.who.int/icd/entity/149436005</x:t>
  </x:si>
  <x:si>
    <x:t>http://id.who.int/icd/release/11/beta/ichi/149436005</x:t>
  </x:si>
  <x:si>
    <x:t>KBW.MK.AC</x:t>
  </x:si>
  <x:si>
    <x:t>- - - - - Transanal repair of rectum</x:t>
  </x:si>
  <x:si>
    <x:t>http://id.who.int/icd/entity/672798183</x:t>
  </x:si>
  <x:si>
    <x:t>http://id.who.int/icd/release/11/beta/ichi/672798183</x:t>
  </x:si>
  <x:si>
    <x:t>KBW.ML.AA</x:t>
  </x:si>
  <x:si>
    <x:t>- - - - - Reconstruction of rectum</x:t>
  </x:si>
  <x:si>
    <x:t>http://id.who.int/icd/entity/2019675222</x:t>
  </x:si>
  <x:si>
    <x:t>http://id.who.int/icd/release/11/beta/ichi/2019675222</x:t>
  </x:si>
  <x:si>
    <x:t>KBW.ML.AB</x:t>
  </x:si>
  <x:si>
    <x:t>- - - - - Laparoscopic reconstruction of rectum</x:t>
  </x:si>
  <x:si>
    <x:t>http://id.who.int/icd/entity/844528259</x:t>
  </x:si>
  <x:si>
    <x:t>http://id.who.int/icd/release/11/beta/ichi/844528259</x:t>
  </x:si>
  <x:si>
    <x:t>KBW.PC.AC</x:t>
  </x:si>
  <x:si>
    <x:t>- - - - - Rectal massage</x:t>
  </x:si>
  <x:si>
    <x:t>http://id.who.int/icd/entity/430642707</x:t>
  </x:si>
  <x:si>
    <x:t>http://id.who.int/icd/release/11/beta/ichi/430642707</x:t>
  </x:si>
  <x:si>
    <x:t>KBX.AB.AC</x:t>
  </x:si>
  <x:si>
    <x:t>- - - - - Anorectal manometry</x:t>
  </x:si>
  <x:si>
    <x:t>http://id.who.int/icd/entity/580707125</x:t>
  </x:si>
  <x:si>
    <x:t>http://id.who.int/icd/release/11/beta/ichi/580707125</x:t>
  </x:si>
  <x:si>
    <x:t>KBX.AD.AA</x:t>
  </x:si>
  <x:si>
    <x:t>- - - - - Biopsy of anus</x:t>
  </x:si>
  <x:si>
    <x:t>http://id.who.int/icd/entity/953933295</x:t>
  </x:si>
  <x:si>
    <x:t>http://id.who.int/icd/release/11/beta/ichi/953933295</x:t>
  </x:si>
  <x:si>
    <x:t>KBX.AD.AE</x:t>
  </x:si>
  <x:si>
    <x:t>- - - - - Percutaneous biopsy of anus</x:t>
  </x:si>
  <x:si>
    <x:t>http://id.who.int/icd/entity/1916832500</x:t>
  </x:si>
  <x:si>
    <x:t>http://id.who.int/icd/release/11/beta/ichi/1916832500</x:t>
  </x:si>
  <x:si>
    <x:t>KBX.AE.AC</x:t>
  </x:si>
  <x:si>
    <x:t>- - - - - Digital examination of anus</x:t>
  </x:si>
  <x:si>
    <x:t>http://id.who.int/icd/entity/574313285</x:t>
  </x:si>
  <x:si>
    <x:t>http://id.who.int/icd/release/11/beta/ichi/574313285</x:t>
  </x:si>
  <x:si>
    <x:t>KBX.AE.AD</x:t>
  </x:si>
  <x:si>
    <x:t>- - - - - Anoscopy</x:t>
  </x:si>
  <x:si>
    <x:t>http://id.who.int/icd/entity/1719448746</x:t>
  </x:si>
  <x:si>
    <x:t>http://id.who.int/icd/release/11/beta/ichi/1719448746</x:t>
  </x:si>
  <x:si>
    <x:t>KBX.BA.BK</x:t>
  </x:si>
  <x:si>
    <x:t>- - - - - Endoanal ultrasound</x:t>
  </x:si>
  <x:si>
    <x:t>http://id.who.int/icd/entity/2113471078</x:t>
  </x:si>
  <x:si>
    <x:t>http://id.who.int/icd/release/11/beta/ichi/2113471078</x:t>
  </x:si>
  <x:si>
    <x:t>KBX.DB.AE</x:t>
  </x:si>
  <x:si>
    <x:t>- - - - - Injection into anus</x:t>
  </x:si>
  <x:si>
    <x:t>http://id.who.int/icd/entity/1996299468</x:t>
  </x:si>
  <x:si>
    <x:t>http://id.who.int/icd/release/11/beta/ichi/1996299468</x:t>
  </x:si>
  <x:si>
    <x:t>KBX.DN.AA</x:t>
  </x:si>
  <x:si>
    <x:t>- - - - - Implantation of device into anus</x:t>
  </x:si>
  <x:si>
    <x:t>http://id.who.int/icd/entity/1809517744</x:t>
  </x:si>
  <x:si>
    <x:t>http://id.who.int/icd/release/11/beta/ichi/1809517744</x:t>
  </x:si>
  <x:si>
    <x:t>KBX.DN.AC</x:t>
  </x:si>
  <x:si>
    <x:t>- - - - - Insertion of subcutaneous electrical anal stimulator</x:t>
  </x:si>
  <x:si>
    <x:t>http://id.who.int/icd/entity/1751957026</x:t>
  </x:si>
  <x:si>
    <x:t>http://id.who.int/icd/release/11/beta/ichi/1751957026</x:t>
  </x:si>
  <x:si>
    <x:t>KBX.FA.AA</x:t>
  </x:si>
  <x:si>
    <x:t>- - - - - Incision of anus and perianal tissue</x:t>
  </x:si>
  <x:si>
    <x:t>http://id.who.int/icd/entity/2082189736</x:t>
  </x:si>
  <x:si>
    <x:t>http://id.who.int/icd/release/11/beta/ichi/2082189736</x:t>
  </x:si>
  <x:si>
    <x:t>KBX.GA.AC</x:t>
  </x:si>
  <x:si>
    <x:t>- - - - - Destruction of lesion or tissue of anus</x:t>
  </x:si>
  <x:si>
    <x:t>http://id.who.int/icd/entity/685637159</x:t>
  </x:si>
  <x:si>
    <x:t>http://id.who.int/icd/release/11/beta/ichi/685637159</x:t>
  </x:si>
  <x:si>
    <x:t>KBX.GA.AD</x:t>
  </x:si>
  <x:si>
    <x:t>- - - - - Endoscopic destruction of lesion or tissue of anus</x:t>
  </x:si>
  <x:si>
    <x:t>http://id.who.int/icd/entity/955424513</x:t>
  </x:si>
  <x:si>
    <x:t>http://id.who.int/icd/release/11/beta/ichi/955424513</x:t>
  </x:si>
  <x:si>
    <x:t>KBX.GA.AE</x:t>
  </x:si>
  <x:si>
    <x:t>- - - - - Percutaneous destruction of lesion or tissue of anus</x:t>
  </x:si>
  <x:si>
    <x:t>http://id.who.int/icd/entity/1731251748</x:t>
  </x:si>
  <x:si>
    <x:t>http://id.who.int/icd/release/11/beta/ichi/1731251748</x:t>
  </x:si>
  <x:si>
    <x:t>KBX.GA.AF</x:t>
  </x:si>
  <x:si>
    <x:t>- - - - - Percutaneous transluminal destruction of anal tissue</x:t>
  </x:si>
  <x:si>
    <x:t>http://id.who.int/icd/entity/1288544948</x:t>
  </x:si>
  <x:si>
    <x:t>http://id.who.int/icd/release/11/beta/ichi/1288544948</x:t>
  </x:si>
  <x:si>
    <x:t>KBX.JB.AA</x:t>
  </x:si>
  <x:si>
    <x:t>- - - - - Drainage of anus</x:t>
  </x:si>
  <x:si>
    <x:t>http://id.who.int/icd/entity/209511093</x:t>
  </x:si>
  <x:si>
    <x:t>http://id.who.int/icd/release/11/beta/ichi/209511093</x:t>
  </x:si>
  <x:si>
    <x:t>KBX.JB.AE</x:t>
  </x:si>
  <x:si>
    <x:t>- - - - - Percutaneous drainage of anus</x:t>
  </x:si>
  <x:si>
    <x:t>http://id.who.int/icd/entity/490717891</x:t>
  </x:si>
  <x:si>
    <x:t>http://id.who.int/icd/release/11/beta/ichi/490717891</x:t>
  </x:si>
  <x:si>
    <x:t>KBX.JD.AA</x:t>
  </x:si>
  <x:si>
    <x:t>- - - - - Removal of internal device or foreign body from anus</x:t>
  </x:si>
  <x:si>
    <x:t>http://id.who.int/icd/entity/1654870444</x:t>
  </x:si>
  <x:si>
    <x:t>http://id.who.int/icd/release/11/beta/ichi/1654870444</x:t>
  </x:si>
  <x:si>
    <x:t>KBX.JD.AC</x:t>
  </x:si>
  <x:si>
    <x:t>- - - - - Removal of internal device or foreign body from anus without incision</x:t>
  </x:si>
  <x:si>
    <x:t>http://id.who.int/icd/entity/1772572418</x:t>
  </x:si>
  <x:si>
    <x:t>http://id.who.int/icd/release/11/beta/ichi/1772572418</x:t>
  </x:si>
  <x:si>
    <x:t>KBX.JD.AD</x:t>
  </x:si>
  <x:si>
    <x:t>- - - - - Endoscopic removal of internal device or foreign body from anus</x:t>
  </x:si>
  <x:si>
    <x:t>http://id.who.int/icd/entity/1029767311</x:t>
  </x:si>
  <x:si>
    <x:t>http://id.who.int/icd/release/11/beta/ichi/1029767311</x:t>
  </x:si>
  <x:si>
    <x:t>KBX.JI.AA</x:t>
  </x:si>
  <x:si>
    <x:t>- - - - - Local excision of lesion of anus</x:t>
  </x:si>
  <x:si>
    <x:t>http://id.who.int/icd/entity/787815245</x:t>
  </x:si>
  <x:si>
    <x:t>http://id.who.int/icd/release/11/beta/ichi/787815245</x:t>
  </x:si>
  <x:si>
    <x:t>KBX.JI.AC</x:t>
  </x:si>
  <x:si>
    <x:t>- - - - - Transanal local excision of anal lesion</x:t>
  </x:si>
  <x:si>
    <x:t>http://id.who.int/icd/entity/1677444062</x:t>
  </x:si>
  <x:si>
    <x:t>http://id.who.int/icd/release/11/beta/ichi/1677444062</x:t>
  </x:si>
  <x:si>
    <x:t>KBX.JI.AD</x:t>
  </x:si>
  <x:si>
    <x:t>- - - - - Endoscopic local excision of lesion of anus</x:t>
  </x:si>
  <x:si>
    <x:t>http://id.who.int/icd/entity/2042428680</x:t>
  </x:si>
  <x:si>
    <x:t>http://id.who.int/icd/release/11/beta/ichi/2042428680</x:t>
  </x:si>
  <x:si>
    <x:t>KBX.JJ.AA</x:t>
  </x:si>
  <x:si>
    <x:t>- - - - - Partial excision of perianal tissue</x:t>
  </x:si>
  <x:si>
    <x:t>http://id.who.int/icd/entity/1924719530</x:t>
  </x:si>
  <x:si>
    <x:t>http://id.who.int/icd/release/11/beta/ichi/1924719530</x:t>
  </x:si>
  <x:si>
    <x:t>KBX.JJ.AC</x:t>
  </x:si>
  <x:si>
    <x:t>- - - - - Partial excision of anal tissue via anus</x:t>
  </x:si>
  <x:si>
    <x:t>http://id.who.int/icd/entity/754125641</x:t>
  </x:si>
  <x:si>
    <x:t>http://id.who.int/icd/release/11/beta/ichi/754125641</x:t>
  </x:si>
  <x:si>
    <x:t>KBX.LA.AC</x:t>
  </x:si>
  <x:si>
    <x:t>- - - - - Ligation of anal tissue</x:t>
  </x:si>
  <x:si>
    <x:t>http://id.who.int/icd/entity/592085979</x:t>
  </x:si>
  <x:si>
    <x:t>http://id.who.int/icd/release/11/beta/ichi/592085979</x:t>
  </x:si>
  <x:si>
    <x:t>KBX.LD.AH</x:t>
  </x:si>
  <x:si>
    <x:t>- - - - - Reduction of anal prolapse</x:t>
  </x:si>
  <x:si>
    <x:t>http://id.who.int/icd/entity/1662925646</x:t>
  </x:si>
  <x:si>
    <x:t>http://id.who.int/icd/release/11/beta/ichi/1662925646</x:t>
  </x:si>
  <x:si>
    <x:t>KBX.LG.AC</x:t>
  </x:si>
  <x:si>
    <x:t>- - - - - Dilatation of anal sphincter</x:t>
  </x:si>
  <x:si>
    <x:t>http://id.who.int/icd/entity/1746544096</x:t>
  </x:si>
  <x:si>
    <x:t>http://id.who.int/icd/release/11/beta/ichi/1746544096</x:t>
  </x:si>
  <x:si>
    <x:t>KBX.LL.AC</x:t>
  </x:si>
  <x:si>
    <x:t>- - - - - Anal cerclage</x:t>
  </x:si>
  <x:si>
    <x:t>http://id.who.int/icd/entity/2035877272</x:t>
  </x:si>
  <x:si>
    <x:t>http://id.who.int/icd/release/11/beta/ichi/2035877272</x:t>
  </x:si>
  <x:si>
    <x:t>KBX.MK.AA</x:t>
  </x:si>
  <x:si>
    <x:t>- - - - - Repair of anus</x:t>
  </x:si>
  <x:si>
    <x:t>http://id.who.int/icd/entity/1714033844</x:t>
  </x:si>
  <x:si>
    <x:t>http://id.who.int/icd/release/11/beta/ichi/1714033844</x:t>
  </x:si>
  <x:si>
    <x:t>KBX.ML.AA</x:t>
  </x:si>
  <x:si>
    <x:t>- - - - - Anal or perineal graciloplasty</x:t>
  </x:si>
  <x:si>
    <x:t>http://id.who.int/icd/entity/206057877</x:t>
  </x:si>
  <x:si>
    <x:t>http://id.who.int/icd/release/11/beta/ichi/206057877</x:t>
  </x:si>
  <x:si>
    <x:t>KBX.SN.AC</x:t>
  </x:si>
  <x:si>
    <x:t>- - - - - Management of internal device of anus</x:t>
  </x:si>
  <x:si>
    <x:t>http://id.who.int/icd/entity/1515798413</x:t>
  </x:si>
  <x:si>
    <x:t>http://id.who.int/icd/release/11/beta/ichi/1515798413</x:t>
  </x:si>
  <x:si>
    <x:t>KBZ.BA.BB</x:t>
  </x:si>
  <x:si>
    <x:t>- - - - - Contrast radiogram of large intestine, not elsewhere classified</x:t>
  </x:si>
  <x:si>
    <x:t>http://id.who.int/icd/entity/666197253</x:t>
  </x:si>
  <x:si>
    <x:t>http://id.who.int/icd/release/11/beta/ichi/666197253</x:t>
  </x:si>
  <x:si>
    <x:t>KBZ.JI.AA</x:t>
  </x:si>
  <x:si>
    <x:t>- - - - - Local excision of lesion of large intestine, not elsewhere classified</x:t>
  </x:si>
  <x:si>
    <x:t>http://id.who.int/icd/entity/370085711</x:t>
  </x:si>
  <x:si>
    <x:t>http://id.who.int/icd/release/11/beta/ichi/370085711</x:t>
  </x:si>
  <x:si>
    <x:t>KBZ.JJ.AA</x:t>
  </x:si>
  <x:si>
    <x:t>- - - - - Partial excision of large intestine, not elsewhere classified</x:t>
  </x:si>
  <x:si>
    <x:t>http://id.who.int/icd/entity/1293664862</x:t>
  </x:si>
  <x:si>
    <x:t>http://id.who.int/icd/release/11/beta/ichi/1293664862</x:t>
  </x:si>
  <x:si>
    <x:t>KBZ.JJ.AB</x:t>
  </x:si>
  <x:si>
    <x:t>- - - - - Laparoscopic partial excision of large intestine, not elsewhere classified</x:t>
  </x:si>
  <x:si>
    <x:t>http://id.who.int/icd/entity/958726127</x:t>
  </x:si>
  <x:si>
    <x:t>http://id.who.int/icd/release/11/beta/ichi/958726127</x:t>
  </x:si>
  <x:si>
    <x:t>KBZ.KD.AA</x:t>
  </x:si>
  <x:si>
    <x:t>- - - - - Transplant of large intestine, not elsewhere classified</x:t>
  </x:si>
  <x:si>
    <x:t>http://id.who.int/icd/entity/1284668316</x:t>
  </x:si>
  <x:si>
    <x:t>http://id.who.int/icd/release/11/beta/ichi/1284668316</x:t>
  </x:si>
  <x:si>
    <x:t>KBZ.LB.AA</x:t>
  </x:si>
  <x:si>
    <x:t>- - - - - Large intestinal anastomosis, not elsewhere classified</x:t>
  </x:si>
  <x:si>
    <x:t>http://id.who.int/icd/entity/1735333644</x:t>
  </x:si>
  <x:si>
    <x:t>http://id.who.int/icd/release/11/beta/ichi/1735333644</x:t>
  </x:si>
  <x:si>
    <x:t>KBZ.LC.AA</x:t>
  </x:si>
  <x:si>
    <x:t>- - - - - Fixation of large intestine, not elsewhere classified</x:t>
  </x:si>
  <x:si>
    <x:t>http://id.who.int/icd/entity/913870829</x:t>
  </x:si>
  <x:si>
    <x:t>http://id.who.int/icd/release/11/beta/ichi/913870829</x:t>
  </x:si>
  <x:si>
    <x:t>KBZ.LD.AA</x:t>
  </x:si>
  <x:si>
    <x:t>- - - - - Intra-abdominal manipulation of large intestine, not elsewhere classified</x:t>
  </x:si>
  <x:si>
    <x:t>http://id.who.int/icd/entity/1555897018</x:t>
  </x:si>
  <x:si>
    <x:t>http://id.who.int/icd/release/11/beta/ichi/1555897018</x:t>
  </x:si>
  <x:si>
    <x:t>KBZ.LD.AB</x:t>
  </x:si>
  <x:si>
    <x:t>- - - - - Laparoscopic intra-abdominal manipulation of large intestine, not elsewhere classified</x:t>
  </x:si>
  <x:si>
    <x:t>http://id.who.int/icd/entity/470571709</x:t>
  </x:si>
  <x:si>
    <x:t>http://id.who.int/icd/release/11/beta/ichi/470571709</x:t>
  </x:si>
  <x:si>
    <x:t>KBZ.LD.AC</x:t>
  </x:si>
  <x:si>
    <x:t>- - - - - Reduction of large intestine not elsewhere classified, by enema</x:t>
  </x:si>
  <x:si>
    <x:t>http://id.who.int/icd/entity/938554925</x:t>
  </x:si>
  <x:si>
    <x:t>http://id.who.int/icd/release/11/beta/ichi/938554925</x:t>
  </x:si>
  <x:si>
    <x:t>KBZ.LD.AD</x:t>
  </x:si>
  <x:si>
    <x:t>- - - - - Endoscopic reduction of large intestine, not elsewhere classified</x:t>
  </x:si>
  <x:si>
    <x:t>http://id.who.int/icd/entity/649205339</x:t>
  </x:si>
  <x:si>
    <x:t>http://id.who.int/icd/release/11/beta/ichi/649205339</x:t>
  </x:si>
  <x:si>
    <x:t>KBZ.LG.AD</x:t>
  </x:si>
  <x:si>
    <x:t>- - - - - Endoscopic dilatation of large intestine, not elsewhere classified</x:t>
  </x:si>
  <x:si>
    <x:t>http://id.who.int/icd/entity/2044196616</x:t>
  </x:si>
  <x:si>
    <x:t>http://id.who.int/icd/release/11/beta/ichi/2044196616</x:t>
  </x:si>
  <x:si>
    <x:t>KBZ.MK.AA</x:t>
  </x:si>
  <x:si>
    <x:t>- - - - - Repair of large intestine, not elsewhere classified</x:t>
  </x:si>
  <x:si>
    <x:t>http://id.who.int/icd/entity/1452740008</x:t>
  </x:si>
  <x:si>
    <x:t>http://id.who.int/icd/release/11/beta/ichi/1452740008</x:t>
  </x:si>
  <x:si>
    <x:t>BlockL4-KCA</x:t>
  </x:si>
  <x:si>
    <x:t>- - - - Interventions on hepatic or biliary structures</x:t>
  </x:si>
  <x:si>
    <x:t>179</x:t>
  </x:si>
  <x:si>
    <x:t>http://id.who.int/icd/entity/1986953114</x:t>
  </x:si>
  <x:si>
    <x:t>http://id.who.int/icd/release/11/beta/ichi/1986953114</x:t>
  </x:si>
  <x:si>
    <x:t>KCA.AD.AA</x:t>
  </x:si>
  <x:si>
    <x:t>- - - - - Biopsy of liver</x:t>
  </x:si>
  <x:si>
    <x:t>http://id.who.int/icd/entity/1472381734</x:t>
  </x:si>
  <x:si>
    <x:t>http://id.who.int/icd/release/11/beta/ichi/1472381734</x:t>
  </x:si>
  <x:si>
    <x:t>KCA.AD.AB</x:t>
  </x:si>
  <x:si>
    <x:t>- - - - - Laparoscopic liver biopsy</x:t>
  </x:si>
  <x:si>
    <x:t>http://id.who.int/icd/entity/134255111</x:t>
  </x:si>
  <x:si>
    <x:t>http://id.who.int/icd/release/11/beta/ichi/134255111</x:t>
  </x:si>
  <x:si>
    <x:t>KCA.AD.AE</x:t>
  </x:si>
  <x:si>
    <x:t>- - - - - Percutaneous biopsy of liver</x:t>
  </x:si>
  <x:si>
    <x:t>http://id.who.int/icd/entity/1719177584</x:t>
  </x:si>
  <x:si>
    <x:t>http://id.who.int/icd/release/11/beta/ichi/1719177584</x:t>
  </x:si>
  <x:si>
    <x:t>KCA.AD.AF</x:t>
  </x:si>
  <x:si>
    <x:t>- - - - - Transjugular liver biopsy</x:t>
  </x:si>
  <x:si>
    <x:t>http://id.who.int/icd/entity/968811915</x:t>
  </x:si>
  <x:si>
    <x:t>http://id.who.int/icd/release/11/beta/ichi/968811915</x:t>
  </x:si>
  <x:si>
    <x:t>KCA.BA.BC</x:t>
  </x:si>
  <x:si>
    <x:t>- - - - - Computerised tomography of the liver, not elsewhere classified</x:t>
  </x:si>
  <x:si>
    <x:t>http://id.who.int/icd/entity/415894449</x:t>
  </x:si>
  <x:si>
    <x:t>http://id.who.int/icd/release/11/beta/ichi/415894449</x:t>
  </x:si>
  <x:si>
    <x:t>KCA.BA.BD</x:t>
  </x:si>
  <x:si>
    <x:t>- - - - - Computerised tomography of liver with intravenous contrast</x:t>
  </x:si>
  <x:si>
    <x:t>http://id.who.int/icd/entity/1743857838</x:t>
  </x:si>
  <x:si>
    <x:t>http://id.who.int/icd/release/11/beta/ichi/1743857838</x:t>
  </x:si>
  <x:si>
    <x:t>KCA.BA.BE</x:t>
  </x:si>
  <x:si>
    <x:t>- - - - - Liver scan and radioisotope function study</x:t>
  </x:si>
  <x:si>
    <x:t>http://id.who.int/icd/entity/306415899</x:t>
  </x:si>
  <x:si>
    <x:t>http://id.who.int/icd/release/11/beta/ichi/306415899</x:t>
  </x:si>
  <x:si>
    <x:t>KCA.BA.BH</x:t>
  </x:si>
  <x:si>
    <x:t>- - - - - Magnetic resonance imaging of liver, not elsewhere classified</x:t>
  </x:si>
  <x:si>
    <x:t>http://id.who.int/icd/entity/1275872318</x:t>
  </x:si>
  <x:si>
    <x:t>http://id.who.int/icd/release/11/beta/ichi/1275872318</x:t>
  </x:si>
  <x:si>
    <x:t>KCA.BA.BI</x:t>
  </x:si>
  <x:si>
    <x:t>- - - - - Magnetic resonance imaging of liver with intravenous contrast</x:t>
  </x:si>
  <x:si>
    <x:t>http://id.who.int/icd/entity/1121553918</x:t>
  </x:si>
  <x:si>
    <x:t>http://id.who.int/icd/release/11/beta/ichi/1121553918</x:t>
  </x:si>
  <x:si>
    <x:t>KCA.BA.BJ</x:t>
  </x:si>
  <x:si>
    <x:t>- - - - - Ultrasound of liver</x:t>
  </x:si>
  <x:si>
    <x:t>http://id.who.int/icd/entity/488365279</x:t>
  </x:si>
  <x:si>
    <x:t>http://id.who.int/icd/release/11/beta/ichi/488365279</x:t>
  </x:si>
  <x:si>
    <x:t>KCA.DB.AE</x:t>
  </x:si>
  <x:si>
    <x:t>- - - - - Injection into liver</x:t>
  </x:si>
  <x:si>
    <x:t>http://id.who.int/icd/entity/231818601</x:t>
  </x:si>
  <x:si>
    <x:t>http://id.who.int/icd/release/11/beta/ichi/231818601</x:t>
  </x:si>
  <x:si>
    <x:t>KCA.FA.AA</x:t>
  </x:si>
  <x:si>
    <x:t>- - - - - Hepatotomy</x:t>
  </x:si>
  <x:si>
    <x:t>http://id.who.int/icd/entity/1927964278</x:t>
  </x:si>
  <x:si>
    <x:t>http://id.who.int/icd/release/11/beta/ichi/1927964278</x:t>
  </x:si>
  <x:si>
    <x:t>KCA.FA.AB</x:t>
  </x:si>
  <x:si>
    <x:t>- - - - - Laparoscopic hepatotomy</x:t>
  </x:si>
  <x:si>
    <x:t>http://id.who.int/icd/entity/479356191</x:t>
  </x:si>
  <x:si>
    <x:t>http://id.who.int/icd/release/11/beta/ichi/479356191</x:t>
  </x:si>
  <x:si>
    <x:t>KCA.GA.AA</x:t>
  </x:si>
  <x:si>
    <x:t>- - - - - Destruction of lesion or tissue of liver</x:t>
  </x:si>
  <x:si>
    <x:t>http://id.who.int/icd/entity/1223924448</x:t>
  </x:si>
  <x:si>
    <x:t>http://id.who.int/icd/release/11/beta/ichi/1223924448</x:t>
  </x:si>
  <x:si>
    <x:t>KCA.GA.AB</x:t>
  </x:si>
  <x:si>
    <x:t>- - - - - Laparoscopic destruction of lesion or tissue of liver</x:t>
  </x:si>
  <x:si>
    <x:t>http://id.who.int/icd/entity/389139395</x:t>
  </x:si>
  <x:si>
    <x:t>http://id.who.int/icd/release/11/beta/ichi/389139395</x:t>
  </x:si>
  <x:si>
    <x:t>KCA.GA.AE</x:t>
  </x:si>
  <x:si>
    <x:t>- - - - - Percutaneous destruction of lesion or tissue of liver</x:t>
  </x:si>
  <x:si>
    <x:t>http://id.who.int/icd/entity/1196036722</x:t>
  </x:si>
  <x:si>
    <x:t>http://id.who.int/icd/release/11/beta/ichi/1196036722</x:t>
  </x:si>
  <x:si>
    <x:t>KCA.GA.AH</x:t>
  </x:si>
  <x:si>
    <x:t>- - - - - Laser interstitial thermal therapy of tissue of liver</x:t>
  </x:si>
  <x:si>
    <x:t>http://id.who.int/icd/entity/1915149320</x:t>
  </x:si>
  <x:si>
    <x:t>http://id.who.int/icd/release/11/beta/ichi/1915149320</x:t>
  </x:si>
  <x:si>
    <x:t>KCA.JB.AA</x:t>
  </x:si>
  <x:si>
    <x:t>- - - - - Drainage of liver</x:t>
  </x:si>
  <x:si>
    <x:t>http://id.who.int/icd/entity/1566975656</x:t>
  </x:si>
  <x:si>
    <x:t>http://id.who.int/icd/release/11/beta/ichi/1566975656</x:t>
  </x:si>
  <x:si>
    <x:t>KCA.JB.AB</x:t>
  </x:si>
  <x:si>
    <x:t>- - - - - Laparoscopic drainage of liver</x:t>
  </x:si>
  <x:si>
    <x:t>http://id.who.int/icd/entity/1026430109</x:t>
  </x:si>
  <x:si>
    <x:t>http://id.who.int/icd/release/11/beta/ichi/1026430109</x:t>
  </x:si>
  <x:si>
    <x:t>KCA.JB.AE</x:t>
  </x:si>
  <x:si>
    <x:t>- - - - - Percutaneous drainage of liver</x:t>
  </x:si>
  <x:si>
    <x:t>http://id.who.int/icd/entity/1303166738</x:t>
  </x:si>
  <x:si>
    <x:t>http://id.who.int/icd/release/11/beta/ichi/1303166738</x:t>
  </x:si>
  <x:si>
    <x:t>KCA.JC.AF</x:t>
  </x:si>
  <x:si>
    <x:t>- - - - - Extracorporeal hepatic assistance</x:t>
  </x:si>
  <x:si>
    <x:t>http://id.who.int/icd/entity/1659651518</x:t>
  </x:si>
  <x:si>
    <x:t>http://id.who.int/icd/release/11/beta/ichi/1659651518</x:t>
  </x:si>
  <x:si>
    <x:t>KCA.JD.AA</x:t>
  </x:si>
  <x:si>
    <x:t>- - - - - Removal of internal device or foreign body from liver</x:t>
  </x:si>
  <x:si>
    <x:t>http://id.who.int/icd/entity/1204084974</x:t>
  </x:si>
  <x:si>
    <x:t>http://id.who.int/icd/release/11/beta/ichi/1204084974</x:t>
  </x:si>
  <x:si>
    <x:t>KCA.JD.AE</x:t>
  </x:si>
  <x:si>
    <x:t>- - - - - Percutaneous removal of internal device or foreign body from liver</x:t>
  </x:si>
  <x:si>
    <x:t>http://id.who.int/icd/entity/700244869</x:t>
  </x:si>
  <x:si>
    <x:t>http://id.who.int/icd/release/11/beta/ichi/700244869</x:t>
  </x:si>
  <x:si>
    <x:t>KCA.JG.AA</x:t>
  </x:si>
  <x:si>
    <x:t>- - - - - Debridement of liver</x:t>
  </x:si>
  <x:si>
    <x:t>http://id.who.int/icd/entity/956285939</x:t>
  </x:si>
  <x:si>
    <x:t>http://id.who.int/icd/release/11/beta/ichi/956285939</x:t>
  </x:si>
  <x:si>
    <x:t>KCA.JG.AB</x:t>
  </x:si>
  <x:si>
    <x:t>- - - - - Laparoscopic debridement of liver</x:t>
  </x:si>
  <x:si>
    <x:t>http://id.who.int/icd/entity/1296648066</x:t>
  </x:si>
  <x:si>
    <x:t>http://id.who.int/icd/release/11/beta/ichi/1296648066</x:t>
  </x:si>
  <x:si>
    <x:t>KCA.JG.AE</x:t>
  </x:si>
  <x:si>
    <x:t>- - - - - Percutaneous debridement of liver</x:t>
  </x:si>
  <x:si>
    <x:t>http://id.who.int/icd/entity/489856561</x:t>
  </x:si>
  <x:si>
    <x:t>http://id.who.int/icd/release/11/beta/ichi/489856561</x:t>
  </x:si>
  <x:si>
    <x:t>KCA.JH.AA</x:t>
  </x:si>
  <x:si>
    <x:t>- - - - - Procurement of liver</x:t>
  </x:si>
  <x:si>
    <x:t>http://id.who.int/icd/entity/1123077908</x:t>
  </x:si>
  <x:si>
    <x:t>http://id.who.int/icd/release/11/beta/ichi/1123077908</x:t>
  </x:si>
  <x:si>
    <x:t>KCA.JH.AB</x:t>
  </x:si>
  <x:si>
    <x:t>- - - - - Laparoscopic procurement of liver</x:t>
  </x:si>
  <x:si>
    <x:t>http://id.who.int/icd/entity/1762501508</x:t>
  </x:si>
  <x:si>
    <x:t>http://id.who.int/icd/release/11/beta/ichi/1762501508</x:t>
  </x:si>
  <x:si>
    <x:t>KCA.JI.AA</x:t>
  </x:si>
  <x:si>
    <x:t>- - - - - Local excision of lesion of liver</x:t>
  </x:si>
  <x:si>
    <x:t>http://id.who.int/icd/entity/496315969</x:t>
  </x:si>
  <x:si>
    <x:t>http://id.who.int/icd/release/11/beta/ichi/496315969</x:t>
  </x:si>
  <x:si>
    <x:t>KCA.JI.AB</x:t>
  </x:si>
  <x:si>
    <x:t>- - - - - Laparoscopic local excision of lesion of liver</x:t>
  </x:si>
  <x:si>
    <x:t>http://id.who.int/icd/entity/131207323</x:t>
  </x:si>
  <x:si>
    <x:t>http://id.who.int/icd/release/11/beta/ichi/131207323</x:t>
  </x:si>
  <x:si>
    <x:t>KCA.JJ.AA</x:t>
  </x:si>
  <x:si>
    <x:t>- - - - - Partial hepatectomy</x:t>
  </x:si>
  <x:si>
    <x:t>http://id.who.int/icd/entity/1309453781</x:t>
  </x:si>
  <x:si>
    <x:t>http://id.who.int/icd/release/11/beta/ichi/1309453781</x:t>
  </x:si>
  <x:si>
    <x:t>KCA.JJ.AB</x:t>
  </x:si>
  <x:si>
    <x:t>- - - - - Laparoscopic partial hepatectomy</x:t>
  </x:si>
  <x:si>
    <x:t>http://id.who.int/icd/entity/1102390599</x:t>
  </x:si>
  <x:si>
    <x:t>http://id.who.int/icd/release/11/beta/ichi/1102390599</x:t>
  </x:si>
  <x:si>
    <x:t>KCA.JK.AA</x:t>
  </x:si>
  <x:si>
    <x:t>- - - - - Total hepatectomy</x:t>
  </x:si>
  <x:si>
    <x:t>http://id.who.int/icd/entity/872653108</x:t>
  </x:si>
  <x:si>
    <x:t>http://id.who.int/icd/release/11/beta/ichi/872653108</x:t>
  </x:si>
  <x:si>
    <x:t>KCA.KD.AA</x:t>
  </x:si>
  <x:si>
    <x:t>- - - - - Liver transplant</x:t>
  </x:si>
  <x:si>
    <x:t>http://id.who.int/icd/entity/536792484</x:t>
  </x:si>
  <x:si>
    <x:t>http://id.who.int/icd/release/11/beta/ichi/536792484</x:t>
  </x:si>
  <x:si>
    <x:t>KCA.LC.AA</x:t>
  </x:si>
  <x:si>
    <x:t>- - - - - Hepatopexy</x:t>
  </x:si>
  <x:si>
    <x:t>http://id.who.int/icd/entity/776249326</x:t>
  </x:si>
  <x:si>
    <x:t>http://id.who.int/icd/release/11/beta/ichi/776249326</x:t>
  </x:si>
  <x:si>
    <x:t>KCA.MK.AA</x:t>
  </x:si>
  <x:si>
    <x:t>- - - - - Repair of liver</x:t>
  </x:si>
  <x:si>
    <x:t>http://id.who.int/icd/entity/1047264968</x:t>
  </x:si>
  <x:si>
    <x:t>http://id.who.int/icd/release/11/beta/ichi/1047264968</x:t>
  </x:si>
  <x:si>
    <x:t>KCA.MK.AB</x:t>
  </x:si>
  <x:si>
    <x:t>- - - - - Laparoscopic repair of liver</x:t>
  </x:si>
  <x:si>
    <x:t>http://id.who.int/icd/entity/1095818711</x:t>
  </x:si>
  <x:si>
    <x:t>http://id.who.int/icd/release/11/beta/ichi/1095818711</x:t>
  </x:si>
  <x:si>
    <x:t>KCA.SN.AA</x:t>
  </x:si>
  <x:si>
    <x:t>- - - - - Management of internal device of liver</x:t>
  </x:si>
  <x:si>
    <x:t>http://id.who.int/icd/entity/288031848</x:t>
  </x:si>
  <x:si>
    <x:t>http://id.who.int/icd/release/11/beta/ichi/288031848</x:t>
  </x:si>
  <x:si>
    <x:t>KCF.AD.AA</x:t>
  </x:si>
  <x:si>
    <x:t>- - - - - Biopsy of gallbladder</x:t>
  </x:si>
  <x:si>
    <x:t>http://id.who.int/icd/entity/337587098</x:t>
  </x:si>
  <x:si>
    <x:t>http://id.who.int/icd/release/11/beta/ichi/337587098</x:t>
  </x:si>
  <x:si>
    <x:t>KCF.AD.AB</x:t>
  </x:si>
  <x:si>
    <x:t>- - - - - Laparoscopic biopsy of gallbladder</x:t>
  </x:si>
  <x:si>
    <x:t>http://id.who.int/icd/entity/1272806075</x:t>
  </x:si>
  <x:si>
    <x:t>http://id.who.int/icd/release/11/beta/ichi/1272806075</x:t>
  </x:si>
  <x:si>
    <x:t>KCF.AD.AD</x:t>
  </x:si>
  <x:si>
    <x:t>- - - - - Endoscopic biopsy of gallbladder</x:t>
  </x:si>
  <x:si>
    <x:t>http://id.who.int/icd/entity/463905548</x:t>
  </x:si>
  <x:si>
    <x:t>http://id.who.int/icd/release/11/beta/ichi/463905548</x:t>
  </x:si>
  <x:si>
    <x:t>KCF.AD.AE</x:t>
  </x:si>
  <x:si>
    <x:t>- - - - - Percutaneous biopsy of gallbladder</x:t>
  </x:si>
  <x:si>
    <x:t>http://id.who.int/icd/entity/1363014673</x:t>
  </x:si>
  <x:si>
    <x:t>http://id.who.int/icd/release/11/beta/ichi/1363014673</x:t>
  </x:si>
  <x:si>
    <x:t>KCF.BA.BB</x:t>
  </x:si>
  <x:si>
    <x:t>- - - - - Cholecystography</x:t>
  </x:si>
  <x:si>
    <x:t>http://id.who.int/icd/entity/1585740931</x:t>
  </x:si>
  <x:si>
    <x:t>http://id.who.int/icd/release/11/beta/ichi/1585740931</x:t>
  </x:si>
  <x:si>
    <x:t>KCF.BA.BE</x:t>
  </x:si>
  <x:si>
    <x:t>- - - - - Nuclear study of gallbladder</x:t>
  </x:si>
  <x:si>
    <x:t>http://id.who.int/icd/entity/459938166</x:t>
  </x:si>
  <x:si>
    <x:t>http://id.who.int/icd/release/11/beta/ichi/459938166</x:t>
  </x:si>
  <x:si>
    <x:t>KCF.BA.BJ</x:t>
  </x:si>
  <x:si>
    <x:t>- - - - - Ultrasound of gallbladder</x:t>
  </x:si>
  <x:si>
    <x:t>http://id.who.int/icd/entity/1151879255</x:t>
  </x:si>
  <x:si>
    <x:t>http://id.who.int/icd/release/11/beta/ichi/1151879255</x:t>
  </x:si>
  <x:si>
    <x:t>KCF.GA.BJ</x:t>
  </x:si>
  <x:si>
    <x:t>- - - - - Extracorporeal shockwave lithotripsy of the gallbladder</x:t>
  </x:si>
  <x:si>
    <x:t>http://id.who.int/icd/entity/718293824</x:t>
  </x:si>
  <x:si>
    <x:t>http://id.who.int/icd/release/11/beta/ichi/718293824</x:t>
  </x:si>
  <x:si>
    <x:t>KCF.JB.AA</x:t>
  </x:si>
  <x:si>
    <x:t>- - - - - Cholecystostomy</x:t>
  </x:si>
  <x:si>
    <x:t>http://id.who.int/icd/entity/300400154</x:t>
  </x:si>
  <x:si>
    <x:t>http://id.who.int/icd/release/11/beta/ichi/300400154</x:t>
  </x:si>
  <x:si>
    <x:t>KCF.JB.AB</x:t>
  </x:si>
  <x:si>
    <x:t>- - - - - Laparoscopic cholecystostomy</x:t>
  </x:si>
  <x:si>
    <x:t>http://id.who.int/icd/entity/1859951879</x:t>
  </x:si>
  <x:si>
    <x:t>http://id.who.int/icd/release/11/beta/ichi/1859951879</x:t>
  </x:si>
  <x:si>
    <x:t>KCF.JB.AE</x:t>
  </x:si>
  <x:si>
    <x:t>- - - - - Percutaneous aspiration of gallbladder</x:t>
  </x:si>
  <x:si>
    <x:t>http://id.who.int/icd/entity/1051149494</x:t>
  </x:si>
  <x:si>
    <x:t>http://id.who.int/icd/release/11/beta/ichi/1051149494</x:t>
  </x:si>
  <x:si>
    <x:t>KCF.JD.AA</x:t>
  </x:si>
  <x:si>
    <x:t>- - - - - Removal of internal device or foreign body from gallbladder</x:t>
  </x:si>
  <x:si>
    <x:t>http://id.who.int/icd/entity/1274296405</x:t>
  </x:si>
  <x:si>
    <x:t>http://id.who.int/icd/release/11/beta/ichi/1274296405</x:t>
  </x:si>
  <x:si>
    <x:t>KCF.JD.AB</x:t>
  </x:si>
  <x:si>
    <x:t>- - - - - Laparoscopic removal of internal device or foreign body from gallbladder</x:t>
  </x:si>
  <x:si>
    <x:t>http://id.who.int/icd/entity/885988170</x:t>
  </x:si>
  <x:si>
    <x:t>http://id.who.int/icd/release/11/beta/ichi/885988170</x:t>
  </x:si>
  <x:si>
    <x:t>KCF.JD.AC</x:t>
  </x:si>
  <x:si>
    <x:t>- - - - - Removal of internal device or foreign body from gallbladder via artificial orifice</x:t>
  </x:si>
  <x:si>
    <x:t>http://id.who.int/icd/entity/1418144113</x:t>
  </x:si>
  <x:si>
    <x:t>http://id.who.int/icd/release/11/beta/ichi/1418144113</x:t>
  </x:si>
  <x:si>
    <x:t>KCF.JE.AA</x:t>
  </x:si>
  <x:si>
    <x:t>- - - - - Extraction of calculus from gallbladder</x:t>
  </x:si>
  <x:si>
    <x:t>http://id.who.int/icd/entity/83685570</x:t>
  </x:si>
  <x:si>
    <x:t>http://id.who.int/icd/release/11/beta/ichi/83685570</x:t>
  </x:si>
  <x:si>
    <x:t>KCF.JE.AB</x:t>
  </x:si>
  <x:si>
    <x:t>- - - - - Laparoscopic extraction of calculus from gallbladder</x:t>
  </x:si>
  <x:si>
    <x:t>http://id.who.int/icd/entity/1530831331</x:t>
  </x:si>
  <x:si>
    <x:t>http://id.who.int/icd/release/11/beta/ichi/1530831331</x:t>
  </x:si>
  <x:si>
    <x:t>KCF.JE.AC</x:t>
  </x:si>
  <x:si>
    <x:t>- - - - - Extraction of calculus from gallbladder via artificial orifice</x:t>
  </x:si>
  <x:si>
    <x:t>http://id.who.int/icd/entity/1891880307</x:t>
  </x:si>
  <x:si>
    <x:t>http://id.who.int/icd/release/11/beta/ichi/1891880307</x:t>
  </x:si>
  <x:si>
    <x:t>KCF.JJ.AA</x:t>
  </x:si>
  <x:si>
    <x:t>- - - - - Partial cholecystectomy</x:t>
  </x:si>
  <x:si>
    <x:t>http://id.who.int/icd/entity/73089200</x:t>
  </x:si>
  <x:si>
    <x:t>http://id.who.int/icd/release/11/beta/ichi/73089200</x:t>
  </x:si>
  <x:si>
    <x:t>KCF.JJ.AB</x:t>
  </x:si>
  <x:si>
    <x:t>- - - - - Laparoscopic partial cholecystectomy</x:t>
  </x:si>
  <x:si>
    <x:t>http://id.who.int/icd/entity/1536758163</x:t>
  </x:si>
  <x:si>
    <x:t>http://id.who.int/icd/release/11/beta/ichi/1536758163</x:t>
  </x:si>
  <x:si>
    <x:t>KCF.JK.AA</x:t>
  </x:si>
  <x:si>
    <x:t>- - - - - Cholecystectomy</x:t>
  </x:si>
  <x:si>
    <x:t>http://id.who.int/icd/entity/1875581797</x:t>
  </x:si>
  <x:si>
    <x:t>http://id.who.int/icd/release/11/beta/ichi/1875581797</x:t>
  </x:si>
  <x:si>
    <x:t>KCF.JK.AB</x:t>
  </x:si>
  <x:si>
    <x:t>- - - - - Laparoscopic cholecystectomy</x:t>
  </x:si>
  <x:si>
    <x:t>http://id.who.int/icd/entity/524923112</x:t>
  </x:si>
  <x:si>
    <x:t>http://id.who.int/icd/release/11/beta/ichi/524923112</x:t>
  </x:si>
  <x:si>
    <x:t>KCF.LI.AA</x:t>
  </x:si>
  <x:si>
    <x:t>- - - - - Gallbladder bypass</x:t>
  </x:si>
  <x:si>
    <x:t>http://id.who.int/icd/entity/1972118975</x:t>
  </x:si>
  <x:si>
    <x:t>http://id.who.int/icd/release/11/beta/ichi/1972118975</x:t>
  </x:si>
  <x:si>
    <x:t>KCF.LI.AB</x:t>
  </x:si>
  <x:si>
    <x:t>- - - - - Laparoscopic gallbladder bypass</x:t>
  </x:si>
  <x:si>
    <x:t>http://id.who.int/icd/entity/3842508</x:t>
  </x:si>
  <x:si>
    <x:t>http://id.who.int/icd/release/11/beta/ichi/3842508</x:t>
  </x:si>
  <x:si>
    <x:t>KCF.MK.AA</x:t>
  </x:si>
  <x:si>
    <x:t>- - - - - Repair of gallbladder</x:t>
  </x:si>
  <x:si>
    <x:t>http://id.who.int/icd/entity/444440342</x:t>
  </x:si>
  <x:si>
    <x:t>http://id.who.int/icd/release/11/beta/ichi/444440342</x:t>
  </x:si>
  <x:si>
    <x:t>KCF.MK.AB</x:t>
  </x:si>
  <x:si>
    <x:t>- - - - - Laparoscopic repair of gallbladder</x:t>
  </x:si>
  <x:si>
    <x:t>http://id.who.int/icd/entity/2060473789</x:t>
  </x:si>
  <x:si>
    <x:t>http://id.who.int/icd/release/11/beta/ichi/2060473789</x:t>
  </x:si>
  <x:si>
    <x:t>KCF.MK.AD</x:t>
  </x:si>
  <x:si>
    <x:t>- - - - - Endoscopic repair of gallbladder</x:t>
  </x:si>
  <x:si>
    <x:t>http://id.who.int/icd/entity/1361918253</x:t>
  </x:si>
  <x:si>
    <x:t>http://id.who.int/icd/release/11/beta/ichi/1361918253</x:t>
  </x:si>
  <x:si>
    <x:t>KCF.SN.AC</x:t>
  </x:si>
  <x:si>
    <x:t>- - - - - Irrigation of cholecystostomy or other biliary tube</x:t>
  </x:si>
  <x:si>
    <x:t>http://id.who.int/icd/entity/1080957275</x:t>
  </x:si>
  <x:si>
    <x:t>http://id.who.int/icd/release/11/beta/ichi/1080957275</x:t>
  </x:si>
  <x:si>
    <x:t>KCM.AB.AD</x:t>
  </x:si>
  <x:si>
    <x:t>- - - - - Pressure measurement of sphincter of Oddi</x:t>
  </x:si>
  <x:si>
    <x:t>http://id.who.int/icd/entity/903388458</x:t>
  </x:si>
  <x:si>
    <x:t>http://id.who.int/icd/release/11/beta/ichi/903388458</x:t>
  </x:si>
  <x:si>
    <x:t>KCM.AD.AA</x:t>
  </x:si>
  <x:si>
    <x:t>- - - - - Biopsy of bile duct</x:t>
  </x:si>
  <x:si>
    <x:t>http://id.who.int/icd/entity/1163540133</x:t>
  </x:si>
  <x:si>
    <x:t>http://id.who.int/icd/release/11/beta/ichi/1163540133</x:t>
  </x:si>
  <x:si>
    <x:t>KCM.AD.AB</x:t>
  </x:si>
  <x:si>
    <x:t>- - - - - Laparoscopic biopsy of bile ducts</x:t>
  </x:si>
  <x:si>
    <x:t>http://id.who.int/icd/entity/446195590</x:t>
  </x:si>
  <x:si>
    <x:t>http://id.who.int/icd/release/11/beta/ichi/446195590</x:t>
  </x:si>
  <x:si>
    <x:t>KCM.AD.AD</x:t>
  </x:si>
  <x:si>
    <x:t>- - - - - Endoscopic biopsy of biliary duct or sphincter of Oddi</x:t>
  </x:si>
  <x:si>
    <x:t>http://id.who.int/icd/entity/1342386333</x:t>
  </x:si>
  <x:si>
    <x:t>http://id.who.int/icd/release/11/beta/ichi/1342386333</x:t>
  </x:si>
  <x:si>
    <x:t>KCM.AD.AE</x:t>
  </x:si>
  <x:si>
    <x:t>- - - - - Percutaneous biopsy of bile duct</x:t>
  </x:si>
  <x:si>
    <x:t>http://id.who.int/icd/entity/7924014</x:t>
  </x:si>
  <x:si>
    <x:t>http://id.who.int/icd/release/11/beta/ichi/7924014</x:t>
  </x:si>
  <x:si>
    <x:t>KCM.AE.AA</x:t>
  </x:si>
  <x:si>
    <x:t>- - - - - Exploration of common bile duct</x:t>
  </x:si>
  <x:si>
    <x:t>http://id.who.int/icd/entity/1606072335</x:t>
  </x:si>
  <x:si>
    <x:t>http://id.who.int/icd/release/11/beta/ichi/1606072335</x:t>
  </x:si>
  <x:si>
    <x:t>KCM.AE.AB</x:t>
  </x:si>
  <x:si>
    <x:t>- - - - - Laparoscopic exploration of common bile duct</x:t>
  </x:si>
  <x:si>
    <x:t>http://id.who.int/icd/entity/1950864543</x:t>
  </x:si>
  <x:si>
    <x:t>http://id.who.int/icd/release/11/beta/ichi/1950864543</x:t>
  </x:si>
  <x:si>
    <x:t>KCM.AE.AD</x:t>
  </x:si>
  <x:si>
    <x:t>- - - - - Endoscopic exploration of common bile duct</x:t>
  </x:si>
  <x:si>
    <x:t>http://id.who.int/icd/entity/262826928</x:t>
  </x:si>
  <x:si>
    <x:t>http://id.who.int/icd/release/11/beta/ichi/262826928</x:t>
  </x:si>
  <x:si>
    <x:t>KCM.BA.BA</x:t>
  </x:si>
  <x:si>
    <x:t>- - - - - X-ray of the biliary tract</x:t>
  </x:si>
  <x:si>
    <x:t>http://id.who.int/icd/entity/367875434</x:t>
  </x:si>
  <x:si>
    <x:t>http://id.who.int/icd/release/11/beta/ichi/367875434</x:t>
  </x:si>
  <x:si>
    <x:t>KCM.BA.BB</x:t>
  </x:si>
  <x:si>
    <x:t>- - - - - Cholangiography with contrast medium</x:t>
  </x:si>
  <x:si>
    <x:t>http://id.who.int/icd/entity/1432098157</x:t>
  </x:si>
  <x:si>
    <x:t>http://id.who.int/icd/release/11/beta/ichi/1432098157</x:t>
  </x:si>
  <x:si>
    <x:t>KCM.BA.BJ</x:t>
  </x:si>
  <x:si>
    <x:t>- - - - - Ultrasound of bile duct</x:t>
  </x:si>
  <x:si>
    <x:t>http://id.who.int/icd/entity/2124511741</x:t>
  </x:si>
  <x:si>
    <x:t>http://id.who.int/icd/release/11/beta/ichi/2124511741</x:t>
  </x:si>
  <x:si>
    <x:t>KCM.DL.AA</x:t>
  </x:si>
  <x:si>
    <x:t>- - - - - Insertion of biliary tract device</x:t>
  </x:si>
  <x:si>
    <x:t>http://id.who.int/icd/entity/1877105035</x:t>
  </x:si>
  <x:si>
    <x:t>http://id.who.int/icd/release/11/beta/ichi/1877105035</x:t>
  </x:si>
  <x:si>
    <x:t>KCM.DL.AD</x:t>
  </x:si>
  <x:si>
    <x:t>- - - - - Endoscopic insertion of biliary tract device</x:t>
  </x:si>
  <x:si>
    <x:t>http://id.who.int/icd/entity/1781763813</x:t>
  </x:si>
  <x:si>
    <x:t>http://id.who.int/icd/release/11/beta/ichi/1781763813</x:t>
  </x:si>
  <x:si>
    <x:t>KCM.FA.AA</x:t>
  </x:si>
  <x:si>
    <x:t>- - - - - Incision of bile duct</x:t>
  </x:si>
  <x:si>
    <x:t>http://id.who.int/icd/entity/16128946</x:t>
  </x:si>
  <x:si>
    <x:t>http://id.who.int/icd/release/11/beta/ichi/16128946</x:t>
  </x:si>
  <x:si>
    <x:t>KCM.FA.AB</x:t>
  </x:si>
  <x:si>
    <x:t>- - - - - Laparoscopic incision of bile duct</x:t>
  </x:si>
  <x:si>
    <x:t>http://id.who.int/icd/entity/1886695487</x:t>
  </x:si>
  <x:si>
    <x:t>http://id.who.int/icd/release/11/beta/ichi/1886695487</x:t>
  </x:si>
  <x:si>
    <x:t>KCM.FA.AD</x:t>
  </x:si>
  <x:si>
    <x:t>- - - - - Endoscopic sphincterotomy or papillotomy of bile duct</x:t>
  </x:si>
  <x:si>
    <x:t>http://id.who.int/icd/entity/96613452</x:t>
  </x:si>
  <x:si>
    <x:t>http://id.who.int/icd/release/11/beta/ichi/96613452</x:t>
  </x:si>
  <x:si>
    <x:t>KCM.GA.AD</x:t>
  </x:si>
  <x:si>
    <x:t>- - - - - Endoscopic destruction of lesion of biliary duct or sphincter of Oddi</x:t>
  </x:si>
  <x:si>
    <x:t>http://id.who.int/icd/entity/775903452</x:t>
  </x:si>
  <x:si>
    <x:t>http://id.who.int/icd/release/11/beta/ichi/775903452</x:t>
  </x:si>
  <x:si>
    <x:t>KCM.GA.AF</x:t>
  </x:si>
  <x:si>
    <x:t>- - - - - Percutaneous destruction of bile ducts</x:t>
  </x:si>
  <x:si>
    <x:t>http://id.who.int/icd/entity/1065121964</x:t>
  </x:si>
  <x:si>
    <x:t>http://id.who.int/icd/release/11/beta/ichi/1065121964</x:t>
  </x:si>
  <x:si>
    <x:t>KCM.GA.BJ</x:t>
  </x:si>
  <x:si>
    <x:t>- - - - - Extracorporeal shockwave lithotripsy of the bile duct</x:t>
  </x:si>
  <x:si>
    <x:t>http://id.who.int/icd/entity/1612290553</x:t>
  </x:si>
  <x:si>
    <x:t>http://id.who.int/icd/release/11/beta/ichi/1612290553</x:t>
  </x:si>
  <x:si>
    <x:t>KCM.JB.AA</x:t>
  </x:si>
  <x:si>
    <x:t>- - - - - Drainage of bile duct</x:t>
  </x:si>
  <x:si>
    <x:t>http://id.who.int/icd/entity/1872761195</x:t>
  </x:si>
  <x:si>
    <x:t>http://id.who.int/icd/release/11/beta/ichi/1872761195</x:t>
  </x:si>
  <x:si>
    <x:t>KCM.JB.AB</x:t>
  </x:si>
  <x:si>
    <x:t>- - - - - Laparoscopic drainage of bile duct</x:t>
  </x:si>
  <x:si>
    <x:t>http://id.who.int/icd/entity/522369768</x:t>
  </x:si>
  <x:si>
    <x:t>http://id.who.int/icd/release/11/beta/ichi/522369768</x:t>
  </x:si>
  <x:si>
    <x:t>KCM.JB.AD</x:t>
  </x:si>
  <x:si>
    <x:t>- - - - - Endoscopic drainage of bile duct</x:t>
  </x:si>
  <x:si>
    <x:t>http://id.who.int/icd/entity/39931543</x:t>
  </x:si>
  <x:si>
    <x:t>http://id.who.int/icd/release/11/beta/ichi/39931543</x:t>
  </x:si>
  <x:si>
    <x:t>KCM.JB.AF</x:t>
  </x:si>
  <x:si>
    <x:t>- - - - - Percutaneous drainage of bile duct</x:t>
  </x:si>
  <x:si>
    <x:t>http://id.who.int/icd/entity/1985901350</x:t>
  </x:si>
  <x:si>
    <x:t>http://id.who.int/icd/release/11/beta/ichi/1985901350</x:t>
  </x:si>
  <x:si>
    <x:t>KCM.JD.AA</x:t>
  </x:si>
  <x:si>
    <x:t>- - - - - Removal of internal device or foreign body from bile duct</x:t>
  </x:si>
  <x:si>
    <x:t>http://id.who.int/icd/entity/1936350428</x:t>
  </x:si>
  <x:si>
    <x:t>http://id.who.int/icd/release/11/beta/ichi/1936350428</x:t>
  </x:si>
  <x:si>
    <x:t>KCM.JD.AC</x:t>
  </x:si>
  <x:si>
    <x:t>- - - - - Removal of internal device or foreign body from bile duct via orifice</x:t>
  </x:si>
  <x:si>
    <x:t>http://id.who.int/icd/entity/749211129</x:t>
  </x:si>
  <x:si>
    <x:t>http://id.who.int/icd/release/11/beta/ichi/749211129</x:t>
  </x:si>
  <x:si>
    <x:t>KCM.JD.AD</x:t>
  </x:si>
  <x:si>
    <x:t>- - - - - Endoscopic removal of internal device or foreign body from bile duct</x:t>
  </x:si>
  <x:si>
    <x:t>http://id.who.int/icd/entity/1120931474</x:t>
  </x:si>
  <x:si>
    <x:t>http://id.who.int/icd/release/11/beta/ichi/1120931474</x:t>
  </x:si>
  <x:si>
    <x:t>KCM.JD.AE</x:t>
  </x:si>
  <x:si>
    <x:t>- - - - - Percutaneous removal of internal device or foreign body from bile duct</x:t>
  </x:si>
  <x:si>
    <x:t>http://id.who.int/icd/entity/1913003402</x:t>
  </x:si>
  <x:si>
    <x:t>http://id.who.int/icd/release/11/beta/ichi/1913003402</x:t>
  </x:si>
  <x:si>
    <x:t>KCM.JE.AA</x:t>
  </x:si>
  <x:si>
    <x:t>- - - - - Extraction of calculus from bile duct</x:t>
  </x:si>
  <x:si>
    <x:t>http://id.who.int/icd/entity/1665482238</x:t>
  </x:si>
  <x:si>
    <x:t>http://id.who.int/icd/release/11/beta/ichi/1665482238</x:t>
  </x:si>
  <x:si>
    <x:t>KCM.JE.AB</x:t>
  </x:si>
  <x:si>
    <x:t>- - - - - Laparoscopic extraction of calculus from bile duct</x:t>
  </x:si>
  <x:si>
    <x:t>http://id.who.int/icd/entity/385071503</x:t>
  </x:si>
  <x:si>
    <x:t>http://id.who.int/icd/release/11/beta/ichi/385071503</x:t>
  </x:si>
  <x:si>
    <x:t>KCM.JE.AD</x:t>
  </x:si>
  <x:si>
    <x:t>- - - - - Extraction of calculus from bile duct via endoscopic retrograde cholangiogram</x:t>
  </x:si>
  <x:si>
    <x:t>http://id.who.int/icd/entity/1183342654</x:t>
  </x:si>
  <x:si>
    <x:t>http://id.who.int/icd/release/11/beta/ichi/1183342654</x:t>
  </x:si>
  <x:si>
    <x:t>KCM.JE.AF</x:t>
  </x:si>
  <x:si>
    <x:t>- - - - - Percutaneous extraction of calculus from bile duct</x:t>
  </x:si>
  <x:si>
    <x:t>http://id.who.int/icd/entity/424292637</x:t>
  </x:si>
  <x:si>
    <x:t>http://id.who.int/icd/release/11/beta/ichi/424292637</x:t>
  </x:si>
  <x:si>
    <x:t>KCM.JE.AJ</x:t>
  </x:si>
  <x:si>
    <x:t>- - - - - Percutaneous endoscopic extraction of calculus from bile duct</x:t>
  </x:si>
  <x:si>
    <x:t>http://id.who.int/icd/entity/850877837</x:t>
  </x:si>
  <x:si>
    <x:t>http://id.who.int/icd/release/11/beta/ichi/850877837</x:t>
  </x:si>
  <x:si>
    <x:t>KCM.JI.AA</x:t>
  </x:si>
  <x:si>
    <x:t>- - - - - Local excision of lesion of biliary duct or sphincter of Oddi</x:t>
  </x:si>
  <x:si>
    <x:t>http://id.who.int/icd/entity/61521847</x:t>
  </x:si>
  <x:si>
    <x:t>http://id.who.int/icd/release/11/beta/ichi/61521847</x:t>
  </x:si>
  <x:si>
    <x:t>KCM.JI.AD</x:t>
  </x:si>
  <x:si>
    <x:t>- - - - - Endoscopic local excision of lesion of biliary duct or sphincter of Oddi</x:t>
  </x:si>
  <x:si>
    <x:t>http://id.who.int/icd/entity/202585893</x:t>
  </x:si>
  <x:si>
    <x:t>http://id.who.int/icd/release/11/beta/ichi/202585893</x:t>
  </x:si>
  <x:si>
    <x:t>KCM.JJ.AA</x:t>
  </x:si>
  <x:si>
    <x:t>- - - - - Excision of bile duct</x:t>
  </x:si>
  <x:si>
    <x:t>http://id.who.int/icd/entity/1241338578</x:t>
  </x:si>
  <x:si>
    <x:t>http://id.who.int/icd/release/11/beta/ichi/1241338578</x:t>
  </x:si>
  <x:si>
    <x:t>KCM.JJ.AB</x:t>
  </x:si>
  <x:si>
    <x:t>- - - - - Laparoscopic excision of bile duct</x:t>
  </x:si>
  <x:si>
    <x:t>http://id.who.int/icd/entity/373228529</x:t>
  </x:si>
  <x:si>
    <x:t>http://id.who.int/icd/release/11/beta/ichi/373228529</x:t>
  </x:si>
  <x:si>
    <x:t>KCM.KA.AD</x:t>
  </x:si>
  <x:si>
    <x:t>- - - - - Replacement of device in biliary duct</x:t>
  </x:si>
  <x:si>
    <x:t>http://id.who.int/icd/entity/490413405</x:t>
  </x:si>
  <x:si>
    <x:t>http://id.who.int/icd/release/11/beta/ichi/490413405</x:t>
  </x:si>
  <x:si>
    <x:t>KCM.LA.AA</x:t>
  </x:si>
  <x:si>
    <x:t>- - - - - Haemostasis of bile duct</x:t>
  </x:si>
  <x:si>
    <x:t>http://id.who.int/icd/entity/1669957508</x:t>
  </x:si>
  <x:si>
    <x:t>http://id.who.int/icd/release/11/beta/ichi/1669957508</x:t>
  </x:si>
  <x:si>
    <x:t>KCM.LA.AD</x:t>
  </x:si>
  <x:si>
    <x:t>- - - - - Endoscopic haemostasis of bile duct</x:t>
  </x:si>
  <x:si>
    <x:t>http://id.who.int/icd/entity/481469597</x:t>
  </x:si>
  <x:si>
    <x:t>http://id.who.int/icd/release/11/beta/ichi/481469597</x:t>
  </x:si>
  <x:si>
    <x:t>KCM.LB.AA</x:t>
  </x:si>
  <x:si>
    <x:t>- - - - - Anastomosis of bile duct</x:t>
  </x:si>
  <x:si>
    <x:t>http://id.who.int/icd/entity/966394319</x:t>
  </x:si>
  <x:si>
    <x:t>http://id.who.int/icd/release/11/beta/ichi/966394319</x:t>
  </x:si>
  <x:si>
    <x:t>KCM.LG.AA</x:t>
  </x:si>
  <x:si>
    <x:t>- - - - - Dilatation of sphincter of Oddi</x:t>
  </x:si>
  <x:si>
    <x:t>http://id.who.int/icd/entity/908298589</x:t>
  </x:si>
  <x:si>
    <x:t>http://id.who.int/icd/release/11/beta/ichi/908298589</x:t>
  </x:si>
  <x:si>
    <x:t>KCM.LG.AD</x:t>
  </x:si>
  <x:si>
    <x:t>- - - - - Endoscopic dilatation of ampulla or biliary duct</x:t>
  </x:si>
  <x:si>
    <x:t>http://id.who.int/icd/entity/1133841710</x:t>
  </x:si>
  <x:si>
    <x:t>http://id.who.int/icd/release/11/beta/ichi/1133841710</x:t>
  </x:si>
  <x:si>
    <x:t>KCM.LG.AF</x:t>
  </x:si>
  <x:si>
    <x:t>- - - - - Percutaneous transluminal dilatation of biliary duct</x:t>
  </x:si>
  <x:si>
    <x:t>http://id.who.int/icd/entity/857188003</x:t>
  </x:si>
  <x:si>
    <x:t>http://id.who.int/icd/release/11/beta/ichi/857188003</x:t>
  </x:si>
  <x:si>
    <x:t>KCM.LG.AJ</x:t>
  </x:si>
  <x:si>
    <x:t>- - - - - Percutaneous endoscopic dilatation of biliary duct</x:t>
  </x:si>
  <x:si>
    <x:t>http://id.who.int/icd/entity/1018048049</x:t>
  </x:si>
  <x:si>
    <x:t>http://id.who.int/icd/release/11/beta/ichi/1018048049</x:t>
  </x:si>
  <x:si>
    <x:t>KCM.LH.AA</x:t>
  </x:si>
  <x:si>
    <x:t>- - - - - Dilatation and insertion of device into biliary duct</x:t>
  </x:si>
  <x:si>
    <x:t>http://id.who.int/icd/entity/1674301282</x:t>
  </x:si>
  <x:si>
    <x:t>http://id.who.int/icd/release/11/beta/ichi/1674301282</x:t>
  </x:si>
  <x:si>
    <x:t>KCM.LH.AD</x:t>
  </x:si>
  <x:si>
    <x:t>- - - - - Endoscopic dilatation with insertion of device into bile duct</x:t>
  </x:si>
  <x:si>
    <x:t>http://id.who.int/icd/entity/151935541</x:t>
  </x:si>
  <x:si>
    <x:t>http://id.who.int/icd/release/11/beta/ichi/151935541</x:t>
  </x:si>
  <x:si>
    <x:t>KCM.LH.AF</x:t>
  </x:si>
  <x:si>
    <x:t>- - - - - Percutaneous transluminal dilatation with insertion of device into bile duct</x:t>
  </x:si>
  <x:si>
    <x:t>http://id.who.int/icd/entity/1058171943</x:t>
  </x:si>
  <x:si>
    <x:t>http://id.who.int/icd/release/11/beta/ichi/1058171943</x:t>
  </x:si>
  <x:si>
    <x:t>KCM.LI.AA</x:t>
  </x:si>
  <x:si>
    <x:t>- - - - - Choledochoenterostomy</x:t>
  </x:si>
  <x:si>
    <x:t>http://id.who.int/icd/entity/1440217456</x:t>
  </x:si>
  <x:si>
    <x:t>http://id.who.int/icd/release/11/beta/ichi/1440217456</x:t>
  </x:si>
  <x:si>
    <x:t>KCM.LI.AB</x:t>
  </x:si>
  <x:si>
    <x:t>- - - - - Endoscopic choledochoenterostomy</x:t>
  </x:si>
  <x:si>
    <x:t>http://id.who.int/icd/entity/458655781</x:t>
  </x:si>
  <x:si>
    <x:t>http://id.who.int/icd/release/11/beta/ichi/458655781</x:t>
  </x:si>
  <x:si>
    <x:t>KCM.MK.AA</x:t>
  </x:si>
  <x:si>
    <x:t>- - - - - Repair of bile duct</x:t>
  </x:si>
  <x:si>
    <x:t>http://id.who.int/icd/entity/2141400098</x:t>
  </x:si>
  <x:si>
    <x:t>http://id.who.int/icd/release/11/beta/ichi/2141400098</x:t>
  </x:si>
  <x:si>
    <x:t>KCM.ML.AA</x:t>
  </x:si>
  <x:si>
    <x:t>- - - - - Reconstruction of bile ducts</x:t>
  </x:si>
  <x:si>
    <x:t>http://id.who.int/icd/entity/253855661</x:t>
  </x:si>
  <x:si>
    <x:t>http://id.who.int/icd/release/11/beta/ichi/253855661</x:t>
  </x:si>
  <x:si>
    <x:t>KCM.ML.AB</x:t>
  </x:si>
  <x:si>
    <x:t>- - - - - Endoscopic reconstruction of bile ducts</x:t>
  </x:si>
  <x:si>
    <x:t>http://id.who.int/icd/entity/183521475</x:t>
  </x:si>
  <x:si>
    <x:t>http://id.who.int/icd/release/11/beta/ichi/183521475</x:t>
  </x:si>
  <x:si>
    <x:t>KCO.AD.AA</x:t>
  </x:si>
  <x:si>
    <x:t>- - - - - Biopsy of pancreas</x:t>
  </x:si>
  <x:si>
    <x:t>http://id.who.int/icd/entity/632334957</x:t>
  </x:si>
  <x:si>
    <x:t>http://id.who.int/icd/release/11/beta/ichi/632334957</x:t>
  </x:si>
  <x:si>
    <x:t>KCO.AD.AB</x:t>
  </x:si>
  <x:si>
    <x:t>- - - - - Laparoscopic biopsy of pancreas</x:t>
  </x:si>
  <x:si>
    <x:t>http://id.who.int/icd/entity/1429340640</x:t>
  </x:si>
  <x:si>
    <x:t>http://id.who.int/icd/release/11/beta/ichi/1429340640</x:t>
  </x:si>
  <x:si>
    <x:t>KCO.AD.AD</x:t>
  </x:si>
  <x:si>
    <x:t>- - - - - Endoscopic biopsy of pancreas</x:t>
  </x:si>
  <x:si>
    <x:t>http://id.who.int/icd/entity/1895783460</x:t>
  </x:si>
  <x:si>
    <x:t>http://id.who.int/icd/release/11/beta/ichi/1895783460</x:t>
  </x:si>
  <x:si>
    <x:t>KCO.AD.AE</x:t>
  </x:si>
  <x:si>
    <x:t>- - - - - Percutaneous biopsy of pancreas</x:t>
  </x:si>
  <x:si>
    <x:t>http://id.who.int/icd/entity/985905993</x:t>
  </x:si>
  <x:si>
    <x:t>http://id.who.int/icd/release/11/beta/ichi/985905993</x:t>
  </x:si>
  <x:si>
    <x:t>KCO.AE.AA</x:t>
  </x:si>
  <x:si>
    <x:t>- - - - - Exploration of pancreas or pancreatic duct</x:t>
  </x:si>
  <x:si>
    <x:t>http://id.who.int/icd/entity/539178467</x:t>
  </x:si>
  <x:si>
    <x:t>http://id.who.int/icd/release/11/beta/ichi/539178467</x:t>
  </x:si>
  <x:si>
    <x:t>KCO.AE.AD</x:t>
  </x:si>
  <x:si>
    <x:t>- - - - - Endoscopic examination of the pancreas or pancreatic duct</x:t>
  </x:si>
  <x:si>
    <x:t>http://id.who.int/icd/entity/1166540887</x:t>
  </x:si>
  <x:si>
    <x:t>http://id.who.int/icd/release/11/beta/ichi/1166540887</x:t>
  </x:si>
  <x:si>
    <x:t>KCO.BA.AD</x:t>
  </x:si>
  <x:si>
    <x:t>- - - - - Endoscopic ultrasonography of pancreas</x:t>
  </x:si>
  <x:si>
    <x:t>http://id.who.int/icd/entity/1352769136</x:t>
  </x:si>
  <x:si>
    <x:t>http://id.who.int/icd/release/11/beta/ichi/1352769136</x:t>
  </x:si>
  <x:si>
    <x:t>KCO.BA.BA</x:t>
  </x:si>
  <x:si>
    <x:t>- - - - - X-ray of pancreas</x:t>
  </x:si>
  <x:si>
    <x:t>http://id.who.int/icd/entity/258199373</x:t>
  </x:si>
  <x:si>
    <x:t>http://id.who.int/icd/release/11/beta/ichi/258199373</x:t>
  </x:si>
  <x:si>
    <x:t>KCO.BA.BB</x:t>
  </x:si>
  <x:si>
    <x:t>- - - - - Endoscopic retrograde cholangiopancreatography</x:t>
  </x:si>
  <x:si>
    <x:t>http://id.who.int/icd/entity/252233027</x:t>
  </x:si>
  <x:si>
    <x:t>http://id.who.int/icd/release/11/beta/ichi/252233027</x:t>
  </x:si>
  <x:si>
    <x:t>KCO.BA.BH</x:t>
  </x:si>
  <x:si>
    <x:t>- - - - - Magnetic resonance cholangiopancreatography, not elsewhere classified</x:t>
  </x:si>
  <x:si>
    <x:t>http://id.who.int/icd/entity/541605869</x:t>
  </x:si>
  <x:si>
    <x:t>http://id.who.int/icd/release/11/beta/ichi/541605869</x:t>
  </x:si>
  <x:si>
    <x:t>KCO.BA.BJ</x:t>
  </x:si>
  <x:si>
    <x:t>- - - - - Ultrasound of pancreas</x:t>
  </x:si>
  <x:si>
    <x:t>http://id.who.int/icd/entity/1355453536</x:t>
  </x:si>
  <x:si>
    <x:t>http://id.who.int/icd/release/11/beta/ichi/1355453536</x:t>
  </x:si>
  <x:si>
    <x:t>KCO.DL.AA</x:t>
  </x:si>
  <x:si>
    <x:t>- - - - - Insertion of device into pancreas</x:t>
  </x:si>
  <x:si>
    <x:t>http://id.who.int/icd/entity/1442757534</x:t>
  </x:si>
  <x:si>
    <x:t>http://id.who.int/icd/release/11/beta/ichi/1442757534</x:t>
  </x:si>
  <x:si>
    <x:t>KCO.DL.AB</x:t>
  </x:si>
  <x:si>
    <x:t>- - - - - Laparoscopic insertion of device into pancreas</x:t>
  </x:si>
  <x:si>
    <x:t>http://id.who.int/icd/entity/717592705</x:t>
  </x:si>
  <x:si>
    <x:t>http://id.who.int/icd/release/11/beta/ichi/717592705</x:t>
  </x:si>
  <x:si>
    <x:t>KCO.DL.AD</x:t>
  </x:si>
  <x:si>
    <x:t>- - - - - Endoscopic insertion of device into pancreatic duct</x:t>
  </x:si>
  <x:si>
    <x:t>http://id.who.int/icd/entity/1153276906</x:t>
  </x:si>
  <x:si>
    <x:t>http://id.who.int/icd/release/11/beta/ichi/1153276906</x:t>
  </x:si>
  <x:si>
    <x:t>KCO.DN.AD</x:t>
  </x:si>
  <x:si>
    <x:t>- - - - - Endoscopic implantation of internal device of pancreas or pancreatic duct</x:t>
  </x:si>
  <x:si>
    <x:t>http://id.who.int/icd/entity/267206099</x:t>
  </x:si>
  <x:si>
    <x:t>http://id.who.int/icd/release/11/beta/ichi/267206099</x:t>
  </x:si>
  <x:si>
    <x:t>KCO.FA.AA</x:t>
  </x:si>
  <x:si>
    <x:t>- - - - - Pancreatotomy</x:t>
  </x:si>
  <x:si>
    <x:t>http://id.who.int/icd/entity/363463433</x:t>
  </x:si>
  <x:si>
    <x:t>http://id.who.int/icd/release/11/beta/ichi/363463433</x:t>
  </x:si>
  <x:si>
    <x:t>KCO.FA.AB</x:t>
  </x:si>
  <x:si>
    <x:t>- - - - - Laparoscopic pancreatotomy</x:t>
  </x:si>
  <x:si>
    <x:t>http://id.who.int/icd/entity/1045917593</x:t>
  </x:si>
  <x:si>
    <x:t>http://id.who.int/icd/release/11/beta/ichi/1045917593</x:t>
  </x:si>
  <x:si>
    <x:t>KCO.FA.AD</x:t>
  </x:si>
  <x:si>
    <x:t>- - - - - Endoscopic pancreatic sphincterotomy</x:t>
  </x:si>
  <x:si>
    <x:t>http://id.who.int/icd/entity/1088812358</x:t>
  </x:si>
  <x:si>
    <x:t>http://id.who.int/icd/release/11/beta/ichi/1088812358</x:t>
  </x:si>
  <x:si>
    <x:t>KCO.GA.AA</x:t>
  </x:si>
  <x:si>
    <x:t>- - - - - Destruction of lesion or tissue of pancreas or pancreatic duct</x:t>
  </x:si>
  <x:si>
    <x:t>http://id.who.int/icd/entity/522691685</x:t>
  </x:si>
  <x:si>
    <x:t>http://id.who.int/icd/release/11/beta/ichi/522691685</x:t>
  </x:si>
  <x:si>
    <x:t>KCO.GA.AD</x:t>
  </x:si>
  <x:si>
    <x:t>- - - - - Endoscopic destruction of lesion or tissue of pancreas</x:t>
  </x:si>
  <x:si>
    <x:t>http://id.who.int/icd/entity/337885897</x:t>
  </x:si>
  <x:si>
    <x:t>http://id.who.int/icd/release/11/beta/ichi/337885897</x:t>
  </x:si>
  <x:si>
    <x:t>KCO.GA.BA</x:t>
  </x:si>
  <x:si>
    <x:t>- - - - - Destruction of tissue or lesion of pancreas using radiotherapy</x:t>
  </x:si>
  <x:si>
    <x:t>http://id.who.int/icd/entity/1002762263</x:t>
  </x:si>
  <x:si>
    <x:t>http://id.who.int/icd/release/11/beta/ichi/1002762263</x:t>
  </x:si>
  <x:si>
    <x:t>KCO.GA.BJ</x:t>
  </x:si>
  <x:si>
    <x:t>- - - - - Extracorporeal shockwave lithotripsy of the pancreas</x:t>
  </x:si>
  <x:si>
    <x:t>http://id.who.int/icd/entity/1862451096</x:t>
  </x:si>
  <x:si>
    <x:t>http://id.who.int/icd/release/11/beta/ichi/1862451096</x:t>
  </x:si>
  <x:si>
    <x:t>KCO.JB.AA</x:t>
  </x:si>
  <x:si>
    <x:t>- - - - - Drainage of pancreas</x:t>
  </x:si>
  <x:si>
    <x:t>http://id.who.int/icd/entity/1168776586</x:t>
  </x:si>
  <x:si>
    <x:t>http://id.who.int/icd/release/11/beta/ichi/1168776586</x:t>
  </x:si>
  <x:si>
    <x:t>KCO.JB.AB</x:t>
  </x:si>
  <x:si>
    <x:t>- - - - - Laparoscopic drainage of pancreas</x:t>
  </x:si>
  <x:si>
    <x:t>http://id.who.int/icd/entity/831856697</x:t>
  </x:si>
  <x:si>
    <x:t>http://id.who.int/icd/release/11/beta/ichi/831856697</x:t>
  </x:si>
  <x:si>
    <x:t>KCO.JB.AD</x:t>
  </x:si>
  <x:si>
    <x:t>- - - - - Endoscopic drainage of pancreas</x:t>
  </x:si>
  <x:si>
    <x:t>http://id.who.int/icd/entity/1143186508</x:t>
  </x:si>
  <x:si>
    <x:t>http://id.who.int/icd/release/11/beta/ichi/1143186508</x:t>
  </x:si>
  <x:si>
    <x:t>KCO.JB.AE</x:t>
  </x:si>
  <x:si>
    <x:t>- - - - - Percutaneous drainage of pancreas</x:t>
  </x:si>
  <x:si>
    <x:t>http://id.who.int/icd/entity/1801674468</x:t>
  </x:si>
  <x:si>
    <x:t>http://id.who.int/icd/release/11/beta/ichi/1801674468</x:t>
  </x:si>
  <x:si>
    <x:t>KCO.JD.AA</x:t>
  </x:si>
  <x:si>
    <x:t>- - - - - Removal of internal device or foreign body of pancreas</x:t>
  </x:si>
  <x:si>
    <x:t>http://id.who.int/icd/entity/467793257</x:t>
  </x:si>
  <x:si>
    <x:t>http://id.who.int/icd/release/11/beta/ichi/467793257</x:t>
  </x:si>
  <x:si>
    <x:t>KCO.JD.AB</x:t>
  </x:si>
  <x:si>
    <x:t>- - - - - Laparoscopic removal of internal device or foreign body of pancreas</x:t>
  </x:si>
  <x:si>
    <x:t>http://id.who.int/icd/entity/1313602488</x:t>
  </x:si>
  <x:si>
    <x:t>http://id.who.int/icd/release/11/beta/ichi/1313602488</x:t>
  </x:si>
  <x:si>
    <x:t>KCO.JD.AD</x:t>
  </x:si>
  <x:si>
    <x:t>- - - - - Endoscopic removal of internal device or foreign body of pancreas</x:t>
  </x:si>
  <x:si>
    <x:t>http://id.who.int/icd/entity/613314273</x:t>
  </x:si>
  <x:si>
    <x:t>http://id.who.int/icd/release/11/beta/ichi/613314273</x:t>
  </x:si>
  <x:si>
    <x:t>KCO.JE.AA</x:t>
  </x:si>
  <x:si>
    <x:t>- - - - - Extraction of calculus from pancreatic duct</x:t>
  </x:si>
  <x:si>
    <x:t>http://id.who.int/icd/entity/1153850588</x:t>
  </x:si>
  <x:si>
    <x:t>http://id.who.int/icd/release/11/beta/ichi/1153850588</x:t>
  </x:si>
  <x:si>
    <x:t>KCO.JE.AB</x:t>
  </x:si>
  <x:si>
    <x:t>- - - - - Laparoscopic extraction of calculus from pancreatic duct</x:t>
  </x:si>
  <x:si>
    <x:t>http://id.who.int/icd/entity/1006469061</x:t>
  </x:si>
  <x:si>
    <x:t>http://id.who.int/icd/release/11/beta/ichi/1006469061</x:t>
  </x:si>
  <x:si>
    <x:t>KCO.JE.AD</x:t>
  </x:si>
  <x:si>
    <x:t>- - - - - Endoscopic extraction of calculus from pancreatic duct</x:t>
  </x:si>
  <x:si>
    <x:t>http://id.who.int/icd/entity/1803986548</x:t>
  </x:si>
  <x:si>
    <x:t>http://id.who.int/icd/release/11/beta/ichi/1803986548</x:t>
  </x:si>
  <x:si>
    <x:t>KCO.JG.AA</x:t>
  </x:si>
  <x:si>
    <x:t>- - - - - Debridement of pancreas</x:t>
  </x:si>
  <x:si>
    <x:t>http://id.who.int/icd/entity/1902520544</x:t>
  </x:si>
  <x:si>
    <x:t>http://id.who.int/icd/release/11/beta/ichi/1902520544</x:t>
  </x:si>
  <x:si>
    <x:t>KCO.JG.AB</x:t>
  </x:si>
  <x:si>
    <x:t>- - - - - Laparoscopic debridement of pancreas</x:t>
  </x:si>
  <x:si>
    <x:t>http://id.who.int/icd/entity/1520125008</x:t>
  </x:si>
  <x:si>
    <x:t>http://id.who.int/icd/release/11/beta/ichi/1520125008</x:t>
  </x:si>
  <x:si>
    <x:t>KCO.JH.AA</x:t>
  </x:si>
  <x:si>
    <x:t>- - - - - Procurement of pancreas</x:t>
  </x:si>
  <x:si>
    <x:t>http://id.who.int/icd/entity/1272472632</x:t>
  </x:si>
  <x:si>
    <x:t>http://id.who.int/icd/release/11/beta/ichi/1272472632</x:t>
  </x:si>
  <x:si>
    <x:t>KCO.JI.AA</x:t>
  </x:si>
  <x:si>
    <x:t>- - - - - Local excision of lesion of pancreas or pancreatic duct</x:t>
  </x:si>
  <x:si>
    <x:t>http://id.who.int/icd/entity/2125769282</x:t>
  </x:si>
  <x:si>
    <x:t>http://id.who.int/icd/release/11/beta/ichi/2125769282</x:t>
  </x:si>
  <x:si>
    <x:t>KCO.JI.AB</x:t>
  </x:si>
  <x:si>
    <x:t>- - - - - Laparoscopic local excision of lesion of pancreas or pancreatic duct</x:t>
  </x:si>
  <x:si>
    <x:t>http://id.who.int/icd/entity/785347571</x:t>
  </x:si>
  <x:si>
    <x:t>http://id.who.int/icd/release/11/beta/ichi/785347571</x:t>
  </x:si>
  <x:si>
    <x:t>KCO.JI.AD</x:t>
  </x:si>
  <x:si>
    <x:t>- - - - - Endoscopic local excision of lesion of pancreas or pancreatic duct</x:t>
  </x:si>
  <x:si>
    <x:t>http://id.who.int/icd/entity/1896686288</x:t>
  </x:si>
  <x:si>
    <x:t>http://id.who.int/icd/release/11/beta/ichi/1896686288</x:t>
  </x:si>
  <x:si>
    <x:t>KCO.JJ.AA</x:t>
  </x:si>
  <x:si>
    <x:t>- - - - - Partial excision of pancreas</x:t>
  </x:si>
  <x:si>
    <x:t>http://id.who.int/icd/entity/184692273</x:t>
  </x:si>
  <x:si>
    <x:t>http://id.who.int/icd/release/11/beta/ichi/184692273</x:t>
  </x:si>
  <x:si>
    <x:t>KCO.JJ.AB</x:t>
  </x:si>
  <x:si>
    <x:t>- - - - - Laparoscopic partial excision of pancreas</x:t>
  </x:si>
  <x:si>
    <x:t>http://id.who.int/icd/entity/1156521526</x:t>
  </x:si>
  <x:si>
    <x:t>http://id.who.int/icd/release/11/beta/ichi/1156521526</x:t>
  </x:si>
  <x:si>
    <x:t>KCO.JK.AA</x:t>
  </x:si>
  <x:si>
    <x:t>- - - - - Total pancreatectomy</x:t>
  </x:si>
  <x:si>
    <x:t>http://id.who.int/icd/entity/879605177</x:t>
  </x:si>
  <x:si>
    <x:t>http://id.who.int/icd/release/11/beta/ichi/879605177</x:t>
  </x:si>
  <x:si>
    <x:t>KCO.JK.AB</x:t>
  </x:si>
  <x:si>
    <x:t>- - - - - Laparoscopic total pancreatectomy</x:t>
  </x:si>
  <x:si>
    <x:t>http://id.who.int/icd/entity/1104884172</x:t>
  </x:si>
  <x:si>
    <x:t>http://id.who.int/icd/release/11/beta/ichi/1104884172</x:t>
  </x:si>
  <x:si>
    <x:t>KCO.JL.AA</x:t>
  </x:si>
  <x:si>
    <x:t>- - - - - Radical pancreatectomy</x:t>
  </x:si>
  <x:si>
    <x:t>http://id.who.int/icd/entity/1054872277</x:t>
  </x:si>
  <x:si>
    <x:t>http://id.who.int/icd/release/11/beta/ichi/1054872277</x:t>
  </x:si>
  <x:si>
    <x:t>KCO.JL.AB</x:t>
  </x:si>
  <x:si>
    <x:t>- - - - - Laparoscopic radical pancreatectomy</x:t>
  </x:si>
  <x:si>
    <x:t>http://id.who.int/icd/entity/788824787</x:t>
  </x:si>
  <x:si>
    <x:t>http://id.who.int/icd/release/11/beta/ichi/788824787</x:t>
  </x:si>
  <x:si>
    <x:t>KCO.KA.AD</x:t>
  </x:si>
  <x:si>
    <x:t>- - - - - Endoscopic replacement of device in pancreas or pancreatic duct</x:t>
  </x:si>
  <x:si>
    <x:t>http://id.who.int/icd/entity/2076364126</x:t>
  </x:si>
  <x:si>
    <x:t>http://id.who.int/icd/release/11/beta/ichi/2076364126</x:t>
  </x:si>
  <x:si>
    <x:t>KCO.KD.AA</x:t>
  </x:si>
  <x:si>
    <x:t>- - - - - Pancreatic transplant</x:t>
  </x:si>
  <x:si>
    <x:t>http://id.who.int/icd/entity/1650960803</x:t>
  </x:si>
  <x:si>
    <x:t>http://id.who.int/icd/release/11/beta/ichi/1650960803</x:t>
  </x:si>
  <x:si>
    <x:t>KCO.KD.AF</x:t>
  </x:si>
  <x:si>
    <x:t>- - - - - Percutaneous pancreatic transplant</x:t>
  </x:si>
  <x:si>
    <x:t>http://id.who.int/icd/entity/492604094</x:t>
  </x:si>
  <x:si>
    <x:t>http://id.who.int/icd/release/11/beta/ichi/492604094</x:t>
  </x:si>
  <x:si>
    <x:t>KCO.LB.AA</x:t>
  </x:si>
  <x:si>
    <x:t>- - - - - Reattachment of pancreas</x:t>
  </x:si>
  <x:si>
    <x:t>http://id.who.int/icd/entity/1575865019</x:t>
  </x:si>
  <x:si>
    <x:t>http://id.who.int/icd/release/11/beta/ichi/1575865019</x:t>
  </x:si>
  <x:si>
    <x:t>KCO.LB.AB</x:t>
  </x:si>
  <x:si>
    <x:t>- - - - - Laparoscopic reattachment of pancreas</x:t>
  </x:si>
  <x:si>
    <x:t>http://id.who.int/icd/entity/925392876</x:t>
  </x:si>
  <x:si>
    <x:t>http://id.who.int/icd/release/11/beta/ichi/925392876</x:t>
  </x:si>
  <x:si>
    <x:t>KCO.LG.AA</x:t>
  </x:si>
  <x:si>
    <x:t>- - - - - Dilatation of pancreatic duct</x:t>
  </x:si>
  <x:si>
    <x:t>http://id.who.int/icd/entity/1115366159</x:t>
  </x:si>
  <x:si>
    <x:t>http://id.who.int/icd/release/11/beta/ichi/1115366159</x:t>
  </x:si>
  <x:si>
    <x:t>KCO.LG.AB</x:t>
  </x:si>
  <x:si>
    <x:t>- - - - - Laparoscopic dilatation of pancreatic duct</x:t>
  </x:si>
  <x:si>
    <x:t>http://id.who.int/icd/entity/855214210</x:t>
  </x:si>
  <x:si>
    <x:t>http://id.who.int/icd/release/11/beta/ichi/855214210</x:t>
  </x:si>
  <x:si>
    <x:t>KCO.LG.AD</x:t>
  </x:si>
  <x:si>
    <x:t>- - - - - Endoscopic dilatation of pancreatic duct</x:t>
  </x:si>
  <x:si>
    <x:t>http://id.who.int/icd/entity/498692654</x:t>
  </x:si>
  <x:si>
    <x:t>http://id.who.int/icd/release/11/beta/ichi/498692654</x:t>
  </x:si>
  <x:si>
    <x:t>KCO.LG.AF</x:t>
  </x:si>
  <x:si>
    <x:t>- - - - - Percutaneous dilatation of pancreatic duct</x:t>
  </x:si>
  <x:si>
    <x:t>http://id.who.int/icd/entity/1224115299</x:t>
  </x:si>
  <x:si>
    <x:t>http://id.who.int/icd/release/11/beta/ichi/1224115299</x:t>
  </x:si>
  <x:si>
    <x:t>KCO.LH.AD</x:t>
  </x:si>
  <x:si>
    <x:t>- - - - - Endoscopic dilatation with insertion of device into pancreatic duct</x:t>
  </x:si>
  <x:si>
    <x:t>http://id.who.int/icd/entity/108524854</x:t>
  </x:si>
  <x:si>
    <x:t>http://id.who.int/icd/release/11/beta/ichi/108524854</x:t>
  </x:si>
  <x:si>
    <x:t>KCO.LI.AA</x:t>
  </x:si>
  <x:si>
    <x:t>- - - - - Deviation of pancreas for bypass</x:t>
  </x:si>
  <x:si>
    <x:t>http://id.who.int/icd/entity/1213281299</x:t>
  </x:si>
  <x:si>
    <x:t>http://id.who.int/icd/release/11/beta/ichi/1213281299</x:t>
  </x:si>
  <x:si>
    <x:t>KCO.LI.AB</x:t>
  </x:si>
  <x:si>
    <x:t>- - - - - Laparocopic deviation of pancreas for bypass</x:t>
  </x:si>
  <x:si>
    <x:t>http://id.who.int/icd/entity/1377176265</x:t>
  </x:si>
  <x:si>
    <x:t>http://id.who.int/icd/release/11/beta/ichi/1377176265</x:t>
  </x:si>
  <x:si>
    <x:t>KCO.MK.AA</x:t>
  </x:si>
  <x:si>
    <x:t>- - - - - Repair of pancreas</x:t>
  </x:si>
  <x:si>
    <x:t>http://id.who.int/icd/entity/1383923911</x:t>
  </x:si>
  <x:si>
    <x:t>http://id.who.int/icd/release/11/beta/ichi/1383923911</x:t>
  </x:si>
  <x:si>
    <x:t>KCO.MK.AB</x:t>
  </x:si>
  <x:si>
    <x:t>- - - - - Laparoscopic repair of pancreas</x:t>
  </x:si>
  <x:si>
    <x:t>http://id.who.int/icd/entity/406972334</x:t>
  </x:si>
  <x:si>
    <x:t>http://id.who.int/icd/release/11/beta/ichi/406972334</x:t>
  </x:si>
  <x:si>
    <x:t>KCO.ML.AA</x:t>
  </x:si>
  <x:si>
    <x:t>- - - - - Reconstruction of pancreatic duct</x:t>
  </x:si>
  <x:si>
    <x:t>http://id.who.int/icd/entity/143359516</x:t>
  </x:si>
  <x:si>
    <x:t>http://id.who.int/icd/release/11/beta/ichi/143359516</x:t>
  </x:si>
  <x:si>
    <x:t>KCO.ML.AB</x:t>
  </x:si>
  <x:si>
    <x:t>- - - - - Laparoscopic reconstruction of pancreatic duct</x:t>
  </x:si>
  <x:si>
    <x:t>http://id.who.int/icd/entity/59728054</x:t>
  </x:si>
  <x:si>
    <x:t>http://id.who.int/icd/release/11/beta/ichi/59728054</x:t>
  </x:si>
  <x:si>
    <x:t>KCO.SN.AD</x:t>
  </x:si>
  <x:si>
    <x:t>- - - - - Management of internal device of pancreas</x:t>
  </x:si>
  <x:si>
    <x:t>http://id.who.int/icd/entity/1464414009</x:t>
  </x:si>
  <x:si>
    <x:t>http://id.who.int/icd/release/11/beta/ichi/1464414009</x:t>
  </x:si>
  <x:si>
    <x:t>KCO.SN.AF</x:t>
  </x:si>
  <x:si>
    <x:t>- - - - - Percutaneous management of internal device of pancreas</x:t>
  </x:si>
  <x:si>
    <x:t>http://id.who.int/icd/entity/1918995051</x:t>
  </x:si>
  <x:si>
    <x:t>http://id.who.int/icd/release/11/beta/ichi/1918995051</x:t>
  </x:si>
  <x:si>
    <x:t>BlockL4-KMA</x:t>
  </x:si>
  <x:si>
    <x:t>- - - - Interventions on peritoneum</x:t>
  </x:si>
  <x:si>
    <x:t>51</x:t>
  </x:si>
  <x:si>
    <x:t>http://id.who.int/icd/entity/1385756759</x:t>
  </x:si>
  <x:si>
    <x:t>http://id.who.int/icd/release/11/beta/ichi/1385756759</x:t>
  </x:si>
  <x:si>
    <x:t>KMA.AD.AA</x:t>
  </x:si>
  <x:si>
    <x:t>- - - - - Biopsy of peritoneum</x:t>
  </x:si>
  <x:si>
    <x:t>http://id.who.int/icd/entity/329253264</x:t>
  </x:si>
  <x:si>
    <x:t>http://id.who.int/icd/release/11/beta/ichi/329253264</x:t>
  </x:si>
  <x:si>
    <x:t>KMA.AD.AB</x:t>
  </x:si>
  <x:si>
    <x:t>- - - - - Laparoscopic biopsy of peritoneum</x:t>
  </x:si>
  <x:si>
    <x:t>http://id.who.int/icd/entity/1307306355</x:t>
  </x:si>
  <x:si>
    <x:t>http://id.who.int/icd/release/11/beta/ichi/1307306355</x:t>
  </x:si>
  <x:si>
    <x:t>KMA.AD.AE</x:t>
  </x:si>
  <x:si>
    <x:t>- - - - - Percutaneous biopsy of peritoneum</x:t>
  </x:si>
  <x:si>
    <x:t>http://id.who.int/icd/entity/657357860</x:t>
  </x:si>
  <x:si>
    <x:t>http://id.who.int/icd/release/11/beta/ichi/657357860</x:t>
  </x:si>
  <x:si>
    <x:t>KMA.AE.AB</x:t>
  </x:si>
  <x:si>
    <x:t>- - - - - Peritoneoscopy</x:t>
  </x:si>
  <x:si>
    <x:t>http://id.who.int/icd/entity/445397213</x:t>
  </x:si>
  <x:si>
    <x:t>http://id.who.int/icd/release/11/beta/ichi/445397213</x:t>
  </x:si>
  <x:si>
    <x:t>KMA.AH.XE</x:t>
  </x:si>
  <x:si>
    <x:t>- - - - - Specimen collection of peritoneal fluid</x:t>
  </x:si>
  <x:si>
    <x:t>http://id.who.int/icd/entity/147404538</x:t>
  </x:si>
  <x:si>
    <x:t>http://id.who.int/icd/release/11/beta/ichi/147404538</x:t>
  </x:si>
  <x:si>
    <x:t>KMA.BA.BA</x:t>
  </x:si>
  <x:si>
    <x:t>- - - - - X-ray of the peritoneal cavity</x:t>
  </x:si>
  <x:si>
    <x:t>http://id.who.int/icd/entity/2012354021</x:t>
  </x:si>
  <x:si>
    <x:t>http://id.who.int/icd/release/11/beta/ichi/2012354021</x:t>
  </x:si>
  <x:si>
    <x:t>KMA.BA.BB</x:t>
  </x:si>
  <x:si>
    <x:t>- - - - - Contrast radiography of peritoneum</x:t>
  </x:si>
  <x:si>
    <x:t>http://id.who.int/icd/entity/1134567187</x:t>
  </x:si>
  <x:si>
    <x:t>http://id.who.int/icd/release/11/beta/ichi/1134567187</x:t>
  </x:si>
  <x:si>
    <x:t>KMA.BA.BC</x:t>
  </x:si>
  <x:si>
    <x:t>- - - - - Computerised tomography of peritoneal cavity, not elsewhere classified</x:t>
  </x:si>
  <x:si>
    <x:t>http://id.who.int/icd/entity/1218707903</x:t>
  </x:si>
  <x:si>
    <x:t>http://id.who.int/icd/release/11/beta/ichi/1218707903</x:t>
  </x:si>
  <x:si>
    <x:t>KMA.BA.BD</x:t>
  </x:si>
  <x:si>
    <x:t>- - - - - Computerised tomography of peritoneal cavity with intravenous contrast</x:t>
  </x:si>
  <x:si>
    <x:t>http://id.who.int/icd/entity/476204592</x:t>
  </x:si>
  <x:si>
    <x:t>http://id.who.int/icd/release/11/beta/ichi/476204592</x:t>
  </x:si>
  <x:si>
    <x:t>KMA.BA.BH</x:t>
  </x:si>
  <x:si>
    <x:t>- - - - - Magnetic resonance imaging of peritoneal cavity, not elsewhere classified</x:t>
  </x:si>
  <x:si>
    <x:t>http://id.who.int/icd/entity/1227733119</x:t>
  </x:si>
  <x:si>
    <x:t>http://id.who.int/icd/release/11/beta/ichi/1227733119</x:t>
  </x:si>
  <x:si>
    <x:t>KMA.BA.BI</x:t>
  </x:si>
  <x:si>
    <x:t>- - - - - Magnetic resonance imaging of peritoneal cavity with intravenous contrast</x:t>
  </x:si>
  <x:si>
    <x:t>http://id.who.int/icd/entity/1718436561</x:t>
  </x:si>
  <x:si>
    <x:t>http://id.who.int/icd/release/11/beta/ichi/1718436561</x:t>
  </x:si>
  <x:si>
    <x:t>KMA.BA.BJ</x:t>
  </x:si>
  <x:si>
    <x:t>- - - - - Ultrasound of peritoneal cavity</x:t>
  </x:si>
  <x:si>
    <x:t>http://id.who.int/icd/entity/384821596</x:t>
  </x:si>
  <x:si>
    <x:t>http://id.who.int/icd/release/11/beta/ichi/384821596</x:t>
  </x:si>
  <x:si>
    <x:t>KMA.DB.AE</x:t>
  </x:si>
  <x:si>
    <x:t>- - - - - Injection into peritoneum and peritoneal cavity</x:t>
  </x:si>
  <x:si>
    <x:t>http://id.who.int/icd/entity/1673303487</x:t>
  </x:si>
  <x:si>
    <x:t>http://id.who.int/icd/release/11/beta/ichi/1673303487</x:t>
  </x:si>
  <x:si>
    <x:t>KMA.DN.AA</x:t>
  </x:si>
  <x:si>
    <x:t>- - - - - Implantation of internal device of peritoneal cavity</x:t>
  </x:si>
  <x:si>
    <x:t>http://id.who.int/icd/entity/478656160</x:t>
  </x:si>
  <x:si>
    <x:t>http://id.who.int/icd/release/11/beta/ichi/478656160</x:t>
  </x:si>
  <x:si>
    <x:t>KMA.DN.AB</x:t>
  </x:si>
  <x:si>
    <x:t>- - - - - Laparoscopic implantation of internal device of peritoneal cavity</x:t>
  </x:si>
  <x:si>
    <x:t>http://id.who.int/icd/entity/1929360841</x:t>
  </x:si>
  <x:si>
    <x:t>http://id.who.int/icd/release/11/beta/ichi/1929360841</x:t>
  </x:si>
  <x:si>
    <x:t>KMA.DN.AE</x:t>
  </x:si>
  <x:si>
    <x:t>- - - - - Percutaneous implantation of internal device of peritoneal cavity</x:t>
  </x:si>
  <x:si>
    <x:t>http://id.who.int/icd/entity/1764831955</x:t>
  </x:si>
  <x:si>
    <x:t>http://id.who.int/icd/release/11/beta/ichi/1764831955</x:t>
  </x:si>
  <x:si>
    <x:t>KMA.FA.AA</x:t>
  </x:si>
  <x:si>
    <x:t>- - - - - Incision of peritoneum</x:t>
  </x:si>
  <x:si>
    <x:t>http://id.who.int/icd/entity/1720236609</x:t>
  </x:si>
  <x:si>
    <x:t>http://id.who.int/icd/release/11/beta/ichi/1720236609</x:t>
  </x:si>
  <x:si>
    <x:t>KMA.FC.AA</x:t>
  </x:si>
  <x:si>
    <x:t>- - - - - Release of peritoneal adhesions</x:t>
  </x:si>
  <x:si>
    <x:t>http://id.who.int/icd/entity/739503450</x:t>
  </x:si>
  <x:si>
    <x:t>http://id.who.int/icd/release/11/beta/ichi/739503450</x:t>
  </x:si>
  <x:si>
    <x:t>KMA.FC.AB</x:t>
  </x:si>
  <x:si>
    <x:t>- - - - - Laparoscopic release of peritoneal adhesions</x:t>
  </x:si>
  <x:si>
    <x:t>http://id.who.int/icd/entity/380477886</x:t>
  </x:si>
  <x:si>
    <x:t>http://id.who.int/icd/release/11/beta/ichi/380477886</x:t>
  </x:si>
  <x:si>
    <x:t>KMA.GA.AA</x:t>
  </x:si>
  <x:si>
    <x:t>- - - - - Destruction of peritoneal tissue</x:t>
  </x:si>
  <x:si>
    <x:t>http://id.who.int/icd/entity/1941616247</x:t>
  </x:si>
  <x:si>
    <x:t>http://id.who.int/icd/release/11/beta/ichi/1941616247</x:t>
  </x:si>
  <x:si>
    <x:t>KMA.GA.AB</x:t>
  </x:si>
  <x:si>
    <x:t>- - - - - Laparoscopic destruction of peritoneal tissue</x:t>
  </x:si>
  <x:si>
    <x:t>http://id.who.int/icd/entity/1027327778</x:t>
  </x:si>
  <x:si>
    <x:t>http://id.who.int/icd/release/11/beta/ichi/1027327778</x:t>
  </x:si>
  <x:si>
    <x:t>KMA.JA.AA</x:t>
  </x:si>
  <x:si>
    <x:t>- - - - - Irrigation of peritoneal cavity</x:t>
  </x:si>
  <x:si>
    <x:t>http://id.who.int/icd/entity/1778223277</x:t>
  </x:si>
  <x:si>
    <x:t>http://id.who.int/icd/release/11/beta/ichi/1778223277</x:t>
  </x:si>
  <x:si>
    <x:t>KMA.JA.AB</x:t>
  </x:si>
  <x:si>
    <x:t>- - - - - Laparoscopic irrigation of peritoneal cavity</x:t>
  </x:si>
  <x:si>
    <x:t>http://id.who.int/icd/entity/1018330852</x:t>
  </x:si>
  <x:si>
    <x:t>http://id.who.int/icd/release/11/beta/ichi/1018330852</x:t>
  </x:si>
  <x:si>
    <x:t>KMA.JA.AE</x:t>
  </x:si>
  <x:si>
    <x:t>- - - - - Percutaneous irrigation of peritoneal cavity</x:t>
  </x:si>
  <x:si>
    <x:t>http://id.who.int/icd/entity/334660684</x:t>
  </x:si>
  <x:si>
    <x:t>http://id.who.int/icd/release/11/beta/ichi/334660684</x:t>
  </x:si>
  <x:si>
    <x:t>KMA.JB.AA</x:t>
  </x:si>
  <x:si>
    <x:t>- - - - - Drainage of peritoneal cavity</x:t>
  </x:si>
  <x:si>
    <x:t>http://id.who.int/icd/entity/589600600</x:t>
  </x:si>
  <x:si>
    <x:t>http://id.who.int/icd/release/11/beta/ichi/589600600</x:t>
  </x:si>
  <x:si>
    <x:t>KMA.JB.AB</x:t>
  </x:si>
  <x:si>
    <x:t>- - - - - Laparoscopic drainage of peritoneal cavity</x:t>
  </x:si>
  <x:si>
    <x:t>http://id.who.int/icd/entity/1239482881</x:t>
  </x:si>
  <x:si>
    <x:t>http://id.who.int/icd/release/11/beta/ichi/1239482881</x:t>
  </x:si>
  <x:si>
    <x:t>KMA.JB.AC</x:t>
  </x:si>
  <x:si>
    <x:t>- - - - - Transrectal drainage of peritoneal cavity</x:t>
  </x:si>
  <x:si>
    <x:t>http://id.who.int/icd/entity/664338792</x:t>
  </x:si>
  <x:si>
    <x:t>http://id.who.int/icd/release/11/beta/ichi/664338792</x:t>
  </x:si>
  <x:si>
    <x:t>KMA.JB.AE</x:t>
  </x:si>
  <x:si>
    <x:t>- - - - - Percutaneous drainage of peritoneal cavity</x:t>
  </x:si>
  <x:si>
    <x:t>http://id.who.int/icd/entity/1204892499</x:t>
  </x:si>
  <x:si>
    <x:t>http://id.who.int/icd/release/11/beta/ichi/1204892499</x:t>
  </x:si>
  <x:si>
    <x:t>KMA.JC.AE</x:t>
  </x:si>
  <x:si>
    <x:t>- - - - - Peritoneal dialysis</x:t>
  </x:si>
  <x:si>
    <x:t>http://id.who.int/icd/entity/1821110195</x:t>
  </x:si>
  <x:si>
    <x:t>http://id.who.int/icd/release/11/beta/ichi/1821110195</x:t>
  </x:si>
  <x:si>
    <x:t>KMA.JD.AA</x:t>
  </x:si>
  <x:si>
    <x:t>- - - - - Removal of internal device or foreign body from peritoneal cavity</x:t>
  </x:si>
  <x:si>
    <x:t>http://id.who.int/icd/entity/571121384</x:t>
  </x:si>
  <x:si>
    <x:t>http://id.who.int/icd/release/11/beta/ichi/571121384</x:t>
  </x:si>
  <x:si>
    <x:t>KMA.JD.AB</x:t>
  </x:si>
  <x:si>
    <x:t>- - - - - Laparoscopic removal of internal device or foreign body from peritoneal cavity</x:t>
  </x:si>
  <x:si>
    <x:t>http://id.who.int/icd/entity/1446355797</x:t>
  </x:si>
  <x:si>
    <x:t>http://id.who.int/icd/release/11/beta/ichi/1446355797</x:t>
  </x:si>
  <x:si>
    <x:t>KMA.JD.AE</x:t>
  </x:si>
  <x:si>
    <x:t>- - - - - Percutaneous removal of internal device or foreign body from peritoneal cavity</x:t>
  </x:si>
  <x:si>
    <x:t>http://id.who.int/icd/entity/1970638334</x:t>
  </x:si>
  <x:si>
    <x:t>http://id.who.int/icd/release/11/beta/ichi/1970638334</x:t>
  </x:si>
  <x:si>
    <x:t>KMA.JH.AA</x:t>
  </x:si>
  <x:si>
    <x:t>- - - - - Procurement of omental tissue for graft</x:t>
  </x:si>
  <x:si>
    <x:t>http://id.who.int/icd/entity/172928739</x:t>
  </x:si>
  <x:si>
    <x:t>http://id.who.int/icd/release/11/beta/ichi/172928739</x:t>
  </x:si>
  <x:si>
    <x:t>KMA.JH.AB</x:t>
  </x:si>
  <x:si>
    <x:t>- - - - - Laparoscopic procurement of omental tissue for graft</x:t>
  </x:si>
  <x:si>
    <x:t>http://id.who.int/icd/entity/565428851</x:t>
  </x:si>
  <x:si>
    <x:t>http://id.who.int/icd/release/11/beta/ichi/565428851</x:t>
  </x:si>
  <x:si>
    <x:t>KMA.JI.AA</x:t>
  </x:si>
  <x:si>
    <x:t>- - - - - Local excision of lesion of peritoneal tissue</x:t>
  </x:si>
  <x:si>
    <x:t>http://id.who.int/icd/entity/12781967</x:t>
  </x:si>
  <x:si>
    <x:t>http://id.who.int/icd/release/11/beta/ichi/12781967</x:t>
  </x:si>
  <x:si>
    <x:t>KMA.JI.AB</x:t>
  </x:si>
  <x:si>
    <x:t>- - - - - Laparoscopic local excision of lesion of peritoneal tissue</x:t>
  </x:si>
  <x:si>
    <x:t>http://id.who.int/icd/entity/1083683096</x:t>
  </x:si>
  <x:si>
    <x:t>http://id.who.int/icd/release/11/beta/ichi/1083683096</x:t>
  </x:si>
  <x:si>
    <x:t>KMA.JJ.AA</x:t>
  </x:si>
  <x:si>
    <x:t>- - - - - Excision of peritoneal tissue</x:t>
  </x:si>
  <x:si>
    <x:t>http://id.who.int/icd/entity/1372885360</x:t>
  </x:si>
  <x:si>
    <x:t>http://id.who.int/icd/release/11/beta/ichi/1372885360</x:t>
  </x:si>
  <x:si>
    <x:t>KMA.JJ.AB</x:t>
  </x:si>
  <x:si>
    <x:t>- - - - - Laparoscopic excision of peritoneal tissue</x:t>
  </x:si>
  <x:si>
    <x:t>http://id.who.int/icd/entity/1543351267</x:t>
  </x:si>
  <x:si>
    <x:t>http://id.who.int/icd/release/11/beta/ichi/1543351267</x:t>
  </x:si>
  <x:si>
    <x:t>KMA.KA.AA</x:t>
  </x:si>
  <x:si>
    <x:t>- - - - - Replacement of internal device of peritoneal cavity</x:t>
  </x:si>
  <x:si>
    <x:t>http://id.who.int/icd/entity/1348282542</x:t>
  </x:si>
  <x:si>
    <x:t>http://id.who.int/icd/release/11/beta/ichi/1348282542</x:t>
  </x:si>
  <x:si>
    <x:t>KMA.LC.AA</x:t>
  </x:si>
  <x:si>
    <x:t>- - - - - Omentopexy</x:t>
  </x:si>
  <x:si>
    <x:t>http://id.who.int/icd/entity/977210761</x:t>
  </x:si>
  <x:si>
    <x:t>http://id.who.int/icd/release/11/beta/ichi/977210761</x:t>
  </x:si>
  <x:si>
    <x:t>KMA.LC.AB</x:t>
  </x:si>
  <x:si>
    <x:t>- - - - - Laparoscopic omentopexy</x:t>
  </x:si>
  <x:si>
    <x:t>http://id.who.int/icd/entity/1253942790</x:t>
  </x:si>
  <x:si>
    <x:t>http://id.who.int/icd/release/11/beta/ichi/1253942790</x:t>
  </x:si>
  <x:si>
    <x:t>KMA.LD.AA</x:t>
  </x:si>
  <x:si>
    <x:t>- - - - - Reduction of torsion of omentum</x:t>
  </x:si>
  <x:si>
    <x:t>http://id.who.int/icd/entity/360707879</x:t>
  </x:si>
  <x:si>
    <x:t>http://id.who.int/icd/release/11/beta/ichi/360707879</x:t>
  </x:si>
  <x:si>
    <x:t>KMA.LD.AB</x:t>
  </x:si>
  <x:si>
    <x:t>- - - - - Laparoscopic reduction of torsion of omentum</x:t>
  </x:si>
  <x:si>
    <x:t>http://id.who.int/icd/entity/1048746935</x:t>
  </x:si>
  <x:si>
    <x:t>http://id.who.int/icd/release/11/beta/ichi/1048746935</x:t>
  </x:si>
  <x:si>
    <x:t>KMA.LI.AA</x:t>
  </x:si>
  <x:si>
    <x:t>- - - - - Creation of peritoneovascular shunt</x:t>
  </x:si>
  <x:si>
    <x:t>http://id.who.int/icd/entity/15354721</x:t>
  </x:si>
  <x:si>
    <x:t>http://id.who.int/icd/release/11/beta/ichi/15354721</x:t>
  </x:si>
  <x:si>
    <x:t>KMA.LJ.AA</x:t>
  </x:si>
  <x:si>
    <x:t>- - - - - Pelvic reperitonealisation</x:t>
  </x:si>
  <x:si>
    <x:t>http://id.who.int/icd/entity/257147891</x:t>
  </x:si>
  <x:si>
    <x:t>http://id.who.int/icd/release/11/beta/ichi/257147891</x:t>
  </x:si>
  <x:si>
    <x:t>KMA.LK.AE</x:t>
  </x:si>
  <x:si>
    <x:t>- - - - - Injection of air into peritoneal cavity</x:t>
  </x:si>
  <x:si>
    <x:t>http://id.who.int/icd/entity/1511798204</x:t>
  </x:si>
  <x:si>
    <x:t>http://id.who.int/icd/release/11/beta/ichi/1511798204</x:t>
  </x:si>
  <x:si>
    <x:t>KMA.MK.AA</x:t>
  </x:si>
  <x:si>
    <x:t>- - - - - Repair of peritoneum</x:t>
  </x:si>
  <x:si>
    <x:t>http://id.who.int/icd/entity/623318691</x:t>
  </x:si>
  <x:si>
    <x:t>http://id.who.int/icd/release/11/beta/ichi/623318691</x:t>
  </x:si>
  <x:si>
    <x:t>KMA.MK.AB</x:t>
  </x:si>
  <x:si>
    <x:t>- - - - - Laparoscopic repair of peritoneum</x:t>
  </x:si>
  <x:si>
    <x:t>http://id.who.int/icd/entity/553042381</x:t>
  </x:si>
  <x:si>
    <x:t>http://id.who.int/icd/release/11/beta/ichi/553042381</x:t>
  </x:si>
  <x:si>
    <x:t>KMA.ML.AA</x:t>
  </x:si>
  <x:si>
    <x:t>- - - - - Graft of peritoneum and peritoneal cavity</x:t>
  </x:si>
  <x:si>
    <x:t>http://id.who.int/icd/entity/1853337752</x:t>
  </x:si>
  <x:si>
    <x:t>http://id.who.int/icd/release/11/beta/ichi/1853337752</x:t>
  </x:si>
  <x:si>
    <x:t>KMA.ML.AB</x:t>
  </x:si>
  <x:si>
    <x:t>- - - - - Laparoscopic graft of peritoneum and peritoneal cavity</x:t>
  </x:si>
  <x:si>
    <x:t>http://id.who.int/icd/entity/2134151408</x:t>
  </x:si>
  <x:si>
    <x:t>http://id.who.int/icd/release/11/beta/ichi/2134151408</x:t>
  </x:si>
  <x:si>
    <x:t>KMA.SN.AH</x:t>
  </x:si>
  <x:si>
    <x:t>- - - - - Management of internal device of peritoneal cavity</x:t>
  </x:si>
  <x:si>
    <x:t>http://id.who.int/icd/entity/1878919514</x:t>
  </x:si>
  <x:si>
    <x:t>http://id.who.int/icd/release/11/beta/ichi/1878919514</x:t>
  </x:si>
  <x:si>
    <x:t>BlockL4-KT2</x:t>
  </x:si>
  <x:si>
    <x:t>- - - - Interventions on functions of digestive system</x:t>
  </x:si>
  <x:si>
    <x:t>http://id.who.int/icd/entity/712730273</x:t>
  </x:si>
  <x:si>
    <x:t>http://id.who.int/icd/release/11/beta/ichi/712730273</x:t>
  </x:si>
  <x:si>
    <x:t>KT2.AA.ZZ</x:t>
  </x:si>
  <x:si>
    <x:t>- - - - - Assessment of function of the digestive system, not elsewhere classified</x:t>
  </x:si>
  <x:si>
    <x:t>http://id.who.int/icd/entity/1430275518</x:t>
  </x:si>
  <x:si>
    <x:t>http://id.who.int/icd/release/11/beta/ichi/1430275518</x:t>
  </x:si>
  <x:si>
    <x:t>KT2.AC.ZZ</x:t>
  </x:si>
  <x:si>
    <x:t>- - - - - Test of functions of the digestive system, not elsewhere classified</x:t>
  </x:si>
  <x:si>
    <x:t>http://id.who.int/icd/entity/1868151080</x:t>
  </x:si>
  <x:si>
    <x:t>http://id.who.int/icd/release/11/beta/ichi/1868151080</x:t>
  </x:si>
  <x:si>
    <x:t>KT2.AM.ZZ</x:t>
  </x:si>
  <x:si>
    <x:t>- - - - - Observation of functions of the digestive system, not elsewhere classified</x:t>
  </x:si>
  <x:si>
    <x:t>http://id.who.int/icd/entity/18987585</x:t>
  </x:si>
  <x:si>
    <x:t>http://id.who.int/icd/release/11/beta/ichi/18987585</x:t>
  </x:si>
  <x:si>
    <x:t>KT2.PG.ZZ</x:t>
  </x:si>
  <x:si>
    <x:t>- - - - - Assisting and leading exercise for functions of the digestive system, not elsewhere classified</x:t>
  </x:si>
  <x:si>
    <x:t>http://id.who.int/icd/entity/815523851</x:t>
  </x:si>
  <x:si>
    <x:t>http://id.who.int/icd/release/11/beta/ichi/815523851</x:t>
  </x:si>
  <x:si>
    <x:t>KT2.PH.ZZ</x:t>
  </x:si>
  <x:si>
    <x:t>- - - - - Training of functions of the digestive system, not elsewhere classified</x:t>
  </x:si>
  <x:si>
    <x:t>http://id.who.int/icd/entity/1314256695</x:t>
  </x:si>
  <x:si>
    <x:t>http://id.who.int/icd/release/11/beta/ichi/1314256695</x:t>
  </x:si>
  <x:si>
    <x:t>KT2.PM.ZZ</x:t>
  </x:si>
  <x:si>
    <x:t>- - - - - Education about functions of the digestive system, not elsewhere classified</x:t>
  </x:si>
  <x:si>
    <x:t>http://id.who.int/icd/entity/1162996123</x:t>
  </x:si>
  <x:si>
    <x:t>http://id.who.int/icd/release/11/beta/ichi/1162996123</x:t>
  </x:si>
  <x:si>
    <x:t>KT2.PN.ZZ</x:t>
  </x:si>
  <x:si>
    <x:t>- - - - - Advising about functions of the digestive system, not elsewhere classified</x:t>
  </x:si>
  <x:si>
    <x:t>http://id.who.int/icd/entity/295151126</x:t>
  </x:si>
  <x:si>
    <x:t>http://id.who.int/icd/release/11/beta/ichi/295151126</x:t>
  </x:si>
  <x:si>
    <x:t>KT2.PP.ZZ</x:t>
  </x:si>
  <x:si>
    <x:t>- - - - - Counselling for functions of the digestive system, not elsewhere classified</x:t>
  </x:si>
  <x:si>
    <x:t>http://id.who.int/icd/entity/1155027035</x:t>
  </x:si>
  <x:si>
    <x:t>http://id.who.int/icd/release/11/beta/ichi/1155027035</x:t>
  </x:si>
  <x:si>
    <x:t>KT2.RB.ZZ</x:t>
  </x:si>
  <x:si>
    <x:t>- - - - - Practical support with functions of the digestive system, not elsewhere classified</x:t>
  </x:si>
  <x:si>
    <x:t>http://id.who.int/icd/entity/1805167349</x:t>
  </x:si>
  <x:si>
    <x:t>http://id.who.int/icd/release/11/beta/ichi/1805167349</x:t>
  </x:si>
  <x:si>
    <x:t>KT2.RC.ZZ</x:t>
  </x:si>
  <x:si>
    <x:t>- - - - - Emotional support for functions of the digestive system, not elsewhere classified</x:t>
  </x:si>
  <x:si>
    <x:t>http://id.who.int/icd/entity/454689146</x:t>
  </x:si>
  <x:si>
    <x:t>http://id.who.int/icd/release/11/beta/ichi/454689146</x:t>
  </x:si>
  <x:si>
    <x:t>KTB.AA.ZZ</x:t>
  </x:si>
  <x:si>
    <x:t>- - - - - Assessment of ingestion functions</x:t>
  </x:si>
  <x:si>
    <x:t>http://id.who.int/icd/entity/76343502</x:t>
  </x:si>
  <x:si>
    <x:t>http://id.who.int/icd/release/11/beta/ichi/76343502</x:t>
  </x:si>
  <x:si>
    <x:t>KTB.AC.ZZ</x:t>
  </x:si>
  <x:si>
    <x:t>- - - - - Test of ingestion functions</x:t>
  </x:si>
  <x:si>
    <x:t>http://id.who.int/icd/entity/1371741827</x:t>
  </x:si>
  <x:si>
    <x:t>http://id.who.int/icd/release/11/beta/ichi/1371741827</x:t>
  </x:si>
  <x:si>
    <x:t>KTB.AM.ZZ</x:t>
  </x:si>
  <x:si>
    <x:t>- - - - - Observation of ingestion functions</x:t>
  </x:si>
  <x:si>
    <x:t>http://id.who.int/icd/entity/1069227500</x:t>
  </x:si>
  <x:si>
    <x:t>http://id.who.int/icd/release/11/beta/ichi/1069227500</x:t>
  </x:si>
  <x:si>
    <x:t>KTB.PG.ZZ</x:t>
  </x:si>
  <x:si>
    <x:t>- - - - - Assisting and leading exercises for ingestion functions</x:t>
  </x:si>
  <x:si>
    <x:t>http://id.who.int/icd/entity/234966946</x:t>
  </x:si>
  <x:si>
    <x:t>http://id.who.int/icd/release/11/beta/ichi/234966946</x:t>
  </x:si>
  <x:si>
    <x:t>KTB.PH.ZZ</x:t>
  </x:si>
  <x:si>
    <x:t>- - - - - Training of ingestion functions</x:t>
  </x:si>
  <x:si>
    <x:t>http://id.who.int/icd/entity/1365552883</x:t>
  </x:si>
  <x:si>
    <x:t>http://id.who.int/icd/release/11/beta/ichi/1365552883</x:t>
  </x:si>
  <x:si>
    <x:t>KTB.PM.ZZ</x:t>
  </x:si>
  <x:si>
    <x:t>- - - - - Education about ingestion functions</x:t>
  </x:si>
  <x:si>
    <x:t>http://id.who.int/icd/entity/1516286047</x:t>
  </x:si>
  <x:si>
    <x:t>http://id.who.int/icd/release/11/beta/ichi/1516286047</x:t>
  </x:si>
  <x:si>
    <x:t>KTB.PN.ZZ</x:t>
  </x:si>
  <x:si>
    <x:t>- - - - - Advising about ingestion functions</x:t>
  </x:si>
  <x:si>
    <x:t>http://id.who.int/icd/entity/245825488</x:t>
  </x:si>
  <x:si>
    <x:t>http://id.who.int/icd/release/11/beta/ichi/245825488</x:t>
  </x:si>
  <x:si>
    <x:t>KTB.PP.ZZ</x:t>
  </x:si>
  <x:si>
    <x:t>- - - - - Counselling for ingestion functions</x:t>
  </x:si>
  <x:si>
    <x:t>http://id.who.int/icd/entity/456344472</x:t>
  </x:si>
  <x:si>
    <x:t>http://id.who.int/icd/release/11/beta/ichi/456344472</x:t>
  </x:si>
  <x:si>
    <x:t>KTB.RB.ZZ</x:t>
  </x:si>
  <x:si>
    <x:t>- - - - - Practical support for ingestion functions</x:t>
  </x:si>
  <x:si>
    <x:t>http://id.who.int/icd/entity/879999288</x:t>
  </x:si>
  <x:si>
    <x:t>http://id.who.int/icd/release/11/beta/ichi/879999288</x:t>
  </x:si>
  <x:si>
    <x:t>KTB.RC.ZZ</x:t>
  </x:si>
  <x:si>
    <x:t>- - - - - Emotional support for ingestion functions</x:t>
  </x:si>
  <x:si>
    <x:t>http://id.who.int/icd/entity/1156649653</x:t>
  </x:si>
  <x:si>
    <x:t>http://id.who.int/icd/release/11/beta/ichi/1156649653</x:t>
  </x:si>
  <x:si>
    <x:t>KTC.AA.ZZ</x:t>
  </x:si>
  <x:si>
    <x:t>- - - - - Assessment of swallowing</x:t>
  </x:si>
  <x:si>
    <x:t>http://id.who.int/icd/entity/1103445323</x:t>
  </x:si>
  <x:si>
    <x:t>http://id.who.int/icd/release/11/beta/ichi/1103445323</x:t>
  </x:si>
  <x:si>
    <x:t>KTC.AC.ZZ</x:t>
  </x:si>
  <x:si>
    <x:t>- - - - - Test of swallowing</x:t>
  </x:si>
  <x:si>
    <x:t>http://id.who.int/icd/entity/2071687597</x:t>
  </x:si>
  <x:si>
    <x:t>http://id.who.int/icd/release/11/beta/ichi/2071687597</x:t>
  </x:si>
  <x:si>
    <x:t>KTC.AE.AD</x:t>
  </x:si>
  <x:si>
    <x:t>- - - - - Video endoscopic evaluation of swallowing</x:t>
  </x:si>
  <x:si>
    <x:t>http://id.who.int/icd/entity/785481586</x:t>
  </x:si>
  <x:si>
    <x:t>http://id.who.int/icd/release/11/beta/ichi/785481586</x:t>
  </x:si>
  <x:si>
    <x:t>KTC.AM.ZZ</x:t>
  </x:si>
  <x:si>
    <x:t>- - - - - Observation of swallowing</x:t>
  </x:si>
  <x:si>
    <x:t>http://id.who.int/icd/entity/1582552319</x:t>
  </x:si>
  <x:si>
    <x:t>http://id.who.int/icd/release/11/beta/ichi/1582552319</x:t>
  </x:si>
  <x:si>
    <x:t>KTC.BA.BB</x:t>
  </x:si>
  <x:si>
    <x:t>- - - - - Video fluoroscopy to evaluate swallowing</x:t>
  </x:si>
  <x:si>
    <x:t>http://id.who.int/icd/entity/882262440</x:t>
  </x:si>
  <x:si>
    <x:t>http://id.who.int/icd/release/11/beta/ichi/882262440</x:t>
  </x:si>
  <x:si>
    <x:t>KTC.PG.ZZ</x:t>
  </x:si>
  <x:si>
    <x:t>- - - - - Assisting and leading exercise for swallowing</x:t>
  </x:si>
  <x:si>
    <x:t>http://id.who.int/icd/entity/832728662</x:t>
  </x:si>
  <x:si>
    <x:t>http://id.who.int/icd/release/11/beta/ichi/832728662</x:t>
  </x:si>
  <x:si>
    <x:t>KTC.PH.ZZ</x:t>
  </x:si>
  <x:si>
    <x:t>- - - - - Training for swallowing</x:t>
  </x:si>
  <x:si>
    <x:t>http://id.who.int/icd/entity/1318669641</x:t>
  </x:si>
  <x:si>
    <x:t>http://id.who.int/icd/release/11/beta/ichi/1318669641</x:t>
  </x:si>
  <x:si>
    <x:t>KTC.PM.ZZ</x:t>
  </x:si>
  <x:si>
    <x:t>- - - - - Education about swallowing</x:t>
  </x:si>
  <x:si>
    <x:t>http://id.who.int/icd/entity/551636514</x:t>
  </x:si>
  <x:si>
    <x:t>http://id.who.int/icd/release/11/beta/ichi/551636514</x:t>
  </x:si>
  <x:si>
    <x:t>KTC.PN.ZZ</x:t>
  </x:si>
  <x:si>
    <x:t>- - - - - Advising on swallowing</x:t>
  </x:si>
  <x:si>
    <x:t>http://id.who.int/icd/entity/1417266147</x:t>
  </x:si>
  <x:si>
    <x:t>http://id.who.int/icd/release/11/beta/ichi/1417266147</x:t>
  </x:si>
  <x:si>
    <x:t>KTC.RB.ZZ</x:t>
  </x:si>
  <x:si>
    <x:t>- - - - - Practical support for swallowing</x:t>
  </x:si>
  <x:si>
    <x:t>http://id.who.int/icd/entity/1312750905</x:t>
  </x:si>
  <x:si>
    <x:t>http://id.who.int/icd/release/11/beta/ichi/1312750905</x:t>
  </x:si>
  <x:si>
    <x:t>KTC.RC.ZZ</x:t>
  </x:si>
  <x:si>
    <x:t>- - - - - Emotional support for swallowing</x:t>
  </x:si>
  <x:si>
    <x:t>http://id.who.int/icd/entity/1161487253</x:t>
  </x:si>
  <x:si>
    <x:t>http://id.who.int/icd/release/11/beta/ichi/1161487253</x:t>
  </x:si>
  <x:si>
    <x:t>KTC.SC.ZZ</x:t>
  </x:si>
  <x:si>
    <x:t>- - - - - Facilitating swallowing</x:t>
  </x:si>
  <x:si>
    <x:t>http://id.who.int/icd/entity/1871856007</x:t>
  </x:si>
  <x:si>
    <x:t>http://id.who.int/icd/release/11/beta/ichi/1871856007</x:t>
  </x:si>
  <x:si>
    <x:t>KTE.AA.ZZ</x:t>
  </x:si>
  <x:si>
    <x:t>- - - - - Assessment of digestive functions</x:t>
  </x:si>
  <x:si>
    <x:t>http://id.who.int/icd/entity/1756615712</x:t>
  </x:si>
  <x:si>
    <x:t>http://id.who.int/icd/release/11/beta/ichi/1756615712</x:t>
  </x:si>
  <x:si>
    <x:t>KTH.AA.ZZ</x:t>
  </x:si>
  <x:si>
    <x:t>- - - - - Assessment of assimilation functions</x:t>
  </x:si>
  <x:si>
    <x:t>http://id.who.int/icd/entity/632202990</x:t>
  </x:si>
  <x:si>
    <x:t>http://id.who.int/icd/release/11/beta/ichi/632202990</x:t>
  </x:si>
  <x:si>
    <x:t>KTK.AA.ZZ</x:t>
  </x:si>
  <x:si>
    <x:t>- - - - - Assessment of defaecation functions</x:t>
  </x:si>
  <x:si>
    <x:t>http://id.who.int/icd/entity/2078625295</x:t>
  </x:si>
  <x:si>
    <x:t>http://id.who.int/icd/release/11/beta/ichi/2078625295</x:t>
  </x:si>
  <x:si>
    <x:t>KTK.AM.ZZ</x:t>
  </x:si>
  <x:si>
    <x:t>- - - - - Observation of defaecation functions</x:t>
  </x:si>
  <x:si>
    <x:t>http://id.who.int/icd/entity/2036218093</x:t>
  </x:si>
  <x:si>
    <x:t>http://id.who.int/icd/release/11/beta/ichi/2036218093</x:t>
  </x:si>
  <x:si>
    <x:t>KTK.PM.ZZ</x:t>
  </x:si>
  <x:si>
    <x:t>- - - - - Education about defaecation functions</x:t>
  </x:si>
  <x:si>
    <x:t>http://id.who.int/icd/entity/690348380</x:t>
  </x:si>
  <x:si>
    <x:t>http://id.who.int/icd/release/11/beta/ichi/690348380</x:t>
  </x:si>
  <x:si>
    <x:t>KTK.PN.ZZ</x:t>
  </x:si>
  <x:si>
    <x:t>- - - - - Advising about defaecation functions</x:t>
  </x:si>
  <x:si>
    <x:t>http://id.who.int/icd/entity/720557808</x:t>
  </x:si>
  <x:si>
    <x:t>http://id.who.int/icd/release/11/beta/ichi/720557808</x:t>
  </x:si>
  <x:si>
    <x:t>KTK.RB.ZZ</x:t>
  </x:si>
  <x:si>
    <x:t>- - - - - Practical support with defaecation function</x:t>
  </x:si>
  <x:si>
    <x:t>http://id.who.int/icd/entity/1994895487</x:t>
  </x:si>
  <x:si>
    <x:t>http://id.who.int/icd/release/11/beta/ichi/1994895487</x:t>
  </x:si>
  <x:si>
    <x:t>KTK.SC.ZZ</x:t>
  </x:si>
  <x:si>
    <x:t>- - - - - Stimulation for defaecation functions</x:t>
  </x:si>
  <x:si>
    <x:t>http://id.who.int/icd/entity/569821250</x:t>
  </x:si>
  <x:si>
    <x:t>http://id.who.int/icd/release/11/beta/ichi/569821250</x:t>
  </x:si>
  <x:si>
    <x:t>KTK.ZZ.ZZ</x:t>
  </x:si>
  <x:si>
    <x:t>- - - - - Other interventions on defaecation function, not elsewhere classified</x:t>
  </x:si>
  <x:si>
    <x:t>http://id.who.int/icd/entity/1439299057</x:t>
  </x:si>
  <x:si>
    <x:t>http://id.who.int/icd/release/11/beta/ichi/1439299057</x:t>
  </x:si>
  <x:si>
    <x:t>KTN.AA.ZZ</x:t>
  </x:si>
  <x:si>
    <x:t>- - - - - Assessment of weight maintenance functions</x:t>
  </x:si>
  <x:si>
    <x:t>http://id.who.int/icd/entity/1879353395</x:t>
  </x:si>
  <x:si>
    <x:t>http://id.who.int/icd/release/11/beta/ichi/1879353395</x:t>
  </x:si>
  <x:si>
    <x:t>KTN.AC.ZZ</x:t>
  </x:si>
  <x:si>
    <x:t>- - - - - Test of weight maintenance functions</x:t>
  </x:si>
  <x:si>
    <x:t>http://id.who.int/icd/entity/1782814441</x:t>
  </x:si>
  <x:si>
    <x:t>http://id.who.int/icd/release/11/beta/ichi/1782814441</x:t>
  </x:si>
  <x:si>
    <x:t>KTN.PM.ZZ</x:t>
  </x:si>
  <x:si>
    <x:t>- - - - - Education about weight maintenance</x:t>
  </x:si>
  <x:si>
    <x:t>http://id.who.int/icd/entity/1632077893</x:t>
  </x:si>
  <x:si>
    <x:t>http://id.who.int/icd/release/11/beta/ichi/1632077893</x:t>
  </x:si>
  <x:si>
    <x:t>KTN.PN.ZZ</x:t>
  </x:si>
  <x:si>
    <x:t>- - - - - Advising about functions related to weight management</x:t>
  </x:si>
  <x:si>
    <x:t>http://id.who.int/icd/entity/1889736771</x:t>
  </x:si>
  <x:si>
    <x:t>http://id.who.int/icd/release/11/beta/ichi/1889736771</x:t>
  </x:si>
  <x:si>
    <x:t>KTN.PP.ZZ</x:t>
  </x:si>
  <x:si>
    <x:t>- - - - - Counselling for weight management</x:t>
  </x:si>
  <x:si>
    <x:t>http://id.who.int/icd/entity/261634910</x:t>
  </x:si>
  <x:si>
    <x:t>http://id.who.int/icd/release/11/beta/ichi/261634910</x:t>
  </x:si>
  <x:si>
    <x:t>KTN.RB.ZZ</x:t>
  </x:si>
  <x:si>
    <x:t>- - - - - Practical support for weight management</x:t>
  </x:si>
  <x:si>
    <x:t>http://id.who.int/icd/entity/1249271467</x:t>
  </x:si>
  <x:si>
    <x:t>http://id.who.int/icd/release/11/beta/ichi/1249271467</x:t>
  </x:si>
  <x:si>
    <x:t>KTN.RC.ZZ</x:t>
  </x:si>
  <x:si>
    <x:t>- - - - - Emotional support for weight management</x:t>
  </x:si>
  <x:si>
    <x:t>http://id.who.int/icd/entity/989132072</x:t>
  </x:si>
  <x:si>
    <x:t>http://id.who.int/icd/release/11/beta/ichi/989132072</x:t>
  </x:si>
  <x:si>
    <x:t>KTQ.AA.ZZ</x:t>
  </x:si>
  <x:si>
    <x:t>- - - - - Assessment of sensations associated with the digestive functions</x:t>
  </x:si>
  <x:si>
    <x:t>http://id.who.int/icd/entity/1090255303</x:t>
  </x:si>
  <x:si>
    <x:t>http://id.who.int/icd/release/11/beta/ichi/1090255303</x:t>
  </x:si>
  <x:si>
    <x:t>KTQ.PN.ZZ</x:t>
  </x:si>
  <x:si>
    <x:t>- - - - - Advising about sensations associated with the digestive functions</x:t>
  </x:si>
  <x:si>
    <x:t>http://id.who.int/icd/entity/780401326</x:t>
  </x:si>
  <x:si>
    <x:t>http://id.who.int/icd/release/11/beta/ichi/780401326</x:t>
  </x:si>
  <x:si>
    <x:t>KTQ.PP.ZZ</x:t>
  </x:si>
  <x:si>
    <x:t>- - - - - Counselling for sensations associated with the digestive functions</x:t>
  </x:si>
  <x:si>
    <x:t>http://id.who.int/icd/entity/523872484</x:t>
  </x:si>
  <x:si>
    <x:t>http://id.who.int/icd/release/11/beta/ichi/523872484</x:t>
  </x:si>
  <x:si>
    <x:t>KTQ.RC.ZZ</x:t>
  </x:si>
  <x:si>
    <x:t>- - - - - Emotional support for sensations associated with the digestive system</x:t>
  </x:si>
  <x:si>
    <x:t>http://id.who.int/icd/entity/1600983155</x:t>
  </x:si>
  <x:si>
    <x:t>http://id.who.int/icd/release/11/beta/ichi/1600983155</x:t>
  </x:si>
  <x:si>
    <x:t>KTQ.ZZ.ZZ</x:t>
  </x:si>
  <x:si>
    <x:t>- - - - - Other interventions on sensations associated with the digestive system, not elsewhere classified</x:t>
  </x:si>
  <x:si>
    <x:t>http://id.who.int/icd/entity/1882057437</x:t>
  </x:si>
  <x:si>
    <x:t>http://id.who.int/icd/release/11/beta/ichi/1882057437</x:t>
  </x:si>
  <x:si>
    <x:t>BlockL4-KZZ</x:t>
  </x:si>
  <x:si>
    <x:t>- - - - Interventions on digestive system, not elsewhere classified</x:t>
  </x:si>
  <x:si>
    <x:t>http://id.who.int/icd/entity/1356110049</x:t>
  </x:si>
  <x:si>
    <x:t>http://id.who.int/icd/release/11/beta/ichi/1356110049</x:t>
  </x:si>
  <x:si>
    <x:t>KZZ.AD.AA</x:t>
  </x:si>
  <x:si>
    <x:t>- - - - - Intestinal biopsy, not elsewhere classified</x:t>
  </x:si>
  <x:si>
    <x:t>http://id.who.int/icd/entity/1666995348</x:t>
  </x:si>
  <x:si>
    <x:t>http://id.who.int/icd/release/11/beta/ichi/1666995348</x:t>
  </x:si>
  <x:si>
    <x:t>KZZ.AD.AD</x:t>
  </x:si>
  <x:si>
    <x:t>- - - - - Endoscopic intestinal biopsy, not elsewhere classified</x:t>
  </x:si>
  <x:si>
    <x:t>http://id.who.int/icd/entity/1964623139</x:t>
  </x:si>
  <x:si>
    <x:t>http://id.who.int/icd/release/11/beta/ichi/1964623139</x:t>
  </x:si>
  <x:si>
    <x:t>KZZ.BA.AD</x:t>
  </x:si>
  <x:si>
    <x:t>- - - - - Panendoscopy of digestive tract, via camera capsule, not elsewhere classified</x:t>
  </x:si>
  <x:si>
    <x:t>http://id.who.int/icd/entity/1430718319</x:t>
  </x:si>
  <x:si>
    <x:t>http://id.who.int/icd/release/11/beta/ichi/1430718319</x:t>
  </x:si>
  <x:si>
    <x:t>KZZ.BA.BE</x:t>
  </x:si>
  <x:si>
    <x:t>- - - - - Nuclear imaging study of gastrointestinal tract, not elsewhere classified</x:t>
  </x:si>
  <x:si>
    <x:t>http://id.who.int/icd/entity/633711842</x:t>
  </x:si>
  <x:si>
    <x:t>http://id.who.int/icd/release/11/beta/ichi/633711842</x:t>
  </x:si>
  <x:si>
    <x:t>KZZ.BA.BJ</x:t>
  </x:si>
  <x:si>
    <x:t>- - - - - Ultrasound of digestive system, not elsewhere classified</x:t>
  </x:si>
  <x:si>
    <x:t>http://id.who.int/icd/entity/176510542</x:t>
  </x:si>
  <x:si>
    <x:t>http://id.who.int/icd/release/11/beta/ichi/176510542</x:t>
  </x:si>
  <x:si>
    <x:t>KZZ.FA.AA</x:t>
  </x:si>
  <x:si>
    <x:t>- - - - - Delayed opening of other enterostomy, not elsewhere classified</x:t>
  </x:si>
  <x:si>
    <x:t>http://id.who.int/icd/entity/640153287</x:t>
  </x:si>
  <x:si>
    <x:t>http://id.who.int/icd/release/11/beta/ichi/640153287</x:t>
  </x:si>
  <x:si>
    <x:t>KZZ.JD.AC</x:t>
  </x:si>
  <x:si>
    <x:t>- - - - - Removal of internal device or foreign body from digestive system, not elsewhere classified</x:t>
  </x:si>
  <x:si>
    <x:t>http://id.who.int/icd/entity/1453677898</x:t>
  </x:si>
  <x:si>
    <x:t>http://id.who.int/icd/release/11/beta/ichi/1453677898</x:t>
  </x:si>
  <x:si>
    <x:t>KZZ.LB.AA</x:t>
  </x:si>
  <x:si>
    <x:t>- - - - - Anastomosis of intestine, not elsewhere classified</x:t>
  </x:si>
  <x:si>
    <x:t>http://id.who.int/icd/entity/157748329</x:t>
  </x:si>
  <x:si>
    <x:t>http://id.who.int/icd/release/11/beta/ichi/157748329</x:t>
  </x:si>
  <x:si>
    <x:t>KZZ.LC.AA</x:t>
  </x:si>
  <x:si>
    <x:t>- - - - - Fixation of intestine, not elsewhere classified</x:t>
  </x:si>
  <x:si>
    <x:t>http://id.who.int/icd/entity/206775191</x:t>
  </x:si>
  <x:si>
    <x:t>http://id.who.int/icd/release/11/beta/ichi/206775191</x:t>
  </x:si>
  <x:si>
    <x:t>KZZ.LG.AD</x:t>
  </x:si>
  <x:si>
    <x:t>- - - - - Endoscopic dilatation of intestine, not elsewhere classified</x:t>
  </x:si>
  <x:si>
    <x:t>http://id.who.int/icd/entity/1546189350</x:t>
  </x:si>
  <x:si>
    <x:t>http://id.who.int/icd/release/11/beta/ichi/1546189350</x:t>
  </x:si>
  <x:si>
    <x:t>KZZ.LI.AA</x:t>
  </x:si>
  <x:si>
    <x:t>- - - - - Other enterostomy, not elsewhere classified</x:t>
  </x:si>
  <x:si>
    <x:t>http://id.who.int/icd/entity/588503353</x:t>
  </x:si>
  <x:si>
    <x:t>http://id.who.int/icd/release/11/beta/ichi/588503353</x:t>
  </x:si>
  <x:si>
    <x:t>KZZ.LJ.AA</x:t>
  </x:si>
  <x:si>
    <x:t>- - - - - Isolation of intestinal segment, not elsewhere classified</x:t>
  </x:si>
  <x:si>
    <x:t>http://id.who.int/icd/entity/1991890920</x:t>
  </x:si>
  <x:si>
    <x:t>http://id.who.int/icd/release/11/beta/ichi/1991890920</x:t>
  </x:si>
  <x:si>
    <x:t>KZZ.MK.AA</x:t>
  </x:si>
  <x:si>
    <x:t>- - - - - Repair of intestine, not elsewhere classified</x:t>
  </x:si>
  <x:si>
    <x:t>http://id.who.int/icd/release/11/beta/ichi/1343064949/other</x:t>
  </x:si>
  <x:si>
    <x:t>KZZ.ZY.ZY</x:t>
  </x:si>
  <x:si>
    <x:t>- - - - Other specified interventions on the digestive system</x:t>
  </x:si>
  <x:si>
    <x:t>http://id.who.int/icd/release/11/beta/ichi/1343064949/unspecified</x:t>
  </x:si>
  <x:si>
    <x:t>KZZ.ZZ.ZZ</x:t>
  </x:si>
  <x:si>
    <x:t>- - - - Interventions on the digestive system, unspecified</x:t>
  </x:si>
  <x:si>
    <x:t>http://id.who.int/icd/entity/743418171</x:t>
  </x:si>
  <x:si>
    <x:t>http://id.who.int/icd/release/11/beta/ichi/743418171</x:t>
  </x:si>
  <x:si>
    <x:t>BlockL3-LAA</x:t>
  </x:si>
  <x:si>
    <x:t>- - - Interventions on the integumentary system</x:t>
  </x:si>
  <x:si>
    <x:t>http://id.who.int/icd/entity/1938683930</x:t>
  </x:si>
  <x:si>
    <x:t>http://id.who.int/icd/release/11/beta/ichi/1938683930</x:t>
  </x:si>
  <x:si>
    <x:t>BlockL4-LAA</x:t>
  </x:si>
  <x:si>
    <x:t>- - - - Interventions on skin</x:t>
  </x:si>
  <x:si>
    <x:t>104</x:t>
  </x:si>
  <x:si>
    <x:t>http://id.who.int/icd/entity/1774896836</x:t>
  </x:si>
  <x:si>
    <x:t>http://id.who.int/icd/release/11/beta/ichi/1774896836</x:t>
  </x:si>
  <x:si>
    <x:t>LAA.AD.AE</x:t>
  </x:si>
  <x:si>
    <x:t>- - - - - Biopsy of skin and subcutaneous cell tissue of head or neck</x:t>
  </x:si>
  <x:si>
    <x:t>http://id.who.int/icd/entity/2090057978</x:t>
  </x:si>
  <x:si>
    <x:t>http://id.who.int/icd/release/11/beta/ichi/2090057978</x:t>
  </x:si>
  <x:si>
    <x:t>LAA.DB.AH</x:t>
  </x:si>
  <x:si>
    <x:t>- - - - - External application of substance or living organism to skin and subcutaneous tissue of head or neck</x:t>
  </x:si>
  <x:si>
    <x:t>http://id.who.int/icd/entity/1792168883</x:t>
  </x:si>
  <x:si>
    <x:t>http://id.who.int/icd/release/11/beta/ichi/1792168883</x:t>
  </x:si>
  <x:si>
    <x:t>LAA.DC.AE</x:t>
  </x:si>
  <x:si>
    <x:t>- - - - - Injection of anaesthesia into skin and subcutaneous cell tissue of head or neck</x:t>
  </x:si>
  <x:si>
    <x:t>http://id.who.int/icd/entity/1748957421</x:t>
  </x:si>
  <x:si>
    <x:t>http://id.who.int/icd/release/11/beta/ichi/1748957421</x:t>
  </x:si>
  <x:si>
    <x:t>LAA.DL.AA</x:t>
  </x:si>
  <x:si>
    <x:t>- - - - - Insertion of device into skin and subcutaneous tissue of head or neck</x:t>
  </x:si>
  <x:si>
    <x:t>http://id.who.int/icd/entity/917448593</x:t>
  </x:si>
  <x:si>
    <x:t>http://id.who.int/icd/release/11/beta/ichi/917448593</x:t>
  </x:si>
  <x:si>
    <x:t>LAA.DL.AE</x:t>
  </x:si>
  <x:si>
    <x:t>- - - - - Percutaneous insertion of device into skin and subcutaneous cell tissue of head or neck</x:t>
  </x:si>
  <x:si>
    <x:t>http://id.who.int/icd/entity/1034631485</x:t>
  </x:si>
  <x:si>
    <x:t>http://id.who.int/icd/release/11/beta/ichi/1034631485</x:t>
  </x:si>
  <x:si>
    <x:t>LAA.DN.AA</x:t>
  </x:si>
  <x:si>
    <x:t>- - - - - Implantation of device into skin and subcutaneous tissue of head or neck</x:t>
  </x:si>
  <x:si>
    <x:t>http://id.who.int/icd/entity/63171051</x:t>
  </x:si>
  <x:si>
    <x:t>http://id.who.int/icd/release/11/beta/ichi/63171051</x:t>
  </x:si>
  <x:si>
    <x:t>LAA.GA.AH</x:t>
  </x:si>
  <x:si>
    <x:t>- - - - - Destruction of skin and subcutaneous cell tissue of head or neck</x:t>
  </x:si>
  <x:si>
    <x:t>http://id.who.int/icd/entity/1543616712</x:t>
  </x:si>
  <x:si>
    <x:t>http://id.who.int/icd/release/11/beta/ichi/1543616712</x:t>
  </x:si>
  <x:si>
    <x:t>LAA.GA.BA</x:t>
  </x:si>
  <x:si>
    <x:t>- - - - - Destruction of lesion or tissue of skin and subcutaneous cell tissue of head or neck by radiotherapy</x:t>
  </x:si>
  <x:si>
    <x:t>http://id.who.int/icd/entity/1496684342</x:t>
  </x:si>
  <x:si>
    <x:t>http://id.who.int/icd/release/11/beta/ichi/1496684342</x:t>
  </x:si>
  <x:si>
    <x:t>LAA.JB.AA</x:t>
  </x:si>
  <x:si>
    <x:t>- - - - - Drainage of skin and subcutaneous cell tissue of head or neck</x:t>
  </x:si>
  <x:si>
    <x:t>http://id.who.int/icd/entity/1987407258</x:t>
  </x:si>
  <x:si>
    <x:t>http://id.who.int/icd/release/11/beta/ichi/1987407258</x:t>
  </x:si>
  <x:si>
    <x:t>LAA.JB.AE</x:t>
  </x:si>
  <x:si>
    <x:t>- - - - - Percutaneous drainage of skin and subcutaneous cell tissue of head or neck</x:t>
  </x:si>
  <x:si>
    <x:t>http://id.who.int/icd/entity/1717177536</x:t>
  </x:si>
  <x:si>
    <x:t>http://id.who.int/icd/release/11/beta/ichi/1717177536</x:t>
  </x:si>
  <x:si>
    <x:t>LAA.JD.AA</x:t>
  </x:si>
  <x:si>
    <x:t>- - - - - Removal of internal device or foreign body of skin and subcutaneous cell tissue of head or neck</x:t>
  </x:si>
  <x:si>
    <x:t>http://id.who.int/icd/entity/1226503696</x:t>
  </x:si>
  <x:si>
    <x:t>http://id.who.int/icd/release/11/beta/ichi/1226503696</x:t>
  </x:si>
  <x:si>
    <x:t>LAA.JD.AE</x:t>
  </x:si>
  <x:si>
    <x:t>- - - - - Percutaneous removal of internal device or foreign body from skin or subcutaneous tissue of head or neck</x:t>
  </x:si>
  <x:si>
    <x:t>http://id.who.int/icd/entity/966286749</x:t>
  </x:si>
  <x:si>
    <x:t>http://id.who.int/icd/release/11/beta/ichi/966286749</x:t>
  </x:si>
  <x:si>
    <x:t>LAA.JD.AH</x:t>
  </x:si>
  <x:si>
    <x:t>- - - - - Removal of internal device or foreign body from skin and subcutaneous cell tissue of head or neck without incision</x:t>
  </x:si>
  <x:si>
    <x:t>http://id.who.int/icd/entity/1017934435</x:t>
  </x:si>
  <x:si>
    <x:t>http://id.who.int/icd/release/11/beta/ichi/1017934435</x:t>
  </x:si>
  <x:si>
    <x:t>LAA.JG.AA</x:t>
  </x:si>
  <x:si>
    <x:t>- - - - - Debridement of skin and subcutaneous cell tissue of head or neck</x:t>
  </x:si>
  <x:si>
    <x:t>http://id.who.int/icd/entity/1668162370</x:t>
  </x:si>
  <x:si>
    <x:t>http://id.who.int/icd/release/11/beta/ichi/1668162370</x:t>
  </x:si>
  <x:si>
    <x:t>LAA.JG.AH</x:t>
  </x:si>
  <x:si>
    <x:t>- - - - - Debridement of skin and subcutaneous cell tissue of head or neck, without incision</x:t>
  </x:si>
  <x:si>
    <x:t>http://id.who.int/icd/entity/857078513</x:t>
  </x:si>
  <x:si>
    <x:t>http://id.who.int/icd/release/11/beta/ichi/857078513</x:t>
  </x:si>
  <x:si>
    <x:t>LAA.JH.AA</x:t>
  </x:si>
  <x:si>
    <x:t>- - - - - Procurement of skin and subcutaneous cell tissue of head or neck</x:t>
  </x:si>
  <x:si>
    <x:t>http://id.who.int/icd/entity/151783015</x:t>
  </x:si>
  <x:si>
    <x:t>http://id.who.int/icd/release/11/beta/ichi/151783015</x:t>
  </x:si>
  <x:si>
    <x:t>LAA.JI.AA</x:t>
  </x:si>
  <x:si>
    <x:t>- - - - - Local excision of skin and subcutaneous cell tissue of head or neck</x:t>
  </x:si>
  <x:si>
    <x:t>http://id.who.int/icd/entity/867322497</x:t>
  </x:si>
  <x:si>
    <x:t>http://id.who.int/icd/release/11/beta/ichi/867322497</x:t>
  </x:si>
  <x:si>
    <x:t>LAA.JJ.AA</x:t>
  </x:si>
  <x:si>
    <x:t>- - - - - Partial excision of skin and subcutaneous cell tissue of head or neck</x:t>
  </x:si>
  <x:si>
    <x:t>http://id.who.int/icd/entity/655962699</x:t>
  </x:si>
  <x:si>
    <x:t>http://id.who.int/icd/release/11/beta/ichi/655962699</x:t>
  </x:si>
  <x:si>
    <x:t>LAA.JJ.AB</x:t>
  </x:si>
  <x:si>
    <x:t>- - - - - Endoscopic partial excision of skin and subcutaneous cell tissue of head or neck</x:t>
  </x:si>
  <x:si>
    <x:t>http://id.who.int/icd/entity/1149646786</x:t>
  </x:si>
  <x:si>
    <x:t>http://id.who.int/icd/release/11/beta/ichi/1149646786</x:t>
  </x:si>
  <x:si>
    <x:t>LAA.KA.AA</x:t>
  </x:si>
  <x:si>
    <x:t>- - - - - Replacement of internal device of skin and subcutaneous tissue of head or neck</x:t>
  </x:si>
  <x:si>
    <x:t>http://id.who.int/icd/entity/1029573777</x:t>
  </x:si>
  <x:si>
    <x:t>http://id.who.int/icd/release/11/beta/ichi/1029573777</x:t>
  </x:si>
  <x:si>
    <x:t>LAA.LC.AA</x:t>
  </x:si>
  <x:si>
    <x:t>- - - - - Fixation of skin and subcutaneous cell tissue of head or neck</x:t>
  </x:si>
  <x:si>
    <x:t>http://id.who.int/icd/entity/2112834710</x:t>
  </x:si>
  <x:si>
    <x:t>http://id.who.int/icd/release/11/beta/ichi/2112834710</x:t>
  </x:si>
  <x:si>
    <x:t>LAA.LD.AA</x:t>
  </x:si>
  <x:si>
    <x:t>- - - - - Reattachment of scalp</x:t>
  </x:si>
  <x:si>
    <x:t>http://id.who.int/icd/entity/1444028422</x:t>
  </x:si>
  <x:si>
    <x:t>http://id.who.int/icd/release/11/beta/ichi/1444028422</x:t>
  </x:si>
  <x:si>
    <x:t>LAA.LK.AA</x:t>
  </x:si>
  <x:si>
    <x:t>- - - - - Augmentation of skin and subcutaneous cell tissue of head or neck</x:t>
  </x:si>
  <x:si>
    <x:t>http://id.who.int/icd/entity/1739092556</x:t>
  </x:si>
  <x:si>
    <x:t>http://id.who.int/icd/release/11/beta/ichi/1739092556</x:t>
  </x:si>
  <x:si>
    <x:t>LAA.LL.AA</x:t>
  </x:si>
  <x:si>
    <x:t>- - - - - Reduction of skin and subcutaneous cell tissue of head or neck</x:t>
  </x:si>
  <x:si>
    <x:t>http://id.who.int/icd/entity/670878427</x:t>
  </x:si>
  <x:si>
    <x:t>http://id.who.int/icd/release/11/beta/ichi/670878427</x:t>
  </x:si>
  <x:si>
    <x:t>LAA.LL.AE</x:t>
  </x:si>
  <x:si>
    <x:t>- - - - - Liposuction of face and neck</x:t>
  </x:si>
  <x:si>
    <x:t>http://id.who.int/icd/entity/201434699</x:t>
  </x:si>
  <x:si>
    <x:t>http://id.who.int/icd/release/11/beta/ichi/201434699</x:t>
  </x:si>
  <x:si>
    <x:t>LAA.MK.AA</x:t>
  </x:si>
  <x:si>
    <x:t>- - - - - Repair of skin and subcutaneous cell tissue of head or neck</x:t>
  </x:si>
  <x:si>
    <x:t>http://id.who.int/icd/entity/1178419488</x:t>
  </x:si>
  <x:si>
    <x:t>http://id.who.int/icd/release/11/beta/ichi/1178419488</x:t>
  </x:si>
  <x:si>
    <x:t>LAA.ML.AA</x:t>
  </x:si>
  <x:si>
    <x:t>- - - - - Skin graft to head or neck</x:t>
  </x:si>
  <x:si>
    <x:t>http://id.who.int/icd/entity/820057214</x:t>
  </x:si>
  <x:si>
    <x:t>http://id.who.int/icd/release/11/beta/ichi/820057214</x:t>
  </x:si>
  <x:si>
    <x:t>LAA.SC.AH</x:t>
  </x:si>
  <x:si>
    <x:t>- - - - - Phototherapy to skin and subcutaneous cell tissue of head or neck</x:t>
  </x:si>
  <x:si>
    <x:t>http://id.who.int/icd/entity/109838631</x:t>
  </x:si>
  <x:si>
    <x:t>http://id.who.int/icd/release/11/beta/ichi/109838631</x:t>
  </x:si>
  <x:si>
    <x:t>LAA.SN.AE</x:t>
  </x:si>
  <x:si>
    <x:t>- - - - - Management of internal device of skin and subcutaneous cell tissue of head or neck</x:t>
  </x:si>
  <x:si>
    <x:t>http://id.who.int/icd/entity/1924349076</x:t>
  </x:si>
  <x:si>
    <x:t>http://id.who.int/icd/release/11/beta/ichi/1924349076</x:t>
  </x:si>
  <x:si>
    <x:t>LAB.AD.AE</x:t>
  </x:si>
  <x:si>
    <x:t>- - - - - Biopsy of skin and subcutaneous cell tissue of trunk</x:t>
  </x:si>
  <x:si>
    <x:t>http://id.who.int/icd/entity/1750315584</x:t>
  </x:si>
  <x:si>
    <x:t>http://id.who.int/icd/release/11/beta/ichi/1750315584</x:t>
  </x:si>
  <x:si>
    <x:t>LAB.DB.AH</x:t>
  </x:si>
  <x:si>
    <x:t>- - - - - External application of substance or living organism to skin and subcutaneous tissue of trunk</x:t>
  </x:si>
  <x:si>
    <x:t>http://id.who.int/icd/entity/1374004885</x:t>
  </x:si>
  <x:si>
    <x:t>http://id.who.int/icd/release/11/beta/ichi/1374004885</x:t>
  </x:si>
  <x:si>
    <x:t>LAB.DC.AE</x:t>
  </x:si>
  <x:si>
    <x:t>- - - - - Injection of anaesthesia into skin and subcutaneous cell tissue of trunk</x:t>
  </x:si>
  <x:si>
    <x:t>http://id.who.int/icd/entity/1431928216</x:t>
  </x:si>
  <x:si>
    <x:t>http://id.who.int/icd/release/11/beta/ichi/1431928216</x:t>
  </x:si>
  <x:si>
    <x:t>LAB.DL.AA</x:t>
  </x:si>
  <x:si>
    <x:t>- - - - - Insertion of device into skin and subcutaneous cell tissue of trunk</x:t>
  </x:si>
  <x:si>
    <x:t>http://id.who.int/icd/entity/577721685</x:t>
  </x:si>
  <x:si>
    <x:t>http://id.who.int/icd/release/11/beta/ichi/577721685</x:t>
  </x:si>
  <x:si>
    <x:t>LAB.DL.AE</x:t>
  </x:si>
  <x:si>
    <x:t>- - - - - Percutaneous insertion of device into skin and subcutaneous cell tissue of trunk</x:t>
  </x:si>
  <x:si>
    <x:t>http://id.who.int/icd/entity/1199063712</x:t>
  </x:si>
  <x:si>
    <x:t>http://id.who.int/icd/release/11/beta/ichi/1199063712</x:t>
  </x:si>
  <x:si>
    <x:t>LAB.FA.AA</x:t>
  </x:si>
  <x:si>
    <x:t>- - - - - Incision of skin and subcutaneous cell tissue of trunk</x:t>
  </x:si>
  <x:si>
    <x:t>http://id.who.int/icd/entity/386112303</x:t>
  </x:si>
  <x:si>
    <x:t>http://id.who.int/icd/release/11/beta/ichi/386112303</x:t>
  </x:si>
  <x:si>
    <x:t>LAB.GA.AH</x:t>
  </x:si>
  <x:si>
    <x:t>- - - - - Destruction of skin and subcutaneous cell tissue of trunk</x:t>
  </x:si>
  <x:si>
    <x:t>http://id.who.int/icd/entity/1748547632</x:t>
  </x:si>
  <x:si>
    <x:t>http://id.who.int/icd/release/11/beta/ichi/1748547632</x:t>
  </x:si>
  <x:si>
    <x:t>LAB.GA.BA</x:t>
  </x:si>
  <x:si>
    <x:t>- - - - - Destruction of lesion or tissue of skin and subcutaneous cell tissue of trunk by radiotherapy</x:t>
  </x:si>
  <x:si>
    <x:t>http://id.who.int/icd/entity/141593099</x:t>
  </x:si>
  <x:si>
    <x:t>http://id.who.int/icd/release/11/beta/ichi/141593099</x:t>
  </x:si>
  <x:si>
    <x:t>LAB.JB.AA</x:t>
  </x:si>
  <x:si>
    <x:t>- - - - - Drainage of skin and subcutaneous cell tissue of trunk</x:t>
  </x:si>
  <x:si>
    <x:t>http://id.who.int/icd/entity/1112304994</x:t>
  </x:si>
  <x:si>
    <x:t>http://id.who.int/icd/release/11/beta/ichi/1112304994</x:t>
  </x:si>
  <x:si>
    <x:t>LAB.JB.AE</x:t>
  </x:si>
  <x:si>
    <x:t>- - - - - Percutaneous drainage of skin and subcutaneous cell tissue of trunk</x:t>
  </x:si>
  <x:si>
    <x:t>http://id.who.int/icd/entity/924782979</x:t>
  </x:si>
  <x:si>
    <x:t>http://id.who.int/icd/release/11/beta/ichi/924782979</x:t>
  </x:si>
  <x:si>
    <x:t>LAB.JD.AA</x:t>
  </x:si>
  <x:si>
    <x:t>- - - - - Removal of internal device or foreign body of skin and subcutaneous cell tissue of trunk</x:t>
  </x:si>
  <x:si>
    <x:t>http://id.who.int/icd/entity/2099508968</x:t>
  </x:si>
  <x:si>
    <x:t>http://id.who.int/icd/release/11/beta/ichi/2099508968</x:t>
  </x:si>
  <x:si>
    <x:t>LAB.JD.AE</x:t>
  </x:si>
  <x:si>
    <x:t>- - - - - Percutaneous removal of internal device or foreign body from skin and subcutaneous cell tissue of the trunk</x:t>
  </x:si>
  <x:si>
    <x:t>http://id.who.int/icd/entity/324793729</x:t>
  </x:si>
  <x:si>
    <x:t>http://id.who.int/icd/release/11/beta/ichi/324793729</x:t>
  </x:si>
  <x:si>
    <x:t>LAB.JD.AH</x:t>
  </x:si>
  <x:si>
    <x:t>- - - - - Removal of internal device or foreign body from skin and subcutaneous tissue of trunk without incision</x:t>
  </x:si>
  <x:si>
    <x:t>http://id.who.int/icd/entity/144011931</x:t>
  </x:si>
  <x:si>
    <x:t>http://id.who.int/icd/release/11/beta/ichi/144011931</x:t>
  </x:si>
  <x:si>
    <x:t>LAB.JG.AA</x:t>
  </x:si>
  <x:si>
    <x:t>- - - - - Debridement of skin and subcutaneous cell tissue of trunk</x:t>
  </x:si>
  <x:si>
    <x:t>http://id.who.int/icd/entity/1465328570</x:t>
  </x:si>
  <x:si>
    <x:t>http://id.who.int/icd/release/11/beta/ichi/1465328570</x:t>
  </x:si>
  <x:si>
    <x:t>LAB.JG.AH</x:t>
  </x:si>
  <x:si>
    <x:t>- - - - - Debridement of skin and subcutaneous cell tissue of trunk, without incision</x:t>
  </x:si>
  <x:si>
    <x:t>http://id.who.int/icd/entity/120388105</x:t>
  </x:si>
  <x:si>
    <x:t>http://id.who.int/icd/release/11/beta/ichi/120388105</x:t>
  </x:si>
  <x:si>
    <x:t>LAB.JH.AA</x:t>
  </x:si>
  <x:si>
    <x:t>- - - - - Procurement of skin and subcutaneous cell tissue of trunk</x:t>
  </x:si>
  <x:si>
    <x:t>http://id.who.int/icd/entity/1833885488</x:t>
  </x:si>
  <x:si>
    <x:t>http://id.who.int/icd/release/11/beta/ichi/1833885488</x:t>
  </x:si>
  <x:si>
    <x:t>LAB.JI.AA</x:t>
  </x:si>
  <x:si>
    <x:t>- - - - - Local excision of skin and subcutaneous cell tissue of trunk</x:t>
  </x:si>
  <x:si>
    <x:t>http://id.who.int/icd/entity/1997136374</x:t>
  </x:si>
  <x:si>
    <x:t>http://id.who.int/icd/release/11/beta/ichi/1997136374</x:t>
  </x:si>
  <x:si>
    <x:t>LAB.JJ.AA</x:t>
  </x:si>
  <x:si>
    <x:t>- - - - - Partial excision of skin and subcutaneous cell tissue of trunk</x:t>
  </x:si>
  <x:si>
    <x:t>http://id.who.int/icd/entity/1949359853</x:t>
  </x:si>
  <x:si>
    <x:t>http://id.who.int/icd/release/11/beta/ichi/1949359853</x:t>
  </x:si>
  <x:si>
    <x:t>LAB.KA.AA</x:t>
  </x:si>
  <x:si>
    <x:t>- - - - - Replacement of internal device of skin and subcutaneous tissue of trunk</x:t>
  </x:si>
  <x:si>
    <x:t>http://id.who.int/icd/entity/298623142</x:t>
  </x:si>
  <x:si>
    <x:t>http://id.who.int/icd/release/11/beta/ichi/298623142</x:t>
  </x:si>
  <x:si>
    <x:t>LAB.LC.AA</x:t>
  </x:si>
  <x:si>
    <x:t>- - - - - Fixation of skin and subcutaneous cell tissue of trunk</x:t>
  </x:si>
  <x:si>
    <x:t>http://id.who.int/icd/entity/2142544845</x:t>
  </x:si>
  <x:si>
    <x:t>http://id.who.int/icd/release/11/beta/ichi/2142544845</x:t>
  </x:si>
  <x:si>
    <x:t>LAB.LK.AA</x:t>
  </x:si>
  <x:si>
    <x:t>- - - - - Augmentation of skin and subcutaneous cell tissue of trunk</x:t>
  </x:si>
  <x:si>
    <x:t>http://id.who.int/icd/entity/1309602183</x:t>
  </x:si>
  <x:si>
    <x:t>http://id.who.int/icd/release/11/beta/ichi/1309602183</x:t>
  </x:si>
  <x:si>
    <x:t>LAB.LL.AA</x:t>
  </x:si>
  <x:si>
    <x:t>- - - - - Reduction of skin and subcutaneous cell tissue of trunk</x:t>
  </x:si>
  <x:si>
    <x:t>http://id.who.int/icd/entity/247443842</x:t>
  </x:si>
  <x:si>
    <x:t>http://id.who.int/icd/release/11/beta/ichi/247443842</x:t>
  </x:si>
  <x:si>
    <x:t>LAB.LL.AE</x:t>
  </x:si>
  <x:si>
    <x:t>- - - - - Liposuction of abdominal region and buttocks</x:t>
  </x:si>
  <x:si>
    <x:t>http://id.who.int/icd/entity/1951745521</x:t>
  </x:si>
  <x:si>
    <x:t>http://id.who.int/icd/release/11/beta/ichi/1951745521</x:t>
  </x:si>
  <x:si>
    <x:t>LAB.MK.AA</x:t>
  </x:si>
  <x:si>
    <x:t>- - - - - Repair of skin and subcutaneous cell tissue of trunk</x:t>
  </x:si>
  <x:si>
    <x:t>http://id.who.int/icd/entity/1324026135</x:t>
  </x:si>
  <x:si>
    <x:t>http://id.who.int/icd/release/11/beta/ichi/1324026135</x:t>
  </x:si>
  <x:si>
    <x:t>LAB.ML.AA</x:t>
  </x:si>
  <x:si>
    <x:t>- - - - - Skin graft to trunk</x:t>
  </x:si>
  <x:si>
    <x:t>http://id.who.int/icd/entity/454850798</x:t>
  </x:si>
  <x:si>
    <x:t>http://id.who.int/icd/release/11/beta/ichi/454850798</x:t>
  </x:si>
  <x:si>
    <x:t>LAB.SC.AH</x:t>
  </x:si>
  <x:si>
    <x:t>- - - - - Phototherapy to skin and subcutaneous cell tissue of trunk</x:t>
  </x:si>
  <x:si>
    <x:t>http://id.who.int/icd/entity/240797970</x:t>
  </x:si>
  <x:si>
    <x:t>http://id.who.int/icd/release/11/beta/ichi/240797970</x:t>
  </x:si>
  <x:si>
    <x:t>LAB.SN.AE</x:t>
  </x:si>
  <x:si>
    <x:t>- - - - - Management of internal device of skin and subcutaneous cell tissue of trunk</x:t>
  </x:si>
  <x:si>
    <x:t>http://id.who.int/icd/entity/31703428</x:t>
  </x:si>
  <x:si>
    <x:t>http://id.who.int/icd/release/11/beta/ichi/31703428</x:t>
  </x:si>
  <x:si>
    <x:t>LAE.AD.AE</x:t>
  </x:si>
  <x:si>
    <x:t>- - - - - Biopsy of skin and subcutaneous cell tissue of upper limb</x:t>
  </x:si>
  <x:si>
    <x:t>http://id.who.int/icd/entity/1368922163</x:t>
  </x:si>
  <x:si>
    <x:t>http://id.who.int/icd/release/11/beta/ichi/1368922163</x:t>
  </x:si>
  <x:si>
    <x:t>LAE.DB.AH</x:t>
  </x:si>
  <x:si>
    <x:t>- - - - - External application of substance or living organism to skin and subcutaneous tissue of the upper limb</x:t>
  </x:si>
  <x:si>
    <x:t>http://id.who.int/icd/entity/237500344</x:t>
  </x:si>
  <x:si>
    <x:t>http://id.who.int/icd/release/11/beta/ichi/237500344</x:t>
  </x:si>
  <x:si>
    <x:t>LAE.DC.AE</x:t>
  </x:si>
  <x:si>
    <x:t>- - - - - Injection of anaesthesia into skin and subcutaneous cell tissue of upper limb</x:t>
  </x:si>
  <x:si>
    <x:t>http://id.who.int/icd/entity/1006255382</x:t>
  </x:si>
  <x:si>
    <x:t>http://id.who.int/icd/release/11/beta/ichi/1006255382</x:t>
  </x:si>
  <x:si>
    <x:t>LAE.DL.AE</x:t>
  </x:si>
  <x:si>
    <x:t>- - - - - Percutaneous insertion of device into skin and subcutaneous cell tissue of upper limb</x:t>
  </x:si>
  <x:si>
    <x:t>http://id.who.int/icd/entity/21262834</x:t>
  </x:si>
  <x:si>
    <x:t>http://id.who.int/icd/release/11/beta/ichi/21262834</x:t>
  </x:si>
  <x:si>
    <x:t>LAE.GA.AH</x:t>
  </x:si>
  <x:si>
    <x:t>- - - - - Destruction of skin and subcutaneous cell tissue of upper limb</x:t>
  </x:si>
  <x:si>
    <x:t>http://id.who.int/icd/entity/567675328</x:t>
  </x:si>
  <x:si>
    <x:t>http://id.who.int/icd/release/11/beta/ichi/567675328</x:t>
  </x:si>
  <x:si>
    <x:t>LAE.GA.BA</x:t>
  </x:si>
  <x:si>
    <x:t>- - - - - Destruction of lesion or tissue of skin and subcutaneous cell tissue of upper limb by radiotherapy</x:t>
  </x:si>
  <x:si>
    <x:t>http://id.who.int/icd/entity/244773744</x:t>
  </x:si>
  <x:si>
    <x:t>http://id.who.int/icd/release/11/beta/ichi/244773744</x:t>
  </x:si>
  <x:si>
    <x:t>LAE.JB.AA</x:t>
  </x:si>
  <x:si>
    <x:t>- - - - - Drainage of skin and subcutaneous cell tissue of upper limb</x:t>
  </x:si>
  <x:si>
    <x:t>http://id.who.int/icd/entity/1592601311</x:t>
  </x:si>
  <x:si>
    <x:t>http://id.who.int/icd/release/11/beta/ichi/1592601311</x:t>
  </x:si>
  <x:si>
    <x:t>LAE.JB.AE</x:t>
  </x:si>
  <x:si>
    <x:t>- - - - - Percutaneous drainage of skin and subcutaneous cell tissue of upper limb</x:t>
  </x:si>
  <x:si>
    <x:t>http://id.who.int/icd/entity/1540949281</x:t>
  </x:si>
  <x:si>
    <x:t>http://id.who.int/icd/release/11/beta/ichi/1540949281</x:t>
  </x:si>
  <x:si>
    <x:t>LAE.JD.AA</x:t>
  </x:si>
  <x:si>
    <x:t>- - - - - Removal of internal device or foreign body of skin and subcutaneous cell tissue of upper limb</x:t>
  </x:si>
  <x:si>
    <x:t>http://id.who.int/icd/entity/618800702</x:t>
  </x:si>
  <x:si>
    <x:t>http://id.who.int/icd/release/11/beta/ichi/618800702</x:t>
  </x:si>
  <x:si>
    <x:t>LAE.JD.AE</x:t>
  </x:si>
  <x:si>
    <x:t>- - - - - Percutaneous removal of internal device or foreign body of skin and subcutaneous tissue of the upper limb</x:t>
  </x:si>
  <x:si>
    <x:t>http://id.who.int/icd/entity/1251616087</x:t>
  </x:si>
  <x:si>
    <x:t>http://id.who.int/icd/release/11/beta/ichi/1251616087</x:t>
  </x:si>
  <x:si>
    <x:t>LAE.JD.AH</x:t>
  </x:si>
  <x:si>
    <x:t>- - - - - Removal of internal device or foreign body from skin and subcutaneous tissue of the upper limb without incision</x:t>
  </x:si>
  <x:si>
    <x:t>http://id.who.int/icd/entity/557052240</x:t>
  </x:si>
  <x:si>
    <x:t>http://id.who.int/icd/release/11/beta/ichi/557052240</x:t>
  </x:si>
  <x:si>
    <x:t>LAE.JG.AA</x:t>
  </x:si>
  <x:si>
    <x:t>- - - - - Debridement of skin and subcutaneous cell tissue of upper limb</x:t>
  </x:si>
  <x:si>
    <x:t>http://id.who.int/icd/entity/2129764467</x:t>
  </x:si>
  <x:si>
    <x:t>http://id.who.int/icd/release/11/beta/ichi/2129764467</x:t>
  </x:si>
  <x:si>
    <x:t>LAE.JG.AH</x:t>
  </x:si>
  <x:si>
    <x:t>- - - - - Debridement of skin and subcutaneous cell tissue of the upper limb, without incision</x:t>
  </x:si>
  <x:si>
    <x:t>http://id.who.int/icd/entity/780827074</x:t>
  </x:si>
  <x:si>
    <x:t>http://id.who.int/icd/release/11/beta/ichi/780827074</x:t>
  </x:si>
  <x:si>
    <x:t>LAE.JH.AA</x:t>
  </x:si>
  <x:si>
    <x:t>- - - - - Procurement of skin and subcutaneous cell tissue of upper limb</x:t>
  </x:si>
  <x:si>
    <x:t>http://id.who.int/icd/entity/1321356281</x:t>
  </x:si>
  <x:si>
    <x:t>http://id.who.int/icd/release/11/beta/ichi/1321356281</x:t>
  </x:si>
  <x:si>
    <x:t>LAE.JI.AA</x:t>
  </x:si>
  <x:si>
    <x:t>- - - - - Local excision of lesion of skin and subcutaneous cell tissue of upper limb</x:t>
  </x:si>
  <x:si>
    <x:t>http://id.who.int/icd/entity/1635955031</x:t>
  </x:si>
  <x:si>
    <x:t>http://id.who.int/icd/release/11/beta/ichi/1635955031</x:t>
  </x:si>
  <x:si>
    <x:t>LAE.JJ.AA</x:t>
  </x:si>
  <x:si>
    <x:t>- - - - - Partial excision of skin and subcutaneous cell tissue of upper limb</x:t>
  </x:si>
  <x:si>
    <x:t>http://id.who.int/icd/entity/834895907</x:t>
  </x:si>
  <x:si>
    <x:t>http://id.who.int/icd/release/11/beta/ichi/834895907</x:t>
  </x:si>
  <x:si>
    <x:t>LAE.LC.AA</x:t>
  </x:si>
  <x:si>
    <x:t>- - - - - Fixation of skin and subcutaneous tissue of upper limb</x:t>
  </x:si>
  <x:si>
    <x:t>http://id.who.int/icd/entity/1855752629</x:t>
  </x:si>
  <x:si>
    <x:t>http://id.who.int/icd/release/11/beta/ichi/1855752629</x:t>
  </x:si>
  <x:si>
    <x:t>LAE.LK.AA</x:t>
  </x:si>
  <x:si>
    <x:t>- - - - - Augmentation of skin and subcutaneous cell tissue of upper limb</x:t>
  </x:si>
  <x:si>
    <x:t>http://id.who.int/icd/entity/828299416</x:t>
  </x:si>
  <x:si>
    <x:t>http://id.who.int/icd/release/11/beta/ichi/828299416</x:t>
  </x:si>
  <x:si>
    <x:t>LAE.LL.AA</x:t>
  </x:si>
  <x:si>
    <x:t>- - - - - Reduction of skin and subcutaneous cell tissue of upper limb</x:t>
  </x:si>
  <x:si>
    <x:t>http://id.who.int/icd/entity/1104966427</x:t>
  </x:si>
  <x:si>
    <x:t>http://id.who.int/icd/release/11/beta/ichi/1104966427</x:t>
  </x:si>
  <x:si>
    <x:t>LAE.LL.AE</x:t>
  </x:si>
  <x:si>
    <x:t>- - - - - Liposuction of upper limb</x:t>
  </x:si>
  <x:si>
    <x:t>http://id.who.int/icd/entity/1463367477</x:t>
  </x:si>
  <x:si>
    <x:t>http://id.who.int/icd/release/11/beta/ichi/1463367477</x:t>
  </x:si>
  <x:si>
    <x:t>LAE.MK.AA</x:t>
  </x:si>
  <x:si>
    <x:t>- - - - - Repair of skin and subcutaneous cell tissue of upper limb</x:t>
  </x:si>
  <x:si>
    <x:t>http://id.who.int/icd/entity/671224874</x:t>
  </x:si>
  <x:si>
    <x:t>http://id.who.int/icd/release/11/beta/ichi/671224874</x:t>
  </x:si>
  <x:si>
    <x:t>LAE.ML.AA</x:t>
  </x:si>
  <x:si>
    <x:t>- - - - - Skin graft to upper limb</x:t>
  </x:si>
  <x:si>
    <x:t>http://id.who.int/icd/entity/1347215063</x:t>
  </x:si>
  <x:si>
    <x:t>http://id.who.int/icd/release/11/beta/ichi/1347215063</x:t>
  </x:si>
  <x:si>
    <x:t>LAE.SC.AH</x:t>
  </x:si>
  <x:si>
    <x:t>- - - - - Phototherapy to skin and subcutaneous cell tissue of upper limb</x:t>
  </x:si>
  <x:si>
    <x:t>http://id.who.int/icd/entity/1212818961</x:t>
  </x:si>
  <x:si>
    <x:t>http://id.who.int/icd/release/11/beta/ichi/1212818961</x:t>
  </x:si>
  <x:si>
    <x:t>LAE.SN.AE</x:t>
  </x:si>
  <x:si>
    <x:t>- - - - - Management of internal device of skin and subcutaneous cell tissue of upper limb</x:t>
  </x:si>
  <x:si>
    <x:t>http://id.who.int/icd/entity/113989444</x:t>
  </x:si>
  <x:si>
    <x:t>http://id.who.int/icd/release/11/beta/ichi/113989444</x:t>
  </x:si>
  <x:si>
    <x:t>LAG.AD.AE</x:t>
  </x:si>
  <x:si>
    <x:t>- - - - - Biopsy of skin and subcutaneous cell tissue of lower limb</x:t>
  </x:si>
  <x:si>
    <x:t>http://id.who.int/icd/entity/394819380</x:t>
  </x:si>
  <x:si>
    <x:t>http://id.who.int/icd/release/11/beta/ichi/394819380</x:t>
  </x:si>
  <x:si>
    <x:t>LAG.DB.AH</x:t>
  </x:si>
  <x:si>
    <x:t>- - - - - External application of substance or living organism to skin and subcutaneous tissue of the lower limb</x:t>
  </x:si>
  <x:si>
    <x:t>http://id.who.int/icd/entity/1583099399</x:t>
  </x:si>
  <x:si>
    <x:t>http://id.who.int/icd/release/11/beta/ichi/1583099399</x:t>
  </x:si>
  <x:si>
    <x:t>LAG.DC.AE</x:t>
  </x:si>
  <x:si>
    <x:t>- - - - - Injection of anaesthesia into skin and subcutaneous cell tissue of lower limb</x:t>
  </x:si>
  <x:si>
    <x:t>http://id.who.int/icd/entity/1474088869</x:t>
  </x:si>
  <x:si>
    <x:t>http://id.who.int/icd/release/11/beta/ichi/1474088869</x:t>
  </x:si>
  <x:si>
    <x:t>LAG.DL.AE</x:t>
  </x:si>
  <x:si>
    <x:t>- - - - - Percutaneous insertion of device into skin and subcutaneous cell tissue of lower limb</x:t>
  </x:si>
  <x:si>
    <x:t>http://id.who.int/icd/entity/2023503115</x:t>
  </x:si>
  <x:si>
    <x:t>http://id.who.int/icd/release/11/beta/ichi/2023503115</x:t>
  </x:si>
  <x:si>
    <x:t>LAG.GA.AH</x:t>
  </x:si>
  <x:si>
    <x:t>- - - - - Destruction of skin and subcutaneous cell tissue of lower limb</x:t>
  </x:si>
  <x:si>
    <x:t>http://id.who.int/icd/entity/384054882</x:t>
  </x:si>
  <x:si>
    <x:t>http://id.who.int/icd/release/11/beta/ichi/384054882</x:t>
  </x:si>
  <x:si>
    <x:t>LAG.GA.BA</x:t>
  </x:si>
  <x:si>
    <x:t>- - - - - Destruction of lesion or tissue of skin and subcutaneous cell tissue of lower limb by radiotherapy</x:t>
  </x:si>
  <x:si>
    <x:t>http://id.who.int/icd/entity/1990984793</x:t>
  </x:si>
  <x:si>
    <x:t>http://id.who.int/icd/release/11/beta/ichi/1990984793</x:t>
  </x:si>
  <x:si>
    <x:t>LAG.JB.AA</x:t>
  </x:si>
  <x:si>
    <x:t>- - - - - Drainage of skin and subcutaneous cell tissue of lower limb</x:t>
  </x:si>
  <x:si>
    <x:t>http://id.who.int/icd/entity/1743725615</x:t>
  </x:si>
  <x:si>
    <x:t>http://id.who.int/icd/release/11/beta/ichi/1743725615</x:t>
  </x:si>
  <x:si>
    <x:t>LAG.JB.AE</x:t>
  </x:si>
  <x:si>
    <x:t>- - - - - Percutaneous drainage of skin and subcutaneous cell tissue of lower limb</x:t>
  </x:si>
  <x:si>
    <x:t>http://id.who.int/icd/entity/1576458425</x:t>
  </x:si>
  <x:si>
    <x:t>http://id.who.int/icd/release/11/beta/ichi/1576458425</x:t>
  </x:si>
  <x:si>
    <x:t>LAG.JD.AA</x:t>
  </x:si>
  <x:si>
    <x:t>- - - - - Removal of internal device or foreign body of skin and subcutaneous cell tissue of lower limb</x:t>
  </x:si>
  <x:si>
    <x:t>http://id.who.int/icd/entity/326609390</x:t>
  </x:si>
  <x:si>
    <x:t>http://id.who.int/icd/release/11/beta/ichi/326609390</x:t>
  </x:si>
  <x:si>
    <x:t>LAG.JD.AE</x:t>
  </x:si>
  <x:si>
    <x:t>- - - - - Percutaneous removal of internal device or foreign body from skin and subcutaneous cell tissue of the lower limb</x:t>
  </x:si>
  <x:si>
    <x:t>http://id.who.int/icd/entity/1202841187</x:t>
  </x:si>
  <x:si>
    <x:t>http://id.who.int/icd/release/11/beta/ichi/1202841187</x:t>
  </x:si>
  <x:si>
    <x:t>LAG.JD.AH</x:t>
  </x:si>
  <x:si>
    <x:t>- - - - - Removal of internal device or foreign body from skin and subcutaneous tissue of the lower limb without incision</x:t>
  </x:si>
  <x:si>
    <x:t>http://id.who.int/icd/entity/1378114085</x:t>
  </x:si>
  <x:si>
    <x:t>http://id.who.int/icd/release/11/beta/ichi/1378114085</x:t>
  </x:si>
  <x:si>
    <x:t>LAG.JG.AA</x:t>
  </x:si>
  <x:si>
    <x:t>- - - - - Debridement of skin and subcutaneous cell tissue of lower limb</x:t>
  </x:si>
  <x:si>
    <x:t>http://id.who.int/icd/entity/2044278453</x:t>
  </x:si>
  <x:si>
    <x:t>http://id.who.int/icd/release/11/beta/ichi/2044278453</x:t>
  </x:si>
  <x:si>
    <x:t>LAG.JG.AH</x:t>
  </x:si>
  <x:si>
    <x:t>- - - - - Debridement of skin and subcutaneous cell tissue of the lower limb, without incision</x:t>
  </x:si>
  <x:si>
    <x:t>http://id.who.int/icd/entity/1754928835</x:t>
  </x:si>
  <x:si>
    <x:t>http://id.who.int/icd/release/11/beta/ichi/1754928835</x:t>
  </x:si>
  <x:si>
    <x:t>LAG.JH.AA</x:t>
  </x:si>
  <x:si>
    <x:t>- - - - - Procurement of skin and subcutaneous cell tissue of lower limb</x:t>
  </x:si>
  <x:si>
    <x:t>http://id.who.int/icd/entity/1487535433</x:t>
  </x:si>
  <x:si>
    <x:t>http://id.who.int/icd/release/11/beta/ichi/1487535433</x:t>
  </x:si>
  <x:si>
    <x:t>LAG.JI.AA</x:t>
  </x:si>
  <x:si>
    <x:t>- - - - - Local excision of skin and subcutaneous cell tissue of the lower limb</x:t>
  </x:si>
  <x:si>
    <x:t>http://id.who.int/icd/entity/2011760615</x:t>
  </x:si>
  <x:si>
    <x:t>http://id.who.int/icd/release/11/beta/ichi/2011760615</x:t>
  </x:si>
  <x:si>
    <x:t>LAG.JJ.AA</x:t>
  </x:si>
  <x:si>
    <x:t>- - - - - Partial excision of skin and subcutaneous cell tissue of lower limb</x:t>
  </x:si>
  <x:si>
    <x:t>http://id.who.int/icd/entity/1741055681</x:t>
  </x:si>
  <x:si>
    <x:t>http://id.who.int/icd/release/11/beta/ichi/1741055681</x:t>
  </x:si>
  <x:si>
    <x:t>LAG.LC.AA</x:t>
  </x:si>
  <x:si>
    <x:t>- - - - - Fixation of skin and subcutaneous cell tissue of lower limb</x:t>
  </x:si>
  <x:si>
    <x:t>http://id.who.int/icd/entity/390384974</x:t>
  </x:si>
  <x:si>
    <x:t>http://id.who.int/icd/release/11/beta/ichi/390384974</x:t>
  </x:si>
  <x:si>
    <x:t>LAG.LK.AA</x:t>
  </x:si>
  <x:si>
    <x:t>- - - - - Augmentation of skin and subcutaneous cell tissue of lower limb</x:t>
  </x:si>
  <x:si>
    <x:t>http://id.who.int/icd/entity/1216781423</x:t>
  </x:si>
  <x:si>
    <x:t>http://id.who.int/icd/release/11/beta/ichi/1216781423</x:t>
  </x:si>
  <x:si>
    <x:t>LAG.LL.AA</x:t>
  </x:si>
  <x:si>
    <x:t>- - - - - Reduction of skin and subcutaneous cell tissue of lower limb</x:t>
  </x:si>
  <x:si>
    <x:t>http://id.who.int/icd/entity/1303557009</x:t>
  </x:si>
  <x:si>
    <x:t>http://id.who.int/icd/release/11/beta/ichi/1303557009</x:t>
  </x:si>
  <x:si>
    <x:t>LAG.LL.AE</x:t>
  </x:si>
  <x:si>
    <x:t>- - - - - Liposuction of lower limb</x:t>
  </x:si>
  <x:si>
    <x:t>http://id.who.int/icd/entity/1026562076</x:t>
  </x:si>
  <x:si>
    <x:t>http://id.who.int/icd/release/11/beta/ichi/1026562076</x:t>
  </x:si>
  <x:si>
    <x:t>LAG.MK.AA</x:t>
  </x:si>
  <x:si>
    <x:t>- - - - - Repair of skin and subcutaneous cell tissue of lower limb</x:t>
  </x:si>
  <x:si>
    <x:t>http://id.who.int/icd/entity/309387956</x:t>
  </x:si>
  <x:si>
    <x:t>http://id.who.int/icd/release/11/beta/ichi/309387956</x:t>
  </x:si>
  <x:si>
    <x:t>LAG.ML.AA</x:t>
  </x:si>
  <x:si>
    <x:t>- - - - - Skin graft to lower limb</x:t>
  </x:si>
  <x:si>
    <x:t>http://id.who.int/icd/entity/261001204</x:t>
  </x:si>
  <x:si>
    <x:t>http://id.who.int/icd/release/11/beta/ichi/261001204</x:t>
  </x:si>
  <x:si>
    <x:t>LAG.SC.AH</x:t>
  </x:si>
  <x:si>
    <x:t>- - - - - Phototherapy to skin and subcutaneous cell tissue of lower limb</x:t>
  </x:si>
  <x:si>
    <x:t>http://id.who.int/icd/entity/1293222881</x:t>
  </x:si>
  <x:si>
    <x:t>http://id.who.int/icd/release/11/beta/ichi/1293222881</x:t>
  </x:si>
  <x:si>
    <x:t>LAG.SN.AE</x:t>
  </x:si>
  <x:si>
    <x:t>- - - - - Management of internal device of skin and subcutaneous cell tissue of lower limb</x:t>
  </x:si>
  <x:si>
    <x:t>http://id.who.int/icd/entity/120185994</x:t>
  </x:si>
  <x:si>
    <x:t>http://id.who.int/icd/release/11/beta/ichi/120185994</x:t>
  </x:si>
  <x:si>
    <x:t>BlockL4-LBA</x:t>
  </x:si>
  <x:si>
    <x:t>- - - - Interventions on skin appendages</x:t>
  </x:si>
  <x:si>
    <x:t>33</x:t>
  </x:si>
  <x:si>
    <x:t>http://id.who.int/icd/entity/1118604147</x:t>
  </x:si>
  <x:si>
    <x:t>http://id.who.int/icd/release/11/beta/ichi/1118604147</x:t>
  </x:si>
  <x:si>
    <x:t>LBA.GA.AA</x:t>
  </x:si>
  <x:si>
    <x:t>- - - - - Destruction of skin appendage of head or neck</x:t>
  </x:si>
  <x:si>
    <x:t>http://id.who.int/icd/entity/863759998</x:t>
  </x:si>
  <x:si>
    <x:t>http://id.who.int/icd/release/11/beta/ichi/863759998</x:t>
  </x:si>
  <x:si>
    <x:t>LBA.GA.AE</x:t>
  </x:si>
  <x:si>
    <x:t>- - - - - Percutaneous destruction of skin appendage of head or neck</x:t>
  </x:si>
  <x:si>
    <x:t>http://id.who.int/icd/entity/411468526</x:t>
  </x:si>
  <x:si>
    <x:t>http://id.who.int/icd/release/11/beta/ichi/411468526</x:t>
  </x:si>
  <x:si>
    <x:t>LBA.LA.AA</x:t>
  </x:si>
  <x:si>
    <x:t>- - - - - Ligation of dermal appendage of skin of head or neck</x:t>
  </x:si>
  <x:si>
    <x:t>http://id.who.int/icd/entity/163947162</x:t>
  </x:si>
  <x:si>
    <x:t>http://id.who.int/icd/release/11/beta/ichi/163947162</x:t>
  </x:si>
  <x:si>
    <x:t>LBB.GA.AA</x:t>
  </x:si>
  <x:si>
    <x:t>- - - - - Destruction of skin appendage of trunk</x:t>
  </x:si>
  <x:si>
    <x:t>http://id.who.int/icd/entity/2087921385</x:t>
  </x:si>
  <x:si>
    <x:t>http://id.who.int/icd/release/11/beta/ichi/2087921385</x:t>
  </x:si>
  <x:si>
    <x:t>LBB.GA.AE</x:t>
  </x:si>
  <x:si>
    <x:t>- - - - - Percutaneous destruction of skin appendage of trunk</x:t>
  </x:si>
  <x:si>
    <x:t>http://id.who.int/icd/entity/738787162</x:t>
  </x:si>
  <x:si>
    <x:t>http://id.who.int/icd/release/11/beta/ichi/738787162</x:t>
  </x:si>
  <x:si>
    <x:t>LBB.LA.AA</x:t>
  </x:si>
  <x:si>
    <x:t>- - - - - Ligation of skin appendage of trunk</x:t>
  </x:si>
  <x:si>
    <x:t>http://id.who.int/icd/entity/1942662779</x:t>
  </x:si>
  <x:si>
    <x:t>http://id.who.int/icd/release/11/beta/ichi/1942662779</x:t>
  </x:si>
  <x:si>
    <x:t>LBD.AD.AA</x:t>
  </x:si>
  <x:si>
    <x:t>- - - - - Biopsy of nail of finger</x:t>
  </x:si>
  <x:si>
    <x:t>http://id.who.int/icd/entity/110744216</x:t>
  </x:si>
  <x:si>
    <x:t>http://id.who.int/icd/release/11/beta/ichi/110744216</x:t>
  </x:si>
  <x:si>
    <x:t>LBD.AD.AE</x:t>
  </x:si>
  <x:si>
    <x:t>- - - - - Percutaneous biopsy of nail of finger</x:t>
  </x:si>
  <x:si>
    <x:t>http://id.who.int/icd/entity/1457654569</x:t>
  </x:si>
  <x:si>
    <x:t>http://id.who.int/icd/release/11/beta/ichi/1457654569</x:t>
  </x:si>
  <x:si>
    <x:t>LBD.GA.AA</x:t>
  </x:si>
  <x:si>
    <x:t>- - - - - Destruction of nail of finger</x:t>
  </x:si>
  <x:si>
    <x:t>http://id.who.int/icd/entity/153115146</x:t>
  </x:si>
  <x:si>
    <x:t>http://id.who.int/icd/release/11/beta/ichi/153115146</x:t>
  </x:si>
  <x:si>
    <x:t>LBD.JB.AA</x:t>
  </x:si>
  <x:si>
    <x:t>- - - - - Drainage of nail bed of finger</x:t>
  </x:si>
  <x:si>
    <x:t>http://id.who.int/icd/entity/753731530</x:t>
  </x:si>
  <x:si>
    <x:t>http://id.who.int/icd/release/11/beta/ichi/753731530</x:t>
  </x:si>
  <x:si>
    <x:t>LBD.JB.AE</x:t>
  </x:si>
  <x:si>
    <x:t>- - - - - Percutaneous drainage of nail of finger</x:t>
  </x:si>
  <x:si>
    <x:t>http://id.who.int/icd/entity/1550822469</x:t>
  </x:si>
  <x:si>
    <x:t>http://id.who.int/icd/release/11/beta/ichi/1550822469</x:t>
  </x:si>
  <x:si>
    <x:t>LBD.JD.AA</x:t>
  </x:si>
  <x:si>
    <x:t>- - - - - Removal of internal device or foreign body from nail of finger</x:t>
  </x:si>
  <x:si>
    <x:t>http://id.who.int/icd/entity/1406543063</x:t>
  </x:si>
  <x:si>
    <x:t>http://id.who.int/icd/release/11/beta/ichi/1406543063</x:t>
  </x:si>
  <x:si>
    <x:t>LBD.JG.AA</x:t>
  </x:si>
  <x:si>
    <x:t>- - - - - Debridement of nail, nail bed, or nail fold of finger</x:t>
  </x:si>
  <x:si>
    <x:t>http://id.who.int/icd/entity/1228319357</x:t>
  </x:si>
  <x:si>
    <x:t>http://id.who.int/icd/release/11/beta/ichi/1228319357</x:t>
  </x:si>
  <x:si>
    <x:t>LBD.JJ.AA</x:t>
  </x:si>
  <x:si>
    <x:t>- - - - - Partial excision of nail of finger</x:t>
  </x:si>
  <x:si>
    <x:t>http://id.who.int/icd/entity/603143978</x:t>
  </x:si>
  <x:si>
    <x:t>http://id.who.int/icd/release/11/beta/ichi/603143978</x:t>
  </x:si>
  <x:si>
    <x:t>LBD.JK.AA</x:t>
  </x:si>
  <x:si>
    <x:t>- - - - - Total excision of nail of finger</x:t>
  </x:si>
  <x:si>
    <x:t>http://id.who.int/icd/entity/1836207743</x:t>
  </x:si>
  <x:si>
    <x:t>http://id.who.int/icd/release/11/beta/ichi/1836207743</x:t>
  </x:si>
  <x:si>
    <x:t>LBD.MK.AA</x:t>
  </x:si>
  <x:si>
    <x:t>- - - - - Repair of nail of finger</x:t>
  </x:si>
  <x:si>
    <x:t>http://id.who.int/icd/entity/1394253481</x:t>
  </x:si>
  <x:si>
    <x:t>http://id.who.int/icd/release/11/beta/ichi/1394253481</x:t>
  </x:si>
  <x:si>
    <x:t>LBD.ML.AA</x:t>
  </x:si>
  <x:si>
    <x:t>- - - - - Onychoplasty of finger nail</x:t>
  </x:si>
  <x:si>
    <x:t>http://id.who.int/icd/entity/740408760</x:t>
  </x:si>
  <x:si>
    <x:t>http://id.who.int/icd/release/11/beta/ichi/740408760</x:t>
  </x:si>
  <x:si>
    <x:t>LBE.GA.AA</x:t>
  </x:si>
  <x:si>
    <x:t>- - - - - Destruction of skin appendage of upper limb</x:t>
  </x:si>
  <x:si>
    <x:t>http://id.who.int/icd/entity/131911976</x:t>
  </x:si>
  <x:si>
    <x:t>http://id.who.int/icd/release/11/beta/ichi/131911976</x:t>
  </x:si>
  <x:si>
    <x:t>LBE.LA.AA</x:t>
  </x:si>
  <x:si>
    <x:t>- - - - - Ligation of skin appendage of upper limb, not elsewhere classified</x:t>
  </x:si>
  <x:si>
    <x:t>http://id.who.int/icd/entity/2037271545</x:t>
  </x:si>
  <x:si>
    <x:t>http://id.who.int/icd/release/11/beta/ichi/2037271545</x:t>
  </x:si>
  <x:si>
    <x:t>LBF.AD.AA</x:t>
  </x:si>
  <x:si>
    <x:t>- - - - - Biopsy of nail of toe</x:t>
  </x:si>
  <x:si>
    <x:t>http://id.who.int/icd/entity/106260710</x:t>
  </x:si>
  <x:si>
    <x:t>http://id.who.int/icd/release/11/beta/ichi/106260710</x:t>
  </x:si>
  <x:si>
    <x:t>LBF.AD.AE</x:t>
  </x:si>
  <x:si>
    <x:t>- - - - - Percutaneous biopsy of nail of toe</x:t>
  </x:si>
  <x:si>
    <x:t>http://id.who.int/icd/entity/1929778181</x:t>
  </x:si>
  <x:si>
    <x:t>http://id.who.int/icd/release/11/beta/ichi/1929778181</x:t>
  </x:si>
  <x:si>
    <x:t>LBF.GA.AA</x:t>
  </x:si>
  <x:si>
    <x:t>- - - - - Destruction of nail of toe</x:t>
  </x:si>
  <x:si>
    <x:t>http://id.who.int/icd/entity/595447222</x:t>
  </x:si>
  <x:si>
    <x:t>http://id.who.int/icd/release/11/beta/ichi/595447222</x:t>
  </x:si>
  <x:si>
    <x:t>LBF.JB.AA</x:t>
  </x:si>
  <x:si>
    <x:t>- - - - - Drainage of nail bed of toe</x:t>
  </x:si>
  <x:si>
    <x:t>http://id.who.int/icd/entity/751060264</x:t>
  </x:si>
  <x:si>
    <x:t>http://id.who.int/icd/release/11/beta/ichi/751060264</x:t>
  </x:si>
  <x:si>
    <x:t>LBF.JB.AE</x:t>
  </x:si>
  <x:si>
    <x:t>- - - - - Percutaneous drainage of nail of toe</x:t>
  </x:si>
  <x:si>
    <x:t>http://id.who.int/icd/entity/2039198569</x:t>
  </x:si>
  <x:si>
    <x:t>http://id.who.int/icd/release/11/beta/ichi/2039198569</x:t>
  </x:si>
  <x:si>
    <x:t>LBF.JD.AA</x:t>
  </x:si>
  <x:si>
    <x:t>- - - - - Removal of internal device or foreign body of nail of toe</x:t>
  </x:si>
  <x:si>
    <x:t>http://id.who.int/icd/entity/923451964</x:t>
  </x:si>
  <x:si>
    <x:t>http://id.who.int/icd/release/11/beta/ichi/923451964</x:t>
  </x:si>
  <x:si>
    <x:t>LBF.JG.AA</x:t>
  </x:si>
  <x:si>
    <x:t>- - - - - Debridement of nail, nail bed, or nail fold of toe</x:t>
  </x:si>
  <x:si>
    <x:t>http://id.who.int/icd/entity/1127612303</x:t>
  </x:si>
  <x:si>
    <x:t>http://id.who.int/icd/release/11/beta/ichi/1127612303</x:t>
  </x:si>
  <x:si>
    <x:t>LBF.JJ.AA</x:t>
  </x:si>
  <x:si>
    <x:t>- - - - - Partial excision of nail of toe</x:t>
  </x:si>
  <x:si>
    <x:t>http://id.who.int/icd/entity/1825748305</x:t>
  </x:si>
  <x:si>
    <x:t>http://id.who.int/icd/release/11/beta/ichi/1825748305</x:t>
  </x:si>
  <x:si>
    <x:t>LBF.JK.AA</x:t>
  </x:si>
  <x:si>
    <x:t>- - - - - Total excision of nail of toe</x:t>
  </x:si>
  <x:si>
    <x:t>http://id.who.int/icd/entity/1667972547</x:t>
  </x:si>
  <x:si>
    <x:t>http://id.who.int/icd/release/11/beta/ichi/1667972547</x:t>
  </x:si>
  <x:si>
    <x:t>LBF.MK.AA</x:t>
  </x:si>
  <x:si>
    <x:t>- - - - - Repair of nail of toe</x:t>
  </x:si>
  <x:si>
    <x:t>http://id.who.int/icd/entity/172815025</x:t>
  </x:si>
  <x:si>
    <x:t>http://id.who.int/icd/release/11/beta/ichi/172815025</x:t>
  </x:si>
  <x:si>
    <x:t>LBF.ML.AA</x:t>
  </x:si>
  <x:si>
    <x:t>- - - - - Onychoplasty of toenail</x:t>
  </x:si>
  <x:si>
    <x:t>http://id.who.int/icd/entity/99973667</x:t>
  </x:si>
  <x:si>
    <x:t>http://id.who.int/icd/release/11/beta/ichi/99973667</x:t>
  </x:si>
  <x:si>
    <x:t>LBG.GA.AA</x:t>
  </x:si>
  <x:si>
    <x:t>- - - - - Destruction of skin appendage of lower limb</x:t>
  </x:si>
  <x:si>
    <x:t>http://id.who.int/icd/entity/1435411346</x:t>
  </x:si>
  <x:si>
    <x:t>http://id.who.int/icd/release/11/beta/ichi/1435411346</x:t>
  </x:si>
  <x:si>
    <x:t>LBG.GA.AE</x:t>
  </x:si>
  <x:si>
    <x:t>- - - - - Percutaneous destruction of skin appendage of lower limb</x:t>
  </x:si>
  <x:si>
    <x:t>http://id.who.int/icd/entity/540551137</x:t>
  </x:si>
  <x:si>
    <x:t>http://id.who.int/icd/release/11/beta/ichi/540551137</x:t>
  </x:si>
  <x:si>
    <x:t>LBG.LA.AA</x:t>
  </x:si>
  <x:si>
    <x:t>- - - - - Ligation of skin appendage of lower limb, not elsewhere classified</x:t>
  </x:si>
  <x:si>
    <x:t>http://id.who.int/icd/entity/725367117</x:t>
  </x:si>
  <x:si>
    <x:t>http://id.who.int/icd/release/11/beta/ichi/725367117</x:t>
  </x:si>
  <x:si>
    <x:t>BlockL4-LCA</x:t>
  </x:si>
  <x:si>
    <x:t>- - - - Interventions on breast</x:t>
  </x:si>
  <x:si>
    <x:t>http://id.who.int/icd/entity/197479281</x:t>
  </x:si>
  <x:si>
    <x:t>http://id.who.int/icd/release/11/beta/ichi/197479281</x:t>
  </x:si>
  <x:si>
    <x:t>LCA.AD.AA</x:t>
  </x:si>
  <x:si>
    <x:t>- - - - - Biopsy of breast</x:t>
  </x:si>
  <x:si>
    <x:t>http://id.who.int/icd/entity/2049679790</x:t>
  </x:si>
  <x:si>
    <x:t>http://id.who.int/icd/release/11/beta/ichi/2049679790</x:t>
  </x:si>
  <x:si>
    <x:t>LCA.AD.AE</x:t>
  </x:si>
  <x:si>
    <x:t>- - - - - Percutaneous biopsy of breast</x:t>
  </x:si>
  <x:si>
    <x:t>http://id.who.int/icd/entity/1433099010</x:t>
  </x:si>
  <x:si>
    <x:t>http://id.who.int/icd/release/11/beta/ichi/1433099010</x:t>
  </x:si>
  <x:si>
    <x:t>LCA.AE.AH</x:t>
  </x:si>
  <x:si>
    <x:t>- - - - - Manual examination of breast</x:t>
  </x:si>
  <x:si>
    <x:t>http://id.who.int/icd/entity/991123563</x:t>
  </x:si>
  <x:si>
    <x:t>http://id.who.int/icd/release/11/beta/ichi/991123563</x:t>
  </x:si>
  <x:si>
    <x:t>LCA.BA.BA</x:t>
  </x:si>
  <x:si>
    <x:t>- - - - - Mammography</x:t>
  </x:si>
  <x:si>
    <x:t>http://id.who.int/icd/entity/1168229044</x:t>
  </x:si>
  <x:si>
    <x:t>http://id.who.int/icd/release/11/beta/ichi/1168229044</x:t>
  </x:si>
  <x:si>
    <x:t>LCA.BA.BB</x:t>
  </x:si>
  <x:si>
    <x:t>- - - - - Contrast radiogram of mammary ducts</x:t>
  </x:si>
  <x:si>
    <x:t>http://id.who.int/icd/entity/442733463</x:t>
  </x:si>
  <x:si>
    <x:t>http://id.who.int/icd/release/11/beta/ichi/442733463</x:t>
  </x:si>
  <x:si>
    <x:t>LCA.BA.BE</x:t>
  </x:si>
  <x:si>
    <x:t>- - - - - Nuclear imaging of breast</x:t>
  </x:si>
  <x:si>
    <x:t>http://id.who.int/icd/entity/1879160496</x:t>
  </x:si>
  <x:si>
    <x:t>http://id.who.int/icd/release/11/beta/ichi/1879160496</x:t>
  </x:si>
  <x:si>
    <x:t>LCA.BA.BH</x:t>
  </x:si>
  <x:si>
    <x:t>- - - - - Magnetic resonance imaging of breast</x:t>
  </x:si>
  <x:si>
    <x:t>http://id.who.int/icd/entity/544894721</x:t>
  </x:si>
  <x:si>
    <x:t>http://id.who.int/icd/release/11/beta/ichi/544894721</x:t>
  </x:si>
  <x:si>
    <x:t>LCA.BA.BI</x:t>
  </x:si>
  <x:si>
    <x:t>- - - - - Magnetic resonance imaging of breast with intravenous contrast</x:t>
  </x:si>
  <x:si>
    <x:t>http://id.who.int/icd/entity/1598114848</x:t>
  </x:si>
  <x:si>
    <x:t>http://id.who.int/icd/release/11/beta/ichi/1598114848</x:t>
  </x:si>
  <x:si>
    <x:t>LCA.BA.BJ</x:t>
  </x:si>
  <x:si>
    <x:t>- - - - - Ultrasound of breast</x:t>
  </x:si>
  <x:si>
    <x:t>http://id.who.int/icd/entity/257007521</x:t>
  </x:si>
  <x:si>
    <x:t>http://id.who.int/icd/release/11/beta/ichi/257007521</x:t>
  </x:si>
  <x:si>
    <x:t>LCA.DB.AE</x:t>
  </x:si>
  <x:si>
    <x:t>- - - - - Injection into breast</x:t>
  </x:si>
  <x:si>
    <x:t>http://id.who.int/icd/entity/1351863938</x:t>
  </x:si>
  <x:si>
    <x:t>http://id.who.int/icd/release/11/beta/ichi/1351863938</x:t>
  </x:si>
  <x:si>
    <x:t>LCA.DB.AH</x:t>
  </x:si>
  <x:si>
    <x:t>- - - - - External application of substance or living organism to breast</x:t>
  </x:si>
  <x:si>
    <x:t>http://id.who.int/icd/entity/819723449</x:t>
  </x:si>
  <x:si>
    <x:t>http://id.who.int/icd/release/11/beta/ichi/819723449</x:t>
  </x:si>
  <x:si>
    <x:t>LCA.DL.AA</x:t>
  </x:si>
  <x:si>
    <x:t>- - - - - Insertion of internal device into breast</x:t>
  </x:si>
  <x:si>
    <x:t>http://id.who.int/icd/entity/2119863788</x:t>
  </x:si>
  <x:si>
    <x:t>http://id.who.int/icd/release/11/beta/ichi/2119863788</x:t>
  </x:si>
  <x:si>
    <x:t>LCA.DL.AE</x:t>
  </x:si>
  <x:si>
    <x:t>- - - - - Percutaneous insertion of device into breast</x:t>
  </x:si>
  <x:si>
    <x:t>http://id.who.int/icd/entity/1340137382</x:t>
  </x:si>
  <x:si>
    <x:t>http://id.who.int/icd/release/11/beta/ichi/1340137382</x:t>
  </x:si>
  <x:si>
    <x:t>LCA.DN.AA</x:t>
  </x:si>
  <x:si>
    <x:t>- - - - - Implantation of internal device of breast</x:t>
  </x:si>
  <x:si>
    <x:t>http://id.who.int/icd/entity/1244727496</x:t>
  </x:si>
  <x:si>
    <x:t>http://id.who.int/icd/release/11/beta/ichi/1244727496</x:t>
  </x:si>
  <x:si>
    <x:t>LCA.FA.AA</x:t>
  </x:si>
  <x:si>
    <x:t>- - - - - Mastotomy</x:t>
  </x:si>
  <x:si>
    <x:t>http://id.who.int/icd/entity/78674333</x:t>
  </x:si>
  <x:si>
    <x:t>http://id.who.int/icd/release/11/beta/ichi/78674333</x:t>
  </x:si>
  <x:si>
    <x:t>LCA.GA.AA</x:t>
  </x:si>
  <x:si>
    <x:t>- - - - - Destruction of lesion or tissue of breast</x:t>
  </x:si>
  <x:si>
    <x:t>http://id.who.int/icd/entity/368269803</x:t>
  </x:si>
  <x:si>
    <x:t>http://id.who.int/icd/release/11/beta/ichi/368269803</x:t>
  </x:si>
  <x:si>
    <x:t>LCA.GA.AE</x:t>
  </x:si>
  <x:si>
    <x:t>- - - - - Percutaneous destruction of lesion or tissue of breast</x:t>
  </x:si>
  <x:si>
    <x:t>http://id.who.int/icd/entity/1615191450</x:t>
  </x:si>
  <x:si>
    <x:t>http://id.who.int/icd/release/11/beta/ichi/1615191450</x:t>
  </x:si>
  <x:si>
    <x:t>LCA.GA.AH</x:t>
  </x:si>
  <x:si>
    <x:t>- - - - - Destruction of lesion or tissue of breast without incision</x:t>
  </x:si>
  <x:si>
    <x:t>http://id.who.int/icd/entity/809370665</x:t>
  </x:si>
  <x:si>
    <x:t>http://id.who.int/icd/release/11/beta/ichi/809370665</x:t>
  </x:si>
  <x:si>
    <x:t>LCA.GA.BA</x:t>
  </x:si>
  <x:si>
    <x:t>- - - - - Destruction of lesion or tissue of breast by radiotherapy</x:t>
  </x:si>
  <x:si>
    <x:t>http://id.who.int/icd/entity/2047009604</x:t>
  </x:si>
  <x:si>
    <x:t>http://id.who.int/icd/release/11/beta/ichi/2047009604</x:t>
  </x:si>
  <x:si>
    <x:t>LCA.JB.AA</x:t>
  </x:si>
  <x:si>
    <x:t>- - - - - Drainage of breast</x:t>
  </x:si>
  <x:si>
    <x:t>http://id.who.int/icd/entity/1625452008</x:t>
  </x:si>
  <x:si>
    <x:t>http://id.who.int/icd/release/11/beta/ichi/1625452008</x:t>
  </x:si>
  <x:si>
    <x:t>LCA.JB.AE</x:t>
  </x:si>
  <x:si>
    <x:t>- - - - - Percutaneous drainage of breast</x:t>
  </x:si>
  <x:si>
    <x:t>http://id.who.int/icd/entity/1810264902</x:t>
  </x:si>
  <x:si>
    <x:t>http://id.who.int/icd/release/11/beta/ichi/1810264902</x:t>
  </x:si>
  <x:si>
    <x:t>LCA.JD.AA</x:t>
  </x:si>
  <x:si>
    <x:t>- - - - - Removal of internal device or foreign body from breast</x:t>
  </x:si>
  <x:si>
    <x:t>http://id.who.int/icd/entity/1527377806</x:t>
  </x:si>
  <x:si>
    <x:t>http://id.who.int/icd/release/11/beta/ichi/1527377806</x:t>
  </x:si>
  <x:si>
    <x:t>LCA.JG.AA</x:t>
  </x:si>
  <x:si>
    <x:t>- - - - - Debridement of breast with incision</x:t>
  </x:si>
  <x:si>
    <x:t>http://id.who.int/icd/entity/361275097</x:t>
  </x:si>
  <x:si>
    <x:t>http://id.who.int/icd/release/11/beta/ichi/361275097</x:t>
  </x:si>
  <x:si>
    <x:t>LCA.JG.AH</x:t>
  </x:si>
  <x:si>
    <x:t>- - - - - Debridement of breast, without incision</x:t>
  </x:si>
  <x:si>
    <x:t>http://id.who.int/icd/entity/80461487</x:t>
  </x:si>
  <x:si>
    <x:t>http://id.who.int/icd/release/11/beta/ichi/80461487</x:t>
  </x:si>
  <x:si>
    <x:t>LCA.JI.AA</x:t>
  </x:si>
  <x:si>
    <x:t>- - - - - Local excision of lesion of breast</x:t>
  </x:si>
  <x:si>
    <x:t>http://id.who.int/icd/entity/1148911274</x:t>
  </x:si>
  <x:si>
    <x:t>http://id.who.int/icd/release/11/beta/ichi/1148911274</x:t>
  </x:si>
  <x:si>
    <x:t>LCA.JJ.AA</x:t>
  </x:si>
  <x:si>
    <x:t>- - - - - Partial excision of breast tissue</x:t>
  </x:si>
  <x:si>
    <x:t>http://id.who.int/icd/entity/1542199070</x:t>
  </x:si>
  <x:si>
    <x:t>http://id.who.int/icd/release/11/beta/ichi/1542199070</x:t>
  </x:si>
  <x:si>
    <x:t>LCA.JK.AA</x:t>
  </x:si>
  <x:si>
    <x:t>- - - - - Total mastectomy</x:t>
  </x:si>
  <x:si>
    <x:t>http://id.who.int/icd/entity/254433427</x:t>
  </x:si>
  <x:si>
    <x:t>http://id.who.int/icd/release/11/beta/ichi/254433427</x:t>
  </x:si>
  <x:si>
    <x:t>LCA.JL.AA</x:t>
  </x:si>
  <x:si>
    <x:t>- - - - - Radical mastectomy</x:t>
  </x:si>
  <x:si>
    <x:t>http://id.who.int/icd/entity/1905836620</x:t>
  </x:si>
  <x:si>
    <x:t>http://id.who.int/icd/release/11/beta/ichi/1905836620</x:t>
  </x:si>
  <x:si>
    <x:t>LCA.KA.AA</x:t>
  </x:si>
  <x:si>
    <x:t>- - - - - Replacement of breast prosthesis with removal of previous implant</x:t>
  </x:si>
  <x:si>
    <x:t>http://id.who.int/icd/entity/777687919</x:t>
  </x:si>
  <x:si>
    <x:t>http://id.who.int/icd/release/11/beta/ichi/777687919</x:t>
  </x:si>
  <x:si>
    <x:t>LCA.LC.AA</x:t>
  </x:si>
  <x:si>
    <x:t>- - - - - Mastopexy</x:t>
  </x:si>
  <x:si>
    <x:t>http://id.who.int/icd/entity/29219249</x:t>
  </x:si>
  <x:si>
    <x:t>http://id.who.int/icd/release/11/beta/ichi/29219249</x:t>
  </x:si>
  <x:si>
    <x:t>LCA.LK.AA</x:t>
  </x:si>
  <x:si>
    <x:t>- - - - - Augmentation mammoplasty, not elsewhere classified</x:t>
  </x:si>
  <x:si>
    <x:t>http://id.who.int/icd/entity/235163939</x:t>
  </x:si>
  <x:si>
    <x:t>http://id.who.int/icd/release/11/beta/ichi/235163939</x:t>
  </x:si>
  <x:si>
    <x:t>LCA.LK.AE</x:t>
  </x:si>
  <x:si>
    <x:t>- - - - - Injection into breast for augmentation</x:t>
  </x:si>
  <x:si>
    <x:t>http://id.who.int/icd/entity/1082466424</x:t>
  </x:si>
  <x:si>
    <x:t>http://id.who.int/icd/release/11/beta/ichi/1082466424</x:t>
  </x:si>
  <x:si>
    <x:t>LCA.LL.AA</x:t>
  </x:si>
  <x:si>
    <x:t>- - - - - Reduction mammoplasty</x:t>
  </x:si>
  <x:si>
    <x:t>http://id.who.int/icd/entity/1688915578</x:t>
  </x:si>
  <x:si>
    <x:t>http://id.who.int/icd/release/11/beta/ichi/1688915578</x:t>
  </x:si>
  <x:si>
    <x:t>LCA.MK.AA</x:t>
  </x:si>
  <x:si>
    <x:t>- - - - - Repair of breast</x:t>
  </x:si>
  <x:si>
    <x:t>http://id.who.int/icd/entity/707510063</x:t>
  </x:si>
  <x:si>
    <x:t>http://id.who.int/icd/release/11/beta/ichi/707510063</x:t>
  </x:si>
  <x:si>
    <x:t>LCA.ML.AA</x:t>
  </x:si>
  <x:si>
    <x:t>- - - - - Reconstruction of breast</x:t>
  </x:si>
  <x:si>
    <x:t>http://id.who.int/icd/entity/1609913925</x:t>
  </x:si>
  <x:si>
    <x:t>http://id.who.int/icd/release/11/beta/ichi/1609913925</x:t>
  </x:si>
  <x:si>
    <x:t>LCA.SC.AH</x:t>
  </x:si>
  <x:si>
    <x:t>- - - - - Phototherapy to breast</x:t>
  </x:si>
  <x:si>
    <x:t>http://id.who.int/icd/entity/1259326534</x:t>
  </x:si>
  <x:si>
    <x:t>http://id.who.int/icd/release/11/beta/ichi/1259326534</x:t>
  </x:si>
  <x:si>
    <x:t>LCA.SN.AE</x:t>
  </x:si>
  <x:si>
    <x:t>- - - - - Management of internal device of breast</x:t>
  </x:si>
  <x:si>
    <x:t>http://id.who.int/icd/entity/20130607</x:t>
  </x:si>
  <x:si>
    <x:t>http://id.who.int/icd/release/11/beta/ichi/20130607</x:t>
  </x:si>
  <x:si>
    <x:t>BlockL4-LT2</x:t>
  </x:si>
  <x:si>
    <x:t>- - - - Interventions on skin functions</x:t>
  </x:si>
  <x:si>
    <x:t>http://id.who.int/icd/entity/566909203</x:t>
  </x:si>
  <x:si>
    <x:t>http://id.who.int/icd/release/11/beta/ichi/566909203</x:t>
  </x:si>
  <x:si>
    <x:t>LT2.AA.ZZ</x:t>
  </x:si>
  <x:si>
    <x:t>- - - - - Assessment of skin functions, not elsewhere classified</x:t>
  </x:si>
  <x:si>
    <x:t>http://id.who.int/icd/entity/620656365</x:t>
  </x:si>
  <x:si>
    <x:t>http://id.who.int/icd/release/11/beta/ichi/620656365</x:t>
  </x:si>
  <x:si>
    <x:t>LT2.AC.ZZ</x:t>
  </x:si>
  <x:si>
    <x:t>- - - - - Test of skin functions, not elsewhere classified</x:t>
  </x:si>
  <x:si>
    <x:t>http://id.who.int/icd/entity/197037123</x:t>
  </x:si>
  <x:si>
    <x:t>http://id.who.int/icd/release/11/beta/ichi/197037123</x:t>
  </x:si>
  <x:si>
    <x:t>LT2.AM.ZZ</x:t>
  </x:si>
  <x:si>
    <x:t>- - - - - Observation of skin functions, not elsewhere classified</x:t>
  </x:si>
  <x:si>
    <x:t>http://id.who.int/icd/entity/1318867914</x:t>
  </x:si>
  <x:si>
    <x:t>http://id.who.int/icd/release/11/beta/ichi/1318867914</x:t>
  </x:si>
  <x:si>
    <x:t>LT2.PM.ZZ</x:t>
  </x:si>
  <x:si>
    <x:t>- - - - - Education about skin functions, not elsewhere classified</x:t>
  </x:si>
  <x:si>
    <x:t>http://id.who.int/icd/entity/375048258</x:t>
  </x:si>
  <x:si>
    <x:t>http://id.who.int/icd/release/11/beta/ichi/375048258</x:t>
  </x:si>
  <x:si>
    <x:t>LT2.ZZ.ZZ</x:t>
  </x:si>
  <x:si>
    <x:t>- - - - - Other interventions to functions of the skin, not elsewhere classified</x:t>
  </x:si>
  <x:si>
    <x:t>http://id.who.int/icd/entity/2113102831</x:t>
  </x:si>
  <x:si>
    <x:t>http://id.who.int/icd/release/11/beta/ichi/2113102831</x:t>
  </x:si>
  <x:si>
    <x:t>LTC.AA.ZZ</x:t>
  </x:si>
  <x:si>
    <x:t>- - - - - Assessment of protective functions of the skin</x:t>
  </x:si>
  <x:si>
    <x:t>http://id.who.int/icd/entity/1641851238</x:t>
  </x:si>
  <x:si>
    <x:t>http://id.who.int/icd/release/11/beta/ichi/1641851238</x:t>
  </x:si>
  <x:si>
    <x:t>LTC.LD.ZZ</x:t>
  </x:si>
  <x:si>
    <x:t>- - - - - Positioning to protect skin functions</x:t>
  </x:si>
  <x:si>
    <x:t>http://id.who.int/icd/entity/624293991</x:t>
  </x:si>
  <x:si>
    <x:t>http://id.who.int/icd/release/11/beta/ichi/624293991</x:t>
  </x:si>
  <x:si>
    <x:t>LTD.AA.ZZ</x:t>
  </x:si>
  <x:si>
    <x:t>- - - - - Assessment of repair functions of the skin</x:t>
  </x:si>
  <x:si>
    <x:t>http://id.who.int/icd/entity/1650849265</x:t>
  </x:si>
  <x:si>
    <x:t>http://id.who.int/icd/release/11/beta/ichi/1650849265</x:t>
  </x:si>
  <x:si>
    <x:t>LTK.AC.ZZ</x:t>
  </x:si>
  <x:si>
    <x:t>- - - - - Test of other functions of skin, not elsewhere classified</x:t>
  </x:si>
  <x:si>
    <x:t>http://id.who.int/icd/entity/1897287546</x:t>
  </x:si>
  <x:si>
    <x:t>http://id.who.int/icd/release/11/beta/ichi/1897287546</x:t>
  </x:si>
  <x:si>
    <x:t>LTP.AA.ZZ</x:t>
  </x:si>
  <x:si>
    <x:t>- - - - - Assessment of sensations related to skin functions</x:t>
  </x:si>
  <x:si>
    <x:t>http://id.who.int/icd/entity/36554700</x:t>
  </x:si>
  <x:si>
    <x:t>http://id.who.int/icd/release/11/beta/ichi/36554700</x:t>
  </x:si>
  <x:si>
    <x:t>BlockL4-LU2</x:t>
  </x:si>
  <x:si>
    <x:t>- - - - Interventions on skin appendages functions</x:t>
  </x:si>
  <x:si>
    <x:t>http://id.who.int/icd/entity/1202235443</x:t>
  </x:si>
  <x:si>
    <x:t>http://id.who.int/icd/release/11/beta/ichi/1202235443</x:t>
  </x:si>
  <x:si>
    <x:t>LU2.AA.ZZ</x:t>
  </x:si>
  <x:si>
    <x:t>- - - - - Assessment of functions of hair and nail, not elsewhere classified</x:t>
  </x:si>
  <x:si>
    <x:t>http://id.who.int/icd/entity/1980955257</x:t>
  </x:si>
  <x:si>
    <x:t>http://id.who.int/icd/release/11/beta/ichi/1980955257</x:t>
  </x:si>
  <x:si>
    <x:t>LU2.AC.ZZ</x:t>
  </x:si>
  <x:si>
    <x:t>- - - - - Test of functions of hair and nail, not elsewhere classified</x:t>
  </x:si>
  <x:si>
    <x:t>http://id.who.int/icd/entity/498806400</x:t>
  </x:si>
  <x:si>
    <x:t>http://id.who.int/icd/release/11/beta/ichi/498806400</x:t>
  </x:si>
  <x:si>
    <x:t>LUB.AA.ZZ</x:t>
  </x:si>
  <x:si>
    <x:t>- - - - - Assessment of functions of hair</x:t>
  </x:si>
  <x:si>
    <x:t>http://id.who.int/icd/entity/2004794153</x:t>
  </x:si>
  <x:si>
    <x:t>http://id.who.int/icd/release/11/beta/ichi/2004794153</x:t>
  </x:si>
  <x:si>
    <x:t>LUB.PM.ZZ</x:t>
  </x:si>
  <x:si>
    <x:t>- - - - - Education about hair loss and use of hair replacements</x:t>
  </x:si>
  <x:si>
    <x:t>http://id.who.int/icd/entity/1739858591</x:t>
  </x:si>
  <x:si>
    <x:t>http://id.who.int/icd/release/11/beta/ichi/1739858591</x:t>
  </x:si>
  <x:si>
    <x:t>BlockL4-LZZ</x:t>
  </x:si>
  <x:si>
    <x:t>- - - - Interventions on integumentary system, not elsewhere classified</x:t>
  </x:si>
  <x:si>
    <x:t>42</x:t>
  </x:si>
  <x:si>
    <x:t>http://id.who.int/icd/entity/1196249251</x:t>
  </x:si>
  <x:si>
    <x:t>http://id.who.int/icd/release/11/beta/ichi/1196249251</x:t>
  </x:si>
  <x:si>
    <x:t>LZZ.AA.ZZ</x:t>
  </x:si>
  <x:si>
    <x:t>- - - - - Assessment of skin and subcutaneous cell tissue, not elsewhere classified</x:t>
  </x:si>
  <x:si>
    <x:t>http://id.who.int/icd/entity/77646603</x:t>
  </x:si>
  <x:si>
    <x:t>http://id.who.int/icd/release/11/beta/ichi/77646603</x:t>
  </x:si>
  <x:si>
    <x:t>LZZ.AB.ZZ</x:t>
  </x:si>
  <x:si>
    <x:t>- - - - - Measurement of skin and subcutaneous tissue, not elsewhere classified</x:t>
  </x:si>
  <x:si>
    <x:t>http://id.who.int/icd/entity/1560964729</x:t>
  </x:si>
  <x:si>
    <x:t>http://id.who.int/icd/release/11/beta/ichi/1560964729</x:t>
  </x:si>
  <x:si>
    <x:t>LZZ.AC.AE</x:t>
  </x:si>
  <x:si>
    <x:t>- - - - - Intradermal skin test</x:t>
  </x:si>
  <x:si>
    <x:t>http://id.who.int/icd/entity/1377064603</x:t>
  </x:si>
  <x:si>
    <x:t>http://id.who.int/icd/release/11/beta/ichi/1377064603</x:t>
  </x:si>
  <x:si>
    <x:t>LZZ.AC.AH</x:t>
  </x:si>
  <x:si>
    <x:t>- - - - - Skin patch test</x:t>
  </x:si>
  <x:si>
    <x:t>http://id.who.int/icd/entity/232130488</x:t>
  </x:si>
  <x:si>
    <x:t>http://id.who.int/icd/release/11/beta/ichi/232130488</x:t>
  </x:si>
  <x:si>
    <x:t>LZZ.AD.AE</x:t>
  </x:si>
  <x:si>
    <x:t>- - - - - Biopsy of skin and subcutaneous cell tissue, not elsewhere classified</x:t>
  </x:si>
  <x:si>
    <x:t>http://id.who.int/icd/entity/1571675657</x:t>
  </x:si>
  <x:si>
    <x:t>http://id.who.int/icd/release/11/beta/ichi/1571675657</x:t>
  </x:si>
  <x:si>
    <x:t>LZZ.AE.AA</x:t>
  </x:si>
  <x:si>
    <x:t>- - - - - Open exploration of skin and subcutaneous cell tissue, not elsewhere classified</x:t>
  </x:si>
  <x:si>
    <x:t>http://id.who.int/icd/entity/407092224</x:t>
  </x:si>
  <x:si>
    <x:t>http://id.who.int/icd/release/11/beta/ichi/407092224</x:t>
  </x:si>
  <x:si>
    <x:t>LZZ.AE.AH</x:t>
  </x:si>
  <x:si>
    <x:t>- - - - - Inspection of the skin and subcutaneous cell tissue, not elsewhere classified</x:t>
  </x:si>
  <x:si>
    <x:t>http://id.who.int/icd/entity/1384078485</x:t>
  </x:si>
  <x:si>
    <x:t>http://id.who.int/icd/release/11/beta/ichi/1384078485</x:t>
  </x:si>
  <x:si>
    <x:t>LZZ.DB.AE</x:t>
  </x:si>
  <x:si>
    <x:t>- - - - - Injection into skin and subcutaneous cell tissue, not elsewhere classified</x:t>
  </x:si>
  <x:si>
    <x:t>http://id.who.int/icd/entity/842493614</x:t>
  </x:si>
  <x:si>
    <x:t>http://id.who.int/icd/release/11/beta/ichi/842493614</x:t>
  </x:si>
  <x:si>
    <x:t>LZZ.DB.AH</x:t>
  </x:si>
  <x:si>
    <x:t>- - - - - External application of substance or living organism to skin and subcutaneous tissue, not elsewhere classified</x:t>
  </x:si>
  <x:si>
    <x:t>http://id.who.int/icd/entity/2014022085</x:t>
  </x:si>
  <x:si>
    <x:t>http://id.who.int/icd/release/11/beta/ichi/2014022085</x:t>
  </x:si>
  <x:si>
    <x:t>LZZ.DK.AH</x:t>
  </x:si>
  <x:si>
    <x:t>- - - - - Application of dressing to skin or subcutaneous cell tissue, not elsewhere classified</x:t>
  </x:si>
  <x:si>
    <x:t>http://id.who.int/icd/entity/2111463083</x:t>
  </x:si>
  <x:si>
    <x:t>http://id.who.int/icd/release/11/beta/ichi/2111463083</x:t>
  </x:si>
  <x:si>
    <x:t>LZZ.DL.AE</x:t>
  </x:si>
  <x:si>
    <x:t>- - - - - Percutaneous insertion of device into skin and subcutaneous cell tissue, not elsewhere classified</x:t>
  </x:si>
  <x:si>
    <x:t>http://id.who.int/icd/entity/937867712</x:t>
  </x:si>
  <x:si>
    <x:t>http://id.who.int/icd/release/11/beta/ichi/937867712</x:t>
  </x:si>
  <x:si>
    <x:t>LZZ.FA.AA</x:t>
  </x:si>
  <x:si>
    <x:t>- - - - - Incision of skin and subcutaneous cell tissue, not elsewhere classified</x:t>
  </x:si>
  <x:si>
    <x:t>http://id.who.int/icd/entity/2002254279</x:t>
  </x:si>
  <x:si>
    <x:t>http://id.who.int/icd/release/11/beta/ichi/2002254279</x:t>
  </x:si>
  <x:si>
    <x:t>LZZ.FC.AA</x:t>
  </x:si>
  <x:si>
    <x:t>- - - - - Release of scar or web contracture of skin, not elsewhere classified</x:t>
  </x:si>
  <x:si>
    <x:t>http://id.who.int/icd/entity/680896740</x:t>
  </x:si>
  <x:si>
    <x:t>http://id.who.int/icd/release/11/beta/ichi/680896740</x:t>
  </x:si>
  <x:si>
    <x:t>LZZ.GA.AH</x:t>
  </x:si>
  <x:si>
    <x:t>- - - - - Destruction of skin and subcutaneous cell tissue, not elsewhere classified</x:t>
  </x:si>
  <x:si>
    <x:t>http://id.who.int/icd/entity/846538320</x:t>
  </x:si>
  <x:si>
    <x:t>http://id.who.int/icd/release/11/beta/ichi/846538320</x:t>
  </x:si>
  <x:si>
    <x:t>LZZ.GA.BA</x:t>
  </x:si>
  <x:si>
    <x:t>- - - - - Destruction of lesion or tissue of skin and subcutaneous cell tissue by radiotherapy, not elsewhere classified</x:t>
  </x:si>
  <x:si>
    <x:t>http://id.who.int/icd/entity/2096387867</x:t>
  </x:si>
  <x:si>
    <x:t>http://id.who.int/icd/release/11/beta/ichi/2096387867</x:t>
  </x:si>
  <x:si>
    <x:t>LZZ.JA.AH</x:t>
  </x:si>
  <x:si>
    <x:t>- - - - - Irrigation of skin and subcutaneous cell tissue, not elsewhere classified</x:t>
  </x:si>
  <x:si>
    <x:t>http://id.who.int/icd/entity/147548840</x:t>
  </x:si>
  <x:si>
    <x:t>http://id.who.int/icd/release/11/beta/ichi/147548840</x:t>
  </x:si>
  <x:si>
    <x:t>LZZ.JB.AA</x:t>
  </x:si>
  <x:si>
    <x:t>- - - - - Drainage of skin and subcutaneous cell tissue, not elsewhere classified</x:t>
  </x:si>
  <x:si>
    <x:t>http://id.who.int/icd/entity/754429572</x:t>
  </x:si>
  <x:si>
    <x:t>http://id.who.int/icd/release/11/beta/ichi/754429572</x:t>
  </x:si>
  <x:si>
    <x:t>LZZ.JB.AE</x:t>
  </x:si>
  <x:si>
    <x:t>- - - - - Percutaneous drainage of skin and subcutaneous cell tissue, not elsewhere classified</x:t>
  </x:si>
  <x:si>
    <x:t>http://id.who.int/icd/entity/491650250</x:t>
  </x:si>
  <x:si>
    <x:t>http://id.who.int/icd/release/11/beta/ichi/491650250</x:t>
  </x:si>
  <x:si>
    <x:t>LZZ.JD.AA</x:t>
  </x:si>
  <x:si>
    <x:t>- - - - - Removal of internal device or foreign body from skin and subcutaneous cell tissue, not elsewhere classified</x:t>
  </x:si>
  <x:si>
    <x:t>http://id.who.int/icd/entity/410637112</x:t>
  </x:si>
  <x:si>
    <x:t>http://id.who.int/icd/release/11/beta/ichi/410637112</x:t>
  </x:si>
  <x:si>
    <x:t>LZZ.JD.AE</x:t>
  </x:si>
  <x:si>
    <x:t>- - - - - Percutaneous removal of internal device or foreign body from skin and subcutaneous cell tissue, not elsewhere classified</x:t>
  </x:si>
  <x:si>
    <x:t>http://id.who.int/icd/entity/1732440105</x:t>
  </x:si>
  <x:si>
    <x:t>http://id.who.int/icd/release/11/beta/ichi/1732440105</x:t>
  </x:si>
  <x:si>
    <x:t>LZZ.JD.AH</x:t>
  </x:si>
  <x:si>
    <x:t>- - - - - Removal of internal device or foreign body from skin and subcutaneous cell tissue without incision, not elsewhere classified</x:t>
  </x:si>
  <x:si>
    <x:t>http://id.who.int/icd/entity/1287625913</x:t>
  </x:si>
  <x:si>
    <x:t>http://id.who.int/icd/release/11/beta/ichi/1287625913</x:t>
  </x:si>
  <x:si>
    <x:t>LZZ.JG.AA</x:t>
  </x:si>
  <x:si>
    <x:t>- - - - - Debridement of skin and subcutaneous cell tissue with incision, not elsewhere classified</x:t>
  </x:si>
  <x:si>
    <x:t>http://id.who.int/icd/entity/497550426</x:t>
  </x:si>
  <x:si>
    <x:t>http://id.who.int/icd/release/11/beta/ichi/497550426</x:t>
  </x:si>
  <x:si>
    <x:t>LZZ.JG.AH</x:t>
  </x:si>
  <x:si>
    <x:t>- - - - - Debridement of skin and subcutaneous cell tissue without incision, not elsewhere classified</x:t>
  </x:si>
  <x:si>
    <x:t>http://id.who.int/icd/entity/911567050</x:t>
  </x:si>
  <x:si>
    <x:t>http://id.who.int/icd/release/11/beta/ichi/911567050</x:t>
  </x:si>
  <x:si>
    <x:t>LZZ.JH.AA</x:t>
  </x:si>
  <x:si>
    <x:t>- - - - - Procurement of skin and subcutaneous tissue for graft or flap, not elsewhere classified</x:t>
  </x:si>
  <x:si>
    <x:t>http://id.who.int/icd/entity/388342582</x:t>
  </x:si>
  <x:si>
    <x:t>http://id.who.int/icd/release/11/beta/ichi/388342582</x:t>
  </x:si>
  <x:si>
    <x:t>LZZ.JI.AA</x:t>
  </x:si>
  <x:si>
    <x:t>- - - - - Local excision of skin and subcutaneous cell tissue, not elsewhere classified</x:t>
  </x:si>
  <x:si>
    <x:t>http://id.who.int/icd/entity/1020841894</x:t>
  </x:si>
  <x:si>
    <x:t>http://id.who.int/icd/release/11/beta/ichi/1020841894</x:t>
  </x:si>
  <x:si>
    <x:t>LZZ.JJ.AA</x:t>
  </x:si>
  <x:si>
    <x:t>- - - - - Partial excision of skin and subcutaneous cell tissue, not elsewhere classified</x:t>
  </x:si>
  <x:si>
    <x:t>http://id.who.int/icd/entity/758931364</x:t>
  </x:si>
  <x:si>
    <x:t>http://id.who.int/icd/release/11/beta/ichi/758931364</x:t>
  </x:si>
  <x:si>
    <x:t>LZZ.JK.AA</x:t>
  </x:si>
  <x:si>
    <x:t>- - - - - Total excision of skin and subcutaneous cell tissue, not elsewhere classified</x:t>
  </x:si>
  <x:si>
    <x:t>http://id.who.int/icd/entity/1929252481</x:t>
  </x:si>
  <x:si>
    <x:t>http://id.who.int/icd/release/11/beta/ichi/1929252481</x:t>
  </x:si>
  <x:si>
    <x:t>LZZ.JL.AA</x:t>
  </x:si>
  <x:si>
    <x:t>- - - - - Radical excision of skin and subcutaneous tissue, not elsewhere classified</x:t>
  </x:si>
  <x:si>
    <x:t>http://id.who.int/icd/entity/401152332</x:t>
  </x:si>
  <x:si>
    <x:t>http://id.who.int/icd/release/11/beta/ichi/401152332</x:t>
  </x:si>
  <x:si>
    <x:t>LZZ.KD.AA</x:t>
  </x:si>
  <x:si>
    <x:t>- - - - - Hair transplant</x:t>
  </x:si>
  <x:si>
    <x:t>http://id.who.int/icd/entity/1735111367</x:t>
  </x:si>
  <x:si>
    <x:t>http://id.who.int/icd/release/11/beta/ichi/1735111367</x:t>
  </x:si>
  <x:si>
    <x:t>LZZ.LA.AA</x:t>
  </x:si>
  <x:si>
    <x:t>- - - - - Ligation of dermal appendage, not elsewhere classified</x:t>
  </x:si>
  <x:si>
    <x:t>http://id.who.int/icd/entity/1210796137</x:t>
  </x:si>
  <x:si>
    <x:t>http://id.who.int/icd/release/11/beta/ichi/1210796137</x:t>
  </x:si>
  <x:si>
    <x:t>LZZ.LC.AA</x:t>
  </x:si>
  <x:si>
    <x:t>- - - - - Fixation of skin and subcutaneous cell tissue, not elsewhere classified</x:t>
  </x:si>
  <x:si>
    <x:t>http://id.who.int/icd/entity/1033751578</x:t>
  </x:si>
  <x:si>
    <x:t>http://id.who.int/icd/release/11/beta/ichi/1033751578</x:t>
  </x:si>
  <x:si>
    <x:t>LZZ.LK.AA</x:t>
  </x:si>
  <x:si>
    <x:t>- - - - - Augmentation of skin and subcutaneous cell tissue, not elsewhere classified</x:t>
  </x:si>
  <x:si>
    <x:t>http://id.who.int/icd/entity/1843795371</x:t>
  </x:si>
  <x:si>
    <x:t>http://id.who.int/icd/release/11/beta/ichi/1843795371</x:t>
  </x:si>
  <x:si>
    <x:t>LZZ.LL.AA</x:t>
  </x:si>
  <x:si>
    <x:t>- - - - - Reduction of skin and subcutaneous cell tissue, not elsewhere classified</x:t>
  </x:si>
  <x:si>
    <x:t>http://id.who.int/icd/entity/316487350</x:t>
  </x:si>
  <x:si>
    <x:t>http://id.who.int/icd/release/11/beta/ichi/316487350</x:t>
  </x:si>
  <x:si>
    <x:t>LZZ.LL.AE</x:t>
  </x:si>
  <x:si>
    <x:t>- - - - - Liposuction, not elsewhere classified</x:t>
  </x:si>
  <x:si>
    <x:t>http://id.who.int/icd/entity/49436564</x:t>
  </x:si>
  <x:si>
    <x:t>http://id.who.int/icd/release/11/beta/ichi/49436564</x:t>
  </x:si>
  <x:si>
    <x:t>LZZ.MK.AA</x:t>
  </x:si>
  <x:si>
    <x:t>- - - - - Repair of skin and subcutaneous cell tissue, not elsewhere classified</x:t>
  </x:si>
  <x:si>
    <x:t>http://id.who.int/icd/entity/167135550</x:t>
  </x:si>
  <x:si>
    <x:t>http://id.who.int/icd/release/11/beta/ichi/167135550</x:t>
  </x:si>
  <x:si>
    <x:t>LZZ.ML.AA</x:t>
  </x:si>
  <x:si>
    <x:t>- - - - - Skin graft, not elsewhere classified</x:t>
  </x:si>
  <x:si>
    <x:t>http://id.who.int/icd/entity/414542154</x:t>
  </x:si>
  <x:si>
    <x:t>http://id.who.int/icd/release/11/beta/ichi/414542154</x:t>
  </x:si>
  <x:si>
    <x:t>LZZ.PM.ZZ</x:t>
  </x:si>
  <x:si>
    <x:t>- - - - - Education about skin and subcutaneous cell tissue, not elsewhere classified</x:t>
  </x:si>
  <x:si>
    <x:t>http://id.who.int/icd/entity/709087800</x:t>
  </x:si>
  <x:si>
    <x:t>http://id.who.int/icd/release/11/beta/ichi/709087800</x:t>
  </x:si>
  <x:si>
    <x:t>LZZ.SC.AH</x:t>
  </x:si>
  <x:si>
    <x:t>- - - - - Phototherapy to skin and subcutaneous cell tissue, not elsewhere classified</x:t>
  </x:si>
  <x:si>
    <x:t>http://id.who.int/icd/entity/492754672</x:t>
  </x:si>
  <x:si>
    <x:t>http://id.who.int/icd/release/11/beta/ichi/492754672</x:t>
  </x:si>
  <x:si>
    <x:t>LZZ.SC.BP</x:t>
  </x:si>
  <x:si>
    <x:t>- - - - - Iontophoresis</x:t>
  </x:si>
  <x:si>
    <x:t>http://id.who.int/icd/entity/679903938</x:t>
  </x:si>
  <x:si>
    <x:t>http://id.who.int/icd/release/11/beta/ichi/679903938</x:t>
  </x:si>
  <x:si>
    <x:t>LZZ.SI.ZZ</x:t>
  </x:si>
  <x:si>
    <x:t>- - - - - Preparation of skin</x:t>
  </x:si>
  <x:si>
    <x:t>http://id.who.int/icd/entity/58453586</x:t>
  </x:si>
  <x:si>
    <x:t>http://id.who.int/icd/release/11/beta/ichi/58453586</x:t>
  </x:si>
  <x:si>
    <x:t>LZZ.SN.AE</x:t>
  </x:si>
  <x:si>
    <x:t>- - - - - Management of internal device for skin and subcutaneous tissue, not elsewhere classified</x:t>
  </x:si>
  <x:si>
    <x:t>http://id.who.int/icd/entity/1472045533</x:t>
  </x:si>
  <x:si>
    <x:t>http://id.who.int/icd/release/11/beta/ichi/1472045533</x:t>
  </x:si>
  <x:si>
    <x:t>LZZ.ZZ.ZZ</x:t>
  </x:si>
  <x:si>
    <x:t>- - - - - Other interventions on skin and subcutaneous cell tissue, not elsewhere classified</x:t>
  </x:si>
  <x:si>
    <x:t>http://id.who.int/icd/release/11/beta/ichi/743418171/other</x:t>
  </x:si>
  <x:si>
    <x:t>LZZ.ZY.ZY</x:t>
  </x:si>
  <x:si>
    <x:t>- - - - Other specified interventions on the integumentary system</x:t>
  </x:si>
  <x:si>
    <x:t>http://id.who.int/icd/release/11/beta/ichi/743418171/unspecified</x:t>
  </x:si>
  <x:si>
    <x:t>- - - - Interventions on the integumentary system, unspecified</x:t>
  </x:si>
  <x:si>
    <x:t>http://id.who.int/icd/entity/332050646</x:t>
  </x:si>
  <x:si>
    <x:t>http://id.who.int/icd/release/11/beta/ichi/332050646</x:t>
  </x:si>
  <x:si>
    <x:t>BlockL3-MAA</x:t>
  </x:si>
  <x:si>
    <x:t>- - - Interventions on the musculoskeletal system</x:t>
  </x:si>
  <x:si>
    <x:t>http://id.who.int/icd/entity/943184966</x:t>
  </x:si>
  <x:si>
    <x:t>http://id.who.int/icd/release/11/beta/ichi/943184966</x:t>
  </x:si>
  <x:si>
    <x:t>BlockL4-MAA</x:t>
  </x:si>
  <x:si>
    <x:t>- - - - Interventions on musculoskeletal structures of head or neck</x:t>
  </x:si>
  <x:si>
    <x:t>134</x:t>
  </x:si>
  <x:si>
    <x:t>http://id.who.int/icd/entity/1448075055</x:t>
  </x:si>
  <x:si>
    <x:t>http://id.who.int/icd/release/11/beta/ichi/1448075055</x:t>
  </x:si>
  <x:si>
    <x:t>MAA.AB.AH</x:t>
  </x:si>
  <x:si>
    <x:t>- - - - - Measurement of skull circumference</x:t>
  </x:si>
  <x:si>
    <x:t>http://id.who.int/icd/entity/2084244095</x:t>
  </x:si>
  <x:si>
    <x:t>http://id.who.int/icd/release/11/beta/ichi/2084244095</x:t>
  </x:si>
  <x:si>
    <x:t>MAA.AD.AA</x:t>
  </x:si>
  <x:si>
    <x:t>- - - - - Biopsy of skull</x:t>
  </x:si>
  <x:si>
    <x:t>http://id.who.int/icd/entity/742446032</x:t>
  </x:si>
  <x:si>
    <x:t>http://id.who.int/icd/release/11/beta/ichi/742446032</x:t>
  </x:si>
  <x:si>
    <x:t>MAA.AD.AE</x:t>
  </x:si>
  <x:si>
    <x:t>- - - - - Percutaneous biopsy of skull</x:t>
  </x:si>
  <x:si>
    <x:t>http://id.who.int/icd/entity/50342240</x:t>
  </x:si>
  <x:si>
    <x:t>http://id.who.int/icd/release/11/beta/ichi/50342240</x:t>
  </x:si>
  <x:si>
    <x:t>MAA.AE.AH</x:t>
  </x:si>
  <x:si>
    <x:t>- - - - - Transillumination of infant skull</x:t>
  </x:si>
  <x:si>
    <x:t>http://id.who.int/icd/entity/114425358</x:t>
  </x:si>
  <x:si>
    <x:t>http://id.who.int/icd/release/11/beta/ichi/114425358</x:t>
  </x:si>
  <x:si>
    <x:t>MAA.BA.BA</x:t>
  </x:si>
  <x:si>
    <x:t>- - - - - X-ray of skull</x:t>
  </x:si>
  <x:si>
    <x:t>http://id.who.int/icd/entity/479641812</x:t>
  </x:si>
  <x:si>
    <x:t>http://id.who.int/icd/release/11/beta/ichi/479641812</x:t>
  </x:si>
  <x:si>
    <x:t>MAA.BA.BC</x:t>
  </x:si>
  <x:si>
    <x:t>- - - - - Computerised tomography of cranium, not elsewhere classified</x:t>
  </x:si>
  <x:si>
    <x:t>http://id.who.int/icd/entity/430108458</x:t>
  </x:si>
  <x:si>
    <x:t>http://id.who.int/icd/release/11/beta/ichi/430108458</x:t>
  </x:si>
  <x:si>
    <x:t>MAA.BA.BD</x:t>
  </x:si>
  <x:si>
    <x:t>- - - - - Computerised tomography of cranium with intravenous contrast</x:t>
  </x:si>
  <x:si>
    <x:t>http://id.who.int/icd/entity/168442020</x:t>
  </x:si>
  <x:si>
    <x:t>http://id.who.int/icd/release/11/beta/ichi/168442020</x:t>
  </x:si>
  <x:si>
    <x:t>MAA.BA.BH</x:t>
  </x:si>
  <x:si>
    <x:t>- - - - - Magnetic resonance imaging of cranium, not elsewhere classified</x:t>
  </x:si>
  <x:si>
    <x:t>http://id.who.int/icd/entity/457775316</x:t>
  </x:si>
  <x:si>
    <x:t>http://id.who.int/icd/release/11/beta/ichi/457775316</x:t>
  </x:si>
  <x:si>
    <x:t>MAA.BA.BI</x:t>
  </x:si>
  <x:si>
    <x:t>- - - - - Magnetic resonance imaging of cranium with intravenous contrast</x:t>
  </x:si>
  <x:si>
    <x:t>http://id.who.int/icd/entity/1721355317</x:t>
  </x:si>
  <x:si>
    <x:t>http://id.who.int/icd/release/11/beta/ichi/1721355317</x:t>
  </x:si>
  <x:si>
    <x:t>MAA.DL.AA</x:t>
  </x:si>
  <x:si>
    <x:t>- - - - - Insertion of skull tongs or halo traction device</x:t>
  </x:si>
  <x:si>
    <x:t>http://id.who.int/icd/entity/920786310</x:t>
  </x:si>
  <x:si>
    <x:t>http://id.who.int/icd/release/11/beta/ichi/920786310</x:t>
  </x:si>
  <x:si>
    <x:t>MAA.DN.AA</x:t>
  </x:si>
  <x:si>
    <x:t>- - - - - Implantation of device into skull</x:t>
  </x:si>
  <x:si>
    <x:t>http://id.who.int/icd/entity/1551904931</x:t>
  </x:si>
  <x:si>
    <x:t>http://id.who.int/icd/release/11/beta/ichi/1551904931</x:t>
  </x:si>
  <x:si>
    <x:t>MAA.FA.AA</x:t>
  </x:si>
  <x:si>
    <x:t>- - - - - Craniotomy</x:t>
  </x:si>
  <x:si>
    <x:t>http://id.who.int/icd/entity/1396291633</x:t>
  </x:si>
  <x:si>
    <x:t>http://id.who.int/icd/release/11/beta/ichi/1396291633</x:t>
  </x:si>
  <x:si>
    <x:t>MAA.FC.AA</x:t>
  </x:si>
  <x:si>
    <x:t>- - - - - Release of skull fracture</x:t>
  </x:si>
  <x:si>
    <x:t>http://id.who.int/icd/entity/1185678455</x:t>
  </x:si>
  <x:si>
    <x:t>http://id.who.int/icd/release/11/beta/ichi/1185678455</x:t>
  </x:si>
  <x:si>
    <x:t>MAA.JD.AA</x:t>
  </x:si>
  <x:si>
    <x:t>- - - - - Removal of internal device or foreign body from skull</x:t>
  </x:si>
  <x:si>
    <x:t>http://id.who.int/icd/entity/1226149093</x:t>
  </x:si>
  <x:si>
    <x:t>http://id.who.int/icd/release/11/beta/ichi/1226149093</x:t>
  </x:si>
  <x:si>
    <x:t>MAA.JD.AH</x:t>
  </x:si>
  <x:si>
    <x:t>- - - - - Removal of internal device or foreign body from skull without incision</x:t>
  </x:si>
  <x:si>
    <x:t>http://id.who.int/icd/entity/127204786</x:t>
  </x:si>
  <x:si>
    <x:t>http://id.who.int/icd/release/11/beta/ichi/127204786</x:t>
  </x:si>
  <x:si>
    <x:t>MAA.JG.AA</x:t>
  </x:si>
  <x:si>
    <x:t>- - - - - Debridement of skull, not elsewhere classified</x:t>
  </x:si>
  <x:si>
    <x:t>http://id.who.int/icd/entity/2032559983</x:t>
  </x:si>
  <x:si>
    <x:t>http://id.who.int/icd/release/11/beta/ichi/2032559983</x:t>
  </x:si>
  <x:si>
    <x:t>MAA.JI.AA</x:t>
  </x:si>
  <x:si>
    <x:t>- - - - - Local excision of lesion of skull</x:t>
  </x:si>
  <x:si>
    <x:t>http://id.who.int/icd/entity/102581360</x:t>
  </x:si>
  <x:si>
    <x:t>http://id.who.int/icd/release/11/beta/ichi/102581360</x:t>
  </x:si>
  <x:si>
    <x:t>MAA.JJ.AA</x:t>
  </x:si>
  <x:si>
    <x:t>- - - - - Craniectomy</x:t>
  </x:si>
  <x:si>
    <x:t>http://id.who.int/icd/entity/1179253991</x:t>
  </x:si>
  <x:si>
    <x:t>http://id.who.int/icd/release/11/beta/ichi/1179253991</x:t>
  </x:si>
  <x:si>
    <x:t>MAA.JJ.AD</x:t>
  </x:si>
  <x:si>
    <x:t>- - - - - Intranasal skull base resection</x:t>
  </x:si>
  <x:si>
    <x:t>http://id.who.int/icd/entity/2062985005</x:t>
  </x:si>
  <x:si>
    <x:t>http://id.who.int/icd/release/11/beta/ichi/2062985005</x:t>
  </x:si>
  <x:si>
    <x:t>MAA.KA.AA</x:t>
  </x:si>
  <x:si>
    <x:t>- - - - - Replacement of internal device of skull</x:t>
  </x:si>
  <x:si>
    <x:t>http://id.who.int/icd/entity/428584388</x:t>
  </x:si>
  <x:si>
    <x:t>http://id.who.int/icd/release/11/beta/ichi/428584388</x:t>
  </x:si>
  <x:si>
    <x:t>MAA.KB.AH</x:t>
  </x:si>
  <x:si>
    <x:t>- - - - - Replacement of external skull device</x:t>
  </x:si>
  <x:si>
    <x:t>http://id.who.int/icd/entity/1762199113</x:t>
  </x:si>
  <x:si>
    <x:t>http://id.who.int/icd/release/11/beta/ichi/1762199113</x:t>
  </x:si>
  <x:si>
    <x:t>MAA.LC.AA</x:t>
  </x:si>
  <x:si>
    <x:t>- - - - - Elevation of skull fracture fragments</x:t>
  </x:si>
  <x:si>
    <x:t>http://id.who.int/icd/entity/482312762</x:t>
  </x:si>
  <x:si>
    <x:t>http://id.who.int/icd/release/11/beta/ichi/482312762</x:t>
  </x:si>
  <x:si>
    <x:t>MAA.LD.AA</x:t>
  </x:si>
  <x:si>
    <x:t>- - - - - Open reduction of skull fracture</x:t>
  </x:si>
  <x:si>
    <x:t>http://id.who.int/icd/entity/872380566</x:t>
  </x:si>
  <x:si>
    <x:t>http://id.who.int/icd/release/11/beta/ichi/872380566</x:t>
  </x:si>
  <x:si>
    <x:t>MAA.LD.AH</x:t>
  </x:si>
  <x:si>
    <x:t>- - - - - Closed reduction of skull</x:t>
  </x:si>
  <x:si>
    <x:t>http://id.who.int/icd/entity/2105412033</x:t>
  </x:si>
  <x:si>
    <x:t>http://id.who.int/icd/release/11/beta/ichi/2105412033</x:t>
  </x:si>
  <x:si>
    <x:t>MAA.ML.AA</x:t>
  </x:si>
  <x:si>
    <x:t>- - - - - Cranial osteoplasty</x:t>
  </x:si>
  <x:si>
    <x:t>http://id.who.int/icd/entity/861456612</x:t>
  </x:si>
  <x:si>
    <x:t>http://id.who.int/icd/release/11/beta/ichi/861456612</x:t>
  </x:si>
  <x:si>
    <x:t>MAB.AD.AA</x:t>
  </x:si>
  <x:si>
    <x:t>- - - - - Biopsy of facial bone, not elsewhere classified</x:t>
  </x:si>
  <x:si>
    <x:t>http://id.who.int/icd/entity/413508724</x:t>
  </x:si>
  <x:si>
    <x:t>http://id.who.int/icd/release/11/beta/ichi/413508724</x:t>
  </x:si>
  <x:si>
    <x:t>MAB.BA.BA</x:t>
  </x:si>
  <x:si>
    <x:t>- - - - - X-ray of facial bone, not elsewhere classified</x:t>
  </x:si>
  <x:si>
    <x:t>http://id.who.int/icd/entity/536504431</x:t>
  </x:si>
  <x:si>
    <x:t>http://id.who.int/icd/release/11/beta/ichi/536504431</x:t>
  </x:si>
  <x:si>
    <x:t>MAB.BA.BC</x:t>
  </x:si>
  <x:si>
    <x:t>- - - - - Computerised tomography of facial bone, not elsewhere classified</x:t>
  </x:si>
  <x:si>
    <x:t>http://id.who.int/icd/entity/817533633</x:t>
  </x:si>
  <x:si>
    <x:t>http://id.who.int/icd/release/11/beta/ichi/817533633</x:t>
  </x:si>
  <x:si>
    <x:t>MAB.BA.BD</x:t>
  </x:si>
  <x:si>
    <x:t>- - - - - Computerised tomography of facial bone with intravenous contrast</x:t>
  </x:si>
  <x:si>
    <x:t>http://id.who.int/icd/entity/1158420146</x:t>
  </x:si>
  <x:si>
    <x:t>http://id.who.int/icd/release/11/beta/ichi/1158420146</x:t>
  </x:si>
  <x:si>
    <x:t>MAB.BA.BH</x:t>
  </x:si>
  <x:si>
    <x:t>- - - - - Magnetic resonance imaging of facial bone, not elsewhere classified</x:t>
  </x:si>
  <x:si>
    <x:t>http://id.who.int/icd/entity/898547007</x:t>
  </x:si>
  <x:si>
    <x:t>http://id.who.int/icd/release/11/beta/ichi/898547007</x:t>
  </x:si>
  <x:si>
    <x:t>MAB.BA.BI</x:t>
  </x:si>
  <x:si>
    <x:t>- - - - - Magnetic resonance imaging of facial bone with intravenous contrast</x:t>
  </x:si>
  <x:si>
    <x:t>http://id.who.int/icd/entity/1783426078</x:t>
  </x:si>
  <x:si>
    <x:t>http://id.who.int/icd/release/11/beta/ichi/1783426078</x:t>
  </x:si>
  <x:si>
    <x:t>MAB.DN.AA</x:t>
  </x:si>
  <x:si>
    <x:t>- - - - - Implantation of device into facial bone, not elsewhere classified</x:t>
  </x:si>
  <x:si>
    <x:t>http://id.who.int/icd/entity/1072095939</x:t>
  </x:si>
  <x:si>
    <x:t>http://id.who.int/icd/release/11/beta/ichi/1072095939</x:t>
  </x:si>
  <x:si>
    <x:t>MAB.FA.AA</x:t>
  </x:si>
  <x:si>
    <x:t>- - - - - Incision of facial bone, not elsewhere classified</x:t>
  </x:si>
  <x:si>
    <x:t>http://id.who.int/icd/entity/1369366956</x:t>
  </x:si>
  <x:si>
    <x:t>http://id.who.int/icd/release/11/beta/ichi/1369366956</x:t>
  </x:si>
  <x:si>
    <x:t>MAB.GA.AA</x:t>
  </x:si>
  <x:si>
    <x:t>- - - - - Destruction of lesion of facial bone, not elsewhere classified</x:t>
  </x:si>
  <x:si>
    <x:t>http://id.who.int/icd/entity/1088274908</x:t>
  </x:si>
  <x:si>
    <x:t>http://id.who.int/icd/release/11/beta/ichi/1088274908</x:t>
  </x:si>
  <x:si>
    <x:t>MAB.JD.AA</x:t>
  </x:si>
  <x:si>
    <x:t>- - - - - Removal of internal device or foreign body from facial bone, not elsewhere classified</x:t>
  </x:si>
  <x:si>
    <x:t>http://id.who.int/icd/entity/361904019</x:t>
  </x:si>
  <x:si>
    <x:t>http://id.who.int/icd/release/11/beta/ichi/361904019</x:t>
  </x:si>
  <x:si>
    <x:t>MAB.JI.AA</x:t>
  </x:si>
  <x:si>
    <x:t>- - - - - Local excision of lesion of facial bone, not elsewhere classified</x:t>
  </x:si>
  <x:si>
    <x:t>http://id.who.int/icd/entity/1172958754</x:t>
  </x:si>
  <x:si>
    <x:t>http://id.who.int/icd/release/11/beta/ichi/1172958754</x:t>
  </x:si>
  <x:si>
    <x:t>MAB.JJ.AA</x:t>
  </x:si>
  <x:si>
    <x:t>- - - - - Partial excision of facial bone, not elsewhere classified</x:t>
  </x:si>
  <x:si>
    <x:t>http://id.who.int/icd/entity/791444341</x:t>
  </x:si>
  <x:si>
    <x:t>http://id.who.int/icd/release/11/beta/ichi/791444341</x:t>
  </x:si>
  <x:si>
    <x:t>MAB.JK.AA</x:t>
  </x:si>
  <x:si>
    <x:t>- - - - - Total ostectomy of facial bone, not elsewhere classified</x:t>
  </x:si>
  <x:si>
    <x:t>http://id.who.int/icd/entity/902624735</x:t>
  </x:si>
  <x:si>
    <x:t>http://id.who.int/icd/release/11/beta/ichi/902624735</x:t>
  </x:si>
  <x:si>
    <x:t>MAB.LD.AA</x:t>
  </x:si>
  <x:si>
    <x:t>- - - - - Open reduction of facial bone, not elsewhere classified</x:t>
  </x:si>
  <x:si>
    <x:t>http://id.who.int/icd/entity/797690629</x:t>
  </x:si>
  <x:si>
    <x:t>http://id.who.int/icd/release/11/beta/ichi/797690629</x:t>
  </x:si>
  <x:si>
    <x:t>MAB.LD.AH</x:t>
  </x:si>
  <x:si>
    <x:t>- - - - - Closed reduction of facial bone, not elsewhere classified</x:t>
  </x:si>
  <x:si>
    <x:t>http://id.who.int/icd/entity/627926631</x:t>
  </x:si>
  <x:si>
    <x:t>http://id.who.int/icd/release/11/beta/ichi/627926631</x:t>
  </x:si>
  <x:si>
    <x:t>MAB.ML.AA</x:t>
  </x:si>
  <x:si>
    <x:t>- - - - - Reconstruction of facial bone, not elsewhere classified</x:t>
  </x:si>
  <x:si>
    <x:t>http://id.who.int/icd/entity/170761417</x:t>
  </x:si>
  <x:si>
    <x:t>http://id.who.int/icd/release/11/beta/ichi/170761417</x:t>
  </x:si>
  <x:si>
    <x:t>MAC.AD.AA</x:t>
  </x:si>
  <x:si>
    <x:t>- - - - - Biopsy of zygoma</x:t>
  </x:si>
  <x:si>
    <x:t>http://id.who.int/icd/entity/788871579</x:t>
  </x:si>
  <x:si>
    <x:t>http://id.who.int/icd/release/11/beta/ichi/788871579</x:t>
  </x:si>
  <x:si>
    <x:t>MAC.BA.BA</x:t>
  </x:si>
  <x:si>
    <x:t>- - - - - X-ray of zygoma</x:t>
  </x:si>
  <x:si>
    <x:t>http://id.who.int/icd/entity/83383563</x:t>
  </x:si>
  <x:si>
    <x:t>http://id.who.int/icd/release/11/beta/ichi/83383563</x:t>
  </x:si>
  <x:si>
    <x:t>MAC.DN.AA</x:t>
  </x:si>
  <x:si>
    <x:t>- - - - - Implantation of device into zygomatic bone</x:t>
  </x:si>
  <x:si>
    <x:t>http://id.who.int/icd/entity/1892116666</x:t>
  </x:si>
  <x:si>
    <x:t>http://id.who.int/icd/release/11/beta/ichi/1892116666</x:t>
  </x:si>
  <x:si>
    <x:t>MAC.JD.AA</x:t>
  </x:si>
  <x:si>
    <x:t>- - - - - Removal of internal device or foreign body from zygoma</x:t>
  </x:si>
  <x:si>
    <x:t>http://id.who.int/icd/entity/1978877768</x:t>
  </x:si>
  <x:si>
    <x:t>http://id.who.int/icd/release/11/beta/ichi/1978877768</x:t>
  </x:si>
  <x:si>
    <x:t>MAC.JD.AH</x:t>
  </x:si>
  <x:si>
    <x:t>- - - - - Removal of internal device or foreign body from zygoma without incision</x:t>
  </x:si>
  <x:si>
    <x:t>http://id.who.int/icd/entity/1330449312</x:t>
  </x:si>
  <x:si>
    <x:t>http://id.who.int/icd/release/11/beta/ichi/1330449312</x:t>
  </x:si>
  <x:si>
    <x:t>MAC.JG.AA</x:t>
  </x:si>
  <x:si>
    <x:t>- - - - - Debridement of zygoma</x:t>
  </x:si>
  <x:si>
    <x:t>http://id.who.int/icd/entity/589694382</x:t>
  </x:si>
  <x:si>
    <x:t>http://id.who.int/icd/release/11/beta/ichi/589694382</x:t>
  </x:si>
  <x:si>
    <x:t>MAC.JI.AA</x:t>
  </x:si>
  <x:si>
    <x:t>- - - - - Local excision of lesion of zygoma</x:t>
  </x:si>
  <x:si>
    <x:t>http://id.who.int/icd/entity/1689282352</x:t>
  </x:si>
  <x:si>
    <x:t>http://id.who.int/icd/release/11/beta/ichi/1689282352</x:t>
  </x:si>
  <x:si>
    <x:t>MAC.JJ.AA</x:t>
  </x:si>
  <x:si>
    <x:t>- - - - - Partial excision of zygoma</x:t>
  </x:si>
  <x:si>
    <x:t>http://id.who.int/icd/entity/819042511</x:t>
  </x:si>
  <x:si>
    <x:t>http://id.who.int/icd/release/11/beta/ichi/819042511</x:t>
  </x:si>
  <x:si>
    <x:t>MAC.LC.AH</x:t>
  </x:si>
  <x:si>
    <x:t>- - - - - External immobilisation of zygoma</x:t>
  </x:si>
  <x:si>
    <x:t>http://id.who.int/icd/entity/1863567852</x:t>
  </x:si>
  <x:si>
    <x:t>http://id.who.int/icd/release/11/beta/ichi/1863567852</x:t>
  </x:si>
  <x:si>
    <x:t>MAC.LD.AA</x:t>
  </x:si>
  <x:si>
    <x:t>- - - - - Open reduction of zygomatic bone</x:t>
  </x:si>
  <x:si>
    <x:t>http://id.who.int/icd/entity/2075701542</x:t>
  </x:si>
  <x:si>
    <x:t>http://id.who.int/icd/release/11/beta/ichi/2075701542</x:t>
  </x:si>
  <x:si>
    <x:t>MAC.LD.AH</x:t>
  </x:si>
  <x:si>
    <x:t>- - - - - Closed reduction of zygomatic bone</x:t>
  </x:si>
  <x:si>
    <x:t>http://id.who.int/icd/entity/364950095</x:t>
  </x:si>
  <x:si>
    <x:t>http://id.who.int/icd/release/11/beta/ichi/364950095</x:t>
  </x:si>
  <x:si>
    <x:t>MAC.ML.AA</x:t>
  </x:si>
  <x:si>
    <x:t>- - - - - Reconstruction of zygoma</x:t>
  </x:si>
  <x:si>
    <x:t>http://id.who.int/icd/entity/75731513</x:t>
  </x:si>
  <x:si>
    <x:t>http://id.who.int/icd/release/11/beta/ichi/75731513</x:t>
  </x:si>
  <x:si>
    <x:t>MAC.SM.AH</x:t>
  </x:si>
  <x:si>
    <x:t>- - - - - Adjustment of external device or appliance of zygoma</x:t>
  </x:si>
  <x:si>
    <x:t>http://id.who.int/icd/entity/1899304522</x:t>
  </x:si>
  <x:si>
    <x:t>http://id.who.int/icd/release/11/beta/ichi/1899304522</x:t>
  </x:si>
  <x:si>
    <x:t>MAE.BA.BA</x:t>
  </x:si>
  <x:si>
    <x:t>- - - - - X-ray of nasal bone</x:t>
  </x:si>
  <x:si>
    <x:t>http://id.who.int/icd/entity/558813179</x:t>
  </x:si>
  <x:si>
    <x:t>http://id.who.int/icd/release/11/beta/ichi/558813179</x:t>
  </x:si>
  <x:si>
    <x:t>MAE.LD.AA</x:t>
  </x:si>
  <x:si>
    <x:t>- - - - - Open reduction of nose</x:t>
  </x:si>
  <x:si>
    <x:t>http://id.who.int/icd/entity/235812181</x:t>
  </x:si>
  <x:si>
    <x:t>http://id.who.int/icd/release/11/beta/ichi/235812181</x:t>
  </x:si>
  <x:si>
    <x:t>MAE.LD.AH</x:t>
  </x:si>
  <x:si>
    <x:t>- - - - - Closed reduction of nose</x:t>
  </x:si>
  <x:si>
    <x:t>http://id.who.int/icd/entity/723947527</x:t>
  </x:si>
  <x:si>
    <x:t>http://id.who.int/icd/release/11/beta/ichi/723947527</x:t>
  </x:si>
  <x:si>
    <x:t>MAF.AD.AA</x:t>
  </x:si>
  <x:si>
    <x:t>- - - - - Biopsy of maxilla</x:t>
  </x:si>
  <x:si>
    <x:t>http://id.who.int/icd/entity/2069711286</x:t>
  </x:si>
  <x:si>
    <x:t>http://id.who.int/icd/release/11/beta/ichi/2069711286</x:t>
  </x:si>
  <x:si>
    <x:t>MAF.BA.BA</x:t>
  </x:si>
  <x:si>
    <x:t>- - - - - X-ray of maxilla</x:t>
  </x:si>
  <x:si>
    <x:t>http://id.who.int/icd/entity/614406293</x:t>
  </x:si>
  <x:si>
    <x:t>http://id.who.int/icd/release/11/beta/ichi/614406293</x:t>
  </x:si>
  <x:si>
    <x:t>MAF.DN.AA</x:t>
  </x:si>
  <x:si>
    <x:t>- - - - - Implantation of device into maxillary bone</x:t>
  </x:si>
  <x:si>
    <x:t>http://id.who.int/icd/entity/22168919</x:t>
  </x:si>
  <x:si>
    <x:t>http://id.who.int/icd/release/11/beta/ichi/22168919</x:t>
  </x:si>
  <x:si>
    <x:t>MAF.FA.AA</x:t>
  </x:si>
  <x:si>
    <x:t>- - - - - Osteotomy of maxillary bone</x:t>
  </x:si>
  <x:si>
    <x:t>http://id.who.int/icd/entity/1361681640</x:t>
  </x:si>
  <x:si>
    <x:t>http://id.who.int/icd/release/11/beta/ichi/1361681640</x:t>
  </x:si>
  <x:si>
    <x:t>MAF.JD.AA</x:t>
  </x:si>
  <x:si>
    <x:t>- - - - - Removal of internal device or foreign body from maxillary bone</x:t>
  </x:si>
  <x:si>
    <x:t>http://id.who.int/icd/entity/2120836680</x:t>
  </x:si>
  <x:si>
    <x:t>http://id.who.int/icd/release/11/beta/ichi/2120836680</x:t>
  </x:si>
  <x:si>
    <x:t>MAF.JD.AH</x:t>
  </x:si>
  <x:si>
    <x:t>- - - - - Removal of internal device or foreign body from maxillary bone without incision</x:t>
  </x:si>
  <x:si>
    <x:t>http://id.who.int/icd/entity/32896295</x:t>
  </x:si>
  <x:si>
    <x:t>http://id.who.int/icd/release/11/beta/ichi/32896295</x:t>
  </x:si>
  <x:si>
    <x:t>MAF.JI.AA</x:t>
  </x:si>
  <x:si>
    <x:t>- - - - - Local excision of lesion of maxilla</x:t>
  </x:si>
  <x:si>
    <x:t>http://id.who.int/icd/entity/183626635</x:t>
  </x:si>
  <x:si>
    <x:t>http://id.who.int/icd/release/11/beta/ichi/183626635</x:t>
  </x:si>
  <x:si>
    <x:t>MAF.JJ.AA</x:t>
  </x:si>
  <x:si>
    <x:t>- - - - - Partial excision of maxilla</x:t>
  </x:si>
  <x:si>
    <x:t>http://id.who.int/icd/entity/237467579</x:t>
  </x:si>
  <x:si>
    <x:t>http://id.who.int/icd/release/11/beta/ichi/237467579</x:t>
  </x:si>
  <x:si>
    <x:t>MAF.JK.AA</x:t>
  </x:si>
  <x:si>
    <x:t>- - - - - Total excision of maxilla</x:t>
  </x:si>
  <x:si>
    <x:t>http://id.who.int/icd/entity/2124799030</x:t>
  </x:si>
  <x:si>
    <x:t>http://id.who.int/icd/release/11/beta/ichi/2124799030</x:t>
  </x:si>
  <x:si>
    <x:t>MAF.KB.AH</x:t>
  </x:si>
  <x:si>
    <x:t>- - - - - Replacement of external immobilisation device, maxilla</x:t>
  </x:si>
  <x:si>
    <x:t>http://id.who.int/icd/entity/560434453</x:t>
  </x:si>
  <x:si>
    <x:t>http://id.who.int/icd/release/11/beta/ichi/560434453</x:t>
  </x:si>
  <x:si>
    <x:t>MAF.LD.AA</x:t>
  </x:si>
  <x:si>
    <x:t>- - - - - Open reduction of maxillary bone</x:t>
  </x:si>
  <x:si>
    <x:t>http://id.who.int/icd/entity/1093648176</x:t>
  </x:si>
  <x:si>
    <x:t>http://id.who.int/icd/release/11/beta/ichi/1093648176</x:t>
  </x:si>
  <x:si>
    <x:t>MAF.LD.AH</x:t>
  </x:si>
  <x:si>
    <x:t>- - - - - Closed reduction of maxillary bone</x:t>
  </x:si>
  <x:si>
    <x:t>http://id.who.int/icd/entity/1852786048</x:t>
  </x:si>
  <x:si>
    <x:t>http://id.who.int/icd/release/11/beta/ichi/1852786048</x:t>
  </x:si>
  <x:si>
    <x:t>MAF.LK.AA</x:t>
  </x:si>
  <x:si>
    <x:t>- - - - - Distraction osteogenesis of maxilla</x:t>
  </x:si>
  <x:si>
    <x:t>http://id.who.int/icd/entity/1525481</x:t>
  </x:si>
  <x:si>
    <x:t>http://id.who.int/icd/release/11/beta/ichi/1525481</x:t>
  </x:si>
  <x:si>
    <x:t>MAF.ML.AA</x:t>
  </x:si>
  <x:si>
    <x:t>- - - - - Reconstruction of maxilla</x:t>
  </x:si>
  <x:si>
    <x:t>http://id.who.int/icd/entity/817976819</x:t>
  </x:si>
  <x:si>
    <x:t>http://id.who.int/icd/release/11/beta/ichi/817976819</x:t>
  </x:si>
  <x:si>
    <x:t>MAG.AD.AA</x:t>
  </x:si>
  <x:si>
    <x:t>- - - - - Biopsy of mandible</x:t>
  </x:si>
  <x:si>
    <x:t>http://id.who.int/icd/entity/24840121</x:t>
  </x:si>
  <x:si>
    <x:t>http://id.who.int/icd/release/11/beta/ichi/24840121</x:t>
  </x:si>
  <x:si>
    <x:t>MAG.AD.AB</x:t>
  </x:si>
  <x:si>
    <x:t>- - - - - Arthroscopic biopsy of mandible</x:t>
  </x:si>
  <x:si>
    <x:t>http://id.who.int/icd/entity/826862643</x:t>
  </x:si>
  <x:si>
    <x:t>http://id.who.int/icd/release/11/beta/ichi/826862643</x:t>
  </x:si>
  <x:si>
    <x:t>MAG.AD.AE</x:t>
  </x:si>
  <x:si>
    <x:t>- - - - - Percutaneous biopsy of mandible</x:t>
  </x:si>
  <x:si>
    <x:t>http://id.who.int/icd/entity/1056007329</x:t>
  </x:si>
  <x:si>
    <x:t>http://id.who.int/icd/release/11/beta/ichi/1056007329</x:t>
  </x:si>
  <x:si>
    <x:t>MAG.BA.BA</x:t>
  </x:si>
  <x:si>
    <x:t>- - - - - X-ray of mandible</x:t>
  </x:si>
  <x:si>
    <x:t>http://id.who.int/icd/entity/1953117116</x:t>
  </x:si>
  <x:si>
    <x:t>http://id.who.int/icd/release/11/beta/ichi/1953117116</x:t>
  </x:si>
  <x:si>
    <x:t>MAG.BA.BC</x:t>
  </x:si>
  <x:si>
    <x:t>- - - - - Computerised tomography of mandible, not elsewhere classified</x:t>
  </x:si>
  <x:si>
    <x:t>http://id.who.int/icd/entity/2077473578</x:t>
  </x:si>
  <x:si>
    <x:t>http://id.who.int/icd/release/11/beta/ichi/2077473578</x:t>
  </x:si>
  <x:si>
    <x:t>MAG.BA.BD</x:t>
  </x:si>
  <x:si>
    <x:t>- - - - - Computerised tomography of mandible with intravenous contrast</x:t>
  </x:si>
  <x:si>
    <x:t>http://id.who.int/icd/entity/894618237</x:t>
  </x:si>
  <x:si>
    <x:t>http://id.who.int/icd/release/11/beta/ichi/894618237</x:t>
  </x:si>
  <x:si>
    <x:t>MAG.BA.BH</x:t>
  </x:si>
  <x:si>
    <x:t>- - - - - Magnetic resonance imaging of mandible, not elsewhere classified</x:t>
  </x:si>
  <x:si>
    <x:t>http://id.who.int/icd/entity/672218636</x:t>
  </x:si>
  <x:si>
    <x:t>http://id.who.int/icd/release/11/beta/ichi/672218636</x:t>
  </x:si>
  <x:si>
    <x:t>MAG.BA.BI</x:t>
  </x:si>
  <x:si>
    <x:t>- - - - - Magnetic resonance imaging of mandible with intravenous contrast</x:t>
  </x:si>
  <x:si>
    <x:t>http://id.who.int/icd/entity/2047460438</x:t>
  </x:si>
  <x:si>
    <x:t>http://id.who.int/icd/release/11/beta/ichi/2047460438</x:t>
  </x:si>
  <x:si>
    <x:t>MAG.DC.AE</x:t>
  </x:si>
  <x:si>
    <x:t>- - - - - Intraosseous anaesthesia for dental surgery</x:t>
  </x:si>
  <x:si>
    <x:t>http://id.who.int/icd/entity/665368222</x:t>
  </x:si>
  <x:si>
    <x:t>http://id.who.int/icd/release/11/beta/ichi/665368222</x:t>
  </x:si>
  <x:si>
    <x:t>MAG.DN.AA</x:t>
  </x:si>
  <x:si>
    <x:t>- - - - - Implantation of device into mandible</x:t>
  </x:si>
  <x:si>
    <x:t>http://id.who.int/icd/entity/396057878</x:t>
  </x:si>
  <x:si>
    <x:t>http://id.who.int/icd/release/11/beta/ichi/396057878</x:t>
  </x:si>
  <x:si>
    <x:t>MAG.FA.AA</x:t>
  </x:si>
  <x:si>
    <x:t>- - - - - Osteotomy of mandibular bone</x:t>
  </x:si>
  <x:si>
    <x:t>http://id.who.int/icd/entity/212869790</x:t>
  </x:si>
  <x:si>
    <x:t>http://id.who.int/icd/release/11/beta/ichi/212869790</x:t>
  </x:si>
  <x:si>
    <x:t>MAG.JD.AA</x:t>
  </x:si>
  <x:si>
    <x:t>- - - - - Removal of internal device or foreign body from mandible</x:t>
  </x:si>
  <x:si>
    <x:t>http://id.who.int/icd/entity/1392233085</x:t>
  </x:si>
  <x:si>
    <x:t>http://id.who.int/icd/release/11/beta/ichi/1392233085</x:t>
  </x:si>
  <x:si>
    <x:t>MAG.JD.AH</x:t>
  </x:si>
  <x:si>
    <x:t>- - - - - Removal of internal device or foreign body from mandible without incision</x:t>
  </x:si>
  <x:si>
    <x:t>http://id.who.int/icd/entity/1564623599</x:t>
  </x:si>
  <x:si>
    <x:t>http://id.who.int/icd/release/11/beta/ichi/1564623599</x:t>
  </x:si>
  <x:si>
    <x:t>MAG.JG.AB</x:t>
  </x:si>
  <x:si>
    <x:t>- - - - - Arthroscopic debridement of mandible</x:t>
  </x:si>
  <x:si>
    <x:t>http://id.who.int/icd/entity/36152252</x:t>
  </x:si>
  <x:si>
    <x:t>http://id.who.int/icd/release/11/beta/ichi/36152252</x:t>
  </x:si>
  <x:si>
    <x:t>MAG.JI.AA</x:t>
  </x:si>
  <x:si>
    <x:t>- - - - - Local excision of lesion of mandible</x:t>
  </x:si>
  <x:si>
    <x:t>http://id.who.int/icd/entity/1759655659</x:t>
  </x:si>
  <x:si>
    <x:t>http://id.who.int/icd/release/11/beta/ichi/1759655659</x:t>
  </x:si>
  <x:si>
    <x:t>MAG.JJ.AA</x:t>
  </x:si>
  <x:si>
    <x:t>- - - - - Partial mandibulectomy</x:t>
  </x:si>
  <x:si>
    <x:t>http://id.who.int/icd/entity/1215319769</x:t>
  </x:si>
  <x:si>
    <x:t>http://id.who.int/icd/release/11/beta/ichi/1215319769</x:t>
  </x:si>
  <x:si>
    <x:t>MAG.JK.AA</x:t>
  </x:si>
  <x:si>
    <x:t>- - - - - Total mandibulectomy</x:t>
  </x:si>
  <x:si>
    <x:t>http://id.who.int/icd/entity/927690182</x:t>
  </x:si>
  <x:si>
    <x:t>http://id.who.int/icd/release/11/beta/ichi/927690182</x:t>
  </x:si>
  <x:si>
    <x:t>MAG.LC.AH</x:t>
  </x:si>
  <x:si>
    <x:t>- - - - - External immobilisation of mandible</x:t>
  </x:si>
  <x:si>
    <x:t>http://id.who.int/icd/entity/1123936693</x:t>
  </x:si>
  <x:si>
    <x:t>http://id.who.int/icd/release/11/beta/ichi/1123936693</x:t>
  </x:si>
  <x:si>
    <x:t>MAG.LD.AA</x:t>
  </x:si>
  <x:si>
    <x:t>- - - - - Open reduction of mandibular bone</x:t>
  </x:si>
  <x:si>
    <x:t>http://id.who.int/icd/entity/490715288</x:t>
  </x:si>
  <x:si>
    <x:t>http://id.who.int/icd/release/11/beta/ichi/490715288</x:t>
  </x:si>
  <x:si>
    <x:t>MAG.LD.AH</x:t>
  </x:si>
  <x:si>
    <x:t>- - - - - Closed reduction of mandibular bone</x:t>
  </x:si>
  <x:si>
    <x:t>http://id.who.int/icd/entity/219208114</x:t>
  </x:si>
  <x:si>
    <x:t>http://id.who.int/icd/release/11/beta/ichi/219208114</x:t>
  </x:si>
  <x:si>
    <x:t>MAG.LK.AA</x:t>
  </x:si>
  <x:si>
    <x:t>- - - - - Distraction osteogenesis of mandible</x:t>
  </x:si>
  <x:si>
    <x:t>http://id.who.int/icd/entity/358518253</x:t>
  </x:si>
  <x:si>
    <x:t>http://id.who.int/icd/release/11/beta/ichi/358518253</x:t>
  </x:si>
  <x:si>
    <x:t>MAG.LL.AA</x:t>
  </x:si>
  <x:si>
    <x:t>- - - - - Reduction genioplasty</x:t>
  </x:si>
  <x:si>
    <x:t>http://id.who.int/icd/entity/575677214</x:t>
  </x:si>
  <x:si>
    <x:t>http://id.who.int/icd/release/11/beta/ichi/575677214</x:t>
  </x:si>
  <x:si>
    <x:t>MAG.ML.AA</x:t>
  </x:si>
  <x:si>
    <x:t>- - - - - Reconstruction of mandible</x:t>
  </x:si>
  <x:si>
    <x:t>http://id.who.int/icd/entity/1474733933</x:t>
  </x:si>
  <x:si>
    <x:t>http://id.who.int/icd/release/11/beta/ichi/1474733933</x:t>
  </x:si>
  <x:si>
    <x:t>MAG.ML.AE</x:t>
  </x:si>
  <x:si>
    <x:t>- - - - - Percutaneous osteoplasty of mandibular ramus</x:t>
  </x:si>
  <x:si>
    <x:t>http://id.who.int/icd/entity/426235448</x:t>
  </x:si>
  <x:si>
    <x:t>http://id.who.int/icd/release/11/beta/ichi/426235448</x:t>
  </x:si>
  <x:si>
    <x:t>MAG.SM.AH</x:t>
  </x:si>
  <x:si>
    <x:t>- - - - - Management of external appliance of mandible</x:t>
  </x:si>
  <x:si>
    <x:t>http://id.who.int/icd/entity/1475264083</x:t>
  </x:si>
  <x:si>
    <x:t>http://id.who.int/icd/release/11/beta/ichi/1475264083</x:t>
  </x:si>
  <x:si>
    <x:t>MAH.JJ.AA</x:t>
  </x:si>
  <x:si>
    <x:t>- - - - - Partial excision of hyoid</x:t>
  </x:si>
  <x:si>
    <x:t>http://id.who.int/icd/entity/2081673923</x:t>
  </x:si>
  <x:si>
    <x:t>http://id.who.int/icd/release/11/beta/ichi/2081673923</x:t>
  </x:si>
  <x:si>
    <x:t>MAH.LC.AA</x:t>
  </x:si>
  <x:si>
    <x:t>- - - - - Hyoid suspension</x:t>
  </x:si>
  <x:si>
    <x:t>http://id.who.int/icd/entity/685606002</x:t>
  </x:si>
  <x:si>
    <x:t>http://id.who.int/icd/release/11/beta/ichi/685606002</x:t>
  </x:si>
  <x:si>
    <x:t>MAI.BA.BA</x:t>
  </x:si>
  <x:si>
    <x:t>- - - - - X-ray of mastoid bone</x:t>
  </x:si>
  <x:si>
    <x:t>http://id.who.int/icd/entity/958587563</x:t>
  </x:si>
  <x:si>
    <x:t>http://id.who.int/icd/release/11/beta/ichi/958587563</x:t>
  </x:si>
  <x:si>
    <x:t>MAJ.AD.AA</x:t>
  </x:si>
  <x:si>
    <x:t>- - - - - Biopsy of head or neck joint</x:t>
  </x:si>
  <x:si>
    <x:t>http://id.who.int/icd/entity/1284794074</x:t>
  </x:si>
  <x:si>
    <x:t>http://id.who.int/icd/release/11/beta/ichi/1284794074</x:t>
  </x:si>
  <x:si>
    <x:t>MAJ.AD.AB</x:t>
  </x:si>
  <x:si>
    <x:t>- - - - - Arthroscopic biopsy of head or neck joint</x:t>
  </x:si>
  <x:si>
    <x:t>http://id.who.int/icd/entity/485474153</x:t>
  </x:si>
  <x:si>
    <x:t>http://id.who.int/icd/release/11/beta/ichi/485474153</x:t>
  </x:si>
  <x:si>
    <x:t>MAJ.AD.AE</x:t>
  </x:si>
  <x:si>
    <x:t>- - - - - Percutaneous biopsy of head or neck joint</x:t>
  </x:si>
  <x:si>
    <x:t>http://id.who.int/icd/entity/1854586128</x:t>
  </x:si>
  <x:si>
    <x:t>http://id.who.int/icd/release/11/beta/ichi/1854586128</x:t>
  </x:si>
  <x:si>
    <x:t>MAJ.BA.BB</x:t>
  </x:si>
  <x:si>
    <x:t>- - - - - Temporomandibular contrast arthrogram</x:t>
  </x:si>
  <x:si>
    <x:t>http://id.who.int/icd/entity/688430352</x:t>
  </x:si>
  <x:si>
    <x:t>http://id.who.int/icd/release/11/beta/ichi/688430352</x:t>
  </x:si>
  <x:si>
    <x:t>MAJ.BA.BC</x:t>
  </x:si>
  <x:si>
    <x:t>- - - - - Computerised tomography of head or neck joint, not elsewhere classified</x:t>
  </x:si>
  <x:si>
    <x:t>http://id.who.int/icd/entity/2037597375</x:t>
  </x:si>
  <x:si>
    <x:t>http://id.who.int/icd/release/11/beta/ichi/2037597375</x:t>
  </x:si>
  <x:si>
    <x:t>MAJ.BA.BD</x:t>
  </x:si>
  <x:si>
    <x:t>- - - - - Computerised tomography of head or neck joint with intravenous contrast</x:t>
  </x:si>
  <x:si>
    <x:t>http://id.who.int/icd/entity/649139614</x:t>
  </x:si>
  <x:si>
    <x:t>http://id.who.int/icd/release/11/beta/ichi/649139614</x:t>
  </x:si>
  <x:si>
    <x:t>MAJ.BA.BH</x:t>
  </x:si>
  <x:si>
    <x:t>- - - - - Magnetic resonance imaging of head or neck joint, not elsewhere classified</x:t>
  </x:si>
  <x:si>
    <x:t>http://id.who.int/icd/entity/223115534</x:t>
  </x:si>
  <x:si>
    <x:t>http://id.who.int/icd/release/11/beta/ichi/223115534</x:t>
  </x:si>
  <x:si>
    <x:t>MAJ.BA.BI</x:t>
  </x:si>
  <x:si>
    <x:t>- - - - - Magnetic resonance imaging of head or neck joint with intravenous contrast</x:t>
  </x:si>
  <x:si>
    <x:t>http://id.who.int/icd/entity/729915516</x:t>
  </x:si>
  <x:si>
    <x:t>http://id.who.int/icd/release/11/beta/ichi/729915516</x:t>
  </x:si>
  <x:si>
    <x:t>MAJ.DB.AE</x:t>
  </x:si>
  <x:si>
    <x:t>- - - - - Injection into head or neck joint</x:t>
  </x:si>
  <x:si>
    <x:t>http://id.who.int/icd/entity/8178924</x:t>
  </x:si>
  <x:si>
    <x:t>http://id.who.int/icd/release/11/beta/ichi/8178924</x:t>
  </x:si>
  <x:si>
    <x:t>MAJ.DC.AE</x:t>
  </x:si>
  <x:si>
    <x:t>- - - - - Injection of anaesthesia into head or neck joint</x:t>
  </x:si>
  <x:si>
    <x:t>http://id.who.int/icd/entity/595600609</x:t>
  </x:si>
  <x:si>
    <x:t>http://id.who.int/icd/release/11/beta/ichi/595600609</x:t>
  </x:si>
  <x:si>
    <x:t>MAJ.DN.AA</x:t>
  </x:si>
  <x:si>
    <x:t>- - - - - Implantation of device into head or neck joint</x:t>
  </x:si>
  <x:si>
    <x:t>http://id.who.int/icd/entity/953919418</x:t>
  </x:si>
  <x:si>
    <x:t>http://id.who.int/icd/release/11/beta/ichi/953919418</x:t>
  </x:si>
  <x:si>
    <x:t>MAJ.FC.AD</x:t>
  </x:si>
  <x:si>
    <x:t>- - - - - Arthroscopic release of temporomandibular joint</x:t>
  </x:si>
  <x:si>
    <x:t>http://id.who.int/icd/entity/1453565139</x:t>
  </x:si>
  <x:si>
    <x:t>http://id.who.int/icd/release/11/beta/ichi/1453565139</x:t>
  </x:si>
  <x:si>
    <x:t>MAJ.JB.AA</x:t>
  </x:si>
  <x:si>
    <x:t>- - - - - Drainage of temporomandibular joint</x:t>
  </x:si>
  <x:si>
    <x:t>http://id.who.int/icd/entity/502465258</x:t>
  </x:si>
  <x:si>
    <x:t>http://id.who.int/icd/release/11/beta/ichi/502465258</x:t>
  </x:si>
  <x:si>
    <x:t>MAJ.JB.AB</x:t>
  </x:si>
  <x:si>
    <x:t>- - - - - Endoscopic drainage of temporomandibular joint</x:t>
  </x:si>
  <x:si>
    <x:t>http://id.who.int/icd/entity/1110528971</x:t>
  </x:si>
  <x:si>
    <x:t>http://id.who.int/icd/release/11/beta/ichi/1110528971</x:t>
  </x:si>
  <x:si>
    <x:t>MAJ.JB.AE</x:t>
  </x:si>
  <x:si>
    <x:t>- - - - - Percutaneous drainage of temporomandibular joint</x:t>
  </x:si>
  <x:si>
    <x:t>http://id.who.int/icd/entity/213966415</x:t>
  </x:si>
  <x:si>
    <x:t>http://id.who.int/icd/release/11/beta/ichi/213966415</x:t>
  </x:si>
  <x:si>
    <x:t>MAJ.JD.AA</x:t>
  </x:si>
  <x:si>
    <x:t>- - - - - Removal of internal device or foreign body from head or neck joint</x:t>
  </x:si>
  <x:si>
    <x:t>http://id.who.int/icd/entity/2037799484</x:t>
  </x:si>
  <x:si>
    <x:t>http://id.who.int/icd/release/11/beta/ichi/2037799484</x:t>
  </x:si>
  <x:si>
    <x:t>MAJ.JG.AB</x:t>
  </x:si>
  <x:si>
    <x:t>- - - - - Arthroscopic debridement of head or neck joint</x:t>
  </x:si>
  <x:si>
    <x:t>http://id.who.int/icd/entity/1670193737</x:t>
  </x:si>
  <x:si>
    <x:t>http://id.who.int/icd/release/11/beta/ichi/1670193737</x:t>
  </x:si>
  <x:si>
    <x:t>MAJ.KA.AA</x:t>
  </x:si>
  <x:si>
    <x:t>- - - - - Replacement of internal device of temporomandibular joint</x:t>
  </x:si>
  <x:si>
    <x:t>http://id.who.int/icd/entity/96548747</x:t>
  </x:si>
  <x:si>
    <x:t>http://id.who.int/icd/release/11/beta/ichi/96548747</x:t>
  </x:si>
  <x:si>
    <x:t>MAJ.LD.AA</x:t>
  </x:si>
  <x:si>
    <x:t>- - - - - Open reduction of joint of head or neck</x:t>
  </x:si>
  <x:si>
    <x:t>http://id.who.int/icd/entity/1510172328</x:t>
  </x:si>
  <x:si>
    <x:t>http://id.who.int/icd/release/11/beta/ichi/1510172328</x:t>
  </x:si>
  <x:si>
    <x:t>MAJ.LD.AH</x:t>
  </x:si>
  <x:si>
    <x:t>- - - - - Closed reduction of joint of head or neck</x:t>
  </x:si>
  <x:si>
    <x:t>http://id.who.int/icd/entity/175685401</x:t>
  </x:si>
  <x:si>
    <x:t>http://id.who.int/icd/release/11/beta/ichi/175685401</x:t>
  </x:si>
  <x:si>
    <x:t>MAJ.ML.AA</x:t>
  </x:si>
  <x:si>
    <x:t>- - - - - Reconstruction of joint of head or neck</x:t>
  </x:si>
  <x:si>
    <x:t>http://id.who.int/icd/entity/2008573217</x:t>
  </x:si>
  <x:si>
    <x:t>http://id.who.int/icd/release/11/beta/ichi/2008573217</x:t>
  </x:si>
  <x:si>
    <x:t>MAJ.PA.ZZ</x:t>
  </x:si>
  <x:si>
    <x:t>- - - - - Manipulation of head or neck joint</x:t>
  </x:si>
  <x:si>
    <x:t>http://id.who.int/icd/entity/1492688783</x:t>
  </x:si>
  <x:si>
    <x:t>http://id.who.int/icd/release/11/beta/ichi/1492688783</x:t>
  </x:si>
  <x:si>
    <x:t>MAJ.PB.ZZ</x:t>
  </x:si>
  <x:si>
    <x:t>- - - - - Mobilisation of head or neck joint</x:t>
  </x:si>
  <x:si>
    <x:t>http://id.who.int/icd/entity/555988217</x:t>
  </x:si>
  <x:si>
    <x:t>http://id.who.int/icd/release/11/beta/ichi/555988217</x:t>
  </x:si>
  <x:si>
    <x:t>MAM.FA.AA</x:t>
  </x:si>
  <x:si>
    <x:t>- - - - - Scalenotomy</x:t>
  </x:si>
  <x:si>
    <x:t>http://id.who.int/icd/entity/914398438</x:t>
  </x:si>
  <x:si>
    <x:t>http://id.who.int/icd/release/11/beta/ichi/914398438</x:t>
  </x:si>
  <x:si>
    <x:t>MAM.FB.AA</x:t>
  </x:si>
  <x:si>
    <x:t>- - - - - Cricopharyngeal myotomy</x:t>
  </x:si>
  <x:si>
    <x:t>http://id.who.int/icd/entity/510001682</x:t>
  </x:si>
  <x:si>
    <x:t>http://id.who.int/icd/release/11/beta/ichi/510001682</x:t>
  </x:si>
  <x:si>
    <x:t>MAM.FC.AA</x:t>
  </x:si>
  <x:si>
    <x:t>- - - - - Release of muscles of neck</x:t>
  </x:si>
  <x:si>
    <x:t>http://id.who.int/icd/entity/1633493263</x:t>
  </x:si>
  <x:si>
    <x:t>http://id.who.int/icd/release/11/beta/ichi/1633493263</x:t>
  </x:si>
  <x:si>
    <x:t>MAM.JJ.AA</x:t>
  </x:si>
  <x:si>
    <x:t>- - - - - Partial excision of muscles of head or neck</x:t>
  </x:si>
  <x:si>
    <x:t>http://id.who.int/icd/entity/177708259</x:t>
  </x:si>
  <x:si>
    <x:t>http://id.who.int/icd/release/11/beta/ichi/177708259</x:t>
  </x:si>
  <x:si>
    <x:t>MAM.JK.AA</x:t>
  </x:si>
  <x:si>
    <x:t>- - - - - Excision of muscle of head or neck</x:t>
  </x:si>
  <x:si>
    <x:t>http://id.who.int/icd/entity/824637630</x:t>
  </x:si>
  <x:si>
    <x:t>http://id.who.int/icd/release/11/beta/ichi/824637630</x:t>
  </x:si>
  <x:si>
    <x:t>MAM.MK.AA</x:t>
  </x:si>
  <x:si>
    <x:t>- - - - - Myorrhaphy of head or neck</x:t>
  </x:si>
  <x:si>
    <x:t>http://id.who.int/icd/entity/1150319821</x:t>
  </x:si>
  <x:si>
    <x:t>http://id.who.int/icd/release/11/beta/ichi/1150319821</x:t>
  </x:si>
  <x:si>
    <x:t>MAM.ML.AA</x:t>
  </x:si>
  <x:si>
    <x:t>- - - - - Myoplasty head or neck</x:t>
  </x:si>
  <x:si>
    <x:t>http://id.who.int/icd/entity/1869418589</x:t>
  </x:si>
  <x:si>
    <x:t>http://id.who.int/icd/release/11/beta/ichi/1869418589</x:t>
  </x:si>
  <x:si>
    <x:t>MAS.BA.BA</x:t>
  </x:si>
  <x:si>
    <x:t>- - - - - X-ray of soft tissue of head or neck</x:t>
  </x:si>
  <x:si>
    <x:t>http://id.who.int/icd/entity/2116956203</x:t>
  </x:si>
  <x:si>
    <x:t>http://id.who.int/icd/release/11/beta/ichi/2116956203</x:t>
  </x:si>
  <x:si>
    <x:t>MAS.BA.BC</x:t>
  </x:si>
  <x:si>
    <x:t>- - - - - Computerised tomography of soft tissue of head or neck, not elsewhere classified</x:t>
  </x:si>
  <x:si>
    <x:t>http://id.who.int/icd/entity/1048217788</x:t>
  </x:si>
  <x:si>
    <x:t>http://id.who.int/icd/release/11/beta/ichi/1048217788</x:t>
  </x:si>
  <x:si>
    <x:t>MAS.BA.BD</x:t>
  </x:si>
  <x:si>
    <x:t>- - - - - Computerised tomography of soft tissue of head or neck with intravenous contrast</x:t>
  </x:si>
  <x:si>
    <x:t>http://id.who.int/icd/entity/897488402</x:t>
  </x:si>
  <x:si>
    <x:t>http://id.who.int/icd/release/11/beta/ichi/897488402</x:t>
  </x:si>
  <x:si>
    <x:t>MAS.PC.ZZ</x:t>
  </x:si>
  <x:si>
    <x:t>- - - - - Massage of soft tissue of head or neck</x:t>
  </x:si>
  <x:si>
    <x:t>http://id.who.int/icd/entity/1639504287</x:t>
  </x:si>
  <x:si>
    <x:t>http://id.who.int/icd/release/11/beta/ichi/1639504287</x:t>
  </x:si>
  <x:si>
    <x:t>MAS.PD.ZZ</x:t>
  </x:si>
  <x:si>
    <x:t>- - - - - Soft tissue stretch of head or neck</x:t>
  </x:si>
  <x:si>
    <x:t>http://id.who.int/icd/entity/1271663823</x:t>
  </x:si>
  <x:si>
    <x:t>http://id.who.int/icd/release/11/beta/ichi/1271663823</x:t>
  </x:si>
  <x:si>
    <x:t>BlockL4-MBA</x:t>
  </x:si>
  <x:si>
    <x:t>- - - - Interventions on vertebral column</x:t>
  </x:si>
  <x:si>
    <x:t>205</x:t>
  </x:si>
  <x:si>
    <x:t>http://id.who.int/icd/entity/239690552</x:t>
  </x:si>
  <x:si>
    <x:t>http://id.who.int/icd/release/11/beta/ichi/239690552</x:t>
  </x:si>
  <x:si>
    <x:t>MBA.AD.AA</x:t>
  </x:si>
  <x:si>
    <x:t>- - - - - Biopsy of cervical spine</x:t>
  </x:si>
  <x:si>
    <x:t>http://id.who.int/icd/entity/1154626605</x:t>
  </x:si>
  <x:si>
    <x:t>http://id.who.int/icd/release/11/beta/ichi/1154626605</x:t>
  </x:si>
  <x:si>
    <x:t>MBA.AD.AE</x:t>
  </x:si>
  <x:si>
    <x:t>- - - - - Needle biopsy of cervical spine</x:t>
  </x:si>
  <x:si>
    <x:t>http://id.who.int/icd/entity/115786415</x:t>
  </x:si>
  <x:si>
    <x:t>http://id.who.int/icd/release/11/beta/ichi/115786415</x:t>
  </x:si>
  <x:si>
    <x:t>MBA.AE.AC</x:t>
  </x:si>
  <x:si>
    <x:t>- - - - - Transoral exploration of cervical spine</x:t>
  </x:si>
  <x:si>
    <x:t>http://id.who.int/icd/entity/454059278</x:t>
  </x:si>
  <x:si>
    <x:t>http://id.who.int/icd/release/11/beta/ichi/454059278</x:t>
  </x:si>
  <x:si>
    <x:t>MBA.BA.BA</x:t>
  </x:si>
  <x:si>
    <x:t>- - - - - X-ray of cervical spine</x:t>
  </x:si>
  <x:si>
    <x:t>http://id.who.int/icd/entity/820840862</x:t>
  </x:si>
  <x:si>
    <x:t>http://id.who.int/icd/release/11/beta/ichi/820840862</x:t>
  </x:si>
  <x:si>
    <x:t>MBA.BA.BB</x:t>
  </x:si>
  <x:si>
    <x:t>- - - - - Cervical Myelogram</x:t>
  </x:si>
  <x:si>
    <x:t>http://id.who.int/icd/entity/1258337969</x:t>
  </x:si>
  <x:si>
    <x:t>http://id.who.int/icd/release/11/beta/ichi/1258337969</x:t>
  </x:si>
  <x:si>
    <x:t>MBA.BA.BC</x:t>
  </x:si>
  <x:si>
    <x:t>- - - - - Computerised tomography of cervical spine, not elsewhere classified</x:t>
  </x:si>
  <x:si>
    <x:t>http://id.who.int/icd/entity/1363642475</x:t>
  </x:si>
  <x:si>
    <x:t>http://id.who.int/icd/release/11/beta/ichi/1363642475</x:t>
  </x:si>
  <x:si>
    <x:t>MBA.BA.BD</x:t>
  </x:si>
  <x:si>
    <x:t>- - - - - Computerised tomography of cervical spine with intravenous contrast</x:t>
  </x:si>
  <x:si>
    <x:t>http://id.who.int/icd/entity/1514378951</x:t>
  </x:si>
  <x:si>
    <x:t>http://id.who.int/icd/release/11/beta/ichi/1514378951</x:t>
  </x:si>
  <x:si>
    <x:t>MBA.BA.BH</x:t>
  </x:si>
  <x:si>
    <x:t>- - - - - Magnetic resonance imaging of cervical spine, not elsewhere classified</x:t>
  </x:si>
  <x:si>
    <x:t>http://id.who.int/icd/entity/619777048</x:t>
  </x:si>
  <x:si>
    <x:t>http://id.who.int/icd/release/11/beta/ichi/619777048</x:t>
  </x:si>
  <x:si>
    <x:t>MBA.BA.BI</x:t>
  </x:si>
  <x:si>
    <x:t>- - - - - Magnetic resonance imaging of cervical spine with intravenous contrast</x:t>
  </x:si>
  <x:si>
    <x:t>http://id.who.int/icd/entity/1539976967</x:t>
  </x:si>
  <x:si>
    <x:t>http://id.who.int/icd/release/11/beta/ichi/1539976967</x:t>
  </x:si>
  <x:si>
    <x:t>MBA.DN.AA</x:t>
  </x:si>
  <x:si>
    <x:t>- - - - - Implantation of device into cervical spine</x:t>
  </x:si>
  <x:si>
    <x:t>http://id.who.int/icd/entity/1510851525</x:t>
  </x:si>
  <x:si>
    <x:t>http://id.who.int/icd/release/11/beta/ichi/1510851525</x:t>
  </x:si>
  <x:si>
    <x:t>MBA.DN.AE</x:t>
  </x:si>
  <x:si>
    <x:t>- - - - - Percutaneous implantation of device into cervical spine</x:t>
  </x:si>
  <x:si>
    <x:t>http://id.who.int/icd/entity/241181146</x:t>
  </x:si>
  <x:si>
    <x:t>http://id.who.int/icd/release/11/beta/ichi/241181146</x:t>
  </x:si>
  <x:si>
    <x:t>MBA.FA.AA</x:t>
  </x:si>
  <x:si>
    <x:t>- - - - - Incision of bone without division of cervical spine</x:t>
  </x:si>
  <x:si>
    <x:t>http://id.who.int/icd/entity/1088508045</x:t>
  </x:si>
  <x:si>
    <x:t>http://id.who.int/icd/release/11/beta/ichi/1088508045</x:t>
  </x:si>
  <x:si>
    <x:t>MBA.JD.AA</x:t>
  </x:si>
  <x:si>
    <x:t>- - - - - Removal of internal device or foreign body from cervical spine</x:t>
  </x:si>
  <x:si>
    <x:t>http://id.who.int/icd/entity/338108164</x:t>
  </x:si>
  <x:si>
    <x:t>http://id.who.int/icd/release/11/beta/ichi/338108164</x:t>
  </x:si>
  <x:si>
    <x:t>MBA.JG.AA</x:t>
  </x:si>
  <x:si>
    <x:t>- - - - - Debridement of cervical spine</x:t>
  </x:si>
  <x:si>
    <x:t>http://id.who.int/icd/entity/1636932465</x:t>
  </x:si>
  <x:si>
    <x:t>http://id.who.int/icd/release/11/beta/ichi/1636932465</x:t>
  </x:si>
  <x:si>
    <x:t>MBA.JH.AA</x:t>
  </x:si>
  <x:si>
    <x:t>- - - - - Procurement of bone of cervical spine for graft</x:t>
  </x:si>
  <x:si>
    <x:t>http://id.who.int/icd/entity/1788184029</x:t>
  </x:si>
  <x:si>
    <x:t>http://id.who.int/icd/release/11/beta/ichi/1788184029</x:t>
  </x:si>
  <x:si>
    <x:t>MBA.JI.AA</x:t>
  </x:si>
  <x:si>
    <x:t>- - - - - Local excision of lesion of cervical spine</x:t>
  </x:si>
  <x:si>
    <x:t>http://id.who.int/icd/entity/2077664683</x:t>
  </x:si>
  <x:si>
    <x:t>http://id.who.int/icd/release/11/beta/ichi/2077664683</x:t>
  </x:si>
  <x:si>
    <x:t>MBA.JJ.AA</x:t>
  </x:si>
  <x:si>
    <x:t>- - - - - Partial cervical vertebrectomy</x:t>
  </x:si>
  <x:si>
    <x:t>http://id.who.int/icd/entity/615728378</x:t>
  </x:si>
  <x:si>
    <x:t>http://id.who.int/icd/release/11/beta/ichi/615728378</x:t>
  </x:si>
  <x:si>
    <x:t>MBA.JJ.AB</x:t>
  </x:si>
  <x:si>
    <x:t>- - - - - Endoscopic partial cervical vertebrectomy</x:t>
  </x:si>
  <x:si>
    <x:t>http://id.who.int/icd/entity/800545364</x:t>
  </x:si>
  <x:si>
    <x:t>http://id.who.int/icd/release/11/beta/ichi/800545364</x:t>
  </x:si>
  <x:si>
    <x:t>MBA.JK.AA</x:t>
  </x:si>
  <x:si>
    <x:t>- - - - - Total cervical vertebrectomy</x:t>
  </x:si>
  <x:si>
    <x:t>http://id.who.int/icd/entity/1056209444</x:t>
  </x:si>
  <x:si>
    <x:t>http://id.who.int/icd/release/11/beta/ichi/1056209444</x:t>
  </x:si>
  <x:si>
    <x:t>MBA.LC.AE</x:t>
  </x:si>
  <x:si>
    <x:t>- - - - - Application of percutaneous external immobilisation device to cervical spine</x:t>
  </x:si>
  <x:si>
    <x:t>http://id.who.int/icd/entity/525911708</x:t>
  </x:si>
  <x:si>
    <x:t>http://id.who.int/icd/release/11/beta/ichi/525911708</x:t>
  </x:si>
  <x:si>
    <x:t>MBA.LC.AH</x:t>
  </x:si>
  <x:si>
    <x:t>- - - - - Application of cervical external immobilisation device</x:t>
  </x:si>
  <x:si>
    <x:t>http://id.who.int/icd/entity/1327701805</x:t>
  </x:si>
  <x:si>
    <x:t>http://id.who.int/icd/release/11/beta/ichi/1327701805</x:t>
  </x:si>
  <x:si>
    <x:t>MBA.LD.AA</x:t>
  </x:si>
  <x:si>
    <x:t>- - - - - Open reduction of cervical spine</x:t>
  </x:si>
  <x:si>
    <x:t>http://id.who.int/icd/entity/1617159555</x:t>
  </x:si>
  <x:si>
    <x:t>http://id.who.int/icd/release/11/beta/ichi/1617159555</x:t>
  </x:si>
  <x:si>
    <x:t>MBA.LD.AH</x:t>
  </x:si>
  <x:si>
    <x:t>- - - - - Closed reduction of cervical spine</x:t>
  </x:si>
  <x:si>
    <x:t>http://id.who.int/icd/entity/1347423753</x:t>
  </x:si>
  <x:si>
    <x:t>http://id.who.int/icd/release/11/beta/ichi/1347423753</x:t>
  </x:si>
  <x:si>
    <x:t>MBA.LE.AA</x:t>
  </x:si>
  <x:si>
    <x:t>- - - - - Cervical spinal fusion</x:t>
  </x:si>
  <x:si>
    <x:t>http://id.who.int/icd/entity/2074960537</x:t>
  </x:si>
  <x:si>
    <x:t>http://id.who.int/icd/release/11/beta/ichi/2074960537</x:t>
  </x:si>
  <x:si>
    <x:t>MBA.ML.AA</x:t>
  </x:si>
  <x:si>
    <x:t>- - - - - Bone graft to cervical spine</x:t>
  </x:si>
  <x:si>
    <x:t>http://id.who.int/icd/entity/795553048</x:t>
  </x:si>
  <x:si>
    <x:t>http://id.who.int/icd/release/11/beta/ichi/795553048</x:t>
  </x:si>
  <x:si>
    <x:t>MBA.PA.ZZ</x:t>
  </x:si>
  <x:si>
    <x:t>- - - - - Manipulation of cervical spine</x:t>
  </x:si>
  <x:si>
    <x:t>http://id.who.int/icd/entity/172197956</x:t>
  </x:si>
  <x:si>
    <x:t>http://id.who.int/icd/release/11/beta/ichi/172197956</x:t>
  </x:si>
  <x:si>
    <x:t>MBA.PB.ZZ</x:t>
  </x:si>
  <x:si>
    <x:t>- - - - - Mobilisation of cervical spine</x:t>
  </x:si>
  <x:si>
    <x:t>http://id.who.int/icd/entity/620983020</x:t>
  </x:si>
  <x:si>
    <x:t>http://id.who.int/icd/release/11/beta/ichi/620983020</x:t>
  </x:si>
  <x:si>
    <x:t>MBB.AD.AA</x:t>
  </x:si>
  <x:si>
    <x:t>- - - - - Biopsy of cervical intervertebral disc</x:t>
  </x:si>
  <x:si>
    <x:t>http://id.who.int/icd/entity/1970842459</x:t>
  </x:si>
  <x:si>
    <x:t>http://id.who.int/icd/release/11/beta/ichi/1970842459</x:t>
  </x:si>
  <x:si>
    <x:t>MBB.AD.AE</x:t>
  </x:si>
  <x:si>
    <x:t>- - - - - Needle biopsy of cervical intervertebral disc</x:t>
  </x:si>
  <x:si>
    <x:t>http://id.who.int/icd/entity/13512488</x:t>
  </x:si>
  <x:si>
    <x:t>http://id.who.int/icd/release/11/beta/ichi/13512488</x:t>
  </x:si>
  <x:si>
    <x:t>MBB.DN.AA</x:t>
  </x:si>
  <x:si>
    <x:t>- - - - - Implantation of cervical spinal disc prosthesis</x:t>
  </x:si>
  <x:si>
    <x:t>http://id.who.int/icd/entity/724779960</x:t>
  </x:si>
  <x:si>
    <x:t>http://id.who.int/icd/release/11/beta/ichi/724779960</x:t>
  </x:si>
  <x:si>
    <x:t>MBB.JD.AA</x:t>
  </x:si>
  <x:si>
    <x:t>- - - - - Removal of internal device or foreign body from cervical intervertebral disc</x:t>
  </x:si>
  <x:si>
    <x:t>http://id.who.int/icd/entity/1594654219</x:t>
  </x:si>
  <x:si>
    <x:t>http://id.who.int/icd/release/11/beta/ichi/1594654219</x:t>
  </x:si>
  <x:si>
    <x:t>MBB.JJ.AA</x:t>
  </x:si>
  <x:si>
    <x:t>- - - - - Cervical discectomy</x:t>
  </x:si>
  <x:si>
    <x:t>http://id.who.int/icd/entity/1173156001</x:t>
  </x:si>
  <x:si>
    <x:t>http://id.who.int/icd/release/11/beta/ichi/1173156001</x:t>
  </x:si>
  <x:si>
    <x:t>MBB.JJ.AB</x:t>
  </x:si>
  <x:si>
    <x:t>- - - - - Endoscopic cervical discectomy</x:t>
  </x:si>
  <x:si>
    <x:t>http://id.who.int/icd/entity/1846647857</x:t>
  </x:si>
  <x:si>
    <x:t>http://id.who.int/icd/release/11/beta/ichi/1846647857</x:t>
  </x:si>
  <x:si>
    <x:t>MBB.KA.AA</x:t>
  </x:si>
  <x:si>
    <x:t>- - - - - Replacement of artificial cervical spinal disc prosthesis</x:t>
  </x:si>
  <x:si>
    <x:t>http://id.who.int/icd/entity/1245606461</x:t>
  </x:si>
  <x:si>
    <x:t>http://id.who.int/icd/release/11/beta/ichi/1245606461</x:t>
  </x:si>
  <x:si>
    <x:t>MBB.LD.AH</x:t>
  </x:si>
  <x:si>
    <x:t>- - - - - Closed reduction of cervical intervertebral disc</x:t>
  </x:si>
  <x:si>
    <x:t>http://id.who.int/icd/entity/440773516</x:t>
  </x:si>
  <x:si>
    <x:t>http://id.who.int/icd/release/11/beta/ichi/440773516</x:t>
  </x:si>
  <x:si>
    <x:t>MBG.AD.AA</x:t>
  </x:si>
  <x:si>
    <x:t>- - - - - Biopsy of thoracic spine</x:t>
  </x:si>
  <x:si>
    <x:t>http://id.who.int/icd/entity/1166539439</x:t>
  </x:si>
  <x:si>
    <x:t>http://id.who.int/icd/release/11/beta/ichi/1166539439</x:t>
  </x:si>
  <x:si>
    <x:t>MBG.AD.AE</x:t>
  </x:si>
  <x:si>
    <x:t>- - - - - Needle biopsy of thoracic spine</x:t>
  </x:si>
  <x:si>
    <x:t>http://id.who.int/icd/entity/1853527615</x:t>
  </x:si>
  <x:si>
    <x:t>http://id.who.int/icd/release/11/beta/ichi/1853527615</x:t>
  </x:si>
  <x:si>
    <x:t>MBG.BA.BA</x:t>
  </x:si>
  <x:si>
    <x:t>- - - - - X-ray of thoracic spine</x:t>
  </x:si>
  <x:si>
    <x:t>http://id.who.int/icd/entity/1431135001</x:t>
  </x:si>
  <x:si>
    <x:t>http://id.who.int/icd/release/11/beta/ichi/1431135001</x:t>
  </x:si>
  <x:si>
    <x:t>MBG.BA.BB</x:t>
  </x:si>
  <x:si>
    <x:t>- - - - - Thoracic myelogram</x:t>
  </x:si>
  <x:si>
    <x:t>http://id.who.int/icd/entity/177156666</x:t>
  </x:si>
  <x:si>
    <x:t>http://id.who.int/icd/release/11/beta/ichi/177156666</x:t>
  </x:si>
  <x:si>
    <x:t>MBG.BA.BC</x:t>
  </x:si>
  <x:si>
    <x:t>- - - - - Computerised tomography of thoracic spine, not elsewhere classified</x:t>
  </x:si>
  <x:si>
    <x:t>http://id.who.int/icd/entity/2047711671</x:t>
  </x:si>
  <x:si>
    <x:t>http://id.who.int/icd/release/11/beta/ichi/2047711671</x:t>
  </x:si>
  <x:si>
    <x:t>MBG.BA.BD</x:t>
  </x:si>
  <x:si>
    <x:t>- - - - - Computerised tomography of thoracic spine with intravenous contrast</x:t>
  </x:si>
  <x:si>
    <x:t>http://id.who.int/icd/entity/257877332</x:t>
  </x:si>
  <x:si>
    <x:t>http://id.who.int/icd/release/11/beta/ichi/257877332</x:t>
  </x:si>
  <x:si>
    <x:t>MBG.BA.BH</x:t>
  </x:si>
  <x:si>
    <x:t>- - - - - Magnetic resonance imaging of thoracic spine, not elsewhere classified</x:t>
  </x:si>
  <x:si>
    <x:t>http://id.who.int/icd/entity/1885718091</x:t>
  </x:si>
  <x:si>
    <x:t>http://id.who.int/icd/release/11/beta/ichi/1885718091</x:t>
  </x:si>
  <x:si>
    <x:t>MBG.BA.BI</x:t>
  </x:si>
  <x:si>
    <x:t>- - - - - Magnetic resonance imaging of thoracic spine with intravenous contrast</x:t>
  </x:si>
  <x:si>
    <x:t>http://id.who.int/icd/entity/505267492</x:t>
  </x:si>
  <x:si>
    <x:t>http://id.who.int/icd/release/11/beta/ichi/505267492</x:t>
  </x:si>
  <x:si>
    <x:t>MBG.DN.AA</x:t>
  </x:si>
  <x:si>
    <x:t>- - - - - Implantation of device into thoracic spine</x:t>
  </x:si>
  <x:si>
    <x:t>http://id.who.int/icd/entity/800802744</x:t>
  </x:si>
  <x:si>
    <x:t>http://id.who.int/icd/release/11/beta/ichi/800802744</x:t>
  </x:si>
  <x:si>
    <x:t>MBG.DN.AE</x:t>
  </x:si>
  <x:si>
    <x:t>- - - - - Percutaneous implantation of device into thoracic spine</x:t>
  </x:si>
  <x:si>
    <x:t>http://id.who.int/icd/entity/1079389633</x:t>
  </x:si>
  <x:si>
    <x:t>http://id.who.int/icd/release/11/beta/ichi/1079389633</x:t>
  </x:si>
  <x:si>
    <x:t>MBG.FA.AA</x:t>
  </x:si>
  <x:si>
    <x:t>- - - - - Incision of bone without division of thoracic spine</x:t>
  </x:si>
  <x:si>
    <x:t>http://id.who.int/icd/entity/1341105491</x:t>
  </x:si>
  <x:si>
    <x:t>http://id.who.int/icd/release/11/beta/ichi/1341105491</x:t>
  </x:si>
  <x:si>
    <x:t>MBG.GA.AE</x:t>
  </x:si>
  <x:si>
    <x:t>- - - - - Destruction of thoracic spine</x:t>
  </x:si>
  <x:si>
    <x:t>http://id.who.int/icd/entity/1979079109</x:t>
  </x:si>
  <x:si>
    <x:t>http://id.who.int/icd/release/11/beta/ichi/1979079109</x:t>
  </x:si>
  <x:si>
    <x:t>MBG.JD.AA</x:t>
  </x:si>
  <x:si>
    <x:t>- - - - - Removal of internal device or foreign body from thoracic spine</x:t>
  </x:si>
  <x:si>
    <x:t>http://id.who.int/icd/entity/462314156</x:t>
  </x:si>
  <x:si>
    <x:t>http://id.who.int/icd/release/11/beta/ichi/462314156</x:t>
  </x:si>
  <x:si>
    <x:t>MBG.JG.AA</x:t>
  </x:si>
  <x:si>
    <x:t>- - - - - Debridement of bone of thoracic spine</x:t>
  </x:si>
  <x:si>
    <x:t>http://id.who.int/icd/entity/181238492</x:t>
  </x:si>
  <x:si>
    <x:t>http://id.who.int/icd/release/11/beta/ichi/181238492</x:t>
  </x:si>
  <x:si>
    <x:t>MBG.JH.AA</x:t>
  </x:si>
  <x:si>
    <x:t>- - - - - Procurement of bone of thoracic spine for graft</x:t>
  </x:si>
  <x:si>
    <x:t>http://id.who.int/icd/entity/110536813</x:t>
  </x:si>
  <x:si>
    <x:t>http://id.who.int/icd/release/11/beta/ichi/110536813</x:t>
  </x:si>
  <x:si>
    <x:t>MBG.JI.AA</x:t>
  </x:si>
  <x:si>
    <x:t>- - - - - Local excision of lesion of thoracic spine</x:t>
  </x:si>
  <x:si>
    <x:t>http://id.who.int/icd/entity/1458401756</x:t>
  </x:si>
  <x:si>
    <x:t>http://id.who.int/icd/release/11/beta/ichi/1458401756</x:t>
  </x:si>
  <x:si>
    <x:t>MBG.JJ.AA</x:t>
  </x:si>
  <x:si>
    <x:t>- - - - - Partial thoracic vertebrectomy</x:t>
  </x:si>
  <x:si>
    <x:t>http://id.who.int/icd/entity/2041416564</x:t>
  </x:si>
  <x:si>
    <x:t>http://id.who.int/icd/release/11/beta/ichi/2041416564</x:t>
  </x:si>
  <x:si>
    <x:t>MBG.JJ.AB</x:t>
  </x:si>
  <x:si>
    <x:t>- - - - - Endoscopic partial thoracic vertebrectomy</x:t>
  </x:si>
  <x:si>
    <x:t>http://id.who.int/icd/entity/753040701</x:t>
  </x:si>
  <x:si>
    <x:t>http://id.who.int/icd/release/11/beta/ichi/753040701</x:t>
  </x:si>
  <x:si>
    <x:t>MBG.JK.AA</x:t>
  </x:si>
  <x:si>
    <x:t>- - - - - Total thoracic vertebrectomy</x:t>
  </x:si>
  <x:si>
    <x:t>http://id.who.int/icd/entity/2090443918</x:t>
  </x:si>
  <x:si>
    <x:t>http://id.who.int/icd/release/11/beta/ichi/2090443918</x:t>
  </x:si>
  <x:si>
    <x:t>MBG.KA.AA</x:t>
  </x:si>
  <x:si>
    <x:t>- - - - - Replacement of device of thoracic spine</x:t>
  </x:si>
  <x:si>
    <x:t>http://id.who.int/icd/entity/593229231</x:t>
  </x:si>
  <x:si>
    <x:t>http://id.who.int/icd/release/11/beta/ichi/593229231</x:t>
  </x:si>
  <x:si>
    <x:t>MBG.LC.AE</x:t>
  </x:si>
  <x:si>
    <x:t>- - - - - Application of percutaneous external immobilisation device to thoracic spine</x:t>
  </x:si>
  <x:si>
    <x:t>http://id.who.int/icd/entity/1443400012</x:t>
  </x:si>
  <x:si>
    <x:t>http://id.who.int/icd/release/11/beta/ichi/1443400012</x:t>
  </x:si>
  <x:si>
    <x:t>MBG.LC.AH</x:t>
  </x:si>
  <x:si>
    <x:t>- - - - - Application of external immobilisation device to thoracic spine</x:t>
  </x:si>
  <x:si>
    <x:t>http://id.who.int/icd/entity/108220669</x:t>
  </x:si>
  <x:si>
    <x:t>http://id.who.int/icd/release/11/beta/ichi/108220669</x:t>
  </x:si>
  <x:si>
    <x:t>MBG.LD.AA</x:t>
  </x:si>
  <x:si>
    <x:t>- - - - - Open reduction of thoracic spine</x:t>
  </x:si>
  <x:si>
    <x:t>http://id.who.int/icd/entity/2034791396</x:t>
  </x:si>
  <x:si>
    <x:t>http://id.who.int/icd/release/11/beta/ichi/2034791396</x:t>
  </x:si>
  <x:si>
    <x:t>MBG.LD.AH</x:t>
  </x:si>
  <x:si>
    <x:t>- - - - - Closed reduction of thoracic spine</x:t>
  </x:si>
  <x:si>
    <x:t>http://id.who.int/icd/entity/419447257</x:t>
  </x:si>
  <x:si>
    <x:t>http://id.who.int/icd/release/11/beta/ichi/419447257</x:t>
  </x:si>
  <x:si>
    <x:t>MBG.LE.AA</x:t>
  </x:si>
  <x:si>
    <x:t>- - - - - Fusion of thoracic spine</x:t>
  </x:si>
  <x:si>
    <x:t>http://id.who.int/icd/entity/855453001</x:t>
  </x:si>
  <x:si>
    <x:t>http://id.who.int/icd/release/11/beta/ichi/855453001</x:t>
  </x:si>
  <x:si>
    <x:t>MBG.ML.AA</x:t>
  </x:si>
  <x:si>
    <x:t>- - - - - Bone graft to thoracic spine</x:t>
  </x:si>
  <x:si>
    <x:t>http://id.who.int/icd/entity/55017219</x:t>
  </x:si>
  <x:si>
    <x:t>http://id.who.int/icd/release/11/beta/ichi/55017219</x:t>
  </x:si>
  <x:si>
    <x:t>MBG.PA.ZZ</x:t>
  </x:si>
  <x:si>
    <x:t>- - - - - Manipulation of thoracic spine</x:t>
  </x:si>
  <x:si>
    <x:t>http://id.who.int/icd/entity/1545772626</x:t>
  </x:si>
  <x:si>
    <x:t>http://id.who.int/icd/release/11/beta/ichi/1545772626</x:t>
  </x:si>
  <x:si>
    <x:t>MBG.PB.ZZ</x:t>
  </x:si>
  <x:si>
    <x:t>- - - - - Mobilisation of thoracic spine</x:t>
  </x:si>
  <x:si>
    <x:t>http://id.who.int/icd/entity/1462141180</x:t>
  </x:si>
  <x:si>
    <x:t>http://id.who.int/icd/release/11/beta/ichi/1462141180</x:t>
  </x:si>
  <x:si>
    <x:t>MBH.AD.AA</x:t>
  </x:si>
  <x:si>
    <x:t>- - - - - Biopsy of thoracic intervertebral disc</x:t>
  </x:si>
  <x:si>
    <x:t>http://id.who.int/icd/entity/1181065356</x:t>
  </x:si>
  <x:si>
    <x:t>http://id.who.int/icd/release/11/beta/ichi/1181065356</x:t>
  </x:si>
  <x:si>
    <x:t>MBH.AD.AE</x:t>
  </x:si>
  <x:si>
    <x:t>- - - - - Needle biopsy of thoracic intervertebral disc</x:t>
  </x:si>
  <x:si>
    <x:t>http://id.who.int/icd/entity/1929998066</x:t>
  </x:si>
  <x:si>
    <x:t>http://id.who.int/icd/release/11/beta/ichi/1929998066</x:t>
  </x:si>
  <x:si>
    <x:t>MBH.DN.AA</x:t>
  </x:si>
  <x:si>
    <x:t>- - - - - Implantation of thoracic spinal disc prosthesis</x:t>
  </x:si>
  <x:si>
    <x:t>http://id.who.int/icd/entity/594720577</x:t>
  </x:si>
  <x:si>
    <x:t>http://id.who.int/icd/release/11/beta/ichi/594720577</x:t>
  </x:si>
  <x:si>
    <x:t>MBH.JD.AA</x:t>
  </x:si>
  <x:si>
    <x:t>- - - - - Removal of internal device or foreign body of thoracic intervertebral disc</x:t>
  </x:si>
  <x:si>
    <x:t>http://id.who.int/icd/entity/204623343</x:t>
  </x:si>
  <x:si>
    <x:t>http://id.who.int/icd/release/11/beta/ichi/204623343</x:t>
  </x:si>
  <x:si>
    <x:t>MBH.JJ.AA</x:t>
  </x:si>
  <x:si>
    <x:t>- - - - - Thoracic discectomy</x:t>
  </x:si>
  <x:si>
    <x:t>http://id.who.int/icd/entity/2038745502</x:t>
  </x:si>
  <x:si>
    <x:t>http://id.who.int/icd/release/11/beta/ichi/2038745502</x:t>
  </x:si>
  <x:si>
    <x:t>MBH.JJ.AB</x:t>
  </x:si>
  <x:si>
    <x:t>- - - - - Endoscopic thoracic discectomy</x:t>
  </x:si>
  <x:si>
    <x:t>http://id.who.int/icd/entity/704581677</x:t>
  </x:si>
  <x:si>
    <x:t>http://id.who.int/icd/release/11/beta/ichi/704581677</x:t>
  </x:si>
  <x:si>
    <x:t>MBH.KA.AA</x:t>
  </x:si>
  <x:si>
    <x:t>- - - - - Replacement of artificial thoracic spinal disc prosthesis</x:t>
  </x:si>
  <x:si>
    <x:t>http://id.who.int/icd/entity/1673787208</x:t>
  </x:si>
  <x:si>
    <x:t>http://id.who.int/icd/release/11/beta/ichi/1673787208</x:t>
  </x:si>
  <x:si>
    <x:t>MBH.LD.AH</x:t>
  </x:si>
  <x:si>
    <x:t>- - - - - Closed reduction of thoracic intervertebral disc</x:t>
  </x:si>
  <x:si>
    <x:t>http://id.who.int/icd/entity/1712463914</x:t>
  </x:si>
  <x:si>
    <x:t>http://id.who.int/icd/release/11/beta/ichi/1712463914</x:t>
  </x:si>
  <x:si>
    <x:t>MBI.BA.BA</x:t>
  </x:si>
  <x:si>
    <x:t>- - - - - X-ray of thoracolumbar spine</x:t>
  </x:si>
  <x:si>
    <x:t>http://id.who.int/icd/entity/191265270</x:t>
  </x:si>
  <x:si>
    <x:t>http://id.who.int/icd/release/11/beta/ichi/191265270</x:t>
  </x:si>
  <x:si>
    <x:t>MBI.BA.BC</x:t>
  </x:si>
  <x:si>
    <x:t>- - - - - Computerised tomography of thoracolumbar spine, not elsewhere classified</x:t>
  </x:si>
  <x:si>
    <x:t>http://id.who.int/icd/entity/1420044503</x:t>
  </x:si>
  <x:si>
    <x:t>http://id.who.int/icd/release/11/beta/ichi/1420044503</x:t>
  </x:si>
  <x:si>
    <x:t>MBI.BA.BD</x:t>
  </x:si>
  <x:si>
    <x:t>- - - - - Computerised tomography of thoracolumbar spine with intravenous contrast</x:t>
  </x:si>
  <x:si>
    <x:t>http://id.who.int/icd/entity/81785192</x:t>
  </x:si>
  <x:si>
    <x:t>http://id.who.int/icd/release/11/beta/ichi/81785192</x:t>
  </x:si>
  <x:si>
    <x:t>MBI.BA.BH</x:t>
  </x:si>
  <x:si>
    <x:t>- - - - - Magnetic resonance imaging of thoracolumbar spine, not elsewhere classified</x:t>
  </x:si>
  <x:si>
    <x:t>http://id.who.int/icd/entity/1902736661</x:t>
  </x:si>
  <x:si>
    <x:t>http://id.who.int/icd/release/11/beta/ichi/1902736661</x:t>
  </x:si>
  <x:si>
    <x:t>MBI.BA.BI</x:t>
  </x:si>
  <x:si>
    <x:t>- - - - - Magnetic resonance imaging of thoracolumbar spine with intravenous contrast</x:t>
  </x:si>
  <x:si>
    <x:t>http://id.who.int/icd/entity/1307528378</x:t>
  </x:si>
  <x:si>
    <x:t>http://id.who.int/icd/release/11/beta/ichi/1307528378</x:t>
  </x:si>
  <x:si>
    <x:t>MBI.LE.AA</x:t>
  </x:si>
  <x:si>
    <x:t>- - - - - Fusion of dorsolumbar spine</x:t>
  </x:si>
  <x:si>
    <x:t>http://id.who.int/icd/entity/1554803918</x:t>
  </x:si>
  <x:si>
    <x:t>http://id.who.int/icd/release/11/beta/ichi/1554803918</x:t>
  </x:si>
  <x:si>
    <x:t>MBI.PA.ZZ</x:t>
  </x:si>
  <x:si>
    <x:t>- - - - - Manipulation of thoracolumbar spine</x:t>
  </x:si>
  <x:si>
    <x:t>http://id.who.int/icd/entity/1822394182</x:t>
  </x:si>
  <x:si>
    <x:t>http://id.who.int/icd/release/11/beta/ichi/1822394182</x:t>
  </x:si>
  <x:si>
    <x:t>MBM.AD.AA</x:t>
  </x:si>
  <x:si>
    <x:t>- - - - - Biopsy of lumbar spine</x:t>
  </x:si>
  <x:si>
    <x:t>http://id.who.int/icd/entity/1197665238</x:t>
  </x:si>
  <x:si>
    <x:t>http://id.who.int/icd/release/11/beta/ichi/1197665238</x:t>
  </x:si>
  <x:si>
    <x:t>MBM.AD.AE</x:t>
  </x:si>
  <x:si>
    <x:t>- - - - - Needle biopsy of lumbar spine</x:t>
  </x:si>
  <x:si>
    <x:t>http://id.who.int/icd/entity/1445055394</x:t>
  </x:si>
  <x:si>
    <x:t>http://id.who.int/icd/release/11/beta/ichi/1445055394</x:t>
  </x:si>
  <x:si>
    <x:t>MBM.BA.BA</x:t>
  </x:si>
  <x:si>
    <x:t>- - - - - X-ray of lumbar spine</x:t>
  </x:si>
  <x:si>
    <x:t>http://id.who.int/icd/entity/1287734538</x:t>
  </x:si>
  <x:si>
    <x:t>http://id.who.int/icd/release/11/beta/ichi/1287734538</x:t>
  </x:si>
  <x:si>
    <x:t>MBM.BA.BC</x:t>
  </x:si>
  <x:si>
    <x:t>- - - - - Computerised tomography of lumbar spine, not elsewhere classified</x:t>
  </x:si>
  <x:si>
    <x:t>http://id.who.int/icd/entity/1011084933</x:t>
  </x:si>
  <x:si>
    <x:t>http://id.who.int/icd/release/11/beta/ichi/1011084933</x:t>
  </x:si>
  <x:si>
    <x:t>MBM.BA.BD</x:t>
  </x:si>
  <x:si>
    <x:t>- - - - - Computerised tomography of lumbar spine with intravenous contrast</x:t>
  </x:si>
  <x:si>
    <x:t>http://id.who.int/icd/entity/318968875</x:t>
  </x:si>
  <x:si>
    <x:t>http://id.who.int/icd/release/11/beta/ichi/318968875</x:t>
  </x:si>
  <x:si>
    <x:t>MBM.BA.BH</x:t>
  </x:si>
  <x:si>
    <x:t>- - - - - Magnetic resonance imaging of lumbar spine, not elsewhere classified</x:t>
  </x:si>
  <x:si>
    <x:t>http://id.who.int/icd/entity/307681961</x:t>
  </x:si>
  <x:si>
    <x:t>http://id.who.int/icd/release/11/beta/ichi/307681961</x:t>
  </x:si>
  <x:si>
    <x:t>MBM.BA.BI</x:t>
  </x:si>
  <x:si>
    <x:t>- - - - - Magnetic resonance imaging of lumbar spine with intravenous contrast</x:t>
  </x:si>
  <x:si>
    <x:t>http://id.who.int/icd/entity/2083445186</x:t>
  </x:si>
  <x:si>
    <x:t>http://id.who.int/icd/release/11/beta/ichi/2083445186</x:t>
  </x:si>
  <x:si>
    <x:t>MBM.DN.AA</x:t>
  </x:si>
  <x:si>
    <x:t>- - - - - Implantation of device into lumbar spine</x:t>
  </x:si>
  <x:si>
    <x:t>http://id.who.int/icd/entity/71707432</x:t>
  </x:si>
  <x:si>
    <x:t>http://id.who.int/icd/release/11/beta/ichi/71707432</x:t>
  </x:si>
  <x:si>
    <x:t>MBM.DN.AE</x:t>
  </x:si>
  <x:si>
    <x:t>- - - - - Percutaneous implantation of device into lumbar spine</x:t>
  </x:si>
  <x:si>
    <x:t>http://id.who.int/icd/entity/384519319</x:t>
  </x:si>
  <x:si>
    <x:t>http://id.who.int/icd/release/11/beta/ichi/384519319</x:t>
  </x:si>
  <x:si>
    <x:t>MBM.FA.AA</x:t>
  </x:si>
  <x:si>
    <x:t>- - - - - Incision of bone without division of lumbar spine</x:t>
  </x:si>
  <x:si>
    <x:t>http://id.who.int/icd/entity/1218487414</x:t>
  </x:si>
  <x:si>
    <x:t>http://id.who.int/icd/release/11/beta/ichi/1218487414</x:t>
  </x:si>
  <x:si>
    <x:t>MBM.GA.AE</x:t>
  </x:si>
  <x:si>
    <x:t>- - - - - Destruction of lumbar spine</x:t>
  </x:si>
  <x:si>
    <x:t>http://id.who.int/icd/entity/932939627</x:t>
  </x:si>
  <x:si>
    <x:t>http://id.who.int/icd/release/11/beta/ichi/932939627</x:t>
  </x:si>
  <x:si>
    <x:t>MBM.JD.AA</x:t>
  </x:si>
  <x:si>
    <x:t>- - - - - Removal of internal device or foreign body from lumbar spine</x:t>
  </x:si>
  <x:si>
    <x:t>http://id.who.int/icd/entity/1120467850</x:t>
  </x:si>
  <x:si>
    <x:t>http://id.who.int/icd/release/11/beta/ichi/1120467850</x:t>
  </x:si>
  <x:si>
    <x:t>MBM.JG.AA</x:t>
  </x:si>
  <x:si>
    <x:t>- - - - - Debridement of lumbar spine</x:t>
  </x:si>
  <x:si>
    <x:t>http://id.who.int/icd/entity/313729593</x:t>
  </x:si>
  <x:si>
    <x:t>http://id.who.int/icd/release/11/beta/ichi/313729593</x:t>
  </x:si>
  <x:si>
    <x:t>MBM.JH.AA</x:t>
  </x:si>
  <x:si>
    <x:t>- - - - - Procurement of bone of lumbar spine for graft</x:t>
  </x:si>
  <x:si>
    <x:t>http://id.who.int/icd/entity/1837629734</x:t>
  </x:si>
  <x:si>
    <x:t>http://id.who.int/icd/release/11/beta/ichi/1837629734</x:t>
  </x:si>
  <x:si>
    <x:t>MBM.JI.AA</x:t>
  </x:si>
  <x:si>
    <x:t>- - - - - Local excision of lesion of lumbar spine</x:t>
  </x:si>
  <x:si>
    <x:t>http://id.who.int/icd/entity/1182100918</x:t>
  </x:si>
  <x:si>
    <x:t>http://id.who.int/icd/release/11/beta/ichi/1182100918</x:t>
  </x:si>
  <x:si>
    <x:t>MBM.JJ.AA</x:t>
  </x:si>
  <x:si>
    <x:t>- - - - - Partial lumbar vertebrectomy</x:t>
  </x:si>
  <x:si>
    <x:t>http://id.who.int/icd/entity/952629097</x:t>
  </x:si>
  <x:si>
    <x:t>http://id.who.int/icd/release/11/beta/ichi/952629097</x:t>
  </x:si>
  <x:si>
    <x:t>MBM.JJ.AB</x:t>
  </x:si>
  <x:si>
    <x:t>- - - - - Endoscopic partial lumbar vertebrectomy</x:t>
  </x:si>
  <x:si>
    <x:t>http://id.who.int/icd/entity/1207751800</x:t>
  </x:si>
  <x:si>
    <x:t>http://id.who.int/icd/release/11/beta/ichi/1207751800</x:t>
  </x:si>
  <x:si>
    <x:t>MBM.JK.AA</x:t>
  </x:si>
  <x:si>
    <x:t>- - - - - Total lumbar vertebrectomy</x:t>
  </x:si>
  <x:si>
    <x:t>http://id.who.int/icd/entity/1812052200</x:t>
  </x:si>
  <x:si>
    <x:t>http://id.who.int/icd/release/11/beta/ichi/1812052200</x:t>
  </x:si>
  <x:si>
    <x:t>MBM.KA.AA</x:t>
  </x:si>
  <x:si>
    <x:t>- - - - - Replacement of device of lumbar spine</x:t>
  </x:si>
  <x:si>
    <x:t>http://id.who.int/icd/entity/945833753</x:t>
  </x:si>
  <x:si>
    <x:t>http://id.who.int/icd/release/11/beta/ichi/945833753</x:t>
  </x:si>
  <x:si>
    <x:t>MBM.LC.AE</x:t>
  </x:si>
  <x:si>
    <x:t>- - - - - Application of percutaneous external immobilisation device to lumbar spine</x:t>
  </x:si>
  <x:si>
    <x:t>http://id.who.int/icd/entity/573012419</x:t>
  </x:si>
  <x:si>
    <x:t>http://id.who.int/icd/release/11/beta/ichi/573012419</x:t>
  </x:si>
  <x:si>
    <x:t>MBM.LC.AH</x:t>
  </x:si>
  <x:si>
    <x:t>- - - - - Application of external immobilisation device to lumbar spine</x:t>
  </x:si>
  <x:si>
    <x:t>http://id.who.int/icd/entity/165287251</x:t>
  </x:si>
  <x:si>
    <x:t>http://id.who.int/icd/release/11/beta/ichi/165287251</x:t>
  </x:si>
  <x:si>
    <x:t>MBM.LD.AA</x:t>
  </x:si>
  <x:si>
    <x:t>- - - - - Open reduction of lumbar spine</x:t>
  </x:si>
  <x:si>
    <x:t>http://id.who.int/icd/entity/1389287490</x:t>
  </x:si>
  <x:si>
    <x:t>http://id.who.int/icd/release/11/beta/ichi/1389287490</x:t>
  </x:si>
  <x:si>
    <x:t>MBM.LD.AH</x:t>
  </x:si>
  <x:si>
    <x:t>- - - - - Closed reduction of lumbar spine</x:t>
  </x:si>
  <x:si>
    <x:t>http://id.who.int/icd/entity/418529067</x:t>
  </x:si>
  <x:si>
    <x:t>http://id.who.int/icd/release/11/beta/ichi/418529067</x:t>
  </x:si>
  <x:si>
    <x:t>MBM.LE.AA</x:t>
  </x:si>
  <x:si>
    <x:t>- - - - - Fusion of lumbar spine</x:t>
  </x:si>
  <x:si>
    <x:t>http://id.who.int/icd/entity/1293425797</x:t>
  </x:si>
  <x:si>
    <x:t>http://id.who.int/icd/release/11/beta/ichi/1293425797</x:t>
  </x:si>
  <x:si>
    <x:t>MBM.LE.AB</x:t>
  </x:si>
  <x:si>
    <x:t>- - - - - Endoscopic fusion of lumbar spine</x:t>
  </x:si>
  <x:si>
    <x:t>http://id.who.int/icd/entity/1982851491</x:t>
  </x:si>
  <x:si>
    <x:t>http://id.who.int/icd/release/11/beta/ichi/1982851491</x:t>
  </x:si>
  <x:si>
    <x:t>MBM.LE.AE</x:t>
  </x:si>
  <x:si>
    <x:t>- - - - - Percutaneous lumbar fusion</x:t>
  </x:si>
  <x:si>
    <x:t>http://id.who.int/icd/entity/1833220952</x:t>
  </x:si>
  <x:si>
    <x:t>http://id.who.int/icd/release/11/beta/ichi/1833220952</x:t>
  </x:si>
  <x:si>
    <x:t>MBM.ML.AA</x:t>
  </x:si>
  <x:si>
    <x:t>- - - - - Bone graft to lumbar spine</x:t>
  </x:si>
  <x:si>
    <x:t>http://id.who.int/icd/entity/499519701</x:t>
  </x:si>
  <x:si>
    <x:t>http://id.who.int/icd/release/11/beta/ichi/499519701</x:t>
  </x:si>
  <x:si>
    <x:t>MBM.PA.ZZ</x:t>
  </x:si>
  <x:si>
    <x:t>- - - - - Manipulation of lumbar spine</x:t>
  </x:si>
  <x:si>
    <x:t>http://id.who.int/icd/entity/847702651</x:t>
  </x:si>
  <x:si>
    <x:t>http://id.who.int/icd/release/11/beta/ichi/847702651</x:t>
  </x:si>
  <x:si>
    <x:t>MBM.PB.ZZ</x:t>
  </x:si>
  <x:si>
    <x:t>- - - - - Mobilisation of lumbar spine</x:t>
  </x:si>
  <x:si>
    <x:t>http://id.who.int/icd/entity/1627793343</x:t>
  </x:si>
  <x:si>
    <x:t>http://id.who.int/icd/release/11/beta/ichi/1627793343</x:t>
  </x:si>
  <x:si>
    <x:t>MBN.DN.AA</x:t>
  </x:si>
  <x:si>
    <x:t>- - - - - Implantation of lumbar spinal disc prosthesis</x:t>
  </x:si>
  <x:si>
    <x:t>http://id.who.int/icd/entity/185504155</x:t>
  </x:si>
  <x:si>
    <x:t>http://id.who.int/icd/release/11/beta/ichi/185504155</x:t>
  </x:si>
  <x:si>
    <x:t>MBN.GA.AE</x:t>
  </x:si>
  <x:si>
    <x:t>- - - - - Percutaneous destruction of lumbar intervertebral disc</x:t>
  </x:si>
  <x:si>
    <x:t>http://id.who.int/icd/entity/1313270138</x:t>
  </x:si>
  <x:si>
    <x:t>http://id.who.int/icd/release/11/beta/ichi/1313270138</x:t>
  </x:si>
  <x:si>
    <x:t>MBN.JD.AA</x:t>
  </x:si>
  <x:si>
    <x:t>- - - - - Removal of internal device or foreign body of lumbar intervertebral disc</x:t>
  </x:si>
  <x:si>
    <x:t>http://id.who.int/icd/entity/397299497</x:t>
  </x:si>
  <x:si>
    <x:t>http://id.who.int/icd/release/11/beta/ichi/397299497</x:t>
  </x:si>
  <x:si>
    <x:t>MBN.JJ.AA</x:t>
  </x:si>
  <x:si>
    <x:t>- - - - - Lumbar discectomy</x:t>
  </x:si>
  <x:si>
    <x:t>http://id.who.int/icd/entity/1205180058</x:t>
  </x:si>
  <x:si>
    <x:t>http://id.who.int/icd/release/11/beta/ichi/1205180058</x:t>
  </x:si>
  <x:si>
    <x:t>MBN.JJ.AB</x:t>
  </x:si>
  <x:si>
    <x:t>- - - - - Endoscopic lumbar discectomy</x:t>
  </x:si>
  <x:si>
    <x:t>http://id.who.int/icd/entity/404211643</x:t>
  </x:si>
  <x:si>
    <x:t>http://id.who.int/icd/release/11/beta/ichi/404211643</x:t>
  </x:si>
  <x:si>
    <x:t>MBN.JJ.AE</x:t>
  </x:si>
  <x:si>
    <x:t>- - - - - Percutaneous lumbar discectomy</x:t>
  </x:si>
  <x:si>
    <x:t>http://id.who.int/icd/entity/507315362</x:t>
  </x:si>
  <x:si>
    <x:t>http://id.who.int/icd/release/11/beta/ichi/507315362</x:t>
  </x:si>
  <x:si>
    <x:t>MBN.KA.AA</x:t>
  </x:si>
  <x:si>
    <x:t>- - - - - Replacement of lumbar artificial spinal disc prosthesis</x:t>
  </x:si>
  <x:si>
    <x:t>http://id.who.int/icd/entity/871017259</x:t>
  </x:si>
  <x:si>
    <x:t>http://id.who.int/icd/release/11/beta/ichi/871017259</x:t>
  </x:si>
  <x:si>
    <x:t>MBN.LD.AH</x:t>
  </x:si>
  <x:si>
    <x:t>- - - - - Closed reduction of lumbar intervertebral disc</x:t>
  </x:si>
  <x:si>
    <x:t>http://id.who.int/icd/entity/148725261</x:t>
  </x:si>
  <x:si>
    <x:t>http://id.who.int/icd/release/11/beta/ichi/148725261</x:t>
  </x:si>
  <x:si>
    <x:t>MBO.BA.BA</x:t>
  </x:si>
  <x:si>
    <x:t>- - - - - X-ray of lumbosacral spine</x:t>
  </x:si>
  <x:si>
    <x:t>http://id.who.int/icd/entity/312107223</x:t>
  </x:si>
  <x:si>
    <x:t>http://id.who.int/icd/release/11/beta/ichi/312107223</x:t>
  </x:si>
  <x:si>
    <x:t>MBO.BA.BB</x:t>
  </x:si>
  <x:si>
    <x:t>- - - - - Lumbosacral myelogram</x:t>
  </x:si>
  <x:si>
    <x:t>http://id.who.int/icd/entity/963054663</x:t>
  </x:si>
  <x:si>
    <x:t>http://id.who.int/icd/release/11/beta/ichi/963054663</x:t>
  </x:si>
  <x:si>
    <x:t>MBO.BA.BC</x:t>
  </x:si>
  <x:si>
    <x:t>- - - - - Computerised tomography of lumbosacral spine, not elsewhere classified</x:t>
  </x:si>
  <x:si>
    <x:t>http://id.who.int/icd/entity/1308590468</x:t>
  </x:si>
  <x:si>
    <x:t>http://id.who.int/icd/release/11/beta/ichi/1308590468</x:t>
  </x:si>
  <x:si>
    <x:t>MBO.BA.BD</x:t>
  </x:si>
  <x:si>
    <x:t>- - - - - Computerised tomography of lumbosacral spine with intravenous contrast</x:t>
  </x:si>
  <x:si>
    <x:t>http://id.who.int/icd/entity/1471725406</x:t>
  </x:si>
  <x:si>
    <x:t>http://id.who.int/icd/release/11/beta/ichi/1471725406</x:t>
  </x:si>
  <x:si>
    <x:t>MBO.BA.BH</x:t>
  </x:si>
  <x:si>
    <x:t>- - - - - Magnetic resonance imaging of lumbosacral spine, not elsewhere classified</x:t>
  </x:si>
  <x:si>
    <x:t>http://id.who.int/icd/entity/1555866100</x:t>
  </x:si>
  <x:si>
    <x:t>http://id.who.int/icd/release/11/beta/ichi/1555866100</x:t>
  </x:si>
  <x:si>
    <x:t>MBO.BA.BI</x:t>
  </x:si>
  <x:si>
    <x:t>- - - - - Magnetic resonance imaging of lumbosacral spine with intravenous contrast</x:t>
  </x:si>
  <x:si>
    <x:t>http://id.who.int/icd/entity/772730666</x:t>
  </x:si>
  <x:si>
    <x:t>http://id.who.int/icd/release/11/beta/ichi/772730666</x:t>
  </x:si>
  <x:si>
    <x:t>MBO.LE.AA</x:t>
  </x:si>
  <x:si>
    <x:t>- - - - - Fusion of lumbosacral spine</x:t>
  </x:si>
  <x:si>
    <x:t>http://id.who.int/icd/entity/1909243401</x:t>
  </x:si>
  <x:si>
    <x:t>http://id.who.int/icd/release/11/beta/ichi/1909243401</x:t>
  </x:si>
  <x:si>
    <x:t>MBO.PA.ZZ</x:t>
  </x:si>
  <x:si>
    <x:t>- - - - - Manipulation of lumbosacral spine</x:t>
  </x:si>
  <x:si>
    <x:t>http://id.who.int/icd/entity/21894534</x:t>
  </x:si>
  <x:si>
    <x:t>http://id.who.int/icd/release/11/beta/ichi/21894534</x:t>
  </x:si>
  <x:si>
    <x:t>MBR.AD.AA</x:t>
  </x:si>
  <x:si>
    <x:t>- - - - - Biopsy of sacral spine</x:t>
  </x:si>
  <x:si>
    <x:t>http://id.who.int/icd/entity/77578988</x:t>
  </x:si>
  <x:si>
    <x:t>http://id.who.int/icd/release/11/beta/ichi/77578988</x:t>
  </x:si>
  <x:si>
    <x:t>MBR.AD.AE</x:t>
  </x:si>
  <x:si>
    <x:t>- - - - - Needle biopsy of sacral spine</x:t>
  </x:si>
  <x:si>
    <x:t>http://id.who.int/icd/entity/794996348</x:t>
  </x:si>
  <x:si>
    <x:t>http://id.who.int/icd/release/11/beta/ichi/794996348</x:t>
  </x:si>
  <x:si>
    <x:t>MBR.BA.BA</x:t>
  </x:si>
  <x:si>
    <x:t>- - - - - X-ray of sacral spine</x:t>
  </x:si>
  <x:si>
    <x:t>http://id.who.int/icd/entity/1042386444</x:t>
  </x:si>
  <x:si>
    <x:t>http://id.who.int/icd/release/11/beta/ichi/1042386444</x:t>
  </x:si>
  <x:si>
    <x:t>MBR.BA.BC</x:t>
  </x:si>
  <x:si>
    <x:t>- - - - - Computerised tomography of sacral spine, not elsewhere classified</x:t>
  </x:si>
  <x:si>
    <x:t>http://id.who.int/icd/entity/236086664</x:t>
  </x:si>
  <x:si>
    <x:t>http://id.who.int/icd/release/11/beta/ichi/236086664</x:t>
  </x:si>
  <x:si>
    <x:t>MBR.BA.BD</x:t>
  </x:si>
  <x:si>
    <x:t>- - - - - Computerised tomography of sacral spine with intravenous contrast</x:t>
  </x:si>
  <x:si>
    <x:t>http://id.who.int/icd/entity/85359402</x:t>
  </x:si>
  <x:si>
    <x:t>http://id.who.int/icd/release/11/beta/ichi/85359402</x:t>
  </x:si>
  <x:si>
    <x:t>MBR.BA.BH</x:t>
  </x:si>
  <x:si>
    <x:t>- - - - - Magnetic resonance imaging of sacral spine, not elsewhere classified</x:t>
  </x:si>
  <x:si>
    <x:t>http://id.who.int/icd/entity/1372599461</x:t>
  </x:si>
  <x:si>
    <x:t>http://id.who.int/icd/release/11/beta/ichi/1372599461</x:t>
  </x:si>
  <x:si>
    <x:t>MBR.BA.BI</x:t>
  </x:si>
  <x:si>
    <x:t>- - - - - Magnetic resonance imaging of sacral spine with intravenous contrast</x:t>
  </x:si>
  <x:si>
    <x:t>http://id.who.int/icd/entity/1808386099</x:t>
  </x:si>
  <x:si>
    <x:t>http://id.who.int/icd/release/11/beta/ichi/1808386099</x:t>
  </x:si>
  <x:si>
    <x:t>MBR.DN.AA</x:t>
  </x:si>
  <x:si>
    <x:t>- - - - - Implantation of device into sacral spine</x:t>
  </x:si>
  <x:si>
    <x:t>http://id.who.int/icd/entity/1685078177</x:t>
  </x:si>
  <x:si>
    <x:t>http://id.who.int/icd/release/11/beta/ichi/1685078177</x:t>
  </x:si>
  <x:si>
    <x:t>MBR.DN.AE</x:t>
  </x:si>
  <x:si>
    <x:t>- - - - - Percutaneous implantation of device into sacral spine</x:t>
  </x:si>
  <x:si>
    <x:t>http://id.who.int/icd/entity/873175314</x:t>
  </x:si>
  <x:si>
    <x:t>http://id.who.int/icd/release/11/beta/ichi/873175314</x:t>
  </x:si>
  <x:si>
    <x:t>MBR.FA.AA</x:t>
  </x:si>
  <x:si>
    <x:t>- - - - - Incision of bone without division of sacral spine</x:t>
  </x:si>
  <x:si>
    <x:t>http://id.who.int/icd/entity/1360826075</x:t>
  </x:si>
  <x:si>
    <x:t>http://id.who.int/icd/release/11/beta/ichi/1360826075</x:t>
  </x:si>
  <x:si>
    <x:t>MBR.JD.AA</x:t>
  </x:si>
  <x:si>
    <x:t>- - - - - Removal of internal device or foreign body from sacral spine</x:t>
  </x:si>
  <x:si>
    <x:t>http://id.who.int/icd/entity/1264300033</x:t>
  </x:si>
  <x:si>
    <x:t>http://id.who.int/icd/release/11/beta/ichi/1264300033</x:t>
  </x:si>
  <x:si>
    <x:t>MBR.JG.AA</x:t>
  </x:si>
  <x:si>
    <x:t>- - - - - Debridement of sacral spine</x:t>
  </x:si>
  <x:si>
    <x:t>http://id.who.int/icd/entity/1621548177</x:t>
  </x:si>
  <x:si>
    <x:t>http://id.who.int/icd/release/11/beta/ichi/1621548177</x:t>
  </x:si>
  <x:si>
    <x:t>MBR.JH.AA</x:t>
  </x:si>
  <x:si>
    <x:t>- - - - - Procurement of bone of sacral spine for graft</x:t>
  </x:si>
  <x:si>
    <x:t>http://id.who.int/icd/entity/2070436747</x:t>
  </x:si>
  <x:si>
    <x:t>http://id.who.int/icd/release/11/beta/ichi/2070436747</x:t>
  </x:si>
  <x:si>
    <x:t>MBR.JI.AA</x:t>
  </x:si>
  <x:si>
    <x:t>- - - - - Local excision of lesion of sacral spine</x:t>
  </x:si>
  <x:si>
    <x:t>http://id.who.int/icd/entity/615123624</x:t>
  </x:si>
  <x:si>
    <x:t>http://id.who.int/icd/release/11/beta/ichi/615123624</x:t>
  </x:si>
  <x:si>
    <x:t>MBR.JJ.AA</x:t>
  </x:si>
  <x:si>
    <x:t>- - - - - Partial sacral vertebrectomy</x:t>
  </x:si>
  <x:si>
    <x:t>http://id.who.int/icd/entity/1255279041</x:t>
  </x:si>
  <x:si>
    <x:t>http://id.who.int/icd/release/11/beta/ichi/1255279041</x:t>
  </x:si>
  <x:si>
    <x:t>MBR.JJ.AB</x:t>
  </x:si>
  <x:si>
    <x:t>- - - - - Endoscopic partial sacral vertebrectomy</x:t>
  </x:si>
  <x:si>
    <x:t>http://id.who.int/icd/entity/561765830</x:t>
  </x:si>
  <x:si>
    <x:t>http://id.who.int/icd/release/11/beta/ichi/561765830</x:t>
  </x:si>
  <x:si>
    <x:t>MBR.JK.AA</x:t>
  </x:si>
  <x:si>
    <x:t>- - - - - Total sacral vertebrectomy</x:t>
  </x:si>
  <x:si>
    <x:t>http://id.who.int/icd/entity/2126089445</x:t>
  </x:si>
  <x:si>
    <x:t>http://id.who.int/icd/release/11/beta/ichi/2126089445</x:t>
  </x:si>
  <x:si>
    <x:t>MBR.LC.AE</x:t>
  </x:si>
  <x:si>
    <x:t>- - - - - Application of percutaneous external immobilisation device to sacral spine</x:t>
  </x:si>
  <x:si>
    <x:t>http://id.who.int/icd/entity/281120652</x:t>
  </x:si>
  <x:si>
    <x:t>http://id.who.int/icd/release/11/beta/ichi/281120652</x:t>
  </x:si>
  <x:si>
    <x:t>MBR.LC.AH</x:t>
  </x:si>
  <x:si>
    <x:t>- - - - - Application of external immobilisation device to sacral spine</x:t>
  </x:si>
  <x:si>
    <x:t>http://id.who.int/icd/entity/737573546</x:t>
  </x:si>
  <x:si>
    <x:t>http://id.who.int/icd/release/11/beta/ichi/737573546</x:t>
  </x:si>
  <x:si>
    <x:t>MBR.LD.AA</x:t>
  </x:si>
  <x:si>
    <x:t>- - - - - Open reduction of sacral spine</x:t>
  </x:si>
  <x:si>
    <x:t>http://id.who.int/icd/entity/1422743989</x:t>
  </x:si>
  <x:si>
    <x:t>http://id.who.int/icd/release/11/beta/ichi/1422743989</x:t>
  </x:si>
  <x:si>
    <x:t>MBR.LD.AH</x:t>
  </x:si>
  <x:si>
    <x:t>- - - - - Closed reduction of sacral spine</x:t>
  </x:si>
  <x:si>
    <x:t>http://id.who.int/icd/entity/1540579671</x:t>
  </x:si>
  <x:si>
    <x:t>http://id.who.int/icd/release/11/beta/ichi/1540579671</x:t>
  </x:si>
  <x:si>
    <x:t>MBR.ML.AA</x:t>
  </x:si>
  <x:si>
    <x:t>- - - - - Bone graft to sacral spine</x:t>
  </x:si>
  <x:si>
    <x:t>http://id.who.int/icd/entity/726780636</x:t>
  </x:si>
  <x:si>
    <x:t>http://id.who.int/icd/release/11/beta/ichi/726780636</x:t>
  </x:si>
  <x:si>
    <x:t>MBR.PA.ZZ</x:t>
  </x:si>
  <x:si>
    <x:t>- - - - - Manipulation of sacral spine</x:t>
  </x:si>
  <x:si>
    <x:t>http://id.who.int/icd/entity/68235380</x:t>
  </x:si>
  <x:si>
    <x:t>http://id.who.int/icd/release/11/beta/ichi/68235380</x:t>
  </x:si>
  <x:si>
    <x:t>MBR.PB.ZZ</x:t>
  </x:si>
  <x:si>
    <x:t>- - - - - Mobilisation of sacral spine</x:t>
  </x:si>
  <x:si>
    <x:t>http://id.who.int/icd/entity/1109390535</x:t>
  </x:si>
  <x:si>
    <x:t>http://id.who.int/icd/release/11/beta/ichi/1109390535</x:t>
  </x:si>
  <x:si>
    <x:t>MBU.AD.AA</x:t>
  </x:si>
  <x:si>
    <x:t>- - - - - Biopsy of coccyx</x:t>
  </x:si>
  <x:si>
    <x:t>http://id.who.int/icd/entity/308555128</x:t>
  </x:si>
  <x:si>
    <x:t>http://id.who.int/icd/release/11/beta/ichi/308555128</x:t>
  </x:si>
  <x:si>
    <x:t>MBU.AD.AE</x:t>
  </x:si>
  <x:si>
    <x:t>- - - - - Needle biopsy of coccyx</x:t>
  </x:si>
  <x:si>
    <x:t>http://id.who.int/icd/entity/1302756437</x:t>
  </x:si>
  <x:si>
    <x:t>http://id.who.int/icd/release/11/beta/ichi/1302756437</x:t>
  </x:si>
  <x:si>
    <x:t>MBU.BA.BA</x:t>
  </x:si>
  <x:si>
    <x:t>- - - - - X-ray of coccyx</x:t>
  </x:si>
  <x:si>
    <x:t>http://id.who.int/icd/entity/1717244101</x:t>
  </x:si>
  <x:si>
    <x:t>http://id.who.int/icd/release/11/beta/ichi/1717244101</x:t>
  </x:si>
  <x:si>
    <x:t>MBU.BA.BC</x:t>
  </x:si>
  <x:si>
    <x:t>- - - - - Computerised tomography of coccyx, not elsewhere classified</x:t>
  </x:si>
  <x:si>
    <x:t>http://id.who.int/icd/entity/417958428</x:t>
  </x:si>
  <x:si>
    <x:t>http://id.who.int/icd/release/11/beta/ichi/417958428</x:t>
  </x:si>
  <x:si>
    <x:t>MBU.BA.BD</x:t>
  </x:si>
  <x:si>
    <x:t>- - - - - Computerised tomography of coccyx with intravenous contrast</x:t>
  </x:si>
  <x:si>
    <x:t>http://id.who.int/icd/entity/1741859077</x:t>
  </x:si>
  <x:si>
    <x:t>http://id.who.int/icd/release/11/beta/ichi/1741859077</x:t>
  </x:si>
  <x:si>
    <x:t>MBU.BA.BH</x:t>
  </x:si>
  <x:si>
    <x:t>- - - - - Magnetic resonance imaging of coccyx, not elsewhere classified</x:t>
  </x:si>
  <x:si>
    <x:t>http://id.who.int/icd/entity/310498792</x:t>
  </x:si>
  <x:si>
    <x:t>http://id.who.int/icd/release/11/beta/ichi/310498792</x:t>
  </x:si>
  <x:si>
    <x:t>MBU.BA.BI</x:t>
  </x:si>
  <x:si>
    <x:t>- - - - - Magnetic resonance imaging of coccyx with intravenous contrast</x:t>
  </x:si>
  <x:si>
    <x:t>http://id.who.int/icd/entity/1644396139</x:t>
  </x:si>
  <x:si>
    <x:t>http://id.who.int/icd/release/11/beta/ichi/1644396139</x:t>
  </x:si>
  <x:si>
    <x:t>MBU.DN.AA</x:t>
  </x:si>
  <x:si>
    <x:t>- - - - - Implantation of device into coccyx</x:t>
  </x:si>
  <x:si>
    <x:t>http://id.who.int/icd/entity/1840969465</x:t>
  </x:si>
  <x:si>
    <x:t>http://id.who.int/icd/release/11/beta/ichi/1840969465</x:t>
  </x:si>
  <x:si>
    <x:t>MBU.FA.AA</x:t>
  </x:si>
  <x:si>
    <x:t>- - - - - Incision of bone without division of coccyx</x:t>
  </x:si>
  <x:si>
    <x:t>http://id.who.int/icd/entity/2104520527</x:t>
  </x:si>
  <x:si>
    <x:t>http://id.who.int/icd/release/11/beta/ichi/2104520527</x:t>
  </x:si>
  <x:si>
    <x:t>MBU.JD.AA</x:t>
  </x:si>
  <x:si>
    <x:t>- - - - - Removal of internal device or foreign body from coccyx</x:t>
  </x:si>
  <x:si>
    <x:t>http://id.who.int/icd/entity/1378915809</x:t>
  </x:si>
  <x:si>
    <x:t>http://id.who.int/icd/release/11/beta/ichi/1378915809</x:t>
  </x:si>
  <x:si>
    <x:t>MBU.JG.AA</x:t>
  </x:si>
  <x:si>
    <x:t>- - - - - Debridement of coccyx</x:t>
  </x:si>
  <x:si>
    <x:t>http://id.who.int/icd/entity/38489170</x:t>
  </x:si>
  <x:si>
    <x:t>http://id.who.int/icd/release/11/beta/ichi/38489170</x:t>
  </x:si>
  <x:si>
    <x:t>MBU.JH.AA</x:t>
  </x:si>
  <x:si>
    <x:t>- - - - - Procurement of coccyx bone for graft</x:t>
  </x:si>
  <x:si>
    <x:t>http://id.who.int/icd/entity/944943304</x:t>
  </x:si>
  <x:si>
    <x:t>http://id.who.int/icd/release/11/beta/ichi/944943304</x:t>
  </x:si>
  <x:si>
    <x:t>MBU.JI.AA</x:t>
  </x:si>
  <x:si>
    <x:t>- - - - - Local excision of lesion of coccyx</x:t>
  </x:si>
  <x:si>
    <x:t>http://id.who.int/icd/entity/330292312</x:t>
  </x:si>
  <x:si>
    <x:t>http://id.who.int/icd/release/11/beta/ichi/330292312</x:t>
  </x:si>
  <x:si>
    <x:t>MBU.JJ.AA</x:t>
  </x:si>
  <x:si>
    <x:t>- - - - - Partial coccygeal vertebrectomy</x:t>
  </x:si>
  <x:si>
    <x:t>http://id.who.int/icd/entity/1198101465</x:t>
  </x:si>
  <x:si>
    <x:t>http://id.who.int/icd/release/11/beta/ichi/1198101465</x:t>
  </x:si>
  <x:si>
    <x:t>MBU.JK.AA</x:t>
  </x:si>
  <x:si>
    <x:t>- - - - - Total coccygeal vertebrectomy</x:t>
  </x:si>
  <x:si>
    <x:t>http://id.who.int/icd/entity/1392258975</x:t>
  </x:si>
  <x:si>
    <x:t>http://id.who.int/icd/release/11/beta/ichi/1392258975</x:t>
  </x:si>
  <x:si>
    <x:t>MBU.LC.AH</x:t>
  </x:si>
  <x:si>
    <x:t>- - - - - Application of external immobilisation device to coccyx</x:t>
  </x:si>
  <x:si>
    <x:t>http://id.who.int/icd/entity/2030125839</x:t>
  </x:si>
  <x:si>
    <x:t>http://id.who.int/icd/release/11/beta/ichi/2030125839</x:t>
  </x:si>
  <x:si>
    <x:t>MBU.LD.AA</x:t>
  </x:si>
  <x:si>
    <x:t>- - - - - Open reduction of coccyx</x:t>
  </x:si>
  <x:si>
    <x:t>http://id.who.int/icd/entity/859677798</x:t>
  </x:si>
  <x:si>
    <x:t>http://id.who.int/icd/release/11/beta/ichi/859677798</x:t>
  </x:si>
  <x:si>
    <x:t>MBU.LD.AH</x:t>
  </x:si>
  <x:si>
    <x:t>- - - - - Closed reduction of coccyx</x:t>
  </x:si>
  <x:si>
    <x:t>http://id.who.int/icd/entity/1301233339</x:t>
  </x:si>
  <x:si>
    <x:t>http://id.who.int/icd/release/11/beta/ichi/1301233339</x:t>
  </x:si>
  <x:si>
    <x:t>MBU.ML.AA</x:t>
  </x:si>
  <x:si>
    <x:t>- - - - - Bone graft to coccyx</x:t>
  </x:si>
  <x:si>
    <x:t>http://id.who.int/icd/entity/588432708</x:t>
  </x:si>
  <x:si>
    <x:t>http://id.who.int/icd/release/11/beta/ichi/588432708</x:t>
  </x:si>
  <x:si>
    <x:t>MBV.AA.ZZ</x:t>
  </x:si>
  <x:si>
    <x:t>- - - - - Assessment of spine, not elsewhere classified</x:t>
  </x:si>
  <x:si>
    <x:t>http://id.who.int/icd/entity/844227892</x:t>
  </x:si>
  <x:si>
    <x:t>http://id.who.int/icd/release/11/beta/ichi/844227892</x:t>
  </x:si>
  <x:si>
    <x:t>MBV.AD.AA</x:t>
  </x:si>
  <x:si>
    <x:t>- - - - - Biopsy of vertebra, not elsewhere classified</x:t>
  </x:si>
  <x:si>
    <x:t>http://id.who.int/icd/entity/682716064</x:t>
  </x:si>
  <x:si>
    <x:t>http://id.who.int/icd/release/11/beta/ichi/682716064</x:t>
  </x:si>
  <x:si>
    <x:t>MBV.AD.AE</x:t>
  </x:si>
  <x:si>
    <x:t>- - - - - Needle biopsy of vertebra, not elsewhere classified</x:t>
  </x:si>
  <x:si>
    <x:t>http://id.who.int/icd/entity/2026549807</x:t>
  </x:si>
  <x:si>
    <x:t>http://id.who.int/icd/release/11/beta/ichi/2026549807</x:t>
  </x:si>
  <x:si>
    <x:t>MBV.BA.BA</x:t>
  </x:si>
  <x:si>
    <x:t>- - - - - X-ray of spine, not elsewhere classified</x:t>
  </x:si>
  <x:si>
    <x:t>http://id.who.int/icd/entity/1468680321</x:t>
  </x:si>
  <x:si>
    <x:t>http://id.who.int/icd/release/11/beta/ichi/1468680321</x:t>
  </x:si>
  <x:si>
    <x:t>MBV.BA.BC</x:t>
  </x:si>
  <x:si>
    <x:t>- - - - - Computerised tomography of spine, not elsewhere classified</x:t>
  </x:si>
  <x:si>
    <x:t>http://id.who.int/icd/entity/1192059695</x:t>
  </x:si>
  <x:si>
    <x:t>http://id.who.int/icd/release/11/beta/ichi/1192059695</x:t>
  </x:si>
  <x:si>
    <x:t>MBV.BA.BD</x:t>
  </x:si>
  <x:si>
    <x:t>- - - - - Computerised tomography of spine with intravenous contrast</x:t>
  </x:si>
  <x:si>
    <x:t>http://id.who.int/icd/entity/1457489411</x:t>
  </x:si>
  <x:si>
    <x:t>http://id.who.int/icd/release/11/beta/ichi/1457489411</x:t>
  </x:si>
  <x:si>
    <x:t>MBV.BA.BE</x:t>
  </x:si>
  <x:si>
    <x:t>- - - - - Nuclear imaging study of spine, not elsewhere classified</x:t>
  </x:si>
  <x:si>
    <x:t>http://id.who.int/icd/entity/111435698</x:t>
  </x:si>
  <x:si>
    <x:t>http://id.who.int/icd/release/11/beta/ichi/111435698</x:t>
  </x:si>
  <x:si>
    <x:t>MBV.BA.BH</x:t>
  </x:si>
  <x:si>
    <x:t>- - - - - Magnetic resonance imaging of spine, not elsewhere classified</x:t>
  </x:si>
  <x:si>
    <x:t>http://id.who.int/icd/entity/943079472</x:t>
  </x:si>
  <x:si>
    <x:t>http://id.who.int/icd/release/11/beta/ichi/943079472</x:t>
  </x:si>
  <x:si>
    <x:t>MBV.BA.BJ</x:t>
  </x:si>
  <x:si>
    <x:t>- - - - - Ultrasound of the spine, not elsewhere classified</x:t>
  </x:si>
  <x:si>
    <x:t>http://id.who.int/icd/entity/702850334</x:t>
  </x:si>
  <x:si>
    <x:t>http://id.who.int/icd/release/11/beta/ichi/702850334</x:t>
  </x:si>
  <x:si>
    <x:t>MBV.DN.AA</x:t>
  </x:si>
  <x:si>
    <x:t>- - - - - Implantation of device into spine, not elsewhere classified</x:t>
  </x:si>
  <x:si>
    <x:t>http://id.who.int/icd/entity/352652112</x:t>
  </x:si>
  <x:si>
    <x:t>http://id.who.int/icd/release/11/beta/ichi/352652112</x:t>
  </x:si>
  <x:si>
    <x:t>MBV.DN.AE</x:t>
  </x:si>
  <x:si>
    <x:t>- - - - - Percutaneous implantation of device into spine, not elsewhere classified</x:t>
  </x:si>
  <x:si>
    <x:t>http://id.who.int/icd/entity/2091602771</x:t>
  </x:si>
  <x:si>
    <x:t>http://id.who.int/icd/release/11/beta/ichi/2091602771</x:t>
  </x:si>
  <x:si>
    <x:t>MBV.FA.AA</x:t>
  </x:si>
  <x:si>
    <x:t>- - - - - Osteotomy of spine, not elsewhere classified</x:t>
  </x:si>
  <x:si>
    <x:t>http://id.who.int/icd/entity/751864548</x:t>
  </x:si>
  <x:si>
    <x:t>http://id.who.int/icd/release/11/beta/ichi/751864548</x:t>
  </x:si>
  <x:si>
    <x:t>MBV.FA.AB</x:t>
  </x:si>
  <x:si>
    <x:t>- - - - - Endoscopic osteotomy of spine, not elsewhere classified</x:t>
  </x:si>
  <x:si>
    <x:t>http://id.who.int/icd/entity/59797580</x:t>
  </x:si>
  <x:si>
    <x:t>http://id.who.int/icd/release/11/beta/ichi/59797580</x:t>
  </x:si>
  <x:si>
    <x:t>MBV.JB.AA</x:t>
  </x:si>
  <x:si>
    <x:t>- - - - - Drainage of spine, not elsewhere classified</x:t>
  </x:si>
  <x:si>
    <x:t>http://id.who.int/icd/entity/104965922</x:t>
  </x:si>
  <x:si>
    <x:t>http://id.who.int/icd/release/11/beta/ichi/104965922</x:t>
  </x:si>
  <x:si>
    <x:t>MBV.JD.AA</x:t>
  </x:si>
  <x:si>
    <x:t>- - - - - Removal of internal device or foreign body from spine, not elsewhere classified</x:t>
  </x:si>
  <x:si>
    <x:t>http://id.who.int/icd/entity/1992494255</x:t>
  </x:si>
  <x:si>
    <x:t>http://id.who.int/icd/release/11/beta/ichi/1992494255</x:t>
  </x:si>
  <x:si>
    <x:t>MBV.JD.AB</x:t>
  </x:si>
  <x:si>
    <x:t>- - - - - Endoscopic removal of internal device or foreign body from spine, not elsewhere classified</x:t>
  </x:si>
  <x:si>
    <x:t>http://id.who.int/icd/entity/1501820417</x:t>
  </x:si>
  <x:si>
    <x:t>http://id.who.int/icd/release/11/beta/ichi/1501820417</x:t>
  </x:si>
  <x:si>
    <x:t>MBV.JG.AA</x:t>
  </x:si>
  <x:si>
    <x:t>- - - - - Debridement of spine, not elsewhere classified</x:t>
  </x:si>
  <x:si>
    <x:t>http://id.who.int/icd/entity/741700212</x:t>
  </x:si>
  <x:si>
    <x:t>http://id.who.int/icd/release/11/beta/ichi/741700212</x:t>
  </x:si>
  <x:si>
    <x:t>MBV.JH.AA</x:t>
  </x:si>
  <x:si>
    <x:t>- - - - - Procurement of vertebral bone for graft, not elsewhere classified</x:t>
  </x:si>
  <x:si>
    <x:t>http://id.who.int/icd/entity/1555552767</x:t>
  </x:si>
  <x:si>
    <x:t>http://id.who.int/icd/release/11/beta/ichi/1555552767</x:t>
  </x:si>
  <x:si>
    <x:t>MBV.JI.AA</x:t>
  </x:si>
  <x:si>
    <x:t>- - - - - Local excision of lesion of spine, not elsewhere classified</x:t>
  </x:si>
  <x:si>
    <x:t>http://id.who.int/icd/entity/58034396</x:t>
  </x:si>
  <x:si>
    <x:t>http://id.who.int/icd/release/11/beta/ichi/58034396</x:t>
  </x:si>
  <x:si>
    <x:t>MBV.JJ.AA</x:t>
  </x:si>
  <x:si>
    <x:t>- - - - - Partial ostectomy of vertebra, not elsewhere classified</x:t>
  </x:si>
  <x:si>
    <x:t>http://id.who.int/icd/entity/1763159547</x:t>
  </x:si>
  <x:si>
    <x:t>http://id.who.int/icd/release/11/beta/ichi/1763159547</x:t>
  </x:si>
  <x:si>
    <x:t>MBV.JJ.AB</x:t>
  </x:si>
  <x:si>
    <x:t>- - - - - Endoscopic partial ostectomy of vertebra, not elsewhere classified</x:t>
  </x:si>
  <x:si>
    <x:t>http://id.who.int/icd/entity/429196920</x:t>
  </x:si>
  <x:si>
    <x:t>http://id.who.int/icd/release/11/beta/ichi/429196920</x:t>
  </x:si>
  <x:si>
    <x:t>MBV.JK.AA</x:t>
  </x:si>
  <x:si>
    <x:t>- - - - - Total ostectomy of vertebra, not elsewhere classified</x:t>
  </x:si>
  <x:si>
    <x:t>http://id.who.int/icd/entity/1180129109</x:t>
  </x:si>
  <x:si>
    <x:t>http://id.who.int/icd/release/11/beta/ichi/1180129109</x:t>
  </x:si>
  <x:si>
    <x:t>MBV.KA.AA</x:t>
  </x:si>
  <x:si>
    <x:t>- - - - - Replacement of spinal device, not elsewhere classified</x:t>
  </x:si>
  <x:si>
    <x:t>http://id.who.int/icd/entity/1933285679</x:t>
  </x:si>
  <x:si>
    <x:t>http://id.who.int/icd/release/11/beta/ichi/1933285679</x:t>
  </x:si>
  <x:si>
    <x:t>MBV.LC.AE</x:t>
  </x:si>
  <x:si>
    <x:t>- - - - - Direct or skeletal traction to the spine</x:t>
  </x:si>
  <x:si>
    <x:t>http://id.who.int/icd/entity/1551590273</x:t>
  </x:si>
  <x:si>
    <x:t>http://id.who.int/icd/release/11/beta/ichi/1551590273</x:t>
  </x:si>
  <x:si>
    <x:t>MBV.LC.AH</x:t>
  </x:si>
  <x:si>
    <x:t>- - - - - Application of external immobilisation device to spine, not elsewhere classified</x:t>
  </x:si>
  <x:si>
    <x:t>http://id.who.int/icd/entity/1203102875</x:t>
  </x:si>
  <x:si>
    <x:t>http://id.who.int/icd/release/11/beta/ichi/1203102875</x:t>
  </x:si>
  <x:si>
    <x:t>MBV.LD.AA</x:t>
  </x:si>
  <x:si>
    <x:t>- - - - - Open reduction of vertebra, not elsewhere classified</x:t>
  </x:si>
  <x:si>
    <x:t>http://id.who.int/icd/entity/326347540</x:t>
  </x:si>
  <x:si>
    <x:t>http://id.who.int/icd/release/11/beta/ichi/326347540</x:t>
  </x:si>
  <x:si>
    <x:t>MBV.LD.AH</x:t>
  </x:si>
  <x:si>
    <x:t>- - - - - Closed reduction of vertebra, not elsewhere classified</x:t>
  </x:si>
  <x:si>
    <x:t>http://id.who.int/icd/entity/1713428471</x:t>
  </x:si>
  <x:si>
    <x:t>http://id.who.int/icd/release/11/beta/ichi/1713428471</x:t>
  </x:si>
  <x:si>
    <x:t>MBV.LE.AA</x:t>
  </x:si>
  <x:si>
    <x:t>- - - - - Spinal fusion, not elsewhere classified</x:t>
  </x:si>
  <x:si>
    <x:t>http://id.who.int/icd/entity/1469744573</x:t>
  </x:si>
  <x:si>
    <x:t>http://id.who.int/icd/release/11/beta/ichi/1469744573</x:t>
  </x:si>
  <x:si>
    <x:t>MBV.ML.AA</x:t>
  </x:si>
  <x:si>
    <x:t>- - - - - Reconstruction of vertebra, not elsewhere classified</x:t>
  </x:si>
  <x:si>
    <x:t>http://id.who.int/icd/entity/1823305883</x:t>
  </x:si>
  <x:si>
    <x:t>http://id.who.int/icd/release/11/beta/ichi/1823305883</x:t>
  </x:si>
  <x:si>
    <x:t>MBV.ML.AE</x:t>
  </x:si>
  <x:si>
    <x:t>- - - - - Percutaneous vertebroplasty, not elsewhere classified</x:t>
  </x:si>
  <x:si>
    <x:t>http://id.who.int/icd/entity/862921146</x:t>
  </x:si>
  <x:si>
    <x:t>http://id.who.int/icd/release/11/beta/ichi/862921146</x:t>
  </x:si>
  <x:si>
    <x:t>MBV.PA.ZZ</x:t>
  </x:si>
  <x:si>
    <x:t>- - - - - Manipulation of vertebra, not elsewhere classified</x:t>
  </x:si>
  <x:si>
    <x:t>http://id.who.int/icd/entity/1662318601</x:t>
  </x:si>
  <x:si>
    <x:t>http://id.who.int/icd/release/11/beta/ichi/1662318601</x:t>
  </x:si>
  <x:si>
    <x:t>MBV.PB.ZZ</x:t>
  </x:si>
  <x:si>
    <x:t>- - - - - Mobilisation of vertebra, not elsewhere classified</x:t>
  </x:si>
  <x:si>
    <x:t>http://id.who.int/icd/entity/1657783317</x:t>
  </x:si>
  <x:si>
    <x:t>http://id.who.int/icd/release/11/beta/ichi/1657783317</x:t>
  </x:si>
  <x:si>
    <x:t>MBY.DB.AE</x:t>
  </x:si>
  <x:si>
    <x:t>- - - - - Percutaneous intervertebral chemonucleolysis</x:t>
  </x:si>
  <x:si>
    <x:t>http://id.who.int/icd/entity/1730024315</x:t>
  </x:si>
  <x:si>
    <x:t>http://id.who.int/icd/release/11/beta/ichi/1730024315</x:t>
  </x:si>
  <x:si>
    <x:t>MBY.GA.AA</x:t>
  </x:si>
  <x:si>
    <x:t>- - - - - Destruction of intervertebral disc, not elsewhere classified</x:t>
  </x:si>
  <x:si>
    <x:t>http://id.who.int/icd/entity/1105070199</x:t>
  </x:si>
  <x:si>
    <x:t>http://id.who.int/icd/release/11/beta/ichi/1105070199</x:t>
  </x:si>
  <x:si>
    <x:t>MBY.GA.AE</x:t>
  </x:si>
  <x:si>
    <x:t>- - - - - Percutaneous destruction of intervertebral disc, not elsewhere classified</x:t>
  </x:si>
  <x:si>
    <x:t>http://id.who.int/icd/entity/929417930</x:t>
  </x:si>
  <x:si>
    <x:t>http://id.who.int/icd/release/11/beta/ichi/929417930</x:t>
  </x:si>
  <x:si>
    <x:t>MBY.JJ.AA</x:t>
  </x:si>
  <x:si>
    <x:t>- - - - - Excision of intervertebral disc, unspecified</x:t>
  </x:si>
  <x:si>
    <x:t>http://id.who.int/icd/entity/1726030517</x:t>
  </x:si>
  <x:si>
    <x:t>http://id.who.int/icd/release/11/beta/ichi/1726030517</x:t>
  </x:si>
  <x:si>
    <x:t>MBY.JJ.AB</x:t>
  </x:si>
  <x:si>
    <x:t>- - - - - Endoscopic excision of intervertebral disc, unspecified</x:t>
  </x:si>
  <x:si>
    <x:t>http://id.who.int/icd/entity/1214179797</x:t>
  </x:si>
  <x:si>
    <x:t>http://id.who.int/icd/release/11/beta/ichi/1214179797</x:t>
  </x:si>
  <x:si>
    <x:t>MBY.LD.AH</x:t>
  </x:si>
  <x:si>
    <x:t>- - - - - Closed reduction of intervertebral disc, not elsewhere classified</x:t>
  </x:si>
  <x:si>
    <x:t>http://id.who.int/icd/entity/1671660869</x:t>
  </x:si>
  <x:si>
    <x:t>http://id.who.int/icd/release/11/beta/ichi/1671660869</x:t>
  </x:si>
  <x:si>
    <x:t>MBY.MK.AA</x:t>
  </x:si>
  <x:si>
    <x:t>- - - - - Repair of intervertebral disc, not elsewhere classified</x:t>
  </x:si>
  <x:si>
    <x:t>http://id.who.int/icd/entity/1494025375</x:t>
  </x:si>
  <x:si>
    <x:t>http://id.who.int/icd/release/11/beta/ichi/1494025375</x:t>
  </x:si>
  <x:si>
    <x:t>BlockL4-MCB</x:t>
  </x:si>
  <x:si>
    <x:t>- - - - Interventions on musculoskeletal structures of trunk</x:t>
  </x:si>
  <x:si>
    <x:t>http://id.who.int/icd/entity/2046064291</x:t>
  </x:si>
  <x:si>
    <x:t>http://id.who.int/icd/release/11/beta/ichi/2046064291</x:t>
  </x:si>
  <x:si>
    <x:t>MCB.AD.AA</x:t>
  </x:si>
  <x:si>
    <x:t>- - - - - Biopsy of bone of rib or sternum</x:t>
  </x:si>
  <x:si>
    <x:t>http://id.who.int/icd/entity/1128938053</x:t>
  </x:si>
  <x:si>
    <x:t>http://id.who.int/icd/release/11/beta/ichi/1128938053</x:t>
  </x:si>
  <x:si>
    <x:t>MCB.AD.AE</x:t>
  </x:si>
  <x:si>
    <x:t>- - - - - Needle biopsy of bone of rib or sternum</x:t>
  </x:si>
  <x:si>
    <x:t>http://id.who.int/icd/entity/1877514960</x:t>
  </x:si>
  <x:si>
    <x:t>http://id.who.int/icd/release/11/beta/ichi/1877514960</x:t>
  </x:si>
  <x:si>
    <x:t>MCB.BA.BA</x:t>
  </x:si>
  <x:si>
    <x:t>- - - - - X-ray of rib or sternum</x:t>
  </x:si>
  <x:si>
    <x:t>http://id.who.int/icd/entity/560589723</x:t>
  </x:si>
  <x:si>
    <x:t>http://id.who.int/icd/release/11/beta/ichi/560589723</x:t>
  </x:si>
  <x:si>
    <x:t>MCB.DN.AA</x:t>
  </x:si>
  <x:si>
    <x:t>- - - - - Implantation of device into bone of thoracic cage</x:t>
  </x:si>
  <x:si>
    <x:t>http://id.who.int/icd/entity/808111085</x:t>
  </x:si>
  <x:si>
    <x:t>http://id.who.int/icd/release/11/beta/ichi/808111085</x:t>
  </x:si>
  <x:si>
    <x:t>MCB.FA.AA</x:t>
  </x:si>
  <x:si>
    <x:t>- - - - - Incision of rib or sternum without division</x:t>
  </x:si>
  <x:si>
    <x:t>http://id.who.int/icd/entity/551572059</x:t>
  </x:si>
  <x:si>
    <x:t>http://id.who.int/icd/release/11/beta/ichi/551572059</x:t>
  </x:si>
  <x:si>
    <x:t>MCB.JD.AA</x:t>
  </x:si>
  <x:si>
    <x:t>- - - - - Removal of internal device or foreign body from rib or sternum</x:t>
  </x:si>
  <x:si>
    <x:t>http://id.who.int/icd/entity/736382199</x:t>
  </x:si>
  <x:si>
    <x:t>http://id.who.int/icd/release/11/beta/ichi/736382199</x:t>
  </x:si>
  <x:si>
    <x:t>MCB.JG.AA</x:t>
  </x:si>
  <x:si>
    <x:t>- - - - - Debridement of bone, rib or sternum</x:t>
  </x:si>
  <x:si>
    <x:t>http://id.who.int/icd/entity/984050817</x:t>
  </x:si>
  <x:si>
    <x:t>http://id.who.int/icd/release/11/beta/ichi/984050817</x:t>
  </x:si>
  <x:si>
    <x:t>MCB.JH.AA</x:t>
  </x:si>
  <x:si>
    <x:t>- - - - - Procurement of bone of rib or sternum for graft</x:t>
  </x:si>
  <x:si>
    <x:t>http://id.who.int/icd/entity/1510647338</x:t>
  </x:si>
  <x:si>
    <x:t>http://id.who.int/icd/release/11/beta/ichi/1510647338</x:t>
  </x:si>
  <x:si>
    <x:t>MCB.JI.AA</x:t>
  </x:si>
  <x:si>
    <x:t>- - - - - Local excision of lesion of rib or sternum</x:t>
  </x:si>
  <x:si>
    <x:t>http://id.who.int/icd/entity/1912064698</x:t>
  </x:si>
  <x:si>
    <x:t>http://id.who.int/icd/release/11/beta/ichi/1912064698</x:t>
  </x:si>
  <x:si>
    <x:t>MCB.JJ.AA</x:t>
  </x:si>
  <x:si>
    <x:t>- - - - - Partial ostectomy of rib or sternum</x:t>
  </x:si>
  <x:si>
    <x:t>http://id.who.int/icd/entity/97056521</x:t>
  </x:si>
  <x:si>
    <x:t>http://id.who.int/icd/release/11/beta/ichi/97056521</x:t>
  </x:si>
  <x:si>
    <x:t>MCB.JK.AA</x:t>
  </x:si>
  <x:si>
    <x:t>- - - - - Total ostectomy of rib</x:t>
  </x:si>
  <x:si>
    <x:t>http://id.who.int/icd/entity/16570615</x:t>
  </x:si>
  <x:si>
    <x:t>http://id.who.int/icd/release/11/beta/ichi/16570615</x:t>
  </x:si>
  <x:si>
    <x:t>MCB.LC.AH</x:t>
  </x:si>
  <x:si>
    <x:t>- - - - - Application of external immobilisation device, rib or sternum</x:t>
  </x:si>
  <x:si>
    <x:t>http://id.who.int/icd/entity/1597934036</x:t>
  </x:si>
  <x:si>
    <x:t>http://id.who.int/icd/release/11/beta/ichi/1597934036</x:t>
  </x:si>
  <x:si>
    <x:t>MCB.LD.AA</x:t>
  </x:si>
  <x:si>
    <x:t>- - - - - Open reduction of rib or sternum</x:t>
  </x:si>
  <x:si>
    <x:t>http://id.who.int/icd/entity/800858713</x:t>
  </x:si>
  <x:si>
    <x:t>http://id.who.int/icd/release/11/beta/ichi/800858713</x:t>
  </x:si>
  <x:si>
    <x:t>MCB.LD.AH</x:t>
  </x:si>
  <x:si>
    <x:t>- - - - - Closed reduction of rib or sternum</x:t>
  </x:si>
  <x:si>
    <x:t>http://id.who.int/icd/entity/5990535</x:t>
  </x:si>
  <x:si>
    <x:t>http://id.who.int/icd/release/11/beta/ichi/5990535</x:t>
  </x:si>
  <x:si>
    <x:t>MCB.ML.AA</x:t>
  </x:si>
  <x:si>
    <x:t>- - - - - Reconstruction of rib or sternum</x:t>
  </x:si>
  <x:si>
    <x:t>http://id.who.int/icd/entity/1248301038</x:t>
  </x:si>
  <x:si>
    <x:t>http://id.who.int/icd/release/11/beta/ichi/1248301038</x:t>
  </x:si>
  <x:si>
    <x:t>MCS.PC.ZZ</x:t>
  </x:si>
  <x:si>
    <x:t>- - - - - Massage of soft tissue of trunk</x:t>
  </x:si>
  <x:si>
    <x:t>http://id.who.int/icd/entity/1794504672</x:t>
  </x:si>
  <x:si>
    <x:t>http://id.who.int/icd/release/11/beta/ichi/1794504672</x:t>
  </x:si>
  <x:si>
    <x:t>MCS.PD.ZZ</x:t>
  </x:si>
  <x:si>
    <x:t>- - - - - Soft tissue stretch of trunk</x:t>
  </x:si>
  <x:si>
    <x:t>http://id.who.int/icd/entity/1169493360</x:t>
  </x:si>
  <x:si>
    <x:t>http://id.who.int/icd/release/11/beta/ichi/1169493360</x:t>
  </x:si>
  <x:si>
    <x:t>MCX.AD.AA</x:t>
  </x:si>
  <x:si>
    <x:t>- - - - - Biopsy of diaphragm</x:t>
  </x:si>
  <x:si>
    <x:t>http://id.who.int/icd/entity/805538051</x:t>
  </x:si>
  <x:si>
    <x:t>http://id.who.int/icd/release/11/beta/ichi/805538051</x:t>
  </x:si>
  <x:si>
    <x:t>MCX.AD.AB</x:t>
  </x:si>
  <x:si>
    <x:t>- - - - - Laparoscopic biopsy of the diaphragm</x:t>
  </x:si>
  <x:si>
    <x:t>http://id.who.int/icd/entity/1618497716</x:t>
  </x:si>
  <x:si>
    <x:t>http://id.who.int/icd/release/11/beta/ichi/1618497716</x:t>
  </x:si>
  <x:si>
    <x:t>MCX.AD.AE</x:t>
  </x:si>
  <x:si>
    <x:t>- - - - - Percutaneous biopsy of the diaphragm</x:t>
  </x:si>
  <x:si>
    <x:t>http://id.who.int/icd/entity/524514221</x:t>
  </x:si>
  <x:si>
    <x:t>http://id.who.int/icd/release/11/beta/ichi/524514221</x:t>
  </x:si>
  <x:si>
    <x:t>MCX.BA.BA</x:t>
  </x:si>
  <x:si>
    <x:t>- - - - - X-ray of diaphragm, not elsewhere classified</x:t>
  </x:si>
  <x:si>
    <x:t>http://id.who.int/icd/entity/884875069</x:t>
  </x:si>
  <x:si>
    <x:t>http://id.who.int/icd/release/11/beta/ichi/884875069</x:t>
  </x:si>
  <x:si>
    <x:t>MCX.DL.AA</x:t>
  </x:si>
  <x:si>
    <x:t>- - - - - Insertion of internal device of diaphragm</x:t>
  </x:si>
  <x:si>
    <x:t>http://id.who.int/icd/entity/980145919</x:t>
  </x:si>
  <x:si>
    <x:t>http://id.who.int/icd/release/11/beta/ichi/980145919</x:t>
  </x:si>
  <x:si>
    <x:t>MCX.MK.AA</x:t>
  </x:si>
  <x:si>
    <x:t>- - - - - Repair of diaphragm</x:t>
  </x:si>
  <x:si>
    <x:t>http://id.who.int/icd/entity/1705609182</x:t>
  </x:si>
  <x:si>
    <x:t>http://id.who.int/icd/release/11/beta/ichi/1705609182</x:t>
  </x:si>
  <x:si>
    <x:t>MCX.MK.AB</x:t>
  </x:si>
  <x:si>
    <x:t>- - - - - Laparoscopic repair of diaphragm</x:t>
  </x:si>
  <x:si>
    <x:t>http://id.who.int/icd/entity/622381019</x:t>
  </x:si>
  <x:si>
    <x:t>http://id.who.int/icd/release/11/beta/ichi/622381019</x:t>
  </x:si>
  <x:si>
    <x:t>MCX.ML.AA</x:t>
  </x:si>
  <x:si>
    <x:t>- - - - - Repair of diaphragm with graft or prosthesis</x:t>
  </x:si>
  <x:si>
    <x:t>http://id.who.int/icd/entity/249932619</x:t>
  </x:si>
  <x:si>
    <x:t>http://id.who.int/icd/release/11/beta/ichi/249932619</x:t>
  </x:si>
  <x:si>
    <x:t>MCX.ML.AB</x:t>
  </x:si>
  <x:si>
    <x:t>- - - - - Laparoscopic repair of diaphragm with graft or prosthesis</x:t>
  </x:si>
  <x:si>
    <x:t>http://id.who.int/icd/entity/1063254273</x:t>
  </x:si>
  <x:si>
    <x:t>http://id.who.int/icd/release/11/beta/ichi/1063254273</x:t>
  </x:si>
  <x:si>
    <x:t>BlockL4-MDB</x:t>
  </x:si>
  <x:si>
    <x:t>- - - - Interventions on musculoskeletal structures of shoulder</x:t>
  </x:si>
  <x:si>
    <x:t>72</x:t>
  </x:si>
  <x:si>
    <x:t>http://id.who.int/icd/entity/531008317</x:t>
  </x:si>
  <x:si>
    <x:t>http://id.who.int/icd/release/11/beta/ichi/531008317</x:t>
  </x:si>
  <x:si>
    <x:t>MDB.AD.AA</x:t>
  </x:si>
  <x:si>
    <x:t>- - - - - Biopsy of bone of shoulder region</x:t>
  </x:si>
  <x:si>
    <x:t>http://id.who.int/icd/entity/1975823898</x:t>
  </x:si>
  <x:si>
    <x:t>http://id.who.int/icd/release/11/beta/ichi/1975823898</x:t>
  </x:si>
  <x:si>
    <x:t>MDB.AD.AE</x:t>
  </x:si>
  <x:si>
    <x:t>- - - - - Needle biopsy of bone of shoulder region</x:t>
  </x:si>
  <x:si>
    <x:t>http://id.who.int/icd/entity/1518621878</x:t>
  </x:si>
  <x:si>
    <x:t>http://id.who.int/icd/release/11/beta/ichi/1518621878</x:t>
  </x:si>
  <x:si>
    <x:t>MDB.BA.BA</x:t>
  </x:si>
  <x:si>
    <x:t>- - - - - X-ray of bone of shoulder region</x:t>
  </x:si>
  <x:si>
    <x:t>http://id.who.int/icd/entity/1540463160</x:t>
  </x:si>
  <x:si>
    <x:t>http://id.who.int/icd/release/11/beta/ichi/1540463160</x:t>
  </x:si>
  <x:si>
    <x:t>MDB.DN.AA</x:t>
  </x:si>
  <x:si>
    <x:t>- - - - - Implantation of device into bone of shoulder region</x:t>
  </x:si>
  <x:si>
    <x:t>http://id.who.int/icd/entity/300776797</x:t>
  </x:si>
  <x:si>
    <x:t>http://id.who.int/icd/release/11/beta/ichi/300776797</x:t>
  </x:si>
  <x:si>
    <x:t>MDB.DN.AE</x:t>
  </x:si>
  <x:si>
    <x:t>- - - - - Percutaneous implantation of device into bone of shoulder region</x:t>
  </x:si>
  <x:si>
    <x:t>http://id.who.int/icd/entity/1634719440</x:t>
  </x:si>
  <x:si>
    <x:t>http://id.who.int/icd/release/11/beta/ichi/1634719440</x:t>
  </x:si>
  <x:si>
    <x:t>MDB.DN.AH</x:t>
  </x:si>
  <x:si>
    <x:t>- - - - - Noninvasive placement of bone growth stimulator in bone of shoulder region</x:t>
  </x:si>
  <x:si>
    <x:t>http://id.who.int/icd/entity/1683749166</x:t>
  </x:si>
  <x:si>
    <x:t>http://id.who.int/icd/release/11/beta/ichi/1683749166</x:t>
  </x:si>
  <x:si>
    <x:t>MDB.FA.AA</x:t>
  </x:si>
  <x:si>
    <x:t>- - - - - Incision of bone of shoulder region without division</x:t>
  </x:si>
  <x:si>
    <x:t>http://id.who.int/icd/entity/1592112586</x:t>
  </x:si>
  <x:si>
    <x:t>http://id.who.int/icd/release/11/beta/ichi/1592112586</x:t>
  </x:si>
  <x:si>
    <x:t>MDB.FB.AA</x:t>
  </x:si>
  <x:si>
    <x:t>- - - - - Division of bone of shoulder region</x:t>
  </x:si>
  <x:si>
    <x:t>http://id.who.int/icd/entity/1440852836</x:t>
  </x:si>
  <x:si>
    <x:t>http://id.who.int/icd/release/11/beta/ichi/1440852836</x:t>
  </x:si>
  <x:si>
    <x:t>MDB.JD.AA</x:t>
  </x:si>
  <x:si>
    <x:t>- - - - - Removal of internal device or foreign body from bone of shoulder region</x:t>
  </x:si>
  <x:si>
    <x:t>http://id.who.int/icd/entity/1530159784</x:t>
  </x:si>
  <x:si>
    <x:t>http://id.who.int/icd/release/11/beta/ichi/1530159784</x:t>
  </x:si>
  <x:si>
    <x:t>MDB.JG.AA</x:t>
  </x:si>
  <x:si>
    <x:t>- - - - - Debridement of bone of shoulder region</x:t>
  </x:si>
  <x:si>
    <x:t>http://id.who.int/icd/entity/604979641</x:t>
  </x:si>
  <x:si>
    <x:t>http://id.who.int/icd/release/11/beta/ichi/604979641</x:t>
  </x:si>
  <x:si>
    <x:t>MDB.JH.AA</x:t>
  </x:si>
  <x:si>
    <x:t>- - - - - Procurement of bone from shoulder region for graft</x:t>
  </x:si>
  <x:si>
    <x:t>http://id.who.int/icd/entity/1145533316</x:t>
  </x:si>
  <x:si>
    <x:t>http://id.who.int/icd/release/11/beta/ichi/1145533316</x:t>
  </x:si>
  <x:si>
    <x:t>MDB.JI.AA</x:t>
  </x:si>
  <x:si>
    <x:t>- - - - - Local excision of lesion of bone of shoulder region</x:t>
  </x:si>
  <x:si>
    <x:t>http://id.who.int/icd/entity/1329818926</x:t>
  </x:si>
  <x:si>
    <x:t>http://id.who.int/icd/release/11/beta/ichi/1329818926</x:t>
  </x:si>
  <x:si>
    <x:t>MDB.JJ.AA</x:t>
  </x:si>
  <x:si>
    <x:t>- - - - - Partial ostectomy of bone of shoulder region</x:t>
  </x:si>
  <x:si>
    <x:t>http://id.who.int/icd/entity/92244549</x:t>
  </x:si>
  <x:si>
    <x:t>http://id.who.int/icd/release/11/beta/ichi/92244549</x:t>
  </x:si>
  <x:si>
    <x:t>MDB.JJ.AB</x:t>
  </x:si>
  <x:si>
    <x:t>- - - - - Arthroscopic partial ostectomy of bone of shoulder region</x:t>
  </x:si>
  <x:si>
    <x:t>http://id.who.int/icd/entity/345709123</x:t>
  </x:si>
  <x:si>
    <x:t>http://id.who.int/icd/release/11/beta/ichi/345709123</x:t>
  </x:si>
  <x:si>
    <x:t>MDB.JK.AA</x:t>
  </x:si>
  <x:si>
    <x:t>- - - - - Total ostectomy of bone of shoulder region</x:t>
  </x:si>
  <x:si>
    <x:t>http://id.who.int/icd/entity/1004265709</x:t>
  </x:si>
  <x:si>
    <x:t>http://id.who.int/icd/release/11/beta/ichi/1004265709</x:t>
  </x:si>
  <x:si>
    <x:t>MDB.LC.AE</x:t>
  </x:si>
  <x:si>
    <x:t>- - - - - Percutaneous application of external fixator device to shoulder region</x:t>
  </x:si>
  <x:si>
    <x:t>http://id.who.int/icd/entity/776887467</x:t>
  </x:si>
  <x:si>
    <x:t>http://id.who.int/icd/release/11/beta/ichi/776887467</x:t>
  </x:si>
  <x:si>
    <x:t>MDB.LC.AH</x:t>
  </x:si>
  <x:si>
    <x:t>- - - - - Application of external immobilisation device to bone of shoulder</x:t>
  </x:si>
  <x:si>
    <x:t>http://id.who.int/icd/entity/2117436698</x:t>
  </x:si>
  <x:si>
    <x:t>http://id.who.int/icd/release/11/beta/ichi/2117436698</x:t>
  </x:si>
  <x:si>
    <x:t>MDB.LD.AA</x:t>
  </x:si>
  <x:si>
    <x:t>- - - - - Open reduction of bone of shoulder</x:t>
  </x:si>
  <x:si>
    <x:t>http://id.who.int/icd/entity/1366654902</x:t>
  </x:si>
  <x:si>
    <x:t>http://id.who.int/icd/release/11/beta/ichi/1366654902</x:t>
  </x:si>
  <x:si>
    <x:t>MDB.LD.AH</x:t>
  </x:si>
  <x:si>
    <x:t>- - - - - Closed reduction of bone of shoulder region</x:t>
  </x:si>
  <x:si>
    <x:t>http://id.who.int/icd/entity/298074035</x:t>
  </x:si>
  <x:si>
    <x:t>http://id.who.int/icd/release/11/beta/ichi/298074035</x:t>
  </x:si>
  <x:si>
    <x:t>MDB.LE.AA</x:t>
  </x:si>
  <x:si>
    <x:t>- - - - - Scapulocostal fusion</x:t>
  </x:si>
  <x:si>
    <x:t>http://id.who.int/icd/entity/1309044370</x:t>
  </x:si>
  <x:si>
    <x:t>http://id.who.int/icd/release/11/beta/ichi/1309044370</x:t>
  </x:si>
  <x:si>
    <x:t>MDB.ML.AA</x:t>
  </x:si>
  <x:si>
    <x:t>- - - - - Bone graft to shoulder region</x:t>
  </x:si>
  <x:si>
    <x:t>http://id.who.int/icd/entity/8855493</x:t>
  </x:si>
  <x:si>
    <x:t>http://id.who.int/icd/release/11/beta/ichi/8855493</x:t>
  </x:si>
  <x:si>
    <x:t>MDC.MK.AA</x:t>
  </x:si>
  <x:si>
    <x:t>- - - - - Repair of shoulder cartilage</x:t>
  </x:si>
  <x:si>
    <x:t>http://id.who.int/icd/entity/1272429056</x:t>
  </x:si>
  <x:si>
    <x:t>http://id.who.int/icd/release/11/beta/ichi/1272429056</x:t>
  </x:si>
  <x:si>
    <x:t>MDC.MK.AB</x:t>
  </x:si>
  <x:si>
    <x:t>- - - - - Arthroscopic repair of shoulder cartilage</x:t>
  </x:si>
  <x:si>
    <x:t>http://id.who.int/icd/entity/336980189</x:t>
  </x:si>
  <x:si>
    <x:t>http://id.who.int/icd/release/11/beta/ichi/336980189</x:t>
  </x:si>
  <x:si>
    <x:t>MDJ.AD.AA</x:t>
  </x:si>
  <x:si>
    <x:t>- - - - - Biopsy of joint structure of shoulder</x:t>
  </x:si>
  <x:si>
    <x:t>http://id.who.int/icd/entity/1148072302</x:t>
  </x:si>
  <x:si>
    <x:t>http://id.who.int/icd/release/11/beta/ichi/1148072302</x:t>
  </x:si>
  <x:si>
    <x:t>MDJ.AD.AB</x:t>
  </x:si>
  <x:si>
    <x:t>- - - - - Arthroscopic biopsy of joint structure of shoulder</x:t>
  </x:si>
  <x:si>
    <x:t>http://id.who.int/icd/entity/836285727</x:t>
  </x:si>
  <x:si>
    <x:t>http://id.who.int/icd/release/11/beta/ichi/836285727</x:t>
  </x:si>
  <x:si>
    <x:t>MDJ.AD.AE</x:t>
  </x:si>
  <x:si>
    <x:t>- - - - - Needle biopsy of shoulder joint</x:t>
  </x:si>
  <x:si>
    <x:t>http://id.who.int/icd/entity/438688143</x:t>
  </x:si>
  <x:si>
    <x:t>http://id.who.int/icd/release/11/beta/ichi/438688143</x:t>
  </x:si>
  <x:si>
    <x:t>MDJ.AE.AB</x:t>
  </x:si>
  <x:si>
    <x:t>- - - - - Arthroscopy of shoulder joint</x:t>
  </x:si>
  <x:si>
    <x:t>http://id.who.int/icd/entity/191298041</x:t>
  </x:si>
  <x:si>
    <x:t>http://id.who.int/icd/release/11/beta/ichi/191298041</x:t>
  </x:si>
  <x:si>
    <x:t>MDJ.BA.BA</x:t>
  </x:si>
  <x:si>
    <x:t>- - - - - X-ray of shoulder joint</x:t>
  </x:si>
  <x:si>
    <x:t>http://id.who.int/icd/entity/294025043</x:t>
  </x:si>
  <x:si>
    <x:t>http://id.who.int/icd/release/11/beta/ichi/294025043</x:t>
  </x:si>
  <x:si>
    <x:t>MDJ.BA.BB</x:t>
  </x:si>
  <x:si>
    <x:t>- - - - - Shoulder arthrography</x:t>
  </x:si>
  <x:si>
    <x:t>http://id.who.int/icd/entity/1627708640</x:t>
  </x:si>
  <x:si>
    <x:t>http://id.who.int/icd/release/11/beta/ichi/1627708640</x:t>
  </x:si>
  <x:si>
    <x:t>MDJ.BA.BE</x:t>
  </x:si>
  <x:si>
    <x:t>- - - - - Nuclear imaging study of shoulder joint</x:t>
  </x:si>
  <x:si>
    <x:t>http://id.who.int/icd/entity/1053199869</x:t>
  </x:si>
  <x:si>
    <x:t>http://id.who.int/icd/release/11/beta/ichi/1053199869</x:t>
  </x:si>
  <x:si>
    <x:t>MDJ.BA.BH</x:t>
  </x:si>
  <x:si>
    <x:t>- - - - - Magnetic resonance imaging of shoulder joint, not elsewhere classified</x:t>
  </x:si>
  <x:si>
    <x:t>http://id.who.int/icd/entity/2029698705</x:t>
  </x:si>
  <x:si>
    <x:t>http://id.who.int/icd/release/11/beta/ichi/2029698705</x:t>
  </x:si>
  <x:si>
    <x:t>MDJ.BA.BI</x:t>
  </x:si>
  <x:si>
    <x:t>- - - - - Magnetic resonance imaging of shoulder joint with intravenous contrast</x:t>
  </x:si>
  <x:si>
    <x:t>http://id.who.int/icd/entity/142087454</x:t>
  </x:si>
  <x:si>
    <x:t>http://id.who.int/icd/release/11/beta/ichi/142087454</x:t>
  </x:si>
  <x:si>
    <x:t>MDJ.BA.BJ</x:t>
  </x:si>
  <x:si>
    <x:t>- - - - - Ultrasound of shoulder joint</x:t>
  </x:si>
  <x:si>
    <x:t>http://id.who.int/icd/entity/1225350203</x:t>
  </x:si>
  <x:si>
    <x:t>http://id.who.int/icd/release/11/beta/ichi/1225350203</x:t>
  </x:si>
  <x:si>
    <x:t>MDJ.DB.AE</x:t>
  </x:si>
  <x:si>
    <x:t>- - - - - Injection into shoulder joint</x:t>
  </x:si>
  <x:si>
    <x:t>http://id.who.int/icd/entity/426935690</x:t>
  </x:si>
  <x:si>
    <x:t>http://id.who.int/icd/release/11/beta/ichi/426935690</x:t>
  </x:si>
  <x:si>
    <x:t>MDJ.DC.AE</x:t>
  </x:si>
  <x:si>
    <x:t>- - - - - Injection of anaesthesia into shoulder joint</x:t>
  </x:si>
  <x:si>
    <x:t>http://id.who.int/icd/entity/1471824959</x:t>
  </x:si>
  <x:si>
    <x:t>http://id.who.int/icd/release/11/beta/ichi/1471824959</x:t>
  </x:si>
  <x:si>
    <x:t>MDJ.DN.AA</x:t>
  </x:si>
  <x:si>
    <x:t>- - - - - Implantation of device into shoulder joint</x:t>
  </x:si>
  <x:si>
    <x:t>http://id.who.int/icd/entity/49656434</x:t>
  </x:si>
  <x:si>
    <x:t>http://id.who.int/icd/release/11/beta/ichi/49656434</x:t>
  </x:si>
  <x:si>
    <x:t>MDJ.FA.AA</x:t>
  </x:si>
  <x:si>
    <x:t>- - - - - Arthrotomy of shoulder joint</x:t>
  </x:si>
  <x:si>
    <x:t>http://id.who.int/icd/entity/1563943763</x:t>
  </x:si>
  <x:si>
    <x:t>http://id.who.int/icd/release/11/beta/ichi/1563943763</x:t>
  </x:si>
  <x:si>
    <x:t>MDJ.FB.AA</x:t>
  </x:si>
  <x:si>
    <x:t>- - - - - Division of joint capsule or cartilage of shoulder</x:t>
  </x:si>
  <x:si>
    <x:t>http://id.who.int/icd/entity/1992986563</x:t>
  </x:si>
  <x:si>
    <x:t>http://id.who.int/icd/release/11/beta/ichi/1992986563</x:t>
  </x:si>
  <x:si>
    <x:t>MDJ.FC.AA</x:t>
  </x:si>
  <x:si>
    <x:t>- - - - - Release of shoulder joint</x:t>
  </x:si>
  <x:si>
    <x:t>http://id.who.int/icd/entity/1176280281</x:t>
  </x:si>
  <x:si>
    <x:t>http://id.who.int/icd/release/11/beta/ichi/1176280281</x:t>
  </x:si>
  <x:si>
    <x:t>MDJ.FC.AB</x:t>
  </x:si>
  <x:si>
    <x:t>- - - - - Arthroscopic release of shoulder joint</x:t>
  </x:si>
  <x:si>
    <x:t>http://id.who.int/icd/entity/752421264</x:t>
  </x:si>
  <x:si>
    <x:t>http://id.who.int/icd/release/11/beta/ichi/752421264</x:t>
  </x:si>
  <x:si>
    <x:t>MDJ.GA.AA</x:t>
  </x:si>
  <x:si>
    <x:t>- - - - - Destruction of lesion or tissue of shoulder joint</x:t>
  </x:si>
  <x:si>
    <x:t>http://id.who.int/icd/entity/55674128</x:t>
  </x:si>
  <x:si>
    <x:t>http://id.who.int/icd/release/11/beta/ichi/55674128</x:t>
  </x:si>
  <x:si>
    <x:t>MDJ.JB.AA</x:t>
  </x:si>
  <x:si>
    <x:t>- - - - - Drainage of shoulder joint</x:t>
  </x:si>
  <x:si>
    <x:t>http://id.who.int/icd/entity/401538218</x:t>
  </x:si>
  <x:si>
    <x:t>http://id.who.int/icd/release/11/beta/ichi/401538218</x:t>
  </x:si>
  <x:si>
    <x:t>MDJ.JB.AB</x:t>
  </x:si>
  <x:si>
    <x:t>- - - - - Arthroscopic drainage of shoulder joint</x:t>
  </x:si>
  <x:si>
    <x:t>http://id.who.int/icd/entity/1210887563</x:t>
  </x:si>
  <x:si>
    <x:t>http://id.who.int/icd/release/11/beta/ichi/1210887563</x:t>
  </x:si>
  <x:si>
    <x:t>MDJ.JB.AE</x:t>
  </x:si>
  <x:si>
    <x:t>- - - - - Percutaneous drainage of shoulder joint</x:t>
  </x:si>
  <x:si>
    <x:t>http://id.who.int/icd/entity/112057566</x:t>
  </x:si>
  <x:si>
    <x:t>http://id.who.int/icd/release/11/beta/ichi/112057566</x:t>
  </x:si>
  <x:si>
    <x:t>MDJ.JD.AA</x:t>
  </x:si>
  <x:si>
    <x:t>- - - - - Removal of internal device or foreign body from shoulder joint</x:t>
  </x:si>
  <x:si>
    <x:t>http://id.who.int/icd/entity/1916096797</x:t>
  </x:si>
  <x:si>
    <x:t>http://id.who.int/icd/release/11/beta/ichi/1916096797</x:t>
  </x:si>
  <x:si>
    <x:t>MDJ.JD.AB</x:t>
  </x:si>
  <x:si>
    <x:t>- - - - - Arthroscopic removal of internal device or foreign body from shoulder joint</x:t>
  </x:si>
  <x:si>
    <x:t>http://id.who.int/icd/entity/1217076731</x:t>
  </x:si>
  <x:si>
    <x:t>http://id.who.int/icd/release/11/beta/ichi/1217076731</x:t>
  </x:si>
  <x:si>
    <x:t>MDJ.JG.AA</x:t>
  </x:si>
  <x:si>
    <x:t>- - - - - Debridement of shoulder joint</x:t>
  </x:si>
  <x:si>
    <x:t>http://id.who.int/icd/entity/1668706667</x:t>
  </x:si>
  <x:si>
    <x:t>http://id.who.int/icd/release/11/beta/ichi/1668706667</x:t>
  </x:si>
  <x:si>
    <x:t>MDJ.JG.AB</x:t>
  </x:si>
  <x:si>
    <x:t>- - - - - Arthroscopic debridement of shoulder joint</x:t>
  </x:si>
  <x:si>
    <x:t>http://id.who.int/icd/entity/412864070</x:t>
  </x:si>
  <x:si>
    <x:t>http://id.who.int/icd/release/11/beta/ichi/412864070</x:t>
  </x:si>
  <x:si>
    <x:t>MDJ.JI.AA</x:t>
  </x:si>
  <x:si>
    <x:t>- - - - - Local excision of lesion of shoulder joint</x:t>
  </x:si>
  <x:si>
    <x:t>http://id.who.int/icd/entity/1197055847</x:t>
  </x:si>
  <x:si>
    <x:t>http://id.who.int/icd/release/11/beta/ichi/1197055847</x:t>
  </x:si>
  <x:si>
    <x:t>MDJ.JI.AB</x:t>
  </x:si>
  <x:si>
    <x:t>- - - - - Arthroscopic local excision of lesion of shoulder joint</x:t>
  </x:si>
  <x:si>
    <x:t>http://id.who.int/icd/entity/388122328</x:t>
  </x:si>
  <x:si>
    <x:t>http://id.who.int/icd/release/11/beta/ichi/388122328</x:t>
  </x:si>
  <x:si>
    <x:t>MDJ.JJ.AA</x:t>
  </x:si>
  <x:si>
    <x:t>- - - - - Partial excision of shoulder joint</x:t>
  </x:si>
  <x:si>
    <x:t>http://id.who.int/icd/entity/303458602</x:t>
  </x:si>
  <x:si>
    <x:t>http://id.who.int/icd/release/11/beta/ichi/303458602</x:t>
  </x:si>
  <x:si>
    <x:t>MDJ.JJ.AB</x:t>
  </x:si>
  <x:si>
    <x:t>- - - - - Arthroscopic partial excision of shoulder joint</x:t>
  </x:si>
  <x:si>
    <x:t>http://id.who.int/icd/entity/1831684663</x:t>
  </x:si>
  <x:si>
    <x:t>http://id.who.int/icd/release/11/beta/ichi/1831684663</x:t>
  </x:si>
  <x:si>
    <x:t>MDJ.JN.AA</x:t>
  </x:si>
  <x:si>
    <x:t>- - - - - Disarticulation of shoulder</x:t>
  </x:si>
  <x:si>
    <x:t>http://id.who.int/icd/entity/1103188491</x:t>
  </x:si>
  <x:si>
    <x:t>http://id.who.int/icd/release/11/beta/ichi/1103188491</x:t>
  </x:si>
  <x:si>
    <x:t>MDJ.KA.AA</x:t>
  </x:si>
  <x:si>
    <x:t>- - - - - Replacement of shoulder joint device</x:t>
  </x:si>
  <x:si>
    <x:t>http://id.who.int/icd/entity/598489956</x:t>
  </x:si>
  <x:si>
    <x:t>http://id.who.int/icd/release/11/beta/ichi/598489956</x:t>
  </x:si>
  <x:si>
    <x:t>MDJ.LC.AH</x:t>
  </x:si>
  <x:si>
    <x:t>- - - - - Application of external immobilisation device to shoulder joint</x:t>
  </x:si>
  <x:si>
    <x:t>http://id.who.int/icd/entity/1761385817</x:t>
  </x:si>
  <x:si>
    <x:t>http://id.who.int/icd/release/11/beta/ichi/1761385817</x:t>
  </x:si>
  <x:si>
    <x:t>MDJ.LD.AA</x:t>
  </x:si>
  <x:si>
    <x:t>- - - - - Open reduction of shoulder joint</x:t>
  </x:si>
  <x:si>
    <x:t>http://id.who.int/icd/entity/1924899715</x:t>
  </x:si>
  <x:si>
    <x:t>http://id.who.int/icd/release/11/beta/ichi/1924899715</x:t>
  </x:si>
  <x:si>
    <x:t>MDJ.LD.AH</x:t>
  </x:si>
  <x:si>
    <x:t>- - - - - Closed reduction of shoulder joint</x:t>
  </x:si>
  <x:si>
    <x:t>http://id.who.int/icd/entity/2005896317</x:t>
  </x:si>
  <x:si>
    <x:t>http://id.who.int/icd/release/11/beta/ichi/2005896317</x:t>
  </x:si>
  <x:si>
    <x:t>MDJ.LE.AA</x:t>
  </x:si>
  <x:si>
    <x:t>- - - - - Arthrodesis of shoulder</x:t>
  </x:si>
  <x:si>
    <x:t>http://id.who.int/icd/entity/1361658866</x:t>
  </x:si>
  <x:si>
    <x:t>http://id.who.int/icd/release/11/beta/ichi/1361658866</x:t>
  </x:si>
  <x:si>
    <x:t>MDJ.LE.AB</x:t>
  </x:si>
  <x:si>
    <x:t>- - - - - Arthroscopic arthrodesis of shoulder</x:t>
  </x:si>
  <x:si>
    <x:t>http://id.who.int/icd/entity/670324172</x:t>
  </x:si>
  <x:si>
    <x:t>http://id.who.int/icd/release/11/beta/ichi/670324172</x:t>
  </x:si>
  <x:si>
    <x:t>MDJ.MK.AA</x:t>
  </x:si>
  <x:si>
    <x:t>- - - - - Repair of shoulder joint</x:t>
  </x:si>
  <x:si>
    <x:t>http://id.who.int/icd/entity/146059108</x:t>
  </x:si>
  <x:si>
    <x:t>http://id.who.int/icd/release/11/beta/ichi/146059108</x:t>
  </x:si>
  <x:si>
    <x:t>MDJ.PA.ZZ</x:t>
  </x:si>
  <x:si>
    <x:t>- - - - - Manipulation of shoulder joint</x:t>
  </x:si>
  <x:si>
    <x:t>http://id.who.int/icd/entity/850220022</x:t>
  </x:si>
  <x:si>
    <x:t>http://id.who.int/icd/release/11/beta/ichi/850220022</x:t>
  </x:si>
  <x:si>
    <x:t>MDJ.PB.ZZ</x:t>
  </x:si>
  <x:si>
    <x:t>- - - - - Mobilisation of shoulder joint</x:t>
  </x:si>
  <x:si>
    <x:t>http://id.who.int/icd/entity/1557483677</x:t>
  </x:si>
  <x:si>
    <x:t>http://id.who.int/icd/release/11/beta/ichi/1557483677</x:t>
  </x:si>
  <x:si>
    <x:t>MDL.FB.AA</x:t>
  </x:si>
  <x:si>
    <x:t>- - - - - Division of ligament of shoulder</x:t>
  </x:si>
  <x:si>
    <x:t>http://id.who.int/icd/entity/1301704939</x:t>
  </x:si>
  <x:si>
    <x:t>http://id.who.int/icd/release/11/beta/ichi/1301704939</x:t>
  </x:si>
  <x:si>
    <x:t>MDL.FC.AA</x:t>
  </x:si>
  <x:si>
    <x:t>- - - - - Release of ligament or fascia of shoulder</x:t>
  </x:si>
  <x:si>
    <x:t>http://id.who.int/icd/entity/1853157553</x:t>
  </x:si>
  <x:si>
    <x:t>http://id.who.int/icd/release/11/beta/ichi/1853157553</x:t>
  </x:si>
  <x:si>
    <x:t>MDL.JA.AA</x:t>
  </x:si>
  <x:si>
    <x:t>- - - - - Excision of ligament or fascia of shoulder joint</x:t>
  </x:si>
  <x:si>
    <x:t>http://id.who.int/icd/entity/1093929503</x:t>
  </x:si>
  <x:si>
    <x:t>http://id.who.int/icd/release/11/beta/ichi/1093929503</x:t>
  </x:si>
  <x:si>
    <x:t>MDL.JI.AA</x:t>
  </x:si>
  <x:si>
    <x:t>- - - - - Local excision of lesion of ligament or fascia of shoulder</x:t>
  </x:si>
  <x:si>
    <x:t>http://id.who.int/icd/entity/290444208</x:t>
  </x:si>
  <x:si>
    <x:t>http://id.who.int/icd/release/11/beta/ichi/290444208</x:t>
  </x:si>
  <x:si>
    <x:t>MDL.LB.AA</x:t>
  </x:si>
  <x:si>
    <x:t>- - - - - Reattachment of ligament or fascia of shoulder</x:t>
  </x:si>
  <x:si>
    <x:t>http://id.who.int/icd/entity/1694062557</x:t>
  </x:si>
  <x:si>
    <x:t>http://id.who.int/icd/release/11/beta/ichi/1694062557</x:t>
  </x:si>
  <x:si>
    <x:t>MDL.LB.AB</x:t>
  </x:si>
  <x:si>
    <x:t>- - - - - Arthroscopic reattachment of ligament or fascia of shoulder</x:t>
  </x:si>
  <x:si>
    <x:t>http://id.who.int/icd/entity/1325677389</x:t>
  </x:si>
  <x:si>
    <x:t>http://id.who.int/icd/release/11/beta/ichi/1325677389</x:t>
  </x:si>
  <x:si>
    <x:t>MDL.LC.AA</x:t>
  </x:si>
  <x:si>
    <x:t>- - - - - Stabilisation of shoulder</x:t>
  </x:si>
  <x:si>
    <x:t>http://id.who.int/icd/entity/1581718331</x:t>
  </x:si>
  <x:si>
    <x:t>http://id.who.int/icd/release/11/beta/ichi/1581718331</x:t>
  </x:si>
  <x:si>
    <x:t>MDL.LC.AB</x:t>
  </x:si>
  <x:si>
    <x:t>- - - - - Arthroscopic stabilisation of shoulder</x:t>
  </x:si>
  <x:si>
    <x:t>http://id.who.int/icd/entity/1536609365</x:t>
  </x:si>
  <x:si>
    <x:t>http://id.who.int/icd/release/11/beta/ichi/1536609365</x:t>
  </x:si>
  <x:si>
    <x:t>MDT.MK.AA</x:t>
  </x:si>
  <x:si>
    <x:t>- - - - - Rotator cuff repair</x:t>
  </x:si>
  <x:si>
    <x:t>http://id.who.int/icd/entity/200087014</x:t>
  </x:si>
  <x:si>
    <x:t>http://id.who.int/icd/release/11/beta/ichi/200087014</x:t>
  </x:si>
  <x:si>
    <x:t>MDT.MK.AB</x:t>
  </x:si>
  <x:si>
    <x:t>- - - - - Arthroscopic rotator cuff repair</x:t>
  </x:si>
  <x:si>
    <x:t>http://id.who.int/icd/entity/1960195835</x:t>
  </x:si>
  <x:si>
    <x:t>http://id.who.int/icd/release/11/beta/ichi/1960195835</x:t>
  </x:si>
  <x:si>
    <x:t>BlockL4-MEB</x:t>
  </x:si>
  <x:si>
    <x:t>- - - - Interventions on musculoskeletal structures of upper arm</x:t>
  </x:si>
  <x:si>
    <x:t>73</x:t>
  </x:si>
  <x:si>
    <x:t>http://id.who.int/icd/entity/1412383943</x:t>
  </x:si>
  <x:si>
    <x:t>http://id.who.int/icd/release/11/beta/ichi/1412383943</x:t>
  </x:si>
  <x:si>
    <x:t>MEB.AD.AA</x:t>
  </x:si>
  <x:si>
    <x:t>- - - - - Biopsy of humerus bone</x:t>
  </x:si>
  <x:si>
    <x:t>http://id.who.int/icd/entity/1155915121</x:t>
  </x:si>
  <x:si>
    <x:t>http://id.who.int/icd/release/11/beta/ichi/1155915121</x:t>
  </x:si>
  <x:si>
    <x:t>MEB.AD.AE</x:t>
  </x:si>
  <x:si>
    <x:t>- - - - - Needle biopsy of humerus bone</x:t>
  </x:si>
  <x:si>
    <x:t>http://id.who.int/icd/entity/455576660</x:t>
  </x:si>
  <x:si>
    <x:t>http://id.who.int/icd/release/11/beta/ichi/455576660</x:t>
  </x:si>
  <x:si>
    <x:t>MEB.BA.BA</x:t>
  </x:si>
  <x:si>
    <x:t>- - - - - X-ray of bone of humerus</x:t>
  </x:si>
  <x:si>
    <x:t>http://id.who.int/icd/entity/1264342499</x:t>
  </x:si>
  <x:si>
    <x:t>http://id.who.int/icd/release/11/beta/ichi/1264342499</x:t>
  </x:si>
  <x:si>
    <x:t>MEB.DN.AA</x:t>
  </x:si>
  <x:si>
    <x:t>- - - - - Implantation of device into bone of humerus</x:t>
  </x:si>
  <x:si>
    <x:t>http://id.who.int/icd/entity/557740230</x:t>
  </x:si>
  <x:si>
    <x:t>http://id.who.int/icd/release/11/beta/ichi/557740230</x:t>
  </x:si>
  <x:si>
    <x:t>MEB.DN.AE</x:t>
  </x:si>
  <x:si>
    <x:t>- - - - - Percutaneous implantation of device into humerus</x:t>
  </x:si>
  <x:si>
    <x:t>http://id.who.int/icd/entity/997805600</x:t>
  </x:si>
  <x:si>
    <x:t>http://id.who.int/icd/release/11/beta/ichi/997805600</x:t>
  </x:si>
  <x:si>
    <x:t>MEB.FA.AA</x:t>
  </x:si>
  <x:si>
    <x:t>- - - - - Incision of bone of humerus without division</x:t>
  </x:si>
  <x:si>
    <x:t>http://id.who.int/icd/entity/813519026</x:t>
  </x:si>
  <x:si>
    <x:t>http://id.who.int/icd/release/11/beta/ichi/813519026</x:t>
  </x:si>
  <x:si>
    <x:t>MEB.FB.AA</x:t>
  </x:si>
  <x:si>
    <x:t>- - - - - Division of bone of humerus</x:t>
  </x:si>
  <x:si>
    <x:t>http://id.who.int/icd/entity/1267789725</x:t>
  </x:si>
  <x:si>
    <x:t>http://id.who.int/icd/release/11/beta/ichi/1267789725</x:t>
  </x:si>
  <x:si>
    <x:t>MEB.JD.AA</x:t>
  </x:si>
  <x:si>
    <x:t>- - - - - Removal of internal device or foreign body from humerus</x:t>
  </x:si>
  <x:si>
    <x:t>http://id.who.int/icd/entity/1373098311</x:t>
  </x:si>
  <x:si>
    <x:t>http://id.who.int/icd/release/11/beta/ichi/1373098311</x:t>
  </x:si>
  <x:si>
    <x:t>MEB.JD.AH</x:t>
  </x:si>
  <x:si>
    <x:t>- - - - - Removal of internal device or foreign body from humerus without incision</x:t>
  </x:si>
  <x:si>
    <x:t>http://id.who.int/icd/entity/1947896965</x:t>
  </x:si>
  <x:si>
    <x:t>http://id.who.int/icd/release/11/beta/ichi/1947896965</x:t>
  </x:si>
  <x:si>
    <x:t>MEB.JG.AA</x:t>
  </x:si>
  <x:si>
    <x:t>- - - - - Debridement of humerus</x:t>
  </x:si>
  <x:si>
    <x:t>http://id.who.int/icd/entity/610358580</x:t>
  </x:si>
  <x:si>
    <x:t>http://id.who.int/icd/release/11/beta/ichi/610358580</x:t>
  </x:si>
  <x:si>
    <x:t>MEB.JH.AA</x:t>
  </x:si>
  <x:si>
    <x:t>- - - - - Procurement of bone of humerus for graft</x:t>
  </x:si>
  <x:si>
    <x:t>http://id.who.int/icd/entity/1532655147</x:t>
  </x:si>
  <x:si>
    <x:t>http://id.who.int/icd/release/11/beta/ichi/1532655147</x:t>
  </x:si>
  <x:si>
    <x:t>MEB.JI.AA</x:t>
  </x:si>
  <x:si>
    <x:t>- - - - - Local excision of lesion of humerus</x:t>
  </x:si>
  <x:si>
    <x:t>http://id.who.int/icd/entity/1889999547</x:t>
  </x:si>
  <x:si>
    <x:t>http://id.who.int/icd/release/11/beta/ichi/1889999547</x:t>
  </x:si>
  <x:si>
    <x:t>MEB.JJ.AA</x:t>
  </x:si>
  <x:si>
    <x:t>- - - - - Partial ostectomy of humerus</x:t>
  </x:si>
  <x:si>
    <x:t>http://id.who.int/icd/entity/2121454457</x:t>
  </x:si>
  <x:si>
    <x:t>http://id.who.int/icd/release/11/beta/ichi/2121454457</x:t>
  </x:si>
  <x:si>
    <x:t>MEB.JK.AA</x:t>
  </x:si>
  <x:si>
    <x:t>- - - - - Total ostectomy of humerus</x:t>
  </x:si>
  <x:si>
    <x:t>http://id.who.int/icd/entity/565215834</x:t>
  </x:si>
  <x:si>
    <x:t>http://id.who.int/icd/release/11/beta/ichi/565215834</x:t>
  </x:si>
  <x:si>
    <x:t>MEB.JN.AA</x:t>
  </x:si>
  <x:si>
    <x:t>- - - - - Amputation through humerus</x:t>
  </x:si>
  <x:si>
    <x:t>http://id.who.int/icd/entity/716479736</x:t>
  </x:si>
  <x:si>
    <x:t>http://id.who.int/icd/release/11/beta/ichi/716479736</x:t>
  </x:si>
  <x:si>
    <x:t>MEB.LC.AE</x:t>
  </x:si>
  <x:si>
    <x:t>- - - - - Percutaneous application of external immobilisation device to humerus</x:t>
  </x:si>
  <x:si>
    <x:t>http://id.who.int/icd/entity/293824978</x:t>
  </x:si>
  <x:si>
    <x:t>http://id.who.int/icd/release/11/beta/ichi/293824978</x:t>
  </x:si>
  <x:si>
    <x:t>MEB.LC.AH</x:t>
  </x:si>
  <x:si>
    <x:t>- - - - - Application of external immobilisation device to humerus</x:t>
  </x:si>
  <x:si>
    <x:t>http://id.who.int/icd/entity/1312897267</x:t>
  </x:si>
  <x:si>
    <x:t>http://id.who.int/icd/release/11/beta/ichi/1312897267</x:t>
  </x:si>
  <x:si>
    <x:t>MEB.LD.AA</x:t>
  </x:si>
  <x:si>
    <x:t>- - - - - Open reduction of humerus</x:t>
  </x:si>
  <x:si>
    <x:t>http://id.who.int/icd/entity/540621724</x:t>
  </x:si>
  <x:si>
    <x:t>http://id.who.int/icd/release/11/beta/ichi/540621724</x:t>
  </x:si>
  <x:si>
    <x:t>MEB.LD.AH</x:t>
  </x:si>
  <x:si>
    <x:t>- - - - - Closed reduction of humerus</x:t>
  </x:si>
  <x:si>
    <x:t>http://id.who.int/icd/entity/266236230</x:t>
  </x:si>
  <x:si>
    <x:t>http://id.who.int/icd/release/11/beta/ichi/266236230</x:t>
  </x:si>
  <x:si>
    <x:t>MEB.LK.AA</x:t>
  </x:si>
  <x:si>
    <x:t>- - - - - Limb lengthening procedures of humerus</x:t>
  </x:si>
  <x:si>
    <x:t>http://id.who.int/icd/entity/513626418</x:t>
  </x:si>
  <x:si>
    <x:t>http://id.who.int/icd/release/11/beta/ichi/513626418</x:t>
  </x:si>
  <x:si>
    <x:t>MEB.LL.AA</x:t>
  </x:si>
  <x:si>
    <x:t>- - - - - Limb shortening procedures of humerus</x:t>
  </x:si>
  <x:si>
    <x:t>http://id.who.int/icd/entity/1060236686</x:t>
  </x:si>
  <x:si>
    <x:t>http://id.who.int/icd/release/11/beta/ichi/1060236686</x:t>
  </x:si>
  <x:si>
    <x:t>MEB.ML.AA</x:t>
  </x:si>
  <x:si>
    <x:t>- - - - - Bone graft to humerus</x:t>
  </x:si>
  <x:si>
    <x:t>http://id.who.int/icd/entity/1337148929</x:t>
  </x:si>
  <x:si>
    <x:t>http://id.who.int/icd/release/11/beta/ichi/1337148929</x:t>
  </x:si>
  <x:si>
    <x:t>MEJ.AD.AA</x:t>
  </x:si>
  <x:si>
    <x:t>- - - - - Biopsy of joint structure of elbow</x:t>
  </x:si>
  <x:si>
    <x:t>http://id.who.int/icd/entity/275846946</x:t>
  </x:si>
  <x:si>
    <x:t>http://id.who.int/icd/release/11/beta/ichi/275846946</x:t>
  </x:si>
  <x:si>
    <x:t>MEJ.AD.AB</x:t>
  </x:si>
  <x:si>
    <x:t>- - - - - Arthroscopic biopsy of joint structure of elbow</x:t>
  </x:si>
  <x:si>
    <x:t>http://id.who.int/icd/entity/999062450</x:t>
  </x:si>
  <x:si>
    <x:t>http://id.who.int/icd/release/11/beta/ichi/999062450</x:t>
  </x:si>
  <x:si>
    <x:t>MEJ.AD.AE</x:t>
  </x:si>
  <x:si>
    <x:t>- - - - - Percutaneous biopsy of elbow joint</x:t>
  </x:si>
  <x:si>
    <x:t>http://id.who.int/icd/entity/1161748845</x:t>
  </x:si>
  <x:si>
    <x:t>http://id.who.int/icd/release/11/beta/ichi/1161748845</x:t>
  </x:si>
  <x:si>
    <x:t>MEJ.AE.AB</x:t>
  </x:si>
  <x:si>
    <x:t>- - - - - Arthroscopy of elbow joint</x:t>
  </x:si>
  <x:si>
    <x:t>http://id.who.int/icd/entity/452767822</x:t>
  </x:si>
  <x:si>
    <x:t>http://id.who.int/icd/release/11/beta/ichi/452767822</x:t>
  </x:si>
  <x:si>
    <x:t>MEJ.BA.BA</x:t>
  </x:si>
  <x:si>
    <x:t>- - - - - X-ray of elbow joint</x:t>
  </x:si>
  <x:si>
    <x:t>http://id.who.int/icd/entity/822205662</x:t>
  </x:si>
  <x:si>
    <x:t>http://id.who.int/icd/release/11/beta/ichi/822205662</x:t>
  </x:si>
  <x:si>
    <x:t>MEJ.BA.BB</x:t>
  </x:si>
  <x:si>
    <x:t>- - - - - Elbow arthrography</x:t>
  </x:si>
  <x:si>
    <x:t>http://id.who.int/icd/entity/1520961753</x:t>
  </x:si>
  <x:si>
    <x:t>http://id.who.int/icd/release/11/beta/ichi/1520961753</x:t>
  </x:si>
  <x:si>
    <x:t>MEJ.BA.BE</x:t>
  </x:si>
  <x:si>
    <x:t>- - - - - Nuclear imaging study of elbow joint</x:t>
  </x:si>
  <x:si>
    <x:t>http://id.who.int/icd/entity/90855930</x:t>
  </x:si>
  <x:si>
    <x:t>http://id.who.int/icd/release/11/beta/ichi/90855930</x:t>
  </x:si>
  <x:si>
    <x:t>MEJ.BA.BH</x:t>
  </x:si>
  <x:si>
    <x:t>- - - - - Magnetic resonance imaging of elbow joint, not elsewhere classified</x:t>
  </x:si>
  <x:si>
    <x:t>http://id.who.int/icd/entity/1796364947</x:t>
  </x:si>
  <x:si>
    <x:t>http://id.who.int/icd/release/11/beta/ichi/1796364947</x:t>
  </x:si>
  <x:si>
    <x:t>MEJ.BA.BI</x:t>
  </x:si>
  <x:si>
    <x:t>- - - - - Magnetic resonance imaging of elbow joint with intravenous contrast</x:t>
  </x:si>
  <x:si>
    <x:t>http://id.who.int/icd/entity/1893522825</x:t>
  </x:si>
  <x:si>
    <x:t>http://id.who.int/icd/release/11/beta/ichi/1893522825</x:t>
  </x:si>
  <x:si>
    <x:t>MEJ.BA.BJ</x:t>
  </x:si>
  <x:si>
    <x:t>- - - - - Ultrasound of elbow joint</x:t>
  </x:si>
  <x:si>
    <x:t>http://id.who.int/icd/entity/439041804</x:t>
  </x:si>
  <x:si>
    <x:t>http://id.who.int/icd/release/11/beta/ichi/439041804</x:t>
  </x:si>
  <x:si>
    <x:t>MEJ.DB.AE</x:t>
  </x:si>
  <x:si>
    <x:t>- - - - - Injection into elbow joint</x:t>
  </x:si>
  <x:si>
    <x:t>http://id.who.int/icd/entity/836129692</x:t>
  </x:si>
  <x:si>
    <x:t>http://id.who.int/icd/release/11/beta/ichi/836129692</x:t>
  </x:si>
  <x:si>
    <x:t>MEJ.DC.AE</x:t>
  </x:si>
  <x:si>
    <x:t>- - - - - Injection of anaesthesia into elbow joint</x:t>
  </x:si>
  <x:si>
    <x:t>http://id.who.int/icd/entity/790531244</x:t>
  </x:si>
  <x:si>
    <x:t>http://id.who.int/icd/release/11/beta/ichi/790531244</x:t>
  </x:si>
  <x:si>
    <x:t>MEJ.DN.AA</x:t>
  </x:si>
  <x:si>
    <x:t>- - - - - Implantation of device into elbow joint</x:t>
  </x:si>
  <x:si>
    <x:t>http://id.who.int/icd/entity/1165797773</x:t>
  </x:si>
  <x:si>
    <x:t>http://id.who.int/icd/release/11/beta/ichi/1165797773</x:t>
  </x:si>
  <x:si>
    <x:t>MEJ.FA.AA</x:t>
  </x:si>
  <x:si>
    <x:t>- - - - - Arthrotomy of elbow joint</x:t>
  </x:si>
  <x:si>
    <x:t>http://id.who.int/icd/entity/1853998365</x:t>
  </x:si>
  <x:si>
    <x:t>http://id.who.int/icd/release/11/beta/ichi/1853998365</x:t>
  </x:si>
  <x:si>
    <x:t>MEJ.FB.AA</x:t>
  </x:si>
  <x:si>
    <x:t>- - - - - Division of joint capsule or cartilage of elbow</x:t>
  </x:si>
  <x:si>
    <x:t>http://id.who.int/icd/entity/2143479147</x:t>
  </x:si>
  <x:si>
    <x:t>http://id.who.int/icd/release/11/beta/ichi/2143479147</x:t>
  </x:si>
  <x:si>
    <x:t>MEJ.FC.AA</x:t>
  </x:si>
  <x:si>
    <x:t>- - - - - Release of elbow joint</x:t>
  </x:si>
  <x:si>
    <x:t>http://id.who.int/icd/entity/254493928</x:t>
  </x:si>
  <x:si>
    <x:t>http://id.who.int/icd/release/11/beta/ichi/254493928</x:t>
  </x:si>
  <x:si>
    <x:t>MEJ.FC.AB</x:t>
  </x:si>
  <x:si>
    <x:t>- - - - - Arthroscopic release of elbow joint</x:t>
  </x:si>
  <x:si>
    <x:t>http://id.who.int/icd/entity/1159177091</x:t>
  </x:si>
  <x:si>
    <x:t>http://id.who.int/icd/release/11/beta/ichi/1159177091</x:t>
  </x:si>
  <x:si>
    <x:t>MEJ.GA.AA</x:t>
  </x:si>
  <x:si>
    <x:t>- - - - - Destruction of lesion or tissue of elbow joint</x:t>
  </x:si>
  <x:si>
    <x:t>http://id.who.int/icd/entity/1860882195</x:t>
  </x:si>
  <x:si>
    <x:t>http://id.who.int/icd/release/11/beta/ichi/1860882195</x:t>
  </x:si>
  <x:si>
    <x:t>MEJ.JB.AA</x:t>
  </x:si>
  <x:si>
    <x:t>- - - - - Drainage of elbow joint</x:t>
  </x:si>
  <x:si>
    <x:t>http://id.who.int/icd/entity/1440561717</x:t>
  </x:si>
  <x:si>
    <x:t>http://id.who.int/icd/release/11/beta/ichi/1440561717</x:t>
  </x:si>
  <x:si>
    <x:t>MEJ.JB.AB</x:t>
  </x:si>
  <x:si>
    <x:t>- - - - - Arthroscopic drainage of elbow joint</x:t>
  </x:si>
  <x:si>
    <x:t>http://id.who.int/icd/entity/169831190</x:t>
  </x:si>
  <x:si>
    <x:t>http://id.who.int/icd/release/11/beta/ichi/169831190</x:t>
  </x:si>
  <x:si>
    <x:t>MEJ.JB.AE</x:t>
  </x:si>
  <x:si>
    <x:t>- - - - - Percutaneous drainage of elbow joint</x:t>
  </x:si>
  <x:si>
    <x:t>http://id.who.int/icd/entity/1151212099</x:t>
  </x:si>
  <x:si>
    <x:t>http://id.who.int/icd/release/11/beta/ichi/1151212099</x:t>
  </x:si>
  <x:si>
    <x:t>MEJ.JD.AA</x:t>
  </x:si>
  <x:si>
    <x:t>- - - - - Removal of internal device or foreign body from elbow joint</x:t>
  </x:si>
  <x:si>
    <x:t>http://id.who.int/icd/entity/1790091709</x:t>
  </x:si>
  <x:si>
    <x:t>http://id.who.int/icd/release/11/beta/ichi/1790091709</x:t>
  </x:si>
  <x:si>
    <x:t>MEJ.JD.AB</x:t>
  </x:si>
  <x:si>
    <x:t>- - - - - Arthroscopic removal of internal device or foreign body from elbow joint</x:t>
  </x:si>
  <x:si>
    <x:t>http://id.who.int/icd/entity/1695230255</x:t>
  </x:si>
  <x:si>
    <x:t>http://id.who.int/icd/release/11/beta/ichi/1695230255</x:t>
  </x:si>
  <x:si>
    <x:t>MEJ.JD.AH</x:t>
  </x:si>
  <x:si>
    <x:t>- - - - - Removal of internal device or foreign body from elbow joint without incision</x:t>
  </x:si>
  <x:si>
    <x:t>http://id.who.int/icd/entity/1975627929</x:t>
  </x:si>
  <x:si>
    <x:t>http://id.who.int/icd/release/11/beta/ichi/1975627929</x:t>
  </x:si>
  <x:si>
    <x:t>MEJ.JG.AA</x:t>
  </x:si>
  <x:si>
    <x:t>- - - - - Debridement of elbow joint</x:t>
  </x:si>
  <x:si>
    <x:t>http://id.who.int/icd/entity/1581046793</x:t>
  </x:si>
  <x:si>
    <x:t>http://id.who.int/icd/release/11/beta/ichi/1581046793</x:t>
  </x:si>
  <x:si>
    <x:t>MEJ.JG.AB</x:t>
  </x:si>
  <x:si>
    <x:t>- - - - - Arthroscopic debridement of elbow joint</x:t>
  </x:si>
  <x:si>
    <x:t>http://id.who.int/icd/entity/1333787775</x:t>
  </x:si>
  <x:si>
    <x:t>http://id.who.int/icd/release/11/beta/ichi/1333787775</x:t>
  </x:si>
  <x:si>
    <x:t>MEJ.JI.AA</x:t>
  </x:si>
  <x:si>
    <x:t>- - - - - Local excision of lesion of elbow joint</x:t>
  </x:si>
  <x:si>
    <x:t>http://id.who.int/icd/entity/1436512981</x:t>
  </x:si>
  <x:si>
    <x:t>http://id.who.int/icd/release/11/beta/ichi/1436512981</x:t>
  </x:si>
  <x:si>
    <x:t>MEJ.JJ.AA</x:t>
  </x:si>
  <x:si>
    <x:t>- - - - - Partial excision of elbow joint</x:t>
  </x:si>
  <x:si>
    <x:t>http://id.who.int/icd/entity/622713176</x:t>
  </x:si>
  <x:si>
    <x:t>http://id.who.int/icd/release/11/beta/ichi/622713176</x:t>
  </x:si>
  <x:si>
    <x:t>MEJ.JJ.AB</x:t>
  </x:si>
  <x:si>
    <x:t>- - - - - Arthroscopic partial excision of elbow joint</x:t>
  </x:si>
  <x:si>
    <x:t>http://id.who.int/icd/entity/173876216</x:t>
  </x:si>
  <x:si>
    <x:t>http://id.who.int/icd/release/11/beta/ichi/173876216</x:t>
  </x:si>
  <x:si>
    <x:t>MEJ.JN.AA</x:t>
  </x:si>
  <x:si>
    <x:t>- - - - - Disarticulation of elbow</x:t>
  </x:si>
  <x:si>
    <x:t>http://id.who.int/icd/entity/213595947</x:t>
  </x:si>
  <x:si>
    <x:t>http://id.who.int/icd/release/11/beta/ichi/213595947</x:t>
  </x:si>
  <x:si>
    <x:t>MEJ.KA.AA</x:t>
  </x:si>
  <x:si>
    <x:t>- - - - - Replacement of elbow joint device</x:t>
  </x:si>
  <x:si>
    <x:t>http://id.who.int/icd/entity/101118273</x:t>
  </x:si>
  <x:si>
    <x:t>http://id.who.int/icd/release/11/beta/ichi/101118273</x:t>
  </x:si>
  <x:si>
    <x:t>MEJ.KD.AB</x:t>
  </x:si>
  <x:si>
    <x:t>- - - - - Arthroscopic transplantation of chondrocyte cells of elbow joint</x:t>
  </x:si>
  <x:si>
    <x:t>http://id.who.int/icd/entity/1753149992</x:t>
  </x:si>
  <x:si>
    <x:t>http://id.who.int/icd/release/11/beta/ichi/1753149992</x:t>
  </x:si>
  <x:si>
    <x:t>MEJ.KD.AE</x:t>
  </x:si>
  <x:si>
    <x:t>- - - - - Percutaneous transplantation of chondrocyte cells of elbow joint</x:t>
  </x:si>
  <x:si>
    <x:t>http://id.who.int/icd/entity/1506058338</x:t>
  </x:si>
  <x:si>
    <x:t>http://id.who.int/icd/release/11/beta/ichi/1506058338</x:t>
  </x:si>
  <x:si>
    <x:t>MEJ.LC.AH</x:t>
  </x:si>
  <x:si>
    <x:t>- - - - - Application of external immobilisation device to elbow</x:t>
  </x:si>
  <x:si>
    <x:t>http://id.who.int/icd/entity/745677841</x:t>
  </x:si>
  <x:si>
    <x:t>http://id.who.int/icd/release/11/beta/ichi/745677841</x:t>
  </x:si>
  <x:si>
    <x:t>MEJ.LD.AA</x:t>
  </x:si>
  <x:si>
    <x:t>- - - - - Open reduction of elbow joint</x:t>
  </x:si>
  <x:si>
    <x:t>http://id.who.int/icd/entity/1107961722</x:t>
  </x:si>
  <x:si>
    <x:t>http://id.who.int/icd/release/11/beta/ichi/1107961722</x:t>
  </x:si>
  <x:si>
    <x:t>MEJ.LD.AH</x:t>
  </x:si>
  <x:si>
    <x:t>- - - - - Closed reduction of elbow joint</x:t>
  </x:si>
  <x:si>
    <x:t>http://id.who.int/icd/entity/382494967</x:t>
  </x:si>
  <x:si>
    <x:t>http://id.who.int/icd/release/11/beta/ichi/382494967</x:t>
  </x:si>
  <x:si>
    <x:t>MEJ.LE.AA</x:t>
  </x:si>
  <x:si>
    <x:t>- - - - - Arthrodesis of elbow</x:t>
  </x:si>
  <x:si>
    <x:t>http://id.who.int/icd/entity/320716697</x:t>
  </x:si>
  <x:si>
    <x:t>http://id.who.int/icd/release/11/beta/ichi/320716697</x:t>
  </x:si>
  <x:si>
    <x:t>MEJ.MK.AA</x:t>
  </x:si>
  <x:si>
    <x:t>- - - - - Repair of elbow joint</x:t>
  </x:si>
  <x:si>
    <x:t>http://id.who.int/icd/entity/954258185</x:t>
  </x:si>
  <x:si>
    <x:t>http://id.who.int/icd/release/11/beta/ichi/954258185</x:t>
  </x:si>
  <x:si>
    <x:t>MEJ.MK.AB</x:t>
  </x:si>
  <x:si>
    <x:t>- - - - - Arthroscopic repair of elbow joint</x:t>
  </x:si>
  <x:si>
    <x:t>http://id.who.int/icd/entity/698610559</x:t>
  </x:si>
  <x:si>
    <x:t>http://id.who.int/icd/release/11/beta/ichi/698610559</x:t>
  </x:si>
  <x:si>
    <x:t>MEJ.PA.ZZ</x:t>
  </x:si>
  <x:si>
    <x:t>- - - - - Manipulation of elbow joint</x:t>
  </x:si>
  <x:si>
    <x:t>http://id.who.int/icd/entity/428873973</x:t>
  </x:si>
  <x:si>
    <x:t>http://id.who.int/icd/release/11/beta/ichi/428873973</x:t>
  </x:si>
  <x:si>
    <x:t>MEJ.PB.ZZ</x:t>
  </x:si>
  <x:si>
    <x:t>- - - - - Mobilisation of elbow joint</x:t>
  </x:si>
  <x:si>
    <x:t>http://id.who.int/icd/entity/311690841</x:t>
  </x:si>
  <x:si>
    <x:t>http://id.who.int/icd/release/11/beta/ichi/311690841</x:t>
  </x:si>
  <x:si>
    <x:t>MEL.FB.AA</x:t>
  </x:si>
  <x:si>
    <x:t>- - - - - Division of ligament or fascia of elbow</x:t>
  </x:si>
  <x:si>
    <x:t>http://id.who.int/icd/entity/64431663</x:t>
  </x:si>
  <x:si>
    <x:t>http://id.who.int/icd/release/11/beta/ichi/64431663</x:t>
  </x:si>
  <x:si>
    <x:t>MEL.FC.AA</x:t>
  </x:si>
  <x:si>
    <x:t>- - - - - Release of ligament or fascia of elbow</x:t>
  </x:si>
  <x:si>
    <x:t>http://id.who.int/icd/entity/214507213</x:t>
  </x:si>
  <x:si>
    <x:t>http://id.who.int/icd/release/11/beta/ichi/214507213</x:t>
  </x:si>
  <x:si>
    <x:t>MEL.JI.AA</x:t>
  </x:si>
  <x:si>
    <x:t>- - - - - Local excision of lesion of ligament or fascia of elbow</x:t>
  </x:si>
  <x:si>
    <x:t>http://id.who.int/icd/entity/1393250288</x:t>
  </x:si>
  <x:si>
    <x:t>http://id.who.int/icd/release/11/beta/ichi/1393250288</x:t>
  </x:si>
  <x:si>
    <x:t>MEL.LB.AA</x:t>
  </x:si>
  <x:si>
    <x:t>- - - - - Reattachment of ligament or fascia of elbow</x:t>
  </x:si>
  <x:si>
    <x:t>http://id.who.int/icd/entity/57710175</x:t>
  </x:si>
  <x:si>
    <x:t>http://id.who.int/icd/release/11/beta/ichi/57710175</x:t>
  </x:si>
  <x:si>
    <x:t>MEL.LB.AB</x:t>
  </x:si>
  <x:si>
    <x:t>- - - - - Arthroscopic reattachment of ligament or fascia of elbow</x:t>
  </x:si>
  <x:si>
    <x:t>http://id.who.int/icd/entity/907827237</x:t>
  </x:si>
  <x:si>
    <x:t>http://id.who.int/icd/release/11/beta/ichi/907827237</x:t>
  </x:si>
  <x:si>
    <x:t>MEL.LC.AA</x:t>
  </x:si>
  <x:si>
    <x:t>- - - - - Stabilisation of elbow</x:t>
  </x:si>
  <x:si>
    <x:t>http://id.who.int/icd/entity/501298357</x:t>
  </x:si>
  <x:si>
    <x:t>http://id.who.int/icd/release/11/beta/ichi/501298357</x:t>
  </x:si>
  <x:si>
    <x:t>MEL.LC.AB</x:t>
  </x:si>
  <x:si>
    <x:t>- - - - - Arthroscopic stabilisation of elbow</x:t>
  </x:si>
  <x:si>
    <x:t>http://id.who.int/icd/entity/744187647</x:t>
  </x:si>
  <x:si>
    <x:t>http://id.who.int/icd/release/11/beta/ichi/744187647</x:t>
  </x:si>
  <x:si>
    <x:t>MEM.ML.AA</x:t>
  </x:si>
  <x:si>
    <x:t>- - - - - Reconstruction of muscle of upper limb</x:t>
  </x:si>
  <x:si>
    <x:t>http://id.who.int/icd/entity/1508762252</x:t>
  </x:si>
  <x:si>
    <x:t>http://id.who.int/icd/release/11/beta/ichi/1508762252</x:t>
  </x:si>
  <x:si>
    <x:t>MET.MK.AA</x:t>
  </x:si>
  <x:si>
    <x:t>- - - - - Repair of tendon of elbow joint</x:t>
  </x:si>
  <x:si>
    <x:t>http://id.who.int/icd/entity/332465639</x:t>
  </x:si>
  <x:si>
    <x:t>http://id.who.int/icd/release/11/beta/ichi/332465639</x:t>
  </x:si>
  <x:si>
    <x:t>MET.ML.AA</x:t>
  </x:si>
  <x:si>
    <x:t>- - - - - Reconstruction of tendon of elbow joint</x:t>
  </x:si>
  <x:si>
    <x:t>http://id.who.int/icd/entity/1666428524</x:t>
  </x:si>
  <x:si>
    <x:t>http://id.who.int/icd/release/11/beta/ichi/1666428524</x:t>
  </x:si>
  <x:si>
    <x:t>BlockL4-MFB</x:t>
  </x:si>
  <x:si>
    <x:t>- - - - Interventions on musculoskeletal structures of forearm</x:t>
  </x:si>
  <x:si>
    <x:t>82</x:t>
  </x:si>
  <x:si>
    <x:t>http://id.who.int/icd/entity/1135270998</x:t>
  </x:si>
  <x:si>
    <x:t>http://id.who.int/icd/release/11/beta/ichi/1135270998</x:t>
  </x:si>
  <x:si>
    <x:t>MFB.AD.AA</x:t>
  </x:si>
  <x:si>
    <x:t>- - - - - Biopsy of bone of forearm</x:t>
  </x:si>
  <x:si>
    <x:t>http://id.who.int/icd/entity/1300174230</x:t>
  </x:si>
  <x:si>
    <x:t>http://id.who.int/icd/release/11/beta/ichi/1300174230</x:t>
  </x:si>
  <x:si>
    <x:t>MFB.AD.AE</x:t>
  </x:si>
  <x:si>
    <x:t>- - - - - Needle biopsy of bone of forearm</x:t>
  </x:si>
  <x:si>
    <x:t>http://id.who.int/icd/entity/1547449826</x:t>
  </x:si>
  <x:si>
    <x:t>http://id.who.int/icd/release/11/beta/ichi/1547449826</x:t>
  </x:si>
  <x:si>
    <x:t>MFB.BA.BA</x:t>
  </x:si>
  <x:si>
    <x:t>- - - - - X-ray of bone of forearm</x:t>
  </x:si>
  <x:si>
    <x:t>http://id.who.int/icd/entity/1812979306</x:t>
  </x:si>
  <x:si>
    <x:t>http://id.who.int/icd/release/11/beta/ichi/1812979306</x:t>
  </x:si>
  <x:si>
    <x:t>MFB.DN.AA</x:t>
  </x:si>
  <x:si>
    <x:t>- - - - - Implantation of device into bone of forearm</x:t>
  </x:si>
  <x:si>
    <x:t>http://id.who.int/icd/entity/113920831</x:t>
  </x:si>
  <x:si>
    <x:t>http://id.who.int/icd/release/11/beta/ichi/113920831</x:t>
  </x:si>
  <x:si>
    <x:t>MFB.DN.AE</x:t>
  </x:si>
  <x:si>
    <x:t>- - - - - Percutaneous implantation of device into bone of forearm</x:t>
  </x:si>
  <x:si>
    <x:t>http://id.who.int/icd/entity/758589359</x:t>
  </x:si>
  <x:si>
    <x:t>http://id.who.int/icd/release/11/beta/ichi/758589359</x:t>
  </x:si>
  <x:si>
    <x:t>MFB.FA.AA</x:t>
  </x:si>
  <x:si>
    <x:t>- - - - - Incision of bone of forearm without division</x:t>
  </x:si>
  <x:si>
    <x:t>http://id.who.int/icd/entity/2035734608</x:t>
  </x:si>
  <x:si>
    <x:t>http://id.who.int/icd/release/11/beta/ichi/2035734608</x:t>
  </x:si>
  <x:si>
    <x:t>MFB.FB.AA</x:t>
  </x:si>
  <x:si>
    <x:t>- - - - - Division of bone of forearm</x:t>
  </x:si>
  <x:si>
    <x:t>http://id.who.int/icd/entity/647268723</x:t>
  </x:si>
  <x:si>
    <x:t>http://id.who.int/icd/release/11/beta/ichi/647268723</x:t>
  </x:si>
  <x:si>
    <x:t>MFB.JD.AA</x:t>
  </x:si>
  <x:si>
    <x:t>- - - - - Removal of internal device or foreign body from bone of forearm</x:t>
  </x:si>
  <x:si>
    <x:t>http://id.who.int/icd/entity/1995395266</x:t>
  </x:si>
  <x:si>
    <x:t>http://id.who.int/icd/release/11/beta/ichi/1995395266</x:t>
  </x:si>
  <x:si>
    <x:t>MFB.JD.AH</x:t>
  </x:si>
  <x:si>
    <x:t>- - - - - Removal of internal device or foreign body from bone of forearm without incision</x:t>
  </x:si>
  <x:si>
    <x:t>http://id.who.int/icd/entity/1464069246</x:t>
  </x:si>
  <x:si>
    <x:t>http://id.who.int/icd/release/11/beta/ichi/1464069246</x:t>
  </x:si>
  <x:si>
    <x:t>MFB.JG.AA</x:t>
  </x:si>
  <x:si>
    <x:t>- - - - - Debridement of bone of forearm</x:t>
  </x:si>
  <x:si>
    <x:t>http://id.who.int/icd/entity/2092859630</x:t>
  </x:si>
  <x:si>
    <x:t>http://id.who.int/icd/release/11/beta/ichi/2092859630</x:t>
  </x:si>
  <x:si>
    <x:t>MFB.JH.AA</x:t>
  </x:si>
  <x:si>
    <x:t>- - - - - Procurement of bone of forearm for graft</x:t>
  </x:si>
  <x:si>
    <x:t>http://id.who.int/icd/entity/142720351</x:t>
  </x:si>
  <x:si>
    <x:t>http://id.who.int/icd/release/11/beta/ichi/142720351</x:t>
  </x:si>
  <x:si>
    <x:t>MFB.JI.AA</x:t>
  </x:si>
  <x:si>
    <x:t>- - - - - Local excision of lesion of bone of forearm</x:t>
  </x:si>
  <x:si>
    <x:t>http://id.who.int/icd/entity/1573800722</x:t>
  </x:si>
  <x:si>
    <x:t>http://id.who.int/icd/release/11/beta/ichi/1573800722</x:t>
  </x:si>
  <x:si>
    <x:t>MFB.JJ.AA</x:t>
  </x:si>
  <x:si>
    <x:t>- - - - - Partial ostectomy of bone of forearm</x:t>
  </x:si>
  <x:si>
    <x:t>http://id.who.int/icd/entity/1983063938</x:t>
  </x:si>
  <x:si>
    <x:t>http://id.who.int/icd/release/11/beta/ichi/1983063938</x:t>
  </x:si>
  <x:si>
    <x:t>MFB.JK.AA</x:t>
  </x:si>
  <x:si>
    <x:t>- - - - - Total ostectomy of bone of forearm</x:t>
  </x:si>
  <x:si>
    <x:t>http://id.who.int/icd/entity/1735395318</x:t>
  </x:si>
  <x:si>
    <x:t>http://id.who.int/icd/release/11/beta/ichi/1735395318</x:t>
  </x:si>
  <x:si>
    <x:t>MFB.JN.AA</x:t>
  </x:si>
  <x:si>
    <x:t>- - - - - Amputation through forearm</x:t>
  </x:si>
  <x:si>
    <x:t>http://id.who.int/icd/entity/1654771864</x:t>
  </x:si>
  <x:si>
    <x:t>http://id.who.int/icd/release/11/beta/ichi/1654771864</x:t>
  </x:si>
  <x:si>
    <x:t>MFB.LC.AE</x:t>
  </x:si>
  <x:si>
    <x:t>- - - - - Percutaneous application of external immobilisation device to bone of forearm</x:t>
  </x:si>
  <x:si>
    <x:t>http://id.who.int/icd/entity/853149993</x:t>
  </x:si>
  <x:si>
    <x:t>http://id.who.int/icd/release/11/beta/ichi/853149993</x:t>
  </x:si>
  <x:si>
    <x:t>MFB.LC.AH</x:t>
  </x:si>
  <x:si>
    <x:t>- - - - - Application of external immobilisation device to bone of forearm</x:t>
  </x:si>
  <x:si>
    <x:t>http://id.who.int/icd/entity/1830311946</x:t>
  </x:si>
  <x:si>
    <x:t>http://id.who.int/icd/release/11/beta/ichi/1830311946</x:t>
  </x:si>
  <x:si>
    <x:t>MFB.LD.AA</x:t>
  </x:si>
  <x:si>
    <x:t>- - - - - Open reduction of bone of forearm</x:t>
  </x:si>
  <x:si>
    <x:t>http://id.who.int/icd/entity/1747744756</x:t>
  </x:si>
  <x:si>
    <x:t>http://id.who.int/icd/release/11/beta/ichi/1747744756</x:t>
  </x:si>
  <x:si>
    <x:t>MFB.LD.AH</x:t>
  </x:si>
  <x:si>
    <x:t>- - - - - Closed reduction of bone of forearm</x:t>
  </x:si>
  <x:si>
    <x:t>http://id.who.int/icd/entity/414112889</x:t>
  </x:si>
  <x:si>
    <x:t>http://id.who.int/icd/release/11/beta/ichi/414112889</x:t>
  </x:si>
  <x:si>
    <x:t>MFB.LK.AA</x:t>
  </x:si>
  <x:si>
    <x:t>- - - - - Limb lengthening procedures on bone of forearm</x:t>
  </x:si>
  <x:si>
    <x:t>http://id.who.int/icd/entity/1198296412</x:t>
  </x:si>
  <x:si>
    <x:t>http://id.who.int/icd/release/11/beta/ichi/1198296412</x:t>
  </x:si>
  <x:si>
    <x:t>MFB.LL.AA</x:t>
  </x:si>
  <x:si>
    <x:t>- - - - - Limb shortening procedures on bone of forearm</x:t>
  </x:si>
  <x:si>
    <x:t>http://id.who.int/icd/entity/1821499852</x:t>
  </x:si>
  <x:si>
    <x:t>http://id.who.int/icd/release/11/beta/ichi/1821499852</x:t>
  </x:si>
  <x:si>
    <x:t>MFB.ML.AA</x:t>
  </x:si>
  <x:si>
    <x:t>- - - - - Bone graft to forearm</x:t>
  </x:si>
  <x:si>
    <x:t>http://id.who.int/icd/entity/2104848846</x:t>
  </x:si>
  <x:si>
    <x:t>http://id.who.int/icd/release/11/beta/ichi/2104848846</x:t>
  </x:si>
  <x:si>
    <x:t>MFJ.AD.AA</x:t>
  </x:si>
  <x:si>
    <x:t>- - - - - Biopsy of joint structure of wrist</x:t>
  </x:si>
  <x:si>
    <x:t>http://id.who.int/icd/entity/582426863</x:t>
  </x:si>
  <x:si>
    <x:t>http://id.who.int/icd/release/11/beta/ichi/582426863</x:t>
  </x:si>
  <x:si>
    <x:t>MFJ.AD.AB</x:t>
  </x:si>
  <x:si>
    <x:t>- - - - - Arthroscopic biopsy of wrist joint</x:t>
  </x:si>
  <x:si>
    <x:t>http://id.who.int/icd/entity/155864191</x:t>
  </x:si>
  <x:si>
    <x:t>http://id.who.int/icd/release/11/beta/ichi/155864191</x:t>
  </x:si>
  <x:si>
    <x:t>MFJ.AD.AE</x:t>
  </x:si>
  <x:si>
    <x:t>- - - - - Needle biopsy of wrist joint</x:t>
  </x:si>
  <x:si>
    <x:t>http://id.who.int/icd/entity/1923609424</x:t>
  </x:si>
  <x:si>
    <x:t>http://id.who.int/icd/release/11/beta/ichi/1923609424</x:t>
  </x:si>
  <x:si>
    <x:t>MFJ.AE.AB</x:t>
  </x:si>
  <x:si>
    <x:t>- - - - - Arthroscopy of wrist joint</x:t>
  </x:si>
  <x:si>
    <x:t>http://id.who.int/icd/entity/761635443</x:t>
  </x:si>
  <x:si>
    <x:t>http://id.who.int/icd/release/11/beta/ichi/761635443</x:t>
  </x:si>
  <x:si>
    <x:t>MFJ.BA.BA</x:t>
  </x:si>
  <x:si>
    <x:t>- - - - - X-ray of wrist joint</x:t>
  </x:si>
  <x:si>
    <x:t>http://id.who.int/icd/entity/2099149762</x:t>
  </x:si>
  <x:si>
    <x:t>http://id.who.int/icd/release/11/beta/ichi/2099149762</x:t>
  </x:si>
  <x:si>
    <x:t>MFJ.BA.BB</x:t>
  </x:si>
  <x:si>
    <x:t>- - - - - Wrist arthrography</x:t>
  </x:si>
  <x:si>
    <x:t>http://id.who.int/icd/entity/676433293</x:t>
  </x:si>
  <x:si>
    <x:t>http://id.who.int/icd/release/11/beta/ichi/676433293</x:t>
  </x:si>
  <x:si>
    <x:t>MFJ.BA.BC</x:t>
  </x:si>
  <x:si>
    <x:t>- - - - - Computerised tomography of wrist joint, not elsewhere classified</x:t>
  </x:si>
  <x:si>
    <x:t>http://id.who.int/icd/entity/118585123</x:t>
  </x:si>
  <x:si>
    <x:t>http://id.who.int/icd/release/11/beta/ichi/118585123</x:t>
  </x:si>
  <x:si>
    <x:t>MFJ.BA.BD</x:t>
  </x:si>
  <x:si>
    <x:t>- - - - - Computerised tomography of wrist joint with intravenous contrast</x:t>
  </x:si>
  <x:si>
    <x:t>http://id.who.int/icd/entity/2006178990</x:t>
  </x:si>
  <x:si>
    <x:t>http://id.who.int/icd/release/11/beta/ichi/2006178990</x:t>
  </x:si>
  <x:si>
    <x:t>MFJ.BA.BE</x:t>
  </x:si>
  <x:si>
    <x:t>- - - - - Nuclear imaging study of wrist joint</x:t>
  </x:si>
  <x:si>
    <x:t>http://id.who.int/icd/entity/1916931008</x:t>
  </x:si>
  <x:si>
    <x:t>http://id.who.int/icd/release/11/beta/ichi/1916931008</x:t>
  </x:si>
  <x:si>
    <x:t>MFJ.BA.BH</x:t>
  </x:si>
  <x:si>
    <x:t>- - - - - Magnetic resonance imaging of wrist joint, not elsewhere classified</x:t>
  </x:si>
  <x:si>
    <x:t>http://id.who.int/icd/entity/1560473968</x:t>
  </x:si>
  <x:si>
    <x:t>http://id.who.int/icd/release/11/beta/ichi/1560473968</x:t>
  </x:si>
  <x:si>
    <x:t>MFJ.BA.BI</x:t>
  </x:si>
  <x:si>
    <x:t>- - - - - Magnetic resonance imaging of wrist joint with intravenous contrast</x:t>
  </x:si>
  <x:si>
    <x:t>http://id.who.int/icd/entity/763386595</x:t>
  </x:si>
  <x:si>
    <x:t>http://id.who.int/icd/release/11/beta/ichi/763386595</x:t>
  </x:si>
  <x:si>
    <x:t>MFJ.BA.BJ</x:t>
  </x:si>
  <x:si>
    <x:t>- - - - - Ultrasound of wrist joint</x:t>
  </x:si>
  <x:si>
    <x:t>http://id.who.int/icd/entity/463636174</x:t>
  </x:si>
  <x:si>
    <x:t>http://id.who.int/icd/release/11/beta/ichi/463636174</x:t>
  </x:si>
  <x:si>
    <x:t>MFJ.DB.AE</x:t>
  </x:si>
  <x:si>
    <x:t>- - - - - Injection into wrist joint</x:t>
  </x:si>
  <x:si>
    <x:t>http://id.who.int/icd/entity/182560442</x:t>
  </x:si>
  <x:si>
    <x:t>http://id.who.int/icd/release/11/beta/ichi/182560442</x:t>
  </x:si>
  <x:si>
    <x:t>MFJ.DC.AE</x:t>
  </x:si>
  <x:si>
    <x:t>- - - - - Injection of anaesthesia into wrist joint</x:t>
  </x:si>
  <x:si>
    <x:t>http://id.who.int/icd/entity/1479990930</x:t>
  </x:si>
  <x:si>
    <x:t>http://id.who.int/icd/release/11/beta/ichi/1479990930</x:t>
  </x:si>
  <x:si>
    <x:t>MFJ.DN.AA</x:t>
  </x:si>
  <x:si>
    <x:t>- - - - - Implantation of device into wrist joint</x:t>
  </x:si>
  <x:si>
    <x:t>http://id.who.int/icd/entity/302660091</x:t>
  </x:si>
  <x:si>
    <x:t>http://id.who.int/icd/release/11/beta/ichi/302660091</x:t>
  </x:si>
  <x:si>
    <x:t>MFJ.FA.AA</x:t>
  </x:si>
  <x:si>
    <x:t>- - - - - Arthrotomy of wrist joint</x:t>
  </x:si>
  <x:si>
    <x:t>http://id.who.int/icd/entity/972510571</x:t>
  </x:si>
  <x:si>
    <x:t>http://id.who.int/icd/release/11/beta/ichi/972510571</x:t>
  </x:si>
  <x:si>
    <x:t>MFJ.FB.AA</x:t>
  </x:si>
  <x:si>
    <x:t>- - - - - Division of joint capsule or cartilage of wrist</x:t>
  </x:si>
  <x:si>
    <x:t>http://id.who.int/icd/entity/1838590614</x:t>
  </x:si>
  <x:si>
    <x:t>http://id.who.int/icd/release/11/beta/ichi/1838590614</x:t>
  </x:si>
  <x:si>
    <x:t>MFJ.FC.AA</x:t>
  </x:si>
  <x:si>
    <x:t>- - - - - Release of wrist joint</x:t>
  </x:si>
  <x:si>
    <x:t>http://id.who.int/icd/entity/1462298226</x:t>
  </x:si>
  <x:si>
    <x:t>http://id.who.int/icd/release/11/beta/ichi/1462298226</x:t>
  </x:si>
  <x:si>
    <x:t>MFJ.FC.AB</x:t>
  </x:si>
  <x:si>
    <x:t>- - - - - Arthroscopic release of wrist joint</x:t>
  </x:si>
  <x:si>
    <x:t>http://id.who.int/icd/entity/837658402</x:t>
  </x:si>
  <x:si>
    <x:t>http://id.who.int/icd/release/11/beta/ichi/837658402</x:t>
  </x:si>
  <x:si>
    <x:t>MFJ.GA.AA</x:t>
  </x:si>
  <x:si>
    <x:t>- - - - - Destruction of lesion or tissue of wrist joint</x:t>
  </x:si>
  <x:si>
    <x:t>http://id.who.int/icd/entity/1637252755</x:t>
  </x:si>
  <x:si>
    <x:t>http://id.who.int/icd/release/11/beta/ichi/1637252755</x:t>
  </x:si>
  <x:si>
    <x:t>MFJ.JB.AA</x:t>
  </x:si>
  <x:si>
    <x:t>- - - - - Drainage of wrist joint</x:t>
  </x:si>
  <x:si>
    <x:t>http://id.who.int/icd/entity/1045704624</x:t>
  </x:si>
  <x:si>
    <x:t>http://id.who.int/icd/release/11/beta/ichi/1045704624</x:t>
  </x:si>
  <x:si>
    <x:t>MFJ.JB.AB</x:t>
  </x:si>
  <x:si>
    <x:t>- - - - - Arthroscopic drainage of wrist joint</x:t>
  </x:si>
  <x:si>
    <x:t>http://id.who.int/icd/entity/363414304</x:t>
  </x:si>
  <x:si>
    <x:t>http://id.who.int/icd/release/11/beta/ichi/363414304</x:t>
  </x:si>
  <x:si>
    <x:t>MFJ.JB.AE</x:t>
  </x:si>
  <x:si>
    <x:t>- - - - - Percutaneous drainage of wrist joint</x:t>
  </x:si>
  <x:si>
    <x:t>http://id.who.int/icd/entity/1273146307</x:t>
  </x:si>
  <x:si>
    <x:t>http://id.who.int/icd/release/11/beta/ichi/1273146307</x:t>
  </x:si>
  <x:si>
    <x:t>MFJ.JD.AA</x:t>
  </x:si>
  <x:si>
    <x:t>- - - - - Removal of internal device or foreign body from wrist joint</x:t>
  </x:si>
  <x:si>
    <x:t>http://id.who.int/icd/entity/886671580</x:t>
  </x:si>
  <x:si>
    <x:t>http://id.who.int/icd/release/11/beta/ichi/886671580</x:t>
  </x:si>
  <x:si>
    <x:t>MFJ.JD.AB</x:t>
  </x:si>
  <x:si>
    <x:t>- - - - - Arthroscopic removal of implanted device and foreign body from wrist joint</x:t>
  </x:si>
  <x:si>
    <x:t>http://id.who.int/icd/entity/522511436</x:t>
  </x:si>
  <x:si>
    <x:t>http://id.who.int/icd/release/11/beta/ichi/522511436</x:t>
  </x:si>
  <x:si>
    <x:t>MFJ.JD.AH</x:t>
  </x:si>
  <x:si>
    <x:t>- - - - - Removal of internal device or foreign body from wrist joint without incision</x:t>
  </x:si>
  <x:si>
    <x:t>http://id.who.int/icd/entity/822632370</x:t>
  </x:si>
  <x:si>
    <x:t>http://id.who.int/icd/release/11/beta/ichi/822632370</x:t>
  </x:si>
  <x:si>
    <x:t>MFJ.JG.AA</x:t>
  </x:si>
  <x:si>
    <x:t>- - - - - Debridement of wrist joint</x:t>
  </x:si>
  <x:si>
    <x:t>http://id.who.int/icd/entity/1858735761</x:t>
  </x:si>
  <x:si>
    <x:t>http://id.who.int/icd/release/11/beta/ichi/1858735761</x:t>
  </x:si>
  <x:si>
    <x:t>MFJ.JG.AE</x:t>
  </x:si>
  <x:si>
    <x:t>- - - - - Arthroscopic debridement of wrist joint</x:t>
  </x:si>
  <x:si>
    <x:t>http://id.who.int/icd/entity/1161257473</x:t>
  </x:si>
  <x:si>
    <x:t>http://id.who.int/icd/release/11/beta/ichi/1161257473</x:t>
  </x:si>
  <x:si>
    <x:t>MFJ.JI.AA</x:t>
  </x:si>
  <x:si>
    <x:t>- - - - - Local excision of lesion of wrist joint</x:t>
  </x:si>
  <x:si>
    <x:t>http://id.who.int/icd/entity/2113967911</x:t>
  </x:si>
  <x:si>
    <x:t>http://id.who.int/icd/release/11/beta/ichi/2113967911</x:t>
  </x:si>
  <x:si>
    <x:t>MFJ.JJ.AA</x:t>
  </x:si>
  <x:si>
    <x:t>- - - - - Partial excision of wrist joint</x:t>
  </x:si>
  <x:si>
    <x:t>http://id.who.int/icd/entity/348455538</x:t>
  </x:si>
  <x:si>
    <x:t>http://id.who.int/icd/release/11/beta/ichi/348455538</x:t>
  </x:si>
  <x:si>
    <x:t>MFJ.JJ.AB</x:t>
  </x:si>
  <x:si>
    <x:t>- - - - - Arthroscopic partial excision of wrist joint</x:t>
  </x:si>
  <x:si>
    <x:t>http://id.who.int/icd/entity/1801031967</x:t>
  </x:si>
  <x:si>
    <x:t>http://id.who.int/icd/release/11/beta/ichi/1801031967</x:t>
  </x:si>
  <x:si>
    <x:t>MFJ.JN.AA</x:t>
  </x:si>
  <x:si>
    <x:t>- - - - - Disarticulation of wrist joint</x:t>
  </x:si>
  <x:si>
    <x:t>http://id.who.int/icd/entity/1135869886</x:t>
  </x:si>
  <x:si>
    <x:t>http://id.who.int/icd/release/11/beta/ichi/1135869886</x:t>
  </x:si>
  <x:si>
    <x:t>MFJ.KA.AA</x:t>
  </x:si>
  <x:si>
    <x:t>- - - - - Replacement of wrist joint device</x:t>
  </x:si>
  <x:si>
    <x:t>http://id.who.int/icd/entity/1084554639</x:t>
  </x:si>
  <x:si>
    <x:t>http://id.who.int/icd/release/11/beta/ichi/1084554639</x:t>
  </x:si>
  <x:si>
    <x:t>MFJ.KD.AB</x:t>
  </x:si>
  <x:si>
    <x:t>- - - - - Arthroscopic transplantation of chondrocyte cells of wrist joint</x:t>
  </x:si>
  <x:si>
    <x:t>http://id.who.int/icd/entity/342012416</x:t>
  </x:si>
  <x:si>
    <x:t>http://id.who.int/icd/release/11/beta/ichi/342012416</x:t>
  </x:si>
  <x:si>
    <x:t>MFJ.KD.AE</x:t>
  </x:si>
  <x:si>
    <x:t>- - - - - Percutaneous transplantation of chondrocyte cells of wrist joint</x:t>
  </x:si>
  <x:si>
    <x:t>http://id.who.int/icd/entity/32968264</x:t>
  </x:si>
  <x:si>
    <x:t>http://id.who.int/icd/release/11/beta/ichi/32968264</x:t>
  </x:si>
  <x:si>
    <x:t>MFJ.LB.AA</x:t>
  </x:si>
  <x:si>
    <x:t>- - - - - Wrist reattachment</x:t>
  </x:si>
  <x:si>
    <x:t>http://id.who.int/icd/entity/705323736</x:t>
  </x:si>
  <x:si>
    <x:t>http://id.who.int/icd/release/11/beta/ichi/705323736</x:t>
  </x:si>
  <x:si>
    <x:t>MFJ.LC.AA</x:t>
  </x:si>
  <x:si>
    <x:t>- - - - - Stabilisation of wrist joint</x:t>
  </x:si>
  <x:si>
    <x:t>http://id.who.int/icd/entity/994656928</x:t>
  </x:si>
  <x:si>
    <x:t>http://id.who.int/icd/release/11/beta/ichi/994656928</x:t>
  </x:si>
  <x:si>
    <x:t>MFJ.LC.AH</x:t>
  </x:si>
  <x:si>
    <x:t>- - - - - Application of external immobilisation device of wrist joint</x:t>
  </x:si>
  <x:si>
    <x:t>http://id.who.int/icd/entity/1325385427</x:t>
  </x:si>
  <x:si>
    <x:t>http://id.who.int/icd/release/11/beta/ichi/1325385427</x:t>
  </x:si>
  <x:si>
    <x:t>MFJ.LD.AA</x:t>
  </x:si>
  <x:si>
    <x:t>- - - - - Open reduction of wrist joint</x:t>
  </x:si>
  <x:si>
    <x:t>http://id.who.int/icd/entity/545768892</x:t>
  </x:si>
  <x:si>
    <x:t>http://id.who.int/icd/release/11/beta/ichi/545768892</x:t>
  </x:si>
  <x:si>
    <x:t>MFJ.LD.AH</x:t>
  </x:si>
  <x:si>
    <x:t>- - - - - Closed reduction of wrist joint</x:t>
  </x:si>
  <x:si>
    <x:t>http://id.who.int/icd/entity/1950452277</x:t>
  </x:si>
  <x:si>
    <x:t>http://id.who.int/icd/release/11/beta/ichi/1950452277</x:t>
  </x:si>
  <x:si>
    <x:t>MFJ.LE.AA</x:t>
  </x:si>
  <x:si>
    <x:t>- - - - - Arthrodesis of wrist</x:t>
  </x:si>
  <x:si>
    <x:t>http://id.who.int/icd/entity/469268577</x:t>
  </x:si>
  <x:si>
    <x:t>http://id.who.int/icd/release/11/beta/ichi/469268577</x:t>
  </x:si>
  <x:si>
    <x:t>MFJ.LE.AB</x:t>
  </x:si>
  <x:si>
    <x:t>- - - - - Arthroscopic arthrodesis of wrist</x:t>
  </x:si>
  <x:si>
    <x:t>http://id.who.int/icd/entity/1905286491</x:t>
  </x:si>
  <x:si>
    <x:t>http://id.who.int/icd/release/11/beta/ichi/1905286491</x:t>
  </x:si>
  <x:si>
    <x:t>MFJ.MK.AA</x:t>
  </x:si>
  <x:si>
    <x:t>- - - - - Repair of wrist joint, not elsewhere classified</x:t>
  </x:si>
  <x:si>
    <x:t>http://id.who.int/icd/entity/1517105611</x:t>
  </x:si>
  <x:si>
    <x:t>http://id.who.int/icd/release/11/beta/ichi/1517105611</x:t>
  </x:si>
  <x:si>
    <x:t>MFJ.MK.AB</x:t>
  </x:si>
  <x:si>
    <x:t>- - - - - Arthroscopic repair of wrist joint, not elsewhere classified</x:t>
  </x:si>
  <x:si>
    <x:t>http://id.who.int/icd/entity/1261310397</x:t>
  </x:si>
  <x:si>
    <x:t>http://id.who.int/icd/release/11/beta/ichi/1261310397</x:t>
  </x:si>
  <x:si>
    <x:t>MFJ.PA.ZZ</x:t>
  </x:si>
  <x:si>
    <x:t>- - - - - Manipulation of wrist joint</x:t>
  </x:si>
  <x:si>
    <x:t>http://id.who.int/icd/entity/2065562167</x:t>
  </x:si>
  <x:si>
    <x:t>http://id.who.int/icd/release/11/beta/ichi/2065562167</x:t>
  </x:si>
  <x:si>
    <x:t>MFJ.PB.ZZ</x:t>
  </x:si>
  <x:si>
    <x:t>- - - - - Mobilisation of wrist joint</x:t>
  </x:si>
  <x:si>
    <x:t>http://id.who.int/icd/entity/1880745115</x:t>
  </x:si>
  <x:si>
    <x:t>http://id.who.int/icd/release/11/beta/ichi/1880745115</x:t>
  </x:si>
  <x:si>
    <x:t>MFL.FB.AA</x:t>
  </x:si>
  <x:si>
    <x:t>- - - - - Division of ligament of wrist</x:t>
  </x:si>
  <x:si>
    <x:t>http://id.who.int/icd/entity/1633338605</x:t>
  </x:si>
  <x:si>
    <x:t>http://id.who.int/icd/release/11/beta/ichi/1633338605</x:t>
  </x:si>
  <x:si>
    <x:t>MFL.FC.AA</x:t>
  </x:si>
  <x:si>
    <x:t>- - - - - Release of ligament or fascia of wrist</x:t>
  </x:si>
  <x:si>
    <x:t>http://id.who.int/icd/entity/1850014735</x:t>
  </x:si>
  <x:si>
    <x:t>http://id.who.int/icd/release/11/beta/ichi/1850014735</x:t>
  </x:si>
  <x:si>
    <x:t>MFL.JI.AA</x:t>
  </x:si>
  <x:si>
    <x:t>- - - - - Local excision of lesion of ligament or fascia of wrist</x:t>
  </x:si>
  <x:si>
    <x:t>http://id.who.int/icd/entity/1448946281</x:t>
  </x:si>
  <x:si>
    <x:t>http://id.who.int/icd/release/11/beta/ichi/1448946281</x:t>
  </x:si>
  <x:si>
    <x:t>MFL.JJ.AA</x:t>
  </x:si>
  <x:si>
    <x:t>- - - - - Excision of ligament or fascia of wrist</x:t>
  </x:si>
  <x:si>
    <x:t>http://id.who.int/icd/entity/1870478776</x:t>
  </x:si>
  <x:si>
    <x:t>http://id.who.int/icd/release/11/beta/ichi/1870478776</x:t>
  </x:si>
  <x:si>
    <x:t>MFL.JJ.AB</x:t>
  </x:si>
  <x:si>
    <x:t>- - - - - Arthroscopic excision of ligament or fascia of wrist</x:t>
  </x:si>
  <x:si>
    <x:t>http://id.who.int/icd/entity/830909742</x:t>
  </x:si>
  <x:si>
    <x:t>http://id.who.int/icd/release/11/beta/ichi/830909742</x:t>
  </x:si>
  <x:si>
    <x:t>MFL.LB.AA</x:t>
  </x:si>
  <x:si>
    <x:t>- - - - - Reattachment of ligament or fascia of wrist</x:t>
  </x:si>
  <x:si>
    <x:t>http://id.who.int/icd/entity/1644000413</x:t>
  </x:si>
  <x:si>
    <x:t>http://id.who.int/icd/release/11/beta/ichi/1644000413</x:t>
  </x:si>
  <x:si>
    <x:t>MFL.LB.AB</x:t>
  </x:si>
  <x:si>
    <x:t>- - - - - Arthroscopic reattachment of ligament or fascia of wrist</x:t>
  </x:si>
  <x:si>
    <x:t>http://id.who.int/icd/entity/1321578011</x:t>
  </x:si>
  <x:si>
    <x:t>http://id.who.int/icd/release/11/beta/ichi/1321578011</x:t>
  </x:si>
  <x:si>
    <x:t>MFL.LC.AB</x:t>
  </x:si>
  <x:si>
    <x:t>- - - - - Arthroscopic stabilisation of ligament or fascia of wrist</x:t>
  </x:si>
  <x:si>
    <x:t>http://id.who.int/icd/entity/1170321591</x:t>
  </x:si>
  <x:si>
    <x:t>http://id.who.int/icd/release/11/beta/ichi/1170321591</x:t>
  </x:si>
  <x:si>
    <x:t>MFL.ML.AA</x:t>
  </x:si>
  <x:si>
    <x:t>- - - - - Reconstruction of ligament or fascia of wrist</x:t>
  </x:si>
  <x:si>
    <x:t>http://id.who.int/icd/entity/1615989172</x:t>
  </x:si>
  <x:si>
    <x:t>http://id.who.int/icd/release/11/beta/ichi/1615989172</x:t>
  </x:si>
  <x:si>
    <x:t>MFM.JI.AA</x:t>
  </x:si>
  <x:si>
    <x:t>- - - - - Local excision of lesion of muscle of forearm</x:t>
  </x:si>
  <x:si>
    <x:t>http://id.who.int/icd/entity/285736762</x:t>
  </x:si>
  <x:si>
    <x:t>http://id.who.int/icd/release/11/beta/ichi/285736762</x:t>
  </x:si>
  <x:si>
    <x:t>MFM.ML.AA</x:t>
  </x:si>
  <x:si>
    <x:t>- - - - - Reconstruction of muscle of forearm</x:t>
  </x:si>
  <x:si>
    <x:t>http://id.who.int/icd/entity/1689353035</x:t>
  </x:si>
  <x:si>
    <x:t>http://id.who.int/icd/release/11/beta/ichi/1689353035</x:t>
  </x:si>
  <x:si>
    <x:t>MFT.FC.AA</x:t>
  </x:si>
  <x:si>
    <x:t>- - - - - Release of tendon of forearm or wrist joint</x:t>
  </x:si>
  <x:si>
    <x:t>http://id.who.int/icd/entity/1795748825</x:t>
  </x:si>
  <x:si>
    <x:t>http://id.who.int/icd/release/11/beta/ichi/1795748825</x:t>
  </x:si>
  <x:si>
    <x:t>MFT.JH.AA</x:t>
  </x:si>
  <x:si>
    <x:t>- - - - - Procurement of tendon of wrist for graft</x:t>
  </x:si>
  <x:si>
    <x:t>http://id.who.int/icd/entity/997403240</x:t>
  </x:si>
  <x:si>
    <x:t>http://id.who.int/icd/release/11/beta/ichi/997403240</x:t>
  </x:si>
  <x:si>
    <x:t>MFT.JI.AA</x:t>
  </x:si>
  <x:si>
    <x:t>- - - - - Local excision of lesion of tendon of forearm</x:t>
  </x:si>
  <x:si>
    <x:t>http://id.who.int/icd/entity/1859724471</x:t>
  </x:si>
  <x:si>
    <x:t>http://id.who.int/icd/release/11/beta/ichi/1859724471</x:t>
  </x:si>
  <x:si>
    <x:t>BlockL4-MGB</x:t>
  </x:si>
  <x:si>
    <x:t>- - - - Interventions on musculoskeletal structures of hand</x:t>
  </x:si>
  <x:si>
    <x:t>86</x:t>
  </x:si>
  <x:si>
    <x:t>http://id.who.int/icd/entity/509316924</x:t>
  </x:si>
  <x:si>
    <x:t>http://id.who.int/icd/release/11/beta/ichi/509316924</x:t>
  </x:si>
  <x:si>
    <x:t>MGB.AD.AA</x:t>
  </x:si>
  <x:si>
    <x:t>- - - - - Biopsy of carpal or metacarpal bone</x:t>
  </x:si>
  <x:si>
    <x:t>http://id.who.int/icd/entity/619037660</x:t>
  </x:si>
  <x:si>
    <x:t>http://id.who.int/icd/release/11/beta/ichi/619037660</x:t>
  </x:si>
  <x:si>
    <x:t>MGB.AD.AE</x:t>
  </x:si>
  <x:si>
    <x:t>- - - - - Needle biopsy of carpal or metacarpal bone</x:t>
  </x:si>
  <x:si>
    <x:t>http://id.who.int/icd/entity/1364412335</x:t>
  </x:si>
  <x:si>
    <x:t>http://id.who.int/icd/release/11/beta/ichi/1364412335</x:t>
  </x:si>
  <x:si>
    <x:t>MGB.BA.BA</x:t>
  </x:si>
  <x:si>
    <x:t>- - - - - X-ray of carpal or metacarpal</x:t>
  </x:si>
  <x:si>
    <x:t>http://id.who.int/icd/entity/19439136</x:t>
  </x:si>
  <x:si>
    <x:t>http://id.who.int/icd/release/11/beta/ichi/19439136</x:t>
  </x:si>
  <x:si>
    <x:t>MGB.DN.AA</x:t>
  </x:si>
  <x:si>
    <x:t>- - - - - Implantation of device into carpal or metacarpal</x:t>
  </x:si>
  <x:si>
    <x:t>http://id.who.int/icd/entity/1259633013</x:t>
  </x:si>
  <x:si>
    <x:t>http://id.who.int/icd/release/11/beta/ichi/1259633013</x:t>
  </x:si>
  <x:si>
    <x:t>MGB.DN.AE</x:t>
  </x:si>
  <x:si>
    <x:t>- - - - - Percutaneous implantation of device into carpal or metacarpal</x:t>
  </x:si>
  <x:si>
    <x:t>http://id.who.int/icd/entity/1375008735</x:t>
  </x:si>
  <x:si>
    <x:t>http://id.who.int/icd/release/11/beta/ichi/1375008735</x:t>
  </x:si>
  <x:si>
    <x:t>MGB.FA.AA</x:t>
  </x:si>
  <x:si>
    <x:t>- - - - - Incision of bone of carpal or metacarpal without division</x:t>
  </x:si>
  <x:si>
    <x:t>http://id.who.int/icd/entity/1525737843</x:t>
  </x:si>
  <x:si>
    <x:t>http://id.who.int/icd/release/11/beta/ichi/1525737843</x:t>
  </x:si>
  <x:si>
    <x:t>MGB.FB.AA</x:t>
  </x:si>
  <x:si>
    <x:t>- - - - - Division of bone of carpal or metacarpal</x:t>
  </x:si>
  <x:si>
    <x:t>http://id.who.int/icd/entity/1270073605</x:t>
  </x:si>
  <x:si>
    <x:t>http://id.who.int/icd/release/11/beta/ichi/1270073605</x:t>
  </x:si>
  <x:si>
    <x:t>MGB.JD.AA</x:t>
  </x:si>
  <x:si>
    <x:t>- - - - - Removal of internal device or foreign body from carpal or metacarpal</x:t>
  </x:si>
  <x:si>
    <x:t>http://id.who.int/icd/entity/995780742</x:t>
  </x:si>
  <x:si>
    <x:t>http://id.who.int/icd/release/11/beta/ichi/995780742</x:t>
  </x:si>
  <x:si>
    <x:t>MGB.JD.AH</x:t>
  </x:si>
  <x:si>
    <x:t>- - - - - Removal of internal device or foreign body from carpal or metacarpal without incision</x:t>
  </x:si>
  <x:si>
    <x:t>http://id.who.int/icd/entity/279381014</x:t>
  </x:si>
  <x:si>
    <x:t>http://id.who.int/icd/release/11/beta/ichi/279381014</x:t>
  </x:si>
  <x:si>
    <x:t>MGB.JG.AA</x:t>
  </x:si>
  <x:si>
    <x:t>- - - - - Debridement of carpal or metacarpal</x:t>
  </x:si>
  <x:si>
    <x:t>http://id.who.int/icd/entity/31728738</x:t>
  </x:si>
  <x:si>
    <x:t>http://id.who.int/icd/release/11/beta/ichi/31728738</x:t>
  </x:si>
  <x:si>
    <x:t>MGB.JH.AA</x:t>
  </x:si>
  <x:si>
    <x:t>- - - - - Procurement of carpal or metacarpal bone for graft</x:t>
  </x:si>
  <x:si>
    <x:t>http://id.who.int/icd/entity/288275928</x:t>
  </x:si>
  <x:si>
    <x:t>http://id.who.int/icd/release/11/beta/ichi/288275928</x:t>
  </x:si>
  <x:si>
    <x:t>MGB.JI.AA</x:t>
  </x:si>
  <x:si>
    <x:t>- - - - - Local excision of lesion of bone of carpal or metacarpal</x:t>
  </x:si>
  <x:si>
    <x:t>http://id.who.int/icd/entity/986960200</x:t>
  </x:si>
  <x:si>
    <x:t>http://id.who.int/icd/release/11/beta/ichi/986960200</x:t>
  </x:si>
  <x:si>
    <x:t>MGB.JJ.AA</x:t>
  </x:si>
  <x:si>
    <x:t>- - - - - Partial ostectomy of carpal or metacarpal</x:t>
  </x:si>
  <x:si>
    <x:t>http://id.who.int/icd/entity/191464206</x:t>
  </x:si>
  <x:si>
    <x:t>http://id.who.int/icd/release/11/beta/ichi/191464206</x:t>
  </x:si>
  <x:si>
    <x:t>MGB.JK.AA</x:t>
  </x:si>
  <x:si>
    <x:t>- - - - - Total ostectomy of carpal or metacarpal</x:t>
  </x:si>
  <x:si>
    <x:t>http://id.who.int/icd/entity/246961252</x:t>
  </x:si>
  <x:si>
    <x:t>http://id.who.int/icd/release/11/beta/ichi/246961252</x:t>
  </x:si>
  <x:si>
    <x:t>MGB.JN.AA</x:t>
  </x:si>
  <x:si>
    <x:t>- - - - - Amputation at metacarpal level or at phalanx level of hand</x:t>
  </x:si>
  <x:si>
    <x:t>http://id.who.int/icd/entity/1589874131</x:t>
  </x:si>
  <x:si>
    <x:t>http://id.who.int/icd/release/11/beta/ichi/1589874131</x:t>
  </x:si>
  <x:si>
    <x:t>MGB.LC.AE</x:t>
  </x:si>
  <x:si>
    <x:t>- - - - - Percutaneous application of external immobilisation device to carpal or metacarpal</x:t>
  </x:si>
  <x:si>
    <x:t>http://id.who.int/icd/entity/16899314</x:t>
  </x:si>
  <x:si>
    <x:t>http://id.who.int/icd/release/11/beta/ichi/16899314</x:t>
  </x:si>
  <x:si>
    <x:t>MGB.LC.AH</x:t>
  </x:si>
  <x:si>
    <x:t>- - - - - Application of external immobilisation device to carpal or metacarpal</x:t>
  </x:si>
  <x:si>
    <x:t>http://id.who.int/icd/entity/721203298</x:t>
  </x:si>
  <x:si>
    <x:t>http://id.who.int/icd/release/11/beta/ichi/721203298</x:t>
  </x:si>
  <x:si>
    <x:t>MGB.LD.AA</x:t>
  </x:si>
  <x:si>
    <x:t>- - - - - Open reduction of carpal or metacarpal</x:t>
  </x:si>
  <x:si>
    <x:t>http://id.who.int/icd/entity/1414408895</x:t>
  </x:si>
  <x:si>
    <x:t>http://id.who.int/icd/release/11/beta/ichi/1414408895</x:t>
  </x:si>
  <x:si>
    <x:t>MGB.LD.AH</x:t>
  </x:si>
  <x:si>
    <x:t>- - - - - Closed reduction of carpal or metacarpal</x:t>
  </x:si>
  <x:si>
    <x:t>http://id.who.int/icd/entity/2064568337</x:t>
  </x:si>
  <x:si>
    <x:t>http://id.who.int/icd/release/11/beta/ichi/2064568337</x:t>
  </x:si>
  <x:si>
    <x:t>MGB.LK.AA</x:t>
  </x:si>
  <x:si>
    <x:t>- - - - - Limb lengthening procedures of carpal or metacarpal</x:t>
  </x:si>
  <x:si>
    <x:t>http://id.who.int/icd/entity/1643011771</x:t>
  </x:si>
  <x:si>
    <x:t>http://id.who.int/icd/release/11/beta/ichi/1643011771</x:t>
  </x:si>
  <x:si>
    <x:t>MGB.LL.AA</x:t>
  </x:si>
  <x:si>
    <x:t>- - - - - Limb shortening procedures of carpal or metacarpal</x:t>
  </x:si>
  <x:si>
    <x:t>http://id.who.int/icd/entity/831883020</x:t>
  </x:si>
  <x:si>
    <x:t>http://id.who.int/icd/release/11/beta/ichi/831883020</x:t>
  </x:si>
  <x:si>
    <x:t>MGB.ML.AA</x:t>
  </x:si>
  <x:si>
    <x:t>- - - - - Bone graft to carpal or metacarpal</x:t>
  </x:si>
  <x:si>
    <x:t>http://id.who.int/icd/entity/2074697825</x:t>
  </x:si>
  <x:si>
    <x:t>http://id.who.int/icd/release/11/beta/ichi/2074697825</x:t>
  </x:si>
  <x:si>
    <x:t>MGJ.AD.AA</x:t>
  </x:si>
  <x:si>
    <x:t>- - - - - Biopsy of joint structure of finger or hand</x:t>
  </x:si>
  <x:si>
    <x:t>http://id.who.int/icd/entity/1510333663</x:t>
  </x:si>
  <x:si>
    <x:t>http://id.who.int/icd/release/11/beta/ichi/1510333663</x:t>
  </x:si>
  <x:si>
    <x:t>MGJ.AD.AB</x:t>
  </x:si>
  <x:si>
    <x:t>- - - - - Arthroscopic biopsy of joint structure of finger or hand</x:t>
  </x:si>
  <x:si>
    <x:t>http://id.who.int/icd/entity/1912123471</x:t>
  </x:si>
  <x:si>
    <x:t>http://id.who.int/icd/release/11/beta/ichi/1912123471</x:t>
  </x:si>
  <x:si>
    <x:t>MGJ.AD.AE</x:t>
  </x:si>
  <x:si>
    <x:t>- - - - - Needle biopsy of joint structure of finger or hand</x:t>
  </x:si>
  <x:si>
    <x:t>http://id.who.int/icd/entity/1622904889</x:t>
  </x:si>
  <x:si>
    <x:t>http://id.who.int/icd/release/11/beta/ichi/1622904889</x:t>
  </x:si>
  <x:si>
    <x:t>MGJ.AE.AB</x:t>
  </x:si>
  <x:si>
    <x:t>- - - - - Arthroscopy of finger or hand joint</x:t>
  </x:si>
  <x:si>
    <x:t>http://id.who.int/icd/entity/353178698</x:t>
  </x:si>
  <x:si>
    <x:t>http://id.who.int/icd/release/11/beta/ichi/353178698</x:t>
  </x:si>
  <x:si>
    <x:t>MGJ.BA.BA</x:t>
  </x:si>
  <x:si>
    <x:t>- - - - - X-ray of finger or hand joint</x:t>
  </x:si>
  <x:si>
    <x:t>http://id.who.int/icd/entity/1338210611</x:t>
  </x:si>
  <x:si>
    <x:t>http://id.who.int/icd/release/11/beta/ichi/1338210611</x:t>
  </x:si>
  <x:si>
    <x:t>MGJ.DB.AE</x:t>
  </x:si>
  <x:si>
    <x:t>- - - - - Injection into finger or hand joint</x:t>
  </x:si>
  <x:si>
    <x:t>http://id.who.int/icd/entity/2058336073</x:t>
  </x:si>
  <x:si>
    <x:t>http://id.who.int/icd/release/11/beta/ichi/2058336073</x:t>
  </x:si>
  <x:si>
    <x:t>MGJ.DC.AE</x:t>
  </x:si>
  <x:si>
    <x:t>- - - - - Injection of anaesthesia into finger or hand joint</x:t>
  </x:si>
  <x:si>
    <x:t>http://id.who.int/icd/entity/1165413883</x:t>
  </x:si>
  <x:si>
    <x:t>http://id.who.int/icd/release/11/beta/ichi/1165413883</x:t>
  </x:si>
  <x:si>
    <x:t>MGJ.DN.AA</x:t>
  </x:si>
  <x:si>
    <x:t>- - - - - Implantation of device into finger or hand joint</x:t>
  </x:si>
  <x:si>
    <x:t>http://id.who.int/icd/entity/448044248</x:t>
  </x:si>
  <x:si>
    <x:t>http://id.who.int/icd/release/11/beta/ichi/448044248</x:t>
  </x:si>
  <x:si>
    <x:t>MGJ.FA.AA</x:t>
  </x:si>
  <x:si>
    <x:t>- - - - - Arthrotomy of finger or hand joint</x:t>
  </x:si>
  <x:si>
    <x:t>http://id.who.int/icd/entity/1327403527</x:t>
  </x:si>
  <x:si>
    <x:t>http://id.who.int/icd/release/11/beta/ichi/1327403527</x:t>
  </x:si>
  <x:si>
    <x:t>MGJ.FB.AA</x:t>
  </x:si>
  <x:si>
    <x:t>- - - - - Division of joint capsule or cartilage of finger or hand</x:t>
  </x:si>
  <x:si>
    <x:t>http://id.who.int/icd/entity/526732214</x:t>
  </x:si>
  <x:si>
    <x:t>http://id.who.int/icd/release/11/beta/ichi/526732214</x:t>
  </x:si>
  <x:si>
    <x:t>MGJ.FC.AA</x:t>
  </x:si>
  <x:si>
    <x:t>- - - - - Release of finger or hand joint</x:t>
  </x:si>
  <x:si>
    <x:t>http://id.who.int/icd/entity/282903332</x:t>
  </x:si>
  <x:si>
    <x:t>http://id.who.int/icd/release/11/beta/ichi/282903332</x:t>
  </x:si>
  <x:si>
    <x:t>MGJ.FC.AB</x:t>
  </x:si>
  <x:si>
    <x:t>- - - - - Arthroscopic release of finger or hand joint</x:t>
  </x:si>
  <x:si>
    <x:t>http://id.who.int/icd/entity/1464978</x:t>
  </x:si>
  <x:si>
    <x:t>http://id.who.int/icd/release/11/beta/ichi/1464978</x:t>
  </x:si>
  <x:si>
    <x:t>MGJ.GA.AA</x:t>
  </x:si>
  <x:si>
    <x:t>- - - - - Destruction of lesion or tissue of finger or hand joint</x:t>
  </x:si>
  <x:si>
    <x:t>http://id.who.int/icd/entity/736835074</x:t>
  </x:si>
  <x:si>
    <x:t>http://id.who.int/icd/release/11/beta/ichi/736835074</x:t>
  </x:si>
  <x:si>
    <x:t>MGJ.JB.AA</x:t>
  </x:si>
  <x:si>
    <x:t>- - - - - Drainage of finger or hand joint</x:t>
  </x:si>
  <x:si>
    <x:t>http://id.who.int/icd/entity/984094326</x:t>
  </x:si>
  <x:si>
    <x:t>http://id.who.int/icd/release/11/beta/ichi/984094326</x:t>
  </x:si>
  <x:si>
    <x:t>MGJ.JB.AE</x:t>
  </x:si>
  <x:si>
    <x:t>- - - - - Percutaneous drainage of finger or hand joint</x:t>
  </x:si>
  <x:si>
    <x:t>http://id.who.int/icd/entity/1161069851</x:t>
  </x:si>
  <x:si>
    <x:t>http://id.who.int/icd/release/11/beta/ichi/1161069851</x:t>
  </x:si>
  <x:si>
    <x:t>MGJ.JD.AA</x:t>
  </x:si>
  <x:si>
    <x:t>- - - - - Removal of internal device or foreign body from finger or hand joint</x:t>
  </x:si>
  <x:si>
    <x:t>http://id.who.int/icd/entity/1311808439</x:t>
  </x:si>
  <x:si>
    <x:t>http://id.who.int/icd/release/11/beta/ichi/1311808439</x:t>
  </x:si>
  <x:si>
    <x:t>MGJ.JD.AB</x:t>
  </x:si>
  <x:si>
    <x:t>- - - - - Arthroscopic removal of internal device or foreign body from finger or hand joint</x:t>
  </x:si>
  <x:si>
    <x:t>http://id.who.int/icd/entity/452383802</x:t>
  </x:si>
  <x:si>
    <x:t>http://id.who.int/icd/release/11/beta/ichi/452383802</x:t>
  </x:si>
  <x:si>
    <x:t>MGJ.JD.AH</x:t>
  </x:si>
  <x:si>
    <x:t>- - - - - Removal of internal device or foreign body from finger or hand joint, without incision</x:t>
  </x:si>
  <x:si>
    <x:t>http://id.who.int/icd/entity/2145502195</x:t>
  </x:si>
  <x:si>
    <x:t>http://id.who.int/icd/release/11/beta/ichi/2145502195</x:t>
  </x:si>
  <x:si>
    <x:t>MGJ.JG.AA</x:t>
  </x:si>
  <x:si>
    <x:t>- - - - - Debridement of finger or hand joint</x:t>
  </x:si>
  <x:si>
    <x:t>http://id.who.int/icd/entity/539202258</x:t>
  </x:si>
  <x:si>
    <x:t>http://id.who.int/icd/release/11/beta/ichi/539202258</x:t>
  </x:si>
  <x:si>
    <x:t>MGJ.JI.AA</x:t>
  </x:si>
  <x:si>
    <x:t>- - - - - Local excision of lesion of finger or hand joint</x:t>
  </x:si>
  <x:si>
    <x:t>http://id.who.int/icd/entity/1884834657</x:t>
  </x:si>
  <x:si>
    <x:t>http://id.who.int/icd/release/11/beta/ichi/1884834657</x:t>
  </x:si>
  <x:si>
    <x:t>MGJ.JJ.AA</x:t>
  </x:si>
  <x:si>
    <x:t>- - - - - Partial excision of finger or hand joint</x:t>
  </x:si>
  <x:si>
    <x:t>http://id.who.int/icd/entity/1435834019</x:t>
  </x:si>
  <x:si>
    <x:t>http://id.who.int/icd/release/11/beta/ichi/1435834019</x:t>
  </x:si>
  <x:si>
    <x:t>MGJ.JJ.AB</x:t>
  </x:si>
  <x:si>
    <x:t>- - - - - Arthroscopic partial excision of joint of finger or hand joint</x:t>
  </x:si>
  <x:si>
    <x:t>http://id.who.int/icd/entity/1865112133</x:t>
  </x:si>
  <x:si>
    <x:t>http://id.who.int/icd/release/11/beta/ichi/1865112133</x:t>
  </x:si>
  <x:si>
    <x:t>MGJ.JN.AA</x:t>
  </x:si>
  <x:si>
    <x:t>- - - - - Disarticulation of finger or hand joint</x:t>
  </x:si>
  <x:si>
    <x:t>http://id.who.int/icd/entity/1290768316</x:t>
  </x:si>
  <x:si>
    <x:t>http://id.who.int/icd/release/11/beta/ichi/1290768316</x:t>
  </x:si>
  <x:si>
    <x:t>MGJ.KA.AA</x:t>
  </x:si>
  <x:si>
    <x:t>- - - - - Replacement of finger or hand joint device</x:t>
  </x:si>
  <x:si>
    <x:t>http://id.who.int/icd/entity/981554332</x:t>
  </x:si>
  <x:si>
    <x:t>http://id.who.int/icd/release/11/beta/ichi/981554332</x:t>
  </x:si>
  <x:si>
    <x:t>MGJ.LC.AE</x:t>
  </x:si>
  <x:si>
    <x:t>- - - - - Percutaneous application of external immobilisation device to finger or hand joint</x:t>
  </x:si>
  <x:si>
    <x:t>http://id.who.int/icd/entity/1794805035</x:t>
  </x:si>
  <x:si>
    <x:t>http://id.who.int/icd/release/11/beta/ichi/1794805035</x:t>
  </x:si>
  <x:si>
    <x:t>MGJ.LC.AH</x:t>
  </x:si>
  <x:si>
    <x:t>- - - - - Application of external immobilisation device to finger or hand joint</x:t>
  </x:si>
  <x:si>
    <x:t>http://id.who.int/icd/entity/892918794</x:t>
  </x:si>
  <x:si>
    <x:t>http://id.who.int/icd/release/11/beta/ichi/892918794</x:t>
  </x:si>
  <x:si>
    <x:t>MGJ.LD.AA</x:t>
  </x:si>
  <x:si>
    <x:t>- - - - - Open reduction of finger or hand joint</x:t>
  </x:si>
  <x:si>
    <x:t>http://id.who.int/icd/entity/1044169380</x:t>
  </x:si>
  <x:si>
    <x:t>http://id.who.int/icd/release/11/beta/ichi/1044169380</x:t>
  </x:si>
  <x:si>
    <x:t>MGJ.LD.AH</x:t>
  </x:si>
  <x:si>
    <x:t>- - - - - Closed reduction of finger or hand joint</x:t>
  </x:si>
  <x:si>
    <x:t>http://id.who.int/icd/entity/1584722079</x:t>
  </x:si>
  <x:si>
    <x:t>http://id.who.int/icd/release/11/beta/ichi/1584722079</x:t>
  </x:si>
  <x:si>
    <x:t>MGJ.LE.AA</x:t>
  </x:si>
  <x:si>
    <x:t>- - - - - Arthrodesis of finger or hand</x:t>
  </x:si>
  <x:si>
    <x:t>http://id.who.int/icd/entity/179486480</x:t>
  </x:si>
  <x:si>
    <x:t>http://id.who.int/icd/release/11/beta/ichi/179486480</x:t>
  </x:si>
  <x:si>
    <x:t>MGJ.MK.AA</x:t>
  </x:si>
  <x:si>
    <x:t>- - - - - Repair of finger or hand joint</x:t>
  </x:si>
  <x:si>
    <x:t>http://id.who.int/icd/entity/273822140</x:t>
  </x:si>
  <x:si>
    <x:t>http://id.who.int/icd/release/11/beta/ichi/273822140</x:t>
  </x:si>
  <x:si>
    <x:t>MGJ.PA.ZZ</x:t>
  </x:si>
  <x:si>
    <x:t>- - - - - Manipulation of finger or hand joint</x:t>
  </x:si>
  <x:si>
    <x:t>http://id.who.int/icd/entity/535542058</x:t>
  </x:si>
  <x:si>
    <x:t>http://id.who.int/icd/release/11/beta/ichi/535542058</x:t>
  </x:si>
  <x:si>
    <x:t>MGJ.PB.ZZ</x:t>
  </x:si>
  <x:si>
    <x:t>- - - - - Mobilisation of finger or hand joint</x:t>
  </x:si>
  <x:si>
    <x:t>http://id.who.int/icd/entity/1905506881</x:t>
  </x:si>
  <x:si>
    <x:t>http://id.who.int/icd/release/11/beta/ichi/1905506881</x:t>
  </x:si>
  <x:si>
    <x:t>MGL.FA.AA</x:t>
  </x:si>
  <x:si>
    <x:t>- - - - - Incision of ligament or fascia of hand or finger</x:t>
  </x:si>
  <x:si>
    <x:t>http://id.who.int/icd/entity/330328991</x:t>
  </x:si>
  <x:si>
    <x:t>http://id.who.int/icd/release/11/beta/ichi/330328991</x:t>
  </x:si>
  <x:si>
    <x:t>MGL.FB.AA</x:t>
  </x:si>
  <x:si>
    <x:t>- - - - - Division of ligament or fascia of hand or finger</x:t>
  </x:si>
  <x:si>
    <x:t>http://id.who.int/icd/entity/1282554556</x:t>
  </x:si>
  <x:si>
    <x:t>http://id.who.int/icd/release/11/beta/ichi/1282554556</x:t>
  </x:si>
  <x:si>
    <x:t>MGL.FC.AA</x:t>
  </x:si>
  <x:si>
    <x:t>- - - - - Release of ligament or fascia of hand or finger</x:t>
  </x:si>
  <x:si>
    <x:t>http://id.who.int/icd/entity/214137531</x:t>
  </x:si>
  <x:si>
    <x:t>http://id.who.int/icd/release/11/beta/ichi/214137531</x:t>
  </x:si>
  <x:si>
    <x:t>MGL.JH.AA</x:t>
  </x:si>
  <x:si>
    <x:t>- - - - - Procurement of ligament or fascia of hand or finger for graft</x:t>
  </x:si>
  <x:si>
    <x:t>http://id.who.int/icd/entity/2084688184</x:t>
  </x:si>
  <x:si>
    <x:t>http://id.who.int/icd/release/11/beta/ichi/2084688184</x:t>
  </x:si>
  <x:si>
    <x:t>MGL.JI.AA</x:t>
  </x:si>
  <x:si>
    <x:t>- - - - - Local excision of lesion of ligament or fascia of hand or finger</x:t>
  </x:si>
  <x:si>
    <x:t>http://id.who.int/icd/entity/595820565</x:t>
  </x:si>
  <x:si>
    <x:t>http://id.who.int/icd/release/11/beta/ichi/595820565</x:t>
  </x:si>
  <x:si>
    <x:t>MGL.JJ.AA</x:t>
  </x:si>
  <x:si>
    <x:t>- - - - - Excision of ligament or fascia of hand or finger</x:t>
  </x:si>
  <x:si>
    <x:t>http://id.who.int/icd/entity/866967859</x:t>
  </x:si>
  <x:si>
    <x:t>http://id.who.int/icd/release/11/beta/ichi/866967859</x:t>
  </x:si>
  <x:si>
    <x:t>MGL.MK.AA</x:t>
  </x:si>
  <x:si>
    <x:t>- - - - - Suture of ligament or fascia of hand or finger</x:t>
  </x:si>
  <x:si>
    <x:t>http://id.who.int/icd/entity/407997859</x:t>
  </x:si>
  <x:si>
    <x:t>http://id.who.int/icd/release/11/beta/ichi/407997859</x:t>
  </x:si>
  <x:si>
    <x:t>MGL.ML.AA</x:t>
  </x:si>
  <x:si>
    <x:t>- - - - - Reconstruction of ligament or fascia of hand or finger</x:t>
  </x:si>
  <x:si>
    <x:t>http://id.who.int/icd/entity/152219093</x:t>
  </x:si>
  <x:si>
    <x:t>http://id.who.int/icd/release/11/beta/ichi/152219093</x:t>
  </x:si>
  <x:si>
    <x:t>MGM.FA.AA</x:t>
  </x:si>
  <x:si>
    <x:t>- - - - - Myotomy of hand</x:t>
  </x:si>
  <x:si>
    <x:t>http://id.who.int/icd/entity/2091133352</x:t>
  </x:si>
  <x:si>
    <x:t>http://id.who.int/icd/release/11/beta/ichi/2091133352</x:t>
  </x:si>
  <x:si>
    <x:t>MGM.FB.AA</x:t>
  </x:si>
  <x:si>
    <x:t>- - - - - Division of muscle of hand</x:t>
  </x:si>
  <x:si>
    <x:t>http://id.who.int/icd/entity/752873495</x:t>
  </x:si>
  <x:si>
    <x:t>http://id.who.int/icd/release/11/beta/ichi/752873495</x:t>
  </x:si>
  <x:si>
    <x:t>MGM.FC.AA</x:t>
  </x:si>
  <x:si>
    <x:t>- - - - - Release of muscle of hand</x:t>
  </x:si>
  <x:si>
    <x:t>http://id.who.int/icd/entity/593918085</x:t>
  </x:si>
  <x:si>
    <x:t>http://id.who.int/icd/release/11/beta/ichi/593918085</x:t>
  </x:si>
  <x:si>
    <x:t>MGM.JB.AA</x:t>
  </x:si>
  <x:si>
    <x:t>- - - - - Drainage of muscle of hand</x:t>
  </x:si>
  <x:si>
    <x:t>http://id.who.int/icd/entity/427787283</x:t>
  </x:si>
  <x:si>
    <x:t>http://id.who.int/icd/release/11/beta/ichi/427787283</x:t>
  </x:si>
  <x:si>
    <x:t>MGM.JB.AE</x:t>
  </x:si>
  <x:si>
    <x:t>- - - - - Percutaneous drainage of muscle of hand</x:t>
  </x:si>
  <x:si>
    <x:t>http://id.who.int/icd/entity/1225022884</x:t>
  </x:si>
  <x:si>
    <x:t>http://id.who.int/icd/release/11/beta/ichi/1225022884</x:t>
  </x:si>
  <x:si>
    <x:t>MGM.JH.AA</x:t>
  </x:si>
  <x:si>
    <x:t>- - - - - Procurement of muscle of hand for graft</x:t>
  </x:si>
  <x:si>
    <x:t>http://id.who.int/icd/entity/1715775244</x:t>
  </x:si>
  <x:si>
    <x:t>http://id.who.int/icd/release/11/beta/ichi/1715775244</x:t>
  </x:si>
  <x:si>
    <x:t>MGM.JI.AA</x:t>
  </x:si>
  <x:si>
    <x:t>- - - - - Local excision of lesion of muscle of hand</x:t>
  </x:si>
  <x:si>
    <x:t>http://id.who.int/icd/entity/1395157366</x:t>
  </x:si>
  <x:si>
    <x:t>http://id.who.int/icd/release/11/beta/ichi/1395157366</x:t>
  </x:si>
  <x:si>
    <x:t>MGM.JJ.AA</x:t>
  </x:si>
  <x:si>
    <x:t>- - - - - Partial myectomy of hand</x:t>
  </x:si>
  <x:si>
    <x:t>http://id.who.int/icd/entity/216676437</x:t>
  </x:si>
  <x:si>
    <x:t>http://id.who.int/icd/release/11/beta/ichi/216676437</x:t>
  </x:si>
  <x:si>
    <x:t>MGM.MK.AA</x:t>
  </x:si>
  <x:si>
    <x:t>- - - - - Suture of muscle of hand</x:t>
  </x:si>
  <x:si>
    <x:t>http://id.who.int/icd/entity/1504038426</x:t>
  </x:si>
  <x:si>
    <x:t>http://id.who.int/icd/release/11/beta/ichi/1504038426</x:t>
  </x:si>
  <x:si>
    <x:t>MGM.ML.AA</x:t>
  </x:si>
  <x:si>
    <x:t>- - - - - Plastic operation on hand with graft of muscle</x:t>
  </x:si>
  <x:si>
    <x:t>http://id.who.int/icd/entity/165549995</x:t>
  </x:si>
  <x:si>
    <x:t>http://id.who.int/icd/release/11/beta/ichi/165549995</x:t>
  </x:si>
  <x:si>
    <x:t>MGT.AE.AA</x:t>
  </x:si>
  <x:si>
    <x:t>- - - - - Exploration of tendon sheath of hand or finger</x:t>
  </x:si>
  <x:si>
    <x:t>http://id.who.int/icd/entity/107454265</x:t>
  </x:si>
  <x:si>
    <x:t>http://id.who.int/icd/release/11/beta/ichi/107454265</x:t>
  </x:si>
  <x:si>
    <x:t>MGT.DN.AA</x:t>
  </x:si>
  <x:si>
    <x:t>- - - - - Implantation of device into tendon of hand or finger</x:t>
  </x:si>
  <x:si>
    <x:t>http://id.who.int/icd/entity/1724536212</x:t>
  </x:si>
  <x:si>
    <x:t>http://id.who.int/icd/release/11/beta/ichi/1724536212</x:t>
  </x:si>
  <x:si>
    <x:t>MGT.FA.AA</x:t>
  </x:si>
  <x:si>
    <x:t>- - - - - Tenotomy of hand or finger</x:t>
  </x:si>
  <x:si>
    <x:t>http://id.who.int/icd/entity/1295464708</x:t>
  </x:si>
  <x:si>
    <x:t>http://id.who.int/icd/release/11/beta/ichi/1295464708</x:t>
  </x:si>
  <x:si>
    <x:t>MGT.FA.AE</x:t>
  </x:si>
  <x:si>
    <x:t>- - - - - Percutaneous tenotomy of hand or finger</x:t>
  </x:si>
  <x:si>
    <x:t>http://id.who.int/icd/entity/1551112564</x:t>
  </x:si>
  <x:si>
    <x:t>http://id.who.int/icd/release/11/beta/ichi/1551112564</x:t>
  </x:si>
  <x:si>
    <x:t>MGT.FB.AA</x:t>
  </x:si>
  <x:si>
    <x:t>- - - - - Division of tendon of hand or finger</x:t>
  </x:si>
  <x:si>
    <x:t>http://id.who.int/icd/entity/1816654592</x:t>
  </x:si>
  <x:si>
    <x:t>http://id.who.int/icd/release/11/beta/ichi/1816654592</x:t>
  </x:si>
  <x:si>
    <x:t>MGT.FC.AA</x:t>
  </x:si>
  <x:si>
    <x:t>- - - - - Release of tendon of hand or finger</x:t>
  </x:si>
  <x:si>
    <x:t>http://id.who.int/icd/entity/1124534352</x:t>
  </x:si>
  <x:si>
    <x:t>http://id.who.int/icd/release/11/beta/ichi/1124534352</x:t>
  </x:si>
  <x:si>
    <x:t>MGT.JB.AA</x:t>
  </x:si>
  <x:si>
    <x:t>- - - - - Drainage of tendon of hand or finger</x:t>
  </x:si>
  <x:si>
    <x:t>http://id.who.int/icd/entity/1750364483</x:t>
  </x:si>
  <x:si>
    <x:t>http://id.who.int/icd/release/11/beta/ichi/1750364483</x:t>
  </x:si>
  <x:si>
    <x:t>MGT.JD.AA</x:t>
  </x:si>
  <x:si>
    <x:t>- - - - - Removal of internal device or foreign body from tendon of hand or finger</x:t>
  </x:si>
  <x:si>
    <x:t>http://id.who.int/icd/entity/763300665</x:t>
  </x:si>
  <x:si>
    <x:t>http://id.who.int/icd/release/11/beta/ichi/763300665</x:t>
  </x:si>
  <x:si>
    <x:t>MGT.JH.AA</x:t>
  </x:si>
  <x:si>
    <x:t>- - - - - Procurement of tendon of hand or finger for graft</x:t>
  </x:si>
  <x:si>
    <x:t>http://id.who.int/icd/entity/1508345596</x:t>
  </x:si>
  <x:si>
    <x:t>http://id.who.int/icd/release/11/beta/ichi/1508345596</x:t>
  </x:si>
  <x:si>
    <x:t>MGT.JI.AA</x:t>
  </x:si>
  <x:si>
    <x:t>- - - - - Local excision of lesion of tendon sheath of hand or finger</x:t>
  </x:si>
  <x:si>
    <x:t>http://id.who.int/icd/entity/1666828828</x:t>
  </x:si>
  <x:si>
    <x:t>http://id.who.int/icd/release/11/beta/ichi/1666828828</x:t>
  </x:si>
  <x:si>
    <x:t>MGT.JJ.AA</x:t>
  </x:si>
  <x:si>
    <x:t>- - - - - Tenonectomy of hand or finger</x:t>
  </x:si>
  <x:si>
    <x:t>http://id.who.int/icd/entity/846716207</x:t>
  </x:si>
  <x:si>
    <x:t>http://id.who.int/icd/release/11/beta/ichi/846716207</x:t>
  </x:si>
  <x:si>
    <x:t>MGT.LJ.AA</x:t>
  </x:si>
  <x:si>
    <x:t>- - - - - Tendon transfer or tranplantation of hand or finger</x:t>
  </x:si>
  <x:si>
    <x:t>http://id.who.int/icd/entity/1488078970</x:t>
  </x:si>
  <x:si>
    <x:t>http://id.who.int/icd/release/11/beta/ichi/1488078970</x:t>
  </x:si>
  <x:si>
    <x:t>MGT.MK.AA</x:t>
  </x:si>
  <x:si>
    <x:t>- - - - - Repair of tendon of hand or finger</x:t>
  </x:si>
  <x:si>
    <x:t>http://id.who.int/icd/entity/234733111</x:t>
  </x:si>
  <x:si>
    <x:t>http://id.who.int/icd/release/11/beta/ichi/234733111</x:t>
  </x:si>
  <x:si>
    <x:t>MGT.ML.AA</x:t>
  </x:si>
  <x:si>
    <x:t>- - - - - Reconstruction of tendon of hand or finger</x:t>
  </x:si>
  <x:si>
    <x:t>http://id.who.int/icd/entity/398098669</x:t>
  </x:si>
  <x:si>
    <x:t>http://id.who.int/icd/release/11/beta/ichi/398098669</x:t>
  </x:si>
  <x:si>
    <x:t>BlockL4-MIS</x:t>
  </x:si>
  <x:si>
    <x:t>- - - - Interventions on musculoskeletal structures of upper limb, not elsewhere classified</x:t>
  </x:si>
  <x:si>
    <x:t>http://id.who.int/icd/entity/697309403</x:t>
  </x:si>
  <x:si>
    <x:t>http://id.who.int/icd/release/11/beta/ichi/697309403</x:t>
  </x:si>
  <x:si>
    <x:t>MIS.PC.ZZ</x:t>
  </x:si>
  <x:si>
    <x:t>- - - - - Massage of soft tissue of upper limb, not elsewhere classified</x:t>
  </x:si>
  <x:si>
    <x:t>http://id.who.int/icd/entity/2102810452</x:t>
  </x:si>
  <x:si>
    <x:t>http://id.who.int/icd/release/11/beta/ichi/2102810452</x:t>
  </x:si>
  <x:si>
    <x:t>MIS.PD.ZZ</x:t>
  </x:si>
  <x:si>
    <x:t>- - - - - Soft tissue stretch of upper limb, not elsewhere classified</x:t>
  </x:si>
  <x:si>
    <x:t>http://id.who.int/icd/entity/1608354013</x:t>
  </x:si>
  <x:si>
    <x:t>http://id.who.int/icd/release/11/beta/ichi/1608354013</x:t>
  </x:si>
  <x:si>
    <x:t>MIS.SC.BJ</x:t>
  </x:si>
  <x:si>
    <x:t>- - - - - Extracorporeal shockwave therapy of upper limb, not elsewhere classified</x:t>
  </x:si>
  <x:si>
    <x:t>http://id.who.int/icd/entity/736277870</x:t>
  </x:si>
  <x:si>
    <x:t>http://id.who.int/icd/release/11/beta/ichi/736277870</x:t>
  </x:si>
  <x:si>
    <x:t>BlockL4-MKB</x:t>
  </x:si>
  <x:si>
    <x:t>- - - - Interventions on musculoskeletal structures of pelvic region</x:t>
  </x:si>
  <x:si>
    <x:t>http://id.who.int/icd/entity/186369876</x:t>
  </x:si>
  <x:si>
    <x:t>http://id.who.int/icd/release/11/beta/ichi/186369876</x:t>
  </x:si>
  <x:si>
    <x:t>MKB.AD.AA</x:t>
  </x:si>
  <x:si>
    <x:t>- - - - - Biopsy of bone of pelvis</x:t>
  </x:si>
  <x:si>
    <x:t>http://id.who.int/icd/entity/1431318449</x:t>
  </x:si>
  <x:si>
    <x:t>http://id.who.int/icd/release/11/beta/ichi/1431318449</x:t>
  </x:si>
  <x:si>
    <x:t>MKB.AD.AE</x:t>
  </x:si>
  <x:si>
    <x:t>- - - - - Needle biopsy of bone of pelvis</x:t>
  </x:si>
  <x:si>
    <x:t>http://id.who.int/icd/entity/1142099911</x:t>
  </x:si>
  <x:si>
    <x:t>http://id.who.int/icd/release/11/beta/ichi/1142099911</x:t>
  </x:si>
  <x:si>
    <x:t>MKB.BA.BA</x:t>
  </x:si>
  <x:si>
    <x:t>- - - - - X-ray of pelvis</x:t>
  </x:si>
  <x:si>
    <x:t>http://id.who.int/icd/entity/1631300245</x:t>
  </x:si>
  <x:si>
    <x:t>http://id.who.int/icd/release/11/beta/ichi/1631300245</x:t>
  </x:si>
  <x:si>
    <x:t>MKB.BA.BC</x:t>
  </x:si>
  <x:si>
    <x:t>- - - - - Computerised tomography of pelvis, not elsewhere classified</x:t>
  </x:si>
  <x:si>
    <x:t>http://id.who.int/icd/entity/256092668</x:t>
  </x:si>
  <x:si>
    <x:t>http://id.who.int/icd/release/11/beta/ichi/256092668</x:t>
  </x:si>
  <x:si>
    <x:t>MKB.BA.BD</x:t>
  </x:si>
  <x:si>
    <x:t>- - - - - Computerised tomography of pelvis with intravenous contrast</x:t>
  </x:si>
  <x:si>
    <x:t>http://id.who.int/icd/entity/1056570294</x:t>
  </x:si>
  <x:si>
    <x:t>http://id.who.int/icd/release/11/beta/ichi/1056570294</x:t>
  </x:si>
  <x:si>
    <x:t>MKB.BA.BH</x:t>
  </x:si>
  <x:si>
    <x:t>- - - - - Magnetic resonance imaging of pelvis, not elsewhere classified</x:t>
  </x:si>
  <x:si>
    <x:t>http://id.who.int/icd/entity/248123454</x:t>
  </x:si>
  <x:si>
    <x:t>http://id.who.int/icd/release/11/beta/ichi/248123454</x:t>
  </x:si>
  <x:si>
    <x:t>MKB.BA.BI</x:t>
  </x:si>
  <x:si>
    <x:t>- - - - - Magnetic resonance imaging of pelvis with intravenous contrast</x:t>
  </x:si>
  <x:si>
    <x:t>http://id.who.int/icd/entity/97390224</x:t>
  </x:si>
  <x:si>
    <x:t>http://id.who.int/icd/release/11/beta/ichi/97390224</x:t>
  </x:si>
  <x:si>
    <x:t>MKB.DN.AA</x:t>
  </x:si>
  <x:si>
    <x:t>- - - - - Implantation of device into pelvis</x:t>
  </x:si>
  <x:si>
    <x:t>http://id.who.int/icd/entity/1341319675</x:t>
  </x:si>
  <x:si>
    <x:t>http://id.who.int/icd/release/11/beta/ichi/1341319675</x:t>
  </x:si>
  <x:si>
    <x:t>MKB.FA.AA</x:t>
  </x:si>
  <x:si>
    <x:t>- - - - - Osteotomy of pelvis</x:t>
  </x:si>
  <x:si>
    <x:t>http://id.who.int/icd/entity/996828218</x:t>
  </x:si>
  <x:si>
    <x:t>http://id.who.int/icd/release/11/beta/ichi/996828218</x:t>
  </x:si>
  <x:si>
    <x:t>MKB.FA.AC</x:t>
  </x:si>
  <x:si>
    <x:t>- - - - - Pubiotomy to assist delivery</x:t>
  </x:si>
  <x:si>
    <x:t>http://id.who.int/icd/entity/556620516</x:t>
  </x:si>
  <x:si>
    <x:t>http://id.who.int/icd/release/11/beta/ichi/556620516</x:t>
  </x:si>
  <x:si>
    <x:t>MKB.FB.AA</x:t>
  </x:si>
  <x:si>
    <x:t>- - - - - Division of bone of pelvis</x:t>
  </x:si>
  <x:si>
    <x:t>http://id.who.int/icd/entity/181417588</x:t>
  </x:si>
  <x:si>
    <x:t>http://id.who.int/icd/release/11/beta/ichi/181417588</x:t>
  </x:si>
  <x:si>
    <x:t>MKB.JD.AA</x:t>
  </x:si>
  <x:si>
    <x:t>- - - - - Removal of internal device or foreign body from pelvis</x:t>
  </x:si>
  <x:si>
    <x:t>http://id.who.int/icd/entity/1371863905</x:t>
  </x:si>
  <x:si>
    <x:t>http://id.who.int/icd/release/11/beta/ichi/1371863905</x:t>
  </x:si>
  <x:si>
    <x:t>MKB.JD.AH</x:t>
  </x:si>
  <x:si>
    <x:t>- - - - - Removal of internal device or foreign body from pelvis without incision</x:t>
  </x:si>
  <x:si>
    <x:t>http://id.who.int/icd/entity/1266927035</x:t>
  </x:si>
  <x:si>
    <x:t>http://id.who.int/icd/release/11/beta/ichi/1266927035</x:t>
  </x:si>
  <x:si>
    <x:t>MKB.JG.AA</x:t>
  </x:si>
  <x:si>
    <x:t>- - - - - Debridement of bone of pelvis</x:t>
  </x:si>
  <x:si>
    <x:t>http://id.who.int/icd/entity/1618913579</x:t>
  </x:si>
  <x:si>
    <x:t>http://id.who.int/icd/release/11/beta/ichi/1618913579</x:t>
  </x:si>
  <x:si>
    <x:t>MKB.JH.AA</x:t>
  </x:si>
  <x:si>
    <x:t>- - - - - Procurement of pelvic bone for graft</x:t>
  </x:si>
  <x:si>
    <x:t>http://id.who.int/icd/entity/2075143729</x:t>
  </x:si>
  <x:si>
    <x:t>http://id.who.int/icd/release/11/beta/ichi/2075143729</x:t>
  </x:si>
  <x:si>
    <x:t>MKB.JI.AA</x:t>
  </x:si>
  <x:si>
    <x:t>- - - - - Local excision of lesion of bone of pelvis</x:t>
  </x:si>
  <x:si>
    <x:t>http://id.who.int/icd/entity/611483410</x:t>
  </x:si>
  <x:si>
    <x:t>http://id.who.int/icd/release/11/beta/ichi/611483410</x:t>
  </x:si>
  <x:si>
    <x:t>MKB.JJ.AA</x:t>
  </x:si>
  <x:si>
    <x:t>- - - - - Other partial ostectomy of pelvis</x:t>
  </x:si>
  <x:si>
    <x:t>http://id.who.int/icd/entity/1242201211</x:t>
  </x:si>
  <x:si>
    <x:t>http://id.who.int/icd/release/11/beta/ichi/1242201211</x:t>
  </x:si>
  <x:si>
    <x:t>MKB.JK.AA</x:t>
  </x:si>
  <x:si>
    <x:t>- - - - - Total ostectomy of pelvis</x:t>
  </x:si>
  <x:si>
    <x:t>http://id.who.int/icd/entity/22731330</x:t>
  </x:si>
  <x:si>
    <x:t>http://id.who.int/icd/release/11/beta/ichi/22731330</x:t>
  </x:si>
  <x:si>
    <x:t>MKB.LC.AE</x:t>
  </x:si>
  <x:si>
    <x:t>- - - - - Percutaneous application of external immobilisation device to pelvis</x:t>
  </x:si>
  <x:si>
    <x:t>http://id.who.int/icd/entity/1587055459</x:t>
  </x:si>
  <x:si>
    <x:t>http://id.who.int/icd/release/11/beta/ichi/1587055459</x:t>
  </x:si>
  <x:si>
    <x:t>MKB.LC.AH</x:t>
  </x:si>
  <x:si>
    <x:t>- - - - - Application of external immobilisation device to pelvis</x:t>
  </x:si>
  <x:si>
    <x:t>http://id.who.int/icd/entity/249778900</x:t>
  </x:si>
  <x:si>
    <x:t>http://id.who.int/icd/release/11/beta/ichi/249778900</x:t>
  </x:si>
  <x:si>
    <x:t>MKB.LD.AA</x:t>
  </x:si>
  <x:si>
    <x:t>- - - - - Open reduction of pelvis</x:t>
  </x:si>
  <x:si>
    <x:t>http://id.who.int/icd/entity/1538040989</x:t>
  </x:si>
  <x:si>
    <x:t>http://id.who.int/icd/release/11/beta/ichi/1538040989</x:t>
  </x:si>
  <x:si>
    <x:t>MKB.LD.AH</x:t>
  </x:si>
  <x:si>
    <x:t>- - - - - Closed reduction of pelvis</x:t>
  </x:si>
  <x:si>
    <x:t>http://id.who.int/icd/entity/294667256</x:t>
  </x:si>
  <x:si>
    <x:t>http://id.who.int/icd/release/11/beta/ichi/294667256</x:t>
  </x:si>
  <x:si>
    <x:t>MKB.MK.AB</x:t>
  </x:si>
  <x:si>
    <x:t>- - - - - Arthroscopic repair of pelvis</x:t>
  </x:si>
  <x:si>
    <x:t>http://id.who.int/icd/entity/445930842</x:t>
  </x:si>
  <x:si>
    <x:t>http://id.who.int/icd/release/11/beta/ichi/445930842</x:t>
  </x:si>
  <x:si>
    <x:t>MKB.ML.AA</x:t>
  </x:si>
  <x:si>
    <x:t>- - - - - Bone graft to pelvis</x:t>
  </x:si>
  <x:si>
    <x:t>http://id.who.int/icd/entity/191941980</x:t>
  </x:si>
  <x:si>
    <x:t>http://id.who.int/icd/release/11/beta/ichi/191941980</x:t>
  </x:si>
  <x:si>
    <x:t>MKJ.BA.BA</x:t>
  </x:si>
  <x:si>
    <x:t>- - - - - X-ray of the joint of the pelvic region</x:t>
  </x:si>
  <x:si>
    <x:t>http://id.who.int/icd/entity/1356554777</x:t>
  </x:si>
  <x:si>
    <x:t>http://id.who.int/icd/release/11/beta/ichi/1356554777</x:t>
  </x:si>
  <x:si>
    <x:t>MKJ.DB.AE</x:t>
  </x:si>
  <x:si>
    <x:t>- - - - - Injection into joint of the pelvic region</x:t>
  </x:si>
  <x:si>
    <x:t>http://id.who.int/icd/entity/10533800</x:t>
  </x:si>
  <x:si>
    <x:t>http://id.who.int/icd/release/11/beta/ichi/10533800</x:t>
  </x:si>
  <x:si>
    <x:t>MKJ.DC.AE</x:t>
  </x:si>
  <x:si>
    <x:t>- - - - - Injection of anaesthesia into joint of pelvic region</x:t>
  </x:si>
  <x:si>
    <x:t>http://id.who.int/icd/entity/1420991615</x:t>
  </x:si>
  <x:si>
    <x:t>http://id.who.int/icd/release/11/beta/ichi/1420991615</x:t>
  </x:si>
  <x:si>
    <x:t>MKJ.DN.AA</x:t>
  </x:si>
  <x:si>
    <x:t>- - - - - Implantation of device into joint of pelvic region</x:t>
  </x:si>
  <x:si>
    <x:t>http://id.who.int/icd/entity/1605796563</x:t>
  </x:si>
  <x:si>
    <x:t>http://id.who.int/icd/release/11/beta/ichi/1605796563</x:t>
  </x:si>
  <x:si>
    <x:t>MKJ.JN.AA</x:t>
  </x:si>
  <x:si>
    <x:t>- - - - - Abdominopelvic amputation</x:t>
  </x:si>
  <x:si>
    <x:t>http://id.who.int/icd/entity/304873954</x:t>
  </x:si>
  <x:si>
    <x:t>http://id.who.int/icd/release/11/beta/ichi/304873954</x:t>
  </x:si>
  <x:si>
    <x:t>MKJ.LD.AA</x:t>
  </x:si>
  <x:si>
    <x:t>- - - - - Open reduction of joint of pelvic region</x:t>
  </x:si>
  <x:si>
    <x:t>http://id.who.int/icd/entity/1030552398</x:t>
  </x:si>
  <x:si>
    <x:t>http://id.who.int/icd/release/11/beta/ichi/1030552398</x:t>
  </x:si>
  <x:si>
    <x:t>MKJ.LD.AH</x:t>
  </x:si>
  <x:si>
    <x:t>- - - - - Closed reduction of joint of pelvic region</x:t>
  </x:si>
  <x:si>
    <x:t>http://id.who.int/icd/entity/224334022</x:t>
  </x:si>
  <x:si>
    <x:t>http://id.who.int/icd/release/11/beta/ichi/224334022</x:t>
  </x:si>
  <x:si>
    <x:t>MKJ.PA.ZZ</x:t>
  </x:si>
  <x:si>
    <x:t>- - - - - Manipulation of joint of pelvic region</x:t>
  </x:si>
  <x:si>
    <x:t>http://id.who.int/icd/entity/572516970</x:t>
  </x:si>
  <x:si>
    <x:t>http://id.who.int/icd/release/11/beta/ichi/572516970</x:t>
  </x:si>
  <x:si>
    <x:t>MKJ.PB.ZZ</x:t>
  </x:si>
  <x:si>
    <x:t>- - - - - Mobilisation of joints of pelvic region</x:t>
  </x:si>
  <x:si>
    <x:t>http://id.who.int/icd/entity/1386037735</x:t>
  </x:si>
  <x:si>
    <x:t>http://id.who.int/icd/release/11/beta/ichi/1386037735</x:t>
  </x:si>
  <x:si>
    <x:t>MKL.FB.AA</x:t>
  </x:si>
  <x:si>
    <x:t>- - - - - Division of ligament or fascia of hip</x:t>
  </x:si>
  <x:si>
    <x:t>http://id.who.int/icd/entity/2092038681</x:t>
  </x:si>
  <x:si>
    <x:t>http://id.who.int/icd/release/11/beta/ichi/2092038681</x:t>
  </x:si>
  <x:si>
    <x:t>MKM.FC.AA</x:t>
  </x:si>
  <x:si>
    <x:t>- - - - - Release of hip contracture</x:t>
  </x:si>
  <x:si>
    <x:t>http://id.who.int/icd/entity/1844632175</x:t>
  </x:si>
  <x:si>
    <x:t>http://id.who.int/icd/release/11/beta/ichi/1844632175</x:t>
  </x:si>
  <x:si>
    <x:t>MKM.MK.AB</x:t>
  </x:si>
  <x:si>
    <x:t>- - - - - Arthroscopic repair or plastic operation on muscle of hip</x:t>
  </x:si>
  <x:si>
    <x:t>http://id.who.int/icd/entity/1528780894</x:t>
  </x:si>
  <x:si>
    <x:t>http://id.who.int/icd/release/11/beta/ichi/1528780894</x:t>
  </x:si>
  <x:si>
    <x:t>MKT.FA.AA</x:t>
  </x:si>
  <x:si>
    <x:t>- - - - - Tenotomy of pelvic region</x:t>
  </x:si>
  <x:si>
    <x:t>http://id.who.int/icd/entity/1464637065</x:t>
  </x:si>
  <x:si>
    <x:t>http://id.who.int/icd/release/11/beta/ichi/1464637065</x:t>
  </x:si>
  <x:si>
    <x:t>MKT.FB.AA</x:t>
  </x:si>
  <x:si>
    <x:t>- - - - - Division of tendon of hip</x:t>
  </x:si>
  <x:si>
    <x:t>http://id.who.int/icd/entity/2100839385</x:t>
  </x:si>
  <x:si>
    <x:t>http://id.who.int/icd/release/11/beta/ichi/2100839385</x:t>
  </x:si>
  <x:si>
    <x:t>BlockL4-MLB</x:t>
  </x:si>
  <x:si>
    <x:t>- - - - Interventions on musculoskeletal structures of thigh</x:t>
  </x:si>
  <x:si>
    <x:t>70</x:t>
  </x:si>
  <x:si>
    <x:t>http://id.who.int/icd/entity/1572942309</x:t>
  </x:si>
  <x:si>
    <x:t>http://id.who.int/icd/release/11/beta/ichi/1572942309</x:t>
  </x:si>
  <x:si>
    <x:t>MLB.AD.AA</x:t>
  </x:si>
  <x:si>
    <x:t>- - - - - Biopsy of femur</x:t>
  </x:si>
  <x:si>
    <x:t>http://id.who.int/icd/entity/1736408323</x:t>
  </x:si>
  <x:si>
    <x:t>http://id.who.int/icd/release/11/beta/ichi/1736408323</x:t>
  </x:si>
  <x:si>
    <x:t>MLB.AD.AE</x:t>
  </x:si>
  <x:si>
    <x:t>- - - - - Needle biopsy of femur</x:t>
  </x:si>
  <x:si>
    <x:t>http://id.who.int/icd/entity/2107634601</x:t>
  </x:si>
  <x:si>
    <x:t>http://id.who.int/icd/release/11/beta/ichi/2107634601</x:t>
  </x:si>
  <x:si>
    <x:t>MLB.BA.BA</x:t>
  </x:si>
  <x:si>
    <x:t>- - - - - X-ray of femur</x:t>
  </x:si>
  <x:si>
    <x:t>http://id.who.int/icd/entity/769927706</x:t>
  </x:si>
  <x:si>
    <x:t>http://id.who.int/icd/release/11/beta/ichi/769927706</x:t>
  </x:si>
  <x:si>
    <x:t>MLB.DN.AA</x:t>
  </x:si>
  <x:si>
    <x:t>- - - - - Implantation of device into femur</x:t>
  </x:si>
  <x:si>
    <x:t>http://id.who.int/icd/entity/44355766</x:t>
  </x:si>
  <x:si>
    <x:t>http://id.who.int/icd/release/11/beta/ichi/44355766</x:t>
  </x:si>
  <x:si>
    <x:t>MLB.DN.AE</x:t>
  </x:si>
  <x:si>
    <x:t>- - - - - Percutaneous implantation of device into bone of femur</x:t>
  </x:si>
  <x:si>
    <x:t>http://id.who.int/icd/entity/935861964</x:t>
  </x:si>
  <x:si>
    <x:t>http://id.who.int/icd/release/11/beta/ichi/935861964</x:t>
  </x:si>
  <x:si>
    <x:t>MLB.FA.AA</x:t>
  </x:si>
  <x:si>
    <x:t>- - - - - Incision of femur without division</x:t>
  </x:si>
  <x:si>
    <x:t>http://id.who.int/icd/entity/1504714149</x:t>
  </x:si>
  <x:si>
    <x:t>http://id.who.int/icd/release/11/beta/ichi/1504714149</x:t>
  </x:si>
  <x:si>
    <x:t>MLB.FB.AA</x:t>
  </x:si>
  <x:si>
    <x:t>- - - - - Division of bone of femur</x:t>
  </x:si>
  <x:si>
    <x:t>http://id.who.int/icd/entity/1223900627</x:t>
  </x:si>
  <x:si>
    <x:t>http://id.who.int/icd/release/11/beta/ichi/1223900627</x:t>
  </x:si>
  <x:si>
    <x:t>MLB.JB.AE</x:t>
  </x:si>
  <x:si>
    <x:t>- - - - - Drainage of femoral bone cyst</x:t>
  </x:si>
  <x:si>
    <x:t>http://id.who.int/icd/entity/1027979680</x:t>
  </x:si>
  <x:si>
    <x:t>http://id.who.int/icd/release/11/beta/ichi/1027979680</x:t>
  </x:si>
  <x:si>
    <x:t>MLB.JD.AA</x:t>
  </x:si>
  <x:si>
    <x:t>- - - - - Removal of internal device or foreign body from femur</x:t>
  </x:si>
  <x:si>
    <x:t>http://id.who.int/icd/entity/1304891949</x:t>
  </x:si>
  <x:si>
    <x:t>http://id.who.int/icd/release/11/beta/ichi/1304891949</x:t>
  </x:si>
  <x:si>
    <x:t>MLB.JD.AH</x:t>
  </x:si>
  <x:si>
    <x:t>- - - - - Removal of internal device or foreign body from femur, without incision</x:t>
  </x:si>
  <x:si>
    <x:t>http://id.who.int/icd/entity/1115593407</x:t>
  </x:si>
  <x:si>
    <x:t>http://id.who.int/icd/release/11/beta/ichi/1115593407</x:t>
  </x:si>
  <x:si>
    <x:t>MLB.JG.AA</x:t>
  </x:si>
  <x:si>
    <x:t>- - - - - Debridement of femur</x:t>
  </x:si>
  <x:si>
    <x:t>http://id.who.int/icd/entity/1202671057</x:t>
  </x:si>
  <x:si>
    <x:t>http://id.who.int/icd/release/11/beta/ichi/1202671057</x:t>
  </x:si>
  <x:si>
    <x:t>MLB.JH.AA</x:t>
  </x:si>
  <x:si>
    <x:t>- - - - - Procurement of bone of femur for graft</x:t>
  </x:si>
  <x:si>
    <x:t>http://id.who.int/icd/entity/701976250</x:t>
  </x:si>
  <x:si>
    <x:t>http://id.who.int/icd/release/11/beta/ichi/701976250</x:t>
  </x:si>
  <x:si>
    <x:t>MLB.JI.AA</x:t>
  </x:si>
  <x:si>
    <x:t>- - - - - Local excision of lesion of femur</x:t>
  </x:si>
  <x:si>
    <x:t>http://id.who.int/icd/entity/949251790</x:t>
  </x:si>
  <x:si>
    <x:t>http://id.who.int/icd/release/11/beta/ichi/949251790</x:t>
  </x:si>
  <x:si>
    <x:t>MLB.JJ.AA</x:t>
  </x:si>
  <x:si>
    <x:t>- - - - - Partial ostectomy of femur</x:t>
  </x:si>
  <x:si>
    <x:t>http://id.who.int/icd/entity/1843107969</x:t>
  </x:si>
  <x:si>
    <x:t>http://id.who.int/icd/release/11/beta/ichi/1843107969</x:t>
  </x:si>
  <x:si>
    <x:t>MLB.JK.AA</x:t>
  </x:si>
  <x:si>
    <x:t>- - - - - Total ostectomy of femur</x:t>
  </x:si>
  <x:si>
    <x:t>http://id.who.int/icd/entity/1033912624</x:t>
  </x:si>
  <x:si>
    <x:t>http://id.who.int/icd/release/11/beta/ichi/1033912624</x:t>
  </x:si>
  <x:si>
    <x:t>MLB.JN.AA</x:t>
  </x:si>
  <x:si>
    <x:t>- - - - - Above knee amputation</x:t>
  </x:si>
  <x:si>
    <x:t>http://id.who.int/icd/entity/840550818</x:t>
  </x:si>
  <x:si>
    <x:t>http://id.who.int/icd/release/11/beta/ichi/840550818</x:t>
  </x:si>
  <x:si>
    <x:t>MLB.LC.AE</x:t>
  </x:si>
  <x:si>
    <x:t>- - - - - Percutaneous application of external immobilisation device to femur</x:t>
  </x:si>
  <x:si>
    <x:t>http://id.who.int/icd/entity/687425290</x:t>
  </x:si>
  <x:si>
    <x:t>http://id.who.int/icd/release/11/beta/ichi/687425290</x:t>
  </x:si>
  <x:si>
    <x:t>MLB.LC.AH</x:t>
  </x:si>
  <x:si>
    <x:t>- - - - - Application of external immobilisation device to femur</x:t>
  </x:si>
  <x:si>
    <x:t>http://id.who.int/icd/entity/2021826233</x:t>
  </x:si>
  <x:si>
    <x:t>http://id.who.int/icd/release/11/beta/ichi/2021826233</x:t>
  </x:si>
  <x:si>
    <x:t>MLB.LD.AA</x:t>
  </x:si>
  <x:si>
    <x:t>- - - - - Open reduction of femur</x:t>
  </x:si>
  <x:si>
    <x:t>http://id.who.int/icd/entity/1472357399</x:t>
  </x:si>
  <x:si>
    <x:t>http://id.who.int/icd/release/11/beta/ichi/1472357399</x:t>
  </x:si>
  <x:si>
    <x:t>MLB.LD.AH</x:t>
  </x:si>
  <x:si>
    <x:t>- - - - - Closed reduction of femur</x:t>
  </x:si>
  <x:si>
    <x:t>http://id.who.int/icd/entity/1670409953</x:t>
  </x:si>
  <x:si>
    <x:t>http://id.who.int/icd/release/11/beta/ichi/1670409953</x:t>
  </x:si>
  <x:si>
    <x:t>MLB.LE.AA</x:t>
  </x:si>
  <x:si>
    <x:t>- - - - - Epiphysiodesis of femur</x:t>
  </x:si>
  <x:si>
    <x:t>http://id.who.int/icd/entity/1012023236</x:t>
  </x:si>
  <x:si>
    <x:t>http://id.who.int/icd/release/11/beta/ichi/1012023236</x:t>
  </x:si>
  <x:si>
    <x:t>MLB.LK.AA</x:t>
  </x:si>
  <x:si>
    <x:t>- - - - - Limb lengthening procedures of femur</x:t>
  </x:si>
  <x:si>
    <x:t>http://id.who.int/icd/entity/1814685299</x:t>
  </x:si>
  <x:si>
    <x:t>http://id.who.int/icd/release/11/beta/ichi/1814685299</x:t>
  </x:si>
  <x:si>
    <x:t>MLB.LL.AA</x:t>
  </x:si>
  <x:si>
    <x:t>- - - - - Limb shortening procedures of femur</x:t>
  </x:si>
  <x:si>
    <x:t>http://id.who.int/icd/entity/429875712</x:t>
  </x:si>
  <x:si>
    <x:t>http://id.who.int/icd/release/11/beta/ichi/429875712</x:t>
  </x:si>
  <x:si>
    <x:t>MLB.ML.AA</x:t>
  </x:si>
  <x:si>
    <x:t>- - - - - Bone graft to femur</x:t>
  </x:si>
  <x:si>
    <x:t>http://id.who.int/icd/entity/1693063568</x:t>
  </x:si>
  <x:si>
    <x:t>http://id.who.int/icd/release/11/beta/ichi/1693063568</x:t>
  </x:si>
  <x:si>
    <x:t>MLC.MK.AA</x:t>
  </x:si>
  <x:si>
    <x:t>- - - - - Repair of cartilage of hip</x:t>
  </x:si>
  <x:si>
    <x:t>http://id.who.int/icd/entity/881967137</x:t>
  </x:si>
  <x:si>
    <x:t>http://id.who.int/icd/release/11/beta/ichi/881967137</x:t>
  </x:si>
  <x:si>
    <x:t>MLC.MK.AB</x:t>
  </x:si>
  <x:si>
    <x:t>- - - - - Arthroscopic repair of cartilage of hip</x:t>
  </x:si>
  <x:si>
    <x:t>http://id.who.int/icd/entity/1403225451</x:t>
  </x:si>
  <x:si>
    <x:t>http://id.who.int/icd/release/11/beta/ichi/1403225451</x:t>
  </x:si>
  <x:si>
    <x:t>MLJ.AD.AA</x:t>
  </x:si>
  <x:si>
    <x:t>- - - - - Biopsy of hip joint</x:t>
  </x:si>
  <x:si>
    <x:t>http://id.who.int/icd/entity/2019486203</x:t>
  </x:si>
  <x:si>
    <x:t>http://id.who.int/icd/release/11/beta/ichi/2019486203</x:t>
  </x:si>
  <x:si>
    <x:t>MLJ.AD.AB</x:t>
  </x:si>
  <x:si>
    <x:t>- - - - - Arthroscopic biopsy of hip joint</x:t>
  </x:si>
  <x:si>
    <x:t>http://id.who.int/icd/entity/856575938</x:t>
  </x:si>
  <x:si>
    <x:t>http://id.who.int/icd/release/11/beta/ichi/856575938</x:t>
  </x:si>
  <x:si>
    <x:t>MLJ.AD.AE</x:t>
  </x:si>
  <x:si>
    <x:t>- - - - - Needle biopsy of hip joint</x:t>
  </x:si>
  <x:si>
    <x:t>http://id.who.int/icd/entity/1825316579</x:t>
  </x:si>
  <x:si>
    <x:t>http://id.who.int/icd/release/11/beta/ichi/1825316579</x:t>
  </x:si>
  <x:si>
    <x:t>MLJ.AE.AB</x:t>
  </x:si>
  <x:si>
    <x:t>- - - - - Arthroscopy of hip joint</x:t>
  </x:si>
  <x:si>
    <x:t>http://id.who.int/icd/entity/1018677076</x:t>
  </x:si>
  <x:si>
    <x:t>http://id.who.int/icd/release/11/beta/ichi/1018677076</x:t>
  </x:si>
  <x:si>
    <x:t>MLJ.BA.BA</x:t>
  </x:si>
  <x:si>
    <x:t>- - - - - X-ray of hip</x:t>
  </x:si>
  <x:si>
    <x:t>http://id.who.int/icd/entity/1224819489</x:t>
  </x:si>
  <x:si>
    <x:t>http://id.who.int/icd/release/11/beta/ichi/1224819489</x:t>
  </x:si>
  <x:si>
    <x:t>MLJ.BA.BB</x:t>
  </x:si>
  <x:si>
    <x:t>- - - - - Hip arthrography</x:t>
  </x:si>
  <x:si>
    <x:t>http://id.who.int/icd/entity/1107647885</x:t>
  </x:si>
  <x:si>
    <x:t>http://id.who.int/icd/release/11/beta/ichi/1107647885</x:t>
  </x:si>
  <x:si>
    <x:t>MLJ.BA.BC</x:t>
  </x:si>
  <x:si>
    <x:t>- - - - - Computerised tomography of hip joint, not elsewhere classified</x:t>
  </x:si>
  <x:si>
    <x:t>http://id.who.int/icd/entity/381882882</x:t>
  </x:si>
  <x:si>
    <x:t>http://id.who.int/icd/release/11/beta/ichi/381882882</x:t>
  </x:si>
  <x:si>
    <x:t>MLJ.BA.BD</x:t>
  </x:si>
  <x:si>
    <x:t>- - - - - Computerised tomography of the hip joint with intravenous contrast</x:t>
  </x:si>
  <x:si>
    <x:t>http://id.who.int/icd/entity/752545428</x:t>
  </x:si>
  <x:si>
    <x:t>http://id.who.int/icd/release/11/beta/ichi/752545428</x:t>
  </x:si>
  <x:si>
    <x:t>MLJ.BA.BE</x:t>
  </x:si>
  <x:si>
    <x:t>- - - - - Nuclear imaging study of hip joint</x:t>
  </x:si>
  <x:si>
    <x:t>http://id.who.int/icd/entity/120029700</x:t>
  </x:si>
  <x:si>
    <x:t>http://id.who.int/icd/release/11/beta/ichi/120029700</x:t>
  </x:si>
  <x:si>
    <x:t>MLJ.BA.BH</x:t>
  </x:si>
  <x:si>
    <x:t>- - - - - Magnetic resonance imaging of hip joint, not elsewhere classified</x:t>
  </x:si>
  <x:si>
    <x:t>http://id.who.int/icd/entity/1407307147</x:t>
  </x:si>
  <x:si>
    <x:t>http://id.who.int/icd/release/11/beta/ichi/1407307147</x:t>
  </x:si>
  <x:si>
    <x:t>MLJ.BA.BI</x:t>
  </x:si>
  <x:si>
    <x:t>- - - - - Magnetic resonance imaging of hip joint with intravenous contrast</x:t>
  </x:si>
  <x:si>
    <x:t>http://id.who.int/icd/entity/1182036429</x:t>
  </x:si>
  <x:si>
    <x:t>http://id.who.int/icd/release/11/beta/ichi/1182036429</x:t>
  </x:si>
  <x:si>
    <x:t>MLJ.BA.BJ</x:t>
  </x:si>
  <x:si>
    <x:t>- - - - - Ultrasound of hip joint</x:t>
  </x:si>
  <x:si>
    <x:t>http://id.who.int/icd/entity/1521696229</x:t>
  </x:si>
  <x:si>
    <x:t>http://id.who.int/icd/release/11/beta/ichi/1521696229</x:t>
  </x:si>
  <x:si>
    <x:t>MLJ.DB.AE</x:t>
  </x:si>
  <x:si>
    <x:t>- - - - - Injection into hip joint</x:t>
  </x:si>
  <x:si>
    <x:t>http://id.who.int/icd/entity/91319494</x:t>
  </x:si>
  <x:si>
    <x:t>http://id.who.int/icd/release/11/beta/ichi/91319494</x:t>
  </x:si>
  <x:si>
    <x:t>MLJ.DC.AE</x:t>
  </x:si>
  <x:si>
    <x:t>- - - - - Injection of anaesthesia into hip joint</x:t>
  </x:si>
  <x:si>
    <x:t>http://id.who.int/icd/entity/1837702493</x:t>
  </x:si>
  <x:si>
    <x:t>http://id.who.int/icd/release/11/beta/ichi/1837702493</x:t>
  </x:si>
  <x:si>
    <x:t>MLJ.DN.AA</x:t>
  </x:si>
  <x:si>
    <x:t>- - - - - Implantation of device into hip joint</x:t>
  </x:si>
  <x:si>
    <x:t>http://id.who.int/icd/entity/2093628715</x:t>
  </x:si>
  <x:si>
    <x:t>http://id.who.int/icd/release/11/beta/ichi/2093628715</x:t>
  </x:si>
  <x:si>
    <x:t>MLJ.DN.AB</x:t>
  </x:si>
  <x:si>
    <x:t>- - - - - Arthroscopic implantation of device into hip joint</x:t>
  </x:si>
  <x:si>
    <x:t>http://id.who.int/icd/entity/1291441825</x:t>
  </x:si>
  <x:si>
    <x:t>http://id.who.int/icd/release/11/beta/ichi/1291441825</x:t>
  </x:si>
  <x:si>
    <x:t>MLJ.DN.AE</x:t>
  </x:si>
  <x:si>
    <x:t>- - - - - Percutaneous implantation of device into hip joint</x:t>
  </x:si>
  <x:si>
    <x:t>http://id.who.int/icd/entity/1728363057</x:t>
  </x:si>
  <x:si>
    <x:t>http://id.who.int/icd/release/11/beta/ichi/1728363057</x:t>
  </x:si>
  <x:si>
    <x:t>MLJ.FA.AA</x:t>
  </x:si>
  <x:si>
    <x:t>- - - - - Arthrotomy of hip joint</x:t>
  </x:si>
  <x:si>
    <x:t>http://id.who.int/icd/entity/1984404039</x:t>
  </x:si>
  <x:si>
    <x:t>http://id.who.int/icd/release/11/beta/ichi/1984404039</x:t>
  </x:si>
  <x:si>
    <x:t>MLJ.FB.AA</x:t>
  </x:si>
  <x:si>
    <x:t>- - - - - Division of joint capsule or cartilage of hip</x:t>
  </x:si>
  <x:si>
    <x:t>http://id.who.int/icd/entity/1939229993</x:t>
  </x:si>
  <x:si>
    <x:t>http://id.who.int/icd/release/11/beta/ichi/1939229993</x:t>
  </x:si>
  <x:si>
    <x:t>MLJ.FC.AA</x:t>
  </x:si>
  <x:si>
    <x:t>- - - - - Release of hip joint</x:t>
  </x:si>
  <x:si>
    <x:t>http://id.who.int/icd/entity/502156866</x:t>
  </x:si>
  <x:si>
    <x:t>http://id.who.int/icd/release/11/beta/ichi/502156866</x:t>
  </x:si>
  <x:si>
    <x:t>MLJ.GA.AA</x:t>
  </x:si>
  <x:si>
    <x:t>- - - - - Destruction of lesion or tissue of hip joint</x:t>
  </x:si>
  <x:si>
    <x:t>http://id.who.int/icd/entity/212692534</x:t>
  </x:si>
  <x:si>
    <x:t>http://id.who.int/icd/release/11/beta/ichi/212692534</x:t>
  </x:si>
  <x:si>
    <x:t>MLJ.JB.AA</x:t>
  </x:si>
  <x:si>
    <x:t>- - - - - Drainage of hip joint</x:t>
  </x:si>
  <x:si>
    <x:t>http://id.who.int/icd/entity/2031872581</x:t>
  </x:si>
  <x:si>
    <x:t>http://id.who.int/icd/release/11/beta/ichi/2031872581</x:t>
  </x:si>
  <x:si>
    <x:t>MLJ.JB.AB</x:t>
  </x:si>
  <x:si>
    <x:t>- - - - - Arthroscopic drainage of hip joint</x:t>
  </x:si>
  <x:si>
    <x:t>http://id.who.int/icd/entity/694170614</x:t>
  </x:si>
  <x:si>
    <x:t>http://id.who.int/icd/release/11/beta/ichi/694170614</x:t>
  </x:si>
  <x:si>
    <x:t>MLJ.JB.AE</x:t>
  </x:si>
  <x:si>
    <x:t>- - - - - Percutaneous drainage of hip joint</x:t>
  </x:si>
  <x:si>
    <x:t>http://id.who.int/icd/entity/651803496</x:t>
  </x:si>
  <x:si>
    <x:t>http://id.who.int/icd/release/11/beta/ichi/651803496</x:t>
  </x:si>
  <x:si>
    <x:t>MLJ.JD.AA</x:t>
  </x:si>
  <x:si>
    <x:t>- - - - - Removal of internal device or foreign body from hip joint</x:t>
  </x:si>
  <x:si>
    <x:t>http://id.who.int/icd/entity/2042386997</x:t>
  </x:si>
  <x:si>
    <x:t>http://id.who.int/icd/release/11/beta/ichi/2042386997</x:t>
  </x:si>
  <x:si>
    <x:t>MLJ.JD.AB</x:t>
  </x:si>
  <x:si>
    <x:t>- - - - - Arthroscopic removal of internal device or foreign body from hip joint</x:t>
  </x:si>
  <x:si>
    <x:t>http://id.who.int/icd/entity/1924678809</x:t>
  </x:si>
  <x:si>
    <x:t>http://id.who.int/icd/release/11/beta/ichi/1924678809</x:t>
  </x:si>
  <x:si>
    <x:t>MLJ.JG.AA</x:t>
  </x:si>
  <x:si>
    <x:t>- - - - - Debridement of hip joint</x:t>
  </x:si>
  <x:si>
    <x:t>http://id.who.int/icd/entity/1677419759</x:t>
  </x:si>
  <x:si>
    <x:t>http://id.who.int/icd/release/11/beta/ichi/1677419759</x:t>
  </x:si>
  <x:si>
    <x:t>MLJ.JI.AA</x:t>
  </x:si>
  <x:si>
    <x:t>- - - - - Local excision of lesion of hip joint</x:t>
  </x:si>
  <x:si>
    <x:t>http://id.who.int/icd/entity/1331283044</x:t>
  </x:si>
  <x:si>
    <x:t>http://id.who.int/icd/release/11/beta/ichi/1331283044</x:t>
  </x:si>
  <x:si>
    <x:t>MLJ.JJ.AA</x:t>
  </x:si>
  <x:si>
    <x:t>- - - - - Partial excision of hip joint</x:t>
  </x:si>
  <x:si>
    <x:t>http://id.who.int/icd/entity/555861773</x:t>
  </x:si>
  <x:si>
    <x:t>http://id.who.int/icd/release/11/beta/ichi/555861773</x:t>
  </x:si>
  <x:si>
    <x:t>MLJ.JJ.AB</x:t>
  </x:si>
  <x:si>
    <x:t>- - - - - Arthroscopic partial excision of hip joint</x:t>
  </x:si>
  <x:si>
    <x:t>http://id.who.int/icd/entity/278631751</x:t>
  </x:si>
  <x:si>
    <x:t>http://id.who.int/icd/release/11/beta/ichi/278631751</x:t>
  </x:si>
  <x:si>
    <x:t>MLJ.JN.AA</x:t>
  </x:si>
  <x:si>
    <x:t>- - - - - Disarticulation of hip joint</x:t>
  </x:si>
  <x:si>
    <x:t>http://id.who.int/icd/entity/327839471</x:t>
  </x:si>
  <x:si>
    <x:t>http://id.who.int/icd/release/11/beta/ichi/327839471</x:t>
  </x:si>
  <x:si>
    <x:t>MLJ.KA.AA</x:t>
  </x:si>
  <x:si>
    <x:t>- - - - - Replacement of hip joint device</x:t>
  </x:si>
  <x:si>
    <x:t>http://id.who.int/icd/entity/1697452342</x:t>
  </x:si>
  <x:si>
    <x:t>http://id.who.int/icd/release/11/beta/ichi/1697452342</x:t>
  </x:si>
  <x:si>
    <x:t>MLJ.LC.AH</x:t>
  </x:si>
  <x:si>
    <x:t>- - - - - Application of external immobilisation device of hip joint</x:t>
  </x:si>
  <x:si>
    <x:t>http://id.who.int/icd/entity/190124637</x:t>
  </x:si>
  <x:si>
    <x:t>http://id.who.int/icd/release/11/beta/ichi/190124637</x:t>
  </x:si>
  <x:si>
    <x:t>MLJ.LD.AA</x:t>
  </x:si>
  <x:si>
    <x:t>- - - - - Open reduction of hip joint</x:t>
  </x:si>
  <x:si>
    <x:t>http://id.who.int/icd/entity/988758039</x:t>
  </x:si>
  <x:si>
    <x:t>http://id.who.int/icd/release/11/beta/ichi/988758039</x:t>
  </x:si>
  <x:si>
    <x:t>MLJ.LD.AH</x:t>
  </x:si>
  <x:si>
    <x:t>- - - - - Closed reduction of hip joint</x:t>
  </x:si>
  <x:si>
    <x:t>http://id.who.int/icd/entity/171528973</x:t>
  </x:si>
  <x:si>
    <x:t>http://id.who.int/icd/release/11/beta/ichi/171528973</x:t>
  </x:si>
  <x:si>
    <x:t>MLJ.LE.AA</x:t>
  </x:si>
  <x:si>
    <x:t>- - - - - Arthrodesis of hip joint</x:t>
  </x:si>
  <x:si>
    <x:t>http://id.who.int/icd/entity/1442513454</x:t>
  </x:si>
  <x:si>
    <x:t>http://id.who.int/icd/release/11/beta/ichi/1442513454</x:t>
  </x:si>
  <x:si>
    <x:t>MLJ.MK.AA</x:t>
  </x:si>
  <x:si>
    <x:t>- - - - - Repair of hip joint</x:t>
  </x:si>
  <x:si>
    <x:t>http://id.who.int/icd/entity/92330911</x:t>
  </x:si>
  <x:si>
    <x:t>http://id.who.int/icd/release/11/beta/ichi/92330911</x:t>
  </x:si>
  <x:si>
    <x:t>MLJ.PA.ZZ</x:t>
  </x:si>
  <x:si>
    <x:t>- - - - - Manipulation of hip joint</x:t>
  </x:si>
  <x:si>
    <x:t>http://id.who.int/icd/entity/11859041</x:t>
  </x:si>
  <x:si>
    <x:t>http://id.who.int/icd/release/11/beta/ichi/11859041</x:t>
  </x:si>
  <x:si>
    <x:t>MLJ.PB.ZZ</x:t>
  </x:si>
  <x:si>
    <x:t>- - - - - Mobilisation of hip joint</x:t>
  </x:si>
  <x:si>
    <x:t>http://id.who.int/icd/entity/2140133248</x:t>
  </x:si>
  <x:si>
    <x:t>http://id.who.int/icd/release/11/beta/ichi/2140133248</x:t>
  </x:si>
  <x:si>
    <x:t>MLM.FA.AA</x:t>
  </x:si>
  <x:si>
    <x:t>- - - - - Myotomy of muscle of thigh</x:t>
  </x:si>
  <x:si>
    <x:t>http://id.who.int/icd/entity/804523727</x:t>
  </x:si>
  <x:si>
    <x:t>http://id.who.int/icd/release/11/beta/ichi/804523727</x:t>
  </x:si>
  <x:si>
    <x:t>MLM.JJ.AA</x:t>
  </x:si>
  <x:si>
    <x:t>- - - - - Partial excision of muscle of thigh</x:t>
  </x:si>
  <x:si>
    <x:t>http://id.who.int/icd/entity/890536037</x:t>
  </x:si>
  <x:si>
    <x:t>http://id.who.int/icd/release/11/beta/ichi/890536037</x:t>
  </x:si>
  <x:si>
    <x:t>MLM.LB.AA</x:t>
  </x:si>
  <x:si>
    <x:t>- - - - - Reattachment of muscle of thigh</x:t>
  </x:si>
  <x:si>
    <x:t>http://id.who.int/icd/entity/518647029</x:t>
  </x:si>
  <x:si>
    <x:t>http://id.who.int/icd/release/11/beta/ichi/518647029</x:t>
  </x:si>
  <x:si>
    <x:t>MLM.LK.AA</x:t>
  </x:si>
  <x:si>
    <x:t>- - - - - Hamstring lengthening</x:t>
  </x:si>
  <x:si>
    <x:t>http://id.who.int/icd/entity/262851715</x:t>
  </x:si>
  <x:si>
    <x:t>http://id.who.int/icd/release/11/beta/ichi/262851715</x:t>
  </x:si>
  <x:si>
    <x:t>MLM.ML.AA</x:t>
  </x:si>
  <x:si>
    <x:t>- - - - - Reconstruction of muscle of thigh</x:t>
  </x:si>
  <x:si>
    <x:t>http://id.who.int/icd/entity/2135125250</x:t>
  </x:si>
  <x:si>
    <x:t>http://id.who.int/icd/release/11/beta/ichi/2135125250</x:t>
  </x:si>
  <x:si>
    <x:t>BlockL4-MMC</x:t>
  </x:si>
  <x:si>
    <x:t>- - - - Interventions on musculoskeletal structures of knee</x:t>
  </x:si>
  <x:si>
    <x:t>92</x:t>
  </x:si>
  <x:si>
    <x:t>http://id.who.int/icd/entity/986055417</x:t>
  </x:si>
  <x:si>
    <x:t>http://id.who.int/icd/release/11/beta/ichi/986055417</x:t>
  </x:si>
  <x:si>
    <x:t>MMC.FB.AA</x:t>
  </x:si>
  <x:si>
    <x:t>- - - - - Division of cartilage of knee</x:t>
  </x:si>
  <x:si>
    <x:t>http://id.who.int/icd/entity/897550955</x:t>
  </x:si>
  <x:si>
    <x:t>http://id.who.int/icd/release/11/beta/ichi/897550955</x:t>
  </x:si>
  <x:si>
    <x:t>MMC.JH.AA</x:t>
  </x:si>
  <x:si>
    <x:t>- - - - - Procurement of knee cartilage, not elsewhere classified</x:t>
  </x:si>
  <x:si>
    <x:t>http://id.who.int/icd/entity/810263957</x:t>
  </x:si>
  <x:si>
    <x:t>http://id.who.int/icd/release/11/beta/ichi/810263957</x:t>
  </x:si>
  <x:si>
    <x:t>MMC.JH.AB</x:t>
  </x:si>
  <x:si>
    <x:t>- - - - - Arthroscopic procurement of knee cartilage, not elsewhere classified</x:t>
  </x:si>
  <x:si>
    <x:t>http://id.who.int/icd/entity/1015787791</x:t>
  </x:si>
  <x:si>
    <x:t>http://id.who.int/icd/release/11/beta/ichi/1015787791</x:t>
  </x:si>
  <x:si>
    <x:t>MMC.KD.AA</x:t>
  </x:si>
  <x:si>
    <x:t>- - - - - Transplantation of chondrocyte cells of knee joint</x:t>
  </x:si>
  <x:si>
    <x:t>http://id.who.int/icd/entity/1086918168</x:t>
  </x:si>
  <x:si>
    <x:t>http://id.who.int/icd/release/11/beta/ichi/1086918168</x:t>
  </x:si>
  <x:si>
    <x:t>MMC.KD.AB</x:t>
  </x:si>
  <x:si>
    <x:t>- - - - - Arthroscopic transplantation of chondrocyte cells of knee joint</x:t>
  </x:si>
  <x:si>
    <x:t>http://id.who.int/icd/entity/1784161242</x:t>
  </x:si>
  <x:si>
    <x:t>http://id.who.int/icd/release/11/beta/ichi/1784161242</x:t>
  </x:si>
  <x:si>
    <x:t>MMC.KD.AE</x:t>
  </x:si>
  <x:si>
    <x:t>- - - - - Percutaneous transplantation of chondrocyte cells of knee joint</x:t>
  </x:si>
  <x:si>
    <x:t>http://id.who.int/icd/entity/450529365</x:t>
  </x:si>
  <x:si>
    <x:t>http://id.who.int/icd/release/11/beta/ichi/450529365</x:t>
  </x:si>
  <x:si>
    <x:t>MMC.MK.AA</x:t>
  </x:si>
  <x:si>
    <x:t>- - - - - Repair of cartilage of knee</x:t>
  </x:si>
  <x:si>
    <x:t>http://id.who.int/icd/entity/1159256438</x:t>
  </x:si>
  <x:si>
    <x:t>http://id.who.int/icd/release/11/beta/ichi/1159256438</x:t>
  </x:si>
  <x:si>
    <x:t>MMC.MK.AB</x:t>
  </x:si>
  <x:si>
    <x:t>- - - - - Arthroscopic repair of cartilage of knee</x:t>
  </x:si>
  <x:si>
    <x:t>http://id.who.int/icd/entity/1860548070</x:t>
  </x:si>
  <x:si>
    <x:t>http://id.who.int/icd/release/11/beta/ichi/1860548070</x:t>
  </x:si>
  <x:si>
    <x:t>MMD.FB.AA</x:t>
  </x:si>
  <x:si>
    <x:t>- - - - - Division of meniscus of knee</x:t>
  </x:si>
  <x:si>
    <x:t>http://id.who.int/icd/entity/1439842496</x:t>
  </x:si>
  <x:si>
    <x:t>http://id.who.int/icd/release/11/beta/ichi/1439842496</x:t>
  </x:si>
  <x:si>
    <x:t>MMD.JH.AA</x:t>
  </x:si>
  <x:si>
    <x:t>- - - - - Procurement of meniscus of knee</x:t>
  </x:si>
  <x:si>
    <x:t>http://id.who.int/icd/entity/168825315</x:t>
  </x:si>
  <x:si>
    <x:t>http://id.who.int/icd/release/11/beta/ichi/168825315</x:t>
  </x:si>
  <x:si>
    <x:t>MMD.JH.AB</x:t>
  </x:si>
  <x:si>
    <x:t>- - - - - Arthroscopic procurement of meniscus of knee</x:t>
  </x:si>
  <x:si>
    <x:t>http://id.who.int/icd/entity/1517013074</x:t>
  </x:si>
  <x:si>
    <x:t>http://id.who.int/icd/release/11/beta/ichi/1517013074</x:t>
  </x:si>
  <x:si>
    <x:t>MMD.JJ.AA</x:t>
  </x:si>
  <x:si>
    <x:t>- - - - - Partial excision of meniscus of knee</x:t>
  </x:si>
  <x:si>
    <x:t>http://id.who.int/icd/entity/805956981</x:t>
  </x:si>
  <x:si>
    <x:t>http://id.who.int/icd/release/11/beta/ichi/805956981</x:t>
  </x:si>
  <x:si>
    <x:t>MMD.JJ.AB</x:t>
  </x:si>
  <x:si>
    <x:t>- - - - - Arthroscopic partial excision of meniscus of knee</x:t>
  </x:si>
  <x:si>
    <x:t>http://id.who.int/icd/entity/709809071</x:t>
  </x:si>
  <x:si>
    <x:t>http://id.who.int/icd/release/11/beta/ichi/709809071</x:t>
  </x:si>
  <x:si>
    <x:t>MMD.JK.AA</x:t>
  </x:si>
  <x:si>
    <x:t>- - - - - Total excision of meniscus of knee</x:t>
  </x:si>
  <x:si>
    <x:t>http://id.who.int/icd/entity/1055239013</x:t>
  </x:si>
  <x:si>
    <x:t>http://id.who.int/icd/release/11/beta/ichi/1055239013</x:t>
  </x:si>
  <x:si>
    <x:t>MMD.JK.AB</x:t>
  </x:si>
  <x:si>
    <x:t>- - - - - Arthroscopic total excision of meniscus of knee</x:t>
  </x:si>
  <x:si>
    <x:t>http://id.who.int/icd/entity/1411399220</x:t>
  </x:si>
  <x:si>
    <x:t>http://id.who.int/icd/release/11/beta/ichi/1411399220</x:t>
  </x:si>
  <x:si>
    <x:t>MMD.MK.AA</x:t>
  </x:si>
  <x:si>
    <x:t>- - - - - Repair of meniscus of knee</x:t>
  </x:si>
  <x:si>
    <x:t>http://id.who.int/icd/entity/345079349</x:t>
  </x:si>
  <x:si>
    <x:t>http://id.who.int/icd/release/11/beta/ichi/345079349</x:t>
  </x:si>
  <x:si>
    <x:t>MMD.MK.AB</x:t>
  </x:si>
  <x:si>
    <x:t>- - - - - Arthroscopic repair of meniscus of knee</x:t>
  </x:si>
  <x:si>
    <x:t>http://id.who.int/icd/entity/2119494498</x:t>
  </x:si>
  <x:si>
    <x:t>http://id.who.int/icd/release/11/beta/ichi/2119494498</x:t>
  </x:si>
  <x:si>
    <x:t>MMD.ML.AA</x:t>
  </x:si>
  <x:si>
    <x:t>- - - - - Meniscoplasty of knee</x:t>
  </x:si>
  <x:si>
    <x:t>http://id.who.int/icd/entity/738125245</x:t>
  </x:si>
  <x:si>
    <x:t>http://id.who.int/icd/release/11/beta/ichi/738125245</x:t>
  </x:si>
  <x:si>
    <x:t>MMD.ML.AB</x:t>
  </x:si>
  <x:si>
    <x:t>- - - - - Arthroscopic meniscoplasty of knee</x:t>
  </x:si>
  <x:si>
    <x:t>http://id.who.int/icd/entity/1702860010</x:t>
  </x:si>
  <x:si>
    <x:t>http://id.who.int/icd/release/11/beta/ichi/1702860010</x:t>
  </x:si>
  <x:si>
    <x:t>MMJ.AD.AA</x:t>
  </x:si>
  <x:si>
    <x:t>- - - - - Biopsy of knee joint</x:t>
  </x:si>
  <x:si>
    <x:t>http://id.who.int/icd/entity/1950135454</x:t>
  </x:si>
  <x:si>
    <x:t>http://id.who.int/icd/release/11/beta/ichi/1950135454</x:t>
  </x:si>
  <x:si>
    <x:t>MMJ.AD.AB</x:t>
  </x:si>
  <x:si>
    <x:t>- - - - - Arthroscopic biopsy of knee joint</x:t>
  </x:si>
  <x:si>
    <x:t>http://id.who.int/icd/entity/25833709</x:t>
  </x:si>
  <x:si>
    <x:t>http://id.who.int/icd/release/11/beta/ichi/25833709</x:t>
  </x:si>
  <x:si>
    <x:t>MMJ.AD.AE</x:t>
  </x:si>
  <x:si>
    <x:t>- - - - - Needle biopsy of knee joint</x:t>
  </x:si>
  <x:si>
    <x:t>http://id.who.int/icd/entity/1374808414</x:t>
  </x:si>
  <x:si>
    <x:t>http://id.who.int/icd/release/11/beta/ichi/1374808414</x:t>
  </x:si>
  <x:si>
    <x:t>MMJ.AE.AB</x:t>
  </x:si>
  <x:si>
    <x:t>- - - - - Arthroscopy of knee joint</x:t>
  </x:si>
  <x:si>
    <x:t>http://id.who.int/icd/entity/238270591</x:t>
  </x:si>
  <x:si>
    <x:t>http://id.who.int/icd/release/11/beta/ichi/238270591</x:t>
  </x:si>
  <x:si>
    <x:t>MMJ.BA.BA</x:t>
  </x:si>
  <x:si>
    <x:t>- - - - - X-ray of knee joint</x:t>
  </x:si>
  <x:si>
    <x:t>http://id.who.int/icd/entity/634311919</x:t>
  </x:si>
  <x:si>
    <x:t>http://id.who.int/icd/release/11/beta/ichi/634311919</x:t>
  </x:si>
  <x:si>
    <x:t>MMJ.BA.BB</x:t>
  </x:si>
  <x:si>
    <x:t>- - - - - Knee arthrography</x:t>
  </x:si>
  <x:si>
    <x:t>http://id.who.int/icd/entity/875185385</x:t>
  </x:si>
  <x:si>
    <x:t>http://id.who.int/icd/release/11/beta/ichi/875185385</x:t>
  </x:si>
  <x:si>
    <x:t>MMJ.BA.BC</x:t>
  </x:si>
  <x:si>
    <x:t>- - - - - Computerised tomography of knee joint, not elsewhere classified</x:t>
  </x:si>
  <x:si>
    <x:t>http://id.who.int/icd/entity/1259431926</x:t>
  </x:si>
  <x:si>
    <x:t>http://id.who.int/icd/release/11/beta/ichi/1259431926</x:t>
  </x:si>
  <x:si>
    <x:t>MMJ.BA.BD</x:t>
  </x:si>
  <x:si>
    <x:t>- - - - - Computerised tomography of knee joint with intravenous contrast</x:t>
  </x:si>
  <x:si>
    <x:t>http://id.who.int/icd/entity/251593217</x:t>
  </x:si>
  <x:si>
    <x:t>http://id.who.int/icd/release/11/beta/ichi/251593217</x:t>
  </x:si>
  <x:si>
    <x:t>MMJ.BA.BE</x:t>
  </x:si>
  <x:si>
    <x:t>- - - - - Nuclear imaging study of knee joint</x:t>
  </x:si>
  <x:si>
    <x:t>http://id.who.int/icd/entity/1585765298</x:t>
  </x:si>
  <x:si>
    <x:t>http://id.who.int/icd/release/11/beta/ichi/1585765298</x:t>
  </x:si>
  <x:si>
    <x:t>MMJ.BA.BH</x:t>
  </x:si>
  <x:si>
    <x:t>- - - - - Magnetic resonance imaging of knee joint, not elsewhere classified</x:t>
  </x:si>
  <x:si>
    <x:t>http://id.who.int/icd/entity/566229167</x:t>
  </x:si>
  <x:si>
    <x:t>http://id.who.int/icd/release/11/beta/ichi/566229167</x:t>
  </x:si>
  <x:si>
    <x:t>MMJ.BA.BI</x:t>
  </x:si>
  <x:si>
    <x:t>- - - - - Magnetic resonance imaging of knee joint with intravenous contrast</x:t>
  </x:si>
  <x:si>
    <x:t>http://id.who.int/icd/entity/613144401</x:t>
  </x:si>
  <x:si>
    <x:t>http://id.who.int/icd/release/11/beta/ichi/613144401</x:t>
  </x:si>
  <x:si>
    <x:t>MMJ.BA.BJ</x:t>
  </x:si>
  <x:si>
    <x:t>- - - - - Ultrasound of knee joint</x:t>
  </x:si>
  <x:si>
    <x:t>http://id.who.int/icd/entity/788904344</x:t>
  </x:si>
  <x:si>
    <x:t>http://id.who.int/icd/release/11/beta/ichi/788904344</x:t>
  </x:si>
  <x:si>
    <x:t>MMJ.DB.AE</x:t>
  </x:si>
  <x:si>
    <x:t>- - - - - Injection into knee joint</x:t>
  </x:si>
  <x:si>
    <x:t>http://id.who.int/icd/entity/83416328</x:t>
  </x:si>
  <x:si>
    <x:t>http://id.who.int/icd/release/11/beta/ichi/83416328</x:t>
  </x:si>
  <x:si>
    <x:t>MMJ.DC.AE</x:t>
  </x:si>
  <x:si>
    <x:t>- - - - - Injection of anaesthesia into knee joint</x:t>
  </x:si>
  <x:si>
    <x:t>http://id.who.int/icd/entity/1961889504</x:t>
  </x:si>
  <x:si>
    <x:t>http://id.who.int/icd/release/11/beta/ichi/1961889504</x:t>
  </x:si>
  <x:si>
    <x:t>MMJ.DN.AA</x:t>
  </x:si>
  <x:si>
    <x:t>- - - - - Implantation of device into knee joint</x:t>
  </x:si>
  <x:si>
    <x:t>http://id.who.int/icd/entity/724721603</x:t>
  </x:si>
  <x:si>
    <x:t>http://id.who.int/icd/release/11/beta/ichi/724721603</x:t>
  </x:si>
  <x:si>
    <x:t>MMJ.FA.AA</x:t>
  </x:si>
  <x:si>
    <x:t>- - - - - Arthrotomy of knee joint</x:t>
  </x:si>
  <x:si>
    <x:t>http://id.who.int/icd/entity/13579091</x:t>
  </x:si>
  <x:si>
    <x:t>http://id.who.int/icd/release/11/beta/ichi/13579091</x:t>
  </x:si>
  <x:si>
    <x:t>MMJ.FB.AA</x:t>
  </x:si>
  <x:si>
    <x:t>- - - - - Division of joint capsule of knee</x:t>
  </x:si>
  <x:si>
    <x:t>http://id.who.int/icd/entity/1268749674</x:t>
  </x:si>
  <x:si>
    <x:t>http://id.who.int/icd/release/11/beta/ichi/1268749674</x:t>
  </x:si>
  <x:si>
    <x:t>MMJ.FC.AA</x:t>
  </x:si>
  <x:si>
    <x:t>- - - - - Release of knee joint</x:t>
  </x:si>
  <x:si>
    <x:t>http://id.who.int/icd/entity/1373154228</x:t>
  </x:si>
  <x:si>
    <x:t>http://id.who.int/icd/release/11/beta/ichi/1373154228</x:t>
  </x:si>
  <x:si>
    <x:t>MMJ.FC.AB</x:t>
  </x:si>
  <x:si>
    <x:t>- - - - - Arthroscopic release of knee joint</x:t>
  </x:si>
  <x:si>
    <x:t>http://id.who.int/icd/entity/831560073</x:t>
  </x:si>
  <x:si>
    <x:t>http://id.who.int/icd/release/11/beta/ichi/831560073</x:t>
  </x:si>
  <x:si>
    <x:t>MMJ.GA.AA</x:t>
  </x:si>
  <x:si>
    <x:t>- - - - - Destruction of lesion or tissue of knee joint</x:t>
  </x:si>
  <x:si>
    <x:t>http://id.who.int/icd/entity/443413785</x:t>
  </x:si>
  <x:si>
    <x:t>http://id.who.int/icd/release/11/beta/ichi/443413785</x:t>
  </x:si>
  <x:si>
    <x:t>MMJ.JB.AA</x:t>
  </x:si>
  <x:si>
    <x:t>- - - - - Drainage of knee joint</x:t>
  </x:si>
  <x:si>
    <x:t>http://id.who.int/icd/entity/187618671</x:t>
  </x:si>
  <x:si>
    <x:t>http://id.who.int/icd/release/11/beta/ichi/187618671</x:t>
  </x:si>
  <x:si>
    <x:t>MMJ.JB.AB</x:t>
  </x:si>
  <x:si>
    <x:t>- - - - - Arthroscopic drainage of knee joint</x:t>
  </x:si>
  <x:si>
    <x:t>http://id.who.int/icd/entity/298736581</x:t>
  </x:si>
  <x:si>
    <x:t>http://id.who.int/icd/release/11/beta/ichi/298736581</x:t>
  </x:si>
  <x:si>
    <x:t>MMJ.JB.AE</x:t>
  </x:si>
  <x:si>
    <x:t>- - - - - Percutaneous drainage of knee joint</x:t>
  </x:si>
  <x:si>
    <x:t>http://id.who.int/icd/entity/1599023762</x:t>
  </x:si>
  <x:si>
    <x:t>http://id.who.int/icd/release/11/beta/ichi/1599023762</x:t>
  </x:si>
  <x:si>
    <x:t>MMJ.JD.AA</x:t>
  </x:si>
  <x:si>
    <x:t>- - - - - Removal of internal device or foreign body from the knee joint</x:t>
  </x:si>
  <x:si>
    <x:t>http://id.who.int/icd/entity/1309412070</x:t>
  </x:si>
  <x:si>
    <x:t>http://id.who.int/icd/release/11/beta/ichi/1309412070</x:t>
  </x:si>
  <x:si>
    <x:t>MMJ.JD.AB</x:t>
  </x:si>
  <x:si>
    <x:t>- - - - - Arthroscopic removal of internal device or foreign body of knee joint</x:t>
  </x:si>
  <x:si>
    <x:t>http://id.who.int/icd/entity/500076484</x:t>
  </x:si>
  <x:si>
    <x:t>http://id.who.int/icd/release/11/beta/ichi/500076484</x:t>
  </x:si>
  <x:si>
    <x:t>MMJ.JG.AA</x:t>
  </x:si>
  <x:si>
    <x:t>- - - - - Debridement of knee joint</x:t>
  </x:si>
  <x:si>
    <x:t>http://id.who.int/icd/entity/909370196</x:t>
  </x:si>
  <x:si>
    <x:t>http://id.who.int/icd/release/11/beta/ichi/909370196</x:t>
  </x:si>
  <x:si>
    <x:t>MMJ.JG.AB</x:t>
  </x:si>
  <x:si>
    <x:t>- - - - - Arthroscopic debridement of knee joint</x:t>
  </x:si>
  <x:si>
    <x:t>http://id.who.int/icd/entity/661701412</x:t>
  </x:si>
  <x:si>
    <x:t>http://id.who.int/icd/release/11/beta/ichi/661701412</x:t>
  </x:si>
  <x:si>
    <x:t>MMJ.JI.AA</x:t>
  </x:si>
  <x:si>
    <x:t>- - - - - Local excision of lesion of knee joint</x:t>
  </x:si>
  <x:si>
    <x:t>http://id.who.int/icd/entity/1916745067</x:t>
  </x:si>
  <x:si>
    <x:t>http://id.who.int/icd/release/11/beta/ichi/1916745067</x:t>
  </x:si>
  <x:si>
    <x:t>MMJ.JI.AB</x:t>
  </x:si>
  <x:si>
    <x:t>- - - - - Arthroscopic local excision of lesion of knee joint</x:t>
  </x:si>
  <x:si>
    <x:t>http://id.who.int/icd/entity/574942426</x:t>
  </x:si>
  <x:si>
    <x:t>http://id.who.int/icd/release/11/beta/ichi/574942426</x:t>
  </x:si>
  <x:si>
    <x:t>MMJ.JJ.AA</x:t>
  </x:si>
  <x:si>
    <x:t>- - - - - Partial excision of knee joint</x:t>
  </x:si>
  <x:si>
    <x:t>http://id.who.int/icd/entity/218371702</x:t>
  </x:si>
  <x:si>
    <x:t>http://id.who.int/icd/release/11/beta/ichi/218371702</x:t>
  </x:si>
  <x:si>
    <x:t>MMJ.JJ.AB</x:t>
  </x:si>
  <x:si>
    <x:t>- - - - - Arthroscopic partial excision of knee joint</x:t>
  </x:si>
  <x:si>
    <x:t>http://id.who.int/icd/entity/674018086</x:t>
  </x:si>
  <x:si>
    <x:t>http://id.who.int/icd/release/11/beta/ichi/674018086</x:t>
  </x:si>
  <x:si>
    <x:t>MMJ.JN.AA</x:t>
  </x:si>
  <x:si>
    <x:t>- - - - - Disarticulation of knee joint</x:t>
  </x:si>
  <x:si>
    <x:t>http://id.who.int/icd/entity/966111665</x:t>
  </x:si>
  <x:si>
    <x:t>http://id.who.int/icd/release/11/beta/ichi/966111665</x:t>
  </x:si>
  <x:si>
    <x:t>MMJ.KA.AA</x:t>
  </x:si>
  <x:si>
    <x:t>- - - - - Replacement of knee joint device</x:t>
  </x:si>
  <x:si>
    <x:t>http://id.who.int/icd/entity/1645237325</x:t>
  </x:si>
  <x:si>
    <x:t>http://id.who.int/icd/release/11/beta/ichi/1645237325</x:t>
  </x:si>
  <x:si>
    <x:t>MMJ.LC.AA</x:t>
  </x:si>
  <x:si>
    <x:t>- - - - - Stabilisation of knee joint</x:t>
  </x:si>
  <x:si>
    <x:t>http://id.who.int/icd/entity/845909500</x:t>
  </x:si>
  <x:si>
    <x:t>http://id.who.int/icd/release/11/beta/ichi/845909500</x:t>
  </x:si>
  <x:si>
    <x:t>MMJ.LC.AE</x:t>
  </x:si>
  <x:si>
    <x:t>- - - - - Percutaneous application of external immobilisation device to knee joint</x:t>
  </x:si>
  <x:si>
    <x:t>http://id.who.int/icd/entity/1730444211</x:t>
  </x:si>
  <x:si>
    <x:t>http://id.who.int/icd/release/11/beta/ichi/1730444211</x:t>
  </x:si>
  <x:si>
    <x:t>MMJ.LC.AH</x:t>
  </x:si>
  <x:si>
    <x:t>- - - - - Application of external immobilisation device to the knee</x:t>
  </x:si>
  <x:si>
    <x:t>http://id.who.int/icd/entity/1289295651</x:t>
  </x:si>
  <x:si>
    <x:t>http://id.who.int/icd/release/11/beta/ichi/1289295651</x:t>
  </x:si>
  <x:si>
    <x:t>MMJ.LD.AA</x:t>
  </x:si>
  <x:si>
    <x:t>- - - - - Open reduction of knee joint</x:t>
  </x:si>
  <x:si>
    <x:t>http://id.who.int/icd/entity/404707502</x:t>
  </x:si>
  <x:si>
    <x:t>http://id.who.int/icd/release/11/beta/ichi/404707502</x:t>
  </x:si>
  <x:si>
    <x:t>MMJ.LD.AH</x:t>
  </x:si>
  <x:si>
    <x:t>- - - - - Closed reduction of knee joint</x:t>
  </x:si>
  <x:si>
    <x:t>http://id.who.int/icd/entity/1384386487</x:t>
  </x:si>
  <x:si>
    <x:t>http://id.who.int/icd/release/11/beta/ichi/1384386487</x:t>
  </x:si>
  <x:si>
    <x:t>MMJ.LE.AA</x:t>
  </x:si>
  <x:si>
    <x:t>- - - - - Arthrodesis of knee joint</x:t>
  </x:si>
  <x:si>
    <x:t>http://id.who.int/icd/entity/222715540</x:t>
  </x:si>
  <x:si>
    <x:t>http://id.who.int/icd/release/11/beta/ichi/222715540</x:t>
  </x:si>
  <x:si>
    <x:t>MMJ.MK.AA</x:t>
  </x:si>
  <x:si>
    <x:t>- - - - - Repair of knee joint</x:t>
  </x:si>
  <x:si>
    <x:t>http://id.who.int/icd/entity/768878246</x:t>
  </x:si>
  <x:si>
    <x:t>http://id.who.int/icd/release/11/beta/ichi/768878246</x:t>
  </x:si>
  <x:si>
    <x:t>MMJ.MK.AB</x:t>
  </x:si>
  <x:si>
    <x:t>- - - - - Arthroscopic repair of knee joint</x:t>
  </x:si>
  <x:si>
    <x:t>http://id.who.int/icd/entity/577613364</x:t>
  </x:si>
  <x:si>
    <x:t>http://id.who.int/icd/release/11/beta/ichi/577613364</x:t>
  </x:si>
  <x:si>
    <x:t>MMJ.PA.ZZ</x:t>
  </x:si>
  <x:si>
    <x:t>- - - - - Manipulation of knee joint</x:t>
  </x:si>
  <x:si>
    <x:t>http://id.who.int/icd/entity/660177354</x:t>
  </x:si>
  <x:si>
    <x:t>http://id.who.int/icd/release/11/beta/ichi/660177354</x:t>
  </x:si>
  <x:si>
    <x:t>MMJ.PB.ZZ</x:t>
  </x:si>
  <x:si>
    <x:t>- - - - - Mobilisation of knee joint</x:t>
  </x:si>
  <x:si>
    <x:t>http://id.who.int/icd/entity/1226932899</x:t>
  </x:si>
  <x:si>
    <x:t>http://id.who.int/icd/release/11/beta/ichi/1226932899</x:t>
  </x:si>
  <x:si>
    <x:t>MML.FB.AA</x:t>
  </x:si>
  <x:si>
    <x:t>- - - - - Division of ligament of knee</x:t>
  </x:si>
  <x:si>
    <x:t>http://id.who.int/icd/entity/1482859221</x:t>
  </x:si>
  <x:si>
    <x:t>http://id.who.int/icd/release/11/beta/ichi/1482859221</x:t>
  </x:si>
  <x:si>
    <x:t>MML.FC.AB</x:t>
  </x:si>
  <x:si>
    <x:t>- - - - - Arthroscopic release of ligament of knee</x:t>
  </x:si>
  <x:si>
    <x:t>http://id.who.int/icd/entity/406198852</x:t>
  </x:si>
  <x:si>
    <x:t>http://id.who.int/icd/release/11/beta/ichi/406198852</x:t>
  </x:si>
  <x:si>
    <x:t>MML.JJ.AA</x:t>
  </x:si>
  <x:si>
    <x:t>- - - - - Partial excision of ligament of knee</x:t>
  </x:si>
  <x:si>
    <x:t>http://id.who.int/icd/entity/868972244</x:t>
  </x:si>
  <x:si>
    <x:t>http://id.who.int/icd/release/11/beta/ichi/868972244</x:t>
  </x:si>
  <x:si>
    <x:t>MML.JJ.AB</x:t>
  </x:si>
  <x:si>
    <x:t>- - - - - Arthroscopic partial excision of ligament of knee</x:t>
  </x:si>
  <x:si>
    <x:t>http://id.who.int/icd/entity/40969370</x:t>
  </x:si>
  <x:si>
    <x:t>http://id.who.int/icd/release/11/beta/ichi/40969370</x:t>
  </x:si>
  <x:si>
    <x:t>MML.MK.AA</x:t>
  </x:si>
  <x:si>
    <x:t>- - - - - Repair of ligaments of knee</x:t>
  </x:si>
  <x:si>
    <x:t>http://id.who.int/icd/entity/314293552</x:t>
  </x:si>
  <x:si>
    <x:t>http://id.who.int/icd/release/11/beta/ichi/314293552</x:t>
  </x:si>
  <x:si>
    <x:t>MML.MK.AB</x:t>
  </x:si>
  <x:si>
    <x:t>- - - - - Arthroscopic repair of ligaments of the knee</x:t>
  </x:si>
  <x:si>
    <x:t>http://id.who.int/icd/entity/960942528</x:t>
  </x:si>
  <x:si>
    <x:t>http://id.who.int/icd/release/11/beta/ichi/960942528</x:t>
  </x:si>
  <x:si>
    <x:t>MML.ML.AA</x:t>
  </x:si>
  <x:si>
    <x:t>- - - - - Reconstruction of ligaments of knee</x:t>
  </x:si>
  <x:si>
    <x:t>http://id.who.int/icd/entity/671478216</x:t>
  </x:si>
  <x:si>
    <x:t>http://id.who.int/icd/release/11/beta/ichi/671478216</x:t>
  </x:si>
  <x:si>
    <x:t>MML.ML.AB</x:t>
  </x:si>
  <x:si>
    <x:t>- - - - - Arthroscopic reconstruction of ligaments of knee</x:t>
  </x:si>
  <x:si>
    <x:t>http://id.who.int/icd/entity/853901156</x:t>
  </x:si>
  <x:si>
    <x:t>http://id.who.int/icd/release/11/beta/ichi/853901156</x:t>
  </x:si>
  <x:si>
    <x:t>MMP.AD.AA</x:t>
  </x:si>
  <x:si>
    <x:t>- - - - - Biopsy of patella</x:t>
  </x:si>
  <x:si>
    <x:t>http://id.who.int/icd/entity/1654564563</x:t>
  </x:si>
  <x:si>
    <x:t>http://id.who.int/icd/release/11/beta/ichi/1654564563</x:t>
  </x:si>
  <x:si>
    <x:t>MMP.AD.AE</x:t>
  </x:si>
  <x:si>
    <x:t>- - - - - Needle biopsy of patella</x:t>
  </x:si>
  <x:si>
    <x:t>http://id.who.int/icd/entity/725454882</x:t>
  </x:si>
  <x:si>
    <x:t>http://id.who.int/icd/release/11/beta/ichi/725454882</x:t>
  </x:si>
  <x:si>
    <x:t>MMP.BA.BA</x:t>
  </x:si>
  <x:si>
    <x:t>- - - - - X-ray of patella</x:t>
  </x:si>
  <x:si>
    <x:t>http://id.who.int/icd/entity/1029502962</x:t>
  </x:si>
  <x:si>
    <x:t>http://id.who.int/icd/release/11/beta/ichi/1029502962</x:t>
  </x:si>
  <x:si>
    <x:t>MMP.DN.AA</x:t>
  </x:si>
  <x:si>
    <x:t>- - - - - Implantation of device into patella</x:t>
  </x:si>
  <x:si>
    <x:t>http://id.who.int/icd/entity/1295322315</x:t>
  </x:si>
  <x:si>
    <x:t>http://id.who.int/icd/release/11/beta/ichi/1295322315</x:t>
  </x:si>
  <x:si>
    <x:t>MMP.DN.AE</x:t>
  </x:si>
  <x:si>
    <x:t>- - - - - Percutaneous implantation of device into patella</x:t>
  </x:si>
  <x:si>
    <x:t>http://id.who.int/icd/entity/112863592</x:t>
  </x:si>
  <x:si>
    <x:t>http://id.who.int/icd/release/11/beta/ichi/112863592</x:t>
  </x:si>
  <x:si>
    <x:t>MMP.FA.AA</x:t>
  </x:si>
  <x:si>
    <x:t>- - - - - Incision of patella without division</x:t>
  </x:si>
  <x:si>
    <x:t>http://id.who.int/icd/entity/230569930</x:t>
  </x:si>
  <x:si>
    <x:t>http://id.who.int/icd/release/11/beta/ichi/230569930</x:t>
  </x:si>
  <x:si>
    <x:t>MMP.FB.AA</x:t>
  </x:si>
  <x:si>
    <x:t>- - - - - Division of patella</x:t>
  </x:si>
  <x:si>
    <x:t>http://id.who.int/icd/entity/486348734</x:t>
  </x:si>
  <x:si>
    <x:t>http://id.who.int/icd/release/11/beta/ichi/486348734</x:t>
  </x:si>
  <x:si>
    <x:t>MMP.JD.AA</x:t>
  </x:si>
  <x:si>
    <x:t>- - - - - Removal of internal device or foreign body from patella</x:t>
  </x:si>
  <x:si>
    <x:t>http://id.who.int/icd/entity/751762486</x:t>
  </x:si>
  <x:si>
    <x:t>http://id.who.int/icd/release/11/beta/ichi/751762486</x:t>
  </x:si>
  <x:si>
    <x:t>MMP.JD.AH</x:t>
  </x:si>
  <x:si>
    <x:t>- - - - - Removal of internal device or foreign body from patella, without incision</x:t>
  </x:si>
  <x:si>
    <x:t>http://id.who.int/icd/entity/595031204</x:t>
  </x:si>
  <x:si>
    <x:t>http://id.who.int/icd/release/11/beta/ichi/595031204</x:t>
  </x:si>
  <x:si>
    <x:t>MMP.JG.AA</x:t>
  </x:si>
  <x:si>
    <x:t>- - - - - Debridement of patella</x:t>
  </x:si>
  <x:si>
    <x:t>http://id.who.int/icd/entity/1930210581</x:t>
  </x:si>
  <x:si>
    <x:t>http://id.who.int/icd/release/11/beta/ichi/1930210581</x:t>
  </x:si>
  <x:si>
    <x:t>MMP.JH.AA</x:t>
  </x:si>
  <x:si>
    <x:t>- - - - - Procurement of patella for graft</x:t>
  </x:si>
  <x:si>
    <x:t>http://id.who.int/icd/entity/1445201991</x:t>
  </x:si>
  <x:si>
    <x:t>http://id.who.int/icd/release/11/beta/ichi/1445201991</x:t>
  </x:si>
  <x:si>
    <x:t>MMP.JI.AA</x:t>
  </x:si>
  <x:si>
    <x:t>- - - - - Local excision of lesion of patella</x:t>
  </x:si>
  <x:si>
    <x:t>http://id.who.int/icd/entity/2111399127</x:t>
  </x:si>
  <x:si>
    <x:t>http://id.who.int/icd/release/11/beta/ichi/2111399127</x:t>
  </x:si>
  <x:si>
    <x:t>MMP.JJ.AA</x:t>
  </x:si>
  <x:si>
    <x:t>- - - - - Partial excision of patella</x:t>
  </x:si>
  <x:si>
    <x:t>http://id.who.int/icd/entity/166091110</x:t>
  </x:si>
  <x:si>
    <x:t>http://id.who.int/icd/release/11/beta/ichi/166091110</x:t>
  </x:si>
  <x:si>
    <x:t>MMP.JJ.AB</x:t>
  </x:si>
  <x:si>
    <x:t>- - - - - Arthroscopic partial excision of patella</x:t>
  </x:si>
  <x:si>
    <x:t>http://id.who.int/icd/entity/741016742</x:t>
  </x:si>
  <x:si>
    <x:t>http://id.who.int/icd/release/11/beta/ichi/741016742</x:t>
  </x:si>
  <x:si>
    <x:t>MMP.JK.AA</x:t>
  </x:si>
  <x:si>
    <x:t>- - - - - Total ostectomy of patella</x:t>
  </x:si>
  <x:si>
    <x:t>http://id.who.int/icd/entity/913062524</x:t>
  </x:si>
  <x:si>
    <x:t>http://id.who.int/icd/release/11/beta/ichi/913062524</x:t>
  </x:si>
  <x:si>
    <x:t>MMP.LC.AA</x:t>
  </x:si>
  <x:si>
    <x:t>- - - - - Patellar stabilisation</x:t>
  </x:si>
  <x:si>
    <x:t>http://id.who.int/icd/entity/1458169144</x:t>
  </x:si>
  <x:si>
    <x:t>http://id.who.int/icd/release/11/beta/ichi/1458169144</x:t>
  </x:si>
  <x:si>
    <x:t>MMP.LC.AB</x:t>
  </x:si>
  <x:si>
    <x:t>- - - - - Arthroscopic patellar stabilisation</x:t>
  </x:si>
  <x:si>
    <x:t>http://id.who.int/icd/entity/1030235346</x:t>
  </x:si>
  <x:si>
    <x:t>http://id.who.int/icd/release/11/beta/ichi/1030235346</x:t>
  </x:si>
  <x:si>
    <x:t>MMP.LC.AH</x:t>
  </x:si>
  <x:si>
    <x:t>- - - - - Application of external immobilisation device to patella</x:t>
  </x:si>
  <x:si>
    <x:t>http://id.who.int/icd/entity/1762253615</x:t>
  </x:si>
  <x:si>
    <x:t>http://id.who.int/icd/release/11/beta/ichi/1762253615</x:t>
  </x:si>
  <x:si>
    <x:t>MMP.LD.AA</x:t>
  </x:si>
  <x:si>
    <x:t>- - - - - Open reduction of patella</x:t>
  </x:si>
  <x:si>
    <x:t>http://id.who.int/icd/entity/1934550517</x:t>
  </x:si>
  <x:si>
    <x:t>http://id.who.int/icd/release/11/beta/ichi/1934550517</x:t>
  </x:si>
  <x:si>
    <x:t>MMP.LD.AH</x:t>
  </x:si>
  <x:si>
    <x:t>- - - - - Closed reduction of patella</x:t>
  </x:si>
  <x:si>
    <x:t>http://id.who.int/icd/entity/1931866107</x:t>
  </x:si>
  <x:si>
    <x:t>http://id.who.int/icd/release/11/beta/ichi/1931866107</x:t>
  </x:si>
  <x:si>
    <x:t>MMP.ML.AA</x:t>
  </x:si>
  <x:si>
    <x:t>- - - - - Bone graft to patella</x:t>
  </x:si>
  <x:si>
    <x:t>http://id.who.int/icd/entity/2015490391</x:t>
  </x:si>
  <x:si>
    <x:t>http://id.who.int/icd/release/11/beta/ichi/2015490391</x:t>
  </x:si>
  <x:si>
    <x:t>MMT.LJ.AA</x:t>
  </x:si>
  <x:si>
    <x:t>- - - - - Transfer or transplantation of tendon on knee</x:t>
  </x:si>
  <x:si>
    <x:t>http://id.who.int/icd/entity/203345126</x:t>
  </x:si>
  <x:si>
    <x:t>http://id.who.int/icd/release/11/beta/ichi/203345126</x:t>
  </x:si>
  <x:si>
    <x:t>BlockL4-MNB</x:t>
  </x:si>
  <x:si>
    <x:t>- - - - Interventions on musculoskeletal structures of lower leg</x:t>
  </x:si>
  <x:si>
    <x:t>76</x:t>
  </x:si>
  <x:si>
    <x:t>http://id.who.int/icd/entity/753385176</x:t>
  </x:si>
  <x:si>
    <x:t>http://id.who.int/icd/release/11/beta/ichi/753385176</x:t>
  </x:si>
  <x:si>
    <x:t>MNB.AD.AA</x:t>
  </x:si>
  <x:si>
    <x:t>- - - - - Biopsy of tibia or fibula</x:t>
  </x:si>
  <x:si>
    <x:t>http://id.who.int/icd/entity/1923896891</x:t>
  </x:si>
  <x:si>
    <x:t>http://id.who.int/icd/release/11/beta/ichi/1923896891</x:t>
  </x:si>
  <x:si>
    <x:t>MNB.AD.AE</x:t>
  </x:si>
  <x:si>
    <x:t>- - - - - Needle biopsy of tibia or fibula</x:t>
  </x:si>
  <x:si>
    <x:t>http://id.who.int/icd/entity/1676637773</x:t>
  </x:si>
  <x:si>
    <x:t>http://id.who.int/icd/release/11/beta/ichi/1676637773</x:t>
  </x:si>
  <x:si>
    <x:t>MNB.BA.BA</x:t>
  </x:si>
  <x:si>
    <x:t>- - - - - X-ray of tibia or fibula</x:t>
  </x:si>
  <x:si>
    <x:t>http://id.who.int/icd/entity/1715380515</x:t>
  </x:si>
  <x:si>
    <x:t>http://id.who.int/icd/release/11/beta/ichi/1715380515</x:t>
  </x:si>
  <x:si>
    <x:t>MNB.DN.AA</x:t>
  </x:si>
  <x:si>
    <x:t>- - - - - Implantation of device into tibia or fibula</x:t>
  </x:si>
  <x:si>
    <x:t>http://id.who.int/icd/entity/1287435531</x:t>
  </x:si>
  <x:si>
    <x:t>http://id.who.int/icd/release/11/beta/ichi/1287435531</x:t>
  </x:si>
  <x:si>
    <x:t>MNB.DN.AE</x:t>
  </x:si>
  <x:si>
    <x:t>- - - - - Percutaneous implantation of device into tibia or fibula</x:t>
  </x:si>
  <x:si>
    <x:t>http://id.who.int/icd/entity/138846794</x:t>
  </x:si>
  <x:si>
    <x:t>http://id.who.int/icd/release/11/beta/ichi/138846794</x:t>
  </x:si>
  <x:si>
    <x:t>MNB.FA.AA</x:t>
  </x:si>
  <x:si>
    <x:t>- - - - - Osteotomy of tibia or fibula without division</x:t>
  </x:si>
  <x:si>
    <x:t>http://id.who.int/icd/entity/1551953349</x:t>
  </x:si>
  <x:si>
    <x:t>http://id.who.int/icd/release/11/beta/ichi/1551953349</x:t>
  </x:si>
  <x:si>
    <x:t>MNB.FB.AA</x:t>
  </x:si>
  <x:si>
    <x:t>- - - - - Division of tibia or fibula</x:t>
  </x:si>
  <x:si>
    <x:t>http://id.who.int/icd/entity/691431862</x:t>
  </x:si>
  <x:si>
    <x:t>http://id.who.int/icd/release/11/beta/ichi/691431862</x:t>
  </x:si>
  <x:si>
    <x:t>MNB.JB.AA</x:t>
  </x:si>
  <x:si>
    <x:t>- - - - - Drainage of tibial or fibular bone cyst</x:t>
  </x:si>
  <x:si>
    <x:t>http://id.who.int/icd/entity/573732636</x:t>
  </x:si>
  <x:si>
    <x:t>http://id.who.int/icd/release/11/beta/ichi/573732636</x:t>
  </x:si>
  <x:si>
    <x:t>MNB.JD.AA</x:t>
  </x:si>
  <x:si>
    <x:t>- - - - - Removal of internal device or foreign body from tibia or fibula</x:t>
  </x:si>
  <x:si>
    <x:t>http://id.who.int/icd/entity/1995716757</x:t>
  </x:si>
  <x:si>
    <x:t>http://id.who.int/icd/release/11/beta/ichi/1995716757</x:t>
  </x:si>
  <x:si>
    <x:t>MNB.JD.AH</x:t>
  </x:si>
  <x:si>
    <x:t>- - - - - Removal of internal device or foreign body from tibia or fibula, without incision</x:t>
  </x:si>
  <x:si>
    <x:t>http://id.who.int/icd/entity/1013936016</x:t>
  </x:si>
  <x:si>
    <x:t>http://id.who.int/icd/release/11/beta/ichi/1013936016</x:t>
  </x:si>
  <x:si>
    <x:t>MNB.JG.AA</x:t>
  </x:si>
  <x:si>
    <x:t>- - - - - Debridement of tibia or fibula</x:t>
  </x:si>
  <x:si>
    <x:t>http://id.who.int/icd/entity/1672298157</x:t>
  </x:si>
  <x:si>
    <x:t>http://id.who.int/icd/release/11/beta/ichi/1672298157</x:t>
  </x:si>
  <x:si>
    <x:t>MNB.JH.AA</x:t>
  </x:si>
  <x:si>
    <x:t>- - - - - Procurement of tibia or fibula for graft</x:t>
  </x:si>
  <x:si>
    <x:t>http://id.who.int/icd/entity/757878776</x:t>
  </x:si>
  <x:si>
    <x:t>http://id.who.int/icd/release/11/beta/ichi/757878776</x:t>
  </x:si>
  <x:si>
    <x:t>MNB.JI.AA</x:t>
  </x:si>
  <x:si>
    <x:t>- - - - - Local excision of lesion of tibia or fibula</x:t>
  </x:si>
  <x:si>
    <x:t>http://id.who.int/icd/entity/1107395091</x:t>
  </x:si>
  <x:si>
    <x:t>http://id.who.int/icd/release/11/beta/ichi/1107395091</x:t>
  </x:si>
  <x:si>
    <x:t>MNB.JJ.AA</x:t>
  </x:si>
  <x:si>
    <x:t>- - - - - Partial ostectomy of tibia or fibula</x:t>
  </x:si>
  <x:si>
    <x:t>http://id.who.int/icd/entity/536524667</x:t>
  </x:si>
  <x:si>
    <x:t>http://id.who.int/icd/release/11/beta/ichi/536524667</x:t>
  </x:si>
  <x:si>
    <x:t>MNB.JJ.AB</x:t>
  </x:si>
  <x:si>
    <x:t>- - - - - Endoscopic partial ostectomy of tibia or fibula</x:t>
  </x:si>
  <x:si>
    <x:t>http://id.who.int/icd/entity/499372848</x:t>
  </x:si>
  <x:si>
    <x:t>http://id.who.int/icd/release/11/beta/ichi/499372848</x:t>
  </x:si>
  <x:si>
    <x:t>MNB.JK.AA</x:t>
  </x:si>
  <x:si>
    <x:t>- - - - - Total ostectomy of tibia or fibula</x:t>
  </x:si>
  <x:si>
    <x:t>http://id.who.int/icd/entity/1303906945</x:t>
  </x:si>
  <x:si>
    <x:t>http://id.who.int/icd/release/11/beta/ichi/1303906945</x:t>
  </x:si>
  <x:si>
    <x:t>MNB.JN.AA</x:t>
  </x:si>
  <x:si>
    <x:t>- - - - - Below knee amputation</x:t>
  </x:si>
  <x:si>
    <x:t>http://id.who.int/icd/entity/1752520515</x:t>
  </x:si>
  <x:si>
    <x:t>http://id.who.int/icd/release/11/beta/ichi/1752520515</x:t>
  </x:si>
  <x:si>
    <x:t>MNB.LC.AE</x:t>
  </x:si>
  <x:si>
    <x:t>- - - - - Percutaneous application of external immobilisation device to tibia or fibula</x:t>
  </x:si>
  <x:si>
    <x:t>http://id.who.int/icd/entity/934741602</x:t>
  </x:si>
  <x:si>
    <x:t>http://id.who.int/icd/release/11/beta/ichi/934741602</x:t>
  </x:si>
  <x:si>
    <x:t>MNB.LC.AH</x:t>
  </x:si>
  <x:si>
    <x:t>- - - - - Application of external immobilisation device to tibia or fibula</x:t>
  </x:si>
  <x:si>
    <x:t>http://id.who.int/icd/entity/1741479889</x:t>
  </x:si>
  <x:si>
    <x:t>http://id.who.int/icd/release/11/beta/ichi/1741479889</x:t>
  </x:si>
  <x:si>
    <x:t>MNB.LD.AA</x:t>
  </x:si>
  <x:si>
    <x:t>- - - - - Open reduction of tibia or fibula</x:t>
  </x:si>
  <x:si>
    <x:t>http://id.who.int/icd/entity/1122269827</x:t>
  </x:si>
  <x:si>
    <x:t>http://id.who.int/icd/release/11/beta/ichi/1122269827</x:t>
  </x:si>
  <x:si>
    <x:t>MNB.LD.AH</x:t>
  </x:si>
  <x:si>
    <x:t>- - - - - Closed reduction of tibia or fibula</x:t>
  </x:si>
  <x:si>
    <x:t>http://id.who.int/icd/entity/1839497261</x:t>
  </x:si>
  <x:si>
    <x:t>http://id.who.int/icd/release/11/beta/ichi/1839497261</x:t>
  </x:si>
  <x:si>
    <x:t>MNB.LE.AA</x:t>
  </x:si>
  <x:si>
    <x:t>- - - - - Epiphysiodesis of tibia or fibula</x:t>
  </x:si>
  <x:si>
    <x:t>http://id.who.int/icd/entity/1038047646</x:t>
  </x:si>
  <x:si>
    <x:t>http://id.who.int/icd/release/11/beta/ichi/1038047646</x:t>
  </x:si>
  <x:si>
    <x:t>MNB.LK.AA</x:t>
  </x:si>
  <x:si>
    <x:t>- - - - - Limb lengthening procedures of tibia or fibula</x:t>
  </x:si>
  <x:si>
    <x:t>http://id.who.int/icd/entity/1214897647</x:t>
  </x:si>
  <x:si>
    <x:t>http://id.who.int/icd/release/11/beta/ichi/1214897647</x:t>
  </x:si>
  <x:si>
    <x:t>MNB.LL.AA</x:t>
  </x:si>
  <x:si>
    <x:t>- - - - - Limb shortening procedures of tibia or fibula</x:t>
  </x:si>
  <x:si>
    <x:t>http://id.who.int/icd/entity/1670689151</x:t>
  </x:si>
  <x:si>
    <x:t>http://id.who.int/icd/release/11/beta/ichi/1670689151</x:t>
  </x:si>
  <x:si>
    <x:t>MNB.ML.AA</x:t>
  </x:si>
  <x:si>
    <x:t>- - - - - Bone graft to tibia or fibula</x:t>
  </x:si>
  <x:si>
    <x:t>http://id.who.int/icd/entity/1378804533</x:t>
  </x:si>
  <x:si>
    <x:t>http://id.who.int/icd/release/11/beta/ichi/1378804533</x:t>
  </x:si>
  <x:si>
    <x:t>MNC.KD.AB</x:t>
  </x:si>
  <x:si>
    <x:t>- - - - - Arthroscopic transplantation of chondrocyte cells of ankle</x:t>
  </x:si>
  <x:si>
    <x:t>http://id.who.int/icd/entity/414561328</x:t>
  </x:si>
  <x:si>
    <x:t>http://id.who.int/icd/release/11/beta/ichi/414561328</x:t>
  </x:si>
  <x:si>
    <x:t>MNC.MK.AA</x:t>
  </x:si>
  <x:si>
    <x:t>- - - - - Repair of ankle cartilage</x:t>
  </x:si>
  <x:si>
    <x:t>http://id.who.int/icd/entity/1199039757</x:t>
  </x:si>
  <x:si>
    <x:t>http://id.who.int/icd/release/11/beta/ichi/1199039757</x:t>
  </x:si>
  <x:si>
    <x:t>MNC.MK.AB</x:t>
  </x:si>
  <x:si>
    <x:t>- - - - - Arthroscopic repair of ankle cartilage</x:t>
  </x:si>
  <x:si>
    <x:t>http://id.who.int/icd/entity/1821018525</x:t>
  </x:si>
  <x:si>
    <x:t>http://id.who.int/icd/release/11/beta/ichi/1821018525</x:t>
  </x:si>
  <x:si>
    <x:t>MNJ.AD.AA</x:t>
  </x:si>
  <x:si>
    <x:t>- - - - - Biopsy of ankle joint</x:t>
  </x:si>
  <x:si>
    <x:t>http://id.who.int/icd/entity/392640178</x:t>
  </x:si>
  <x:si>
    <x:t>http://id.who.int/icd/release/11/beta/ichi/392640178</x:t>
  </x:si>
  <x:si>
    <x:t>MNJ.AD.AB</x:t>
  </x:si>
  <x:si>
    <x:t>- - - - - Arthroscopic biopsy of ankle joint</x:t>
  </x:si>
  <x:si>
    <x:t>http://id.who.int/icd/entity/1218799505</x:t>
  </x:si>
  <x:si>
    <x:t>http://id.who.int/icd/release/11/beta/ichi/1218799505</x:t>
  </x:si>
  <x:si>
    <x:t>MNJ.AD.AE</x:t>
  </x:si>
  <x:si>
    <x:t>- - - - - Needle biopsy of ankle joint</x:t>
  </x:si>
  <x:si>
    <x:t>http://id.who.int/icd/entity/417250848</x:t>
  </x:si>
  <x:si>
    <x:t>http://id.who.int/icd/release/11/beta/ichi/417250848</x:t>
  </x:si>
  <x:si>
    <x:t>MNJ.AE.AB</x:t>
  </x:si>
  <x:si>
    <x:t>- - - - - Arthroscopy of ankle joint</x:t>
  </x:si>
  <x:si>
    <x:t>http://id.who.int/icd/entity/1009542782</x:t>
  </x:si>
  <x:si>
    <x:t>http://id.who.int/icd/release/11/beta/ichi/1009542782</x:t>
  </x:si>
  <x:si>
    <x:t>MNJ.BA.BA</x:t>
  </x:si>
  <x:si>
    <x:t>- - - - - X-ray of ankle joint</x:t>
  </x:si>
  <x:si>
    <x:t>http://id.who.int/icd/entity/1578088354</x:t>
  </x:si>
  <x:si>
    <x:t>http://id.who.int/icd/release/11/beta/ichi/1578088354</x:t>
  </x:si>
  <x:si>
    <x:t>MNJ.BA.BC</x:t>
  </x:si>
  <x:si>
    <x:t>- - - - - Computerised tomography of ankle joint, not elsewhere classified</x:t>
  </x:si>
  <x:si>
    <x:t>http://id.who.int/icd/entity/30271107</x:t>
  </x:si>
  <x:si>
    <x:t>http://id.who.int/icd/release/11/beta/ichi/30271107</x:t>
  </x:si>
  <x:si>
    <x:t>MNJ.BA.BD</x:t>
  </x:si>
  <x:si>
    <x:t>- - - - - Computerised tomography of ankle joint with intravenous contrast</x:t>
  </x:si>
  <x:si>
    <x:t>http://id.who.int/icd/entity/604027713</x:t>
  </x:si>
  <x:si>
    <x:t>http://id.who.int/icd/release/11/beta/ichi/604027713</x:t>
  </x:si>
  <x:si>
    <x:t>MNJ.BA.BH</x:t>
  </x:si>
  <x:si>
    <x:t>- - - - - Magnetic resonance imaging of ankle joint, not elsewhere classified</x:t>
  </x:si>
  <x:si>
    <x:t>http://id.who.int/icd/entity/268294097</x:t>
  </x:si>
  <x:si>
    <x:t>http://id.who.int/icd/release/11/beta/ichi/268294097</x:t>
  </x:si>
  <x:si>
    <x:t>MNJ.BA.BI</x:t>
  </x:si>
  <x:si>
    <x:t>- - - - - Magnetic resonance imaging of ankle joint with intravenous contrast</x:t>
  </x:si>
  <x:si>
    <x:t>http://id.who.int/icd/entity/1370898228</x:t>
  </x:si>
  <x:si>
    <x:t>http://id.who.int/icd/release/11/beta/ichi/1370898228</x:t>
  </x:si>
  <x:si>
    <x:t>MNJ.BA.BJ</x:t>
  </x:si>
  <x:si>
    <x:t>- - - - - Ultrasound of ankle joint</x:t>
  </x:si>
  <x:si>
    <x:t>http://id.who.int/icd/entity/2144981079</x:t>
  </x:si>
  <x:si>
    <x:t>http://id.who.int/icd/release/11/beta/ichi/2144981079</x:t>
  </x:si>
  <x:si>
    <x:t>MNJ.DB.AE</x:t>
  </x:si>
  <x:si>
    <x:t>- - - - - Injection into ankle joint</x:t>
  </x:si>
  <x:si>
    <x:t>http://id.who.int/icd/entity/1584753897</x:t>
  </x:si>
  <x:si>
    <x:t>http://id.who.int/icd/release/11/beta/ichi/1584753897</x:t>
  </x:si>
  <x:si>
    <x:t>MNJ.DC.AE</x:t>
  </x:si>
  <x:si>
    <x:t>- - - - - Injection of anaesthesia into ankle joint</x:t>
  </x:si>
  <x:si>
    <x:t>http://id.who.int/icd/entity/1835547219</x:t>
  </x:si>
  <x:si>
    <x:t>http://id.who.int/icd/release/11/beta/ichi/1835547219</x:t>
  </x:si>
  <x:si>
    <x:t>MNJ.DN.AA</x:t>
  </x:si>
  <x:si>
    <x:t>- - - - - Implantation of internal device into ankle joint</x:t>
  </x:si>
  <x:si>
    <x:t>http://id.who.int/icd/entity/1999570057</x:t>
  </x:si>
  <x:si>
    <x:t>http://id.who.int/icd/release/11/beta/ichi/1999570057</x:t>
  </x:si>
  <x:si>
    <x:t>MNJ.FA.AA</x:t>
  </x:si>
  <x:si>
    <x:t>- - - - - Arthrotomy of ankle joint</x:t>
  </x:si>
  <x:si>
    <x:t>http://id.who.int/icd/entity/1929303015</x:t>
  </x:si>
  <x:si>
    <x:t>http://id.who.int/icd/release/11/beta/ichi/1929303015</x:t>
  </x:si>
  <x:si>
    <x:t>MNJ.FB.AA</x:t>
  </x:si>
  <x:si>
    <x:t>- - - - - Division of joint capsule or cartilage of ankle</x:t>
  </x:si>
  <x:si>
    <x:t>http://id.who.int/icd/entity/579144280</x:t>
  </x:si>
  <x:si>
    <x:t>http://id.who.int/icd/release/11/beta/ichi/579144280</x:t>
  </x:si>
  <x:si>
    <x:t>MNJ.FC.AA</x:t>
  </x:si>
  <x:si>
    <x:t>- - - - - Release of ankle joint</x:t>
  </x:si>
  <x:si>
    <x:t>http://id.who.int/icd/entity/231076088</x:t>
  </x:si>
  <x:si>
    <x:t>http://id.who.int/icd/release/11/beta/ichi/231076088</x:t>
  </x:si>
  <x:si>
    <x:t>MNJ.FC.AB</x:t>
  </x:si>
  <x:si>
    <x:t>- - - - - Arthroscopic release of ankle joint</x:t>
  </x:si>
  <x:si>
    <x:t>http://id.who.int/icd/entity/1838006979</x:t>
  </x:si>
  <x:si>
    <x:t>http://id.who.int/icd/release/11/beta/ichi/1838006979</x:t>
  </x:si>
  <x:si>
    <x:t>MNJ.GA.AA</x:t>
  </x:si>
  <x:si>
    <x:t>- - - - - Destruction of lesion or tissue of ankle joint</x:t>
  </x:si>
  <x:si>
    <x:t>http://id.who.int/icd/entity/844076002</x:t>
  </x:si>
  <x:si>
    <x:t>http://id.who.int/icd/release/11/beta/ichi/844076002</x:t>
  </x:si>
  <x:si>
    <x:t>MNJ.JB.AA</x:t>
  </x:si>
  <x:si>
    <x:t>- - - - - Drainage of ankle joint</x:t>
  </x:si>
  <x:si>
    <x:t>http://id.who.int/icd/entity/1647594065</x:t>
  </x:si>
  <x:si>
    <x:t>http://id.who.int/icd/release/11/beta/ichi/1647594065</x:t>
  </x:si>
  <x:si>
    <x:t>MNJ.JB.AE</x:t>
  </x:si>
  <x:si>
    <x:t>- - - - - Percutaneous drainage of ankle joint</x:t>
  </x:si>
  <x:si>
    <x:t>http://id.who.int/icd/entity/682564938</x:t>
  </x:si>
  <x:si>
    <x:t>http://id.who.int/icd/release/11/beta/ichi/682564938</x:t>
  </x:si>
  <x:si>
    <x:t>MNJ.JD.AA</x:t>
  </x:si>
  <x:si>
    <x:t>- - - - - Removal of internal device or foreign body from ankle joint</x:t>
  </x:si>
  <x:si>
    <x:t>http://id.who.int/icd/entity/303124910</x:t>
  </x:si>
  <x:si>
    <x:t>http://id.who.int/icd/release/11/beta/ichi/303124910</x:t>
  </x:si>
  <x:si>
    <x:t>MNJ.JD.AH</x:t>
  </x:si>
  <x:si>
    <x:t>- - - - - Removal of internal device or foreign body from ankle, without incision</x:t>
  </x:si>
  <x:si>
    <x:t>http://id.who.int/icd/entity/1858611352</x:t>
  </x:si>
  <x:si>
    <x:t>http://id.who.int/icd/release/11/beta/ichi/1858611352</x:t>
  </x:si>
  <x:si>
    <x:t>MNJ.JG.AA</x:t>
  </x:si>
  <x:si>
    <x:t>- - - - - Debridement of ankle joint</x:t>
  </x:si>
  <x:si>
    <x:t>http://id.who.int/icd/entity/1051980071</x:t>
  </x:si>
  <x:si>
    <x:t>http://id.who.int/icd/release/11/beta/ichi/1051980071</x:t>
  </x:si>
  <x:si>
    <x:t>MNJ.JI.AA</x:t>
  </x:si>
  <x:si>
    <x:t>- - - - - Local excision of lesion of ankle joint</x:t>
  </x:si>
  <x:si>
    <x:t>http://id.who.int/icd/entity/1099485752</x:t>
  </x:si>
  <x:si>
    <x:t>http://id.who.int/icd/release/11/beta/ichi/1099485752</x:t>
  </x:si>
  <x:si>
    <x:t>MNJ.JJ.AA</x:t>
  </x:si>
  <x:si>
    <x:t>- - - - - Partial excision of ankle joint</x:t>
  </x:si>
  <x:si>
    <x:t>http://id.who.int/icd/entity/1710603162</x:t>
  </x:si>
  <x:si>
    <x:t>http://id.who.int/icd/release/11/beta/ichi/1710603162</x:t>
  </x:si>
  <x:si>
    <x:t>MNJ.JJ.AB</x:t>
  </x:si>
  <x:si>
    <x:t>- - - - - Arthroscopic partial excision of ankle joint</x:t>
  </x:si>
  <x:si>
    <x:t>http://id.who.int/icd/entity/1153236422</x:t>
  </x:si>
  <x:si>
    <x:t>http://id.who.int/icd/release/11/beta/ichi/1153236422</x:t>
  </x:si>
  <x:si>
    <x:t>MNJ.JN.AA</x:t>
  </x:si>
  <x:si>
    <x:t>- - - - - Disarticulation of ankle joint</x:t>
  </x:si>
  <x:si>
    <x:t>http://id.who.int/icd/entity/117550524</x:t>
  </x:si>
  <x:si>
    <x:t>http://id.who.int/icd/release/11/beta/ichi/117550524</x:t>
  </x:si>
  <x:si>
    <x:t>MNJ.KA.AA</x:t>
  </x:si>
  <x:si>
    <x:t>- - - - - Replacement of ankle joint device</x:t>
  </x:si>
  <x:si>
    <x:t>http://id.who.int/icd/entity/1571799654</x:t>
  </x:si>
  <x:si>
    <x:t>http://id.who.int/icd/release/11/beta/ichi/1571799654</x:t>
  </x:si>
  <x:si>
    <x:t>MNJ.KD.AA</x:t>
  </x:si>
  <x:si>
    <x:t>- - - - - Transplantation of chondrocyte cells of ankle joint</x:t>
  </x:si>
  <x:si>
    <x:t>http://id.who.int/icd/entity/876500555</x:t>
  </x:si>
  <x:si>
    <x:t>http://id.who.int/icd/release/11/beta/ichi/876500555</x:t>
  </x:si>
  <x:si>
    <x:t>MNJ.LB.AA</x:t>
  </x:si>
  <x:si>
    <x:t>- - - - - Ankle joint reattachment</x:t>
  </x:si>
  <x:si>
    <x:t>http://id.who.int/icd/entity/1811679082</x:t>
  </x:si>
  <x:si>
    <x:t>http://id.who.int/icd/release/11/beta/ichi/1811679082</x:t>
  </x:si>
  <x:si>
    <x:t>MNJ.LD.AA</x:t>
  </x:si>
  <x:si>
    <x:t>- - - - - Open reduction of ankle joint</x:t>
  </x:si>
  <x:si>
    <x:t>http://id.who.int/icd/entity/514816907</x:t>
  </x:si>
  <x:si>
    <x:t>http://id.who.int/icd/release/11/beta/ichi/514816907</x:t>
  </x:si>
  <x:si>
    <x:t>MNJ.LD.AH</x:t>
  </x:si>
  <x:si>
    <x:t>- - - - - Closed reduction of ankle joint</x:t>
  </x:si>
  <x:si>
    <x:t>http://id.who.int/icd/entity/1848496136</x:t>
  </x:si>
  <x:si>
    <x:t>http://id.who.int/icd/release/11/beta/ichi/1848496136</x:t>
  </x:si>
  <x:si>
    <x:t>MNJ.LE.AA</x:t>
  </x:si>
  <x:si>
    <x:t>- - - - - Arthrodesis of ankle joint</x:t>
  </x:si>
  <x:si>
    <x:t>http://id.who.int/icd/entity/1043670435</x:t>
  </x:si>
  <x:si>
    <x:t>http://id.who.int/icd/release/11/beta/ichi/1043670435</x:t>
  </x:si>
  <x:si>
    <x:t>MNJ.LE.AB</x:t>
  </x:si>
  <x:si>
    <x:t>- - - - - Arthroscopic arthrodesis of ankle joint</x:t>
  </x:si>
  <x:si>
    <x:t>http://id.who.int/icd/entity/605108077</x:t>
  </x:si>
  <x:si>
    <x:t>http://id.who.int/icd/release/11/beta/ichi/605108077</x:t>
  </x:si>
  <x:si>
    <x:t>MNJ.PA.ZZ</x:t>
  </x:si>
  <x:si>
    <x:t>- - - - - Manipulation of ankle joint</x:t>
  </x:si>
  <x:si>
    <x:t>http://id.who.int/icd/entity/1902035236</x:t>
  </x:si>
  <x:si>
    <x:t>http://id.who.int/icd/release/11/beta/ichi/1902035236</x:t>
  </x:si>
  <x:si>
    <x:t>MNJ.PB.ZZ</x:t>
  </x:si>
  <x:si>
    <x:t>- - - - - Mobilisation of ankle joint</x:t>
  </x:si>
  <x:si>
    <x:t>http://id.who.int/icd/entity/1579039628</x:t>
  </x:si>
  <x:si>
    <x:t>http://id.who.int/icd/release/11/beta/ichi/1579039628</x:t>
  </x:si>
  <x:si>
    <x:t>MNL.FA.AA</x:t>
  </x:si>
  <x:si>
    <x:t>- - - - - Incision of ligament or fascia of lower leg</x:t>
  </x:si>
  <x:si>
    <x:t>http://id.who.int/icd/entity/1950619597</x:t>
  </x:si>
  <x:si>
    <x:t>http://id.who.int/icd/release/11/beta/ichi/1950619597</x:t>
  </x:si>
  <x:si>
    <x:t>MNL.FB.AA</x:t>
  </x:si>
  <x:si>
    <x:t>- - - - - Division of ligament or fascia of lower leg</x:t>
  </x:si>
  <x:si>
    <x:t>http://id.who.int/icd/entity/782012417</x:t>
  </x:si>
  <x:si>
    <x:t>http://id.who.int/icd/release/11/beta/ichi/782012417</x:t>
  </x:si>
  <x:si>
    <x:t>MNM.ML.AA</x:t>
  </x:si>
  <x:si>
    <x:t>- - - - - Reconstruction of muscle of lower leg</x:t>
  </x:si>
  <x:si>
    <x:t>http://id.who.int/icd/entity/880549547</x:t>
  </x:si>
  <x:si>
    <x:t>http://id.who.int/icd/release/11/beta/ichi/880549547</x:t>
  </x:si>
  <x:si>
    <x:t>MNT.FA.AE</x:t>
  </x:si>
  <x:si>
    <x:t>- - - - - Percutaneous tenotomy of lower leg</x:t>
  </x:si>
  <x:si>
    <x:t>http://id.who.int/icd/entity/1002804793</x:t>
  </x:si>
  <x:si>
    <x:t>http://id.who.int/icd/release/11/beta/ichi/1002804793</x:t>
  </x:si>
  <x:si>
    <x:t>MNT.FB.AA</x:t>
  </x:si>
  <x:si>
    <x:t>- - - - - Division of tendon of lower leg</x:t>
  </x:si>
  <x:si>
    <x:t>http://id.who.int/icd/entity/1438487888</x:t>
  </x:si>
  <x:si>
    <x:t>http://id.who.int/icd/release/11/beta/ichi/1438487888</x:t>
  </x:si>
  <x:si>
    <x:t>MNT.FC.AA</x:t>
  </x:si>
  <x:si>
    <x:t>- - - - - Release of tendon of lower leg</x:t>
  </x:si>
  <x:si>
    <x:t>http://id.who.int/icd/entity/245979203</x:t>
  </x:si>
  <x:si>
    <x:t>http://id.who.int/icd/release/11/beta/ichi/245979203</x:t>
  </x:si>
  <x:si>
    <x:t>MNT.JH.AA</x:t>
  </x:si>
  <x:si>
    <x:t>- - - - - Procurement of tendon of lower leg</x:t>
  </x:si>
  <x:si>
    <x:t>http://id.who.int/icd/entity/1365969248</x:t>
  </x:si>
  <x:si>
    <x:t>http://id.who.int/icd/release/11/beta/ichi/1365969248</x:t>
  </x:si>
  <x:si>
    <x:t>MNT.LJ.AA</x:t>
  </x:si>
  <x:si>
    <x:t>- - - - - Transfer or transplantation of tendon of ankle</x:t>
  </x:si>
  <x:si>
    <x:t>http://id.who.int/icd/entity/17879249</x:t>
  </x:si>
  <x:si>
    <x:t>http://id.who.int/icd/release/11/beta/ichi/17879249</x:t>
  </x:si>
  <x:si>
    <x:t>MNT.LK.AA</x:t>
  </x:si>
  <x:si>
    <x:t>- - - - - Lengthening of tendon of lower leg</x:t>
  </x:si>
  <x:si>
    <x:t>http://id.who.int/icd/entity/69533487</x:t>
  </x:si>
  <x:si>
    <x:t>http://id.who.int/icd/release/11/beta/ichi/69533487</x:t>
  </x:si>
  <x:si>
    <x:t>MNT.LL.AA</x:t>
  </x:si>
  <x:si>
    <x:t>- - - - - Heel cord shortening</x:t>
  </x:si>
  <x:si>
    <x:t>http://id.who.int/icd/entity/1541844492</x:t>
  </x:si>
  <x:si>
    <x:t>http://id.who.int/icd/release/11/beta/ichi/1541844492</x:t>
  </x:si>
  <x:si>
    <x:t>MNT.MK.AA</x:t>
  </x:si>
  <x:si>
    <x:t>- - - - - Repair of tendon of lower leg</x:t>
  </x:si>
  <x:si>
    <x:t>http://id.who.int/icd/entity/899591525</x:t>
  </x:si>
  <x:si>
    <x:t>http://id.who.int/icd/release/11/beta/ichi/899591525</x:t>
  </x:si>
  <x:si>
    <x:t>MNT.ML.AA</x:t>
  </x:si>
  <x:si>
    <x:t>- - - - - Reconstruction of tendon of lower leg</x:t>
  </x:si>
  <x:si>
    <x:t>http://id.who.int/icd/entity/994796711</x:t>
  </x:si>
  <x:si>
    <x:t>http://id.who.int/icd/release/11/beta/ichi/994796711</x:t>
  </x:si>
  <x:si>
    <x:t>BlockL4-MOB</x:t>
  </x:si>
  <x:si>
    <x:t>- - - - Interventions on musculoskeletal structures of foot</x:t>
  </x:si>
  <x:si>
    <x:t>http://id.who.int/icd/entity/2127432544</x:t>
  </x:si>
  <x:si>
    <x:t>http://id.who.int/icd/release/11/beta/ichi/2127432544</x:t>
  </x:si>
  <x:si>
    <x:t>MOB.AD.AA</x:t>
  </x:si>
  <x:si>
    <x:t>- - - - - Biopsy of tarsal or metatarsal bone</x:t>
  </x:si>
  <x:si>
    <x:t>http://id.who.int/icd/entity/1903657934</x:t>
  </x:si>
  <x:si>
    <x:t>http://id.who.int/icd/release/11/beta/ichi/1903657934</x:t>
  </x:si>
  <x:si>
    <x:t>MOB.AD.AE</x:t>
  </x:si>
  <x:si>
    <x:t>- - - - - Needle biopsy of tarsal or metatarsal bone</x:t>
  </x:si>
  <x:si>
    <x:t>http://id.who.int/icd/entity/79759295</x:t>
  </x:si>
  <x:si>
    <x:t>http://id.who.int/icd/release/11/beta/ichi/79759295</x:t>
  </x:si>
  <x:si>
    <x:t>MOB.BA.BA</x:t>
  </x:si>
  <x:si>
    <x:t>- - - - - X-ray of bones of foot or toe</x:t>
  </x:si>
  <x:si>
    <x:t>http://id.who.int/icd/entity/729939217</x:t>
  </x:si>
  <x:si>
    <x:t>http://id.who.int/icd/release/11/beta/ichi/729939217</x:t>
  </x:si>
  <x:si>
    <x:t>MOB.DN.AA</x:t>
  </x:si>
  <x:si>
    <x:t>- - - - - Implantation of device into tarsal or metatarsal</x:t>
  </x:si>
  <x:si>
    <x:t>http://id.who.int/icd/entity/1174011514</x:t>
  </x:si>
  <x:si>
    <x:t>http://id.who.int/icd/release/11/beta/ichi/1174011514</x:t>
  </x:si>
  <x:si>
    <x:t>MOB.DN.AE</x:t>
  </x:si>
  <x:si>
    <x:t>- - - - - Percutaneous implantation of device into bone of tarsal or metatarsal</x:t>
  </x:si>
  <x:si>
    <x:t>http://id.who.int/icd/entity/295174535</x:t>
  </x:si>
  <x:si>
    <x:t>http://id.who.int/icd/release/11/beta/ichi/295174535</x:t>
  </x:si>
  <x:si>
    <x:t>MOB.FA.AA</x:t>
  </x:si>
  <x:si>
    <x:t>- - - - - Osteotomy of tarsal or metatarsal without division</x:t>
  </x:si>
  <x:si>
    <x:t>http://id.who.int/icd/entity/1680840100</x:t>
  </x:si>
  <x:si>
    <x:t>http://id.who.int/icd/release/11/beta/ichi/1680840100</x:t>
  </x:si>
  <x:si>
    <x:t>MOB.FA.AB</x:t>
  </x:si>
  <x:si>
    <x:t>- - - - - Arthroscopic osteotomy of tarsal or metatarsal without division</x:t>
  </x:si>
  <x:si>
    <x:t>http://id.who.int/icd/entity/1970058708</x:t>
  </x:si>
  <x:si>
    <x:t>http://id.who.int/icd/release/11/beta/ichi/1970058708</x:t>
  </x:si>
  <x:si>
    <x:t>MOB.FA.AE</x:t>
  </x:si>
  <x:si>
    <x:t>- - - - - Percutaneous osteotomy of tarsal or metatarsal without division</x:t>
  </x:si>
  <x:si>
    <x:t>http://id.who.int/icd/entity/2069730512</x:t>
  </x:si>
  <x:si>
    <x:t>http://id.who.int/icd/release/11/beta/ichi/2069730512</x:t>
  </x:si>
  <x:si>
    <x:t>MOB.FB.AA</x:t>
  </x:si>
  <x:si>
    <x:t>- - - - - Division of bone of tarsal or metatarsal</x:t>
  </x:si>
  <x:si>
    <x:t>http://id.who.int/icd/entity/1525753968</x:t>
  </x:si>
  <x:si>
    <x:t>http://id.who.int/icd/release/11/beta/ichi/1525753968</x:t>
  </x:si>
  <x:si>
    <x:t>MOB.JD.AA</x:t>
  </x:si>
  <x:si>
    <x:t>- - - - - Removal of internal device or foreign body from tarsal or metatarsal</x:t>
  </x:si>
  <x:si>
    <x:t>http://id.who.int/icd/entity/342907195</x:t>
  </x:si>
  <x:si>
    <x:t>http://id.who.int/icd/release/11/beta/ichi/342907195</x:t>
  </x:si>
  <x:si>
    <x:t>MOB.JD.AH</x:t>
  </x:si>
  <x:si>
    <x:t>- - - - - Removal of internal device or foreign body from bone of tarsal or metatarsal without incision</x:t>
  </x:si>
  <x:si>
    <x:t>http://id.who.int/icd/entity/87259469</x:t>
  </x:si>
  <x:si>
    <x:t>http://id.who.int/icd/release/11/beta/ichi/87259469</x:t>
  </x:si>
  <x:si>
    <x:t>MOB.JG.AA</x:t>
  </x:si>
  <x:si>
    <x:t>- - - - - Debridement of tarsal or metatarsal</x:t>
  </x:si>
  <x:si>
    <x:t>http://id.who.int/icd/entity/889230023</x:t>
  </x:si>
  <x:si>
    <x:t>http://id.who.int/icd/release/11/beta/ichi/889230023</x:t>
  </x:si>
  <x:si>
    <x:t>MOB.JH.AA</x:t>
  </x:si>
  <x:si>
    <x:t>- - - - - Procurement of tarsal or metatarsal bone for graft</x:t>
  </x:si>
  <x:si>
    <x:t>http://id.who.int/icd/entity/985209429</x:t>
  </x:si>
  <x:si>
    <x:t>http://id.who.int/icd/release/11/beta/ichi/985209429</x:t>
  </x:si>
  <x:si>
    <x:t>MOB.JI.AA</x:t>
  </x:si>
  <x:si>
    <x:t>- - - - - Local excision of lesion of tarsal or metatarsal</x:t>
  </x:si>
  <x:si>
    <x:t>http://id.who.int/icd/entity/1421941052</x:t>
  </x:si>
  <x:si>
    <x:t>http://id.who.int/icd/release/11/beta/ichi/1421941052</x:t>
  </x:si>
  <x:si>
    <x:t>MOB.JJ.AA</x:t>
  </x:si>
  <x:si>
    <x:t>- - - - - Partial ostectomy of tarsal or metatarsal</x:t>
  </x:si>
  <x:si>
    <x:t>http://id.who.int/icd/entity/2135420685</x:t>
  </x:si>
  <x:si>
    <x:t>http://id.who.int/icd/release/11/beta/ichi/2135420685</x:t>
  </x:si>
  <x:si>
    <x:t>MOB.JJ.AB</x:t>
  </x:si>
  <x:si>
    <x:t>- - - - - Endoscopic partial ostectomy of tarsal or metatarsal bone</x:t>
  </x:si>
  <x:si>
    <x:t>http://id.who.int/icd/entity/1679231528</x:t>
  </x:si>
  <x:si>
    <x:t>http://id.who.int/icd/release/11/beta/ichi/1679231528</x:t>
  </x:si>
  <x:si>
    <x:t>MOB.JK.AA</x:t>
  </x:si>
  <x:si>
    <x:t>- - - - - Total ostectomy of tarsal or metatarsal</x:t>
  </x:si>
  <x:si>
    <x:t>http://id.who.int/icd/entity/819021225</x:t>
  </x:si>
  <x:si>
    <x:t>http://id.who.int/icd/release/11/beta/ichi/819021225</x:t>
  </x:si>
  <x:si>
    <x:t>MOB.JN.AA</x:t>
  </x:si>
  <x:si>
    <x:t>- - - - - Amputation of tarsal or metatarsal</x:t>
  </x:si>
  <x:si>
    <x:t>http://id.who.int/icd/entity/1164427740</x:t>
  </x:si>
  <x:si>
    <x:t>http://id.who.int/icd/release/11/beta/ichi/1164427740</x:t>
  </x:si>
  <x:si>
    <x:t>MOB.LC.AE</x:t>
  </x:si>
  <x:si>
    <x:t>- - - - - Percutaneous application of external immobilisation device to tarsal or metatarsal</x:t>
  </x:si>
  <x:si>
    <x:t>http://id.who.int/icd/entity/1855630668</x:t>
  </x:si>
  <x:si>
    <x:t>http://id.who.int/icd/release/11/beta/ichi/1855630668</x:t>
  </x:si>
  <x:si>
    <x:t>MOB.LC.AH</x:t>
  </x:si>
  <x:si>
    <x:t>- - - - - Application of external immobilisation device to tarsal or metatarsal</x:t>
  </x:si>
  <x:si>
    <x:t>http://id.who.int/icd/entity/2144963900</x:t>
  </x:si>
  <x:si>
    <x:t>http://id.who.int/icd/release/11/beta/ichi/2144963900</x:t>
  </x:si>
  <x:si>
    <x:t>MOB.LD.AA</x:t>
  </x:si>
  <x:si>
    <x:t>- - - - - Open reduction of tarsal or metatarsal</x:t>
  </x:si>
  <x:si>
    <x:t>http://id.who.int/icd/entity/1170239914</x:t>
  </x:si>
  <x:si>
    <x:t>http://id.who.int/icd/release/11/beta/ichi/1170239914</x:t>
  </x:si>
  <x:si>
    <x:t>MOB.LD.AH</x:t>
  </x:si>
  <x:si>
    <x:t>- - - - - Closed reduction of tarsal or metatarsal</x:t>
  </x:si>
  <x:si>
    <x:t>http://id.who.int/icd/entity/268211905</x:t>
  </x:si>
  <x:si>
    <x:t>http://id.who.int/icd/release/11/beta/ichi/268211905</x:t>
  </x:si>
  <x:si>
    <x:t>MOB.LE.AA</x:t>
  </x:si>
  <x:si>
    <x:t>- - - - - Fusion of tarsal or metatarsal</x:t>
  </x:si>
  <x:si>
    <x:t>http://id.who.int/icd/entity/525129747</x:t>
  </x:si>
  <x:si>
    <x:t>http://id.who.int/icd/release/11/beta/ichi/525129747</x:t>
  </x:si>
  <x:si>
    <x:t>MOB.LE.AB</x:t>
  </x:si>
  <x:si>
    <x:t>- - - - - Arthroscopic fusion of tarsal or metatarsal</x:t>
  </x:si>
  <x:si>
    <x:t>http://id.who.int/icd/entity/261594319</x:t>
  </x:si>
  <x:si>
    <x:t>http://id.who.int/icd/release/11/beta/ichi/261594319</x:t>
  </x:si>
  <x:si>
    <x:t>MOB.LK.AA</x:t>
  </x:si>
  <x:si>
    <x:t>- - - - - Lengthening procedure of tarsal or metatarsal</x:t>
  </x:si>
  <x:si>
    <x:t>http://id.who.int/icd/entity/1609319808</x:t>
  </x:si>
  <x:si>
    <x:t>http://id.who.int/icd/release/11/beta/ichi/1609319808</x:t>
  </x:si>
  <x:si>
    <x:t>MOB.LL.AA</x:t>
  </x:si>
  <x:si>
    <x:t>- - - - - Limb shortening procedure of tarsal or metatarsal</x:t>
  </x:si>
  <x:si>
    <x:t>http://id.who.int/icd/entity/3019869</x:t>
  </x:si>
  <x:si>
    <x:t>http://id.who.int/icd/release/11/beta/ichi/3019869</x:t>
  </x:si>
  <x:si>
    <x:t>MOB.ML.AA</x:t>
  </x:si>
  <x:si>
    <x:t>- - - - - Bone graft to tarsal or metatarsal</x:t>
  </x:si>
  <x:si>
    <x:t>http://id.who.int/icd/entity/187304689</x:t>
  </x:si>
  <x:si>
    <x:t>http://id.who.int/icd/release/11/beta/ichi/187304689</x:t>
  </x:si>
  <x:si>
    <x:t>MOJ.AD.AA</x:t>
  </x:si>
  <x:si>
    <x:t>- - - - - Biopsy of joint of foot or toe</x:t>
  </x:si>
  <x:si>
    <x:t>http://id.who.int/icd/entity/807272407</x:t>
  </x:si>
  <x:si>
    <x:t>http://id.who.int/icd/release/11/beta/ichi/807272407</x:t>
  </x:si>
  <x:si>
    <x:t>MOJ.AD.AB</x:t>
  </x:si>
  <x:si>
    <x:t>- - - - - Arthroscopic biopsy of joint of foot or toe</x:t>
  </x:si>
  <x:si>
    <x:t>http://id.who.int/icd/entity/1876930292</x:t>
  </x:si>
  <x:si>
    <x:t>http://id.who.int/icd/release/11/beta/ichi/1876930292</x:t>
  </x:si>
  <x:si>
    <x:t>MOJ.AD.AE</x:t>
  </x:si>
  <x:si>
    <x:t>- - - - - Needle biopsy of joint of foot or toe</x:t>
  </x:si>
  <x:si>
    <x:t>http://id.who.int/icd/entity/1067743045</x:t>
  </x:si>
  <x:si>
    <x:t>http://id.who.int/icd/release/11/beta/ichi/1067743045</x:t>
  </x:si>
  <x:si>
    <x:t>MOJ.AE.AB</x:t>
  </x:si>
  <x:si>
    <x:t>- - - - - Arthroscopy of joint of foot or toe</x:t>
  </x:si>
  <x:si>
    <x:t>http://id.who.int/icd/entity/980787243</x:t>
  </x:si>
  <x:si>
    <x:t>http://id.who.int/icd/release/11/beta/ichi/980787243</x:t>
  </x:si>
  <x:si>
    <x:t>MOJ.BA.BA</x:t>
  </x:si>
  <x:si>
    <x:t>- - - - - X-ray of joint of foot or toe</x:t>
  </x:si>
  <x:si>
    <x:t>http://id.who.int/icd/entity/355818117</x:t>
  </x:si>
  <x:si>
    <x:t>http://id.who.int/icd/release/11/beta/ichi/355818117</x:t>
  </x:si>
  <x:si>
    <x:t>MOJ.BA.BB</x:t>
  </x:si>
  <x:si>
    <x:t>- - - - - Arthrography of foot or toe</x:t>
  </x:si>
  <x:si>
    <x:t>http://id.who.int/icd/entity/1706553608</x:t>
  </x:si>
  <x:si>
    <x:t>http://id.who.int/icd/release/11/beta/ichi/1706553608</x:t>
  </x:si>
  <x:si>
    <x:t>MOJ.BA.BE</x:t>
  </x:si>
  <x:si>
    <x:t>- - - - - Nuclear imaging study of joint of foot or toe</x:t>
  </x:si>
  <x:si>
    <x:t>http://id.who.int/icd/entity/268531067</x:t>
  </x:si>
  <x:si>
    <x:t>http://id.who.int/icd/release/11/beta/ichi/268531067</x:t>
  </x:si>
  <x:si>
    <x:t>MOJ.BA.BH</x:t>
  </x:si>
  <x:si>
    <x:t>- - - - - Magnetic resonance imaging of joint of foot or toe, not elsewhere classified</x:t>
  </x:si>
  <x:si>
    <x:t>http://id.who.int/icd/entity/532217321</x:t>
  </x:si>
  <x:si>
    <x:t>http://id.who.int/icd/release/11/beta/ichi/532217321</x:t>
  </x:si>
  <x:si>
    <x:t>MOJ.BA.BI</x:t>
  </x:si>
  <x:si>
    <x:t>- - - - - Magnetic resonance imaging of joint of foot or toe with intravenous contrast</x:t>
  </x:si>
  <x:si>
    <x:t>http://id.who.int/icd/entity/1946270137</x:t>
  </x:si>
  <x:si>
    <x:t>http://id.who.int/icd/release/11/beta/ichi/1946270137</x:t>
  </x:si>
  <x:si>
    <x:t>MOJ.DB.AE</x:t>
  </x:si>
  <x:si>
    <x:t>- - - - - Injection into joint of foot or toe</x:t>
  </x:si>
  <x:si>
    <x:t>http://id.who.int/icd/entity/1610405161</x:t>
  </x:si>
  <x:si>
    <x:t>http://id.who.int/icd/release/11/beta/ichi/1610405161</x:t>
  </x:si>
  <x:si>
    <x:t>MOJ.DC.AE</x:t>
  </x:si>
  <x:si>
    <x:t>- - - - - Injection of anaesthesia into joint of foot or toe</x:t>
  </x:si>
  <x:si>
    <x:t>http://id.who.int/icd/entity/1362726076</x:t>
  </x:si>
  <x:si>
    <x:t>http://id.who.int/icd/release/11/beta/ichi/1362726076</x:t>
  </x:si>
  <x:si>
    <x:t>MOJ.DN.AA</x:t>
  </x:si>
  <x:si>
    <x:t>- - - - - Implantation of internal device of joint of foot or toe</x:t>
  </x:si>
  <x:si>
    <x:t>http://id.who.int/icd/entity/1847564039</x:t>
  </x:si>
  <x:si>
    <x:t>http://id.who.int/icd/release/11/beta/ichi/1847564039</x:t>
  </x:si>
  <x:si>
    <x:t>MOJ.DN.AB</x:t>
  </x:si>
  <x:si>
    <x:t>- - - - - Arthroscopic implantation of internal device into joint of foot or toe</x:t>
  </x:si>
  <x:si>
    <x:t>http://id.who.int/icd/entity/2128528994</x:t>
  </x:si>
  <x:si>
    <x:t>http://id.who.int/icd/release/11/beta/ichi/2128528994</x:t>
  </x:si>
  <x:si>
    <x:t>MOJ.FA.AA</x:t>
  </x:si>
  <x:si>
    <x:t>- - - - - Arthrotomy of joint of foot or toe</x:t>
  </x:si>
  <x:si>
    <x:t>http://id.who.int/icd/entity/1872619030</x:t>
  </x:si>
  <x:si>
    <x:t>http://id.who.int/icd/release/11/beta/ichi/1872619030</x:t>
  </x:si>
  <x:si>
    <x:t>MOJ.FB.AA</x:t>
  </x:si>
  <x:si>
    <x:t>- - - - - Division of joint capsule or cartilage of foot or toe</x:t>
  </x:si>
  <x:si>
    <x:t>http://id.who.int/icd/entity/1495498485</x:t>
  </x:si>
  <x:si>
    <x:t>http://id.who.int/icd/release/11/beta/ichi/1495498485</x:t>
  </x:si>
  <x:si>
    <x:t>MOJ.FC.AA</x:t>
  </x:si>
  <x:si>
    <x:t>- - - - - Release of joint of foot or toe</x:t>
  </x:si>
  <x:si>
    <x:t>http://id.who.int/icd/entity/320838048</x:t>
  </x:si>
  <x:si>
    <x:t>http://id.who.int/icd/release/11/beta/ichi/320838048</x:t>
  </x:si>
  <x:si>
    <x:t>MOJ.FC.AB</x:t>
  </x:si>
  <x:si>
    <x:t>- - - - - Arthroscopic release of joint of foot or toe</x:t>
  </x:si>
  <x:si>
    <x:t>http://id.who.int/icd/entity/2103941879</x:t>
  </x:si>
  <x:si>
    <x:t>http://id.who.int/icd/release/11/beta/ichi/2103941879</x:t>
  </x:si>
  <x:si>
    <x:t>MOJ.GA.AA</x:t>
  </x:si>
  <x:si>
    <x:t>- - - - - Destruction of lesion or tissue of joint of foot or toe</x:t>
  </x:si>
  <x:si>
    <x:t>http://id.who.int/icd/entity/1179676625</x:t>
  </x:si>
  <x:si>
    <x:t>http://id.who.int/icd/release/11/beta/ichi/1179676625</x:t>
  </x:si>
  <x:si>
    <x:t>MOJ.JB.AA</x:t>
  </x:si>
  <x:si>
    <x:t>- - - - - Drainage of joint of foot or toe</x:t>
  </x:si>
  <x:si>
    <x:t>http://id.who.int/icd/entity/429014772</x:t>
  </x:si>
  <x:si>
    <x:t>http://id.who.int/icd/release/11/beta/ichi/429014772</x:t>
  </x:si>
  <x:si>
    <x:t>MOJ.JB.AB</x:t>
  </x:si>
  <x:si>
    <x:t>- - - - - Arthroscopic drainage of joint of foot or toe</x:t>
  </x:si>
  <x:si>
    <x:t>http://id.who.int/icd/entity/1240065859</x:t>
  </x:si>
  <x:si>
    <x:t>http://id.who.int/icd/release/11/beta/ichi/1240065859</x:t>
  </x:si>
  <x:si>
    <x:t>MOJ.JB.AE</x:t>
  </x:si>
  <x:si>
    <x:t>- - - - - Percutaneous drainage of joint of foot or toe</x:t>
  </x:si>
  <x:si>
    <x:t>http://id.who.int/icd/entity/474212766</x:t>
  </x:si>
  <x:si>
    <x:t>http://id.who.int/icd/release/11/beta/ichi/474212766</x:t>
  </x:si>
  <x:si>
    <x:t>MOJ.JD.AA</x:t>
  </x:si>
  <x:si>
    <x:t>- - - - - Removal of internal device or foreign body from joint of foot or toe</x:t>
  </x:si>
  <x:si>
    <x:t>http://id.who.int/icd/entity/1132574911</x:t>
  </x:si>
  <x:si>
    <x:t>http://id.who.int/icd/release/11/beta/ichi/1132574911</x:t>
  </x:si>
  <x:si>
    <x:t>MOJ.JD.AB</x:t>
  </x:si>
  <x:si>
    <x:t>- - - - - Arthroscopic removal of internal device or foreign body from joint of foot or toe</x:t>
  </x:si>
  <x:si>
    <x:t>http://id.who.int/icd/entity/218155498</x:t>
  </x:si>
  <x:si>
    <x:t>http://id.who.int/icd/release/11/beta/ichi/218155498</x:t>
  </x:si>
  <x:si>
    <x:t>MOJ.JD.AH</x:t>
  </x:si>
  <x:si>
    <x:t>- - - - - Removal of internal device or foreign body from joint of foot or toe, without incision</x:t>
  </x:si>
  <x:si>
    <x:t>http://id.who.int/icd/entity/1397432585</x:t>
  </x:si>
  <x:si>
    <x:t>http://id.who.int/icd/release/11/beta/ichi/1397432585</x:t>
  </x:si>
  <x:si>
    <x:t>MOJ.JG.AA</x:t>
  </x:si>
  <x:si>
    <x:t>- - - - - Debridement of joint of foot or toe</x:t>
  </x:si>
  <x:si>
    <x:t>http://id.who.int/icd/entity/210333740</x:t>
  </x:si>
  <x:si>
    <x:t>http://id.who.int/icd/release/11/beta/ichi/210333740</x:t>
  </x:si>
  <x:si>
    <x:t>MOJ.JG.AB</x:t>
  </x:si>
  <x:si>
    <x:t>- - - - - Arthroscopic debridement of joint of foot or toe</x:t>
  </x:si>
  <x:si>
    <x:t>http://id.who.int/icd/entity/661920956</x:t>
  </x:si>
  <x:si>
    <x:t>http://id.who.int/icd/release/11/beta/ichi/661920956</x:t>
  </x:si>
  <x:si>
    <x:t>MOJ.JI.AA</x:t>
  </x:si>
  <x:si>
    <x:t>- - - - - Local excision of lesion of joint of foot or toe</x:t>
  </x:si>
  <x:si>
    <x:t>http://id.who.int/icd/entity/1930814277</x:t>
  </x:si>
  <x:si>
    <x:t>http://id.who.int/icd/release/11/beta/ichi/1930814277</x:t>
  </x:si>
  <x:si>
    <x:t>MOJ.JJ.AA</x:t>
  </x:si>
  <x:si>
    <x:t>- - - - - Partial excision of joint of foot or toe</x:t>
  </x:si>
  <x:si>
    <x:t>http://id.who.int/icd/entity/752333416</x:t>
  </x:si>
  <x:si>
    <x:t>http://id.who.int/icd/release/11/beta/ichi/752333416</x:t>
  </x:si>
  <x:si>
    <x:t>MOJ.JJ.AB</x:t>
  </x:si>
  <x:si>
    <x:t>- - - - - Arthroscopic partial excision of joint of foot or toe</x:t>
  </x:si>
  <x:si>
    <x:t>http://id.who.int/icd/entity/1118810383</x:t>
  </x:si>
  <x:si>
    <x:t>http://id.who.int/icd/release/11/beta/ichi/1118810383</x:t>
  </x:si>
  <x:si>
    <x:t>MOJ.JN.AA</x:t>
  </x:si>
  <x:si>
    <x:t>- - - - - Disarticulation of joint of foot or toe</x:t>
  </x:si>
  <x:si>
    <x:t>http://id.who.int/icd/entity/1700691322</x:t>
  </x:si>
  <x:si>
    <x:t>http://id.who.int/icd/release/11/beta/ichi/1700691322</x:t>
  </x:si>
  <x:si>
    <x:t>MOJ.KA.AA</x:t>
  </x:si>
  <x:si>
    <x:t>- - - - - Replacement of joint of foot or toe device</x:t>
  </x:si>
  <x:si>
    <x:t>http://id.who.int/icd/entity/960630304</x:t>
  </x:si>
  <x:si>
    <x:t>http://id.who.int/icd/release/11/beta/ichi/960630304</x:t>
  </x:si>
  <x:si>
    <x:t>MOJ.LB.AA</x:t>
  </x:si>
  <x:si>
    <x:t>- - - - - Reattachment of joint of foot or toe</x:t>
  </x:si>
  <x:si>
    <x:t>http://id.who.int/icd/entity/1719688963</x:t>
  </x:si>
  <x:si>
    <x:t>http://id.who.int/icd/release/11/beta/ichi/1719688963</x:t>
  </x:si>
  <x:si>
    <x:t>MOJ.LC.AA</x:t>
  </x:si>
  <x:si>
    <x:t>- - - - - Stabilisation of joint of foot or toe</x:t>
  </x:si>
  <x:si>
    <x:t>http://id.who.int/icd/entity/922453682</x:t>
  </x:si>
  <x:si>
    <x:t>http://id.who.int/icd/release/11/beta/ichi/922453682</x:t>
  </x:si>
  <x:si>
    <x:t>MOJ.LC.AE</x:t>
  </x:si>
  <x:si>
    <x:t>- - - - - Percutaneous application of external immobilisation device to joint of foot or toe</x:t>
  </x:si>
  <x:si>
    <x:t>http://id.who.int/icd/entity/322362226</x:t>
  </x:si>
  <x:si>
    <x:t>http://id.who.int/icd/release/11/beta/ichi/322362226</x:t>
  </x:si>
  <x:si>
    <x:t>MOJ.LC.AH</x:t>
  </x:si>
  <x:si>
    <x:t>- - - - - Application of external immobilisation of joint of foot or toe</x:t>
  </x:si>
  <x:si>
    <x:t>http://id.who.int/icd/entity/1812854895</x:t>
  </x:si>
  <x:si>
    <x:t>http://id.who.int/icd/release/11/beta/ichi/1812854895</x:t>
  </x:si>
  <x:si>
    <x:t>MOJ.LD.AA</x:t>
  </x:si>
  <x:si>
    <x:t>- - - - - Open reduction of joint of foot or toe</x:t>
  </x:si>
  <x:si>
    <x:t>http://id.who.int/icd/entity/41286406</x:t>
  </x:si>
  <x:si>
    <x:t>http://id.who.int/icd/release/11/beta/ichi/41286406</x:t>
  </x:si>
  <x:si>
    <x:t>MOJ.LD.AH</x:t>
  </x:si>
  <x:si>
    <x:t>- - - - - Closed reduction of joint of foot or toe</x:t>
  </x:si>
  <x:si>
    <x:t>http://id.who.int/icd/entity/744046840</x:t>
  </x:si>
  <x:si>
    <x:t>http://id.who.int/icd/release/11/beta/ichi/744046840</x:t>
  </x:si>
  <x:si>
    <x:t>MOJ.LE.AA</x:t>
  </x:si>
  <x:si>
    <x:t>- - - - - Arthrodesis of joint of foot or toe</x:t>
  </x:si>
  <x:si>
    <x:t>http://id.who.int/icd/entity/622746153</x:t>
  </x:si>
  <x:si>
    <x:t>http://id.who.int/icd/release/11/beta/ichi/622746153</x:t>
  </x:si>
  <x:si>
    <x:t>MOJ.LE.AB</x:t>
  </x:si>
  <x:si>
    <x:t>- - - - - Arthroscopic arthrodesis of joint of foot or toe</x:t>
  </x:si>
  <x:si>
    <x:t>http://id.who.int/icd/entity/1717938067</x:t>
  </x:si>
  <x:si>
    <x:t>http://id.who.int/icd/release/11/beta/ichi/1717938067</x:t>
  </x:si>
  <x:si>
    <x:t>MOJ.MK.AA</x:t>
  </x:si>
  <x:si>
    <x:t>- - - - - Repair of joint of foot or toe</x:t>
  </x:si>
  <x:si>
    <x:t>http://id.who.int/icd/entity/332604386</x:t>
  </x:si>
  <x:si>
    <x:t>http://id.who.int/icd/release/11/beta/ichi/332604386</x:t>
  </x:si>
  <x:si>
    <x:t>MOJ.PA.ZZ</x:t>
  </x:si>
  <x:si>
    <x:t>- - - - - Manipulation of joint of foot or toe</x:t>
  </x:si>
  <x:si>
    <x:t>http://id.who.int/icd/entity/476752756</x:t>
  </x:si>
  <x:si>
    <x:t>http://id.who.int/icd/release/11/beta/ichi/476752756</x:t>
  </x:si>
  <x:si>
    <x:t>MOJ.PB.ZZ</x:t>
  </x:si>
  <x:si>
    <x:t>- - - - - Mobilisation of joint of foot or toe</x:t>
  </x:si>
  <x:si>
    <x:t>http://id.who.int/icd/entity/1391188519</x:t>
  </x:si>
  <x:si>
    <x:t>http://id.who.int/icd/release/11/beta/ichi/1391188519</x:t>
  </x:si>
  <x:si>
    <x:t>MOL.FA.AA</x:t>
  </x:si>
  <x:si>
    <x:t>- - - - - Incision of ligament or fascia of foot or toe</x:t>
  </x:si>
  <x:si>
    <x:t>http://id.who.int/icd/entity/1125075489</x:t>
  </x:si>
  <x:si>
    <x:t>http://id.who.int/icd/release/11/beta/ichi/1125075489</x:t>
  </x:si>
  <x:si>
    <x:t>MOL.FB.AA</x:t>
  </x:si>
  <x:si>
    <x:t>- - - - - Division of ligament of foot or toe</x:t>
  </x:si>
  <x:si>
    <x:t>http://id.who.int/icd/entity/1010067776</x:t>
  </x:si>
  <x:si>
    <x:t>http://id.who.int/icd/release/11/beta/ichi/1010067776</x:t>
  </x:si>
  <x:si>
    <x:t>MOL.JJ.AA</x:t>
  </x:si>
  <x:si>
    <x:t>- - - - - Excision of ligament or fascia of foot or toe</x:t>
  </x:si>
  <x:si>
    <x:t>http://id.who.int/icd/entity/718351632</x:t>
  </x:si>
  <x:si>
    <x:t>http://id.who.int/icd/release/11/beta/ichi/718351632</x:t>
  </x:si>
  <x:si>
    <x:t>MOL.MK.AA</x:t>
  </x:si>
  <x:si>
    <x:t>- - - - - Suture of capsule or ligament of foot or toe</x:t>
  </x:si>
  <x:si>
    <x:t>http://id.who.int/icd/entity/2058024097</x:t>
  </x:si>
  <x:si>
    <x:t>http://id.who.int/icd/release/11/beta/ichi/2058024097</x:t>
  </x:si>
  <x:si>
    <x:t>MOL.ML.AA</x:t>
  </x:si>
  <x:si>
    <x:t>- - - - - Reconstruction of ligament of foot or toe</x:t>
  </x:si>
  <x:si>
    <x:t>http://id.who.int/icd/entity/93444032</x:t>
  </x:si>
  <x:si>
    <x:t>http://id.who.int/icd/release/11/beta/ichi/93444032</x:t>
  </x:si>
  <x:si>
    <x:t>MOM.ML.AA</x:t>
  </x:si>
  <x:si>
    <x:t>- - - - - Reconstruction of muscle of foot or toe</x:t>
  </x:si>
  <x:si>
    <x:t>http://id.who.int/icd/entity/778877744</x:t>
  </x:si>
  <x:si>
    <x:t>http://id.who.int/icd/release/11/beta/ichi/778877744</x:t>
  </x:si>
  <x:si>
    <x:t>MOT.FA.AA</x:t>
  </x:si>
  <x:si>
    <x:t>- - - - - Tenotomy of foot or toe</x:t>
  </x:si>
  <x:si>
    <x:t>http://id.who.int/icd/entity/358305290</x:t>
  </x:si>
  <x:si>
    <x:t>http://id.who.int/icd/release/11/beta/ichi/358305290</x:t>
  </x:si>
  <x:si>
    <x:t>MOT.FA.AE</x:t>
  </x:si>
  <x:si>
    <x:t>- - - - - Percutaneous tenotomy of foot or toe</x:t>
  </x:si>
  <x:si>
    <x:t>http://id.who.int/icd/entity/1251548971</x:t>
  </x:si>
  <x:si>
    <x:t>http://id.who.int/icd/release/11/beta/ichi/1251548971</x:t>
  </x:si>
  <x:si>
    <x:t>MOT.FB.AA</x:t>
  </x:si>
  <x:si>
    <x:t>- - - - - Division of tendon of foot or toe</x:t>
  </x:si>
  <x:si>
    <x:t>http://id.who.int/icd/entity/618732612</x:t>
  </x:si>
  <x:si>
    <x:t>http://id.who.int/icd/release/11/beta/ichi/618732612</x:t>
  </x:si>
  <x:si>
    <x:t>MOT.FC.AA</x:t>
  </x:si>
  <x:si>
    <x:t>- - - - - Release of tendon of foot or toe</x:t>
  </x:si>
  <x:si>
    <x:t>http://id.who.int/icd/entity/181249982</x:t>
  </x:si>
  <x:si>
    <x:t>http://id.who.int/icd/release/11/beta/ichi/181249982</x:t>
  </x:si>
  <x:si>
    <x:t>MOT.LK.AA</x:t>
  </x:si>
  <x:si>
    <x:t>- - - - - Lengthening of tendon of foot or toe</x:t>
  </x:si>
  <x:si>
    <x:t>http://id.who.int/icd/entity/1979090083</x:t>
  </x:si>
  <x:si>
    <x:t>http://id.who.int/icd/release/11/beta/ichi/1979090083</x:t>
  </x:si>
  <x:si>
    <x:t>MOT.MK.AA</x:t>
  </x:si>
  <x:si>
    <x:t>- - - - - Repair of tendon of foot or toe</x:t>
  </x:si>
  <x:si>
    <x:t>http://id.who.int/icd/entity/1891806045</x:t>
  </x:si>
  <x:si>
    <x:t>http://id.who.int/icd/release/11/beta/ichi/1891806045</x:t>
  </x:si>
  <x:si>
    <x:t>MOT.ML.AA</x:t>
  </x:si>
  <x:si>
    <x:t>- - - - - Reconstruction of tendon of foot or toe</x:t>
  </x:si>
  <x:si>
    <x:t>http://id.who.int/icd/entity/4194514</x:t>
  </x:si>
  <x:si>
    <x:t>http://id.who.int/icd/release/11/beta/ichi/4194514</x:t>
  </x:si>
  <x:si>
    <x:t>BlockL4-MQS</x:t>
  </x:si>
  <x:si>
    <x:t>- - - - Interventions on musculoskeletal structures of lower limb, not elsewhere classified</x:t>
  </x:si>
  <x:si>
    <x:t>http://id.who.int/icd/entity/549024492</x:t>
  </x:si>
  <x:si>
    <x:t>http://id.who.int/icd/release/11/beta/ichi/549024492</x:t>
  </x:si>
  <x:si>
    <x:t>MQS.PC.ZZ</x:t>
  </x:si>
  <x:si>
    <x:t>- - - - - Massage of soft tissue of lower limb, not elsewhere classified</x:t>
  </x:si>
  <x:si>
    <x:t>http://id.who.int/icd/entity/1954495843</x:t>
  </x:si>
  <x:si>
    <x:t>http://id.who.int/icd/release/11/beta/ichi/1954495843</x:t>
  </x:si>
  <x:si>
    <x:t>MQS.PD.ZZ</x:t>
  </x:si>
  <x:si>
    <x:t>- - - - - Soft tissue stretch of lower limb, not elsewhere classified</x:t>
  </x:si>
  <x:si>
    <x:t>http://id.who.int/icd/entity/1852474981</x:t>
  </x:si>
  <x:si>
    <x:t>http://id.who.int/icd/release/11/beta/ichi/1852474981</x:t>
  </x:si>
  <x:si>
    <x:t>MQS.SC.BJ</x:t>
  </x:si>
  <x:si>
    <x:t>- - - - - Extracorporeal shockwave therapy of lower limb, not elsewhere classified</x:t>
  </x:si>
  <x:si>
    <x:t>http://id.who.int/icd/entity/1641221879</x:t>
  </x:si>
  <x:si>
    <x:t>http://id.who.int/icd/release/11/beta/ichi/1641221879</x:t>
  </x:si>
  <x:si>
    <x:t>BlockL4-MRB</x:t>
  </x:si>
  <x:si>
    <x:t>- - - - Interventions on musculoskeletal structures, not elsewhere classified</x:t>
  </x:si>
  <x:si>
    <x:t>130</x:t>
  </x:si>
  <x:si>
    <x:t>http://id.who.int/icd/entity/290563450</x:t>
  </x:si>
  <x:si>
    <x:t>http://id.who.int/icd/release/11/beta/ichi/290563450</x:t>
  </x:si>
  <x:si>
    <x:t>MRB.AA.ZZ</x:t>
  </x:si>
  <x:si>
    <x:t>- - - - - Assessment of bone of unspecified site</x:t>
  </x:si>
  <x:si>
    <x:t>http://id.who.int/icd/entity/1142838069</x:t>
  </x:si>
  <x:si>
    <x:t>http://id.who.int/icd/release/11/beta/ichi/1142838069</x:t>
  </x:si>
  <x:si>
    <x:t>MRB.AC.BA</x:t>
  </x:si>
  <x:si>
    <x:t>- - - - - Bone mineral density studies</x:t>
  </x:si>
  <x:si>
    <x:t>http://id.who.int/icd/entity/1801365915</x:t>
  </x:si>
  <x:si>
    <x:t>http://id.who.int/icd/release/11/beta/ichi/1801365915</x:t>
  </x:si>
  <x:si>
    <x:t>MRB.AD.AA</x:t>
  </x:si>
  <x:si>
    <x:t>- - - - - Biopsy of bone of unspecified site</x:t>
  </x:si>
  <x:si>
    <x:t>http://id.who.int/icd/entity/1854897909</x:t>
  </x:si>
  <x:si>
    <x:t>http://id.who.int/icd/release/11/beta/ichi/1854897909</x:t>
  </x:si>
  <x:si>
    <x:t>MRB.AD.AE</x:t>
  </x:si>
  <x:si>
    <x:t>- - - - - Percutaneous biopsy of bone of unspecified site</x:t>
  </x:si>
  <x:si>
    <x:t>http://id.who.int/icd/entity/247942350</x:t>
  </x:si>
  <x:si>
    <x:t>http://id.who.int/icd/release/11/beta/ichi/247942350</x:t>
  </x:si>
  <x:si>
    <x:t>MRB.BA.BA</x:t>
  </x:si>
  <x:si>
    <x:t>- - - - - X-ray of bone of unspecified site</x:t>
  </x:si>
  <x:si>
    <x:t>http://id.who.int/icd/entity/16219550</x:t>
  </x:si>
  <x:si>
    <x:t>http://id.who.int/icd/release/11/beta/ichi/16219550</x:t>
  </x:si>
  <x:si>
    <x:t>MRB.BA.BC</x:t>
  </x:si>
  <x:si>
    <x:t>- - - - - Computerised tomography of bone of unspecified site</x:t>
  </x:si>
  <x:si>
    <x:t>http://id.who.int/icd/entity/827142104</x:t>
  </x:si>
  <x:si>
    <x:t>http://id.who.int/icd/release/11/beta/ichi/827142104</x:t>
  </x:si>
  <x:si>
    <x:t>MRB.BA.BE</x:t>
  </x:si>
  <x:si>
    <x:t>- - - - - Nuclear imaging study of bone of unspecified site</x:t>
  </x:si>
  <x:si>
    <x:t>http://id.who.int/icd/entity/562542178</x:t>
  </x:si>
  <x:si>
    <x:t>http://id.who.int/icd/release/11/beta/ichi/562542178</x:t>
  </x:si>
  <x:si>
    <x:t>MRB.BA.BH</x:t>
  </x:si>
  <x:si>
    <x:t>- - - - - Magnetic resonance imaging of bone of unspecified site</x:t>
  </x:si>
  <x:si>
    <x:t>http://id.who.int/icd/entity/2118510403</x:t>
  </x:si>
  <x:si>
    <x:t>http://id.who.int/icd/release/11/beta/ichi/2118510403</x:t>
  </x:si>
  <x:si>
    <x:t>MRB.DB.AE</x:t>
  </x:si>
  <x:si>
    <x:t>- - - - - Injection into bone of unspecified site</x:t>
  </x:si>
  <x:si>
    <x:t>http://id.who.int/icd/entity/2128762675</x:t>
  </x:si>
  <x:si>
    <x:t>http://id.who.int/icd/release/11/beta/ichi/2128762675</x:t>
  </x:si>
  <x:si>
    <x:t>MRB.DN.AA</x:t>
  </x:si>
  <x:si>
    <x:t>- - - - - Implantation of device into bone of unspecified site</x:t>
  </x:si>
  <x:si>
    <x:t>http://id.who.int/icd/entity/235665072</x:t>
  </x:si>
  <x:si>
    <x:t>http://id.who.int/icd/release/11/beta/ichi/235665072</x:t>
  </x:si>
  <x:si>
    <x:t>MRB.DN.AE</x:t>
  </x:si>
  <x:si>
    <x:t>- - - - - Percutaneous implantation of device into bone of unspecified site</x:t>
  </x:si>
  <x:si>
    <x:t>http://id.who.int/icd/entity/155624366</x:t>
  </x:si>
  <x:si>
    <x:t>http://id.who.int/icd/release/11/beta/ichi/155624366</x:t>
  </x:si>
  <x:si>
    <x:t>MRB.DN.AH</x:t>
  </x:si>
  <x:si>
    <x:t>- - - - - Noninvasive placement of external device of bone of unspecified site</x:t>
  </x:si>
  <x:si>
    <x:t>http://id.who.int/icd/entity/28474914</x:t>
  </x:si>
  <x:si>
    <x:t>http://id.who.int/icd/release/11/beta/ichi/28474914</x:t>
  </x:si>
  <x:si>
    <x:t>MRB.FA.AA</x:t>
  </x:si>
  <x:si>
    <x:t>- - - - - Incision of bone of unspecified site, without division</x:t>
  </x:si>
  <x:si>
    <x:t>http://id.who.int/icd/entity/1643793433</x:t>
  </x:si>
  <x:si>
    <x:t>http://id.who.int/icd/release/11/beta/ichi/1643793433</x:t>
  </x:si>
  <x:si>
    <x:t>MRB.FB.AA</x:t>
  </x:si>
  <x:si>
    <x:t>- - - - - Division of bone of unspecified site</x:t>
  </x:si>
  <x:si>
    <x:t>http://id.who.int/icd/entity/293136276</x:t>
  </x:si>
  <x:si>
    <x:t>http://id.who.int/icd/release/11/beta/ichi/293136276</x:t>
  </x:si>
  <x:si>
    <x:t>MRB.GA.AA</x:t>
  </x:si>
  <x:si>
    <x:t>- - - - - Destruction of bone of unspecified site</x:t>
  </x:si>
  <x:si>
    <x:t>http://id.who.int/icd/entity/1043864892</x:t>
  </x:si>
  <x:si>
    <x:t>http://id.who.int/icd/release/11/beta/ichi/1043864892</x:t>
  </x:si>
  <x:si>
    <x:t>MRB.JD.AA</x:t>
  </x:si>
  <x:si>
    <x:t>- - - - - Removal of internal device or foreign body from bone of unspecified site</x:t>
  </x:si>
  <x:si>
    <x:t>http://id.who.int/icd/entity/1586878353</x:t>
  </x:si>
  <x:si>
    <x:t>http://id.who.int/icd/release/11/beta/ichi/1586878353</x:t>
  </x:si>
  <x:si>
    <x:t>MRB.JD.AH</x:t>
  </x:si>
  <x:si>
    <x:t>- - - - - Removal of internal device or foreign body from bone of unspecified site, without incision</x:t>
  </x:si>
  <x:si>
    <x:t>http://id.who.int/icd/entity/1361862403</x:t>
  </x:si>
  <x:si>
    <x:t>http://id.who.int/icd/release/11/beta/ichi/1361862403</x:t>
  </x:si>
  <x:si>
    <x:t>MRB.JG.AA</x:t>
  </x:si>
  <x:si>
    <x:t>- - - - - Debridement of bone of unspecified site</x:t>
  </x:si>
  <x:si>
    <x:t>http://id.who.int/icd/entity/565114000</x:t>
  </x:si>
  <x:si>
    <x:t>http://id.who.int/icd/release/11/beta/ichi/565114000</x:t>
  </x:si>
  <x:si>
    <x:t>MRB.JH.AA</x:t>
  </x:si>
  <x:si>
    <x:t>- - - - - Procurement of bone from unspecified site for graft</x:t>
  </x:si>
  <x:si>
    <x:t>http://id.who.int/icd/entity/614128498</x:t>
  </x:si>
  <x:si>
    <x:t>http://id.who.int/icd/release/11/beta/ichi/614128498</x:t>
  </x:si>
  <x:si>
    <x:t>MRB.JI.AA</x:t>
  </x:si>
  <x:si>
    <x:t>- - - - - Local excision of lesion of bone of unspecified site</x:t>
  </x:si>
  <x:si>
    <x:t>http://id.who.int/icd/entity/2069400147</x:t>
  </x:si>
  <x:si>
    <x:t>http://id.who.int/icd/release/11/beta/ichi/2069400147</x:t>
  </x:si>
  <x:si>
    <x:t>MRB.JJ.AA</x:t>
  </x:si>
  <x:si>
    <x:t>- - - - - Partial ostectomy of unspecified site</x:t>
  </x:si>
  <x:si>
    <x:t>http://id.who.int/icd/entity/198844894</x:t>
  </x:si>
  <x:si>
    <x:t>http://id.who.int/icd/release/11/beta/ichi/198844894</x:t>
  </x:si>
  <x:si>
    <x:t>MRB.JK.AA</x:t>
  </x:si>
  <x:si>
    <x:t>- - - - - Total ostectomy of unspecified site</x:t>
  </x:si>
  <x:si>
    <x:t>http://id.who.int/icd/entity/289058678</x:t>
  </x:si>
  <x:si>
    <x:t>http://id.who.int/icd/release/11/beta/ichi/289058678</x:t>
  </x:si>
  <x:si>
    <x:t>MRB.LC.AE</x:t>
  </x:si>
  <x:si>
    <x:t>- - - - - Percutaneous application of external immobilisation device to bone of unspecified site</x:t>
  </x:si>
  <x:si>
    <x:t>http://id.who.int/icd/entity/894013658</x:t>
  </x:si>
  <x:si>
    <x:t>http://id.who.int/icd/release/11/beta/ichi/894013658</x:t>
  </x:si>
  <x:si>
    <x:t>MRB.LC.AH</x:t>
  </x:si>
  <x:si>
    <x:t>- - - - - Application of external immobilisation device to bone of unspecified site</x:t>
  </x:si>
  <x:si>
    <x:t>http://id.who.int/icd/entity/1048204762</x:t>
  </x:si>
  <x:si>
    <x:t>http://id.who.int/icd/release/11/beta/ichi/1048204762</x:t>
  </x:si>
  <x:si>
    <x:t>MRB.LD.AA</x:t>
  </x:si>
  <x:si>
    <x:t>- - - - - Open reduction of bone of unspecified site</x:t>
  </x:si>
  <x:si>
    <x:t>http://id.who.int/icd/entity/1324940887</x:t>
  </x:si>
  <x:si>
    <x:t>http://id.who.int/icd/release/11/beta/ichi/1324940887</x:t>
  </x:si>
  <x:si>
    <x:t>MRB.LD.AH</x:t>
  </x:si>
  <x:si>
    <x:t>- - - - - Closed reduction of bone of unspecified site</x:t>
  </x:si>
  <x:si>
    <x:t>http://id.who.int/icd/entity/1465752232</x:t>
  </x:si>
  <x:si>
    <x:t>http://id.who.int/icd/release/11/beta/ichi/1465752232</x:t>
  </x:si>
  <x:si>
    <x:t>MRB.LK.AA</x:t>
  </x:si>
  <x:si>
    <x:t>- - - - - Limb lengthening procedures of unspecified site</x:t>
  </x:si>
  <x:si>
    <x:t>http://id.who.int/icd/entity/144690059</x:t>
  </x:si>
  <x:si>
    <x:t>http://id.who.int/icd/release/11/beta/ichi/144690059</x:t>
  </x:si>
  <x:si>
    <x:t>MRB.LL.AA</x:t>
  </x:si>
  <x:si>
    <x:t>- - - - - Limb shortening procedures of unspecified site</x:t>
  </x:si>
  <x:si>
    <x:t>http://id.who.int/icd/entity/593667867</x:t>
  </x:si>
  <x:si>
    <x:t>http://id.who.int/icd/release/11/beta/ichi/593667867</x:t>
  </x:si>
  <x:si>
    <x:t>MRB.ML.AA</x:t>
  </x:si>
  <x:si>
    <x:t>- - - - - Bone graft of unspecified site</x:t>
  </x:si>
  <x:si>
    <x:t>http://id.who.int/icd/entity/1573928388</x:t>
  </x:si>
  <x:si>
    <x:t>http://id.who.int/icd/release/11/beta/ichi/1573928388</x:t>
  </x:si>
  <x:si>
    <x:t>MRJ.AA.ZZ</x:t>
  </x:si>
  <x:si>
    <x:t>- - - - - Assessment of joint of unspecified site</x:t>
  </x:si>
  <x:si>
    <x:t>http://id.who.int/icd/entity/585834203</x:t>
  </x:si>
  <x:si>
    <x:t>http://id.who.int/icd/release/11/beta/ichi/585834203</x:t>
  </x:si>
  <x:si>
    <x:t>MRJ.AD.AA</x:t>
  </x:si>
  <x:si>
    <x:t>- - - - - Biopsy of joint of unspecified site</x:t>
  </x:si>
  <x:si>
    <x:t>http://id.who.int/icd/entity/152465995</x:t>
  </x:si>
  <x:si>
    <x:t>http://id.who.int/icd/release/11/beta/ichi/152465995</x:t>
  </x:si>
  <x:si>
    <x:t>MRJ.AD.AE</x:t>
  </x:si>
  <x:si>
    <x:t>- - - - - Percutaneous biopsy of joint of unspecified site</x:t>
  </x:si>
  <x:si>
    <x:t>http://id.who.int/icd/entity/130268041</x:t>
  </x:si>
  <x:si>
    <x:t>http://id.who.int/icd/release/11/beta/ichi/130268041</x:t>
  </x:si>
  <x:si>
    <x:t>MRJ.AE.AB</x:t>
  </x:si>
  <x:si>
    <x:t>- - - - - Arthroscopy of unspecified site</x:t>
  </x:si>
  <x:si>
    <x:t>http://id.who.int/icd/entity/1476520618</x:t>
  </x:si>
  <x:si>
    <x:t>http://id.who.int/icd/release/11/beta/ichi/1476520618</x:t>
  </x:si>
  <x:si>
    <x:t>MRJ.BA.BB</x:t>
  </x:si>
  <x:si>
    <x:t>- - - - - Arthrography of unspecified site</x:t>
  </x:si>
  <x:si>
    <x:t>http://id.who.int/icd/entity/464314436</x:t>
  </x:si>
  <x:si>
    <x:t>http://id.who.int/icd/release/11/beta/ichi/464314436</x:t>
  </x:si>
  <x:si>
    <x:t>MRJ.BA.BC</x:t>
  </x:si>
  <x:si>
    <x:t>- - - - - Computerised tomography of joint of unspecified site</x:t>
  </x:si>
  <x:si>
    <x:t>http://id.who.int/icd/entity/810650836</x:t>
  </x:si>
  <x:si>
    <x:t>http://id.who.int/icd/release/11/beta/ichi/810650836</x:t>
  </x:si>
  <x:si>
    <x:t>MRJ.BA.BD</x:t>
  </x:si>
  <x:si>
    <x:t>- - - - - Computerised tomography of joint of unspecified site with contrast medium</x:t>
  </x:si>
  <x:si>
    <x:t>http://id.who.int/icd/entity/1680896813</x:t>
  </x:si>
  <x:si>
    <x:t>http://id.who.int/icd/release/11/beta/ichi/1680896813</x:t>
  </x:si>
  <x:si>
    <x:t>MRJ.BA.BH</x:t>
  </x:si>
  <x:si>
    <x:t>- - - - - Magnetic resonance imaging of joint of unspecified site</x:t>
  </x:si>
  <x:si>
    <x:t>http://id.who.int/icd/entity/1005724176</x:t>
  </x:si>
  <x:si>
    <x:t>http://id.who.int/icd/release/11/beta/ichi/1005724176</x:t>
  </x:si>
  <x:si>
    <x:t>MRJ.BA.BI</x:t>
  </x:si>
  <x:si>
    <x:t>- - - - - Magnetic resonance imaging of joint of unspecified site with contrast medium</x:t>
  </x:si>
  <x:si>
    <x:t>http://id.who.int/icd/entity/1392899080</x:t>
  </x:si>
  <x:si>
    <x:t>http://id.who.int/icd/release/11/beta/ichi/1392899080</x:t>
  </x:si>
  <x:si>
    <x:t>MRJ.DB.AE</x:t>
  </x:si>
  <x:si>
    <x:t>- - - - - Injection into joint of unspecified site</x:t>
  </x:si>
  <x:si>
    <x:t>http://id.who.int/icd/entity/1856208883</x:t>
  </x:si>
  <x:si>
    <x:t>http://id.who.int/icd/release/11/beta/ichi/1856208883</x:t>
  </x:si>
  <x:si>
    <x:t>MRJ.DC.AE</x:t>
  </x:si>
  <x:si>
    <x:t>- - - - - Injection of anaesthesia into joint of unspecified site</x:t>
  </x:si>
  <x:si>
    <x:t>http://id.who.int/icd/entity/1748107554</x:t>
  </x:si>
  <x:si>
    <x:t>http://id.who.int/icd/release/11/beta/ichi/1748107554</x:t>
  </x:si>
  <x:si>
    <x:t>MRJ.DN.AA</x:t>
  </x:si>
  <x:si>
    <x:t>- - - - - Implantation of device into joint of unspecified site</x:t>
  </x:si>
  <x:si>
    <x:t>http://id.who.int/icd/entity/1384926662</x:t>
  </x:si>
  <x:si>
    <x:t>http://id.who.int/icd/release/11/beta/ichi/1384926662</x:t>
  </x:si>
  <x:si>
    <x:t>MRJ.FA.AA</x:t>
  </x:si>
  <x:si>
    <x:t>- - - - - Arthrotomy of unspecified site</x:t>
  </x:si>
  <x:si>
    <x:t>http://id.who.int/icd/entity/1648625088</x:t>
  </x:si>
  <x:si>
    <x:t>http://id.who.int/icd/release/11/beta/ichi/1648625088</x:t>
  </x:si>
  <x:si>
    <x:t>MRJ.FB.AA</x:t>
  </x:si>
  <x:si>
    <x:t>- - - - - Division of joint capsule or cartilage of unspecified site</x:t>
  </x:si>
  <x:si>
    <x:t>http://id.who.int/icd/entity/2037457238</x:t>
  </x:si>
  <x:si>
    <x:t>http://id.who.int/icd/release/11/beta/ichi/2037457238</x:t>
  </x:si>
  <x:si>
    <x:t>MRJ.FC.AA</x:t>
  </x:si>
  <x:si>
    <x:t>- - - - - Release of joint of unspecified site</x:t>
  </x:si>
  <x:si>
    <x:t>http://id.who.int/icd/entity/1986992566</x:t>
  </x:si>
  <x:si>
    <x:t>http://id.who.int/icd/release/11/beta/ichi/1986992566</x:t>
  </x:si>
  <x:si>
    <x:t>MRJ.GA.AA</x:t>
  </x:si>
  <x:si>
    <x:t>- - - - - Destruction of lesion or tissue of joint of unspecified site</x:t>
  </x:si>
  <x:si>
    <x:t>http://id.who.int/icd/entity/1730951618</x:t>
  </x:si>
  <x:si>
    <x:t>http://id.who.int/icd/release/11/beta/ichi/1730951618</x:t>
  </x:si>
  <x:si>
    <x:t>MRJ.JA.AA</x:t>
  </x:si>
  <x:si>
    <x:t>- - - - - Irrigation of joint of unspecified site</x:t>
  </x:si>
  <x:si>
    <x:t>http://id.who.int/icd/entity/1454073055</x:t>
  </x:si>
  <x:si>
    <x:t>http://id.who.int/icd/release/11/beta/ichi/1454073055</x:t>
  </x:si>
  <x:si>
    <x:t>MRJ.JA.AB</x:t>
  </x:si>
  <x:si>
    <x:t>- - - - - Percutaneous endoscopic irrigation of joint of unspecified site</x:t>
  </x:si>
  <x:si>
    <x:t>http://id.who.int/icd/entity/1924760966</x:t>
  </x:si>
  <x:si>
    <x:t>http://id.who.int/icd/release/11/beta/ichi/1924760966</x:t>
  </x:si>
  <x:si>
    <x:t>MRJ.JA.AE</x:t>
  </x:si>
  <x:si>
    <x:t>- - - - - Percutaneous irrigation of joint of unspecified site</x:t>
  </x:si>
  <x:si>
    <x:t>http://id.who.int/icd/entity/482445037</x:t>
  </x:si>
  <x:si>
    <x:t>http://id.who.int/icd/release/11/beta/ichi/482445037</x:t>
  </x:si>
  <x:si>
    <x:t>MRJ.JB.AA</x:t>
  </x:si>
  <x:si>
    <x:t>- - - - - Drainage of joint of unspecified site</x:t>
  </x:si>
  <x:si>
    <x:t>http://id.who.int/icd/entity/1761524576</x:t>
  </x:si>
  <x:si>
    <x:t>http://id.who.int/icd/release/11/beta/ichi/1761524576</x:t>
  </x:si>
  <x:si>
    <x:t>MRJ.JB.AE</x:t>
  </x:si>
  <x:si>
    <x:t>- - - - - Percutaneous drainage of joint of unspecified site</x:t>
  </x:si>
  <x:si>
    <x:t>http://id.who.int/icd/entity/1841992866</x:t>
  </x:si>
  <x:si>
    <x:t>http://id.who.int/icd/release/11/beta/ichi/1841992866</x:t>
  </x:si>
  <x:si>
    <x:t>MRJ.JD.AA</x:t>
  </x:si>
  <x:si>
    <x:t>- - - - - Removal of internal device or foreign body of joint of unspecified site</x:t>
  </x:si>
  <x:si>
    <x:t>http://id.who.int/icd/entity/839435651</x:t>
  </x:si>
  <x:si>
    <x:t>http://id.who.int/icd/release/11/beta/ichi/839435651</x:t>
  </x:si>
  <x:si>
    <x:t>MRJ.JG.AA</x:t>
  </x:si>
  <x:si>
    <x:t>- - - - - Debridement of joint of unspecified site</x:t>
  </x:si>
  <x:si>
    <x:t>http://id.who.int/icd/entity/1550894828</x:t>
  </x:si>
  <x:si>
    <x:t>http://id.who.int/icd/release/11/beta/ichi/1550894828</x:t>
  </x:si>
  <x:si>
    <x:t>MRJ.JI.AA</x:t>
  </x:si>
  <x:si>
    <x:t>- - - - - Local excision of lesion of joint of unspecified site</x:t>
  </x:si>
  <x:si>
    <x:t>http://id.who.int/icd/entity/387997905</x:t>
  </x:si>
  <x:si>
    <x:t>http://id.who.int/icd/release/11/beta/ichi/387997905</x:t>
  </x:si>
  <x:si>
    <x:t>MRJ.JJ.AA</x:t>
  </x:si>
  <x:si>
    <x:t>- - - - - Partial excision of joint of unspecified site</x:t>
  </x:si>
  <x:si>
    <x:t>http://id.who.int/icd/entity/1746617296</x:t>
  </x:si>
  <x:si>
    <x:t>http://id.who.int/icd/release/11/beta/ichi/1746617296</x:t>
  </x:si>
  <x:si>
    <x:t>MRJ.JJ.AB</x:t>
  </x:si>
  <x:si>
    <x:t>- - - - - Arthroscopic partial excision of joint of unspecified site</x:t>
  </x:si>
  <x:si>
    <x:t>http://id.who.int/icd/entity/647639707</x:t>
  </x:si>
  <x:si>
    <x:t>http://id.who.int/icd/release/11/beta/ichi/647639707</x:t>
  </x:si>
  <x:si>
    <x:t>MRJ.JN.AA</x:t>
  </x:si>
  <x:si>
    <x:t>- - - - - Disarticulation of joint of unspecified site</x:t>
  </x:si>
  <x:si>
    <x:t>http://id.who.int/icd/entity/1479059524</x:t>
  </x:si>
  <x:si>
    <x:t>http://id.who.int/icd/release/11/beta/ichi/1479059524</x:t>
  </x:si>
  <x:si>
    <x:t>MRJ.LC.AA</x:t>
  </x:si>
  <x:si>
    <x:t>- - - - - Stabilisation of joint of unspecified site</x:t>
  </x:si>
  <x:si>
    <x:t>http://id.who.int/icd/entity/132839783</x:t>
  </x:si>
  <x:si>
    <x:t>http://id.who.int/icd/release/11/beta/ichi/132839783</x:t>
  </x:si>
  <x:si>
    <x:t>MRJ.LC.AH</x:t>
  </x:si>
  <x:si>
    <x:t>- - - - - Application of external immobilisation device of joint of unspecified site</x:t>
  </x:si>
  <x:si>
    <x:t>http://id.who.int/icd/entity/739743223</x:t>
  </x:si>
  <x:si>
    <x:t>http://id.who.int/icd/release/11/beta/ichi/739743223</x:t>
  </x:si>
  <x:si>
    <x:t>MRJ.LD.AA</x:t>
  </x:si>
  <x:si>
    <x:t>- - - - - Open reduction of joint of unspecified site</x:t>
  </x:si>
  <x:si>
    <x:t>http://id.who.int/icd/entity/1485772854</x:t>
  </x:si>
  <x:si>
    <x:t>http://id.who.int/icd/release/11/beta/ichi/1485772854</x:t>
  </x:si>
  <x:si>
    <x:t>MRJ.LD.AH</x:t>
  </x:si>
  <x:si>
    <x:t>- - - - - Closed reduction of joint of unspecified site</x:t>
  </x:si>
  <x:si>
    <x:t>http://id.who.int/icd/entity/313786207</x:t>
  </x:si>
  <x:si>
    <x:t>http://id.who.int/icd/release/11/beta/ichi/313786207</x:t>
  </x:si>
  <x:si>
    <x:t>MRJ.LE.AA</x:t>
  </x:si>
  <x:si>
    <x:t>- - - - - Arthrodesis of joint of unspecified site</x:t>
  </x:si>
  <x:si>
    <x:t>http://id.who.int/icd/entity/857687009</x:t>
  </x:si>
  <x:si>
    <x:t>http://id.who.int/icd/release/11/beta/ichi/857687009</x:t>
  </x:si>
  <x:si>
    <x:t>MRJ.MK.AA</x:t>
  </x:si>
  <x:si>
    <x:t>- - - - - Repair of joint of unspecified site</x:t>
  </x:si>
  <x:si>
    <x:t>http://id.who.int/icd/entity/1667537488</x:t>
  </x:si>
  <x:si>
    <x:t>http://id.who.int/icd/release/11/beta/ichi/1667537488</x:t>
  </x:si>
  <x:si>
    <x:t>MRJ.PA.ZZ</x:t>
  </x:si>
  <x:si>
    <x:t>- - - - - Manipulation of joint of unspecified site</x:t>
  </x:si>
  <x:si>
    <x:t>http://id.who.int/icd/entity/1277452544</x:t>
  </x:si>
  <x:si>
    <x:t>http://id.who.int/icd/release/11/beta/ichi/1277452544</x:t>
  </x:si>
  <x:si>
    <x:t>MRJ.PB.ZZ</x:t>
  </x:si>
  <x:si>
    <x:t>- - - - - Mobilisation of joint of unspecified site</x:t>
  </x:si>
  <x:si>
    <x:t>http://id.who.int/icd/entity/2081917812</x:t>
  </x:si>
  <x:si>
    <x:t>http://id.who.int/icd/release/11/beta/ichi/2081917812</x:t>
  </x:si>
  <x:si>
    <x:t>MRM.AA.ZZ</x:t>
  </x:si>
  <x:si>
    <x:t>- - - - - Assessment of muscle of unspecified site</x:t>
  </x:si>
  <x:si>
    <x:t>http://id.who.int/icd/entity/1997772250</x:t>
  </x:si>
  <x:si>
    <x:t>http://id.who.int/icd/release/11/beta/ichi/1997772250</x:t>
  </x:si>
  <x:si>
    <x:t>MRM.AB.AE</x:t>
  </x:si>
  <x:si>
    <x:t>- - - - - Electromyography</x:t>
  </x:si>
  <x:si>
    <x:t>http://id.who.int/icd/entity/84935358</x:t>
  </x:si>
  <x:si>
    <x:t>http://id.who.int/icd/release/11/beta/ichi/84935358</x:t>
  </x:si>
  <x:si>
    <x:t>MRM.AB.AH</x:t>
  </x:si>
  <x:si>
    <x:t>- - - - - Surface electromyography</x:t>
  </x:si>
  <x:si>
    <x:t>http://id.who.int/icd/entity/601217623</x:t>
  </x:si>
  <x:si>
    <x:t>http://id.who.int/icd/release/11/beta/ichi/601217623</x:t>
  </x:si>
  <x:si>
    <x:t>MRM.AD.AA</x:t>
  </x:si>
  <x:si>
    <x:t>- - - - - Biopsy of muscle of unspecified site</x:t>
  </x:si>
  <x:si>
    <x:t>http://id.who.int/icd/entity/1091312059</x:t>
  </x:si>
  <x:si>
    <x:t>http://id.who.int/icd/release/11/beta/ichi/1091312059</x:t>
  </x:si>
  <x:si>
    <x:t>MRM.AI.AE</x:t>
  </x:si>
  <x:si>
    <x:t>- - - - - Compartment pressure monitoring</x:t>
  </x:si>
  <x:si>
    <x:t>http://id.who.int/icd/entity/234447273</x:t>
  </x:si>
  <x:si>
    <x:t>http://id.who.int/icd/release/11/beta/ichi/234447273</x:t>
  </x:si>
  <x:si>
    <x:t>MRM.BA.BA</x:t>
  </x:si>
  <x:si>
    <x:t>- - - - - Imaging of muscle of unspecified site</x:t>
  </x:si>
  <x:si>
    <x:t>http://id.who.int/icd/entity/637799737</x:t>
  </x:si>
  <x:si>
    <x:t>http://id.who.int/icd/release/11/beta/ichi/637799737</x:t>
  </x:si>
  <x:si>
    <x:t>MRM.BA.BJ</x:t>
  </x:si>
  <x:si>
    <x:t>- - - - - Ultrasound of muscle of unspecified site</x:t>
  </x:si>
  <x:si>
    <x:t>http://id.who.int/icd/entity/481968607</x:t>
  </x:si>
  <x:si>
    <x:t>http://id.who.int/icd/release/11/beta/ichi/481968607</x:t>
  </x:si>
  <x:si>
    <x:t>MRM.DB.AE</x:t>
  </x:si>
  <x:si>
    <x:t>- - - - - Injection into muscle of unspecified site</x:t>
  </x:si>
  <x:si>
    <x:t>http://id.who.int/icd/entity/1762444716</x:t>
  </x:si>
  <x:si>
    <x:t>http://id.who.int/icd/release/11/beta/ichi/1762444716</x:t>
  </x:si>
  <x:si>
    <x:t>MRM.DN.AA</x:t>
  </x:si>
  <x:si>
    <x:t>- - - - - Implantation of device into muscle of unspecified site</x:t>
  </x:si>
  <x:si>
    <x:t>http://id.who.int/icd/entity/428764705</x:t>
  </x:si>
  <x:si>
    <x:t>http://id.who.int/icd/release/11/beta/ichi/428764705</x:t>
  </x:si>
  <x:si>
    <x:t>MRM.FA.AA</x:t>
  </x:si>
  <x:si>
    <x:t>- - - - - Myotomy of unspecified site</x:t>
  </x:si>
  <x:si>
    <x:t>http://id.who.int/icd/entity/1179401988</x:t>
  </x:si>
  <x:si>
    <x:t>http://id.who.int/icd/release/11/beta/ichi/1179401988</x:t>
  </x:si>
  <x:si>
    <x:t>MRM.FB.AA</x:t>
  </x:si>
  <x:si>
    <x:t>- - - - - Division of muscle of unspecified site</x:t>
  </x:si>
  <x:si>
    <x:t>http://id.who.int/icd/entity/1230112736</x:t>
  </x:si>
  <x:si>
    <x:t>http://id.who.int/icd/release/11/beta/ichi/1230112736</x:t>
  </x:si>
  <x:si>
    <x:t>MRM.FC.AA</x:t>
  </x:si>
  <x:si>
    <x:t>- - - - - Release of adhesions of muscle of unspecified site</x:t>
  </x:si>
  <x:si>
    <x:t>http://id.who.int/icd/entity/597136055</x:t>
  </x:si>
  <x:si>
    <x:t>http://id.who.int/icd/release/11/beta/ichi/597136055</x:t>
  </x:si>
  <x:si>
    <x:t>MRM.JD.AA</x:t>
  </x:si>
  <x:si>
    <x:t>- - - - - Removal of internal device or foreign body from muscle of unspecified site</x:t>
  </x:si>
  <x:si>
    <x:t>http://id.who.int/icd/entity/680758299</x:t>
  </x:si>
  <x:si>
    <x:t>http://id.who.int/icd/release/11/beta/ichi/680758299</x:t>
  </x:si>
  <x:si>
    <x:t>MRM.JG.AA</x:t>
  </x:si>
  <x:si>
    <x:t>- - - - - Debridement of muscle of unspecified site</x:t>
  </x:si>
  <x:si>
    <x:t>http://id.who.int/icd/entity/385572045</x:t>
  </x:si>
  <x:si>
    <x:t>http://id.who.int/icd/release/11/beta/ichi/385572045</x:t>
  </x:si>
  <x:si>
    <x:t>MRM.JH.AA</x:t>
  </x:si>
  <x:si>
    <x:t>- - - - - Procurement of muscle of unspecified site for graft</x:t>
  </x:si>
  <x:si>
    <x:t>http://id.who.int/icd/entity/1774223314</x:t>
  </x:si>
  <x:si>
    <x:t>http://id.who.int/icd/release/11/beta/ichi/1774223314</x:t>
  </x:si>
  <x:si>
    <x:t>MRM.JI.AA</x:t>
  </x:si>
  <x:si>
    <x:t>- - - - - Local excision of lesion of muscle of unspecified site</x:t>
  </x:si>
  <x:si>
    <x:t>http://id.who.int/icd/entity/159927785</x:t>
  </x:si>
  <x:si>
    <x:t>http://id.who.int/icd/release/11/beta/ichi/159927785</x:t>
  </x:si>
  <x:si>
    <x:t>MRM.JJ.AA</x:t>
  </x:si>
  <x:si>
    <x:t>- - - - - Excision of muscle of unspecified site</x:t>
  </x:si>
  <x:si>
    <x:t>http://id.who.int/icd/entity/103925115</x:t>
  </x:si>
  <x:si>
    <x:t>http://id.who.int/icd/release/11/beta/ichi/103925115</x:t>
  </x:si>
  <x:si>
    <x:t>MRM.LJ.AA</x:t>
  </x:si>
  <x:si>
    <x:t>- - - - - Muscle transfer or transplantation of unspecified site</x:t>
  </x:si>
  <x:si>
    <x:t>http://id.who.int/icd/entity/1749665300</x:t>
  </x:si>
  <x:si>
    <x:t>http://id.who.int/icd/release/11/beta/ichi/1749665300</x:t>
  </x:si>
  <x:si>
    <x:t>MRM.MK.AA</x:t>
  </x:si>
  <x:si>
    <x:t>- - - - - Repair of muscle of unspecified site</x:t>
  </x:si>
  <x:si>
    <x:t>http://id.who.int/icd/entity/1486869768</x:t>
  </x:si>
  <x:si>
    <x:t>http://id.who.int/icd/release/11/beta/ichi/1486869768</x:t>
  </x:si>
  <x:si>
    <x:t>MRM.ML.AA</x:t>
  </x:si>
  <x:si>
    <x:t>- - - - - Reconstruction of muscle of unspecified site</x:t>
  </x:si>
  <x:si>
    <x:t>http://id.who.int/icd/entity/631810652</x:t>
  </x:si>
  <x:si>
    <x:t>http://id.who.int/icd/release/11/beta/ichi/631810652</x:t>
  </x:si>
  <x:si>
    <x:t>MRM.PD.ZZ</x:t>
  </x:si>
  <x:si>
    <x:t>- - - - - Stretch of muscle of unspecified site</x:t>
  </x:si>
  <x:si>
    <x:t>http://id.who.int/icd/entity/1013608717</x:t>
  </x:si>
  <x:si>
    <x:t>http://id.who.int/icd/release/11/beta/ichi/1013608717</x:t>
  </x:si>
  <x:si>
    <x:t>MRM.SD.BQ</x:t>
  </x:si>
  <x:si>
    <x:t>- - - - - Muscle hyperthermy</x:t>
  </x:si>
  <x:si>
    <x:t>http://id.who.int/icd/entity/1376940644</x:t>
  </x:si>
  <x:si>
    <x:t>http://id.who.int/icd/release/11/beta/ichi/1376940644</x:t>
  </x:si>
  <x:si>
    <x:t>MRM.SE.AH</x:t>
  </x:si>
  <x:si>
    <x:t>- - - - - Muscle hypothermy</x:t>
  </x:si>
  <x:si>
    <x:t>http://id.who.int/icd/entity/1671962670</x:t>
  </x:si>
  <x:si>
    <x:t>http://id.who.int/icd/release/11/beta/ichi/1671962670</x:t>
  </x:si>
  <x:si>
    <x:t>MRS.AA.ZZ</x:t>
  </x:si>
  <x:si>
    <x:t>- - - - - Assessment of soft tissue of unspecified site</x:t>
  </x:si>
  <x:si>
    <x:t>http://id.who.int/icd/entity/1020117373</x:t>
  </x:si>
  <x:si>
    <x:t>http://id.who.int/icd/release/11/beta/ichi/1020117373</x:t>
  </x:si>
  <x:si>
    <x:t>MRS.AD.AA</x:t>
  </x:si>
  <x:si>
    <x:t>- - - - - Biopsy of soft tissue of unspecified site</x:t>
  </x:si>
  <x:si>
    <x:t>http://id.who.int/icd/entity/935976913</x:t>
  </x:si>
  <x:si>
    <x:t>http://id.who.int/icd/release/11/beta/ichi/935976913</x:t>
  </x:si>
  <x:si>
    <x:t>MRS.AD.AE</x:t>
  </x:si>
  <x:si>
    <x:t>- - - - - Percutaneous biopsy of soft tissue of unspecified site</x:t>
  </x:si>
  <x:si>
    <x:t>http://id.who.int/icd/entity/1379921686</x:t>
  </x:si>
  <x:si>
    <x:t>http://id.who.int/icd/release/11/beta/ichi/1379921686</x:t>
  </x:si>
  <x:si>
    <x:t>MRS.BA.BH</x:t>
  </x:si>
  <x:si>
    <x:t>- - - - - Magnetic resonance imaging of soft tissue of unspecified site</x:t>
  </x:si>
  <x:si>
    <x:t>http://id.who.int/icd/entity/104105619</x:t>
  </x:si>
  <x:si>
    <x:t>http://id.who.int/icd/release/11/beta/ichi/104105619</x:t>
  </x:si>
  <x:si>
    <x:t>MRS.BA.BJ</x:t>
  </x:si>
  <x:si>
    <x:t>- - - - - Ultrasound of soft tissue of unspecified site</x:t>
  </x:si>
  <x:si>
    <x:t>http://id.who.int/icd/entity/646643623</x:t>
  </x:si>
  <x:si>
    <x:t>http://id.who.int/icd/release/11/beta/ichi/646643623</x:t>
  </x:si>
  <x:si>
    <x:t>MRS.DB.AE</x:t>
  </x:si>
  <x:si>
    <x:t>- - - - - Injection into soft tissue of unspecified site</x:t>
  </x:si>
  <x:si>
    <x:t>http://id.who.int/icd/entity/1437665471</x:t>
  </x:si>
  <x:si>
    <x:t>http://id.who.int/icd/release/11/beta/ichi/1437665471</x:t>
  </x:si>
  <x:si>
    <x:t>MRS.FA.AA</x:t>
  </x:si>
  <x:si>
    <x:t>- - - - - Incision of soft tissue of unspecified site</x:t>
  </x:si>
  <x:si>
    <x:t>http://id.who.int/icd/entity/1064607208</x:t>
  </x:si>
  <x:si>
    <x:t>http://id.who.int/icd/release/11/beta/ichi/1064607208</x:t>
  </x:si>
  <x:si>
    <x:t>MRS.FB.AA</x:t>
  </x:si>
  <x:si>
    <x:t>- - - - - Division of soft tissue of unspecified site</x:t>
  </x:si>
  <x:si>
    <x:t>http://id.who.int/icd/entity/977318422</x:t>
  </x:si>
  <x:si>
    <x:t>http://id.who.int/icd/release/11/beta/ichi/977318422</x:t>
  </x:si>
  <x:si>
    <x:t>MRS.FC.AA</x:t>
  </x:si>
  <x:si>
    <x:t>- - - - - Release of soft tissue of unspecified site</x:t>
  </x:si>
  <x:si>
    <x:t>http://id.who.int/icd/entity/1958855491</x:t>
  </x:si>
  <x:si>
    <x:t>http://id.who.int/icd/release/11/beta/ichi/1958855491</x:t>
  </x:si>
  <x:si>
    <x:t>MRS.JA.AA</x:t>
  </x:si>
  <x:si>
    <x:t>- - - - - Irrigation of soft tissue of unspecified site</x:t>
  </x:si>
  <x:si>
    <x:t>http://id.who.int/icd/entity/537365708</x:t>
  </x:si>
  <x:si>
    <x:t>http://id.who.int/icd/release/11/beta/ichi/537365708</x:t>
  </x:si>
  <x:si>
    <x:t>MRS.JA.AE</x:t>
  </x:si>
  <x:si>
    <x:t>- - - - - Percutaneous irrigation of soft tissue of unspecified site</x:t>
  </x:si>
  <x:si>
    <x:t>http://id.who.int/icd/entity/86976928</x:t>
  </x:si>
  <x:si>
    <x:t>http://id.who.int/icd/release/11/beta/ichi/86976928</x:t>
  </x:si>
  <x:si>
    <x:t>MRS.JB.AA</x:t>
  </x:si>
  <x:si>
    <x:t>- - - - - Drainage of soft tissue of unspecified site</x:t>
  </x:si>
  <x:si>
    <x:t>http://id.who.int/icd/entity/1326698229</x:t>
  </x:si>
  <x:si>
    <x:t>http://id.who.int/icd/release/11/beta/ichi/1326698229</x:t>
  </x:si>
  <x:si>
    <x:t>MRS.JB.AE</x:t>
  </x:si>
  <x:si>
    <x:t>- - - - - Percutaneous drainage of soft tissue of unspecified site</x:t>
  </x:si>
  <x:si>
    <x:t>http://id.who.int/icd/entity/1390024582</x:t>
  </x:si>
  <x:si>
    <x:t>http://id.who.int/icd/release/11/beta/ichi/1390024582</x:t>
  </x:si>
  <x:si>
    <x:t>MRS.JD.AA</x:t>
  </x:si>
  <x:si>
    <x:t>- - - - - Removal of internal device or foreign body from soft tissue of unspecified site</x:t>
  </x:si>
  <x:si>
    <x:t>http://id.who.int/icd/entity/1757670164</x:t>
  </x:si>
  <x:si>
    <x:t>http://id.who.int/icd/release/11/beta/ichi/1757670164</x:t>
  </x:si>
  <x:si>
    <x:t>MRS.JD.AH</x:t>
  </x:si>
  <x:si>
    <x:t>- - - - - Removal of foreign body from soft tissue of unspecified site</x:t>
  </x:si>
  <x:si>
    <x:t>http://id.who.int/icd/entity/1244127499</x:t>
  </x:si>
  <x:si>
    <x:t>http://id.who.int/icd/release/11/beta/ichi/1244127499</x:t>
  </x:si>
  <x:si>
    <x:t>MRS.JG.AA</x:t>
  </x:si>
  <x:si>
    <x:t>- - - - - Debridement of soft tissue of unspecified site</x:t>
  </x:si>
  <x:si>
    <x:t>http://id.who.int/icd/entity/610263652</x:t>
  </x:si>
  <x:si>
    <x:t>http://id.who.int/icd/release/11/beta/ichi/610263652</x:t>
  </x:si>
  <x:si>
    <x:t>MRS.JH.AA</x:t>
  </x:si>
  <x:si>
    <x:t>- - - - - Procurement of fascia of unspecified site for graft</x:t>
  </x:si>
  <x:si>
    <x:t>http://id.who.int/icd/entity/891077140</x:t>
  </x:si>
  <x:si>
    <x:t>http://id.who.int/icd/release/11/beta/ichi/891077140</x:t>
  </x:si>
  <x:si>
    <x:t>MRS.JI.AA</x:t>
  </x:si>
  <x:si>
    <x:t>- - - - - Local excision of lesion of soft tissue of unspecified site</x:t>
  </x:si>
  <x:si>
    <x:t>http://id.who.int/icd/entity/252001922</x:t>
  </x:si>
  <x:si>
    <x:t>http://id.who.int/icd/release/11/beta/ichi/252001922</x:t>
  </x:si>
  <x:si>
    <x:t>MRS.JJ.AA</x:t>
  </x:si>
  <x:si>
    <x:t>- - - - - Partial excision of soft tissue of unspecified site</x:t>
  </x:si>
  <x:si>
    <x:t>http://id.who.int/icd/entity/1725831771</x:t>
  </x:si>
  <x:si>
    <x:t>http://id.who.int/icd/release/11/beta/ichi/1725831771</x:t>
  </x:si>
  <x:si>
    <x:t>MRS.JN.AA</x:t>
  </x:si>
  <x:si>
    <x:t>- - - - - Amputation of soft tissue of unspecified site</x:t>
  </x:si>
  <x:si>
    <x:t>http://id.who.int/icd/entity/1534895356</x:t>
  </x:si>
  <x:si>
    <x:t>http://id.who.int/icd/release/11/beta/ichi/1534895356</x:t>
  </x:si>
  <x:si>
    <x:t>MRS.LA.AH</x:t>
  </x:si>
  <x:si>
    <x:t>- - - - - Ligation of supernumerary digit</x:t>
  </x:si>
  <x:si>
    <x:t>http://id.who.int/icd/entity/1161419241</x:t>
  </x:si>
  <x:si>
    <x:t>http://id.who.int/icd/release/11/beta/ichi/1161419241</x:t>
  </x:si>
  <x:si>
    <x:t>MRS.LK.AA</x:t>
  </x:si>
  <x:si>
    <x:t>- - - - - Fascia lengthening of unspecified site</x:t>
  </x:si>
  <x:si>
    <x:t>http://id.who.int/icd/entity/539938338</x:t>
  </x:si>
  <x:si>
    <x:t>http://id.who.int/icd/release/11/beta/ichi/539938338</x:t>
  </x:si>
  <x:si>
    <x:t>MRS.MK.AA</x:t>
  </x:si>
  <x:si>
    <x:t>- - - - - Repair of soft tissue of unspecified site</x:t>
  </x:si>
  <x:si>
    <x:t>http://id.who.int/icd/entity/1256938357</x:t>
  </x:si>
  <x:si>
    <x:t>http://id.who.int/icd/release/11/beta/ichi/1256938357</x:t>
  </x:si>
  <x:si>
    <x:t>MRS.ML.AA</x:t>
  </x:si>
  <x:si>
    <x:t>- - - - - Reconstruction of soft tissue of unspecified site</x:t>
  </x:si>
  <x:si>
    <x:t>http://id.who.int/icd/entity/1340044427</x:t>
  </x:si>
  <x:si>
    <x:t>http://id.who.int/icd/release/11/beta/ichi/1340044427</x:t>
  </x:si>
  <x:si>
    <x:t>MRS.PC.ZZ</x:t>
  </x:si>
  <x:si>
    <x:t>- - - - - Massage of soft tissue of unspecified site</x:t>
  </x:si>
  <x:si>
    <x:t>http://id.who.int/icd/entity/564623332</x:t>
  </x:si>
  <x:si>
    <x:t>http://id.who.int/icd/release/11/beta/ichi/564623332</x:t>
  </x:si>
  <x:si>
    <x:t>MRS.PD.ZZ</x:t>
  </x:si>
  <x:si>
    <x:t>- - - - - Stretch of soft tissue of unspecified site</x:t>
  </x:si>
  <x:si>
    <x:t>http://id.who.int/icd/entity/1868174999</x:t>
  </x:si>
  <x:si>
    <x:t>http://id.who.int/icd/release/11/beta/ichi/1868174999</x:t>
  </x:si>
  <x:si>
    <x:t>MRS.SC.BJ</x:t>
  </x:si>
  <x:si>
    <x:t>- - - - - Extracorporeal shockwave therapy of soft tissue of unspecified site</x:t>
  </x:si>
  <x:si>
    <x:t>http://id.who.int/icd/entity/1969305709</x:t>
  </x:si>
  <x:si>
    <x:t>http://id.who.int/icd/release/11/beta/ichi/1969305709</x:t>
  </x:si>
  <x:si>
    <x:t>MRT.AA.ZZ</x:t>
  </x:si>
  <x:si>
    <x:t>- - - - - Assessment of tendon of unspecified site</x:t>
  </x:si>
  <x:si>
    <x:t>http://id.who.int/icd/entity/3294352</x:t>
  </x:si>
  <x:si>
    <x:t>http://id.who.int/icd/release/11/beta/ichi/3294352</x:t>
  </x:si>
  <x:si>
    <x:t>MRT.AE.AA</x:t>
  </x:si>
  <x:si>
    <x:t>- - - - - Exploration of tendon sheath of unspecified site</x:t>
  </x:si>
  <x:si>
    <x:t>http://id.who.int/icd/entity/982255720</x:t>
  </x:si>
  <x:si>
    <x:t>http://id.who.int/icd/release/11/beta/ichi/982255720</x:t>
  </x:si>
  <x:si>
    <x:t>MRT.DB.AE</x:t>
  </x:si>
  <x:si>
    <x:t>- - - - - Injection into tendon of unspecified site</x:t>
  </x:si>
  <x:si>
    <x:t>http://id.who.int/icd/entity/292644088</x:t>
  </x:si>
  <x:si>
    <x:t>http://id.who.int/icd/release/11/beta/ichi/292644088</x:t>
  </x:si>
  <x:si>
    <x:t>MRT.FB.AA</x:t>
  </x:si>
  <x:si>
    <x:t>- - - - - Division of tendon of unspecified site</x:t>
  </x:si>
  <x:si>
    <x:t>http://id.who.int/icd/entity/1875115559</x:t>
  </x:si>
  <x:si>
    <x:t>http://id.who.int/icd/release/11/beta/ichi/1875115559</x:t>
  </x:si>
  <x:si>
    <x:t>MRT.FC.AA</x:t>
  </x:si>
  <x:si>
    <x:t>- - - - - Release of tendon of unspecified site</x:t>
  </x:si>
  <x:si>
    <x:t>http://id.who.int/icd/entity/649545959</x:t>
  </x:si>
  <x:si>
    <x:t>http://id.who.int/icd/release/11/beta/ichi/649545959</x:t>
  </x:si>
  <x:si>
    <x:t>MRT.JB.AA</x:t>
  </x:si>
  <x:si>
    <x:t>- - - - - Drainage of tendon of unspecified site</x:t>
  </x:si>
  <x:si>
    <x:t>http://id.who.int/icd/entity/222962807</x:t>
  </x:si>
  <x:si>
    <x:t>http://id.who.int/icd/release/11/beta/ichi/222962807</x:t>
  </x:si>
  <x:si>
    <x:t>MRT.JD.AA</x:t>
  </x:si>
  <x:si>
    <x:t>- - - - - Removal of internal device or foreign body from tendon of unspecified site</x:t>
  </x:si>
  <x:si>
    <x:t>http://id.who.int/icd/entity/990228906</x:t>
  </x:si>
  <x:si>
    <x:t>http://id.who.int/icd/release/11/beta/ichi/990228906</x:t>
  </x:si>
  <x:si>
    <x:t>MRT.JH.AA</x:t>
  </x:si>
  <x:si>
    <x:t>- - - - - Procurement of tendon of unspecified site for graft</x:t>
  </x:si>
  <x:si>
    <x:t>http://id.who.int/icd/entity/1868844631</x:t>
  </x:si>
  <x:si>
    <x:t>http://id.who.int/icd/release/11/beta/ichi/1868844631</x:t>
  </x:si>
  <x:si>
    <x:t>MRT.JI.AA</x:t>
  </x:si>
  <x:si>
    <x:t>- - - - - Local excision of lesion of tendon sheath of unspecified site</x:t>
  </x:si>
  <x:si>
    <x:t>http://id.who.int/icd/entity/274689352</x:t>
  </x:si>
  <x:si>
    <x:t>http://id.who.int/icd/release/11/beta/ichi/274689352</x:t>
  </x:si>
  <x:si>
    <x:t>MRT.JJ.AA</x:t>
  </x:si>
  <x:si>
    <x:t>- - - - - Tenonectomy of unspecified site</x:t>
  </x:si>
  <x:si>
    <x:t>http://id.who.int/icd/entity/664218143</x:t>
  </x:si>
  <x:si>
    <x:t>http://id.who.int/icd/release/11/beta/ichi/664218143</x:t>
  </x:si>
  <x:si>
    <x:t>MRT.LJ.AA</x:t>
  </x:si>
  <x:si>
    <x:t>- - - - - Tendon transfer or transplantation of unspecified site</x:t>
  </x:si>
  <x:si>
    <x:t>http://id.who.int/icd/entity/1297268552</x:t>
  </x:si>
  <x:si>
    <x:t>http://id.who.int/icd/release/11/beta/ichi/1297268552</x:t>
  </x:si>
  <x:si>
    <x:t>MRT.LK.AA</x:t>
  </x:si>
  <x:si>
    <x:t>- - - - - Lengthening of tendon of unspecified site</x:t>
  </x:si>
  <x:si>
    <x:t>http://id.who.int/icd/entity/356647000</x:t>
  </x:si>
  <x:si>
    <x:t>http://id.who.int/icd/release/11/beta/ichi/356647000</x:t>
  </x:si>
  <x:si>
    <x:t>MRT.LL.AA</x:t>
  </x:si>
  <x:si>
    <x:t>- - - - - Shortening of tendon of unspecified site</x:t>
  </x:si>
  <x:si>
    <x:t>http://id.who.int/icd/entity/489252601</x:t>
  </x:si>
  <x:si>
    <x:t>http://id.who.int/icd/release/11/beta/ichi/489252601</x:t>
  </x:si>
  <x:si>
    <x:t>MRT.MK.AA</x:t>
  </x:si>
  <x:si>
    <x:t>- - - - - Repair of tendon of unspecified site</x:t>
  </x:si>
  <x:si>
    <x:t>http://id.who.int/icd/entity/2103530692</x:t>
  </x:si>
  <x:si>
    <x:t>http://id.who.int/icd/release/11/beta/ichi/2103530692</x:t>
  </x:si>
  <x:si>
    <x:t>MRT.ML.AA</x:t>
  </x:si>
  <x:si>
    <x:t>- - - - - Reconstruction of tendon of unspecified site</x:t>
  </x:si>
  <x:si>
    <x:t>http://id.who.int/icd/entity/1976792045</x:t>
  </x:si>
  <x:si>
    <x:t>http://id.who.int/icd/release/11/beta/ichi/1976792045</x:t>
  </x:si>
  <x:si>
    <x:t>MRT.PD.ZZ</x:t>
  </x:si>
  <x:si>
    <x:t>- - - - - Stretch of tendon of unspecified site</x:t>
  </x:si>
  <x:si>
    <x:t>http://id.who.int/icd/entity/1475377410</x:t>
  </x:si>
  <x:si>
    <x:t>http://id.who.int/icd/release/11/beta/ichi/1475377410</x:t>
  </x:si>
  <x:si>
    <x:t>BlockL4-MT2</x:t>
  </x:si>
  <x:si>
    <x:t>- - - - Interventions on functions of joints and bones</x:t>
  </x:si>
  <x:si>
    <x:t>http://id.who.int/icd/entity/486548503</x:t>
  </x:si>
  <x:si>
    <x:t>http://id.who.int/icd/release/11/beta/ichi/486548503</x:t>
  </x:si>
  <x:si>
    <x:t>MT2.PG.ZZ</x:t>
  </x:si>
  <x:si>
    <x:t>- - - - - Assisting and leading exercise for functions of joints and bones, not elsewhere classified</x:t>
  </x:si>
  <x:si>
    <x:t>http://id.who.int/icd/entity/369375931</x:t>
  </x:si>
  <x:si>
    <x:t>http://id.who.int/icd/release/11/beta/ichi/369375931</x:t>
  </x:si>
  <x:si>
    <x:t>MTB.AA.ZZ</x:t>
  </x:si>
  <x:si>
    <x:t>- - - - - Assessment of joint mobility</x:t>
  </x:si>
  <x:si>
    <x:t>http://id.who.int/icd/entity/1120040244</x:t>
  </x:si>
  <x:si>
    <x:t>http://id.who.int/icd/release/11/beta/ichi/1120040244</x:t>
  </x:si>
  <x:si>
    <x:t>MTB.AB.ZZ</x:t>
  </x:si>
  <x:si>
    <x:t>- - - - - Measurement of joint mobility</x:t>
  </x:si>
  <x:si>
    <x:t>http://id.who.int/icd/entity/932252119</x:t>
  </x:si>
  <x:si>
    <x:t>http://id.who.int/icd/release/11/beta/ichi/932252119</x:t>
  </x:si>
  <x:si>
    <x:t>MTB.AC.ZZ</x:t>
  </x:si>
  <x:si>
    <x:t>- - - - - Test of joint mobility</x:t>
  </x:si>
  <x:si>
    <x:t>http://id.who.int/icd/entity/769013517</x:t>
  </x:si>
  <x:si>
    <x:t>http://id.who.int/icd/release/11/beta/ichi/769013517</x:t>
  </x:si>
  <x:si>
    <x:t>MTB.PG.ZZ</x:t>
  </x:si>
  <x:si>
    <x:t>- - - - - Assisting and leading exercise for mobility of joint functions</x:t>
  </x:si>
  <x:si>
    <x:t>http://id.who.int/icd/entity/651307425</x:t>
  </x:si>
  <x:si>
    <x:t>http://id.who.int/icd/release/11/beta/ichi/651307425</x:t>
  </x:si>
  <x:si>
    <x:t>MTB.PH.ZZ</x:t>
  </x:si>
  <x:si>
    <x:t>- - - - - Training in joint movements</x:t>
  </x:si>
  <x:si>
    <x:t>http://id.who.int/icd/entity/2023342404</x:t>
  </x:si>
  <x:si>
    <x:t>http://id.who.int/icd/release/11/beta/ichi/2023342404</x:t>
  </x:si>
  <x:si>
    <x:t>MTB.PM.ZZ</x:t>
  </x:si>
  <x:si>
    <x:t>- - - - - Education about joint mobility</x:t>
  </x:si>
  <x:si>
    <x:t>http://id.who.int/icd/entity/1998604754</x:t>
  </x:si>
  <x:si>
    <x:t>http://id.who.int/icd/release/11/beta/ichi/1998604754</x:t>
  </x:si>
  <x:si>
    <x:t>MTB.PN.ZZ</x:t>
  </x:si>
  <x:si>
    <x:t>- - - - - Advising about joint mobility</x:t>
  </x:si>
  <x:si>
    <x:t>http://id.who.int/icd/entity/675653763</x:t>
  </x:si>
  <x:si>
    <x:t>http://id.who.int/icd/release/11/beta/ichi/675653763</x:t>
  </x:si>
  <x:si>
    <x:t>MTC.AA.ZZ</x:t>
  </x:si>
  <x:si>
    <x:t>- - - - - Assessment of joint stability</x:t>
  </x:si>
  <x:si>
    <x:t>http://id.who.int/icd/entity/1652117480</x:t>
  </x:si>
  <x:si>
    <x:t>http://id.who.int/icd/release/11/beta/ichi/1652117480</x:t>
  </x:si>
  <x:si>
    <x:t>MTC.AC.ZZ</x:t>
  </x:si>
  <x:si>
    <x:t>- - - - - Test of joint stability</x:t>
  </x:si>
  <x:si>
    <x:t>http://id.who.int/icd/entity/105946287</x:t>
  </x:si>
  <x:si>
    <x:t>http://id.who.int/icd/release/11/beta/ichi/105946287</x:t>
  </x:si>
  <x:si>
    <x:t>MTC.PG.ZZ</x:t>
  </x:si>
  <x:si>
    <x:t>- - - - - Assisting and leading exercise for stability of joint functions</x:t>
  </x:si>
  <x:si>
    <x:t>http://id.who.int/icd/entity/2037104560</x:t>
  </x:si>
  <x:si>
    <x:t>http://id.who.int/icd/release/11/beta/ichi/2037104560</x:t>
  </x:si>
  <x:si>
    <x:t>MTC.PH.ZZ</x:t>
  </x:si>
  <x:si>
    <x:t>- - - - - Training stability of joint functions</x:t>
  </x:si>
  <x:si>
    <x:t>http://id.who.int/icd/entity/938135269</x:t>
  </x:si>
  <x:si>
    <x:t>http://id.who.int/icd/release/11/beta/ichi/938135269</x:t>
  </x:si>
  <x:si>
    <x:t>MTD.AA.ZZ</x:t>
  </x:si>
  <x:si>
    <x:t>- - - - - Assessment of mobility of bones</x:t>
  </x:si>
  <x:si>
    <x:t>http://id.who.int/icd/entity/1772168710</x:t>
  </x:si>
  <x:si>
    <x:t>http://id.who.int/icd/release/11/beta/ichi/1772168710</x:t>
  </x:si>
  <x:si>
    <x:t>MTD.PG.ZZ</x:t>
  </x:si>
  <x:si>
    <x:t>- - - - - Assisting and leading exercise for mobility of bone functions</x:t>
  </x:si>
  <x:si>
    <x:t>http://id.who.int/icd/entity/1712893588</x:t>
  </x:si>
  <x:si>
    <x:t>http://id.who.int/icd/release/11/beta/ichi/1712893588</x:t>
  </x:si>
  <x:si>
    <x:t>BlockL4-MU2</x:t>
  </x:si>
  <x:si>
    <x:t>- - - - Interventions on muscle functions</x:t>
  </x:si>
  <x:si>
    <x:t>http://id.who.int/icd/entity/1189207210</x:t>
  </x:si>
  <x:si>
    <x:t>http://id.who.int/icd/release/11/beta/ichi/1189207210</x:t>
  </x:si>
  <x:si>
    <x:t>MU2.AA.ZZ</x:t>
  </x:si>
  <x:si>
    <x:t>- - - - - Assessment of muscle functions, not elsewhere classified</x:t>
  </x:si>
  <x:si>
    <x:t>http://id.who.int/icd/entity/867344459</x:t>
  </x:si>
  <x:si>
    <x:t>http://id.who.int/icd/release/11/beta/ichi/867344459</x:t>
  </x:si>
  <x:si>
    <x:t>MU2.AB.ZZ</x:t>
  </x:si>
  <x:si>
    <x:t>- - - - - Measurement of muscle functions, not elsewhere classified</x:t>
  </x:si>
  <x:si>
    <x:t>http://id.who.int/icd/entity/1007364313</x:t>
  </x:si>
  <x:si>
    <x:t>http://id.who.int/icd/release/11/beta/ichi/1007364313</x:t>
  </x:si>
  <x:si>
    <x:t>MU2.AC.ZZ</x:t>
  </x:si>
  <x:si>
    <x:t>- - - - - Test of muscle functions, not elsewhere classified</x:t>
  </x:si>
  <x:si>
    <x:t>http://id.who.int/icd/entity/121429503</x:t>
  </x:si>
  <x:si>
    <x:t>http://id.who.int/icd/release/11/beta/ichi/121429503</x:t>
  </x:si>
  <x:si>
    <x:t>MU2.AE.ZZ</x:t>
  </x:si>
  <x:si>
    <x:t>- - - - - Inspection of muscle functions, not elsewhere classified</x:t>
  </x:si>
  <x:si>
    <x:t>http://id.who.int/icd/entity/1929633868</x:t>
  </x:si>
  <x:si>
    <x:t>http://id.who.int/icd/release/11/beta/ichi/1929633868</x:t>
  </x:si>
  <x:si>
    <x:t>MU2.PG.ZZ</x:t>
  </x:si>
  <x:si>
    <x:t>- - - - - Assisting and leading exercise for muscle functions, not elsewhere classified</x:t>
  </x:si>
  <x:si>
    <x:t>http://id.who.int/icd/entity/425837931</x:t>
  </x:si>
  <x:si>
    <x:t>http://id.who.int/icd/release/11/beta/ichi/425837931</x:t>
  </x:si>
  <x:si>
    <x:t>MU2.PH.ZZ</x:t>
  </x:si>
  <x:si>
    <x:t>- - - - - Training muscle functions, not elsewhere classified</x:t>
  </x:si>
  <x:si>
    <x:t>http://id.who.int/icd/entity/1717233270</x:t>
  </x:si>
  <x:si>
    <x:t>http://id.who.int/icd/release/11/beta/ichi/1717233270</x:t>
  </x:si>
  <x:si>
    <x:t>MU2.PM.ZZ</x:t>
  </x:si>
  <x:si>
    <x:t>- - - - - Education about muscle functions, not elsewhere classified</x:t>
  </x:si>
  <x:si>
    <x:t>http://id.who.int/icd/entity/136504605</x:t>
  </x:si>
  <x:si>
    <x:t>http://id.who.int/icd/release/11/beta/ichi/136504605</x:t>
  </x:si>
  <x:si>
    <x:t>MU2.SC.BP</x:t>
  </x:si>
  <x:si>
    <x:t>- - - - - Electrical stimulation of muscle functions, not elsewhere classified</x:t>
  </x:si>
  <x:si>
    <x:t>http://id.who.int/icd/entity/1396058128</x:t>
  </x:si>
  <x:si>
    <x:t>http://id.who.int/icd/release/11/beta/ichi/1396058128</x:t>
  </x:si>
  <x:si>
    <x:t>MUB.AA.ZZ</x:t>
  </x:si>
  <x:si>
    <x:t>- - - - - Assessment of muscle power functions</x:t>
  </x:si>
  <x:si>
    <x:t>http://id.who.int/icd/entity/1552916638</x:t>
  </x:si>
  <x:si>
    <x:t>http://id.who.int/icd/release/11/beta/ichi/1552916638</x:t>
  </x:si>
  <x:si>
    <x:t>MUB.AC.ZZ</x:t>
  </x:si>
  <x:si>
    <x:t>- - - - - Test of muscle power</x:t>
  </x:si>
  <x:si>
    <x:t>http://id.who.int/icd/entity/1505464164</x:t>
  </x:si>
  <x:si>
    <x:t>http://id.who.int/icd/release/11/beta/ichi/1505464164</x:t>
  </x:si>
  <x:si>
    <x:t>MUB.AE.ZZ</x:t>
  </x:si>
  <x:si>
    <x:t>- - - - - Manual testing of muscle power</x:t>
  </x:si>
  <x:si>
    <x:t>http://id.who.int/icd/entity/1661322116</x:t>
  </x:si>
  <x:si>
    <x:t>http://id.who.int/icd/release/11/beta/ichi/1661322116</x:t>
  </x:si>
  <x:si>
    <x:t>MUB.PG.ZZ</x:t>
  </x:si>
  <x:si>
    <x:t>- - - - - Assisting and leading exercise for muscle power functions</x:t>
  </x:si>
  <x:si>
    <x:t>http://id.who.int/icd/entity/1744952618</x:t>
  </x:si>
  <x:si>
    <x:t>http://id.who.int/icd/release/11/beta/ichi/1744952618</x:t>
  </x:si>
  <x:si>
    <x:t>MUB.PM.ZZ</x:t>
  </x:si>
  <x:si>
    <x:t>- - - - - Education about muscle power functions</x:t>
  </x:si>
  <x:si>
    <x:t>http://id.who.int/icd/entity/1725175018</x:t>
  </x:si>
  <x:si>
    <x:t>http://id.who.int/icd/release/11/beta/ichi/1725175018</x:t>
  </x:si>
  <x:si>
    <x:t>MUC.AA.ZZ</x:t>
  </x:si>
  <x:si>
    <x:t>- - - - - Assessment of muscle tone functions</x:t>
  </x:si>
  <x:si>
    <x:t>http://id.who.int/icd/entity/840063845</x:t>
  </x:si>
  <x:si>
    <x:t>http://id.who.int/icd/release/11/beta/ichi/840063845</x:t>
  </x:si>
  <x:si>
    <x:t>MUC.AC.ZZ</x:t>
  </x:si>
  <x:si>
    <x:t>- - - - - Test of muscle tone</x:t>
  </x:si>
  <x:si>
    <x:t>http://id.who.int/icd/entity/1817817990</x:t>
  </x:si>
  <x:si>
    <x:t>http://id.who.int/icd/release/11/beta/ichi/1817817990</x:t>
  </x:si>
  <x:si>
    <x:t>MUC.AE.ZZ</x:t>
  </x:si>
  <x:si>
    <x:t>- - - - - Inspection of muscle tone</x:t>
  </x:si>
  <x:si>
    <x:t>http://id.who.int/icd/entity/1675639572</x:t>
  </x:si>
  <x:si>
    <x:t>http://id.who.int/icd/release/11/beta/ichi/1675639572</x:t>
  </x:si>
  <x:si>
    <x:t>MUC.PG.ZZ</x:t>
  </x:si>
  <x:si>
    <x:t>- - - - - Assisting and leading exercise for muscle tone functions</x:t>
  </x:si>
  <x:si>
    <x:t>http://id.who.int/icd/entity/477931643</x:t>
  </x:si>
  <x:si>
    <x:t>http://id.who.int/icd/release/11/beta/ichi/477931643</x:t>
  </x:si>
  <x:si>
    <x:t>MUC.PM.ZZ</x:t>
  </x:si>
  <x:si>
    <x:t>- - - - - Education about muscle tone functions</x:t>
  </x:si>
  <x:si>
    <x:t>http://id.who.int/icd/entity/859591381</x:t>
  </x:si>
  <x:si>
    <x:t>http://id.who.int/icd/release/11/beta/ichi/859591381</x:t>
  </x:si>
  <x:si>
    <x:t>MUD.AA.ZZ</x:t>
  </x:si>
  <x:si>
    <x:t>- - - - - Assessment of muscle endurance</x:t>
  </x:si>
  <x:si>
    <x:t>http://id.who.int/icd/entity/2109547392</x:t>
  </x:si>
  <x:si>
    <x:t>http://id.who.int/icd/release/11/beta/ichi/2109547392</x:t>
  </x:si>
  <x:si>
    <x:t>MUD.AC.ZZ</x:t>
  </x:si>
  <x:si>
    <x:t>- - - - - Test of muscle endurance</x:t>
  </x:si>
  <x:si>
    <x:t>http://id.who.int/icd/entity/2061692827</x:t>
  </x:si>
  <x:si>
    <x:t>http://id.who.int/icd/release/11/beta/ichi/2061692827</x:t>
  </x:si>
  <x:si>
    <x:t>MUD.AE.ZZ</x:t>
  </x:si>
  <x:si>
    <x:t>- - - - - Inspection of muscle endurance</x:t>
  </x:si>
  <x:si>
    <x:t>http://id.who.int/icd/entity/1968924425</x:t>
  </x:si>
  <x:si>
    <x:t>http://id.who.int/icd/release/11/beta/ichi/1968924425</x:t>
  </x:si>
  <x:si>
    <x:t>MUD.PG.ZZ</x:t>
  </x:si>
  <x:si>
    <x:t>- - - - - Assisting and leading exercise for muscle endurance functions</x:t>
  </x:si>
  <x:si>
    <x:t>http://id.who.int/icd/entity/1704066751</x:t>
  </x:si>
  <x:si>
    <x:t>http://id.who.int/icd/release/11/beta/ichi/1704066751</x:t>
  </x:si>
  <x:si>
    <x:t>BlockL4-MV2</x:t>
  </x:si>
  <x:si>
    <x:t>- - - - Interventions on movement</x:t>
  </x:si>
  <x:si>
    <x:t>31</x:t>
  </x:si>
  <x:si>
    <x:t>http://id.who.int/icd/entity/538218822</x:t>
  </x:si>
  <x:si>
    <x:t>http://id.who.int/icd/release/11/beta/ichi/538218822</x:t>
  </x:si>
  <x:si>
    <x:t>MV2.AA.ZZ</x:t>
  </x:si>
  <x:si>
    <x:t>- - - - - Assessment of movement functions, not elsewhere classified</x:t>
  </x:si>
  <x:si>
    <x:t>http://id.who.int/icd/entity/1572908435</x:t>
  </x:si>
  <x:si>
    <x:t>http://id.who.int/icd/release/11/beta/ichi/1572908435</x:t>
  </x:si>
  <x:si>
    <x:t>MV2.AC.ZZ</x:t>
  </x:si>
  <x:si>
    <x:t>- - - - - Test of movement functions, not elsewhere classified</x:t>
  </x:si>
  <x:si>
    <x:t>http://id.who.int/icd/entity/1596961369</x:t>
  </x:si>
  <x:si>
    <x:t>http://id.who.int/icd/release/11/beta/ichi/1596961369</x:t>
  </x:si>
  <x:si>
    <x:t>MV2.PG.ZZ</x:t>
  </x:si>
  <x:si>
    <x:t>- - - - - Assisting and leading exercise for movement functions, not elsewhere classified</x:t>
  </x:si>
  <x:si>
    <x:t>http://id.who.int/icd/entity/2047285003</x:t>
  </x:si>
  <x:si>
    <x:t>http://id.who.int/icd/release/11/beta/ichi/2047285003</x:t>
  </x:si>
  <x:si>
    <x:t>MV2.PN.ZZ</x:t>
  </x:si>
  <x:si>
    <x:t>- - - - - Advising about movement function, not elsewhere classified</x:t>
  </x:si>
  <x:si>
    <x:t>http://id.who.int/icd/entity/343872610</x:t>
  </x:si>
  <x:si>
    <x:t>http://id.who.int/icd/release/11/beta/ichi/343872610</x:t>
  </x:si>
  <x:si>
    <x:t>MV2.RB.ZZ</x:t>
  </x:si>
  <x:si>
    <x:t>- - - - - Practical support with movement, not elsewhere classified</x:t>
  </x:si>
  <x:si>
    <x:t>http://id.who.int/icd/entity/633685544</x:t>
  </x:si>
  <x:si>
    <x:t>http://id.who.int/icd/release/11/beta/ichi/633685544</x:t>
  </x:si>
  <x:si>
    <x:t>MVB.AA.ZZ</x:t>
  </x:si>
  <x:si>
    <x:t>- - - - - Assessment of motor reflex functions</x:t>
  </x:si>
  <x:si>
    <x:t>http://id.who.int/icd/entity/1702102575</x:t>
  </x:si>
  <x:si>
    <x:t>http://id.who.int/icd/release/11/beta/ichi/1702102575</x:t>
  </x:si>
  <x:si>
    <x:t>MVB.AC.ZZ</x:t>
  </x:si>
  <x:si>
    <x:t>- - - - - Test of motor reflexes</x:t>
  </x:si>
  <x:si>
    <x:t>http://id.who.int/icd/entity/2134063349</x:t>
  </x:si>
  <x:si>
    <x:t>http://id.who.int/icd/release/11/beta/ichi/2134063349</x:t>
  </x:si>
  <x:si>
    <x:t>MVC.AA.ZZ</x:t>
  </x:si>
  <x:si>
    <x:t>- - - - - Assessment of involuntary movement reaction functions</x:t>
  </x:si>
  <x:si>
    <x:t>http://id.who.int/icd/entity/542562728</x:t>
  </x:si>
  <x:si>
    <x:t>http://id.who.int/icd/release/11/beta/ichi/542562728</x:t>
  </x:si>
  <x:si>
    <x:t>MVC.LD.ZZ</x:t>
  </x:si>
  <x:si>
    <x:t>- - - - - Inhibiting involuntary movement reactions</x:t>
  </x:si>
  <x:si>
    <x:t>http://id.who.int/icd/entity/974251902</x:t>
  </x:si>
  <x:si>
    <x:t>http://id.who.int/icd/release/11/beta/ichi/974251902</x:t>
  </x:si>
  <x:si>
    <x:t>MVC.PG.ZZ</x:t>
  </x:si>
  <x:si>
    <x:t>- - - - - Assisting and leading exercise for involuntary movement reaction functions</x:t>
  </x:si>
  <x:si>
    <x:t>http://id.who.int/icd/entity/367258493</x:t>
  </x:si>
  <x:si>
    <x:t>http://id.who.int/icd/release/11/beta/ichi/367258493</x:t>
  </x:si>
  <x:si>
    <x:t>MVC.PH.ZZ</x:t>
  </x:si>
  <x:si>
    <x:t>- - - - - Training of involuntary movement reaction functions</x:t>
  </x:si>
  <x:si>
    <x:t>http://id.who.int/icd/entity/507528609</x:t>
  </x:si>
  <x:si>
    <x:t>http://id.who.int/icd/release/11/beta/ichi/507528609</x:t>
  </x:si>
  <x:si>
    <x:t>MVC.PM.ZZ</x:t>
  </x:si>
  <x:si>
    <x:t>- - - - - Education of involuntary movement reaction functions</x:t>
  </x:si>
  <x:si>
    <x:t>http://id.who.int/icd/entity/823523792</x:t>
  </x:si>
  <x:si>
    <x:t>http://id.who.int/icd/release/11/beta/ichi/823523792</x:t>
  </x:si>
  <x:si>
    <x:t>MVD.AA.ZZ</x:t>
  </x:si>
  <x:si>
    <x:t>- - - - - Assessment of control of voluntary movement</x:t>
  </x:si>
  <x:si>
    <x:t>http://id.who.int/icd/entity/1354725413</x:t>
  </x:si>
  <x:si>
    <x:t>http://id.who.int/icd/release/11/beta/ichi/1354725413</x:t>
  </x:si>
  <x:si>
    <x:t>MVD.AC.ZZ</x:t>
  </x:si>
  <x:si>
    <x:t>- - - - - Test of control of voluntary movement</x:t>
  </x:si>
  <x:si>
    <x:t>http://id.who.int/icd/entity/1970415079</x:t>
  </x:si>
  <x:si>
    <x:t>http://id.who.int/icd/release/11/beta/ichi/1970415079</x:t>
  </x:si>
  <x:si>
    <x:t>MVD.PG.ZZ</x:t>
  </x:si>
  <x:si>
    <x:t>- - - - - Assisting and leading exercise for control of voluntary movement functions</x:t>
  </x:si>
  <x:si>
    <x:t>http://id.who.int/icd/entity/99651180</x:t>
  </x:si>
  <x:si>
    <x:t>http://id.who.int/icd/release/11/beta/ichi/99651180</x:t>
  </x:si>
  <x:si>
    <x:t>MVD.PH.ZZ</x:t>
  </x:si>
  <x:si>
    <x:t>- - - - - Training for control of voluntary movement</x:t>
  </x:si>
  <x:si>
    <x:t>http://id.who.int/icd/entity/716207300</x:t>
  </x:si>
  <x:si>
    <x:t>http://id.who.int/icd/release/11/beta/ichi/716207300</x:t>
  </x:si>
  <x:si>
    <x:t>MVF.AA.ZZ</x:t>
  </x:si>
  <x:si>
    <x:t>- - - - - Assessment of involuntary movement</x:t>
  </x:si>
  <x:si>
    <x:t>http://id.who.int/icd/entity/261673368</x:t>
  </x:si>
  <x:si>
    <x:t>http://id.who.int/icd/release/11/beta/ichi/261673368</x:t>
  </x:si>
  <x:si>
    <x:t>MVF.AC.ZZ</x:t>
  </x:si>
  <x:si>
    <x:t>- - - - - Test of involuntary movements</x:t>
  </x:si>
  <x:si>
    <x:t>http://id.who.int/icd/entity/1092198595</x:t>
  </x:si>
  <x:si>
    <x:t>http://id.who.int/icd/release/11/beta/ichi/1092198595</x:t>
  </x:si>
  <x:si>
    <x:t>MVF.PG.ZZ</x:t>
  </x:si>
  <x:si>
    <x:t>- - - - - Assisting and leading exercise for involuntary movement functions</x:t>
  </x:si>
  <x:si>
    <x:t>http://id.who.int/icd/entity/366997326</x:t>
  </x:si>
  <x:si>
    <x:t>http://id.who.int/icd/release/11/beta/ichi/366997326</x:t>
  </x:si>
  <x:si>
    <x:t>MVF.PH.ZZ</x:t>
  </x:si>
  <x:si>
    <x:t>- - - - - Training of involuntary movement functions</x:t>
  </x:si>
  <x:si>
    <x:t>http://id.who.int/icd/entity/1083185411</x:t>
  </x:si>
  <x:si>
    <x:t>http://id.who.int/icd/release/11/beta/ichi/1083185411</x:t>
  </x:si>
  <x:si>
    <x:t>MVG.AA.ZZ</x:t>
  </x:si>
  <x:si>
    <x:t>- - - - - Assessment of gait pattern</x:t>
  </x:si>
  <x:si>
    <x:t>http://id.who.int/icd/entity/589902334</x:t>
  </x:si>
  <x:si>
    <x:t>http://id.who.int/icd/release/11/beta/ichi/589902334</x:t>
  </x:si>
  <x:si>
    <x:t>MVG.AB.ZZ</x:t>
  </x:si>
  <x:si>
    <x:t>- - - - - Measurement of gait pattern</x:t>
  </x:si>
  <x:si>
    <x:t>http://id.who.int/icd/entity/1875960749</x:t>
  </x:si>
  <x:si>
    <x:t>http://id.who.int/icd/release/11/beta/ichi/1875960749</x:t>
  </x:si>
  <x:si>
    <x:t>MVG.AC.ZZ</x:t>
  </x:si>
  <x:si>
    <x:t>- - - - - Test of gait pattern</x:t>
  </x:si>
  <x:si>
    <x:t>http://id.who.int/icd/entity/558994170</x:t>
  </x:si>
  <x:si>
    <x:t>http://id.who.int/icd/release/11/beta/ichi/558994170</x:t>
  </x:si>
  <x:si>
    <x:t>MVG.AI.BL</x:t>
  </x:si>
  <x:si>
    <x:t>- - - - - Video monitoring of gait pattern</x:t>
  </x:si>
  <x:si>
    <x:t>http://id.who.int/icd/entity/1439244091</x:t>
  </x:si>
  <x:si>
    <x:t>http://id.who.int/icd/release/11/beta/ichi/1439244091</x:t>
  </x:si>
  <x:si>
    <x:t>MVG.PG.ZZ</x:t>
  </x:si>
  <x:si>
    <x:t>- - - - - Assisting and leading exercise for gait pattern functions</x:t>
  </x:si>
  <x:si>
    <x:t>http://id.who.int/icd/entity/1334714849</x:t>
  </x:si>
  <x:si>
    <x:t>http://id.who.int/icd/release/11/beta/ichi/1334714849</x:t>
  </x:si>
  <x:si>
    <x:t>MVG.PH.ZZ</x:t>
  </x:si>
  <x:si>
    <x:t>- - - - - Training of gait pattern</x:t>
  </x:si>
  <x:si>
    <x:t>http://id.who.int/icd/entity/1529174315</x:t>
  </x:si>
  <x:si>
    <x:t>http://id.who.int/icd/release/11/beta/ichi/1529174315</x:t>
  </x:si>
  <x:si>
    <x:t>MVG.SC.BP</x:t>
  </x:si>
  <x:si>
    <x:t>- - - - - Electrical stimulation for gait pattern function</x:t>
  </x:si>
  <x:si>
    <x:t>http://id.who.int/icd/entity/1952818053</x:t>
  </x:si>
  <x:si>
    <x:t>http://id.who.int/icd/release/11/beta/ichi/1952818053</x:t>
  </x:si>
  <x:si>
    <x:t>MVH.AA.ZZ</x:t>
  </x:si>
  <x:si>
    <x:t>- - - - - Assessment of spontaneous movements</x:t>
  </x:si>
  <x:si>
    <x:t>http://id.who.int/icd/entity/438149358</x:t>
  </x:si>
  <x:si>
    <x:t>http://id.who.int/icd/release/11/beta/ichi/438149358</x:t>
  </x:si>
  <x:si>
    <x:t>MVH.AC.ZZ</x:t>
  </x:si>
  <x:si>
    <x:t>- - - - - Test of spontaneous movements</x:t>
  </x:si>
  <x:si>
    <x:t>http://id.who.int/icd/entity/30615542</x:t>
  </x:si>
  <x:si>
    <x:t>http://id.who.int/icd/release/11/beta/ichi/30615542</x:t>
  </x:si>
  <x:si>
    <x:t>MVI.AA.ZZ</x:t>
  </x:si>
  <x:si>
    <x:t>- - - - - Assessment of sensations related to muscle and movement</x:t>
  </x:si>
  <x:si>
    <x:t>http://id.who.int/icd/entity/781442394</x:t>
  </x:si>
  <x:si>
    <x:t>http://id.who.int/icd/release/11/beta/ichi/781442394</x:t>
  </x:si>
  <x:si>
    <x:t>MVI.PG.ZZ</x:t>
  </x:si>
  <x:si>
    <x:t>- - - - - Assisting and leading exercise for sensations related to muscle and movement functions</x:t>
  </x:si>
  <x:si>
    <x:t>http://id.who.int/icd/entity/2067387271</x:t>
  </x:si>
  <x:si>
    <x:t>http://id.who.int/icd/release/11/beta/ichi/2067387271</x:t>
  </x:si>
  <x:si>
    <x:t>BlockL4-MZZ</x:t>
  </x:si>
  <x:si>
    <x:t>- - - - Interventions on musculoskeletal system, not elsewhere classified</x:t>
  </x:si>
  <x:si>
    <x:t>http://id.who.int/icd/entity/1831385892</x:t>
  </x:si>
  <x:si>
    <x:t>http://id.who.int/icd/release/11/beta/ichi/1831385892</x:t>
  </x:si>
  <x:si>
    <x:t>MZZ.AA.ZZ</x:t>
  </x:si>
  <x:si>
    <x:t>- - - - - Assessment of musculoskeletal system, not elsewhere classified</x:t>
  </x:si>
  <x:si>
    <x:t>http://id.who.int/icd/entity/196835338</x:t>
  </x:si>
  <x:si>
    <x:t>http://id.who.int/icd/release/11/beta/ichi/196835338</x:t>
  </x:si>
  <x:si>
    <x:t>MZZ.BA.BA</x:t>
  </x:si>
  <x:si>
    <x:t>- - - - - X-ray of musculoskeletal system, not elsewhere classified</x:t>
  </x:si>
  <x:si>
    <x:t>http://id.who.int/icd/entity/1253072325</x:t>
  </x:si>
  <x:si>
    <x:t>http://id.who.int/icd/release/11/beta/ichi/1253072325</x:t>
  </x:si>
  <x:si>
    <x:t>MZZ.BA.BC</x:t>
  </x:si>
  <x:si>
    <x:t>- - - - - Computerised tomography of musculoskeletal system, not elsewhere classified</x:t>
  </x:si>
  <x:si>
    <x:t>http://id.who.int/icd/entity/1358390047</x:t>
  </x:si>
  <x:si>
    <x:t>http://id.who.int/icd/release/11/beta/ichi/1358390047</x:t>
  </x:si>
  <x:si>
    <x:t>MZZ.BA.BD</x:t>
  </x:si>
  <x:si>
    <x:t>- - - - - Computerised tomography with intravenous contrast of musculoskeletal system, not elsewhere classified</x:t>
  </x:si>
  <x:si>
    <x:t>http://id.who.int/icd/entity/1417226537</x:t>
  </x:si>
  <x:si>
    <x:t>http://id.who.int/icd/release/11/beta/ichi/1417226537</x:t>
  </x:si>
  <x:si>
    <x:t>MZZ.BA.BH</x:t>
  </x:si>
  <x:si>
    <x:t>- - - - - Magnetic resonance imaging of musculoskeletal system, not elsewhere classified</x:t>
  </x:si>
  <x:si>
    <x:t>http://id.who.int/icd/entity/1623492757</x:t>
  </x:si>
  <x:si>
    <x:t>http://id.who.int/icd/release/11/beta/ichi/1623492757</x:t>
  </x:si>
  <x:si>
    <x:t>MZZ.BA.BI</x:t>
  </x:si>
  <x:si>
    <x:t>- - - - - Magnetic resonance imaging with intravenous contrast of musculoskeletal system, not elsewhere classified</x:t>
  </x:si>
  <x:si>
    <x:t>http://id.who.int/icd/entity/1461879302</x:t>
  </x:si>
  <x:si>
    <x:t>http://id.who.int/icd/release/11/beta/ichi/1461879302</x:t>
  </x:si>
  <x:si>
    <x:t>MZZ.BA.BJ</x:t>
  </x:si>
  <x:si>
    <x:t>- - - - - Ultrasound of musculoskeletal system, not elsewhere classified</x:t>
  </x:si>
  <x:si>
    <x:t>http://id.who.int/icd/entity/567258460</x:t>
  </x:si>
  <x:si>
    <x:t>http://id.who.int/icd/release/11/beta/ichi/567258460</x:t>
  </x:si>
  <x:si>
    <x:t>MZZ.FB.AA</x:t>
  </x:si>
  <x:si>
    <x:t>- - - - - Division of musculoskeletal system structure, not elsewhere classified</x:t>
  </x:si>
  <x:si>
    <x:t>http://id.who.int/icd/entity/285346673</x:t>
  </x:si>
  <x:si>
    <x:t>http://id.who.int/icd/release/11/beta/ichi/285346673</x:t>
  </x:si>
  <x:si>
    <x:t>MZZ.JD.AA</x:t>
  </x:si>
  <x:si>
    <x:t>- - - - - Removal of internal device or foreign body from musculoskeletal system structure, not elsewhere classified</x:t>
  </x:si>
  <x:si>
    <x:t>http://id.who.int/icd/entity/1626821789</x:t>
  </x:si>
  <x:si>
    <x:t>http://id.who.int/icd/release/11/beta/ichi/1626821789</x:t>
  </x:si>
  <x:si>
    <x:t>MZZ.JN.AA</x:t>
  </x:si>
  <x:si>
    <x:t>- - - - - Amputation of musculoskeletal system structure, not elsewhere classified</x:t>
  </x:si>
  <x:si>
    <x:t>http://id.who.int/icd/release/11/beta/ichi/332050646/other</x:t>
  </x:si>
  <x:si>
    <x:t>MZZ.ZY.ZY</x:t>
  </x:si>
  <x:si>
    <x:t>- - - - Other specified interventions on the musculoskeletal system</x:t>
  </x:si>
  <x:si>
    <x:t>http://id.who.int/icd/release/11/beta/ichi/332050646/unspecified</x:t>
  </x:si>
  <x:si>
    <x:t>MZZ.ZZ.ZZ</x:t>
  </x:si>
  <x:si>
    <x:t>- - - - Interventions on the musculoskeletal system, unspecified</x:t>
  </x:si>
  <x:si>
    <x:t>http://id.who.int/icd/entity/1333466189</x:t>
  </x:si>
  <x:si>
    <x:t>http://id.who.int/icd/release/11/beta/ichi/1333466189</x:t>
  </x:si>
  <x:si>
    <x:t>BlockL3-NAA</x:t>
  </x:si>
  <x:si>
    <x:t>- - - Interventions on the genitourinary system</x:t>
  </x:si>
  <x:si>
    <x:t>http://id.who.int/icd/entity/1951195499</x:t>
  </x:si>
  <x:si>
    <x:t>http://id.who.int/icd/release/11/beta/ichi/1951195499</x:t>
  </x:si>
  <x:si>
    <x:t>BlockL4-NAA</x:t>
  </x:si>
  <x:si>
    <x:t>- - - - Interventions on urinary system</x:t>
  </x:si>
  <x:si>
    <x:t>249</x:t>
  </x:si>
  <x:si>
    <x:t>http://id.who.int/icd/entity/1870816881</x:t>
  </x:si>
  <x:si>
    <x:t>http://id.who.int/icd/release/11/beta/ichi/1870816881</x:t>
  </x:si>
  <x:si>
    <x:t>NAA.AD.AA</x:t>
  </x:si>
  <x:si>
    <x:t>- - - - - Biopsy of kidney</x:t>
  </x:si>
  <x:si>
    <x:t>http://id.who.int/icd/entity/1173795617</x:t>
  </x:si>
  <x:si>
    <x:t>http://id.who.int/icd/release/11/beta/ichi/1173795617</x:t>
  </x:si>
  <x:si>
    <x:t>NAA.AD.AB</x:t>
  </x:si>
  <x:si>
    <x:t>- - - - - Laparoscopic biopsy of kidney</x:t>
  </x:si>
  <x:si>
    <x:t>http://id.who.int/icd/entity/778004264</x:t>
  </x:si>
  <x:si>
    <x:t>http://id.who.int/icd/release/11/beta/ichi/778004264</x:t>
  </x:si>
  <x:si>
    <x:t>NAA.AD.AD</x:t>
  </x:si>
  <x:si>
    <x:t>- - - - - Endoscopic biopsy of kidney via stoma</x:t>
  </x:si>
  <x:si>
    <x:t>http://id.who.int/icd/entity/1151005297</x:t>
  </x:si>
  <x:si>
    <x:t>http://id.who.int/icd/release/11/beta/ichi/1151005297</x:t>
  </x:si>
  <x:si>
    <x:t>NAA.AD.AE</x:t>
  </x:si>
  <x:si>
    <x:t>- - - - - Percutaneous biopsy of kidney</x:t>
  </x:si>
  <x:si>
    <x:t>http://id.who.int/icd/entity/65360381</x:t>
  </x:si>
  <x:si>
    <x:t>http://id.who.int/icd/release/11/beta/ichi/65360381</x:t>
  </x:si>
  <x:si>
    <x:t>NAA.AD.AF</x:t>
  </x:si>
  <x:si>
    <x:t>- - - - - Transjugular kidney biopsy</x:t>
  </x:si>
  <x:si>
    <x:t>http://id.who.int/icd/entity/617791564</x:t>
  </x:si>
  <x:si>
    <x:t>http://id.who.int/icd/release/11/beta/ichi/617791564</x:t>
  </x:si>
  <x:si>
    <x:t>NAA.AE.AA</x:t>
  </x:si>
  <x:si>
    <x:t>- - - - - Exploration of kidney</x:t>
  </x:si>
  <x:si>
    <x:t>http://id.who.int/icd/entity/1542054741</x:t>
  </x:si>
  <x:si>
    <x:t>http://id.who.int/icd/release/11/beta/ichi/1542054741</x:t>
  </x:si>
  <x:si>
    <x:t>NAA.AE.AD</x:t>
  </x:si>
  <x:si>
    <x:t>- - - - - Nephroscopy</x:t>
  </x:si>
  <x:si>
    <x:t>http://id.who.int/icd/entity/898752572</x:t>
  </x:si>
  <x:si>
    <x:t>http://id.who.int/icd/release/11/beta/ichi/898752572</x:t>
  </x:si>
  <x:si>
    <x:t>NAA.AE.AE</x:t>
  </x:si>
  <x:si>
    <x:t>- - - - - Percutaneous nephroscopy</x:t>
  </x:si>
  <x:si>
    <x:t>http://id.who.int/icd/entity/1643126723</x:t>
  </x:si>
  <x:si>
    <x:t>http://id.who.int/icd/release/11/beta/ichi/1643126723</x:t>
  </x:si>
  <x:si>
    <x:t>NAA.BA.BA</x:t>
  </x:si>
  <x:si>
    <x:t>- - - - - X-ray of kidney</x:t>
  </x:si>
  <x:si>
    <x:t>http://id.who.int/icd/entity/2075599129</x:t>
  </x:si>
  <x:si>
    <x:t>http://id.who.int/icd/release/11/beta/ichi/2075599129</x:t>
  </x:si>
  <x:si>
    <x:t>NAA.BA.BB</x:t>
  </x:si>
  <x:si>
    <x:t>- - - - - X-ray of kidney with contrast medium</x:t>
  </x:si>
  <x:si>
    <x:t>http://id.who.int/icd/entity/1492586416</x:t>
  </x:si>
  <x:si>
    <x:t>http://id.who.int/icd/release/11/beta/ichi/1492586416</x:t>
  </x:si>
  <x:si>
    <x:t>NAA.BA.BC</x:t>
  </x:si>
  <x:si>
    <x:t>- - - - - Computerised tomography of kidney, not elsewhere classified</x:t>
  </x:si>
  <x:si>
    <x:t>http://id.who.int/icd/entity/2008544544</x:t>
  </x:si>
  <x:si>
    <x:t>http://id.who.int/icd/release/11/beta/ichi/2008544544</x:t>
  </x:si>
  <x:si>
    <x:t>NAA.BA.BD</x:t>
  </x:si>
  <x:si>
    <x:t>- - - - - Computerised tomography of kidney with intravenous contrast</x:t>
  </x:si>
  <x:si>
    <x:t>http://id.who.int/icd/entity/959874123</x:t>
  </x:si>
  <x:si>
    <x:t>http://id.who.int/icd/release/11/beta/ichi/959874123</x:t>
  </x:si>
  <x:si>
    <x:t>NAA.BA.BE</x:t>
  </x:si>
  <x:si>
    <x:t>- - - - - Nuclear imaging study of the kidney</x:t>
  </x:si>
  <x:si>
    <x:t>http://id.who.int/icd/entity/1501476466</x:t>
  </x:si>
  <x:si>
    <x:t>http://id.who.int/icd/release/11/beta/ichi/1501476466</x:t>
  </x:si>
  <x:si>
    <x:t>NAA.BA.BH</x:t>
  </x:si>
  <x:si>
    <x:t>- - - - - Magnetic resonance imaging of kidney, not elsewhere classified</x:t>
  </x:si>
  <x:si>
    <x:t>http://id.who.int/icd/entity/759270339</x:t>
  </x:si>
  <x:si>
    <x:t>http://id.who.int/icd/release/11/beta/ichi/759270339</x:t>
  </x:si>
  <x:si>
    <x:t>NAA.BA.BI</x:t>
  </x:si>
  <x:si>
    <x:t>- - - - - Magnetic resonance imaging of kidney with intravenous contrast</x:t>
  </x:si>
  <x:si>
    <x:t>http://id.who.int/icd/entity/141110929</x:t>
  </x:si>
  <x:si>
    <x:t>http://id.who.int/icd/release/11/beta/ichi/141110929</x:t>
  </x:si>
  <x:si>
    <x:t>NAA.BA.BJ</x:t>
  </x:si>
  <x:si>
    <x:t>- - - - - Ultrasound of kidney</x:t>
  </x:si>
  <x:si>
    <x:t>http://id.who.int/icd/entity/657052735</x:t>
  </x:si>
  <x:si>
    <x:t>http://id.who.int/icd/release/11/beta/ichi/657052735</x:t>
  </x:si>
  <x:si>
    <x:t>NAA.DB.AE</x:t>
  </x:si>
  <x:si>
    <x:t>- - - - - Injection into kidney</x:t>
  </x:si>
  <x:si>
    <x:t>http://id.who.int/icd/entity/165713745</x:t>
  </x:si>
  <x:si>
    <x:t>http://id.who.int/icd/release/11/beta/ichi/165713745</x:t>
  </x:si>
  <x:si>
    <x:t>NAA.FA.AA</x:t>
  </x:si>
  <x:si>
    <x:t>- - - - - Nephrotomy</x:t>
  </x:si>
  <x:si>
    <x:t>http://id.who.int/icd/entity/1562826974</x:t>
  </x:si>
  <x:si>
    <x:t>http://id.who.int/icd/release/11/beta/ichi/1562826974</x:t>
  </x:si>
  <x:si>
    <x:t>NAA.FB.AA</x:t>
  </x:si>
  <x:si>
    <x:t>- - - - - Symphysiotomy of kidney</x:t>
  </x:si>
  <x:si>
    <x:t>http://id.who.int/icd/entity/398299077</x:t>
  </x:si>
  <x:si>
    <x:t>http://id.who.int/icd/release/11/beta/ichi/398299077</x:t>
  </x:si>
  <x:si>
    <x:t>NAA.FC.AA</x:t>
  </x:si>
  <x:si>
    <x:t>- - - - - Release of perirenal adhesions</x:t>
  </x:si>
  <x:si>
    <x:t>http://id.who.int/icd/entity/755221283</x:t>
  </x:si>
  <x:si>
    <x:t>http://id.who.int/icd/release/11/beta/ichi/755221283</x:t>
  </x:si>
  <x:si>
    <x:t>NAA.FC.AB</x:t>
  </x:si>
  <x:si>
    <x:t>- - - - - Laparoscopic release of perirenal adhesions</x:t>
  </x:si>
  <x:si>
    <x:t>http://id.who.int/icd/entity/1209324776</x:t>
  </x:si>
  <x:si>
    <x:t>http://id.who.int/icd/release/11/beta/ichi/1209324776</x:t>
  </x:si>
  <x:si>
    <x:t>NAA.GA.AA</x:t>
  </x:si>
  <x:si>
    <x:t>- - - - - Destruction of lesion or tissue of kidney</x:t>
  </x:si>
  <x:si>
    <x:t>http://id.who.int/icd/entity/409931097</x:t>
  </x:si>
  <x:si>
    <x:t>http://id.who.int/icd/release/11/beta/ichi/409931097</x:t>
  </x:si>
  <x:si>
    <x:t>NAA.GA.AB</x:t>
  </x:si>
  <x:si>
    <x:t>- - - - - Laparoscopic destruction of lesion or tissue of kidney</x:t>
  </x:si>
  <x:si>
    <x:t>http://id.who.int/icd/entity/1202543738</x:t>
  </x:si>
  <x:si>
    <x:t>http://id.who.int/icd/release/11/beta/ichi/1202543738</x:t>
  </x:si>
  <x:si>
    <x:t>NAA.GA.AD</x:t>
  </x:si>
  <x:si>
    <x:t>- - - - - Retrograde pyeloscopy with destruction of renal lesion or tissue</x:t>
  </x:si>
  <x:si>
    <x:t>http://id.who.int/icd/entity/1817194730</x:t>
  </x:si>
  <x:si>
    <x:t>http://id.who.int/icd/release/11/beta/ichi/1817194730</x:t>
  </x:si>
  <x:si>
    <x:t>NAA.GA.AE</x:t>
  </x:si>
  <x:si>
    <x:t>- - - - - Percutaneous destruction of lesion or tissue of kidney</x:t>
  </x:si>
  <x:si>
    <x:t>http://id.who.int/icd/entity/840685577</x:t>
  </x:si>
  <x:si>
    <x:t>http://id.who.int/icd/release/11/beta/ichi/840685577</x:t>
  </x:si>
  <x:si>
    <x:t>NAA.GA.BJ</x:t>
  </x:si>
  <x:si>
    <x:t>- - - - - Extracorporeal shockwave lithotripsy of the kidney</x:t>
  </x:si>
  <x:si>
    <x:t>http://id.who.int/icd/entity/492511911</x:t>
  </x:si>
  <x:si>
    <x:t>http://id.who.int/icd/release/11/beta/ichi/492511911</x:t>
  </x:si>
  <x:si>
    <x:t>NAA.JB.AA</x:t>
  </x:si>
  <x:si>
    <x:t>- - - - - Drainage of kidney</x:t>
  </x:si>
  <x:si>
    <x:t>http://id.who.int/icd/entity/411760073</x:t>
  </x:si>
  <x:si>
    <x:t>http://id.who.int/icd/release/11/beta/ichi/411760073</x:t>
  </x:si>
  <x:si>
    <x:t>NAA.JB.AB</x:t>
  </x:si>
  <x:si>
    <x:t>- - - - - Laparoscopic drainage of kidney</x:t>
  </x:si>
  <x:si>
    <x:t>http://id.who.int/icd/entity/1995634336</x:t>
  </x:si>
  <x:si>
    <x:t>http://id.who.int/icd/release/11/beta/ichi/1995634336</x:t>
  </x:si>
  <x:si>
    <x:t>NAA.JB.AE</x:t>
  </x:si>
  <x:si>
    <x:t>- - - - - Percutaneous drainage of kidney</x:t>
  </x:si>
  <x:si>
    <x:t>http://id.who.int/icd/entity/573880623</x:t>
  </x:si>
  <x:si>
    <x:t>http://id.who.int/icd/release/11/beta/ichi/573880623</x:t>
  </x:si>
  <x:si>
    <x:t>NAA.JC.AF</x:t>
  </x:si>
  <x:si>
    <x:t>- - - - - Renal dialysis</x:t>
  </x:si>
  <x:si>
    <x:t>http://id.who.int/icd/entity/2088718796</x:t>
  </x:si>
  <x:si>
    <x:t>http://id.who.int/icd/release/11/beta/ichi/2088718796</x:t>
  </x:si>
  <x:si>
    <x:t>NAA.JD.AA</x:t>
  </x:si>
  <x:si>
    <x:t>- - - - - Removal of internal device or foreign body from kidney</x:t>
  </x:si>
  <x:si>
    <x:t>http://id.who.int/icd/entity/683220547</x:t>
  </x:si>
  <x:si>
    <x:t>http://id.who.int/icd/release/11/beta/ichi/683220547</x:t>
  </x:si>
  <x:si>
    <x:t>NAA.JE.AA</x:t>
  </x:si>
  <x:si>
    <x:t>- - - - - Extraction of calculus from kidney</x:t>
  </x:si>
  <x:si>
    <x:t>http://id.who.int/icd/entity/312533717</x:t>
  </x:si>
  <x:si>
    <x:t>http://id.who.int/icd/release/11/beta/ichi/312533717</x:t>
  </x:si>
  <x:si>
    <x:t>NAA.JE.AB</x:t>
  </x:si>
  <x:si>
    <x:t>- - - - - Percutaneous endoscopic extraction of calculus from kidney</x:t>
  </x:si>
  <x:si>
    <x:t>http://id.who.int/icd/entity/1486620096</x:t>
  </x:si>
  <x:si>
    <x:t>http://id.who.int/icd/release/11/beta/ichi/1486620096</x:t>
  </x:si>
  <x:si>
    <x:t>NAA.JE.AD</x:t>
  </x:si>
  <x:si>
    <x:t>- - - - - Retrograde pyeloscopy with extraction of renal calculus</x:t>
  </x:si>
  <x:si>
    <x:t>http://id.who.int/icd/entity/1935763760</x:t>
  </x:si>
  <x:si>
    <x:t>http://id.who.int/icd/release/11/beta/ichi/1935763760</x:t>
  </x:si>
  <x:si>
    <x:t>NAA.JE.AE</x:t>
  </x:si>
  <x:si>
    <x:t>- - - - - Percutaneous extraction of calculus of kidney</x:t>
  </x:si>
  <x:si>
    <x:t>http://id.who.int/icd/entity/649773545</x:t>
  </x:si>
  <x:si>
    <x:t>http://id.who.int/icd/release/11/beta/ichi/649773545</x:t>
  </x:si>
  <x:si>
    <x:t>NAA.JE.AL</x:t>
  </x:si>
  <x:si>
    <x:t>- - - - - Laparoscopically assisted percutaneous extraction of calculus of kidney</x:t>
  </x:si>
  <x:si>
    <x:t>http://id.who.int/icd/entity/503486497</x:t>
  </x:si>
  <x:si>
    <x:t>http://id.who.int/icd/release/11/beta/ichi/503486497</x:t>
  </x:si>
  <x:si>
    <x:t>NAA.JH.AA</x:t>
  </x:si>
  <x:si>
    <x:t>- - - - - Procurement of kidney</x:t>
  </x:si>
  <x:si>
    <x:t>http://id.who.int/icd/entity/826434191</x:t>
  </x:si>
  <x:si>
    <x:t>http://id.who.int/icd/release/11/beta/ichi/826434191</x:t>
  </x:si>
  <x:si>
    <x:t>NAA.JH.AB</x:t>
  </x:si>
  <x:si>
    <x:t>- - - - - Laparoscopic procurement of kidney</x:t>
  </x:si>
  <x:si>
    <x:t>http://id.who.int/icd/entity/1678611650</x:t>
  </x:si>
  <x:si>
    <x:t>http://id.who.int/icd/release/11/beta/ichi/1678611650</x:t>
  </x:si>
  <x:si>
    <x:t>NAA.JI.AA</x:t>
  </x:si>
  <x:si>
    <x:t>- - - - - Local excision of lesion of kidney</x:t>
  </x:si>
  <x:si>
    <x:t>http://id.who.int/icd/entity/880168305</x:t>
  </x:si>
  <x:si>
    <x:t>http://id.who.int/icd/release/11/beta/ichi/880168305</x:t>
  </x:si>
  <x:si>
    <x:t>NAA.JI.AB</x:t>
  </x:si>
  <x:si>
    <x:t>- - - - - Endoscopic local excision of lesion of kidney</x:t>
  </x:si>
  <x:si>
    <x:t>http://id.who.int/icd/entity/1806965844</x:t>
  </x:si>
  <x:si>
    <x:t>http://id.who.int/icd/release/11/beta/ichi/1806965844</x:t>
  </x:si>
  <x:si>
    <x:t>NAA.JJ.AA</x:t>
  </x:si>
  <x:si>
    <x:t>- - - - - Partial nephrectomy</x:t>
  </x:si>
  <x:si>
    <x:t>http://id.who.int/icd/entity/1348866534</x:t>
  </x:si>
  <x:si>
    <x:t>http://id.who.int/icd/release/11/beta/ichi/1348866534</x:t>
  </x:si>
  <x:si>
    <x:t>NAA.JJ.AB</x:t>
  </x:si>
  <x:si>
    <x:t>- - - - - Laparoscopic partial nephrectomy</x:t>
  </x:si>
  <x:si>
    <x:t>http://id.who.int/icd/entity/609823831</x:t>
  </x:si>
  <x:si>
    <x:t>http://id.who.int/icd/release/11/beta/ichi/609823831</x:t>
  </x:si>
  <x:si>
    <x:t>NAA.JK.AA</x:t>
  </x:si>
  <x:si>
    <x:t>- - - - - Nephrectomy</x:t>
  </x:si>
  <x:si>
    <x:t>http://id.who.int/icd/entity/1525397130</x:t>
  </x:si>
  <x:si>
    <x:t>http://id.who.int/icd/release/11/beta/ichi/1525397130</x:t>
  </x:si>
  <x:si>
    <x:t>NAA.JK.AB</x:t>
  </x:si>
  <x:si>
    <x:t>- - - - - Laparoscopic total nephrectomy</x:t>
  </x:si>
  <x:si>
    <x:t>http://id.who.int/icd/entity/785681211</x:t>
  </x:si>
  <x:si>
    <x:t>http://id.who.int/icd/release/11/beta/ichi/785681211</x:t>
  </x:si>
  <x:si>
    <x:t>NAA.JL.AA</x:t>
  </x:si>
  <x:si>
    <x:t>- - - - - Radical nephrectomy</x:t>
  </x:si>
  <x:si>
    <x:t>http://id.who.int/icd/entity/875824529</x:t>
  </x:si>
  <x:si>
    <x:t>http://id.who.int/icd/release/11/beta/ichi/875824529</x:t>
  </x:si>
  <x:si>
    <x:t>NAA.JL.AB</x:t>
  </x:si>
  <x:si>
    <x:t>- - - - - Laparoscopic radical nephrectomy</x:t>
  </x:si>
  <x:si>
    <x:t>http://id.who.int/icd/entity/533293313</x:t>
  </x:si>
  <x:si>
    <x:t>http://id.who.int/icd/release/11/beta/ichi/533293313</x:t>
  </x:si>
  <x:si>
    <x:t>NAA.KA.AA</x:t>
  </x:si>
  <x:si>
    <x:t>- - - - - Replacement of device in kidney</x:t>
  </x:si>
  <x:si>
    <x:t>http://id.who.int/icd/entity/1259284112</x:t>
  </x:si>
  <x:si>
    <x:t>http://id.who.int/icd/release/11/beta/ichi/1259284112</x:t>
  </x:si>
  <x:si>
    <x:t>NAA.KD.AA</x:t>
  </x:si>
  <x:si>
    <x:t>- - - - - Kidney transplantation</x:t>
  </x:si>
  <x:si>
    <x:t>http://id.who.int/icd/entity/1969747544</x:t>
  </x:si>
  <x:si>
    <x:t>http://id.who.int/icd/release/11/beta/ichi/1969747544</x:t>
  </x:si>
  <x:si>
    <x:t>NAA.KD.AB</x:t>
  </x:si>
  <x:si>
    <x:t>- - - - - Laparoscopic kidney transplantation</x:t>
  </x:si>
  <x:si>
    <x:t>http://id.who.int/icd/entity/1410809252</x:t>
  </x:si>
  <x:si>
    <x:t>http://id.who.int/icd/release/11/beta/ichi/1410809252</x:t>
  </x:si>
  <x:si>
    <x:t>NAA.LA.AA</x:t>
  </x:si>
  <x:si>
    <x:t>- - - - - Ligation of kidney</x:t>
  </x:si>
  <x:si>
    <x:t>http://id.who.int/icd/entity/1538176310</x:t>
  </x:si>
  <x:si>
    <x:t>http://id.who.int/icd/release/11/beta/ichi/1538176310</x:t>
  </x:si>
  <x:si>
    <x:t>NAA.LB.AA</x:t>
  </x:si>
  <x:si>
    <x:t>- - - - - Anastomosis of kidney</x:t>
  </x:si>
  <x:si>
    <x:t>http://id.who.int/icd/entity/1609507020</x:t>
  </x:si>
  <x:si>
    <x:t>http://id.who.int/icd/release/11/beta/ichi/1609507020</x:t>
  </x:si>
  <x:si>
    <x:t>NAA.LB.AB</x:t>
  </x:si>
  <x:si>
    <x:t>- - - - - Laparoscopic anastomosis of kidney</x:t>
  </x:si>
  <x:si>
    <x:t>http://id.who.int/icd/entity/1266799632</x:t>
  </x:si>
  <x:si>
    <x:t>http://id.who.int/icd/release/11/beta/ichi/1266799632</x:t>
  </x:si>
  <x:si>
    <x:t>NAA.LC.AA</x:t>
  </x:si>
  <x:si>
    <x:t>- - - - - Nephropexy</x:t>
  </x:si>
  <x:si>
    <x:t>http://id.who.int/icd/entity/637130617</x:t>
  </x:si>
  <x:si>
    <x:t>http://id.who.int/icd/release/11/beta/ichi/637130617</x:t>
  </x:si>
  <x:si>
    <x:t>NAA.LC.AB</x:t>
  </x:si>
  <x:si>
    <x:t>- - - - - Laparoscopic nephropexy</x:t>
  </x:si>
  <x:si>
    <x:t>http://id.who.int/icd/entity/884668175</x:t>
  </x:si>
  <x:si>
    <x:t>http://id.who.int/icd/release/11/beta/ichi/884668175</x:t>
  </x:si>
  <x:si>
    <x:t>NAA.LD.AA</x:t>
  </x:si>
  <x:si>
    <x:t>- - - - - Reduction of torsion of renal pedicle</x:t>
  </x:si>
  <x:si>
    <x:t>http://id.who.int/icd/entity/1091335036</x:t>
  </x:si>
  <x:si>
    <x:t>http://id.who.int/icd/release/11/beta/ichi/1091335036</x:t>
  </x:si>
  <x:si>
    <x:t>NAA.LI.AA</x:t>
  </x:si>
  <x:si>
    <x:t>- - - - - Nephrostomy</x:t>
  </x:si>
  <x:si>
    <x:t>http://id.who.int/icd/entity/293055181</x:t>
  </x:si>
  <x:si>
    <x:t>http://id.who.int/icd/release/11/beta/ichi/293055181</x:t>
  </x:si>
  <x:si>
    <x:t>NAA.LI.AE</x:t>
  </x:si>
  <x:si>
    <x:t>- - - - - Percutaneous nephrostomy</x:t>
  </x:si>
  <x:si>
    <x:t>http://id.who.int/icd/entity/516825695</x:t>
  </x:si>
  <x:si>
    <x:t>http://id.who.int/icd/release/11/beta/ichi/516825695</x:t>
  </x:si>
  <x:si>
    <x:t>NAA.MK.AA</x:t>
  </x:si>
  <x:si>
    <x:t>- - - - - Repair of kidney</x:t>
  </x:si>
  <x:si>
    <x:t>http://id.who.int/icd/entity/298851005</x:t>
  </x:si>
  <x:si>
    <x:t>http://id.who.int/icd/release/11/beta/ichi/298851005</x:t>
  </x:si>
  <x:si>
    <x:t>NAA.SN.AD</x:t>
  </x:si>
  <x:si>
    <x:t>- - - - - Management of internal device of kidney</x:t>
  </x:si>
  <x:si>
    <x:t>http://id.who.int/icd/entity/194454631</x:t>
  </x:si>
  <x:si>
    <x:t>http://id.who.int/icd/release/11/beta/ichi/194454631</x:t>
  </x:si>
  <x:si>
    <x:t>NAB.AD.AB</x:t>
  </x:si>
  <x:si>
    <x:t>- - - - - Endoscopic biopsy of renal pelvis</x:t>
  </x:si>
  <x:si>
    <x:t>http://id.who.int/icd/entity/9648843</x:t>
  </x:si>
  <x:si>
    <x:t>http://id.who.int/icd/release/11/beta/ichi/9648843</x:t>
  </x:si>
  <x:si>
    <x:t>NAB.AD.AE</x:t>
  </x:si>
  <x:si>
    <x:t>- - - - - Percutaneous biopsy of renal pelvis</x:t>
  </x:si>
  <x:si>
    <x:t>http://id.who.int/icd/entity/180546277</x:t>
  </x:si>
  <x:si>
    <x:t>http://id.who.int/icd/release/11/beta/ichi/180546277</x:t>
  </x:si>
  <x:si>
    <x:t>NAB.AE.AA</x:t>
  </x:si>
  <x:si>
    <x:t>- - - - - Exploration of renal pelvis</x:t>
  </x:si>
  <x:si>
    <x:t>http://id.who.int/icd/entity/629280843</x:t>
  </x:si>
  <x:si>
    <x:t>http://id.who.int/icd/release/11/beta/ichi/629280843</x:t>
  </x:si>
  <x:si>
    <x:t>NAB.AE.AD</x:t>
  </x:si>
  <x:si>
    <x:t>- - - - - Pyeloscopy</x:t>
  </x:si>
  <x:si>
    <x:t>http://id.who.int/icd/entity/1345623098</x:t>
  </x:si>
  <x:si>
    <x:t>http://id.who.int/icd/release/11/beta/ichi/1345623098</x:t>
  </x:si>
  <x:si>
    <x:t>NAB.BA.BB</x:t>
  </x:si>
  <x:si>
    <x:t>- - - - - Pyelogram</x:t>
  </x:si>
  <x:si>
    <x:t>http://id.who.int/icd/entity/5197193</x:t>
  </x:si>
  <x:si>
    <x:t>http://id.who.int/icd/release/11/beta/ichi/5197193</x:t>
  </x:si>
  <x:si>
    <x:t>NAB.FA.AA</x:t>
  </x:si>
  <x:si>
    <x:t>- - - - - Pyelotomy</x:t>
  </x:si>
  <x:si>
    <x:t>http://id.who.int/icd/entity/1603083436</x:t>
  </x:si>
  <x:si>
    <x:t>http://id.who.int/icd/release/11/beta/ichi/1603083436</x:t>
  </x:si>
  <x:si>
    <x:t>NAB.FA.AB</x:t>
  </x:si>
  <x:si>
    <x:t>- - - - - Laparoscopic pyelotomy</x:t>
  </x:si>
  <x:si>
    <x:t>http://id.who.int/icd/entity/1953525820</x:t>
  </x:si>
  <x:si>
    <x:t>http://id.who.int/icd/release/11/beta/ichi/1953525820</x:t>
  </x:si>
  <x:si>
    <x:t>NAB.JB.AA</x:t>
  </x:si>
  <x:si>
    <x:t>- - - - - Drainage of renal pelvis</x:t>
  </x:si>
  <x:si>
    <x:t>http://id.who.int/icd/entity/1516030918</x:t>
  </x:si>
  <x:si>
    <x:t>http://id.who.int/icd/release/11/beta/ichi/1516030918</x:t>
  </x:si>
  <x:si>
    <x:t>NAB.JB.AD</x:t>
  </x:si>
  <x:si>
    <x:t>- - - - - Transurethral drainage of renal pelvis</x:t>
  </x:si>
  <x:si>
    <x:t>http://id.who.int/icd/entity/94280423</x:t>
  </x:si>
  <x:si>
    <x:t>http://id.who.int/icd/release/11/beta/ichi/94280423</x:t>
  </x:si>
  <x:si>
    <x:t>NAB.JB.AE</x:t>
  </x:si>
  <x:si>
    <x:t>- - - - - Percutaneous drainage of renal pelvis</x:t>
  </x:si>
  <x:si>
    <x:t>http://id.who.int/icd/entity/245007435</x:t>
  </x:si>
  <x:si>
    <x:t>http://id.who.int/icd/release/11/beta/ichi/245007435</x:t>
  </x:si>
  <x:si>
    <x:t>NAB.JD.AD</x:t>
  </x:si>
  <x:si>
    <x:t>- - - - - Transurethral removal of internal device or foreign body from renal pelvis</x:t>
  </x:si>
  <x:si>
    <x:t>http://id.who.int/icd/entity/1859303026</x:t>
  </x:si>
  <x:si>
    <x:t>http://id.who.int/icd/release/11/beta/ichi/1859303026</x:t>
  </x:si>
  <x:si>
    <x:t>NAB.JE.AA</x:t>
  </x:si>
  <x:si>
    <x:t>- - - - - Extraction of calculus from renal pelvis</x:t>
  </x:si>
  <x:si>
    <x:t>http://id.who.int/icd/entity/1600709692</x:t>
  </x:si>
  <x:si>
    <x:t>http://id.who.int/icd/release/11/beta/ichi/1600709692</x:t>
  </x:si>
  <x:si>
    <x:t>NAB.JE.AB</x:t>
  </x:si>
  <x:si>
    <x:t>- - - - - Laparoscopic extraction of calculus from renal pelvis</x:t>
  </x:si>
  <x:si>
    <x:t>http://id.who.int/icd/entity/1166568080</x:t>
  </x:si>
  <x:si>
    <x:t>http://id.who.int/icd/release/11/beta/ichi/1166568080</x:t>
  </x:si>
  <x:si>
    <x:t>NAB.JE.AD</x:t>
  </x:si>
  <x:si>
    <x:t>- - - - - Transurethral extraction of calculus from renal pelvis</x:t>
  </x:si>
  <x:si>
    <x:t>http://id.who.int/icd/entity/185146309</x:t>
  </x:si>
  <x:si>
    <x:t>http://id.who.int/icd/release/11/beta/ichi/185146309</x:t>
  </x:si>
  <x:si>
    <x:t>NAB.KA.AA</x:t>
  </x:si>
  <x:si>
    <x:t>- - - - - Replacement of pyelostomy tube</x:t>
  </x:si>
  <x:si>
    <x:t>http://id.who.int/icd/entity/441072563</x:t>
  </x:si>
  <x:si>
    <x:t>http://id.who.int/icd/release/11/beta/ichi/441072563</x:t>
  </x:si>
  <x:si>
    <x:t>NAB.LA.AA</x:t>
  </x:si>
  <x:si>
    <x:t>- - - - - Obliteration of calyceal diverticulum</x:t>
  </x:si>
  <x:si>
    <x:t>http://id.who.int/icd/entity/791082441</x:t>
  </x:si>
  <x:si>
    <x:t>http://id.who.int/icd/release/11/beta/ichi/791082441</x:t>
  </x:si>
  <x:si>
    <x:t>NAB.LA.AB</x:t>
  </x:si>
  <x:si>
    <x:t>- - - - - Laparoscopic obliteration of calyceal diverticulum</x:t>
  </x:si>
  <x:si>
    <x:t>http://id.who.int/icd/entity/2136812664</x:t>
  </x:si>
  <x:si>
    <x:t>http://id.who.int/icd/release/11/beta/ichi/2136812664</x:t>
  </x:si>
  <x:si>
    <x:t>NAB.LB.AA</x:t>
  </x:si>
  <x:si>
    <x:t>- - - - - Ureteropyelostomy</x:t>
  </x:si>
  <x:si>
    <x:t>http://id.who.int/icd/entity/1894032618</x:t>
  </x:si>
  <x:si>
    <x:t>http://id.who.int/icd/release/11/beta/ichi/1894032618</x:t>
  </x:si>
  <x:si>
    <x:t>NAB.LI.AA</x:t>
  </x:si>
  <x:si>
    <x:t>- - - - - Pyelostomy</x:t>
  </x:si>
  <x:si>
    <x:t>http://id.who.int/icd/entity/89268377</x:t>
  </x:si>
  <x:si>
    <x:t>http://id.who.int/icd/release/11/beta/ichi/89268377</x:t>
  </x:si>
  <x:si>
    <x:t>NAB.MK.AA</x:t>
  </x:si>
  <x:si>
    <x:t>- - - - - Pyeloplasty</x:t>
  </x:si>
  <x:si>
    <x:t>http://id.who.int/icd/entity/705878583</x:t>
  </x:si>
  <x:si>
    <x:t>http://id.who.int/icd/release/11/beta/ichi/705878583</x:t>
  </x:si>
  <x:si>
    <x:t>NAB.MK.AB</x:t>
  </x:si>
  <x:si>
    <x:t>- - - - - Laparoscopic pyeloplasty</x:t>
  </x:si>
  <x:si>
    <x:t>http://id.who.int/icd/entity/449104173</x:t>
  </x:si>
  <x:si>
    <x:t>http://id.who.int/icd/release/11/beta/ichi/449104173</x:t>
  </x:si>
  <x:si>
    <x:t>NAB.ML.AA</x:t>
  </x:si>
  <x:si>
    <x:t>- - - - - Reconstruction of renal pelvis</x:t>
  </x:si>
  <x:si>
    <x:t>http://id.who.int/icd/entity/825861565</x:t>
  </x:si>
  <x:si>
    <x:t>http://id.who.int/icd/release/11/beta/ichi/825861565</x:t>
  </x:si>
  <x:si>
    <x:t>NAB.ML.AB</x:t>
  </x:si>
  <x:si>
    <x:t>- - - - - Laparoscopic reconstruction of renal pelvis</x:t>
  </x:si>
  <x:si>
    <x:t>http://id.who.int/icd/entity/544900555</x:t>
  </x:si>
  <x:si>
    <x:t>http://id.who.int/icd/release/11/beta/ichi/544900555</x:t>
  </x:si>
  <x:si>
    <x:t>NAB.SN.AD</x:t>
  </x:si>
  <x:si>
    <x:t>- - - - - Management of internal device of renal pelvis and pyeloureteric junction</x:t>
  </x:si>
  <x:si>
    <x:t>http://id.who.int/icd/entity/816847997</x:t>
  </x:si>
  <x:si>
    <x:t>http://id.who.int/icd/release/11/beta/ichi/816847997</x:t>
  </x:si>
  <x:si>
    <x:t>NAE.AD.AA</x:t>
  </x:si>
  <x:si>
    <x:t>- - - - - Biopsy of ureter</x:t>
  </x:si>
  <x:si>
    <x:t>http://id.who.int/icd/entity/1001652945</x:t>
  </x:si>
  <x:si>
    <x:t>http://id.who.int/icd/release/11/beta/ichi/1001652945</x:t>
  </x:si>
  <x:si>
    <x:t>NAE.AD.AD</x:t>
  </x:si>
  <x:si>
    <x:t>- - - - - Endoscopic biopsy of ureter</x:t>
  </x:si>
  <x:si>
    <x:t>http://id.who.int/icd/entity/284089905</x:t>
  </x:si>
  <x:si>
    <x:t>http://id.who.int/icd/release/11/beta/ichi/284089905</x:t>
  </x:si>
  <x:si>
    <x:t>NAE.AD.AE</x:t>
  </x:si>
  <x:si>
    <x:t>- - - - - Percutaneous biopsy of ureter</x:t>
  </x:si>
  <x:si>
    <x:t>http://id.who.int/icd/entity/1083508608</x:t>
  </x:si>
  <x:si>
    <x:t>http://id.who.int/icd/release/11/beta/ichi/1083508608</x:t>
  </x:si>
  <x:si>
    <x:t>NAE.AE.AA</x:t>
  </x:si>
  <x:si>
    <x:t>- - - - - Exploration of ureter and periureteral area</x:t>
  </x:si>
  <x:si>
    <x:t>http://id.who.int/icd/entity/525817507</x:t>
  </x:si>
  <x:si>
    <x:t>http://id.who.int/icd/release/11/beta/ichi/525817507</x:t>
  </x:si>
  <x:si>
    <x:t>NAE.AE.AD</x:t>
  </x:si>
  <x:si>
    <x:t>- - - - - Ureteroscopy</x:t>
  </x:si>
  <x:si>
    <x:t>http://id.who.int/icd/entity/341002255</x:t>
  </x:si>
  <x:si>
    <x:t>http://id.who.int/icd/release/11/beta/ichi/341002255</x:t>
  </x:si>
  <x:si>
    <x:t>NAE.BA.BJ</x:t>
  </x:si>
  <x:si>
    <x:t>- - - - - Ultrasound of the ureter</x:t>
  </x:si>
  <x:si>
    <x:t>http://id.who.int/icd/entity/1987090897</x:t>
  </x:si>
  <x:si>
    <x:t>http://id.who.int/icd/release/11/beta/ichi/1987090897</x:t>
  </x:si>
  <x:si>
    <x:t>NAE.DN.AA</x:t>
  </x:si>
  <x:si>
    <x:t>- - - - - Implantation of electronic ureteral stimulator</x:t>
  </x:si>
  <x:si>
    <x:t>http://id.who.int/icd/entity/699582706</x:t>
  </x:si>
  <x:si>
    <x:t>http://id.who.int/icd/release/11/beta/ichi/699582706</x:t>
  </x:si>
  <x:si>
    <x:t>NAE.FA.AA</x:t>
  </x:si>
  <x:si>
    <x:t>- - - - - Ureterotomy</x:t>
  </x:si>
  <x:si>
    <x:t>http://id.who.int/icd/entity/1731443111</x:t>
  </x:si>
  <x:si>
    <x:t>http://id.who.int/icd/release/11/beta/ichi/1731443111</x:t>
  </x:si>
  <x:si>
    <x:t>NAE.FC.AA</x:t>
  </x:si>
  <x:si>
    <x:t>- - - - - Release of periureteral adhesions</x:t>
  </x:si>
  <x:si>
    <x:t>http://id.who.int/icd/entity/662895010</x:t>
  </x:si>
  <x:si>
    <x:t>http://id.who.int/icd/release/11/beta/ichi/662895010</x:t>
  </x:si>
  <x:si>
    <x:t>NAE.FC.AB</x:t>
  </x:si>
  <x:si>
    <x:t>- - - - - Laparoscopic release of periureteral adhesions</x:t>
  </x:si>
  <x:si>
    <x:t>http://id.who.int/icd/entity/1841176267</x:t>
  </x:si>
  <x:si>
    <x:t>http://id.who.int/icd/release/11/beta/ichi/1841176267</x:t>
  </x:si>
  <x:si>
    <x:t>NAE.GA.AA</x:t>
  </x:si>
  <x:si>
    <x:t>- - - - - Destruction of lesion or tissue of ureter</x:t>
  </x:si>
  <x:si>
    <x:t>http://id.who.int/icd/entity/102222542</x:t>
  </x:si>
  <x:si>
    <x:t>http://id.who.int/icd/release/11/beta/ichi/102222542</x:t>
  </x:si>
  <x:si>
    <x:t>NAE.GA.AD</x:t>
  </x:si>
  <x:si>
    <x:t>- - - - - Endoscopic destruction of lesion or tissue of ureter</x:t>
  </x:si>
  <x:si>
    <x:t>http://id.who.int/icd/entity/1507171311</x:t>
  </x:si>
  <x:si>
    <x:t>http://id.who.int/icd/release/11/beta/ichi/1507171311</x:t>
  </x:si>
  <x:si>
    <x:t>NAE.GA.BJ</x:t>
  </x:si>
  <x:si>
    <x:t>- - - - - Extracorporeal shockwave lithotripsy of the ureter</x:t>
  </x:si>
  <x:si>
    <x:t>http://id.who.int/icd/entity/934123656</x:t>
  </x:si>
  <x:si>
    <x:t>http://id.who.int/icd/release/11/beta/ichi/934123656</x:t>
  </x:si>
  <x:si>
    <x:t>NAE.JB.AA</x:t>
  </x:si>
  <x:si>
    <x:t>- - - - - Drainage of ureter</x:t>
  </x:si>
  <x:si>
    <x:t>http://id.who.int/icd/entity/211447202</x:t>
  </x:si>
  <x:si>
    <x:t>http://id.who.int/icd/release/11/beta/ichi/211447202</x:t>
  </x:si>
  <x:si>
    <x:t>NAE.JB.AB</x:t>
  </x:si>
  <x:si>
    <x:t>- - - - - Laparoscopic drainage of ureter</x:t>
  </x:si>
  <x:si>
    <x:t>http://id.who.int/icd/entity/1939951295</x:t>
  </x:si>
  <x:si>
    <x:t>http://id.who.int/icd/release/11/beta/ichi/1939951295</x:t>
  </x:si>
  <x:si>
    <x:t>NAE.JB.AC</x:t>
  </x:si>
  <x:si>
    <x:t>- - - - - Transurethral drainage of ureter</x:t>
  </x:si>
  <x:si>
    <x:t>http://id.who.int/icd/entity/500780502</x:t>
  </x:si>
  <x:si>
    <x:t>http://id.who.int/icd/release/11/beta/ichi/500780502</x:t>
  </x:si>
  <x:si>
    <x:t>NAE.JD.AA</x:t>
  </x:si>
  <x:si>
    <x:t>- - - - - Removal of internal device or foreign body from ureter</x:t>
  </x:si>
  <x:si>
    <x:t>http://id.who.int/icd/entity/842925832</x:t>
  </x:si>
  <x:si>
    <x:t>http://id.who.int/icd/release/11/beta/ichi/842925832</x:t>
  </x:si>
  <x:si>
    <x:t>NAE.JD.AD</x:t>
  </x:si>
  <x:si>
    <x:t>- - - - - Transurethral removal of internal device or foreign body from ureter</x:t>
  </x:si>
  <x:si>
    <x:t>http://id.who.int/icd/entity/595404672</x:t>
  </x:si>
  <x:si>
    <x:t>http://id.who.int/icd/release/11/beta/ichi/595404672</x:t>
  </x:si>
  <x:si>
    <x:t>NAE.JE.AA</x:t>
  </x:si>
  <x:si>
    <x:t>- - - - - Extraction of calculus of ureter</x:t>
  </x:si>
  <x:si>
    <x:t>http://id.who.int/icd/entity/1402242813</x:t>
  </x:si>
  <x:si>
    <x:t>http://id.who.int/icd/release/11/beta/ichi/1402242813</x:t>
  </x:si>
  <x:si>
    <x:t>NAE.JE.AD</x:t>
  </x:si>
  <x:si>
    <x:t>- - - - - Transurethral extraction of calculus from ureter</x:t>
  </x:si>
  <x:si>
    <x:t>http://id.who.int/icd/entity/2020207213</x:t>
  </x:si>
  <x:si>
    <x:t>http://id.who.int/icd/release/11/beta/ichi/2020207213</x:t>
  </x:si>
  <x:si>
    <x:t>NAE.JJ.AA</x:t>
  </x:si>
  <x:si>
    <x:t>- - - - - Partial ureterectomy</x:t>
  </x:si>
  <x:si>
    <x:t>http://id.who.int/icd/entity/1013267540</x:t>
  </x:si>
  <x:si>
    <x:t>http://id.who.int/icd/release/11/beta/ichi/1013267540</x:t>
  </x:si>
  <x:si>
    <x:t>NAE.JJ.AB</x:t>
  </x:si>
  <x:si>
    <x:t>- - - - - Laparoscopic partial ureterectomy</x:t>
  </x:si>
  <x:si>
    <x:t>http://id.who.int/icd/entity/1290246105</x:t>
  </x:si>
  <x:si>
    <x:t>http://id.who.int/icd/release/11/beta/ichi/1290246105</x:t>
  </x:si>
  <x:si>
    <x:t>NAE.JJ.AD</x:t>
  </x:si>
  <x:si>
    <x:t>- - - - - Transurethral partial ureterectomy</x:t>
  </x:si>
  <x:si>
    <x:t>http://id.who.int/icd/entity/1130241867</x:t>
  </x:si>
  <x:si>
    <x:t>http://id.who.int/icd/release/11/beta/ichi/1130241867</x:t>
  </x:si>
  <x:si>
    <x:t>NAE.JK.AA</x:t>
  </x:si>
  <x:si>
    <x:t>- - - - - Total ureterectomy</x:t>
  </x:si>
  <x:si>
    <x:t>http://id.who.int/icd/entity/1183828005</x:t>
  </x:si>
  <x:si>
    <x:t>http://id.who.int/icd/release/11/beta/ichi/1183828005</x:t>
  </x:si>
  <x:si>
    <x:t>NAE.JK.AB</x:t>
  </x:si>
  <x:si>
    <x:t>- - - - - Laparoscopic total ureterectomy</x:t>
  </x:si>
  <x:si>
    <x:t>http://id.who.int/icd/entity/385094038</x:t>
  </x:si>
  <x:si>
    <x:t>http://id.who.int/icd/release/11/beta/ichi/385094038</x:t>
  </x:si>
  <x:si>
    <x:t>NAE.KA.AA</x:t>
  </x:si>
  <x:si>
    <x:t>- - - - - Replacement of ureteric device</x:t>
  </x:si>
  <x:si>
    <x:t>http://id.who.int/icd/entity/1657482279</x:t>
  </x:si>
  <x:si>
    <x:t>http://id.who.int/icd/release/11/beta/ichi/1657482279</x:t>
  </x:si>
  <x:si>
    <x:t>NAE.KA.AD</x:t>
  </x:si>
  <x:si>
    <x:t>- - - - - Transurethral replacement of ureteric device</x:t>
  </x:si>
  <x:si>
    <x:t>http://id.who.int/icd/entity/578448418</x:t>
  </x:si>
  <x:si>
    <x:t>http://id.who.int/icd/release/11/beta/ichi/578448418</x:t>
  </x:si>
  <x:si>
    <x:t>NAE.KA.AE</x:t>
  </x:si>
  <x:si>
    <x:t>- - - - - Percutaneous replacement of ureteric device</x:t>
  </x:si>
  <x:si>
    <x:t>http://id.who.int/icd/entity/702137086</x:t>
  </x:si>
  <x:si>
    <x:t>http://id.who.int/icd/release/11/beta/ichi/702137086</x:t>
  </x:si>
  <x:si>
    <x:t>NAE.LB.AA</x:t>
  </x:si>
  <x:si>
    <x:t>- - - - - Anastomosis of ureter</x:t>
  </x:si>
  <x:si>
    <x:t>http://id.who.int/icd/entity/110704722</x:t>
  </x:si>
  <x:si>
    <x:t>http://id.who.int/icd/release/11/beta/ichi/110704722</x:t>
  </x:si>
  <x:si>
    <x:t>NAE.LB.AB</x:t>
  </x:si>
  <x:si>
    <x:t>- - - - - Laparoscopic anastomosis of ureter</x:t>
  </x:si>
  <x:si>
    <x:t>http://id.who.int/icd/entity/761550018</x:t>
  </x:si>
  <x:si>
    <x:t>http://id.who.int/icd/release/11/beta/ichi/761550018</x:t>
  </x:si>
  <x:si>
    <x:t>NAE.LB.AD</x:t>
  </x:si>
  <x:si>
    <x:t>- - - - - Transureteroureterostomy</x:t>
  </x:si>
  <x:si>
    <x:t>http://id.who.int/icd/entity/1655761685</x:t>
  </x:si>
  <x:si>
    <x:t>http://id.who.int/icd/release/11/beta/ichi/1655761685</x:t>
  </x:si>
  <x:si>
    <x:t>NAE.LC.AA</x:t>
  </x:si>
  <x:si>
    <x:t>- - - - - Ureteropexy</x:t>
  </x:si>
  <x:si>
    <x:t>http://id.who.int/icd/entity/1220820549</x:t>
  </x:si>
  <x:si>
    <x:t>http://id.who.int/icd/release/11/beta/ichi/1220820549</x:t>
  </x:si>
  <x:si>
    <x:t>NAE.LG.AD</x:t>
  </x:si>
  <x:si>
    <x:t>- - - - - Endoscopic dilatation of ureter</x:t>
  </x:si>
  <x:si>
    <x:t>http://id.who.int/icd/entity/49862958</x:t>
  </x:si>
  <x:si>
    <x:t>http://id.who.int/icd/release/11/beta/ichi/49862958</x:t>
  </x:si>
  <x:si>
    <x:t>NAE.LH.AD</x:t>
  </x:si>
  <x:si>
    <x:t>- - - - - Endoscopic dilatation with insertion of device into ureter</x:t>
  </x:si>
  <x:si>
    <x:t>http://id.who.int/icd/entity/667974782</x:t>
  </x:si>
  <x:si>
    <x:t>http://id.who.int/icd/release/11/beta/ichi/667974782</x:t>
  </x:si>
  <x:si>
    <x:t>NAE.LH.AF</x:t>
  </x:si>
  <x:si>
    <x:t>- - - - - Percutaneous transluminal dilatation with insertion of device into ureter</x:t>
  </x:si>
  <x:si>
    <x:t>http://id.who.int/icd/entity/2007737805</x:t>
  </x:si>
  <x:si>
    <x:t>http://id.who.int/icd/release/11/beta/ichi/2007737805</x:t>
  </x:si>
  <x:si>
    <x:t>NAE.LI.AA</x:t>
  </x:si>
  <x:si>
    <x:t>- - - - - Urinary diversion</x:t>
  </x:si>
  <x:si>
    <x:t>http://id.who.int/icd/entity/1734425723</x:t>
  </x:si>
  <x:si>
    <x:t>http://id.who.int/icd/release/11/beta/ichi/1734425723</x:t>
  </x:si>
  <x:si>
    <x:t>NAE.LI.AB</x:t>
  </x:si>
  <x:si>
    <x:t>- - - - - Laparoscopic urinary diversion</x:t>
  </x:si>
  <x:si>
    <x:t>http://id.who.int/icd/entity/702565678</x:t>
  </x:si>
  <x:si>
    <x:t>http://id.who.int/icd/release/11/beta/ichi/702565678</x:t>
  </x:si>
  <x:si>
    <x:t>NAE.MK.AA</x:t>
  </x:si>
  <x:si>
    <x:t>- - - - - Repair of ureter</x:t>
  </x:si>
  <x:si>
    <x:t>http://id.who.int/icd/entity/45781456</x:t>
  </x:si>
  <x:si>
    <x:t>http://id.who.int/icd/release/11/beta/ichi/45781456</x:t>
  </x:si>
  <x:si>
    <x:t>NAE.MK.AB</x:t>
  </x:si>
  <x:si>
    <x:t>- - - - - Laparoscopic repair of ureter</x:t>
  </x:si>
  <x:si>
    <x:t>http://id.who.int/icd/entity/1916287555</x:t>
  </x:si>
  <x:si>
    <x:t>http://id.who.int/icd/release/11/beta/ichi/1916287555</x:t>
  </x:si>
  <x:si>
    <x:t>NAE.ML.AA</x:t>
  </x:si>
  <x:si>
    <x:t>- - - - - Reconstruction of ureter</x:t>
  </x:si>
  <x:si>
    <x:t>http://id.who.int/icd/entity/1196749881</x:t>
  </x:si>
  <x:si>
    <x:t>http://id.who.int/icd/release/11/beta/ichi/1196749881</x:t>
  </x:si>
  <x:si>
    <x:t>NAE.ML.AB</x:t>
  </x:si>
  <x:si>
    <x:t>- - - - - Laparoscopic reconstruction of ureter</x:t>
  </x:si>
  <x:si>
    <x:t>http://id.who.int/icd/entity/1823053993</x:t>
  </x:si>
  <x:si>
    <x:t>http://id.who.int/icd/release/11/beta/ichi/1823053993</x:t>
  </x:si>
  <x:si>
    <x:t>NAE.SN.AC</x:t>
  </x:si>
  <x:si>
    <x:t>- - - - - Management of internal device of ureter</x:t>
  </x:si>
  <x:si>
    <x:t>http://id.who.int/icd/entity/412525850</x:t>
  </x:si>
  <x:si>
    <x:t>http://id.who.int/icd/release/11/beta/ichi/412525850</x:t>
  </x:si>
  <x:si>
    <x:t>NAI.AD.AA</x:t>
  </x:si>
  <x:si>
    <x:t>- - - - - Biopsy of bladder</x:t>
  </x:si>
  <x:si>
    <x:t>http://id.who.int/icd/entity/1029437658</x:t>
  </x:si>
  <x:si>
    <x:t>http://id.who.int/icd/release/11/beta/ichi/1029437658</x:t>
  </x:si>
  <x:si>
    <x:t>NAI.AD.AD</x:t>
  </x:si>
  <x:si>
    <x:t>- - - - - Endoscopic biopsy of bladder</x:t>
  </x:si>
  <x:si>
    <x:t>http://id.who.int/icd/entity/132494398</x:t>
  </x:si>
  <x:si>
    <x:t>http://id.who.int/icd/release/11/beta/ichi/132494398</x:t>
  </x:si>
  <x:si>
    <x:t>NAI.AE.AA</x:t>
  </x:si>
  <x:si>
    <x:t>- - - - - Exploration of perivesical tissue</x:t>
  </x:si>
  <x:si>
    <x:t>http://id.who.int/icd/entity/1924581597</x:t>
  </x:si>
  <x:si>
    <x:t>http://id.who.int/icd/release/11/beta/ichi/1924581597</x:t>
  </x:si>
  <x:si>
    <x:t>NAI.AE.AB</x:t>
  </x:si>
  <x:si>
    <x:t>- - - - - Cystoscopy through artificial stoma</x:t>
  </x:si>
  <x:si>
    <x:t>http://id.who.int/icd/entity/583864686</x:t>
  </x:si>
  <x:si>
    <x:t>http://id.who.int/icd/release/11/beta/ichi/583864686</x:t>
  </x:si>
  <x:si>
    <x:t>NAI.AE.AD</x:t>
  </x:si>
  <x:si>
    <x:t>- - - - - Cystoscopy</x:t>
  </x:si>
  <x:si>
    <x:t>http://id.who.int/icd/entity/762616320</x:t>
  </x:si>
  <x:si>
    <x:t>http://id.who.int/icd/release/11/beta/ichi/762616320</x:t>
  </x:si>
  <x:si>
    <x:t>NAI.BA.BA</x:t>
  </x:si>
  <x:si>
    <x:t>- - - - - X-ray of bladder</x:t>
  </x:si>
  <x:si>
    <x:t>http://id.who.int/icd/entity/2017161137</x:t>
  </x:si>
  <x:si>
    <x:t>http://id.who.int/icd/release/11/beta/ichi/2017161137</x:t>
  </x:si>
  <x:si>
    <x:t>NAI.BA.BB</x:t>
  </x:si>
  <x:si>
    <x:t>- - - - - Retrograde cystourethrogram</x:t>
  </x:si>
  <x:si>
    <x:t>http://id.who.int/icd/entity/373517530</x:t>
  </x:si>
  <x:si>
    <x:t>http://id.who.int/icd/release/11/beta/ichi/373517530</x:t>
  </x:si>
  <x:si>
    <x:t>NAI.BA.BH</x:t>
  </x:si>
  <x:si>
    <x:t>- - - - - Magnetic resonance imaging of bladder</x:t>
  </x:si>
  <x:si>
    <x:t>http://id.who.int/icd/entity/670645908</x:t>
  </x:si>
  <x:si>
    <x:t>http://id.who.int/icd/release/11/beta/ichi/670645908</x:t>
  </x:si>
  <x:si>
    <x:t>NAI.BA.BJ</x:t>
  </x:si>
  <x:si>
    <x:t>- - - - - Ultrasound of bladder</x:t>
  </x:si>
  <x:si>
    <x:t>http://id.who.int/icd/entity/465611070</x:t>
  </x:si>
  <x:si>
    <x:t>http://id.who.int/icd/release/11/beta/ichi/465611070</x:t>
  </x:si>
  <x:si>
    <x:t>NAI.DB.AD</x:t>
  </x:si>
  <x:si>
    <x:t>- - - - - Endoscopic injection into bladder</x:t>
  </x:si>
  <x:si>
    <x:t>http://id.who.int/icd/entity/2023546817</x:t>
  </x:si>
  <x:si>
    <x:t>http://id.who.int/icd/release/11/beta/ichi/2023546817</x:t>
  </x:si>
  <x:si>
    <x:t>NAI.DL.AD</x:t>
  </x:si>
  <x:si>
    <x:t>- - - - - Insertion of device into urinary bladder</x:t>
  </x:si>
  <x:si>
    <x:t>http://id.who.int/icd/entity/1939390829</x:t>
  </x:si>
  <x:si>
    <x:t>http://id.who.int/icd/release/11/beta/ichi/1939390829</x:t>
  </x:si>
  <x:si>
    <x:t>NAI.DN.AA</x:t>
  </x:si>
  <x:si>
    <x:t>- - - - - Implantation of device into urinary bladder</x:t>
  </x:si>
  <x:si>
    <x:t>http://id.who.int/icd/entity/1415936506</x:t>
  </x:si>
  <x:si>
    <x:t>http://id.who.int/icd/release/11/beta/ichi/1415936506</x:t>
  </x:si>
  <x:si>
    <x:t>NAI.DN.AB</x:t>
  </x:si>
  <x:si>
    <x:t>- - - - - Laparoscopic implantation of device into urinary bladder</x:t>
  </x:si>
  <x:si>
    <x:t>http://id.who.int/icd/entity/1050733741</x:t>
  </x:si>
  <x:si>
    <x:t>http://id.who.int/icd/release/11/beta/ichi/1050733741</x:t>
  </x:si>
  <x:si>
    <x:t>NAI.FA.AA</x:t>
  </x:si>
  <x:si>
    <x:t>- - - - - Cystotomy</x:t>
  </x:si>
  <x:si>
    <x:t>http://id.who.int/icd/entity/999605075</x:t>
  </x:si>
  <x:si>
    <x:t>http://id.who.int/icd/release/11/beta/ichi/999605075</x:t>
  </x:si>
  <x:si>
    <x:t>NAI.FA.AB</x:t>
  </x:si>
  <x:si>
    <x:t>- - - - - Laparoscopic cystotomy</x:t>
  </x:si>
  <x:si>
    <x:t>http://id.who.int/icd/entity/275361731</x:t>
  </x:si>
  <x:si>
    <x:t>http://id.who.int/icd/release/11/beta/ichi/275361731</x:t>
  </x:si>
  <x:si>
    <x:t>NAI.FC.AA</x:t>
  </x:si>
  <x:si>
    <x:t>- - - - - Release of perivesical adhesions</x:t>
  </x:si>
  <x:si>
    <x:t>http://id.who.int/icd/entity/2058107540</x:t>
  </x:si>
  <x:si>
    <x:t>http://id.who.int/icd/release/11/beta/ichi/2058107540</x:t>
  </x:si>
  <x:si>
    <x:t>NAI.FC.AB</x:t>
  </x:si>
  <x:si>
    <x:t>- - - - - Laparoscopic release of perivesical adhesions</x:t>
  </x:si>
  <x:si>
    <x:t>http://id.who.int/icd/entity/1954149208</x:t>
  </x:si>
  <x:si>
    <x:t>http://id.who.int/icd/release/11/beta/ichi/1954149208</x:t>
  </x:si>
  <x:si>
    <x:t>NAI.FC.AC</x:t>
  </x:si>
  <x:si>
    <x:t>- - - - - Transurethral release of perivesical adhesions</x:t>
  </x:si>
  <x:si>
    <x:t>http://id.who.int/icd/entity/515663361</x:t>
  </x:si>
  <x:si>
    <x:t>http://id.who.int/icd/release/11/beta/ichi/515663361</x:t>
  </x:si>
  <x:si>
    <x:t>NAI.GA.AA</x:t>
  </x:si>
  <x:si>
    <x:t>- - - - - Destruction of lesion or tissue of bladder</x:t>
  </x:si>
  <x:si>
    <x:t>http://id.who.int/icd/entity/2129941564</x:t>
  </x:si>
  <x:si>
    <x:t>http://id.who.int/icd/release/11/beta/ichi/2129941564</x:t>
  </x:si>
  <x:si>
    <x:t>NAI.GA.AD</x:t>
  </x:si>
  <x:si>
    <x:t>- - - - - Transurethral destruction of lesion or tissue of bladder</x:t>
  </x:si>
  <x:si>
    <x:t>http://id.who.int/icd/entity/338805101</x:t>
  </x:si>
  <x:si>
    <x:t>http://id.who.int/icd/release/11/beta/ichi/338805101</x:t>
  </x:si>
  <x:si>
    <x:t>NAI.GA.AI</x:t>
  </x:si>
  <x:si>
    <x:t>- - - - - Laparoscopically assisted transurethral destruction of lesion or tissue of bladder</x:t>
  </x:si>
  <x:si>
    <x:t>http://id.who.int/icd/entity/248598471</x:t>
  </x:si>
  <x:si>
    <x:t>http://id.who.int/icd/release/11/beta/ichi/248598471</x:t>
  </x:si>
  <x:si>
    <x:t>NAI.GA.BA</x:t>
  </x:si>
  <x:si>
    <x:t>- - - - - Destruction of lesion or tissue of bladder by radiotherapy</x:t>
  </x:si>
  <x:si>
    <x:t>http://id.who.int/icd/entity/23643989</x:t>
  </x:si>
  <x:si>
    <x:t>http://id.who.int/icd/release/11/beta/ichi/23643989</x:t>
  </x:si>
  <x:si>
    <x:t>NAI.GA.BJ</x:t>
  </x:si>
  <x:si>
    <x:t>- - - - - Extracorporeal shockwave lithotripsy of bladder</x:t>
  </x:si>
  <x:si>
    <x:t>http://id.who.int/icd/entity/1340716544</x:t>
  </x:si>
  <x:si>
    <x:t>http://id.who.int/icd/release/11/beta/ichi/1340716544</x:t>
  </x:si>
  <x:si>
    <x:t>NAI.JA.AB</x:t>
  </x:si>
  <x:si>
    <x:t>- - - - - Endoscopic irrigation of bladder clots</x:t>
  </x:si>
  <x:si>
    <x:t>http://id.who.int/icd/entity/352156435</x:t>
  </x:si>
  <x:si>
    <x:t>http://id.who.int/icd/release/11/beta/ichi/352156435</x:t>
  </x:si>
  <x:si>
    <x:t>NAI.JA.AC</x:t>
  </x:si>
  <x:si>
    <x:t>- - - - - Irrigation of urinary bladder</x:t>
  </x:si>
  <x:si>
    <x:t>http://id.who.int/icd/entity/1262430768</x:t>
  </x:si>
  <x:si>
    <x:t>http://id.who.int/icd/release/11/beta/ichi/1262430768</x:t>
  </x:si>
  <x:si>
    <x:t>NAI.JB.AA</x:t>
  </x:si>
  <x:si>
    <x:t>- - - - - Drainage of bladder</x:t>
  </x:si>
  <x:si>
    <x:t>http://id.who.int/icd/entity/729225227</x:t>
  </x:si>
  <x:si>
    <x:t>http://id.who.int/icd/release/11/beta/ichi/729225227</x:t>
  </x:si>
  <x:si>
    <x:t>NAI.JB.AB</x:t>
  </x:si>
  <x:si>
    <x:t>- - - - - Laparoscopic drainage of bladder</x:t>
  </x:si>
  <x:si>
    <x:t>http://id.who.int/icd/entity/2064433596</x:t>
  </x:si>
  <x:si>
    <x:t>http://id.who.int/icd/release/11/beta/ichi/2064433596</x:t>
  </x:si>
  <x:si>
    <x:t>NAI.JB.AC</x:t>
  </x:si>
  <x:si>
    <x:t>- - - - - Drainage of bladder without incision</x:t>
  </x:si>
  <x:si>
    <x:t>http://id.who.int/icd/entity/1958037802</x:t>
  </x:si>
  <x:si>
    <x:t>http://id.who.int/icd/release/11/beta/ichi/1958037802</x:t>
  </x:si>
  <x:si>
    <x:t>NAI.JB.AE</x:t>
  </x:si>
  <x:si>
    <x:t>- - - - - Percutaneous aspiration of bladder</x:t>
  </x:si>
  <x:si>
    <x:t>http://id.who.int/icd/entity/337150851</x:t>
  </x:si>
  <x:si>
    <x:t>http://id.who.int/icd/release/11/beta/ichi/337150851</x:t>
  </x:si>
  <x:si>
    <x:t>NAI.JD.AA</x:t>
  </x:si>
  <x:si>
    <x:t>- - - - - Removal of internal device or foreign body from bladder</x:t>
  </x:si>
  <x:si>
    <x:t>http://id.who.int/icd/entity/463538961</x:t>
  </x:si>
  <x:si>
    <x:t>http://id.who.int/icd/release/11/beta/ichi/463538961</x:t>
  </x:si>
  <x:si>
    <x:t>NAI.JD.AC</x:t>
  </x:si>
  <x:si>
    <x:t>- - - - - Transurethral removal of internal device or foreign body from bladder</x:t>
  </x:si>
  <x:si>
    <x:t>http://id.who.int/icd/entity/1527794454</x:t>
  </x:si>
  <x:si>
    <x:t>http://id.who.int/icd/release/11/beta/ichi/1527794454</x:t>
  </x:si>
  <x:si>
    <x:t>NAI.JD.AD</x:t>
  </x:si>
  <x:si>
    <x:t>- - - - - Endoscopic transurethral removal of internal device or foreign body of bladder</x:t>
  </x:si>
  <x:si>
    <x:t>http://id.who.int/icd/entity/731046043</x:t>
  </x:si>
  <x:si>
    <x:t>http://id.who.int/icd/release/11/beta/ichi/731046043</x:t>
  </x:si>
  <x:si>
    <x:t>NAI.JD.AE</x:t>
  </x:si>
  <x:si>
    <x:t>- - - - - Percutaneous removal of internal device or foreign body from bladder</x:t>
  </x:si>
  <x:si>
    <x:t>http://id.who.int/icd/entity/80878133</x:t>
  </x:si>
  <x:si>
    <x:t>http://id.who.int/icd/release/11/beta/ichi/80878133</x:t>
  </x:si>
  <x:si>
    <x:t>NAI.JE.AA</x:t>
  </x:si>
  <x:si>
    <x:t>- - - - - Extraction of calculus from bladder</x:t>
  </x:si>
  <x:si>
    <x:t>http://id.who.int/icd/entity/724914411</x:t>
  </x:si>
  <x:si>
    <x:t>http://id.who.int/icd/release/11/beta/ichi/724914411</x:t>
  </x:si>
  <x:si>
    <x:t>NAI.JE.AD</x:t>
  </x:si>
  <x:si>
    <x:t>- - - - - Transurethral extraction of calculus from bladder via cystoscopy</x:t>
  </x:si>
  <x:si>
    <x:t>http://id.who.int/icd/entity/829582897</x:t>
  </x:si>
  <x:si>
    <x:t>http://id.who.int/icd/release/11/beta/ichi/829582897</x:t>
  </x:si>
  <x:si>
    <x:t>NAI.JI.AA</x:t>
  </x:si>
  <x:si>
    <x:t>- - - - - Local excision of lesion of bladder</x:t>
  </x:si>
  <x:si>
    <x:t>http://id.who.int/icd/entity/1858608956</x:t>
  </x:si>
  <x:si>
    <x:t>http://id.who.int/icd/release/11/beta/ichi/1858608956</x:t>
  </x:si>
  <x:si>
    <x:t>NAI.JI.AB</x:t>
  </x:si>
  <x:si>
    <x:t>- - - - - Laparoscopic local excision of lesion of bladder</x:t>
  </x:si>
  <x:si>
    <x:t>http://id.who.int/icd/entity/1626877544</x:t>
  </x:si>
  <x:si>
    <x:t>http://id.who.int/icd/release/11/beta/ichi/1626877544</x:t>
  </x:si>
  <x:si>
    <x:t>NAI.JI.AD</x:t>
  </x:si>
  <x:si>
    <x:t>- - - - - Transurethral resection of bladder lesion</x:t>
  </x:si>
  <x:si>
    <x:t>http://id.who.int/icd/entity/541683311</x:t>
  </x:si>
  <x:si>
    <x:t>http://id.who.int/icd/release/11/beta/ichi/541683311</x:t>
  </x:si>
  <x:si>
    <x:t>NAI.JJ.AA</x:t>
  </x:si>
  <x:si>
    <x:t>- - - - - Partial excision of bladder</x:t>
  </x:si>
  <x:si>
    <x:t>http://id.who.int/icd/entity/20555155</x:t>
  </x:si>
  <x:si>
    <x:t>http://id.who.int/icd/release/11/beta/ichi/20555155</x:t>
  </x:si>
  <x:si>
    <x:t>NAI.JJ.AB</x:t>
  </x:si>
  <x:si>
    <x:t>- - - - - Laparoscopic partial excision of bladder</x:t>
  </x:si>
  <x:si>
    <x:t>http://id.who.int/icd/entity/1345207668</x:t>
  </x:si>
  <x:si>
    <x:t>http://id.who.int/icd/release/11/beta/ichi/1345207668</x:t>
  </x:si>
  <x:si>
    <x:t>NAI.JK.AA</x:t>
  </x:si>
  <x:si>
    <x:t>- - - - - Total cystectomy</x:t>
  </x:si>
  <x:si>
    <x:t>http://id.who.int/icd/entity/605094081</x:t>
  </x:si>
  <x:si>
    <x:t>http://id.who.int/icd/release/11/beta/ichi/605094081</x:t>
  </x:si>
  <x:si>
    <x:t>NAI.JK.AB</x:t>
  </x:si>
  <x:si>
    <x:t>- - - - - Laparoscopic total cystectomy</x:t>
  </x:si>
  <x:si>
    <x:t>http://id.who.int/icd/entity/1369932978</x:t>
  </x:si>
  <x:si>
    <x:t>http://id.who.int/icd/release/11/beta/ichi/1369932978</x:t>
  </x:si>
  <x:si>
    <x:t>NAI.JL.AA</x:t>
  </x:si>
  <x:si>
    <x:t>- - - - - Radical cystectomy</x:t>
  </x:si>
  <x:si>
    <x:t>http://id.who.int/icd/entity/278887797</x:t>
  </x:si>
  <x:si>
    <x:t>http://id.who.int/icd/release/11/beta/ichi/278887797</x:t>
  </x:si>
  <x:si>
    <x:t>NAI.JL.AB</x:t>
  </x:si>
  <x:si>
    <x:t>- - - - - Laparoscopic radical cystectomy</x:t>
  </x:si>
  <x:si>
    <x:t>http://id.who.int/icd/entity/456971177</x:t>
  </x:si>
  <x:si>
    <x:t>http://id.who.int/icd/release/11/beta/ichi/456971177</x:t>
  </x:si>
  <x:si>
    <x:t>NAI.KA.AA</x:t>
  </x:si>
  <x:si>
    <x:t>- - - - - Replacement of bladder device</x:t>
  </x:si>
  <x:si>
    <x:t>http://id.who.int/icd/entity/1001302939</x:t>
  </x:si>
  <x:si>
    <x:t>http://id.who.int/icd/release/11/beta/ichi/1001302939</x:t>
  </x:si>
  <x:si>
    <x:t>NAI.KA.AC</x:t>
  </x:si>
  <x:si>
    <x:t>- - - - - Replacement of indwelling urinary catheter</x:t>
  </x:si>
  <x:si>
    <x:t>http://id.who.int/icd/entity/1809150508</x:t>
  </x:si>
  <x:si>
    <x:t>http://id.who.int/icd/release/11/beta/ichi/1809150508</x:t>
  </x:si>
  <x:si>
    <x:t>NAI.KA.AE</x:t>
  </x:si>
  <x:si>
    <x:t>- - - - - Percutaneous replacement of internal device of urinary bladder</x:t>
  </x:si>
  <x:si>
    <x:t>http://id.who.int/icd/entity/568956225</x:t>
  </x:si>
  <x:si>
    <x:t>http://id.who.int/icd/release/11/beta/ichi/568956225</x:t>
  </x:si>
  <x:si>
    <x:t>NAI.LA.AC</x:t>
  </x:si>
  <x:si>
    <x:t>- - - - - Transurethral haemostasis of bladder</x:t>
  </x:si>
  <x:si>
    <x:t>http://id.who.int/icd/entity/1957061392</x:t>
  </x:si>
  <x:si>
    <x:t>http://id.who.int/icd/release/11/beta/ichi/1957061392</x:t>
  </x:si>
  <x:si>
    <x:t>NAI.LA.AD</x:t>
  </x:si>
  <x:si>
    <x:t>- - - - - Endoscopic haemostasis of bladder</x:t>
  </x:si>
  <x:si>
    <x:t>http://id.who.int/icd/entity/1541839264</x:t>
  </x:si>
  <x:si>
    <x:t>http://id.who.int/icd/release/11/beta/ichi/1541839264</x:t>
  </x:si>
  <x:si>
    <x:t>NAI.LB.AA</x:t>
  </x:si>
  <x:si>
    <x:t>- - - - - Anastomosis of bladder</x:t>
  </x:si>
  <x:si>
    <x:t>http://id.who.int/icd/entity/359131381</x:t>
  </x:si>
  <x:si>
    <x:t>http://id.who.int/icd/release/11/beta/ichi/359131381</x:t>
  </x:si>
  <x:si>
    <x:t>NAI.LC.AA</x:t>
  </x:si>
  <x:si>
    <x:t>- - - - - Cystopexy</x:t>
  </x:si>
  <x:si>
    <x:t>http://id.who.int/icd/entity/2127445236</x:t>
  </x:si>
  <x:si>
    <x:t>http://id.who.int/icd/release/11/beta/ichi/2127445236</x:t>
  </x:si>
  <x:si>
    <x:t>NAI.LG.AD</x:t>
  </x:si>
  <x:si>
    <x:t>- - - - - Endoscopic dilatation of the urinary bladder</x:t>
  </x:si>
  <x:si>
    <x:t>http://id.who.int/icd/entity/336308645</x:t>
  </x:si>
  <x:si>
    <x:t>http://id.who.int/icd/release/11/beta/ichi/336308645</x:t>
  </x:si>
  <x:si>
    <x:t>NAI.LI.AA</x:t>
  </x:si>
  <x:si>
    <x:t>- - - - - Ileovesicostomy</x:t>
  </x:si>
  <x:si>
    <x:t>http://id.who.int/icd/entity/607666735</x:t>
  </x:si>
  <x:si>
    <x:t>http://id.who.int/icd/release/11/beta/ichi/607666735</x:t>
  </x:si>
  <x:si>
    <x:t>NAI.LI.AE</x:t>
  </x:si>
  <x:si>
    <x:t>- - - - - Percutaneous cystotomy</x:t>
  </x:si>
  <x:si>
    <x:t>http://id.who.int/icd/entity/192460929</x:t>
  </x:si>
  <x:si>
    <x:t>http://id.who.int/icd/release/11/beta/ichi/192460929</x:t>
  </x:si>
  <x:si>
    <x:t>NAI.LK.AA</x:t>
  </x:si>
  <x:si>
    <x:t>- - - - - Augmentation of bladder</x:t>
  </x:si>
  <x:si>
    <x:t>http://id.who.int/icd/entity/614462047</x:t>
  </x:si>
  <x:si>
    <x:t>http://id.who.int/icd/release/11/beta/ichi/614462047</x:t>
  </x:si>
  <x:si>
    <x:t>NAI.LK.AB</x:t>
  </x:si>
  <x:si>
    <x:t>- - - - - Laparoscopic bladder augmentation</x:t>
  </x:si>
  <x:si>
    <x:t>http://id.who.int/icd/entity/1256714550</x:t>
  </x:si>
  <x:si>
    <x:t>http://id.who.int/icd/release/11/beta/ichi/1256714550</x:t>
  </x:si>
  <x:si>
    <x:t>NAI.LL.AA</x:t>
  </x:si>
  <x:si>
    <x:t>- - - - - Plication of sphincter of urinary bladder</x:t>
  </x:si>
  <x:si>
    <x:t>http://id.who.int/icd/entity/1537528130</x:t>
  </x:si>
  <x:si>
    <x:t>http://id.who.int/icd/release/11/beta/ichi/1537528130</x:t>
  </x:si>
  <x:si>
    <x:t>NAI.MK.AA</x:t>
  </x:si>
  <x:si>
    <x:t>- - - - - Repair of bladder</x:t>
  </x:si>
  <x:si>
    <x:t>http://id.who.int/icd/entity/342912663</x:t>
  </x:si>
  <x:si>
    <x:t>http://id.who.int/icd/release/11/beta/ichi/342912663</x:t>
  </x:si>
  <x:si>
    <x:t>NAI.MK.AB</x:t>
  </x:si>
  <x:si>
    <x:t>- - - - - Laparoscopic repair of bladder</x:t>
  </x:si>
  <x:si>
    <x:t>http://id.who.int/icd/entity/1085677850</x:t>
  </x:si>
  <x:si>
    <x:t>http://id.who.int/icd/release/11/beta/ichi/1085677850</x:t>
  </x:si>
  <x:si>
    <x:t>NAI.ML.AA</x:t>
  </x:si>
  <x:si>
    <x:t>- - - - - Reconstruction of urinary bladder</x:t>
  </x:si>
  <x:si>
    <x:t>http://id.who.int/icd/entity/991828631</x:t>
  </x:si>
  <x:si>
    <x:t>http://id.who.int/icd/release/11/beta/ichi/991828631</x:t>
  </x:si>
  <x:si>
    <x:t>NAI.ML.AB</x:t>
  </x:si>
  <x:si>
    <x:t>- - - - - Laparoscopic reconstruction of urinary bladder</x:t>
  </x:si>
  <x:si>
    <x:t>http://id.who.int/icd/entity/368695127</x:t>
  </x:si>
  <x:si>
    <x:t>http://id.who.int/icd/release/11/beta/ichi/368695127</x:t>
  </x:si>
  <x:si>
    <x:t>NAI.SN.AC</x:t>
  </x:si>
  <x:si>
    <x:t>- - - - - Management of internal device for urinary bladder</x:t>
  </x:si>
  <x:si>
    <x:t>http://id.who.int/icd/entity/440426437</x:t>
  </x:si>
  <x:si>
    <x:t>http://id.who.int/icd/release/11/beta/ichi/440426437</x:t>
  </x:si>
  <x:si>
    <x:t>NAK.DB.AD</x:t>
  </x:si>
  <x:si>
    <x:t>- - - - - Endoscopic injection into bladder neck</x:t>
  </x:si>
  <x:si>
    <x:t>http://id.who.int/icd/entity/1245415030</x:t>
  </x:si>
  <x:si>
    <x:t>http://id.who.int/icd/release/11/beta/ichi/1245415030</x:t>
  </x:si>
  <x:si>
    <x:t>NAK.FA.AD</x:t>
  </x:si>
  <x:si>
    <x:t>- - - - - Transurethral endoscopic incision of bladder neck</x:t>
  </x:si>
  <x:si>
    <x:t>http://id.who.int/icd/entity/1063844503</x:t>
  </x:si>
  <x:si>
    <x:t>http://id.who.int/icd/release/11/beta/ichi/1063844503</x:t>
  </x:si>
  <x:si>
    <x:t>NAK.FB.AA</x:t>
  </x:si>
  <x:si>
    <x:t>- - - - - Division of bladder neck</x:t>
  </x:si>
  <x:si>
    <x:t>http://id.who.int/icd/entity/1621797812</x:t>
  </x:si>
  <x:si>
    <x:t>http://id.who.int/icd/release/11/beta/ichi/1621797812</x:t>
  </x:si>
  <x:si>
    <x:t>NAK.GA.AD</x:t>
  </x:si>
  <x:si>
    <x:t>- - - - - Endoscopic destruction of bladder neck</x:t>
  </x:si>
  <x:si>
    <x:t>http://id.who.int/icd/entity/819032581</x:t>
  </x:si>
  <x:si>
    <x:t>http://id.who.int/icd/release/11/beta/ichi/819032581</x:t>
  </x:si>
  <x:si>
    <x:t>NAK.JD.AA</x:t>
  </x:si>
  <x:si>
    <x:t>- - - - - Removal of internal device or foreign body from bladder neck</x:t>
  </x:si>
  <x:si>
    <x:t>http://id.who.int/icd/entity/1704887370</x:t>
  </x:si>
  <x:si>
    <x:t>http://id.who.int/icd/release/11/beta/ichi/1704887370</x:t>
  </x:si>
  <x:si>
    <x:t>NAK.JD.AC</x:t>
  </x:si>
  <x:si>
    <x:t>- - - - - Removal of internal device or foreign body from bladder neck via orifice</x:t>
  </x:si>
  <x:si>
    <x:t>http://id.who.int/icd/entity/1315170522</x:t>
  </x:si>
  <x:si>
    <x:t>http://id.who.int/icd/release/11/beta/ichi/1315170522</x:t>
  </x:si>
  <x:si>
    <x:t>NAK.JD.AD</x:t>
  </x:si>
  <x:si>
    <x:t>- - - - - Transurethral endoscopic removal of internal device or foreign body from bladder neck</x:t>
  </x:si>
  <x:si>
    <x:t>http://id.who.int/icd/entity/447063893</x:t>
  </x:si>
  <x:si>
    <x:t>http://id.who.int/icd/release/11/beta/ichi/447063893</x:t>
  </x:si>
  <x:si>
    <x:t>NAK.JJ.AD</x:t>
  </x:si>
  <x:si>
    <x:t>- - - - - Transurethral endoscopic resection of bladder neck</x:t>
  </x:si>
  <x:si>
    <x:t>http://id.who.int/icd/entity/549215171</x:t>
  </x:si>
  <x:si>
    <x:t>http://id.who.int/icd/release/11/beta/ichi/549215171</x:t>
  </x:si>
  <x:si>
    <x:t>NAK.LA.AA</x:t>
  </x:si>
  <x:si>
    <x:t>- - - - - Closure of bladder neck</x:t>
  </x:si>
  <x:si>
    <x:t>http://id.who.int/icd/entity/188823379</x:t>
  </x:si>
  <x:si>
    <x:t>http://id.who.int/icd/release/11/beta/ichi/188823379</x:t>
  </x:si>
  <x:si>
    <x:t>NAK.LA.AD</x:t>
  </x:si>
  <x:si>
    <x:t>- - - - - Transvaginal endoscopic closure of bladder neck</x:t>
  </x:si>
  <x:si>
    <x:t>http://id.who.int/icd/entity/436344613</x:t>
  </x:si>
  <x:si>
    <x:t>http://id.who.int/icd/release/11/beta/ichi/436344613</x:t>
  </x:si>
  <x:si>
    <x:t>NAK.LC.AA</x:t>
  </x:si>
  <x:si>
    <x:t>- - - - - Suspension procedures on bladder neck</x:t>
  </x:si>
  <x:si>
    <x:t>http://id.who.int/icd/entity/1793832614</x:t>
  </x:si>
  <x:si>
    <x:t>http://id.who.int/icd/release/11/beta/ichi/1793832614</x:t>
  </x:si>
  <x:si>
    <x:t>NAK.LC.AB</x:t>
  </x:si>
  <x:si>
    <x:t>- - - - - Laparoscopic suspension procedures on bladder neck</x:t>
  </x:si>
  <x:si>
    <x:t>http://id.who.int/icd/entity/178488477</x:t>
  </x:si>
  <x:si>
    <x:t>http://id.who.int/icd/release/11/beta/ichi/178488477</x:t>
  </x:si>
  <x:si>
    <x:t>NAK.LC.AC</x:t>
  </x:si>
  <x:si>
    <x:t>- - - - - Transvaginal suspension procedures on bladder neck</x:t>
  </x:si>
  <x:si>
    <x:t>http://id.who.int/icd/entity/559867917</x:t>
  </x:si>
  <x:si>
    <x:t>http://id.who.int/icd/release/11/beta/ichi/559867917</x:t>
  </x:si>
  <x:si>
    <x:t>NAK.LG.AA</x:t>
  </x:si>
  <x:si>
    <x:t>- - - - - Dilatation of bladder neck</x:t>
  </x:si>
  <x:si>
    <x:t>http://id.who.int/icd/entity/259150835</x:t>
  </x:si>
  <x:si>
    <x:t>http://id.who.int/icd/release/11/beta/ichi/259150835</x:t>
  </x:si>
  <x:si>
    <x:t>NAK.LG.AB</x:t>
  </x:si>
  <x:si>
    <x:t>- - - - - Laparoscopic dilatation of bladder neck</x:t>
  </x:si>
  <x:si>
    <x:t>http://id.who.int/icd/entity/540191069</x:t>
  </x:si>
  <x:si>
    <x:t>http://id.who.int/icd/release/11/beta/ichi/540191069</x:t>
  </x:si>
  <x:si>
    <x:t>NAK.LG.AD</x:t>
  </x:si>
  <x:si>
    <x:t>- - - - - Transurethral endoscopic dilatation of bladder neck</x:t>
  </x:si>
  <x:si>
    <x:t>http://id.who.int/icd/entity/1971150610</x:t>
  </x:si>
  <x:si>
    <x:t>http://id.who.int/icd/release/11/beta/ichi/1971150610</x:t>
  </x:si>
  <x:si>
    <x:t>NAK.LH.AD</x:t>
  </x:si>
  <x:si>
    <x:t>- - - - - Endoscopic dilatation with insertion of device into bladder neck</x:t>
  </x:si>
  <x:si>
    <x:t>http://id.who.int/icd/entity/453336187</x:t>
  </x:si>
  <x:si>
    <x:t>http://id.who.int/icd/release/11/beta/ichi/453336187</x:t>
  </x:si>
  <x:si>
    <x:t>NAK.ML.AA</x:t>
  </x:si>
  <x:si>
    <x:t>- - - - - Reconstruction of bladder neck</x:t>
  </x:si>
  <x:si>
    <x:t>http://id.who.int/icd/entity/717164081</x:t>
  </x:si>
  <x:si>
    <x:t>http://id.who.int/icd/release/11/beta/ichi/717164081</x:t>
  </x:si>
  <x:si>
    <x:t>NAK.ML.AD</x:t>
  </x:si>
  <x:si>
    <x:t>- - - - - Transurethral endoscopic repair of bladder neck with graft or prosthesis</x:t>
  </x:si>
  <x:si>
    <x:t>http://id.who.int/icd/entity/811565211</x:t>
  </x:si>
  <x:si>
    <x:t>http://id.who.int/icd/release/11/beta/ichi/811565211</x:t>
  </x:si>
  <x:si>
    <x:t>NAM.AB.AD</x:t>
  </x:si>
  <x:si>
    <x:t>- - - - - Urethral pressure profilometry</x:t>
  </x:si>
  <x:si>
    <x:t>http://id.who.int/icd/entity/2053335026</x:t>
  </x:si>
  <x:si>
    <x:t>http://id.who.int/icd/release/11/beta/ichi/2053335026</x:t>
  </x:si>
  <x:si>
    <x:t>NAM.AB.AE</x:t>
  </x:si>
  <x:si>
    <x:t>- - - - - Urethral electromyography</x:t>
  </x:si>
  <x:si>
    <x:t>http://id.who.int/icd/entity/182570109</x:t>
  </x:si>
  <x:si>
    <x:t>http://id.who.int/icd/release/11/beta/ichi/182570109</x:t>
  </x:si>
  <x:si>
    <x:t>NAM.AD.AA</x:t>
  </x:si>
  <x:si>
    <x:t>- - - - - Biopsy of urethra</x:t>
  </x:si>
  <x:si>
    <x:t>http://id.who.int/icd/entity/1455540091</x:t>
  </x:si>
  <x:si>
    <x:t>http://id.who.int/icd/release/11/beta/ichi/1455540091</x:t>
  </x:si>
  <x:si>
    <x:t>NAM.AD.AD</x:t>
  </x:si>
  <x:si>
    <x:t>- - - - - Transurethral endoscopic biopsy of urethra</x:t>
  </x:si>
  <x:si>
    <x:t>http://id.who.int/icd/entity/151230042</x:t>
  </x:si>
  <x:si>
    <x:t>http://id.who.int/icd/release/11/beta/ichi/151230042</x:t>
  </x:si>
  <x:si>
    <x:t>NAM.AE.AD</x:t>
  </x:si>
  <x:si>
    <x:t>- - - - - Urethroscopy</x:t>
  </x:si>
  <x:si>
    <x:t>http://id.who.int/icd/entity/2038513109</x:t>
  </x:si>
  <x:si>
    <x:t>http://id.who.int/icd/release/11/beta/ichi/2038513109</x:t>
  </x:si>
  <x:si>
    <x:t>NAM.BA.BB</x:t>
  </x:si>
  <x:si>
    <x:t>- - - - - Urethrography</x:t>
  </x:si>
  <x:si>
    <x:t>http://id.who.int/icd/entity/2092241451</x:t>
  </x:si>
  <x:si>
    <x:t>http://id.who.int/icd/release/11/beta/ichi/2092241451</x:t>
  </x:si>
  <x:si>
    <x:t>NAM.DB.AD</x:t>
  </x:si>
  <x:si>
    <x:t>- - - - - Endoscopic injection of implant into urethra</x:t>
  </x:si>
  <x:si>
    <x:t>http://id.who.int/icd/entity/595018504</x:t>
  </x:si>
  <x:si>
    <x:t>http://id.who.int/icd/release/11/beta/ichi/595018504</x:t>
  </x:si>
  <x:si>
    <x:t>NAM.FA.AA</x:t>
  </x:si>
  <x:si>
    <x:t>- - - - - Urethrotomy</x:t>
  </x:si>
  <x:si>
    <x:t>http://id.who.int/icd/entity/329338900</x:t>
  </x:si>
  <x:si>
    <x:t>http://id.who.int/icd/release/11/beta/ichi/329338900</x:t>
  </x:si>
  <x:si>
    <x:t>NAM.FA.AD</x:t>
  </x:si>
  <x:si>
    <x:t>- - - - - Closed urethrotomy</x:t>
  </x:si>
  <x:si>
    <x:t>http://id.who.int/icd/entity/1138395555</x:t>
  </x:si>
  <x:si>
    <x:t>http://id.who.int/icd/release/11/beta/ichi/1138395555</x:t>
  </x:si>
  <x:si>
    <x:t>NAM.FC.AA</x:t>
  </x:si>
  <x:si>
    <x:t>- - - - - Release of urethra</x:t>
  </x:si>
  <x:si>
    <x:t>http://id.who.int/icd/entity/689904884</x:t>
  </x:si>
  <x:si>
    <x:t>http://id.who.int/icd/release/11/beta/ichi/689904884</x:t>
  </x:si>
  <x:si>
    <x:t>NAM.GA.AA</x:t>
  </x:si>
  <x:si>
    <x:t>- - - - - Destruction of lesion or tissue of urethra</x:t>
  </x:si>
  <x:si>
    <x:t>http://id.who.int/icd/entity/215105848</x:t>
  </x:si>
  <x:si>
    <x:t>http://id.who.int/icd/release/11/beta/ichi/215105848</x:t>
  </x:si>
  <x:si>
    <x:t>NAM.GA.AD</x:t>
  </x:si>
  <x:si>
    <x:t>- - - - - Endoscopic destruction of lesion or tissue of urethra</x:t>
  </x:si>
  <x:si>
    <x:t>http://id.who.int/icd/entity/913051088</x:t>
  </x:si>
  <x:si>
    <x:t>http://id.who.int/icd/release/11/beta/ichi/913051088</x:t>
  </x:si>
  <x:si>
    <x:t>NAM.JB.AA</x:t>
  </x:si>
  <x:si>
    <x:t>- - - - - Drainage of urethra</x:t>
  </x:si>
  <x:si>
    <x:t>http://id.who.int/icd/entity/963786036</x:t>
  </x:si>
  <x:si>
    <x:t>http://id.who.int/icd/release/11/beta/ichi/963786036</x:t>
  </x:si>
  <x:si>
    <x:t>NAM.JD.AA</x:t>
  </x:si>
  <x:si>
    <x:t>- - - - - Removal of internal device or foreign body from urethra</x:t>
  </x:si>
  <x:si>
    <x:t>http://id.who.int/icd/entity/1934545497</x:t>
  </x:si>
  <x:si>
    <x:t>http://id.who.int/icd/release/11/beta/ichi/1934545497</x:t>
  </x:si>
  <x:si>
    <x:t>NAM.JD.AC</x:t>
  </x:si>
  <x:si>
    <x:t>- - - - - Removal of internal device or foreign body from urethra without incision</x:t>
  </x:si>
  <x:si>
    <x:t>http://id.who.int/icd/entity/916502446</x:t>
  </x:si>
  <x:si>
    <x:t>http://id.who.int/icd/release/11/beta/ichi/916502446</x:t>
  </x:si>
  <x:si>
    <x:t>NAM.JD.AD</x:t>
  </x:si>
  <x:si>
    <x:t>- - - - - Transurethral endoscopic removal of foreign body from urethra without incision</x:t>
  </x:si>
  <x:si>
    <x:t>http://id.who.int/icd/entity/1725656607</x:t>
  </x:si>
  <x:si>
    <x:t>http://id.who.int/icd/release/11/beta/ichi/1725656607</x:t>
  </x:si>
  <x:si>
    <x:t>NAM.JE.AA</x:t>
  </x:si>
  <x:si>
    <x:t>- - - - - Extraction of calculus from urethra</x:t>
  </x:si>
  <x:si>
    <x:t>http://id.who.int/icd/entity/1768089229</x:t>
  </x:si>
  <x:si>
    <x:t>http://id.who.int/icd/release/11/beta/ichi/1768089229</x:t>
  </x:si>
  <x:si>
    <x:t>NAM.JE.AD</x:t>
  </x:si>
  <x:si>
    <x:t>- - - - - Transurethral endoscopic extraction of calculus from urethra</x:t>
  </x:si>
  <x:si>
    <x:t>http://id.who.int/icd/entity/1498483975</x:t>
  </x:si>
  <x:si>
    <x:t>http://id.who.int/icd/release/11/beta/ichi/1498483975</x:t>
  </x:si>
  <x:si>
    <x:t>NAM.JI.AA</x:t>
  </x:si>
  <x:si>
    <x:t>- - - - - Local excision of lesion of urethra</x:t>
  </x:si>
  <x:si>
    <x:t>http://id.who.int/icd/entity/865376336</x:t>
  </x:si>
  <x:si>
    <x:t>http://id.who.int/icd/release/11/beta/ichi/865376336</x:t>
  </x:si>
  <x:si>
    <x:t>NAM.JI.AD</x:t>
  </x:si>
  <x:si>
    <x:t>- - - - - Endoscopic local excision of lesion of urethra</x:t>
  </x:si>
  <x:si>
    <x:t>http://id.who.int/icd/entity/948995838</x:t>
  </x:si>
  <x:si>
    <x:t>http://id.who.int/icd/release/11/beta/ichi/948995838</x:t>
  </x:si>
  <x:si>
    <x:t>NAM.JJ.AA</x:t>
  </x:si>
  <x:si>
    <x:t>- - - - - Partial urethrectomy</x:t>
  </x:si>
  <x:si>
    <x:t>http://id.who.int/icd/entity/683665372</x:t>
  </x:si>
  <x:si>
    <x:t>http://id.who.int/icd/release/11/beta/ichi/683665372</x:t>
  </x:si>
  <x:si>
    <x:t>NAM.JJ.AD</x:t>
  </x:si>
  <x:si>
    <x:t>- - - - - Endoscopic partial excision of urethra</x:t>
  </x:si>
  <x:si>
    <x:t>http://id.who.int/icd/entity/972867500</x:t>
  </x:si>
  <x:si>
    <x:t>http://id.who.int/icd/release/11/beta/ichi/972867500</x:t>
  </x:si>
  <x:si>
    <x:t>NAM.JK.AA</x:t>
  </x:si>
  <x:si>
    <x:t>- - - - - Complete urethrectomy</x:t>
  </x:si>
  <x:si>
    <x:t>http://id.who.int/icd/entity/1823683043</x:t>
  </x:si>
  <x:si>
    <x:t>http://id.who.int/icd/release/11/beta/ichi/1823683043</x:t>
  </x:si>
  <x:si>
    <x:t>NAM.KA.AD</x:t>
  </x:si>
  <x:si>
    <x:t>- - - - - Transurethral endoscopic replacement of internal device of urethra</x:t>
  </x:si>
  <x:si>
    <x:t>http://id.who.int/icd/entity/1019799634</x:t>
  </x:si>
  <x:si>
    <x:t>http://id.who.int/icd/release/11/beta/ichi/1019799634</x:t>
  </x:si>
  <x:si>
    <x:t>NAM.LB.AA</x:t>
  </x:si>
  <x:si>
    <x:t>- - - - - Anastomosis of urethra</x:t>
  </x:si>
  <x:si>
    <x:t>http://id.who.int/icd/entity/327684862</x:t>
  </x:si>
  <x:si>
    <x:t>http://id.who.int/icd/release/11/beta/ichi/327684862</x:t>
  </x:si>
  <x:si>
    <x:t>NAM.LG.AA</x:t>
  </x:si>
  <x:si>
    <x:t>- - - - - Dilatation of urethra</x:t>
  </x:si>
  <x:si>
    <x:t>http://id.who.int/icd/entity/1813283219</x:t>
  </x:si>
  <x:si>
    <x:t>http://id.who.int/icd/release/11/beta/ichi/1813283219</x:t>
  </x:si>
  <x:si>
    <x:t>NAM.LG.AC</x:t>
  </x:si>
  <x:si>
    <x:t>- - - - - Transurethral dilatation of urethra</x:t>
  </x:si>
  <x:si>
    <x:t>http://id.who.int/icd/entity/640182010</x:t>
  </x:si>
  <x:si>
    <x:t>http://id.who.int/icd/release/11/beta/ichi/640182010</x:t>
  </x:si>
  <x:si>
    <x:t>NAM.LG.AD</x:t>
  </x:si>
  <x:si>
    <x:t>- - - - - Endoscopic dilatation of urethra</x:t>
  </x:si>
  <x:si>
    <x:t>http://id.who.int/icd/entity/1996911051</x:t>
  </x:si>
  <x:si>
    <x:t>http://id.who.int/icd/release/11/beta/ichi/1996911051</x:t>
  </x:si>
  <x:si>
    <x:t>NAM.LH.AD</x:t>
  </x:si>
  <x:si>
    <x:t>- - - - - Endoscopic dilatation with insertion of urethral device</x:t>
  </x:si>
  <x:si>
    <x:t>http://id.who.int/icd/entity/427717284</x:t>
  </x:si>
  <x:si>
    <x:t>http://id.who.int/icd/release/11/beta/ichi/427717284</x:t>
  </x:si>
  <x:si>
    <x:t>NAM.LI.AF</x:t>
  </x:si>
  <x:si>
    <x:t>- - - - - Perineal urethrostomy</x:t>
  </x:si>
  <x:si>
    <x:t>http://id.who.int/icd/entity/138236628</x:t>
  </x:si>
  <x:si>
    <x:t>http://id.who.int/icd/release/11/beta/ichi/138236628</x:t>
  </x:si>
  <x:si>
    <x:t>NAM.LL.AA</x:t>
  </x:si>
  <x:si>
    <x:t>- - - - - Urethral plication</x:t>
  </x:si>
  <x:si>
    <x:t>http://id.who.int/icd/entity/418892642</x:t>
  </x:si>
  <x:si>
    <x:t>http://id.who.int/icd/release/11/beta/ichi/418892642</x:t>
  </x:si>
  <x:si>
    <x:t>NAM.MK.AA</x:t>
  </x:si>
  <x:si>
    <x:t>- - - - - Repair of urethra</x:t>
  </x:si>
  <x:si>
    <x:t>http://id.who.int/icd/entity/1194695233</x:t>
  </x:si>
  <x:si>
    <x:t>http://id.who.int/icd/release/11/beta/ichi/1194695233</x:t>
  </x:si>
  <x:si>
    <x:t>NAM.ML.AA</x:t>
  </x:si>
  <x:si>
    <x:t>- - - - - Reconstruction of urethra</x:t>
  </x:si>
  <x:si>
    <x:t>http://id.who.int/icd/entity/2011400539</x:t>
  </x:si>
  <x:si>
    <x:t>http://id.who.int/icd/release/11/beta/ichi/2011400539</x:t>
  </x:si>
  <x:si>
    <x:t>NAM.ML.AB</x:t>
  </x:si>
  <x:si>
    <x:t>- - - - - Laparoscopic reconstruction of urethra</x:t>
  </x:si>
  <x:si>
    <x:t>http://id.who.int/icd/entity/1487107061</x:t>
  </x:si>
  <x:si>
    <x:t>http://id.who.int/icd/release/11/beta/ichi/1487107061</x:t>
  </x:si>
  <x:si>
    <x:t>NAN.AA.ZZ</x:t>
  </x:si>
  <x:si>
    <x:t>- - - - - Assessment of urinary system, not elsewhere classified</x:t>
  </x:si>
  <x:si>
    <x:t>http://id.who.int/icd/entity/756414344</x:t>
  </x:si>
  <x:si>
    <x:t>http://id.who.int/icd/release/11/beta/ichi/756414344</x:t>
  </x:si>
  <x:si>
    <x:t>NAN.AE.AB</x:t>
  </x:si>
  <x:si>
    <x:t>- - - - - Endoscopy of ileal conduit</x:t>
  </x:si>
  <x:si>
    <x:t>http://id.who.int/icd/entity/1670678227</x:t>
  </x:si>
  <x:si>
    <x:t>http://id.who.int/icd/release/11/beta/ichi/1670678227</x:t>
  </x:si>
  <x:si>
    <x:t>NAN.BA.BA</x:t>
  </x:si>
  <x:si>
    <x:t>- - - - - X-ray of the urinary system, not elsewhere classified</x:t>
  </x:si>
  <x:si>
    <x:t>http://id.who.int/icd/entity/1926735525</x:t>
  </x:si>
  <x:si>
    <x:t>http://id.who.int/icd/release/11/beta/ichi/1926735525</x:t>
  </x:si>
  <x:si>
    <x:t>NAN.BA.BB</x:t>
  </x:si>
  <x:si>
    <x:t>- - - - - Ileal conduitogram</x:t>
  </x:si>
  <x:si>
    <x:t>http://id.who.int/icd/entity/1748445199</x:t>
  </x:si>
  <x:si>
    <x:t>http://id.who.int/icd/release/11/beta/ichi/1748445199</x:t>
  </x:si>
  <x:si>
    <x:t>NAN.BA.BJ</x:t>
  </x:si>
  <x:si>
    <x:t>- - - - - Ultrasound of urinary system, not elsewhere classified</x:t>
  </x:si>
  <x:si>
    <x:t>http://id.who.int/icd/entity/1044971374</x:t>
  </x:si>
  <x:si>
    <x:t>http://id.who.int/icd/release/11/beta/ichi/1044971374</x:t>
  </x:si>
  <x:si>
    <x:t>NAN.BA.BK</x:t>
  </x:si>
  <x:si>
    <x:t>- - - - - Ultrasound of urinary system, not elsewhere classified, per orifice</x:t>
  </x:si>
  <x:si>
    <x:t>http://id.who.int/icd/entity/1737400477</x:t>
  </x:si>
  <x:si>
    <x:t>http://id.who.int/icd/release/11/beta/ichi/1737400477</x:t>
  </x:si>
  <x:si>
    <x:t>NAN.GA.BJ</x:t>
  </x:si>
  <x:si>
    <x:t>- - - - - Extracorporeal shockwave lithotripsy of urinary system, not elsewhere classified</x:t>
  </x:si>
  <x:si>
    <x:t>http://id.who.int/icd/entity/43628374</x:t>
  </x:si>
  <x:si>
    <x:t>http://id.who.int/icd/release/11/beta/ichi/43628374</x:t>
  </x:si>
  <x:si>
    <x:t>NAN.JD.AC</x:t>
  </x:si>
  <x:si>
    <x:t>- - - - - Removal of internal device or foreign body from urinary system, not elsewhere classified</x:t>
  </x:si>
  <x:si>
    <x:t>http://id.who.int/icd/entity/1914379483</x:t>
  </x:si>
  <x:si>
    <x:t>http://id.who.int/icd/release/11/beta/ichi/1914379483</x:t>
  </x:si>
  <x:si>
    <x:t>NAN.KA.AA</x:t>
  </x:si>
  <x:si>
    <x:t>- - - - - Replacement of device of urinary system, not elsewhere classified</x:t>
  </x:si>
  <x:si>
    <x:t>http://id.who.int/icd/entity/1566303861</x:t>
  </x:si>
  <x:si>
    <x:t>http://id.who.int/icd/release/11/beta/ichi/1566303861</x:t>
  </x:si>
  <x:si>
    <x:t>BlockL4-NGA</x:t>
  </x:si>
  <x:si>
    <x:t>- - - - Interventions on male genital system</x:t>
  </x:si>
  <x:si>
    <x:t>http://id.who.int/icd/entity/769215994</x:t>
  </x:si>
  <x:si>
    <x:t>http://id.who.int/icd/release/11/beta/ichi/769215994</x:t>
  </x:si>
  <x:si>
    <x:t>NGA.AD.AA</x:t>
  </x:si>
  <x:si>
    <x:t>- - - - - Biopsy of prostate</x:t>
  </x:si>
  <x:si>
    <x:t>http://id.who.int/icd/entity/1718358867</x:t>
  </x:si>
  <x:si>
    <x:t>http://id.who.int/icd/release/11/beta/ichi/1718358867</x:t>
  </x:si>
  <x:si>
    <x:t>NGA.AD.AC</x:t>
  </x:si>
  <x:si>
    <x:t>- - - - - Transrectal biopsy of the prostate</x:t>
  </x:si>
  <x:si>
    <x:t>http://id.who.int/icd/entity/1473659161</x:t>
  </x:si>
  <x:si>
    <x:t>http://id.who.int/icd/release/11/beta/ichi/1473659161</x:t>
  </x:si>
  <x:si>
    <x:t>NGA.AD.AD</x:t>
  </x:si>
  <x:si>
    <x:t>- - - - - Transurethral endoscopic biopsy of prostate</x:t>
  </x:si>
  <x:si>
    <x:t>http://id.who.int/icd/entity/394459534</x:t>
  </x:si>
  <x:si>
    <x:t>http://id.who.int/icd/release/11/beta/ichi/394459534</x:t>
  </x:si>
  <x:si>
    <x:t>NGA.AD.AE</x:t>
  </x:si>
  <x:si>
    <x:t>- - - - - Closed biopsy of prostate</x:t>
  </x:si>
  <x:si>
    <x:t>http://id.who.int/icd/entity/758953322</x:t>
  </x:si>
  <x:si>
    <x:t>http://id.who.int/icd/release/11/beta/ichi/758953322</x:t>
  </x:si>
  <x:si>
    <x:t>NGA.AE.AC</x:t>
  </x:si>
  <x:si>
    <x:t>- - - - - Prostate examination</x:t>
  </x:si>
  <x:si>
    <x:t>http://id.who.int/icd/entity/2020819751</x:t>
  </x:si>
  <x:si>
    <x:t>http://id.who.int/icd/release/11/beta/ichi/2020819751</x:t>
  </x:si>
  <x:si>
    <x:t>NGA.BA.BA</x:t>
  </x:si>
  <x:si>
    <x:t>- - - - - X-ray of prostate and seminal vesicles</x:t>
  </x:si>
  <x:si>
    <x:t>http://id.who.int/icd/entity/671652504</x:t>
  </x:si>
  <x:si>
    <x:t>http://id.who.int/icd/release/11/beta/ichi/671652504</x:t>
  </x:si>
  <x:si>
    <x:t>NGA.BA.BB</x:t>
  </x:si>
  <x:si>
    <x:t>- - - - - Contrast seminal vesiculogram</x:t>
  </x:si>
  <x:si>
    <x:t>http://id.who.int/icd/entity/2009779125</x:t>
  </x:si>
  <x:si>
    <x:t>http://id.who.int/icd/release/11/beta/ichi/2009779125</x:t>
  </x:si>
  <x:si>
    <x:t>NGA.BA.BH</x:t>
  </x:si>
  <x:si>
    <x:t>- - - - - Magnetic resonance imaging of prostate</x:t>
  </x:si>
  <x:si>
    <x:t>http://id.who.int/icd/entity/497610388</x:t>
  </x:si>
  <x:si>
    <x:t>http://id.who.int/icd/release/11/beta/ichi/497610388</x:t>
  </x:si>
  <x:si>
    <x:t>NGA.BA.BJ</x:t>
  </x:si>
  <x:si>
    <x:t>- - - - - Ultrasound of prostate, not elsewhere classified</x:t>
  </x:si>
  <x:si>
    <x:t>http://id.who.int/icd/entity/616790986</x:t>
  </x:si>
  <x:si>
    <x:t>http://id.who.int/icd/release/11/beta/ichi/616790986</x:t>
  </x:si>
  <x:si>
    <x:t>NGA.BA.BK</x:t>
  </x:si>
  <x:si>
    <x:t>- - - - - Ultrasound of prostate, per orifice</x:t>
  </x:si>
  <x:si>
    <x:t>http://id.who.int/icd/entity/1395236807</x:t>
  </x:si>
  <x:si>
    <x:t>http://id.who.int/icd/release/11/beta/ichi/1395236807</x:t>
  </x:si>
  <x:si>
    <x:t>NGA.DB.AE</x:t>
  </x:si>
  <x:si>
    <x:t>- - - - - Injection into prostate</x:t>
  </x:si>
  <x:si>
    <x:t>http://id.who.int/icd/entity/1114292145</x:t>
  </x:si>
  <x:si>
    <x:t>http://id.who.int/icd/release/11/beta/ichi/1114292145</x:t>
  </x:si>
  <x:si>
    <x:t>NGA.DL.AC</x:t>
  </x:si>
  <x:si>
    <x:t>- - - - - Insertion of device into prostate</x:t>
  </x:si>
  <x:si>
    <x:t>http://id.who.int/icd/entity/1412257132</x:t>
  </x:si>
  <x:si>
    <x:t>http://id.who.int/icd/release/11/beta/ichi/1412257132</x:t>
  </x:si>
  <x:si>
    <x:t>NGA.DL.AD</x:t>
  </x:si>
  <x:si>
    <x:t>- - - - - Transurethral insertion of device into prostate</x:t>
  </x:si>
  <x:si>
    <x:t>http://id.who.int/icd/entity/447489081</x:t>
  </x:si>
  <x:si>
    <x:t>http://id.who.int/icd/release/11/beta/ichi/447489081</x:t>
  </x:si>
  <x:si>
    <x:t>NGA.FA.AA</x:t>
  </x:si>
  <x:si>
    <x:t>- - - - - Incision of prostate</x:t>
  </x:si>
  <x:si>
    <x:t>http://id.who.int/icd/entity/1351664468</x:t>
  </x:si>
  <x:si>
    <x:t>http://id.who.int/icd/release/11/beta/ichi/1351664468</x:t>
  </x:si>
  <x:si>
    <x:t>NGA.FA.AD</x:t>
  </x:si>
  <x:si>
    <x:t>- - - - - Transurethral incision of prostate</x:t>
  </x:si>
  <x:si>
    <x:t>http://id.who.int/icd/entity/270631765</x:t>
  </x:si>
  <x:si>
    <x:t>http://id.who.int/icd/release/11/beta/ichi/270631765</x:t>
  </x:si>
  <x:si>
    <x:t>NGA.GA.AA</x:t>
  </x:si>
  <x:si>
    <x:t>- - - - - Destruction of prostate and seminal vesicle</x:t>
  </x:si>
  <x:si>
    <x:t>http://id.who.int/icd/entity/608831089</x:t>
  </x:si>
  <x:si>
    <x:t>http://id.who.int/icd/release/11/beta/ichi/608831089</x:t>
  </x:si>
  <x:si>
    <x:t>NGA.GA.AC</x:t>
  </x:si>
  <x:si>
    <x:t>- - - - - Transrectal destruction of prostate</x:t>
  </x:si>
  <x:si>
    <x:t>http://id.who.int/icd/entity/1949425602</x:t>
  </x:si>
  <x:si>
    <x:t>http://id.who.int/icd/release/11/beta/ichi/1949425602</x:t>
  </x:si>
  <x:si>
    <x:t>NGA.GA.AD</x:t>
  </x:si>
  <x:si>
    <x:t>- - - - - Transurethral destruction of prostate</x:t>
  </x:si>
  <x:si>
    <x:t>http://id.who.int/icd/entity/737382115</x:t>
  </x:si>
  <x:si>
    <x:t>http://id.who.int/icd/release/11/beta/ichi/737382115</x:t>
  </x:si>
  <x:si>
    <x:t>NGA.GA.AE</x:t>
  </x:si>
  <x:si>
    <x:t>- - - - - Transperineal destruction of prostate</x:t>
  </x:si>
  <x:si>
    <x:t>http://id.who.int/icd/entity/1140995146</x:t>
  </x:si>
  <x:si>
    <x:t>http://id.who.int/icd/release/11/beta/ichi/1140995146</x:t>
  </x:si>
  <x:si>
    <x:t>NGA.GA.BA</x:t>
  </x:si>
  <x:si>
    <x:t>- - - - - Destruction of lesion or tissue of the prostate by radiotherapy</x:t>
  </x:si>
  <x:si>
    <x:t>http://id.who.int/icd/entity/880844743</x:t>
  </x:si>
  <x:si>
    <x:t>http://id.who.int/icd/release/11/beta/ichi/880844743</x:t>
  </x:si>
  <x:si>
    <x:t>NGA.JB.AA</x:t>
  </x:si>
  <x:si>
    <x:t>- - - - - Drainage of prostate and seminal vesicle</x:t>
  </x:si>
  <x:si>
    <x:t>http://id.who.int/icd/entity/627314625</x:t>
  </x:si>
  <x:si>
    <x:t>http://id.who.int/icd/release/11/beta/ichi/627314625</x:t>
  </x:si>
  <x:si>
    <x:t>NGA.JB.AC</x:t>
  </x:si>
  <x:si>
    <x:t>- - - - - Transrectal drainage of prostate and seminal vesicle</x:t>
  </x:si>
  <x:si>
    <x:t>http://id.who.int/icd/entity/350117259</x:t>
  </x:si>
  <x:si>
    <x:t>http://id.who.int/icd/release/11/beta/ichi/350117259</x:t>
  </x:si>
  <x:si>
    <x:t>NGA.JB.AD</x:t>
  </x:si>
  <x:si>
    <x:t>- - - - - Transurethral endoscopic drainage of prostate and seminal vesicles</x:t>
  </x:si>
  <x:si>
    <x:t>http://id.who.int/icd/entity/1681390602</x:t>
  </x:si>
  <x:si>
    <x:t>http://id.who.int/icd/release/11/beta/ichi/1681390602</x:t>
  </x:si>
  <x:si>
    <x:t>NGA.JB.AE</x:t>
  </x:si>
  <x:si>
    <x:t>- - - - - Percutaneous aspiration of prostate</x:t>
  </x:si>
  <x:si>
    <x:t>http://id.who.int/icd/entity/1266091686</x:t>
  </x:si>
  <x:si>
    <x:t>http://id.who.int/icd/release/11/beta/ichi/1266091686</x:t>
  </x:si>
  <x:si>
    <x:t>NGA.JD.AA</x:t>
  </x:si>
  <x:si>
    <x:t>- - - - - Removal of internal device or foreign body from prostate</x:t>
  </x:si>
  <x:si>
    <x:t>http://id.who.int/icd/entity/453828375</x:t>
  </x:si>
  <x:si>
    <x:t>http://id.who.int/icd/release/11/beta/ichi/453828375</x:t>
  </x:si>
  <x:si>
    <x:t>NGA.JD.AC</x:t>
  </x:si>
  <x:si>
    <x:t>- - - - - Transurethral removal of internal device or foreign body from prostate</x:t>
  </x:si>
  <x:si>
    <x:t>http://id.who.int/icd/entity/507048169</x:t>
  </x:si>
  <x:si>
    <x:t>http://id.who.int/icd/release/11/beta/ichi/507048169</x:t>
  </x:si>
  <x:si>
    <x:t>NGA.JI.AA</x:t>
  </x:si>
  <x:si>
    <x:t>- - - - - Local excision of lesion of prostate</x:t>
  </x:si>
  <x:si>
    <x:t>http://id.who.int/icd/entity/1962763712</x:t>
  </x:si>
  <x:si>
    <x:t>http://id.who.int/icd/release/11/beta/ichi/1962763712</x:t>
  </x:si>
  <x:si>
    <x:t>NGA.JI.AB</x:t>
  </x:si>
  <x:si>
    <x:t>- - - - - Laparoscopic local excision of lesion of prostate</x:t>
  </x:si>
  <x:si>
    <x:t>http://id.who.int/icd/entity/883547433</x:t>
  </x:si>
  <x:si>
    <x:t>http://id.who.int/icd/release/11/beta/ichi/883547433</x:t>
  </x:si>
  <x:si>
    <x:t>NGA.JJ.AA</x:t>
  </x:si>
  <x:si>
    <x:t>- - - - - Prostatectomy</x:t>
  </x:si>
  <x:si>
    <x:t>http://id.who.int/icd/entity/1802210316</x:t>
  </x:si>
  <x:si>
    <x:t>http://id.who.int/icd/release/11/beta/ichi/1802210316</x:t>
  </x:si>
  <x:si>
    <x:t>NGA.JJ.AB</x:t>
  </x:si>
  <x:si>
    <x:t>- - - - - Laparoscopic prostatectomy</x:t>
  </x:si>
  <x:si>
    <x:t>http://id.who.int/icd/entity/517802105</x:t>
  </x:si>
  <x:si>
    <x:t>http://id.who.int/icd/release/11/beta/ichi/517802105</x:t>
  </x:si>
  <x:si>
    <x:t>NGA.JJ.AD</x:t>
  </x:si>
  <x:si>
    <x:t>- - - - - Transurethral endoscopic prostatectomy</x:t>
  </x:si>
  <x:si>
    <x:t>http://id.who.int/icd/entity/891315433</x:t>
  </x:si>
  <x:si>
    <x:t>http://id.who.int/icd/release/11/beta/ichi/891315433</x:t>
  </x:si>
  <x:si>
    <x:t>NGA.JL.AA</x:t>
  </x:si>
  <x:si>
    <x:t>- - - - - Radical prostatectomy</x:t>
  </x:si>
  <x:si>
    <x:t>http://id.who.int/icd/entity/1608905152</x:t>
  </x:si>
  <x:si>
    <x:t>http://id.who.int/icd/release/11/beta/ichi/1608905152</x:t>
  </x:si>
  <x:si>
    <x:t>NGA.JL.AB</x:t>
  </x:si>
  <x:si>
    <x:t>- - - - - Laparoscopic radical prostatectomy</x:t>
  </x:si>
  <x:si>
    <x:t>http://id.who.int/icd/entity/193203777</x:t>
  </x:si>
  <x:si>
    <x:t>http://id.who.int/icd/release/11/beta/ichi/193203777</x:t>
  </x:si>
  <x:si>
    <x:t>NGA.LA.AD</x:t>
  </x:si>
  <x:si>
    <x:t>- - - - - Endoscopic haemostasis of prostate</x:t>
  </x:si>
  <x:si>
    <x:t>http://id.who.int/icd/entity/298004635</x:t>
  </x:si>
  <x:si>
    <x:t>http://id.who.int/icd/release/11/beta/ichi/298004635</x:t>
  </x:si>
  <x:si>
    <x:t>NGA.LA.ZZ</x:t>
  </x:si>
  <x:si>
    <x:t>- - - - - Haemostasis of prostate</x:t>
  </x:si>
  <x:si>
    <x:t>http://id.who.int/icd/entity/449261111</x:t>
  </x:si>
  <x:si>
    <x:t>http://id.who.int/icd/release/11/beta/ichi/449261111</x:t>
  </x:si>
  <x:si>
    <x:t>NGA.PC.AC</x:t>
  </x:si>
  <x:si>
    <x:t>- - - - - Prostatic massage</x:t>
  </x:si>
  <x:si>
    <x:t>http://id.who.int/icd/entity/841068737</x:t>
  </x:si>
  <x:si>
    <x:t>http://id.who.int/icd/release/11/beta/ichi/841068737</x:t>
  </x:si>
  <x:si>
    <x:t>NGD.AD.AA</x:t>
  </x:si>
  <x:si>
    <x:t>- - - - - Biopsy of spermatic cord</x:t>
  </x:si>
  <x:si>
    <x:t>http://id.who.int/icd/entity/1276400076</x:t>
  </x:si>
  <x:si>
    <x:t>http://id.who.int/icd/release/11/beta/ichi/1276400076</x:t>
  </x:si>
  <x:si>
    <x:t>NGD.AH.XE</x:t>
  </x:si>
  <x:si>
    <x:t>- - - - - Specimen collection of sperm</x:t>
  </x:si>
  <x:si>
    <x:t>http://id.who.int/icd/entity/1843651044</x:t>
  </x:si>
  <x:si>
    <x:t>http://id.who.int/icd/release/11/beta/ichi/1843651044</x:t>
  </x:si>
  <x:si>
    <x:t>NGD.BA.BA</x:t>
  </x:si>
  <x:si>
    <x:t>- - - - - X-ray of spermatic cord</x:t>
  </x:si>
  <x:si>
    <x:t>http://id.who.int/icd/entity/1033386067</x:t>
  </x:si>
  <x:si>
    <x:t>http://id.who.int/icd/release/11/beta/ichi/1033386067</x:t>
  </x:si>
  <x:si>
    <x:t>NGD.BA.BB</x:t>
  </x:si>
  <x:si>
    <x:t>- - - - - Contrast epididymogram</x:t>
  </x:si>
  <x:si>
    <x:t>http://id.who.int/icd/entity/2010109238</x:t>
  </x:si>
  <x:si>
    <x:t>http://id.who.int/icd/release/11/beta/ichi/2010109238</x:t>
  </x:si>
  <x:si>
    <x:t>NGD.DL.AA</x:t>
  </x:si>
  <x:si>
    <x:t>- - - - - Insertion of valve in vas deferens</x:t>
  </x:si>
  <x:si>
    <x:t>http://id.who.int/icd/entity/950802349</x:t>
  </x:si>
  <x:si>
    <x:t>http://id.who.int/icd/release/11/beta/ichi/950802349</x:t>
  </x:si>
  <x:si>
    <x:t>NGD.FA.AA</x:t>
  </x:si>
  <x:si>
    <x:t>- - - - - Vasotomy</x:t>
  </x:si>
  <x:si>
    <x:t>http://id.who.int/icd/entity/34757451</x:t>
  </x:si>
  <x:si>
    <x:t>http://id.who.int/icd/release/11/beta/ichi/34757451</x:t>
  </x:si>
  <x:si>
    <x:t>NGD.FC.AA</x:t>
  </x:si>
  <x:si>
    <x:t>- - - - - Release of spermatic cord</x:t>
  </x:si>
  <x:si>
    <x:t>http://id.who.int/icd/entity/1471698324</x:t>
  </x:si>
  <x:si>
    <x:t>http://id.who.int/icd/release/11/beta/ichi/1471698324</x:t>
  </x:si>
  <x:si>
    <x:t>NGD.JB.AA</x:t>
  </x:si>
  <x:si>
    <x:t>- - - - - Drainage of spermatic cord</x:t>
  </x:si>
  <x:si>
    <x:t>http://id.who.int/icd/entity/1476517126</x:t>
  </x:si>
  <x:si>
    <x:t>http://id.who.int/icd/release/11/beta/ichi/1476517126</x:t>
  </x:si>
  <x:si>
    <x:t>NGD.JB.AE</x:t>
  </x:si>
  <x:si>
    <x:t>- - - - - Percutaneous drainage of spermatic cord</x:t>
  </x:si>
  <x:si>
    <x:t>http://id.who.int/icd/entity/2110554310</x:t>
  </x:si>
  <x:si>
    <x:t>http://id.who.int/icd/release/11/beta/ichi/2110554310</x:t>
  </x:si>
  <x:si>
    <x:t>NGD.JD.AA</x:t>
  </x:si>
  <x:si>
    <x:t>- - - - - Removal of internal device or foreign body from spermatic cord</x:t>
  </x:si>
  <x:si>
    <x:t>http://id.who.int/icd/entity/860746129</x:t>
  </x:si>
  <x:si>
    <x:t>http://id.who.int/icd/release/11/beta/ichi/860746129</x:t>
  </x:si>
  <x:si>
    <x:t>NGD.JH.AA</x:t>
  </x:si>
  <x:si>
    <x:t>- - - - - Sperm procurement via incision</x:t>
  </x:si>
  <x:si>
    <x:t>http://id.who.int/icd/entity/571396583</x:t>
  </x:si>
  <x:si>
    <x:t>http://id.who.int/icd/release/11/beta/ichi/571396583</x:t>
  </x:si>
  <x:si>
    <x:t>NGD.JH.AC</x:t>
  </x:si>
  <x:si>
    <x:t>- - - - - Sperm procurement</x:t>
  </x:si>
  <x:si>
    <x:t>http://id.who.int/icd/entity/404172145</x:t>
  </x:si>
  <x:si>
    <x:t>http://id.who.int/icd/release/11/beta/ichi/404172145</x:t>
  </x:si>
  <x:si>
    <x:t>NGD.JH.AE</x:t>
  </x:si>
  <x:si>
    <x:t>- - - - - Percutaneous sperm procurement</x:t>
  </x:si>
  <x:si>
    <x:t>http://id.who.int/icd/entity/1378601500</x:t>
  </x:si>
  <x:si>
    <x:t>http://id.who.int/icd/release/11/beta/ichi/1378601500</x:t>
  </x:si>
  <x:si>
    <x:t>NGD.JI.AA</x:t>
  </x:si>
  <x:si>
    <x:t>- - - - - Local excision of lesion of spermatic cord</x:t>
  </x:si>
  <x:si>
    <x:t>http://id.who.int/icd/entity/926735825</x:t>
  </x:si>
  <x:si>
    <x:t>http://id.who.int/icd/release/11/beta/ichi/926735825</x:t>
  </x:si>
  <x:si>
    <x:t>NGD.JI.AB</x:t>
  </x:si>
  <x:si>
    <x:t>- - - - - Laparoscopic local excision of lesion of spermatic cord</x:t>
  </x:si>
  <x:si>
    <x:t>http://id.who.int/icd/entity/1576618118</x:t>
  </x:si>
  <x:si>
    <x:t>http://id.who.int/icd/release/11/beta/ichi/1576618118</x:t>
  </x:si>
  <x:si>
    <x:t>NGD.JJ.AA</x:t>
  </x:si>
  <x:si>
    <x:t>- - - - - Partial excision of spermatic cord</x:t>
  </x:si>
  <x:si>
    <x:t>http://id.who.int/icd/entity/1489856376</x:t>
  </x:si>
  <x:si>
    <x:t>http://id.who.int/icd/release/11/beta/ichi/1489856376</x:t>
  </x:si>
  <x:si>
    <x:t>NGD.JJ.AB</x:t>
  </x:si>
  <x:si>
    <x:t>- - - - - Laparoscopic partial excision of spermatic cord</x:t>
  </x:si>
  <x:si>
    <x:t>http://id.who.int/icd/entity/146194121</x:t>
  </x:si>
  <x:si>
    <x:t>http://id.who.int/icd/release/11/beta/ichi/146194121</x:t>
  </x:si>
  <x:si>
    <x:t>NGD.JK.AA</x:t>
  </x:si>
  <x:si>
    <x:t>- - - - - Total excision of spermatic cord</x:t>
  </x:si>
  <x:si>
    <x:t>http://id.who.int/icd/entity/670450791</x:t>
  </x:si>
  <x:si>
    <x:t>http://id.who.int/icd/release/11/beta/ichi/670450791</x:t>
  </x:si>
  <x:si>
    <x:t>NGD.KD.AA</x:t>
  </x:si>
  <x:si>
    <x:t>- - - - - Transplantation of spermatic cord</x:t>
  </x:si>
  <x:si>
    <x:t>http://id.who.int/icd/entity/573018889</x:t>
  </x:si>
  <x:si>
    <x:t>http://id.who.int/icd/release/11/beta/ichi/573018889</x:t>
  </x:si>
  <x:si>
    <x:t>NGD.LA.AA</x:t>
  </x:si>
  <x:si>
    <x:t>- - - - - Ligation of spermatic cord</x:t>
  </x:si>
  <x:si>
    <x:t>http://id.who.int/icd/entity/1746629732</x:t>
  </x:si>
  <x:si>
    <x:t>http://id.who.int/icd/release/11/beta/ichi/1746629732</x:t>
  </x:si>
  <x:si>
    <x:t>NGD.LA.AB</x:t>
  </x:si>
  <x:si>
    <x:t>- - - - - Laparoscopic ligation of spermatic cord</x:t>
  </x:si>
  <x:si>
    <x:t>http://id.who.int/icd/entity/647628087</x:t>
  </x:si>
  <x:si>
    <x:t>http://id.who.int/icd/release/11/beta/ichi/647628087</x:t>
  </x:si>
  <x:si>
    <x:t>NGD.LB.AA</x:t>
  </x:si>
  <x:si>
    <x:t>- - - - - Vasovasostomy</x:t>
  </x:si>
  <x:si>
    <x:t>http://id.who.int/icd/entity/1188181774</x:t>
  </x:si>
  <x:si>
    <x:t>http://id.who.int/icd/release/11/beta/ichi/1188181774</x:t>
  </x:si>
  <x:si>
    <x:t>NGD.LD.AA</x:t>
  </x:si>
  <x:si>
    <x:t>- - - - - Reduction of torsion of spermatic cord</x:t>
  </x:si>
  <x:si>
    <x:t>http://id.who.int/icd/entity/2003330376</x:t>
  </x:si>
  <x:si>
    <x:t>http://id.who.int/icd/release/11/beta/ichi/2003330376</x:t>
  </x:si>
  <x:si>
    <x:t>NGD.LD.AH</x:t>
  </x:si>
  <x:si>
    <x:t>- - - - - Manual reduction of torsion of spermatic cord</x:t>
  </x:si>
  <x:si>
    <x:t>http://id.who.int/icd/entity/1837689836</x:t>
  </x:si>
  <x:si>
    <x:t>http://id.who.int/icd/release/11/beta/ichi/1837689836</x:t>
  </x:si>
  <x:si>
    <x:t>NGD.LI.AA</x:t>
  </x:si>
  <x:si>
    <x:t>- - - - - Vasostomy</x:t>
  </x:si>
  <x:si>
    <x:t>http://id.who.int/icd/entity/1039348317</x:t>
  </x:si>
  <x:si>
    <x:t>http://id.who.int/icd/release/11/beta/ichi/1039348317</x:t>
  </x:si>
  <x:si>
    <x:t>NGD.MK.AA</x:t>
  </x:si>
  <x:si>
    <x:t>- - - - - Repair of spermatic cord</x:t>
  </x:si>
  <x:si>
    <x:t>http://id.who.int/icd/entity/1449355658</x:t>
  </x:si>
  <x:si>
    <x:t>http://id.who.int/icd/release/11/beta/ichi/1449355658</x:t>
  </x:si>
  <x:si>
    <x:t>NGG.AD.AA</x:t>
  </x:si>
  <x:si>
    <x:t>- - - - - Biopsy of scrotum</x:t>
  </x:si>
  <x:si>
    <x:t>http://id.who.int/icd/entity/2107507994</x:t>
  </x:si>
  <x:si>
    <x:t>http://id.who.int/icd/release/11/beta/ichi/2107507994</x:t>
  </x:si>
  <x:si>
    <x:t>NGG.AE.AA</x:t>
  </x:si>
  <x:si>
    <x:t>- - - - - Exploration of scrotum</x:t>
  </x:si>
  <x:si>
    <x:t>http://id.who.int/icd/entity/1277450068</x:t>
  </x:si>
  <x:si>
    <x:t>http://id.who.int/icd/release/11/beta/ichi/1277450068</x:t>
  </x:si>
  <x:si>
    <x:t>NGG.BA.BJ</x:t>
  </x:si>
  <x:si>
    <x:t>- - - - - Ultrasound of scrotum</x:t>
  </x:si>
  <x:si>
    <x:t>http://id.who.int/icd/entity/965923617</x:t>
  </x:si>
  <x:si>
    <x:t>http://id.who.int/icd/release/11/beta/ichi/965923617</x:t>
  </x:si>
  <x:si>
    <x:t>NGG.FA.AA</x:t>
  </x:si>
  <x:si>
    <x:t>- - - - - Incision of scrotum</x:t>
  </x:si>
  <x:si>
    <x:t>http://id.who.int/icd/entity/1776880272</x:t>
  </x:si>
  <x:si>
    <x:t>http://id.who.int/icd/release/11/beta/ichi/1776880272</x:t>
  </x:si>
  <x:si>
    <x:t>NGG.GA.AH</x:t>
  </x:si>
  <x:si>
    <x:t>- - - - - Destruction of lesion or tissue of scrotum</x:t>
  </x:si>
  <x:si>
    <x:t>http://id.who.int/icd/entity/1185542208</x:t>
  </x:si>
  <x:si>
    <x:t>http://id.who.int/icd/release/11/beta/ichi/1185542208</x:t>
  </x:si>
  <x:si>
    <x:t>NGG.JB.AA</x:t>
  </x:si>
  <x:si>
    <x:t>- - - - - Drainage of scrotum</x:t>
  </x:si>
  <x:si>
    <x:t>http://id.who.int/icd/entity/637811349</x:t>
  </x:si>
  <x:si>
    <x:t>http://id.who.int/icd/release/11/beta/ichi/637811349</x:t>
  </x:si>
  <x:si>
    <x:t>NGG.JB.AE</x:t>
  </x:si>
  <x:si>
    <x:t>- - - - - Percutaneous drainage of scrotum</x:t>
  </x:si>
  <x:si>
    <x:t>http://id.who.int/icd/entity/754983993</x:t>
  </x:si>
  <x:si>
    <x:t>http://id.who.int/icd/release/11/beta/ichi/754983993</x:t>
  </x:si>
  <x:si>
    <x:t>NGG.JD.AA</x:t>
  </x:si>
  <x:si>
    <x:t>- - - - - Removal of internal device or foreign body from scrotum with incision</x:t>
  </x:si>
  <x:si>
    <x:t>http://id.who.int/icd/entity/1497307532</x:t>
  </x:si>
  <x:si>
    <x:t>http://id.who.int/icd/release/11/beta/ichi/1497307532</x:t>
  </x:si>
  <x:si>
    <x:t>NGG.JD.AH</x:t>
  </x:si>
  <x:si>
    <x:t>- - - - - Removal of foreign body or device from scrotum without incision</x:t>
  </x:si>
  <x:si>
    <x:t>http://id.who.int/icd/entity/747216377</x:t>
  </x:si>
  <x:si>
    <x:t>http://id.who.int/icd/release/11/beta/ichi/747216377</x:t>
  </x:si>
  <x:si>
    <x:t>NGG.JG.AA</x:t>
  </x:si>
  <x:si>
    <x:t>- - - - - Debridement of scrotal tissue</x:t>
  </x:si>
  <x:si>
    <x:t>http://id.who.int/icd/entity/125104489</x:t>
  </x:si>
  <x:si>
    <x:t>http://id.who.int/icd/release/11/beta/ichi/125104489</x:t>
  </x:si>
  <x:si>
    <x:t>NGG.JI.AA</x:t>
  </x:si>
  <x:si>
    <x:t>- - - - - Local excision of lesion of scrotum</x:t>
  </x:si>
  <x:si>
    <x:t>http://id.who.int/icd/entity/1404223208</x:t>
  </x:si>
  <x:si>
    <x:t>http://id.who.int/icd/release/11/beta/ichi/1404223208</x:t>
  </x:si>
  <x:si>
    <x:t>NGG.JJ.AA</x:t>
  </x:si>
  <x:si>
    <x:t>- - - - - Partial excision of scrotum</x:t>
  </x:si>
  <x:si>
    <x:t>http://id.who.int/icd/entity/422177277</x:t>
  </x:si>
  <x:si>
    <x:t>http://id.who.int/icd/release/11/beta/ichi/422177277</x:t>
  </x:si>
  <x:si>
    <x:t>NGG.JK.AA</x:t>
  </x:si>
  <x:si>
    <x:t>- - - - - Total excision of scrotum</x:t>
  </x:si>
  <x:si>
    <x:t>http://id.who.int/icd/entity/1712507620</x:t>
  </x:si>
  <x:si>
    <x:t>http://id.who.int/icd/release/11/beta/ichi/1712507620</x:t>
  </x:si>
  <x:si>
    <x:t>NGG.LL.AA</x:t>
  </x:si>
  <x:si>
    <x:t>- - - - - Repair by decreasing size of scrotum</x:t>
  </x:si>
  <x:si>
    <x:t>http://id.who.int/icd/entity/680770487</x:t>
  </x:si>
  <x:si>
    <x:t>http://id.who.int/icd/release/11/beta/ichi/680770487</x:t>
  </x:si>
  <x:si>
    <x:t>NGG.MA.AA</x:t>
  </x:si>
  <x:si>
    <x:t>- - - - - Construction of scrotum</x:t>
  </x:si>
  <x:si>
    <x:t>http://id.who.int/icd/entity/385575777</x:t>
  </x:si>
  <x:si>
    <x:t>http://id.who.int/icd/release/11/beta/ichi/385575777</x:t>
  </x:si>
  <x:si>
    <x:t>NGG.MK.AA</x:t>
  </x:si>
  <x:si>
    <x:t>- - - - - Repair of scrotum</x:t>
  </x:si>
  <x:si>
    <x:t>http://id.who.int/icd/entity/2084503094</x:t>
  </x:si>
  <x:si>
    <x:t>http://id.who.int/icd/release/11/beta/ichi/2084503094</x:t>
  </x:si>
  <x:si>
    <x:t>NGG.ML.AA</x:t>
  </x:si>
  <x:si>
    <x:t>- - - - - Reconstruction of scrotum with rotational or pedicle flaps</x:t>
  </x:si>
  <x:si>
    <x:t>http://id.who.int/icd/entity/1509139446</x:t>
  </x:si>
  <x:si>
    <x:t>http://id.who.int/icd/release/11/beta/ichi/1509139446</x:t>
  </x:si>
  <x:si>
    <x:t>NGL.AD.AA</x:t>
  </x:si>
  <x:si>
    <x:t>- - - - - Biopsy of testis</x:t>
  </x:si>
  <x:si>
    <x:t>http://id.who.int/icd/entity/650674411</x:t>
  </x:si>
  <x:si>
    <x:t>http://id.who.int/icd/release/11/beta/ichi/650674411</x:t>
  </x:si>
  <x:si>
    <x:t>NGL.AD.AE</x:t>
  </x:si>
  <x:si>
    <x:t>- - - - - Percutaneous biopsy of testis</x:t>
  </x:si>
  <x:si>
    <x:t>http://id.who.int/icd/entity/2065032493</x:t>
  </x:si>
  <x:si>
    <x:t>http://id.who.int/icd/release/11/beta/ichi/2065032493</x:t>
  </x:si>
  <x:si>
    <x:t>NGL.BA.BE</x:t>
  </x:si>
  <x:si>
    <x:t>- - - - - Nuclear imaging study of the testis</x:t>
  </x:si>
  <x:si>
    <x:t>http://id.who.int/icd/entity/1402731530</x:t>
  </x:si>
  <x:si>
    <x:t>http://id.who.int/icd/release/11/beta/ichi/1402731530</x:t>
  </x:si>
  <x:si>
    <x:t>NGL.BA.BJ</x:t>
  </x:si>
  <x:si>
    <x:t>- - - - - Ultrasound of testis</x:t>
  </x:si>
  <x:si>
    <x:t>http://id.who.int/icd/entity/1486873252</x:t>
  </x:si>
  <x:si>
    <x:t>http://id.who.int/icd/release/11/beta/ichi/1486873252</x:t>
  </x:si>
  <x:si>
    <x:t>NGL.DB.AE</x:t>
  </x:si>
  <x:si>
    <x:t>- - - - - Injection into testis</x:t>
  </x:si>
  <x:si>
    <x:t>http://id.who.int/icd/entity/1239204564</x:t>
  </x:si>
  <x:si>
    <x:t>http://id.who.int/icd/release/11/beta/ichi/1239204564</x:t>
  </x:si>
  <x:si>
    <x:t>NGL.FA.AA</x:t>
  </x:si>
  <x:si>
    <x:t>- - - - - Incision of testis and tunica vaginalis</x:t>
  </x:si>
  <x:si>
    <x:t>http://id.who.int/icd/entity/1013597857</x:t>
  </x:si>
  <x:si>
    <x:t>http://id.who.int/icd/release/11/beta/ichi/1013597857</x:t>
  </x:si>
  <x:si>
    <x:t>NGL.GA.AA</x:t>
  </x:si>
  <x:si>
    <x:t>- - - - - Destruction of testicular lesion</x:t>
  </x:si>
  <x:si>
    <x:t>http://id.who.int/icd/entity/1813094160</x:t>
  </x:si>
  <x:si>
    <x:t>http://id.who.int/icd/release/11/beta/ichi/1813094160</x:t>
  </x:si>
  <x:si>
    <x:t>NGL.JB.AA</x:t>
  </x:si>
  <x:si>
    <x:t>- - - - - Drainage of testis</x:t>
  </x:si>
  <x:si>
    <x:t>http://id.who.int/icd/entity/640514171</x:t>
  </x:si>
  <x:si>
    <x:t>http://id.who.int/icd/release/11/beta/ichi/640514171</x:t>
  </x:si>
  <x:si>
    <x:t>NGL.JB.AE</x:t>
  </x:si>
  <x:si>
    <x:t>- - - - - Percutaneous aspiration of testes</x:t>
  </x:si>
  <x:si>
    <x:t>http://id.who.int/icd/entity/1823879010</x:t>
  </x:si>
  <x:si>
    <x:t>http://id.who.int/icd/release/11/beta/ichi/1823879010</x:t>
  </x:si>
  <x:si>
    <x:t>NGL.JD.AA</x:t>
  </x:si>
  <x:si>
    <x:t>- - - - - Removal of internal device or foreign body from testis</x:t>
  </x:si>
  <x:si>
    <x:t>http://id.who.int/icd/entity/1443390342</x:t>
  </x:si>
  <x:si>
    <x:t>http://id.who.int/icd/release/11/beta/ichi/1443390342</x:t>
  </x:si>
  <x:si>
    <x:t>NGL.JI.AA</x:t>
  </x:si>
  <x:si>
    <x:t>- - - - - Local excision of lesion of testis</x:t>
  </x:si>
  <x:si>
    <x:t>http://id.who.int/icd/entity/1867806021</x:t>
  </x:si>
  <x:si>
    <x:t>http://id.who.int/icd/release/11/beta/ichi/1867806021</x:t>
  </x:si>
  <x:si>
    <x:t>NGL.JJ.AA</x:t>
  </x:si>
  <x:si>
    <x:t>- - - - - Partial orchidectomy</x:t>
  </x:si>
  <x:si>
    <x:t>http://id.who.int/icd/entity/275732060</x:t>
  </x:si>
  <x:si>
    <x:t>http://id.who.int/icd/release/11/beta/ichi/275732060</x:t>
  </x:si>
  <x:si>
    <x:t>NGL.JK.AA</x:t>
  </x:si>
  <x:si>
    <x:t>- - - - - Orchidectomy</x:t>
  </x:si>
  <x:si>
    <x:t>http://id.who.int/icd/entity/253511552</x:t>
  </x:si>
  <x:si>
    <x:t>http://id.who.int/icd/release/11/beta/ichi/253511552</x:t>
  </x:si>
  <x:si>
    <x:t>NGL.JK.AB</x:t>
  </x:si>
  <x:si>
    <x:t>- - - - - Laparoscopic orchidectomy</x:t>
  </x:si>
  <x:si>
    <x:t>http://id.who.int/icd/entity/339163380</x:t>
  </x:si>
  <x:si>
    <x:t>http://id.who.int/icd/release/11/beta/ichi/339163380</x:t>
  </x:si>
  <x:si>
    <x:t>NGL.JL.AA</x:t>
  </x:si>
  <x:si>
    <x:t>- - - - - Radical orchidectomy</x:t>
  </x:si>
  <x:si>
    <x:t>http://id.who.int/icd/entity/443069569</x:t>
  </x:si>
  <x:si>
    <x:t>http://id.who.int/icd/release/11/beta/ichi/443069569</x:t>
  </x:si>
  <x:si>
    <x:t>NGL.LA.AE</x:t>
  </x:si>
  <x:si>
    <x:t>- - - - - Ligation of patent processus vaginalis</x:t>
  </x:si>
  <x:si>
    <x:t>http://id.who.int/icd/entity/630024894</x:t>
  </x:si>
  <x:si>
    <x:t>http://id.who.int/icd/release/11/beta/ichi/630024894</x:t>
  </x:si>
  <x:si>
    <x:t>NGL.LC.AA</x:t>
  </x:si>
  <x:si>
    <x:t>- - - - - Orchiopexy</x:t>
  </x:si>
  <x:si>
    <x:t>http://id.who.int/icd/entity/1044639142</x:t>
  </x:si>
  <x:si>
    <x:t>http://id.who.int/icd/release/11/beta/ichi/1044639142</x:t>
  </x:si>
  <x:si>
    <x:t>NGL.LC.AB</x:t>
  </x:si>
  <x:si>
    <x:t>- - - - - Laparoscopic orchiopexy</x:t>
  </x:si>
  <x:si>
    <x:t>http://id.who.int/icd/entity/788581842</x:t>
  </x:si>
  <x:si>
    <x:t>http://id.who.int/icd/release/11/beta/ichi/788581842</x:t>
  </x:si>
  <x:si>
    <x:t>NGL.MK.AA</x:t>
  </x:si>
  <x:si>
    <x:t>- - - - - Repair of testis</x:t>
  </x:si>
  <x:si>
    <x:t>http://id.who.int/icd/entity/1352425149</x:t>
  </x:si>
  <x:si>
    <x:t>http://id.who.int/icd/release/11/beta/ichi/1352425149</x:t>
  </x:si>
  <x:si>
    <x:t>NGL.ML.AA</x:t>
  </x:si>
  <x:si>
    <x:t>- - - - - Testicular graft</x:t>
  </x:si>
  <x:si>
    <x:t>http://id.who.int/icd/entity/1536704529</x:t>
  </x:si>
  <x:si>
    <x:t>http://id.who.int/icd/release/11/beta/ichi/1536704529</x:t>
  </x:si>
  <x:si>
    <x:t>NGM.AD.AA</x:t>
  </x:si>
  <x:si>
    <x:t>- - - - - Biopsy of penis</x:t>
  </x:si>
  <x:si>
    <x:t>http://id.who.int/icd/entity/1255891047</x:t>
  </x:si>
  <x:si>
    <x:t>http://id.who.int/icd/release/11/beta/ichi/1255891047</x:t>
  </x:si>
  <x:si>
    <x:t>NGM.AD.AE</x:t>
  </x:si>
  <x:si>
    <x:t>- - - - - Percutaneous biopsy of penis</x:t>
  </x:si>
  <x:si>
    <x:t>http://id.who.int/icd/entity/2142744093</x:t>
  </x:si>
  <x:si>
    <x:t>http://id.who.int/icd/release/11/beta/ichi/2142744093</x:t>
  </x:si>
  <x:si>
    <x:t>NGM.BA.BJ</x:t>
  </x:si>
  <x:si>
    <x:t>- - - - - Ultrasound of penis</x:t>
  </x:si>
  <x:si>
    <x:t>http://id.who.int/icd/entity/298823028</x:t>
  </x:si>
  <x:si>
    <x:t>http://id.who.int/icd/release/11/beta/ichi/298823028</x:t>
  </x:si>
  <x:si>
    <x:t>NGM.DN.AA</x:t>
  </x:si>
  <x:si>
    <x:t>- - - - - Insertion of penile prosthesis</x:t>
  </x:si>
  <x:si>
    <x:t>http://id.who.int/icd/entity/1710264519</x:t>
  </x:si>
  <x:si>
    <x:t>http://id.who.int/icd/release/11/beta/ichi/1710264519</x:t>
  </x:si>
  <x:si>
    <x:t>NGM.FA.AA</x:t>
  </x:si>
  <x:si>
    <x:t>- - - - - Incision of penis</x:t>
  </x:si>
  <x:si>
    <x:t>http://id.who.int/icd/entity/273028278</x:t>
  </x:si>
  <x:si>
    <x:t>http://id.who.int/icd/release/11/beta/ichi/273028278</x:t>
  </x:si>
  <x:si>
    <x:t>NGM.FC.AA</x:t>
  </x:si>
  <x:si>
    <x:t>- - - - - Release of penis</x:t>
  </x:si>
  <x:si>
    <x:t>http://id.who.int/icd/entity/1334068631</x:t>
  </x:si>
  <x:si>
    <x:t>http://id.who.int/icd/release/11/beta/ichi/1334068631</x:t>
  </x:si>
  <x:si>
    <x:t>NGM.GA.AA</x:t>
  </x:si>
  <x:si>
    <x:t>- - - - - Destruction of lesion of penis</x:t>
  </x:si>
  <x:si>
    <x:t>http://id.who.int/icd/entity/1247122169</x:t>
  </x:si>
  <x:si>
    <x:t>http://id.who.int/icd/release/11/beta/ichi/1247122169</x:t>
  </x:si>
  <x:si>
    <x:t>NGM.GA.AE</x:t>
  </x:si>
  <x:si>
    <x:t>- - - - - Percutaneous destruction of lesion of penis</x:t>
  </x:si>
  <x:si>
    <x:t>http://id.who.int/icd/entity/818994095</x:t>
  </x:si>
  <x:si>
    <x:t>http://id.who.int/icd/release/11/beta/ichi/818994095</x:t>
  </x:si>
  <x:si>
    <x:t>NGM.GA.BJ</x:t>
  </x:si>
  <x:si>
    <x:t>- - - - - Extracorporeal shockwave lithotripsy of penis</x:t>
  </x:si>
  <x:si>
    <x:t>http://id.who.int/icd/entity/1638465129</x:t>
  </x:si>
  <x:si>
    <x:t>http://id.who.int/icd/release/11/beta/ichi/1638465129</x:t>
  </x:si>
  <x:si>
    <x:t>NGM.JA.AC</x:t>
  </x:si>
  <x:si>
    <x:t>- - - - - Irrigation of penis</x:t>
  </x:si>
  <x:si>
    <x:t>http://id.who.int/icd/entity/1343400995</x:t>
  </x:si>
  <x:si>
    <x:t>http://id.who.int/icd/release/11/beta/ichi/1343400995</x:t>
  </x:si>
  <x:si>
    <x:t>NGM.JB.AA</x:t>
  </x:si>
  <x:si>
    <x:t>- - - - - Drainage of penis</x:t>
  </x:si>
  <x:si>
    <x:t>http://id.who.int/icd/entity/1612793769</x:t>
  </x:si>
  <x:si>
    <x:t>http://id.who.int/icd/release/11/beta/ichi/1612793769</x:t>
  </x:si>
  <x:si>
    <x:t>NGM.JB.AE</x:t>
  </x:si>
  <x:si>
    <x:t>- - - - - Percutaneous drainage of penis</x:t>
  </x:si>
  <x:si>
    <x:t>http://id.who.int/icd/entity/1331805447</x:t>
  </x:si>
  <x:si>
    <x:t>http://id.who.int/icd/release/11/beta/ichi/1331805447</x:t>
  </x:si>
  <x:si>
    <x:t>NGM.JD.AA</x:t>
  </x:si>
  <x:si>
    <x:t>- - - - - Removal of internal device or foreign body from penis</x:t>
  </x:si>
  <x:si>
    <x:t>http://id.who.int/icd/entity/31509586</x:t>
  </x:si>
  <x:si>
    <x:t>http://id.who.int/icd/release/11/beta/ichi/31509586</x:t>
  </x:si>
  <x:si>
    <x:t>NGM.JD.AH</x:t>
  </x:si>
  <x:si>
    <x:t>- - - - - Removal of internal device or foreign body from penis without incision</x:t>
  </x:si>
  <x:si>
    <x:t>http://id.who.int/icd/entity/821898858</x:t>
  </x:si>
  <x:si>
    <x:t>http://id.who.int/icd/release/11/beta/ichi/821898858</x:t>
  </x:si>
  <x:si>
    <x:t>NGM.JG.AA</x:t>
  </x:si>
  <x:si>
    <x:t>- - - - - Debridement of penis</x:t>
  </x:si>
  <x:si>
    <x:t>http://id.who.int/icd/entity/1061463804</x:t>
  </x:si>
  <x:si>
    <x:t>http://id.who.int/icd/release/11/beta/ichi/1061463804</x:t>
  </x:si>
  <x:si>
    <x:t>NGM.JI.AA</x:t>
  </x:si>
  <x:si>
    <x:t>- - - - - Local excision of lesion of penis</x:t>
  </x:si>
  <x:si>
    <x:t>http://id.who.int/icd/entity/518527556</x:t>
  </x:si>
  <x:si>
    <x:t>http://id.who.int/icd/release/11/beta/ichi/518527556</x:t>
  </x:si>
  <x:si>
    <x:t>NGM.JJ.AA</x:t>
  </x:si>
  <x:si>
    <x:t>- - - - - Partial excision of penis</x:t>
  </x:si>
  <x:si>
    <x:t>http://id.who.int/icd/entity/1641232731</x:t>
  </x:si>
  <x:si>
    <x:t>http://id.who.int/icd/release/11/beta/ichi/1641232731</x:t>
  </x:si>
  <x:si>
    <x:t>NGM.JK.AA</x:t>
  </x:si>
  <x:si>
    <x:t>- - - - - Total excision of penis</x:t>
  </x:si>
  <x:si>
    <x:t>http://id.who.int/icd/entity/882691862</x:t>
  </x:si>
  <x:si>
    <x:t>http://id.who.int/icd/release/11/beta/ichi/882691862</x:t>
  </x:si>
  <x:si>
    <x:t>NGM.JN.AA</x:t>
  </x:si>
  <x:si>
    <x:t>- - - - - Amputation of penis</x:t>
  </x:si>
  <x:si>
    <x:t>http://id.who.int/icd/entity/1582914115</x:t>
  </x:si>
  <x:si>
    <x:t>http://id.who.int/icd/release/11/beta/ichi/1582914115</x:t>
  </x:si>
  <x:si>
    <x:t>NGM.KA.AA</x:t>
  </x:si>
  <x:si>
    <x:t>- - - - - Replacement of internal penile prosthesis</x:t>
  </x:si>
  <x:si>
    <x:t>http://id.who.int/icd/entity/1854884185</x:t>
  </x:si>
  <x:si>
    <x:t>http://id.who.int/icd/release/11/beta/ichi/1854884185</x:t>
  </x:si>
  <x:si>
    <x:t>NGM.LB.AA</x:t>
  </x:si>
  <x:si>
    <x:t>- - - - - Reattachment of amputated penis</x:t>
  </x:si>
  <x:si>
    <x:t>http://id.who.int/icd/entity/16206386</x:t>
  </x:si>
  <x:si>
    <x:t>http://id.who.int/icd/release/11/beta/ichi/16206386</x:t>
  </x:si>
  <x:si>
    <x:t>NGM.LI.AA</x:t>
  </x:si>
  <x:si>
    <x:t>- - - - - Revascularisation of penis</x:t>
  </x:si>
  <x:si>
    <x:t>http://id.who.int/icd/entity/1959294851</x:t>
  </x:si>
  <x:si>
    <x:t>http://id.who.int/icd/release/11/beta/ichi/1959294851</x:t>
  </x:si>
  <x:si>
    <x:t>NGM.LI.AC</x:t>
  </x:si>
  <x:si>
    <x:t>- - - - - Corpus cavernosum shunt</x:t>
  </x:si>
  <x:si>
    <x:t>http://id.who.int/icd/entity/1359292993</x:t>
  </x:si>
  <x:si>
    <x:t>http://id.who.int/icd/release/11/beta/ichi/1359292993</x:t>
  </x:si>
  <x:si>
    <x:t>NGM.LL.AA</x:t>
  </x:si>
  <x:si>
    <x:t>- - - - - Reduction of penis</x:t>
  </x:si>
  <x:si>
    <x:t>http://id.who.int/icd/entity/1262621851</x:t>
  </x:si>
  <x:si>
    <x:t>http://id.who.int/icd/release/11/beta/ichi/1262621851</x:t>
  </x:si>
  <x:si>
    <x:t>NGM.MA.AA</x:t>
  </x:si>
  <x:si>
    <x:t>- - - - - Construction of penis</x:t>
  </x:si>
  <x:si>
    <x:t>http://id.who.int/icd/entity/1146891385</x:t>
  </x:si>
  <x:si>
    <x:t>http://id.who.int/icd/release/11/beta/ichi/1146891385</x:t>
  </x:si>
  <x:si>
    <x:t>NGM.MK.AA</x:t>
  </x:si>
  <x:si>
    <x:t>- - - - - Repair of penis</x:t>
  </x:si>
  <x:si>
    <x:t>http://id.who.int/icd/entity/1273341163</x:t>
  </x:si>
  <x:si>
    <x:t>http://id.who.int/icd/release/11/beta/ichi/1273341163</x:t>
  </x:si>
  <x:si>
    <x:t>NGM.ML.AA</x:t>
  </x:si>
  <x:si>
    <x:t>- - - - - Reconstruction of penis</x:t>
  </x:si>
  <x:si>
    <x:t>http://id.who.int/icd/entity/90494398</x:t>
  </x:si>
  <x:si>
    <x:t>http://id.who.int/icd/release/11/beta/ichi/90494398</x:t>
  </x:si>
  <x:si>
    <x:t>NGM.PD.AH</x:t>
  </x:si>
  <x:si>
    <x:t>- - - - - Stretching of foreskin</x:t>
  </x:si>
  <x:si>
    <x:t>http://id.who.int/icd/entity/2122934929</x:t>
  </x:si>
  <x:si>
    <x:t>http://id.who.int/icd/release/11/beta/ichi/2122934929</x:t>
  </x:si>
  <x:si>
    <x:t>NGN.AE.AH</x:t>
  </x:si>
  <x:si>
    <x:t>- - - - - Examination of male genital system, not elsewhere classified</x:t>
  </x:si>
  <x:si>
    <x:t>http://id.who.int/icd/entity/28461454</x:t>
  </x:si>
  <x:si>
    <x:t>http://id.who.int/icd/release/11/beta/ichi/28461454</x:t>
  </x:si>
  <x:si>
    <x:t>NGN.BA.BA</x:t>
  </x:si>
  <x:si>
    <x:t>- - - - - X-ray of male genital organs, not elsewhere classified</x:t>
  </x:si>
  <x:si>
    <x:t>http://id.who.int/icd/entity/1372164159</x:t>
  </x:si>
  <x:si>
    <x:t>http://id.who.int/icd/release/11/beta/ichi/1372164159</x:t>
  </x:si>
  <x:si>
    <x:t>NGN.BA.BJ</x:t>
  </x:si>
  <x:si>
    <x:t>- - - - - Ultrasound of male genital system, not elsewhere classified</x:t>
  </x:si>
  <x:si>
    <x:t>http://id.who.int/icd/entity/1425915841</x:t>
  </x:si>
  <x:si>
    <x:t>http://id.who.int/icd/release/11/beta/ichi/1425915841</x:t>
  </x:si>
  <x:si>
    <x:t>BlockL4-NMA</x:t>
  </x:si>
  <x:si>
    <x:t>- - - - Interventions on female genital system</x:t>
  </x:si>
  <x:si>
    <x:t>261</x:t>
  </x:si>
  <x:si>
    <x:t>http://id.who.int/icd/entity/612308046</x:t>
  </x:si>
  <x:si>
    <x:t>http://id.who.int/icd/release/11/beta/ichi/612308046</x:t>
  </x:si>
  <x:si>
    <x:t>NMA.AD.AA</x:t>
  </x:si>
  <x:si>
    <x:t>- - - - - Biopsy of ovary</x:t>
  </x:si>
  <x:si>
    <x:t>http://id.who.int/icd/entity/1531197267</x:t>
  </x:si>
  <x:si>
    <x:t>http://id.who.int/icd/release/11/beta/ichi/1531197267</x:t>
  </x:si>
  <x:si>
    <x:t>NMA.AD.AB</x:t>
  </x:si>
  <x:si>
    <x:t>- - - - - Laparoscopic biopsy of ovary</x:t>
  </x:si>
  <x:si>
    <x:t>http://id.who.int/icd/entity/1586880573</x:t>
  </x:si>
  <x:si>
    <x:t>http://id.who.int/icd/release/11/beta/ichi/1586880573</x:t>
  </x:si>
  <x:si>
    <x:t>NMA.AD.AE</x:t>
  </x:si>
  <x:si>
    <x:t>- - - - - Percutaneous aspiration biopsy of ovary</x:t>
  </x:si>
  <x:si>
    <x:t>http://id.who.int/icd/entity/1154670311</x:t>
  </x:si>
  <x:si>
    <x:t>http://id.who.int/icd/release/11/beta/ichi/1154670311</x:t>
  </x:si>
  <x:si>
    <x:t>NMA.FA.AA</x:t>
  </x:si>
  <x:si>
    <x:t>- - - - - Incision of ovary</x:t>
  </x:si>
  <x:si>
    <x:t>http://id.who.int/icd/entity/1410877265</x:t>
  </x:si>
  <x:si>
    <x:t>http://id.who.int/icd/release/11/beta/ichi/1410877265</x:t>
  </x:si>
  <x:si>
    <x:t>NMA.FA.AB</x:t>
  </x:si>
  <x:si>
    <x:t>- - - - - Laparoscopic incision of ovary</x:t>
  </x:si>
  <x:si>
    <x:t>http://id.who.int/icd/entity/1537331139</x:t>
  </x:si>
  <x:si>
    <x:t>http://id.who.int/icd/release/11/beta/ichi/1537331139</x:t>
  </x:si>
  <x:si>
    <x:t>NMA.FC.AA</x:t>
  </x:si>
  <x:si>
    <x:t>- - - - - Release of ovary</x:t>
  </x:si>
  <x:si>
    <x:t>http://id.who.int/icd/entity/834923236</x:t>
  </x:si>
  <x:si>
    <x:t>http://id.who.int/icd/release/11/beta/ichi/834923236</x:t>
  </x:si>
  <x:si>
    <x:t>NMA.FC.AB</x:t>
  </x:si>
  <x:si>
    <x:t>- - - - - Laparoscopic release of ovary</x:t>
  </x:si>
  <x:si>
    <x:t>http://id.who.int/icd/entity/1048207990</x:t>
  </x:si>
  <x:si>
    <x:t>http://id.who.int/icd/release/11/beta/ichi/1048207990</x:t>
  </x:si>
  <x:si>
    <x:t>NMA.GA.AA</x:t>
  </x:si>
  <x:si>
    <x:t>- - - - - Destruction of ovary</x:t>
  </x:si>
  <x:si>
    <x:t>http://id.who.int/icd/entity/1342333215</x:t>
  </x:si>
  <x:si>
    <x:t>http://id.who.int/icd/release/11/beta/ichi/1342333215</x:t>
  </x:si>
  <x:si>
    <x:t>NMA.GA.AB</x:t>
  </x:si>
  <x:si>
    <x:t>- - - - - Laparoscopic destruction of ovary</x:t>
  </x:si>
  <x:si>
    <x:t>http://id.who.int/icd/entity/1840834388</x:t>
  </x:si>
  <x:si>
    <x:t>http://id.who.int/icd/release/11/beta/ichi/1840834388</x:t>
  </x:si>
  <x:si>
    <x:t>NMA.JB.AA</x:t>
  </x:si>
  <x:si>
    <x:t>- - - - - Open drainage of ovary</x:t>
  </x:si>
  <x:si>
    <x:t>http://id.who.int/icd/entity/1644261314</x:t>
  </x:si>
  <x:si>
    <x:t>http://id.who.int/icd/release/11/beta/ichi/1644261314</x:t>
  </x:si>
  <x:si>
    <x:t>NMA.JB.AB</x:t>
  </x:si>
  <x:si>
    <x:t>- - - - - Laparoscopic drainage of ovary</x:t>
  </x:si>
  <x:si>
    <x:t>http://id.who.int/icd/entity/1925969528</x:t>
  </x:si>
  <x:si>
    <x:t>http://id.who.int/icd/release/11/beta/ichi/1925969528</x:t>
  </x:si>
  <x:si>
    <x:t>NMA.JB.AC</x:t>
  </x:si>
  <x:si>
    <x:t>- - - - - Transvaginal drainage of ovary</x:t>
  </x:si>
  <x:si>
    <x:t>http://id.who.int/icd/entity/2043668698</x:t>
  </x:si>
  <x:si>
    <x:t>http://id.who.int/icd/release/11/beta/ichi/2043668698</x:t>
  </x:si>
  <x:si>
    <x:t>NMA.JB.AE</x:t>
  </x:si>
  <x:si>
    <x:t>- - - - - Percutaneous drainage of ovary</x:t>
  </x:si>
  <x:si>
    <x:t>http://id.who.int/icd/entity/755607381</x:t>
  </x:si>
  <x:si>
    <x:t>http://id.who.int/icd/release/11/beta/ichi/755607381</x:t>
  </x:si>
  <x:si>
    <x:t>NMA.JH.AB</x:t>
  </x:si>
  <x:si>
    <x:t>- - - - - Transabdominal oocyte retrieval</x:t>
  </x:si>
  <x:si>
    <x:t>http://id.who.int/icd/entity/136380935</x:t>
  </x:si>
  <x:si>
    <x:t>http://id.who.int/icd/release/11/beta/ichi/136380935</x:t>
  </x:si>
  <x:si>
    <x:t>NMA.JH.AC</x:t>
  </x:si>
  <x:si>
    <x:t>- - - - - Transvaginal oocyte retrieval</x:t>
  </x:si>
  <x:si>
    <x:t>http://id.who.int/icd/entity/601648791</x:t>
  </x:si>
  <x:si>
    <x:t>http://id.who.int/icd/release/11/beta/ichi/601648791</x:t>
  </x:si>
  <x:si>
    <x:t>NMA.JI.AA</x:t>
  </x:si>
  <x:si>
    <x:t>- - - - - Local excision of lesion of ovary</x:t>
  </x:si>
  <x:si>
    <x:t>http://id.who.int/icd/entity/1998201114</x:t>
  </x:si>
  <x:si>
    <x:t>http://id.who.int/icd/release/11/beta/ichi/1998201114</x:t>
  </x:si>
  <x:si>
    <x:t>NMA.JI.AB</x:t>
  </x:si>
  <x:si>
    <x:t>- - - - - Laparoscopic local excision of lesion of ovary</x:t>
  </x:si>
  <x:si>
    <x:t>http://id.who.int/icd/entity/576051031</x:t>
  </x:si>
  <x:si>
    <x:t>http://id.who.int/icd/release/11/beta/ichi/576051031</x:t>
  </x:si>
  <x:si>
    <x:t>NMA.JJ.AA</x:t>
  </x:si>
  <x:si>
    <x:t>- - - - - Partial excision of ovary</x:t>
  </x:si>
  <x:si>
    <x:t>http://id.who.int/icd/entity/1751724094</x:t>
  </x:si>
  <x:si>
    <x:t>http://id.who.int/icd/release/11/beta/ichi/1751724094</x:t>
  </x:si>
  <x:si>
    <x:t>NMA.JJ.AB</x:t>
  </x:si>
  <x:si>
    <x:t>- - - - - Laparoscopic partial excision of ovary</x:t>
  </x:si>
  <x:si>
    <x:t>http://id.who.int/icd/entity/586311463</x:t>
  </x:si>
  <x:si>
    <x:t>http://id.who.int/icd/release/11/beta/ichi/586311463</x:t>
  </x:si>
  <x:si>
    <x:t>NMA.JK.AA</x:t>
  </x:si>
  <x:si>
    <x:t>- - - - - Oophorectomy</x:t>
  </x:si>
  <x:si>
    <x:t>http://id.who.int/icd/entity/759951285</x:t>
  </x:si>
  <x:si>
    <x:t>http://id.who.int/icd/release/11/beta/ichi/759951285</x:t>
  </x:si>
  <x:si>
    <x:t>NMA.JK.AB</x:t>
  </x:si>
  <x:si>
    <x:t>- - - - - Laparoscopic oophorectomy</x:t>
  </x:si>
  <x:si>
    <x:t>http://id.who.int/icd/entity/1755679300</x:t>
  </x:si>
  <x:si>
    <x:t>http://id.who.int/icd/release/11/beta/ichi/1755679300</x:t>
  </x:si>
  <x:si>
    <x:t>NMA.JK.AC</x:t>
  </x:si>
  <x:si>
    <x:t>- - - - - Vaginal oophorectomy</x:t>
  </x:si>
  <x:si>
    <x:t>http://id.who.int/icd/entity/954094579</x:t>
  </x:si>
  <x:si>
    <x:t>http://id.who.int/icd/release/11/beta/ichi/954094579</x:t>
  </x:si>
  <x:si>
    <x:t>NMA.JK.AI</x:t>
  </x:si>
  <x:si>
    <x:t>- - - - - Laparoscopically assisted vaginal oophorectomy</x:t>
  </x:si>
  <x:si>
    <x:t>http://id.who.int/icd/entity/1729888978</x:t>
  </x:si>
  <x:si>
    <x:t>http://id.who.int/icd/release/11/beta/ichi/1729888978</x:t>
  </x:si>
  <x:si>
    <x:t>NMA.KD.AA</x:t>
  </x:si>
  <x:si>
    <x:t>- - - - - Transplantation of ovary</x:t>
  </x:si>
  <x:si>
    <x:t>http://id.who.int/icd/entity/1289842242</x:t>
  </x:si>
  <x:si>
    <x:t>http://id.who.int/icd/release/11/beta/ichi/1289842242</x:t>
  </x:si>
  <x:si>
    <x:t>NMA.LC.AA</x:t>
  </x:si>
  <x:si>
    <x:t>- - - - - Oophoropexy</x:t>
  </x:si>
  <x:si>
    <x:t>http://id.who.int/icd/entity/749296763</x:t>
  </x:si>
  <x:si>
    <x:t>http://id.who.int/icd/release/11/beta/ichi/749296763</x:t>
  </x:si>
  <x:si>
    <x:t>NMA.LC.AB</x:t>
  </x:si>
  <x:si>
    <x:t>- - - - - Laparoscopic oophoropexy</x:t>
  </x:si>
  <x:si>
    <x:t>http://id.who.int/icd/entity/487788081</x:t>
  </x:si>
  <x:si>
    <x:t>http://id.who.int/icd/release/11/beta/ichi/487788081</x:t>
  </x:si>
  <x:si>
    <x:t>NMA.LD.AA</x:t>
  </x:si>
  <x:si>
    <x:t>- - - - - Repositioning of ovary</x:t>
  </x:si>
  <x:si>
    <x:t>http://id.who.int/icd/entity/1564980902</x:t>
  </x:si>
  <x:si>
    <x:t>http://id.who.int/icd/release/11/beta/ichi/1564980902</x:t>
  </x:si>
  <x:si>
    <x:t>NMA.LD.AB</x:t>
  </x:si>
  <x:si>
    <x:t>- - - - - Laparoscopic repositioning of ovary</x:t>
  </x:si>
  <x:si>
    <x:t>http://id.who.int/icd/entity/1447274508</x:t>
  </x:si>
  <x:si>
    <x:t>http://id.who.int/icd/release/11/beta/ichi/1447274508</x:t>
  </x:si>
  <x:si>
    <x:t>NMA.MK.AA</x:t>
  </x:si>
  <x:si>
    <x:t>- - - - - Repair of ovary</x:t>
  </x:si>
  <x:si>
    <x:t>http://id.who.int/icd/entity/578590137</x:t>
  </x:si>
  <x:si>
    <x:t>http://id.who.int/icd/release/11/beta/ichi/578590137</x:t>
  </x:si>
  <x:si>
    <x:t>NMA.MK.AB</x:t>
  </x:si>
  <x:si>
    <x:t>- - - - - Laparoscopic repair of ovary</x:t>
  </x:si>
  <x:si>
    <x:t>http://id.who.int/icd/entity/129091707</x:t>
  </x:si>
  <x:si>
    <x:t>http://id.who.int/icd/release/11/beta/ichi/129091707</x:t>
  </x:si>
  <x:si>
    <x:t>NMA.ML.AA</x:t>
  </x:si>
  <x:si>
    <x:t>- - - - - Oophoroplasty</x:t>
  </x:si>
  <x:si>
    <x:t>http://id.who.int/icd/entity/502724257</x:t>
  </x:si>
  <x:si>
    <x:t>http://id.who.int/icd/release/11/beta/ichi/502724257</x:t>
  </x:si>
  <x:si>
    <x:t>NMA.ML.AB</x:t>
  </x:si>
  <x:si>
    <x:t>- - - - - Laparoscopic oophoroplasty</x:t>
  </x:si>
  <x:si>
    <x:t>http://id.who.int/icd/entity/906730033</x:t>
  </x:si>
  <x:si>
    <x:t>http://id.who.int/icd/release/11/beta/ichi/906730033</x:t>
  </x:si>
  <x:si>
    <x:t>NMC.AD.AA</x:t>
  </x:si>
  <x:si>
    <x:t>- - - - - Biopsy of fallopian tube</x:t>
  </x:si>
  <x:si>
    <x:t>http://id.who.int/icd/entity/1651140046</x:t>
  </x:si>
  <x:si>
    <x:t>http://id.who.int/icd/release/11/beta/ichi/1651140046</x:t>
  </x:si>
  <x:si>
    <x:t>NMC.AD.AB</x:t>
  </x:si>
  <x:si>
    <x:t>- - - - - Laparoscopic biopsy of fallopian tube</x:t>
  </x:si>
  <x:si>
    <x:t>http://id.who.int/icd/entity/1034433773</x:t>
  </x:si>
  <x:si>
    <x:t>http://id.who.int/icd/release/11/beta/ichi/1034433773</x:t>
  </x:si>
  <x:si>
    <x:t>NMC.BA.BA</x:t>
  </x:si>
  <x:si>
    <x:t>- - - - - X-ray of fallopian tubes</x:t>
  </x:si>
  <x:si>
    <x:t>http://id.who.int/icd/entity/1842605404</x:t>
  </x:si>
  <x:si>
    <x:t>http://id.who.int/icd/release/11/beta/ichi/1842605404</x:t>
  </x:si>
  <x:si>
    <x:t>NMC.DH.AB</x:t>
  </x:si>
  <x:si>
    <x:t>- - - - - Fallopian tube reproductive transfer procedures</x:t>
  </x:si>
  <x:si>
    <x:t>http://id.who.int/icd/entity/2114943</x:t>
  </x:si>
  <x:si>
    <x:t>http://id.who.int/icd/release/11/beta/ichi/2114943</x:t>
  </x:si>
  <x:si>
    <x:t>NMC.DN.AD</x:t>
  </x:si>
  <x:si>
    <x:t>- - - - - Implantation of device into fallopian tube</x:t>
  </x:si>
  <x:si>
    <x:t>http://id.who.int/icd/entity/1424362224</x:t>
  </x:si>
  <x:si>
    <x:t>http://id.who.int/icd/release/11/beta/ichi/1424362224</x:t>
  </x:si>
  <x:si>
    <x:t>NMC.FA.AA</x:t>
  </x:si>
  <x:si>
    <x:t>- - - - - Salpingotomy</x:t>
  </x:si>
  <x:si>
    <x:t>http://id.who.int/icd/entity/27917503</x:t>
  </x:si>
  <x:si>
    <x:t>http://id.who.int/icd/release/11/beta/ichi/27917503</x:t>
  </x:si>
  <x:si>
    <x:t>NMC.FA.AB</x:t>
  </x:si>
  <x:si>
    <x:t>- - - - - Laparoscopic salpingotomy</x:t>
  </x:si>
  <x:si>
    <x:t>http://id.who.int/icd/entity/787023377</x:t>
  </x:si>
  <x:si>
    <x:t>http://id.who.int/icd/release/11/beta/ichi/787023377</x:t>
  </x:si>
  <x:si>
    <x:t>NMC.FC.AA</x:t>
  </x:si>
  <x:si>
    <x:t>- - - - - Release of fallopian tube</x:t>
  </x:si>
  <x:si>
    <x:t>http://id.who.int/icd/entity/1083245946</x:t>
  </x:si>
  <x:si>
    <x:t>http://id.who.int/icd/release/11/beta/ichi/1083245946</x:t>
  </x:si>
  <x:si>
    <x:t>NMC.FC.AB</x:t>
  </x:si>
  <x:si>
    <x:t>- - - - - Laparoscopic release of fallopian tube</x:t>
  </x:si>
  <x:si>
    <x:t>http://id.who.int/icd/entity/1354654816</x:t>
  </x:si>
  <x:si>
    <x:t>http://id.who.int/icd/release/11/beta/ichi/1354654816</x:t>
  </x:si>
  <x:si>
    <x:t>NMC.GA.AA</x:t>
  </x:si>
  <x:si>
    <x:t>- - - - - Destruction of lesion of fallopian tube</x:t>
  </x:si>
  <x:si>
    <x:t>http://id.who.int/icd/entity/1627665942</x:t>
  </x:si>
  <x:si>
    <x:t>http://id.who.int/icd/release/11/beta/ichi/1627665942</x:t>
  </x:si>
  <x:si>
    <x:t>NMC.GA.AB</x:t>
  </x:si>
  <x:si>
    <x:t>- - - - - Laparoscopic destruction of lesion of fallopian tube</x:t>
  </x:si>
  <x:si>
    <x:t>http://id.who.int/icd/entity/347255399</x:t>
  </x:si>
  <x:si>
    <x:t>http://id.who.int/icd/release/11/beta/ichi/347255399</x:t>
  </x:si>
  <x:si>
    <x:t>NMC.GA.AD</x:t>
  </x:si>
  <x:si>
    <x:t>- - - - - Hysteroscopic destruction of lesion of fallopian tube</x:t>
  </x:si>
  <x:si>
    <x:t>http://id.who.int/icd/entity/1154051030</x:t>
  </x:si>
  <x:si>
    <x:t>http://id.who.int/icd/release/11/beta/ichi/1154051030</x:t>
  </x:si>
  <x:si>
    <x:t>NMC.JB.AA</x:t>
  </x:si>
  <x:si>
    <x:t>- - - - - Drainage of fallopian tube</x:t>
  </x:si>
  <x:si>
    <x:t>http://id.who.int/icd/entity/1265689412</x:t>
  </x:si>
  <x:si>
    <x:t>http://id.who.int/icd/release/11/beta/ichi/1265689412</x:t>
  </x:si>
  <x:si>
    <x:t>NMC.JB.AB</x:t>
  </x:si>
  <x:si>
    <x:t>- - - - - Laparoscopic drainage of fallopian tube</x:t>
  </x:si>
  <x:si>
    <x:t>http://id.who.int/icd/entity/336921111</x:t>
  </x:si>
  <x:si>
    <x:t>http://id.who.int/icd/release/11/beta/ichi/336921111</x:t>
  </x:si>
  <x:si>
    <x:t>NMC.JD.AA</x:t>
  </x:si>
  <x:si>
    <x:t>- - - - - Removal of internal device or foreign body from fallopian tube</x:t>
  </x:si>
  <x:si>
    <x:t>http://id.who.int/icd/entity/521215163</x:t>
  </x:si>
  <x:si>
    <x:t>http://id.who.int/icd/release/11/beta/ichi/521215163</x:t>
  </x:si>
  <x:si>
    <x:t>NMC.JD.AB</x:t>
  </x:si>
  <x:si>
    <x:t>- - - - - Laparoscopic removal of internal device or foreign body from fallopian tube</x:t>
  </x:si>
  <x:si>
    <x:t>http://id.who.int/icd/entity/1272402742</x:t>
  </x:si>
  <x:si>
    <x:t>http://id.who.int/icd/release/11/beta/ichi/1272402742</x:t>
  </x:si>
  <x:si>
    <x:t>NMC.JI.AA</x:t>
  </x:si>
  <x:si>
    <x:t>- - - - - Local excision of lesion of fallopian tube</x:t>
  </x:si>
  <x:si>
    <x:t>http://id.who.int/icd/entity/2126224720</x:t>
  </x:si>
  <x:si>
    <x:t>http://id.who.int/icd/release/11/beta/ichi/2126224720</x:t>
  </x:si>
  <x:si>
    <x:t>NMC.JI.AB</x:t>
  </x:si>
  <x:si>
    <x:t>- - - - - Laparoscopic local excision of lesion of fallopian tube</x:t>
  </x:si>
  <x:si>
    <x:t>http://id.who.int/icd/entity/1430712800</x:t>
  </x:si>
  <x:si>
    <x:t>http://id.who.int/icd/release/11/beta/ichi/1430712800</x:t>
  </x:si>
  <x:si>
    <x:t>NMC.JJ.AA</x:t>
  </x:si>
  <x:si>
    <x:t>- - - - - Partial salpingectomy</x:t>
  </x:si>
  <x:si>
    <x:t>http://id.who.int/icd/entity/1694278550</x:t>
  </x:si>
  <x:si>
    <x:t>http://id.who.int/icd/release/11/beta/ichi/1694278550</x:t>
  </x:si>
  <x:si>
    <x:t>NMC.JJ.AB</x:t>
  </x:si>
  <x:si>
    <x:t>- - - - - Laparoscopic partial salpingectomy</x:t>
  </x:si>
  <x:si>
    <x:t>http://id.who.int/icd/entity/290072551</x:t>
  </x:si>
  <x:si>
    <x:t>http://id.who.int/icd/release/11/beta/ichi/290072551</x:t>
  </x:si>
  <x:si>
    <x:t>NMC.JK.AA</x:t>
  </x:si>
  <x:si>
    <x:t>- - - - - Total salpingectomy</x:t>
  </x:si>
  <x:si>
    <x:t>http://id.who.int/icd/entity/1040899401</x:t>
  </x:si>
  <x:si>
    <x:t>http://id.who.int/icd/release/11/beta/ichi/1040899401</x:t>
  </x:si>
  <x:si>
    <x:t>NMC.JK.AB</x:t>
  </x:si>
  <x:si>
    <x:t>- - - - - Laparoscopic total salpingectomy</x:t>
  </x:si>
  <x:si>
    <x:t>http://id.who.int/icd/entity/890160101</x:t>
  </x:si>
  <x:si>
    <x:t>http://id.who.int/icd/release/11/beta/ichi/890160101</x:t>
  </x:si>
  <x:si>
    <x:t>NMC.LA.AA</x:t>
  </x:si>
  <x:si>
    <x:t>- - - - - Occlusion of fallopian tubes</x:t>
  </x:si>
  <x:si>
    <x:t>http://id.who.int/icd/entity/1679383302</x:t>
  </x:si>
  <x:si>
    <x:t>http://id.who.int/icd/release/11/beta/ichi/1679383302</x:t>
  </x:si>
  <x:si>
    <x:t>NMC.LA.AB</x:t>
  </x:si>
  <x:si>
    <x:t>- - - - - Laparoscopic occlusion of fallopian tubes</x:t>
  </x:si>
  <x:si>
    <x:t>http://id.who.int/icd/entity/1104414406</x:t>
  </x:si>
  <x:si>
    <x:t>http://id.who.int/icd/release/11/beta/ichi/1104414406</x:t>
  </x:si>
  <x:si>
    <x:t>NMC.LA.AD</x:t>
  </x:si>
  <x:si>
    <x:t>- - - - - Hysteroscopic occlusion of fallopian tubes</x:t>
  </x:si>
  <x:si>
    <x:t>http://id.who.int/icd/entity/257259411</x:t>
  </x:si>
  <x:si>
    <x:t>http://id.who.int/icd/release/11/beta/ichi/257259411</x:t>
  </x:si>
  <x:si>
    <x:t>NMC.LC.AA</x:t>
  </x:si>
  <x:si>
    <x:t>- - - - - Salpingopexy</x:t>
  </x:si>
  <x:si>
    <x:t>http://id.who.int/icd/entity/1055860185</x:t>
  </x:si>
  <x:si>
    <x:t>http://id.who.int/icd/release/11/beta/ichi/1055860185</x:t>
  </x:si>
  <x:si>
    <x:t>NMC.LC.AB</x:t>
  </x:si>
  <x:si>
    <x:t>- - - - - Laparoscopic salpingopexy</x:t>
  </x:si>
  <x:si>
    <x:t>http://id.who.int/icd/entity/605006707</x:t>
  </x:si>
  <x:si>
    <x:t>http://id.who.int/icd/release/11/beta/ichi/605006707</x:t>
  </x:si>
  <x:si>
    <x:t>NMC.LD.AA</x:t>
  </x:si>
  <x:si>
    <x:t>- - - - - Reduction of torsion of fallopian tube</x:t>
  </x:si>
  <x:si>
    <x:t>http://id.who.int/icd/entity/1953788610</x:t>
  </x:si>
  <x:si>
    <x:t>http://id.who.int/icd/release/11/beta/ichi/1953788610</x:t>
  </x:si>
  <x:si>
    <x:t>NMC.LD.AB</x:t>
  </x:si>
  <x:si>
    <x:t>- - - - - Laparoscopic reduction of torsion of fallopian tube</x:t>
  </x:si>
  <x:si>
    <x:t>http://id.who.int/icd/entity/733357025</x:t>
  </x:si>
  <x:si>
    <x:t>http://id.who.int/icd/release/11/beta/ichi/733357025</x:t>
  </x:si>
  <x:si>
    <x:t>NMC.LG.AA</x:t>
  </x:si>
  <x:si>
    <x:t>- - - - - Dilatation of fallopian tube</x:t>
  </x:si>
  <x:si>
    <x:t>http://id.who.int/icd/entity/1335881896</x:t>
  </x:si>
  <x:si>
    <x:t>http://id.who.int/icd/release/11/beta/ichi/1335881896</x:t>
  </x:si>
  <x:si>
    <x:t>NMC.LG.AB</x:t>
  </x:si>
  <x:si>
    <x:t>- - - - - Laparoscopic dilatation of fallopian tube</x:t>
  </x:si>
  <x:si>
    <x:t>http://id.who.int/icd/entity/94574541</x:t>
  </x:si>
  <x:si>
    <x:t>http://id.who.int/icd/release/11/beta/ichi/94574541</x:t>
  </x:si>
  <x:si>
    <x:t>NMC.MK.AA</x:t>
  </x:si>
  <x:si>
    <x:t>- - - - - Repair of fallopian tube</x:t>
  </x:si>
  <x:si>
    <x:t>http://id.who.int/icd/entity/544098831</x:t>
  </x:si>
  <x:si>
    <x:t>http://id.who.int/icd/release/11/beta/ichi/544098831</x:t>
  </x:si>
  <x:si>
    <x:t>NMC.MK.AB</x:t>
  </x:si>
  <x:si>
    <x:t>- - - - - Laparoscopic repair of fallopian tube</x:t>
  </x:si>
  <x:si>
    <x:t>http://id.who.int/icd/entity/2141985580</x:t>
  </x:si>
  <x:si>
    <x:t>http://id.who.int/icd/release/11/beta/ichi/2141985580</x:t>
  </x:si>
  <x:si>
    <x:t>NMC.ML.AA</x:t>
  </x:si>
  <x:si>
    <x:t>- - - - - Salpingoplasty</x:t>
  </x:si>
  <x:si>
    <x:t>http://id.who.int/icd/entity/1870887434</x:t>
  </x:si>
  <x:si>
    <x:t>http://id.who.int/icd/release/11/beta/ichi/1870887434</x:t>
  </x:si>
  <x:si>
    <x:t>NMC.ML.AB</x:t>
  </x:si>
  <x:si>
    <x:t>- - - - - Laparoscopic salpingoplasty</x:t>
  </x:si>
  <x:si>
    <x:t>http://id.who.int/icd/entity/1086554278</x:t>
  </x:si>
  <x:si>
    <x:t>http://id.who.int/icd/release/11/beta/ichi/1086554278</x:t>
  </x:si>
  <x:si>
    <x:t>NME.AD.AA</x:t>
  </x:si>
  <x:si>
    <x:t>- - - - - Biopsy of uterus</x:t>
  </x:si>
  <x:si>
    <x:t>http://id.who.int/icd/entity/546026143</x:t>
  </x:si>
  <x:si>
    <x:t>http://id.who.int/icd/release/11/beta/ichi/546026143</x:t>
  </x:si>
  <x:si>
    <x:t>NME.AD.AB</x:t>
  </x:si>
  <x:si>
    <x:t>- - - - - Laparoscopic biopsy of uterus</x:t>
  </x:si>
  <x:si>
    <x:t>http://id.who.int/icd/entity/1846199244</x:t>
  </x:si>
  <x:si>
    <x:t>http://id.who.int/icd/release/11/beta/ichi/1846199244</x:t>
  </x:si>
  <x:si>
    <x:t>NME.AD.AC</x:t>
  </x:si>
  <x:si>
    <x:t>- - - - - Transvaginal biopsy of uterus</x:t>
  </x:si>
  <x:si>
    <x:t>http://id.who.int/icd/entity/2135548860</x:t>
  </x:si>
  <x:si>
    <x:t>http://id.who.int/icd/release/11/beta/ichi/2135548860</x:t>
  </x:si>
  <x:si>
    <x:t>NME.AD.AD</x:t>
  </x:si>
  <x:si>
    <x:t>- - - - - Hysteroscopic biopsy of uterus</x:t>
  </x:si>
  <x:si>
    <x:t>http://id.who.int/icd/entity/13988051</x:t>
  </x:si>
  <x:si>
    <x:t>http://id.who.int/icd/release/11/beta/ichi/13988051</x:t>
  </x:si>
  <x:si>
    <x:t>NME.AE.AC</x:t>
  </x:si>
  <x:si>
    <x:t>- - - - - Digital examination of uterus</x:t>
  </x:si>
  <x:si>
    <x:t>http://id.who.int/icd/entity/258799681</x:t>
  </x:si>
  <x:si>
    <x:t>http://id.who.int/icd/release/11/beta/ichi/258799681</x:t>
  </x:si>
  <x:si>
    <x:t>NME.AE.AD</x:t>
  </x:si>
  <x:si>
    <x:t>- - - - - Hysteroscopy</x:t>
  </x:si>
  <x:si>
    <x:t>http://id.who.int/icd/entity/2146325454</x:t>
  </x:si>
  <x:si>
    <x:t>http://id.who.int/icd/release/11/beta/ichi/2146325454</x:t>
  </x:si>
  <x:si>
    <x:t>NME.AI.AH</x:t>
  </x:si>
  <x:si>
    <x:t>- - - - - Monitoring of delivery</x:t>
  </x:si>
  <x:si>
    <x:t>http://id.who.int/icd/entity/1635774760</x:t>
  </x:si>
  <x:si>
    <x:t>http://id.who.int/icd/release/11/beta/ichi/1635774760</x:t>
  </x:si>
  <x:si>
    <x:t>NME.BA.BA</x:t>
  </x:si>
  <x:si>
    <x:t>- - - - - X-ray of uterus</x:t>
  </x:si>
  <x:si>
    <x:t>http://id.who.int/icd/entity/356568213</x:t>
  </x:si>
  <x:si>
    <x:t>http://id.who.int/icd/release/11/beta/ichi/356568213</x:t>
  </x:si>
  <x:si>
    <x:t>NME.BA.BB</x:t>
  </x:si>
  <x:si>
    <x:t>- - - - - Gas contrast hysterosalpingogram</x:t>
  </x:si>
  <x:si>
    <x:t>http://id.who.int/icd/entity/171171249</x:t>
  </x:si>
  <x:si>
    <x:t>http://id.who.int/icd/release/11/beta/ichi/171171249</x:t>
  </x:si>
  <x:si>
    <x:t>NME.DB.AC</x:t>
  </x:si>
  <x:si>
    <x:t>- - - - - Termination of pregnancy by oral medication</x:t>
  </x:si>
  <x:si>
    <x:t>http://id.who.int/icd/entity/2137039186</x:t>
  </x:si>
  <x:si>
    <x:t>http://id.who.int/icd/release/11/beta/ichi/2137039186</x:t>
  </x:si>
  <x:si>
    <x:t>NME.DH.AC</x:t>
  </x:si>
  <x:si>
    <x:t>- - - - - Uterine reproductive transfer procedures</x:t>
  </x:si>
  <x:si>
    <x:t>http://id.who.int/icd/entity/286827067</x:t>
  </x:si>
  <x:si>
    <x:t>http://id.who.int/icd/release/11/beta/ichi/286827067</x:t>
  </x:si>
  <x:si>
    <x:t>NME.DK.AC</x:t>
  </x:si>
  <x:si>
    <x:t>- - - - - Tamponade of uterus</x:t>
  </x:si>
  <x:si>
    <x:t>http://id.who.int/icd/entity/5997133</x:t>
  </x:si>
  <x:si>
    <x:t>http://id.who.int/icd/release/11/beta/ichi/5997133</x:t>
  </x:si>
  <x:si>
    <x:t>NME.DL.AC</x:t>
  </x:si>
  <x:si>
    <x:t>- - - - - Insertion of device into uterus</x:t>
  </x:si>
  <x:si>
    <x:t>http://id.who.int/icd/entity/1611903094</x:t>
  </x:si>
  <x:si>
    <x:t>http://id.who.int/icd/release/11/beta/ichi/1611903094</x:t>
  </x:si>
  <x:si>
    <x:t>NME.FA.AA</x:t>
  </x:si>
  <x:si>
    <x:t>- - - - - Hysterotomy</x:t>
  </x:si>
  <x:si>
    <x:t>http://id.who.int/icd/entity/1521351826</x:t>
  </x:si>
  <x:si>
    <x:t>http://id.who.int/icd/release/11/beta/ichi/1521351826</x:t>
  </x:si>
  <x:si>
    <x:t>NME.FA.AB</x:t>
  </x:si>
  <x:si>
    <x:t>- - - - - Laparoscopic hysterotomy</x:t>
  </x:si>
  <x:si>
    <x:t>http://id.who.int/icd/entity/1370087996</x:t>
  </x:si>
  <x:si>
    <x:t>http://id.who.int/icd/release/11/beta/ichi/1370087996</x:t>
  </x:si>
  <x:si>
    <x:t>NME.FC.AA</x:t>
  </x:si>
  <x:si>
    <x:t>- - - - - Release of uterus</x:t>
  </x:si>
  <x:si>
    <x:t>http://id.who.int/icd/entity/2062761694</x:t>
  </x:si>
  <x:si>
    <x:t>http://id.who.int/icd/release/11/beta/ichi/2062761694</x:t>
  </x:si>
  <x:si>
    <x:t>NME.FC.AC</x:t>
  </x:si>
  <x:si>
    <x:t>- - - - - Transvaginal release of uterus</x:t>
  </x:si>
  <x:si>
    <x:t>http://id.who.int/icd/entity/1666603555</x:t>
  </x:si>
  <x:si>
    <x:t>http://id.who.int/icd/release/11/beta/ichi/1666603555</x:t>
  </x:si>
  <x:si>
    <x:t>NME.FC.AD</x:t>
  </x:si>
  <x:si>
    <x:t>- - - - - Hysteroscopic release of uterus</x:t>
  </x:si>
  <x:si>
    <x:t>http://id.who.int/icd/entity/694861128</x:t>
  </x:si>
  <x:si>
    <x:t>http://id.who.int/icd/release/11/beta/ichi/694861128</x:t>
  </x:si>
  <x:si>
    <x:t>NME.GA.AA</x:t>
  </x:si>
  <x:si>
    <x:t>- - - - - Destruction of uterus and supporting structures</x:t>
  </x:si>
  <x:si>
    <x:t>http://id.who.int/icd/entity/2031183097</x:t>
  </x:si>
  <x:si>
    <x:t>http://id.who.int/icd/release/11/beta/ichi/2031183097</x:t>
  </x:si>
  <x:si>
    <x:t>NME.GA.AB</x:t>
  </x:si>
  <x:si>
    <x:t>- - - - - Laparoscopic destruction of lesion or tissue of uterus</x:t>
  </x:si>
  <x:si>
    <x:t>http://id.who.int/icd/entity/212328588</x:t>
  </x:si>
  <x:si>
    <x:t>http://id.who.int/icd/release/11/beta/ichi/212328588</x:t>
  </x:si>
  <x:si>
    <x:t>NME.GA.AC</x:t>
  </x:si>
  <x:si>
    <x:t>- - - - - Paracervical uterine denervation</x:t>
  </x:si>
  <x:si>
    <x:t>http://id.who.int/icd/entity/660245532</x:t>
  </x:si>
  <x:si>
    <x:t>http://id.who.int/icd/release/11/beta/ichi/660245532</x:t>
  </x:si>
  <x:si>
    <x:t>NME.GA.AD</x:t>
  </x:si>
  <x:si>
    <x:t>- - - - - Endometrial ablation</x:t>
  </x:si>
  <x:si>
    <x:t>http://id.who.int/icd/entity/907652204</x:t>
  </x:si>
  <x:si>
    <x:t>http://id.who.int/icd/release/11/beta/ichi/907652204</x:t>
  </x:si>
  <x:si>
    <x:t>NME.GA.BA</x:t>
  </x:si>
  <x:si>
    <x:t>- - - - - Destruction of lesion or tissue of uterus by radiotherapy</x:t>
  </x:si>
  <x:si>
    <x:t>http://id.who.int/icd/entity/1984763131</x:t>
  </x:si>
  <x:si>
    <x:t>http://id.who.int/icd/release/11/beta/ichi/1984763131</x:t>
  </x:si>
  <x:si>
    <x:t>NME.JB.AA</x:t>
  </x:si>
  <x:si>
    <x:t>- - - - - Drainage of uterus and surrounding structures</x:t>
  </x:si>
  <x:si>
    <x:t>http://id.who.int/icd/entity/2046073961</x:t>
  </x:si>
  <x:si>
    <x:t>http://id.who.int/icd/release/11/beta/ichi/2046073961</x:t>
  </x:si>
  <x:si>
    <x:t>NME.JB.AB</x:t>
  </x:si>
  <x:si>
    <x:t>- - - - - Laparoscopic drainage of uterus and surrounding structures</x:t>
  </x:si>
  <x:si>
    <x:t>http://id.who.int/icd/entity/697255384</x:t>
  </x:si>
  <x:si>
    <x:t>http://id.who.int/icd/release/11/beta/ichi/697255384</x:t>
  </x:si>
  <x:si>
    <x:t>NME.JB.AC</x:t>
  </x:si>
  <x:si>
    <x:t>- - - - - Suction curettage of uterus</x:t>
  </x:si>
  <x:si>
    <x:t>http://id.who.int/icd/entity/1547289003</x:t>
  </x:si>
  <x:si>
    <x:t>http://id.who.int/icd/release/11/beta/ichi/1547289003</x:t>
  </x:si>
  <x:si>
    <x:t>NME.JB.AD</x:t>
  </x:si>
  <x:si>
    <x:t>- - - - - Hysteroscopic drainage of uterus and surrounding structures</x:t>
  </x:si>
  <x:si>
    <x:t>http://id.who.int/icd/entity/2009378107</x:t>
  </x:si>
  <x:si>
    <x:t>http://id.who.int/icd/release/11/beta/ichi/2009378107</x:t>
  </x:si>
  <x:si>
    <x:t>NME.JB.AF</x:t>
  </x:si>
  <x:si>
    <x:t>- - - - - Percutaneous drainage of uterus and surrounding structures</x:t>
  </x:si>
  <x:si>
    <x:t>http://id.who.int/icd/entity/1720159565</x:t>
  </x:si>
  <x:si>
    <x:t>http://id.who.int/icd/release/11/beta/ichi/1720159565</x:t>
  </x:si>
  <x:si>
    <x:t>NME.JD.AA</x:t>
  </x:si>
  <x:si>
    <x:t>- - - - - Removal of internal device or foreign body from uterus</x:t>
  </x:si>
  <x:si>
    <x:t>http://id.who.int/icd/entity/971140128</x:t>
  </x:si>
  <x:si>
    <x:t>http://id.who.int/icd/release/11/beta/ichi/971140128</x:t>
  </x:si>
  <x:si>
    <x:t>NME.JD.AB</x:t>
  </x:si>
  <x:si>
    <x:t>- - - - - Laparoscopic removal of internal device or foreign body from uterus</x:t>
  </x:si>
  <x:si>
    <x:t>http://id.who.int/icd/entity/1943964533</x:t>
  </x:si>
  <x:si>
    <x:t>http://id.who.int/icd/release/11/beta/ichi/1943964533</x:t>
  </x:si>
  <x:si>
    <x:t>NME.JD.AC</x:t>
  </x:si>
  <x:si>
    <x:t>- - - - - Transvaginal removal of internal device or foreign body from uterus</x:t>
  </x:si>
  <x:si>
    <x:t>http://id.who.int/icd/entity/909176450</x:t>
  </x:si>
  <x:si>
    <x:t>http://id.who.int/icd/release/11/beta/ichi/909176450</x:t>
  </x:si>
  <x:si>
    <x:t>NME.JD.AD</x:t>
  </x:si>
  <x:si>
    <x:t>- - - - - Hysteroscopic removal of internal device or foreign body from uterus</x:t>
  </x:si>
  <x:si>
    <x:t>http://id.who.int/icd/entity/2081163753</x:t>
  </x:si>
  <x:si>
    <x:t>http://id.who.int/icd/release/11/beta/ichi/2081163753</x:t>
  </x:si>
  <x:si>
    <x:t>NME.JE.AA</x:t>
  </x:si>
  <x:si>
    <x:t>- - - - - Termination of pregnancy by hysterotomy</x:t>
  </x:si>
  <x:si>
    <x:t>http://id.who.int/icd/entity/210674278</x:t>
  </x:si>
  <x:si>
    <x:t>http://id.who.int/icd/release/11/beta/ichi/210674278</x:t>
  </x:si>
  <x:si>
    <x:t>NME.JE.AC</x:t>
  </x:si>
  <x:si>
    <x:t>- - - - - Dilatation and curettage of uterus</x:t>
  </x:si>
  <x:si>
    <x:t>http://id.who.int/icd/entity/1388661383</x:t>
  </x:si>
  <x:si>
    <x:t>http://id.who.int/icd/release/11/beta/ichi/1388661383</x:t>
  </x:si>
  <x:si>
    <x:t>NME.JF.AA</x:t>
  </x:si>
  <x:si>
    <x:t>- - - - - Delivery by caesarean section</x:t>
  </x:si>
  <x:si>
    <x:t>http://id.who.int/icd/entity/1132882673</x:t>
  </x:si>
  <x:si>
    <x:t>http://id.who.int/icd/release/11/beta/ichi/1132882673</x:t>
  </x:si>
  <x:si>
    <x:t>NME.JF.AC</x:t>
  </x:si>
  <x:si>
    <x:t>- - - - - Vaginal delivery</x:t>
  </x:si>
  <x:si>
    <x:t>http://id.who.int/icd/entity/1403587543</x:t>
  </x:si>
  <x:si>
    <x:t>http://id.who.int/icd/release/11/beta/ichi/1403587543</x:t>
  </x:si>
  <x:si>
    <x:t>NME.JI.AA</x:t>
  </x:si>
  <x:si>
    <x:t>- - - - - Local excision of lesion of uterus</x:t>
  </x:si>
  <x:si>
    <x:t>http://id.who.int/icd/entity/1240347917</x:t>
  </x:si>
  <x:si>
    <x:t>http://id.who.int/icd/release/11/beta/ichi/1240347917</x:t>
  </x:si>
  <x:si>
    <x:t>NME.JI.AB</x:t>
  </x:si>
  <x:si>
    <x:t>- - - - - Laparoscopic local excision of lesion of uterus</x:t>
  </x:si>
  <x:si>
    <x:t>http://id.who.int/icd/entity/698746678</x:t>
  </x:si>
  <x:si>
    <x:t>http://id.who.int/icd/release/11/beta/ichi/698746678</x:t>
  </x:si>
  <x:si>
    <x:t>NME.JI.AC</x:t>
  </x:si>
  <x:si>
    <x:t>- - - - - Transvaginal local excision of lesion of uterus</x:t>
  </x:si>
  <x:si>
    <x:t>http://id.who.int/icd/entity/115801498</x:t>
  </x:si>
  <x:si>
    <x:t>http://id.who.int/icd/release/11/beta/ichi/115801498</x:t>
  </x:si>
  <x:si>
    <x:t>NME.JI.AD</x:t>
  </x:si>
  <x:si>
    <x:t>- - - - - Hysteroscopic local excision of lesion of uterus</x:t>
  </x:si>
  <x:si>
    <x:t>http://id.who.int/icd/entity/1214745805</x:t>
  </x:si>
  <x:si>
    <x:t>http://id.who.int/icd/release/11/beta/ichi/1214745805</x:t>
  </x:si>
  <x:si>
    <x:t>NME.JJ.AA</x:t>
  </x:si>
  <x:si>
    <x:t>- - - - - Partial excision of uterus</x:t>
  </x:si>
  <x:si>
    <x:t>http://id.who.int/icd/entity/1136927249</x:t>
  </x:si>
  <x:si>
    <x:t>http://id.who.int/icd/release/11/beta/ichi/1136927249</x:t>
  </x:si>
  <x:si>
    <x:t>NME.JJ.AB</x:t>
  </x:si>
  <x:si>
    <x:t>- - - - - Laparoscopic supracervical hysterectomy</x:t>
  </x:si>
  <x:si>
    <x:t>http://id.who.int/icd/entity/222647110</x:t>
  </x:si>
  <x:si>
    <x:t>http://id.who.int/icd/release/11/beta/ichi/222647110</x:t>
  </x:si>
  <x:si>
    <x:t>NME.JJ.AC</x:t>
  </x:si>
  <x:si>
    <x:t>- - - - - Partial vaginal hysterectomy</x:t>
  </x:si>
  <x:si>
    <x:t>http://id.who.int/icd/entity/669905240</x:t>
  </x:si>
  <x:si>
    <x:t>http://id.who.int/icd/release/11/beta/ichi/669905240</x:t>
  </x:si>
  <x:si>
    <x:t>NME.JJ.AD</x:t>
  </x:si>
  <x:si>
    <x:t>- - - - - Hysteroscopic partial excision of uterus</x:t>
  </x:si>
  <x:si>
    <x:t>http://id.who.int/icd/entity/1490473545</x:t>
  </x:si>
  <x:si>
    <x:t>http://id.who.int/icd/release/11/beta/ichi/1490473545</x:t>
  </x:si>
  <x:si>
    <x:t>NME.JJ.AI</x:t>
  </x:si>
  <x:si>
    <x:t>- - - - - Laparoscopically assisted supracervical hysterectomy</x:t>
  </x:si>
  <x:si>
    <x:t>http://id.who.int/icd/entity/1575157175</x:t>
  </x:si>
  <x:si>
    <x:t>http://id.who.int/icd/release/11/beta/ichi/1575157175</x:t>
  </x:si>
  <x:si>
    <x:t>NME.JK.AA</x:t>
  </x:si>
  <x:si>
    <x:t>- - - - - Total abdominal hysterectomy, not elsewhere classified</x:t>
  </x:si>
  <x:si>
    <x:t>http://id.who.int/icd/entity/325291236</x:t>
  </x:si>
  <x:si>
    <x:t>http://id.who.int/icd/release/11/beta/ichi/325291236</x:t>
  </x:si>
  <x:si>
    <x:t>NME.JK.AB</x:t>
  </x:si>
  <x:si>
    <x:t>- - - - - Laparoscopic total abdominal hysterectomy</x:t>
  </x:si>
  <x:si>
    <x:t>http://id.who.int/icd/entity/1202045805</x:t>
  </x:si>
  <x:si>
    <x:t>http://id.who.int/icd/release/11/beta/ichi/1202045805</x:t>
  </x:si>
  <x:si>
    <x:t>NME.JK.AC</x:t>
  </x:si>
  <x:si>
    <x:t>- - - - - Total vaginal hysterectomy</x:t>
  </x:si>
  <x:si>
    <x:t>http://id.who.int/icd/entity/855031696</x:t>
  </x:si>
  <x:si>
    <x:t>http://id.who.int/icd/release/11/beta/ichi/855031696</x:t>
  </x:si>
  <x:si>
    <x:t>NME.JK.AI</x:t>
  </x:si>
  <x:si>
    <x:t>- - - - - Laparoscopically assisted vaginal hysterectomy</x:t>
  </x:si>
  <x:si>
    <x:t>http://id.who.int/icd/entity/1305320593</x:t>
  </x:si>
  <x:si>
    <x:t>http://id.who.int/icd/release/11/beta/ichi/1305320593</x:t>
  </x:si>
  <x:si>
    <x:t>NME.JL.AA</x:t>
  </x:si>
  <x:si>
    <x:t>- - - - - Radical abdominal hysterectomy</x:t>
  </x:si>
  <x:si>
    <x:t>http://id.who.int/icd/entity/55373254</x:t>
  </x:si>
  <x:si>
    <x:t>http://id.who.int/icd/release/11/beta/ichi/55373254</x:t>
  </x:si>
  <x:si>
    <x:t>NME.JL.AB</x:t>
  </x:si>
  <x:si>
    <x:t>- - - - - Laparoscopic radical abdominal hysterectomy</x:t>
  </x:si>
  <x:si>
    <x:t>http://id.who.int/icd/entity/1661263871</x:t>
  </x:si>
  <x:si>
    <x:t>http://id.who.int/icd/release/11/beta/ichi/1661263871</x:t>
  </x:si>
  <x:si>
    <x:t>NME.JL.AC</x:t>
  </x:si>
  <x:si>
    <x:t>- - - - - Radical vaginal hysterectomy</x:t>
  </x:si>
  <x:si>
    <x:t>http://id.who.int/icd/entity/163662506</x:t>
  </x:si>
  <x:si>
    <x:t>http://id.who.int/icd/release/11/beta/ichi/163662506</x:t>
  </x:si>
  <x:si>
    <x:t>NME.JL.AI</x:t>
  </x:si>
  <x:si>
    <x:t>- - - - - Laparoscopically assisted radical vaginal hysterectomy</x:t>
  </x:si>
  <x:si>
    <x:t>http://id.who.int/icd/entity/953985170</x:t>
  </x:si>
  <x:si>
    <x:t>http://id.who.int/icd/release/11/beta/ichi/953985170</x:t>
  </x:si>
  <x:si>
    <x:t>NME.KA.AC</x:t>
  </x:si>
  <x:si>
    <x:t>- - - - - Transvaginal replacement of internal device of uterus</x:t>
  </x:si>
  <x:si>
    <x:t>http://id.who.int/icd/entity/929374208</x:t>
  </x:si>
  <x:si>
    <x:t>http://id.who.int/icd/release/11/beta/ichi/929374208</x:t>
  </x:si>
  <x:si>
    <x:t>NME.KA.AD</x:t>
  </x:si>
  <x:si>
    <x:t>- - - - - Hysteroscopic replacement of internal device of uterus</x:t>
  </x:si>
  <x:si>
    <x:t>http://id.who.int/icd/entity/1735783359</x:t>
  </x:si>
  <x:si>
    <x:t>http://id.who.int/icd/release/11/beta/ichi/1735783359</x:t>
  </x:si>
  <x:si>
    <x:t>NME.LC.AA</x:t>
  </x:si>
  <x:si>
    <x:t>- - - - - Uterine suspension</x:t>
  </x:si>
  <x:si>
    <x:t>http://id.who.int/icd/entity/1573633881</x:t>
  </x:si>
  <x:si>
    <x:t>http://id.who.int/icd/release/11/beta/ichi/1573633881</x:t>
  </x:si>
  <x:si>
    <x:t>NME.LC.AB</x:t>
  </x:si>
  <x:si>
    <x:t>- - - - - Laparoscopic uterine suspension</x:t>
  </x:si>
  <x:si>
    <x:t>http://id.who.int/icd/entity/494600030</x:t>
  </x:si>
  <x:si>
    <x:t>http://id.who.int/icd/release/11/beta/ichi/494600030</x:t>
  </x:si>
  <x:si>
    <x:t>NME.LC.AC</x:t>
  </x:si>
  <x:si>
    <x:t>- - - - - Transvaginal uterosacral ligament suspension</x:t>
  </x:si>
  <x:si>
    <x:t>http://id.who.int/icd/entity/1648483393</x:t>
  </x:si>
  <x:si>
    <x:t>http://id.who.int/icd/release/11/beta/ichi/1648483393</x:t>
  </x:si>
  <x:si>
    <x:t>NME.LD.AA</x:t>
  </x:si>
  <x:si>
    <x:t>- - - - - Surgical correction of inverted uterus</x:t>
  </x:si>
  <x:si>
    <x:t>http://id.who.int/icd/entity/205119274</x:t>
  </x:si>
  <x:si>
    <x:t>http://id.who.int/icd/release/11/beta/ichi/205119274</x:t>
  </x:si>
  <x:si>
    <x:t>NME.LD.AC</x:t>
  </x:si>
  <x:si>
    <x:t>- - - - - Manual repositioning of inverted uterus</x:t>
  </x:si>
  <x:si>
    <x:t>http://id.who.int/icd/entity/1198094611</x:t>
  </x:si>
  <x:si>
    <x:t>http://id.who.int/icd/release/11/beta/ichi/1198094611</x:t>
  </x:si>
  <x:si>
    <x:t>NME.MK.AA</x:t>
  </x:si>
  <x:si>
    <x:t>- - - - - Repair of uterus</x:t>
  </x:si>
  <x:si>
    <x:t>http://id.who.int/icd/entity/1030125044</x:t>
  </x:si>
  <x:si>
    <x:t>http://id.who.int/icd/release/11/beta/ichi/1030125044</x:t>
  </x:si>
  <x:si>
    <x:t>NME.MK.AB</x:t>
  </x:si>
  <x:si>
    <x:t>- - - - - Laparoscopic repair of uterus</x:t>
  </x:si>
  <x:si>
    <x:t>http://id.who.int/icd/entity/490256320</x:t>
  </x:si>
  <x:si>
    <x:t>http://id.who.int/icd/release/11/beta/ichi/490256320</x:t>
  </x:si>
  <x:si>
    <x:t>NME.MK.AD</x:t>
  </x:si>
  <x:si>
    <x:t>- - - - - Hysteroscopic repair of uterus</x:t>
  </x:si>
  <x:si>
    <x:t>http://id.who.int/icd/entity/125798758</x:t>
  </x:si>
  <x:si>
    <x:t>http://id.who.int/icd/release/11/beta/ichi/125798758</x:t>
  </x:si>
  <x:si>
    <x:t>NME.ML.AA</x:t>
  </x:si>
  <x:si>
    <x:t>- - - - - Reconstruction of uterus and surrounding structures</x:t>
  </x:si>
  <x:si>
    <x:t>http://id.who.int/icd/entity/608151501</x:t>
  </x:si>
  <x:si>
    <x:t>http://id.who.int/icd/release/11/beta/ichi/608151501</x:t>
  </x:si>
  <x:si>
    <x:t>NME.ML.AB</x:t>
  </x:si>
  <x:si>
    <x:t>- - - - - Laparoscopic reconstruction of uterus and surrounding structures</x:t>
  </x:si>
  <x:si>
    <x:t>http://id.who.int/icd/entity/1527022802</x:t>
  </x:si>
  <x:si>
    <x:t>http://id.who.int/icd/release/11/beta/ichi/1527022802</x:t>
  </x:si>
  <x:si>
    <x:t>NME.ML.AD</x:t>
  </x:si>
  <x:si>
    <x:t>- - - - - Hysteroscopic reconstruction of uterus and surrounding structures</x:t>
  </x:si>
  <x:si>
    <x:t>http://id.who.int/icd/entity/1580247852</x:t>
  </x:si>
  <x:si>
    <x:t>http://id.who.int/icd/release/11/beta/ichi/1580247852</x:t>
  </x:si>
  <x:si>
    <x:t>NME.SH.AC</x:t>
  </x:si>
  <x:si>
    <x:t>- - - - - Medical induction of labour, per orifice</x:t>
  </x:si>
  <x:si>
    <x:t>http://id.who.int/icd/entity/239825565</x:t>
  </x:si>
  <x:si>
    <x:t>http://id.who.int/icd/release/11/beta/ichi/239825565</x:t>
  </x:si>
  <x:si>
    <x:t>NME.SH.AF</x:t>
  </x:si>
  <x:si>
    <x:t>- - - - - Intravenous medical induction of labour</x:t>
  </x:si>
  <x:si>
    <x:t>http://id.who.int/icd/entity/1367942078</x:t>
  </x:si>
  <x:si>
    <x:t>http://id.who.int/icd/release/11/beta/ichi/1367942078</x:t>
  </x:si>
  <x:si>
    <x:t>NMF.AD.AC</x:t>
  </x:si>
  <x:si>
    <x:t>- - - - - Cervical biopsy</x:t>
  </x:si>
  <x:si>
    <x:t>http://id.who.int/icd/entity/618291037</x:t>
  </x:si>
  <x:si>
    <x:t>http://id.who.int/icd/release/11/beta/ichi/618291037</x:t>
  </x:si>
  <x:si>
    <x:t>NMF.AE.AC</x:t>
  </x:si>
  <x:si>
    <x:t>- - - - - Colposcopy</x:t>
  </x:si>
  <x:si>
    <x:t>http://id.who.int/icd/entity/1956742894</x:t>
  </x:si>
  <x:si>
    <x:t>http://id.who.int/icd/release/11/beta/ichi/1956742894</x:t>
  </x:si>
  <x:si>
    <x:t>NMF.AH.XH</x:t>
  </x:si>
  <x:si>
    <x:t>- - - - - Cervical papanicolaou smear</x:t>
  </x:si>
  <x:si>
    <x:t>http://id.who.int/icd/entity/10402655</x:t>
  </x:si>
  <x:si>
    <x:t>http://id.who.int/icd/release/11/beta/ichi/10402655</x:t>
  </x:si>
  <x:si>
    <x:t>NMF.FA.AC</x:t>
  </x:si>
  <x:si>
    <x:t>- - - - - Incision of cervix</x:t>
  </x:si>
  <x:si>
    <x:t>http://id.who.int/icd/entity/2116821378</x:t>
  </x:si>
  <x:si>
    <x:t>http://id.who.int/icd/release/11/beta/ichi/2116821378</x:t>
  </x:si>
  <x:si>
    <x:t>NMF.GA.AC</x:t>
  </x:si>
  <x:si>
    <x:t>- - - - - Destruction of lesion or tissue of cervix</x:t>
  </x:si>
  <x:si>
    <x:t>http://id.who.int/icd/entity/1802839992</x:t>
  </x:si>
  <x:si>
    <x:t>http://id.who.int/icd/release/11/beta/ichi/1802839992</x:t>
  </x:si>
  <x:si>
    <x:t>NMF.GA.BA</x:t>
  </x:si>
  <x:si>
    <x:t>- - - - - Destruction of lesion or tissue of cervix by radiotherapy</x:t>
  </x:si>
  <x:si>
    <x:t>http://id.who.int/icd/entity/469208117</x:t>
  </x:si>
  <x:si>
    <x:t>http://id.who.int/icd/release/11/beta/ichi/469208117</x:t>
  </x:si>
  <x:si>
    <x:t>NMF.JB.AA</x:t>
  </x:si>
  <x:si>
    <x:t>- - - - - Drainage of cervix</x:t>
  </x:si>
  <x:si>
    <x:t>http://id.who.int/icd/entity/1372285792</x:t>
  </x:si>
  <x:si>
    <x:t>http://id.who.int/icd/release/11/beta/ichi/1372285792</x:t>
  </x:si>
  <x:si>
    <x:t>NMF.JB.AC</x:t>
  </x:si>
  <x:si>
    <x:t>- - - - - Transvaginal needle drainage of cervix</x:t>
  </x:si>
  <x:si>
    <x:t>http://id.who.int/icd/entity/1147066136</x:t>
  </x:si>
  <x:si>
    <x:t>http://id.who.int/icd/release/11/beta/ichi/1147066136</x:t>
  </x:si>
  <x:si>
    <x:t>NMF.JD.AC</x:t>
  </x:si>
  <x:si>
    <x:t>- - - - - Removal of internal device or foreign body from cervix</x:t>
  </x:si>
  <x:si>
    <x:t>http://id.who.int/icd/entity/781926991</x:t>
  </x:si>
  <x:si>
    <x:t>http://id.who.int/icd/release/11/beta/ichi/781926991</x:t>
  </x:si>
  <x:si>
    <x:t>NMF.JI.AC</x:t>
  </x:si>
  <x:si>
    <x:t>- - - - - Local excision of lesion of cervix</x:t>
  </x:si>
  <x:si>
    <x:t>http://id.who.int/icd/entity/732917169</x:t>
  </x:si>
  <x:si>
    <x:t>http://id.who.int/icd/release/11/beta/ichi/732917169</x:t>
  </x:si>
  <x:si>
    <x:t>NMF.JJ.AA</x:t>
  </x:si>
  <x:si>
    <x:t>- - - - - Partial excision of cervix</x:t>
  </x:si>
  <x:si>
    <x:t>http://id.who.int/icd/entity/1529726524</x:t>
  </x:si>
  <x:si>
    <x:t>http://id.who.int/icd/release/11/beta/ichi/1529726524</x:t>
  </x:si>
  <x:si>
    <x:t>NMF.JJ.AC</x:t>
  </x:si>
  <x:si>
    <x:t>- - - - - Transvaginal partial excision of cervix</x:t>
  </x:si>
  <x:si>
    <x:t>http://id.who.int/icd/entity/1419005614</x:t>
  </x:si>
  <x:si>
    <x:t>http://id.who.int/icd/release/11/beta/ichi/1419005614</x:t>
  </x:si>
  <x:si>
    <x:t>NMF.JK.AA</x:t>
  </x:si>
  <x:si>
    <x:t>- - - - - Amputation of cervix</x:t>
  </x:si>
  <x:si>
    <x:t>http://id.who.int/icd/entity/1682070966</x:t>
  </x:si>
  <x:si>
    <x:t>http://id.who.int/icd/release/11/beta/ichi/1682070966</x:t>
  </x:si>
  <x:si>
    <x:t>NMF.JK.AB</x:t>
  </x:si>
  <x:si>
    <x:t>- - - - - Laparoscopic amputation of cervix</x:t>
  </x:si>
  <x:si>
    <x:t>http://id.who.int/icd/entity/1593577810</x:t>
  </x:si>
  <x:si>
    <x:t>http://id.who.int/icd/release/11/beta/ichi/1593577810</x:t>
  </x:si>
  <x:si>
    <x:t>NMF.JK.AC</x:t>
  </x:si>
  <x:si>
    <x:t>- - - - - Transvaginal amputation of cervix</x:t>
  </x:si>
  <x:si>
    <x:t>http://id.who.int/icd/entity/1051992937</x:t>
  </x:si>
  <x:si>
    <x:t>http://id.who.int/icd/release/11/beta/ichi/1051992937</x:t>
  </x:si>
  <x:si>
    <x:t>NMF.JL.AA</x:t>
  </x:si>
  <x:si>
    <x:t>- - - - - Radical trachelectomy</x:t>
  </x:si>
  <x:si>
    <x:t>http://id.who.int/icd/entity/357126137</x:t>
  </x:si>
  <x:si>
    <x:t>http://id.who.int/icd/release/11/beta/ichi/357126137</x:t>
  </x:si>
  <x:si>
    <x:t>NMF.JL.AB</x:t>
  </x:si>
  <x:si>
    <x:t>- - - - - Laparoscopic radical trachelectomy</x:t>
  </x:si>
  <x:si>
    <x:t>http://id.who.int/icd/entity/67792783</x:t>
  </x:si>
  <x:si>
    <x:t>http://id.who.int/icd/release/11/beta/ichi/67792783</x:t>
  </x:si>
  <x:si>
    <x:t>NMF.JL.AC</x:t>
  </x:si>
  <x:si>
    <x:t>- - - - - Transvaginal radical trachelectomy</x:t>
  </x:si>
  <x:si>
    <x:t>http://id.who.int/icd/entity/518709541</x:t>
  </x:si>
  <x:si>
    <x:t>http://id.who.int/icd/release/11/beta/ichi/518709541</x:t>
  </x:si>
  <x:si>
    <x:t>NMF.LA.AC</x:t>
  </x:si>
  <x:si>
    <x:t>- - - - - Packing of cervical canal for control of bleeding</x:t>
  </x:si>
  <x:si>
    <x:t>http://id.who.int/icd/entity/1318140054</x:t>
  </x:si>
  <x:si>
    <x:t>http://id.who.int/icd/release/11/beta/ichi/1318140054</x:t>
  </x:si>
  <x:si>
    <x:t>NMF.LG.AC</x:t>
  </x:si>
  <x:si>
    <x:t>- - - - - Dilatation of cervical canal</x:t>
  </x:si>
  <x:si>
    <x:t>http://id.who.int/icd/entity/833231755</x:t>
  </x:si>
  <x:si>
    <x:t>http://id.who.int/icd/release/11/beta/ichi/833231755</x:t>
  </x:si>
  <x:si>
    <x:t>NMF.LH.AC</x:t>
  </x:si>
  <x:si>
    <x:t>- - - - - Dilatation of cervical canal with insertion of device</x:t>
  </x:si>
  <x:si>
    <x:t>http://id.who.int/icd/entity/1110655584</x:t>
  </x:si>
  <x:si>
    <x:t>http://id.who.int/icd/release/11/beta/ichi/1110655584</x:t>
  </x:si>
  <x:si>
    <x:t>NMF.LL.AA</x:t>
  </x:si>
  <x:si>
    <x:t>- - - - - Transabdominal cerclage of cervix</x:t>
  </x:si>
  <x:si>
    <x:t>http://id.who.int/icd/entity/1484029114</x:t>
  </x:si>
  <x:si>
    <x:t>http://id.who.int/icd/release/11/beta/ichi/1484029114</x:t>
  </x:si>
  <x:si>
    <x:t>NMF.LL.AB</x:t>
  </x:si>
  <x:si>
    <x:t>- - - - - Laparoscopic cerclage of cervix</x:t>
  </x:si>
  <x:si>
    <x:t>http://id.who.int/icd/entity/1136327586</x:t>
  </x:si>
  <x:si>
    <x:t>http://id.who.int/icd/release/11/beta/ichi/1136327586</x:t>
  </x:si>
  <x:si>
    <x:t>NMF.LL.AC</x:t>
  </x:si>
  <x:si>
    <x:t>- - - - - Cerclage of internal cervical os</x:t>
  </x:si>
  <x:si>
    <x:t>http://id.who.int/icd/entity/844370301</x:t>
  </x:si>
  <x:si>
    <x:t>http://id.who.int/icd/release/11/beta/ichi/844370301</x:t>
  </x:si>
  <x:si>
    <x:t>NMF.MK.AA</x:t>
  </x:si>
  <x:si>
    <x:t>- - - - - Repair of fistula of cervix</x:t>
  </x:si>
  <x:si>
    <x:t>http://id.who.int/icd/entity/1038981615</x:t>
  </x:si>
  <x:si>
    <x:t>http://id.who.int/icd/release/11/beta/ichi/1038981615</x:t>
  </x:si>
  <x:si>
    <x:t>NMF.MK.AB</x:t>
  </x:si>
  <x:si>
    <x:t>- - - - - Laparoscopic repair of cervix</x:t>
  </x:si>
  <x:si>
    <x:t>http://id.who.int/icd/entity/1936517306</x:t>
  </x:si>
  <x:si>
    <x:t>http://id.who.int/icd/release/11/beta/ichi/1936517306</x:t>
  </x:si>
  <x:si>
    <x:t>NMF.MK.AC</x:t>
  </x:si>
  <x:si>
    <x:t>- - - - - Other repair of cervix</x:t>
  </x:si>
  <x:si>
    <x:t>http://id.who.int/icd/entity/232682085</x:t>
  </x:si>
  <x:si>
    <x:t>http://id.who.int/icd/release/11/beta/ichi/232682085</x:t>
  </x:si>
  <x:si>
    <x:t>NMF.ML.AA</x:t>
  </x:si>
  <x:si>
    <x:t>- - - - - Reconstruction of cervix</x:t>
  </x:si>
  <x:si>
    <x:t>http://id.who.int/icd/entity/40368887</x:t>
  </x:si>
  <x:si>
    <x:t>http://id.who.int/icd/release/11/beta/ichi/40368887</x:t>
  </x:si>
  <x:si>
    <x:t>NMF.ML.AC</x:t>
  </x:si>
  <x:si>
    <x:t>- - - - - Transvaginal reconstruction of cervix</x:t>
  </x:si>
  <x:si>
    <x:t>http://id.who.int/icd/entity/2113628568</x:t>
  </x:si>
  <x:si>
    <x:t>http://id.who.int/icd/release/11/beta/ichi/2113628568</x:t>
  </x:si>
  <x:si>
    <x:t>NMH.AD.AB</x:t>
  </x:si>
  <x:si>
    <x:t>- - - - - Laparoscopic biopsy of vagina</x:t>
  </x:si>
  <x:si>
    <x:t>http://id.who.int/icd/entity/1443235080</x:t>
  </x:si>
  <x:si>
    <x:t>http://id.who.int/icd/release/11/beta/ichi/1443235080</x:t>
  </x:si>
  <x:si>
    <x:t>NMH.AD.AC</x:t>
  </x:si>
  <x:si>
    <x:t>- - - - - Vaginal biopsy</x:t>
  </x:si>
  <x:si>
    <x:t>http://id.who.int/icd/entity/46156423</x:t>
  </x:si>
  <x:si>
    <x:t>http://id.who.int/icd/release/11/beta/ichi/46156423</x:t>
  </x:si>
  <x:si>
    <x:t>NMH.AD.AD</x:t>
  </x:si>
  <x:si>
    <x:t>- - - - - Culdoscopic biopsy of the vagina</x:t>
  </x:si>
  <x:si>
    <x:t>http://id.who.int/icd/entity/934053117</x:t>
  </x:si>
  <x:si>
    <x:t>http://id.who.int/icd/release/11/beta/ichi/934053117</x:t>
  </x:si>
  <x:si>
    <x:t>NMH.AE.AC</x:t>
  </x:si>
  <x:si>
    <x:t>- - - - - Vaginoscopy</x:t>
  </x:si>
  <x:si>
    <x:t>http://id.who.int/icd/entity/2090782152</x:t>
  </x:si>
  <x:si>
    <x:t>http://id.who.int/icd/release/11/beta/ichi/2090782152</x:t>
  </x:si>
  <x:si>
    <x:t>NMH.AH.XF</x:t>
  </x:si>
  <x:si>
    <x:t>- - - - - Specimen collection from vagina</x:t>
  </x:si>
  <x:si>
    <x:t>http://id.who.int/icd/entity/1017682513</x:t>
  </x:si>
  <x:si>
    <x:t>http://id.who.int/icd/release/11/beta/ichi/1017682513</x:t>
  </x:si>
  <x:si>
    <x:t>NMH.BA.BB</x:t>
  </x:si>
  <x:si>
    <x:t>- - - - - Vaginogram</x:t>
  </x:si>
  <x:si>
    <x:t>http://id.who.int/icd/entity/770423335</x:t>
  </x:si>
  <x:si>
    <x:t>http://id.who.int/icd/release/11/beta/ichi/770423335</x:t>
  </x:si>
  <x:si>
    <x:t>NMH.DK.AC</x:t>
  </x:si>
  <x:si>
    <x:t>- - - - - Tamponade of vagina</x:t>
  </x:si>
  <x:si>
    <x:t>http://id.who.int/icd/entity/500715949</x:t>
  </x:si>
  <x:si>
    <x:t>http://id.who.int/icd/release/11/beta/ichi/500715949</x:t>
  </x:si>
  <x:si>
    <x:t>NMH.DL.AC</x:t>
  </x:si>
  <x:si>
    <x:t>- - - - - Insertion of internal device of vagina</x:t>
  </x:si>
  <x:si>
    <x:t>http://id.who.int/icd/entity/1998439676</x:t>
  </x:si>
  <x:si>
    <x:t>http://id.who.int/icd/release/11/beta/ichi/1998439676</x:t>
  </x:si>
  <x:si>
    <x:t>NMH.FA.AC</x:t>
  </x:si>
  <x:si>
    <x:t>- - - - - Vaginotomy</x:t>
  </x:si>
  <x:si>
    <x:t>http://id.who.int/icd/entity/582470181</x:t>
  </x:si>
  <x:si>
    <x:t>http://id.who.int/icd/release/11/beta/ichi/582470181</x:t>
  </x:si>
  <x:si>
    <x:t>NMH.FB.AC</x:t>
  </x:si>
  <x:si>
    <x:t>- - - - - Division of vaginal septum</x:t>
  </x:si>
  <x:si>
    <x:t>http://id.who.int/icd/entity/1925976982</x:t>
  </x:si>
  <x:si>
    <x:t>http://id.who.int/icd/release/11/beta/ichi/1925976982</x:t>
  </x:si>
  <x:si>
    <x:t>NMH.FC.AC</x:t>
  </x:si>
  <x:si>
    <x:t>- - - - - Release of vagina</x:t>
  </x:si>
  <x:si>
    <x:t>http://id.who.int/icd/entity/1569515834</x:t>
  </x:si>
  <x:si>
    <x:t>http://id.who.int/icd/release/11/beta/ichi/1569515834</x:t>
  </x:si>
  <x:si>
    <x:t>NMH.GA.AB</x:t>
  </x:si>
  <x:si>
    <x:t>- - - - - Endoscopic destruction of lesion of vagina</x:t>
  </x:si>
  <x:si>
    <x:t>http://id.who.int/icd/entity/1296461964</x:t>
  </x:si>
  <x:si>
    <x:t>http://id.who.int/icd/release/11/beta/ichi/1296461964</x:t>
  </x:si>
  <x:si>
    <x:t>NMH.GA.AC</x:t>
  </x:si>
  <x:si>
    <x:t>- - - - - Destruction of lesion of vagina</x:t>
  </x:si>
  <x:si>
    <x:t>http://id.who.int/icd/entity/1644595748</x:t>
  </x:si>
  <x:si>
    <x:t>http://id.who.int/icd/release/11/beta/ichi/1644595748</x:t>
  </x:si>
  <x:si>
    <x:t>NMH.JA.AC</x:t>
  </x:si>
  <x:si>
    <x:t>- - - - - Irrigation of vagina</x:t>
  </x:si>
  <x:si>
    <x:t>http://id.who.int/icd/entity/310649263</x:t>
  </x:si>
  <x:si>
    <x:t>http://id.who.int/icd/release/11/beta/ichi/310649263</x:t>
  </x:si>
  <x:si>
    <x:t>NMH.JB.AA</x:t>
  </x:si>
  <x:si>
    <x:t>- - - - - Drainage of vagina</x:t>
  </x:si>
  <x:si>
    <x:t>http://id.who.int/icd/entity/140816133</x:t>
  </x:si>
  <x:si>
    <x:t>http://id.who.int/icd/release/11/beta/ichi/140816133</x:t>
  </x:si>
  <x:si>
    <x:t>NMH.JB.AC</x:t>
  </x:si>
  <x:si>
    <x:t>- - - - - Transvaginal drainage of vagina</x:t>
  </x:si>
  <x:si>
    <x:t>http://id.who.int/icd/entity/656692651</x:t>
  </x:si>
  <x:si>
    <x:t>http://id.who.int/icd/release/11/beta/ichi/656692651</x:t>
  </x:si>
  <x:si>
    <x:t>NMH.JB.AE</x:t>
  </x:si>
  <x:si>
    <x:t>- - - - - Culdocentesis</x:t>
  </x:si>
  <x:si>
    <x:t>http://id.who.int/icd/entity/1772430592</x:t>
  </x:si>
  <x:si>
    <x:t>http://id.who.int/icd/release/11/beta/ichi/1772430592</x:t>
  </x:si>
  <x:si>
    <x:t>NMH.JD.AA</x:t>
  </x:si>
  <x:si>
    <x:t>- - - - - Removal of internal device or foreign body from vagina via abdominal approach</x:t>
  </x:si>
  <x:si>
    <x:t>http://id.who.int/icd/entity/644979497</x:t>
  </x:si>
  <x:si>
    <x:t>http://id.who.int/icd/release/11/beta/ichi/644979497</x:t>
  </x:si>
  <x:si>
    <x:t>NMH.JD.AC</x:t>
  </x:si>
  <x:si>
    <x:t>- - - - - Removal of internal device or foreign body from vagina</x:t>
  </x:si>
  <x:si>
    <x:t>http://id.who.int/icd/entity/154231175</x:t>
  </x:si>
  <x:si>
    <x:t>http://id.who.int/icd/release/11/beta/ichi/154231175</x:t>
  </x:si>
  <x:si>
    <x:t>NMH.JI.AA</x:t>
  </x:si>
  <x:si>
    <x:t>- - - - - Local excision of lesion of vagina</x:t>
  </x:si>
  <x:si>
    <x:t>http://id.who.int/icd/entity/754728005</x:t>
  </x:si>
  <x:si>
    <x:t>http://id.who.int/icd/release/11/beta/ichi/754728005</x:t>
  </x:si>
  <x:si>
    <x:t>NMH.JJ.AA</x:t>
  </x:si>
  <x:si>
    <x:t>- - - - - Partial vaginectomy</x:t>
  </x:si>
  <x:si>
    <x:t>http://id.who.int/icd/entity/373452963</x:t>
  </x:si>
  <x:si>
    <x:t>http://id.who.int/icd/release/11/beta/ichi/373452963</x:t>
  </x:si>
  <x:si>
    <x:t>NMH.JJ.AC</x:t>
  </x:si>
  <x:si>
    <x:t>- - - - - Hymenectomy</x:t>
  </x:si>
  <x:si>
    <x:t>http://id.who.int/icd/entity/1035934771</x:t>
  </x:si>
  <x:si>
    <x:t>http://id.who.int/icd/release/11/beta/ichi/1035934771</x:t>
  </x:si>
  <x:si>
    <x:t>NMH.JK.AA</x:t>
  </x:si>
  <x:si>
    <x:t>- - - - - Total vaginectomy via abdominal approach</x:t>
  </x:si>
  <x:si>
    <x:t>http://id.who.int/icd/entity/1444333622</x:t>
  </x:si>
  <x:si>
    <x:t>http://id.who.int/icd/release/11/beta/ichi/1444333622</x:t>
  </x:si>
  <x:si>
    <x:t>NMH.JK.AC</x:t>
  </x:si>
  <x:si>
    <x:t>- - - - - Transvaginal total vaginectomy</x:t>
  </x:si>
  <x:si>
    <x:t>http://id.who.int/icd/entity/1822983378</x:t>
  </x:si>
  <x:si>
    <x:t>http://id.who.int/icd/release/11/beta/ichi/1822983378</x:t>
  </x:si>
  <x:si>
    <x:t>NMH.JL.AA</x:t>
  </x:si>
  <x:si>
    <x:t>- - - - - Radical vaginectomy</x:t>
  </x:si>
  <x:si>
    <x:t>http://id.who.int/icd/entity/1771875116</x:t>
  </x:si>
  <x:si>
    <x:t>http://id.who.int/icd/release/11/beta/ichi/1771875116</x:t>
  </x:si>
  <x:si>
    <x:t>NMH.KA.AC</x:t>
  </x:si>
  <x:si>
    <x:t>- - - - - Replacement and refitting of vaginal device</x:t>
  </x:si>
  <x:si>
    <x:t>http://id.who.int/icd/entity/132425797</x:t>
  </x:si>
  <x:si>
    <x:t>http://id.who.int/icd/release/11/beta/ichi/132425797</x:t>
  </x:si>
  <x:si>
    <x:t>NMH.LA.AC</x:t>
  </x:si>
  <x:si>
    <x:t>- - - - - Obliteration of vaginal vault</x:t>
  </x:si>
  <x:si>
    <x:t>http://id.who.int/icd/entity/1394796492</x:t>
  </x:si>
  <x:si>
    <x:t>http://id.who.int/icd/release/11/beta/ichi/1394796492</x:t>
  </x:si>
  <x:si>
    <x:t>NMH.LC.AA</x:t>
  </x:si>
  <x:si>
    <x:t>- - - - - Vaginal suspension and fixation</x:t>
  </x:si>
  <x:si>
    <x:t>http://id.who.int/icd/entity/1120303054</x:t>
  </x:si>
  <x:si>
    <x:t>http://id.who.int/icd/release/11/beta/ichi/1120303054</x:t>
  </x:si>
  <x:si>
    <x:t>NMH.LC.AB</x:t>
  </x:si>
  <x:si>
    <x:t>- - - - - Laparoscopic vaginal suspension and fixation</x:t>
  </x:si>
  <x:si>
    <x:t>http://id.who.int/icd/entity/369113155</x:t>
  </x:si>
  <x:si>
    <x:t>http://id.who.int/icd/release/11/beta/ichi/369113155</x:t>
  </x:si>
  <x:si>
    <x:t>NMH.LC.AC</x:t>
  </x:si>
  <x:si>
    <x:t>- - - - - Vaginal suspension and fixation via transvaginal approach</x:t>
  </x:si>
  <x:si>
    <x:t>http://id.who.int/icd/entity/1930899336</x:t>
  </x:si>
  <x:si>
    <x:t>http://id.who.int/icd/release/11/beta/ichi/1930899336</x:t>
  </x:si>
  <x:si>
    <x:t>NMH.LG.AC</x:t>
  </x:si>
  <x:si>
    <x:t>- - - - - Dilatation of vagina</x:t>
  </x:si>
  <x:si>
    <x:t>http://id.who.int/icd/entity/1235837808</x:t>
  </x:si>
  <x:si>
    <x:t>http://id.who.int/icd/release/11/beta/ichi/1235837808</x:t>
  </x:si>
  <x:si>
    <x:t>NMH.MA.AA</x:t>
  </x:si>
  <x:si>
    <x:t>- - - - - Vaginal construction</x:t>
  </x:si>
  <x:si>
    <x:t>http://id.who.int/icd/entity/1649676288</x:t>
  </x:si>
  <x:si>
    <x:t>http://id.who.int/icd/release/11/beta/ichi/1649676288</x:t>
  </x:si>
  <x:si>
    <x:t>NMH.MK.AA</x:t>
  </x:si>
  <x:si>
    <x:t>- - - - - Repair of vagina</x:t>
  </x:si>
  <x:si>
    <x:t>http://id.who.int/icd/entity/1208081732</x:t>
  </x:si>
  <x:si>
    <x:t>http://id.who.int/icd/release/11/beta/ichi/1208081732</x:t>
  </x:si>
  <x:si>
    <x:t>NMH.MK.AB</x:t>
  </x:si>
  <x:si>
    <x:t>- - - - - Laparoscopic repair of vagina</x:t>
  </x:si>
  <x:si>
    <x:t>http://id.who.int/icd/entity/1499724506</x:t>
  </x:si>
  <x:si>
    <x:t>http://id.who.int/icd/release/11/beta/ichi/1499724506</x:t>
  </x:si>
  <x:si>
    <x:t>NMH.MK.AC</x:t>
  </x:si>
  <x:si>
    <x:t>- - - - - Repair of vagina via transvaginal approach</x:t>
  </x:si>
  <x:si>
    <x:t>http://id.who.int/icd/entity/866545551</x:t>
  </x:si>
  <x:si>
    <x:t>http://id.who.int/icd/release/11/beta/ichi/866545551</x:t>
  </x:si>
  <x:si>
    <x:t>NMH.ML.AA</x:t>
  </x:si>
  <x:si>
    <x:t>- - - - - Vaginal reconstruction via transabdominal approach</x:t>
  </x:si>
  <x:si>
    <x:t>http://id.who.int/icd/entity/1712087376</x:t>
  </x:si>
  <x:si>
    <x:t>http://id.who.int/icd/release/11/beta/ichi/1712087376</x:t>
  </x:si>
  <x:si>
    <x:t>NMH.ML.AB</x:t>
  </x:si>
  <x:si>
    <x:t>- - - - - Laparoscopic vaginal reconstruction</x:t>
  </x:si>
  <x:si>
    <x:t>http://id.who.int/icd/entity/423051855</x:t>
  </x:si>
  <x:si>
    <x:t>http://id.who.int/icd/release/11/beta/ichi/423051855</x:t>
  </x:si>
  <x:si>
    <x:t>NMH.ML.AC</x:t>
  </x:si>
  <x:si>
    <x:t>- - - - - Other vaginal reconstruction</x:t>
  </x:si>
  <x:si>
    <x:t>http://id.who.int/icd/entity/469986737</x:t>
  </x:si>
  <x:si>
    <x:t>http://id.who.int/icd/release/11/beta/ichi/469986737</x:t>
  </x:si>
  <x:si>
    <x:t>NMI.AD.AA</x:t>
  </x:si>
  <x:si>
    <x:t>- - - - - Biopsy of vulva</x:t>
  </x:si>
  <x:si>
    <x:t>http://id.who.int/icd/entity/1282978818</x:t>
  </x:si>
  <x:si>
    <x:t>http://id.who.int/icd/release/11/beta/ichi/1282978818</x:t>
  </x:si>
  <x:si>
    <x:t>NMI.AD.AE</x:t>
  </x:si>
  <x:si>
    <x:t>- - - - - Needle biopsy of vulva</x:t>
  </x:si>
  <x:si>
    <x:t>http://id.who.int/icd/entity/331015459</x:t>
  </x:si>
  <x:si>
    <x:t>http://id.who.int/icd/release/11/beta/ichi/331015459</x:t>
  </x:si>
  <x:si>
    <x:t>NMI.FA.AA</x:t>
  </x:si>
  <x:si>
    <x:t>- - - - - Other incision of vulva</x:t>
  </x:si>
  <x:si>
    <x:t>http://id.who.int/icd/entity/415169423</x:t>
  </x:si>
  <x:si>
    <x:t>http://id.who.int/icd/release/11/beta/ichi/415169423</x:t>
  </x:si>
  <x:si>
    <x:t>NMI.FC.AA</x:t>
  </x:si>
  <x:si>
    <x:t>- - - - - Release of vulva</x:t>
  </x:si>
  <x:si>
    <x:t>http://id.who.int/icd/entity/870590319</x:t>
  </x:si>
  <x:si>
    <x:t>http://id.who.int/icd/release/11/beta/ichi/870590319</x:t>
  </x:si>
  <x:si>
    <x:t>NMI.GA.AA</x:t>
  </x:si>
  <x:si>
    <x:t>- - - - - Destruction of vulva</x:t>
  </x:si>
  <x:si>
    <x:t>http://id.who.int/icd/entity/1671429856</x:t>
  </x:si>
  <x:si>
    <x:t>http://id.who.int/icd/release/11/beta/ichi/1671429856</x:t>
  </x:si>
  <x:si>
    <x:t>NMI.JB.AA</x:t>
  </x:si>
  <x:si>
    <x:t>- - - - - Drainage of vulva</x:t>
  </x:si>
  <x:si>
    <x:t>http://id.who.int/icd/entity/524716006</x:t>
  </x:si>
  <x:si>
    <x:t>http://id.who.int/icd/release/11/beta/ichi/524716006</x:t>
  </x:si>
  <x:si>
    <x:t>NMI.JB.AE</x:t>
  </x:si>
  <x:si>
    <x:t>- - - - - Percutaneous drainage of vulva</x:t>
  </x:si>
  <x:si>
    <x:t>http://id.who.int/icd/entity/1618846971</x:t>
  </x:si>
  <x:si>
    <x:t>http://id.who.int/icd/release/11/beta/ichi/1618846971</x:t>
  </x:si>
  <x:si>
    <x:t>NMI.JD.AA</x:t>
  </x:si>
  <x:si>
    <x:t>- - - - - Removal of foreign body from vulva with incision</x:t>
  </x:si>
  <x:si>
    <x:t>http://id.who.int/icd/entity/805731658</x:t>
  </x:si>
  <x:si>
    <x:t>http://id.who.int/icd/release/11/beta/ichi/805731658</x:t>
  </x:si>
  <x:si>
    <x:t>NMI.JD.AH</x:t>
  </x:si>
  <x:si>
    <x:t>- - - - - Removal of internal device or foreign body from vulva without incision</x:t>
  </x:si>
  <x:si>
    <x:t>http://id.who.int/icd/entity/1704930786</x:t>
  </x:si>
  <x:si>
    <x:t>http://id.who.int/icd/release/11/beta/ichi/1704930786</x:t>
  </x:si>
  <x:si>
    <x:t>NMI.JG.AA</x:t>
  </x:si>
  <x:si>
    <x:t>- - - - - Debridement of vulva</x:t>
  </x:si>
  <x:si>
    <x:t>http://id.who.int/icd/entity/892490420</x:t>
  </x:si>
  <x:si>
    <x:t>http://id.who.int/icd/release/11/beta/ichi/892490420</x:t>
  </x:si>
  <x:si>
    <x:t>NMI.JI.AA</x:t>
  </x:si>
  <x:si>
    <x:t>- - - - - Local excision of lesion of vulva</x:t>
  </x:si>
  <x:si>
    <x:t>http://id.who.int/icd/entity/1794114455</x:t>
  </x:si>
  <x:si>
    <x:t>http://id.who.int/icd/release/11/beta/ichi/1794114455</x:t>
  </x:si>
  <x:si>
    <x:t>NMI.JJ.AA</x:t>
  </x:si>
  <x:si>
    <x:t>- - - - - Partial vulvectomy</x:t>
  </x:si>
  <x:si>
    <x:t>http://id.who.int/icd/entity/982243878</x:t>
  </x:si>
  <x:si>
    <x:t>http://id.who.int/icd/release/11/beta/ichi/982243878</x:t>
  </x:si>
  <x:si>
    <x:t>NMI.JK.AA</x:t>
  </x:si>
  <x:si>
    <x:t>- - - - - Total vulvectomy</x:t>
  </x:si>
  <x:si>
    <x:t>http://id.who.int/icd/entity/1062866248</x:t>
  </x:si>
  <x:si>
    <x:t>http://id.who.int/icd/release/11/beta/ichi/1062866248</x:t>
  </x:si>
  <x:si>
    <x:t>NMI.JL.AA</x:t>
  </x:si>
  <x:si>
    <x:t>- - - - - Radical vulvectomy</x:t>
  </x:si>
  <x:si>
    <x:t>http://id.who.int/icd/entity/820217306</x:t>
  </x:si>
  <x:si>
    <x:t>http://id.who.int/icd/release/11/beta/ichi/820217306</x:t>
  </x:si>
  <x:si>
    <x:t>NMI.JN.AA</x:t>
  </x:si>
  <x:si>
    <x:t>- - - - - Amputation of clitoris</x:t>
  </x:si>
  <x:si>
    <x:t>http://id.who.int/icd/entity/1080110679</x:t>
  </x:si>
  <x:si>
    <x:t>http://id.who.int/icd/release/11/beta/ichi/1080110679</x:t>
  </x:si>
  <x:si>
    <x:t>NMI.MA.AA</x:t>
  </x:si>
  <x:si>
    <x:t>- - - - - Construction of external female genitalia</x:t>
  </x:si>
  <x:si>
    <x:t>http://id.who.int/icd/entity/903326244</x:t>
  </x:si>
  <x:si>
    <x:t>http://id.who.int/icd/release/11/beta/ichi/903326244</x:t>
  </x:si>
  <x:si>
    <x:t>NMI.MK.AA</x:t>
  </x:si>
  <x:si>
    <x:t>- - - - - Repair of vulva</x:t>
  </x:si>
  <x:si>
    <x:t>http://id.who.int/icd/entity/1595031411</x:t>
  </x:si>
  <x:si>
    <x:t>http://id.who.int/icd/release/11/beta/ichi/1595031411</x:t>
  </x:si>
  <x:si>
    <x:t>NMI.ML.AA</x:t>
  </x:si>
  <x:si>
    <x:t>- - - - - Repair of vulva using graft or other biosynthetic material</x:t>
  </x:si>
  <x:si>
    <x:t>http://id.who.int/icd/entity/1342965649</x:t>
  </x:si>
  <x:si>
    <x:t>http://id.who.int/icd/release/11/beta/ichi/1342965649</x:t>
  </x:si>
  <x:si>
    <x:t>NMM.AD.AD</x:t>
  </x:si>
  <x:si>
    <x:t>- - - - - Biopsy of placenta</x:t>
  </x:si>
  <x:si>
    <x:t>http://id.who.int/icd/entity/2079419137</x:t>
  </x:si>
  <x:si>
    <x:t>http://id.who.int/icd/release/11/beta/ichi/2079419137</x:t>
  </x:si>
  <x:si>
    <x:t>NMM.AE.AE</x:t>
  </x:si>
  <x:si>
    <x:t>- - - - - Amnioscopy</x:t>
  </x:si>
  <x:si>
    <x:t>http://id.who.int/icd/entity/983734472</x:t>
  </x:si>
  <x:si>
    <x:t>http://id.who.int/icd/release/11/beta/ichi/983734472</x:t>
  </x:si>
  <x:si>
    <x:t>NMM.AH.AE</x:t>
  </x:si>
  <x:si>
    <x:t>- - - - - Amniocentesis</x:t>
  </x:si>
  <x:si>
    <x:t>http://id.who.int/icd/entity/1014520160</x:t>
  </x:si>
  <x:si>
    <x:t>http://id.who.int/icd/release/11/beta/ichi/1014520160</x:t>
  </x:si>
  <x:si>
    <x:t>NMM.AH.XE</x:t>
  </x:si>
  <x:si>
    <x:t>- - - - - Fluid specimen collection from placenta, amnion or cord</x:t>
  </x:si>
  <x:si>
    <x:t>http://id.who.int/icd/entity/1790069623</x:t>
  </x:si>
  <x:si>
    <x:t>http://id.who.int/icd/release/11/beta/ichi/1790069623</x:t>
  </x:si>
  <x:si>
    <x:t>NMM.AH.XH</x:t>
  </x:si>
  <x:si>
    <x:t>- - - - - Tissue specimen collection from placenta, amnion or cord</x:t>
  </x:si>
  <x:si>
    <x:t>http://id.who.int/icd/entity/171603839</x:t>
  </x:si>
  <x:si>
    <x:t>http://id.who.int/icd/release/11/beta/ichi/171603839</x:t>
  </x:si>
  <x:si>
    <x:t>NMM.DB.AC</x:t>
  </x:si>
  <x:si>
    <x:t>- - - - - Transcervical amnioinfusion</x:t>
  </x:si>
  <x:si>
    <x:t>http://id.who.int/icd/entity/1167702999</x:t>
  </x:si>
  <x:si>
    <x:t>http://id.who.int/icd/release/11/beta/ichi/1167702999</x:t>
  </x:si>
  <x:si>
    <x:t>NMM.DB.AE</x:t>
  </x:si>
  <x:si>
    <x:t>- - - - - Injection or infusion into amnion</x:t>
  </x:si>
  <x:si>
    <x:t>http://id.who.int/icd/entity/1066841910</x:t>
  </x:si>
  <x:si>
    <x:t>http://id.who.int/icd/release/11/beta/ichi/1066841910</x:t>
  </x:si>
  <x:si>
    <x:t>NMM.FA.AC</x:t>
  </x:si>
  <x:si>
    <x:t>- - - - - Surgical induction of labour</x:t>
  </x:si>
  <x:si>
    <x:t>http://id.who.int/icd/entity/1877831303</x:t>
  </x:si>
  <x:si>
    <x:t>http://id.who.int/icd/release/11/beta/ichi/1877831303</x:t>
  </x:si>
  <x:si>
    <x:t>NMM.GA.AB</x:t>
  </x:si>
  <x:si>
    <x:t>- - - - - Endoscopic destruction of vessels of placenta</x:t>
  </x:si>
  <x:si>
    <x:t>http://id.who.int/icd/entity/977756248</x:t>
  </x:si>
  <x:si>
    <x:t>http://id.who.int/icd/release/11/beta/ichi/977756248</x:t>
  </x:si>
  <x:si>
    <x:t>NMM.JB.AC</x:t>
  </x:si>
  <x:si>
    <x:t>- - - - - Drainage of amniotic sac to decrease fluid volume via transcervical approach</x:t>
  </x:si>
  <x:si>
    <x:t>http://id.who.int/icd/entity/536895106</x:t>
  </x:si>
  <x:si>
    <x:t>http://id.who.int/icd/release/11/beta/ichi/536895106</x:t>
  </x:si>
  <x:si>
    <x:t>NMM.JB.AE</x:t>
  </x:si>
  <x:si>
    <x:t>- - - - - Percutaneous drainage of amniotic sac to decrease fluid volume</x:t>
  </x:si>
  <x:si>
    <x:t>http://id.who.int/icd/entity/721698864</x:t>
  </x:si>
  <x:si>
    <x:t>http://id.who.int/icd/release/11/beta/ichi/721698864</x:t>
  </x:si>
  <x:si>
    <x:t>NMM.JB.ZZ</x:t>
  </x:si>
  <x:si>
    <x:t>- - - - - Drainage of amniotic sac to decrease fluid volume, not elsewhere classified</x:t>
  </x:si>
  <x:si>
    <x:t>http://id.who.int/icd/entity/1438046961</x:t>
  </x:si>
  <x:si>
    <x:t>http://id.who.int/icd/release/11/beta/ichi/1438046961</x:t>
  </x:si>
  <x:si>
    <x:t>NMM.JE.AC</x:t>
  </x:si>
  <x:si>
    <x:t>- - - - - Manual removal of retained placenta</x:t>
  </x:si>
  <x:si>
    <x:t>http://id.who.int/icd/entity/713947630</x:t>
  </x:si>
  <x:si>
    <x:t>http://id.who.int/icd/release/11/beta/ichi/713947630</x:t>
  </x:si>
  <x:si>
    <x:t>NMM.JH.AF</x:t>
  </x:si>
  <x:si>
    <x:t>- - - - - Procurement of cord blood</x:t>
  </x:si>
  <x:si>
    <x:t>http://id.who.int/icd/entity/1089461449</x:t>
  </x:si>
  <x:si>
    <x:t>http://id.who.int/icd/release/11/beta/ichi/1089461449</x:t>
  </x:si>
  <x:si>
    <x:t>NMM.JK.AH</x:t>
  </x:si>
  <x:si>
    <x:t>- - - - - Umbilical cord excision</x:t>
  </x:si>
  <x:si>
    <x:t>http://id.who.int/icd/entity/278136184</x:t>
  </x:si>
  <x:si>
    <x:t>http://id.who.int/icd/release/11/beta/ichi/278136184</x:t>
  </x:si>
  <x:si>
    <x:t>NMM.LA.AH</x:t>
  </x:si>
  <x:si>
    <x:t>- - - - - Umbilical cord clamping</x:t>
  </x:si>
  <x:si>
    <x:t>http://id.who.int/icd/entity/1331057755</x:t>
  </x:si>
  <x:si>
    <x:t>http://id.who.int/icd/release/11/beta/ichi/1331057755</x:t>
  </x:si>
  <x:si>
    <x:t>NMM.LD.AC</x:t>
  </x:si>
  <x:si>
    <x:t>- - - - - Replacement of prolapsed umbilical cord</x:t>
  </x:si>
  <x:si>
    <x:t>http://id.who.int/icd/entity/1688942795</x:t>
  </x:si>
  <x:si>
    <x:t>http://id.who.int/icd/release/11/beta/ichi/1688942795</x:t>
  </x:si>
  <x:si>
    <x:t>NMM.SI.AC</x:t>
  </x:si>
  <x:si>
    <x:t>- - - - - Failed forceps or vacuum extraction</x:t>
  </x:si>
  <x:si>
    <x:t>http://id.who.int/icd/entity/193393952</x:t>
  </x:si>
  <x:si>
    <x:t>http://id.who.int/icd/release/11/beta/ichi/193393952</x:t>
  </x:si>
  <x:si>
    <x:t>NMR.AA.ZZ</x:t>
  </x:si>
  <x:si>
    <x:t>- - - - - Assessment of fetal or embryonic structure</x:t>
  </x:si>
  <x:si>
    <x:t>http://id.who.int/icd/entity/1413784579</x:t>
  </x:si>
  <x:si>
    <x:t>http://id.who.int/icd/release/11/beta/ichi/1413784579</x:t>
  </x:si>
  <x:si>
    <x:t>NMR.AD.AD</x:t>
  </x:si>
  <x:si>
    <x:t>- - - - - Biopsy of fetal structures</x:t>
  </x:si>
  <x:si>
    <x:t>http://id.who.int/icd/entity/351659012</x:t>
  </x:si>
  <x:si>
    <x:t>http://id.who.int/icd/release/11/beta/ichi/351659012</x:t>
  </x:si>
  <x:si>
    <x:t>NMR.AE.AB</x:t>
  </x:si>
  <x:si>
    <x:t>- - - - - Transabdominal inspection of fetal structures</x:t>
  </x:si>
  <x:si>
    <x:t>http://id.who.int/icd/entity/1517589841</x:t>
  </x:si>
  <x:si>
    <x:t>http://id.who.int/icd/release/11/beta/ichi/1517589841</x:t>
  </x:si>
  <x:si>
    <x:t>NMR.AE.AD</x:t>
  </x:si>
  <x:si>
    <x:t>- - - - - Transcervical inspection of fetal structures</x:t>
  </x:si>
  <x:si>
    <x:t>http://id.who.int/icd/entity/776710372</x:t>
  </x:si>
  <x:si>
    <x:t>http://id.who.int/icd/release/11/beta/ichi/776710372</x:t>
  </x:si>
  <x:si>
    <x:t>NMR.AI.AC</x:t>
  </x:si>
  <x:si>
    <x:t>- - - - - Internal fetal monitoring</x:t>
  </x:si>
  <x:si>
    <x:t>http://id.who.int/icd/entity/215430514</x:t>
  </x:si>
  <x:si>
    <x:t>http://id.who.int/icd/release/11/beta/ichi/215430514</x:t>
  </x:si>
  <x:si>
    <x:t>NMR.BA.AC</x:t>
  </x:si>
  <x:si>
    <x:t>- - - - - Transvaginal ultrasound of fetal structure</x:t>
  </x:si>
  <x:si>
    <x:t>http://id.who.int/icd/entity/211682719</x:t>
  </x:si>
  <x:si>
    <x:t>http://id.who.int/icd/release/11/beta/ichi/211682719</x:t>
  </x:si>
  <x:si>
    <x:t>NMR.BA.BH</x:t>
  </x:si>
  <x:si>
    <x:t>- - - - - Magnetic resonance imaging of fetal structures</x:t>
  </x:si>
  <x:si>
    <x:t>http://id.who.int/icd/entity/81429794</x:t>
  </x:si>
  <x:si>
    <x:t>http://id.who.int/icd/release/11/beta/ichi/81429794</x:t>
  </x:si>
  <x:si>
    <x:t>NMR.BA.BJ</x:t>
  </x:si>
  <x:si>
    <x:t>- - - - - Ultrasound of fetal structure, not elsewhere classified</x:t>
  </x:si>
  <x:si>
    <x:t>http://id.who.int/icd/entity/1147913509</x:t>
  </x:si>
  <x:si>
    <x:t>http://id.who.int/icd/release/11/beta/ichi/1147913509</x:t>
  </x:si>
  <x:si>
    <x:t>NMR.DB.AE</x:t>
  </x:si>
  <x:si>
    <x:t>- - - - - Injection into fetus or embryonic structure</x:t>
  </x:si>
  <x:si>
    <x:t>http://id.who.int/icd/entity/705939020</x:t>
  </x:si>
  <x:si>
    <x:t>http://id.who.int/icd/release/11/beta/ichi/705939020</x:t>
  </x:si>
  <x:si>
    <x:t>NMR.DG.AE</x:t>
  </x:si>
  <x:si>
    <x:t>- - - - - Fetal infusion</x:t>
  </x:si>
  <x:si>
    <x:t>http://id.who.int/icd/entity/1580006399</x:t>
  </x:si>
  <x:si>
    <x:t>http://id.who.int/icd/release/11/beta/ichi/1580006399</x:t>
  </x:si>
  <x:si>
    <x:t>NMR.GA.AC</x:t>
  </x:si>
  <x:si>
    <x:t>- - - - - Destruction of fetus to facilitate delivery</x:t>
  </x:si>
  <x:si>
    <x:t>http://id.who.int/icd/entity/1362281245</x:t>
  </x:si>
  <x:si>
    <x:t>http://id.who.int/icd/release/11/beta/ichi/1362281245</x:t>
  </x:si>
  <x:si>
    <x:t>NMR.JF.AA</x:t>
  </x:si>
  <x:si>
    <x:t>- - - - - Removal of ectopic pregnancy</x:t>
  </x:si>
  <x:si>
    <x:t>http://id.who.int/icd/entity/621674160</x:t>
  </x:si>
  <x:si>
    <x:t>http://id.who.int/icd/release/11/beta/ichi/621674160</x:t>
  </x:si>
  <x:si>
    <x:t>NMR.JF.AB</x:t>
  </x:si>
  <x:si>
    <x:t>- - - - - Laparoscopic removal of ectopic pregnancy</x:t>
  </x:si>
  <x:si>
    <x:t>http://id.who.int/icd/entity/19009698</x:t>
  </x:si>
  <x:si>
    <x:t>http://id.who.int/icd/release/11/beta/ichi/19009698</x:t>
  </x:si>
  <x:si>
    <x:t>NMR.LD.AC</x:t>
  </x:si>
  <x:si>
    <x:t>- - - - - Rotation of fetus</x:t>
  </x:si>
  <x:si>
    <x:t>http://id.who.int/icd/entity/823261994</x:t>
  </x:si>
  <x:si>
    <x:t>http://id.who.int/icd/release/11/beta/ichi/823261994</x:t>
  </x:si>
  <x:si>
    <x:t>NMR.LD.AH</x:t>
  </x:si>
  <x:si>
    <x:t>- - - - - External version of fetus</x:t>
  </x:si>
  <x:si>
    <x:t>http://id.who.int/icd/entity/1051227068</x:t>
  </x:si>
  <x:si>
    <x:t>http://id.who.int/icd/release/11/beta/ichi/1051227068</x:t>
  </x:si>
  <x:si>
    <x:t>NMR.LG.AF</x:t>
  </x:si>
  <x:si>
    <x:t>- - - - - Percutaneous dilatation of fetal heart valve</x:t>
  </x:si>
  <x:si>
    <x:t>http://id.who.int/icd/entity/997827798</x:t>
  </x:si>
  <x:si>
    <x:t>http://id.who.int/icd/release/11/beta/ichi/997827798</x:t>
  </x:si>
  <x:si>
    <x:t>NMS.AA.ZZ</x:t>
  </x:si>
  <x:si>
    <x:t>- - - - - Assessment of female genital system, not elsewhere classified</x:t>
  </x:si>
  <x:si>
    <x:t>http://id.who.int/icd/entity/1795325285</x:t>
  </x:si>
  <x:si>
    <x:t>http://id.who.int/icd/release/11/beta/ichi/1795325285</x:t>
  </x:si>
  <x:si>
    <x:t>NMS.AE.AC</x:t>
  </x:si>
  <x:si>
    <x:t>- - - - - Gynaecological internal examination, not elsewhere classified</x:t>
  </x:si>
  <x:si>
    <x:t>http://id.who.int/icd/entity/1690039799</x:t>
  </x:si>
  <x:si>
    <x:t>http://id.who.int/icd/release/11/beta/ichi/1690039799</x:t>
  </x:si>
  <x:si>
    <x:t>NMS.AE.AH</x:t>
  </x:si>
  <x:si>
    <x:t>- - - - - Gynaecological external examination, not elsewhere classified</x:t>
  </x:si>
  <x:si>
    <x:t>http://id.who.int/icd/entity/1412094537</x:t>
  </x:si>
  <x:si>
    <x:t>http://id.who.int/icd/release/11/beta/ichi/1412094537</x:t>
  </x:si>
  <x:si>
    <x:t>NMS.BA.AC</x:t>
  </x:si>
  <x:si>
    <x:t>- - - - - Ultrasound of female genital tract, not elsewhere classified, per orifice</x:t>
  </x:si>
  <x:si>
    <x:t>http://id.who.int/icd/entity/1636817417</x:t>
  </x:si>
  <x:si>
    <x:t>http://id.who.int/icd/release/11/beta/ichi/1636817417</x:t>
  </x:si>
  <x:si>
    <x:t>NMS.BA.BA</x:t>
  </x:si>
  <x:si>
    <x:t>- - - - - X-ray of female genital organs, not elsewhere classified</x:t>
  </x:si>
  <x:si>
    <x:t>http://id.who.int/icd/entity/1045269292</x:t>
  </x:si>
  <x:si>
    <x:t>http://id.who.int/icd/release/11/beta/ichi/1045269292</x:t>
  </x:si>
  <x:si>
    <x:t>NMS.BA.BJ</x:t>
  </x:si>
  <x:si>
    <x:t>- - - - - Ultrasound of female genital tract, not elsewhere classified</x:t>
  </x:si>
  <x:si>
    <x:t>http://id.who.int/icd/entity/1412410893</x:t>
  </x:si>
  <x:si>
    <x:t>http://id.who.int/icd/release/11/beta/ichi/1412410893</x:t>
  </x:si>
  <x:si>
    <x:t>NMS.JD.AC</x:t>
  </x:si>
  <x:si>
    <x:t>- - - - - Removal of internal device or foreign body from female genital tract, not elsewhere classified</x:t>
  </x:si>
  <x:si>
    <x:t>http://id.who.int/icd/entity/447668056</x:t>
  </x:si>
  <x:si>
    <x:t>http://id.who.int/icd/release/11/beta/ichi/447668056</x:t>
  </x:si>
  <x:si>
    <x:t>BlockL4-NT2</x:t>
  </x:si>
  <x:si>
    <x:t>- - - - Interventions on urinary functions</x:t>
  </x:si>
  <x:si>
    <x:t>http://id.who.int/icd/entity/615318912</x:t>
  </x:si>
  <x:si>
    <x:t>http://id.who.int/icd/release/11/beta/ichi/615318912</x:t>
  </x:si>
  <x:si>
    <x:t>NT2.AA.ZZ</x:t>
  </x:si>
  <x:si>
    <x:t>- - - - - Assessment of urinary functions, not elsewhere classified</x:t>
  </x:si>
  <x:si>
    <x:t>http://id.who.int/icd/entity/497686003</x:t>
  </x:si>
  <x:si>
    <x:t>http://id.who.int/icd/release/11/beta/ichi/497686003</x:t>
  </x:si>
  <x:si>
    <x:t>NT2.AC.ZZ</x:t>
  </x:si>
  <x:si>
    <x:t>- - - - - Test of urinary functions, not elsewhere classified</x:t>
  </x:si>
  <x:si>
    <x:t>http://id.who.int/icd/entity/1943148186</x:t>
  </x:si>
  <x:si>
    <x:t>http://id.who.int/icd/release/11/beta/ichi/1943148186</x:t>
  </x:si>
  <x:si>
    <x:t>NT2.AM.ZZ</x:t>
  </x:si>
  <x:si>
    <x:t>- - - - - Observation of urinary functions, not elsewhere classified</x:t>
  </x:si>
  <x:si>
    <x:t>http://id.who.int/icd/entity/1114129616</x:t>
  </x:si>
  <x:si>
    <x:t>http://id.who.int/icd/release/11/beta/ichi/1114129616</x:t>
  </x:si>
  <x:si>
    <x:t>NT2.PG.ZZ</x:t>
  </x:si>
  <x:si>
    <x:t>- - - - - Assisting and leading exercise for urinary functions, not elsewhere classified</x:t>
  </x:si>
  <x:si>
    <x:t>http://id.who.int/icd/entity/1918611292</x:t>
  </x:si>
  <x:si>
    <x:t>http://id.who.int/icd/release/11/beta/ichi/1918611292</x:t>
  </x:si>
  <x:si>
    <x:t>NT2.PH.ZZ</x:t>
  </x:si>
  <x:si>
    <x:t>- - - - - Training of urinary functions, not elsewhere classified</x:t>
  </x:si>
  <x:si>
    <x:t>http://id.who.int/icd/entity/2036314614</x:t>
  </x:si>
  <x:si>
    <x:t>http://id.who.int/icd/release/11/beta/ichi/2036314614</x:t>
  </x:si>
  <x:si>
    <x:t>NT2.PM.ZZ</x:t>
  </x:si>
  <x:si>
    <x:t>- - - - - Education about urinary functions, not elsewhere classified</x:t>
  </x:si>
  <x:si>
    <x:t>http://id.who.int/icd/entity/765066873</x:t>
  </x:si>
  <x:si>
    <x:t>http://id.who.int/icd/release/11/beta/ichi/765066873</x:t>
  </x:si>
  <x:si>
    <x:t>NT2.PN.ZZ</x:t>
  </x:si>
  <x:si>
    <x:t>- - - - - Advising about urinary functions, not elsewhere classified</x:t>
  </x:si>
  <x:si>
    <x:t>http://id.who.int/icd/entity/145840939</x:t>
  </x:si>
  <x:si>
    <x:t>http://id.who.int/icd/release/11/beta/ichi/145840939</x:t>
  </x:si>
  <x:si>
    <x:t>NT2.PP.ZZ</x:t>
  </x:si>
  <x:si>
    <x:t>- - - - - Counselling for urinary functions, not elsewhere classified</x:t>
  </x:si>
  <x:si>
    <x:t>http://id.who.int/icd/entity/670146949</x:t>
  </x:si>
  <x:si>
    <x:t>http://id.who.int/icd/release/11/beta/ichi/670146949</x:t>
  </x:si>
  <x:si>
    <x:t>NT2.PQ.ZZ</x:t>
  </x:si>
  <x:si>
    <x:t>- - - - - Psychotherapy for urinary functions, not elsewhere classified</x:t>
  </x:si>
  <x:si>
    <x:t>http://id.who.int/icd/entity/1467157000</x:t>
  </x:si>
  <x:si>
    <x:t>http://id.who.int/icd/release/11/beta/ichi/1467157000</x:t>
  </x:si>
  <x:si>
    <x:t>NT2.RB.ZZ</x:t>
  </x:si>
  <x:si>
    <x:t>- - - - - Practical support with urinary functions, not elsewhere classified</x:t>
  </x:si>
  <x:si>
    <x:t>http://id.who.int/icd/entity/1380394486</x:t>
  </x:si>
  <x:si>
    <x:t>http://id.who.int/icd/release/11/beta/ichi/1380394486</x:t>
  </x:si>
  <x:si>
    <x:t>NT2.RC.ZZ</x:t>
  </x:si>
  <x:si>
    <x:t>- - - - - Emotional support for urinary functions, not elsewhere classified</x:t>
  </x:si>
  <x:si>
    <x:t>http://id.who.int/icd/entity/763102953</x:t>
  </x:si>
  <x:si>
    <x:t>http://id.who.int/icd/release/11/beta/ichi/763102953</x:t>
  </x:si>
  <x:si>
    <x:t>NTC.AA.ZZ</x:t>
  </x:si>
  <x:si>
    <x:t>- - - - - Assessment of urinary excretory functions</x:t>
  </x:si>
  <x:si>
    <x:t>http://id.who.int/icd/entity/1124337026</x:t>
  </x:si>
  <x:si>
    <x:t>http://id.who.int/icd/release/11/beta/ichi/1124337026</x:t>
  </x:si>
  <x:si>
    <x:t>NTC.AB.ZZ</x:t>
  </x:si>
  <x:si>
    <x:t>- - - - - Measurement of urinary excretory functions</x:t>
  </x:si>
  <x:si>
    <x:t>http://id.who.int/icd/entity/1566121238</x:t>
  </x:si>
  <x:si>
    <x:t>http://id.who.int/icd/release/11/beta/ichi/1566121238</x:t>
  </x:si>
  <x:si>
    <x:t>NTD.AA.ZZ</x:t>
  </x:si>
  <x:si>
    <x:t>- - - - - Assessment of urination functions</x:t>
  </x:si>
  <x:si>
    <x:t>http://id.who.int/icd/entity/766557335</x:t>
  </x:si>
  <x:si>
    <x:t>http://id.who.int/icd/release/11/beta/ichi/766557335</x:t>
  </x:si>
  <x:si>
    <x:t>NTD.AM.ZZ</x:t>
  </x:si>
  <x:si>
    <x:t>- - - - - Observation of urination function</x:t>
  </x:si>
  <x:si>
    <x:t>http://id.who.int/icd/entity/571028485</x:t>
  </x:si>
  <x:si>
    <x:t>http://id.who.int/icd/release/11/beta/ichi/571028485</x:t>
  </x:si>
  <x:si>
    <x:t>NTD.PG.ZZ</x:t>
  </x:si>
  <x:si>
    <x:t>- - - - - Assisting and leading exercise for urination functions</x:t>
  </x:si>
  <x:si>
    <x:t>http://id.who.int/icd/entity/1820869968</x:t>
  </x:si>
  <x:si>
    <x:t>http://id.who.int/icd/release/11/beta/ichi/1820869968</x:t>
  </x:si>
  <x:si>
    <x:t>NTD.PH.ZZ</x:t>
  </x:si>
  <x:si>
    <x:t>- - - - - Training for urination functions</x:t>
  </x:si>
  <x:si>
    <x:t>http://id.who.int/icd/entity/1471083601</x:t>
  </x:si>
  <x:si>
    <x:t>http://id.who.int/icd/release/11/beta/ichi/1471083601</x:t>
  </x:si>
  <x:si>
    <x:t>NTD.PM.ZZ</x:t>
  </x:si>
  <x:si>
    <x:t>- - - - - Education about urination functions</x:t>
  </x:si>
  <x:si>
    <x:t>http://id.who.int/icd/entity/851684787</x:t>
  </x:si>
  <x:si>
    <x:t>http://id.who.int/icd/release/11/beta/ichi/851684787</x:t>
  </x:si>
  <x:si>
    <x:t>NTD.PN.ZZ</x:t>
  </x:si>
  <x:si>
    <x:t>- - - - - Advising about urination functions</x:t>
  </x:si>
  <x:si>
    <x:t>http://id.who.int/icd/entity/1308135084</x:t>
  </x:si>
  <x:si>
    <x:t>http://id.who.int/icd/release/11/beta/ichi/1308135084</x:t>
  </x:si>
  <x:si>
    <x:t>NTD.ZZ.ZZ</x:t>
  </x:si>
  <x:si>
    <x:t>- - - - - Other interventions on urination function, not elsewhere classified</x:t>
  </x:si>
  <x:si>
    <x:t>http://id.who.int/icd/entity/2100207032</x:t>
  </x:si>
  <x:si>
    <x:t>http://id.who.int/icd/release/11/beta/ichi/2100207032</x:t>
  </x:si>
  <x:si>
    <x:t>BlockL4-NUA</x:t>
  </x:si>
  <x:si>
    <x:t>- - - - Interventions on genital or reproductive functions</x:t>
  </x:si>
  <x:si>
    <x:t>http://id.who.int/icd/entity/1574432650</x:t>
  </x:si>
  <x:si>
    <x:t>http://id.who.int/icd/release/11/beta/ichi/1574432650</x:t>
  </x:si>
  <x:si>
    <x:t>NUA.AA.ZZ</x:t>
  </x:si>
  <x:si>
    <x:t>- - - - - Assessment of sexual functions</x:t>
  </x:si>
  <x:si>
    <x:t>http://id.who.int/icd/entity/1290039074</x:t>
  </x:si>
  <x:si>
    <x:t>http://id.who.int/icd/release/11/beta/ichi/1290039074</x:t>
  </x:si>
  <x:si>
    <x:t>NUA.AC.ZZ</x:t>
  </x:si>
  <x:si>
    <x:t>- - - - - Test of sexual functions</x:t>
  </x:si>
  <x:si>
    <x:t>http://id.who.int/icd/entity/961735507</x:t>
  </x:si>
  <x:si>
    <x:t>http://id.who.int/icd/release/11/beta/ichi/961735507</x:t>
  </x:si>
  <x:si>
    <x:t>NUA.AN.ZZ</x:t>
  </x:si>
  <x:si>
    <x:t>- - - - - Interview for sexual functions</x:t>
  </x:si>
  <x:si>
    <x:t>http://id.who.int/icd/entity/1200673104</x:t>
  </x:si>
  <x:si>
    <x:t>http://id.who.int/icd/release/11/beta/ichi/1200673104</x:t>
  </x:si>
  <x:si>
    <x:t>NUA.PH.ZZ</x:t>
  </x:si>
  <x:si>
    <x:t>- - - - - Training for sexual functions</x:t>
  </x:si>
  <x:si>
    <x:t>http://id.who.int/icd/entity/2007186140</x:t>
  </x:si>
  <x:si>
    <x:t>http://id.who.int/icd/release/11/beta/ichi/2007186140</x:t>
  </x:si>
  <x:si>
    <x:t>NUA.PM.ZZ</x:t>
  </x:si>
  <x:si>
    <x:t>- - - - - Education about sexual functions</x:t>
  </x:si>
  <x:si>
    <x:t>http://id.who.int/icd/entity/2091328630</x:t>
  </x:si>
  <x:si>
    <x:t>http://id.who.int/icd/release/11/beta/ichi/2091328630</x:t>
  </x:si>
  <x:si>
    <x:t>NUA.PN.ZZ</x:t>
  </x:si>
  <x:si>
    <x:t>- - - - - Advising about sexual functions</x:t>
  </x:si>
  <x:si>
    <x:t>http://id.who.int/icd/entity/677473273</x:t>
  </x:si>
  <x:si>
    <x:t>http://id.who.int/icd/release/11/beta/ichi/677473273</x:t>
  </x:si>
  <x:si>
    <x:t>NUA.PP.ZZ</x:t>
  </x:si>
  <x:si>
    <x:t>- - - - - Counselling for sexual functions</x:t>
  </x:si>
  <x:si>
    <x:t>http://id.who.int/icd/entity/309892975</x:t>
  </x:si>
  <x:si>
    <x:t>http://id.who.int/icd/release/11/beta/ichi/309892975</x:t>
  </x:si>
  <x:si>
    <x:t>NUA.PQ.ZZ</x:t>
  </x:si>
  <x:si>
    <x:t>- - - - - Psychotherapy for sexual functions</x:t>
  </x:si>
  <x:si>
    <x:t>http://id.who.int/icd/entity/313493443</x:t>
  </x:si>
  <x:si>
    <x:t>http://id.who.int/icd/release/11/beta/ichi/313493443</x:t>
  </x:si>
  <x:si>
    <x:t>NUA.RE.ZZ</x:t>
  </x:si>
  <x:si>
    <x:t>- - - - - Providing peer support for sexual functions</x:t>
  </x:si>
  <x:si>
    <x:t>http://id.who.int/icd/entity/1027108289</x:t>
  </x:si>
  <x:si>
    <x:t>http://id.who.int/icd/release/11/beta/ichi/1027108289</x:t>
  </x:si>
  <x:si>
    <x:t>NUB.AA.ZZ</x:t>
  </x:si>
  <x:si>
    <x:t>- - - - - Assessment of menstruation functions</x:t>
  </x:si>
  <x:si>
    <x:t>http://id.who.int/icd/entity/1304086094</x:t>
  </x:si>
  <x:si>
    <x:t>http://id.who.int/icd/release/11/beta/ichi/1304086094</x:t>
  </x:si>
  <x:si>
    <x:t>NUB.PM.ZZ</x:t>
  </x:si>
  <x:si>
    <x:t>- - - - - Education about menstruation</x:t>
  </x:si>
  <x:si>
    <x:t>http://id.who.int/icd/entity/691487329</x:t>
  </x:si>
  <x:si>
    <x:t>http://id.who.int/icd/release/11/beta/ichi/691487329</x:t>
  </x:si>
  <x:si>
    <x:t>NUD.AA.ZZ</x:t>
  </x:si>
  <x:si>
    <x:t>- - - - - Assessment of functions related to fertility</x:t>
  </x:si>
  <x:si>
    <x:t>http://id.who.int/icd/entity/1511360497</x:t>
  </x:si>
  <x:si>
    <x:t>http://id.who.int/icd/release/11/beta/ichi/1511360497</x:t>
  </x:si>
  <x:si>
    <x:t>NUD.PH.ZZ</x:t>
  </x:si>
  <x:si>
    <x:t>- - - - - Training for functions related to fertility</x:t>
  </x:si>
  <x:si>
    <x:t>http://id.who.int/icd/entity/119273887</x:t>
  </x:si>
  <x:si>
    <x:t>http://id.who.int/icd/release/11/beta/ichi/119273887</x:t>
  </x:si>
  <x:si>
    <x:t>NUD.PM.ZZ</x:t>
  </x:si>
  <x:si>
    <x:t>- - - - - Education about functions related to fertility</x:t>
  </x:si>
  <x:si>
    <x:t>http://id.who.int/icd/entity/144863501</x:t>
  </x:si>
  <x:si>
    <x:t>http://id.who.int/icd/release/11/beta/ichi/144863501</x:t>
  </x:si>
  <x:si>
    <x:t>NUD.PN.ZZ</x:t>
  </x:si>
  <x:si>
    <x:t>- - - - - Advising about functions related to fertility</x:t>
  </x:si>
  <x:si>
    <x:t>http://id.who.int/icd/entity/409528507</x:t>
  </x:si>
  <x:si>
    <x:t>http://id.who.int/icd/release/11/beta/ichi/409528507</x:t>
  </x:si>
  <x:si>
    <x:t>NUD.PP.ZZ</x:t>
  </x:si>
  <x:si>
    <x:t>- - - - - Fertility counselling</x:t>
  </x:si>
  <x:si>
    <x:t>http://id.who.int/icd/entity/175005250</x:t>
  </x:si>
  <x:si>
    <x:t>http://id.who.int/icd/release/11/beta/ichi/175005250</x:t>
  </x:si>
  <x:si>
    <x:t>NUD.RC.ZZ</x:t>
  </x:si>
  <x:si>
    <x:t>- - - - - Emotional support for functions related to fertility</x:t>
  </x:si>
  <x:si>
    <x:t>http://id.who.int/icd/entity/325907991</x:t>
  </x:si>
  <x:si>
    <x:t>http://id.who.int/icd/release/11/beta/ichi/325907991</x:t>
  </x:si>
  <x:si>
    <x:t>NUD.ZZ.ZZ</x:t>
  </x:si>
  <x:si>
    <x:t>- - - - - Other interventions on functions related to fertility, not elsewhere classified</x:t>
  </x:si>
  <x:si>
    <x:t>http://id.who.int/icd/entity/1202370968</x:t>
  </x:si>
  <x:si>
    <x:t>http://id.who.int/icd/release/11/beta/ichi/1202370968</x:t>
  </x:si>
  <x:si>
    <x:t>NUE.AA.ZZ</x:t>
  </x:si>
  <x:si>
    <x:t>- - - - - Assessment of functions related to pregnancy</x:t>
  </x:si>
  <x:si>
    <x:t>http://id.who.int/icd/entity/672735510</x:t>
  </x:si>
  <x:si>
    <x:t>http://id.who.int/icd/release/11/beta/ichi/672735510</x:t>
  </x:si>
  <x:si>
    <x:t>NUE.AI.ZZ</x:t>
  </x:si>
  <x:si>
    <x:t>- - - - - Monitoring of functions related to pregnancy</x:t>
  </x:si>
  <x:si>
    <x:t>http://id.who.int/icd/entity/1749939014</x:t>
  </x:si>
  <x:si>
    <x:t>http://id.who.int/icd/release/11/beta/ichi/1749939014</x:t>
  </x:si>
  <x:si>
    <x:t>NUE.PG.ZZ</x:t>
  </x:si>
  <x:si>
    <x:t>- - - - - Assisting or leading exercise for functions related to pregnancy</x:t>
  </x:si>
  <x:si>
    <x:t>http://id.who.int/icd/entity/1480347692</x:t>
  </x:si>
  <x:si>
    <x:t>http://id.who.int/icd/release/11/beta/ichi/1480347692</x:t>
  </x:si>
  <x:si>
    <x:t>NUE.PH.ZZ</x:t>
  </x:si>
  <x:si>
    <x:t>- - - - - Training for pregnancy functions</x:t>
  </x:si>
  <x:si>
    <x:t>http://id.who.int/icd/entity/1744075732</x:t>
  </x:si>
  <x:si>
    <x:t>http://id.who.int/icd/release/11/beta/ichi/1744075732</x:t>
  </x:si>
  <x:si>
    <x:t>NUE.PM.ZZ</x:t>
  </x:si>
  <x:si>
    <x:t>- - - - - Education about functions related to pregnancy</x:t>
  </x:si>
  <x:si>
    <x:t>http://id.who.int/icd/entity/1739993910</x:t>
  </x:si>
  <x:si>
    <x:t>http://id.who.int/icd/release/11/beta/ichi/1739993910</x:t>
  </x:si>
  <x:si>
    <x:t>NUE.RC.ZZ</x:t>
  </x:si>
  <x:si>
    <x:t>- - - - - Emotional support for pregnancy functions</x:t>
  </x:si>
  <x:si>
    <x:t>http://id.who.int/icd/entity/937732203</x:t>
  </x:si>
  <x:si>
    <x:t>http://id.who.int/icd/release/11/beta/ichi/937732203</x:t>
  </x:si>
  <x:si>
    <x:t>NUE.ZZ.ZZ</x:t>
  </x:si>
  <x:si>
    <x:t>- - - - - Other interventions on functions related to pregnancy, not elsewhere classified</x:t>
  </x:si>
  <x:si>
    <x:t>http://id.who.int/icd/entity/1021359815</x:t>
  </x:si>
  <x:si>
    <x:t>http://id.who.int/icd/release/11/beta/ichi/1021359815</x:t>
  </x:si>
  <x:si>
    <x:t>NUG.AA.ZZ</x:t>
  </x:si>
  <x:si>
    <x:t>- - - - - Assesment of functions related to childbirth</x:t>
  </x:si>
  <x:si>
    <x:t>http://id.who.int/icd/entity/1747384650</x:t>
  </x:si>
  <x:si>
    <x:t>http://id.who.int/icd/release/11/beta/ichi/1747384650</x:t>
  </x:si>
  <x:si>
    <x:t>NUG.PG.ZZ</x:t>
  </x:si>
  <x:si>
    <x:t>- - - - - Assisting and leading exercise for functions related to childbirth</x:t>
  </x:si>
  <x:si>
    <x:t>http://id.who.int/icd/entity/1030295303</x:t>
  </x:si>
  <x:si>
    <x:t>http://id.who.int/icd/release/11/beta/ichi/1030295303</x:t>
  </x:si>
  <x:si>
    <x:t>NUG.PM.ZZ</x:t>
  </x:si>
  <x:si>
    <x:t>- - - - - Education about functions related to childbirth</x:t>
  </x:si>
  <x:si>
    <x:t>http://id.who.int/icd/entity/304739753</x:t>
  </x:si>
  <x:si>
    <x:t>http://id.who.int/icd/release/11/beta/ichi/304739753</x:t>
  </x:si>
  <x:si>
    <x:t>NUG.PN.ZZ</x:t>
  </x:si>
  <x:si>
    <x:t>- - - - - Advising about functions related to childbirth</x:t>
  </x:si>
  <x:si>
    <x:t>http://id.who.int/icd/entity/1655397926</x:t>
  </x:si>
  <x:si>
    <x:t>http://id.who.int/icd/release/11/beta/ichi/1655397926</x:t>
  </x:si>
  <x:si>
    <x:t>NUG.PP.ZZ</x:t>
  </x:si>
  <x:si>
    <x:t>- - - - - Counselling for functions related to childbirth</x:t>
  </x:si>
  <x:si>
    <x:t>http://id.who.int/icd/entity/402137799</x:t>
  </x:si>
  <x:si>
    <x:t>http://id.who.int/icd/release/11/beta/ichi/402137799</x:t>
  </x:si>
  <x:si>
    <x:t>NUG.TB.ZZ</x:t>
  </x:si>
  <x:si>
    <x:t>- - - - - Birth planning</x:t>
  </x:si>
  <x:si>
    <x:t>http://id.who.int/icd/entity/1211790308</x:t>
  </x:si>
  <x:si>
    <x:t>http://id.who.int/icd/release/11/beta/ichi/1211790308</x:t>
  </x:si>
  <x:si>
    <x:t>NUH.AA.ZZ</x:t>
  </x:si>
  <x:si>
    <x:t>- - - - - Assessment of lactation</x:t>
  </x:si>
  <x:si>
    <x:t>http://id.who.int/icd/entity/951638121</x:t>
  </x:si>
  <x:si>
    <x:t>http://id.who.int/icd/release/11/beta/ichi/951638121</x:t>
  </x:si>
  <x:si>
    <x:t>NUH.PM.ZZ</x:t>
  </x:si>
  <x:si>
    <x:t>- - - - - Education about lactation</x:t>
  </x:si>
  <x:si>
    <x:t>http://id.who.int/icd/entity/1032648599</x:t>
  </x:si>
  <x:si>
    <x:t>http://id.who.int/icd/release/11/beta/ichi/1032648599</x:t>
  </x:si>
  <x:si>
    <x:t>NUH.PN.ZZ</x:t>
  </x:si>
  <x:si>
    <x:t>- - - - - Advising about lactation</x:t>
  </x:si>
  <x:si>
    <x:t>http://id.who.int/icd/entity/1119343752</x:t>
  </x:si>
  <x:si>
    <x:t>http://id.who.int/icd/release/11/beta/ichi/1119343752</x:t>
  </x:si>
  <x:si>
    <x:t>NUH.PP.ZZ</x:t>
  </x:si>
  <x:si>
    <x:t>- - - - - Counselling about lactation</x:t>
  </x:si>
  <x:si>
    <x:t>http://id.who.int/icd/entity/751818721</x:t>
  </x:si>
  <x:si>
    <x:t>http://id.who.int/icd/release/11/beta/ichi/751818721</x:t>
  </x:si>
  <x:si>
    <x:t>NUK.AA.ZZ</x:t>
  </x:si>
  <x:si>
    <x:t>- - - - - Assessment of sensations associated with genital and reproductive functions</x:t>
  </x:si>
  <x:si>
    <x:t>http://id.who.int/icd/entity/1617647485</x:t>
  </x:si>
  <x:si>
    <x:t>http://id.who.int/icd/release/11/beta/ichi/1617647485</x:t>
  </x:si>
  <x:si>
    <x:t>NUK.AC.ZZ</x:t>
  </x:si>
  <x:si>
    <x:t>- - - - - Test of sensations associated with genital and reproductive functions</x:t>
  </x:si>
  <x:si>
    <x:t>http://id.who.int/icd/entity/1482119716</x:t>
  </x:si>
  <x:si>
    <x:t>http://id.who.int/icd/release/11/beta/ichi/1482119716</x:t>
  </x:si>
  <x:si>
    <x:t>NUK.PN.ZZ</x:t>
  </x:si>
  <x:si>
    <x:t>- - - - - Advising about sensations associated with genital and reproductive functions</x:t>
  </x:si>
  <x:si>
    <x:t>http://id.who.int/icd/release/11/beta/ichi/1333466189/other</x:t>
  </x:si>
  <x:si>
    <x:t>NZZ.ZY.ZY</x:t>
  </x:si>
  <x:si>
    <x:t>- - - - Other specified interventions on the genitourinary system</x:t>
  </x:si>
  <x:si>
    <x:t>http://id.who.int/icd/release/11/beta/ichi/1333466189/unspecified</x:t>
  </x:si>
  <x:si>
    <x:t>NZZ.ZZ.ZZ</x:t>
  </x:si>
  <x:si>
    <x:t>- - - - Interventions on the genitourinary system, unspecified</x:t>
  </x:si>
  <x:si>
    <x:t>http://id.who.int/icd/entity/1401893838</x:t>
  </x:si>
  <x:si>
    <x:t>http://id.who.int/icd/release/11/beta/ichi/1401893838</x:t>
  </x:si>
  <x:si>
    <x:t>BlockL3-PAA</x:t>
  </x:si>
  <x:si>
    <x:t>- - - Interventions on other or unspecified body systems or functions</x:t>
  </x:si>
  <x:si>
    <x:t>http://id.who.int/icd/entity/66382461</x:t>
  </x:si>
  <x:si>
    <x:t>http://id.who.int/icd/release/11/beta/ichi/66382461</x:t>
  </x:si>
  <x:si>
    <x:t>BlockL4-PAA</x:t>
  </x:si>
  <x:si>
    <x:t>- - - - Interventions on topographical regions: trunk, head and neck</x:t>
  </x:si>
  <x:si>
    <x:t>96</x:t>
  </x:si>
  <x:si>
    <x:t>http://id.who.int/icd/entity/1937129968</x:t>
  </x:si>
  <x:si>
    <x:t>http://id.who.int/icd/release/11/beta/ichi/1937129968</x:t>
  </x:si>
  <x:si>
    <x:t>PAA.AB.ZZ</x:t>
  </x:si>
  <x:si>
    <x:t>- - - - - Body measurement of trunk</x:t>
  </x:si>
  <x:si>
    <x:t>http://id.who.int/icd/entity/161265025</x:t>
  </x:si>
  <x:si>
    <x:t>http://id.who.int/icd/release/11/beta/ichi/161265025</x:t>
  </x:si>
  <x:si>
    <x:t>PAA.DP.AH</x:t>
  </x:si>
  <x:si>
    <x:t>- - - - - Installation of assistive product to trunk</x:t>
  </x:si>
  <x:si>
    <x:t>http://id.who.int/icd/entity/1227748744</x:t>
  </x:si>
  <x:si>
    <x:t>http://id.who.int/icd/release/11/beta/ichi/1227748744</x:t>
  </x:si>
  <x:si>
    <x:t>PAA.LC.AH</x:t>
  </x:si>
  <x:si>
    <x:t>- - - - - Application of external immobilisation device to trunk</x:t>
  </x:si>
  <x:si>
    <x:t>http://id.who.int/icd/entity/128746707</x:t>
  </x:si>
  <x:si>
    <x:t>http://id.who.int/icd/release/11/beta/ichi/128746707</x:t>
  </x:si>
  <x:si>
    <x:t>PAA.SB.ZZ</x:t>
  </x:si>
  <x:si>
    <x:t>- - - - - Acupressure to trunk</x:t>
  </x:si>
  <x:si>
    <x:t>http://id.who.int/icd/entity/1399507806</x:t>
  </x:si>
  <x:si>
    <x:t>http://id.who.int/icd/release/11/beta/ichi/1399507806</x:t>
  </x:si>
  <x:si>
    <x:t>PAA.SO.AH</x:t>
  </x:si>
  <x:si>
    <x:t>- - - - - Removal of an assistive product from trunk</x:t>
  </x:si>
  <x:si>
    <x:t>http://id.who.int/icd/entity/1551168446</x:t>
  </x:si>
  <x:si>
    <x:t>http://id.who.int/icd/release/11/beta/ichi/1551168446</x:t>
  </x:si>
  <x:si>
    <x:t>PAB.AB.AH</x:t>
  </x:si>
  <x:si>
    <x:t>- - - - - Measurement of head or neck</x:t>
  </x:si>
  <x:si>
    <x:t>http://id.who.int/icd/entity/1876269033</x:t>
  </x:si>
  <x:si>
    <x:t>http://id.who.int/icd/release/11/beta/ichi/1876269033</x:t>
  </x:si>
  <x:si>
    <x:t>PAB.BA.BA</x:t>
  </x:si>
  <x:si>
    <x:t>- - - - - X-ray of head or neck</x:t>
  </x:si>
  <x:si>
    <x:t>http://id.who.int/icd/entity/62300829</x:t>
  </x:si>
  <x:si>
    <x:t>http://id.who.int/icd/release/11/beta/ichi/62300829</x:t>
  </x:si>
  <x:si>
    <x:t>PAB.BA.BC</x:t>
  </x:si>
  <x:si>
    <x:t>- - - - - Computerised tomography of head or neck</x:t>
  </x:si>
  <x:si>
    <x:t>http://id.who.int/icd/entity/676056589</x:t>
  </x:si>
  <x:si>
    <x:t>http://id.who.int/icd/release/11/beta/ichi/676056589</x:t>
  </x:si>
  <x:si>
    <x:t>PAB.BA.BD</x:t>
  </x:si>
  <x:si>
    <x:t>- - - - - Computerised tomography of head or neck, with intravenous contrast</x:t>
  </x:si>
  <x:si>
    <x:t>http://id.who.int/icd/entity/1403416868</x:t>
  </x:si>
  <x:si>
    <x:t>http://id.who.int/icd/release/11/beta/ichi/1403416868</x:t>
  </x:si>
  <x:si>
    <x:t>PAB.BA.BH</x:t>
  </x:si>
  <x:si>
    <x:t>- - - - - Magnetic resonance imaging of head or neck</x:t>
  </x:si>
  <x:si>
    <x:t>http://id.who.int/icd/entity/1239502842</x:t>
  </x:si>
  <x:si>
    <x:t>http://id.who.int/icd/release/11/beta/ichi/1239502842</x:t>
  </x:si>
  <x:si>
    <x:t>PAB.BA.BI</x:t>
  </x:si>
  <x:si>
    <x:t>- - - - - Magnetic resonance imaging of head or neck, with intravenous contrast</x:t>
  </x:si>
  <x:si>
    <x:t>http://id.who.int/icd/entity/1122324820</x:t>
  </x:si>
  <x:si>
    <x:t>http://id.who.int/icd/release/11/beta/ichi/1122324820</x:t>
  </x:si>
  <x:si>
    <x:t>PAB.BA.BJ</x:t>
  </x:si>
  <x:si>
    <x:t>- - - - - Ultrasound of head or neck</x:t>
  </x:si>
  <x:si>
    <x:t>http://id.who.int/icd/entity/2043847794</x:t>
  </x:si>
  <x:si>
    <x:t>http://id.who.int/icd/release/11/beta/ichi/2043847794</x:t>
  </x:si>
  <x:si>
    <x:t>PAB.DP.AH</x:t>
  </x:si>
  <x:si>
    <x:t>- - - - - Installation of assistive product to head or neck</x:t>
  </x:si>
  <x:si>
    <x:t>http://id.who.int/icd/entity/871252761</x:t>
  </x:si>
  <x:si>
    <x:t>http://id.who.int/icd/release/11/beta/ichi/871252761</x:t>
  </x:si>
  <x:si>
    <x:t>PAB.LC.AH</x:t>
  </x:si>
  <x:si>
    <x:t>- - - - - Application of external immobilisation device to head or neck</x:t>
  </x:si>
  <x:si>
    <x:t>http://id.who.int/icd/entity/1396935092</x:t>
  </x:si>
  <x:si>
    <x:t>http://id.who.int/icd/release/11/beta/ichi/1396935092</x:t>
  </x:si>
  <x:si>
    <x:t>PAB.SB.ZZ</x:t>
  </x:si>
  <x:si>
    <x:t>- - - - - Acupressure to head or neck</x:t>
  </x:si>
  <x:si>
    <x:t>http://id.who.int/icd/entity/1481086750</x:t>
  </x:si>
  <x:si>
    <x:t>http://id.who.int/icd/release/11/beta/ichi/1481086750</x:t>
  </x:si>
  <x:si>
    <x:t>PAB.SO.AH</x:t>
  </x:si>
  <x:si>
    <x:t>- - - - - Removal of an assistive product from head or neck</x:t>
  </x:si>
  <x:si>
    <x:t>http://id.who.int/icd/entity/474693927</x:t>
  </x:si>
  <x:si>
    <x:t>http://id.who.int/icd/release/11/beta/ichi/474693927</x:t>
  </x:si>
  <x:si>
    <x:t>PAE.AB.AH</x:t>
  </x:si>
  <x:si>
    <x:t>- - - - - Measurement of chest</x:t>
  </x:si>
  <x:si>
    <x:t>http://id.who.int/icd/entity/1278253208</x:t>
  </x:si>
  <x:si>
    <x:t>http://id.who.int/icd/release/11/beta/ichi/1278253208</x:t>
  </x:si>
  <x:si>
    <x:t>PAE.BA.BA</x:t>
  </x:si>
  <x:si>
    <x:t>- - - - - X-ray of thorax</x:t>
  </x:si>
  <x:si>
    <x:t>http://id.who.int/icd/entity/1133056006</x:t>
  </x:si>
  <x:si>
    <x:t>http://id.who.int/icd/release/11/beta/ichi/1133056006</x:t>
  </x:si>
  <x:si>
    <x:t>PAE.BA.BC</x:t>
  </x:si>
  <x:si>
    <x:t>- - - - - Computerised tomography of thorax</x:t>
  </x:si>
  <x:si>
    <x:t>http://id.who.int/icd/entity/485290327</x:t>
  </x:si>
  <x:si>
    <x:t>http://id.who.int/icd/release/11/beta/ichi/485290327</x:t>
  </x:si>
  <x:si>
    <x:t>PAE.BA.BD</x:t>
  </x:si>
  <x:si>
    <x:t>- - - - - Computerised tomography of thorax with intravenous contrast</x:t>
  </x:si>
  <x:si>
    <x:t>http://id.who.int/icd/entity/1456477756</x:t>
  </x:si>
  <x:si>
    <x:t>http://id.who.int/icd/release/11/beta/ichi/1456477756</x:t>
  </x:si>
  <x:si>
    <x:t>PAE.BA.BH</x:t>
  </x:si>
  <x:si>
    <x:t>- - - - - Magnetic resonance imaging of thorax</x:t>
  </x:si>
  <x:si>
    <x:t>http://id.who.int/icd/entity/1574176914</x:t>
  </x:si>
  <x:si>
    <x:t>http://id.who.int/icd/release/11/beta/ichi/1574176914</x:t>
  </x:si>
  <x:si>
    <x:t>PAE.BA.BI</x:t>
  </x:si>
  <x:si>
    <x:t>- - - - - Magnetic resonance imaging of thorax with intravenous contrast</x:t>
  </x:si>
  <x:si>
    <x:t>http://id.who.int/icd/entity/1073207630</x:t>
  </x:si>
  <x:si>
    <x:t>http://id.who.int/icd/release/11/beta/ichi/1073207630</x:t>
  </x:si>
  <x:si>
    <x:t>PAE.BA.BJ</x:t>
  </x:si>
  <x:si>
    <x:t>- - - - - Ultrasound of thorax</x:t>
  </x:si>
  <x:si>
    <x:t>http://id.who.int/icd/entity/1614121069</x:t>
  </x:si>
  <x:si>
    <x:t>http://id.who.int/icd/release/11/beta/ichi/1614121069</x:t>
  </x:si>
  <x:si>
    <x:t>PAE.SB.ZZ</x:t>
  </x:si>
  <x:si>
    <x:t>- - - - - Acupressure to thorax</x:t>
  </x:si>
  <x:si>
    <x:t>http://id.who.int/icd/entity/239962884</x:t>
  </x:si>
  <x:si>
    <x:t>http://id.who.int/icd/release/11/beta/ichi/239962884</x:t>
  </x:si>
  <x:si>
    <x:t>PAF.AD.AA</x:t>
  </x:si>
  <x:si>
    <x:t>- - - - - Biopsy of chest wall</x:t>
  </x:si>
  <x:si>
    <x:t>http://id.who.int/icd/entity/1546059998</x:t>
  </x:si>
  <x:si>
    <x:t>http://id.who.int/icd/release/11/beta/ichi/1546059998</x:t>
  </x:si>
  <x:si>
    <x:t>PAF.BA.BJ</x:t>
  </x:si>
  <x:si>
    <x:t>- - - - - Ultrasound of chest wall</x:t>
  </x:si>
  <x:si>
    <x:t>http://id.who.int/icd/entity/897220130</x:t>
  </x:si>
  <x:si>
    <x:t>http://id.who.int/icd/release/11/beta/ichi/897220130</x:t>
  </x:si>
  <x:si>
    <x:t>PAF.JB.AA</x:t>
  </x:si>
  <x:si>
    <x:t>- - - - - Drainage of chest wall</x:t>
  </x:si>
  <x:si>
    <x:t>http://id.who.int/icd/entity/1790455553</x:t>
  </x:si>
  <x:si>
    <x:t>http://id.who.int/icd/release/11/beta/ichi/1790455553</x:t>
  </x:si>
  <x:si>
    <x:t>PAF.JI.AA</x:t>
  </x:si>
  <x:si>
    <x:t>- - - - - Local excision of lesion of chest wall</x:t>
  </x:si>
  <x:si>
    <x:t>http://id.who.int/icd/entity/985921200</x:t>
  </x:si>
  <x:si>
    <x:t>http://id.who.int/icd/release/11/beta/ichi/985921200</x:t>
  </x:si>
  <x:si>
    <x:t>PAF.JI.AB</x:t>
  </x:si>
  <x:si>
    <x:t>- - - - - Thoracoscopic local excision of lesion of chest wall</x:t>
  </x:si>
  <x:si>
    <x:t>http://id.who.int/icd/entity/1058152926</x:t>
  </x:si>
  <x:si>
    <x:t>http://id.who.int/icd/release/11/beta/ichi/1058152926</x:t>
  </x:si>
  <x:si>
    <x:t>PAF.JJ.AA</x:t>
  </x:si>
  <x:si>
    <x:t>- - - - - Partial excision of chest wall</x:t>
  </x:si>
  <x:si>
    <x:t>http://id.who.int/icd/entity/351227214</x:t>
  </x:si>
  <x:si>
    <x:t>http://id.who.int/icd/release/11/beta/ichi/351227214</x:t>
  </x:si>
  <x:si>
    <x:t>PAF.MK.AA</x:t>
  </x:si>
  <x:si>
    <x:t>- - - - - Repair of chest wall</x:t>
  </x:si>
  <x:si>
    <x:t>http://id.who.int/icd/entity/1624273149</x:t>
  </x:si>
  <x:si>
    <x:t>http://id.who.int/icd/release/11/beta/ichi/1624273149</x:t>
  </x:si>
  <x:si>
    <x:t>PAF.MK.AB</x:t>
  </x:si>
  <x:si>
    <x:t>- - - - - Thoracoscopic repair of chest wall</x:t>
  </x:si>
  <x:si>
    <x:t>http://id.who.int/icd/entity/359068816</x:t>
  </x:si>
  <x:si>
    <x:t>http://id.who.int/icd/release/11/beta/ichi/359068816</x:t>
  </x:si>
  <x:si>
    <x:t>PAK.AB.AH</x:t>
  </x:si>
  <x:si>
    <x:t>- - - - - Measurement of abdomen</x:t>
  </x:si>
  <x:si>
    <x:t>http://id.who.int/icd/entity/1050384416</x:t>
  </x:si>
  <x:si>
    <x:t>http://id.who.int/icd/release/11/beta/ichi/1050384416</x:t>
  </x:si>
  <x:si>
    <x:t>PAK.AD.AE</x:t>
  </x:si>
  <x:si>
    <x:t>- - - - - Percutaneous biopsy of abdomen</x:t>
  </x:si>
  <x:si>
    <x:t>http://id.who.int/icd/entity/1784534929</x:t>
  </x:si>
  <x:si>
    <x:t>http://id.who.int/icd/release/11/beta/ichi/1784534929</x:t>
  </x:si>
  <x:si>
    <x:t>PAK.AE.AA</x:t>
  </x:si>
  <x:si>
    <x:t>- - - - - Exploratory laparotomy</x:t>
  </x:si>
  <x:si>
    <x:t>http://id.who.int/icd/entity/4190902</x:t>
  </x:si>
  <x:si>
    <x:t>http://id.who.int/icd/release/11/beta/ichi/4190902</x:t>
  </x:si>
  <x:si>
    <x:t>PAK.AE.AB</x:t>
  </x:si>
  <x:si>
    <x:t>- - - - - Laparoscopy</x:t>
  </x:si>
  <x:si>
    <x:t>http://id.who.int/icd/entity/981581394</x:t>
  </x:si>
  <x:si>
    <x:t>http://id.who.int/icd/release/11/beta/ichi/981581394</x:t>
  </x:si>
  <x:si>
    <x:t>PAK.BA.BA</x:t>
  </x:si>
  <x:si>
    <x:t>- - - - - X-ray of abdomen</x:t>
  </x:si>
  <x:si>
    <x:t>http://id.who.int/icd/entity/1603709339</x:t>
  </x:si>
  <x:si>
    <x:t>http://id.who.int/icd/release/11/beta/ichi/1603709339</x:t>
  </x:si>
  <x:si>
    <x:t>PAK.BA.BB</x:t>
  </x:si>
  <x:si>
    <x:t>- - - - - X-ray of abdomen with contrast medium</x:t>
  </x:si>
  <x:si>
    <x:t>http://id.who.int/icd/entity/837724916</x:t>
  </x:si>
  <x:si>
    <x:t>http://id.who.int/icd/release/11/beta/ichi/837724916</x:t>
  </x:si>
  <x:si>
    <x:t>PAK.BA.BC</x:t>
  </x:si>
  <x:si>
    <x:t>- - - - - Computerised tomography of abdomen</x:t>
  </x:si>
  <x:si>
    <x:t>http://id.who.int/icd/entity/1529560997</x:t>
  </x:si>
  <x:si>
    <x:t>http://id.who.int/icd/release/11/beta/ichi/1529560997</x:t>
  </x:si>
  <x:si>
    <x:t>PAK.BA.BD</x:t>
  </x:si>
  <x:si>
    <x:t>- - - - - Computerised tomography of abdomen with intravenous contrast</x:t>
  </x:si>
  <x:si>
    <x:t>http://id.who.int/icd/entity/463110050</x:t>
  </x:si>
  <x:si>
    <x:t>http://id.who.int/icd/release/11/beta/ichi/463110050</x:t>
  </x:si>
  <x:si>
    <x:t>PAK.BA.BH</x:t>
  </x:si>
  <x:si>
    <x:t>- - - - - Magnetic resonance imaging of abdomen</x:t>
  </x:si>
  <x:si>
    <x:t>http://id.who.int/icd/entity/1369872585</x:t>
  </x:si>
  <x:si>
    <x:t>http://id.who.int/icd/release/11/beta/ichi/1369872585</x:t>
  </x:si>
  <x:si>
    <x:t>PAK.BA.BI</x:t>
  </x:si>
  <x:si>
    <x:t>- - - - - Magnetic resonance imaging of abdomen with intravenous contrast</x:t>
  </x:si>
  <x:si>
    <x:t>http://id.who.int/icd/entity/1601392907</x:t>
  </x:si>
  <x:si>
    <x:t>http://id.who.int/icd/release/11/beta/ichi/1601392907</x:t>
  </x:si>
  <x:si>
    <x:t>PAK.BA.BJ</x:t>
  </x:si>
  <x:si>
    <x:t>- - - - - Ultrasound of abdomen</x:t>
  </x:si>
  <x:si>
    <x:t>http://id.who.int/icd/entity/1355471257</x:t>
  </x:si>
  <x:si>
    <x:t>http://id.who.int/icd/release/11/beta/ichi/1355471257</x:t>
  </x:si>
  <x:si>
    <x:t>PAK.FA.AA</x:t>
  </x:si>
  <x:si>
    <x:t>- - - - - Laparotomy</x:t>
  </x:si>
  <x:si>
    <x:t>http://id.who.int/icd/entity/1073758255</x:t>
  </x:si>
  <x:si>
    <x:t>http://id.who.int/icd/release/11/beta/ichi/1073758255</x:t>
  </x:si>
  <x:si>
    <x:t>PAK.FC.AA</x:t>
  </x:si>
  <x:si>
    <x:t>- - - - - Release of abdominal adhesions</x:t>
  </x:si>
  <x:si>
    <x:t>http://id.who.int/icd/entity/1337575613</x:t>
  </x:si>
  <x:si>
    <x:t>http://id.who.int/icd/release/11/beta/ichi/1337575613</x:t>
  </x:si>
  <x:si>
    <x:t>PAK.FC.AB</x:t>
  </x:si>
  <x:si>
    <x:t>- - - - - Laparoscopic release of abdominal adhesions</x:t>
  </x:si>
  <x:si>
    <x:t>http://id.who.int/icd/entity/20494824</x:t>
  </x:si>
  <x:si>
    <x:t>http://id.who.int/icd/release/11/beta/ichi/20494824</x:t>
  </x:si>
  <x:si>
    <x:t>PAK.JA.AA</x:t>
  </x:si>
  <x:si>
    <x:t>- - - - - Irrigation of abdominal cavity</x:t>
  </x:si>
  <x:si>
    <x:t>http://id.who.int/icd/entity/282864110</x:t>
  </x:si>
  <x:si>
    <x:t>http://id.who.int/icd/release/11/beta/ichi/282864110</x:t>
  </x:si>
  <x:si>
    <x:t>PAK.JA.AB</x:t>
  </x:si>
  <x:si>
    <x:t>- - - - - Laparoscopic irrigation of abdominal cavity</x:t>
  </x:si>
  <x:si>
    <x:t>http://id.who.int/icd/entity/1877412593</x:t>
  </x:si>
  <x:si>
    <x:t>http://id.who.int/icd/release/11/beta/ichi/1877412593</x:t>
  </x:si>
  <x:si>
    <x:t>PAK.JA.AE</x:t>
  </x:si>
  <x:si>
    <x:t>- - - - - Percutaneous irrigation of abdominal cavity</x:t>
  </x:si>
  <x:si>
    <x:t>http://id.who.int/icd/entity/506490878</x:t>
  </x:si>
  <x:si>
    <x:t>http://id.who.int/icd/release/11/beta/ichi/506490878</x:t>
  </x:si>
  <x:si>
    <x:t>PAK.JB.AA</x:t>
  </x:si>
  <x:si>
    <x:t>- - - - - Abdominal drainage</x:t>
  </x:si>
  <x:si>
    <x:t>http://id.who.int/icd/entity/1353785003</x:t>
  </x:si>
  <x:si>
    <x:t>http://id.who.int/icd/release/11/beta/ichi/1353785003</x:t>
  </x:si>
  <x:si>
    <x:t>PAK.JB.AB</x:t>
  </x:si>
  <x:si>
    <x:t>- - - - - Laparoscopic abdominal drainage</x:t>
  </x:si>
  <x:si>
    <x:t>http://id.who.int/icd/entity/613294874</x:t>
  </x:si>
  <x:si>
    <x:t>http://id.who.int/icd/release/11/beta/ichi/613294874</x:t>
  </x:si>
  <x:si>
    <x:t>PAK.JB.AE</x:t>
  </x:si>
  <x:si>
    <x:t>- - - - - Percutaneous abdominal drainage</x:t>
  </x:si>
  <x:si>
    <x:t>http://id.who.int/icd/entity/1585524729</x:t>
  </x:si>
  <x:si>
    <x:t>http://id.who.int/icd/release/11/beta/ichi/1585524729</x:t>
  </x:si>
  <x:si>
    <x:t>PAK.JD.AA</x:t>
  </x:si>
  <x:si>
    <x:t>- - - - - Removal of internal device or foreign body from abdomen</x:t>
  </x:si>
  <x:si>
    <x:t>http://id.who.int/icd/entity/821636240</x:t>
  </x:si>
  <x:si>
    <x:t>http://id.who.int/icd/release/11/beta/ichi/821636240</x:t>
  </x:si>
  <x:si>
    <x:t>PAK.LI.AA</x:t>
  </x:si>
  <x:si>
    <x:t>- - - - - Laparostomy</x:t>
  </x:si>
  <x:si>
    <x:t>http://id.who.int/icd/entity/2074708651</x:t>
  </x:si>
  <x:si>
    <x:t>http://id.who.int/icd/release/11/beta/ichi/2074708651</x:t>
  </x:si>
  <x:si>
    <x:t>PAK.MK.AA</x:t>
  </x:si>
  <x:si>
    <x:t>- - - - - Repair of abdomen</x:t>
  </x:si>
  <x:si>
    <x:t>http://id.who.int/icd/entity/1793764061</x:t>
  </x:si>
  <x:si>
    <x:t>http://id.who.int/icd/release/11/beta/ichi/1793764061</x:t>
  </x:si>
  <x:si>
    <x:t>PAK.MK.AB</x:t>
  </x:si>
  <x:si>
    <x:t>- - - - - Laparoscopic repair of abdomen</x:t>
  </x:si>
  <x:si>
    <x:t>http://id.who.int/icd/entity/1801655069</x:t>
  </x:si>
  <x:si>
    <x:t>http://id.who.int/icd/release/11/beta/ichi/1801655069</x:t>
  </x:si>
  <x:si>
    <x:t>PAL.AD.AE</x:t>
  </x:si>
  <x:si>
    <x:t>- - - - - Percutaneous biopsy of abdominal wall</x:t>
  </x:si>
  <x:si>
    <x:t>http://id.who.int/icd/entity/1084129165</x:t>
  </x:si>
  <x:si>
    <x:t>http://id.who.int/icd/release/11/beta/ichi/1084129165</x:t>
  </x:si>
  <x:si>
    <x:t>PAL.BA.BA</x:t>
  </x:si>
  <x:si>
    <x:t>- - - - - Soft tissue x-ray of abdominal wall</x:t>
  </x:si>
  <x:si>
    <x:t>http://id.who.int/icd/entity/697402541</x:t>
  </x:si>
  <x:si>
    <x:t>http://id.who.int/icd/release/11/beta/ichi/697402541</x:t>
  </x:si>
  <x:si>
    <x:t>PAL.BA.BJ</x:t>
  </x:si>
  <x:si>
    <x:t>- - - - - Ultrasound of abdominal wall</x:t>
  </x:si>
  <x:si>
    <x:t>http://id.who.int/icd/entity/1904450999</x:t>
  </x:si>
  <x:si>
    <x:t>http://id.who.int/icd/release/11/beta/ichi/1904450999</x:t>
  </x:si>
  <x:si>
    <x:t>PAL.FA.AA</x:t>
  </x:si>
  <x:si>
    <x:t>- - - - - Reopening of recent laparotomy site</x:t>
  </x:si>
  <x:si>
    <x:t>http://id.who.int/icd/entity/2117735717</x:t>
  </x:si>
  <x:si>
    <x:t>http://id.who.int/icd/release/11/beta/ichi/2117735717</x:t>
  </x:si>
  <x:si>
    <x:t>PAL.JB.AE</x:t>
  </x:si>
  <x:si>
    <x:t>- - - - - Percutaneous drainage of abdominal wall</x:t>
  </x:si>
  <x:si>
    <x:t>http://id.who.int/icd/entity/1806674275</x:t>
  </x:si>
  <x:si>
    <x:t>http://id.who.int/icd/release/11/beta/ichi/1806674275</x:t>
  </x:si>
  <x:si>
    <x:t>PAL.JD.AA</x:t>
  </x:si>
  <x:si>
    <x:t>- - - - - Incision of haematoma of recent laparotomy site</x:t>
  </x:si>
  <x:si>
    <x:t>http://id.who.int/icd/entity/1003778260</x:t>
  </x:si>
  <x:si>
    <x:t>http://id.who.int/icd/release/11/beta/ichi/1003778260</x:t>
  </x:si>
  <x:si>
    <x:t>PAL.JD.AH</x:t>
  </x:si>
  <x:si>
    <x:t>- - - - - Removal of sutures from abdominal wall</x:t>
  </x:si>
  <x:si>
    <x:t>http://id.who.int/icd/entity/1679172081</x:t>
  </x:si>
  <x:si>
    <x:t>http://id.who.int/icd/release/11/beta/ichi/1679172081</x:t>
  </x:si>
  <x:si>
    <x:t>PAL.JG.AA</x:t>
  </x:si>
  <x:si>
    <x:t>- - - - - Debridement of abdominal wall</x:t>
  </x:si>
  <x:si>
    <x:t>http://id.who.int/icd/entity/1340820833</x:t>
  </x:si>
  <x:si>
    <x:t>http://id.who.int/icd/release/11/beta/ichi/1340820833</x:t>
  </x:si>
  <x:si>
    <x:t>PAL.MK.AA</x:t>
  </x:si>
  <x:si>
    <x:t>- - - - - Repair of abdominal wall</x:t>
  </x:si>
  <x:si>
    <x:t>http://id.who.int/icd/entity/1704958001</x:t>
  </x:si>
  <x:si>
    <x:t>http://id.who.int/icd/release/11/beta/ichi/1704958001</x:t>
  </x:si>
  <x:si>
    <x:t>PAL.MK.AB</x:t>
  </x:si>
  <x:si>
    <x:t>- - - - - Laparoscopic repair of abdominal wall</x:t>
  </x:si>
  <x:si>
    <x:t>http://id.who.int/icd/entity/1896705833</x:t>
  </x:si>
  <x:si>
    <x:t>http://id.who.int/icd/release/11/beta/ichi/1896705833</x:t>
  </x:si>
  <x:si>
    <x:t>PAL.MK.AH</x:t>
  </x:si>
  <x:si>
    <x:t>- - - - - Manual reduction of abdominal wall</x:t>
  </x:si>
  <x:si>
    <x:t>http://id.who.int/icd/entity/527789122</x:t>
  </x:si>
  <x:si>
    <x:t>http://id.who.int/icd/release/11/beta/ichi/527789122</x:t>
  </x:si>
  <x:si>
    <x:t>PAL.ML.AA</x:t>
  </x:si>
  <x:si>
    <x:t>- - - - - Reconstruction of abdominal wall</x:t>
  </x:si>
  <x:si>
    <x:t>http://id.who.int/icd/entity/79424346</x:t>
  </x:si>
  <x:si>
    <x:t>http://id.who.int/icd/release/11/beta/ichi/79424346</x:t>
  </x:si>
  <x:si>
    <x:t>PAL.ML.AB</x:t>
  </x:si>
  <x:si>
    <x:t>- - - - - Laparoscopic reconstruction of abdominal wall</x:t>
  </x:si>
  <x:si>
    <x:t>http://id.who.int/icd/entity/519886208</x:t>
  </x:si>
  <x:si>
    <x:t>http://id.who.int/icd/release/11/beta/ichi/519886208</x:t>
  </x:si>
  <x:si>
    <x:t>PAM.MK.AA</x:t>
  </x:si>
  <x:si>
    <x:t>- - - - - Repair of inguinal hernia</x:t>
  </x:si>
  <x:si>
    <x:t>http://id.who.int/icd/entity/1956573351</x:t>
  </x:si>
  <x:si>
    <x:t>http://id.who.int/icd/release/11/beta/ichi/1956573351</x:t>
  </x:si>
  <x:si>
    <x:t>PAM.MK.AB</x:t>
  </x:si>
  <x:si>
    <x:t>- - - - - Laparoscopic repair of inguinal hernia</x:t>
  </x:si>
  <x:si>
    <x:t>http://id.who.int/icd/entity/1050810316</x:t>
  </x:si>
  <x:si>
    <x:t>http://id.who.int/icd/release/11/beta/ichi/1050810316</x:t>
  </x:si>
  <x:si>
    <x:t>PAM.MK.AH</x:t>
  </x:si>
  <x:si>
    <x:t>- - - - - Manual reduction of inguinal hernia</x:t>
  </x:si>
  <x:si>
    <x:t>http://id.who.int/icd/entity/1859767933</x:t>
  </x:si>
  <x:si>
    <x:t>http://id.who.int/icd/release/11/beta/ichi/1859767933</x:t>
  </x:si>
  <x:si>
    <x:t>PAM.ML.AA</x:t>
  </x:si>
  <x:si>
    <x:t>- - - - - Repair of inguinal hernia with graft or prosthesis</x:t>
  </x:si>
  <x:si>
    <x:t>http://id.who.int/icd/entity/136089389</x:t>
  </x:si>
  <x:si>
    <x:t>http://id.who.int/icd/release/11/beta/ichi/136089389</x:t>
  </x:si>
  <x:si>
    <x:t>PAM.ML.AB</x:t>
  </x:si>
  <x:si>
    <x:t>- - - - - Laparoscopic repair of inguinal hernia with graft or prosthesis</x:t>
  </x:si>
  <x:si>
    <x:t>http://id.who.int/icd/entity/849527755</x:t>
  </x:si>
  <x:si>
    <x:t>http://id.who.int/icd/release/11/beta/ichi/849527755</x:t>
  </x:si>
  <x:si>
    <x:t>PAN.MK.AA</x:t>
  </x:si>
  <x:si>
    <x:t>- - - - - Repair of femoral hernia</x:t>
  </x:si>
  <x:si>
    <x:t>http://id.who.int/icd/entity/967236967</x:t>
  </x:si>
  <x:si>
    <x:t>http://id.who.int/icd/release/11/beta/ichi/967236967</x:t>
  </x:si>
  <x:si>
    <x:t>PAN.MK.AB</x:t>
  </x:si>
  <x:si>
    <x:t>- - - - - Laparoscopic repair of femoral hernia</x:t>
  </x:si>
  <x:si>
    <x:t>http://id.who.int/icd/entity/1192511416</x:t>
  </x:si>
  <x:si>
    <x:t>http://id.who.int/icd/release/11/beta/ichi/1192511416</x:t>
  </x:si>
  <x:si>
    <x:t>PAN.MK.AH</x:t>
  </x:si>
  <x:si>
    <x:t>- - - - - Manual reduction of femoral hernia</x:t>
  </x:si>
  <x:si>
    <x:t>http://id.who.int/icd/entity/416683675</x:t>
  </x:si>
  <x:si>
    <x:t>http://id.who.int/icd/release/11/beta/ichi/416683675</x:t>
  </x:si>
  <x:si>
    <x:t>PAN.ML.AA</x:t>
  </x:si>
  <x:si>
    <x:t>- - - - - Repair of femoral hernia with graft or prosthesis</x:t>
  </x:si>
  <x:si>
    <x:t>http://id.who.int/icd/entity/1299978308</x:t>
  </x:si>
  <x:si>
    <x:t>http://id.who.int/icd/release/11/beta/ichi/1299978308</x:t>
  </x:si>
  <x:si>
    <x:t>PAN.ML.AB</x:t>
  </x:si>
  <x:si>
    <x:t>- - - - - Laparoscopic repair of femoral hernia with graft or prosthesis</x:t>
  </x:si>
  <x:si>
    <x:t>http://id.who.int/icd/entity/66939153</x:t>
  </x:si>
  <x:si>
    <x:t>http://id.who.int/icd/release/11/beta/ichi/66939153</x:t>
  </x:si>
  <x:si>
    <x:t>PAO.AD.AA</x:t>
  </x:si>
  <x:si>
    <x:t>- - - - - Biopsy of umbilicus</x:t>
  </x:si>
  <x:si>
    <x:t>http://id.who.int/icd/entity/314460519</x:t>
  </x:si>
  <x:si>
    <x:t>http://id.who.int/icd/release/11/beta/ichi/314460519</x:t>
  </x:si>
  <x:si>
    <x:t>PAO.JI.AA</x:t>
  </x:si>
  <x:si>
    <x:t>- - - - - Local excision of umbilical lesion</x:t>
  </x:si>
  <x:si>
    <x:t>http://id.who.int/icd/entity/1207025448</x:t>
  </x:si>
  <x:si>
    <x:t>http://id.who.int/icd/release/11/beta/ichi/1207025448</x:t>
  </x:si>
  <x:si>
    <x:t>PAO.MK.AA</x:t>
  </x:si>
  <x:si>
    <x:t>- - - - - Repair of umbilical hernia</x:t>
  </x:si>
  <x:si>
    <x:t>http://id.who.int/icd/entity/696892481</x:t>
  </x:si>
  <x:si>
    <x:t>http://id.who.int/icd/release/11/beta/ichi/696892481</x:t>
  </x:si>
  <x:si>
    <x:t>PAO.MK.AB</x:t>
  </x:si>
  <x:si>
    <x:t>- - - - - Laparoscopic repair of umbilical hernia</x:t>
  </x:si>
  <x:si>
    <x:t>http://id.who.int/icd/entity/406056459</x:t>
  </x:si>
  <x:si>
    <x:t>http://id.who.int/icd/release/11/beta/ichi/406056459</x:t>
  </x:si>
  <x:si>
    <x:t>PAO.MK.AH</x:t>
  </x:si>
  <x:si>
    <x:t>- - - - - Manual reduction of umbilical hernia</x:t>
  </x:si>
  <x:si>
    <x:t>http://id.who.int/icd/entity/47407265</x:t>
  </x:si>
  <x:si>
    <x:t>http://id.who.int/icd/release/11/beta/ichi/47407265</x:t>
  </x:si>
  <x:si>
    <x:t>PAO.ML.AA</x:t>
  </x:si>
  <x:si>
    <x:t>- - - - - Repair of umbilical hernia with graft or prosthesis</x:t>
  </x:si>
  <x:si>
    <x:t>http://id.who.int/icd/entity/1386789138</x:t>
  </x:si>
  <x:si>
    <x:t>http://id.who.int/icd/release/11/beta/ichi/1386789138</x:t>
  </x:si>
  <x:si>
    <x:t>PAO.ML.AB</x:t>
  </x:si>
  <x:si>
    <x:t>- - - - - Laparoscopic repair of umbilical hernia with graft or prosthesis</x:t>
  </x:si>
  <x:si>
    <x:t>http://id.who.int/icd/entity/225110067</x:t>
  </x:si>
  <x:si>
    <x:t>http://id.who.int/icd/release/11/beta/ichi/225110067</x:t>
  </x:si>
  <x:si>
    <x:t>PAW.AB.AH</x:t>
  </x:si>
  <x:si>
    <x:t>- - - - - Measurement of perineum</x:t>
  </x:si>
  <x:si>
    <x:t>http://id.who.int/icd/entity/1594369000</x:t>
  </x:si>
  <x:si>
    <x:t>http://id.who.int/icd/release/11/beta/ichi/1594369000</x:t>
  </x:si>
  <x:si>
    <x:t>PAW.AD.AE</x:t>
  </x:si>
  <x:si>
    <x:t>- - - - - Biopsy of perineum</x:t>
  </x:si>
  <x:si>
    <x:t>http://id.who.int/icd/entity/647464099</x:t>
  </x:si>
  <x:si>
    <x:t>http://id.who.int/icd/release/11/beta/ichi/647464099</x:t>
  </x:si>
  <x:si>
    <x:t>PAW.BA.BB</x:t>
  </x:si>
  <x:si>
    <x:t>- - - - - Perineogram</x:t>
  </x:si>
  <x:si>
    <x:t>http://id.who.int/icd/entity/979382015</x:t>
  </x:si>
  <x:si>
    <x:t>http://id.who.int/icd/release/11/beta/ichi/979382015</x:t>
  </x:si>
  <x:si>
    <x:t>PAW.DC.AF</x:t>
  </x:si>
  <x:si>
    <x:t>- - - - - Injection of anaesthetic into perineum</x:t>
  </x:si>
  <x:si>
    <x:t>http://id.who.int/icd/entity/1568291724</x:t>
  </x:si>
  <x:si>
    <x:t>http://id.who.int/icd/release/11/beta/ichi/1568291724</x:t>
  </x:si>
  <x:si>
    <x:t>PAW.FA.AA</x:t>
  </x:si>
  <x:si>
    <x:t>- - - - - Episiotomy</x:t>
  </x:si>
  <x:si>
    <x:t>http://id.who.int/icd/entity/1195181398</x:t>
  </x:si>
  <x:si>
    <x:t>http://id.who.int/icd/release/11/beta/ichi/1195181398</x:t>
  </x:si>
  <x:si>
    <x:t>PAW.JB.AA</x:t>
  </x:si>
  <x:si>
    <x:t>- - - - - Drainage of perineum</x:t>
  </x:si>
  <x:si>
    <x:t>http://id.who.int/icd/entity/1659918486</x:t>
  </x:si>
  <x:si>
    <x:t>http://id.who.int/icd/release/11/beta/ichi/1659918486</x:t>
  </x:si>
  <x:si>
    <x:t>PAW.JG.AA</x:t>
  </x:si>
  <x:si>
    <x:t>- - - - - Debridement of perineum</x:t>
  </x:si>
  <x:si>
    <x:t>http://id.who.int/icd/entity/309523225</x:t>
  </x:si>
  <x:si>
    <x:t>http://id.who.int/icd/release/11/beta/ichi/309523225</x:t>
  </x:si>
  <x:si>
    <x:t>PAW.JI.AA</x:t>
  </x:si>
  <x:si>
    <x:t>- - - - - Local excision of lesion of perineum</x:t>
  </x:si>
  <x:si>
    <x:t>http://id.who.int/icd/entity/404401381</x:t>
  </x:si>
  <x:si>
    <x:t>http://id.who.int/icd/release/11/beta/ichi/404401381</x:t>
  </x:si>
  <x:si>
    <x:t>PAW.MK.AA</x:t>
  </x:si>
  <x:si>
    <x:t>- - - - - Repair of perineum</x:t>
  </x:si>
  <x:si>
    <x:t>http://id.who.int/icd/entity/396567671</x:t>
  </x:si>
  <x:si>
    <x:t>http://id.who.int/icd/release/11/beta/ichi/396567671</x:t>
  </x:si>
  <x:si>
    <x:t>PAW.SC.BP</x:t>
  </x:si>
  <x:si>
    <x:t>- - - - - Pelvic floor stimulation</x:t>
  </x:si>
  <x:si>
    <x:t>http://id.who.int/icd/entity/311888777</x:t>
  </x:si>
  <x:si>
    <x:t>http://id.who.int/icd/release/11/beta/ichi/311888777</x:t>
  </x:si>
  <x:si>
    <x:t>BlockL4-PMA</x:t>
  </x:si>
  <x:si>
    <x:t>- - - - Interventions on topographical regions: upper limb</x:t>
  </x:si>
  <x:si>
    <x:t>http://id.who.int/icd/entity/1012812007</x:t>
  </x:si>
  <x:si>
    <x:t>http://id.who.int/icd/release/11/beta/ichi/1012812007</x:t>
  </x:si>
  <x:si>
    <x:t>PMA.AB.ZZ</x:t>
  </x:si>
  <x:si>
    <x:t>- - - - - Body measurement of upper limb</x:t>
  </x:si>
  <x:si>
    <x:t>http://id.who.int/icd/entity/1077782150</x:t>
  </x:si>
  <x:si>
    <x:t>http://id.who.int/icd/release/11/beta/ichi/1077782150</x:t>
  </x:si>
  <x:si>
    <x:t>PMA.DB.AF</x:t>
  </x:si>
  <x:si>
    <x:t>- - - - - Isolated upper limb perfusion</x:t>
  </x:si>
  <x:si>
    <x:t>http://id.who.int/icd/entity/1323899068</x:t>
  </x:si>
  <x:si>
    <x:t>http://id.who.int/icd/release/11/beta/ichi/1323899068</x:t>
  </x:si>
  <x:si>
    <x:t>PMA.DP.AH</x:t>
  </x:si>
  <x:si>
    <x:t>- - - - - Installation of assistive product to upper limb</x:t>
  </x:si>
  <x:si>
    <x:t>http://id.who.int/icd/entity/546380757</x:t>
  </x:si>
  <x:si>
    <x:t>http://id.who.int/icd/release/11/beta/ichi/546380757</x:t>
  </x:si>
  <x:si>
    <x:t>PMA.LC.AH</x:t>
  </x:si>
  <x:si>
    <x:t>- - - - - Application of external immobilisation device to upper limb</x:t>
  </x:si>
  <x:si>
    <x:t>http://id.who.int/icd/entity/1420699238</x:t>
  </x:si>
  <x:si>
    <x:t>http://id.who.int/icd/release/11/beta/ichi/1420699238</x:t>
  </x:si>
  <x:si>
    <x:t>PMA.SB.ZZ</x:t>
  </x:si>
  <x:si>
    <x:t>- - - - - Acupressure to upper limb</x:t>
  </x:si>
  <x:si>
    <x:t>http://id.who.int/icd/entity/31576105</x:t>
  </x:si>
  <x:si>
    <x:t>http://id.who.int/icd/release/11/beta/ichi/31576105</x:t>
  </x:si>
  <x:si>
    <x:t>PMA.SO.AH</x:t>
  </x:si>
  <x:si>
    <x:t>- - - - - Removal of an assistive product from upper limb</x:t>
  </x:si>
  <x:si>
    <x:t>http://id.who.int/icd/entity/463924979</x:t>
  </x:si>
  <x:si>
    <x:t>http://id.who.int/icd/release/11/beta/ichi/463924979</x:t>
  </x:si>
  <x:si>
    <x:t>PMA.ZY.BS</x:t>
  </x:si>
  <x:si>
    <x:t>- - - - - Hydrotherapy with partial immersion of upper limb</x:t>
  </x:si>
  <x:si>
    <x:t>http://id.who.int/icd/entity/193564629</x:t>
  </x:si>
  <x:si>
    <x:t>http://id.who.int/icd/release/11/beta/ichi/193564629</x:t>
  </x:si>
  <x:si>
    <x:t>PMB.DP.AH</x:t>
  </x:si>
  <x:si>
    <x:t>- - - - - Installation of assistive product to upper arm</x:t>
  </x:si>
  <x:si>
    <x:t>http://id.who.int/icd/entity/825738035</x:t>
  </x:si>
  <x:si>
    <x:t>http://id.who.int/icd/release/11/beta/ichi/825738035</x:t>
  </x:si>
  <x:si>
    <x:t>PMB.LC.AH</x:t>
  </x:si>
  <x:si>
    <x:t>- - - - - Application of external immobilisation device to upper arm</x:t>
  </x:si>
  <x:si>
    <x:t>http://id.who.int/icd/entity/351969009</x:t>
  </x:si>
  <x:si>
    <x:t>http://id.who.int/icd/release/11/beta/ichi/351969009</x:t>
  </x:si>
  <x:si>
    <x:t>PMB.SB.ZZ</x:t>
  </x:si>
  <x:si>
    <x:t>- - - - - Acupressure to upper arm</x:t>
  </x:si>
  <x:si>
    <x:t>http://id.who.int/icd/entity/2055380376</x:t>
  </x:si>
  <x:si>
    <x:t>http://id.who.int/icd/release/11/beta/ichi/2055380376</x:t>
  </x:si>
  <x:si>
    <x:t>PMB.SO.AH</x:t>
  </x:si>
  <x:si>
    <x:t>- - - - - Removal of an assistive product from upper arm</x:t>
  </x:si>
  <x:si>
    <x:t>http://id.who.int/icd/entity/817789683</x:t>
  </x:si>
  <x:si>
    <x:t>http://id.who.int/icd/release/11/beta/ichi/817789683</x:t>
  </x:si>
  <x:si>
    <x:t>PMC.DP.AH</x:t>
  </x:si>
  <x:si>
    <x:t>- - - - - Installation of assistive product to forearm</x:t>
  </x:si>
  <x:si>
    <x:t>http://id.who.int/icd/entity/27498697</x:t>
  </x:si>
  <x:si>
    <x:t>http://id.who.int/icd/release/11/beta/ichi/27498697</x:t>
  </x:si>
  <x:si>
    <x:t>PMC.LC.AH</x:t>
  </x:si>
  <x:si>
    <x:t>- - - - - Application of external immobilisation device to forearm</x:t>
  </x:si>
  <x:si>
    <x:t>http://id.who.int/icd/entity/236589147</x:t>
  </x:si>
  <x:si>
    <x:t>http://id.who.int/icd/release/11/beta/ichi/236589147</x:t>
  </x:si>
  <x:si>
    <x:t>PMC.SB.ZZ</x:t>
  </x:si>
  <x:si>
    <x:t>- - - - - Acupressure to forearm</x:t>
  </x:si>
  <x:si>
    <x:t>http://id.who.int/icd/entity/2129899994</x:t>
  </x:si>
  <x:si>
    <x:t>http://id.who.int/icd/release/11/beta/ichi/2129899994</x:t>
  </x:si>
  <x:si>
    <x:t>PMC.SO.AH</x:t>
  </x:si>
  <x:si>
    <x:t>- - - - - Removal of an assistive product from forearm</x:t>
  </x:si>
  <x:si>
    <x:t>http://id.who.int/icd/entity/886003379</x:t>
  </x:si>
  <x:si>
    <x:t>http://id.who.int/icd/release/11/beta/ichi/886003379</x:t>
  </x:si>
  <x:si>
    <x:t>PMD.DP.AH</x:t>
  </x:si>
  <x:si>
    <x:t>- - - - - Installation of assistive product to hand</x:t>
  </x:si>
  <x:si>
    <x:t>http://id.who.int/icd/entity/1321228882</x:t>
  </x:si>
  <x:si>
    <x:t>http://id.who.int/icd/release/11/beta/ichi/1321228882</x:t>
  </x:si>
  <x:si>
    <x:t>PMD.LB.AA</x:t>
  </x:si>
  <x:si>
    <x:t>- - - - - Reattachment of hand, not elsewhere classified</x:t>
  </x:si>
  <x:si>
    <x:t>http://id.who.int/icd/entity/1259441468</x:t>
  </x:si>
  <x:si>
    <x:t>http://id.who.int/icd/release/11/beta/ichi/1259441468</x:t>
  </x:si>
  <x:si>
    <x:t>PMD.LC.AH</x:t>
  </x:si>
  <x:si>
    <x:t>- - - - - Application of external immobilisation device to hand</x:t>
  </x:si>
  <x:si>
    <x:t>http://id.who.int/icd/entity/349428767</x:t>
  </x:si>
  <x:si>
    <x:t>http://id.who.int/icd/release/11/beta/ichi/349428767</x:t>
  </x:si>
  <x:si>
    <x:t>PMD.SB.ZZ</x:t>
  </x:si>
  <x:si>
    <x:t>- - - - - Acupressure to hand</x:t>
  </x:si>
  <x:si>
    <x:t>http://id.who.int/icd/entity/618674069</x:t>
  </x:si>
  <x:si>
    <x:t>http://id.who.int/icd/release/11/beta/ichi/618674069</x:t>
  </x:si>
  <x:si>
    <x:t>PMD.SO.AH</x:t>
  </x:si>
  <x:si>
    <x:t>- - - - - Removal of an assistive product from hand</x:t>
  </x:si>
  <x:si>
    <x:t>http://id.who.int/icd/entity/1859965184</x:t>
  </x:si>
  <x:si>
    <x:t>http://id.who.int/icd/release/11/beta/ichi/1859965184</x:t>
  </x:si>
  <x:si>
    <x:t>PME.DP.AH</x:t>
  </x:si>
  <x:si>
    <x:t>- - - - - Installation of assistive product to finger</x:t>
  </x:si>
  <x:si>
    <x:t>http://id.who.int/icd/entity/2060458052</x:t>
  </x:si>
  <x:si>
    <x:t>http://id.who.int/icd/release/11/beta/ichi/2060458052</x:t>
  </x:si>
  <x:si>
    <x:t>PME.LB.AA</x:t>
  </x:si>
  <x:si>
    <x:t>- - - - - Reattachment of finger, not elsewhere classified</x:t>
  </x:si>
  <x:si>
    <x:t>http://id.who.int/icd/entity/173192137</x:t>
  </x:si>
  <x:si>
    <x:t>http://id.who.int/icd/release/11/beta/ichi/173192137</x:t>
  </x:si>
  <x:si>
    <x:t>PME.LC.AH</x:t>
  </x:si>
  <x:si>
    <x:t>- - - - - Application of external immobilisation device to finger</x:t>
  </x:si>
  <x:si>
    <x:t>http://id.who.int/icd/entity/505789505</x:t>
  </x:si>
  <x:si>
    <x:t>http://id.who.int/icd/release/11/beta/ichi/505789505</x:t>
  </x:si>
  <x:si>
    <x:t>PME.ML.AA</x:t>
  </x:si>
  <x:si>
    <x:t>- - - - - Reconstruction of finger</x:t>
  </x:si>
  <x:si>
    <x:t>http://id.who.int/icd/entity/258382903</x:t>
  </x:si>
  <x:si>
    <x:t>http://id.who.int/icd/release/11/beta/ichi/258382903</x:t>
  </x:si>
  <x:si>
    <x:t>PME.SB.ZZ</x:t>
  </x:si>
  <x:si>
    <x:t>- - - - - Acupressure to finger</x:t>
  </x:si>
  <x:si>
    <x:t>http://id.who.int/icd/entity/709769573</x:t>
  </x:si>
  <x:si>
    <x:t>http://id.who.int/icd/release/11/beta/ichi/709769573</x:t>
  </x:si>
  <x:si>
    <x:t>PME.SO.AH</x:t>
  </x:si>
  <x:si>
    <x:t>- - - - - Removal of an assistive product from finger</x:t>
  </x:si>
  <x:si>
    <x:t>http://id.who.int/icd/entity/636989943</x:t>
  </x:si>
  <x:si>
    <x:t>http://id.who.int/icd/release/11/beta/ichi/636989943</x:t>
  </x:si>
  <x:si>
    <x:t>BlockL4-PNA</x:t>
  </x:si>
  <x:si>
    <x:t>- - - - Interventions on topographical regions: lower limb</x:t>
  </x:si>
  <x:si>
    <x:t>27</x:t>
  </x:si>
  <x:si>
    <x:t>http://id.who.int/icd/entity/84853707</x:t>
  </x:si>
  <x:si>
    <x:t>http://id.who.int/icd/release/11/beta/ichi/84853707</x:t>
  </x:si>
  <x:si>
    <x:t>PNA.AB.ZZ</x:t>
  </x:si>
  <x:si>
    <x:t>- - - - - Body measurement of lower limb</x:t>
  </x:si>
  <x:si>
    <x:t>http://id.who.int/icd/entity/1807796758</x:t>
  </x:si>
  <x:si>
    <x:t>http://id.who.int/icd/release/11/beta/ichi/1807796758</x:t>
  </x:si>
  <x:si>
    <x:t>PNA.DB.AF</x:t>
  </x:si>
  <x:si>
    <x:t>- - - - - Isolated lower limb perfusion</x:t>
  </x:si>
  <x:si>
    <x:t>http://id.who.int/icd/entity/256892633</x:t>
  </x:si>
  <x:si>
    <x:t>http://id.who.int/icd/release/11/beta/ichi/256892633</x:t>
  </x:si>
  <x:si>
    <x:t>PNA.DP.AH</x:t>
  </x:si>
  <x:si>
    <x:t>- - - - - Installation of assistive product to lower limb</x:t>
  </x:si>
  <x:si>
    <x:t>http://id.who.int/icd/entity/193034623</x:t>
  </x:si>
  <x:si>
    <x:t>http://id.who.int/icd/release/11/beta/ichi/193034623</x:t>
  </x:si>
  <x:si>
    <x:t>PNA.LB.AA</x:t>
  </x:si>
  <x:si>
    <x:t>- - - - - Reattachment of lower limb</x:t>
  </x:si>
  <x:si>
    <x:t>http://id.who.int/icd/entity/2144171348</x:t>
  </x:si>
  <x:si>
    <x:t>http://id.who.int/icd/release/11/beta/ichi/2144171348</x:t>
  </x:si>
  <x:si>
    <x:t>PNA.LC.AH</x:t>
  </x:si>
  <x:si>
    <x:t>- - - - - Application of external immobilisation device to lower limb</x:t>
  </x:si>
  <x:si>
    <x:t>http://id.who.int/icd/entity/1078400590</x:t>
  </x:si>
  <x:si>
    <x:t>http://id.who.int/icd/release/11/beta/ichi/1078400590</x:t>
  </x:si>
  <x:si>
    <x:t>PNA.SB.ZZ</x:t>
  </x:si>
  <x:si>
    <x:t>- - - - - Acupressure to lower limb</x:t>
  </x:si>
  <x:si>
    <x:t>http://id.who.int/icd/entity/1262684384</x:t>
  </x:si>
  <x:si>
    <x:t>http://id.who.int/icd/release/11/beta/ichi/1262684384</x:t>
  </x:si>
  <x:si>
    <x:t>PNA.SO.AH</x:t>
  </x:si>
  <x:si>
    <x:t>- - - - - Removal of an assistive product from lower limb</x:t>
  </x:si>
  <x:si>
    <x:t>http://id.who.int/icd/entity/2133364164</x:t>
  </x:si>
  <x:si>
    <x:t>http://id.who.int/icd/release/11/beta/ichi/2133364164</x:t>
  </x:si>
  <x:si>
    <x:t>PNA.ZY.BS</x:t>
  </x:si>
  <x:si>
    <x:t>- - - - - Hydrotherapy with partial immersion of lower limb</x:t>
  </x:si>
  <x:si>
    <x:t>http://id.who.int/icd/entity/833223825</x:t>
  </x:si>
  <x:si>
    <x:t>http://id.who.int/icd/release/11/beta/ichi/833223825</x:t>
  </x:si>
  <x:si>
    <x:t>PNB.DP.AH</x:t>
  </x:si>
  <x:si>
    <x:t>- - - - - Installation of assistive product to thigh</x:t>
  </x:si>
  <x:si>
    <x:t>http://id.who.int/icd/entity/1167507748</x:t>
  </x:si>
  <x:si>
    <x:t>http://id.who.int/icd/release/11/beta/ichi/1167507748</x:t>
  </x:si>
  <x:si>
    <x:t>PNB.LC.AH</x:t>
  </x:si>
  <x:si>
    <x:t>- - - - - Application of external immobilisation device to thigh</x:t>
  </x:si>
  <x:si>
    <x:t>http://id.who.int/icd/entity/1616616672</x:t>
  </x:si>
  <x:si>
    <x:t>http://id.who.int/icd/release/11/beta/ichi/1616616672</x:t>
  </x:si>
  <x:si>
    <x:t>PNB.SB.ZZ</x:t>
  </x:si>
  <x:si>
    <x:t>- - - - - Acupressure to thigh</x:t>
  </x:si>
  <x:si>
    <x:t>http://id.who.int/icd/entity/526434303</x:t>
  </x:si>
  <x:si>
    <x:t>http://id.who.int/icd/release/11/beta/ichi/526434303</x:t>
  </x:si>
  <x:si>
    <x:t>PNB.SO.AH</x:t>
  </x:si>
  <x:si>
    <x:t>- - - - - Removal of an assistive product from thigh</x:t>
  </x:si>
  <x:si>
    <x:t>http://id.who.int/icd/entity/1963104986</x:t>
  </x:si>
  <x:si>
    <x:t>http://id.who.int/icd/release/11/beta/ichi/1963104986</x:t>
  </x:si>
  <x:si>
    <x:t>PNC.DP.AH</x:t>
  </x:si>
  <x:si>
    <x:t>- - - - - Installation of assistive product to lower leg</x:t>
  </x:si>
  <x:si>
    <x:t>http://id.who.int/icd/entity/1514299510</x:t>
  </x:si>
  <x:si>
    <x:t>http://id.who.int/icd/release/11/beta/ichi/1514299510</x:t>
  </x:si>
  <x:si>
    <x:t>PNC.LC.AH</x:t>
  </x:si>
  <x:si>
    <x:t>- - - - - Application of external immobilisation device to lower leg</x:t>
  </x:si>
  <x:si>
    <x:t>http://id.who.int/icd/entity/348328227</x:t>
  </x:si>
  <x:si>
    <x:t>http://id.who.int/icd/release/11/beta/ichi/348328227</x:t>
  </x:si>
  <x:si>
    <x:t>PNC.SB.ZZ</x:t>
  </x:si>
  <x:si>
    <x:t>- - - - - Acupressure to lower leg</x:t>
  </x:si>
  <x:si>
    <x:t>http://id.who.int/icd/entity/862301956</x:t>
  </x:si>
  <x:si>
    <x:t>http://id.who.int/icd/release/11/beta/ichi/862301956</x:t>
  </x:si>
  <x:si>
    <x:t>PNC.SO.AH</x:t>
  </x:si>
  <x:si>
    <x:t>- - - - - Removal of an assistive product from lower leg</x:t>
  </x:si>
  <x:si>
    <x:t>http://id.who.int/icd/entity/2035894383</x:t>
  </x:si>
  <x:si>
    <x:t>http://id.who.int/icd/release/11/beta/ichi/2035894383</x:t>
  </x:si>
  <x:si>
    <x:t>PND.DP.AH</x:t>
  </x:si>
  <x:si>
    <x:t>- - - - - Installation of assistive product to foot</x:t>
  </x:si>
  <x:si>
    <x:t>http://id.who.int/icd/entity/1305949659</x:t>
  </x:si>
  <x:si>
    <x:t>http://id.who.int/icd/release/11/beta/ichi/1305949659</x:t>
  </x:si>
  <x:si>
    <x:t>PND.LC.AH</x:t>
  </x:si>
  <x:si>
    <x:t>- - - - - Application of external immobilisation device to foot</x:t>
  </x:si>
  <x:si>
    <x:t>http://id.who.int/icd/entity/569748527</x:t>
  </x:si>
  <x:si>
    <x:t>http://id.who.int/icd/release/11/beta/ichi/569748527</x:t>
  </x:si>
  <x:si>
    <x:t>PND.ML.AA</x:t>
  </x:si>
  <x:si>
    <x:t>- - - - - Reconstruction of foot</x:t>
  </x:si>
  <x:si>
    <x:t>http://id.who.int/icd/entity/1677430309</x:t>
  </x:si>
  <x:si>
    <x:t>http://id.who.int/icd/release/11/beta/ichi/1677430309</x:t>
  </x:si>
  <x:si>
    <x:t>PND.SB.ZZ</x:t>
  </x:si>
  <x:si>
    <x:t>- - - - - Acupressure to foot</x:t>
  </x:si>
  <x:si>
    <x:t>http://id.who.int/icd/entity/1287353483</x:t>
  </x:si>
  <x:si>
    <x:t>http://id.who.int/icd/release/11/beta/ichi/1287353483</x:t>
  </x:si>
  <x:si>
    <x:t>PND.SO.AH</x:t>
  </x:si>
  <x:si>
    <x:t>- - - - - Removal of an assistive product from foot</x:t>
  </x:si>
  <x:si>
    <x:t>http://id.who.int/icd/entity/754140848</x:t>
  </x:si>
  <x:si>
    <x:t>http://id.who.int/icd/release/11/beta/ichi/754140848</x:t>
  </x:si>
  <x:si>
    <x:t>PNE.DP.AH</x:t>
  </x:si>
  <x:si>
    <x:t>- - - - - Installation of assistive product to toe</x:t>
  </x:si>
  <x:si>
    <x:t>http://id.who.int/icd/entity/1399838175</x:t>
  </x:si>
  <x:si>
    <x:t>http://id.who.int/icd/release/11/beta/ichi/1399838175</x:t>
  </x:si>
  <x:si>
    <x:t>PNE.LC.AH</x:t>
  </x:si>
  <x:si>
    <x:t>- - - - - Application of external immobilisation device to toe</x:t>
  </x:si>
  <x:si>
    <x:t>http://id.who.int/icd/entity/377597994</x:t>
  </x:si>
  <x:si>
    <x:t>http://id.who.int/icd/release/11/beta/ichi/377597994</x:t>
  </x:si>
  <x:si>
    <x:t>PNE.MK.AA</x:t>
  </x:si>
  <x:si>
    <x:t>- - - - - Repair of toe, not elsewhere classified</x:t>
  </x:si>
  <x:si>
    <x:t>http://id.who.int/icd/entity/1555912515</x:t>
  </x:si>
  <x:si>
    <x:t>http://id.who.int/icd/release/11/beta/ichi/1555912515</x:t>
  </x:si>
  <x:si>
    <x:t>PNE.ML.AA</x:t>
  </x:si>
  <x:si>
    <x:t>- - - - - Reconstruction of toe</x:t>
  </x:si>
  <x:si>
    <x:t>http://id.who.int/icd/entity/214339316</x:t>
  </x:si>
  <x:si>
    <x:t>http://id.who.int/icd/release/11/beta/ichi/214339316</x:t>
  </x:si>
  <x:si>
    <x:t>PNE.SB.ZZ</x:t>
  </x:si>
  <x:si>
    <x:t>- - - - - Acupressure to toe</x:t>
  </x:si>
  <x:si>
    <x:t>http://id.who.int/icd/entity/166895886</x:t>
  </x:si>
  <x:si>
    <x:t>http://id.who.int/icd/release/11/beta/ichi/166895886</x:t>
  </x:si>
  <x:si>
    <x:t>PNE.SO.AH</x:t>
  </x:si>
  <x:si>
    <x:t>- - - - - Removal of an assistive product from toe</x:t>
  </x:si>
  <x:si>
    <x:t>http://id.who.int/icd/entity/105589152</x:t>
  </x:si>
  <x:si>
    <x:t>http://id.who.int/icd/release/11/beta/ichi/105589152</x:t>
  </x:si>
  <x:si>
    <x:t>BlockL4-PSA</x:t>
  </x:si>
  <x:si>
    <x:t>- - - - Interventions on topographical regions: set of viscera</x:t>
  </x:si>
  <x:si>
    <x:t>http://id.who.int/icd/entity/375670970</x:t>
  </x:si>
  <x:si>
    <x:t>http://id.who.int/icd/release/11/beta/ichi/375670970</x:t>
  </x:si>
  <x:si>
    <x:t>PSA.DD.AF</x:t>
  </x:si>
  <x:si>
    <x:t>- - - - - Cardiopulmonary bypass</x:t>
  </x:si>
  <x:si>
    <x:t>http://id.who.int/icd/entity/1235622299</x:t>
  </x:si>
  <x:si>
    <x:t>http://id.who.int/icd/release/11/beta/ichi/1235622299</x:t>
  </x:si>
  <x:si>
    <x:t>PSA.JH.AA</x:t>
  </x:si>
  <x:si>
    <x:t>- - - - - Procurement of heart and lung</x:t>
  </x:si>
  <x:si>
    <x:t>http://id.who.int/icd/entity/1650160907</x:t>
  </x:si>
  <x:si>
    <x:t>http://id.who.int/icd/release/11/beta/ichi/1650160907</x:t>
  </x:si>
  <x:si>
    <x:t>PSA.KD.AA</x:t>
  </x:si>
  <x:si>
    <x:t>- - - - - Heart-lung transplantation</x:t>
  </x:si>
  <x:si>
    <x:t>http://id.who.int/icd/entity/485093334</x:t>
  </x:si>
  <x:si>
    <x:t>http://id.who.int/icd/release/11/beta/ichi/485093334</x:t>
  </x:si>
  <x:si>
    <x:t>BlockL4-PTA</x:t>
  </x:si>
  <x:si>
    <x:t>- - - - Interventions on artificial body structure</x:t>
  </x:si>
  <x:si>
    <x:t>http://id.who.int/icd/entity/1500282925</x:t>
  </x:si>
  <x:si>
    <x:t>http://id.who.int/icd/release/11/beta/ichi/1500282925</x:t>
  </x:si>
  <x:si>
    <x:t>PTA.AA.ZZ</x:t>
  </x:si>
  <x:si>
    <x:t>- - - - - Gastrostomy assessment</x:t>
  </x:si>
  <x:si>
    <x:t>http://id.who.int/icd/entity/1278576149</x:t>
  </x:si>
  <x:si>
    <x:t>http://id.who.int/icd/release/11/beta/ichi/1278576149</x:t>
  </x:si>
  <x:si>
    <x:t>PTA.LA.AC</x:t>
  </x:si>
  <x:si>
    <x:t>- - - - - Closure of gastrostomy</x:t>
  </x:si>
  <x:si>
    <x:t>http://id.who.int/icd/entity/1741220485</x:t>
  </x:si>
  <x:si>
    <x:t>http://id.who.int/icd/release/11/beta/ichi/1741220485</x:t>
  </x:si>
  <x:si>
    <x:t>PTA.PM.ZZ</x:t>
  </x:si>
  <x:si>
    <x:t>- - - - - Gastrostomy education</x:t>
  </x:si>
  <x:si>
    <x:t>http://id.who.int/icd/entity/1456801983</x:t>
  </x:si>
  <x:si>
    <x:t>http://id.who.int/icd/release/11/beta/ichi/1456801983</x:t>
  </x:si>
  <x:si>
    <x:t>PTA.SN.AC</x:t>
  </x:si>
  <x:si>
    <x:t>- - - - - Management of gastrostomy</x:t>
  </x:si>
  <x:si>
    <x:t>http://id.who.int/icd/entity/1988872947</x:t>
  </x:si>
  <x:si>
    <x:t>http://id.who.int/icd/release/11/beta/ichi/1988872947</x:t>
  </x:si>
  <x:si>
    <x:t>PTB.AA.ZZ</x:t>
  </x:si>
  <x:si>
    <x:t>- - - - - Enterostomy assessment</x:t>
  </x:si>
  <x:si>
    <x:t>http://id.who.int/icd/entity/1486814943</x:t>
  </x:si>
  <x:si>
    <x:t>http://id.who.int/icd/release/11/beta/ichi/1486814943</x:t>
  </x:si>
  <x:si>
    <x:t>PTB.LA.AC</x:t>
  </x:si>
  <x:si>
    <x:t>- - - - - Closure of enterostomy</x:t>
  </x:si>
  <x:si>
    <x:t>http://id.who.int/icd/entity/321626230</x:t>
  </x:si>
  <x:si>
    <x:t>http://id.who.int/icd/release/11/beta/ichi/321626230</x:t>
  </x:si>
  <x:si>
    <x:t>PTB.PM.ZZ</x:t>
  </x:si>
  <x:si>
    <x:t>- - - - - Enterostomy education</x:t>
  </x:si>
  <x:si>
    <x:t>http://id.who.int/icd/entity/1121566725</x:t>
  </x:si>
  <x:si>
    <x:t>http://id.who.int/icd/release/11/beta/ichi/1121566725</x:t>
  </x:si>
  <x:si>
    <x:t>PTB.SN.AC</x:t>
  </x:si>
  <x:si>
    <x:t>- - - - - Management of enterostomy</x:t>
  </x:si>
  <x:si>
    <x:t>http://id.who.int/icd/entity/1206775803</x:t>
  </x:si>
  <x:si>
    <x:t>http://id.who.int/icd/release/11/beta/ichi/1206775803</x:t>
  </x:si>
  <x:si>
    <x:t>PTC.AA.ZZ</x:t>
  </x:si>
  <x:si>
    <x:t>- - - - - Tracheostomy assessment</x:t>
  </x:si>
  <x:si>
    <x:t>http://id.who.int/icd/entity/1111242901</x:t>
  </x:si>
  <x:si>
    <x:t>http://id.who.int/icd/release/11/beta/ichi/1111242901</x:t>
  </x:si>
  <x:si>
    <x:t>PTC.LA.AC</x:t>
  </x:si>
  <x:si>
    <x:t>- - - - - Closure of tracheostomy</x:t>
  </x:si>
  <x:si>
    <x:t>http://id.who.int/icd/entity/1774277637</x:t>
  </x:si>
  <x:si>
    <x:t>http://id.who.int/icd/release/11/beta/ichi/1774277637</x:t>
  </x:si>
  <x:si>
    <x:t>PTC.PM.ZZ</x:t>
  </x:si>
  <x:si>
    <x:t>- - - - - Tracheostomy education</x:t>
  </x:si>
  <x:si>
    <x:t>http://id.who.int/icd/entity/807783245</x:t>
  </x:si>
  <x:si>
    <x:t>http://id.who.int/icd/release/11/beta/ichi/807783245</x:t>
  </x:si>
  <x:si>
    <x:t>PTC.SN.AC</x:t>
  </x:si>
  <x:si>
    <x:t>- - - - - Management of tracheostomy</x:t>
  </x:si>
  <x:si>
    <x:t>http://id.who.int/icd/entity/2021815411</x:t>
  </x:si>
  <x:si>
    <x:t>http://id.who.int/icd/release/11/beta/ichi/2021815411</x:t>
  </x:si>
  <x:si>
    <x:t>PTD.AA.ZZ</x:t>
  </x:si>
  <x:si>
    <x:t>- - - - - Stoma assessment</x:t>
  </x:si>
  <x:si>
    <x:t>http://id.who.int/icd/entity/1743873367</x:t>
  </x:si>
  <x:si>
    <x:t>http://id.who.int/icd/release/11/beta/ichi/1743873367</x:t>
  </x:si>
  <x:si>
    <x:t>PTD.PH.ZZ</x:t>
  </x:si>
  <x:si>
    <x:t>- - - - - Stoma care training</x:t>
  </x:si>
  <x:si>
    <x:t>http://id.who.int/icd/entity/931839208</x:t>
  </x:si>
  <x:si>
    <x:t>http://id.who.int/icd/release/11/beta/ichi/931839208</x:t>
  </x:si>
  <x:si>
    <x:t>PTD.PM.ZZ</x:t>
  </x:si>
  <x:si>
    <x:t>- - - - - Stoma education</x:t>
  </x:si>
  <x:si>
    <x:t>http://id.who.int/icd/entity/221573120</x:t>
  </x:si>
  <x:si>
    <x:t>http://id.who.int/icd/release/11/beta/ichi/221573120</x:t>
  </x:si>
  <x:si>
    <x:t>PTD.SN.AC</x:t>
  </x:si>
  <x:si>
    <x:t>- - - - - Management of other stoma, not elsewhere classified</x:t>
  </x:si>
  <x:si>
    <x:t>http://id.who.int/icd/entity/761934412</x:t>
  </x:si>
  <x:si>
    <x:t>http://id.who.int/icd/release/11/beta/ichi/761934412</x:t>
  </x:si>
  <x:si>
    <x:t>PTD.ZZ.ZZ</x:t>
  </x:si>
  <x:si>
    <x:t>- - - - - Other stoma care, not elsewhere classified</x:t>
  </x:si>
  <x:si>
    <x:t>http://id.who.int/icd/entity/36358372</x:t>
  </x:si>
  <x:si>
    <x:t>http://id.who.int/icd/release/11/beta/ichi/36358372</x:t>
  </x:si>
  <x:si>
    <x:t>BlockL4-PYA</x:t>
  </x:si>
  <x:si>
    <x:t>- - - - Interventions on genome</x:t>
  </x:si>
  <x:si>
    <x:t>http://id.who.int/icd/entity/110583516</x:t>
  </x:si>
  <x:si>
    <x:t>http://id.who.int/icd/release/11/beta/ichi/110583516</x:t>
  </x:si>
  <x:si>
    <x:t>PYA.PP.ZZ</x:t>
  </x:si>
  <x:si>
    <x:t>- - - - - Genetic counselling</x:t>
  </x:si>
  <x:si>
    <x:t>http://id.who.int/icd/entity/1732108073</x:t>
  </x:si>
  <x:si>
    <x:t>http://id.who.int/icd/release/11/beta/ichi/1732108073</x:t>
  </x:si>
  <x:si>
    <x:t>BlockL4-PZA</x:t>
  </x:si>
  <x:si>
    <x:t>- - - - Interventions on comprehensive or unspecified topography</x:t>
  </x:si>
  <x:si>
    <x:t>75</x:t>
  </x:si>
  <x:si>
    <x:t>http://id.who.int/icd/entity/170198571</x:t>
  </x:si>
  <x:si>
    <x:t>http://id.who.int/icd/release/11/beta/ichi/170198571</x:t>
  </x:si>
  <x:si>
    <x:t>PZA.AA.ZZ</x:t>
  </x:si>
  <x:si>
    <x:t>- - - - - Assessment of body composition</x:t>
  </x:si>
  <x:si>
    <x:t>http://id.who.int/icd/entity/582529234</x:t>
  </x:si>
  <x:si>
    <x:t>http://id.who.int/icd/release/11/beta/ichi/582529234</x:t>
  </x:si>
  <x:si>
    <x:t>PZA.AB.ZZ</x:t>
  </x:si>
  <x:si>
    <x:t>- - - - - Whole body measurement</x:t>
  </x:si>
  <x:si>
    <x:t>http://id.who.int/icd/entity/674568126</x:t>
  </x:si>
  <x:si>
    <x:t>http://id.who.int/icd/release/11/beta/ichi/674568126</x:t>
  </x:si>
  <x:si>
    <x:t>PZA.AC.AC</x:t>
  </x:si>
  <x:si>
    <x:t>- - - - - Food provocation test</x:t>
  </x:si>
  <x:si>
    <x:t>http://id.who.int/icd/entity/1723098857</x:t>
  </x:si>
  <x:si>
    <x:t>http://id.who.int/icd/release/11/beta/ichi/1723098857</x:t>
  </x:si>
  <x:si>
    <x:t>PZA.AC.ZZ</x:t>
  </x:si>
  <x:si>
    <x:t>- - - - - Provocation test, not elsewhere classified</x:t>
  </x:si>
  <x:si>
    <x:t>http://id.who.int/icd/entity/311122778</x:t>
  </x:si>
  <x:si>
    <x:t>http://id.who.int/icd/release/11/beta/ichi/311122778</x:t>
  </x:si>
  <x:si>
    <x:t>PZA.AE.AA</x:t>
  </x:si>
  <x:si>
    <x:t>- - - - - Autopsy</x:t>
  </x:si>
  <x:si>
    <x:t>http://id.who.int/icd/entity/933494282</x:t>
  </x:si>
  <x:si>
    <x:t>http://id.who.int/icd/release/11/beta/ichi/933494282</x:t>
  </x:si>
  <x:si>
    <x:t>PZA.AE.AH</x:t>
  </x:si>
  <x:si>
    <x:t>- - - - - Physical examination of whole body</x:t>
  </x:si>
  <x:si>
    <x:t>http://id.who.int/icd/entity/941258396</x:t>
  </x:si>
  <x:si>
    <x:t>http://id.who.int/icd/release/11/beta/ichi/941258396</x:t>
  </x:si>
  <x:si>
    <x:t>PZA.BA.BA</x:t>
  </x:si>
  <x:si>
    <x:t>- - - - - X-ray of whole body</x:t>
  </x:si>
  <x:si>
    <x:t>http://id.who.int/icd/entity/1751232299</x:t>
  </x:si>
  <x:si>
    <x:t>http://id.who.int/icd/release/11/beta/ichi/1751232299</x:t>
  </x:si>
  <x:si>
    <x:t>PZA.BA.BC</x:t>
  </x:si>
  <x:si>
    <x:t>- - - - - Computerised tomography of whole body</x:t>
  </x:si>
  <x:si>
    <x:t>http://id.who.int/icd/entity/1834320085</x:t>
  </x:si>
  <x:si>
    <x:t>http://id.who.int/icd/release/11/beta/ichi/1834320085</x:t>
  </x:si>
  <x:si>
    <x:t>PZA.BA.BD</x:t>
  </x:si>
  <x:si>
    <x:t>- - - - - Computerised tomography of whole body with intravenous contrast</x:t>
  </x:si>
  <x:si>
    <x:t>http://id.who.int/icd/entity/1084148316</x:t>
  </x:si>
  <x:si>
    <x:t>http://id.who.int/icd/release/11/beta/ichi/1084148316</x:t>
  </x:si>
  <x:si>
    <x:t>PZA.BA.BE</x:t>
  </x:si>
  <x:si>
    <x:t>- - - - - Radioisotope scan of whole body</x:t>
  </x:si>
  <x:si>
    <x:t>http://id.who.int/icd/entity/309240778</x:t>
  </x:si>
  <x:si>
    <x:t>http://id.who.int/icd/release/11/beta/ichi/309240778</x:t>
  </x:si>
  <x:si>
    <x:t>PZA.BA.BF</x:t>
  </x:si>
  <x:si>
    <x:t>- - - - - Single photon emission computerised tomography of whole body</x:t>
  </x:si>
  <x:si>
    <x:t>http://id.who.int/icd/entity/1559220895</x:t>
  </x:si>
  <x:si>
    <x:t>http://id.who.int/icd/release/11/beta/ichi/1559220895</x:t>
  </x:si>
  <x:si>
    <x:t>PZA.BA.BG</x:t>
  </x:si>
  <x:si>
    <x:t>- - - - - Positron emission tomography of whole body</x:t>
  </x:si>
  <x:si>
    <x:t>http://id.who.int/icd/entity/1292583577</x:t>
  </x:si>
  <x:si>
    <x:t>http://id.who.int/icd/release/11/beta/ichi/1292583577</x:t>
  </x:si>
  <x:si>
    <x:t>PZA.BA.BH</x:t>
  </x:si>
  <x:si>
    <x:t>- - - - - Magnetic resonance imaging of whole body</x:t>
  </x:si>
  <x:si>
    <x:t>http://id.who.int/icd/entity/842031494</x:t>
  </x:si>
  <x:si>
    <x:t>http://id.who.int/icd/release/11/beta/ichi/842031494</x:t>
  </x:si>
  <x:si>
    <x:t>PZA.BA.BI</x:t>
  </x:si>
  <x:si>
    <x:t>- - - - - Magnetic resonance imaging of whole body with intravenous contrast</x:t>
  </x:si>
  <x:si>
    <x:t>http://id.who.int/icd/entity/1946964716</x:t>
  </x:si>
  <x:si>
    <x:t>http://id.who.int/icd/release/11/beta/ichi/1946964716</x:t>
  </x:si>
  <x:si>
    <x:t>PZA.DA.AC</x:t>
  </x:si>
  <x:si>
    <x:t>- - - - - Intracavity administration of nutritional substance</x:t>
  </x:si>
  <x:si>
    <x:t>http://id.who.int/icd/entity/2075515514</x:t>
  </x:si>
  <x:si>
    <x:t>http://id.who.int/icd/release/11/beta/ichi/2075515514</x:t>
  </x:si>
  <x:si>
    <x:t>PZA.DA.AF</x:t>
  </x:si>
  <x:si>
    <x:t>- - - - - Intravenous administration of nutritional substance</x:t>
  </x:si>
  <x:si>
    <x:t>http://id.who.int/icd/entity/2122446216</x:t>
  </x:si>
  <x:si>
    <x:t>http://id.who.int/icd/release/11/beta/ichi/2122446216</x:t>
  </x:si>
  <x:si>
    <x:t>PZA.DA.ZZ</x:t>
  </x:si>
  <x:si>
    <x:t>- - - - - Administering nutritional requirements, not elsewhere classified</x:t>
  </x:si>
  <x:si>
    <x:t>http://id.who.int/icd/entity/284817135</x:t>
  </x:si>
  <x:si>
    <x:t>http://id.who.int/icd/release/11/beta/ichi/284817135</x:t>
  </x:si>
  <x:si>
    <x:t>PZA.DB.AC</x:t>
  </x:si>
  <x:si>
    <x:t>- - - - - Administering pharmacotherapy, per orifice</x:t>
  </x:si>
  <x:si>
    <x:t>http://id.who.int/icd/entity/1522864518</x:t>
  </x:si>
  <x:si>
    <x:t>http://id.who.int/icd/release/11/beta/ichi/1522864518</x:t>
  </x:si>
  <x:si>
    <x:t>PZA.DB.AD</x:t>
  </x:si>
  <x:si>
    <x:t>- - - - - Administering pharmacotherapy, per orifice endoscopic</x:t>
  </x:si>
  <x:si>
    <x:t>http://id.who.int/icd/entity/1410390086</x:t>
  </x:si>
  <x:si>
    <x:t>http://id.who.int/icd/release/11/beta/ichi/1410390086</x:t>
  </x:si>
  <x:si>
    <x:t>PZA.DB.AE</x:t>
  </x:si>
  <x:si>
    <x:t>- - - - - Administering pharmacotherapy, percutaneous</x:t>
  </x:si>
  <x:si>
    <x:t>http://id.who.int/icd/entity/198347109</x:t>
  </x:si>
  <x:si>
    <x:t>http://id.who.int/icd/release/11/beta/ichi/198347109</x:t>
  </x:si>
  <x:si>
    <x:t>PZA.DB.AF</x:t>
  </x:si>
  <x:si>
    <x:t>- - - - - Administering pharmacotherapy, percutaneous transluminal</x:t>
  </x:si>
  <x:si>
    <x:t>http://id.who.int/icd/entity/833056981</x:t>
  </x:si>
  <x:si>
    <x:t>http://id.who.int/icd/release/11/beta/ichi/833056981</x:t>
  </x:si>
  <x:si>
    <x:t>PZA.DB.AH</x:t>
  </x:si>
  <x:si>
    <x:t>- - - - - Topical application of pharmacotherapy</x:t>
  </x:si>
  <x:si>
    <x:t>http://id.who.int/icd/entity/540009973</x:t>
  </x:si>
  <x:si>
    <x:t>http://id.who.int/icd/release/11/beta/ichi/540009973</x:t>
  </x:si>
  <x:si>
    <x:t>PZA.DB.AZ</x:t>
  </x:si>
  <x:si>
    <x:t>- - - - - Administering pharmacotherapy, not elsewhere classified</x:t>
  </x:si>
  <x:si>
    <x:t>http://id.who.int/icd/entity/1004626671</x:t>
  </x:si>
  <x:si>
    <x:t>http://id.who.int/icd/release/11/beta/ichi/1004626671</x:t>
  </x:si>
  <x:si>
    <x:t>PZA.DB.BQ</x:t>
  </x:si>
  <x:si>
    <x:t>- - - - - Hyperthermic administration of pharmacotherapy</x:t>
  </x:si>
  <x:si>
    <x:t>http://id.who.int/icd/entity/1910343046</x:t>
  </x:si>
  <x:si>
    <x:t>http://id.who.int/icd/release/11/beta/ichi/1910343046</x:t>
  </x:si>
  <x:si>
    <x:t>PZA.DC.AC</x:t>
  </x:si>
  <x:si>
    <x:t>- - - - - Inhalational anaesthesia</x:t>
  </x:si>
  <x:si>
    <x:t>http://id.who.int/icd/entity/1799162670</x:t>
  </x:si>
  <x:si>
    <x:t>http://id.who.int/icd/release/11/beta/ichi/1799162670</x:t>
  </x:si>
  <x:si>
    <x:t>PZA.DC.AF</x:t>
  </x:si>
  <x:si>
    <x:t>- - - - - Intravenous anaesthesia</x:t>
  </x:si>
  <x:si>
    <x:t>http://id.who.int/icd/entity/994497183</x:t>
  </x:si>
  <x:si>
    <x:t>http://id.who.int/icd/release/11/beta/ichi/994497183</x:t>
  </x:si>
  <x:si>
    <x:t>PZA.DD.AC</x:t>
  </x:si>
  <x:si>
    <x:t>- - - - - Oxygen therapy</x:t>
  </x:si>
  <x:si>
    <x:t>http://id.who.int/icd/entity/1903834612</x:t>
  </x:si>
  <x:si>
    <x:t>http://id.who.int/icd/release/11/beta/ichi/1903834612</x:t>
  </x:si>
  <x:si>
    <x:t>PZA.GA.BA</x:t>
  </x:si>
  <x:si>
    <x:t>- - - - - Total body irradiation</x:t>
  </x:si>
  <x:si>
    <x:t>http://id.who.int/icd/entity/342696511</x:t>
  </x:si>
  <x:si>
    <x:t>http://id.who.int/icd/release/11/beta/ichi/342696511</x:t>
  </x:si>
  <x:si>
    <x:t>PZA.SC.AH</x:t>
  </x:si>
  <x:si>
    <x:t>- - - - - Whole body phototherapy</x:t>
  </x:si>
  <x:si>
    <x:t>http://id.who.int/icd/entity/785608409</x:t>
  </x:si>
  <x:si>
    <x:t>http://id.who.int/icd/release/11/beta/ichi/785608409</x:t>
  </x:si>
  <x:si>
    <x:t>PZA.SD.BQ</x:t>
  </x:si>
  <x:si>
    <x:t>- - - - - Warming of central body temperature</x:t>
  </x:si>
  <x:si>
    <x:t>http://id.who.int/icd/entity/736575783</x:t>
  </x:si>
  <x:si>
    <x:t>http://id.who.int/icd/release/11/beta/ichi/736575783</x:t>
  </x:si>
  <x:si>
    <x:t>PZA.SE.ZZ</x:t>
  </x:si>
  <x:si>
    <x:t>- - - - - Cooling of central body temperature</x:t>
  </x:si>
  <x:si>
    <x:t>http://id.who.int/icd/entity/1533405866</x:t>
  </x:si>
  <x:si>
    <x:t>http://id.who.int/icd/release/11/beta/ichi/1533405866</x:t>
  </x:si>
  <x:si>
    <x:t>PZA.SN.AH</x:t>
  </x:si>
  <x:si>
    <x:t>- - - - - Management of pharmacotherapy internal device</x:t>
  </x:si>
  <x:si>
    <x:t>http://id.who.int/icd/entity/265137408</x:t>
  </x:si>
  <x:si>
    <x:t>http://id.who.int/icd/release/11/beta/ichi/265137408</x:t>
  </x:si>
  <x:si>
    <x:t>PZA.TE.ZZ</x:t>
  </x:si>
  <x:si>
    <x:t>- - - - - Detoxification</x:t>
  </x:si>
  <x:si>
    <x:t>http://id.who.int/icd/entity/832602109</x:t>
  </x:si>
  <x:si>
    <x:t>http://id.who.int/icd/release/11/beta/ichi/832602109</x:t>
  </x:si>
  <x:si>
    <x:t>PZA.TH.ZZ</x:t>
  </x:si>
  <x:si>
    <x:t>- - - - - Post mortem care</x:t>
  </x:si>
  <x:si>
    <x:t>http://id.who.int/icd/entity/1156776734</x:t>
  </x:si>
  <x:si>
    <x:t>http://id.who.int/icd/release/11/beta/ichi/1156776734</x:t>
  </x:si>
  <x:si>
    <x:t>PZA.ZY.BS</x:t>
  </x:si>
  <x:si>
    <x:t>- - - - - Hydrotherapy with full immersion, for therapeutic purposes</x:t>
  </x:si>
  <x:si>
    <x:t>http://id.who.int/icd/entity/1002971137</x:t>
  </x:si>
  <x:si>
    <x:t>http://id.who.int/icd/release/11/beta/ichi/1002971137</x:t>
  </x:si>
  <x:si>
    <x:t>PZB.AA.ZZ</x:t>
  </x:si>
  <x:si>
    <x:t>- - - - - General health assessment</x:t>
  </x:si>
  <x:si>
    <x:t>http://id.who.int/icd/entity/1806956978</x:t>
  </x:si>
  <x:si>
    <x:t>http://id.who.int/icd/release/11/beta/ichi/1806956978</x:t>
  </x:si>
  <x:si>
    <x:t>PZB.AC.ZZ</x:t>
  </x:si>
  <x:si>
    <x:t>- - - - - Test of quality of life</x:t>
  </x:si>
  <x:si>
    <x:t>http://id.who.int/icd/entity/1441224456</x:t>
  </x:si>
  <x:si>
    <x:t>http://id.who.int/icd/release/11/beta/ichi/1441224456</x:t>
  </x:si>
  <x:si>
    <x:t>PZB.AM.ZZ</x:t>
  </x:si>
  <x:si>
    <x:t>- - - - - Observation of whole person</x:t>
  </x:si>
  <x:si>
    <x:t>http://id.who.int/icd/entity/1854395984</x:t>
  </x:si>
  <x:si>
    <x:t>http://id.who.int/icd/release/11/beta/ichi/1854395984</x:t>
  </x:si>
  <x:si>
    <x:t>PZB.AN.ZZ</x:t>
  </x:si>
  <x:si>
    <x:t>- - - - - Interview in relation to the whole person</x:t>
  </x:si>
  <x:si>
    <x:t>http://id.who.int/icd/entity/1413061288</x:t>
  </x:si>
  <x:si>
    <x:t>http://id.who.int/icd/release/11/beta/ichi/1413061288</x:t>
  </x:si>
  <x:si>
    <x:t>PZB.PP.ZZ</x:t>
  </x:si>
  <x:si>
    <x:t>- - - - - Counselling, not elsewhere classified</x:t>
  </x:si>
  <x:si>
    <x:t>http://id.who.int/icd/entity/2143614520</x:t>
  </x:si>
  <x:si>
    <x:t>http://id.who.int/icd/release/11/beta/ichi/2143614520</x:t>
  </x:si>
  <x:si>
    <x:t>PZB.PQ.ZZ</x:t>
  </x:si>
  <x:si>
    <x:t>- - - - - Psychotherapy for the whole person, not elsewhere classified</x:t>
  </x:si>
  <x:si>
    <x:t>http://id.who.int/icd/entity/1847617086</x:t>
  </x:si>
  <x:si>
    <x:t>http://id.who.int/icd/release/11/beta/ichi/1847617086</x:t>
  </x:si>
  <x:si>
    <x:t>PZB.TA.ZZ</x:t>
  </x:si>
  <x:si>
    <x:t>- - - - - Advocating for a person</x:t>
  </x:si>
  <x:si>
    <x:t>http://id.who.int/icd/entity/1096850578</x:t>
  </x:si>
  <x:si>
    <x:t>http://id.who.int/icd/release/11/beta/ichi/1096850578</x:t>
  </x:si>
  <x:si>
    <x:t>PZB.TB.ZZ</x:t>
  </x:si>
  <x:si>
    <x:t>- - - - - Individualised planning</x:t>
  </x:si>
  <x:si>
    <x:t>http://id.who.int/icd/entity/1333888626</x:t>
  </x:si>
  <x:si>
    <x:t>http://id.who.int/icd/release/11/beta/ichi/1333888626</x:t>
  </x:si>
  <x:si>
    <x:t>PZB.TC.ZZ</x:t>
  </x:si>
  <x:si>
    <x:t>- - - - - Navigating the service system</x:t>
  </x:si>
  <x:si>
    <x:t>http://id.who.int/icd/entity/570000667</x:t>
  </x:si>
  <x:si>
    <x:t>http://id.who.int/icd/release/11/beta/ichi/570000667</x:t>
  </x:si>
  <x:si>
    <x:t>PZB.TD.ZZ</x:t>
  </x:si>
  <x:si>
    <x:t>- - - - - Case coordination</x:t>
  </x:si>
  <x:si>
    <x:t>http://id.who.int/icd/entity/1967114902</x:t>
  </x:si>
  <x:si>
    <x:t>http://id.who.int/icd/release/11/beta/ichi/1967114902</x:t>
  </x:si>
  <x:si>
    <x:t>PZB.TJ.ZZ</x:t>
  </x:si>
  <x:si>
    <x:t>- - - - - Transporting person</x:t>
  </x:si>
  <x:si>
    <x:t>http://id.who.int/icd/entity/8998631</x:t>
  </x:si>
  <x:si>
    <x:t>http://id.who.int/icd/release/11/beta/ichi/8998631</x:t>
  </x:si>
  <x:si>
    <x:t>PZB.VC.ZZ</x:t>
  </x:si>
  <x:si>
    <x:t>- - - - - Infectious disease contact tracing</x:t>
  </x:si>
  <x:si>
    <x:t>http://id.who.int/icd/entity/801748041</x:t>
  </x:si>
  <x:si>
    <x:t>http://id.who.int/icd/release/11/beta/ichi/801748041</x:t>
  </x:si>
  <x:si>
    <x:t>PZB.VE.ZZ</x:t>
  </x:si>
  <x:si>
    <x:t>- - - - - Isolation of a person for infection control</x:t>
  </x:si>
  <x:si>
    <x:t>http://id.who.int/icd/entity/1102165794</x:t>
  </x:si>
  <x:si>
    <x:t>http://id.who.int/icd/release/11/beta/ichi/1102165794</x:t>
  </x:si>
  <x:si>
    <x:t>PZB.ZY.ZZ</x:t>
  </x:si>
  <x:si>
    <x:t>- - - - - Other health management encounter, not elsewhere classified</x:t>
  </x:si>
  <x:si>
    <x:t>http://id.who.int/icd/entity/182522139</x:t>
  </x:si>
  <x:si>
    <x:t>http://id.who.int/icd/release/11/beta/ichi/182522139</x:t>
  </x:si>
  <x:si>
    <x:t>PZB.ZZ.ZZ</x:t>
  </x:si>
  <x:si>
    <x:t>- - - - - Health management encounter, unspecified</x:t>
  </x:si>
  <x:si>
    <x:t>http://id.who.int/icd/entity/1639276032</x:t>
  </x:si>
  <x:si>
    <x:t>http://id.who.int/icd/release/11/beta/ichi/1639276032</x:t>
  </x:si>
  <x:si>
    <x:t>PZX.AA.AH</x:t>
  </x:si>
  <x:si>
    <x:t>- - - - - Assessment of body part, not elsewhere classified</x:t>
  </x:si>
  <x:si>
    <x:t>http://id.who.int/icd/entity/1428373560</x:t>
  </x:si>
  <x:si>
    <x:t>http://id.who.int/icd/release/11/beta/ichi/1428373560</x:t>
  </x:si>
  <x:si>
    <x:t>PZX.AB.AH</x:t>
  </x:si>
  <x:si>
    <x:t>- - - - - Measurement of a body part, not elsewhere classified</x:t>
  </x:si>
  <x:si>
    <x:t>http://id.who.int/icd/entity/896233987</x:t>
  </x:si>
  <x:si>
    <x:t>http://id.who.int/icd/release/11/beta/ichi/896233987</x:t>
  </x:si>
  <x:si>
    <x:t>PZX.AE.AH</x:t>
  </x:si>
  <x:si>
    <x:t>- - - - - Physical examination of a body site, not elsewhere classified</x:t>
  </x:si>
  <x:si>
    <x:t>http://id.who.int/icd/entity/986905233</x:t>
  </x:si>
  <x:si>
    <x:t>http://id.who.int/icd/release/11/beta/ichi/986905233</x:t>
  </x:si>
  <x:si>
    <x:t>PZX.AH.XB</x:t>
  </x:si>
  <x:si>
    <x:t>- - - - - Specimen collection of urine</x:t>
  </x:si>
  <x:si>
    <x:t>http://id.who.int/icd/entity/803272359</x:t>
  </x:si>
  <x:si>
    <x:t>http://id.who.int/icd/release/11/beta/ichi/803272359</x:t>
  </x:si>
  <x:si>
    <x:t>PZX.AH.XG</x:t>
  </x:si>
  <x:si>
    <x:t>- - - - - Specimen collection of faeces</x:t>
  </x:si>
  <x:si>
    <x:t>http://id.who.int/icd/entity/1881319302</x:t>
  </x:si>
  <x:si>
    <x:t>http://id.who.int/icd/release/11/beta/ichi/1881319302</x:t>
  </x:si>
  <x:si>
    <x:t>PZX.AH.XH</x:t>
  </x:si>
  <x:si>
    <x:t>- - - - - Specimen collection of tissue</x:t>
  </x:si>
  <x:si>
    <x:t>http://id.who.int/icd/entity/542735925</x:t>
  </x:si>
  <x:si>
    <x:t>http://id.who.int/icd/release/11/beta/ichi/542735925</x:t>
  </x:si>
  <x:si>
    <x:t>PZX.AH.ZZ</x:t>
  </x:si>
  <x:si>
    <x:t>- - - - - Specimen collection, not elsewhere classified</x:t>
  </x:si>
  <x:si>
    <x:t>http://id.who.int/icd/entity/1964411004</x:t>
  </x:si>
  <x:si>
    <x:t>http://id.who.int/icd/release/11/beta/ichi/1964411004</x:t>
  </x:si>
  <x:si>
    <x:t>PZX.BA.BL</x:t>
  </x:si>
  <x:si>
    <x:t>- - - - - Image capture and analysis, not elsewhere classified</x:t>
  </x:si>
  <x:si>
    <x:t>http://id.who.int/icd/entity/1515614932</x:t>
  </x:si>
  <x:si>
    <x:t>http://id.who.int/icd/release/11/beta/ichi/1515614932</x:t>
  </x:si>
  <x:si>
    <x:t>PZX.DL.AE</x:t>
  </x:si>
  <x:si>
    <x:t>- - - - - Insertion of a device, not elsewhere classified</x:t>
  </x:si>
  <x:si>
    <x:t>http://id.who.int/icd/entity/349635457</x:t>
  </x:si>
  <x:si>
    <x:t>http://id.who.int/icd/release/11/beta/ichi/349635457</x:t>
  </x:si>
  <x:si>
    <x:t>PZX.DP.AH</x:t>
  </x:si>
  <x:si>
    <x:t>- - - - - Installation of assistive product to body site, not elsewhere classified</x:t>
  </x:si>
  <x:si>
    <x:t>http://id.who.int/icd/entity/604049563</x:t>
  </x:si>
  <x:si>
    <x:t>http://id.who.int/icd/release/11/beta/ichi/604049563</x:t>
  </x:si>
  <x:si>
    <x:t>PZX.JD.AD</x:t>
  </x:si>
  <x:si>
    <x:t>- - - - - Endoscopic removal of foreign body or device, not elsewhere classified</x:t>
  </x:si>
  <x:si>
    <x:t>http://id.who.int/icd/entity/893530349</x:t>
  </x:si>
  <x:si>
    <x:t>http://id.who.int/icd/release/11/beta/ichi/893530349</x:t>
  </x:si>
  <x:si>
    <x:t>PZX.JD.AE</x:t>
  </x:si>
  <x:si>
    <x:t>- - - - - Percutaneous removal of internal device or foreign body or device, not elsewhere classified</x:t>
  </x:si>
  <x:si>
    <x:t>http://id.who.int/icd/entity/629713243</x:t>
  </x:si>
  <x:si>
    <x:t>http://id.who.int/icd/release/11/beta/ichi/629713243</x:t>
  </x:si>
  <x:si>
    <x:t>PZX.KA.AE</x:t>
  </x:si>
  <x:si>
    <x:t>- - - - - Percutaneous replacement of device, not elsewhere classified</x:t>
  </x:si>
  <x:si>
    <x:t>http://id.who.int/icd/entity/707862985</x:t>
  </x:si>
  <x:si>
    <x:t>http://id.who.int/icd/release/11/beta/ichi/707862985</x:t>
  </x:si>
  <x:si>
    <x:t>PZX.KB.AH</x:t>
  </x:si>
  <x:si>
    <x:t>- - - - - Replacement of an assistive product, not elsewhere classified</x:t>
  </x:si>
  <x:si>
    <x:t>http://id.who.int/icd/entity/1689276572</x:t>
  </x:si>
  <x:si>
    <x:t>http://id.who.int/icd/release/11/beta/ichi/1689276572</x:t>
  </x:si>
  <x:si>
    <x:t>PZX.LC.AH</x:t>
  </x:si>
  <x:si>
    <x:t>- - - - - Application of cast or splint, not elsewhere classified</x:t>
  </x:si>
  <x:si>
    <x:t>http://id.who.int/icd/entity/271113567</x:t>
  </x:si>
  <x:si>
    <x:t>http://id.who.int/icd/release/11/beta/ichi/271113567</x:t>
  </x:si>
  <x:si>
    <x:t>PZX.LD.ZZ</x:t>
  </x:si>
  <x:si>
    <x:t>- - - - - Positioning of a part of the body, not elsewhere classified</x:t>
  </x:si>
  <x:si>
    <x:t>http://id.who.int/icd/entity/175104901</x:t>
  </x:si>
  <x:si>
    <x:t>http://id.who.int/icd/release/11/beta/ichi/175104901</x:t>
  </x:si>
  <x:si>
    <x:t>PZX.SB.AH</x:t>
  </x:si>
  <x:si>
    <x:t>- - - - - Acupressure, not elsewhere classified</x:t>
  </x:si>
  <x:si>
    <x:t>http://id.who.int/icd/entity/23854377</x:t>
  </x:si>
  <x:si>
    <x:t>http://id.who.int/icd/release/11/beta/ichi/23854377</x:t>
  </x:si>
  <x:si>
    <x:t>PZX.SD.BQ</x:t>
  </x:si>
  <x:si>
    <x:t>- - - - - Warming of peripheral body temperature, not elsewhere classified</x:t>
  </x:si>
  <x:si>
    <x:t>http://id.who.int/icd/entity/734224187</x:t>
  </x:si>
  <x:si>
    <x:t>http://id.who.int/icd/release/11/beta/ichi/734224187</x:t>
  </x:si>
  <x:si>
    <x:t>PZX.SE.ZZ</x:t>
  </x:si>
  <x:si>
    <x:t>- - - - - Cooling of peripheral body temperature, not elsewhere classified</x:t>
  </x:si>
  <x:si>
    <x:t>http://id.who.int/icd/entity/1946226200</x:t>
  </x:si>
  <x:si>
    <x:t>http://id.who.int/icd/release/11/beta/ichi/1946226200</x:t>
  </x:si>
  <x:si>
    <x:t>PZX.SO.AH</x:t>
  </x:si>
  <x:si>
    <x:t>- - - - - Removal of an assistive product from body site, not elsewhere classified</x:t>
  </x:si>
  <x:si>
    <x:t>http://id.who.int/icd/entity/1144186260</x:t>
  </x:si>
  <x:si>
    <x:t>http://id.who.int/icd/release/11/beta/ichi/1144186260</x:t>
  </x:si>
  <x:si>
    <x:t>PZX.SP.AE</x:t>
  </x:si>
  <x:si>
    <x:t>- - - - - Acupuncture, not elsewhere classified, percutaneous</x:t>
  </x:si>
  <x:si>
    <x:t>http://id.who.int/icd/entity/468759729</x:t>
  </x:si>
  <x:si>
    <x:t>http://id.who.int/icd/release/11/beta/ichi/468759729</x:t>
  </x:si>
  <x:si>
    <x:t>PZX.SP.AH</x:t>
  </x:si>
  <x:si>
    <x:t>- - - - - Acupuncture, not elsewhere classified, external</x:t>
  </x:si>
  <x:si>
    <x:t>http://id.who.int/icd/entity/1267428610</x:t>
  </x:si>
  <x:si>
    <x:t>http://id.who.int/icd/release/11/beta/ichi/1267428610</x:t>
  </x:si>
  <x:si>
    <x:t>PZX.SQ.AH</x:t>
  </x:si>
  <x:si>
    <x:t>- - - - - Moxibustion</x:t>
  </x:si>
  <x:si>
    <x:t>http://id.who.int/icd/entity/1314568816</x:t>
  </x:si>
  <x:si>
    <x:t>http://id.who.int/icd/release/11/beta/ichi/1314568816</x:t>
  </x:si>
  <x:si>
    <x:t>PZX.SR.AH</x:t>
  </x:si>
  <x:si>
    <x:t>- - - - - Cupping</x:t>
  </x:si>
  <x:si>
    <x:t>http://id.who.int/icd/entity/1705498368</x:t>
  </x:si>
  <x:si>
    <x:t>http://id.who.int/icd/release/11/beta/ichi/1705498368</x:t>
  </x:si>
  <x:si>
    <x:t>PZX.TI.ZZ</x:t>
  </x:si>
  <x:si>
    <x:t>- - - - - Pharmacotherapy prescription</x:t>
  </x:si>
  <x:si>
    <x:t>http://id.who.int/icd/entity/183622695</x:t>
  </x:si>
  <x:si>
    <x:t>http://id.who.int/icd/release/11/beta/ichi/183622695</x:t>
  </x:si>
  <x:si>
    <x:t>BlockL2-SA1</x:t>
  </x:si>
  <x:si>
    <x:t>- - Interventions on activities and participation domains</x:t>
  </x:si>
  <x:si>
    <x:t>http://id.who.int/icd/entity/464714833</x:t>
  </x:si>
  <x:si>
    <x:t>http://id.who.int/icd/release/11/beta/ichi/464714833</x:t>
  </x:si>
  <x:si>
    <x:t>BlockL3-SA1</x:t>
  </x:si>
  <x:si>
    <x:t>- - - Interventions on learning and applying knowledge</x:t>
  </x:si>
  <x:si>
    <x:t>http://id.who.int/icd/entity/786313771</x:t>
  </x:si>
  <x:si>
    <x:t>http://id.who.int/icd/release/11/beta/ichi/786313771</x:t>
  </x:si>
  <x:si>
    <x:t>BlockL4-SA1</x:t>
  </x:si>
  <x:si>
    <x:t>- - - - Interventions on learning and applying knowledge, purposeful sensory experiences</x:t>
  </x:si>
  <x:si>
    <x:t>http://id.who.int/icd/entity/705211931</x:t>
  </x:si>
  <x:si>
    <x:t>http://id.who.int/icd/release/11/beta/ichi/705211931</x:t>
  </x:si>
  <x:si>
    <x:t>SA1.AA.ZZ</x:t>
  </x:si>
  <x:si>
    <x:t>- - - - - Assessment of learning and applying knowledge, unspecified</x:t>
  </x:si>
  <x:si>
    <x:t>http://id.who.int/icd/entity/560446137</x:t>
  </x:si>
  <x:si>
    <x:t>http://id.who.int/icd/release/11/beta/ichi/560446137</x:t>
  </x:si>
  <x:si>
    <x:t>SA1.AC.ZZ</x:t>
  </x:si>
  <x:si>
    <x:t>- - - - - Test of learning and applying knowledge, unspecified</x:t>
  </x:si>
  <x:si>
    <x:t>http://id.who.int/icd/entity/609457479</x:t>
  </x:si>
  <x:si>
    <x:t>http://id.who.int/icd/release/11/beta/ichi/609457479</x:t>
  </x:si>
  <x:si>
    <x:t>SA1.AM.ZZ</x:t>
  </x:si>
  <x:si>
    <x:t>- - - - - Observation of learning and applying knowledge, unspecified</x:t>
  </x:si>
  <x:si>
    <x:t>http://id.who.int/icd/entity/1422999244</x:t>
  </x:si>
  <x:si>
    <x:t>http://id.who.int/icd/release/11/beta/ichi/1422999244</x:t>
  </x:si>
  <x:si>
    <x:t>SA1.PH.ZZ</x:t>
  </x:si>
  <x:si>
    <x:t>- - - - - Training in learning and applying knowledge, unspecified</x:t>
  </x:si>
  <x:si>
    <x:t>http://id.who.int/icd/entity/2073150564</x:t>
  </x:si>
  <x:si>
    <x:t>http://id.who.int/icd/release/11/beta/ichi/2073150564</x:t>
  </x:si>
  <x:si>
    <x:t>SA1.PM.ZZ</x:t>
  </x:si>
  <x:si>
    <x:t>- - - - - Education about learning and applying knowledge, unspecified</x:t>
  </x:si>
  <x:si>
    <x:t>http://id.who.int/icd/entity/1589207352</x:t>
  </x:si>
  <x:si>
    <x:t>http://id.who.int/icd/release/11/beta/ichi/1589207352</x:t>
  </x:si>
  <x:si>
    <x:t>SA1.PN.ZZ</x:t>
  </x:si>
  <x:si>
    <x:t>- - - - - Advising about learning and applying knowledge, unspecified</x:t>
  </x:si>
  <x:si>
    <x:t>http://id.who.int/icd/entity/817979999</x:t>
  </x:si>
  <x:si>
    <x:t>http://id.who.int/icd/release/11/beta/ichi/817979999</x:t>
  </x:si>
  <x:si>
    <x:t>SA1.PP.ZZ</x:t>
  </x:si>
  <x:si>
    <x:t>- - - - - Counselling about learning and applying knowledge, unspecified</x:t>
  </x:si>
  <x:si>
    <x:t>http://id.who.int/icd/entity/24850453</x:t>
  </x:si>
  <x:si>
    <x:t>http://id.who.int/icd/release/11/beta/ichi/24850453</x:t>
  </x:si>
  <x:si>
    <x:t>SA1.PQ.ZZ</x:t>
  </x:si>
  <x:si>
    <x:t>- - - - - Psychotherapy for learning and applying knowledge, unspecified</x:t>
  </x:si>
  <x:si>
    <x:t>http://id.who.int/icd/entity/826858399</x:t>
  </x:si>
  <x:si>
    <x:t>http://id.who.int/icd/release/11/beta/ichi/826858399</x:t>
  </x:si>
  <x:si>
    <x:t>SA1.RA.ZZ</x:t>
  </x:si>
  <x:si>
    <x:t>- - - - - Performing the task of learning and applying knowledge, unspecified</x:t>
  </x:si>
  <x:si>
    <x:t>http://id.who.int/icd/entity/978109747</x:t>
  </x:si>
  <x:si>
    <x:t>http://id.who.int/icd/release/11/beta/ichi/978109747</x:t>
  </x:si>
  <x:si>
    <x:t>SA1.RB.ZZ</x:t>
  </x:si>
  <x:si>
    <x:t>- - - - - Practical support with learning and applying knowledge, unspecified</x:t>
  </x:si>
  <x:si>
    <x:t>http://id.who.int/icd/entity/1854573244</x:t>
  </x:si>
  <x:si>
    <x:t>http://id.who.int/icd/release/11/beta/ichi/1854573244</x:t>
  </x:si>
  <x:si>
    <x:t>SA1.RC.ZZ</x:t>
  </x:si>
  <x:si>
    <x:t>- - - - - Emotional support for learning and applying knowledge, unspecified</x:t>
  </x:si>
  <x:si>
    <x:t>http://id.who.int/icd/entity/1418950186</x:t>
  </x:si>
  <x:si>
    <x:t>http://id.who.int/icd/release/11/beta/ichi/1418950186</x:t>
  </x:si>
  <x:si>
    <x:t>SA1.RE.ZZ</x:t>
  </x:si>
  <x:si>
    <x:t>- - - - - Provision of peer support for learning and applying knowledge, unspecified</x:t>
  </x:si>
  <x:si>
    <x:t>http://id.who.int/icd/entity/2077461638</x:t>
  </x:si>
  <x:si>
    <x:t>http://id.who.int/icd/release/11/beta/ichi/2077461638</x:t>
  </x:si>
  <x:si>
    <x:t>SA1.TA.ZZ</x:t>
  </x:si>
  <x:si>
    <x:t>- - - - - Advocacy in relation to learning and applying knowledge, unspecified</x:t>
  </x:si>
  <x:si>
    <x:t>http://id.who.int/icd/entity/189867785</x:t>
  </x:si>
  <x:si>
    <x:t>http://id.who.int/icd/release/11/beta/ichi/189867785</x:t>
  </x:si>
  <x:si>
    <x:t>SA1.ZZ.ZZ</x:t>
  </x:si>
  <x:si>
    <x:t>- - - - - Other interventions for unspecified learning and applying knowledge</x:t>
  </x:si>
  <x:si>
    <x:t>http://id.who.int/icd/entity/1467034639</x:t>
  </x:si>
  <x:si>
    <x:t>http://id.who.int/icd/release/11/beta/ichi/1467034639</x:t>
  </x:si>
  <x:si>
    <x:t>SA2.AA.ZZ</x:t>
  </x:si>
  <x:si>
    <x:t>- - - - - Assessment of purposeful sensory experiences, not elsewhere classified</x:t>
  </x:si>
  <x:si>
    <x:t>http://id.who.int/icd/entity/675942160</x:t>
  </x:si>
  <x:si>
    <x:t>http://id.who.int/icd/release/11/beta/ichi/675942160</x:t>
  </x:si>
  <x:si>
    <x:t>SA2.AC.ZZ</x:t>
  </x:si>
  <x:si>
    <x:t>- - - - - Test of purposeful sensory experiences, not elsewhere classified</x:t>
  </x:si>
  <x:si>
    <x:t>http://id.who.int/icd/entity/1177685113</x:t>
  </x:si>
  <x:si>
    <x:t>http://id.who.int/icd/release/11/beta/ichi/1177685113</x:t>
  </x:si>
  <x:si>
    <x:t>SA2.AM.ZZ</x:t>
  </x:si>
  <x:si>
    <x:t>- - - - - Observation of purposeful sensory experiences, not elsewhere classified</x:t>
  </x:si>
  <x:si>
    <x:t>http://id.who.int/icd/entity/1576831843</x:t>
  </x:si>
  <x:si>
    <x:t>http://id.who.int/icd/release/11/beta/ichi/1576831843</x:t>
  </x:si>
  <x:si>
    <x:t>SA2.PH.ZZ</x:t>
  </x:si>
  <x:si>
    <x:t>- - - - - Training in purposeful sensory experiences, not elsewhere classified</x:t>
  </x:si>
  <x:si>
    <x:t>http://id.who.int/icd/entity/1203484089</x:t>
  </x:si>
  <x:si>
    <x:t>http://id.who.int/icd/release/11/beta/ichi/1203484089</x:t>
  </x:si>
  <x:si>
    <x:t>SA2.PM.ZZ</x:t>
  </x:si>
  <x:si>
    <x:t>- - - - - Education about purposeful sensory experiences, not elsewhere classified</x:t>
  </x:si>
  <x:si>
    <x:t>http://id.who.int/icd/entity/1287629589</x:t>
  </x:si>
  <x:si>
    <x:t>http://id.who.int/icd/release/11/beta/ichi/1287629589</x:t>
  </x:si>
  <x:si>
    <x:t>SA2.PN.ZZ</x:t>
  </x:si>
  <x:si>
    <x:t>- - - - - Advising about purposeful sensory experiences, not elsewhere classified</x:t>
  </x:si>
  <x:si>
    <x:t>http://id.who.int/icd/entity/1114268375</x:t>
  </x:si>
  <x:si>
    <x:t>http://id.who.int/icd/release/11/beta/ichi/1114268375</x:t>
  </x:si>
  <x:si>
    <x:t>SA2.PP.ZZ</x:t>
  </x:si>
  <x:si>
    <x:t>- - - - - Counselling about purposeful sensory experiences, not elsewhere classified</x:t>
  </x:si>
  <x:si>
    <x:t>http://id.who.int/icd/entity/1028735432</x:t>
  </x:si>
  <x:si>
    <x:t>http://id.who.int/icd/release/11/beta/ichi/1028735432</x:t>
  </x:si>
  <x:si>
    <x:t>SA2.RA.ZZ</x:t>
  </x:si>
  <x:si>
    <x:t>- - - - - Performing the task of purposeful sensory experiences, not elsewhere classified</x:t>
  </x:si>
  <x:si>
    <x:t>http://id.who.int/icd/entity/946171446</x:t>
  </x:si>
  <x:si>
    <x:t>http://id.who.int/icd/release/11/beta/ichi/946171446</x:t>
  </x:si>
  <x:si>
    <x:t>SA2.RB.ZZ</x:t>
  </x:si>
  <x:si>
    <x:t>- - - - - Practical support with purposeful sensory experiences, not elsewhere classified</x:t>
  </x:si>
  <x:si>
    <x:t>http://id.who.int/icd/entity/1223148987</x:t>
  </x:si>
  <x:si>
    <x:t>http://id.who.int/icd/release/11/beta/ichi/1223148987</x:t>
  </x:si>
  <x:si>
    <x:t>SA2.RC.ZZ</x:t>
  </x:si>
  <x:si>
    <x:t>- - - - - Emotional support for purposeful sensory experiences, not elsewhere classified</x:t>
  </x:si>
  <x:si>
    <x:t>http://id.who.int/icd/entity/1739013909</x:t>
  </x:si>
  <x:si>
    <x:t>http://id.who.int/icd/release/11/beta/ichi/1739013909</x:t>
  </x:si>
  <x:si>
    <x:t>SAA.AA.ZZ</x:t>
  </x:si>
  <x:si>
    <x:t>- - - - - Assessment of watching</x:t>
  </x:si>
  <x:si>
    <x:t>http://id.who.int/icd/entity/1572782979</x:t>
  </x:si>
  <x:si>
    <x:t>http://id.who.int/icd/release/11/beta/ichi/1572782979</x:t>
  </x:si>
  <x:si>
    <x:t>SAA.AC.ZZ</x:t>
  </x:si>
  <x:si>
    <x:t>- - - - - Test of watching</x:t>
  </x:si>
  <x:si>
    <x:t>http://id.who.int/icd/entity/868663530</x:t>
  </x:si>
  <x:si>
    <x:t>http://id.who.int/icd/release/11/beta/ichi/868663530</x:t>
  </x:si>
  <x:si>
    <x:t>SAA.AM.ZZ</x:t>
  </x:si>
  <x:si>
    <x:t>- - - - - Observation of watching</x:t>
  </x:si>
  <x:si>
    <x:t>http://id.who.int/icd/entity/41718432</x:t>
  </x:si>
  <x:si>
    <x:t>http://id.who.int/icd/release/11/beta/ichi/41718432</x:t>
  </x:si>
  <x:si>
    <x:t>SAA.PH.ZZ</x:t>
  </x:si>
  <x:si>
    <x:t>- - - - - Training in watching</x:t>
  </x:si>
  <x:si>
    <x:t>http://id.who.int/icd/entity/1922380579</x:t>
  </x:si>
  <x:si>
    <x:t>http://id.who.int/icd/release/11/beta/ichi/1922380579</x:t>
  </x:si>
  <x:si>
    <x:t>SAA.PM.ZZ</x:t>
  </x:si>
  <x:si>
    <x:t>- - - - - Education about watching</x:t>
  </x:si>
  <x:si>
    <x:t>http://id.who.int/icd/entity/2039557519</x:t>
  </x:si>
  <x:si>
    <x:t>http://id.who.int/icd/release/11/beta/ichi/2039557519</x:t>
  </x:si>
  <x:si>
    <x:t>SAA.PN.ZZ</x:t>
  </x:si>
  <x:si>
    <x:t>- - - - - Advising about watching</x:t>
  </x:si>
  <x:si>
    <x:t>http://id.who.int/icd/entity/760701440</x:t>
  </x:si>
  <x:si>
    <x:t>http://id.who.int/icd/release/11/beta/ichi/760701440</x:t>
  </x:si>
  <x:si>
    <x:t>SAA.RB.ZZ</x:t>
  </x:si>
  <x:si>
    <x:t>- - - - - Practical support with watching</x:t>
  </x:si>
  <x:si>
    <x:t>http://id.who.int/icd/entity/2014876751</x:t>
  </x:si>
  <x:si>
    <x:t>http://id.who.int/icd/release/11/beta/ichi/2014876751</x:t>
  </x:si>
  <x:si>
    <x:t>SAD.AA.ZZ</x:t>
  </x:si>
  <x:si>
    <x:t>- - - - - Assessment of listening</x:t>
  </x:si>
  <x:si>
    <x:t>http://id.who.int/icd/entity/1465413345</x:t>
  </x:si>
  <x:si>
    <x:t>http://id.who.int/icd/release/11/beta/ichi/1465413345</x:t>
  </x:si>
  <x:si>
    <x:t>SAD.AC.ZZ</x:t>
  </x:si>
  <x:si>
    <x:t>- - - - - Test for listening</x:t>
  </x:si>
  <x:si>
    <x:t>http://id.who.int/icd/entity/668648812</x:t>
  </x:si>
  <x:si>
    <x:t>http://id.who.int/icd/release/11/beta/ichi/668648812</x:t>
  </x:si>
  <x:si>
    <x:t>SAD.AM.ZZ</x:t>
  </x:si>
  <x:si>
    <x:t>- - - - - Observation of listening</x:t>
  </x:si>
  <x:si>
    <x:t>http://id.who.int/icd/entity/1384757647</x:t>
  </x:si>
  <x:si>
    <x:t>http://id.who.int/icd/release/11/beta/ichi/1384757647</x:t>
  </x:si>
  <x:si>
    <x:t>SAD.PH.ZZ</x:t>
  </x:si>
  <x:si>
    <x:t>- - - - - Training in listening</x:t>
  </x:si>
  <x:si>
    <x:t>http://id.who.int/icd/entity/766679696</x:t>
  </x:si>
  <x:si>
    <x:t>http://id.who.int/icd/release/11/beta/ichi/766679696</x:t>
  </x:si>
  <x:si>
    <x:t>SAD.PM.ZZ</x:t>
  </x:si>
  <x:si>
    <x:t>- - - - - Education about listening</x:t>
  </x:si>
  <x:si>
    <x:t>http://id.who.int/icd/entity/1137351161</x:t>
  </x:si>
  <x:si>
    <x:t>http://id.who.int/icd/release/11/beta/ichi/1137351161</x:t>
  </x:si>
  <x:si>
    <x:t>SAD.PN.ZZ</x:t>
  </x:si>
  <x:si>
    <x:t>- - - - - Advising about listening</x:t>
  </x:si>
  <x:si>
    <x:t>http://id.who.int/icd/entity/1476665059</x:t>
  </x:si>
  <x:si>
    <x:t>http://id.who.int/icd/release/11/beta/ichi/1476665059</x:t>
  </x:si>
  <x:si>
    <x:t>SAD.RB.ZZ</x:t>
  </x:si>
  <x:si>
    <x:t>- - - - - Practical support with listening</x:t>
  </x:si>
  <x:si>
    <x:t>http://id.who.int/icd/entity/1111695417</x:t>
  </x:si>
  <x:si>
    <x:t>http://id.who.int/icd/release/11/beta/ichi/1111695417</x:t>
  </x:si>
  <x:si>
    <x:t>SAE.AA.ZZ</x:t>
  </x:si>
  <x:si>
    <x:t>- - - - - Assessment of other purposeful sensing</x:t>
  </x:si>
  <x:si>
    <x:t>http://id.who.int/icd/entity/1038070616</x:t>
  </x:si>
  <x:si>
    <x:t>http://id.who.int/icd/release/11/beta/ichi/1038070616</x:t>
  </x:si>
  <x:si>
    <x:t>SAE.AC.ZZ</x:t>
  </x:si>
  <x:si>
    <x:t>- - - - - Test of other purposeful sensing</x:t>
  </x:si>
  <x:si>
    <x:t>http://id.who.int/icd/entity/2011386941</x:t>
  </x:si>
  <x:si>
    <x:t>http://id.who.int/icd/release/11/beta/ichi/2011386941</x:t>
  </x:si>
  <x:si>
    <x:t>SAE.AM.ZZ</x:t>
  </x:si>
  <x:si>
    <x:t>- - - - - Observation of other purposeful sensing</x:t>
  </x:si>
  <x:si>
    <x:t>http://id.who.int/icd/entity/650986256</x:t>
  </x:si>
  <x:si>
    <x:t>http://id.who.int/icd/release/11/beta/ichi/650986256</x:t>
  </x:si>
  <x:si>
    <x:t>SAE.PH.ZZ</x:t>
  </x:si>
  <x:si>
    <x:t>- - - - - Training in using other purposeful sensing</x:t>
  </x:si>
  <x:si>
    <x:t>http://id.who.int/icd/entity/1391623869</x:t>
  </x:si>
  <x:si>
    <x:t>http://id.who.int/icd/release/11/beta/ichi/1391623869</x:t>
  </x:si>
  <x:si>
    <x:t>BlockL4-SB2</x:t>
  </x:si>
  <x:si>
    <x:t>- - - - Interventions on basic learning</x:t>
  </x:si>
  <x:si>
    <x:t>81</x:t>
  </x:si>
  <x:si>
    <x:t>http://id.who.int/icd/entity/1827775589</x:t>
  </x:si>
  <x:si>
    <x:t>http://id.who.int/icd/release/11/beta/ichi/1827775589</x:t>
  </x:si>
  <x:si>
    <x:t>SB2.AA.ZZ</x:t>
  </x:si>
  <x:si>
    <x:t>- - - - - Assessment of basic learning, not elsewhere classified</x:t>
  </x:si>
  <x:si>
    <x:t>http://id.who.int/icd/entity/906484410</x:t>
  </x:si>
  <x:si>
    <x:t>http://id.who.int/icd/release/11/beta/ichi/906484410</x:t>
  </x:si>
  <x:si>
    <x:t>SB2.AC.ZZ</x:t>
  </x:si>
  <x:si>
    <x:t>- - - - - Test of basic learning, not elsewhere classified</x:t>
  </x:si>
  <x:si>
    <x:t>http://id.who.int/icd/entity/1183150389</x:t>
  </x:si>
  <x:si>
    <x:t>http://id.who.int/icd/release/11/beta/ichi/1183150389</x:t>
  </x:si>
  <x:si>
    <x:t>SB2.AM.ZZ</x:t>
  </x:si>
  <x:si>
    <x:t>- - - - - Observation of basic learning, not elsewhere classified</x:t>
  </x:si>
  <x:si>
    <x:t>http://id.who.int/icd/entity/869666264</x:t>
  </x:si>
  <x:si>
    <x:t>http://id.who.int/icd/release/11/beta/ichi/869666264</x:t>
  </x:si>
  <x:si>
    <x:t>SB2.PH.ZZ</x:t>
  </x:si>
  <x:si>
    <x:t>- - - - - Training in basic learning, not elsewhere classified</x:t>
  </x:si>
  <x:si>
    <x:t>http://id.who.int/icd/entity/1290612425</x:t>
  </x:si>
  <x:si>
    <x:t>http://id.who.int/icd/release/11/beta/ichi/1290612425</x:t>
  </x:si>
  <x:si>
    <x:t>SB2.PM.ZZ</x:t>
  </x:si>
  <x:si>
    <x:t>- - - - - Education about basic learning, not elsewhere classified</x:t>
  </x:si>
  <x:si>
    <x:t>http://id.who.int/icd/entity/580201888</x:t>
  </x:si>
  <x:si>
    <x:t>http://id.who.int/icd/release/11/beta/ichi/580201888</x:t>
  </x:si>
  <x:si>
    <x:t>SB2.PN.ZZ</x:t>
  </x:si>
  <x:si>
    <x:t>- - - - - Advising about basic learning, not elsewhere classified</x:t>
  </x:si>
  <x:si>
    <x:t>http://id.who.int/icd/entity/962308796</x:t>
  </x:si>
  <x:si>
    <x:t>http://id.who.int/icd/release/11/beta/ichi/962308796</x:t>
  </x:si>
  <x:si>
    <x:t>SB2.PP.ZZ</x:t>
  </x:si>
  <x:si>
    <x:t>- - - - - Counselling about basic learning, not elsewhere classified</x:t>
  </x:si>
  <x:si>
    <x:t>http://id.who.int/icd/entity/589075554</x:t>
  </x:si>
  <x:si>
    <x:t>http://id.who.int/icd/release/11/beta/ichi/589075554</x:t>
  </x:si>
  <x:si>
    <x:t>SB2.RA.ZZ</x:t>
  </x:si>
  <x:si>
    <x:t>- - - - - Performing the task of basic learning, not elsewhere classified</x:t>
  </x:si>
  <x:si>
    <x:t>http://id.who.int/icd/entity/672697036</x:t>
  </x:si>
  <x:si>
    <x:t>http://id.who.int/icd/release/11/beta/ichi/672697036</x:t>
  </x:si>
  <x:si>
    <x:t>SB2.RB.ZZ</x:t>
  </x:si>
  <x:si>
    <x:t>- - - - - Practical support with basic learning, not elsewhere classified</x:t>
  </x:si>
  <x:si>
    <x:t>http://id.who.int/icd/entity/972823242</x:t>
  </x:si>
  <x:si>
    <x:t>http://id.who.int/icd/release/11/beta/ichi/972823242</x:t>
  </x:si>
  <x:si>
    <x:t>SB2.RC.ZZ</x:t>
  </x:si>
  <x:si>
    <x:t>- - - - - Emotional support for basic learning, not elsewhere classified</x:t>
  </x:si>
  <x:si>
    <x:t>http://id.who.int/icd/entity/1187461589</x:t>
  </x:si>
  <x:si>
    <x:t>http://id.who.int/icd/release/11/beta/ichi/1187461589</x:t>
  </x:si>
  <x:si>
    <x:t>SBA.AA.ZZ</x:t>
  </x:si>
  <x:si>
    <x:t>- - - - - Assessment of copying</x:t>
  </x:si>
  <x:si>
    <x:t>http://id.who.int/icd/entity/53042210</x:t>
  </x:si>
  <x:si>
    <x:t>http://id.who.int/icd/release/11/beta/ichi/53042210</x:t>
  </x:si>
  <x:si>
    <x:t>SBA.AC.ZZ</x:t>
  </x:si>
  <x:si>
    <x:t>- - - - - Test of copying</x:t>
  </x:si>
  <x:si>
    <x:t>http://id.who.int/icd/entity/1940649903</x:t>
  </x:si>
  <x:si>
    <x:t>http://id.who.int/icd/release/11/beta/ichi/1940649903</x:t>
  </x:si>
  <x:si>
    <x:t>SBA.AM.ZZ</x:t>
  </x:si>
  <x:si>
    <x:t>- - - - - Observation of copying</x:t>
  </x:si>
  <x:si>
    <x:t>http://id.who.int/icd/entity/1558908161</x:t>
  </x:si>
  <x:si>
    <x:t>http://id.who.int/icd/release/11/beta/ichi/1558908161</x:t>
  </x:si>
  <x:si>
    <x:t>SBA.PG.ZZ</x:t>
  </x:si>
  <x:si>
    <x:t>- - - - - Assisting or leading exercise for copying</x:t>
  </x:si>
  <x:si>
    <x:t>http://id.who.int/icd/entity/161807182</x:t>
  </x:si>
  <x:si>
    <x:t>http://id.who.int/icd/release/11/beta/ichi/161807182</x:t>
  </x:si>
  <x:si>
    <x:t>SBA.PH.ZZ</x:t>
  </x:si>
  <x:si>
    <x:t>- - - - - Training in copying</x:t>
  </x:si>
  <x:si>
    <x:t>http://id.who.int/icd/entity/1742534695</x:t>
  </x:si>
  <x:si>
    <x:t>http://id.who.int/icd/release/11/beta/ichi/1742534695</x:t>
  </x:si>
  <x:si>
    <x:t>SBA.PM.ZZ</x:t>
  </x:si>
  <x:si>
    <x:t>- - - - - Education about copying</x:t>
  </x:si>
  <x:si>
    <x:t>http://id.who.int/icd/entity/1449568877</x:t>
  </x:si>
  <x:si>
    <x:t>http://id.who.int/icd/release/11/beta/ichi/1449568877</x:t>
  </x:si>
  <x:si>
    <x:t>SBA.PN.ZZ</x:t>
  </x:si>
  <x:si>
    <x:t>- - - - - Advising about copying</x:t>
  </x:si>
  <x:si>
    <x:t>http://id.who.int/icd/entity/372380410</x:t>
  </x:si>
  <x:si>
    <x:t>http://id.who.int/icd/release/11/beta/ichi/372380410</x:t>
  </x:si>
  <x:si>
    <x:t>SBA.RB.ZZ</x:t>
  </x:si>
  <x:si>
    <x:t>- - - - - Practical support with copying</x:t>
  </x:si>
  <x:si>
    <x:t>http://id.who.int/icd/entity/490081368</x:t>
  </x:si>
  <x:si>
    <x:t>http://id.who.int/icd/release/11/beta/ichi/490081368</x:t>
  </x:si>
  <x:si>
    <x:t>SBA.RC.ZZ</x:t>
  </x:si>
  <x:si>
    <x:t>- - - - - Emotional support for copying</x:t>
  </x:si>
  <x:si>
    <x:t>http://id.who.int/icd/entity/1240482777</x:t>
  </x:si>
  <x:si>
    <x:t>http://id.who.int/icd/release/11/beta/ichi/1240482777</x:t>
  </x:si>
  <x:si>
    <x:t>SBB.AA.ZZ</x:t>
  </x:si>
  <x:si>
    <x:t>- - - - - Assessment of learning through actions with objects and persons</x:t>
  </x:si>
  <x:si>
    <x:t>http://id.who.int/icd/entity/482325910</x:t>
  </x:si>
  <x:si>
    <x:t>http://id.who.int/icd/release/11/beta/ichi/482325910</x:t>
  </x:si>
  <x:si>
    <x:t>SBB.AM.ZZ</x:t>
  </x:si>
  <x:si>
    <x:t>- - - - - Observation of learning through actions with objects and persons</x:t>
  </x:si>
  <x:si>
    <x:t>http://id.who.int/icd/entity/872369978</x:t>
  </x:si>
  <x:si>
    <x:t>http://id.who.int/icd/release/11/beta/ichi/872369978</x:t>
  </x:si>
  <x:si>
    <x:t>SBC.AA.ZZ</x:t>
  </x:si>
  <x:si>
    <x:t>- - - - - Assessment of acquiring language</x:t>
  </x:si>
  <x:si>
    <x:t>http://id.who.int/icd/entity/1132324021</x:t>
  </x:si>
  <x:si>
    <x:t>http://id.who.int/icd/release/11/beta/ichi/1132324021</x:t>
  </x:si>
  <x:si>
    <x:t>SBC.AC.ZZ</x:t>
  </x:si>
  <x:si>
    <x:t>- - - - - Test of acquiring language</x:t>
  </x:si>
  <x:si>
    <x:t>http://id.who.int/icd/entity/689947026</x:t>
  </x:si>
  <x:si>
    <x:t>http://id.who.int/icd/release/11/beta/ichi/689947026</x:t>
  </x:si>
  <x:si>
    <x:t>SBC.PH.ZZ</x:t>
  </x:si>
  <x:si>
    <x:t>- - - - - Training in acquiring language</x:t>
  </x:si>
  <x:si>
    <x:t>http://id.who.int/icd/entity/1445257869</x:t>
  </x:si>
  <x:si>
    <x:t>http://id.who.int/icd/release/11/beta/ichi/1445257869</x:t>
  </x:si>
  <x:si>
    <x:t>SBC.RB.ZZ</x:t>
  </x:si>
  <x:si>
    <x:t>- - - - - Practical support with acquiring language</x:t>
  </x:si>
  <x:si>
    <x:t>http://id.who.int/icd/entity/945611238</x:t>
  </x:si>
  <x:si>
    <x:t>http://id.who.int/icd/release/11/beta/ichi/945611238</x:t>
  </x:si>
  <x:si>
    <x:t>SBD.AA.ZZ</x:t>
  </x:si>
  <x:si>
    <x:t>- - - - - Assessment of acquiring an additional language</x:t>
  </x:si>
  <x:si>
    <x:t>http://id.who.int/icd/entity/1620736622</x:t>
  </x:si>
  <x:si>
    <x:t>http://id.who.int/icd/release/11/beta/ichi/1620736622</x:t>
  </x:si>
  <x:si>
    <x:t>SBD.AC.ZZ</x:t>
  </x:si>
  <x:si>
    <x:t>- - - - - Test of acquiring an additional language</x:t>
  </x:si>
  <x:si>
    <x:t>http://id.who.int/icd/entity/2061321400</x:t>
  </x:si>
  <x:si>
    <x:t>http://id.who.int/icd/release/11/beta/ichi/2061321400</x:t>
  </x:si>
  <x:si>
    <x:t>SBD.PH.ZZ</x:t>
  </x:si>
  <x:si>
    <x:t>- - - - - Training in acquiring an additional language</x:t>
  </x:si>
  <x:si>
    <x:t>http://id.who.int/icd/entity/1910069786</x:t>
  </x:si>
  <x:si>
    <x:t>http://id.who.int/icd/release/11/beta/ichi/1910069786</x:t>
  </x:si>
  <x:si>
    <x:t>SBD.RB.ZZ</x:t>
  </x:si>
  <x:si>
    <x:t>- - - - - Practical support with acquiring an additional language</x:t>
  </x:si>
  <x:si>
    <x:t>http://id.who.int/icd/entity/258719941</x:t>
  </x:si>
  <x:si>
    <x:t>http://id.who.int/icd/release/11/beta/ichi/258719941</x:t>
  </x:si>
  <x:si>
    <x:t>SBF.AA.ZZ</x:t>
  </x:si>
  <x:si>
    <x:t>- - - - - Assessment of rehearsing</x:t>
  </x:si>
  <x:si>
    <x:t>http://id.who.int/icd/entity/1884349404</x:t>
  </x:si>
  <x:si>
    <x:t>http://id.who.int/icd/release/11/beta/ichi/1884349404</x:t>
  </x:si>
  <x:si>
    <x:t>SBF.AC.ZZ</x:t>
  </x:si>
  <x:si>
    <x:t>- - - - - Test of rehearsing</x:t>
  </x:si>
  <x:si>
    <x:t>http://id.who.int/icd/entity/84123449</x:t>
  </x:si>
  <x:si>
    <x:t>http://id.who.int/icd/release/11/beta/ichi/84123449</x:t>
  </x:si>
  <x:si>
    <x:t>SBF.AM.ZZ</x:t>
  </x:si>
  <x:si>
    <x:t>- - - - - Observation of rehearsing</x:t>
  </x:si>
  <x:si>
    <x:t>http://id.who.int/icd/entity/1971401910</x:t>
  </x:si>
  <x:si>
    <x:t>http://id.who.int/icd/release/11/beta/ichi/1971401910</x:t>
  </x:si>
  <x:si>
    <x:t>SBF.PG.ZZ</x:t>
  </x:si>
  <x:si>
    <x:t>- - - - - Assisting or leading exercise for rehearsing</x:t>
  </x:si>
  <x:si>
    <x:t>http://id.who.int/icd/entity/1522650650</x:t>
  </x:si>
  <x:si>
    <x:t>http://id.who.int/icd/release/11/beta/ichi/1522650650</x:t>
  </x:si>
  <x:si>
    <x:t>SBF.PH.ZZ</x:t>
  </x:si>
  <x:si>
    <x:t>- - - - - Training in rehearsing</x:t>
  </x:si>
  <x:si>
    <x:t>http://id.who.int/icd/entity/260978773</x:t>
  </x:si>
  <x:si>
    <x:t>http://id.who.int/icd/release/11/beta/ichi/260978773</x:t>
  </x:si>
  <x:si>
    <x:t>SBF.PM.ZZ</x:t>
  </x:si>
  <x:si>
    <x:t>- - - - - Education about rehearsing</x:t>
  </x:si>
  <x:si>
    <x:t>http://id.who.int/icd/entity/1643526972</x:t>
  </x:si>
  <x:si>
    <x:t>http://id.who.int/icd/release/11/beta/ichi/1643526972</x:t>
  </x:si>
  <x:si>
    <x:t>SBF.PN.ZZ</x:t>
  </x:si>
  <x:si>
    <x:t>- - - - - Advising about rehearsing</x:t>
  </x:si>
  <x:si>
    <x:t>http://id.who.int/icd/entity/1347185014</x:t>
  </x:si>
  <x:si>
    <x:t>http://id.who.int/icd/release/11/beta/ichi/1347185014</x:t>
  </x:si>
  <x:si>
    <x:t>SBF.RB.ZZ</x:t>
  </x:si>
  <x:si>
    <x:t>- - - - - Practical support with rehearsing</x:t>
  </x:si>
  <x:si>
    <x:t>http://id.who.int/icd/entity/254380069</x:t>
  </x:si>
  <x:si>
    <x:t>http://id.who.int/icd/release/11/beta/ichi/254380069</x:t>
  </x:si>
  <x:si>
    <x:t>SBF.RC.ZZ</x:t>
  </x:si>
  <x:si>
    <x:t>- - - - - Emotional support for rehearsing</x:t>
  </x:si>
  <x:si>
    <x:t>http://id.who.int/icd/entity/70096521</x:t>
  </x:si>
  <x:si>
    <x:t>http://id.who.int/icd/release/11/beta/ichi/70096521</x:t>
  </x:si>
  <x:si>
    <x:t>SBG.AA.ZZ</x:t>
  </x:si>
  <x:si>
    <x:t>- - - - - Assessment of acquiring concepts</x:t>
  </x:si>
  <x:si>
    <x:t>http://id.who.int/icd/entity/1357633800</x:t>
  </x:si>
  <x:si>
    <x:t>http://id.who.int/icd/release/11/beta/ichi/1357633800</x:t>
  </x:si>
  <x:si>
    <x:t>SBG.AC.ZZ</x:t>
  </x:si>
  <x:si>
    <x:t>- - - - - Test of acquiring concepts</x:t>
  </x:si>
  <x:si>
    <x:t>http://id.who.int/icd/entity/1165911360</x:t>
  </x:si>
  <x:si>
    <x:t>http://id.who.int/icd/release/11/beta/ichi/1165911360</x:t>
  </x:si>
  <x:si>
    <x:t>SBG.PH.ZZ</x:t>
  </x:si>
  <x:si>
    <x:t>- - - - - Training in acquiring concepts</x:t>
  </x:si>
  <x:si>
    <x:t>http://id.who.int/icd/entity/1782489072</x:t>
  </x:si>
  <x:si>
    <x:t>http://id.who.int/icd/release/11/beta/ichi/1782489072</x:t>
  </x:si>
  <x:si>
    <x:t>SBG.RB.ZZ</x:t>
  </x:si>
  <x:si>
    <x:t>- - - - - Practical support with acquiring concepts</x:t>
  </x:si>
  <x:si>
    <x:t>http://id.who.int/icd/entity/448541795</x:t>
  </x:si>
  <x:si>
    <x:t>http://id.who.int/icd/release/11/beta/ichi/448541795</x:t>
  </x:si>
  <x:si>
    <x:t>SBH.AA.ZZ</x:t>
  </x:si>
  <x:si>
    <x:t>- - - - - Assessment of acquiring information</x:t>
  </x:si>
  <x:si>
    <x:t>http://id.who.int/icd/entity/529013661</x:t>
  </x:si>
  <x:si>
    <x:t>http://id.who.int/icd/release/11/beta/ichi/529013661</x:t>
  </x:si>
  <x:si>
    <x:t>SBH.AC.ZZ</x:t>
  </x:si>
  <x:si>
    <x:t>- - - - - Test of acquiring information</x:t>
  </x:si>
  <x:si>
    <x:t>http://id.who.int/icd/entity/1622358148</x:t>
  </x:si>
  <x:si>
    <x:t>http://id.who.int/icd/release/11/beta/ichi/1622358148</x:t>
  </x:si>
  <x:si>
    <x:t>SBH.PH.ZZ</x:t>
  </x:si>
  <x:si>
    <x:t>- - - - - Training in acquiring information</x:t>
  </x:si>
  <x:si>
    <x:t>http://id.who.int/icd/entity/248200171</x:t>
  </x:si>
  <x:si>
    <x:t>http://id.who.int/icd/release/11/beta/ichi/248200171</x:t>
  </x:si>
  <x:si>
    <x:t>SBH.RB.ZZ</x:t>
  </x:si>
  <x:si>
    <x:t>- - - - - Practical support with acquiring information</x:t>
  </x:si>
  <x:si>
    <x:t>http://id.who.int/icd/entity/1700982766</x:t>
  </x:si>
  <x:si>
    <x:t>http://id.who.int/icd/release/11/beta/ichi/1700982766</x:t>
  </x:si>
  <x:si>
    <x:t>SBI.AA.ZZ</x:t>
  </x:si>
  <x:si>
    <x:t>- - - - - Assessment of learning to read</x:t>
  </x:si>
  <x:si>
    <x:t>http://id.who.int/icd/entity/2133184824</x:t>
  </x:si>
  <x:si>
    <x:t>http://id.who.int/icd/release/11/beta/ichi/2133184824</x:t>
  </x:si>
  <x:si>
    <x:t>SBI.AC.ZZ</x:t>
  </x:si>
  <x:si>
    <x:t>- - - - - Test of learning to read</x:t>
  </x:si>
  <x:si>
    <x:t>http://id.who.int/icd/entity/1948372890</x:t>
  </x:si>
  <x:si>
    <x:t>http://id.who.int/icd/release/11/beta/ichi/1948372890</x:t>
  </x:si>
  <x:si>
    <x:t>SBI.AM.ZZ</x:t>
  </x:si>
  <x:si>
    <x:t>- - - - - Observation of learning to read</x:t>
  </x:si>
  <x:si>
    <x:t>http://id.who.int/icd/entity/177427781</x:t>
  </x:si>
  <x:si>
    <x:t>http://id.who.int/icd/release/11/beta/ichi/177427781</x:t>
  </x:si>
  <x:si>
    <x:t>SBI.PG.ZZ</x:t>
  </x:si>
  <x:si>
    <x:t>- - - - - Assisting or leading exercise for learning to read</x:t>
  </x:si>
  <x:si>
    <x:t>http://id.who.int/icd/entity/1973974620</x:t>
  </x:si>
  <x:si>
    <x:t>http://id.who.int/icd/release/11/beta/ichi/1973974620</x:t>
  </x:si>
  <x:si>
    <x:t>SBI.PH.ZZ</x:t>
  </x:si>
  <x:si>
    <x:t>- - - - - Training in learning to read</x:t>
  </x:si>
  <x:si>
    <x:t>http://id.who.int/icd/entity/533353341</x:t>
  </x:si>
  <x:si>
    <x:t>http://id.who.int/icd/release/11/beta/ichi/533353341</x:t>
  </x:si>
  <x:si>
    <x:t>SBI.PM.ZZ</x:t>
  </x:si>
  <x:si>
    <x:t>- - - - - Education about learning to read</x:t>
  </x:si>
  <x:si>
    <x:t>http://id.who.int/icd/entity/1867053296</x:t>
  </x:si>
  <x:si>
    <x:t>http://id.who.int/icd/release/11/beta/ichi/1867053296</x:t>
  </x:si>
  <x:si>
    <x:t>SBI.PN.ZZ</x:t>
  </x:si>
  <x:si>
    <x:t>- - - - - Advising about learning to read</x:t>
  </x:si>
  <x:si>
    <x:t>http://id.who.int/icd/entity/1074266720</x:t>
  </x:si>
  <x:si>
    <x:t>http://id.who.int/icd/release/11/beta/ichi/1074266720</x:t>
  </x:si>
  <x:si>
    <x:t>SBI.RB.ZZ</x:t>
  </x:si>
  <x:si>
    <x:t>- - - - - Practical support with learning to read</x:t>
  </x:si>
  <x:si>
    <x:t>http://id.who.int/icd/entity/110534593</x:t>
  </x:si>
  <x:si>
    <x:t>http://id.who.int/icd/release/11/beta/ichi/110534593</x:t>
  </x:si>
  <x:si>
    <x:t>SBI.RC.ZZ</x:t>
  </x:si>
  <x:si>
    <x:t>- - - - - Emotional support for learning to read</x:t>
  </x:si>
  <x:si>
    <x:t>http://id.who.int/icd/entity/1760468136</x:t>
  </x:si>
  <x:si>
    <x:t>http://id.who.int/icd/release/11/beta/ichi/1760468136</x:t>
  </x:si>
  <x:si>
    <x:t>SBL.AA.ZZ</x:t>
  </x:si>
  <x:si>
    <x:t>- - - - - Assessment of learning to write</x:t>
  </x:si>
  <x:si>
    <x:t>http://id.who.int/icd/entity/1498730210</x:t>
  </x:si>
  <x:si>
    <x:t>http://id.who.int/icd/release/11/beta/ichi/1498730210</x:t>
  </x:si>
  <x:si>
    <x:t>SBL.AC.ZZ</x:t>
  </x:si>
  <x:si>
    <x:t>- - - - - Test of learning to write</x:t>
  </x:si>
  <x:si>
    <x:t>http://id.who.int/icd/entity/1768367466</x:t>
  </x:si>
  <x:si>
    <x:t>http://id.who.int/icd/release/11/beta/ichi/1768367466</x:t>
  </x:si>
  <x:si>
    <x:t>SBL.AM.ZZ</x:t>
  </x:si>
  <x:si>
    <x:t>- - - - - Observation of learning to write</x:t>
  </x:si>
  <x:si>
    <x:t>http://id.who.int/icd/entity/1650670532</x:t>
  </x:si>
  <x:si>
    <x:t>http://id.who.int/icd/release/11/beta/ichi/1650670532</x:t>
  </x:si>
  <x:si>
    <x:t>SBL.PG.ZZ</x:t>
  </x:si>
  <x:si>
    <x:t>- - - - - Assisting or leading exercise for learning to write</x:t>
  </x:si>
  <x:si>
    <x:t>http://id.who.int/icd/entity/916812875</x:t>
  </x:si>
  <x:si>
    <x:t>http://id.who.int/icd/release/11/beta/ichi/916812875</x:t>
  </x:si>
  <x:si>
    <x:t>SBL.PH.ZZ</x:t>
  </x:si>
  <x:si>
    <x:t>- - - - - Training in learning to write</x:t>
  </x:si>
  <x:si>
    <x:t>http://id.who.int/icd/entity/328061209</x:t>
  </x:si>
  <x:si>
    <x:t>http://id.who.int/icd/release/11/beta/ichi/328061209</x:t>
  </x:si>
  <x:si>
    <x:t>SBL.PM.ZZ</x:t>
  </x:si>
  <x:si>
    <x:t>- - - - - Education about learning to write</x:t>
  </x:si>
  <x:si>
    <x:t>http://id.who.int/icd/entity/1020079031</x:t>
  </x:si>
  <x:si>
    <x:t>http://id.who.int/icd/release/11/beta/ichi/1020079031</x:t>
  </x:si>
  <x:si>
    <x:t>SBL.PN.ZZ</x:t>
  </x:si>
  <x:si>
    <x:t>- - - - - Advising about learning to write</x:t>
  </x:si>
  <x:si>
    <x:t>http://id.who.int/icd/entity/1280278586</x:t>
  </x:si>
  <x:si>
    <x:t>http://id.who.int/icd/release/11/beta/ichi/1280278586</x:t>
  </x:si>
  <x:si>
    <x:t>SBL.RB.ZZ</x:t>
  </x:si>
  <x:si>
    <x:t>- - - - - Practical support with learning to write</x:t>
  </x:si>
  <x:si>
    <x:t>http://id.who.int/icd/entity/1232842692</x:t>
  </x:si>
  <x:si>
    <x:t>http://id.who.int/icd/release/11/beta/ichi/1232842692</x:t>
  </x:si>
  <x:si>
    <x:t>SBL.RC.ZZ</x:t>
  </x:si>
  <x:si>
    <x:t>- - - - - Emotional support for learning to write</x:t>
  </x:si>
  <x:si>
    <x:t>http://id.who.int/icd/entity/910200027</x:t>
  </x:si>
  <x:si>
    <x:t>http://id.who.int/icd/release/11/beta/ichi/910200027</x:t>
  </x:si>
  <x:si>
    <x:t>SBN.AA.ZZ</x:t>
  </x:si>
  <x:si>
    <x:t>- - - - - Assessment of learning to calculate</x:t>
  </x:si>
  <x:si>
    <x:t>http://id.who.int/icd/entity/1480101812</x:t>
  </x:si>
  <x:si>
    <x:t>http://id.who.int/icd/release/11/beta/ichi/1480101812</x:t>
  </x:si>
  <x:si>
    <x:t>SBN.AC.ZZ</x:t>
  </x:si>
  <x:si>
    <x:t>- - - - - Test of learning to calculate</x:t>
  </x:si>
  <x:si>
    <x:t>http://id.who.int/icd/entity/748683889</x:t>
  </x:si>
  <x:si>
    <x:t>http://id.who.int/icd/release/11/beta/ichi/748683889</x:t>
  </x:si>
  <x:si>
    <x:t>SBN.AM.ZZ</x:t>
  </x:si>
  <x:si>
    <x:t>- - - - - Observation of learning to calculate</x:t>
  </x:si>
  <x:si>
    <x:t>http://id.who.int/icd/entity/921124011</x:t>
  </x:si>
  <x:si>
    <x:t>http://id.who.int/icd/release/11/beta/ichi/921124011</x:t>
  </x:si>
  <x:si>
    <x:t>SBN.PG.ZZ</x:t>
  </x:si>
  <x:si>
    <x:t>- - - - - Assisting or leading exercise for learning to calculate</x:t>
  </x:si>
  <x:si>
    <x:t>http://id.who.int/icd/entity/1038295559</x:t>
  </x:si>
  <x:si>
    <x:t>http://id.who.int/icd/release/11/beta/ichi/1038295559</x:t>
  </x:si>
  <x:si>
    <x:t>SBN.PH.ZZ</x:t>
  </x:si>
  <x:si>
    <x:t>- - - - - Training in learning to calculate</x:t>
  </x:si>
  <x:si>
    <x:t>http://id.who.int/icd/entity/59503313</x:t>
  </x:si>
  <x:si>
    <x:t>http://id.who.int/icd/release/11/beta/ichi/59503313</x:t>
  </x:si>
  <x:si>
    <x:t>SBN.PM.ZZ</x:t>
  </x:si>
  <x:si>
    <x:t>- - - - - Education about learning to calculate</x:t>
  </x:si>
  <x:si>
    <x:t>http://id.who.int/icd/entity/2091962832</x:t>
  </x:si>
  <x:si>
    <x:t>http://id.who.int/icd/release/11/beta/ichi/2091962832</x:t>
  </x:si>
  <x:si>
    <x:t>SBN.PN.ZZ</x:t>
  </x:si>
  <x:si>
    <x:t>- - - - - Advising about learning to calculate</x:t>
  </x:si>
  <x:si>
    <x:t>http://id.who.int/icd/entity/2038758962</x:t>
  </x:si>
  <x:si>
    <x:t>http://id.who.int/icd/release/11/beta/ichi/2038758962</x:t>
  </x:si>
  <x:si>
    <x:t>SBN.RB.ZZ</x:t>
  </x:si>
  <x:si>
    <x:t>- - - - - Practical support with learning to calculate</x:t>
  </x:si>
  <x:si>
    <x:t>http://id.who.int/icd/entity/151410109</x:t>
  </x:si>
  <x:si>
    <x:t>http://id.who.int/icd/release/11/beta/ichi/151410109</x:t>
  </x:si>
  <x:si>
    <x:t>SBN.RC.ZZ</x:t>
  </x:si>
  <x:si>
    <x:t>- - - - - Emotional support for learning to calculate</x:t>
  </x:si>
  <x:si>
    <x:t>http://id.who.int/icd/entity/642166547</x:t>
  </x:si>
  <x:si>
    <x:t>http://id.who.int/icd/release/11/beta/ichi/642166547</x:t>
  </x:si>
  <x:si>
    <x:t>SBQ.AA.ZZ</x:t>
  </x:si>
  <x:si>
    <x:t>- - - - - Assessment of acquiring skills</x:t>
  </x:si>
  <x:si>
    <x:t>http://id.who.int/icd/entity/1189832120</x:t>
  </x:si>
  <x:si>
    <x:t>http://id.who.int/icd/release/11/beta/ichi/1189832120</x:t>
  </x:si>
  <x:si>
    <x:t>SBQ.AC.ZZ</x:t>
  </x:si>
  <x:si>
    <x:t>- - - - - Test of acquiring skills</x:t>
  </x:si>
  <x:si>
    <x:t>http://id.who.int/icd/entity/1307540246</x:t>
  </x:si>
  <x:si>
    <x:t>http://id.who.int/icd/release/11/beta/ichi/1307540246</x:t>
  </x:si>
  <x:si>
    <x:t>SBQ.AM.ZZ</x:t>
  </x:si>
  <x:si>
    <x:t>- - - - - Observation of acquiring skills</x:t>
  </x:si>
  <x:si>
    <x:t>http://id.who.int/icd/entity/422130843</x:t>
  </x:si>
  <x:si>
    <x:t>http://id.who.int/icd/release/11/beta/ichi/422130843</x:t>
  </x:si>
  <x:si>
    <x:t>SBQ.PH.ZZ</x:t>
  </x:si>
  <x:si>
    <x:t>- - - - - Training in acquiring skills</x:t>
  </x:si>
  <x:si>
    <x:t>http://id.who.int/icd/entity/1281802964</x:t>
  </x:si>
  <x:si>
    <x:t>http://id.who.int/icd/release/11/beta/ichi/1281802964</x:t>
  </x:si>
  <x:si>
    <x:t>SBQ.PN.ZZ</x:t>
  </x:si>
  <x:si>
    <x:t>- - - - - Advising about acquiring skills</x:t>
  </x:si>
  <x:si>
    <x:t>http://id.who.int/icd/entity/1663449212</x:t>
  </x:si>
  <x:si>
    <x:t>http://id.who.int/icd/release/11/beta/ichi/1663449212</x:t>
  </x:si>
  <x:si>
    <x:t>SBQ.PP.ZZ</x:t>
  </x:si>
  <x:si>
    <x:t>- - - - - Counselling about acquiring skills</x:t>
  </x:si>
  <x:si>
    <x:t>http://id.who.int/icd/entity/329552887</x:t>
  </x:si>
  <x:si>
    <x:t>http://id.who.int/icd/release/11/beta/ichi/329552887</x:t>
  </x:si>
  <x:si>
    <x:t>SBQ.RB.ZZ</x:t>
  </x:si>
  <x:si>
    <x:t>- - - - - Practical support with acquiring skills</x:t>
  </x:si>
  <x:si>
    <x:t>http://id.who.int/icd/entity/2043066064</x:t>
  </x:si>
  <x:si>
    <x:t>http://id.who.int/icd/release/11/beta/ichi/2043066064</x:t>
  </x:si>
  <x:si>
    <x:t>SBQ.RC.ZZ</x:t>
  </x:si>
  <x:si>
    <x:t>- - - - - Emotional support for acquiring skills</x:t>
  </x:si>
  <x:si>
    <x:t>http://id.who.int/icd/entity/1132001848</x:t>
  </x:si>
  <x:si>
    <x:t>http://id.who.int/icd/release/11/beta/ichi/1132001848</x:t>
  </x:si>
  <x:si>
    <x:t>BlockL4-SC2</x:t>
  </x:si>
  <x:si>
    <x:t>- - - - Interventions on applying knowledge</x:t>
  </x:si>
  <x:si>
    <x:t>61</x:t>
  </x:si>
  <x:si>
    <x:t>http://id.who.int/icd/entity/117282255</x:t>
  </x:si>
  <x:si>
    <x:t>http://id.who.int/icd/release/11/beta/ichi/117282255</x:t>
  </x:si>
  <x:si>
    <x:t>SC2.AA.ZZ</x:t>
  </x:si>
  <x:si>
    <x:t>- - - - - Assessment of applying knowledge, not elsewhere classified</x:t>
  </x:si>
  <x:si>
    <x:t>http://id.who.int/icd/entity/128473933</x:t>
  </x:si>
  <x:si>
    <x:t>http://id.who.int/icd/release/11/beta/ichi/128473933</x:t>
  </x:si>
  <x:si>
    <x:t>SC2.AC.ZZ</x:t>
  </x:si>
  <x:si>
    <x:t>- - - - - Test of applying knowledge, not elsewhere classified</x:t>
  </x:si>
  <x:si>
    <x:t>http://id.who.int/icd/entity/2022930514</x:t>
  </x:si>
  <x:si>
    <x:t>http://id.who.int/icd/release/11/beta/ichi/2022930514</x:t>
  </x:si>
  <x:si>
    <x:t>SC2.AM.ZZ</x:t>
  </x:si>
  <x:si>
    <x:t>- - - - - Observation of applying knowledge, not elsewhere classified</x:t>
  </x:si>
  <x:si>
    <x:t>http://id.who.int/icd/entity/384531259</x:t>
  </x:si>
  <x:si>
    <x:t>http://id.who.int/icd/release/11/beta/ichi/384531259</x:t>
  </x:si>
  <x:si>
    <x:t>SC2.PG.ZZ</x:t>
  </x:si>
  <x:si>
    <x:t>- - - - - Assisting or leading exercise for applying knowledge, not elsewhere classified</x:t>
  </x:si>
  <x:si>
    <x:t>http://id.who.int/icd/entity/220593185</x:t>
  </x:si>
  <x:si>
    <x:t>http://id.who.int/icd/release/11/beta/ichi/220593185</x:t>
  </x:si>
  <x:si>
    <x:t>SC2.PH.ZZ</x:t>
  </x:si>
  <x:si>
    <x:t>- - - - - Training in applying knowledge, not elsewhere classified</x:t>
  </x:si>
  <x:si>
    <x:t>http://id.who.int/icd/entity/392348411</x:t>
  </x:si>
  <x:si>
    <x:t>http://id.who.int/icd/release/11/beta/ichi/392348411</x:t>
  </x:si>
  <x:si>
    <x:t>SC2.PM.ZZ</x:t>
  </x:si>
  <x:si>
    <x:t>- - - - - Education about applying knowledge, not elsewhere classified</x:t>
  </x:si>
  <x:si>
    <x:t>http://id.who.int/icd/entity/476503127</x:t>
  </x:si>
  <x:si>
    <x:t>http://id.who.int/icd/release/11/beta/ichi/476503127</x:t>
  </x:si>
  <x:si>
    <x:t>SC2.PN.ZZ</x:t>
  </x:si>
  <x:si>
    <x:t>- - - - - Advising about applying knowledge, not elsewhere classified</x:t>
  </x:si>
  <x:si>
    <x:t>http://id.who.int/icd/entity/313726357</x:t>
  </x:si>
  <x:si>
    <x:t>http://id.who.int/icd/release/11/beta/ichi/313726357</x:t>
  </x:si>
  <x:si>
    <x:t>SC2.RB.ZZ</x:t>
  </x:si>
  <x:si>
    <x:t>- - - - - Practical support with applying knowledge, not elsewhere classified</x:t>
  </x:si>
  <x:si>
    <x:t>http://id.who.int/icd/entity/1837643402</x:t>
  </x:si>
  <x:si>
    <x:t>http://id.who.int/icd/release/11/beta/ichi/1837643402</x:t>
  </x:si>
  <x:si>
    <x:t>SC2.RC.ZZ</x:t>
  </x:si>
  <x:si>
    <x:t>- - - - - Emotional support for applying knowledge, not elsewhere classified</x:t>
  </x:si>
  <x:si>
    <x:t>http://id.who.int/icd/entity/1757157748</x:t>
  </x:si>
  <x:si>
    <x:t>http://id.who.int/icd/release/11/beta/ichi/1757157748</x:t>
  </x:si>
  <x:si>
    <x:t>SCA.AA.ZZ</x:t>
  </x:si>
  <x:si>
    <x:t>- - - - - Assessment of focusing attention</x:t>
  </x:si>
  <x:si>
    <x:t>http://id.who.int/icd/entity/406762233</x:t>
  </x:si>
  <x:si>
    <x:t>http://id.who.int/icd/release/11/beta/ichi/406762233</x:t>
  </x:si>
  <x:si>
    <x:t>SCA.AC.ZZ</x:t>
  </x:si>
  <x:si>
    <x:t>- - - - - Test of focusing attention</x:t>
  </x:si>
  <x:si>
    <x:t>http://id.who.int/icd/entity/931022935</x:t>
  </x:si>
  <x:si>
    <x:t>http://id.who.int/icd/release/11/beta/ichi/931022935</x:t>
  </x:si>
  <x:si>
    <x:t>SCA.AM.ZZ</x:t>
  </x:si>
  <x:si>
    <x:t>- - - - - Observation of focusing attention</x:t>
  </x:si>
  <x:si>
    <x:t>http://id.who.int/icd/entity/224900289</x:t>
  </x:si>
  <x:si>
    <x:t>http://id.who.int/icd/release/11/beta/ichi/224900289</x:t>
  </x:si>
  <x:si>
    <x:t>SCA.PH.ZZ</x:t>
  </x:si>
  <x:si>
    <x:t>- - - - - Training in focusing attention</x:t>
  </x:si>
  <x:si>
    <x:t>http://id.who.int/icd/entity/1663023016</x:t>
  </x:si>
  <x:si>
    <x:t>http://id.who.int/icd/release/11/beta/ichi/1663023016</x:t>
  </x:si>
  <x:si>
    <x:t>SCA.PM.ZZ</x:t>
  </x:si>
  <x:si>
    <x:t>- - - - - Education about focusing attention</x:t>
  </x:si>
  <x:si>
    <x:t>http://id.who.int/icd/entity/1386604002</x:t>
  </x:si>
  <x:si>
    <x:t>http://id.who.int/icd/release/11/beta/ichi/1386604002</x:t>
  </x:si>
  <x:si>
    <x:t>SCA.PN.ZZ</x:t>
  </x:si>
  <x:si>
    <x:t>- - - - - Advising about focusing attention</x:t>
  </x:si>
  <x:si>
    <x:t>http://id.who.int/icd/entity/575423585</x:t>
  </x:si>
  <x:si>
    <x:t>http://id.who.int/icd/release/11/beta/ichi/575423585</x:t>
  </x:si>
  <x:si>
    <x:t>SCA.PP.ZZ</x:t>
  </x:si>
  <x:si>
    <x:t>- - - - - Counselling about focusing attention</x:t>
  </x:si>
  <x:si>
    <x:t>http://id.who.int/icd/entity/692607693</x:t>
  </x:si>
  <x:si>
    <x:t>http://id.who.int/icd/release/11/beta/ichi/692607693</x:t>
  </x:si>
  <x:si>
    <x:t>SCA.RB.ZZ</x:t>
  </x:si>
  <x:si>
    <x:t>- - - - - Practical support with focusing attention</x:t>
  </x:si>
  <x:si>
    <x:t>http://id.who.int/icd/entity/2106463554</x:t>
  </x:si>
  <x:si>
    <x:t>http://id.who.int/icd/release/11/beta/ichi/2106463554</x:t>
  </x:si>
  <x:si>
    <x:t>SCA.RC.ZZ</x:t>
  </x:si>
  <x:si>
    <x:t>- - - - - Emotional support for focusing attention</x:t>
  </x:si>
  <x:si>
    <x:t>http://id.who.int/icd/entity/683795213</x:t>
  </x:si>
  <x:si>
    <x:t>http://id.who.int/icd/release/11/beta/ichi/683795213</x:t>
  </x:si>
  <x:si>
    <x:t>SCC.AA.ZZ</x:t>
  </x:si>
  <x:si>
    <x:t>- - - - - Assessment of thinking</x:t>
  </x:si>
  <x:si>
    <x:t>http://id.who.int/icd/entity/125901219</x:t>
  </x:si>
  <x:si>
    <x:t>http://id.who.int/icd/release/11/beta/ichi/125901219</x:t>
  </x:si>
  <x:si>
    <x:t>SCC.AC.ZZ</x:t>
  </x:si>
  <x:si>
    <x:t>- - - - - Test of thinking</x:t>
  </x:si>
  <x:si>
    <x:t>http://id.who.int/icd/entity/1996730926</x:t>
  </x:si>
  <x:si>
    <x:t>http://id.who.int/icd/release/11/beta/ichi/1996730926</x:t>
  </x:si>
  <x:si>
    <x:t>SCF.AA.ZZ</x:t>
  </x:si>
  <x:si>
    <x:t>- - - - - Assessment of reading</x:t>
  </x:si>
  <x:si>
    <x:t>http://id.who.int/icd/entity/38850253</x:t>
  </x:si>
  <x:si>
    <x:t>http://id.who.int/icd/release/11/beta/ichi/38850253</x:t>
  </x:si>
  <x:si>
    <x:t>SCF.AC.ZZ</x:t>
  </x:si>
  <x:si>
    <x:t>- - - - - Test of reading</x:t>
  </x:si>
  <x:si>
    <x:t>http://id.who.int/icd/entity/2104225234</x:t>
  </x:si>
  <x:si>
    <x:t>http://id.who.int/icd/release/11/beta/ichi/2104225234</x:t>
  </x:si>
  <x:si>
    <x:t>SCF.AM.ZZ</x:t>
  </x:si>
  <x:si>
    <x:t>- - - - - Observation of reading</x:t>
  </x:si>
  <x:si>
    <x:t>http://id.who.int/icd/entity/320073403</x:t>
  </x:si>
  <x:si>
    <x:t>http://id.who.int/icd/release/11/beta/ichi/320073403</x:t>
  </x:si>
  <x:si>
    <x:t>SCF.AN.ZZ</x:t>
  </x:si>
  <x:si>
    <x:t>- - - - - Interview in relation to reading</x:t>
  </x:si>
  <x:si>
    <x:t>http://id.who.int/icd/entity/148728225</x:t>
  </x:si>
  <x:si>
    <x:t>http://id.who.int/icd/release/11/beta/ichi/148728225</x:t>
  </x:si>
  <x:si>
    <x:t>SCF.PH.ZZ</x:t>
  </x:si>
  <x:si>
    <x:t>- - - - - Training in reading</x:t>
  </x:si>
  <x:si>
    <x:t>http://id.who.int/icd/entity/312104827</x:t>
  </x:si>
  <x:si>
    <x:t>http://id.who.int/icd/release/11/beta/ichi/312104827</x:t>
  </x:si>
  <x:si>
    <x:t>SCF.PM.ZZ</x:t>
  </x:si>
  <x:si>
    <x:t>- - - - - Education about reading</x:t>
  </x:si>
  <x:si>
    <x:t>http://id.who.int/icd/entity/429803991</x:t>
  </x:si>
  <x:si>
    <x:t>http://id.who.int/icd/release/11/beta/ichi/429803991</x:t>
  </x:si>
  <x:si>
    <x:t>SCF.PN.ZZ</x:t>
  </x:si>
  <x:si>
    <x:t>- - - - - Advising about reading</x:t>
  </x:si>
  <x:si>
    <x:t>http://id.who.int/icd/entity/142268881</x:t>
  </x:si>
  <x:si>
    <x:t>http://id.who.int/icd/release/11/beta/ichi/142268881</x:t>
  </x:si>
  <x:si>
    <x:t>SCF.RB.ZZ</x:t>
  </x:si>
  <x:si>
    <x:t>- - - - - Practical support with reading</x:t>
  </x:si>
  <x:si>
    <x:t>http://id.who.int/icd/entity/2000812752</x:t>
  </x:si>
  <x:si>
    <x:t>http://id.who.int/icd/release/11/beta/ichi/2000812752</x:t>
  </x:si>
  <x:si>
    <x:t>SCF.RC.ZZ</x:t>
  </x:si>
  <x:si>
    <x:t>- - - - - Emotional support for reading</x:t>
  </x:si>
  <x:si>
    <x:t>http://id.who.int/icd/entity/727839176</x:t>
  </x:si>
  <x:si>
    <x:t>http://id.who.int/icd/release/11/beta/ichi/727839176</x:t>
  </x:si>
  <x:si>
    <x:t>SCG.AA.ZZ</x:t>
  </x:si>
  <x:si>
    <x:t>- - - - - Assessment of writing</x:t>
  </x:si>
  <x:si>
    <x:t>http://id.who.int/icd/entity/1541626437</x:t>
  </x:si>
  <x:si>
    <x:t>http://id.who.int/icd/release/11/beta/ichi/1541626437</x:t>
  </x:si>
  <x:si>
    <x:t>SCG.AC.ZZ</x:t>
  </x:si>
  <x:si>
    <x:t>- - - - - Test of writing</x:t>
  </x:si>
  <x:si>
    <x:t>http://id.who.int/icd/entity/1956880619</x:t>
  </x:si>
  <x:si>
    <x:t>http://id.who.int/icd/release/11/beta/ichi/1956880619</x:t>
  </x:si>
  <x:si>
    <x:t>SCG.AM.ZZ</x:t>
  </x:si>
  <x:si>
    <x:t>- - - - - Observation of writing</x:t>
  </x:si>
  <x:si>
    <x:t>http://id.who.int/icd/entity/569136804</x:t>
  </x:si>
  <x:si>
    <x:t>http://id.who.int/icd/release/11/beta/ichi/569136804</x:t>
  </x:si>
  <x:si>
    <x:t>SCG.AN.ZZ</x:t>
  </x:si>
  <x:si>
    <x:t>- - - - - Interview in relation to writing</x:t>
  </x:si>
  <x:si>
    <x:t>http://id.who.int/icd/entity/1335121357</x:t>
  </x:si>
  <x:si>
    <x:t>http://id.who.int/icd/release/11/beta/ichi/1335121357</x:t>
  </x:si>
  <x:si>
    <x:t>SCG.PH.ZZ</x:t>
  </x:si>
  <x:si>
    <x:t>- - - - - Training in writing</x:t>
  </x:si>
  <x:si>
    <x:t>http://id.who.int/icd/entity/2116945799</x:t>
  </x:si>
  <x:si>
    <x:t>http://id.who.int/icd/release/11/beta/ichi/2116945799</x:t>
  </x:si>
  <x:si>
    <x:t>SCG.PM.ZZ</x:t>
  </x:si>
  <x:si>
    <x:t>- - - - - Education about writing</x:t>
  </x:si>
  <x:si>
    <x:t>http://id.who.int/icd/entity/1048231696</x:t>
  </x:si>
  <x:si>
    <x:t>http://id.who.int/icd/release/11/beta/ichi/1048231696</x:t>
  </x:si>
  <x:si>
    <x:t>SCG.RB.ZZ</x:t>
  </x:si>
  <x:si>
    <x:t>- - - - - Practical support with writing</x:t>
  </x:si>
  <x:si>
    <x:t>http://id.who.int/icd/entity/1421814343</x:t>
  </x:si>
  <x:si>
    <x:t>http://id.who.int/icd/release/11/beta/ichi/1421814343</x:t>
  </x:si>
  <x:si>
    <x:t>SCG.RC.ZZ</x:t>
  </x:si>
  <x:si>
    <x:t>- - - - - Emotional support for writing</x:t>
  </x:si>
  <x:si>
    <x:t>http://id.who.int/icd/entity/1606104299</x:t>
  </x:si>
  <x:si>
    <x:t>http://id.who.int/icd/release/11/beta/ichi/1606104299</x:t>
  </x:si>
  <x:si>
    <x:t>SCI.AA.ZZ</x:t>
  </x:si>
  <x:si>
    <x:t>- - - - - Assessment of calculating</x:t>
  </x:si>
  <x:si>
    <x:t>http://id.who.int/icd/entity/554282548</x:t>
  </x:si>
  <x:si>
    <x:t>http://id.who.int/icd/release/11/beta/ichi/554282548</x:t>
  </x:si>
  <x:si>
    <x:t>SCI.AC.ZZ</x:t>
  </x:si>
  <x:si>
    <x:t>- - - - - Test of calculating</x:t>
  </x:si>
  <x:si>
    <x:t>http://id.who.int/icd/entity/1580371243</x:t>
  </x:si>
  <x:si>
    <x:t>http://id.who.int/icd/release/11/beta/ichi/1580371243</x:t>
  </x:si>
  <x:si>
    <x:t>SCI.AM.ZZ</x:t>
  </x:si>
  <x:si>
    <x:t>- - - - - Observation of calculating</x:t>
  </x:si>
  <x:si>
    <x:t>http://id.who.int/icd/entity/877701134</x:t>
  </x:si>
  <x:si>
    <x:t>http://id.who.int/icd/release/11/beta/ichi/877701134</x:t>
  </x:si>
  <x:si>
    <x:t>SCI.AN.ZZ</x:t>
  </x:si>
  <x:si>
    <x:t>- - - - - Interview in relation to calculating</x:t>
  </x:si>
  <x:si>
    <x:t>http://id.who.int/icd/entity/1154614145</x:t>
  </x:si>
  <x:si>
    <x:t>http://id.who.int/icd/release/11/beta/ichi/1154614145</x:t>
  </x:si>
  <x:si>
    <x:t>SCI.PM.ZZ</x:t>
  </x:si>
  <x:si>
    <x:t>- - - - - Education about calculating</x:t>
  </x:si>
  <x:si>
    <x:t>http://id.who.int/icd/entity/1804794159</x:t>
  </x:si>
  <x:si>
    <x:t>http://id.who.int/icd/release/11/beta/ichi/1804794159</x:t>
  </x:si>
  <x:si>
    <x:t>SCI.RB.ZZ</x:t>
  </x:si>
  <x:si>
    <x:t>- - - - - Practical support with calculating</x:t>
  </x:si>
  <x:si>
    <x:t>http://id.who.int/icd/entity/461068462</x:t>
  </x:si>
  <x:si>
    <x:t>http://id.who.int/icd/release/11/beta/ichi/461068462</x:t>
  </x:si>
  <x:si>
    <x:t>SCI.RC.ZZ</x:t>
  </x:si>
  <x:si>
    <x:t>- - - - - Emotional support for calculating</x:t>
  </x:si>
  <x:si>
    <x:t>http://id.who.int/icd/entity/876323330</x:t>
  </x:si>
  <x:si>
    <x:t>http://id.who.int/icd/release/11/beta/ichi/876323330</x:t>
  </x:si>
  <x:si>
    <x:t>SCJ.AA.ZZ</x:t>
  </x:si>
  <x:si>
    <x:t>- - - - - Assessment of solving problems</x:t>
  </x:si>
  <x:si>
    <x:t>http://id.who.int/icd/entity/1152977295</x:t>
  </x:si>
  <x:si>
    <x:t>http://id.who.int/icd/release/11/beta/ichi/1152977295</x:t>
  </x:si>
  <x:si>
    <x:t>SCJ.AC.ZZ</x:t>
  </x:si>
  <x:si>
    <x:t>- - - - - Test of problem solving</x:t>
  </x:si>
  <x:si>
    <x:t>http://id.who.int/icd/entity/1099769457</x:t>
  </x:si>
  <x:si>
    <x:t>http://id.who.int/icd/release/11/beta/ichi/1099769457</x:t>
  </x:si>
  <x:si>
    <x:t>SCJ.AM.ZZ</x:t>
  </x:si>
  <x:si>
    <x:t>- - - - - Observation of problem solving</x:t>
  </x:si>
  <x:si>
    <x:t>http://id.who.int/icd/entity/1052116334</x:t>
  </x:si>
  <x:si>
    <x:t>http://id.who.int/icd/release/11/beta/ichi/1052116334</x:t>
  </x:si>
  <x:si>
    <x:t>SCJ.PH.ZZ</x:t>
  </x:si>
  <x:si>
    <x:t>- - - - - Training in problem solving</x:t>
  </x:si>
  <x:si>
    <x:t>http://id.who.int/icd/entity/1355679239</x:t>
  </x:si>
  <x:si>
    <x:t>http://id.who.int/icd/release/11/beta/ichi/1355679239</x:t>
  </x:si>
  <x:si>
    <x:t>SCJ.PM.ZZ</x:t>
  </x:si>
  <x:si>
    <x:t>- - - - - Education about solving problems</x:t>
  </x:si>
  <x:si>
    <x:t>http://id.who.int/icd/entity/996659712</x:t>
  </x:si>
  <x:si>
    <x:t>http://id.who.int/icd/release/11/beta/ichi/996659712</x:t>
  </x:si>
  <x:si>
    <x:t>SCJ.PN.ZZ</x:t>
  </x:si>
  <x:si>
    <x:t>- - - - - Advising about problem solving</x:t>
  </x:si>
  <x:si>
    <x:t>http://id.who.int/icd/entity/555805914</x:t>
  </x:si>
  <x:si>
    <x:t>http://id.who.int/icd/release/11/beta/ichi/555805914</x:t>
  </x:si>
  <x:si>
    <x:t>SCJ.PP.ZZ</x:t>
  </x:si>
  <x:si>
    <x:t>- - - - - Counselling about problem solving</x:t>
  </x:si>
  <x:si>
    <x:t>http://id.who.int/icd/entity/82686234</x:t>
  </x:si>
  <x:si>
    <x:t>http://id.who.int/icd/release/11/beta/ichi/82686234</x:t>
  </x:si>
  <x:si>
    <x:t>SCJ.RB.ZZ</x:t>
  </x:si>
  <x:si>
    <x:t>- - - - - Practical support with problem solving</x:t>
  </x:si>
  <x:si>
    <x:t>http://id.who.int/icd/entity/1953438357</x:t>
  </x:si>
  <x:si>
    <x:t>http://id.who.int/icd/release/11/beta/ichi/1953438357</x:t>
  </x:si>
  <x:si>
    <x:t>SCJ.RC.ZZ</x:t>
  </x:si>
  <x:si>
    <x:t>- - - - - Emotional support for problem solving</x:t>
  </x:si>
  <x:si>
    <x:t>http://id.who.int/icd/entity/1529864251</x:t>
  </x:si>
  <x:si>
    <x:t>http://id.who.int/icd/release/11/beta/ichi/1529864251</x:t>
  </x:si>
  <x:si>
    <x:t>SCL.AA.ZZ</x:t>
  </x:si>
  <x:si>
    <x:t>- - - - - Assessment of decision making</x:t>
  </x:si>
  <x:si>
    <x:t>http://id.who.int/icd/entity/1630936237</x:t>
  </x:si>
  <x:si>
    <x:t>http://id.who.int/icd/release/11/beta/ichi/1630936237</x:t>
  </x:si>
  <x:si>
    <x:t>SCL.AC.ZZ</x:t>
  </x:si>
  <x:si>
    <x:t>- - - - - Test of decision making</x:t>
  </x:si>
  <x:si>
    <x:t>http://id.who.int/icd/entity/256778182</x:t>
  </x:si>
  <x:si>
    <x:t>http://id.who.int/icd/release/11/beta/ichi/256778182</x:t>
  </x:si>
  <x:si>
    <x:t>SCL.PH.ZZ</x:t>
  </x:si>
  <x:si>
    <x:t>- - - - - Training in decision making</x:t>
  </x:si>
  <x:si>
    <x:t>http://id.who.int/icd/entity/1056198032</x:t>
  </x:si>
  <x:si>
    <x:t>http://id.who.int/icd/release/11/beta/ichi/1056198032</x:t>
  </x:si>
  <x:si>
    <x:t>SCL.PM.ZZ</x:t>
  </x:si>
  <x:si>
    <x:t>- - - - - Education about decision making</x:t>
  </x:si>
  <x:si>
    <x:t>http://id.who.int/icd/entity/1524473545</x:t>
  </x:si>
  <x:si>
    <x:t>http://id.who.int/icd/release/11/beta/ichi/1524473545</x:t>
  </x:si>
  <x:si>
    <x:t>SCL.PN.ZZ</x:t>
  </x:si>
  <x:si>
    <x:t>- - - - - Advising about decision making</x:t>
  </x:si>
  <x:si>
    <x:t>http://id.who.int/icd/entity/1373208677</x:t>
  </x:si>
  <x:si>
    <x:t>http://id.who.int/icd/release/11/beta/ichi/1373208677</x:t>
  </x:si>
  <x:si>
    <x:t>SCL.PP.ZZ</x:t>
  </x:si>
  <x:si>
    <x:t>- - - - - Counselling about decision making</x:t>
  </x:si>
  <x:si>
    <x:t>http://id.who.int/icd/entity/65841077</x:t>
  </x:si>
  <x:si>
    <x:t>http://id.who.int/icd/release/11/beta/ichi/65841077</x:t>
  </x:si>
  <x:si>
    <x:t>SCL.RB.ZZ</x:t>
  </x:si>
  <x:si>
    <x:t>- - - - - Practical support with decision making</x:t>
  </x:si>
  <x:si>
    <x:t>http://id.who.int/icd/entity/85970922</x:t>
  </x:si>
  <x:si>
    <x:t>http://id.who.int/icd/release/11/beta/ichi/85970922</x:t>
  </x:si>
  <x:si>
    <x:t>SCL.RC.ZZ</x:t>
  </x:si>
  <x:si>
    <x:t>- - - - - Emotional support for decision making</x:t>
  </x:si>
  <x:si>
    <x:t>http://id.who.int/icd/entity/550670890</x:t>
  </x:si>
  <x:si>
    <x:t>http://id.who.int/icd/release/11/beta/ichi/550670890</x:t>
  </x:si>
  <x:si>
    <x:t>BlockL3-SD1</x:t>
  </x:si>
  <x:si>
    <x:t>- - - Interventions on general tasks and demands</x:t>
  </x:si>
  <x:si>
    <x:t>46</x:t>
  </x:si>
  <x:si>
    <x:t>http://id.who.int/icd/entity/1347434917</x:t>
  </x:si>
  <x:si>
    <x:t>http://id.who.int/icd/release/11/beta/ichi/1347434917</x:t>
  </x:si>
  <x:si>
    <x:t>SD1.AA.ZZ</x:t>
  </x:si>
  <x:si>
    <x:t>- - - - Assessment of handling general tasks and demands, unspecified</x:t>
  </x:si>
  <x:si>
    <x:t>http://id.who.int/icd/entity/795548348</x:t>
  </x:si>
  <x:si>
    <x:t>http://id.who.int/icd/release/11/beta/ichi/795548348</x:t>
  </x:si>
  <x:si>
    <x:t>SD1.AC.ZZ</x:t>
  </x:si>
  <x:si>
    <x:t>- - - - Test of handling general tasks and demands, unspecified</x:t>
  </x:si>
  <x:si>
    <x:t>http://id.who.int/icd/entity/172212200</x:t>
  </x:si>
  <x:si>
    <x:t>http://id.who.int/icd/release/11/beta/ichi/172212200</x:t>
  </x:si>
  <x:si>
    <x:t>SD1.AM.ZZ</x:t>
  </x:si>
  <x:si>
    <x:t>- - - - Observation of handling general tasks and demands, unspecified</x:t>
  </x:si>
  <x:si>
    <x:t>http://id.who.int/icd/entity/620971336</x:t>
  </x:si>
  <x:si>
    <x:t>http://id.who.int/icd/release/11/beta/ichi/620971336</x:t>
  </x:si>
  <x:si>
    <x:t>SD1.AN.ZZ</x:t>
  </x:si>
  <x:si>
    <x:t>- - - - Interview in relation to handling general tasks and demands, unspecified</x:t>
  </x:si>
  <x:si>
    <x:t>http://id.who.int/icd/entity/1434578635</x:t>
  </x:si>
  <x:si>
    <x:t>http://id.who.int/icd/release/11/beta/ichi/1434578635</x:t>
  </x:si>
  <x:si>
    <x:t>SD1.PH.ZZ</x:t>
  </x:si>
  <x:si>
    <x:t>- - - - Training in handling general tasks and demands, unspecified</x:t>
  </x:si>
  <x:si>
    <x:t>http://id.who.int/icd/entity/1354088757</x:t>
  </x:si>
  <x:si>
    <x:t>http://id.who.int/icd/release/11/beta/ichi/1354088757</x:t>
  </x:si>
  <x:si>
    <x:t>SD1.PM.ZZ</x:t>
  </x:si>
  <x:si>
    <x:t>- - - - Education about handling general tasks and demands, unspecified</x:t>
  </x:si>
  <x:si>
    <x:t>http://id.who.int/icd/entity/797893164</x:t>
  </x:si>
  <x:si>
    <x:t>http://id.who.int/icd/release/11/beta/ichi/797893164</x:t>
  </x:si>
  <x:si>
    <x:t>SD1.PN.ZZ</x:t>
  </x:si>
  <x:si>
    <x:t>- - - - Advising about handling general tasks and demands, unspecified</x:t>
  </x:si>
  <x:si>
    <x:t>http://id.who.int/icd/entity/1106698563</x:t>
  </x:si>
  <x:si>
    <x:t>http://id.who.int/icd/release/11/beta/ichi/1106698563</x:t>
  </x:si>
  <x:si>
    <x:t>SD1.PP.ZZ</x:t>
  </x:si>
  <x:si>
    <x:t>- - - - Counselling about handling general tasks and demands, unspecified</x:t>
  </x:si>
  <x:si>
    <x:t>http://id.who.int/icd/entity/896429184</x:t>
  </x:si>
  <x:si>
    <x:t>http://id.who.int/icd/release/11/beta/ichi/896429184</x:t>
  </x:si>
  <x:si>
    <x:t>SD1.RA.ZZ</x:t>
  </x:si>
  <x:si>
    <x:t>- - - - Performing general tasks and demands for a person, unspecified</x:t>
  </x:si>
  <x:si>
    <x:t>http://id.who.int/icd/entity/791237210</x:t>
  </x:si>
  <x:si>
    <x:t>http://id.who.int/icd/release/11/beta/ichi/791237210</x:t>
  </x:si>
  <x:si>
    <x:t>SD1.RB.ZZ</x:t>
  </x:si>
  <x:si>
    <x:t>- - - - Practical support with handling general tasks and demands, unspecified</x:t>
  </x:si>
  <x:si>
    <x:t>http://id.who.int/icd/entity/606948600</x:t>
  </x:si>
  <x:si>
    <x:t>http://id.who.int/icd/release/11/beta/ichi/606948600</x:t>
  </x:si>
  <x:si>
    <x:t>SD1.RC.ZZ</x:t>
  </x:si>
  <x:si>
    <x:t>- - - - Emotional support for handling general tasks and demands, unspecified</x:t>
  </x:si>
  <x:si>
    <x:t>http://id.who.int/icd/entity/440769568</x:t>
  </x:si>
  <x:si>
    <x:t>http://id.who.int/icd/release/11/beta/ichi/440769568</x:t>
  </x:si>
  <x:si>
    <x:t>SD1.RE.ZZ</x:t>
  </x:si>
  <x:si>
    <x:t>- - - - Provision of peer support for handling general tasks and demands, unspecified</x:t>
  </x:si>
  <x:si>
    <x:t>http://id.who.int/icd/entity/1702805311</x:t>
  </x:si>
  <x:si>
    <x:t>http://id.who.int/icd/release/11/beta/ichi/1702805311</x:t>
  </x:si>
  <x:si>
    <x:t>SD1.TA.ZZ</x:t>
  </x:si>
  <x:si>
    <x:t>- - - - Advocacy in relation to handling general tasks and demand, unspecified</x:t>
  </x:si>
  <x:si>
    <x:t>http://id.who.int/icd/entity/1615499457</x:t>
  </x:si>
  <x:si>
    <x:t>http://id.who.int/icd/release/11/beta/ichi/1615499457</x:t>
  </x:si>
  <x:si>
    <x:t>SD1.ZZ.ZZ</x:t>
  </x:si>
  <x:si>
    <x:t>- - - - Other interventions for handling unspecified general tasks and demands</x:t>
  </x:si>
  <x:si>
    <x:t>http://id.who.int/icd/entity/281557836</x:t>
  </x:si>
  <x:si>
    <x:t>http://id.who.int/icd/release/11/beta/ichi/281557836</x:t>
  </x:si>
  <x:si>
    <x:t>SDA.AA.ZZ</x:t>
  </x:si>
  <x:si>
    <x:t>- - - - Assessment of undertaking tasks</x:t>
  </x:si>
  <x:si>
    <x:t>http://id.who.int/icd/entity/1693910783</x:t>
  </x:si>
  <x:si>
    <x:t>http://id.who.int/icd/release/11/beta/ichi/1693910783</x:t>
  </x:si>
  <x:si>
    <x:t>SDA.AC.ZZ</x:t>
  </x:si>
  <x:si>
    <x:t>- - - - Test of undertaking tasks</x:t>
  </x:si>
  <x:si>
    <x:t>http://id.who.int/icd/entity/1780666173</x:t>
  </x:si>
  <x:si>
    <x:t>http://id.who.int/icd/release/11/beta/ichi/1780666173</x:t>
  </x:si>
  <x:si>
    <x:t>SDA.AM.ZZ</x:t>
  </x:si>
  <x:si>
    <x:t>- - - - Observation of undertaking tasks</x:t>
  </x:si>
  <x:si>
    <x:t>http://id.who.int/icd/entity/354020386</x:t>
  </x:si>
  <x:si>
    <x:t>http://id.who.int/icd/release/11/beta/ichi/354020386</x:t>
  </x:si>
  <x:si>
    <x:t>SDA.AN.ZZ</x:t>
  </x:si>
  <x:si>
    <x:t>- - - - Interview in relation to undertaking tasks</x:t>
  </x:si>
  <x:si>
    <x:t>http://id.who.int/icd/entity/271434716</x:t>
  </x:si>
  <x:si>
    <x:t>http://id.who.int/icd/release/11/beta/ichi/271434716</x:t>
  </x:si>
  <x:si>
    <x:t>SDA.PH.ZZ</x:t>
  </x:si>
  <x:si>
    <x:t>- - - - Training for undertaking tasks</x:t>
  </x:si>
  <x:si>
    <x:t>http://id.who.int/icd/entity/1622108241</x:t>
  </x:si>
  <x:si>
    <x:t>http://id.who.int/icd/release/11/beta/ichi/1622108241</x:t>
  </x:si>
  <x:si>
    <x:t>SDA.PM.ZZ</x:t>
  </x:si>
  <x:si>
    <x:t>- - - - Education about undertaking tasks</x:t>
  </x:si>
  <x:si>
    <x:t>http://id.who.int/icd/entity/1341100799</x:t>
  </x:si>
  <x:si>
    <x:t>http://id.who.int/icd/release/11/beta/ichi/1341100799</x:t>
  </x:si>
  <x:si>
    <x:t>SDA.PN.ZZ</x:t>
  </x:si>
  <x:si>
    <x:t>- - - - Advising about undertaking tasks</x:t>
  </x:si>
  <x:si>
    <x:t>http://id.who.int/icd/entity/1979084393</x:t>
  </x:si>
  <x:si>
    <x:t>http://id.who.int/icd/release/11/beta/ichi/1979084393</x:t>
  </x:si>
  <x:si>
    <x:t>SDA.RB.ZZ</x:t>
  </x:si>
  <x:si>
    <x:t>- - - - Practical support with undertaking tasks</x:t>
  </x:si>
  <x:si>
    <x:t>http://id.who.int/icd/entity/462318848</x:t>
  </x:si>
  <x:si>
    <x:t>http://id.who.int/icd/release/11/beta/ichi/462318848</x:t>
  </x:si>
  <x:si>
    <x:t>SDA.RC.ZZ</x:t>
  </x:si>
  <x:si>
    <x:t>- - - - Emotional support for undertaking tasks</x:t>
  </x:si>
  <x:si>
    <x:t>http://id.who.int/icd/entity/708067146</x:t>
  </x:si>
  <x:si>
    <x:t>http://id.who.int/icd/release/11/beta/ichi/708067146</x:t>
  </x:si>
  <x:si>
    <x:t>SDG.AA.ZZ</x:t>
  </x:si>
  <x:si>
    <x:t>- - - - Assessment of carrying out daily routine</x:t>
  </x:si>
  <x:si>
    <x:t>http://id.who.int/icd/entity/1494206546</x:t>
  </x:si>
  <x:si>
    <x:t>http://id.who.int/icd/release/11/beta/ichi/1494206546</x:t>
  </x:si>
  <x:si>
    <x:t>SDG.AC.ZZ</x:t>
  </x:si>
  <x:si>
    <x:t>- - - - Test for carrying out daily routine</x:t>
  </x:si>
  <x:si>
    <x:t>http://id.who.int/icd/entity/1376507648</x:t>
  </x:si>
  <x:si>
    <x:t>http://id.who.int/icd/release/11/beta/ichi/1376507648</x:t>
  </x:si>
  <x:si>
    <x:t>SDG.AM.ZZ</x:t>
  </x:si>
  <x:si>
    <x:t>- - - - Observation of carrying out daily routine</x:t>
  </x:si>
  <x:si>
    <x:t>http://id.who.int/icd/entity/114137457</x:t>
  </x:si>
  <x:si>
    <x:t>http://id.who.int/icd/release/11/beta/ichi/114137457</x:t>
  </x:si>
  <x:si>
    <x:t>SDG.AN.ZZ</x:t>
  </x:si>
  <x:si>
    <x:t>- - - - Interview in relation to carrying out daily routine</x:t>
  </x:si>
  <x:si>
    <x:t>http://id.who.int/icd/entity/1401057086</x:t>
  </x:si>
  <x:si>
    <x:t>http://id.who.int/icd/release/11/beta/ichi/1401057086</x:t>
  </x:si>
  <x:si>
    <x:t>SDG.PH.ZZ</x:t>
  </x:si>
  <x:si>
    <x:t>- - - - Training in carrying out daily routine</x:t>
  </x:si>
  <x:si>
    <x:t>http://id.who.int/icd/entity/2093127058</x:t>
  </x:si>
  <x:si>
    <x:t>http://id.who.int/icd/release/11/beta/ichi/2093127058</x:t>
  </x:si>
  <x:si>
    <x:t>SDG.PM.ZZ</x:t>
  </x:si>
  <x:si>
    <x:t>- - - - Education about carrying out daily routine</x:t>
  </x:si>
  <x:si>
    <x:t>http://id.who.int/icd/entity/205536797</x:t>
  </x:si>
  <x:si>
    <x:t>http://id.who.int/icd/release/11/beta/ichi/205536797</x:t>
  </x:si>
  <x:si>
    <x:t>SDG.PN.ZZ</x:t>
  </x:si>
  <x:si>
    <x:t>- - - - Advising about carrying out daily routine</x:t>
  </x:si>
  <x:si>
    <x:t>http://id.who.int/icd/entity/2031305472</x:t>
  </x:si>
  <x:si>
    <x:t>http://id.who.int/icd/release/11/beta/ichi/2031305472</x:t>
  </x:si>
  <x:si>
    <x:t>SDG.PP.ZZ</x:t>
  </x:si>
  <x:si>
    <x:t>- - - - Counselling about carrying out daily routine</x:t>
  </x:si>
  <x:si>
    <x:t>http://id.who.int/icd/entity/103309793</x:t>
  </x:si>
  <x:si>
    <x:t>http://id.who.int/icd/release/11/beta/ichi/103309793</x:t>
  </x:si>
  <x:si>
    <x:t>SDG.RA.ZZ</x:t>
  </x:si>
  <x:si>
    <x:t>- - - - Performing the task of managing daily routine</x:t>
  </x:si>
  <x:si>
    <x:t>http://id.who.int/icd/entity/1750098568</x:t>
  </x:si>
  <x:si>
    <x:t>http://id.who.int/icd/release/11/beta/ichi/1750098568</x:t>
  </x:si>
  <x:si>
    <x:t>SDG.RB.ZZ</x:t>
  </x:si>
  <x:si>
    <x:t>- - - - Practical support with carrying out daily routine</x:t>
  </x:si>
  <x:si>
    <x:t>http://id.who.int/icd/entity/1939793300</x:t>
  </x:si>
  <x:si>
    <x:t>http://id.who.int/icd/release/11/beta/ichi/1939793300</x:t>
  </x:si>
  <x:si>
    <x:t>SDG.RC.ZZ</x:t>
  </x:si>
  <x:si>
    <x:t>- - - - Emotional support for carrying out daily routine</x:t>
  </x:si>
  <x:si>
    <x:t>http://id.who.int/icd/entity/1775885130</x:t>
  </x:si>
  <x:si>
    <x:t>http://id.who.int/icd/release/11/beta/ichi/1775885130</x:t>
  </x:si>
  <x:si>
    <x:t>SDJ.AA.ZZ</x:t>
  </x:si>
  <x:si>
    <x:t>- - - - Assessment of handling stress and other psychological demands</x:t>
  </x:si>
  <x:si>
    <x:t>http://id.who.int/icd/entity/1658701284</x:t>
  </x:si>
  <x:si>
    <x:t>http://id.who.int/icd/release/11/beta/ichi/1658701284</x:t>
  </x:si>
  <x:si>
    <x:t>SDJ.AC.ZZ</x:t>
  </x:si>
  <x:si>
    <x:t>- - - - Test of handling stress and other psychological demands</x:t>
  </x:si>
  <x:si>
    <x:t>http://id.who.int/icd/entity/1933137378</x:t>
  </x:si>
  <x:si>
    <x:t>http://id.who.int/icd/release/11/beta/ichi/1933137378</x:t>
  </x:si>
  <x:si>
    <x:t>SDJ.AM.ZZ</x:t>
  </x:si>
  <x:si>
    <x:t>- - - - Observation of handling stress and other psychological demands</x:t>
  </x:si>
  <x:si>
    <x:t>http://id.who.int/icd/entity/201488125</x:t>
  </x:si>
  <x:si>
    <x:t>http://id.who.int/icd/release/11/beta/ichi/201488125</x:t>
  </x:si>
  <x:si>
    <x:t>SDJ.AN.ZZ</x:t>
  </x:si>
  <x:si>
    <x:t>- - - - Interview in relation to handling stress and other psychological demands</x:t>
  </x:si>
  <x:si>
    <x:t>http://id.who.int/icd/entity/1240208138</x:t>
  </x:si>
  <x:si>
    <x:t>http://id.who.int/icd/release/11/beta/ichi/1240208138</x:t>
  </x:si>
  <x:si>
    <x:t>SDJ.PG.ZZ</x:t>
  </x:si>
  <x:si>
    <x:t>- - - - Assisting and leading exercise for handling stress and psychological demands</x:t>
  </x:si>
  <x:si>
    <x:t>http://id.who.int/icd/entity/963557511</x:t>
  </x:si>
  <x:si>
    <x:t>http://id.who.int/icd/release/11/beta/ichi/963557511</x:t>
  </x:si>
  <x:si>
    <x:t>SDJ.PH.ZZ</x:t>
  </x:si>
  <x:si>
    <x:t>- - - - Training in handling stress and other psychological demands</x:t>
  </x:si>
  <x:si>
    <x:t>http://id.who.int/icd/entity/372130345</x:t>
  </x:si>
  <x:si>
    <x:t>http://id.who.int/icd/release/11/beta/ichi/372130345</x:t>
  </x:si>
  <x:si>
    <x:t>SDJ.PM.ZZ</x:t>
  </x:si>
  <x:si>
    <x:t>- - - - Education about handling stress and other psychological demands</x:t>
  </x:si>
  <x:si>
    <x:t>http://id.who.int/icd/entity/1453261358</x:t>
  </x:si>
  <x:si>
    <x:t>http://id.who.int/icd/release/11/beta/ichi/1453261358</x:t>
  </x:si>
  <x:si>
    <x:t>SDJ.PN.ZZ</x:t>
  </x:si>
  <x:si>
    <x:t>- - - - Advising about handling stress and other psychological demands</x:t>
  </x:si>
  <x:si>
    <x:t>http://id.who.int/icd/entity/698622257</x:t>
  </x:si>
  <x:si>
    <x:t>http://id.who.int/icd/release/11/beta/ichi/698622257</x:t>
  </x:si>
  <x:si>
    <x:t>SDJ.PP.ZZ</x:t>
  </x:si>
  <x:si>
    <x:t>- - - - Counselling about handling stress and other psychological demands</x:t>
  </x:si>
  <x:si>
    <x:t>http://id.who.int/icd/entity/1205609050</x:t>
  </x:si>
  <x:si>
    <x:t>http://id.who.int/icd/release/11/beta/ichi/1205609050</x:t>
  </x:si>
  <x:si>
    <x:t>SDJ.PQ.ZZ</x:t>
  </x:si>
  <x:si>
    <x:t>- - - - Psychotherapy for handling stress and other psychological demands</x:t>
  </x:si>
  <x:si>
    <x:t>http://id.who.int/icd/entity/1777375656</x:t>
  </x:si>
  <x:si>
    <x:t>http://id.who.int/icd/release/11/beta/ichi/1777375656</x:t>
  </x:si>
  <x:si>
    <x:t>SDJ.RB.ZZ</x:t>
  </x:si>
  <x:si>
    <x:t>- - - - Practical support with handling stress and other psychological demands</x:t>
  </x:si>
  <x:si>
    <x:t>http://id.who.int/icd/entity/382450361</x:t>
  </x:si>
  <x:si>
    <x:t>http://id.who.int/icd/release/11/beta/ichi/382450361</x:t>
  </x:si>
  <x:si>
    <x:t>SDJ.RC.ZZ</x:t>
  </x:si>
  <x:si>
    <x:t>- - - - Emotional support for handling stress and other psychological demands</x:t>
  </x:si>
  <x:si>
    <x:t>http://id.who.int/icd/entity/856090491</x:t>
  </x:si>
  <x:si>
    <x:t>http://id.who.int/icd/release/11/beta/ichi/856090491</x:t>
  </x:si>
  <x:si>
    <x:t>BlockL3-SE1</x:t>
  </x:si>
  <x:si>
    <x:t>- - - Interventions on communication</x:t>
  </x:si>
  <x:si>
    <x:t>http://id.who.int/icd/entity/1669152460</x:t>
  </x:si>
  <x:si>
    <x:t>http://id.who.int/icd/release/11/beta/ichi/1669152460</x:t>
  </x:si>
  <x:si>
    <x:t>BlockL4-SE1</x:t>
  </x:si>
  <x:si>
    <x:t>- - - - Interventions on receiving communication</x:t>
  </x:si>
  <x:si>
    <x:t>http://id.who.int/icd/entity/335516999</x:t>
  </x:si>
  <x:si>
    <x:t>http://id.who.int/icd/release/11/beta/ichi/335516999</x:t>
  </x:si>
  <x:si>
    <x:t>SE1.AA.ZZ</x:t>
  </x:si>
  <x:si>
    <x:t>- - - - - Assessment of communication, unspecified</x:t>
  </x:si>
  <x:si>
    <x:t>http://id.who.int/icd/entity/390202233</x:t>
  </x:si>
  <x:si>
    <x:t>http://id.who.int/icd/release/11/beta/ichi/390202233</x:t>
  </x:si>
  <x:si>
    <x:t>SE1.AC.ZZ</x:t>
  </x:si>
  <x:si>
    <x:t>- - - - - Test of communication, unspecified</x:t>
  </x:si>
  <x:si>
    <x:t>http://id.who.int/icd/entity/111580031</x:t>
  </x:si>
  <x:si>
    <x:t>http://id.who.int/icd/release/11/beta/ichi/111580031</x:t>
  </x:si>
  <x:si>
    <x:t>SE1.AM.ZZ</x:t>
  </x:si>
  <x:si>
    <x:t>- - - - - Observation of communication, unspecified</x:t>
  </x:si>
  <x:si>
    <x:t>http://id.who.int/icd/entity/2040377440</x:t>
  </x:si>
  <x:si>
    <x:t>http://id.who.int/icd/release/11/beta/ichi/2040377440</x:t>
  </x:si>
  <x:si>
    <x:t>SE1.PG.ZZ</x:t>
  </x:si>
  <x:si>
    <x:t>- - - - - Assisting or leading exercise for communication, unspecified</x:t>
  </x:si>
  <x:si>
    <x:t>http://id.who.int/icd/entity/11495580</x:t>
  </x:si>
  <x:si>
    <x:t>http://id.who.int/icd/release/11/beta/ichi/11495580</x:t>
  </x:si>
  <x:si>
    <x:t>SE1.PH.ZZ</x:t>
  </x:si>
  <x:si>
    <x:t>- - - - - Training in communication, unspecified</x:t>
  </x:si>
  <x:si>
    <x:t>http://id.who.int/icd/entity/1882047249</x:t>
  </x:si>
  <x:si>
    <x:t>http://id.who.int/icd/release/11/beta/ichi/1882047249</x:t>
  </x:si>
  <x:si>
    <x:t>SE1.PM.ZZ</x:t>
  </x:si>
  <x:si>
    <x:t>- - - - - Education about communication, unspecified</x:t>
  </x:si>
  <x:si>
    <x:t>http://id.who.int/icd/entity/1600993727</x:t>
  </x:si>
  <x:si>
    <x:t>http://id.who.int/icd/release/11/beta/ichi/1600993727</x:t>
  </x:si>
  <x:si>
    <x:t>SE1.PN.ZZ</x:t>
  </x:si>
  <x:si>
    <x:t>- - - - - Advising about communication, unspecified</x:t>
  </x:si>
  <x:si>
    <x:t>http://id.who.int/icd/entity/170053616</x:t>
  </x:si>
  <x:si>
    <x:t>http://id.who.int/icd/release/11/beta/ichi/170053616</x:t>
  </x:si>
  <x:si>
    <x:t>SE1.PP.ZZ</x:t>
  </x:si>
  <x:si>
    <x:t>- - - - - Counselling about communication, unspecified</x:t>
  </x:si>
  <x:si>
    <x:t>http://id.who.int/icd/entity/1683672217</x:t>
  </x:si>
  <x:si>
    <x:t>http://id.who.int/icd/release/11/beta/ichi/1683672217</x:t>
  </x:si>
  <x:si>
    <x:t>SE1.RA.ZZ</x:t>
  </x:si>
  <x:si>
    <x:t>- - - - - Performing the task of communication, unspecified</x:t>
  </x:si>
  <x:si>
    <x:t>http://id.who.int/icd/entity/1440784083</x:t>
  </x:si>
  <x:si>
    <x:t>http://id.who.int/icd/release/11/beta/ichi/1440784083</x:t>
  </x:si>
  <x:si>
    <x:t>SE1.RB.ZZ</x:t>
  </x:si>
  <x:si>
    <x:t>- - - - - Practical support with communication, unspecified</x:t>
  </x:si>
  <x:si>
    <x:t>http://id.who.int/icd/entity/364127812</x:t>
  </x:si>
  <x:si>
    <x:t>http://id.who.int/icd/release/11/beta/ichi/364127812</x:t>
  </x:si>
  <x:si>
    <x:t>SE1.RC.ZZ</x:t>
  </x:si>
  <x:si>
    <x:t>- - - - - Emotional support for communication, unspecified</x:t>
  </x:si>
  <x:si>
    <x:t>http://id.who.int/icd/entity/514865386</x:t>
  </x:si>
  <x:si>
    <x:t>http://id.who.int/icd/release/11/beta/ichi/514865386</x:t>
  </x:si>
  <x:si>
    <x:t>SE1.TA.ZZ</x:t>
  </x:si>
  <x:si>
    <x:t>- - - - - Advocacy in relation to communication, unspecified</x:t>
  </x:si>
  <x:si>
    <x:t>http://id.who.int/icd/entity/1249277799</x:t>
  </x:si>
  <x:si>
    <x:t>http://id.who.int/icd/release/11/beta/ichi/1249277799</x:t>
  </x:si>
  <x:si>
    <x:t>SE1.ZZ.ZZ</x:t>
  </x:si>
  <x:si>
    <x:t>- - - - - Other interventions for unspecified communication</x:t>
  </x:si>
  <x:si>
    <x:t>http://id.who.int/icd/entity/523862312</x:t>
  </x:si>
  <x:si>
    <x:t>http://id.who.int/icd/release/11/beta/ichi/523862312</x:t>
  </x:si>
  <x:si>
    <x:t>SE2.AA.ZZ</x:t>
  </x:si>
  <x:si>
    <x:t>- - - - - Assessment of receiving communication, not elsewhere classified</x:t>
  </x:si>
  <x:si>
    <x:t>http://id.who.int/icd/entity/813267848</x:t>
  </x:si>
  <x:si>
    <x:t>http://id.who.int/icd/release/11/beta/ichi/813267848</x:t>
  </x:si>
  <x:si>
    <x:t>SE2.AC.ZZ</x:t>
  </x:si>
  <x:si>
    <x:t>- - - - - Test of receiving communication, not elsewhere classified</x:t>
  </x:si>
  <x:si>
    <x:t>http://id.who.int/icd/entity/1090244619</x:t>
  </x:si>
  <x:si>
    <x:t>http://id.who.int/icd/release/11/beta/ichi/1090244619</x:t>
  </x:si>
  <x:si>
    <x:t>SE2.AM.ZZ</x:t>
  </x:si>
  <x:si>
    <x:t>- - - - - Observation of receiving communication, not elsewhere classified</x:t>
  </x:si>
  <x:si>
    <x:t>http://id.who.int/icd/entity/714732844</x:t>
  </x:si>
  <x:si>
    <x:t>http://id.who.int/icd/release/11/beta/ichi/714732844</x:t>
  </x:si>
  <x:si>
    <x:t>SE2.PH.ZZ</x:t>
  </x:si>
  <x:si>
    <x:t>- - - - - Training in receiving communication, not elsewhere classified</x:t>
  </x:si>
  <x:si>
    <x:t>http://id.who.int/icd/entity/1436735027</x:t>
  </x:si>
  <x:si>
    <x:t>http://id.who.int/icd/release/11/beta/ichi/1436735027</x:t>
  </x:si>
  <x:si>
    <x:t>SE2.PM.ZZ</x:t>
  </x:si>
  <x:si>
    <x:t>- - - - - Education about receiving communication, not elsewhere classified</x:t>
  </x:si>
  <x:si>
    <x:t>http://id.who.int/icd/entity/1004197212</x:t>
  </x:si>
  <x:si>
    <x:t>http://id.who.int/icd/release/11/beta/ichi/1004197212</x:t>
  </x:si>
  <x:si>
    <x:t>SE2.PN.ZZ</x:t>
  </x:si>
  <x:si>
    <x:t>- - - - - Advising about receiving communication, not elsewhere classified</x:t>
  </x:si>
  <x:si>
    <x:t>http://id.who.int/icd/entity/1624119369</x:t>
  </x:si>
  <x:si>
    <x:t>http://id.who.int/icd/release/11/beta/ichi/1624119369</x:t>
  </x:si>
  <x:si>
    <x:t>SE2.PP.ZZ</x:t>
  </x:si>
  <x:si>
    <x:t>- - - - - Counselling about receiving communication, not elsewhere classified</x:t>
  </x:si>
  <x:si>
    <x:t>http://id.who.int/icd/entity/2055808659</x:t>
  </x:si>
  <x:si>
    <x:t>http://id.who.int/icd/release/11/beta/ichi/2055808659</x:t>
  </x:si>
  <x:si>
    <x:t>SE2.RB.ZZ</x:t>
  </x:si>
  <x:si>
    <x:t>- - - - - Practical support with receiving communication, not elsewhere classified</x:t>
  </x:si>
  <x:si>
    <x:t>http://id.who.int/icd/entity/1905080383</x:t>
  </x:si>
  <x:si>
    <x:t>http://id.who.int/icd/release/11/beta/ichi/1905080383</x:t>
  </x:si>
  <x:si>
    <x:t>SE2.RC.ZZ</x:t>
  </x:si>
  <x:si>
    <x:t>- - - - - Emotional support for receiving communication, not elsewhere classified</x:t>
  </x:si>
  <x:si>
    <x:t>http://id.who.int/icd/entity/255828704</x:t>
  </x:si>
  <x:si>
    <x:t>http://id.who.int/icd/release/11/beta/ichi/255828704</x:t>
  </x:si>
  <x:si>
    <x:t>SEA.AA.ZZ</x:t>
  </x:si>
  <x:si>
    <x:t>- - - - - Assessment of receiving spoken messages</x:t>
  </x:si>
  <x:si>
    <x:t>http://id.who.int/icd/entity/545216592</x:t>
  </x:si>
  <x:si>
    <x:t>http://id.who.int/icd/release/11/beta/ichi/545216592</x:t>
  </x:si>
  <x:si>
    <x:t>SEA.AC.ZZ</x:t>
  </x:si>
  <x:si>
    <x:t>- - - - - Test on receiving spoken messages</x:t>
  </x:si>
  <x:si>
    <x:t>http://id.who.int/icd/entity/1613488345</x:t>
  </x:si>
  <x:si>
    <x:t>http://id.who.int/icd/release/11/beta/ichi/1613488345</x:t>
  </x:si>
  <x:si>
    <x:t>SEA.AM.ZZ</x:t>
  </x:si>
  <x:si>
    <x:t>- - - - - Observation on receiving spoken messages</x:t>
  </x:si>
  <x:si>
    <x:t>http://id.who.int/icd/entity/1798307445</x:t>
  </x:si>
  <x:si>
    <x:t>http://id.who.int/icd/release/11/beta/ichi/1798307445</x:t>
  </x:si>
  <x:si>
    <x:t>SEA.PH.ZZ</x:t>
  </x:si>
  <x:si>
    <x:t>- - - - - Training in receiving spoken messages</x:t>
  </x:si>
  <x:si>
    <x:t>http://id.who.int/icd/entity/1072280060</x:t>
  </x:si>
  <x:si>
    <x:t>http://id.who.int/icd/release/11/beta/ichi/1072280060</x:t>
  </x:si>
  <x:si>
    <x:t>SEA.PM.ZZ</x:t>
  </x:si>
  <x:si>
    <x:t>- - - - - Education about receiving spoken messages</x:t>
  </x:si>
  <x:si>
    <x:t>http://id.who.int/icd/entity/1789282229</x:t>
  </x:si>
  <x:si>
    <x:t>http://id.who.int/icd/release/11/beta/ichi/1789282229</x:t>
  </x:si>
  <x:si>
    <x:t>SEA.PN.ZZ</x:t>
  </x:si>
  <x:si>
    <x:t>- - - - - Advising about receiving spoken messages</x:t>
  </x:si>
  <x:si>
    <x:t>http://id.who.int/icd/entity/1851791033</x:t>
  </x:si>
  <x:si>
    <x:t>http://id.who.int/icd/release/11/beta/ichi/1851791033</x:t>
  </x:si>
  <x:si>
    <x:t>SED.AA.ZZ</x:t>
  </x:si>
  <x:si>
    <x:t>- - - - - Assessment of receiving nonverbal messages</x:t>
  </x:si>
  <x:si>
    <x:t>http://id.who.int/icd/entity/291190184</x:t>
  </x:si>
  <x:si>
    <x:t>http://id.who.int/icd/release/11/beta/ichi/291190184</x:t>
  </x:si>
  <x:si>
    <x:t>SED.AC.ZZ</x:t>
  </x:si>
  <x:si>
    <x:t>- - - - - Test of receiving nonverbal messages</x:t>
  </x:si>
  <x:si>
    <x:t>http://id.who.int/icd/entity/1678264645</x:t>
  </x:si>
  <x:si>
    <x:t>http://id.who.int/icd/release/11/beta/ichi/1678264645</x:t>
  </x:si>
  <x:si>
    <x:t>SED.AM.ZZ</x:t>
  </x:si>
  <x:si>
    <x:t>- - - - - Observation of receiving nonverbal messages</x:t>
  </x:si>
  <x:si>
    <x:t>http://id.who.int/icd/entity/344646346</x:t>
  </x:si>
  <x:si>
    <x:t>http://id.who.int/icd/release/11/beta/ichi/344646346</x:t>
  </x:si>
  <x:si>
    <x:t>SED.PH.ZZ</x:t>
  </x:si>
  <x:si>
    <x:t>- - - - - Training in receiving nonverbal messages</x:t>
  </x:si>
  <x:si>
    <x:t>http://id.who.int/icd/entity/1003100262</x:t>
  </x:si>
  <x:si>
    <x:t>http://id.who.int/icd/release/11/beta/ichi/1003100262</x:t>
  </x:si>
  <x:si>
    <x:t>SED.PM.ZZ</x:t>
  </x:si>
  <x:si>
    <x:t>- - - - - Education about receiving nonverbal messages</x:t>
  </x:si>
  <x:si>
    <x:t>http://id.who.int/icd/entity/1854271017</x:t>
  </x:si>
  <x:si>
    <x:t>http://id.who.int/icd/release/11/beta/ichi/1854271017</x:t>
  </x:si>
  <x:si>
    <x:t>SED.PN.ZZ</x:t>
  </x:si>
  <x:si>
    <x:t>- - - - - Advising about receiving nonverbal messages</x:t>
  </x:si>
  <x:si>
    <x:t>http://id.who.int/icd/entity/16641344</x:t>
  </x:si>
  <x:si>
    <x:t>http://id.who.int/icd/release/11/beta/ichi/16641344</x:t>
  </x:si>
  <x:si>
    <x:t>SEG.AA.ZZ</x:t>
  </x:si>
  <x:si>
    <x:t>- - - - - Assessment of receiving sign language messages</x:t>
  </x:si>
  <x:si>
    <x:t>http://id.who.int/icd/entity/826785546</x:t>
  </x:si>
  <x:si>
    <x:t>http://id.who.int/icd/release/11/beta/ichi/826785546</x:t>
  </x:si>
  <x:si>
    <x:t>SEG.AC.ZZ</x:t>
  </x:si>
  <x:si>
    <x:t>- - - - - Test of receiving sign language messages</x:t>
  </x:si>
  <x:si>
    <x:t>http://id.who.int/icd/entity/1847746137</x:t>
  </x:si>
  <x:si>
    <x:t>http://id.who.int/icd/release/11/beta/ichi/1847746137</x:t>
  </x:si>
  <x:si>
    <x:t>SEG.AM.ZZ</x:t>
  </x:si>
  <x:si>
    <x:t>- - - - - Observation of receiving sign language messages</x:t>
  </x:si>
  <x:si>
    <x:t>http://id.who.int/icd/entity/1697005813</x:t>
  </x:si>
  <x:si>
    <x:t>http://id.who.int/icd/release/11/beta/ichi/1697005813</x:t>
  </x:si>
  <x:si>
    <x:t>SEG.PH.ZZ</x:t>
  </x:si>
  <x:si>
    <x:t>- - - - - Training in receiving sign language messages</x:t>
  </x:si>
  <x:si>
    <x:t>http://id.who.int/icd/entity/836767612</x:t>
  </x:si>
  <x:si>
    <x:t>http://id.who.int/icd/release/11/beta/ichi/836767612</x:t>
  </x:si>
  <x:si>
    <x:t>SEG.PM.ZZ</x:t>
  </x:si>
  <x:si>
    <x:t>- - - - - Education about receiving sign language messages</x:t>
  </x:si>
  <x:si>
    <x:t>http://id.who.int/icd/entity/611693372</x:t>
  </x:si>
  <x:si>
    <x:t>http://id.who.int/icd/release/11/beta/ichi/611693372</x:t>
  </x:si>
  <x:si>
    <x:t>SEG.PN.ZZ</x:t>
  </x:si>
  <x:si>
    <x:t>- - - - - Advising about receiving sign language messages</x:t>
  </x:si>
  <x:si>
    <x:t>http://id.who.int/icd/entity/188041620</x:t>
  </x:si>
  <x:si>
    <x:t>http://id.who.int/icd/release/11/beta/ichi/188041620</x:t>
  </x:si>
  <x:si>
    <x:t>SEJ.AA.ZZ</x:t>
  </x:si>
  <x:si>
    <x:t>- - - - - Assessment of receiving written messages</x:t>
  </x:si>
  <x:si>
    <x:t>http://id.who.int/icd/entity/1169438919</x:t>
  </x:si>
  <x:si>
    <x:t>http://id.who.int/icd/release/11/beta/ichi/1169438919</x:t>
  </x:si>
  <x:si>
    <x:t>SEJ.AC.ZZ</x:t>
  </x:si>
  <x:si>
    <x:t>- - - - - Test of receiving written messages</x:t>
  </x:si>
  <x:si>
    <x:t>http://id.who.int/icd/entity/1585102813</x:t>
  </x:si>
  <x:si>
    <x:t>http://id.who.int/icd/release/11/beta/ichi/1585102813</x:t>
  </x:si>
  <x:si>
    <x:t>SEJ.AM.ZZ</x:t>
  </x:si>
  <x:si>
    <x:t>- - - - - Observation of receiving written messages</x:t>
  </x:si>
  <x:si>
    <x:t>http://id.who.int/icd/entity/1144881415</x:t>
  </x:si>
  <x:si>
    <x:t>http://id.who.int/icd/release/11/beta/ichi/1144881415</x:t>
  </x:si>
  <x:si>
    <x:t>SEJ.PH.ZZ</x:t>
  </x:si>
  <x:si>
    <x:t>- - - - - Training in receiving written messages</x:t>
  </x:si>
  <x:si>
    <x:t>http://id.who.int/icd/entity/1329176491</x:t>
  </x:si>
  <x:si>
    <x:t>http://id.who.int/icd/release/11/beta/ichi/1329176491</x:t>
  </x:si>
  <x:si>
    <x:t>SEJ.PM.ZZ</x:t>
  </x:si>
  <x:si>
    <x:t>- - - - - Education about receiving written messages</x:t>
  </x:si>
  <x:si>
    <x:t>http://id.who.int/icd/entity/1106007657</x:t>
  </x:si>
  <x:si>
    <x:t>http://id.who.int/icd/release/11/beta/ichi/1106007657</x:t>
  </x:si>
  <x:si>
    <x:t>SEJ.PN.ZZ</x:t>
  </x:si>
  <x:si>
    <x:t>- - - - - Advising about receiving written messages</x:t>
  </x:si>
  <x:si>
    <x:t>http://id.who.int/icd/entity/1314250491</x:t>
  </x:si>
  <x:si>
    <x:t>http://id.who.int/icd/release/11/beta/ichi/1314250491</x:t>
  </x:si>
  <x:si>
    <x:t>BlockL4-SF2</x:t>
  </x:si>
  <x:si>
    <x:t>- - - - Interventions on producing communication</x:t>
  </x:si>
  <x:si>
    <x:t>54</x:t>
  </x:si>
  <x:si>
    <x:t>http://id.who.int/icd/entity/1054307702</x:t>
  </x:si>
  <x:si>
    <x:t>http://id.who.int/icd/release/11/beta/ichi/1054307702</x:t>
  </x:si>
  <x:si>
    <x:t>SF2.AA.ZZ</x:t>
  </x:si>
  <x:si>
    <x:t>- - - - - Assessment of producing communication, not elsewhere classified</x:t>
  </x:si>
  <x:si>
    <x:t>http://id.who.int/icd/entity/1805157177</x:t>
  </x:si>
  <x:si>
    <x:t>http://id.who.int/icd/release/11/beta/ichi/1805157177</x:t>
  </x:si>
  <x:si>
    <x:t>SF2.AC.ZZ</x:t>
  </x:si>
  <x:si>
    <x:t>- - - - - Test of producing communication, not elsewhere classified</x:t>
  </x:si>
  <x:si>
    <x:t>http://id.who.int/icd/entity/346267688</x:t>
  </x:si>
  <x:si>
    <x:t>http://id.who.int/icd/release/11/beta/ichi/346267688</x:t>
  </x:si>
  <x:si>
    <x:t>SF2.AM.ZZ</x:t>
  </x:si>
  <x:si>
    <x:t>- - - - - Observation of producing communication, not elsewhere classified</x:t>
  </x:si>
  <x:si>
    <x:t>http://id.who.int/icd/entity/2126611713</x:t>
  </x:si>
  <x:si>
    <x:t>http://id.who.int/icd/release/11/beta/ichi/2126611713</x:t>
  </x:si>
  <x:si>
    <x:t>SF2.PH.ZZ</x:t>
  </x:si>
  <x:si>
    <x:t>- - - - - Training in producing communication, not elsewhere classified</x:t>
  </x:si>
  <x:si>
    <x:t>http://id.who.int/icd/entity/239283852</x:t>
  </x:si>
  <x:si>
    <x:t>http://id.who.int/icd/release/11/beta/ichi/239283852</x:t>
  </x:si>
  <x:si>
    <x:t>SF2.PM.ZZ</x:t>
  </x:si>
  <x:si>
    <x:t>- - - - - Education about producing communication, not elsewhere classified</x:t>
  </x:si>
  <x:si>
    <x:t>http://id.who.int/icd/entity/553899044</x:t>
  </x:si>
  <x:si>
    <x:t>http://id.who.int/icd/release/11/beta/ichi/553899044</x:t>
  </x:si>
  <x:si>
    <x:t>SF2.PN.ZZ</x:t>
  </x:si>
  <x:si>
    <x:t>- - - - - Advising about producing communication, not elsewhere classified</x:t>
  </x:si>
  <x:si>
    <x:t>http://id.who.int/icd/entity/760743573</x:t>
  </x:si>
  <x:si>
    <x:t>http://id.who.int/icd/release/11/beta/ichi/760743573</x:t>
  </x:si>
  <x:si>
    <x:t>SF2.PP.ZZ</x:t>
  </x:si>
  <x:si>
    <x:t>- - - - - Counselling about producing communication, not elsewhere classified</x:t>
  </x:si>
  <x:si>
    <x:t>http://id.who.int/icd/entity/1126172156</x:t>
  </x:si>
  <x:si>
    <x:t>http://id.who.int/icd/release/11/beta/ichi/1126172156</x:t>
  </x:si>
  <x:si>
    <x:t>SF2.RA.ZZ</x:t>
  </x:si>
  <x:si>
    <x:t>- - - - - Performing the task of producing communication, not elsewhere classified</x:t>
  </x:si>
  <x:si>
    <x:t>http://id.who.int/icd/entity/1922717622</x:t>
  </x:si>
  <x:si>
    <x:t>http://id.who.int/icd/release/11/beta/ichi/1922717622</x:t>
  </x:si>
  <x:si>
    <x:t>SF2.RB.ZZ</x:t>
  </x:si>
  <x:si>
    <x:t>- - - - - Practical support with producing communication, not elsewhere classified</x:t>
  </x:si>
  <x:si>
    <x:t>http://id.who.int/icd/entity/1118420030</x:t>
  </x:si>
  <x:si>
    <x:t>http://id.who.int/icd/release/11/beta/ichi/1118420030</x:t>
  </x:si>
  <x:si>
    <x:t>SF2.RC.ZZ</x:t>
  </x:si>
  <x:si>
    <x:t>- - - - - Emotional support for producing communication, not elsewhere classified</x:t>
  </x:si>
  <x:si>
    <x:t>http://id.who.int/icd/entity/1236116112</x:t>
  </x:si>
  <x:si>
    <x:t>http://id.who.int/icd/release/11/beta/ichi/1236116112</x:t>
  </x:si>
  <x:si>
    <x:t>SFA.AA.ZZ</x:t>
  </x:si>
  <x:si>
    <x:t>- - - - - Assessment of speaking</x:t>
  </x:si>
  <x:si>
    <x:t>http://id.who.int/icd/entity/493612319</x:t>
  </x:si>
  <x:si>
    <x:t>http://id.who.int/icd/release/11/beta/ichi/493612319</x:t>
  </x:si>
  <x:si>
    <x:t>SFA.AC.ZZ</x:t>
  </x:si>
  <x:si>
    <x:t>- - - - - Test of speaking</x:t>
  </x:si>
  <x:si>
    <x:t>http://id.who.int/icd/entity/943933517</x:t>
  </x:si>
  <x:si>
    <x:t>http://id.who.int/icd/release/11/beta/ichi/943933517</x:t>
  </x:si>
  <x:si>
    <x:t>SFA.AM.ZZ</x:t>
  </x:si>
  <x:si>
    <x:t>- - - - - Observation of speaking</x:t>
  </x:si>
  <x:si>
    <x:t>http://id.who.int/icd/entity/386118371</x:t>
  </x:si>
  <x:si>
    <x:t>http://id.who.int/icd/release/11/beta/ichi/386118371</x:t>
  </x:si>
  <x:si>
    <x:t>SFA.PH.ZZ</x:t>
  </x:si>
  <x:si>
    <x:t>- - - - - Training in speaking</x:t>
  </x:si>
  <x:si>
    <x:t>http://id.who.int/icd/entity/1736513902</x:t>
  </x:si>
  <x:si>
    <x:t>http://id.who.int/icd/release/11/beta/ichi/1736513902</x:t>
  </x:si>
  <x:si>
    <x:t>SFA.PM.ZZ</x:t>
  </x:si>
  <x:si>
    <x:t>- - - - - Education about speaking</x:t>
  </x:si>
  <x:si>
    <x:t>http://id.who.int/icd/entity/1656043152</x:t>
  </x:si>
  <x:si>
    <x:t>http://id.who.int/icd/release/11/beta/ichi/1656043152</x:t>
  </x:si>
  <x:si>
    <x:t>SFA.PN.ZZ</x:t>
  </x:si>
  <x:si>
    <x:t>- - - - - Advising about speaking</x:t>
  </x:si>
  <x:si>
    <x:t>http://id.who.int/icd/entity/495850895</x:t>
  </x:si>
  <x:si>
    <x:t>http://id.who.int/icd/release/11/beta/ichi/495850895</x:t>
  </x:si>
  <x:si>
    <x:t>SFA.PP.ZZ</x:t>
  </x:si>
  <x:si>
    <x:t>- - - - - Counselling about speaking</x:t>
  </x:si>
  <x:si>
    <x:t>http://id.who.int/icd/entity/1945507560</x:t>
  </x:si>
  <x:si>
    <x:t>http://id.who.int/icd/release/11/beta/ichi/1945507560</x:t>
  </x:si>
  <x:si>
    <x:t>SFA.RB.ZZ</x:t>
  </x:si>
  <x:si>
    <x:t>- - - - - Practical support with speaking</x:t>
  </x:si>
  <x:si>
    <x:t>http://id.who.int/icd/entity/124689189</x:t>
  </x:si>
  <x:si>
    <x:t>http://id.who.int/icd/release/11/beta/ichi/124689189</x:t>
  </x:si>
  <x:si>
    <x:t>SFA.RC.ZZ</x:t>
  </x:si>
  <x:si>
    <x:t>- - - - - Emotional support for speaking</x:t>
  </x:si>
  <x:si>
    <x:t>http://id.who.int/icd/entity/1172749595</x:t>
  </x:si>
  <x:si>
    <x:t>http://id.who.int/icd/release/11/beta/ichi/1172749595</x:t>
  </x:si>
  <x:si>
    <x:t>SFB.AA.ZZ</x:t>
  </x:si>
  <x:si>
    <x:t>- - - - - Assessment of non-speech vocal expression</x:t>
  </x:si>
  <x:si>
    <x:t>http://id.who.int/icd/entity/895751832</x:t>
  </x:si>
  <x:si>
    <x:t>http://id.who.int/icd/release/11/beta/ichi/895751832</x:t>
  </x:si>
  <x:si>
    <x:t>SFB.AC.ZZ</x:t>
  </x:si>
  <x:si>
    <x:t>- - - - - Test of non-speech vocal expression</x:t>
  </x:si>
  <x:si>
    <x:t>http://id.who.int/icd/entity/1594241969</x:t>
  </x:si>
  <x:si>
    <x:t>http://id.who.int/icd/release/11/beta/ichi/1594241969</x:t>
  </x:si>
  <x:si>
    <x:t>SFB.PH.ZZ</x:t>
  </x:si>
  <x:si>
    <x:t>- - - - - Training in non-speech vocal expression</x:t>
  </x:si>
  <x:si>
    <x:t>http://id.who.int/icd/entity/540872878</x:t>
  </x:si>
  <x:si>
    <x:t>http://id.who.int/icd/release/11/beta/ichi/540872878</x:t>
  </x:si>
  <x:si>
    <x:t>SFB.RB.ZZ</x:t>
  </x:si>
  <x:si>
    <x:t>- - - - - Practical support with non-speech vocal expression</x:t>
  </x:si>
  <x:si>
    <x:t>http://id.who.int/icd/entity/1313149895</x:t>
  </x:si>
  <x:si>
    <x:t>http://id.who.int/icd/release/11/beta/ichi/1313149895</x:t>
  </x:si>
  <x:si>
    <x:t>SFC.AA.ZZ</x:t>
  </x:si>
  <x:si>
    <x:t>- - - - - Assessment of singing</x:t>
  </x:si>
  <x:si>
    <x:t>http://id.who.int/icd/entity/26323986</x:t>
  </x:si>
  <x:si>
    <x:t>http://id.who.int/icd/release/11/beta/ichi/26323986</x:t>
  </x:si>
  <x:si>
    <x:t>SFC.AC.ZZ</x:t>
  </x:si>
  <x:si>
    <x:t>- - - - - Test of singing</x:t>
  </x:si>
  <x:si>
    <x:t>http://id.who.int/icd/entity/467047116</x:t>
  </x:si>
  <x:si>
    <x:t>http://id.who.int/icd/release/11/beta/ichi/467047116</x:t>
  </x:si>
  <x:si>
    <x:t>SFC.PH.ZZ</x:t>
  </x:si>
  <x:si>
    <x:t>- - - - - Training in singing</x:t>
  </x:si>
  <x:si>
    <x:t>http://id.who.int/icd/entity/282233958</x:t>
  </x:si>
  <x:si>
    <x:t>http://id.who.int/icd/release/11/beta/ichi/282233958</x:t>
  </x:si>
  <x:si>
    <x:t>SFC.RB.ZZ</x:t>
  </x:si>
  <x:si>
    <x:t>- - - - - Practical support with singing</x:t>
  </x:si>
  <x:si>
    <x:t>http://id.who.int/icd/entity/489268735</x:t>
  </x:si>
  <x:si>
    <x:t>http://id.who.int/icd/release/11/beta/ichi/489268735</x:t>
  </x:si>
  <x:si>
    <x:t>SFD.AA.ZZ</x:t>
  </x:si>
  <x:si>
    <x:t>- - - - - Assessment of producing nonverbal messages</x:t>
  </x:si>
  <x:si>
    <x:t>http://id.who.int/icd/entity/372095827</x:t>
  </x:si>
  <x:si>
    <x:t>http://id.who.int/icd/release/11/beta/ichi/372095827</x:t>
  </x:si>
  <x:si>
    <x:t>SFD.AC.ZZ</x:t>
  </x:si>
  <x:si>
    <x:t>- - - - - Test of producing nonverbal messages</x:t>
  </x:si>
  <x:si>
    <x:t>http://id.who.int/icd/entity/675638149</x:t>
  </x:si>
  <x:si>
    <x:t>http://id.who.int/icd/release/11/beta/ichi/675638149</x:t>
  </x:si>
  <x:si>
    <x:t>SFD.AM.ZZ</x:t>
  </x:si>
  <x:si>
    <x:t>- - - - - Observation of producing nonverbal messages</x:t>
  </x:si>
  <x:si>
    <x:t>http://id.who.int/icd/entity/1467893916</x:t>
  </x:si>
  <x:si>
    <x:t>http://id.who.int/icd/release/11/beta/ichi/1467893916</x:t>
  </x:si>
  <x:si>
    <x:t>SFD.PH.ZZ</x:t>
  </x:si>
  <x:si>
    <x:t>- - - - - Training in producing nonverbal messages</x:t>
  </x:si>
  <x:si>
    <x:t>http://id.who.int/icd/entity/1380607846</x:t>
  </x:si>
  <x:si>
    <x:t>http://id.who.int/icd/release/11/beta/ichi/1380607846</x:t>
  </x:si>
  <x:si>
    <x:t>SFD.PM.ZZ</x:t>
  </x:si>
  <x:si>
    <x:t>- - - - - Education about producing nonverbal messages</x:t>
  </x:si>
  <x:si>
    <x:t>http://id.who.int/icd/entity/583585001</x:t>
  </x:si>
  <x:si>
    <x:t>http://id.who.int/icd/release/11/beta/ichi/583585001</x:t>
  </x:si>
  <x:si>
    <x:t>SFD.PN.ZZ</x:t>
  </x:si>
  <x:si>
    <x:t>- - - - - Advising about producing nonverbal messages</x:t>
  </x:si>
  <x:si>
    <x:t>http://id.who.int/icd/entity/227030599</x:t>
  </x:si>
  <x:si>
    <x:t>http://id.who.int/icd/release/11/beta/ichi/227030599</x:t>
  </x:si>
  <x:si>
    <x:t>SFD.PP.ZZ</x:t>
  </x:si>
  <x:si>
    <x:t>- - - - - Counselling about producing nonverbal messages</x:t>
  </x:si>
  <x:si>
    <x:t>http://id.who.int/icd/entity/681612053</x:t>
  </x:si>
  <x:si>
    <x:t>http://id.who.int/icd/release/11/beta/ichi/681612053</x:t>
  </x:si>
  <x:si>
    <x:t>SFD.RB.ZZ</x:t>
  </x:si>
  <x:si>
    <x:t>- - - - - Practical support with producing nonverbal messages</x:t>
  </x:si>
  <x:si>
    <x:t>http://id.who.int/icd/entity/1188597884</x:t>
  </x:si>
  <x:si>
    <x:t>http://id.who.int/icd/release/11/beta/ichi/1188597884</x:t>
  </x:si>
  <x:si>
    <x:t>SFD.RC.ZZ</x:t>
  </x:si>
  <x:si>
    <x:t>- - - - - Emotional support for producing nonverbal messages</x:t>
  </x:si>
  <x:si>
    <x:t>http://id.who.int/icd/entity/2002960950</x:t>
  </x:si>
  <x:si>
    <x:t>http://id.who.int/icd/release/11/beta/ichi/2002960950</x:t>
  </x:si>
  <x:si>
    <x:t>SFJ.AA.ZZ</x:t>
  </x:si>
  <x:si>
    <x:t>- - - - - Assessment of producing messages in sign languages</x:t>
  </x:si>
  <x:si>
    <x:t>http://id.who.int/icd/entity/1196501438</x:t>
  </x:si>
  <x:si>
    <x:t>http://id.who.int/icd/release/11/beta/ichi/1196501438</x:t>
  </x:si>
  <x:si>
    <x:t>SFJ.AC.ZZ</x:t>
  </x:si>
  <x:si>
    <x:t>- - - - - Test of producing messages in sign languages</x:t>
  </x:si>
  <x:si>
    <x:t>http://id.who.int/icd/entity/1280653072</x:t>
  </x:si>
  <x:si>
    <x:t>http://id.who.int/icd/release/11/beta/ichi/1280653072</x:t>
  </x:si>
  <x:si>
    <x:t>SFJ.AM.ZZ</x:t>
  </x:si>
  <x:si>
    <x:t>- - - - - Observation of producing messages in sign languages</x:t>
  </x:si>
  <x:si>
    <x:t>http://id.who.int/icd/entity/412317855</x:t>
  </x:si>
  <x:si>
    <x:t>http://id.who.int/icd/release/11/beta/ichi/412317855</x:t>
  </x:si>
  <x:si>
    <x:t>SFJ.PH.ZZ</x:t>
  </x:si>
  <x:si>
    <x:t>- - - - - Training in producing messages in sign languages</x:t>
  </x:si>
  <x:si>
    <x:t>http://id.who.int/icd/entity/579503113</x:t>
  </x:si>
  <x:si>
    <x:t>http://id.who.int/icd/release/11/beta/ichi/579503113</x:t>
  </x:si>
  <x:si>
    <x:t>SFJ.PM.ZZ</x:t>
  </x:si>
  <x:si>
    <x:t>- - - - - Education about producing messages in sign languages</x:t>
  </x:si>
  <x:si>
    <x:t>http://id.who.int/icd/entity/231374503</x:t>
  </x:si>
  <x:si>
    <x:t>http://id.who.int/icd/release/11/beta/ichi/231374503</x:t>
  </x:si>
  <x:si>
    <x:t>SFJ.PN.ZZ</x:t>
  </x:si>
  <x:si>
    <x:t>- - - - - Advising about producing messages in sign languages</x:t>
  </x:si>
  <x:si>
    <x:t>http://id.who.int/icd/entity/2101925164</x:t>
  </x:si>
  <x:si>
    <x:t>http://id.who.int/icd/release/11/beta/ichi/2101925164</x:t>
  </x:si>
  <x:si>
    <x:t>SFJ.PP.ZZ</x:t>
  </x:si>
  <x:si>
    <x:t>- - - - - Counselling about producing messages in sign languages</x:t>
  </x:si>
  <x:si>
    <x:t>http://id.who.int/icd/entity/744931865</x:t>
  </x:si>
  <x:si>
    <x:t>http://id.who.int/icd/release/11/beta/ichi/744931865</x:t>
  </x:si>
  <x:si>
    <x:t>SFJ.RB.ZZ</x:t>
  </x:si>
  <x:si>
    <x:t>- - - - - Practical support with producing messages in sign languages</x:t>
  </x:si>
  <x:si>
    <x:t>http://id.who.int/icd/entity/1398661382</x:t>
  </x:si>
  <x:si>
    <x:t>http://id.who.int/icd/release/11/beta/ichi/1398661382</x:t>
  </x:si>
  <x:si>
    <x:t>SFJ.RC.ZZ</x:t>
  </x:si>
  <x:si>
    <x:t>- - - - - Emotional support for producing messages in sign languages</x:t>
  </x:si>
  <x:si>
    <x:t>http://id.who.int/icd/entity/1025892975</x:t>
  </x:si>
  <x:si>
    <x:t>http://id.who.int/icd/release/11/beta/ichi/1025892975</x:t>
  </x:si>
  <x:si>
    <x:t>SFK.AA.ZZ</x:t>
  </x:si>
  <x:si>
    <x:t>- - - - - Assessment of writing messages</x:t>
  </x:si>
  <x:si>
    <x:t>http://id.who.int/icd/entity/652961141</x:t>
  </x:si>
  <x:si>
    <x:t>http://id.who.int/icd/release/11/beta/ichi/652961141</x:t>
  </x:si>
  <x:si>
    <x:t>SFK.AC.ZZ</x:t>
  </x:si>
  <x:si>
    <x:t>- - - - - Test of writing messages</x:t>
  </x:si>
  <x:si>
    <x:t>http://id.who.int/icd/entity/1017928623</x:t>
  </x:si>
  <x:si>
    <x:t>http://id.who.int/icd/release/11/beta/ichi/1017928623</x:t>
  </x:si>
  <x:si>
    <x:t>SFK.AM.ZZ</x:t>
  </x:si>
  <x:si>
    <x:t>- - - - - Observation of writing messages</x:t>
  </x:si>
  <x:si>
    <x:t>http://id.who.int/icd/entity/933774595</x:t>
  </x:si>
  <x:si>
    <x:t>http://id.who.int/icd/release/11/beta/ichi/933774595</x:t>
  </x:si>
  <x:si>
    <x:t>SFK.PH.ZZ</x:t>
  </x:si>
  <x:si>
    <x:t>- - - - - Training in writing messages</x:t>
  </x:si>
  <x:si>
    <x:t>http://id.who.int/icd/entity/964529345</x:t>
  </x:si>
  <x:si>
    <x:t>http://id.who.int/icd/release/11/beta/ichi/964529345</x:t>
  </x:si>
  <x:si>
    <x:t>SFK.PM.ZZ</x:t>
  </x:si>
  <x:si>
    <x:t>- - - - - Education about writing messages</x:t>
  </x:si>
  <x:si>
    <x:t>http://id.who.int/icd/entity/1179037662</x:t>
  </x:si>
  <x:si>
    <x:t>http://id.who.int/icd/release/11/beta/ichi/1179037662</x:t>
  </x:si>
  <x:si>
    <x:t>SFK.PN.ZZ</x:t>
  </x:si>
  <x:si>
    <x:t>- - - - - Advising about writing messages</x:t>
  </x:si>
  <x:si>
    <x:t>http://id.who.int/icd/entity/1131577376</x:t>
  </x:si>
  <x:si>
    <x:t>http://id.who.int/icd/release/11/beta/ichi/1131577376</x:t>
  </x:si>
  <x:si>
    <x:t>SFK.PP.ZZ</x:t>
  </x:si>
  <x:si>
    <x:t>- - - - - Counselling about writing messages</x:t>
  </x:si>
  <x:si>
    <x:t>http://id.who.int/icd/entity/871377837</x:t>
  </x:si>
  <x:si>
    <x:t>http://id.who.int/icd/release/11/beta/ichi/871377837</x:t>
  </x:si>
  <x:si>
    <x:t>SFK.RB.ZZ</x:t>
  </x:si>
  <x:si>
    <x:t>- - - - - Practical support with writing messages</x:t>
  </x:si>
  <x:si>
    <x:t>http://id.who.int/icd/entity/481349891</x:t>
  </x:si>
  <x:si>
    <x:t>http://id.who.int/icd/release/11/beta/ichi/481349891</x:t>
  </x:si>
  <x:si>
    <x:t>SFK.RC.ZZ</x:t>
  </x:si>
  <x:si>
    <x:t>- - - - - Emotional support for writing messages</x:t>
  </x:si>
  <x:si>
    <x:t>http://id.who.int/icd/entity/1663844972</x:t>
  </x:si>
  <x:si>
    <x:t>http://id.who.int/icd/release/11/beta/ichi/1663844972</x:t>
  </x:si>
  <x:si>
    <x:t>BlockL4-SGA</x:t>
  </x:si>
  <x:si>
    <x:t>- - - - Interventions on conversation and use of communication devices and techniques</x:t>
  </x:si>
  <x:si>
    <x:t>http://id.who.int/icd/entity/648621461</x:t>
  </x:si>
  <x:si>
    <x:t>http://id.who.int/icd/release/11/beta/ichi/648621461</x:t>
  </x:si>
  <x:si>
    <x:t>SGA.AA.ZZ</x:t>
  </x:si>
  <x:si>
    <x:t>- - - - - Assessment of having a conversation</x:t>
  </x:si>
  <x:si>
    <x:t>http://id.who.int/icd/entity/1395707508</x:t>
  </x:si>
  <x:si>
    <x:t>http://id.who.int/icd/release/11/beta/ichi/1395707508</x:t>
  </x:si>
  <x:si>
    <x:t>SGA.AC.ZZ</x:t>
  </x:si>
  <x:si>
    <x:t>- - - - - Test on having a conversation</x:t>
  </x:si>
  <x:si>
    <x:t>http://id.who.int/icd/entity/1502744204</x:t>
  </x:si>
  <x:si>
    <x:t>http://id.who.int/icd/release/11/beta/ichi/1502744204</x:t>
  </x:si>
  <x:si>
    <x:t>SGA.AM.ZZ</x:t>
  </x:si>
  <x:si>
    <x:t>- - - - - Observation of having a conversation</x:t>
  </x:si>
  <x:si>
    <x:t>http://id.who.int/icd/entity/1275572940</x:t>
  </x:si>
  <x:si>
    <x:t>http://id.who.int/icd/release/11/beta/ichi/1275572940</x:t>
  </x:si>
  <x:si>
    <x:t>SGA.PH.ZZ</x:t>
  </x:si>
  <x:si>
    <x:t>- - - - - Training in having a conversation</x:t>
  </x:si>
  <x:si>
    <x:t>http://id.who.int/icd/entity/578793893</x:t>
  </x:si>
  <x:si>
    <x:t>http://id.who.int/icd/release/11/beta/ichi/578793893</x:t>
  </x:si>
  <x:si>
    <x:t>SGA.PN.ZZ</x:t>
  </x:si>
  <x:si>
    <x:t>- - - - - Advising about having a conversation</x:t>
  </x:si>
  <x:si>
    <x:t>http://id.who.int/icd/entity/331736047</x:t>
  </x:si>
  <x:si>
    <x:t>http://id.who.int/icd/release/11/beta/ichi/331736047</x:t>
  </x:si>
  <x:si>
    <x:t>SGA.PP.ZZ</x:t>
  </x:si>
  <x:si>
    <x:t>- - - - - Counselling about having a conversation</x:t>
  </x:si>
  <x:si>
    <x:t>http://id.who.int/icd/entity/603326565</x:t>
  </x:si>
  <x:si>
    <x:t>http://id.who.int/icd/release/11/beta/ichi/603326565</x:t>
  </x:si>
  <x:si>
    <x:t>SGA.RB.ZZ</x:t>
  </x:si>
  <x:si>
    <x:t>- - - - - Practical support with having a conversation</x:t>
  </x:si>
  <x:si>
    <x:t>http://id.who.int/icd/entity/686954185</x:t>
  </x:si>
  <x:si>
    <x:t>http://id.who.int/icd/release/11/beta/ichi/686954185</x:t>
  </x:si>
  <x:si>
    <x:t>SGA.RC.ZZ</x:t>
  </x:si>
  <x:si>
    <x:t>- - - - - Emotional support for having a conversation</x:t>
  </x:si>
  <x:si>
    <x:t>http://id.who.int/icd/entity/2083805512</x:t>
  </x:si>
  <x:si>
    <x:t>http://id.who.int/icd/release/11/beta/ichi/2083805512</x:t>
  </x:si>
  <x:si>
    <x:t>SGD.AA.ZZ</x:t>
  </x:si>
  <x:si>
    <x:t>- - - - - Assessment of having a discussion</x:t>
  </x:si>
  <x:si>
    <x:t>http://id.who.int/icd/entity/1495071764</x:t>
  </x:si>
  <x:si>
    <x:t>http://id.who.int/icd/release/11/beta/ichi/1495071764</x:t>
  </x:si>
  <x:si>
    <x:t>SGD.AM.ZZ</x:t>
  </x:si>
  <x:si>
    <x:t>- - - - - Observation of having a discussion</x:t>
  </x:si>
  <x:si>
    <x:t>http://id.who.int/icd/entity/1985742524</x:t>
  </x:si>
  <x:si>
    <x:t>http://id.who.int/icd/release/11/beta/ichi/1985742524</x:t>
  </x:si>
  <x:si>
    <x:t>SGD.PH.ZZ</x:t>
  </x:si>
  <x:si>
    <x:t>- - - - - Training in having a discussion</x:t>
  </x:si>
  <x:si>
    <x:t>http://id.who.int/icd/entity/115256631</x:t>
  </x:si>
  <x:si>
    <x:t>http://id.who.int/icd/release/11/beta/ichi/115256631</x:t>
  </x:si>
  <x:si>
    <x:t>SGD.PN.ZZ</x:t>
  </x:si>
  <x:si>
    <x:t>- - - - - Advising about having a discussion</x:t>
  </x:si>
  <x:si>
    <x:t>http://id.who.int/icd/entity/65700553</x:t>
  </x:si>
  <x:si>
    <x:t>http://id.who.int/icd/release/11/beta/ichi/65700553</x:t>
  </x:si>
  <x:si>
    <x:t>SGD.PP.ZZ</x:t>
  </x:si>
  <x:si>
    <x:t>- - - - - Counselling about having a discussion</x:t>
  </x:si>
  <x:si>
    <x:t>http://id.who.int/icd/entity/2094113240</x:t>
  </x:si>
  <x:si>
    <x:t>http://id.who.int/icd/release/11/beta/ichi/2094113240</x:t>
  </x:si>
  <x:si>
    <x:t>SGD.RB.ZZ</x:t>
  </x:si>
  <x:si>
    <x:t>- - - - - Practical support with having a discussion</x:t>
  </x:si>
  <x:si>
    <x:t>http://id.who.int/icd/entity/313107135</x:t>
  </x:si>
  <x:si>
    <x:t>http://id.who.int/icd/release/11/beta/ichi/313107135</x:t>
  </x:si>
  <x:si>
    <x:t>SGD.RC.ZZ</x:t>
  </x:si>
  <x:si>
    <x:t>- - - - - Emotional support for having a discussion</x:t>
  </x:si>
  <x:si>
    <x:t>http://id.who.int/icd/entity/1714499452</x:t>
  </x:si>
  <x:si>
    <x:t>http://id.who.int/icd/release/11/beta/ichi/1714499452</x:t>
  </x:si>
  <x:si>
    <x:t>SGG.AA.ZZ</x:t>
  </x:si>
  <x:si>
    <x:t>- - - - - Assessment of using communication devices and techniques</x:t>
  </x:si>
  <x:si>
    <x:t>http://id.who.int/icd/entity/2088112550</x:t>
  </x:si>
  <x:si>
    <x:t>http://id.who.int/icd/release/11/beta/ichi/2088112550</x:t>
  </x:si>
  <x:si>
    <x:t>SGG.AM.ZZ</x:t>
  </x:si>
  <x:si>
    <x:t>- - - - - Observation of using communication devices and techniques</x:t>
  </x:si>
  <x:si>
    <x:t>http://id.who.int/icd/entity/2003963660</x:t>
  </x:si>
  <x:si>
    <x:t>http://id.who.int/icd/release/11/beta/ichi/2003963660</x:t>
  </x:si>
  <x:si>
    <x:t>SGG.AN.ZZ</x:t>
  </x:si>
  <x:si>
    <x:t>- - - - - Interview in relation to using communication devices and techniques</x:t>
  </x:si>
  <x:si>
    <x:t>http://id.who.int/icd/entity/1254656327</x:t>
  </x:si>
  <x:si>
    <x:t>http://id.who.int/icd/release/11/beta/ichi/1254656327</x:t>
  </x:si>
  <x:si>
    <x:t>SGG.PH.ZZ</x:t>
  </x:si>
  <x:si>
    <x:t>- - - - - Training in using communication devices and techniques</x:t>
  </x:si>
  <x:si>
    <x:t>http://id.who.int/icd/entity/905161306</x:t>
  </x:si>
  <x:si>
    <x:t>http://id.who.int/icd/release/11/beta/ichi/905161306</x:t>
  </x:si>
  <x:si>
    <x:t>SGG.PM.ZZ</x:t>
  </x:si>
  <x:si>
    <x:t>- - - - - Education about using communication devices and techniques</x:t>
  </x:si>
  <x:si>
    <x:t>http://id.who.int/icd/entity/818382248</x:t>
  </x:si>
  <x:si>
    <x:t>http://id.who.int/icd/release/11/beta/ichi/818382248</x:t>
  </x:si>
  <x:si>
    <x:t>SGG.PN.ZZ</x:t>
  </x:si>
  <x:si>
    <x:t>- - - - - Advising about using communication devices and techniques</x:t>
  </x:si>
  <x:si>
    <x:t>http://id.who.int/icd/entity/1078275627</x:t>
  </x:si>
  <x:si>
    <x:t>http://id.who.int/icd/release/11/beta/ichi/1078275627</x:t>
  </x:si>
  <x:si>
    <x:t>SGG.RB.ZZ</x:t>
  </x:si>
  <x:si>
    <x:t>- - - - - Practical support with using communication devices and techniques</x:t>
  </x:si>
  <x:si>
    <x:t>http://id.who.int/icd/entity/1862653061</x:t>
  </x:si>
  <x:si>
    <x:t>http://id.who.int/icd/release/11/beta/ichi/1862653061</x:t>
  </x:si>
  <x:si>
    <x:t>SGG.RC.ZZ</x:t>
  </x:si>
  <x:si>
    <x:t>- - - - - Emotional support for using communication devices and techniques</x:t>
  </x:si>
  <x:si>
    <x:t>http://id.who.int/icd/entity/262676014</x:t>
  </x:si>
  <x:si>
    <x:t>http://id.who.int/icd/release/11/beta/ichi/262676014</x:t>
  </x:si>
  <x:si>
    <x:t>BlockL3-SH1</x:t>
  </x:si>
  <x:si>
    <x:t>- - - Interventions on mobility</x:t>
  </x:si>
  <x:si>
    <x:t>http://id.who.int/icd/entity/609579710</x:t>
  </x:si>
  <x:si>
    <x:t>http://id.who.int/icd/release/11/beta/ichi/609579710</x:t>
  </x:si>
  <x:si>
    <x:t>BlockL4-SH1</x:t>
  </x:si>
  <x:si>
    <x:t>- - - - Interventions on mobility, changing and maintaining body position</x:t>
  </x:si>
  <x:si>
    <x:t>45</x:t>
  </x:si>
  <x:si>
    <x:t>http://id.who.int/icd/entity/1244492247</x:t>
  </x:si>
  <x:si>
    <x:t>http://id.who.int/icd/release/11/beta/ichi/1244492247</x:t>
  </x:si>
  <x:si>
    <x:t>SH1.AA.ZZ</x:t>
  </x:si>
  <x:si>
    <x:t>- - - - - Assessment of mobility, unspecified</x:t>
  </x:si>
  <x:si>
    <x:t>http://id.who.int/icd/entity/1084282555</x:t>
  </x:si>
  <x:si>
    <x:t>http://id.who.int/icd/release/11/beta/ichi/1084282555</x:t>
  </x:si>
  <x:si>
    <x:t>SH1.AC.ZZ</x:t>
  </x:si>
  <x:si>
    <x:t>- - - - - Test of mobility, unspecified</x:t>
  </x:si>
  <x:si>
    <x:t>http://id.who.int/icd/entity/807566648</x:t>
  </x:si>
  <x:si>
    <x:t>http://id.who.int/icd/release/11/beta/ichi/807566648</x:t>
  </x:si>
  <x:si>
    <x:t>SH1.AM.ZZ</x:t>
  </x:si>
  <x:si>
    <x:t>- - - - - Observation of mobility, unspecified</x:t>
  </x:si>
  <x:si>
    <x:t>http://id.who.int/icd/entity/526550936</x:t>
  </x:si>
  <x:si>
    <x:t>http://id.who.int/icd/release/11/beta/ichi/526550936</x:t>
  </x:si>
  <x:si>
    <x:t>SH1.PH.ZZ</x:t>
  </x:si>
  <x:si>
    <x:t>- - - - - Training about mobility, unspecified</x:t>
  </x:si>
  <x:si>
    <x:t>http://id.who.int/icd/entity/1627264247</x:t>
  </x:si>
  <x:si>
    <x:t>http://id.who.int/icd/release/11/beta/ichi/1627264247</x:t>
  </x:si>
  <x:si>
    <x:t>SH1.PM.ZZ</x:t>
  </x:si>
  <x:si>
    <x:t>- - - - - Education about mobility, unspecified</x:t>
  </x:si>
  <x:si>
    <x:t>http://id.who.int/icd/entity/171671970</x:t>
  </x:si>
  <x:si>
    <x:t>http://id.who.int/icd/release/11/beta/ichi/171671970</x:t>
  </x:si>
  <x:si>
    <x:t>SH1.PN.ZZ</x:t>
  </x:si>
  <x:si>
    <x:t>- - - - - Advising about mobility, unspecified</x:t>
  </x:si>
  <x:si>
    <x:t>http://id.who.int/icd/entity/20946700</x:t>
  </x:si>
  <x:si>
    <x:t>http://id.who.int/icd/release/11/beta/ichi/20946700</x:t>
  </x:si>
  <x:si>
    <x:t>SH1.RA.ZZ</x:t>
  </x:si>
  <x:si>
    <x:t>- - - - - Performing the task of mobility, unspecified</x:t>
  </x:si>
  <x:si>
    <x:t>http://id.who.int/icd/entity/1062686684</x:t>
  </x:si>
  <x:si>
    <x:t>http://id.who.int/icd/release/11/beta/ichi/1062686684</x:t>
  </x:si>
  <x:si>
    <x:t>SH1.RB.ZZ</x:t>
  </x:si>
  <x:si>
    <x:t>- - - - - Practical support with mobility, unspecified</x:t>
  </x:si>
  <x:si>
    <x:t>http://id.who.int/icd/entity/1080847557</x:t>
  </x:si>
  <x:si>
    <x:t>http://id.who.int/icd/release/11/beta/ichi/1080847557</x:t>
  </x:si>
  <x:si>
    <x:t>SH1.RC.ZZ</x:t>
  </x:si>
  <x:si>
    <x:t>- - - - - Emotional support for mobility, unspecified</x:t>
  </x:si>
  <x:si>
    <x:t>http://id.who.int/icd/entity/1163412283</x:t>
  </x:si>
  <x:si>
    <x:t>http://id.who.int/icd/release/11/beta/ichi/1163412283</x:t>
  </x:si>
  <x:si>
    <x:t>SH1.TA.ZZ</x:t>
  </x:si>
  <x:si>
    <x:t>- - - - - Advocacy in relation to mobility, unspecified</x:t>
  </x:si>
  <x:si>
    <x:t>http://id.who.int/icd/entity/903538872</x:t>
  </x:si>
  <x:si>
    <x:t>http://id.who.int/icd/release/11/beta/ichi/903538872</x:t>
  </x:si>
  <x:si>
    <x:t>SH1.ZZ.ZZ</x:t>
  </x:si>
  <x:si>
    <x:t>- - - - - Other interventions for unspecified mobility</x:t>
  </x:si>
  <x:si>
    <x:t>http://id.who.int/icd/entity/446304792</x:t>
  </x:si>
  <x:si>
    <x:t>http://id.who.int/icd/release/11/beta/ichi/446304792</x:t>
  </x:si>
  <x:si>
    <x:t>SH2.AA.ZZ</x:t>
  </x:si>
  <x:si>
    <x:t>- - - - - Assessment of changing and maintaining body position, not elsewhere classified</x:t>
  </x:si>
  <x:si>
    <x:t>http://id.who.int/icd/entity/1523493519</x:t>
  </x:si>
  <x:si>
    <x:t>http://id.who.int/icd/release/11/beta/ichi/1523493519</x:t>
  </x:si>
  <x:si>
    <x:t>SH2.AC.ZZ</x:t>
  </x:si>
  <x:si>
    <x:t>- - - - - Test of changing and maintaining body position, not elsewhere classified</x:t>
  </x:si>
  <x:si>
    <x:t>http://id.who.int/icd/entity/1972260897</x:t>
  </x:si>
  <x:si>
    <x:t>http://id.who.int/icd/release/11/beta/ichi/1972260897</x:t>
  </x:si>
  <x:si>
    <x:t>SH2.AM.ZZ</x:t>
  </x:si>
  <x:si>
    <x:t>- - - - - Observation of changing and maintaining body position, not elsewhere classified</x:t>
  </x:si>
  <x:si>
    <x:t>http://id.who.int/icd/entity/84736940</x:t>
  </x:si>
  <x:si>
    <x:t>http://id.who.int/icd/release/11/beta/ichi/84736940</x:t>
  </x:si>
  <x:si>
    <x:t>SH2.PH.ZZ</x:t>
  </x:si>
  <x:si>
    <x:t>- - - - - Training in changing and maintaining body position, not elsewhere classified</x:t>
  </x:si>
  <x:si>
    <x:t>http://id.who.int/icd/entity/1699006871</x:t>
  </x:si>
  <x:si>
    <x:t>http://id.who.int/icd/release/11/beta/ichi/1699006871</x:t>
  </x:si>
  <x:si>
    <x:t>SH2.PM.ZZ</x:t>
  </x:si>
  <x:si>
    <x:t>- - - - - Education about changing and maintaining body position, not elsewhere classified</x:t>
  </x:si>
  <x:si>
    <x:t>http://id.who.int/icd/entity/1794982149</x:t>
  </x:si>
  <x:si>
    <x:t>http://id.who.int/icd/release/11/beta/ichi/1794982149</x:t>
  </x:si>
  <x:si>
    <x:t>SH2.RA.ZZ</x:t>
  </x:si>
  <x:si>
    <x:t>- - - - - Performing the task of changing and maintaining body position, not elsewhere classified</x:t>
  </x:si>
  <x:si>
    <x:t>http://id.who.int/icd/entity/1709406695</x:t>
  </x:si>
  <x:si>
    <x:t>http://id.who.int/icd/release/11/beta/ichi/1709406695</x:t>
  </x:si>
  <x:si>
    <x:t>SH2.RB.ZZ</x:t>
  </x:si>
  <x:si>
    <x:t>- - - - - Practical support with changing and maintaining body position, not elsewhere classified</x:t>
  </x:si>
  <x:si>
    <x:t>http://id.who.int/icd/entity/2141472573</x:t>
  </x:si>
  <x:si>
    <x:t>http://id.who.int/icd/release/11/beta/ichi/2141472573</x:t>
  </x:si>
  <x:si>
    <x:t>SH2.RC.ZZ</x:t>
  </x:si>
  <x:si>
    <x:t>- - - - - Emotional support for changing and maintaining body position, not elsewhere classified</x:t>
  </x:si>
  <x:si>
    <x:t>http://id.who.int/icd/entity/1956665745</x:t>
  </x:si>
  <x:si>
    <x:t>http://id.who.int/icd/release/11/beta/ichi/1956665745</x:t>
  </x:si>
  <x:si>
    <x:t>SHA.AA.ZZ</x:t>
  </x:si>
  <x:si>
    <x:t>- - - - - Assessment of changing body position</x:t>
  </x:si>
  <x:si>
    <x:t>http://id.who.int/icd/entity/432253086</x:t>
  </x:si>
  <x:si>
    <x:t>http://id.who.int/icd/release/11/beta/ichi/432253086</x:t>
  </x:si>
  <x:si>
    <x:t>SHA.AC.ZZ</x:t>
  </x:si>
  <x:si>
    <x:t>- - - - - Test of changing body position</x:t>
  </x:si>
  <x:si>
    <x:t>http://id.who.int/icd/entity/1727564673</x:t>
  </x:si>
  <x:si>
    <x:t>http://id.who.int/icd/release/11/beta/ichi/1727564673</x:t>
  </x:si>
  <x:si>
    <x:t>SHA.AM.ZZ</x:t>
  </x:si>
  <x:si>
    <x:t>- - - - - Observation of changing body position</x:t>
  </x:si>
  <x:si>
    <x:t>http://id.who.int/icd/entity/1674355839</x:t>
  </x:si>
  <x:si>
    <x:t>http://id.who.int/icd/release/11/beta/ichi/1674355839</x:t>
  </x:si>
  <x:si>
    <x:t>SHA.PH.ZZ</x:t>
  </x:si>
  <x:si>
    <x:t>- - - - - Training to change body position</x:t>
  </x:si>
  <x:si>
    <x:t>http://id.who.int/icd/entity/323882994</x:t>
  </x:si>
  <x:si>
    <x:t>http://id.who.int/icd/release/11/beta/ichi/323882994</x:t>
  </x:si>
  <x:si>
    <x:t>SHA.PM.ZZ</x:t>
  </x:si>
  <x:si>
    <x:t>- - - - - Education about of changing body position</x:t>
  </x:si>
  <x:si>
    <x:t>http://id.who.int/icd/entity/1007613278</x:t>
  </x:si>
  <x:si>
    <x:t>http://id.who.int/icd/release/11/beta/ichi/1007613278</x:t>
  </x:si>
  <x:si>
    <x:t>SHA.PN.ZZ</x:t>
  </x:si>
  <x:si>
    <x:t>- - - - - Advising about changing body position</x:t>
  </x:si>
  <x:si>
    <x:t>http://id.who.int/icd/entity/421941262</x:t>
  </x:si>
  <x:si>
    <x:t>http://id.who.int/icd/release/11/beta/ichi/421941262</x:t>
  </x:si>
  <x:si>
    <x:t>SHA.RA.ZZ</x:t>
  </x:si>
  <x:si>
    <x:t>- - - - - Performing the task of changing body position</x:t>
  </x:si>
  <x:si>
    <x:t>http://id.who.int/icd/entity/2002670439</x:t>
  </x:si>
  <x:si>
    <x:t>http://id.who.int/icd/release/11/beta/ichi/2002670439</x:t>
  </x:si>
  <x:si>
    <x:t>SHA.RB.ZZ</x:t>
  </x:si>
  <x:si>
    <x:t>- - - - - Practical support with changing body position</x:t>
  </x:si>
  <x:si>
    <x:t>http://id.who.int/icd/entity/1189347629</x:t>
  </x:si>
  <x:si>
    <x:t>http://id.who.int/icd/release/11/beta/ichi/1189347629</x:t>
  </x:si>
  <x:si>
    <x:t>SHA.RC.ZZ</x:t>
  </x:si>
  <x:si>
    <x:t>- - - - - Emotional support for changing body position</x:t>
  </x:si>
  <x:si>
    <x:t>http://id.who.int/icd/entity/1993861799</x:t>
  </x:si>
  <x:si>
    <x:t>http://id.who.int/icd/release/11/beta/ichi/1993861799</x:t>
  </x:si>
  <x:si>
    <x:t>SHD.AA.ZZ</x:t>
  </x:si>
  <x:si>
    <x:t>- - - - - Assessment of maintaining body position</x:t>
  </x:si>
  <x:si>
    <x:t>http://id.who.int/icd/entity/2111042571</x:t>
  </x:si>
  <x:si>
    <x:t>http://id.who.int/icd/release/11/beta/ichi/2111042571</x:t>
  </x:si>
  <x:si>
    <x:t>SHD.AC.ZZ</x:t>
  </x:si>
  <x:si>
    <x:t>- - - - - Test of maintaining body position</x:t>
  </x:si>
  <x:si>
    <x:t>http://id.who.int/icd/entity/938414944</x:t>
  </x:si>
  <x:si>
    <x:t>http://id.who.int/icd/release/11/beta/ichi/938414944</x:t>
  </x:si>
  <x:si>
    <x:t>SHD.AM.ZZ</x:t>
  </x:si>
  <x:si>
    <x:t>- - - - - Observation of maintaining body position</x:t>
  </x:si>
  <x:si>
    <x:t>http://id.who.int/icd/entity/1131912867</x:t>
  </x:si>
  <x:si>
    <x:t>http://id.who.int/icd/release/11/beta/ichi/1131912867</x:t>
  </x:si>
  <x:si>
    <x:t>SHD.PG.ZZ</x:t>
  </x:si>
  <x:si>
    <x:t>- - - - - Assisting and leading balance exercise for maintaining a body position</x:t>
  </x:si>
  <x:si>
    <x:t>http://id.who.int/icd/entity/155941322</x:t>
  </x:si>
  <x:si>
    <x:t>http://id.who.int/icd/release/11/beta/ichi/155941322</x:t>
  </x:si>
  <x:si>
    <x:t>SHD.PH.ZZ</x:t>
  </x:si>
  <x:si>
    <x:t>- - - - - Training for maintaining body position</x:t>
  </x:si>
  <x:si>
    <x:t>http://id.who.int/icd/entity/1499179639</x:t>
  </x:si>
  <x:si>
    <x:t>http://id.who.int/icd/release/11/beta/ichi/1499179639</x:t>
  </x:si>
  <x:si>
    <x:t>SHD.PN.ZZ</x:t>
  </x:si>
  <x:si>
    <x:t>- - - - - Advising about maintaining body position</x:t>
  </x:si>
  <x:si>
    <x:t>http://id.who.int/icd/entity/1382003931</x:t>
  </x:si>
  <x:si>
    <x:t>http://id.who.int/icd/release/11/beta/ichi/1382003931</x:t>
  </x:si>
  <x:si>
    <x:t>SHD.RB.ZZ</x:t>
  </x:si>
  <x:si>
    <x:t>- - - - - Practical support with maintaining body position</x:t>
  </x:si>
  <x:si>
    <x:t>http://id.who.int/icd/entity/643860842</x:t>
  </x:si>
  <x:si>
    <x:t>http://id.who.int/icd/release/11/beta/ichi/643860842</x:t>
  </x:si>
  <x:si>
    <x:t>SHD.RC.ZZ</x:t>
  </x:si>
  <x:si>
    <x:t>- - - - - Emotional support for maintaining body position</x:t>
  </x:si>
  <x:si>
    <x:t>http://id.who.int/icd/entity/592750232</x:t>
  </x:si>
  <x:si>
    <x:t>http://id.who.int/icd/release/11/beta/ichi/592750232</x:t>
  </x:si>
  <x:si>
    <x:t>SHG.AA.ZZ</x:t>
  </x:si>
  <x:si>
    <x:t>- - - - - Assessment of transferring oneself</x:t>
  </x:si>
  <x:si>
    <x:t>http://id.who.int/icd/entity/1550812553</x:t>
  </x:si>
  <x:si>
    <x:t>http://id.who.int/icd/release/11/beta/ichi/1550812553</x:t>
  </x:si>
  <x:si>
    <x:t>SHG.AC.ZZ</x:t>
  </x:si>
  <x:si>
    <x:t>- - - - - Test of transferring oneself</x:t>
  </x:si>
  <x:si>
    <x:t>http://id.who.int/icd/entity/840402656</x:t>
  </x:si>
  <x:si>
    <x:t>http://id.who.int/icd/release/11/beta/ichi/840402656</x:t>
  </x:si>
  <x:si>
    <x:t>SHG.AM.ZZ</x:t>
  </x:si>
  <x:si>
    <x:t>- - - - - Observation of transferring oneself</x:t>
  </x:si>
  <x:si>
    <x:t>http://id.who.int/icd/entity/1505645287</x:t>
  </x:si>
  <x:si>
    <x:t>http://id.who.int/icd/release/11/beta/ichi/1505645287</x:t>
  </x:si>
  <x:si>
    <x:t>SHG.PH.ZZ</x:t>
  </x:si>
  <x:si>
    <x:t>- - - - - Training for transferring oneself</x:t>
  </x:si>
  <x:si>
    <x:t>http://id.who.int/icd/entity/1140419645</x:t>
  </x:si>
  <x:si>
    <x:t>http://id.who.int/icd/release/11/beta/ichi/1140419645</x:t>
  </x:si>
  <x:si>
    <x:t>SHG.PM.ZZ</x:t>
  </x:si>
  <x:si>
    <x:t>- - - - - Education about transferring oneself</x:t>
  </x:si>
  <x:si>
    <x:t>http://id.who.int/icd/entity/1224569489</x:t>
  </x:si>
  <x:si>
    <x:t>http://id.who.int/icd/release/11/beta/ichi/1224569489</x:t>
  </x:si>
  <x:si>
    <x:t>SHG.PN.ZZ</x:t>
  </x:si>
  <x:si>
    <x:t>- - - - - Advising about transferring oneself</x:t>
  </x:si>
  <x:si>
    <x:t>http://id.who.int/icd/entity/911206480</x:t>
  </x:si>
  <x:si>
    <x:t>http://id.who.int/icd/release/11/beta/ichi/911206480</x:t>
  </x:si>
  <x:si>
    <x:t>SHG.RA.ZZ</x:t>
  </x:si>
  <x:si>
    <x:t>- - - - - Performing the task of transferring the person</x:t>
  </x:si>
  <x:si>
    <x:t>http://id.who.int/icd/entity/420418272</x:t>
  </x:si>
  <x:si>
    <x:t>http://id.who.int/icd/release/11/beta/ichi/420418272</x:t>
  </x:si>
  <x:si>
    <x:t>SHG.RB.ZZ</x:t>
  </x:si>
  <x:si>
    <x:t>- - - - - Practical support with transferring oneself</x:t>
  </x:si>
  <x:si>
    <x:t>http://id.who.int/icd/entity/1181414323</x:t>
  </x:si>
  <x:si>
    <x:t>http://id.who.int/icd/release/11/beta/ichi/1181414323</x:t>
  </x:si>
  <x:si>
    <x:t>SHG.RC.ZZ</x:t>
  </x:si>
  <x:si>
    <x:t>- - - - - Emotional support for transferring oneself</x:t>
  </x:si>
  <x:si>
    <x:t>http://id.who.int/icd/entity/1238596385</x:t>
  </x:si>
  <x:si>
    <x:t>http://id.who.int/icd/release/11/beta/ichi/1238596385</x:t>
  </x:si>
  <x:si>
    <x:t>BlockL4-SI2</x:t>
  </x:si>
  <x:si>
    <x:t>- - - - Interventions on carrying, moving and handling objects</x:t>
  </x:si>
  <x:si>
    <x:t>40</x:t>
  </x:si>
  <x:si>
    <x:t>http://id.who.int/icd/entity/1299115295</x:t>
  </x:si>
  <x:si>
    <x:t>http://id.who.int/icd/release/11/beta/ichi/1299115295</x:t>
  </x:si>
  <x:si>
    <x:t>SI2.AA.ZZ</x:t>
  </x:si>
  <x:si>
    <x:t>- - - - - Assessment of carrying, moving and handling objects, not elsewhere classified</x:t>
  </x:si>
  <x:si>
    <x:t>http://id.who.int/icd/entity/939793966</x:t>
  </x:si>
  <x:si>
    <x:t>http://id.who.int/icd/release/11/beta/ichi/939793966</x:t>
  </x:si>
  <x:si>
    <x:t>SI2.AC.ZZ</x:t>
  </x:si>
  <x:si>
    <x:t>- - - - - Test of carrying, moving or handling objects, not elsewhere classified</x:t>
  </x:si>
  <x:si>
    <x:t>http://id.who.int/icd/entity/855638148</x:t>
  </x:si>
  <x:si>
    <x:t>http://id.who.int/icd/release/11/beta/ichi/855638148</x:t>
  </x:si>
  <x:si>
    <x:t>SI2.PH.ZZ</x:t>
  </x:si>
  <x:si>
    <x:t>- - - - - Training in carrying moving and handling objects, not elsewhere classified</x:t>
  </x:si>
  <x:si>
    <x:t>http://id.who.int/icd/entity/1741049613</x:t>
  </x:si>
  <x:si>
    <x:t>http://id.who.int/icd/release/11/beta/ichi/1741049613</x:t>
  </x:si>
  <x:si>
    <x:t>SI2.PM.ZZ</x:t>
  </x:si>
  <x:si>
    <x:t>- - - - - Education about carrying, moving and handling objects, not elsewhere classified</x:t>
  </x:si>
  <x:si>
    <x:t>http://id.who.int/icd/entity/847886658</x:t>
  </x:si>
  <x:si>
    <x:t>http://id.who.int/icd/release/11/beta/ichi/847886658</x:t>
  </x:si>
  <x:si>
    <x:t>SI2.PN.ZZ</x:t>
  </x:si>
  <x:si>
    <x:t>- - - - - Advising about carrying, moving and handling objects, not elsewhere classified</x:t>
  </x:si>
  <x:si>
    <x:t>http://id.who.int/icd/entity/499729390</x:t>
  </x:si>
  <x:si>
    <x:t>http://id.who.int/icd/release/11/beta/ichi/499729390</x:t>
  </x:si>
  <x:si>
    <x:t>SI2.RB.ZZ</x:t>
  </x:si>
  <x:si>
    <x:t>- - - - - Practical support with carrying, moving and handling objects, not elsewhere classified</x:t>
  </x:si>
  <x:si>
    <x:t>http://id.who.int/icd/entity/1833691233</x:t>
  </x:si>
  <x:si>
    <x:t>http://id.who.int/icd/release/11/beta/ichi/1833691233</x:t>
  </x:si>
  <x:si>
    <x:t>SI2.RC.ZZ</x:t>
  </x:si>
  <x:si>
    <x:t>- - - - - Emotional support for carrying, moving and handling objects, not elsewhere classified</x:t>
  </x:si>
  <x:si>
    <x:t>http://id.who.int/icd/entity/404264068</x:t>
  </x:si>
  <x:si>
    <x:t>http://id.who.int/icd/release/11/beta/ichi/404264068</x:t>
  </x:si>
  <x:si>
    <x:t>SIA.AA.ZZ</x:t>
  </x:si>
  <x:si>
    <x:t>- - - - - Assessment of lifting and carrying</x:t>
  </x:si>
  <x:si>
    <x:t>http://id.who.int/icd/entity/1730394013</x:t>
  </x:si>
  <x:si>
    <x:t>http://id.who.int/icd/release/11/beta/ichi/1730394013</x:t>
  </x:si>
  <x:si>
    <x:t>SIA.AB.ZZ</x:t>
  </x:si>
  <x:si>
    <x:t>- - - - - Measurement of lifting and carrying</x:t>
  </x:si>
  <x:si>
    <x:t>http://id.who.int/icd/entity/157005044</x:t>
  </x:si>
  <x:si>
    <x:t>http://id.who.int/icd/release/11/beta/ichi/157005044</x:t>
  </x:si>
  <x:si>
    <x:t>SIA.AC.ZZ</x:t>
  </x:si>
  <x:si>
    <x:t>- - - - - Test of lifting and carrying</x:t>
  </x:si>
  <x:si>
    <x:t>http://id.who.int/icd/entity/311768048</x:t>
  </x:si>
  <x:si>
    <x:t>http://id.who.int/icd/release/11/beta/ichi/311768048</x:t>
  </x:si>
  <x:si>
    <x:t>SIA.AM.ZZ</x:t>
  </x:si>
  <x:si>
    <x:t>- - - - - Observation of lifting and carrying</x:t>
  </x:si>
  <x:si>
    <x:t>http://id.who.int/icd/entity/147983670</x:t>
  </x:si>
  <x:si>
    <x:t>http://id.who.int/icd/release/11/beta/ichi/147983670</x:t>
  </x:si>
  <x:si>
    <x:t>SIA.AN.ZZ</x:t>
  </x:si>
  <x:si>
    <x:t>- - - - - Interview in relation to lifting and carrying</x:t>
  </x:si>
  <x:si>
    <x:t>http://id.who.int/icd/entity/130823638</x:t>
  </x:si>
  <x:si>
    <x:t>http://id.who.int/icd/release/11/beta/ichi/130823638</x:t>
  </x:si>
  <x:si>
    <x:t>SIA.PH.ZZ</x:t>
  </x:si>
  <x:si>
    <x:t>- - - - - Training in lifting and carrying</x:t>
  </x:si>
  <x:si>
    <x:t>http://id.who.int/icd/entity/680316794</x:t>
  </x:si>
  <x:si>
    <x:t>http://id.who.int/icd/release/11/beta/ichi/680316794</x:t>
  </x:si>
  <x:si>
    <x:t>SIA.PM.ZZ</x:t>
  </x:si>
  <x:si>
    <x:t>- - - - - Education about lifting and carrying</x:t>
  </x:si>
  <x:si>
    <x:t>http://id.who.int/icd/entity/1712176685</x:t>
  </x:si>
  <x:si>
    <x:t>http://id.who.int/icd/release/11/beta/ichi/1712176685</x:t>
  </x:si>
  <x:si>
    <x:t>SIA.PN.ZZ</x:t>
  </x:si>
  <x:si>
    <x:t>- - - - - Advising about lifting and carrying</x:t>
  </x:si>
  <x:si>
    <x:t>http://id.who.int/icd/entity/1025078078</x:t>
  </x:si>
  <x:si>
    <x:t>http://id.who.int/icd/release/11/beta/ichi/1025078078</x:t>
  </x:si>
  <x:si>
    <x:t>SIA.RA.ZZ</x:t>
  </x:si>
  <x:si>
    <x:t>- - - - - Performing the task of lifting and carrying</x:t>
  </x:si>
  <x:si>
    <x:t>http://id.who.int/icd/entity/660491748</x:t>
  </x:si>
  <x:si>
    <x:t>http://id.who.int/icd/release/11/beta/ichi/660491748</x:t>
  </x:si>
  <x:si>
    <x:t>SIA.RB.ZZ</x:t>
  </x:si>
  <x:si>
    <x:t>- - - - - Practical support with lifting and carrying</x:t>
  </x:si>
  <x:si>
    <x:t>http://id.who.int/icd/entity/744117066</x:t>
  </x:si>
  <x:si>
    <x:t>http://id.who.int/icd/release/11/beta/ichi/744117066</x:t>
  </x:si>
  <x:si>
    <x:t>SIA.RC.ZZ</x:t>
  </x:si>
  <x:si>
    <x:t>- - - - - Emotional support for lifting and carrying objects</x:t>
  </x:si>
  <x:si>
    <x:t>http://id.who.int/icd/entity/1390987671</x:t>
  </x:si>
  <x:si>
    <x:t>http://id.who.int/icd/release/11/beta/ichi/1390987671</x:t>
  </x:si>
  <x:si>
    <x:t>SID.AA.ZZ</x:t>
  </x:si>
  <x:si>
    <x:t>- - - - - Assessment of moving objects with lower extremities</x:t>
  </x:si>
  <x:si>
    <x:t>http://id.who.int/icd/entity/2108175161</x:t>
  </x:si>
  <x:si>
    <x:t>http://id.who.int/icd/release/11/beta/ichi/2108175161</x:t>
  </x:si>
  <x:si>
    <x:t>SID.AC.ZZ</x:t>
  </x:si>
  <x:si>
    <x:t>- - - - - Test of moving objects with lower extremities</x:t>
  </x:si>
  <x:si>
    <x:t>http://id.who.int/icd/entity/1039961006</x:t>
  </x:si>
  <x:si>
    <x:t>http://id.who.int/icd/release/11/beta/ichi/1039961006</x:t>
  </x:si>
  <x:si>
    <x:t>SID.AM.ZZ</x:t>
  </x:si>
  <x:si>
    <x:t>- - - - - Observation of moving objects with lower extremities</x:t>
  </x:si>
  <x:si>
    <x:t>http://id.who.int/icd/entity/922260740</x:t>
  </x:si>
  <x:si>
    <x:t>http://id.who.int/icd/release/11/beta/ichi/922260740</x:t>
  </x:si>
  <x:si>
    <x:t>SID.PH.ZZ</x:t>
  </x:si>
  <x:si>
    <x:t>- - - - - Training in moving objects using lower extremities</x:t>
  </x:si>
  <x:si>
    <x:t>http://id.who.int/icd/entity/1648286349</x:t>
  </x:si>
  <x:si>
    <x:t>http://id.who.int/icd/release/11/beta/ichi/1648286349</x:t>
  </x:si>
  <x:si>
    <x:t>SIG.AA.ZZ</x:t>
  </x:si>
  <x:si>
    <x:t>- - - - - Assessment of fine hand use</x:t>
  </x:si>
  <x:si>
    <x:t>http://id.who.int/icd/entity/952673360</x:t>
  </x:si>
  <x:si>
    <x:t>http://id.who.int/icd/release/11/beta/ichi/952673360</x:t>
  </x:si>
  <x:si>
    <x:t>SIG.AC.ZZ</x:t>
  </x:si>
  <x:si>
    <x:t>- - - - - Test of fine hand use</x:t>
  </x:si>
  <x:si>
    <x:t>http://id.who.int/icd/entity/1984550149</x:t>
  </x:si>
  <x:si>
    <x:t>http://id.who.int/icd/release/11/beta/ichi/1984550149</x:t>
  </x:si>
  <x:si>
    <x:t>SIG.AM.ZZ</x:t>
  </x:si>
  <x:si>
    <x:t>- - - - - Observation of fine hand use</x:t>
  </x:si>
  <x:si>
    <x:t>http://id.who.int/icd/entity/1739408643</x:t>
  </x:si>
  <x:si>
    <x:t>http://id.who.int/icd/release/11/beta/ichi/1739408643</x:t>
  </x:si>
  <x:si>
    <x:t>SIG.PH.ZZ</x:t>
  </x:si>
  <x:si>
    <x:t>- - - - - Training in fine hand use</x:t>
  </x:si>
  <x:si>
    <x:t>http://id.who.int/icd/entity/224972884</x:t>
  </x:si>
  <x:si>
    <x:t>http://id.who.int/icd/release/11/beta/ichi/224972884</x:t>
  </x:si>
  <x:si>
    <x:t>SIG.PM.ZZ</x:t>
  </x:si>
  <x:si>
    <x:t>- - - - - Education about fine hand use</x:t>
  </x:si>
  <x:si>
    <x:t>http://id.who.int/icd/entity/20120291</x:t>
  </x:si>
  <x:si>
    <x:t>http://id.who.int/icd/release/11/beta/ichi/20120291</x:t>
  </x:si>
  <x:si>
    <x:t>SIG.PN.ZZ</x:t>
  </x:si>
  <x:si>
    <x:t>- - - - - Advising about fine hand use</x:t>
  </x:si>
  <x:si>
    <x:t>http://id.who.int/icd/entity/779352141</x:t>
  </x:si>
  <x:si>
    <x:t>http://id.who.int/icd/release/11/beta/ichi/779352141</x:t>
  </x:si>
  <x:si>
    <x:t>SIG.RB.ZZ</x:t>
  </x:si>
  <x:si>
    <x:t>- - - - - Practical support with fine hand use</x:t>
  </x:si>
  <x:si>
    <x:t>http://id.who.int/icd/entity/1592873922</x:t>
  </x:si>
  <x:si>
    <x:t>http://id.who.int/icd/release/11/beta/ichi/1592873922</x:t>
  </x:si>
  <x:si>
    <x:t>SIG.RC.ZZ</x:t>
  </x:si>
  <x:si>
    <x:t>- - - - - Emotional support for fine hand use</x:t>
  </x:si>
  <x:si>
    <x:t>http://id.who.int/icd/entity/1539669056</x:t>
  </x:si>
  <x:si>
    <x:t>http://id.who.int/icd/release/11/beta/ichi/1539669056</x:t>
  </x:si>
  <x:si>
    <x:t>SIJ.AA.ZZ</x:t>
  </x:si>
  <x:si>
    <x:t>- - - - - Assessment of hand and arm use</x:t>
  </x:si>
  <x:si>
    <x:t>http://id.who.int/icd/entity/1417475246</x:t>
  </x:si>
  <x:si>
    <x:t>http://id.who.int/icd/release/11/beta/ichi/1417475246</x:t>
  </x:si>
  <x:si>
    <x:t>SIJ.AC.ZZ</x:t>
  </x:si>
  <x:si>
    <x:t>- - - - - Test of hand and arm use</x:t>
  </x:si>
  <x:si>
    <x:t>http://id.who.int/icd/entity/1901351422</x:t>
  </x:si>
  <x:si>
    <x:t>http://id.who.int/icd/release/11/beta/ichi/1901351422</x:t>
  </x:si>
  <x:si>
    <x:t>SIJ.AM.ZZ</x:t>
  </x:si>
  <x:si>
    <x:t>- - - - - Observation of hand and arm use</x:t>
  </x:si>
  <x:si>
    <x:t>http://id.who.int/icd/entity/1578412882</x:t>
  </x:si>
  <x:si>
    <x:t>http://id.who.int/icd/release/11/beta/ichi/1578412882</x:t>
  </x:si>
  <x:si>
    <x:t>SIJ.PH.ZZ</x:t>
  </x:si>
  <x:si>
    <x:t>- - - - - Training in arm and hand use</x:t>
  </x:si>
  <x:si>
    <x:t>http://id.who.int/icd/entity/781582557</x:t>
  </x:si>
  <x:si>
    <x:t>http://id.who.int/icd/release/11/beta/ichi/781582557</x:t>
  </x:si>
  <x:si>
    <x:t>SIJ.PM.ZZ</x:t>
  </x:si>
  <x:si>
    <x:t>- - - - - Education about hand and arm use</x:t>
  </x:si>
  <x:si>
    <x:t>http://id.who.int/icd/entity/1952480768</x:t>
  </x:si>
  <x:si>
    <x:t>http://id.who.int/icd/release/11/beta/ichi/1952480768</x:t>
  </x:si>
  <x:si>
    <x:t>SIJ.PN.ZZ</x:t>
  </x:si>
  <x:si>
    <x:t>- - - - - Advising about hand and arm use</x:t>
  </x:si>
  <x:si>
    <x:t>http://id.who.int/icd/entity/81974669</x:t>
  </x:si>
  <x:si>
    <x:t>http://id.who.int/icd/release/11/beta/ichi/81974669</x:t>
  </x:si>
  <x:si>
    <x:t>SIK.AA.ZZ</x:t>
  </x:si>
  <x:si>
    <x:t>- - - - - Assessment of fine foot use</x:t>
  </x:si>
  <x:si>
    <x:t>http://id.who.int/icd/entity/1853943980</x:t>
  </x:si>
  <x:si>
    <x:t>http://id.who.int/icd/release/11/beta/ichi/1853943980</x:t>
  </x:si>
  <x:si>
    <x:t>SIK.AC.ZZ</x:t>
  </x:si>
  <x:si>
    <x:t>- - - - - Test of fine foot use</x:t>
  </x:si>
  <x:si>
    <x:t>http://id.who.int/icd/entity/297522101</x:t>
  </x:si>
  <x:si>
    <x:t>http://id.who.int/icd/release/11/beta/ichi/297522101</x:t>
  </x:si>
  <x:si>
    <x:t>SIK.PH.ZZ</x:t>
  </x:si>
  <x:si>
    <x:t>- - - - - Training in fine foot use</x:t>
  </x:si>
  <x:si>
    <x:t>http://id.who.int/icd/entity/2143539420</x:t>
  </x:si>
  <x:si>
    <x:t>http://id.who.int/icd/release/11/beta/ichi/2143539420</x:t>
  </x:si>
  <x:si>
    <x:t>SIK.RB.ZZ</x:t>
  </x:si>
  <x:si>
    <x:t>- - - - - Practical support with fine foot use</x:t>
  </x:si>
  <x:si>
    <x:t>http://id.who.int/icd/entity/1632793142</x:t>
  </x:si>
  <x:si>
    <x:t>http://id.who.int/icd/release/11/beta/ichi/1632793142</x:t>
  </x:si>
  <x:si>
    <x:t>BlockL4-SJ2</x:t>
  </x:si>
  <x:si>
    <x:t>- - - - Interventions on walking and moving</x:t>
  </x:si>
  <x:si>
    <x:t>http://id.who.int/icd/entity/618077647</x:t>
  </x:si>
  <x:si>
    <x:t>http://id.who.int/icd/release/11/beta/ichi/618077647</x:t>
  </x:si>
  <x:si>
    <x:t>SJ2.AA.ZZ</x:t>
  </x:si>
  <x:si>
    <x:t>- - - - - Assessment of walking and moving, not elsewhere classified</x:t>
  </x:si>
  <x:si>
    <x:t>http://id.who.int/icd/entity/359485317</x:t>
  </x:si>
  <x:si>
    <x:t>http://id.who.int/icd/release/11/beta/ichi/359485317</x:t>
  </x:si>
  <x:si>
    <x:t>SJ2.AC.ZZ</x:t>
  </x:si>
  <x:si>
    <x:t>- - - - - Test of walking and moving, not elsewhere classified</x:t>
  </x:si>
  <x:si>
    <x:t>http://id.who.int/icd/entity/245614751</x:t>
  </x:si>
  <x:si>
    <x:t>http://id.who.int/icd/release/11/beta/ichi/245614751</x:t>
  </x:si>
  <x:si>
    <x:t>SJ2.AM.ZZ</x:t>
  </x:si>
  <x:si>
    <x:t>- - - - - Observation of walking and moving, not elsewhere classified</x:t>
  </x:si>
  <x:si>
    <x:t>http://id.who.int/icd/entity/350549573</x:t>
  </x:si>
  <x:si>
    <x:t>http://id.who.int/icd/release/11/beta/ichi/350549573</x:t>
  </x:si>
  <x:si>
    <x:t>SJ2.PH.ZZ</x:t>
  </x:si>
  <x:si>
    <x:t>- - - - - Training in walking and moving, not elsewhere classified</x:t>
  </x:si>
  <x:si>
    <x:t>http://id.who.int/icd/entity/534833385</x:t>
  </x:si>
  <x:si>
    <x:t>http://id.who.int/icd/release/11/beta/ichi/534833385</x:t>
  </x:si>
  <x:si>
    <x:t>SJ2.PM.ZZ</x:t>
  </x:si>
  <x:si>
    <x:t>- - - - - Education about walking and moving, not elsewhere classified</x:t>
  </x:si>
  <x:si>
    <x:t>http://id.who.int/icd/entity/288694571</x:t>
  </x:si>
  <x:si>
    <x:t>http://id.who.int/icd/release/11/beta/ichi/288694571</x:t>
  </x:si>
  <x:si>
    <x:t>SJ2.PN.ZZ</x:t>
  </x:si>
  <x:si>
    <x:t>- - - - - Advising about walking and moving, not elsewhere classified</x:t>
  </x:si>
  <x:si>
    <x:t>http://id.who.int/icd/entity/1527367234</x:t>
  </x:si>
  <x:si>
    <x:t>http://id.who.int/icd/release/11/beta/ichi/1527367234</x:t>
  </x:si>
  <x:si>
    <x:t>SJ2.RB.ZZ</x:t>
  </x:si>
  <x:si>
    <x:t>- - - - - Practical support with walking and moving, not elsewhere classified</x:t>
  </x:si>
  <x:si>
    <x:t>http://id.who.int/icd/entity/1581115840</x:t>
  </x:si>
  <x:si>
    <x:t>http://id.who.int/icd/release/11/beta/ichi/1581115840</x:t>
  </x:si>
  <x:si>
    <x:t>SJ2.RC.ZZ</x:t>
  </x:si>
  <x:si>
    <x:t>- - - - - Emotional support for walking and moving, not elsewhere classified</x:t>
  </x:si>
  <x:si>
    <x:t>http://id.who.int/icd/entity/554093217</x:t>
  </x:si>
  <x:si>
    <x:t>http://id.who.int/icd/release/11/beta/ichi/554093217</x:t>
  </x:si>
  <x:si>
    <x:t>SJA.AA.ZZ</x:t>
  </x:si>
  <x:si>
    <x:t>- - - - - Assessment of walking</x:t>
  </x:si>
  <x:si>
    <x:t>http://id.who.int/icd/entity/1264906118</x:t>
  </x:si>
  <x:si>
    <x:t>http://id.who.int/icd/release/11/beta/ichi/1264906118</x:t>
  </x:si>
  <x:si>
    <x:t>SJA.AC.ZZ</x:t>
  </x:si>
  <x:si>
    <x:t>- - - - - Test of walking</x:t>
  </x:si>
  <x:si>
    <x:t>http://id.who.int/icd/entity/1910154082</x:t>
  </x:si>
  <x:si>
    <x:t>http://id.who.int/icd/release/11/beta/ichi/1910154082</x:t>
  </x:si>
  <x:si>
    <x:t>SJA.AM.ZZ</x:t>
  </x:si>
  <x:si>
    <x:t>- - - - - Observation of walking</x:t>
  </x:si>
  <x:si>
    <x:t>http://id.who.int/icd/entity/1888447972</x:t>
  </x:si>
  <x:si>
    <x:t>http://id.who.int/icd/release/11/beta/ichi/1888447972</x:t>
  </x:si>
  <x:si>
    <x:t>SJA.PH.ZZ</x:t>
  </x:si>
  <x:si>
    <x:t>- - - - - Training in walking</x:t>
  </x:si>
  <x:si>
    <x:t>http://id.who.int/icd/entity/519532171</x:t>
  </x:si>
  <x:si>
    <x:t>http://id.who.int/icd/release/11/beta/ichi/519532171</x:t>
  </x:si>
  <x:si>
    <x:t>SJA.PM.ZZ</x:t>
  </x:si>
  <x:si>
    <x:t>- - - - - Education about walking</x:t>
  </x:si>
  <x:si>
    <x:t>http://id.who.int/icd/entity/793590977</x:t>
  </x:si>
  <x:si>
    <x:t>http://id.who.int/icd/release/11/beta/ichi/793590977</x:t>
  </x:si>
  <x:si>
    <x:t>SJA.PN.ZZ</x:t>
  </x:si>
  <x:si>
    <x:t>- - - - - Advising about walking</x:t>
  </x:si>
  <x:si>
    <x:t>http://id.who.int/icd/entity/712577855</x:t>
  </x:si>
  <x:si>
    <x:t>http://id.who.int/icd/release/11/beta/ichi/712577855</x:t>
  </x:si>
  <x:si>
    <x:t>SJA.RB.ZZ</x:t>
  </x:si>
  <x:si>
    <x:t>- - - - - Practical support with walking</x:t>
  </x:si>
  <x:si>
    <x:t>http://id.who.int/icd/entity/1430401056</x:t>
  </x:si>
  <x:si>
    <x:t>http://id.who.int/icd/release/11/beta/ichi/1430401056</x:t>
  </x:si>
  <x:si>
    <x:t>SJA.RC.ZZ</x:t>
  </x:si>
  <x:si>
    <x:t>- - - - - Emotional support for walking</x:t>
  </x:si>
  <x:si>
    <x:t>http://id.who.int/icd/entity/538004675</x:t>
  </x:si>
  <x:si>
    <x:t>http://id.who.int/icd/release/11/beta/ichi/538004675</x:t>
  </x:si>
  <x:si>
    <x:t>SJB.AA.ZZ</x:t>
  </x:si>
  <x:si>
    <x:t>- - - - - Assessment of going up and down stairs</x:t>
  </x:si>
  <x:si>
    <x:t>http://id.who.int/icd/entity/1351870286</x:t>
  </x:si>
  <x:si>
    <x:t>http://id.who.int/icd/release/11/beta/ichi/1351870286</x:t>
  </x:si>
  <x:si>
    <x:t>SJB.AC.ZZ</x:t>
  </x:si>
  <x:si>
    <x:t>- - - - - Test of going up and down stairs</x:t>
  </x:si>
  <x:si>
    <x:t>http://id.who.int/icd/entity/2144542178</x:t>
  </x:si>
  <x:si>
    <x:t>http://id.who.int/icd/release/11/beta/ichi/2144542178</x:t>
  </x:si>
  <x:si>
    <x:t>SJB.AM.ZZ</x:t>
  </x:si>
  <x:si>
    <x:t>- - - - - Observation of going up and down stairs</x:t>
  </x:si>
  <x:si>
    <x:t>http://id.who.int/icd/entity/714927023</x:t>
  </x:si>
  <x:si>
    <x:t>http://id.who.int/icd/release/11/beta/ichi/714927023</x:t>
  </x:si>
  <x:si>
    <x:t>SJB.PH.ZZ</x:t>
  </x:si>
  <x:si>
    <x:t>- - - - - Training of going up and down stairs</x:t>
  </x:si>
  <x:si>
    <x:t>http://id.who.int/icd/entity/1155852488</x:t>
  </x:si>
  <x:si>
    <x:t>http://id.who.int/icd/release/11/beta/ichi/1155852488</x:t>
  </x:si>
  <x:si>
    <x:t>SJB.PM.ZZ</x:t>
  </x:si>
  <x:si>
    <x:t>- - - - - Education about going up and down stairs</x:t>
  </x:si>
  <x:si>
    <x:t>http://id.who.int/icd/entity/1969142414</x:t>
  </x:si>
  <x:si>
    <x:t>http://id.who.int/icd/release/11/beta/ichi/1969142414</x:t>
  </x:si>
  <x:si>
    <x:t>SJB.PN.ZZ</x:t>
  </x:si>
  <x:si>
    <x:t>- - - - - Advising about going up and down stairs</x:t>
  </x:si>
  <x:si>
    <x:t>http://id.who.int/icd/entity/708533215</x:t>
  </x:si>
  <x:si>
    <x:t>http://id.who.int/icd/release/11/beta/ichi/708533215</x:t>
  </x:si>
  <x:si>
    <x:t>SJB.RB.ZZ</x:t>
  </x:si>
  <x:si>
    <x:t>- - - - - Practical support with going up and down stairs</x:t>
  </x:si>
  <x:si>
    <x:t>http://id.who.int/icd/entity/557794675</x:t>
  </x:si>
  <x:si>
    <x:t>http://id.who.int/icd/release/11/beta/ichi/557794675</x:t>
  </x:si>
  <x:si>
    <x:t>SJB.RC.ZZ</x:t>
  </x:si>
  <x:si>
    <x:t>- - - - - Emotional support for going up and down stairs</x:t>
  </x:si>
  <x:si>
    <x:t>http://id.who.int/icd/entity/1979255548</x:t>
  </x:si>
  <x:si>
    <x:t>http://id.who.int/icd/release/11/beta/ichi/1979255548</x:t>
  </x:si>
  <x:si>
    <x:t>SJD.AA.ZZ</x:t>
  </x:si>
  <x:si>
    <x:t>- - - - - Assessment of moving around crawling, climbing, running, jumping, swimming</x:t>
  </x:si>
  <x:si>
    <x:t>http://id.who.int/icd/entity/1617737404</x:t>
  </x:si>
  <x:si>
    <x:t>http://id.who.int/icd/release/11/beta/ichi/1617737404</x:t>
  </x:si>
  <x:si>
    <x:t>SJD.AC.ZZ</x:t>
  </x:si>
  <x:si>
    <x:t>- - - - - Test of moving around, crawling, climbing, running, jumping, swimming</x:t>
  </x:si>
  <x:si>
    <x:t>http://id.who.int/icd/entity/2049673314</x:t>
  </x:si>
  <x:si>
    <x:t>http://id.who.int/icd/release/11/beta/ichi/2049673314</x:t>
  </x:si>
  <x:si>
    <x:t>SJD.AM.ZZ</x:t>
  </x:si>
  <x:si>
    <x:t>- - - - - Observation of moving around, crawling, climbing, running, jumping, swimming</x:t>
  </x:si>
  <x:si>
    <x:t>http://id.who.int/icd/entity/795115055</x:t>
  </x:si>
  <x:si>
    <x:t>http://id.who.int/icd/release/11/beta/ichi/795115055</x:t>
  </x:si>
  <x:si>
    <x:t>SJD.PH.ZZ</x:t>
  </x:si>
  <x:si>
    <x:t>- - - - - Training of moving around, crawling, climbing, running, jumping, swimming</x:t>
  </x:si>
  <x:si>
    <x:t>http://id.who.int/icd/entity/1092386120</x:t>
  </x:si>
  <x:si>
    <x:t>http://id.who.int/icd/release/11/beta/ichi/1092386120</x:t>
  </x:si>
  <x:si>
    <x:t>SJD.PM.ZZ</x:t>
  </x:si>
  <x:si>
    <x:t>- - - - - Education about moving around, crawling, climbing, running, jumping, swimming</x:t>
  </x:si>
  <x:si>
    <x:t>http://id.who.int/icd/entity/1889939214</x:t>
  </x:si>
  <x:si>
    <x:t>http://id.who.int/icd/release/11/beta/ichi/1889939214</x:t>
  </x:si>
  <x:si>
    <x:t>SJD.PN.ZZ</x:t>
  </x:si>
  <x:si>
    <x:t>- - - - - Advising about moving around, crawling, climbing, running, jumping, swimming</x:t>
  </x:si>
  <x:si>
    <x:t>http://id.who.int/icd/entity/821204891</x:t>
  </x:si>
  <x:si>
    <x:t>http://id.who.int/icd/release/11/beta/ichi/821204891</x:t>
  </x:si>
  <x:si>
    <x:t>SJD.RB.ZZ</x:t>
  </x:si>
  <x:si>
    <x:t>- - - - - Practical support with moving around, crawling, climbing, running, jumping, swimming</x:t>
  </x:si>
  <x:si>
    <x:t>http://id.who.int/icd/entity/1061887753</x:t>
  </x:si>
  <x:si>
    <x:t>http://id.who.int/icd/release/11/beta/ichi/1061887753</x:t>
  </x:si>
  <x:si>
    <x:t>SJD.RC.ZZ</x:t>
  </x:si>
  <x:si>
    <x:t>- - - - - Emotional support for moving around, crawling, climbing, running, jumping, swimming</x:t>
  </x:si>
  <x:si>
    <x:t>http://id.who.int/icd/entity/1338619012</x:t>
  </x:si>
  <x:si>
    <x:t>http://id.who.int/icd/release/11/beta/ichi/1338619012</x:t>
  </x:si>
  <x:si>
    <x:t>SJG.AA.ZZ</x:t>
  </x:si>
  <x:si>
    <x:t>- - - - - Assessment of moving around in different locations</x:t>
  </x:si>
  <x:si>
    <x:t>http://id.who.int/icd/entity/1258134394</x:t>
  </x:si>
  <x:si>
    <x:t>http://id.who.int/icd/release/11/beta/ichi/1258134394</x:t>
  </x:si>
  <x:si>
    <x:t>SJG.AM.ZZ</x:t>
  </x:si>
  <x:si>
    <x:t>- - - - - Observation of moving around in different locations</x:t>
  </x:si>
  <x:si>
    <x:t>http://id.who.int/icd/entity/902215781</x:t>
  </x:si>
  <x:si>
    <x:t>http://id.who.int/icd/release/11/beta/ichi/902215781</x:t>
  </x:si>
  <x:si>
    <x:t>SJG.PH.ZZ</x:t>
  </x:si>
  <x:si>
    <x:t>- - - - - Training in moving around in different locations</x:t>
  </x:si>
  <x:si>
    <x:t>http://id.who.int/icd/entity/1539226382</x:t>
  </x:si>
  <x:si>
    <x:t>http://id.who.int/icd/release/11/beta/ichi/1539226382</x:t>
  </x:si>
  <x:si>
    <x:t>SJG.PM.ZZ</x:t>
  </x:si>
  <x:si>
    <x:t>- - - - - Education about moving around in different locations</x:t>
  </x:si>
  <x:si>
    <x:t>http://id.who.int/icd/entity/791033551</x:t>
  </x:si>
  <x:si>
    <x:t>http://id.who.int/icd/release/11/beta/ichi/791033551</x:t>
  </x:si>
  <x:si>
    <x:t>SJG.PN.ZZ</x:t>
  </x:si>
  <x:si>
    <x:t>- - - - - Advising about moving around in different locations</x:t>
  </x:si>
  <x:si>
    <x:t>http://id.who.int/icd/entity/1696256420</x:t>
  </x:si>
  <x:si>
    <x:t>http://id.who.int/icd/release/11/beta/ichi/1696256420</x:t>
  </x:si>
  <x:si>
    <x:t>SJG.RA.ZZ</x:t>
  </x:si>
  <x:si>
    <x:t>- - - - - Performing the task of moving around in different locations</x:t>
  </x:si>
  <x:si>
    <x:t>http://id.who.int/icd/entity/1935489913</x:t>
  </x:si>
  <x:si>
    <x:t>http://id.who.int/icd/release/11/beta/ichi/1935489913</x:t>
  </x:si>
  <x:si>
    <x:t>SJG.RB.ZZ</x:t>
  </x:si>
  <x:si>
    <x:t>- - - - - Practical support with moving around in different locations</x:t>
  </x:si>
  <x:si>
    <x:t>http://id.who.int/icd/entity/488978450</x:t>
  </x:si>
  <x:si>
    <x:t>http://id.who.int/icd/release/11/beta/ichi/488978450</x:t>
  </x:si>
  <x:si>
    <x:t>SJG.RC.ZZ</x:t>
  </x:si>
  <x:si>
    <x:t>- - - - - Emotional support for moving around in different locations</x:t>
  </x:si>
  <x:si>
    <x:t>http://id.who.int/icd/entity/748644956</x:t>
  </x:si>
  <x:si>
    <x:t>http://id.who.int/icd/release/11/beta/ichi/748644956</x:t>
  </x:si>
  <x:si>
    <x:t>SJJ.AA.ZZ</x:t>
  </x:si>
  <x:si>
    <x:t>- - - - - Assessment of moving around using equipment</x:t>
  </x:si>
  <x:si>
    <x:t>http://id.who.int/icd/entity/699090342</x:t>
  </x:si>
  <x:si>
    <x:t>http://id.who.int/icd/release/11/beta/ichi/699090342</x:t>
  </x:si>
  <x:si>
    <x:t>SJJ.AM.ZZ</x:t>
  </x:si>
  <x:si>
    <x:t>- - - - - Observation of moving around using equipment</x:t>
  </x:si>
  <x:si>
    <x:t>http://id.who.int/icd/entity/1670881999</x:t>
  </x:si>
  <x:si>
    <x:t>http://id.who.int/icd/release/11/beta/ichi/1670881999</x:t>
  </x:si>
  <x:si>
    <x:t>SJJ.PH.ZZ</x:t>
  </x:si>
  <x:si>
    <x:t>- - - - - Training in moving around using equipment</x:t>
  </x:si>
  <x:si>
    <x:t>http://id.who.int/icd/entity/1396814293</x:t>
  </x:si>
  <x:si>
    <x:t>http://id.who.int/icd/release/11/beta/ichi/1396814293</x:t>
  </x:si>
  <x:si>
    <x:t>SJJ.PM.ZZ</x:t>
  </x:si>
  <x:si>
    <x:t>- - - - - Education about moving around using equipment</x:t>
  </x:si>
  <x:si>
    <x:t>http://id.who.int/icd/entity/126352988</x:t>
  </x:si>
  <x:si>
    <x:t>http://id.who.int/icd/release/11/beta/ichi/126352988</x:t>
  </x:si>
  <x:si>
    <x:t>SJJ.PN.ZZ</x:t>
  </x:si>
  <x:si>
    <x:t>- - - - - Advising about moving around using equipment</x:t>
  </x:si>
  <x:si>
    <x:t>http://id.who.int/icd/entity/1741671521</x:t>
  </x:si>
  <x:si>
    <x:t>http://id.who.int/icd/release/11/beta/ichi/1741671521</x:t>
  </x:si>
  <x:si>
    <x:t>SJJ.RB.ZZ</x:t>
  </x:si>
  <x:si>
    <x:t>- - - - - Practical support with moving around using equipment</x:t>
  </x:si>
  <x:si>
    <x:t>http://id.who.int/icd/entity/1819042493</x:t>
  </x:si>
  <x:si>
    <x:t>http://id.who.int/icd/release/11/beta/ichi/1819042493</x:t>
  </x:si>
  <x:si>
    <x:t>BlockL4-SK2</x:t>
  </x:si>
  <x:si>
    <x:t>- - - - Interventions on moving around using transportation</x:t>
  </x:si>
  <x:si>
    <x:t>http://id.who.int/icd/entity/1284837505</x:t>
  </x:si>
  <x:si>
    <x:t>http://id.who.int/icd/release/11/beta/ichi/1284837505</x:t>
  </x:si>
  <x:si>
    <x:t>SK2.AA.ZZ</x:t>
  </x:si>
  <x:si>
    <x:t>- - - - - Assessment of moving around using transportation, not elsewhere classified</x:t>
  </x:si>
  <x:si>
    <x:t>http://id.who.int/icd/entity/1674963503</x:t>
  </x:si>
  <x:si>
    <x:t>http://id.who.int/icd/release/11/beta/ichi/1674963503</x:t>
  </x:si>
  <x:si>
    <x:t>SK2.AC.ZZ</x:t>
  </x:si>
  <x:si>
    <x:t>- - - - - Test of moving around using transportation, not elsewhere classified</x:t>
  </x:si>
  <x:si>
    <x:t>http://id.who.int/icd/entity/641437658</x:t>
  </x:si>
  <x:si>
    <x:t>http://id.who.int/icd/release/11/beta/ichi/641437658</x:t>
  </x:si>
  <x:si>
    <x:t>SK2.AM.ZZ</x:t>
  </x:si>
  <x:si>
    <x:t>- - - - - Observation of moving around using transportation, not elsewhere classified</x:t>
  </x:si>
  <x:si>
    <x:t>http://id.who.int/icd/entity/1454974037</x:t>
  </x:si>
  <x:si>
    <x:t>http://id.who.int/icd/release/11/beta/ichi/1454974037</x:t>
  </x:si>
  <x:si>
    <x:t>SK2.PH.ZZ</x:t>
  </x:si>
  <x:si>
    <x:t>- - - - - Training in moving around using transportation, not elsewhere classified</x:t>
  </x:si>
  <x:si>
    <x:t>http://id.who.int/icd/entity/2046418683</x:t>
  </x:si>
  <x:si>
    <x:t>http://id.who.int/icd/release/11/beta/ichi/2046418683</x:t>
  </x:si>
  <x:si>
    <x:t>SK2.PM.ZZ</x:t>
  </x:si>
  <x:si>
    <x:t>- - - - - Education about moving around using transportation, not elsewhere classified</x:t>
  </x:si>
  <x:si>
    <x:t>http://id.who.int/icd/entity/750135478</x:t>
  </x:si>
  <x:si>
    <x:t>http://id.who.int/icd/release/11/beta/ichi/750135478</x:t>
  </x:si>
  <x:si>
    <x:t>SK2.PN.ZZ</x:t>
  </x:si>
  <x:si>
    <x:t>- - - - - Advising about moving around using transportation, not elsewhere classified</x:t>
  </x:si>
  <x:si>
    <x:t>http://id.who.int/icd/entity/1120807901</x:t>
  </x:si>
  <x:si>
    <x:t>http://id.who.int/icd/release/11/beta/ichi/1120807901</x:t>
  </x:si>
  <x:si>
    <x:t>SK2.PP.ZZ</x:t>
  </x:si>
  <x:si>
    <x:t>- - - - - Counselling about moving around using transportation, not elsewhere classified</x:t>
  </x:si>
  <x:si>
    <x:t>http://id.who.int/icd/entity/1937013143</x:t>
  </x:si>
  <x:si>
    <x:t>http://id.who.int/icd/release/11/beta/ichi/1937013143</x:t>
  </x:si>
  <x:si>
    <x:t>SK2.RB.ZZ</x:t>
  </x:si>
  <x:si>
    <x:t>- - - - - Practical support with moving around using transportation, not elsewhere classified</x:t>
  </x:si>
  <x:si>
    <x:t>http://id.who.int/icd/entity/857784578</x:t>
  </x:si>
  <x:si>
    <x:t>http://id.who.int/icd/release/11/beta/ichi/857784578</x:t>
  </x:si>
  <x:si>
    <x:t>SK2.RC.ZZ</x:t>
  </x:si>
  <x:si>
    <x:t>- - - - - Emotional support for moving around using transportation, not elsewhere classified</x:t>
  </x:si>
  <x:si>
    <x:t>http://id.who.int/icd/entity/941940652</x:t>
  </x:si>
  <x:si>
    <x:t>http://id.who.int/icd/release/11/beta/ichi/941940652</x:t>
  </x:si>
  <x:si>
    <x:t>SKA.AA.ZZ</x:t>
  </x:si>
  <x:si>
    <x:t>- - - - - Assessment of using transportation</x:t>
  </x:si>
  <x:si>
    <x:t>http://id.who.int/icd/entity/1826787363</x:t>
  </x:si>
  <x:si>
    <x:t>http://id.who.int/icd/release/11/beta/ichi/1826787363</x:t>
  </x:si>
  <x:si>
    <x:t>SKA.PH.ZZ</x:t>
  </x:si>
  <x:si>
    <x:t>- - - - - Training in using transportation</x:t>
  </x:si>
  <x:si>
    <x:t>http://id.who.int/icd/entity/967665262</x:t>
  </x:si>
  <x:si>
    <x:t>http://id.who.int/icd/release/11/beta/ichi/967665262</x:t>
  </x:si>
  <x:si>
    <x:t>SKA.PM.ZZ</x:t>
  </x:si>
  <x:si>
    <x:t>- - - - - Education about using transportation</x:t>
  </x:si>
  <x:si>
    <x:t>http://id.who.int/icd/entity/1483533719</x:t>
  </x:si>
  <x:si>
    <x:t>http://id.who.int/icd/release/11/beta/ichi/1483533719</x:t>
  </x:si>
  <x:si>
    <x:t>SKA.PN.ZZ</x:t>
  </x:si>
  <x:si>
    <x:t>- - - - - Advising about using transportation</x:t>
  </x:si>
  <x:si>
    <x:t>http://id.who.int/icd/entity/754212948</x:t>
  </x:si>
  <x:si>
    <x:t>http://id.who.int/icd/release/11/beta/ichi/754212948</x:t>
  </x:si>
  <x:si>
    <x:t>SKA.RB.ZZ</x:t>
  </x:si>
  <x:si>
    <x:t>- - - - - Practical support with using transportation</x:t>
  </x:si>
  <x:si>
    <x:t>http://id.who.int/icd/entity/917724814</x:t>
  </x:si>
  <x:si>
    <x:t>http://id.who.int/icd/release/11/beta/ichi/917724814</x:t>
  </x:si>
  <x:si>
    <x:t>SKA.RC.ZZ</x:t>
  </x:si>
  <x:si>
    <x:t>- - - - - Emotional support for using transportation</x:t>
  </x:si>
  <x:si>
    <x:t>http://id.who.int/icd/entity/1035419684</x:t>
  </x:si>
  <x:si>
    <x:t>http://id.who.int/icd/release/11/beta/ichi/1035419684</x:t>
  </x:si>
  <x:si>
    <x:t>SKD.AA.ZZ</x:t>
  </x:si>
  <x:si>
    <x:t>- - - - - Assessment of driving</x:t>
  </x:si>
  <x:si>
    <x:t>http://id.who.int/icd/entity/428573704</x:t>
  </x:si>
  <x:si>
    <x:t>http://id.who.int/icd/release/11/beta/ichi/428573704</x:t>
  </x:si>
  <x:si>
    <x:t>SKD.AC.ZZ</x:t>
  </x:si>
  <x:si>
    <x:t>- - - - - Test of driving</x:t>
  </x:si>
  <x:si>
    <x:t>http://id.who.int/icd/entity/55252933</x:t>
  </x:si>
  <x:si>
    <x:t>http://id.who.int/icd/release/11/beta/ichi/55252933</x:t>
  </x:si>
  <x:si>
    <x:t>SKD.AM.ZZ</x:t>
  </x:si>
  <x:si>
    <x:t>- - - - - Observation of driving</x:t>
  </x:si>
  <x:si>
    <x:t>http://id.who.int/icd/entity/1934496095</x:t>
  </x:si>
  <x:si>
    <x:t>http://id.who.int/icd/release/11/beta/ichi/1934496095</x:t>
  </x:si>
  <x:si>
    <x:t>SKD.PH.ZZ</x:t>
  </x:si>
  <x:si>
    <x:t>- - - - - Driving training</x:t>
  </x:si>
  <x:si>
    <x:t>http://id.who.int/icd/entity/1987722913</x:t>
  </x:si>
  <x:si>
    <x:t>http://id.who.int/icd/release/11/beta/ichi/1987722913</x:t>
  </x:si>
  <x:si>
    <x:t>SKD.PM.ZZ</x:t>
  </x:si>
  <x:si>
    <x:t>- - - - - Education about driving</x:t>
  </x:si>
  <x:si>
    <x:t>http://id.who.int/icd/entity/482323446</x:t>
  </x:si>
  <x:si>
    <x:t>http://id.who.int/icd/release/11/beta/ichi/482323446</x:t>
  </x:si>
  <x:si>
    <x:t>SKD.PN.ZZ</x:t>
  </x:si>
  <x:si>
    <x:t>- - - - - Advising about driving</x:t>
  </x:si>
  <x:si>
    <x:t>http://id.who.int/icd/entity/1558909793</x:t>
  </x:si>
  <x:si>
    <x:t>http://id.who.int/icd/release/11/beta/ichi/1558909793</x:t>
  </x:si>
  <x:si>
    <x:t>SKG.AA.ZZ</x:t>
  </x:si>
  <x:si>
    <x:t>- - - - - Assessment of riding animals for transportation</x:t>
  </x:si>
  <x:si>
    <x:t>http://id.who.int/icd/entity/1475284429</x:t>
  </x:si>
  <x:si>
    <x:t>http://id.who.int/icd/release/11/beta/ichi/1475284429</x:t>
  </x:si>
  <x:si>
    <x:t>SKG.AM.ZZ</x:t>
  </x:si>
  <x:si>
    <x:t>- - - - - Observation of riding animals for transportation</x:t>
  </x:si>
  <x:si>
    <x:t>http://id.who.int/icd/entity/53035586</x:t>
  </x:si>
  <x:si>
    <x:t>http://id.who.int/icd/release/11/beta/ichi/53035586</x:t>
  </x:si>
  <x:si>
    <x:t>SKG.PH.ZZ</x:t>
  </x:si>
  <x:si>
    <x:t>- - - - - Training for riding animals for transportation</x:t>
  </x:si>
  <x:si>
    <x:t>http://id.who.int/icd/entity/1134035525</x:t>
  </x:si>
  <x:si>
    <x:t>http://id.who.int/icd/release/11/beta/ichi/1134035525</x:t>
  </x:si>
  <x:si>
    <x:t>SKG.RB.ZZ</x:t>
  </x:si>
  <x:si>
    <x:t>- - - - - Practical support with riding animals for transportation</x:t>
  </x:si>
  <x:si>
    <x:t>http://id.who.int/icd/entity/1017323868</x:t>
  </x:si>
  <x:si>
    <x:t>http://id.who.int/icd/release/11/beta/ichi/1017323868</x:t>
  </x:si>
  <x:si>
    <x:t>SKG.RC.ZZ</x:t>
  </x:si>
  <x:si>
    <x:t>- - - - - Emotional support for riding animals for transportation</x:t>
  </x:si>
  <x:si>
    <x:t>http://id.who.int/icd/entity/1983411777</x:t>
  </x:si>
  <x:si>
    <x:t>http://id.who.int/icd/release/11/beta/ichi/1983411777</x:t>
  </x:si>
  <x:si>
    <x:t>BlockL3-SM1</x:t>
  </x:si>
  <x:si>
    <x:t>- - - Interventions on self care</x:t>
  </x:si>
  <x:si>
    <x:t>87</x:t>
  </x:si>
  <x:si>
    <x:t>http://id.who.int/icd/entity/1455490173</x:t>
  </x:si>
  <x:si>
    <x:t>http://id.who.int/icd/release/11/beta/ichi/1455490173</x:t>
  </x:si>
  <x:si>
    <x:t>SM1.AA.ZZ</x:t>
  </x:si>
  <x:si>
    <x:t>- - - - Assessment of self care, unspecified</x:t>
  </x:si>
  <x:si>
    <x:t>http://id.who.int/icd/entity/2038562515</x:t>
  </x:si>
  <x:si>
    <x:t>http://id.who.int/icd/release/11/beta/ichi/2038562515</x:t>
  </x:si>
  <x:si>
    <x:t>SM1.AC.ZZ</x:t>
  </x:si>
  <x:si>
    <x:t>- - - - Test of self care, unspecified</x:t>
  </x:si>
  <x:si>
    <x:t>http://id.who.int/icd/entity/1013947174</x:t>
  </x:si>
  <x:si>
    <x:t>http://id.who.int/icd/release/11/beta/ichi/1013947174</x:t>
  </x:si>
  <x:si>
    <x:t>SM1.AM.ZZ</x:t>
  </x:si>
  <x:si>
    <x:t>- - - - Observation of self care, unspecified</x:t>
  </x:si>
  <x:si>
    <x:t>http://id.who.int/icd/entity/1290612905</x:t>
  </x:si>
  <x:si>
    <x:t>http://id.who.int/icd/release/11/beta/ichi/1290612905</x:t>
  </x:si>
  <x:si>
    <x:t>SM1.AN.ZZ</x:t>
  </x:si>
  <x:si>
    <x:t>- - - - Interview in relation to self care, unspecified</x:t>
  </x:si>
  <x:si>
    <x:t>http://id.who.int/icd/entity/1672333831</x:t>
  </x:si>
  <x:si>
    <x:t>http://id.who.int/icd/release/11/beta/ichi/1672333831</x:t>
  </x:si>
  <x:si>
    <x:t>SM1.PH.ZZ</x:t>
  </x:si>
  <x:si>
    <x:t>- - - - Training in self care, unspecified</x:t>
  </x:si>
  <x:si>
    <x:t>http://id.who.int/icd/entity/920796234</x:t>
  </x:si>
  <x:si>
    <x:t>http://id.who.int/icd/release/11/beta/ichi/920796234</x:t>
  </x:si>
  <x:si>
    <x:t>SM1.PM.ZZ</x:t>
  </x:si>
  <x:si>
    <x:t>- - - - Education about self care, unspecified</x:t>
  </x:si>
  <x:si>
    <x:t>http://id.who.int/icd/entity/1486503713</x:t>
  </x:si>
  <x:si>
    <x:t>http://id.who.int/icd/release/11/beta/ichi/1486503713</x:t>
  </x:si>
  <x:si>
    <x:t>SM1.PN.ZZ</x:t>
  </x:si>
  <x:si>
    <x:t>- - - - Advising about self care, unspecified</x:t>
  </x:si>
  <x:si>
    <x:t>http://id.who.int/icd/entity/1763732843</x:t>
  </x:si>
  <x:si>
    <x:t>http://id.who.int/icd/release/11/beta/ichi/1763732843</x:t>
  </x:si>
  <x:si>
    <x:t>SM1.PP.ZZ</x:t>
  </x:si>
  <x:si>
    <x:t>- - - - Counselling about self care, unspecified</x:t>
  </x:si>
  <x:si>
    <x:t>http://id.who.int/icd/entity/695522814</x:t>
  </x:si>
  <x:si>
    <x:t>http://id.who.int/icd/release/11/beta/ichi/695522814</x:t>
  </x:si>
  <x:si>
    <x:t>SM1.RA.ZZ</x:t>
  </x:si>
  <x:si>
    <x:t>- - - - Performing the task of self care, unspecified</x:t>
  </x:si>
  <x:si>
    <x:t>http://id.who.int/icd/entity/577817424</x:t>
  </x:si>
  <x:si>
    <x:t>http://id.who.int/icd/release/11/beta/ichi/577817424</x:t>
  </x:si>
  <x:si>
    <x:t>SM1.RB.ZZ</x:t>
  </x:si>
  <x:si>
    <x:t>- - - - Practical support with self care, unspecified</x:t>
  </x:si>
  <x:si>
    <x:t>http://id.who.int/icd/entity/1991673055</x:t>
  </x:si>
  <x:si>
    <x:t>http://id.who.int/icd/release/11/beta/ichi/1991673055</x:t>
  </x:si>
  <x:si>
    <x:t>SM1.RC.ZZ</x:t>
  </x:si>
  <x:si>
    <x:t>- - - - Emotional support for self care, unspecified</x:t>
  </x:si>
  <x:si>
    <x:t>http://id.who.int/icd/entity/603550354</x:t>
  </x:si>
  <x:si>
    <x:t>http://id.who.int/icd/release/11/beta/ichi/603550354</x:t>
  </x:si>
  <x:si>
    <x:t>SM1.RE.ZZ</x:t>
  </x:si>
  <x:si>
    <x:t>- - - - Provision of peer support for self care, unspecified</x:t>
  </x:si>
  <x:si>
    <x:t>http://id.who.int/icd/entity/213485630</x:t>
  </x:si>
  <x:si>
    <x:t>http://id.who.int/icd/release/11/beta/ichi/213485630</x:t>
  </x:si>
  <x:si>
    <x:t>SM1.TA.ZZ</x:t>
  </x:si>
  <x:si>
    <x:t>- - - - Advocacy in relation to self care, unspecified</x:t>
  </x:si>
  <x:si>
    <x:t>http://id.who.int/icd/entity/2084250547</x:t>
  </x:si>
  <x:si>
    <x:t>http://id.who.int/icd/release/11/beta/ichi/2084250547</x:t>
  </x:si>
  <x:si>
    <x:t>SM1.ZZ.ZZ</x:t>
  </x:si>
  <x:si>
    <x:t>- - - - Other interventions on unspecified self care</x:t>
  </x:si>
  <x:si>
    <x:t>http://id.who.int/icd/entity/374933142</x:t>
  </x:si>
  <x:si>
    <x:t>http://id.who.int/icd/release/11/beta/ichi/374933142</x:t>
  </x:si>
  <x:si>
    <x:t>SMB.AA.ZZ</x:t>
  </x:si>
  <x:si>
    <x:t>- - - - Assessment of washing oneself</x:t>
  </x:si>
  <x:si>
    <x:t>http://id.who.int/icd/entity/1768039819</x:t>
  </x:si>
  <x:si>
    <x:t>http://id.who.int/icd/release/11/beta/ichi/1768039819</x:t>
  </x:si>
  <x:si>
    <x:t>SMB.AC.ZZ</x:t>
  </x:si>
  <x:si>
    <x:t>- - - - Test of washing oneself</x:t>
  </x:si>
  <x:si>
    <x:t>http://id.who.int/icd/entity/119154402</x:t>
  </x:si>
  <x:si>
    <x:t>http://id.who.int/icd/release/11/beta/ichi/119154402</x:t>
  </x:si>
  <x:si>
    <x:t>SMB.AM.ZZ</x:t>
  </x:si>
  <x:si>
    <x:t>- - - - Observation of washing oneself</x:t>
  </x:si>
  <x:si>
    <x:t>http://id.who.int/icd/entity/1221499189</x:t>
  </x:si>
  <x:si>
    <x:t>http://id.who.int/icd/release/11/beta/ichi/1221499189</x:t>
  </x:si>
  <x:si>
    <x:t>SMB.AN.ZZ</x:t>
  </x:si>
  <x:si>
    <x:t>- - - - Interview in relation to washing oneself</x:t>
  </x:si>
  <x:si>
    <x:t>http://id.who.int/icd/entity/1384753135</x:t>
  </x:si>
  <x:si>
    <x:t>http://id.who.int/icd/release/11/beta/ichi/1384753135</x:t>
  </x:si>
  <x:si>
    <x:t>SMB.PH.ZZ</x:t>
  </x:si>
  <x:si>
    <x:t>- - - - Training in washing oneself</x:t>
  </x:si>
  <x:si>
    <x:t>http://id.who.int/icd/entity/1502460227</x:t>
  </x:si>
  <x:si>
    <x:t>http://id.who.int/icd/release/11/beta/ichi/1502460227</x:t>
  </x:si>
  <x:si>
    <x:t>SMB.PM.ZZ</x:t>
  </x:si>
  <x:si>
    <x:t>- - - - Education about washing oneself</x:t>
  </x:si>
  <x:si>
    <x:t>http://id.who.int/icd/entity/423426372</x:t>
  </x:si>
  <x:si>
    <x:t>http://id.who.int/icd/release/11/beta/ichi/423426372</x:t>
  </x:si>
  <x:si>
    <x:t>SMB.PN.ZZ</x:t>
  </x:si>
  <x:si>
    <x:t>- - - - Advising about washing oneself</x:t>
  </x:si>
  <x:si>
    <x:t>http://id.who.int/icd/entity/1308276427</x:t>
  </x:si>
  <x:si>
    <x:t>http://id.who.int/icd/release/11/beta/ichi/1308276427</x:t>
  </x:si>
  <x:si>
    <x:t>SMB.RA.ZZ</x:t>
  </x:si>
  <x:si>
    <x:t>- - - - Performing the task of washing oneself</x:t>
  </x:si>
  <x:si>
    <x:t>http://id.who.int/icd/entity/407943190</x:t>
  </x:si>
  <x:si>
    <x:t>http://id.who.int/icd/release/11/beta/ichi/407943190</x:t>
  </x:si>
  <x:si>
    <x:t>SMB.RB.ZZ</x:t>
  </x:si>
  <x:si>
    <x:t>- - - - Practical support with washing oneself</x:t>
  </x:si>
  <x:si>
    <x:t>http://id.who.int/icd/entity/1735105291</x:t>
  </x:si>
  <x:si>
    <x:t>http://id.who.int/icd/release/11/beta/ichi/1735105291</x:t>
  </x:si>
  <x:si>
    <x:t>SMB.RC.ZZ</x:t>
  </x:si>
  <x:si>
    <x:t>- - - - Emotional support for washing oneself</x:t>
  </x:si>
  <x:si>
    <x:t>http://id.who.int/icd/entity/152279138</x:t>
  </x:si>
  <x:si>
    <x:t>http://id.who.int/icd/release/11/beta/ichi/152279138</x:t>
  </x:si>
  <x:si>
    <x:t>SMC.AA.ZZ</x:t>
  </x:si>
  <x:si>
    <x:t>- - - - Assessment of caring for body parts</x:t>
  </x:si>
  <x:si>
    <x:t>http://id.who.int/icd/entity/1465413761</x:t>
  </x:si>
  <x:si>
    <x:t>http://id.who.int/icd/release/11/beta/ichi/1465413761</x:t>
  </x:si>
  <x:si>
    <x:t>SMC.AC.ZZ</x:t>
  </x:si>
  <x:si>
    <x:t>- - - - Test of caring for body parts</x:t>
  </x:si>
  <x:si>
    <x:t>http://id.who.int/icd/entity/677598110</x:t>
  </x:si>
  <x:si>
    <x:t>http://id.who.int/icd/release/11/beta/ichi/677598110</x:t>
  </x:si>
  <x:si>
    <x:t>SMC.AM.ZZ</x:t>
  </x:si>
  <x:si>
    <x:t>- - - - Observation of caring for body parts</x:t>
  </x:si>
  <x:si>
    <x:t>http://id.who.int/icd/entity/1107392185</x:t>
  </x:si>
  <x:si>
    <x:t>http://id.who.int/icd/release/11/beta/ichi/1107392185</x:t>
  </x:si>
  <x:si>
    <x:t>SMC.AN.ZZ</x:t>
  </x:si>
  <x:si>
    <x:t>- - - - Interview in relation to caring for body parts</x:t>
  </x:si>
  <x:si>
    <x:t>http://id.who.int/icd/entity/847502646</x:t>
  </x:si>
  <x:si>
    <x:t>http://id.who.int/icd/release/11/beta/ichi/847502646</x:t>
  </x:si>
  <x:si>
    <x:t>SMC.PH.ZZ</x:t>
  </x:si>
  <x:si>
    <x:t>- - - - Training in caring for body parts</x:t>
  </x:si>
  <x:si>
    <x:t>http://id.who.int/icd/entity/1027233192</x:t>
  </x:si>
  <x:si>
    <x:t>http://id.who.int/icd/release/11/beta/ichi/1027233192</x:t>
  </x:si>
  <x:si>
    <x:t>SMC.PM.ZZ</x:t>
  </x:si>
  <x:si>
    <x:t>- - - - Education about caring for body parts</x:t>
  </x:si>
  <x:si>
    <x:t>http://id.who.int/icd/entity/1479361133</x:t>
  </x:si>
  <x:si>
    <x:t>http://id.who.int/icd/release/11/beta/ichi/1479361133</x:t>
  </x:si>
  <x:si>
    <x:t>SMC.PN.ZZ</x:t>
  </x:si>
  <x:si>
    <x:t>- - - - Advising about caring for body parts</x:t>
  </x:si>
  <x:si>
    <x:t>http://id.who.int/icd/entity/2003679427</x:t>
  </x:si>
  <x:si>
    <x:t>http://id.who.int/icd/release/11/beta/ichi/2003679427</x:t>
  </x:si>
  <x:si>
    <x:t>SMC.PP.ZZ</x:t>
  </x:si>
  <x:si>
    <x:t>- - - - Counselling about caring for body parts</x:t>
  </x:si>
  <x:si>
    <x:t>http://id.who.int/icd/entity/572673676</x:t>
  </x:si>
  <x:si>
    <x:t>http://id.who.int/icd/release/11/beta/ichi/572673676</x:t>
  </x:si>
  <x:si>
    <x:t>SMC.RA.ZZ</x:t>
  </x:si>
  <x:si>
    <x:t>- - - - Performing the task of caring for body parts</x:t>
  </x:si>
  <x:si>
    <x:t>http://id.who.int/icd/entity/1280986597</x:t>
  </x:si>
  <x:si>
    <x:t>http://id.who.int/icd/release/11/beta/ichi/1280986597</x:t>
  </x:si>
  <x:si>
    <x:t>SMC.RB.ZZ</x:t>
  </x:si>
  <x:si>
    <x:t>- - - - Practical support with caring for body parts</x:t>
  </x:si>
  <x:si>
    <x:t>http://id.who.int/icd/entity/946171990</x:t>
  </x:si>
  <x:si>
    <x:t>http://id.who.int/icd/release/11/beta/ichi/946171990</x:t>
  </x:si>
  <x:si>
    <x:t>SMC.RC.ZZ</x:t>
  </x:si>
  <x:si>
    <x:t>- - - - Emotional support for caring for body parts</x:t>
  </x:si>
  <x:si>
    <x:t>http://id.who.int/icd/entity/491640070</x:t>
  </x:si>
  <x:si>
    <x:t>http://id.who.int/icd/release/11/beta/ichi/491640070</x:t>
  </x:si>
  <x:si>
    <x:t>SMD.AA.ZZ</x:t>
  </x:si>
  <x:si>
    <x:t>- - - - Assessment of toileting</x:t>
  </x:si>
  <x:si>
    <x:t>http://id.who.int/icd/entity/318004632</x:t>
  </x:si>
  <x:si>
    <x:t>http://id.who.int/icd/release/11/beta/ichi/318004632</x:t>
  </x:si>
  <x:si>
    <x:t>SMD.AC.ZZ</x:t>
  </x:si>
  <x:si>
    <x:t>- - - - Test of toileting</x:t>
  </x:si>
  <x:si>
    <x:t>http://id.who.int/icd/entity/2089574143</x:t>
  </x:si>
  <x:si>
    <x:t>http://id.who.int/icd/release/11/beta/ichi/2089574143</x:t>
  </x:si>
  <x:si>
    <x:t>SMD.AM.ZZ</x:t>
  </x:si>
  <x:si>
    <x:t>- - - - Observation of toileting</x:t>
  </x:si>
  <x:si>
    <x:t>http://id.who.int/icd/entity/1732434405</x:t>
  </x:si>
  <x:si>
    <x:t>http://id.who.int/icd/release/11/beta/ichi/1732434405</x:t>
  </x:si>
  <x:si>
    <x:t>SMD.PH.ZZ</x:t>
  </x:si>
  <x:si>
    <x:t>- - - - Training in toileting</x:t>
  </x:si>
  <x:si>
    <x:t>http://id.who.int/icd/entity/2097538879</x:t>
  </x:si>
  <x:si>
    <x:t>http://id.who.int/icd/release/11/beta/ichi/2097538879</x:t>
  </x:si>
  <x:si>
    <x:t>SMD.PM.ZZ</x:t>
  </x:si>
  <x:si>
    <x:t>- - - - Education about toileting</x:t>
  </x:si>
  <x:si>
    <x:t>http://id.who.int/icd/entity/1979840915</x:t>
  </x:si>
  <x:si>
    <x:t>http://id.who.int/icd/release/11/beta/ichi/1979840915</x:t>
  </x:si>
  <x:si>
    <x:t>SMD.PN.ZZ</x:t>
  </x:si>
  <x:si>
    <x:t>- - - - Advising about toileting</x:t>
  </x:si>
  <x:si>
    <x:t>http://id.who.int/icd/entity/1743088021</x:t>
  </x:si>
  <x:si>
    <x:t>http://id.who.int/icd/release/11/beta/ichi/1743088021</x:t>
  </x:si>
  <x:si>
    <x:t>SMD.RA.ZZ</x:t>
  </x:si>
  <x:si>
    <x:t>- - - - Performing the task of toileting</x:t>
  </x:si>
  <x:si>
    <x:t>http://id.who.int/icd/entity/417221258</x:t>
  </x:si>
  <x:si>
    <x:t>http://id.who.int/icd/release/11/beta/ichi/417221258</x:t>
  </x:si>
  <x:si>
    <x:t>SMD.RB.ZZ</x:t>
  </x:si>
  <x:si>
    <x:t>- - - - Practical support with toileting</x:t>
  </x:si>
  <x:si>
    <x:t>http://id.who.int/icd/entity/1157513614</x:t>
  </x:si>
  <x:si>
    <x:t>http://id.who.int/icd/release/11/beta/ichi/1157513614</x:t>
  </x:si>
  <x:si>
    <x:t>SMD.RC.ZZ</x:t>
  </x:si>
  <x:si>
    <x:t>- - - - Emotional support for toileting</x:t>
  </x:si>
  <x:si>
    <x:t>http://id.who.int/icd/entity/880601601</x:t>
  </x:si>
  <x:si>
    <x:t>http://id.who.int/icd/release/11/beta/ichi/880601601</x:t>
  </x:si>
  <x:si>
    <x:t>SME.AA.ZZ</x:t>
  </x:si>
  <x:si>
    <x:t>- - - - Assessment of dressing</x:t>
  </x:si>
  <x:si>
    <x:t>http://id.who.int/icd/entity/1589215064</x:t>
  </x:si>
  <x:si>
    <x:t>http://id.who.int/icd/release/11/beta/ichi/1589215064</x:t>
  </x:si>
  <x:si>
    <x:t>SME.AC.ZZ</x:t>
  </x:si>
  <x:si>
    <x:t>- - - - Test of dressing</x:t>
  </x:si>
  <x:si>
    <x:t>http://id.who.int/icd/entity/1535987882</x:t>
  </x:si>
  <x:si>
    <x:t>http://id.who.int/icd/release/11/beta/ichi/1535987882</x:t>
  </x:si>
  <x:si>
    <x:t>SME.AM.ZZ</x:t>
  </x:si>
  <x:si>
    <x:t>- - - - Observation of dressing</x:t>
  </x:si>
  <x:si>
    <x:t>http://id.who.int/icd/entity/615936951</x:t>
  </x:si>
  <x:si>
    <x:t>http://id.who.int/icd/release/11/beta/ichi/615936951</x:t>
  </x:si>
  <x:si>
    <x:t>SME.AN.ZZ</x:t>
  </x:si>
  <x:si>
    <x:t>- - - - Interview in relation to dressing</x:t>
  </x:si>
  <x:si>
    <x:t>http://id.who.int/icd/entity/1255043294</x:t>
  </x:si>
  <x:si>
    <x:t>http://id.who.int/icd/release/11/beta/ichi/1255043294</x:t>
  </x:si>
  <x:si>
    <x:t>SME.PH.ZZ</x:t>
  </x:si>
  <x:si>
    <x:t>- - - - Training in dressing</x:t>
  </x:si>
  <x:si>
    <x:t>http://id.who.int/icd/entity/560440537</x:t>
  </x:si>
  <x:si>
    <x:t>http://id.who.int/icd/release/11/beta/ichi/560440537</x:t>
  </x:si>
  <x:si>
    <x:t>SME.PM.ZZ</x:t>
  </x:si>
  <x:si>
    <x:t>- - - - Education about dressing</x:t>
  </x:si>
  <x:si>
    <x:t>http://id.who.int/icd/entity/1268920720</x:t>
  </x:si>
  <x:si>
    <x:t>http://id.who.int/icd/release/11/beta/ichi/1268920720</x:t>
  </x:si>
  <x:si>
    <x:t>SME.PN.ZZ</x:t>
  </x:si>
  <x:si>
    <x:t>- - - - Advising about dressing</x:t>
  </x:si>
  <x:si>
    <x:t>http://id.who.int/icd/entity/2073156100</x:t>
  </x:si>
  <x:si>
    <x:t>http://id.who.int/icd/release/11/beta/ichi/2073156100</x:t>
  </x:si>
  <x:si>
    <x:t>SME.PP.ZZ</x:t>
  </x:si>
  <x:si>
    <x:t>- - - - Counselling about dressing</x:t>
  </x:si>
  <x:si>
    <x:t>http://id.who.int/icd/entity/1888863402</x:t>
  </x:si>
  <x:si>
    <x:t>http://id.who.int/icd/release/11/beta/ichi/1888863402</x:t>
  </x:si>
  <x:si>
    <x:t>SME.RA.ZZ</x:t>
  </x:si>
  <x:si>
    <x:t>- - - - Performing the task of dressing the person</x:t>
  </x:si>
  <x:si>
    <x:t>http://id.who.int/icd/entity/609454887</x:t>
  </x:si>
  <x:si>
    <x:t>http://id.who.int/icd/release/11/beta/ichi/609454887</x:t>
  </x:si>
  <x:si>
    <x:t>SME.RB.ZZ</x:t>
  </x:si>
  <x:si>
    <x:t>- - - - Practical support with dressing</x:t>
  </x:si>
  <x:si>
    <x:t>http://id.who.int/icd/entity/1858657342</x:t>
  </x:si>
  <x:si>
    <x:t>http://id.who.int/icd/release/11/beta/ichi/1858657342</x:t>
  </x:si>
  <x:si>
    <x:t>SME.RC.ZZ</x:t>
  </x:si>
  <x:si>
    <x:t>- - - - Emotional support for dressing</x:t>
  </x:si>
  <x:si>
    <x:t>http://id.who.int/icd/entity/301203235</x:t>
  </x:si>
  <x:si>
    <x:t>http://id.who.int/icd/release/11/beta/ichi/301203235</x:t>
  </x:si>
  <x:si>
    <x:t>SMF.AA.ZZ</x:t>
  </x:si>
  <x:si>
    <x:t>- - - - Assessment of eating</x:t>
  </x:si>
  <x:si>
    <x:t>http://id.who.int/icd/entity/2139880522</x:t>
  </x:si>
  <x:si>
    <x:t>http://id.who.int/icd/release/11/beta/ichi/2139880522</x:t>
  </x:si>
  <x:si>
    <x:t>SMF.AB.ZZ</x:t>
  </x:si>
  <x:si>
    <x:t>- - - - Measurement of food intake</x:t>
  </x:si>
  <x:si>
    <x:t>http://id.who.int/icd/entity/614412633</x:t>
  </x:si>
  <x:si>
    <x:t>http://id.who.int/icd/release/11/beta/ichi/614412633</x:t>
  </x:si>
  <x:si>
    <x:t>SMF.AC.ZZ</x:t>
  </x:si>
  <x:si>
    <x:t>- - - - Test of eating</x:t>
  </x:si>
  <x:si>
    <x:t>http://id.who.int/icd/entity/1054347139</x:t>
  </x:si>
  <x:si>
    <x:t>http://id.who.int/icd/release/11/beta/ichi/1054347139</x:t>
  </x:si>
  <x:si>
    <x:t>SMF.AM.ZZ</x:t>
  </x:si>
  <x:si>
    <x:t>- - - - Observation of eating</x:t>
  </x:si>
  <x:si>
    <x:t>http://id.who.int/icd/entity/454382145</x:t>
  </x:si>
  <x:si>
    <x:t>http://id.who.int/icd/release/11/beta/ichi/454382145</x:t>
  </x:si>
  <x:si>
    <x:t>SMF.AN.ZZ</x:t>
  </x:si>
  <x:si>
    <x:t>- - - - Interview in relation to eating</x:t>
  </x:si>
  <x:si>
    <x:t>http://id.who.int/icd/entity/1805121996</x:t>
  </x:si>
  <x:si>
    <x:t>http://id.who.int/icd/release/11/beta/ichi/1805121996</x:t>
  </x:si>
  <x:si>
    <x:t>SMF.PH.ZZ</x:t>
  </x:si>
  <x:si>
    <x:t>- - - - Training in eating</x:t>
  </x:si>
  <x:si>
    <x:t>http://id.who.int/icd/entity/1154941796</x:t>
  </x:si>
  <x:si>
    <x:t>http://id.who.int/icd/release/11/beta/ichi/1154941796</x:t>
  </x:si>
  <x:si>
    <x:t>SMF.PM.ZZ</x:t>
  </x:si>
  <x:si>
    <x:t>- - - - Education about eating</x:t>
  </x:si>
  <x:si>
    <x:t>http://id.who.int/icd/entity/1644144176</x:t>
  </x:si>
  <x:si>
    <x:t>http://id.who.int/icd/release/11/beta/ichi/1644144176</x:t>
  </x:si>
  <x:si>
    <x:t>SMF.PN.ZZ</x:t>
  </x:si>
  <x:si>
    <x:t>- - - - Advising about eating</x:t>
  </x:si>
  <x:si>
    <x:t>http://id.who.int/icd/entity/260547929</x:t>
  </x:si>
  <x:si>
    <x:t>http://id.who.int/icd/release/11/beta/ichi/260547929</x:t>
  </x:si>
  <x:si>
    <x:t>SMF.RB.ZZ</x:t>
  </x:si>
  <x:si>
    <x:t>- - - - Practical support with eating</x:t>
  </x:si>
  <x:si>
    <x:t>http://id.who.int/icd/entity/1531046616</x:t>
  </x:si>
  <x:si>
    <x:t>http://id.who.int/icd/release/11/beta/ichi/1531046616</x:t>
  </x:si>
  <x:si>
    <x:t>SMF.RC.ZZ</x:t>
  </x:si>
  <x:si>
    <x:t>- - - - Emotional support for eating</x:t>
  </x:si>
  <x:si>
    <x:t>http://id.who.int/icd/entity/1584776490</x:t>
  </x:si>
  <x:si>
    <x:t>http://id.who.int/icd/release/11/beta/ichi/1584776490</x:t>
  </x:si>
  <x:si>
    <x:t>SMG.AA.ZZ</x:t>
  </x:si>
  <x:si>
    <x:t>- - - - Assessment of drinking</x:t>
  </x:si>
  <x:si>
    <x:t>http://id.who.int/icd/entity/558818871</x:t>
  </x:si>
  <x:si>
    <x:t>http://id.who.int/icd/release/11/beta/ichi/558818871</x:t>
  </x:si>
  <x:si>
    <x:t>SMG.AB.ZZ</x:t>
  </x:si>
  <x:si>
    <x:t>- - - - Measurement of fluid intake</x:t>
  </x:si>
  <x:si>
    <x:t>http://id.who.int/icd/entity/1328997726</x:t>
  </x:si>
  <x:si>
    <x:t>http://id.who.int/icd/release/11/beta/ichi/1328997726</x:t>
  </x:si>
  <x:si>
    <x:t>SMG.AC.ZZ</x:t>
  </x:si>
  <x:si>
    <x:t>- - - - Test of drinking</x:t>
  </x:si>
  <x:si>
    <x:t>http://id.who.int/icd/entity/1001285789</x:t>
  </x:si>
  <x:si>
    <x:t>http://id.who.int/icd/release/11/beta/ichi/1001285789</x:t>
  </x:si>
  <x:si>
    <x:t>SMG.AM.ZZ</x:t>
  </x:si>
  <x:si>
    <x:t>- - - - Observation of drinking</x:t>
  </x:si>
  <x:si>
    <x:t>http://id.who.int/icd/entity/17835131</x:t>
  </x:si>
  <x:si>
    <x:t>http://id.who.int/icd/release/11/beta/ichi/17835131</x:t>
  </x:si>
  <x:si>
    <x:t>SMG.AN.ZZ</x:t>
  </x:si>
  <x:si>
    <x:t>- - - - Interview in relation to drinking</x:t>
  </x:si>
  <x:si>
    <x:t>http://id.who.int/icd/entity/1346253640</x:t>
  </x:si>
  <x:si>
    <x:t>http://id.who.int/icd/release/11/beta/ichi/1346253640</x:t>
  </x:si>
  <x:si>
    <x:t>SMG.PH.ZZ</x:t>
  </x:si>
  <x:si>
    <x:t>- - - - Training in drinking</x:t>
  </x:si>
  <x:si>
    <x:t>http://id.who.int/icd/entity/549230789</x:t>
  </x:si>
  <x:si>
    <x:t>http://id.who.int/icd/release/11/beta/ichi/549230789</x:t>
  </x:si>
  <x:si>
    <x:t>SMG.PM.ZZ</x:t>
  </x:si>
  <x:si>
    <x:t>- - - - Education about drinking</x:t>
  </x:si>
  <x:si>
    <x:t>http://id.who.int/icd/entity/788861015</x:t>
  </x:si>
  <x:si>
    <x:t>http://id.who.int/icd/release/11/beta/ichi/788861015</x:t>
  </x:si>
  <x:si>
    <x:t>SMG.PN.ZZ</x:t>
  </x:si>
  <x:si>
    <x:t>- - - - Advising about drinking</x:t>
  </x:si>
  <x:si>
    <x:t>http://id.who.int/icd/entity/523697117</x:t>
  </x:si>
  <x:si>
    <x:t>http://id.who.int/icd/release/11/beta/ichi/523697117</x:t>
  </x:si>
  <x:si>
    <x:t>SMG.RB.ZZ</x:t>
  </x:si>
  <x:si>
    <x:t>- - - - Practical support with drinking</x:t>
  </x:si>
  <x:si>
    <x:t>http://id.who.int/icd/entity/277836623</x:t>
  </x:si>
  <x:si>
    <x:t>http://id.who.int/icd/release/11/beta/ichi/277836623</x:t>
  </x:si>
  <x:si>
    <x:t>SMG.RC.ZZ</x:t>
  </x:si>
  <x:si>
    <x:t>- - - - Emotional support for drinking</x:t>
  </x:si>
  <x:si>
    <x:t>http://id.who.int/icd/entity/1611520196</x:t>
  </x:si>
  <x:si>
    <x:t>http://id.who.int/icd/release/11/beta/ichi/1611520196</x:t>
  </x:si>
  <x:si>
    <x:t>SMH.AA.ZZ</x:t>
  </x:si>
  <x:si>
    <x:t>- - - - Assessment of looking after one's health</x:t>
  </x:si>
  <x:si>
    <x:t>http://id.who.int/icd/entity/358523937</x:t>
  </x:si>
  <x:si>
    <x:t>http://id.who.int/icd/release/11/beta/ichi/358523937</x:t>
  </x:si>
  <x:si>
    <x:t>SMH.AC.ZZ</x:t>
  </x:si>
  <x:si>
    <x:t>- - - - Test of looking after one's health</x:t>
  </x:si>
  <x:si>
    <x:t>http://id.who.int/icd/entity/1785038656</x:t>
  </x:si>
  <x:si>
    <x:t>http://id.who.int/icd/release/11/beta/ichi/1785038656</x:t>
  </x:si>
  <x:si>
    <x:t>SMH.AM.ZZ</x:t>
  </x:si>
  <x:si>
    <x:t>- - - - Observation of looking after one's health</x:t>
  </x:si>
  <x:si>
    <x:t>http://id.who.int/icd/entity/69043287</x:t>
  </x:si>
  <x:si>
    <x:t>http://id.who.int/icd/release/11/beta/ichi/69043287</x:t>
  </x:si>
  <x:si>
    <x:t>SMH.AN.ZZ</x:t>
  </x:si>
  <x:si>
    <x:t>- - - - Interview in relation to looking after one's health</x:t>
  </x:si>
  <x:si>
    <x:t>http://id.who.int/icd/entity/533922637</x:t>
  </x:si>
  <x:si>
    <x:t>http://id.who.int/icd/release/11/beta/ichi/533922637</x:t>
  </x:si>
  <x:si>
    <x:t>SMH.PH.ZZ</x:t>
  </x:si>
  <x:si>
    <x:t>- - - - Training on looking after one's health</x:t>
  </x:si>
  <x:si>
    <x:t>http://id.who.int/icd/entity/1441784870</x:t>
  </x:si>
  <x:si>
    <x:t>http://id.who.int/icd/release/11/beta/ichi/1441784870</x:t>
  </x:si>
  <x:si>
    <x:t>SMH.PM.ZZ</x:t>
  </x:si>
  <x:si>
    <x:t>- - - - Education in looking after one's health</x:t>
  </x:si>
  <x:si>
    <x:t>http://id.who.int/icd/entity/712210249</x:t>
  </x:si>
  <x:si>
    <x:t>http://id.who.int/icd/release/11/beta/ichi/712210249</x:t>
  </x:si>
  <x:si>
    <x:t>SMH.PN.ZZ</x:t>
  </x:si>
  <x:si>
    <x:t>- - - - Advising about looking after one's health</x:t>
  </x:si>
  <x:si>
    <x:t>http://id.who.int/icd/entity/561474021</x:t>
  </x:si>
  <x:si>
    <x:t>http://id.who.int/icd/release/11/beta/ichi/561474021</x:t>
  </x:si>
  <x:si>
    <x:t>SMH.PP.ZZ</x:t>
  </x:si>
  <x:si>
    <x:t>- - - - Counselling about looking after one's health</x:t>
  </x:si>
  <x:si>
    <x:t>http://id.who.int/icd/entity/1974543978</x:t>
  </x:si>
  <x:si>
    <x:t>http://id.who.int/icd/release/11/beta/ichi/1974543978</x:t>
  </x:si>
  <x:si>
    <x:t>SMH.RA.ZZ</x:t>
  </x:si>
  <x:si>
    <x:t>- - - - Performing the task of looking after one's health</x:t>
  </x:si>
  <x:si>
    <x:t>http://id.who.int/icd/entity/1613011502</x:t>
  </x:si>
  <x:si>
    <x:t>http://id.who.int/icd/release/11/beta/ichi/1613011502</x:t>
  </x:si>
  <x:si>
    <x:t>SMH.RB.ZZ</x:t>
  </x:si>
  <x:si>
    <x:t>- - - - Practical support with looking after one's health</x:t>
  </x:si>
  <x:si>
    <x:t>http://id.who.int/icd/entity/706248007</x:t>
  </x:si>
  <x:si>
    <x:t>http://id.who.int/icd/release/11/beta/ichi/706248007</x:t>
  </x:si>
  <x:si>
    <x:t>SMH.RC.ZZ</x:t>
  </x:si>
  <x:si>
    <x:t>- - - - Emotional support for looking after one's health</x:t>
  </x:si>
  <x:si>
    <x:t>http://id.who.int/icd/entity/905285412</x:t>
  </x:si>
  <x:si>
    <x:t>http://id.who.int/icd/release/11/beta/ichi/905285412</x:t>
  </x:si>
  <x:si>
    <x:t>SMH.RE.ZZ</x:t>
  </x:si>
  <x:si>
    <x:t>- - - - Providing peer support for looking after one’s health</x:t>
  </x:si>
  <x:si>
    <x:t>http://id.who.int/icd/entity/265625733</x:t>
  </x:si>
  <x:si>
    <x:t>http://id.who.int/icd/release/11/beta/ichi/265625733</x:t>
  </x:si>
  <x:si>
    <x:t>BlockL3-SN1</x:t>
  </x:si>
  <x:si>
    <x:t>- - - Interventions on domestic life</x:t>
  </x:si>
  <x:si>
    <x:t>http://id.who.int/icd/entity/1605302580</x:t>
  </x:si>
  <x:si>
    <x:t>http://id.who.int/icd/release/11/beta/ichi/1605302580</x:t>
  </x:si>
  <x:si>
    <x:t>BlockL4-SN1</x:t>
  </x:si>
  <x:si>
    <x:t>- - - - Interventions on domestic life: acquisition of necessities</x:t>
  </x:si>
  <x:si>
    <x:t>http://id.who.int/icd/entity/555508715</x:t>
  </x:si>
  <x:si>
    <x:t>http://id.who.int/icd/release/11/beta/ichi/555508715</x:t>
  </x:si>
  <x:si>
    <x:t>SN1.AA.ZZ</x:t>
  </x:si>
  <x:si>
    <x:t>- - - - - Assessment of engaging in domestic life, unspecified</x:t>
  </x:si>
  <x:si>
    <x:t>http://id.who.int/icd/entity/96305017</x:t>
  </x:si>
  <x:si>
    <x:t>http://id.who.int/icd/release/11/beta/ichi/96305017</x:t>
  </x:si>
  <x:si>
    <x:t>SN1.AC.ZZ</x:t>
  </x:si>
  <x:si>
    <x:t>- - - - - Test of engaging in domestic life, unspecified</x:t>
  </x:si>
  <x:si>
    <x:t>http://id.who.int/icd/entity/2055625832</x:t>
  </x:si>
  <x:si>
    <x:t>http://id.who.int/icd/release/11/beta/ichi/2055625832</x:t>
  </x:si>
  <x:si>
    <x:t>SN1.AM.ZZ</x:t>
  </x:si>
  <x:si>
    <x:t>- - - - - Observation of engaging in domestic life, unspecified</x:t>
  </x:si>
  <x:si>
    <x:t>http://id.who.int/icd/entity/2142401434</x:t>
  </x:si>
  <x:si>
    <x:t>http://id.who.int/icd/release/11/beta/ichi/2142401434</x:t>
  </x:si>
  <x:si>
    <x:t>SN1.AN.ZZ</x:t>
  </x:si>
  <x:si>
    <x:t>- - - - - Interview in relation to engaging in domestic life, unspecified</x:t>
  </x:si>
  <x:si>
    <x:t>http://id.who.int/icd/entity/254859285</x:t>
  </x:si>
  <x:si>
    <x:t>http://id.who.int/icd/release/11/beta/ichi/254859285</x:t>
  </x:si>
  <x:si>
    <x:t>SN1.PH.ZZ</x:t>
  </x:si>
  <x:si>
    <x:t>- - - - - Training in engaging in domestic life, unspecified</x:t>
  </x:si>
  <x:si>
    <x:t>http://id.who.int/icd/entity/544219835</x:t>
  </x:si>
  <x:si>
    <x:t>http://id.who.int/icd/release/11/beta/ichi/544219835</x:t>
  </x:si>
  <x:si>
    <x:t>SN1.PM.ZZ</x:t>
  </x:si>
  <x:si>
    <x:t>- - - - - Education about engaging in domestic life, unspecified</x:t>
  </x:si>
  <x:si>
    <x:t>http://id.who.int/icd/entity/443145773</x:t>
  </x:si>
  <x:si>
    <x:t>http://id.who.int/icd/release/11/beta/ichi/443145773</x:t>
  </x:si>
  <x:si>
    <x:t>SN1.PN.ZZ</x:t>
  </x:si>
  <x:si>
    <x:t>- - - - - Advising about engaging in domestic life, unspecified</x:t>
  </x:si>
  <x:si>
    <x:t>http://id.who.int/icd/entity/1947327814</x:t>
  </x:si>
  <x:si>
    <x:t>http://id.who.int/icd/release/11/beta/ichi/1947327814</x:t>
  </x:si>
  <x:si>
    <x:t>SN1.PP.ZZ</x:t>
  </x:si>
  <x:si>
    <x:t>- - - - - Counselling about engaging in domestic life, unspecified</x:t>
  </x:si>
  <x:si>
    <x:t>http://id.who.int/icd/entity/1168871184</x:t>
  </x:si>
  <x:si>
    <x:t>http://id.who.int/icd/release/11/beta/ichi/1168871184</x:t>
  </x:si>
  <x:si>
    <x:t>SN1.RA.ZZ</x:t>
  </x:si>
  <x:si>
    <x:t>- - - - - Performing the task of domestic life, unspecified</x:t>
  </x:si>
  <x:si>
    <x:t>http://id.who.int/icd/entity/915437592</x:t>
  </x:si>
  <x:si>
    <x:t>http://id.who.int/icd/release/11/beta/ichi/915437592</x:t>
  </x:si>
  <x:si>
    <x:t>SN1.RB.ZZ</x:t>
  </x:si>
  <x:si>
    <x:t>- - - - - Practical support with engaging in domestic life, unspecified</x:t>
  </x:si>
  <x:si>
    <x:t>http://id.who.int/icd/entity/1033135802</x:t>
  </x:si>
  <x:si>
    <x:t>http://id.who.int/icd/release/11/beta/ichi/1033135802</x:t>
  </x:si>
  <x:si>
    <x:t>SN1.RC.ZZ</x:t>
  </x:si>
  <x:si>
    <x:t>- - - - - Emotional support for engaging in domestic life, unspecified</x:t>
  </x:si>
  <x:si>
    <x:t>http://id.who.int/icd/entity/1766992181</x:t>
  </x:si>
  <x:si>
    <x:t>http://id.who.int/icd/release/11/beta/ichi/1766992181</x:t>
  </x:si>
  <x:si>
    <x:t>SN1.TA.ZZ</x:t>
  </x:si>
  <x:si>
    <x:t>- - - - - Advocacy in relation to engaging in domestic life, unspecified</x:t>
  </x:si>
  <x:si>
    <x:t>http://id.who.int/icd/entity/1008590716</x:t>
  </x:si>
  <x:si>
    <x:t>http://id.who.int/icd/release/11/beta/ichi/1008590716</x:t>
  </x:si>
  <x:si>
    <x:t>SN1.ZZ.ZZ</x:t>
  </x:si>
  <x:si>
    <x:t>- - - - - Other interventions for unspecified domestic life</x:t>
  </x:si>
  <x:si>
    <x:t>http://id.who.int/icd/entity/324871636</x:t>
  </x:si>
  <x:si>
    <x:t>http://id.who.int/icd/release/11/beta/ichi/324871636</x:t>
  </x:si>
  <x:si>
    <x:t>SN2.AA.ZZ</x:t>
  </x:si>
  <x:si>
    <x:t>- - - - - Assessment of acquisition of necessities, not elsewhere classified</x:t>
  </x:si>
  <x:si>
    <x:t>http://id.who.int/icd/entity/1675595353</x:t>
  </x:si>
  <x:si>
    <x:t>http://id.who.int/icd/release/11/beta/ichi/1675595353</x:t>
  </x:si>
  <x:si>
    <x:t>SN2.AC.ZZ</x:t>
  </x:si>
  <x:si>
    <x:t>- - - - - Test of acquisition of necessities, not elsewhere classified</x:t>
  </x:si>
  <x:si>
    <x:t>http://id.who.int/icd/entity/378335930</x:t>
  </x:si>
  <x:si>
    <x:t>http://id.who.int/icd/release/11/beta/ichi/378335930</x:t>
  </x:si>
  <x:si>
    <x:t>SN2.AM.ZZ</x:t>
  </x:si>
  <x:si>
    <x:t>- - - - - Observation of acquisition of necessities, not elsewhere classified</x:t>
  </x:si>
  <x:si>
    <x:t>http://id.who.int/icd/entity/1773654437</x:t>
  </x:si>
  <x:si>
    <x:t>http://id.who.int/icd/release/11/beta/ichi/1773654437</x:t>
  </x:si>
  <x:si>
    <x:t>SN2.PH.ZZ</x:t>
  </x:si>
  <x:si>
    <x:t>- - - - - Training of acquisition of necessities, not elsewhere classified</x:t>
  </x:si>
  <x:si>
    <x:t>http://id.who.int/icd/entity/131060430</x:t>
  </x:si>
  <x:si>
    <x:t>http://id.who.int/icd/release/11/beta/ichi/131060430</x:t>
  </x:si>
  <x:si>
    <x:t>SN2.PM.ZZ</x:t>
  </x:si>
  <x:si>
    <x:t>- - - - - Education about acquisition of necessities, not elsewhere classified</x:t>
  </x:si>
  <x:si>
    <x:t>http://id.who.int/icd/entity/1199477451</x:t>
  </x:si>
  <x:si>
    <x:t>http://id.who.int/icd/release/11/beta/ichi/1199477451</x:t>
  </x:si>
  <x:si>
    <x:t>SN2.PN.ZZ</x:t>
  </x:si>
  <x:si>
    <x:t>- - - - - Advising about acquisition of necessities, not elsewhere classified</x:t>
  </x:si>
  <x:si>
    <x:t>http://id.who.int/icd/entity/1992605825</x:t>
  </x:si>
  <x:si>
    <x:t>http://id.who.int/icd/release/11/beta/ichi/1992605825</x:t>
  </x:si>
  <x:si>
    <x:t>SN2.PP.ZZ</x:t>
  </x:si>
  <x:si>
    <x:t>- - - - - Counselling about acquisition of necessities, not elsewhere classified</x:t>
  </x:si>
  <x:si>
    <x:t>http://id.who.int/icd/entity/698425810</x:t>
  </x:si>
  <x:si>
    <x:t>http://id.who.int/icd/release/11/beta/ichi/698425810</x:t>
  </x:si>
  <x:si>
    <x:t>SN2.RA.ZZ</x:t>
  </x:si>
  <x:si>
    <x:t>- - - - - Performing the task of acquisition of necessities, not elsewhere classified</x:t>
  </x:si>
  <x:si>
    <x:t>http://id.who.int/icd/entity/581255040</x:t>
  </x:si>
  <x:si>
    <x:t>http://id.who.int/icd/release/11/beta/ichi/581255040</x:t>
  </x:si>
  <x:si>
    <x:t>SN2.RB.ZZ</x:t>
  </x:si>
  <x:si>
    <x:t>- - - - - Practical support with acquisition of necessities, not elsewhere classified</x:t>
  </x:si>
  <x:si>
    <x:t>http://id.who.int/icd/entity/1986228465</x:t>
  </x:si>
  <x:si>
    <x:t>http://id.who.int/icd/release/11/beta/ichi/1986228465</x:t>
  </x:si>
  <x:si>
    <x:t>SN2.RC.ZZ</x:t>
  </x:si>
  <x:si>
    <x:t>- - - - - Emotional support for acquisition of necessities, not elsewhere classified</x:t>
  </x:si>
  <x:si>
    <x:t>http://id.who.int/icd/entity/1677118647</x:t>
  </x:si>
  <x:si>
    <x:t>http://id.who.int/icd/release/11/beta/ichi/1677118647</x:t>
  </x:si>
  <x:si>
    <x:t>SNC.AA.ZZ</x:t>
  </x:si>
  <x:si>
    <x:t>- - - - - Assessment of acquiring a place to live</x:t>
  </x:si>
  <x:si>
    <x:t>http://id.who.int/icd/entity/1287009817</x:t>
  </x:si>
  <x:si>
    <x:t>http://id.who.int/icd/release/11/beta/ichi/1287009817</x:t>
  </x:si>
  <x:si>
    <x:t>SNC.AC.ZZ</x:t>
  </x:si>
  <x:si>
    <x:t>- - - - - Test of acquiring a place to live</x:t>
  </x:si>
  <x:si>
    <x:t>http://id.who.int/icd/entity/1010081174</x:t>
  </x:si>
  <x:si>
    <x:t>http://id.who.int/icd/release/11/beta/ichi/1010081174</x:t>
  </x:si>
  <x:si>
    <x:t>SNC.PH.ZZ</x:t>
  </x:si>
  <x:si>
    <x:t>- - - - - Training in acquiring a place to live</x:t>
  </x:si>
  <x:si>
    <x:t>http://id.who.int/icd/entity/956346988</x:t>
  </x:si>
  <x:si>
    <x:t>http://id.who.int/icd/release/11/beta/ichi/956346988</x:t>
  </x:si>
  <x:si>
    <x:t>SNC.PM.ZZ</x:t>
  </x:si>
  <x:si>
    <x:t>- - - - - Education about acquiring a place to live</x:t>
  </x:si>
  <x:si>
    <x:t>http://id.who.int/icd/entity/1933333761</x:t>
  </x:si>
  <x:si>
    <x:t>http://id.who.int/icd/release/11/beta/ichi/1933333761</x:t>
  </x:si>
  <x:si>
    <x:t>SNC.PN.ZZ</x:t>
  </x:si>
  <x:si>
    <x:t>- - - - - Advising about acquiring a place to live</x:t>
  </x:si>
  <x:si>
    <x:t>http://id.who.int/icd/entity/862514584</x:t>
  </x:si>
  <x:si>
    <x:t>http://id.who.int/icd/release/11/beta/ichi/862514584</x:t>
  </x:si>
  <x:si>
    <x:t>SNC.PP.ZZ</x:t>
  </x:si>
  <x:si>
    <x:t>- - - - - Counselling about acquiring a place to live</x:t>
  </x:si>
  <x:si>
    <x:t>http://id.who.int/icd/entity/946664250</x:t>
  </x:si>
  <x:si>
    <x:t>http://id.who.int/icd/release/11/beta/ichi/946664250</x:t>
  </x:si>
  <x:si>
    <x:t>SNC.RA.ZZ</x:t>
  </x:si>
  <x:si>
    <x:t>- - - - - Performing the task of acquiring of place to live</x:t>
  </x:si>
  <x:si>
    <x:t>http://id.who.int/icd/entity/1823128757</x:t>
  </x:si>
  <x:si>
    <x:t>http://id.who.int/icd/release/11/beta/ichi/1823128757</x:t>
  </x:si>
  <x:si>
    <x:t>SNC.RB.ZZ</x:t>
  </x:si>
  <x:si>
    <x:t>- - - - - Practical support with acquiring a place to live</x:t>
  </x:si>
  <x:si>
    <x:t>http://id.who.int/icd/entity/971328252</x:t>
  </x:si>
  <x:si>
    <x:t>http://id.who.int/icd/release/11/beta/ichi/971328252</x:t>
  </x:si>
  <x:si>
    <x:t>SNC.RC.ZZ</x:t>
  </x:si>
  <x:si>
    <x:t>- - - - - Emotional support for acquiring a place to live</x:t>
  </x:si>
  <x:si>
    <x:t>http://id.who.int/icd/entity/379957332</x:t>
  </x:si>
  <x:si>
    <x:t>http://id.who.int/icd/release/11/beta/ichi/379957332</x:t>
  </x:si>
  <x:si>
    <x:t>SND.AA.ZZ</x:t>
  </x:si>
  <x:si>
    <x:t>- - - - - Assessment of acquisition of goods and services</x:t>
  </x:si>
  <x:si>
    <x:t>http://id.who.int/icd/entity/960690826</x:t>
  </x:si>
  <x:si>
    <x:t>http://id.who.int/icd/release/11/beta/ichi/960690826</x:t>
  </x:si>
  <x:si>
    <x:t>SND.AC.ZZ</x:t>
  </x:si>
  <x:si>
    <x:t>- - - - - Test of acquisition of goods and services</x:t>
  </x:si>
  <x:si>
    <x:t>http://id.who.int/icd/entity/1237340423</x:t>
  </x:si>
  <x:si>
    <x:t>http://id.who.int/icd/release/11/beta/ichi/1237340423</x:t>
  </x:si>
  <x:si>
    <x:t>SND.AM.ZZ</x:t>
  </x:si>
  <x:si>
    <x:t>- - - - - Observation of acquisition of goods and services</x:t>
  </x:si>
  <x:si>
    <x:t>http://id.who.int/icd/entity/1719708585</x:t>
  </x:si>
  <x:si>
    <x:t>http://id.who.int/icd/release/11/beta/ichi/1719708585</x:t>
  </x:si>
  <x:si>
    <x:t>SND.AN.ZZ</x:t>
  </x:si>
  <x:si>
    <x:t>- - - - - Interview in relation to acquisition of goods and services</x:t>
  </x:si>
  <x:si>
    <x:t>http://id.who.int/icd/entity/538850872</x:t>
  </x:si>
  <x:si>
    <x:t>http://id.who.int/icd/release/11/beta/ichi/538850872</x:t>
  </x:si>
  <x:si>
    <x:t>SND.PH.ZZ</x:t>
  </x:si>
  <x:si>
    <x:t>- - - - - Training of acquisition of goods and services</x:t>
  </x:si>
  <x:si>
    <x:t>http://id.who.int/icd/entity/1315321183</x:t>
  </x:si>
  <x:si>
    <x:t>http://id.who.int/icd/release/11/beta/ichi/1315321183</x:t>
  </x:si>
  <x:si>
    <x:t>SND.PM.ZZ</x:t>
  </x:si>
  <x:si>
    <x:t>- - - - - Education about acquisition of goods and services</x:t>
  </x:si>
  <x:si>
    <x:t>http://id.who.int/icd/entity/2145150741</x:t>
  </x:si>
  <x:si>
    <x:t>http://id.who.int/icd/release/11/beta/ichi/2145150741</x:t>
  </x:si>
  <x:si>
    <x:t>SND.PN.ZZ</x:t>
  </x:si>
  <x:si>
    <x:t>- - - - - Advising about acquisition of goods and services</x:t>
  </x:si>
  <x:si>
    <x:t>http://id.who.int/icd/entity/1341099167</x:t>
  </x:si>
  <x:si>
    <x:t>http://id.who.int/icd/release/11/beta/ichi/1341099167</x:t>
  </x:si>
  <x:si>
    <x:t>SND.RA.ZZ</x:t>
  </x:si>
  <x:si>
    <x:t>- - - - - Performing the task of acquiring goods and services</x:t>
  </x:si>
  <x:si>
    <x:t>http://id.who.int/icd/entity/1156289075</x:t>
  </x:si>
  <x:si>
    <x:t>http://id.who.int/icd/release/11/beta/ichi/1156289075</x:t>
  </x:si>
  <x:si>
    <x:t>SND.RB.ZZ</x:t>
  </x:si>
  <x:si>
    <x:t>- - - - - Practical support with acquisition of goods and services</x:t>
  </x:si>
  <x:si>
    <x:t>http://id.who.int/icd/entity/271441340</x:t>
  </x:si>
  <x:si>
    <x:t>http://id.who.int/icd/release/11/beta/ichi/271441340</x:t>
  </x:si>
  <x:si>
    <x:t>SND.RC.ZZ</x:t>
  </x:si>
  <x:si>
    <x:t>- - - - - Emotional support for acquisition of goods and services</x:t>
  </x:si>
  <x:si>
    <x:t>http://id.who.int/icd/entity/1166529379</x:t>
  </x:si>
  <x:si>
    <x:t>http://id.who.int/icd/release/11/beta/ichi/1166529379</x:t>
  </x:si>
  <x:si>
    <x:t>BlockL4-SO2</x:t>
  </x:si>
  <x:si>
    <x:t>- - - - Interventions on household tasks</x:t>
  </x:si>
  <x:si>
    <x:t>http://id.who.int/icd/entity/889551088</x:t>
  </x:si>
  <x:si>
    <x:t>http://id.who.int/icd/release/11/beta/ichi/889551088</x:t>
  </x:si>
  <x:si>
    <x:t>SO2.AA.ZZ</x:t>
  </x:si>
  <x:si>
    <x:t>- - - - - Assessment of carrying out household tasks, not elsewhere classified</x:t>
  </x:si>
  <x:si>
    <x:t>http://id.who.int/icd/entity/1245600753</x:t>
  </x:si>
  <x:si>
    <x:t>http://id.who.int/icd/release/11/beta/ichi/1245600753</x:t>
  </x:si>
  <x:si>
    <x:t>SO2.AC.ZZ</x:t>
  </x:si>
  <x:si>
    <x:t>- - - - - Test of carrying out household tasks, not elsewhere classified</x:t>
  </x:si>
  <x:si>
    <x:t>http://id.who.int/icd/entity/527543742</x:t>
  </x:si>
  <x:si>
    <x:t>http://id.who.int/icd/release/11/beta/ichi/527543742</x:t>
  </x:si>
  <x:si>
    <x:t>SO2.AM.ZZ</x:t>
  </x:si>
  <x:si>
    <x:t>- - - - - Observation of carrying out household task, not elsewhere classified</x:t>
  </x:si>
  <x:si>
    <x:t>http://id.who.int/icd/entity/808539922</x:t>
  </x:si>
  <x:si>
    <x:t>http://id.who.int/icd/release/11/beta/ichi/808539922</x:t>
  </x:si>
  <x:si>
    <x:t>SO2.AN.ZZ</x:t>
  </x:si>
  <x:si>
    <x:t>- - - - - Interview in relation to carrying out household tasks, not elsewhere classified</x:t>
  </x:si>
  <x:si>
    <x:t>http://id.who.int/icd/entity/1085537437</x:t>
  </x:si>
  <x:si>
    <x:t>http://id.who.int/icd/release/11/beta/ichi/1085537437</x:t>
  </x:si>
  <x:si>
    <x:t>SO2.PH.ZZ</x:t>
  </x:si>
  <x:si>
    <x:t>- - - - - Training in carrying out household tasks, not elsewhere classified</x:t>
  </x:si>
  <x:si>
    <x:t>http://id.who.int/icd/entity/718395834</x:t>
  </x:si>
  <x:si>
    <x:t>http://id.who.int/icd/release/11/beta/ichi/718395834</x:t>
  </x:si>
  <x:si>
    <x:t>SO2.PM.ZZ</x:t>
  </x:si>
  <x:si>
    <x:t>- - - - - Education about carrying out household tasks, not elsewhere classified</x:t>
  </x:si>
  <x:si>
    <x:t>http://id.who.int/icd/entity/1441462949</x:t>
  </x:si>
  <x:si>
    <x:t>http://id.who.int/icd/release/11/beta/ichi/1441462949</x:t>
  </x:si>
  <x:si>
    <x:t>SO2.PN.ZZ</x:t>
  </x:si>
  <x:si>
    <x:t>- - - - - Advising about carrying out household tasks, not elsewhere classified</x:t>
  </x:si>
  <x:si>
    <x:t>http://id.who.int/icd/entity/999487950</x:t>
  </x:si>
  <x:si>
    <x:t>http://id.who.int/icd/release/11/beta/ichi/999487950</x:t>
  </x:si>
  <x:si>
    <x:t>SO2.PP.ZZ</x:t>
  </x:si>
  <x:si>
    <x:t>- - - - - Counselling about carrying out household tasks, not elsewhere classified</x:t>
  </x:si>
  <x:si>
    <x:t>http://id.who.int/icd/entity/1619408095</x:t>
  </x:si>
  <x:si>
    <x:t>http://id.who.int/icd/release/11/beta/ichi/1619408095</x:t>
  </x:si>
  <x:si>
    <x:t>SO2.RA.ZZ</x:t>
  </x:si>
  <x:si>
    <x:t>- - - - - Performing household tasks, not elsewhere classified</x:t>
  </x:si>
  <x:si>
    <x:t>http://id.who.int/icd/entity/1513650233</x:t>
  </x:si>
  <x:si>
    <x:t>http://id.who.int/icd/release/11/beta/ichi/1513650233</x:t>
  </x:si>
  <x:si>
    <x:t>SO2.RB.ZZ</x:t>
  </x:si>
  <x:si>
    <x:t>- - - - - Practical support with carrying out household tasks, not elsewhere classified</x:t>
  </x:si>
  <x:si>
    <x:t>http://id.who.int/icd/entity/1594644423</x:t>
  </x:si>
  <x:si>
    <x:t>http://id.who.int/icd/release/11/beta/ichi/1594644423</x:t>
  </x:si>
  <x:si>
    <x:t>SO2.RC.ZZ</x:t>
  </x:si>
  <x:si>
    <x:t>- - - - - Emotional support for carrying out household tasks, not elsewhere classified</x:t>
  </x:si>
  <x:si>
    <x:t>http://id.who.int/icd/entity/797899852</x:t>
  </x:si>
  <x:si>
    <x:t>http://id.who.int/icd/release/11/beta/ichi/797899852</x:t>
  </x:si>
  <x:si>
    <x:t>SOA.AA.ZZ</x:t>
  </x:si>
  <x:si>
    <x:t>- - - - - Assessment of preparing meals</x:t>
  </x:si>
  <x:si>
    <x:t>http://id.who.int/icd/entity/13502180</x:t>
  </x:si>
  <x:si>
    <x:t>http://id.who.int/icd/release/11/beta/ichi/13502180</x:t>
  </x:si>
  <x:si>
    <x:t>SOA.AC.ZZ</x:t>
  </x:si>
  <x:si>
    <x:t>- - - - - Test of preparing meals</x:t>
  </x:si>
  <x:si>
    <x:t>http://id.who.int/icd/entity/635872184</x:t>
  </x:si>
  <x:si>
    <x:t>http://id.who.int/icd/release/11/beta/ichi/635872184</x:t>
  </x:si>
  <x:si>
    <x:t>SOA.AM.ZZ</x:t>
  </x:si>
  <x:si>
    <x:t>- - - - - Observation of preparing meals</x:t>
  </x:si>
  <x:si>
    <x:t>http://id.who.int/icd/entity/1268687071</x:t>
  </x:si>
  <x:si>
    <x:t>http://id.who.int/icd/release/11/beta/ichi/1268687071</x:t>
  </x:si>
  <x:si>
    <x:t>SOA.AN.ZZ</x:t>
  </x:si>
  <x:si>
    <x:t>- - - - - Interview in relation to preparing meals</x:t>
  </x:si>
  <x:si>
    <x:t>http://id.who.int/icd/entity/2049241749</x:t>
  </x:si>
  <x:si>
    <x:t>http://id.who.int/icd/release/11/beta/ichi/2049241749</x:t>
  </x:si>
  <x:si>
    <x:t>SOA.PH.ZZ</x:t>
  </x:si>
  <x:si>
    <x:t>- - - - - Training in preparing meals</x:t>
  </x:si>
  <x:si>
    <x:t>http://id.who.int/icd/entity/1243027743</x:t>
  </x:si>
  <x:si>
    <x:t>http://id.who.int/icd/release/11/beta/ichi/1243027743</x:t>
  </x:si>
  <x:si>
    <x:t>SOA.PM.ZZ</x:t>
  </x:si>
  <x:si>
    <x:t>- - - - - Education about preparing meals</x:t>
  </x:si>
  <x:si>
    <x:t>http://id.who.int/icd/entity/1091766195</x:t>
  </x:si>
  <x:si>
    <x:t>http://id.who.int/icd/release/11/beta/ichi/1091766195</x:t>
  </x:si>
  <x:si>
    <x:t>SOA.PN.ZZ</x:t>
  </x:si>
  <x:si>
    <x:t>- - - - - Advising about preparing meals</x:t>
  </x:si>
  <x:si>
    <x:t>http://id.who.int/icd/entity/366299196</x:t>
  </x:si>
  <x:si>
    <x:t>http://id.who.int/icd/release/11/beta/ichi/366299196</x:t>
  </x:si>
  <x:si>
    <x:t>SOA.PP.ZZ</x:t>
  </x:si>
  <x:si>
    <x:t>- - - - - Counselling about preparing meals</x:t>
  </x:si>
  <x:si>
    <x:t>http://id.who.int/icd/entity/801944746</x:t>
  </x:si>
  <x:si>
    <x:t>http://id.who.int/icd/release/11/beta/ichi/801944746</x:t>
  </x:si>
  <x:si>
    <x:t>SOA.RA.ZZ</x:t>
  </x:si>
  <x:si>
    <x:t>http://id.who.int/icd/entity/544554040</x:t>
  </x:si>
  <x:si>
    <x:t>http://id.who.int/icd/release/11/beta/ichi/544554040</x:t>
  </x:si>
  <x:si>
    <x:t>SOA.RB.ZZ</x:t>
  </x:si>
  <x:si>
    <x:t>- - - - - Practical support with preparing meals</x:t>
  </x:si>
  <x:si>
    <x:t>http://id.who.int/icd/entity/338114256</x:t>
  </x:si>
  <x:si>
    <x:t>http://id.who.int/icd/release/11/beta/ichi/338114256</x:t>
  </x:si>
  <x:si>
    <x:t>SOA.RC.ZZ</x:t>
  </x:si>
  <x:si>
    <x:t>- - - - - Emotional support for preparing meals</x:t>
  </x:si>
  <x:si>
    <x:t>http://id.who.int/icd/entity/1688575299</x:t>
  </x:si>
  <x:si>
    <x:t>http://id.who.int/icd/release/11/beta/ichi/1688575299</x:t>
  </x:si>
  <x:si>
    <x:t>SOD.AA.ZZ</x:t>
  </x:si>
  <x:si>
    <x:t>- - - - - Assessment of doing housework</x:t>
  </x:si>
  <x:si>
    <x:t>http://id.who.int/icd/entity/1273325549</x:t>
  </x:si>
  <x:si>
    <x:t>http://id.who.int/icd/release/11/beta/ichi/1273325549</x:t>
  </x:si>
  <x:si>
    <x:t>SOD.AC.ZZ</x:t>
  </x:si>
  <x:si>
    <x:t>- - - - - Test of doing housework</x:t>
  </x:si>
  <x:si>
    <x:t>http://id.who.int/icd/entity/514494884</x:t>
  </x:si>
  <x:si>
    <x:t>http://id.who.int/icd/release/11/beta/ichi/514494884</x:t>
  </x:si>
  <x:si>
    <x:t>SOD.AM.ZZ</x:t>
  </x:si>
  <x:si>
    <x:t>- - - - - Observation of doing housework</x:t>
  </x:si>
  <x:si>
    <x:t>http://id.who.int/icd/entity/1892848331</x:t>
  </x:si>
  <x:si>
    <x:t>http://id.who.int/icd/release/11/beta/ichi/1892848331</x:t>
  </x:si>
  <x:si>
    <x:t>SOD.PH.ZZ</x:t>
  </x:si>
  <x:si>
    <x:t>- - - - - Training in doing housework</x:t>
  </x:si>
  <x:si>
    <x:t>http://id.who.int/icd/entity/1097384065</x:t>
  </x:si>
  <x:si>
    <x:t>http://id.who.int/icd/release/11/beta/ichi/1097384065</x:t>
  </x:si>
  <x:si>
    <x:t>SOD.PM.ZZ</x:t>
  </x:si>
  <x:si>
    <x:t>- - - - - Education about doing housework</x:t>
  </x:si>
  <x:si>
    <x:t>http://id.who.int/icd/entity/20740120</x:t>
  </x:si>
  <x:si>
    <x:t>http://id.who.int/icd/release/11/beta/ichi/20740120</x:t>
  </x:si>
  <x:si>
    <x:t>SOD.PN.ZZ</x:t>
  </x:si>
  <x:si>
    <x:t>- - - - - Advising about doing housework</x:t>
  </x:si>
  <x:si>
    <x:t>http://id.who.int/icd/entity/171468474</x:t>
  </x:si>
  <x:si>
    <x:t>http://id.who.int/icd/release/11/beta/ichi/171468474</x:t>
  </x:si>
  <x:si>
    <x:t>SOD.PP.ZZ</x:t>
  </x:si>
  <x:si>
    <x:t>- - - - - Counselling about doing housework</x:t>
  </x:si>
  <x:si>
    <x:t>http://id.who.int/icd/entity/1593714997</x:t>
  </x:si>
  <x:si>
    <x:t>http://id.who.int/icd/release/11/beta/ichi/1593714997</x:t>
  </x:si>
  <x:si>
    <x:t>SOD.RA.ZZ</x:t>
  </x:si>
  <x:si>
    <x:t>- - - - - Performing the task of doing housework</x:t>
  </x:si>
  <x:si>
    <x:t>http://id.who.int/icd/entity/2066969847</x:t>
  </x:si>
  <x:si>
    <x:t>http://id.who.int/icd/release/11/beta/ichi/2066969847</x:t>
  </x:si>
  <x:si>
    <x:t>SOD.RB.ZZ</x:t>
  </x:si>
  <x:si>
    <x:t>- - - - - Practical support with doing housework</x:t>
  </x:si>
  <x:si>
    <x:t>http://id.who.int/icd/entity/67655658</x:t>
  </x:si>
  <x:si>
    <x:t>http://id.who.int/icd/release/11/beta/ichi/67655658</x:t>
  </x:si>
  <x:si>
    <x:t>SOD.RC.ZZ</x:t>
  </x:si>
  <x:si>
    <x:t>- - - - - Emotional support for doing housework</x:t>
  </x:si>
  <x:si>
    <x:t>http://id.who.int/icd/entity/1250502333</x:t>
  </x:si>
  <x:si>
    <x:t>http://id.who.int/icd/release/11/beta/ichi/1250502333</x:t>
  </x:si>
  <x:si>
    <x:t>BlockL4-SP2</x:t>
  </x:si>
  <x:si>
    <x:t>- - - - Interventions on caring for household objects and assisting others</x:t>
  </x:si>
  <x:si>
    <x:t>http://id.who.int/icd/entity/1785746561</x:t>
  </x:si>
  <x:si>
    <x:t>http://id.who.int/icd/release/11/beta/ichi/1785746561</x:t>
  </x:si>
  <x:si>
    <x:t>SP2.AA.ZZ</x:t>
  </x:si>
  <x:si>
    <x:t>- - - - - Assessment of caring for household objects and assisting others, not elsewhere classified</x:t>
  </x:si>
  <x:si>
    <x:t>http://id.who.int/icd/entity/290542032</x:t>
  </x:si>
  <x:si>
    <x:t>http://id.who.int/icd/release/11/beta/ichi/290542032</x:t>
  </x:si>
  <x:si>
    <x:t>SP2.AC.ZZ</x:t>
  </x:si>
  <x:si>
    <x:t>- - - - - Test of caring for household objects and assisting others, not elsewhere classified</x:t>
  </x:si>
  <x:si>
    <x:t>http://id.who.int/icd/entity/1421816871</x:t>
  </x:si>
  <x:si>
    <x:t>http://id.who.int/icd/release/11/beta/ichi/1421816871</x:t>
  </x:si>
  <x:si>
    <x:t>SP2.AM.ZZ</x:t>
  </x:si>
  <x:si>
    <x:t>- - - - - Observation of caring for household objects and assisting others, not elsewhere classified</x:t>
  </x:si>
  <x:si>
    <x:t>http://id.who.int/icd/entity/730076984</x:t>
  </x:si>
  <x:si>
    <x:t>http://id.who.int/icd/release/11/beta/ichi/730076984</x:t>
  </x:si>
  <x:si>
    <x:t>SP2.PH.ZZ</x:t>
  </x:si>
  <x:si>
    <x:t>- - - - - Training in caring for the household contents and assisting others, not elsewhere classified</x:t>
  </x:si>
  <x:si>
    <x:t>http://id.who.int/icd/entity/1174148177</x:t>
  </x:si>
  <x:si>
    <x:t>http://id.who.int/icd/release/11/beta/ichi/1174148177</x:t>
  </x:si>
  <x:si>
    <x:t>SP2.PM.ZZ</x:t>
  </x:si>
  <x:si>
    <x:t>- - - - - Education about caring for household objects and assisting others, not elsewhere classified</x:t>
  </x:si>
  <x:si>
    <x:t>http://id.who.int/icd/entity/1580372811</x:t>
  </x:si>
  <x:si>
    <x:t>http://id.who.int/icd/release/11/beta/ichi/1580372811</x:t>
  </x:si>
  <x:si>
    <x:t>SP2.PN.ZZ</x:t>
  </x:si>
  <x:si>
    <x:t>- - - - - Advising about caring for the household objects and assisting others, not elsewhere classified</x:t>
  </x:si>
  <x:si>
    <x:t>http://id.who.int/icd/entity/1148562833</x:t>
  </x:si>
  <x:si>
    <x:t>http://id.who.int/icd/release/11/beta/ichi/1148562833</x:t>
  </x:si>
  <x:si>
    <x:t>SP2.PP.ZZ</x:t>
  </x:si>
  <x:si>
    <x:t>- - - - - Counselling about caring for household objects and assisting others, not elsewhere classified</x:t>
  </x:si>
  <x:si>
    <x:t>http://id.who.int/icd/entity/1332851517</x:t>
  </x:si>
  <x:si>
    <x:t>http://id.who.int/icd/release/11/beta/ichi/1332851517</x:t>
  </x:si>
  <x:si>
    <x:t>SP2.RA.ZZ</x:t>
  </x:si>
  <x:si>
    <x:t>- - - - - Performing the task of caring for household objects and assisting others, not elsewhere classified</x:t>
  </x:si>
  <x:si>
    <x:t>http://id.who.int/icd/entity/1101298431</x:t>
  </x:si>
  <x:si>
    <x:t>http://id.who.int/icd/release/11/beta/ichi/1101298431</x:t>
  </x:si>
  <x:si>
    <x:t>SP2.RB.ZZ</x:t>
  </x:si>
  <x:si>
    <x:t>- - - - - Practical support with caring for household objects and assisting others, not elsewhere classified</x:t>
  </x:si>
  <x:si>
    <x:t>http://id.who.int/icd/entity/1050630624</x:t>
  </x:si>
  <x:si>
    <x:t>http://id.who.int/icd/release/11/beta/ichi/1050630624</x:t>
  </x:si>
  <x:si>
    <x:t>SP2.RC.ZZ</x:t>
  </x:si>
  <x:si>
    <x:t>- - - - - Emotional support for caring for household objects and assisting others, not elsewhere classified</x:t>
  </x:si>
  <x:si>
    <x:t>http://id.who.int/icd/entity/1001092638</x:t>
  </x:si>
  <x:si>
    <x:t>http://id.who.int/icd/release/11/beta/ichi/1001092638</x:t>
  </x:si>
  <x:si>
    <x:t>SPA.AA.ZZ</x:t>
  </x:si>
  <x:si>
    <x:t>- - - - - Assessment of caring for household objects</x:t>
  </x:si>
  <x:si>
    <x:t>http://id.who.int/icd/entity/1261034899</x:t>
  </x:si>
  <x:si>
    <x:t>http://id.who.int/icd/release/11/beta/ichi/1261034899</x:t>
  </x:si>
  <x:si>
    <x:t>SPA.AC.ZZ</x:t>
  </x:si>
  <x:si>
    <x:t>- - - - - Test of caring for household objects</x:t>
  </x:si>
  <x:si>
    <x:t>http://id.who.int/icd/entity/1684612925</x:t>
  </x:si>
  <x:si>
    <x:t>http://id.who.int/icd/release/11/beta/ichi/1684612925</x:t>
  </x:si>
  <x:si>
    <x:t>SPA.AM.ZZ</x:t>
  </x:si>
  <x:si>
    <x:t>- - - - - Observation of caring for household objects</x:t>
  </x:si>
  <x:si>
    <x:t>http://id.who.int/icd/entity/1584454571</x:t>
  </x:si>
  <x:si>
    <x:t>http://id.who.int/icd/release/11/beta/ichi/1584454571</x:t>
  </x:si>
  <x:si>
    <x:t>SPA.PH.ZZ</x:t>
  </x:si>
  <x:si>
    <x:t>- - - - - Training in caring for household objects</x:t>
  </x:si>
  <x:si>
    <x:t>http://id.who.int/icd/entity/805886146</x:t>
  </x:si>
  <x:si>
    <x:t>http://id.who.int/icd/release/11/beta/ichi/805886146</x:t>
  </x:si>
  <x:si>
    <x:t>SPA.PM.ZZ</x:t>
  </x:si>
  <x:si>
    <x:t>- - - - - Education about caring for household objects</x:t>
  </x:si>
  <x:si>
    <x:t>http://id.who.int/icd/entity/1691260749</x:t>
  </x:si>
  <x:si>
    <x:t>http://id.who.int/icd/release/11/beta/ichi/1691260749</x:t>
  </x:si>
  <x:si>
    <x:t>SPA.PN.ZZ</x:t>
  </x:si>
  <x:si>
    <x:t>- - - - - Advising about caring for household objects</x:t>
  </x:si>
  <x:si>
    <x:t>http://id.who.int/icd/entity/955161675</x:t>
  </x:si>
  <x:si>
    <x:t>http://id.who.int/icd/release/11/beta/ichi/955161675</x:t>
  </x:si>
  <x:si>
    <x:t>SPA.PP.ZZ</x:t>
  </x:si>
  <x:si>
    <x:t>- - - - - Counselling about caring for the household objects</x:t>
  </x:si>
  <x:si>
    <x:t>http://id.who.int/icd/entity/1205190486</x:t>
  </x:si>
  <x:si>
    <x:t>http://id.who.int/icd/release/11/beta/ichi/1205190486</x:t>
  </x:si>
  <x:si>
    <x:t>SPA.RA.ZZ</x:t>
  </x:si>
  <x:si>
    <x:t>http://id.who.int/icd/entity/664636783</x:t>
  </x:si>
  <x:si>
    <x:t>http://id.who.int/icd/release/11/beta/ichi/664636783</x:t>
  </x:si>
  <x:si>
    <x:t>SPA.RB.ZZ</x:t>
  </x:si>
  <x:si>
    <x:t>- - - - - Practical support with caring for household objects</x:t>
  </x:si>
  <x:si>
    <x:t>http://id.who.int/icd/entity/1461659364</x:t>
  </x:si>
  <x:si>
    <x:t>http://id.who.int/icd/release/11/beta/ichi/1461659364</x:t>
  </x:si>
  <x:si>
    <x:t>SPA.RC.ZZ</x:t>
  </x:si>
  <x:si>
    <x:t>- - - - - Emotional support for caring for household objects</x:t>
  </x:si>
  <x:si>
    <x:t>http://id.who.int/icd/entity/2019548236</x:t>
  </x:si>
  <x:si>
    <x:t>http://id.who.int/icd/release/11/beta/ichi/2019548236</x:t>
  </x:si>
  <x:si>
    <x:t>SPD.AA.ZZ</x:t>
  </x:si>
  <x:si>
    <x:t>- - - - - Assessment of assisting others</x:t>
  </x:si>
  <x:si>
    <x:t>http://id.who.int/icd/entity/1568110880</x:t>
  </x:si>
  <x:si>
    <x:t>http://id.who.int/icd/release/11/beta/ichi/1568110880</x:t>
  </x:si>
  <x:si>
    <x:t>SPD.AC.ZZ</x:t>
  </x:si>
  <x:si>
    <x:t>- - - - - Test of assisting others</x:t>
  </x:si>
  <x:si>
    <x:t>http://id.who.int/icd/entity/856652407</x:t>
  </x:si>
  <x:si>
    <x:t>http://id.who.int/icd/release/11/beta/ichi/856652407</x:t>
  </x:si>
  <x:si>
    <x:t>SPD.AM.ZZ</x:t>
  </x:si>
  <x:si>
    <x:t>- - - - - Observation of assisting others</x:t>
  </x:si>
  <x:si>
    <x:t>http://id.who.int/icd/entity/45426749</x:t>
  </x:si>
  <x:si>
    <x:t>http://id.who.int/icd/release/11/beta/ichi/45426749</x:t>
  </x:si>
  <x:si>
    <x:t>SPD.PH.ZZ</x:t>
  </x:si>
  <x:si>
    <x:t>- - - - - Training in assisting others</x:t>
  </x:si>
  <x:si>
    <x:t>http://id.who.int/icd/entity/847692727</x:t>
  </x:si>
  <x:si>
    <x:t>http://id.who.int/icd/release/11/beta/ichi/847692727</x:t>
  </x:si>
  <x:si>
    <x:t>SPD.PM.ZZ</x:t>
  </x:si>
  <x:si>
    <x:t>- - - - - Education about assisting others</x:t>
  </x:si>
  <x:si>
    <x:t>http://id.who.int/icd/entity/964877595</x:t>
  </x:si>
  <x:si>
    <x:t>http://id.who.int/icd/release/11/beta/ichi/964877595</x:t>
  </x:si>
  <x:si>
    <x:t>SPD.PN.ZZ</x:t>
  </x:si>
  <x:si>
    <x:t>- - - - - Advising about assisting others</x:t>
  </x:si>
  <x:si>
    <x:t>http://id.who.int/icd/entity/1833210516</x:t>
  </x:si>
  <x:si>
    <x:t>http://id.who.int/icd/release/11/beta/ichi/1833210516</x:t>
  </x:si>
  <x:si>
    <x:t>SPD.PP.ZZ</x:t>
  </x:si>
  <x:si>
    <x:t>- - - - - Counselling about assisting others</x:t>
  </x:si>
  <x:si>
    <x:t>http://id.who.int/icd/entity/1465740802</x:t>
  </x:si>
  <x:si>
    <x:t>http://id.who.int/icd/release/11/beta/ichi/1465740802</x:t>
  </x:si>
  <x:si>
    <x:t>SPD.RA.ZZ</x:t>
  </x:si>
  <x:si>
    <x:t>- - - - - Performing the task of assisting others</x:t>
  </x:si>
  <x:si>
    <x:t>http://id.who.int/icd/entity/1491396240</x:t>
  </x:si>
  <x:si>
    <x:t>http://id.who.int/icd/release/11/beta/ichi/1491396240</x:t>
  </x:si>
  <x:si>
    <x:t>SPD.RB.ZZ</x:t>
  </x:si>
  <x:si>
    <x:t>- - - - - Practical support with assisting others</x:t>
  </x:si>
  <x:si>
    <x:t>http://id.who.int/icd/entity/375756741</x:t>
  </x:si>
  <x:si>
    <x:t>http://id.who.int/icd/release/11/beta/ichi/375756741</x:t>
  </x:si>
  <x:si>
    <x:t>SPD.RC.ZZ</x:t>
  </x:si>
  <x:si>
    <x:t>- - - - - Emotional support for assisting others</x:t>
  </x:si>
  <x:si>
    <x:t>http://id.who.int/icd/entity/150222127</x:t>
  </x:si>
  <x:si>
    <x:t>http://id.who.int/icd/release/11/beta/ichi/150222127</x:t>
  </x:si>
  <x:si>
    <x:t>BlockL3-SR1</x:t>
  </x:si>
  <x:si>
    <x:t>- - - Interventions on interpersonal interactions and relationships</x:t>
  </x:si>
  <x:si>
    <x:t>http://id.who.int/icd/entity/1463182350</x:t>
  </x:si>
  <x:si>
    <x:t>http://id.who.int/icd/release/11/beta/ichi/1463182350</x:t>
  </x:si>
  <x:si>
    <x:t>BlockL4-SR1</x:t>
  </x:si>
  <x:si>
    <x:t>- - - - Interventions on interpersonal interactions and relationships, general interpersonal interactions</x:t>
  </x:si>
  <x:si>
    <x:t>41</x:t>
  </x:si>
  <x:si>
    <x:t>http://id.who.int/icd/entity/671958803</x:t>
  </x:si>
  <x:si>
    <x:t>http://id.who.int/icd/release/11/beta/ichi/671958803</x:t>
  </x:si>
  <x:si>
    <x:t>SR1.AA.ZZ</x:t>
  </x:si>
  <x:si>
    <x:t>- - - - - Assessment of engaging in interactions and interpersonal relationships, unspecified</x:t>
  </x:si>
  <x:si>
    <x:t>http://id.who.int/icd/entity/1207762364</x:t>
  </x:si>
  <x:si>
    <x:t>http://id.who.int/icd/release/11/beta/ichi/1207762364</x:t>
  </x:si>
  <x:si>
    <x:t>SR1.AC.ZZ</x:t>
  </x:si>
  <x:si>
    <x:t>- - - - - Test of engaging in interactions and interpersonal relationships, unspecified</x:t>
  </x:si>
  <x:si>
    <x:t>http://id.who.int/icd/entity/1572586338</x:t>
  </x:si>
  <x:si>
    <x:t>http://id.who.int/icd/release/11/beta/ichi/1572586338</x:t>
  </x:si>
  <x:si>
    <x:t>SR1.AM.ZZ</x:t>
  </x:si>
  <x:si>
    <x:t>- - - - - Observation of engaging in interactions and interpersonal relationships, unspecified</x:t>
  </x:si>
  <x:si>
    <x:t>http://id.who.int/icd/entity/1455414732</x:t>
  </x:si>
  <x:si>
    <x:t>http://id.who.int/icd/release/11/beta/ichi/1455414732</x:t>
  </x:si>
  <x:si>
    <x:t>SR1.AN.ZZ</x:t>
  </x:si>
  <x:si>
    <x:t>- - - - - Interview in relation to engaging in interactions and interpersonal relationships, unspecified</x:t>
  </x:si>
  <x:si>
    <x:t>http://id.who.int/icd/entity/1483346960</x:t>
  </x:si>
  <x:si>
    <x:t>http://id.who.int/icd/release/11/beta/ichi/1483346960</x:t>
  </x:si>
  <x:si>
    <x:t>SR1.PH.ZZ</x:t>
  </x:si>
  <x:si>
    <x:t>- - - - - Training of engaging in interactions and interpersonal relationships, unspecified</x:t>
  </x:si>
  <x:si>
    <x:t>http://id.who.int/icd/entity/659633937</x:t>
  </x:si>
  <x:si>
    <x:t>http://id.who.int/icd/release/11/beta/ichi/659633937</x:t>
  </x:si>
  <x:si>
    <x:t>SR1.PM.ZZ</x:t>
  </x:si>
  <x:si>
    <x:t>- - - - - Education about engaging in interactions and interpersonal relationships, unspecified</x:t>
  </x:si>
  <x:si>
    <x:t>http://id.who.int/icd/entity/577050863</x:t>
  </x:si>
  <x:si>
    <x:t>http://id.who.int/icd/release/11/beta/ichi/577050863</x:t>
  </x:si>
  <x:si>
    <x:t>SR1.PN.ZZ</x:t>
  </x:si>
  <x:si>
    <x:t>- - - - - Advising about engaging in interactions and interpersonal relationships, unspecified</x:t>
  </x:si>
  <x:si>
    <x:t>http://id.who.int/icd/entity/1390916452</x:t>
  </x:si>
  <x:si>
    <x:t>http://id.who.int/icd/release/11/beta/ichi/1390916452</x:t>
  </x:si>
  <x:si>
    <x:t>SR1.PP.ZZ</x:t>
  </x:si>
  <x:si>
    <x:t>- - - - - Counselling about engaging in interactions and interpersonal relationships, unspecified</x:t>
  </x:si>
  <x:si>
    <x:t>http://id.who.int/icd/entity/2108115404</x:t>
  </x:si>
  <x:si>
    <x:t>http://id.who.int/icd/release/11/beta/ichi/2108115404</x:t>
  </x:si>
  <x:si>
    <x:t>SR1.PQ.ZZ</x:t>
  </x:si>
  <x:si>
    <x:t>- - - - - Psychotherapy for engaging in interactions and interpersonal relationships, unspecified</x:t>
  </x:si>
  <x:si>
    <x:t>http://id.who.int/icd/entity/1203680602</x:t>
  </x:si>
  <x:si>
    <x:t>http://id.who.int/icd/release/11/beta/ichi/1203680602</x:t>
  </x:si>
  <x:si>
    <x:t>SR1.RB.ZZ</x:t>
  </x:si>
  <x:si>
    <x:t>- - - - - Practical support with engaging in interactions and interpersonal relationships, unspecified</x:t>
  </x:si>
  <x:si>
    <x:t>http://id.who.int/icd/entity/700888627</x:t>
  </x:si>
  <x:si>
    <x:t>http://id.who.int/icd/release/11/beta/ichi/700888627</x:t>
  </x:si>
  <x:si>
    <x:t>SR1.RC.ZZ</x:t>
  </x:si>
  <x:si>
    <x:t>- - - - - Emotional support for engaging in interactions and interpersonal relationships, unspecified</x:t>
  </x:si>
  <x:si>
    <x:t>http://id.who.int/icd/entity/410838137</x:t>
  </x:si>
  <x:si>
    <x:t>http://id.who.int/icd/release/11/beta/ichi/410838137</x:t>
  </x:si>
  <x:si>
    <x:t>SR1.RE.ZZ</x:t>
  </x:si>
  <x:si>
    <x:t>- - - - - Provision of peer support for engaging in interactions and interpersonal relationships, unspecified</x:t>
  </x:si>
  <x:si>
    <x:t>http://id.who.int/icd/entity/2085959488</x:t>
  </x:si>
  <x:si>
    <x:t>http://id.who.int/icd/release/11/beta/ichi/2085959488</x:t>
  </x:si>
  <x:si>
    <x:t>SR1.TA.ZZ</x:t>
  </x:si>
  <x:si>
    <x:t>- - - - - Advocay in relation to engaging in interactions and interpersonal relationships, unspecified</x:t>
  </x:si>
  <x:si>
    <x:t>http://id.who.int/icd/entity/1944895406</x:t>
  </x:si>
  <x:si>
    <x:t>http://id.who.int/icd/release/11/beta/ichi/1944895406</x:t>
  </x:si>
  <x:si>
    <x:t>SR1.ZZ.ZZ</x:t>
  </x:si>
  <x:si>
    <x:t>- - - - - Other interventions for engaging in unspecified interactions and interpersonal relationships</x:t>
  </x:si>
  <x:si>
    <x:t>http://id.who.int/icd/entity/57545761</x:t>
  </x:si>
  <x:si>
    <x:t>http://id.who.int/icd/release/11/beta/ichi/57545761</x:t>
  </x:si>
  <x:si>
    <x:t>SR2.AA.ZZ</x:t>
  </x:si>
  <x:si>
    <x:t>- - - - - Assessment of engaging in general interpersonal interactions, not elsewhere classified</x:t>
  </x:si>
  <x:si>
    <x:t>http://id.who.int/icd/entity/648235491</x:t>
  </x:si>
  <x:si>
    <x:t>http://id.who.int/icd/release/11/beta/ichi/648235491</x:t>
  </x:si>
  <x:si>
    <x:t>SR2.AC.ZZ</x:t>
  </x:si>
  <x:si>
    <x:t>- - - - - Test of engaging in general interpersonal interactions, not elsewhere classified</x:t>
  </x:si>
  <x:si>
    <x:t>http://id.who.int/icd/entity/1021605689</x:t>
  </x:si>
  <x:si>
    <x:t>http://id.who.int/icd/release/11/beta/ichi/1021605689</x:t>
  </x:si>
  <x:si>
    <x:t>SR2.AM.ZZ</x:t>
  </x:si>
  <x:si>
    <x:t>- - - - - Observation of engaging in general interpersonal interactions, not elsewhere classified</x:t>
  </x:si>
  <x:si>
    <x:t>http://id.who.int/icd/entity/937453973</x:t>
  </x:si>
  <x:si>
    <x:t>http://id.who.int/icd/release/11/beta/ichi/937453973</x:t>
  </x:si>
  <x:si>
    <x:t>SR2.AN.ZZ</x:t>
  </x:si>
  <x:si>
    <x:t>- - - - - Interview in relation to engaging in general interpersonal interactions, not elsewhere classified</x:t>
  </x:si>
  <x:si>
    <x:t>http://id.who.int/icd/entity/959815767</x:t>
  </x:si>
  <x:si>
    <x:t>http://id.who.int/icd/release/11/beta/ichi/959815767</x:t>
  </x:si>
  <x:si>
    <x:t>SR2.PH.ZZ</x:t>
  </x:si>
  <x:si>
    <x:t>- - - - - Training of engaging in general interpersonal interactions, not elsewhere classified</x:t>
  </x:si>
  <x:si>
    <x:t>http://id.who.int/icd/entity/1175356232</x:t>
  </x:si>
  <x:si>
    <x:t>http://id.who.int/icd/release/11/beta/ichi/1175356232</x:t>
  </x:si>
  <x:si>
    <x:t>SR2.PM.ZZ</x:t>
  </x:si>
  <x:si>
    <x:t>- - - - - Education about engaging in general interpersonal interactions, not elsewhere classified</x:t>
  </x:si>
  <x:si>
    <x:t>http://id.who.int/icd/entity/1127918774</x:t>
  </x:si>
  <x:si>
    <x:t>http://id.who.int/icd/release/11/beta/ichi/1127918774</x:t>
  </x:si>
  <x:si>
    <x:t>SR2.PN.ZZ</x:t>
  </x:si>
  <x:si>
    <x:t>- - - - - Advising about engaging in general interpersonal interactions, not elsewhere classified</x:t>
  </x:si>
  <x:si>
    <x:t>http://id.who.int/icd/entity/867698491</x:t>
  </x:si>
  <x:si>
    <x:t>http://id.who.int/icd/release/11/beta/ichi/867698491</x:t>
  </x:si>
  <x:si>
    <x:t>SR2.PP.ZZ</x:t>
  </x:si>
  <x:si>
    <x:t>- - - - - Counselling about engaging in general interpersonal interactions, not elsewhere classified</x:t>
  </x:si>
  <x:si>
    <x:t>http://id.who.int/icd/entity/486079893</x:t>
  </x:si>
  <x:si>
    <x:t>http://id.who.int/icd/release/11/beta/ichi/486079893</x:t>
  </x:si>
  <x:si>
    <x:t>SR2.RC.ZZ</x:t>
  </x:si>
  <x:si>
    <x:t>- - - - - Emotional support for engaging in general interpersonal interactions, not elsewhere classified</x:t>
  </x:si>
  <x:si>
    <x:t>http://id.who.int/icd/entity/652280067</x:t>
  </x:si>
  <x:si>
    <x:t>http://id.who.int/icd/release/11/beta/ichi/652280067</x:t>
  </x:si>
  <x:si>
    <x:t>SRC.AA.ZZ</x:t>
  </x:si>
  <x:si>
    <x:t>- - - - - Assessment of engaging in basic interpersonal interactions</x:t>
  </x:si>
  <x:si>
    <x:t>http://id.who.int/icd/entity/2032357408</x:t>
  </x:si>
  <x:si>
    <x:t>http://id.who.int/icd/release/11/beta/ichi/2032357408</x:t>
  </x:si>
  <x:si>
    <x:t>SRC.AC.ZZ</x:t>
  </x:si>
  <x:si>
    <x:t>- - - - - Test of engaging in basic interpersonal interactions</x:t>
  </x:si>
  <x:si>
    <x:t>http://id.who.int/icd/entity/164295075</x:t>
  </x:si>
  <x:si>
    <x:t>http://id.who.int/icd/release/11/beta/ichi/164295075</x:t>
  </x:si>
  <x:si>
    <x:t>SRC.AM.ZZ</x:t>
  </x:si>
  <x:si>
    <x:t>- - - - - Observation of engaging in basic interpersonal interactions</x:t>
  </x:si>
  <x:si>
    <x:t>http://id.who.int/icd/entity/47116047</x:t>
  </x:si>
  <x:si>
    <x:t>http://id.who.int/icd/release/11/beta/ichi/47116047</x:t>
  </x:si>
  <x:si>
    <x:t>SRC.AN.ZZ</x:t>
  </x:si>
  <x:si>
    <x:t>- - - - - Interview in relation to engaging in basic interpersonal interactions</x:t>
  </x:si>
  <x:si>
    <x:t>http://id.who.int/icd/entity/1443405952</x:t>
  </x:si>
  <x:si>
    <x:t>http://id.who.int/icd/release/11/beta/ichi/1443405952</x:t>
  </x:si>
  <x:si>
    <x:t>SRC.PH.ZZ</x:t>
  </x:si>
  <x:si>
    <x:t>- - - - - Training in engaging in basic interpersonal interactions</x:t>
  </x:si>
  <x:si>
    <x:t>http://id.who.int/icd/entity/55006927</x:t>
  </x:si>
  <x:si>
    <x:t>http://id.who.int/icd/release/11/beta/ichi/55006927</x:t>
  </x:si>
  <x:si>
    <x:t>SRC.PM.ZZ</x:t>
  </x:si>
  <x:si>
    <x:t>- - - - - Education about engaging in basic interpersonal interactions</x:t>
  </x:si>
  <x:si>
    <x:t>http://id.who.int/icd/entity/738700385</x:t>
  </x:si>
  <x:si>
    <x:t>http://id.who.int/icd/release/11/beta/ichi/738700385</x:t>
  </x:si>
  <x:si>
    <x:t>SRC.PN.ZZ</x:t>
  </x:si>
  <x:si>
    <x:t>- - - - - Advising about engaging in basic interpersonal interactions</x:t>
  </x:si>
  <x:si>
    <x:t>http://id.who.int/icd/entity/1552222188</x:t>
  </x:si>
  <x:si>
    <x:t>http://id.who.int/icd/release/11/beta/ichi/1552222188</x:t>
  </x:si>
  <x:si>
    <x:t>SRC.PP.ZZ</x:t>
  </x:si>
  <x:si>
    <x:t>- - - - - Counselling about engaging in basic interpersonal interactions</x:t>
  </x:si>
  <x:si>
    <x:t>http://id.who.int/icd/entity/701922063</x:t>
  </x:si>
  <x:si>
    <x:t>http://id.who.int/icd/release/11/beta/ichi/701922063</x:t>
  </x:si>
  <x:si>
    <x:t>SRC.RC.ZZ</x:t>
  </x:si>
  <x:si>
    <x:t>- - - - - Emotional support for engaging in basic interpersonal interactions</x:t>
  </x:si>
  <x:si>
    <x:t>http://id.who.int/icd/entity/1458395152</x:t>
  </x:si>
  <x:si>
    <x:t>http://id.who.int/icd/release/11/beta/ichi/1458395152</x:t>
  </x:si>
  <x:si>
    <x:t>SRD.AA.ZZ</x:t>
  </x:si>
  <x:si>
    <x:t>- - - - - Assessment of engaging in complex interpersonal interactions</x:t>
  </x:si>
  <x:si>
    <x:t>http://id.who.int/icd/entity/949312377</x:t>
  </x:si>
  <x:si>
    <x:t>http://id.who.int/icd/release/11/beta/ichi/949312377</x:t>
  </x:si>
  <x:si>
    <x:t>SRD.AC.ZZ</x:t>
  </x:si>
  <x:si>
    <x:t>- - - - - Test of engaging in complex interpersonal interactions</x:t>
  </x:si>
  <x:si>
    <x:t>http://id.who.int/icd/entity/593222755</x:t>
  </x:si>
  <x:si>
    <x:t>http://id.who.int/icd/release/11/beta/ichi/593222755</x:t>
  </x:si>
  <x:si>
    <x:t>SRD.AM.ZZ</x:t>
  </x:si>
  <x:si>
    <x:t>- - - - - Observation of engaging in complex interpersonal interactions</x:t>
  </x:si>
  <x:si>
    <x:t>http://id.who.int/icd/entity/958194361</x:t>
  </x:si>
  <x:si>
    <x:t>http://id.who.int/icd/release/11/beta/ichi/958194361</x:t>
  </x:si>
  <x:si>
    <x:t>SRD.AN.ZZ</x:t>
  </x:si>
  <x:si>
    <x:t>- - - - - Interview in relation to engaging in complex interpersonal interactions</x:t>
  </x:si>
  <x:si>
    <x:t>http://id.who.int/icd/entity/840498197</x:t>
  </x:si>
  <x:si>
    <x:t>http://id.who.int/icd/release/11/beta/ichi/840498197</x:t>
  </x:si>
  <x:si>
    <x:t>SRD.PH.ZZ</x:t>
  </x:si>
  <x:si>
    <x:t>- - - - - Training in engaging in complex interpersonal interactions</x:t>
  </x:si>
  <x:si>
    <x:t>http://id.who.int/icd/entity/603745299</x:t>
  </x:si>
  <x:si>
    <x:t>http://id.who.int/icd/release/11/beta/ichi/603745299</x:t>
  </x:si>
  <x:si>
    <x:t>SRD.PM.ZZ</x:t>
  </x:si>
  <x:si>
    <x:t>- - - - - Education about engaging in complex interpersonal interactions</x:t>
  </x:si>
  <x:si>
    <x:t>http://id.who.int/icd/entity/1556565774</x:t>
  </x:si>
  <x:si>
    <x:t>http://id.who.int/icd/release/11/beta/ichi/1556565774</x:t>
  </x:si>
  <x:si>
    <x:t>SRD.PN.ZZ</x:t>
  </x:si>
  <x:si>
    <x:t>- - - - - Advising about engaging in complex interpersonal interactions</x:t>
  </x:si>
  <x:si>
    <x:t>http://id.who.int/icd/entity/452688992</x:t>
  </x:si>
  <x:si>
    <x:t>http://id.who.int/icd/release/11/beta/ichi/452688992</x:t>
  </x:si>
  <x:si>
    <x:t>SRD.PP.ZZ</x:t>
  </x:si>
  <x:si>
    <x:t>- - - - - Counselling about engaging in complex interpersonal interactions</x:t>
  </x:si>
  <x:si>
    <x:t>http://id.who.int/icd/entity/1786370029</x:t>
  </x:si>
  <x:si>
    <x:t>http://id.who.int/icd/release/11/beta/ichi/1786370029</x:t>
  </x:si>
  <x:si>
    <x:t>SRD.RC.ZZ</x:t>
  </x:si>
  <x:si>
    <x:t>- - - - - Emotional support for engaging in complex interpersonal interactions</x:t>
  </x:si>
  <x:si>
    <x:t>http://id.who.int/icd/entity/1707106175</x:t>
  </x:si>
  <x:si>
    <x:t>http://id.who.int/icd/release/11/beta/ichi/1707106175</x:t>
  </x:si>
  <x:si>
    <x:t>BlockL4-SS2</x:t>
  </x:si>
  <x:si>
    <x:t>- - - - Interventions on engaging in particular interpersonal relationships</x:t>
  </x:si>
  <x:si>
    <x:t>58</x:t>
  </x:si>
  <x:si>
    <x:t>http://id.who.int/icd/entity/1161375043</x:t>
  </x:si>
  <x:si>
    <x:t>http://id.who.int/icd/release/11/beta/ichi/1161375043</x:t>
  </x:si>
  <x:si>
    <x:t>SS2.AA.ZZ</x:t>
  </x:si>
  <x:si>
    <x:t>- - - - - Assessment of engaging in particular interpersonal relationships, not elsewhere classified</x:t>
  </x:si>
  <x:si>
    <x:t>http://id.who.int/icd/entity/1074594493</x:t>
  </x:si>
  <x:si>
    <x:t>http://id.who.int/icd/release/11/beta/ichi/1074594493</x:t>
  </x:si>
  <x:si>
    <x:t>SS2.AC.ZZ</x:t>
  </x:si>
  <x:si>
    <x:t>- - - - - Test of engaging in particular interpersonal relationships, not elsewhere classified</x:t>
  </x:si>
  <x:si>
    <x:t>http://id.who.int/icd/entity/1867380755</x:t>
  </x:si>
  <x:si>
    <x:t>http://id.who.int/icd/release/11/beta/ichi/1867380755</x:t>
  </x:si>
  <x:si>
    <x:t>SS2.AM.ZZ</x:t>
  </x:si>
  <x:si>
    <x:t>- - - - - Observation of engaging in particular interpersonal relationships, not elsewhere classified</x:t>
  </x:si>
  <x:si>
    <x:t>http://id.who.int/icd/entity/1248156993</x:t>
  </x:si>
  <x:si>
    <x:t>http://id.who.int/icd/release/11/beta/ichi/1248156993</x:t>
  </x:si>
  <x:si>
    <x:t>SS2.PH.ZZ</x:t>
  </x:si>
  <x:si>
    <x:t>- - - - - Training in engaging in particular interpersonal relationships, not elsewhere classified</x:t>
  </x:si>
  <x:si>
    <x:t>http://id.who.int/icd/entity/605904424</x:t>
  </x:si>
  <x:si>
    <x:t>http://id.who.int/icd/release/11/beta/ichi/605904424</x:t>
  </x:si>
  <x:si>
    <x:t>SS2.PM.ZZ</x:t>
  </x:si>
  <x:si>
    <x:t>- - - - - Education about engaging in particular interpersonal relationships, not elsewhere classified</x:t>
  </x:si>
  <x:si>
    <x:t>http://id.who.int/icd/entity/363269218</x:t>
  </x:si>
  <x:si>
    <x:t>http://id.who.int/icd/release/11/beta/ichi/363269218</x:t>
  </x:si>
  <x:si>
    <x:t>SS2.PN.ZZ</x:t>
  </x:si>
  <x:si>
    <x:t>- - - - - Advising about engaging in particular interpersonal relationship, not elsewhere classified</x:t>
  </x:si>
  <x:si>
    <x:t>http://id.who.int/icd/entity/630515690</x:t>
  </x:si>
  <x:si>
    <x:t>http://id.who.int/icd/release/11/beta/ichi/630515690</x:t>
  </x:si>
  <x:si>
    <x:t>SS2.PP.ZZ</x:t>
  </x:si>
  <x:si>
    <x:t>- - - - - Counselling about engaging in particular interpersonal relationships, not elsewhere classified</x:t>
  </x:si>
  <x:si>
    <x:t>http://id.who.int/icd/entity/781252932</x:t>
  </x:si>
  <x:si>
    <x:t>http://id.who.int/icd/release/11/beta/ichi/781252932</x:t>
  </x:si>
  <x:si>
    <x:t>SS2.PQ.ZZ</x:t>
  </x:si>
  <x:si>
    <x:t>- - - - - Psychotherapy for engaging in particular interpersonal relationships, not elsewhere classified</x:t>
  </x:si>
  <x:si>
    <x:t>http://id.who.int/icd/entity/2052503243</x:t>
  </x:si>
  <x:si>
    <x:t>http://id.who.int/icd/release/11/beta/ichi/2052503243</x:t>
  </x:si>
  <x:si>
    <x:t>SS2.RB.ZZ</x:t>
  </x:si>
  <x:si>
    <x:t>- - - - - Practical support with engaging in particular interpersonal relationships, not elsewhere classified</x:t>
  </x:si>
  <x:si>
    <x:t>http://id.who.int/icd/entity/1078938205</x:t>
  </x:si>
  <x:si>
    <x:t>http://id.who.int/icd/release/11/beta/ichi/1078938205</x:t>
  </x:si>
  <x:si>
    <x:t>SS2.RC.ZZ</x:t>
  </x:si>
  <x:si>
    <x:t>- - - - - Emotional support for engaging in particular interpersonal relationships, not elsewhere classified</x:t>
  </x:si>
  <x:si>
    <x:t>http://id.who.int/icd/entity/1863299315</x:t>
  </x:si>
  <x:si>
    <x:t>http://id.who.int/icd/release/11/beta/ichi/1863299315</x:t>
  </x:si>
  <x:si>
    <x:t>SSA.AA.ZZ</x:t>
  </x:si>
  <x:si>
    <x:t>- - - - - Assessment of relating with strangers</x:t>
  </x:si>
  <x:si>
    <x:t>http://id.who.int/icd/entity/529341312</x:t>
  </x:si>
  <x:si>
    <x:t>http://id.who.int/icd/release/11/beta/ichi/529341312</x:t>
  </x:si>
  <x:si>
    <x:t>SSA.AC.ZZ</x:t>
  </x:si>
  <x:si>
    <x:t>- - - - - Test of relating with strangers</x:t>
  </x:si>
  <x:si>
    <x:t>http://id.who.int/icd/entity/1516469897</x:t>
  </x:si>
  <x:si>
    <x:t>http://id.who.int/icd/release/11/beta/ichi/1516469897</x:t>
  </x:si>
  <x:si>
    <x:t>SSA.AM.ZZ</x:t>
  </x:si>
  <x:si>
    <x:t>- - - - - Observation of relating with strangers</x:t>
  </x:si>
  <x:si>
    <x:t>http://id.who.int/icd/entity/626548120</x:t>
  </x:si>
  <x:si>
    <x:t>http://id.who.int/icd/release/11/beta/ichi/626548120</x:t>
  </x:si>
  <x:si>
    <x:t>SSA.PH.ZZ</x:t>
  </x:si>
  <x:si>
    <x:t>- - - - - Training in relating with strangers</x:t>
  </x:si>
  <x:si>
    <x:t>http://id.who.int/icd/entity/1260412671</x:t>
  </x:si>
  <x:si>
    <x:t>http://id.who.int/icd/release/11/beta/ichi/1260412671</x:t>
  </x:si>
  <x:si>
    <x:t>SSA.PM.ZZ</x:t>
  </x:si>
  <x:si>
    <x:t>- - - - - Education about relating with strangers</x:t>
  </x:si>
  <x:si>
    <x:t>http://id.who.int/icd/entity/1357830629</x:t>
  </x:si>
  <x:si>
    <x:t>http://id.who.int/icd/release/11/beta/ichi/1357830629</x:t>
  </x:si>
  <x:si>
    <x:t>SSA.PN.ZZ</x:t>
  </x:si>
  <x:si>
    <x:t>- - - - - Advising about relating with strangers</x:t>
  </x:si>
  <x:si>
    <x:t>http://id.who.int/icd/entity/1252648767</x:t>
  </x:si>
  <x:si>
    <x:t>http://id.who.int/icd/release/11/beta/ichi/1252648767</x:t>
  </x:si>
  <x:si>
    <x:t>SSA.PP.ZZ</x:t>
  </x:si>
  <x:si>
    <x:t>- - - - - Counselling about relating with strangers</x:t>
  </x:si>
  <x:si>
    <x:t>http://id.who.int/icd/entity/1101920659</x:t>
  </x:si>
  <x:si>
    <x:t>http://id.who.int/icd/release/11/beta/ichi/1101920659</x:t>
  </x:si>
  <x:si>
    <x:t>SSA.RB.ZZ</x:t>
  </x:si>
  <x:si>
    <x:t>- - - - - Practical support with relating with strangers</x:t>
  </x:si>
  <x:si>
    <x:t>http://id.who.int/icd/entity/1333276753</x:t>
  </x:si>
  <x:si>
    <x:t>http://id.who.int/icd/release/11/beta/ichi/1333276753</x:t>
  </x:si>
  <x:si>
    <x:t>SSA.RC.ZZ</x:t>
  </x:si>
  <x:si>
    <x:t>- - - - - Emotional support for relating with strangers</x:t>
  </x:si>
  <x:si>
    <x:t>http://id.who.int/icd/entity/809702224</x:t>
  </x:si>
  <x:si>
    <x:t>http://id.who.int/icd/release/11/beta/ichi/809702224</x:t>
  </x:si>
  <x:si>
    <x:t>SSD.AA.ZZ</x:t>
  </x:si>
  <x:si>
    <x:t>- - - - - Assessment of engaging in formal relationships</x:t>
  </x:si>
  <x:si>
    <x:t>http://id.who.int/icd/entity/897006770</x:t>
  </x:si>
  <x:si>
    <x:t>http://id.who.int/icd/release/11/beta/ichi/897006770</x:t>
  </x:si>
  <x:si>
    <x:t>SSD.AC.ZZ</x:t>
  </x:si>
  <x:si>
    <x:t>- - - - - Test of engaging in formal relationships</x:t>
  </x:si>
  <x:si>
    <x:t>http://id.who.int/icd/entity/1173722941</x:t>
  </x:si>
  <x:si>
    <x:t>http://id.who.int/icd/release/11/beta/ichi/1173722941</x:t>
  </x:si>
  <x:si>
    <x:t>SSD.PH.ZZ</x:t>
  </x:si>
  <x:si>
    <x:t>- - - - - Training in engaging in formal relationships</x:t>
  </x:si>
  <x:si>
    <x:t>http://id.who.int/icd/entity/1790274963</x:t>
  </x:si>
  <x:si>
    <x:t>http://id.who.int/icd/release/11/beta/ichi/1790274963</x:t>
  </x:si>
  <x:si>
    <x:t>SSD.PN.ZZ</x:t>
  </x:si>
  <x:si>
    <x:t>- - - - - Advising about engaging in formal relationships</x:t>
  </x:si>
  <x:si>
    <x:t>http://id.who.int/icd/entity/1353486597</x:t>
  </x:si>
  <x:si>
    <x:t>http://id.who.int/icd/release/11/beta/ichi/1353486597</x:t>
  </x:si>
  <x:si>
    <x:t>SSD.PP.ZZ</x:t>
  </x:si>
  <x:si>
    <x:t>- - - - - Counselling about engaging in formal relationships</x:t>
  </x:si>
  <x:si>
    <x:t>http://id.who.int/icd/entity/1054118510</x:t>
  </x:si>
  <x:si>
    <x:t>http://id.who.int/icd/release/11/beta/ichi/1054118510</x:t>
  </x:si>
  <x:si>
    <x:t>SSD.RB.ZZ</x:t>
  </x:si>
  <x:si>
    <x:t>- - - - - Practical support with engaging in formal relationships</x:t>
  </x:si>
  <x:si>
    <x:t>http://id.who.int/icd/entity/258916392</x:t>
  </x:si>
  <x:si>
    <x:t>http://id.who.int/icd/release/11/beta/ichi/258916392</x:t>
  </x:si>
  <x:si>
    <x:t>SSD.RC.ZZ</x:t>
  </x:si>
  <x:si>
    <x:t>- - - - - Emotional support for engaging in formal relationships</x:t>
  </x:si>
  <x:si>
    <x:t>http://id.who.int/icd/entity/740038994</x:t>
  </x:si>
  <x:si>
    <x:t>http://id.who.int/icd/release/11/beta/ichi/740038994</x:t>
  </x:si>
  <x:si>
    <x:t>SSG.AA.ZZ</x:t>
  </x:si>
  <x:si>
    <x:t>- - - - - Assessment of engaging in informal social relationships</x:t>
  </x:si>
  <x:si>
    <x:t>http://id.who.int/icd/entity/655886332</x:t>
  </x:si>
  <x:si>
    <x:t>http://id.who.int/icd/release/11/beta/ichi/655886332</x:t>
  </x:si>
  <x:si>
    <x:t>SSG.AC.ZZ</x:t>
  </x:si>
  <x:si>
    <x:t>- - - - - Test of engaging in informal social relationships</x:t>
  </x:si>
  <x:si>
    <x:t>http://id.who.int/icd/entity/1943947379</x:t>
  </x:si>
  <x:si>
    <x:t>http://id.who.int/icd/release/11/beta/ichi/1943947379</x:t>
  </x:si>
  <x:si>
    <x:t>SSG.AM.ZZ</x:t>
  </x:si>
  <x:si>
    <x:t>- - - - - Observation of engaging in informal social relationships</x:t>
  </x:si>
  <x:si>
    <x:t>http://id.who.int/icd/entity/647085630</x:t>
  </x:si>
  <x:si>
    <x:t>http://id.who.int/icd/release/11/beta/ichi/647085630</x:t>
  </x:si>
  <x:si>
    <x:t>SSG.PH.ZZ</x:t>
  </x:si>
  <x:si>
    <x:t>- - - - - Training in engaging in informal social relationships</x:t>
  </x:si>
  <x:si>
    <x:t>http://id.who.int/icd/entity/164709522</x:t>
  </x:si>
  <x:si>
    <x:t>http://id.who.int/icd/release/11/beta/ichi/164709522</x:t>
  </x:si>
  <x:si>
    <x:t>SSG.PM.ZZ</x:t>
  </x:si>
  <x:si>
    <x:t>- - - - - Education about engaging in informal social relationships</x:t>
  </x:si>
  <x:si>
    <x:t>http://id.who.int/icd/entity/2035543839</x:t>
  </x:si>
  <x:si>
    <x:t>http://id.who.int/icd/release/11/beta/ichi/2035543839</x:t>
  </x:si>
  <x:si>
    <x:t>SSG.PN.ZZ</x:t>
  </x:si>
  <x:si>
    <x:t>- - - - - Advising about engaging in informal social relationships</x:t>
  </x:si>
  <x:si>
    <x:t>http://id.who.int/icd/entity/201364476</x:t>
  </x:si>
  <x:si>
    <x:t>http://id.who.int/icd/release/11/beta/ichi/201364476</x:t>
  </x:si>
  <x:si>
    <x:t>SSG.PP.ZZ</x:t>
  </x:si>
  <x:si>
    <x:t>- - - - - Counselling about engaging in informal social relationships</x:t>
  </x:si>
  <x:si>
    <x:t>http://id.who.int/icd/entity/1933291747</x:t>
  </x:si>
  <x:si>
    <x:t>http://id.who.int/icd/release/11/beta/ichi/1933291747</x:t>
  </x:si>
  <x:si>
    <x:t>SSG.RB.ZZ</x:t>
  </x:si>
  <x:si>
    <x:t>- - - - - Practical support with engaging in informal social relationships</x:t>
  </x:si>
  <x:si>
    <x:t>http://id.who.int/icd/entity/490976140</x:t>
  </x:si>
  <x:si>
    <x:t>http://id.who.int/icd/release/11/beta/ichi/490976140</x:t>
  </x:si>
  <x:si>
    <x:t>SSG.RC.ZZ</x:t>
  </x:si>
  <x:si>
    <x:t>- - - - - Emotional support for engaging in informal social relationships</x:t>
  </x:si>
  <x:si>
    <x:t>http://id.who.int/icd/entity/109917328</x:t>
  </x:si>
  <x:si>
    <x:t>http://id.who.int/icd/release/11/beta/ichi/109917328</x:t>
  </x:si>
  <x:si>
    <x:t>SSJ.AA.ZZ</x:t>
  </x:si>
  <x:si>
    <x:t>- - - - - Assessment of engaging in family relationships</x:t>
  </x:si>
  <x:si>
    <x:t>http://id.who.int/icd/entity/483002954</x:t>
  </x:si>
  <x:si>
    <x:t>http://id.who.int/icd/release/11/beta/ichi/483002954</x:t>
  </x:si>
  <x:si>
    <x:t>SSJ.AC.ZZ</x:t>
  </x:si>
  <x:si>
    <x:t>- - - - - Test of engaging in family relationships</x:t>
  </x:si>
  <x:si>
    <x:t>http://id.who.int/icd/entity/399381736</x:t>
  </x:si>
  <x:si>
    <x:t>http://id.who.int/icd/release/11/beta/ichi/399381736</x:t>
  </x:si>
  <x:si>
    <x:t>SSJ.AM.ZZ</x:t>
  </x:si>
  <x:si>
    <x:t>- - - - - Observation of engaging in family relationships</x:t>
  </x:si>
  <x:si>
    <x:t>http://id.who.int/icd/entity/103449826</x:t>
  </x:si>
  <x:si>
    <x:t>http://id.who.int/icd/release/11/beta/ichi/103449826</x:t>
  </x:si>
  <x:si>
    <x:t>SSJ.AN.ZZ</x:t>
  </x:si>
  <x:si>
    <x:t>- - - - - Interview in relation to engaging in family relationships</x:t>
  </x:si>
  <x:si>
    <x:t>http://id.who.int/icd/entity/2031200255</x:t>
  </x:si>
  <x:si>
    <x:t>http://id.who.int/icd/release/11/beta/ichi/2031200255</x:t>
  </x:si>
  <x:si>
    <x:t>SSJ.PH.ZZ</x:t>
  </x:si>
  <x:si>
    <x:t>- - - - - Training in engaging in family relationship</x:t>
  </x:si>
  <x:si>
    <x:t>http://id.who.int/icd/entity/1023394314</x:t>
  </x:si>
  <x:si>
    <x:t>http://id.who.int/icd/release/11/beta/ichi/1023394314</x:t>
  </x:si>
  <x:si>
    <x:t>SSJ.PM.ZZ</x:t>
  </x:si>
  <x:si>
    <x:t>- - - - - Education about engaging in family relationships</x:t>
  </x:si>
  <x:si>
    <x:t>http://id.who.int/icd/entity/1992500579</x:t>
  </x:si>
  <x:si>
    <x:t>http://id.who.int/icd/release/11/beta/ichi/1992500579</x:t>
  </x:si>
  <x:si>
    <x:t>SSJ.PN.ZZ</x:t>
  </x:si>
  <x:si>
    <x:t>- - - - - Advising about engaging in family relationships</x:t>
  </x:si>
  <x:si>
    <x:t>http://id.who.int/icd/entity/414918156</x:t>
  </x:si>
  <x:si>
    <x:t>http://id.who.int/icd/release/11/beta/ichi/414918156</x:t>
  </x:si>
  <x:si>
    <x:t>SSJ.PP.ZZ</x:t>
  </x:si>
  <x:si>
    <x:t>- - - - - Counselling about engaging in family relationships</x:t>
  </x:si>
  <x:si>
    <x:t>http://id.who.int/icd/entity/58040592</x:t>
  </x:si>
  <x:si>
    <x:t>http://id.who.int/icd/release/11/beta/ichi/58040592</x:t>
  </x:si>
  <x:si>
    <x:t>SSJ.PQ.ZZ</x:t>
  </x:si>
  <x:si>
    <x:t>- - - - - Psychotherapy for engaging in family relationships</x:t>
  </x:si>
  <x:si>
    <x:t>http://id.who.int/icd/entity/969666040</x:t>
  </x:si>
  <x:si>
    <x:t>http://id.who.int/icd/release/11/beta/ichi/969666040</x:t>
  </x:si>
  <x:si>
    <x:t>SSJ.RB.ZZ</x:t>
  </x:si>
  <x:si>
    <x:t>- - - - - Practical support with engaging in family relationships</x:t>
  </x:si>
  <x:si>
    <x:t>http://id.who.int/icd/entity/1285067029</x:t>
  </x:si>
  <x:si>
    <x:t>http://id.who.int/icd/release/11/beta/ichi/1285067029</x:t>
  </x:si>
  <x:si>
    <x:t>SSJ.RC.ZZ</x:t>
  </x:si>
  <x:si>
    <x:t>- - - - - Emotional support for engaging in family relationships</x:t>
  </x:si>
  <x:si>
    <x:t>http://id.who.int/icd/entity/1008351898</x:t>
  </x:si>
  <x:si>
    <x:t>http://id.who.int/icd/release/11/beta/ichi/1008351898</x:t>
  </x:si>
  <x:si>
    <x:t>SSJ.TA.ZZ</x:t>
  </x:si>
  <x:si>
    <x:t>- - - - - Advocacy in relation to engaging in family relationships</x:t>
  </x:si>
  <x:si>
    <x:t>http://id.who.int/icd/entity/866365964</x:t>
  </x:si>
  <x:si>
    <x:t>http://id.who.int/icd/release/11/beta/ichi/866365964</x:t>
  </x:si>
  <x:si>
    <x:t>SSK.PM.ZZ</x:t>
  </x:si>
  <x:si>
    <x:t>- - - - - Education about engaging in parent-child relationships</x:t>
  </x:si>
  <x:si>
    <x:t>http://id.who.int/icd/entity/59791744</x:t>
  </x:si>
  <x:si>
    <x:t>http://id.who.int/icd/release/11/beta/ichi/59791744</x:t>
  </x:si>
  <x:si>
    <x:t>SSK.RB.ZZ</x:t>
  </x:si>
  <x:si>
    <x:t>- - - - - Practical support with engaging in parent-child relationships</x:t>
  </x:si>
  <x:si>
    <x:t>http://id.who.int/icd/entity/751870768</x:t>
  </x:si>
  <x:si>
    <x:t>http://id.who.int/icd/release/11/beta/ichi/751870768</x:t>
  </x:si>
  <x:si>
    <x:t>SSM.AA.ZZ</x:t>
  </x:si>
  <x:si>
    <x:t>- - - - - Assessment of engaging in intimate relationships</x:t>
  </x:si>
  <x:si>
    <x:t>http://id.who.int/icd/entity/1186104841</x:t>
  </x:si>
  <x:si>
    <x:t>http://id.who.int/icd/release/11/beta/ichi/1186104841</x:t>
  </x:si>
  <x:si>
    <x:t>SSM.AC.ZZ</x:t>
  </x:si>
  <x:si>
    <x:t>- - - - - Test of engaging in intimate relationships</x:t>
  </x:si>
  <x:si>
    <x:t>http://id.who.int/icd/entity/1303812261</x:t>
  </x:si>
  <x:si>
    <x:t>http://id.who.int/icd/release/11/beta/ichi/1303812261</x:t>
  </x:si>
  <x:si>
    <x:t>SSM.AM.ZZ</x:t>
  </x:si>
  <x:si>
    <x:t>- - - - - Observation of engaging in intimate relationships</x:t>
  </x:si>
  <x:si>
    <x:t>http://id.who.int/icd/entity/426825516</x:t>
  </x:si>
  <x:si>
    <x:t>http://id.who.int/icd/release/11/beta/ichi/426825516</x:t>
  </x:si>
  <x:si>
    <x:t>SSM.PM.ZZ</x:t>
  </x:si>
  <x:si>
    <x:t>- - - - - Education about engaging in intimate relationships</x:t>
  </x:si>
  <x:si>
    <x:t>http://id.who.int/icd/entity/232501218</x:t>
  </x:si>
  <x:si>
    <x:t>http://id.who.int/icd/release/11/beta/ichi/232501218</x:t>
  </x:si>
  <x:si>
    <x:t>SSM.PN.ZZ</x:t>
  </x:si>
  <x:si>
    <x:t>- - - - - Advising about engaging in intimate relationships</x:t>
  </x:si>
  <x:si>
    <x:t>http://id.who.int/icd/entity/39987060</x:t>
  </x:si>
  <x:si>
    <x:t>http://id.who.int/icd/release/11/beta/ichi/39987060</x:t>
  </x:si>
  <x:si>
    <x:t>SSM.PP.ZZ</x:t>
  </x:si>
  <x:si>
    <x:t>- - - - - Counselling about engaging in intimate relationships</x:t>
  </x:si>
  <x:si>
    <x:t>http://id.who.int/icd/entity/1462620477</x:t>
  </x:si>
  <x:si>
    <x:t>http://id.who.int/icd/release/11/beta/ichi/1462620477</x:t>
  </x:si>
  <x:si>
    <x:t>SSM.PQ.ZZ</x:t>
  </x:si>
  <x:si>
    <x:t>- - - - - Psychotherapy for engaging in intimate relationships</x:t>
  </x:si>
  <x:si>
    <x:t>http://id.who.int/icd/entity/430743656</x:t>
  </x:si>
  <x:si>
    <x:t>http://id.who.int/icd/release/11/beta/ichi/430743656</x:t>
  </x:si>
  <x:si>
    <x:t>SSM.RB.ZZ</x:t>
  </x:si>
  <x:si>
    <x:t>- - - - - Practical support with engaging in intimate relationships</x:t>
  </x:si>
  <x:si>
    <x:t>http://id.who.int/icd/entity/1298853863</x:t>
  </x:si>
  <x:si>
    <x:t>http://id.who.int/icd/release/11/beta/ichi/1298853863</x:t>
  </x:si>
  <x:si>
    <x:t>SSM.RC.ZZ</x:t>
  </x:si>
  <x:si>
    <x:t>- - - - - Emotional support for engaging in intimate relationships</x:t>
  </x:si>
  <x:si>
    <x:t>http://id.who.int/icd/entity/415293754</x:t>
  </x:si>
  <x:si>
    <x:t>http://id.who.int/icd/release/11/beta/ichi/415293754</x:t>
  </x:si>
  <x:si>
    <x:t>BlockL3-ST1</x:t>
  </x:si>
  <x:si>
    <x:t>- - - Interventions on major life areas</x:t>
  </x:si>
  <x:si>
    <x:t>http://id.who.int/icd/entity/1191358491</x:t>
  </x:si>
  <x:si>
    <x:t>http://id.who.int/icd/release/11/beta/ichi/1191358491</x:t>
  </x:si>
  <x:si>
    <x:t>BlockL4-ST1</x:t>
  </x:si>
  <x:si>
    <x:t>- - - - Interventions on major life areas: education</x:t>
  </x:si>
  <x:si>
    <x:t>66</x:t>
  </x:si>
  <x:si>
    <x:t>http://id.who.int/icd/entity/1749174965</x:t>
  </x:si>
  <x:si>
    <x:t>http://id.who.int/icd/release/11/beta/ichi/1749174965</x:t>
  </x:si>
  <x:si>
    <x:t>ST1.AA.ZZ</x:t>
  </x:si>
  <x:si>
    <x:t>- - - - - Assessment of engaging in major life areas, unspecified</x:t>
  </x:si>
  <x:si>
    <x:t>http://id.who.int/icd/entity/1472735661</x:t>
  </x:si>
  <x:si>
    <x:t>http://id.who.int/icd/release/11/beta/ichi/1472735661</x:t>
  </x:si>
  <x:si>
    <x:t>ST1.AC.ZZ</x:t>
  </x:si>
  <x:si>
    <x:t>- - - - - Test of engaging in major life areas, unspecified</x:t>
  </x:si>
  <x:si>
    <x:t>http://id.who.int/icd/entity/687016626</x:t>
  </x:si>
  <x:si>
    <x:t>http://id.who.int/icd/release/11/beta/ichi/687016626</x:t>
  </x:si>
  <x:si>
    <x:t>ST1.AM.ZZ</x:t>
  </x:si>
  <x:si>
    <x:t>- - - - - Observation of engaging in major life areas, unspecified</x:t>
  </x:si>
  <x:si>
    <x:t>http://id.who.int/icd/entity/2006379489</x:t>
  </x:si>
  <x:si>
    <x:t>http://id.who.int/icd/release/11/beta/ichi/2006379489</x:t>
  </x:si>
  <x:si>
    <x:t>ST1.PH.ZZ</x:t>
  </x:si>
  <x:si>
    <x:t>- - - - - Training in engaging in major life areas, unspecified</x:t>
  </x:si>
  <x:si>
    <x:t>http://id.who.int/icd/entity/1034554508</x:t>
  </x:si>
  <x:si>
    <x:t>http://id.who.int/icd/release/11/beta/ichi/1034554508</x:t>
  </x:si>
  <x:si>
    <x:t>ST1.PM.ZZ</x:t>
  </x:si>
  <x:si>
    <x:t>- - - - - Education about engaging in major life areas, unspecified</x:t>
  </x:si>
  <x:si>
    <x:t>http://id.who.int/icd/entity/2017749373</x:t>
  </x:si>
  <x:si>
    <x:t>http://id.who.int/icd/release/11/beta/ichi/2017749373</x:t>
  </x:si>
  <x:si>
    <x:t>ST1.PN.ZZ</x:t>
  </x:si>
  <x:si>
    <x:t>- - - - - Advising about engaging in major life areas, unspecified</x:t>
  </x:si>
  <x:si>
    <x:t>http://id.who.int/icd/entity/846761494</x:t>
  </x:si>
  <x:si>
    <x:t>http://id.who.int/icd/release/11/beta/ichi/846761494</x:t>
  </x:si>
  <x:si>
    <x:t>ST1.PP.ZZ</x:t>
  </x:si>
  <x:si>
    <x:t>- - - - - Counselling about engaging in major life areas, unspecified</x:t>
  </x:si>
  <x:si>
    <x:t>http://id.who.int/icd/entity/1288312009</x:t>
  </x:si>
  <x:si>
    <x:t>http://id.who.int/icd/release/11/beta/ichi/1288312009</x:t>
  </x:si>
  <x:si>
    <x:t>ST1.RA.ZZ</x:t>
  </x:si>
  <x:si>
    <x:t>- - - - - Performing the task of major life areas, unspecified</x:t>
  </x:si>
  <x:si>
    <x:t>http://id.who.int/icd/entity/2104510083</x:t>
  </x:si>
  <x:si>
    <x:t>http://id.who.int/icd/release/11/beta/ichi/2104510083</x:t>
  </x:si>
  <x:si>
    <x:t>ST1.RB.ZZ</x:t>
  </x:si>
  <x:si>
    <x:t>- - - - - Practical support with engaging in major life areas, unspecified</x:t>
  </x:si>
  <x:si>
    <x:t>http://id.who.int/icd/entity/136526434</x:t>
  </x:si>
  <x:si>
    <x:t>http://id.who.int/icd/release/11/beta/ichi/136526434</x:t>
  </x:si>
  <x:si>
    <x:t>ST1.RC.ZZ</x:t>
  </x:si>
  <x:si>
    <x:t>- - - - - Emotional support for engaging in major life areas, unspecified</x:t>
  </x:si>
  <x:si>
    <x:t>http://id.who.int/icd/entity/1109384459</x:t>
  </x:si>
  <x:si>
    <x:t>http://id.who.int/icd/release/11/beta/ichi/1109384459</x:t>
  </x:si>
  <x:si>
    <x:t>ST1.RE.ZZ</x:t>
  </x:si>
  <x:si>
    <x:t>- - - - - Provision of peer support for engaging in major life areas, unspecified</x:t>
  </x:si>
  <x:si>
    <x:t>http://id.who.int/icd/entity/1194062581</x:t>
  </x:si>
  <x:si>
    <x:t>http://id.who.int/icd/release/11/beta/ichi/1194062581</x:t>
  </x:si>
  <x:si>
    <x:t>ST1.TA.ZZ</x:t>
  </x:si>
  <x:si>
    <x:t>- - - - - Advocacy in relation to engaging in major life areas, unspecified</x:t>
  </x:si>
  <x:si>
    <x:t>http://id.who.int/icd/entity/940626410</x:t>
  </x:si>
  <x:si>
    <x:t>http://id.who.int/icd/release/11/beta/ichi/940626410</x:t>
  </x:si>
  <x:si>
    <x:t>ST1.ZZ.ZZ</x:t>
  </x:si>
  <x:si>
    <x:t>- - - - - Other interventions on engaging in major life areas, not elsewhere classified</x:t>
  </x:si>
  <x:si>
    <x:t>http://id.who.int/icd/entity/1449710211</x:t>
  </x:si>
  <x:si>
    <x:t>http://id.who.int/icd/release/11/beta/ichi/1449710211</x:t>
  </x:si>
  <x:si>
    <x:t>ST2.AA.ZZ</x:t>
  </x:si>
  <x:si>
    <x:t>- - - - - Assessment of engaging in education, not elsewhere classified</x:t>
  </x:si>
  <x:si>
    <x:t>http://id.who.int/icd/entity/1500965473</x:t>
  </x:si>
  <x:si>
    <x:t>http://id.who.int/icd/release/11/beta/ichi/1500965473</x:t>
  </x:si>
  <x:si>
    <x:t>ST2.AC.ZZ</x:t>
  </x:si>
  <x:si>
    <x:t>- - - - - Test of engaging in education, not elsewhere classified</x:t>
  </x:si>
  <x:si>
    <x:t>http://id.who.int/icd/entity/229680622</x:t>
  </x:si>
  <x:si>
    <x:t>http://id.who.int/icd/release/11/beta/ichi/229680622</x:t>
  </x:si>
  <x:si>
    <x:t>ST2.AM.ZZ</x:t>
  </x:si>
  <x:si>
    <x:t>- - - - - Observation of engaging in education, not elsewhere classified</x:t>
  </x:si>
  <x:si>
    <x:t>http://id.who.int/icd/entity/32208729</x:t>
  </x:si>
  <x:si>
    <x:t>http://id.who.int/icd/release/11/beta/ichi/32208729</x:t>
  </x:si>
  <x:si>
    <x:t>ST2.AN.ZZ</x:t>
  </x:si>
  <x:si>
    <x:t>- - - - - Interview in relation to engaging in education, not elsewhere classified</x:t>
  </x:si>
  <x:si>
    <x:t>http://id.who.int/icd/entity/782994935</x:t>
  </x:si>
  <x:si>
    <x:t>http://id.who.int/icd/release/11/beta/ichi/782994935</x:t>
  </x:si>
  <x:si>
    <x:t>ST2.PH.ZZ</x:t>
  </x:si>
  <x:si>
    <x:t>- - - - - Training in engaging in education, not elsewhere classified</x:t>
  </x:si>
  <x:si>
    <x:t>http://id.who.int/icd/entity/1579755132</x:t>
  </x:si>
  <x:si>
    <x:t>http://id.who.int/icd/release/11/beta/ichi/1579755132</x:t>
  </x:si>
  <x:si>
    <x:t>ST2.PM.ZZ</x:t>
  </x:si>
  <x:si>
    <x:t>- - - - - Education about engaging in education, not elsewhere classified</x:t>
  </x:si>
  <x:si>
    <x:t>http://id.who.int/icd/entity/513304189</x:t>
  </x:si>
  <x:si>
    <x:t>http://id.who.int/icd/release/11/beta/ichi/513304189</x:t>
  </x:si>
  <x:si>
    <x:t>ST2.PN.ZZ</x:t>
  </x:si>
  <x:si>
    <x:t>- - - - - Advising about engaging in education, not elsewhere classified</x:t>
  </x:si>
  <x:si>
    <x:t>http://id.who.int/icd/entity/1420067096</x:t>
  </x:si>
  <x:si>
    <x:t>http://id.who.int/icd/release/11/beta/ichi/1420067096</x:t>
  </x:si>
  <x:si>
    <x:t>ST2.PP.ZZ</x:t>
  </x:si>
  <x:si>
    <x:t>- - - - - Counselling about engaging in education, not elsewhere classified</x:t>
  </x:si>
  <x:si>
    <x:t>http://id.who.int/icd/entity/1905009732</x:t>
  </x:si>
  <x:si>
    <x:t>http://id.who.int/icd/release/11/beta/ichi/1905009732</x:t>
  </x:si>
  <x:si>
    <x:t>ST2.RB.ZZ</x:t>
  </x:si>
  <x:si>
    <x:t>- - - - - Practical support with engaging in education, not elsewhere classified</x:t>
  </x:si>
  <x:si>
    <x:t>http://id.who.int/icd/entity/2117446870</x:t>
  </x:si>
  <x:si>
    <x:t>http://id.who.int/icd/release/11/beta/ichi/2117446870</x:t>
  </x:si>
  <x:si>
    <x:t>ST2.RC.ZZ</x:t>
  </x:si>
  <x:si>
    <x:t>- - - - - Emotional support for engaging in education, not elsewhere classified</x:t>
  </x:si>
  <x:si>
    <x:t>http://id.who.int/icd/entity/1630233182</x:t>
  </x:si>
  <x:si>
    <x:t>http://id.who.int/icd/release/11/beta/ichi/1630233182</x:t>
  </x:si>
  <x:si>
    <x:t>ST2.RF.ZZ</x:t>
  </x:si>
  <x:si>
    <x:t>- - - - - Providing opportunities for engaging in education, not elsewhere classified</x:t>
  </x:si>
  <x:si>
    <x:t>http://id.who.int/icd/entity/273526719</x:t>
  </x:si>
  <x:si>
    <x:t>http://id.who.int/icd/release/11/beta/ichi/273526719</x:t>
  </x:si>
  <x:si>
    <x:t>ST2.TA.ZZ</x:t>
  </x:si>
  <x:si>
    <x:t>- - - - - Advocacy in relation to engaging in education, not elsewhere classified</x:t>
  </x:si>
  <x:si>
    <x:t>http://id.who.int/icd/entity/193144997</x:t>
  </x:si>
  <x:si>
    <x:t>http://id.who.int/icd/release/11/beta/ichi/193144997</x:t>
  </x:si>
  <x:si>
    <x:t>STC.AA.ZZ</x:t>
  </x:si>
  <x:si>
    <x:t>- - - - - Assessment of engaging in informal education</x:t>
  </x:si>
  <x:si>
    <x:t>http://id.who.int/icd/entity/1632026098</x:t>
  </x:si>
  <x:si>
    <x:t>http://id.who.int/icd/release/11/beta/ichi/1632026098</x:t>
  </x:si>
  <x:si>
    <x:t>STC.AM.ZZ</x:t>
  </x:si>
  <x:si>
    <x:t>- - - - - Observation of engaging in informal education</x:t>
  </x:si>
  <x:si>
    <x:t>http://id.who.int/icd/entity/1042504865</x:t>
  </x:si>
  <x:si>
    <x:t>http://id.who.int/icd/release/11/beta/ichi/1042504865</x:t>
  </x:si>
  <x:si>
    <x:t>STC.PM.ZZ</x:t>
  </x:si>
  <x:si>
    <x:t>- - - - - Education about engaging in informal education</x:t>
  </x:si>
  <x:si>
    <x:t>http://id.who.int/icd/entity/291743247</x:t>
  </x:si>
  <x:si>
    <x:t>http://id.who.int/icd/release/11/beta/ichi/291743247</x:t>
  </x:si>
  <x:si>
    <x:t>STC.PN.ZZ</x:t>
  </x:si>
  <x:si>
    <x:t>- - - - - Advising about engaging in informal education</x:t>
  </x:si>
  <x:si>
    <x:t>http://id.who.int/icd/entity/2132518246</x:t>
  </x:si>
  <x:si>
    <x:t>http://id.who.int/icd/release/11/beta/ichi/2132518246</x:t>
  </x:si>
  <x:si>
    <x:t>STC.RB.ZZ</x:t>
  </x:si>
  <x:si>
    <x:t>- - - - - Practical support with engaging in informal education</x:t>
  </x:si>
  <x:si>
    <x:t>http://id.who.int/icd/entity/604989557</x:t>
  </x:si>
  <x:si>
    <x:t>http://id.who.int/icd/release/11/beta/ichi/604989557</x:t>
  </x:si>
  <x:si>
    <x:t>STC.RC.ZZ</x:t>
  </x:si>
  <x:si>
    <x:t>- - - - - Emotional support for engaging in informal education</x:t>
  </x:si>
  <x:si>
    <x:t>http://id.who.int/icd/entity/680428381</x:t>
  </x:si>
  <x:si>
    <x:t>http://id.who.int/icd/release/11/beta/ichi/680428381</x:t>
  </x:si>
  <x:si>
    <x:t>STD.AA.ZZ</x:t>
  </x:si>
  <x:si>
    <x:t>- - - - - Assessment of engaging in preschool education</x:t>
  </x:si>
  <x:si>
    <x:t>http://id.who.int/icd/entity/1126651738</x:t>
  </x:si>
  <x:si>
    <x:t>http://id.who.int/icd/release/11/beta/ichi/1126651738</x:t>
  </x:si>
  <x:si>
    <x:t>STD.AC.ZZ</x:t>
  </x:si>
  <x:si>
    <x:t>- - - - - Test of engaging in preschool education</x:t>
  </x:si>
  <x:si>
    <x:t>http://id.who.int/icd/entity/1499490688</x:t>
  </x:si>
  <x:si>
    <x:t>http://id.who.int/icd/release/11/beta/ichi/1499490688</x:t>
  </x:si>
  <x:si>
    <x:t>STD.PH.ZZ</x:t>
  </x:si>
  <x:si>
    <x:t>- - - - - Training for engaging in preschool education</x:t>
  </x:si>
  <x:si>
    <x:t>http://id.who.int/icd/entity/2091725892</x:t>
  </x:si>
  <x:si>
    <x:t>http://id.who.int/icd/release/11/beta/ichi/2091725892</x:t>
  </x:si>
  <x:si>
    <x:t>STD.PM.ZZ</x:t>
  </x:si>
  <x:si>
    <x:t>- - - - - Education about engaging in preschool education</x:t>
  </x:si>
  <x:si>
    <x:t>http://id.who.int/icd/entity/204447695</x:t>
  </x:si>
  <x:si>
    <x:t>http://id.who.int/icd/release/11/beta/ichi/204447695</x:t>
  </x:si>
  <x:si>
    <x:t>STD.PN.ZZ</x:t>
  </x:si>
  <x:si>
    <x:t>- - - - - Advising about engaging in preschool education</x:t>
  </x:si>
  <x:si>
    <x:t>http://id.who.int/icd/entity/60168029</x:t>
  </x:si>
  <x:si>
    <x:t>http://id.who.int/icd/release/11/beta/ichi/60168029</x:t>
  </x:si>
  <x:si>
    <x:t>STD.RB.ZZ</x:t>
  </x:si>
  <x:si>
    <x:t>- - - - - Practical support with engaging in preschool education</x:t>
  </x:si>
  <x:si>
    <x:t>http://id.who.int/icd/entity/1559492112</x:t>
  </x:si>
  <x:si>
    <x:t>http://id.who.int/icd/release/11/beta/ichi/1559492112</x:t>
  </x:si>
  <x:si>
    <x:t>STD.TA.ZZ</x:t>
  </x:si>
  <x:si>
    <x:t>- - - - - Advocacy in relation to engaging in preschool education</x:t>
  </x:si>
  <x:si>
    <x:t>http://id.who.int/icd/entity/1475864738</x:t>
  </x:si>
  <x:si>
    <x:t>http://id.who.int/icd/release/11/beta/ichi/1475864738</x:t>
  </x:si>
  <x:si>
    <x:t>STE.AA.ZZ</x:t>
  </x:si>
  <x:si>
    <x:t>- - - - - Assessment of engaging in school education</x:t>
  </x:si>
  <x:si>
    <x:t>http://id.who.int/icd/entity/53585709</x:t>
  </x:si>
  <x:si>
    <x:t>http://id.who.int/icd/release/11/beta/ichi/53585709</x:t>
  </x:si>
  <x:si>
    <x:t>STE.AC.ZZ</x:t>
  </x:si>
  <x:si>
    <x:t>- - - - - Test of engaging in school education</x:t>
  </x:si>
  <x:si>
    <x:t>http://id.who.int/icd/entity/360074736</x:t>
  </x:si>
  <x:si>
    <x:t>http://id.who.int/icd/release/11/beta/ichi/360074736</x:t>
  </x:si>
  <x:si>
    <x:t>STE.PH.ZZ</x:t>
  </x:si>
  <x:si>
    <x:t>- - - - - Training for engaging in school education</x:t>
  </x:si>
  <x:si>
    <x:t>http://id.who.int/icd/entity/976664416</x:t>
  </x:si>
  <x:si>
    <x:t>http://id.who.int/icd/release/11/beta/ichi/976664416</x:t>
  </x:si>
  <x:si>
    <x:t>STE.PM.ZZ</x:t>
  </x:si>
  <x:si>
    <x:t>- - - - - Education about engaging in school education</x:t>
  </x:si>
  <x:si>
    <x:t>http://id.who.int/icd/entity/1253317843</x:t>
  </x:si>
  <x:si>
    <x:t>http://id.who.int/icd/release/11/beta/ichi/1253317843</x:t>
  </x:si>
  <x:si>
    <x:t>STE.PN.ZZ</x:t>
  </x:si>
  <x:si>
    <x:t>- - - - - Advising about engaging in school education</x:t>
  </x:si>
  <x:si>
    <x:t>http://id.who.int/icd/entity/1333801773</x:t>
  </x:si>
  <x:si>
    <x:t>http://id.who.int/icd/release/11/beta/ichi/1333801773</x:t>
  </x:si>
  <x:si>
    <x:t>STE.RB.ZZ</x:t>
  </x:si>
  <x:si>
    <x:t>- - - - - Practical support with engaging in school education</x:t>
  </x:si>
  <x:si>
    <x:t>http://id.who.int/icd/entity/817565748</x:t>
  </x:si>
  <x:si>
    <x:t>http://id.who.int/icd/release/11/beta/ichi/817565748</x:t>
  </x:si>
  <x:si>
    <x:t>STE.TA.ZZ</x:t>
  </x:si>
  <x:si>
    <x:t>- - - - - Advocacy in relation to engaging in school education</x:t>
  </x:si>
  <x:si>
    <x:t>http://id.who.int/icd/entity/1589842779</x:t>
  </x:si>
  <x:si>
    <x:t>http://id.who.int/icd/release/11/beta/ichi/1589842779</x:t>
  </x:si>
  <x:si>
    <x:t>STF.AA.ZZ</x:t>
  </x:si>
  <x:si>
    <x:t>- - - - - Assessment of engaging in vocational training</x:t>
  </x:si>
  <x:si>
    <x:t>http://id.who.int/icd/entity/896190302</x:t>
  </x:si>
  <x:si>
    <x:t>http://id.who.int/icd/release/11/beta/ichi/896190302</x:t>
  </x:si>
  <x:si>
    <x:t>STF.AC.ZZ</x:t>
  </x:si>
  <x:si>
    <x:t>- - - - - Test of engaging in vocational training</x:t>
  </x:si>
  <x:si>
    <x:t>http://id.who.int/icd/entity/791542152</x:t>
  </x:si>
  <x:si>
    <x:t>http://id.who.int/icd/release/11/beta/ichi/791542152</x:t>
  </x:si>
  <x:si>
    <x:t>STF.PH.ZZ</x:t>
  </x:si>
  <x:si>
    <x:t>- - - - - Training for engaging in vocational training</x:t>
  </x:si>
  <x:si>
    <x:t>http://id.who.int/icd/entity/606725930</x:t>
  </x:si>
  <x:si>
    <x:t>http://id.who.int/icd/release/11/beta/ichi/606725930</x:t>
  </x:si>
  <x:si>
    <x:t>STF.PM.ZZ</x:t>
  </x:si>
  <x:si>
    <x:t>- - - - - Education about engaging in vocational training</x:t>
  </x:si>
  <x:si>
    <x:t>http://id.who.int/icd/entity/1520139765</x:t>
  </x:si>
  <x:si>
    <x:t>http://id.who.int/icd/release/11/beta/ichi/1520139765</x:t>
  </x:si>
  <x:si>
    <x:t>STF.PN.ZZ</x:t>
  </x:si>
  <x:si>
    <x:t>- - - - - Advising about engaging in vocational training</x:t>
  </x:si>
  <x:si>
    <x:t>http://id.who.int/icd/entity/631267052</x:t>
  </x:si>
  <x:si>
    <x:t>http://id.who.int/icd/release/11/beta/ichi/631267052</x:t>
  </x:si>
  <x:si>
    <x:t>STF.RB.ZZ</x:t>
  </x:si>
  <x:si>
    <x:t>- - - - - Practical support with engaging in vocational training</x:t>
  </x:si>
  <x:si>
    <x:t>http://id.who.int/icd/entity/1338145741</x:t>
  </x:si>
  <x:si>
    <x:t>http://id.who.int/icd/release/11/beta/ichi/1338145741</x:t>
  </x:si>
  <x:si>
    <x:t>STF.TA.ZZ</x:t>
  </x:si>
  <x:si>
    <x:t>- - - - - Advocacy in relation to engaging in vocational training</x:t>
  </x:si>
  <x:si>
    <x:t>http://id.who.int/icd/entity/1061212224</x:t>
  </x:si>
  <x:si>
    <x:t>http://id.who.int/icd/release/11/beta/ichi/1061212224</x:t>
  </x:si>
  <x:si>
    <x:t>STG.AA.ZZ</x:t>
  </x:si>
  <x:si>
    <x:t>- - - - - Assessment of engaging in higher education</x:t>
  </x:si>
  <x:si>
    <x:t>http://id.who.int/icd/entity/268446448</x:t>
  </x:si>
  <x:si>
    <x:t>http://id.who.int/icd/release/11/beta/ichi/268446448</x:t>
  </x:si>
  <x:si>
    <x:t>STG.AC.ZZ</x:t>
  </x:si>
  <x:si>
    <x:t>- - - - - Test of engaging in higher education</x:t>
  </x:si>
  <x:si>
    <x:t>http://id.who.int/icd/entity/93689512</x:t>
  </x:si>
  <x:si>
    <x:t>http://id.who.int/icd/release/11/beta/ichi/93689512</x:t>
  </x:si>
  <x:si>
    <x:t>STG.PH.ZZ</x:t>
  </x:si>
  <x:si>
    <x:t>- - - - - Training for engaging in higher education</x:t>
  </x:si>
  <x:si>
    <x:t>http://id.who.int/icd/entity/1810732481</x:t>
  </x:si>
  <x:si>
    <x:t>http://id.who.int/icd/release/11/beta/ichi/1810732481</x:t>
  </x:si>
  <x:si>
    <x:t>STG.PM.ZZ</x:t>
  </x:si>
  <x:si>
    <x:t>- - - - - Education about engaging in higher education</x:t>
  </x:si>
  <x:si>
    <x:t>http://id.who.int/icd/entity/1515702155</x:t>
  </x:si>
  <x:si>
    <x:t>http://id.who.int/icd/release/11/beta/ichi/1515702155</x:t>
  </x:si>
  <x:si>
    <x:t>STG.PN.ZZ</x:t>
  </x:si>
  <x:si>
    <x:t>- - - - - Advising about engaging in higher education</x:t>
  </x:si>
  <x:si>
    <x:t>http://id.who.int/icd/entity/1784949761</x:t>
  </x:si>
  <x:si>
    <x:t>http://id.who.int/icd/release/11/beta/ichi/1784949761</x:t>
  </x:si>
  <x:si>
    <x:t>STG.RB.ZZ</x:t>
  </x:si>
  <x:si>
    <x:t>- - - - - Practical support with engaging in higher education</x:t>
  </x:si>
  <x:si>
    <x:t>http://id.who.int/icd/entity/1100562577</x:t>
  </x:si>
  <x:si>
    <x:t>http://id.who.int/icd/release/11/beta/ichi/1100562577</x:t>
  </x:si>
  <x:si>
    <x:t>STG.TA.ZZ</x:t>
  </x:si>
  <x:si>
    <x:t>- - - - - Advocacy in relation to engaging in higher education</x:t>
  </x:si>
  <x:si>
    <x:t>http://id.who.int/icd/entity/900103460</x:t>
  </x:si>
  <x:si>
    <x:t>http://id.who.int/icd/release/11/beta/ichi/900103460</x:t>
  </x:si>
  <x:si>
    <x:t>STJ.AA.ZZ</x:t>
  </x:si>
  <x:si>
    <x:t>- - - - - Assessment of engaging in education life</x:t>
  </x:si>
  <x:si>
    <x:t>http://id.who.int/icd/entity/277796976</x:t>
  </x:si>
  <x:si>
    <x:t>http://id.who.int/icd/release/11/beta/ichi/277796976</x:t>
  </x:si>
  <x:si>
    <x:t>STJ.AC.ZZ</x:t>
  </x:si>
  <x:si>
    <x:t>- - - - - Test of engaging in education life</x:t>
  </x:si>
  <x:si>
    <x:t>http://id.who.int/icd/entity/523718882</x:t>
  </x:si>
  <x:si>
    <x:t>http://id.who.int/icd/release/11/beta/ichi/523718882</x:t>
  </x:si>
  <x:si>
    <x:t>STJ.PH.ZZ</x:t>
  </x:si>
  <x:si>
    <x:t>- - - - - Training for engaging in education life</x:t>
  </x:si>
  <x:si>
    <x:t>http://id.who.int/icd/entity/1901024139</x:t>
  </x:si>
  <x:si>
    <x:t>http://id.who.int/icd/release/11/beta/ichi/1901024139</x:t>
  </x:si>
  <x:si>
    <x:t>STJ.PM.ZZ</x:t>
  </x:si>
  <x:si>
    <x:t>- - - - - Education about engaging in education life</x:t>
  </x:si>
  <x:si>
    <x:t>http://id.who.int/icd/entity/1786893457</x:t>
  </x:si>
  <x:si>
    <x:t>http://id.who.int/icd/release/11/beta/ichi/1786893457</x:t>
  </x:si>
  <x:si>
    <x:t>STJ.PN.ZZ</x:t>
  </x:si>
  <x:si>
    <x:t>- - - - - Advising about engaging in education life</x:t>
  </x:si>
  <x:si>
    <x:t>http://id.who.int/icd/entity/893617588</x:t>
  </x:si>
  <x:si>
    <x:t>http://id.who.int/icd/release/11/beta/ichi/893617588</x:t>
  </x:si>
  <x:si>
    <x:t>STJ.RB.ZZ</x:t>
  </x:si>
  <x:si>
    <x:t>- - - - - Practical support with engaging in education life</x:t>
  </x:si>
  <x:si>
    <x:t>http://id.who.int/icd/entity/1698192387</x:t>
  </x:si>
  <x:si>
    <x:t>http://id.who.int/icd/release/11/beta/ichi/1698192387</x:t>
  </x:si>
  <x:si>
    <x:t>STJ.TA.ZZ</x:t>
  </x:si>
  <x:si>
    <x:t>- - - - - Advocacy in relation to engaging in education life</x:t>
  </x:si>
  <x:si>
    <x:t>http://id.who.int/icd/entity/514925715</x:t>
  </x:si>
  <x:si>
    <x:t>http://id.who.int/icd/release/11/beta/ichi/514925715</x:t>
  </x:si>
  <x:si>
    <x:t>BlockL4-SU2</x:t>
  </x:si>
  <x:si>
    <x:t>- - - - Interventions on work and employment</x:t>
  </x:si>
  <x:si>
    <x:t>http://id.who.int/icd/entity/1044928175</x:t>
  </x:si>
  <x:si>
    <x:t>http://id.who.int/icd/release/11/beta/ichi/1044928175</x:t>
  </x:si>
  <x:si>
    <x:t>SU2.AA.ZZ</x:t>
  </x:si>
  <x:si>
    <x:t>- - - - - Assessment of engaging in work and employment, not elsewhere classified</x:t>
  </x:si>
  <x:si>
    <x:t>http://id.who.int/icd/entity/1371139080</x:t>
  </x:si>
  <x:si>
    <x:t>http://id.who.int/icd/release/11/beta/ichi/1371139080</x:t>
  </x:si>
  <x:si>
    <x:t>SU2.AC.ZZ</x:t>
  </x:si>
  <x:si>
    <x:t>- - - - - Test of engaging in work and employment, not elsewhere classified</x:t>
  </x:si>
  <x:si>
    <x:t>http://id.who.int/icd/entity/1069674351</x:t>
  </x:si>
  <x:si>
    <x:t>http://id.who.int/icd/release/11/beta/ichi/1069674351</x:t>
  </x:si>
  <x:si>
    <x:t>SU2.AM.ZZ</x:t>
  </x:si>
  <x:si>
    <x:t>- - - - - Observation of engaging in work and employment, not elsewhere classified</x:t>
  </x:si>
  <x:si>
    <x:t>http://id.who.int/icd/entity/1416117098</x:t>
  </x:si>
  <x:si>
    <x:t>http://id.who.int/icd/release/11/beta/ichi/1416117098</x:t>
  </x:si>
  <x:si>
    <x:t>SU2.AN.ZZ</x:t>
  </x:si>
  <x:si>
    <x:t>- - - - - Interview in relation to engaging in work and employment, not elsewhere classified</x:t>
  </x:si>
  <x:si>
    <x:t>http://id.who.int/icd/entity/1311704500</x:t>
  </x:si>
  <x:si>
    <x:t>http://id.who.int/icd/release/11/beta/ichi/1311704500</x:t>
  </x:si>
  <x:si>
    <x:t>SU2.PG.ZZ</x:t>
  </x:si>
  <x:si>
    <x:t>- - - - - Assisting and leading exercise for engaging in work and employment, not elsewhere classified</x:t>
  </x:si>
  <x:si>
    <x:t>http://id.who.int/icd/entity/1160452894</x:t>
  </x:si>
  <x:si>
    <x:t>http://id.who.int/icd/release/11/beta/ichi/1160452894</x:t>
  </x:si>
  <x:si>
    <x:t>SU2.PH.ZZ</x:t>
  </x:si>
  <x:si>
    <x:t>- - - - - Training for engaging in work and employment, not elsewhere classified</x:t>
  </x:si>
  <x:si>
    <x:t>http://id.who.int/icd/entity/999915969</x:t>
  </x:si>
  <x:si>
    <x:t>http://id.who.int/icd/release/11/beta/ichi/999915969</x:t>
  </x:si>
  <x:si>
    <x:t>SU2.PM.ZZ</x:t>
  </x:si>
  <x:si>
    <x:t>- - - - - Education in relation to engaging in work and employment, not elsewhere classified</x:t>
  </x:si>
  <x:si>
    <x:t>http://id.who.int/icd/entity/1364989080</x:t>
  </x:si>
  <x:si>
    <x:t>http://id.who.int/icd/release/11/beta/ichi/1364989080</x:t>
  </x:si>
  <x:si>
    <x:t>SU2.PN.ZZ</x:t>
  </x:si>
  <x:si>
    <x:t>- - - - - Advising about engaging in work and employment, not elsewhere classified</x:t>
  </x:si>
  <x:si>
    <x:t>http://id.who.int/icd/entity/1799743490</x:t>
  </x:si>
  <x:si>
    <x:t>http://id.who.int/icd/release/11/beta/ichi/1799743490</x:t>
  </x:si>
  <x:si>
    <x:t>SU2.PP.ZZ</x:t>
  </x:si>
  <x:si>
    <x:t>- - - - - Counselling about engaging in work and employment, not elsewhere classified</x:t>
  </x:si>
  <x:si>
    <x:t>http://id.who.int/icd/entity/1141183150</x:t>
  </x:si>
  <x:si>
    <x:t>http://id.who.int/icd/release/11/beta/ichi/1141183150</x:t>
  </x:si>
  <x:si>
    <x:t>SU2.RB.ZZ</x:t>
  </x:si>
  <x:si>
    <x:t>- - - - - Practical support with engaging in work and employment, not elsewhere classified</x:t>
  </x:si>
  <x:si>
    <x:t>http://id.who.int/icd/entity/881309987</x:t>
  </x:si>
  <x:si>
    <x:t>http://id.who.int/icd/release/11/beta/ichi/881309987</x:t>
  </x:si>
  <x:si>
    <x:t>SU2.RC.ZZ</x:t>
  </x:si>
  <x:si>
    <x:t>- - - - - Emotional support for engaging in work and employment, not elsewhere classified</x:t>
  </x:si>
  <x:si>
    <x:t>http://id.who.int/icd/entity/1885880874</x:t>
  </x:si>
  <x:si>
    <x:t>http://id.who.int/icd/release/11/beta/ichi/1885880874</x:t>
  </x:si>
  <x:si>
    <x:t>SU2.RF.ZZ</x:t>
  </x:si>
  <x:si>
    <x:t>- - - - - Providing opportunities for engaging in work and employment, not elsewhere classified</x:t>
  </x:si>
  <x:si>
    <x:t>http://id.who.int/icd/entity/1705618962</x:t>
  </x:si>
  <x:si>
    <x:t>http://id.who.int/icd/release/11/beta/ichi/1705618962</x:t>
  </x:si>
  <x:si>
    <x:t>SU2.TA.ZZ</x:t>
  </x:si>
  <x:si>
    <x:t>- - - - - Advocacy in relation to engaging in work and employment, not elsewhere classified</x:t>
  </x:si>
  <x:si>
    <x:t>http://id.who.int/icd/entity/1780901089</x:t>
  </x:si>
  <x:si>
    <x:t>http://id.who.int/icd/release/11/beta/ichi/1780901089</x:t>
  </x:si>
  <x:si>
    <x:t>SUA.AA.ZZ</x:t>
  </x:si>
  <x:si>
    <x:t>- - - - - Assessment of engaging in apprenticeship</x:t>
  </x:si>
  <x:si>
    <x:t>http://id.who.int/icd/entity/904148418</x:t>
  </x:si>
  <x:si>
    <x:t>http://id.who.int/icd/release/11/beta/ichi/904148418</x:t>
  </x:si>
  <x:si>
    <x:t>SUA.PN.ZZ</x:t>
  </x:si>
  <x:si>
    <x:t>- - - - - Advising about engaging in apprenticeship</x:t>
  </x:si>
  <x:si>
    <x:t>http://id.who.int/icd/entity/504977746</x:t>
  </x:si>
  <x:si>
    <x:t>http://id.who.int/icd/release/11/beta/ichi/504977746</x:t>
  </x:si>
  <x:si>
    <x:t>SUA.RB.ZZ</x:t>
  </x:si>
  <x:si>
    <x:t>- - - - - Practical support with engaging in apprenticeship</x:t>
  </x:si>
  <x:si>
    <x:t>http://id.who.int/icd/entity/2141254273</x:t>
  </x:si>
  <x:si>
    <x:t>http://id.who.int/icd/release/11/beta/ichi/2141254273</x:t>
  </x:si>
  <x:si>
    <x:t>SUA.TA.ZZ</x:t>
  </x:si>
  <x:si>
    <x:t>- - - - - Advocacy in relation to engaging in apprenticeship</x:t>
  </x:si>
  <x:si>
    <x:t>http://id.who.int/icd/entity/445811983</x:t>
  </x:si>
  <x:si>
    <x:t>http://id.who.int/icd/release/11/beta/ichi/445811983</x:t>
  </x:si>
  <x:si>
    <x:t>SUD.AA.ZZ</x:t>
  </x:si>
  <x:si>
    <x:t>- - - - - Assessment of acquiring, keeping and terminating a job</x:t>
  </x:si>
  <x:si>
    <x:t>http://id.who.int/icd/entity/1410595932</x:t>
  </x:si>
  <x:si>
    <x:t>http://id.who.int/icd/release/11/beta/ichi/1410595932</x:t>
  </x:si>
  <x:si>
    <x:t>SUD.AC.ZZ</x:t>
  </x:si>
  <x:si>
    <x:t>- - - - - Test of acquiring, keeping and terminating a job</x:t>
  </x:si>
  <x:si>
    <x:t>http://id.who.int/icd/entity/173544633</x:t>
  </x:si>
  <x:si>
    <x:t>http://id.who.int/icd/release/11/beta/ichi/173544633</x:t>
  </x:si>
  <x:si>
    <x:t>SUD.PM.ZZ</x:t>
  </x:si>
  <x:si>
    <x:t>- - - - - Education about acquiring, keeping and terminating a job</x:t>
  </x:si>
  <x:si>
    <x:t>http://id.who.int/icd/entity/98671659</x:t>
  </x:si>
  <x:si>
    <x:t>http://id.who.int/icd/release/11/beta/ichi/98671659</x:t>
  </x:si>
  <x:si>
    <x:t>SUD.PN.ZZ</x:t>
  </x:si>
  <x:si>
    <x:t>- - - - - Advising about acquiring, keeping and terminating a job</x:t>
  </x:si>
  <x:si>
    <x:t>http://id.who.int/icd/entity/358967254</x:t>
  </x:si>
  <x:si>
    <x:t>http://id.who.int/icd/release/11/beta/ichi/358967254</x:t>
  </x:si>
  <x:si>
    <x:t>SUD.RB.ZZ</x:t>
  </x:si>
  <x:si>
    <x:t>- - - - - Practical support with acquiring, keeping and terminating a job</x:t>
  </x:si>
  <x:si>
    <x:t>http://id.who.int/icd/entity/1624499109</x:t>
  </x:si>
  <x:si>
    <x:t>http://id.who.int/icd/release/11/beta/ichi/1624499109</x:t>
  </x:si>
  <x:si>
    <x:t>SUD.TA.ZZ</x:t>
  </x:si>
  <x:si>
    <x:t>- - - - - Advocacy in relation to acquiring, keeping and terminating a job</x:t>
  </x:si>
  <x:si>
    <x:t>http://id.who.int/icd/entity/1518884819</x:t>
  </x:si>
  <x:si>
    <x:t>http://id.who.int/icd/release/11/beta/ichi/1518884819</x:t>
  </x:si>
  <x:si>
    <x:t>SUG.AA.ZZ</x:t>
  </x:si>
  <x:si>
    <x:t>- - - - - Assessment of engaging in remunerative employment</x:t>
  </x:si>
  <x:si>
    <x:t>http://id.who.int/icd/entity/541843790</x:t>
  </x:si>
  <x:si>
    <x:t>http://id.who.int/icd/release/11/beta/ichi/541843790</x:t>
  </x:si>
  <x:si>
    <x:t>SUG.AC.ZZ</x:t>
  </x:si>
  <x:si>
    <x:t>- - - - - Test of engaging in remunerative employment</x:t>
  </x:si>
  <x:si>
    <x:t>http://id.who.int/icd/entity/90391582</x:t>
  </x:si>
  <x:si>
    <x:t>http://id.who.int/icd/release/11/beta/ichi/90391582</x:t>
  </x:si>
  <x:si>
    <x:t>SUG.PH.ZZ</x:t>
  </x:si>
  <x:si>
    <x:t>- - - - - Training for engaging in remunerative employment</x:t>
  </x:si>
  <x:si>
    <x:t>http://id.who.int/icd/entity/1097830951</x:t>
  </x:si>
  <x:si>
    <x:t>http://id.who.int/icd/release/11/beta/ichi/1097830951</x:t>
  </x:si>
  <x:si>
    <x:t>SUG.PM.ZZ</x:t>
  </x:si>
  <x:si>
    <x:t>- - - - - Education about engaging in remunerative employment</x:t>
  </x:si>
  <x:si>
    <x:t>http://id.who.int/icd/entity/1373555875</x:t>
  </x:si>
  <x:si>
    <x:t>http://id.who.int/icd/release/11/beta/ichi/1373555875</x:t>
  </x:si>
  <x:si>
    <x:t>SUG.PN.ZZ</x:t>
  </x:si>
  <x:si>
    <x:t>- - - - - Advising about engaging in remunerative employment</x:t>
  </x:si>
  <x:si>
    <x:t>http://id.who.int/icd/entity/2049155123</x:t>
  </x:si>
  <x:si>
    <x:t>http://id.who.int/icd/release/11/beta/ichi/2049155123</x:t>
  </x:si>
  <x:si>
    <x:t>SUG.RB.ZZ</x:t>
  </x:si>
  <x:si>
    <x:t>- - - - - Practical support with engaging in remunerative employment</x:t>
  </x:si>
  <x:si>
    <x:t>http://id.who.int/icd/entity/1091851541</x:t>
  </x:si>
  <x:si>
    <x:t>http://id.who.int/icd/release/11/beta/ichi/1091851541</x:t>
  </x:si>
  <x:si>
    <x:t>SUG.TA.ZZ</x:t>
  </x:si>
  <x:si>
    <x:t>- - - - - Advocacy in relation to engaging in remunerative employment</x:t>
  </x:si>
  <x:si>
    <x:t>http://id.who.int/icd/entity/1951521153</x:t>
  </x:si>
  <x:si>
    <x:t>http://id.who.int/icd/release/11/beta/ichi/1951521153</x:t>
  </x:si>
  <x:si>
    <x:t>SUJ.AA.ZZ</x:t>
  </x:si>
  <x:si>
    <x:t>- - - - - Assessment of engaging in non-remunerative employment</x:t>
  </x:si>
  <x:si>
    <x:t>http://id.who.int/icd/entity/1640261063</x:t>
  </x:si>
  <x:si>
    <x:t>http://id.who.int/icd/release/11/beta/ichi/1640261063</x:t>
  </x:si>
  <x:si>
    <x:t>SUJ.AC.ZZ</x:t>
  </x:si>
  <x:si>
    <x:t>- - - - - Test of engaging in non-remunerative employment</x:t>
  </x:si>
  <x:si>
    <x:t>http://id.who.int/icd/entity/633910272</x:t>
  </x:si>
  <x:si>
    <x:t>http://id.who.int/icd/release/11/beta/ichi/633910272</x:t>
  </x:si>
  <x:si>
    <x:t>SUJ.PH.ZZ</x:t>
  </x:si>
  <x:si>
    <x:t>- - - - - Training for engaging in non-remunerative employment</x:t>
  </x:si>
  <x:si>
    <x:t>http://id.who.int/icd/entity/1679143593</x:t>
  </x:si>
  <x:si>
    <x:t>http://id.who.int/icd/release/11/beta/ichi/1679143593</x:t>
  </x:si>
  <x:si>
    <x:t>SUJ.PM.ZZ</x:t>
  </x:si>
  <x:si>
    <x:t>- - - - - Education about engaging in non-remunerative employment</x:t>
  </x:si>
  <x:si>
    <x:t>http://id.who.int/icd/entity/997217276</x:t>
  </x:si>
  <x:si>
    <x:t>http://id.who.int/icd/release/11/beta/ichi/997217276</x:t>
  </x:si>
  <x:si>
    <x:t>SUJ.PN.ZZ</x:t>
  </x:si>
  <x:si>
    <x:t>- - - - - Advising about engaging in non-remunerative employment</x:t>
  </x:si>
  <x:si>
    <x:t>http://id.who.int/icd/entity/277692268</x:t>
  </x:si>
  <x:si>
    <x:t>http://id.who.int/icd/release/11/beta/ichi/277692268</x:t>
  </x:si>
  <x:si>
    <x:t>SUJ.RB.ZZ</x:t>
  </x:si>
  <x:si>
    <x:t>- - - - - Practical support with engaging in non-remunerative employment</x:t>
  </x:si>
  <x:si>
    <x:t>http://id.who.int/icd/entity/1924066996</x:t>
  </x:si>
  <x:si>
    <x:t>http://id.who.int/icd/release/11/beta/ichi/1924066996</x:t>
  </x:si>
  <x:si>
    <x:t>SUJ.TA.ZZ</x:t>
  </x:si>
  <x:si>
    <x:t>- - - - - Advocacy in relation to engaging in non-remunerative employment</x:t>
  </x:si>
  <x:si>
    <x:t>http://id.who.int/icd/entity/365886733</x:t>
  </x:si>
  <x:si>
    <x:t>http://id.who.int/icd/release/11/beta/ichi/365886733</x:t>
  </x:si>
  <x:si>
    <x:t>BlockL4-SV2</x:t>
  </x:si>
  <x:si>
    <x:t>- - - - Interventions on economic life</x:t>
  </x:si>
  <x:si>
    <x:t>http://id.who.int/icd/entity/1699501698</x:t>
  </x:si>
  <x:si>
    <x:t>http://id.who.int/icd/release/11/beta/ichi/1699501698</x:t>
  </x:si>
  <x:si>
    <x:t>SV2.AA.ZZ</x:t>
  </x:si>
  <x:si>
    <x:t>- - - - - Assessment of engaging in economic life, not elsewhere classified</x:t>
  </x:si>
  <x:si>
    <x:t>http://id.who.int/icd/entity/444036511</x:t>
  </x:si>
  <x:si>
    <x:t>http://id.who.int/icd/release/11/beta/ichi/444036511</x:t>
  </x:si>
  <x:si>
    <x:t>SV2.AC.ZZ</x:t>
  </x:si>
  <x:si>
    <x:t>- - - - - Test of engaging in economic life, not elsewhere classified</x:t>
  </x:si>
  <x:si>
    <x:t>http://id.who.int/icd/entity/1329103824</x:t>
  </x:si>
  <x:si>
    <x:t>http://id.who.int/icd/release/11/beta/ichi/1329103824</x:t>
  </x:si>
  <x:si>
    <x:t>SV2.AM.ZZ</x:t>
  </x:si>
  <x:si>
    <x:t>- - - - - Observation of engaging in economic life, not elsewhere classified</x:t>
  </x:si>
  <x:si>
    <x:t>http://id.who.int/icd/entity/1618508160</x:t>
  </x:si>
  <x:si>
    <x:t>http://id.who.int/icd/release/11/beta/ichi/1618508160</x:t>
  </x:si>
  <x:si>
    <x:t>SV2.AN.ZZ</x:t>
  </x:si>
  <x:si>
    <x:t>- - - - - Interview in relation to engaging in economic life, not elsewhere classified</x:t>
  </x:si>
  <x:si>
    <x:t>http://id.who.int/icd/entity/284873459</x:t>
  </x:si>
  <x:si>
    <x:t>http://id.who.int/icd/release/11/beta/ichi/284873459</x:t>
  </x:si>
  <x:si>
    <x:t>SV2.PH.ZZ</x:t>
  </x:si>
  <x:si>
    <x:t>- - - - - Training in engaging in economic life, not elsewhere classified</x:t>
  </x:si>
  <x:si>
    <x:t>http://id.who.int/icd/entity/1516340714</x:t>
  </x:si>
  <x:si>
    <x:t>http://id.who.int/icd/release/11/beta/ichi/1516340714</x:t>
  </x:si>
  <x:si>
    <x:t>SV2.PM.ZZ</x:t>
  </x:si>
  <x:si>
    <x:t>- - - - - Education about engaging in economic life, not elsewhere classified</x:t>
  </x:si>
  <x:si>
    <x:t>http://id.who.int/icd/entity/1260561822</x:t>
  </x:si>
  <x:si>
    <x:t>http://id.who.int/icd/release/11/beta/ichi/1260561822</x:t>
  </x:si>
  <x:si>
    <x:t>SV2.PN.ZZ</x:t>
  </x:si>
  <x:si>
    <x:t>- - - - - Advising about engaging in economic life, not elsewhere classified</x:t>
  </x:si>
  <x:si>
    <x:t>http://id.who.int/icd/entity/1967813962</x:t>
  </x:si>
  <x:si>
    <x:t>http://id.who.int/icd/release/11/beta/ichi/1967813962</x:t>
  </x:si>
  <x:si>
    <x:t>SV2.PP.ZZ</x:t>
  </x:si>
  <x:si>
    <x:t>- - - - - Counselling about engaging in economic life, not elsewhere classified</x:t>
  </x:si>
  <x:si>
    <x:t>http://id.who.int/icd/entity/175199831</x:t>
  </x:si>
  <x:si>
    <x:t>http://id.who.int/icd/release/11/beta/ichi/175199831</x:t>
  </x:si>
  <x:si>
    <x:t>SV2.RA.ZZ</x:t>
  </x:si>
  <x:si>
    <x:t>- - - - - Performing the task of economic life, not elsewhere classified</x:t>
  </x:si>
  <x:si>
    <x:t>http://id.who.int/icd/entity/256211369</x:t>
  </x:si>
  <x:si>
    <x:t>http://id.who.int/icd/release/11/beta/ichi/256211369</x:t>
  </x:si>
  <x:si>
    <x:t>SV2.RB.ZZ</x:t>
  </x:si>
  <x:si>
    <x:t>- - - - - Practical support with engaging in economic life, not elsewhere classified</x:t>
  </x:si>
  <x:si>
    <x:t>http://id.who.int/icd/entity/2143801894</x:t>
  </x:si>
  <x:si>
    <x:t>http://id.who.int/icd/release/11/beta/ichi/2143801894</x:t>
  </x:si>
  <x:si>
    <x:t>SV2.RC.ZZ</x:t>
  </x:si>
  <x:si>
    <x:t>- - - - - Emotional support for engaging in economic life, not elsewhere classified</x:t>
  </x:si>
  <x:si>
    <x:t>http://id.who.int/icd/entity/98485849</x:t>
  </x:si>
  <x:si>
    <x:t>http://id.who.int/icd/release/11/beta/ichi/98485849</x:t>
  </x:si>
  <x:si>
    <x:t>SV2.RF.ZZ</x:t>
  </x:si>
  <x:si>
    <x:t>- - - - - Providing opportunities for engaging in economic life, not elsewhere classified</x:t>
  </x:si>
  <x:si>
    <x:t>http://id.who.int/icd/entity/1351035018</x:t>
  </x:si>
  <x:si>
    <x:t>http://id.who.int/icd/release/11/beta/ichi/1351035018</x:t>
  </x:si>
  <x:si>
    <x:t>SV2.TA.ZZ</x:t>
  </x:si>
  <x:si>
    <x:t>- - - - - Advocacy in relation to engaging in economic life, not elsewhere classified</x:t>
  </x:si>
  <x:si>
    <x:t>http://id.who.int/icd/entity/1974439386</x:t>
  </x:si>
  <x:si>
    <x:t>http://id.who.int/icd/release/11/beta/ichi/1974439386</x:t>
  </x:si>
  <x:si>
    <x:t>SVA.AA.ZZ</x:t>
  </x:si>
  <x:si>
    <x:t>- - - - - Assessment of engaging in basic economic transactions</x:t>
  </x:si>
  <x:si>
    <x:t>http://id.who.int/icd/entity/527046799</x:t>
  </x:si>
  <x:si>
    <x:t>http://id.who.int/icd/release/11/beta/ichi/527046799</x:t>
  </x:si>
  <x:si>
    <x:t>SVA.AC.ZZ</x:t>
  </x:si>
  <x:si>
    <x:t>- - - - - Test of engaging in basic economics transactions</x:t>
  </x:si>
  <x:si>
    <x:t>http://id.who.int/icd/entity/1897012198</x:t>
  </x:si>
  <x:si>
    <x:t>http://id.who.int/icd/release/11/beta/ichi/1897012198</x:t>
  </x:si>
  <x:si>
    <x:t>SVA.AM.ZZ</x:t>
  </x:si>
  <x:si>
    <x:t>- - - - - Observation of engaging in basic economic transactions</x:t>
  </x:si>
  <x:si>
    <x:t>http://id.who.int/icd/entity/1792843006</x:t>
  </x:si>
  <x:si>
    <x:t>http://id.who.int/icd/release/11/beta/ichi/1792843006</x:t>
  </x:si>
  <x:si>
    <x:t>SVA.PH.ZZ</x:t>
  </x:si>
  <x:si>
    <x:t>- - - - - Training in engaging in basic economic transactions</x:t>
  </x:si>
  <x:si>
    <x:t>http://id.who.int/icd/entity/1889247784</x:t>
  </x:si>
  <x:si>
    <x:t>http://id.who.int/icd/release/11/beta/ichi/1889247784</x:t>
  </x:si>
  <x:si>
    <x:t>SVA.PM.ZZ</x:t>
  </x:si>
  <x:si>
    <x:t>- - - - - Education about engaging in basic economics transactions</x:t>
  </x:si>
  <x:si>
    <x:t>http://id.who.int/icd/entity/1602021626</x:t>
  </x:si>
  <x:si>
    <x:t>http://id.who.int/icd/release/11/beta/ichi/1602021626</x:t>
  </x:si>
  <x:si>
    <x:t>SVA.PN.ZZ</x:t>
  </x:si>
  <x:si>
    <x:t>- - - - - Advising about engaging in basic economics transactions</x:t>
  </x:si>
  <x:si>
    <x:t>http://id.who.int/icd/entity/1417213524</x:t>
  </x:si>
  <x:si>
    <x:t>http://id.who.int/icd/release/11/beta/ichi/1417213524</x:t>
  </x:si>
  <x:si>
    <x:t>SVA.PP.ZZ</x:t>
  </x:si>
  <x:si>
    <x:t>- - - - - Counselling about engaging in basic economic transactions</x:t>
  </x:si>
  <x:si>
    <x:t>http://id.who.int/icd/entity/12499419</x:t>
  </x:si>
  <x:si>
    <x:t>http://id.who.int/icd/release/11/beta/ichi/12499419</x:t>
  </x:si>
  <x:si>
    <x:t>SVA.RB.ZZ</x:t>
  </x:si>
  <x:si>
    <x:t>- - - - - Practical support with engaging in basic economic transactions</x:t>
  </x:si>
  <x:si>
    <x:t>http://id.who.int/icd/entity/1719400587</x:t>
  </x:si>
  <x:si>
    <x:t>http://id.who.int/icd/release/11/beta/ichi/1719400587</x:t>
  </x:si>
  <x:si>
    <x:t>SVA.RC.ZZ</x:t>
  </x:si>
  <x:si>
    <x:t>- - - - - Emotional support for engaging in basic economic transactions</x:t>
  </x:si>
  <x:si>
    <x:t>http://id.who.int/icd/entity/423680916</x:t>
  </x:si>
  <x:si>
    <x:t>http://id.who.int/icd/release/11/beta/ichi/423680916</x:t>
  </x:si>
  <x:si>
    <x:t>SVG.AA.ZZ</x:t>
  </x:si>
  <x:si>
    <x:t>- - - - - Assessment of engaging in economic self-sufficiency</x:t>
  </x:si>
  <x:si>
    <x:t>http://id.who.int/icd/entity/2000214269</x:t>
  </x:si>
  <x:si>
    <x:t>http://id.who.int/icd/release/11/beta/ichi/2000214269</x:t>
  </x:si>
  <x:si>
    <x:t>SVG.AC.ZZ</x:t>
  </x:si>
  <x:si>
    <x:t>- - - - - Test of engaging in economic self-sufficiency</x:t>
  </x:si>
  <x:si>
    <x:t>http://id.who.int/icd/entity/1828085735</x:t>
  </x:si>
  <x:si>
    <x:t>http://id.who.int/icd/release/11/beta/ichi/1828085735</x:t>
  </x:si>
  <x:si>
    <x:t>SVG.PH.ZZ</x:t>
  </x:si>
  <x:si>
    <x:t>- - - - - Training in engaging in economic self-sufficiency</x:t>
  </x:si>
  <x:si>
    <x:t>http://id.who.int/icd/entity/1991336253</x:t>
  </x:si>
  <x:si>
    <x:t>http://id.who.int/icd/release/11/beta/ichi/1991336253</x:t>
  </x:si>
  <x:si>
    <x:t>SVG.PM.ZZ</x:t>
  </x:si>
  <x:si>
    <x:t>- - - - - Education about engaging in economic self-sufficiency</x:t>
  </x:si>
  <x:si>
    <x:t>http://id.who.int/icd/entity/2109046673</x:t>
  </x:si>
  <x:si>
    <x:t>http://id.who.int/icd/release/11/beta/ichi/2109046673</x:t>
  </x:si>
  <x:si>
    <x:t>SVG.PN.ZZ</x:t>
  </x:si>
  <x:si>
    <x:t>- - - - - Advising about engaging in economic self-sufficiency</x:t>
  </x:si>
  <x:si>
    <x:t>http://id.who.int/icd/entity/1935717971</x:t>
  </x:si>
  <x:si>
    <x:t>http://id.who.int/icd/release/11/beta/ichi/1935717971</x:t>
  </x:si>
  <x:si>
    <x:t>SVG.RB.ZZ</x:t>
  </x:si>
  <x:si>
    <x:t>- - - - - Practical support with engaging in economic self-sufficiency</x:t>
  </x:si>
  <x:si>
    <x:t>http://id.who.int/icd/entity/207328588</x:t>
  </x:si>
  <x:si>
    <x:t>http://id.who.int/icd/release/11/beta/ichi/207328588</x:t>
  </x:si>
  <x:si>
    <x:t>SVG.RC.ZZ</x:t>
  </x:si>
  <x:si>
    <x:t>- - - - - Emotional support for engaging in economic self-sufficiency</x:t>
  </x:si>
  <x:si>
    <x:t>http://id.who.int/icd/entity/697747600</x:t>
  </x:si>
  <x:si>
    <x:t>http://id.who.int/icd/release/11/beta/ichi/697747600</x:t>
  </x:si>
  <x:si>
    <x:t>BlockL3-SX1</x:t>
  </x:si>
  <x:si>
    <x:t>- - - Interventions on community, social and civic life</x:t>
  </x:si>
  <x:si>
    <x:t>http://id.who.int/icd/entity/158317234</x:t>
  </x:si>
  <x:si>
    <x:t>http://id.who.int/icd/release/11/beta/ichi/158317234</x:t>
  </x:si>
  <x:si>
    <x:t>SX1.AA.ZZ</x:t>
  </x:si>
  <x:si>
    <x:t>- - - - Assessment of engaging in community, social and civic life, unspecified</x:t>
  </x:si>
  <x:si>
    <x:t>http://id.who.int/icd/entity/640630814</x:t>
  </x:si>
  <x:si>
    <x:t>http://id.who.int/icd/release/11/beta/ichi/640630814</x:t>
  </x:si>
  <x:si>
    <x:t>SX1.AC.ZZ</x:t>
  </x:si>
  <x:si>
    <x:t>- - - - Test of engaging in community, social and civic life, unspecified</x:t>
  </x:si>
  <x:si>
    <x:t>http://id.who.int/icd/entity/1280140603</x:t>
  </x:si>
  <x:si>
    <x:t>http://id.who.int/icd/release/11/beta/ichi/1280140603</x:t>
  </x:si>
  <x:si>
    <x:t>SX1.AM.ZZ</x:t>
  </x:si>
  <x:si>
    <x:t>- - - - Observation of engaging in community, social and civic life, unspecified</x:t>
  </x:si>
  <x:si>
    <x:t>http://id.who.int/icd/entity/1020251830</x:t>
  </x:si>
  <x:si>
    <x:t>http://id.who.int/icd/release/11/beta/ichi/1020251830</x:t>
  </x:si>
  <x:si>
    <x:t>SX1.AN.ZZ</x:t>
  </x:si>
  <x:si>
    <x:t>- - - - Interview in relation to engaging in community, social and civic life, unspecified</x:t>
  </x:si>
  <x:si>
    <x:t>http://id.who.int/icd/entity/328152090</x:t>
  </x:si>
  <x:si>
    <x:t>http://id.who.int/icd/release/11/beta/ichi/328152090</x:t>
  </x:si>
  <x:si>
    <x:t>SX1.PH.ZZ</x:t>
  </x:si>
  <x:si>
    <x:t>- - - - Training in engaging in community, social and civic life, unspecified</x:t>
  </x:si>
  <x:si>
    <x:t>http://id.who.int/icd/entity/102402142</x:t>
  </x:si>
  <x:si>
    <x:t>http://id.who.int/icd/release/11/beta/ichi/102402142</x:t>
  </x:si>
  <x:si>
    <x:t>SX1.PM.ZZ</x:t>
  </x:si>
  <x:si>
    <x:t>- - - - Education about engaging in community, social and civic life, unspecified</x:t>
  </x:si>
  <x:si>
    <x:t>http://id.who.int/icd/entity/1751288631</x:t>
  </x:si>
  <x:si>
    <x:t>http://id.who.int/icd/release/11/beta/ichi/1751288631</x:t>
  </x:si>
  <x:si>
    <x:t>SX1.PN.ZZ</x:t>
  </x:si>
  <x:si>
    <x:t>- - - - Advising about engaging in community, social and civic life, unspecified</x:t>
  </x:si>
  <x:si>
    <x:t>http://id.who.int/icd/entity/1507383677</x:t>
  </x:si>
  <x:si>
    <x:t>http://id.who.int/icd/release/11/beta/ichi/1507383677</x:t>
  </x:si>
  <x:si>
    <x:t>SX1.PP.ZZ</x:t>
  </x:si>
  <x:si>
    <x:t>- - - - Counselling about engaging in community, social and civic life, unspecified</x:t>
  </x:si>
  <x:si>
    <x:t>http://id.who.int/icd/entity/1777021687</x:t>
  </x:si>
  <x:si>
    <x:t>http://id.who.int/icd/release/11/beta/ichi/1777021687</x:t>
  </x:si>
  <x:si>
    <x:t>SX1.RB.ZZ</x:t>
  </x:si>
  <x:si>
    <x:t>- - - - Practical support with engaging in community, social and civic life, unspecified</x:t>
  </x:si>
  <x:si>
    <x:t>http://id.who.int/icd/entity/1659841627</x:t>
  </x:si>
  <x:si>
    <x:t>http://id.who.int/icd/release/11/beta/ichi/1659841627</x:t>
  </x:si>
  <x:si>
    <x:t>SX1.RC.ZZ</x:t>
  </x:si>
  <x:si>
    <x:t>- - - - Emotional support for engaging in community, social and civic life, unspecified</x:t>
  </x:si>
  <x:si>
    <x:t>http://id.who.int/icd/entity/908682198</x:t>
  </x:si>
  <x:si>
    <x:t>http://id.who.int/icd/release/11/beta/ichi/908682198</x:t>
  </x:si>
  <x:si>
    <x:t>SX1.RE.ZZ</x:t>
  </x:si>
  <x:si>
    <x:t>- - - - Provision of peer support for engaging in community, social and civic life, unspecified</x:t>
  </x:si>
  <x:si>
    <x:t>http://id.who.int/icd/entity/318883462</x:t>
  </x:si>
  <x:si>
    <x:t>http://id.who.int/icd/release/11/beta/ichi/318883462</x:t>
  </x:si>
  <x:si>
    <x:t>SX1.TA.ZZ</x:t>
  </x:si>
  <x:si>
    <x:t>- - - - Advocacy in relation to engaging in community, social and civic life, unspecified</x:t>
  </x:si>
  <x:si>
    <x:t>http://id.who.int/icd/entity/660979977</x:t>
  </x:si>
  <x:si>
    <x:t>http://id.who.int/icd/release/11/beta/ichi/660979977</x:t>
  </x:si>
  <x:si>
    <x:t>SX1.VA.ZZ</x:t>
  </x:si>
  <x:si>
    <x:t>- - - - Capacity building in relation to engaging in community, social and civic life, unspecified</x:t>
  </x:si>
  <x:si>
    <x:t>http://id.who.int/icd/entity/1010908202</x:t>
  </x:si>
  <x:si>
    <x:t>http://id.who.int/icd/release/11/beta/ichi/1010908202</x:t>
  </x:si>
  <x:si>
    <x:t>SX1.ZZ.ZZ</x:t>
  </x:si>
  <x:si>
    <x:t>- - - - Other interventions for unspecified engagement in community, social and civic life</x:t>
  </x:si>
  <x:si>
    <x:t>http://id.who.int/icd/entity/1287886757</x:t>
  </x:si>
  <x:si>
    <x:t>http://id.who.int/icd/release/11/beta/ichi/1287886757</x:t>
  </x:si>
  <x:si>
    <x:t>SXB.AA.ZZ</x:t>
  </x:si>
  <x:si>
    <x:t>- - - - Assessment of engaging in community life</x:t>
  </x:si>
  <x:si>
    <x:t>http://id.who.int/icd/entity/208852898</x:t>
  </x:si>
  <x:si>
    <x:t>http://id.who.int/icd/release/11/beta/ichi/208852898</x:t>
  </x:si>
  <x:si>
    <x:t>SXB.AC.ZZ</x:t>
  </x:si>
  <x:si>
    <x:t>- - - - Test of engaging in community life</x:t>
  </x:si>
  <x:si>
    <x:t>http://id.who.int/icd/entity/590490894</x:t>
  </x:si>
  <x:si>
    <x:t>http://id.who.int/icd/release/11/beta/ichi/590490894</x:t>
  </x:si>
  <x:si>
    <x:t>SXB.AM.ZZ</x:t>
  </x:si>
  <x:si>
    <x:t>- - - - Observation of engaging in community life</x:t>
  </x:si>
  <x:si>
    <x:t>http://id.who.int/icd/entity/422302108</x:t>
  </x:si>
  <x:si>
    <x:t>http://id.who.int/icd/release/11/beta/ichi/422302108</x:t>
  </x:si>
  <x:si>
    <x:t>SXB.AN.ZZ</x:t>
  </x:si>
  <x:si>
    <x:t>- - - - Interview in relation to engaging in community life</x:t>
  </x:si>
  <x:si>
    <x:t>http://id.who.int/icd/entity/2001982195</x:t>
  </x:si>
  <x:si>
    <x:t>http://id.who.int/icd/release/11/beta/ichi/2001982195</x:t>
  </x:si>
  <x:si>
    <x:t>SXB.PH.ZZ</x:t>
  </x:si>
  <x:si>
    <x:t>- - - - Training in engaging in community life</x:t>
  </x:si>
  <x:si>
    <x:t>http://id.who.int/icd/entity/1189707961</x:t>
  </x:si>
  <x:si>
    <x:t>http://id.who.int/icd/release/11/beta/ichi/1189707961</x:t>
  </x:si>
  <x:si>
    <x:t>SXB.PM.ZZ</x:t>
  </x:si>
  <x:si>
    <x:t>- - - - Education about engaging in community life</x:t>
  </x:si>
  <x:si>
    <x:t>http://id.who.int/icd/entity/1173517023</x:t>
  </x:si>
  <x:si>
    <x:t>http://id.who.int/icd/release/11/beta/ichi/1173517023</x:t>
  </x:si>
  <x:si>
    <x:t>SXB.PN.ZZ</x:t>
  </x:si>
  <x:si>
    <x:t>- - - - Advising about engaging in community life</x:t>
  </x:si>
  <x:si>
    <x:t>http://id.who.int/icd/entity/1790085233</x:t>
  </x:si>
  <x:si>
    <x:t>http://id.who.int/icd/release/11/beta/ichi/1790085233</x:t>
  </x:si>
  <x:si>
    <x:t>SXB.PP.ZZ</x:t>
  </x:si>
  <x:si>
    <x:t>- - - - Counselling about engaging in community life</x:t>
  </x:si>
  <x:si>
    <x:t>http://id.who.int/icd/entity/439362556</x:t>
  </x:si>
  <x:si>
    <x:t>http://id.who.int/icd/release/11/beta/ichi/439362556</x:t>
  </x:si>
  <x:si>
    <x:t>SXB.RB.ZZ</x:t>
  </x:si>
  <x:si>
    <x:t>- - - - Practical support with engaging in community life</x:t>
  </x:si>
  <x:si>
    <x:t>http://id.who.int/icd/entity/1073577536</x:t>
  </x:si>
  <x:si>
    <x:t>http://id.who.int/icd/release/11/beta/ichi/1073577536</x:t>
  </x:si>
  <x:si>
    <x:t>SXB.RC.ZZ</x:t>
  </x:si>
  <x:si>
    <x:t>- - - - Emotional support for engaging in community life</x:t>
  </x:si>
  <x:si>
    <x:t>http://id.who.int/icd/entity/632963302</x:t>
  </x:si>
  <x:si>
    <x:t>http://id.who.int/icd/release/11/beta/ichi/632963302</x:t>
  </x:si>
  <x:si>
    <x:t>SXB.TA.ZZ</x:t>
  </x:si>
  <x:si>
    <x:t>- - - - Advocacy in relation to engaging in community life</x:t>
  </x:si>
  <x:si>
    <x:t>http://id.who.int/icd/entity/784227912</x:t>
  </x:si>
  <x:si>
    <x:t>http://id.who.int/icd/release/11/beta/ichi/784227912</x:t>
  </x:si>
  <x:si>
    <x:t>SXC.AA.ZZ</x:t>
  </x:si>
  <x:si>
    <x:t>- - - - Assessment of engaging in recreation and leisure</x:t>
  </x:si>
  <x:si>
    <x:t>http://id.who.int/icd/entity/254504228</x:t>
  </x:si>
  <x:si>
    <x:t>http://id.who.int/icd/release/11/beta/ichi/254504228</x:t>
  </x:si>
  <x:si>
    <x:t>SXC.AC.ZZ</x:t>
  </x:si>
  <x:si>
    <x:t>- - - - Test of engaging in recreation and leisure</x:t>
  </x:si>
  <x:si>
    <x:t>http://id.who.int/icd/entity/1058571952</x:t>
  </x:si>
  <x:si>
    <x:t>http://id.who.int/icd/release/11/beta/ichi/1058571952</x:t>
  </x:si>
  <x:si>
    <x:t>SXC.AM.ZZ</x:t>
  </x:si>
  <x:si>
    <x:t>- - - - Observation of engaging in recreation and leisure</x:t>
  </x:si>
  <x:si>
    <x:t>http://id.who.int/icd/entity/874289154</x:t>
  </x:si>
  <x:si>
    <x:t>http://id.who.int/icd/release/11/beta/ichi/874289154</x:t>
  </x:si>
  <x:si>
    <x:t>SXC.PH.ZZ</x:t>
  </x:si>
  <x:si>
    <x:t>- - - - Training in engaging in recreation and leisure</x:t>
  </x:si>
  <x:si>
    <x:t>http://id.who.int/icd/entity/1076078001</x:t>
  </x:si>
  <x:si>
    <x:t>http://id.who.int/icd/release/11/beta/ichi/1076078001</x:t>
  </x:si>
  <x:si>
    <x:t>SXC.PM.ZZ</x:t>
  </x:si>
  <x:si>
    <x:t>- - - - Education about engaging in recreation and leisure</x:t>
  </x:si>
  <x:si>
    <x:t>http://id.who.int/icd/entity/708935830</x:t>
  </x:si>
  <x:si>
    <x:t>http://id.who.int/icd/release/11/beta/ichi/708935830</x:t>
  </x:si>
  <x:si>
    <x:t>SXC.PN.ZZ</x:t>
  </x:si>
  <x:si>
    <x:t>- - - - Advising about engaging in recreation and leisure</x:t>
  </x:si>
  <x:si>
    <x:t>http://id.who.int/icd/entity/1434100617</x:t>
  </x:si>
  <x:si>
    <x:t>http://id.who.int/icd/release/11/beta/ichi/1434100617</x:t>
  </x:si>
  <x:si>
    <x:t>SXC.PP.ZZ</x:t>
  </x:si>
  <x:si>
    <x:t>- - - - Counselling about engaging in recreation and leisure</x:t>
  </x:si>
  <x:si>
    <x:t>http://id.who.int/icd/entity/990028002</x:t>
  </x:si>
  <x:si>
    <x:t>http://id.who.int/icd/release/11/beta/ichi/990028002</x:t>
  </x:si>
  <x:si>
    <x:t>SXC.RB.ZZ</x:t>
  </x:si>
  <x:si>
    <x:t>- - - - Practical support with engaging in recreation and leisure</x:t>
  </x:si>
  <x:si>
    <x:t>http://id.who.int/icd/entity/1612082675</x:t>
  </x:si>
  <x:si>
    <x:t>http://id.who.int/icd/release/11/beta/ichi/1612082675</x:t>
  </x:si>
  <x:si>
    <x:t>SXC.RC.ZZ</x:t>
  </x:si>
  <x:si>
    <x:t>- - - - Emotional support for engaging in recreation and leisure</x:t>
  </x:si>
  <x:si>
    <x:t>http://id.who.int/icd/entity/2061886790</x:t>
  </x:si>
  <x:si>
    <x:t>http://id.who.int/icd/release/11/beta/ichi/2061886790</x:t>
  </x:si>
  <x:si>
    <x:t>SXC.RE.ZZ</x:t>
  </x:si>
  <x:si>
    <x:t>- - - - Provision of peer support for engaging in recreation and leisure</x:t>
  </x:si>
  <x:si>
    <x:t>http://id.who.int/icd/entity/2052150057</x:t>
  </x:si>
  <x:si>
    <x:t>http://id.who.int/icd/release/11/beta/ichi/2052150057</x:t>
  </x:si>
  <x:si>
    <x:t>SXC.TA.ZZ</x:t>
  </x:si>
  <x:si>
    <x:t>- - - - Advocacy in relation to engaging in recreation and leisure</x:t>
  </x:si>
  <x:si>
    <x:t>http://id.who.int/icd/entity/1901415813</x:t>
  </x:si>
  <x:si>
    <x:t>http://id.who.int/icd/release/11/beta/ichi/1901415813</x:t>
  </x:si>
  <x:si>
    <x:t>SXD.AA.ZZ</x:t>
  </x:si>
  <x:si>
    <x:t>- - - - Assessment of engaging in playing</x:t>
  </x:si>
  <x:si>
    <x:t>http://id.who.int/icd/entity/266852186</x:t>
  </x:si>
  <x:si>
    <x:t>http://id.who.int/icd/release/11/beta/ichi/266852186</x:t>
  </x:si>
  <x:si>
    <x:t>SXD.AC.ZZ</x:t>
  </x:si>
  <x:si>
    <x:t>- - - - Test of engaging in playing</x:t>
  </x:si>
  <x:si>
    <x:t>http://id.who.int/icd/entity/1893528645</x:t>
  </x:si>
  <x:si>
    <x:t>http://id.who.int/icd/release/11/beta/ichi/1893528645</x:t>
  </x:si>
  <x:si>
    <x:t>SXD.AM.ZZ</x:t>
  </x:si>
  <x:si>
    <x:t>- - - - Observation of engaging in playing</x:t>
  </x:si>
  <x:si>
    <x:t>http://id.who.int/icd/entity/93292710</x:t>
  </x:si>
  <x:si>
    <x:t>http://id.who.int/icd/release/11/beta/ichi/93292710</x:t>
  </x:si>
  <x:si>
    <x:t>SXD.PH.ZZ</x:t>
  </x:si>
  <x:si>
    <x:t>- - - - Training to engaging in playing</x:t>
  </x:si>
  <x:si>
    <x:t>http://id.who.int/icd/entity/1963795243</x:t>
  </x:si>
  <x:si>
    <x:t>http://id.who.int/icd/release/11/beta/ichi/1963795243</x:t>
  </x:si>
  <x:si>
    <x:t>SXD.RB.ZZ</x:t>
  </x:si>
  <x:si>
    <x:t>- - - - Practical support with engaging in playing</x:t>
  </x:si>
  <x:si>
    <x:t>http://id.who.int/icd/entity/1515051397</x:t>
  </x:si>
  <x:si>
    <x:t>http://id.who.int/icd/release/11/beta/ichi/1515051397</x:t>
  </x:si>
  <x:si>
    <x:t>SXD.RC.ZZ</x:t>
  </x:si>
  <x:si>
    <x:t>- - - - Emotional support for engagement in playing</x:t>
  </x:si>
  <x:si>
    <x:t>http://id.who.int/icd/entity/251801546</x:t>
  </x:si>
  <x:si>
    <x:t>http://id.who.int/icd/release/11/beta/ichi/251801546</x:t>
  </x:si>
  <x:si>
    <x:t>SXH.AA.ZZ</x:t>
  </x:si>
  <x:si>
    <x:t>- - - - Assessment of engaging in religion and spirituality</x:t>
  </x:si>
  <x:si>
    <x:t>http://id.who.int/icd/entity/1707588253</x:t>
  </x:si>
  <x:si>
    <x:t>http://id.who.int/icd/release/11/beta/ichi/1707588253</x:t>
  </x:si>
  <x:si>
    <x:t>SXH.AC.ZZ</x:t>
  </x:si>
  <x:si>
    <x:t>- - - - Test of engaging in religion and spirituality</x:t>
  </x:si>
  <x:si>
    <x:t>http://id.who.int/icd/entity/197114358</x:t>
  </x:si>
  <x:si>
    <x:t>http://id.who.int/icd/release/11/beta/ichi/197114358</x:t>
  </x:si>
  <x:si>
    <x:t>SXH.PM.ZZ</x:t>
  </x:si>
  <x:si>
    <x:t>- - - - Education about engaging in religion and spirituality</x:t>
  </x:si>
  <x:si>
    <x:t>http://id.who.int/icd/entity/2133275703</x:t>
  </x:si>
  <x:si>
    <x:t>http://id.who.int/icd/release/11/beta/ichi/2133275703</x:t>
  </x:si>
  <x:si>
    <x:t>SXH.PN.ZZ</x:t>
  </x:si>
  <x:si>
    <x:t>- - - - Advising about engaging in religion and spirituality</x:t>
  </x:si>
  <x:si>
    <x:t>http://id.who.int/icd/entity/1700793069</x:t>
  </x:si>
  <x:si>
    <x:t>http://id.who.int/icd/release/11/beta/ichi/1700793069</x:t>
  </x:si>
  <x:si>
    <x:t>SXH.RB.ZZ</x:t>
  </x:si>
  <x:si>
    <x:t>- - - - Practical support with engaging in religion and spirituality</x:t>
  </x:si>
  <x:si>
    <x:t>http://id.who.int/icd/entity/347566052</x:t>
  </x:si>
  <x:si>
    <x:t>http://id.who.int/icd/release/11/beta/ichi/347566052</x:t>
  </x:si>
  <x:si>
    <x:t>SXH.RC.ZZ</x:t>
  </x:si>
  <x:si>
    <x:t>- - - - Emotional support for engaging in religion and spirituality</x:t>
  </x:si>
  <x:si>
    <x:t>http://id.who.int/icd/entity/1681245295</x:t>
  </x:si>
  <x:si>
    <x:t>http://id.who.int/icd/release/11/beta/ichi/1681245295</x:t>
  </x:si>
  <x:si>
    <x:t>SXH.TA.ZZ</x:t>
  </x:si>
  <x:si>
    <x:t>- - - - Advocacy in relation to engaging in religion and spirituality</x:t>
  </x:si>
  <x:si>
    <x:t>http://id.who.int/icd/entity/1265974977</x:t>
  </x:si>
  <x:si>
    <x:t>http://id.who.int/icd/release/11/beta/ichi/1265974977</x:t>
  </x:si>
  <x:si>
    <x:t>SXK.AA.ZZ</x:t>
  </x:si>
  <x:si>
    <x:t>- - - - Assessment of enjoying human rights</x:t>
  </x:si>
  <x:si>
    <x:t>http://id.who.int/icd/entity/507168912</x:t>
  </x:si>
  <x:si>
    <x:t>http://id.who.int/icd/release/11/beta/ichi/507168912</x:t>
  </x:si>
  <x:si>
    <x:t>SXK.PM.ZZ</x:t>
  </x:si>
  <x:si>
    <x:t>- - - - Education about enjoying human rights</x:t>
  </x:si>
  <x:si>
    <x:t>http://id.who.int/icd/entity/1354480091</x:t>
  </x:si>
  <x:si>
    <x:t>http://id.who.int/icd/release/11/beta/ichi/1354480091</x:t>
  </x:si>
  <x:si>
    <x:t>SXK.PN.ZZ</x:t>
  </x:si>
  <x:si>
    <x:t>- - - - Advising about enjoying in human rights</x:t>
  </x:si>
  <x:si>
    <x:t>http://id.who.int/icd/entity/75363926</x:t>
  </x:si>
  <x:si>
    <x:t>http://id.who.int/icd/release/11/beta/ichi/75363926</x:t>
  </x:si>
  <x:si>
    <x:t>SXK.RB.ZZ</x:t>
  </x:si>
  <x:si>
    <x:t>- - - - Practical support with enjoying human rights</x:t>
  </x:si>
  <x:si>
    <x:t>http://id.who.int/icd/entity/559239942</x:t>
  </x:si>
  <x:si>
    <x:t>http://id.who.int/icd/release/11/beta/ichi/559239942</x:t>
  </x:si>
  <x:si>
    <x:t>SXK.RC.ZZ</x:t>
  </x:si>
  <x:si>
    <x:t>- - - - Emotional support for enjoying human rights</x:t>
  </x:si>
  <x:si>
    <x:t>http://id.who.int/icd/entity/236300714</x:t>
  </x:si>
  <x:si>
    <x:t>http://id.who.int/icd/release/11/beta/ichi/236300714</x:t>
  </x:si>
  <x:si>
    <x:t>SXK.TA.ZZ</x:t>
  </x:si>
  <x:si>
    <x:t>- - - - Advocacy in relation to enjoying human rights</x:t>
  </x:si>
  <x:si>
    <x:t>http://id.who.int/icd/entity/2123825701</x:t>
  </x:si>
  <x:si>
    <x:t>http://id.who.int/icd/release/11/beta/ichi/2123825701</x:t>
  </x:si>
  <x:si>
    <x:t>SXL.AA.ZZ</x:t>
  </x:si>
  <x:si>
    <x:t>- - - - Assessment of engaging in political life and citizenship</x:t>
  </x:si>
  <x:si>
    <x:t>http://id.who.int/icd/entity/2463994</x:t>
  </x:si>
  <x:si>
    <x:t>http://id.who.int/icd/release/11/beta/ichi/2463994</x:t>
  </x:si>
  <x:si>
    <x:t>SXL.PM.ZZ</x:t>
  </x:si>
  <x:si>
    <x:t>- - - - Education about engaging in life and citizenship</x:t>
  </x:si>
  <x:si>
    <x:t>http://id.who.int/icd/entity/832555696</x:t>
  </x:si>
  <x:si>
    <x:t>http://id.who.int/icd/release/11/beta/ichi/832555696</x:t>
  </x:si>
  <x:si>
    <x:t>SXL.PN.ZZ</x:t>
  </x:si>
  <x:si>
    <x:t>- - - - Advising about engaging in political life and citizenship</x:t>
  </x:si>
  <x:si>
    <x:t>http://id.who.int/icd/entity/1861888995</x:t>
  </x:si>
  <x:si>
    <x:t>http://id.who.int/icd/release/11/beta/ichi/1861888995</x:t>
  </x:si>
  <x:si>
    <x:t>SXL.RB.ZZ</x:t>
  </x:si>
  <x:si>
    <x:t>- - - - Practical support with engaging in political life and citizenship</x:t>
  </x:si>
  <x:si>
    <x:t>http://id.who.int/icd/entity/1631822705</x:t>
  </x:si>
  <x:si>
    <x:t>http://id.who.int/icd/release/11/beta/ichi/1631822705</x:t>
  </x:si>
  <x:si>
    <x:t>SXL.RC.ZZ</x:t>
  </x:si>
  <x:si>
    <x:t>- - - - Emotional support for engaging in political life and citizenship</x:t>
  </x:si>
  <x:si>
    <x:t>http://id.who.int/icd/entity/297863420</x:t>
  </x:si>
  <x:si>
    <x:t>http://id.who.int/icd/release/11/beta/ichi/297863420</x:t>
  </x:si>
  <x:si>
    <x:t>SXL.TA.ZZ</x:t>
  </x:si>
  <x:si>
    <x:t>- - - - Advocacy in relation to engaging in political life and citizenship</x:t>
  </x:si>
  <x:si>
    <x:t>http://id.who.int/icd/release/11/beta/ichi/183622695/other</x:t>
  </x:si>
  <x:si>
    <x:t>SZZ.ZY.ZY</x:t>
  </x:si>
  <x:si>
    <x:t>- - - Other specified interventions on activities and participation domains</x:t>
  </x:si>
  <x:si>
    <x:t>http://id.who.int/icd/release/11/beta/ichi/183622695/unspecified</x:t>
  </x:si>
  <x:si>
    <x:t>SZZ.ZZ.ZZ</x:t>
  </x:si>
  <x:si>
    <x:t>- - - Interventions on activities and participation domains, unspecified</x:t>
  </x:si>
  <x:si>
    <x:t>http://id.who.int/icd/entity/827551950</x:t>
  </x:si>
  <x:si>
    <x:t>http://id.who.int/icd/release/11/beta/ichi/827551950</x:t>
  </x:si>
  <x:si>
    <x:t>BlockL2-UA1</x:t>
  </x:si>
  <x:si>
    <x:t>- - Interventions on the environment</x:t>
  </x:si>
  <x:si>
    <x:t>http://id.who.int/icd/entity/1855005165</x:t>
  </x:si>
  <x:si>
    <x:t>http://id.who.int/icd/release/11/beta/ichi/1855005165</x:t>
  </x:si>
  <x:si>
    <x:t>BlockL3-UA1</x:t>
  </x:si>
  <x:si>
    <x:t>- - - Interventions on products and technology</x:t>
  </x:si>
  <x:si>
    <x:t>245</x:t>
  </x:si>
  <x:si>
    <x:t>http://id.who.int/icd/entity/1960189751</x:t>
  </x:si>
  <x:si>
    <x:t>http://id.who.int/icd/release/11/beta/ichi/1960189751</x:t>
  </x:si>
  <x:si>
    <x:t>UA1.AA.ZZ</x:t>
  </x:si>
  <x:si>
    <x:t>- - - - Assessment of products and technology, unspecified</x:t>
  </x:si>
  <x:si>
    <x:t>http://id.who.int/icd/entity/455583136</x:t>
  </x:si>
  <x:si>
    <x:t>http://id.who.int/icd/release/11/beta/ichi/455583136</x:t>
  </x:si>
  <x:si>
    <x:t>UA1.DP.ZZ</x:t>
  </x:si>
  <x:si>
    <x:t>- - - - Installation of assistive products, unspecified</x:t>
  </x:si>
  <x:si>
    <x:t>http://id.who.int/icd/entity/1679591041</x:t>
  </x:si>
  <x:si>
    <x:t>http://id.who.int/icd/release/11/beta/ichi/1679591041</x:t>
  </x:si>
  <x:si>
    <x:t>UA1.KB.ZZ</x:t>
  </x:si>
  <x:si>
    <x:t>- - - - Change of products and technology, unspecified</x:t>
  </x:si>
  <x:si>
    <x:t>http://id.who.int/icd/entity/290454116</x:t>
  </x:si>
  <x:si>
    <x:t>http://id.who.int/icd/release/11/beta/ichi/290454116</x:t>
  </x:si>
  <x:si>
    <x:t>UA1.PH.ZZ</x:t>
  </x:si>
  <x:si>
    <x:t>- - - - Training in the use of products and technology, unspecified</x:t>
  </x:si>
  <x:si>
    <x:t>http://id.who.int/icd/entity/1640845807</x:t>
  </x:si>
  <x:si>
    <x:t>http://id.who.int/icd/release/11/beta/ichi/1640845807</x:t>
  </x:si>
  <x:si>
    <x:t>UA1.PJ.ZZ</x:t>
  </x:si>
  <x:si>
    <x:t>- - - - Deconditioning from products and technology, unspecified</x:t>
  </x:si>
  <x:si>
    <x:t>http://id.who.int/icd/entity/1317907265</x:t>
  </x:si>
  <x:si>
    <x:t>http://id.who.int/icd/release/11/beta/ichi/1317907265</x:t>
  </x:si>
  <x:si>
    <x:t>UA1.PM.ZZ</x:t>
  </x:si>
  <x:si>
    <x:t>- - - - Education about products and technology, unspecified</x:t>
  </x:si>
  <x:si>
    <x:t>http://id.who.int/icd/entity/784701818</x:t>
  </x:si>
  <x:si>
    <x:t>http://id.who.int/icd/release/11/beta/ichi/784701818</x:t>
  </x:si>
  <x:si>
    <x:t>UA1.PN.ZZ</x:t>
  </x:si>
  <x:si>
    <x:t>- - - - Advising about products and technology, unspecified</x:t>
  </x:si>
  <x:si>
    <x:t>http://id.who.int/icd/entity/880977824</x:t>
  </x:si>
  <x:si>
    <x:t>http://id.who.int/icd/release/11/beta/ichi/880977824</x:t>
  </x:si>
  <x:si>
    <x:t>UA1.RB.ZZ</x:t>
  </x:si>
  <x:si>
    <x:t>- - - - Practical support with products and technology, unspecified</x:t>
  </x:si>
  <x:si>
    <x:t>http://id.who.int/icd/entity/1065793806</x:t>
  </x:si>
  <x:si>
    <x:t>http://id.who.int/icd/release/11/beta/ichi/1065793806</x:t>
  </x:si>
  <x:si>
    <x:t>UA1.RC.ZZ</x:t>
  </x:si>
  <x:si>
    <x:t>- - - - Emotional support for products and technology, unspecified</x:t>
  </x:si>
  <x:si>
    <x:t>http://id.who.int/icd/entity/778184972</x:t>
  </x:si>
  <x:si>
    <x:t>http://id.who.int/icd/release/11/beta/ichi/778184972</x:t>
  </x:si>
  <x:si>
    <x:t>UA1.RD.ZZ</x:t>
  </x:si>
  <x:si>
    <x:t>- - - - Provision of products and technology, unspecified</x:t>
  </x:si>
  <x:si>
    <x:t>http://id.who.int/icd/entity/1364789781</x:t>
  </x:si>
  <x:si>
    <x:t>http://id.who.int/icd/release/11/beta/ichi/1364789781</x:t>
  </x:si>
  <x:si>
    <x:t>UA1.SJ.ZZ</x:t>
  </x:si>
  <x:si>
    <x:t>- - - - Manufacturing of products and technology, unspecified</x:t>
  </x:si>
  <x:si>
    <x:t>http://id.who.int/icd/entity/763392815</x:t>
  </x:si>
  <x:si>
    <x:t>http://id.who.int/icd/release/11/beta/ichi/763392815</x:t>
  </x:si>
  <x:si>
    <x:t>UA1.SM.ZZ</x:t>
  </x:si>
  <x:si>
    <x:t>- - - - Management of products and technology, unspecified</x:t>
  </x:si>
  <x:si>
    <x:t>http://id.who.int/icd/entity/1661010556</x:t>
  </x:si>
  <x:si>
    <x:t>http://id.who.int/icd/release/11/beta/ichi/1661010556</x:t>
  </x:si>
  <x:si>
    <x:t>UA1.SO.ZZ</x:t>
  </x:si>
  <x:si>
    <x:t>- - - - Removal of assistive products, unspecified</x:t>
  </x:si>
  <x:si>
    <x:t>http://id.who.int/icd/entity/935808501</x:t>
  </x:si>
  <x:si>
    <x:t>http://id.who.int/icd/release/11/beta/ichi/935808501</x:t>
  </x:si>
  <x:si>
    <x:t>UA1.TI.ZZ</x:t>
  </x:si>
  <x:si>
    <x:t>- - - - Prescription of products and technology, unspecified</x:t>
  </x:si>
  <x:si>
    <x:t>http://id.who.int/icd/entity/302649399</x:t>
  </x:si>
  <x:si>
    <x:t>http://id.who.int/icd/release/11/beta/ichi/302649399</x:t>
  </x:si>
  <x:si>
    <x:t>UA1.VB.ZZ</x:t>
  </x:si>
  <x:si>
    <x:t>- - - - Awareness raising concerning products and technology, unspecified</x:t>
  </x:si>
  <x:si>
    <x:t>http://id.who.int/icd/entity/1831940904</x:t>
  </x:si>
  <x:si>
    <x:t>http://id.who.int/icd/release/11/beta/ichi/1831940904</x:t>
  </x:si>
  <x:si>
    <x:t>UA1.VC.ZZ</x:t>
  </x:si>
  <x:si>
    <x:t>- - - - Public health surveillance concerning products and technology, unspecified</x:t>
  </x:si>
  <x:si>
    <x:t>http://id.who.int/icd/entity/55128129</x:t>
  </x:si>
  <x:si>
    <x:t>http://id.who.int/icd/release/11/beta/ichi/55128129</x:t>
  </x:si>
  <x:si>
    <x:t>UA1.VF.ZZ</x:t>
  </x:si>
  <x:si>
    <x:t>- - - - Alert concerning products or technologies, unspecified</x:t>
  </x:si>
  <x:si>
    <x:t>http://id.who.int/icd/entity/761629631</x:t>
  </x:si>
  <x:si>
    <x:t>http://id.who.int/icd/release/11/beta/ichi/761629631</x:t>
  </x:si>
  <x:si>
    <x:t>UA1.WC.QD</x:t>
  </x:si>
  <x:si>
    <x:t>- - - - Restrictions through enactment of laws or standards on the sale or distribution of products or technologies, unspecified</x:t>
  </x:si>
  <x:si>
    <x:t>http://id.who.int/icd/entity/1201676010</x:t>
  </x:si>
  <x:si>
    <x:t>http://id.who.int/icd/release/11/beta/ichi/1201676010</x:t>
  </x:si>
  <x:si>
    <x:t>UA1.WC.QE</x:t>
  </x:si>
  <x:si>
    <x:t>- - - - Restrictions through enforcement of laws or standards on the sale or distribution of products or technologies, unspecified</x:t>
  </x:si>
  <x:si>
    <x:t>http://id.who.int/icd/entity/118578927</x:t>
  </x:si>
  <x:si>
    <x:t>http://id.who.int/icd/release/11/beta/ichi/118578927</x:t>
  </x:si>
  <x:si>
    <x:t>UA1.WC.ZZ</x:t>
  </x:si>
  <x:si>
    <x:t>- - - - Restrictions or requirements concerning the sale or distribution of products or technologies, unspecified</x:t>
  </x:si>
  <x:si>
    <x:t>http://id.who.int/icd/entity/1842662328</x:t>
  </x:si>
  <x:si>
    <x:t>http://id.who.int/icd/release/11/beta/ichi/1842662328</x:t>
  </x:si>
  <x:si>
    <x:t>UA1.WD.QD</x:t>
  </x:si>
  <x:si>
    <x:t>- - - - Restrictions through enactment of laws or standards on advertising, promotion or sponsorship of products or technologies, unspecified</x:t>
  </x:si>
  <x:si>
    <x:t>http://id.who.int/icd/entity/1473066798</x:t>
  </x:si>
  <x:si>
    <x:t>http://id.who.int/icd/release/11/beta/ichi/1473066798</x:t>
  </x:si>
  <x:si>
    <x:t>UA1.WD.QE</x:t>
  </x:si>
  <x:si>
    <x:t>- - - - Restrictions through enforcement of laws or standards on the advertising, promotion or sponsorship of products or technologies, unspecified</x:t>
  </x:si>
  <x:si>
    <x:t>http://id.who.int/icd/entity/2022559106</x:t>
  </x:si>
  <x:si>
    <x:t>http://id.who.int/icd/release/11/beta/ichi/2022559106</x:t>
  </x:si>
  <x:si>
    <x:t>UA1.WD.ZZ</x:t>
  </x:si>
  <x:si>
    <x:t>- - - - Restrictions or requirements concerning the advertising, promotion or sponsorship of products or technologies, unspecfied</x:t>
  </x:si>
  <x:si>
    <x:t>http://id.who.int/icd/entity/135226893</x:t>
  </x:si>
  <x:si>
    <x:t>http://id.who.int/icd/release/11/beta/ichi/135226893</x:t>
  </x:si>
  <x:si>
    <x:t>UA1.WE.QD</x:t>
  </x:si>
  <x:si>
    <x:t>- - - - Restrictions through enactment of laws or standards on the production or importation of products or technologies, unspecified</x:t>
  </x:si>
  <x:si>
    <x:t>http://id.who.int/icd/entity/912766683</x:t>
  </x:si>
  <x:si>
    <x:t>http://id.who.int/icd/release/11/beta/ichi/912766683</x:t>
  </x:si>
  <x:si>
    <x:t>UA1.WE.QE</x:t>
  </x:si>
  <x:si>
    <x:t>- - - - Restrictions through enforcement of laws or standards on the production or importation of products or technologies, unspecified</x:t>
  </x:si>
  <x:si>
    <x:t>http://id.who.int/icd/entity/1049109900</x:t>
  </x:si>
  <x:si>
    <x:t>http://id.who.int/icd/release/11/beta/ichi/1049109900</x:t>
  </x:si>
  <x:si>
    <x:t>UA1.WE.ZZ</x:t>
  </x:si>
  <x:si>
    <x:t>- - - - Restrictions on production or importation of products or technologies, unspecified</x:t>
  </x:si>
  <x:si>
    <x:t>http://id.who.int/icd/entity/2086359474</x:t>
  </x:si>
  <x:si>
    <x:t>http://id.who.int/icd/release/11/beta/ichi/2086359474</x:t>
  </x:si>
  <x:si>
    <x:t>UA1.WF.QD</x:t>
  </x:si>
  <x:si>
    <x:t>- - - - Restrictions through enactment of laws or standards on the consumption or use of products or technologies, unspecified</x:t>
  </x:si>
  <x:si>
    <x:t>http://id.who.int/icd/entity/1021972919</x:t>
  </x:si>
  <x:si>
    <x:t>http://id.who.int/icd/release/11/beta/ichi/1021972919</x:t>
  </x:si>
  <x:si>
    <x:t>UA1.WF.QE</x:t>
  </x:si>
  <x:si>
    <x:t>- - - - Restrictions through enforcement of laws or standards on the consumption or use of products and technology, unspecified</x:t>
  </x:si>
  <x:si>
    <x:t>http://id.who.int/icd/entity/1445954784</x:t>
  </x:si>
  <x:si>
    <x:t>http://id.who.int/icd/release/11/beta/ichi/1445954784</x:t>
  </x:si>
  <x:si>
    <x:t>UA1.WF.ZZ</x:t>
  </x:si>
  <x:si>
    <x:t>- - - - Restrictions concerning the consumption or use of products or technologies, unspecified</x:t>
  </x:si>
  <x:si>
    <x:t>http://id.who.int/icd/entity/1727633404</x:t>
  </x:si>
  <x:si>
    <x:t>http://id.who.int/icd/release/11/beta/ichi/1727633404</x:t>
  </x:si>
  <x:si>
    <x:t>UA1.WG.QF</x:t>
  </x:si>
  <x:si>
    <x:t>- - - - Economic incentives concerning products and technology in relation to health, unspecified</x:t>
  </x:si>
  <x:si>
    <x:t>http://id.who.int/icd/entity/843044981</x:t>
  </x:si>
  <x:si>
    <x:t>http://id.who.int/icd/release/11/beta/ichi/843044981</x:t>
  </x:si>
  <x:si>
    <x:t>UA1.WG.ZZ</x:t>
  </x:si>
  <x:si>
    <x:t>- - - - Applying incentives concerning products and technology, unspecified</x:t>
  </x:si>
  <x:si>
    <x:t>http://id.who.int/icd/entity/1947431569</x:t>
  </x:si>
  <x:si>
    <x:t>http://id.who.int/icd/release/11/beta/ichi/1947431569</x:t>
  </x:si>
  <x:si>
    <x:t>UA1.WI.ZZ</x:t>
  </x:si>
  <x:si>
    <x:t>- - - - Restrictions through laws or standards on production or importation of products or technologies, unspecified</x:t>
  </x:si>
  <x:si>
    <x:t>http://id.who.int/icd/entity/1735405114</x:t>
  </x:si>
  <x:si>
    <x:t>http://id.who.int/icd/release/11/beta/ichi/1735405114</x:t>
  </x:si>
  <x:si>
    <x:t>UA1.WJ.ZZ</x:t>
  </x:si>
  <x:si>
    <x:t>- - - - Policy change concerning products and technology, unspecified</x:t>
  </x:si>
  <x:si>
    <x:t>http://id.who.int/icd/entity/1211159702</x:t>
  </x:si>
  <x:si>
    <x:t>http://id.who.int/icd/release/11/beta/ichi/1211159702</x:t>
  </x:si>
  <x:si>
    <x:t>UA1.ZZ.ZZ</x:t>
  </x:si>
  <x:si>
    <x:t>- - - - Other interventions targeting unspecified products and technology</x:t>
  </x:si>
  <x:si>
    <x:t>http://id.who.int/icd/entity/951222041</x:t>
  </x:si>
  <x:si>
    <x:t>http://id.who.int/icd/release/11/beta/ichi/951222041</x:t>
  </x:si>
  <x:si>
    <x:t>UAA.AA.ZZ</x:t>
  </x:si>
  <x:si>
    <x:t>- - - - Assessment of products and substances for personal consumption</x:t>
  </x:si>
  <x:si>
    <x:t>http://id.who.int/icd/entity/1389386302</x:t>
  </x:si>
  <x:si>
    <x:t>http://id.who.int/icd/release/11/beta/ichi/1389386302</x:t>
  </x:si>
  <x:si>
    <x:t>UAA.PM.ZZ</x:t>
  </x:si>
  <x:si>
    <x:t>- - - - Education about products and substances for personal consumption</x:t>
  </x:si>
  <x:si>
    <x:t>http://id.who.int/icd/entity/770406689</x:t>
  </x:si>
  <x:si>
    <x:t>http://id.who.int/icd/release/11/beta/ichi/770406689</x:t>
  </x:si>
  <x:si>
    <x:t>UAA.RD.ZZ</x:t>
  </x:si>
  <x:si>
    <x:t>- - - - Providing goods for personal consumption</x:t>
  </x:si>
  <x:si>
    <x:t>http://id.who.int/icd/entity/735126450</x:t>
  </x:si>
  <x:si>
    <x:t>http://id.who.int/icd/release/11/beta/ichi/735126450</x:t>
  </x:si>
  <x:si>
    <x:t>UAA.TA.ZZ</x:t>
  </x:si>
  <x:si>
    <x:t>- - - - Advocacy in relation to products or substances for personal consumption</x:t>
  </x:si>
  <x:si>
    <x:t>http://id.who.int/icd/entity/1133738570</x:t>
  </x:si>
  <x:si>
    <x:t>http://id.who.int/icd/release/11/beta/ichi/1133738570</x:t>
  </x:si>
  <x:si>
    <x:t>UAA.TD.ZZ</x:t>
  </x:si>
  <x:si>
    <x:t>- - - - Collaborating or building partnerships in relation to products or substances for personal consumption</x:t>
  </x:si>
  <x:si>
    <x:t>http://id.who.int/icd/entity/206030239</x:t>
  </x:si>
  <x:si>
    <x:t>http://id.who.int/icd/release/11/beta/ichi/206030239</x:t>
  </x:si>
  <x:si>
    <x:t>UAA.TI.ZZ</x:t>
  </x:si>
  <x:si>
    <x:t>- - - - Prescription of products or substances for personal consumption</x:t>
  </x:si>
  <x:si>
    <x:t>http://id.who.int/icd/entity/369163077</x:t>
  </x:si>
  <x:si>
    <x:t>http://id.who.int/icd/release/11/beta/ichi/369163077</x:t>
  </x:si>
  <x:si>
    <x:t>UAA.VB.ZZ</x:t>
  </x:si>
  <x:si>
    <x:t>- - - - Awareness raising concerning products or substances for personal consumption</x:t>
  </x:si>
  <x:si>
    <x:t>http://id.who.int/icd/entity/486860265</x:t>
  </x:si>
  <x:si>
    <x:t>http://id.who.int/icd/release/11/beta/ichi/486860265</x:t>
  </x:si>
  <x:si>
    <x:t>UAA.VC.ZZ</x:t>
  </x:si>
  <x:si>
    <x:t>- - - - Public health surveillance concerning products or substances for personal consumption</x:t>
  </x:si>
  <x:si>
    <x:t>http://id.who.int/icd/entity/1672904504</x:t>
  </x:si>
  <x:si>
    <x:t>http://id.who.int/icd/release/11/beta/ichi/1672904504</x:t>
  </x:si>
  <x:si>
    <x:t>UAA.WG.QF</x:t>
  </x:si>
  <x:si>
    <x:t>- - - - Economic incentives concerning products or substances for personal consumption</x:t>
  </x:si>
  <x:si>
    <x:t>http://id.who.int/icd/entity/479026217</x:t>
  </x:si>
  <x:si>
    <x:t>http://id.who.int/icd/release/11/beta/ichi/479026217</x:t>
  </x:si>
  <x:si>
    <x:t>UAA.WG.ZZ</x:t>
  </x:si>
  <x:si>
    <x:t>- - - - Applying incentives concerning products or substances for personal consumption</x:t>
  </x:si>
  <x:si>
    <x:t>http://id.who.int/icd/entity/1776165068</x:t>
  </x:si>
  <x:si>
    <x:t>http://id.who.int/icd/release/11/beta/ichi/1776165068</x:t>
  </x:si>
  <x:si>
    <x:t>UAA.WJ.ZZ</x:t>
  </x:si>
  <x:si>
    <x:t>- - - - Policy change concerning products or substances for personal consumption</x:t>
  </x:si>
  <x:si>
    <x:t>http://id.who.int/icd/entity/425495367</x:t>
  </x:si>
  <x:si>
    <x:t>http://id.who.int/icd/release/11/beta/ichi/425495367</x:t>
  </x:si>
  <x:si>
    <x:t>UAB.AA.ZZ</x:t>
  </x:si>
  <x:si>
    <x:t>- - - - Assessment of food</x:t>
  </x:si>
  <x:si>
    <x:t>http://id.who.int/icd/entity/1325914532</x:t>
  </x:si>
  <x:si>
    <x:t>http://id.who.int/icd/release/11/beta/ichi/1325914532</x:t>
  </x:si>
  <x:si>
    <x:t>UAB.DA.ZZ</x:t>
  </x:si>
  <x:si>
    <x:t>- - - - Food modification</x:t>
  </x:si>
  <x:si>
    <x:t>http://id.who.int/icd/entity/384107477</x:t>
  </x:si>
  <x:si>
    <x:t>http://id.who.int/icd/release/11/beta/ichi/384107477</x:t>
  </x:si>
  <x:si>
    <x:t>UAB.PM.ZZ</x:t>
  </x:si>
  <x:si>
    <x:t>- - - - Education about food</x:t>
  </x:si>
  <x:si>
    <x:t>http://id.who.int/icd/entity/103783011</x:t>
  </x:si>
  <x:si>
    <x:t>http://id.who.int/icd/release/11/beta/ichi/103783011</x:t>
  </x:si>
  <x:si>
    <x:t>UAB.RD.ZZ</x:t>
  </x:si>
  <x:si>
    <x:t>- - - - Providing food</x:t>
  </x:si>
  <x:si>
    <x:t>http://id.who.int/icd/entity/1276345608</x:t>
  </x:si>
  <x:si>
    <x:t>http://id.who.int/icd/release/11/beta/ichi/1276345608</x:t>
  </x:si>
  <x:si>
    <x:t>UAB.TD.ZZ</x:t>
  </x:si>
  <x:si>
    <x:t>- - - - Collaborating or building partnerships in relation to food</x:t>
  </x:si>
  <x:si>
    <x:t>http://id.who.int/icd/entity/2134127144</x:t>
  </x:si>
  <x:si>
    <x:t>http://id.who.int/icd/release/11/beta/ichi/2134127144</x:t>
  </x:si>
  <x:si>
    <x:t>UAB.TI.ZZ</x:t>
  </x:si>
  <x:si>
    <x:t>- - - - Prescription of food</x:t>
  </x:si>
  <x:si>
    <x:t>http://id.who.int/icd/entity/1192715174</x:t>
  </x:si>
  <x:si>
    <x:t>http://id.who.int/icd/release/11/beta/ichi/1192715174</x:t>
  </x:si>
  <x:si>
    <x:t>UAB.TK.ZZ</x:t>
  </x:si>
  <x:si>
    <x:t>- - - - Public facilities or infrastructure development to improve availability of or access to healthy food</x:t>
  </x:si>
  <x:si>
    <x:t>http://id.who.int/icd/entity/1251635021</x:t>
  </x:si>
  <x:si>
    <x:t>http://id.who.int/icd/release/11/beta/ichi/1251635021</x:t>
  </x:si>
  <x:si>
    <x:t>UAB.TM.ZZ</x:t>
  </x:si>
  <x:si>
    <x:t>- - - - Environment modification in relation to food</x:t>
  </x:si>
  <x:si>
    <x:t>http://id.who.int/icd/entity/1980400030</x:t>
  </x:si>
  <x:si>
    <x:t>http://id.who.int/icd/release/11/beta/ichi/1980400030</x:t>
  </x:si>
  <x:si>
    <x:t>UAB.VA.ZZ</x:t>
  </x:si>
  <x:si>
    <x:t>- - - - Capacity building targeting food safety and security</x:t>
  </x:si>
  <x:si>
    <x:t>http://id.who.int/icd/entity/1498053426</x:t>
  </x:si>
  <x:si>
    <x:t>http://id.who.int/icd/release/11/beta/ichi/1498053426</x:t>
  </x:si>
  <x:si>
    <x:t>UAB.VB.ZZ</x:t>
  </x:si>
  <x:si>
    <x:t>- - - - Awareness raising concerning food safety and security</x:t>
  </x:si>
  <x:si>
    <x:t>http://id.who.int/icd/entity/1289734006</x:t>
  </x:si>
  <x:si>
    <x:t>http://id.who.int/icd/release/11/beta/ichi/1289734006</x:t>
  </x:si>
  <x:si>
    <x:t>UAB.VC.ZZ</x:t>
  </x:si>
  <x:si>
    <x:t>- - - - Public health surveillance concerning food safety and security</x:t>
  </x:si>
  <x:si>
    <x:t>http://id.who.int/icd/entity/581420063</x:t>
  </x:si>
  <x:si>
    <x:t>http://id.who.int/icd/release/11/beta/ichi/581420063</x:t>
  </x:si>
  <x:si>
    <x:t>UAB.VF.ZZ</x:t>
  </x:si>
  <x:si>
    <x:t>- - - - Alert concerning food</x:t>
  </x:si>
  <x:si>
    <x:t>http://id.who.int/icd/entity/1986104210</x:t>
  </x:si>
  <x:si>
    <x:t>http://id.who.int/icd/release/11/beta/ichi/1986104210</x:t>
  </x:si>
  <x:si>
    <x:t>UAB.VI.QD</x:t>
  </x:si>
  <x:si>
    <x:t>- - - - Fortification of staple foods through enactment of laws or standards</x:t>
  </x:si>
  <x:si>
    <x:t>http://id.who.int/icd/entity/1934992496</x:t>
  </x:si>
  <x:si>
    <x:t>http://id.who.int/icd/release/11/beta/ichi/1934992496</x:t>
  </x:si>
  <x:si>
    <x:t>UAB.VI.QE</x:t>
  </x:si>
  <x:si>
    <x:t>- - - - Fortification of staple foods through enforcement of laws or standards</x:t>
  </x:si>
  <x:si>
    <x:t>http://id.who.int/icd/entity/208570225</x:t>
  </x:si>
  <x:si>
    <x:t>http://id.who.int/icd/release/11/beta/ichi/208570225</x:t>
  </x:si>
  <x:si>
    <x:t>UAB.VI.ZZ</x:t>
  </x:si>
  <x:si>
    <x:t>- - - - Fortification of staple foods</x:t>
  </x:si>
  <x:si>
    <x:t>http://id.who.int/icd/entity/1645642776</x:t>
  </x:si>
  <x:si>
    <x:t>http://id.who.int/icd/release/11/beta/ichi/1645642776</x:t>
  </x:si>
  <x:si>
    <x:t>UAB.WG.QF</x:t>
  </x:si>
  <x:si>
    <x:t>- - - - Economic incentives to improve food safety and security</x:t>
  </x:si>
  <x:si>
    <x:t>http://id.who.int/icd/entity/161920912</x:t>
  </x:si>
  <x:si>
    <x:t>http://id.who.int/icd/release/11/beta/ichi/161920912</x:t>
  </x:si>
  <x:si>
    <x:t>UAB.WG.ZZ</x:t>
  </x:si>
  <x:si>
    <x:t>- - - - Applying incentives to improve food safety and security</x:t>
  </x:si>
  <x:si>
    <x:t>http://id.who.int/icd/entity/163532831</x:t>
  </x:si>
  <x:si>
    <x:t>http://id.who.int/icd/release/11/beta/ichi/163532831</x:t>
  </x:si>
  <x:si>
    <x:t>UAB.WI.QD</x:t>
  </x:si>
  <x:si>
    <x:t>- - - - Restrictions through enactment of laws or standards in relation to food safety and security</x:t>
  </x:si>
  <x:si>
    <x:t>http://id.who.int/icd/entity/335048389</x:t>
  </x:si>
  <x:si>
    <x:t>http://id.who.int/icd/release/11/beta/ichi/335048389</x:t>
  </x:si>
  <x:si>
    <x:t>UAB.WI.QE</x:t>
  </x:si>
  <x:si>
    <x:t>- - - - Restrictions through enforcement of laws or standards on food safety and security</x:t>
  </x:si>
  <x:si>
    <x:t>http://id.who.int/icd/entity/419197033</x:t>
  </x:si>
  <x:si>
    <x:t>http://id.who.int/icd/release/11/beta/ichi/419197033</x:t>
  </x:si>
  <x:si>
    <x:t>UAB.WJ.ZZ</x:t>
  </x:si>
  <x:si>
    <x:t>- - - - Policy change concerning food safety and security</x:t>
  </x:si>
  <x:si>
    <x:t>http://id.who.int/icd/entity/427149737</x:t>
  </x:si>
  <x:si>
    <x:t>http://id.who.int/icd/release/11/beta/ichi/427149737</x:t>
  </x:si>
  <x:si>
    <x:t>UAC.AA.ZZ</x:t>
  </x:si>
  <x:si>
    <x:t>- - - - Assessment of medications</x:t>
  </x:si>
  <x:si>
    <x:t>http://id.who.int/icd/entity/1528215700</x:t>
  </x:si>
  <x:si>
    <x:t>http://id.who.int/icd/release/11/beta/ichi/1528215700</x:t>
  </x:si>
  <x:si>
    <x:t>UAC.PH.ZZ</x:t>
  </x:si>
  <x:si>
    <x:t>- - - - Training about medications</x:t>
  </x:si>
  <x:si>
    <x:t>http://id.who.int/icd/entity/1408147124</x:t>
  </x:si>
  <x:si>
    <x:t>http://id.who.int/icd/release/11/beta/ichi/1408147124</x:t>
  </x:si>
  <x:si>
    <x:t>UAC.PM.ZZ</x:t>
  </x:si>
  <x:si>
    <x:t>- - - - Education about medications</x:t>
  </x:si>
  <x:si>
    <x:t>http://id.who.int/icd/entity/493875175</x:t>
  </x:si>
  <x:si>
    <x:t>http://id.who.int/icd/release/11/beta/ichi/493875175</x:t>
  </x:si>
  <x:si>
    <x:t>UAC.PN.ZZ</x:t>
  </x:si>
  <x:si>
    <x:t>- - - - Advising about medications</x:t>
  </x:si>
  <x:si>
    <x:t>http://id.who.int/icd/entity/1235853418</x:t>
  </x:si>
  <x:si>
    <x:t>http://id.who.int/icd/release/11/beta/ichi/1235853418</x:t>
  </x:si>
  <x:si>
    <x:t>UAC.RB.ZZ</x:t>
  </x:si>
  <x:si>
    <x:t>- - - - Practical support with medications</x:t>
  </x:si>
  <x:si>
    <x:t>http://id.who.int/icd/entity/1609452213</x:t>
  </x:si>
  <x:si>
    <x:t>http://id.who.int/icd/release/11/beta/ichi/1609452213</x:t>
  </x:si>
  <x:si>
    <x:t>UAC.RC.ZZ</x:t>
  </x:si>
  <x:si>
    <x:t>- - - - Emotional support for medications</x:t>
  </x:si>
  <x:si>
    <x:t>http://id.who.int/icd/entity/1211752638</x:t>
  </x:si>
  <x:si>
    <x:t>http://id.who.int/icd/release/11/beta/ichi/1211752638</x:t>
  </x:si>
  <x:si>
    <x:t>UAC.RD.ZZ</x:t>
  </x:si>
  <x:si>
    <x:t>- - - - Providing medications</x:t>
  </x:si>
  <x:si>
    <x:t>http://id.who.int/icd/entity/259475309</x:t>
  </x:si>
  <x:si>
    <x:t>http://id.who.int/icd/release/11/beta/ichi/259475309</x:t>
  </x:si>
  <x:si>
    <x:t>UAC.RG.ZZ</x:t>
  </x:si>
  <x:si>
    <x:t>- - - - Providing services in relation to medications</x:t>
  </x:si>
  <x:si>
    <x:t>http://id.who.int/icd/entity/1354045008</x:t>
  </x:si>
  <x:si>
    <x:t>http://id.who.int/icd/release/11/beta/ichi/1354045008</x:t>
  </x:si>
  <x:si>
    <x:t>UAC.TA.ZZ</x:t>
  </x:si>
  <x:si>
    <x:t>- - - - Advocacy in relation to medications</x:t>
  </x:si>
  <x:si>
    <x:t>http://id.who.int/icd/entity/13553663</x:t>
  </x:si>
  <x:si>
    <x:t>http://id.who.int/icd/release/11/beta/ichi/13553663</x:t>
  </x:si>
  <x:si>
    <x:t>UAC.TB.ZZ</x:t>
  </x:si>
  <x:si>
    <x:t>- - - - Planning in relation to medications</x:t>
  </x:si>
  <x:si>
    <x:t>http://id.who.int/icd/entity/1255542478</x:t>
  </x:si>
  <x:si>
    <x:t>http://id.who.int/icd/release/11/beta/ichi/1255542478</x:t>
  </x:si>
  <x:si>
    <x:t>UAC.TD.ZZ</x:t>
  </x:si>
  <x:si>
    <x:t>- - - - Collaboration relating to medications</x:t>
  </x:si>
  <x:si>
    <x:t>http://id.who.int/icd/entity/249405626</x:t>
  </x:si>
  <x:si>
    <x:t>http://id.who.int/icd/release/11/beta/ichi/249405626</x:t>
  </x:si>
  <x:si>
    <x:t>UAC.VB.ZZ</x:t>
  </x:si>
  <x:si>
    <x:t>- - - - Awareness raising about medications</x:t>
  </x:si>
  <x:si>
    <x:t>http://id.who.int/icd/entity/1890496539</x:t>
  </x:si>
  <x:si>
    <x:t>http://id.who.int/icd/release/11/beta/ichi/1890496539</x:t>
  </x:si>
  <x:si>
    <x:t>UAC.VF.ZZ</x:t>
  </x:si>
  <x:si>
    <x:t>- - - - Alert concerning medications</x:t>
  </x:si>
  <x:si>
    <x:t>http://id.who.int/icd/entity/1043317070</x:t>
  </x:si>
  <x:si>
    <x:t>http://id.who.int/icd/release/11/beta/ichi/1043317070</x:t>
  </x:si>
  <x:si>
    <x:t>UAD.AA.ZZ</x:t>
  </x:si>
  <x:si>
    <x:t>- - - - Assessment of products and technology for personal use in daily living</x:t>
  </x:si>
  <x:si>
    <x:t>http://id.who.int/icd/entity/1524262219</x:t>
  </x:si>
  <x:si>
    <x:t>http://id.who.int/icd/release/11/beta/ichi/1524262219</x:t>
  </x:si>
  <x:si>
    <x:t>UAD.DP.ZZ</x:t>
  </x:si>
  <x:si>
    <x:t>- - - - Installation of assistive products for personal use in daily living</x:t>
  </x:si>
  <x:si>
    <x:t>http://id.who.int/icd/entity/797514154</x:t>
  </x:si>
  <x:si>
    <x:t>http://id.who.int/icd/release/11/beta/ichi/797514154</x:t>
  </x:si>
  <x:si>
    <x:t>UAD.KB.ZZ</x:t>
  </x:si>
  <x:si>
    <x:t>- - - - Change of products and technology for personal use in daily living</x:t>
  </x:si>
  <x:si>
    <x:t>http://id.who.int/icd/entity/1353857719</x:t>
  </x:si>
  <x:si>
    <x:t>http://id.who.int/icd/release/11/beta/ichi/1353857719</x:t>
  </x:si>
  <x:si>
    <x:t>UAD.PH.ZZ</x:t>
  </x:si>
  <x:si>
    <x:t>- - - - Training in the use of products and technology for personal use in daily living</x:t>
  </x:si>
  <x:si>
    <x:t>http://id.who.int/icd/entity/251253334</x:t>
  </x:si>
  <x:si>
    <x:t>http://id.who.int/icd/release/11/beta/ichi/251253334</x:t>
  </x:si>
  <x:si>
    <x:t>UAD.PJ.ZZ</x:t>
  </x:si>
  <x:si>
    <x:t>- - - - Deconditioning from products and technology for personal use in daily living</x:t>
  </x:si>
  <x:si>
    <x:t>http://id.who.int/icd/entity/1153774911</x:t>
  </x:si>
  <x:si>
    <x:t>http://id.who.int/icd/release/11/beta/ichi/1153774911</x:t>
  </x:si>
  <x:si>
    <x:t>UAD.PM.ZZ</x:t>
  </x:si>
  <x:si>
    <x:t>- - - - Education about products and technology for personal use in daily living</x:t>
  </x:si>
  <x:si>
    <x:t>http://id.who.int/icd/entity/182711324</x:t>
  </x:si>
  <x:si>
    <x:t>http://id.who.int/icd/release/11/beta/ichi/182711324</x:t>
  </x:si>
  <x:si>
    <x:t>UAD.PN.ZZ</x:t>
  </x:si>
  <x:si>
    <x:t>- - - - Advising about products and technology for personal use in daily living</x:t>
  </x:si>
  <x:si>
    <x:t>http://id.who.int/icd/entity/2047497625</x:t>
  </x:si>
  <x:si>
    <x:t>http://id.who.int/icd/release/11/beta/ichi/2047497625</x:t>
  </x:si>
  <x:si>
    <x:t>UAD.RB.ZZ</x:t>
  </x:si>
  <x:si>
    <x:t>- - - - Practical support with products and technology for personal use in daily living</x:t>
  </x:si>
  <x:si>
    <x:t>http://id.who.int/icd/entity/1269827539</x:t>
  </x:si>
  <x:si>
    <x:t>http://id.who.int/icd/release/11/beta/ichi/1269827539</x:t>
  </x:si>
  <x:si>
    <x:t>UAD.RD.ZZ</x:t>
  </x:si>
  <x:si>
    <x:t>- - - - Providing goods for personal use in daily living</x:t>
  </x:si>
  <x:si>
    <x:t>http://id.who.int/icd/entity/264032746</x:t>
  </x:si>
  <x:si>
    <x:t>http://id.who.int/icd/release/11/beta/ichi/264032746</x:t>
  </x:si>
  <x:si>
    <x:t>UAD.SJ.ZZ</x:t>
  </x:si>
  <x:si>
    <x:t>- - - - Manufacturing of products and technology for personal use in daily living</x:t>
  </x:si>
  <x:si>
    <x:t>http://id.who.int/icd/entity/714372282</x:t>
  </x:si>
  <x:si>
    <x:t>http://id.who.int/icd/release/11/beta/ichi/714372282</x:t>
  </x:si>
  <x:si>
    <x:t>UAD.SM.ZZ</x:t>
  </x:si>
  <x:si>
    <x:t>- - - - Management of products and technology for personal use in daily living</x:t>
  </x:si>
  <x:si>
    <x:t>http://id.who.int/icd/entity/97816086</x:t>
  </x:si>
  <x:si>
    <x:t>http://id.who.int/icd/release/11/beta/ichi/97816086</x:t>
  </x:si>
  <x:si>
    <x:t>UAD.SO.ZZ</x:t>
  </x:si>
  <x:si>
    <x:t>- - - - Removal of assistive products for personal use in daily living</x:t>
  </x:si>
  <x:si>
    <x:t>http://id.who.int/icd/entity/1537173237</x:t>
  </x:si>
  <x:si>
    <x:t>http://id.who.int/icd/release/11/beta/ichi/1537173237</x:t>
  </x:si>
  <x:si>
    <x:t>UAD.TI.ZZ</x:t>
  </x:si>
  <x:si>
    <x:t>- - - - Prescription of products and technology for personal use in daily living</x:t>
  </x:si>
  <x:si>
    <x:t>http://id.who.int/icd/entity/364488658</x:t>
  </x:si>
  <x:si>
    <x:t>http://id.who.int/icd/release/11/beta/ichi/364488658</x:t>
  </x:si>
  <x:si>
    <x:t>UAE.AA.ZZ</x:t>
  </x:si>
  <x:si>
    <x:t>- - - - Assessment of products and technology for personal indoor and outdoor mobility and transportation</x:t>
  </x:si>
  <x:si>
    <x:t>http://id.who.int/icd/entity/436219716</x:t>
  </x:si>
  <x:si>
    <x:t>http://id.who.int/icd/release/11/beta/ichi/436219716</x:t>
  </x:si>
  <x:si>
    <x:t>UAE.DP.ZZ</x:t>
  </x:si>
  <x:si>
    <x:t>- - - - Installation of assistive products for personal indoor and outdoor mobility and transportation</x:t>
  </x:si>
  <x:si>
    <x:t>http://id.who.int/icd/entity/1417764375</x:t>
  </x:si>
  <x:si>
    <x:t>http://id.who.int/icd/release/11/beta/ichi/1417764375</x:t>
  </x:si>
  <x:si>
    <x:t>UAE.KB.ZZ</x:t>
  </x:si>
  <x:si>
    <x:t>- - - - Change of products and technology for personal indoor and outdoor mobility and transportation</x:t>
  </x:si>
  <x:si>
    <x:t>http://id.who.int/icd/entity/1346693121</x:t>
  </x:si>
  <x:si>
    <x:t>http://id.who.int/icd/release/11/beta/ichi/1346693121</x:t>
  </x:si>
  <x:si>
    <x:t>UAE.PH.ZZ</x:t>
  </x:si>
  <x:si>
    <x:t>- - - - Training in the use of products and technology for personal indoor and outdoor mobility and transportation</x:t>
  </x:si>
  <x:si>
    <x:t>http://id.who.int/icd/entity/1610440851</x:t>
  </x:si>
  <x:si>
    <x:t>http://id.who.int/icd/release/11/beta/ichi/1610440851</x:t>
  </x:si>
  <x:si>
    <x:t>UAE.PJ.ZZ</x:t>
  </x:si>
  <x:si>
    <x:t>- - - - Deconditioning from products and technology for personal indoor and outdoor mobility and transportation</x:t>
  </x:si>
  <x:si>
    <x:t>http://id.who.int/icd/entity/1329068325</x:t>
  </x:si>
  <x:si>
    <x:t>http://id.who.int/icd/release/11/beta/ichi/1329068325</x:t>
  </x:si>
  <x:si>
    <x:t>UAE.PM.ZZ</x:t>
  </x:si>
  <x:si>
    <x:t>- - - - Education about products and technology for personal indoor and outdoor mobility and transportation</x:t>
  </x:si>
  <x:si>
    <x:t>http://id.who.int/icd/entity/1083077047</x:t>
  </x:si>
  <x:si>
    <x:t>http://id.who.int/icd/release/11/beta/ichi/1083077047</x:t>
  </x:si>
  <x:si>
    <x:t>UAE.PN.ZZ</x:t>
  </x:si>
  <x:si>
    <x:t>- - - - Advising about products and technology for personal indoor and outdoor mobility and transportation</x:t>
  </x:si>
  <x:si>
    <x:t>http://id.who.int/icd/entity/806148668</x:t>
  </x:si>
  <x:si>
    <x:t>http://id.who.int/icd/release/11/beta/ichi/806148668</x:t>
  </x:si>
  <x:si>
    <x:t>UAE.RB.ZZ</x:t>
  </x:si>
  <x:si>
    <x:t>- - - - Practical support with products and technology for personal indoor and outdoor mobility and transportation</x:t>
  </x:si>
  <x:si>
    <x:t>http://id.who.int/icd/entity/1163896537</x:t>
  </x:si>
  <x:si>
    <x:t>http://id.who.int/icd/release/11/beta/ichi/1163896537</x:t>
  </x:si>
  <x:si>
    <x:t>UAE.RD.ZZ</x:t>
  </x:si>
  <x:si>
    <x:t>- - - - Providing goods for personal indoor and outdoor mobility and transportation</x:t>
  </x:si>
  <x:si>
    <x:t>http://id.who.int/icd/entity/1595447299</x:t>
  </x:si>
  <x:si>
    <x:t>http://id.who.int/icd/release/11/beta/ichi/1595447299</x:t>
  </x:si>
  <x:si>
    <x:t>UAE.SJ.ZZ</x:t>
  </x:si>
  <x:si>
    <x:t>- - - - Manufacturing of products and technology for personal indoor and outdoor mobility and transportation</x:t>
  </x:si>
  <x:si>
    <x:t>http://id.who.int/icd/entity/2060830145</x:t>
  </x:si>
  <x:si>
    <x:t>http://id.who.int/icd/release/11/beta/ichi/2060830145</x:t>
  </x:si>
  <x:si>
    <x:t>UAE.SM.ZZ</x:t>
  </x:si>
  <x:si>
    <x:t>- - - - Management of products and technology for personal indoor and outdoor mobility and transportation</x:t>
  </x:si>
  <x:si>
    <x:t>http://id.who.int/icd/entity/877966484</x:t>
  </x:si>
  <x:si>
    <x:t>http://id.who.int/icd/release/11/beta/ichi/877966484</x:t>
  </x:si>
  <x:si>
    <x:t>UAE.SO.ZZ</x:t>
  </x:si>
  <x:si>
    <x:t>- - - - Removal of assistive products for personal indoor and outdoor mobility and transportation</x:t>
  </x:si>
  <x:si>
    <x:t>http://id.who.int/icd/entity/1620245275</x:t>
  </x:si>
  <x:si>
    <x:t>http://id.who.int/icd/release/11/beta/ichi/1620245275</x:t>
  </x:si>
  <x:si>
    <x:t>UAE.TI.ZZ</x:t>
  </x:si>
  <x:si>
    <x:t>- - - - Prescription of products and technology for personal indoor and outdoor mobility and transportation</x:t>
  </x:si>
  <x:si>
    <x:t>http://id.who.int/icd/entity/705276928</x:t>
  </x:si>
  <x:si>
    <x:t>http://id.who.int/icd/release/11/beta/ichi/705276928</x:t>
  </x:si>
  <x:si>
    <x:t>UAF.AA.ZZ</x:t>
  </x:si>
  <x:si>
    <x:t>- - - - Assessment of products and technology for communication</x:t>
  </x:si>
  <x:si>
    <x:t>http://id.who.int/icd/entity/810455770</x:t>
  </x:si>
  <x:si>
    <x:t>http://id.who.int/icd/release/11/beta/ichi/810455770</x:t>
  </x:si>
  <x:si>
    <x:t>UAF.DP.ZZ</x:t>
  </x:si>
  <x:si>
    <x:t>- - - - Installation of assistive products for communication</x:t>
  </x:si>
  <x:si>
    <x:t>http://id.who.int/icd/entity/86138016</x:t>
  </x:si>
  <x:si>
    <x:t>http://id.who.int/icd/release/11/beta/ichi/86138016</x:t>
  </x:si>
  <x:si>
    <x:t>UAF.KB.ZZ</x:t>
  </x:si>
  <x:si>
    <x:t>- - - - Change of products and technology for communication</x:t>
  </x:si>
  <x:si>
    <x:t>http://id.who.int/icd/entity/1327414219</x:t>
  </x:si>
  <x:si>
    <x:t>http://id.who.int/icd/release/11/beta/ichi/1327414219</x:t>
  </x:si>
  <x:si>
    <x:t>UAF.PH.ZZ</x:t>
  </x:si>
  <x:si>
    <x:t>- - - - Training in the use of products and technology for communication</x:t>
  </x:si>
  <x:si>
    <x:t>http://id.who.int/icd/entity/1244304437</x:t>
  </x:si>
  <x:si>
    <x:t>http://id.who.int/icd/release/11/beta/ichi/1244304437</x:t>
  </x:si>
  <x:si>
    <x:t>UAF.PJ.ZZ</x:t>
  </x:si>
  <x:si>
    <x:t>- - - - Deconditioning from products and technology for communication</x:t>
  </x:si>
  <x:si>
    <x:t>http://id.who.int/icd/entity/1471326</x:t>
  </x:si>
  <x:si>
    <x:t>http://id.who.int/icd/release/11/beta/ichi/1471326</x:t>
  </x:si>
  <x:si>
    <x:t>UAF.PM.ZZ</x:t>
  </x:si>
  <x:si>
    <x:t>- - - - Education about products and technology for communication</x:t>
  </x:si>
  <x:si>
    <x:t>http://id.who.int/icd/entity/1078119369</x:t>
  </x:si>
  <x:si>
    <x:t>http://id.who.int/icd/release/11/beta/ichi/1078119369</x:t>
  </x:si>
  <x:si>
    <x:t>UAF.PN.ZZ</x:t>
  </x:si>
  <x:si>
    <x:t>- - - - Advising about products and technology for communication</x:t>
  </x:si>
  <x:si>
    <x:t>http://id.who.int/icd/entity/176041122</x:t>
  </x:si>
  <x:si>
    <x:t>http://id.who.int/icd/release/11/beta/ichi/176041122</x:t>
  </x:si>
  <x:si>
    <x:t>UAF.RB.ZZ</x:t>
  </x:si>
  <x:si>
    <x:t>- - - - Practical support with products and technology for communication</x:t>
  </x:si>
  <x:si>
    <x:t>http://id.who.int/icd/entity/256508764</x:t>
  </x:si>
  <x:si>
    <x:t>http://id.who.int/icd/release/11/beta/ichi/256508764</x:t>
  </x:si>
  <x:si>
    <x:t>UAF.RD.ZZ</x:t>
  </x:si>
  <x:si>
    <x:t>- - - - Providing goods for communication</x:t>
  </x:si>
  <x:si>
    <x:t>http://id.who.int/icd/entity/1351111295</x:t>
  </x:si>
  <x:si>
    <x:t>http://id.who.int/icd/release/11/beta/ichi/1351111295</x:t>
  </x:si>
  <x:si>
    <x:t>UAF.SJ.ZZ</x:t>
  </x:si>
  <x:si>
    <x:t>- - - - Manufacturing of products and technology for communication</x:t>
  </x:si>
  <x:si>
    <x:t>http://id.who.int/icd/entity/1603693213</x:t>
  </x:si>
  <x:si>
    <x:t>http://id.who.int/icd/release/11/beta/ichi/1603693213</x:t>
  </x:si>
  <x:si>
    <x:t>UAF.SM.ZZ</x:t>
  </x:si>
  <x:si>
    <x:t>- - - - Management of products and technology for communication</x:t>
  </x:si>
  <x:si>
    <x:t>http://id.who.int/icd/entity/1848391895</x:t>
  </x:si>
  <x:si>
    <x:t>http://id.who.int/icd/release/11/beta/ichi/1848391895</x:t>
  </x:si>
  <x:si>
    <x:t>UAF.SO.ZZ</x:t>
  </x:si>
  <x:si>
    <x:t>- - - - Removal of assistive products for communication</x:t>
  </x:si>
  <x:si>
    <x:t>http://id.who.int/icd/entity/1518219809</x:t>
  </x:si>
  <x:si>
    <x:t>http://id.who.int/icd/release/11/beta/ichi/1518219809</x:t>
  </x:si>
  <x:si>
    <x:t>UAF.TI.ZZ</x:t>
  </x:si>
  <x:si>
    <x:t>- - - - Prescription of products and technology for communication</x:t>
  </x:si>
  <x:si>
    <x:t>http://id.who.int/icd/entity/246971824</x:t>
  </x:si>
  <x:si>
    <x:t>http://id.who.int/icd/release/11/beta/ichi/246971824</x:t>
  </x:si>
  <x:si>
    <x:t>UAG.AA.ZZ</x:t>
  </x:si>
  <x:si>
    <x:t>- - - - Assessment of products and technology for education</x:t>
  </x:si>
  <x:si>
    <x:t>http://id.who.int/icd/entity/729096300</x:t>
  </x:si>
  <x:si>
    <x:t>http://id.who.int/icd/release/11/beta/ichi/729096300</x:t>
  </x:si>
  <x:si>
    <x:t>UAG.DP.ZZ</x:t>
  </x:si>
  <x:si>
    <x:t>- - - - Installation of assistive products for education</x:t>
  </x:si>
  <x:si>
    <x:t>http://id.who.int/icd/entity/298544268</x:t>
  </x:si>
  <x:si>
    <x:t>http://id.who.int/icd/release/11/beta/ichi/298544268</x:t>
  </x:si>
  <x:si>
    <x:t>UAG.KB.ZZ</x:t>
  </x:si>
  <x:si>
    <x:t>- - - - Change of products and technology for education</x:t>
  </x:si>
  <x:si>
    <x:t>http://id.who.int/icd/entity/1147232853</x:t>
  </x:si>
  <x:si>
    <x:t>http://id.who.int/icd/release/11/beta/ichi/1147232853</x:t>
  </x:si>
  <x:si>
    <x:t>UAG.PH.ZZ</x:t>
  </x:si>
  <x:si>
    <x:t>- - - - Training in the use of products and technology for education</x:t>
  </x:si>
  <x:si>
    <x:t>http://id.who.int/icd/entity/182457088</x:t>
  </x:si>
  <x:si>
    <x:t>http://id.who.int/icd/release/11/beta/ichi/182457088</x:t>
  </x:si>
  <x:si>
    <x:t>UAG.PJ.ZZ</x:t>
  </x:si>
  <x:si>
    <x:t>- - - - Deconditioning from products and technology for education</x:t>
  </x:si>
  <x:si>
    <x:t>http://id.who.int/icd/entity/2128555699</x:t>
  </x:si>
  <x:si>
    <x:t>http://id.who.int/icd/release/11/beta/ichi/2128555699</x:t>
  </x:si>
  <x:si>
    <x:t>UAG.PM.ZZ</x:t>
  </x:si>
  <x:si>
    <x:t>- - - - Education about products and technology for education</x:t>
  </x:si>
  <x:si>
    <x:t>http://id.who.int/icd/entity/1527935857</x:t>
  </x:si>
  <x:si>
    <x:t>http://id.who.int/icd/release/11/beta/ichi/1527935857</x:t>
  </x:si>
  <x:si>
    <x:t>UAG.PN.ZZ</x:t>
  </x:si>
  <x:si>
    <x:t>- - - - Advising about products and technology for education</x:t>
  </x:si>
  <x:si>
    <x:t>http://id.who.int/icd/entity/1638678423</x:t>
  </x:si>
  <x:si>
    <x:t>http://id.who.int/icd/release/11/beta/ichi/1638678423</x:t>
  </x:si>
  <x:si>
    <x:t>UAG.RB.ZZ</x:t>
  </x:si>
  <x:si>
    <x:t>- - - - Practical support with products and technology for education</x:t>
  </x:si>
  <x:si>
    <x:t>http://id.who.int/icd/entity/198056624</x:t>
  </x:si>
  <x:si>
    <x:t>http://id.who.int/icd/release/11/beta/ichi/198056624</x:t>
  </x:si>
  <x:si>
    <x:t>UAG.RD.ZZ</x:t>
  </x:si>
  <x:si>
    <x:t>- - - - Providing goods for education</x:t>
  </x:si>
  <x:si>
    <x:t>http://id.who.int/icd/entity/1162832869</x:t>
  </x:si>
  <x:si>
    <x:t>http://id.who.int/icd/release/11/beta/ichi/1162832869</x:t>
  </x:si>
  <x:si>
    <x:t>UAG.SJ.ZZ</x:t>
  </x:si>
  <x:si>
    <x:t>- - - - Manufacturing of products and technology for education</x:t>
  </x:si>
  <x:si>
    <x:t>http://id.who.int/icd/entity/829445720</x:t>
  </x:si>
  <x:si>
    <x:t>http://id.who.int/icd/release/11/beta/ichi/829445720</x:t>
  </x:si>
  <x:si>
    <x:t>UAG.SM.ZZ</x:t>
  </x:si>
  <x:si>
    <x:t>- - - - Management of products and technology for education</x:t>
  </x:si>
  <x:si>
    <x:t>http://id.who.int/icd/entity/1416053149</x:t>
  </x:si>
  <x:si>
    <x:t>http://id.who.int/icd/release/11/beta/ichi/1416053149</x:t>
  </x:si>
  <x:si>
    <x:t>UAG.SO.ZZ</x:t>
  </x:si>
  <x:si>
    <x:t>- - - - Removal of assistive products used for education</x:t>
  </x:si>
  <x:si>
    <x:t>http://id.who.int/icd/entity/727474818</x:t>
  </x:si>
  <x:si>
    <x:t>http://id.who.int/icd/release/11/beta/ichi/727474818</x:t>
  </x:si>
  <x:si>
    <x:t>UAG.TI.ZZ</x:t>
  </x:si>
  <x:si>
    <x:t>- - - - Prescription of products and technology for education</x:t>
  </x:si>
  <x:si>
    <x:t>http://id.who.int/icd/entity/1708987351</x:t>
  </x:si>
  <x:si>
    <x:t>http://id.who.int/icd/release/11/beta/ichi/1708987351</x:t>
  </x:si>
  <x:si>
    <x:t>UAH.AA.ZZ</x:t>
  </x:si>
  <x:si>
    <x:t>- - - - Assessment of products and technology for employment</x:t>
  </x:si>
  <x:si>
    <x:t>http://id.who.int/icd/entity/93659628</x:t>
  </x:si>
  <x:si>
    <x:t>http://id.who.int/icd/release/11/beta/ichi/93659628</x:t>
  </x:si>
  <x:si>
    <x:t>UAH.DP.ZZ</x:t>
  </x:si>
  <x:si>
    <x:t>- - - - Installation of assistive products for employment</x:t>
  </x:si>
  <x:si>
    <x:t>http://id.who.int/icd/entity/1906973791</x:t>
  </x:si>
  <x:si>
    <x:t>http://id.who.int/icd/release/11/beta/ichi/1906973791</x:t>
  </x:si>
  <x:si>
    <x:t>UAH.KB.ZZ</x:t>
  </x:si>
  <x:si>
    <x:t>- - - - Change of products and technology for employment</x:t>
  </x:si>
  <x:si>
    <x:t>http://id.who.int/icd/entity/603984512</x:t>
  </x:si>
  <x:si>
    <x:t>http://id.who.int/icd/release/11/beta/ichi/603984512</x:t>
  </x:si>
  <x:si>
    <x:t>UAH.PH.ZZ</x:t>
  </x:si>
  <x:si>
    <x:t>- - - - Training in the use of products and technology for employment</x:t>
  </x:si>
  <x:si>
    <x:t>http://id.who.int/icd/entity/515792488</x:t>
  </x:si>
  <x:si>
    <x:t>http://id.who.int/icd/release/11/beta/ichi/515792488</x:t>
  </x:si>
  <x:si>
    <x:t>UAH.PJ.ZZ</x:t>
  </x:si>
  <x:si>
    <x:t>- - - - Deconditioning from products and technology for employment</x:t>
  </x:si>
  <x:si>
    <x:t>http://id.who.int/icd/entity/997393316</x:t>
  </x:si>
  <x:si>
    <x:t>http://id.who.int/icd/release/11/beta/ichi/997393316</x:t>
  </x:si>
  <x:si>
    <x:t>UAH.PM.ZZ</x:t>
  </x:si>
  <x:si>
    <x:t>- - - - Education about products and technology for employment</x:t>
  </x:si>
  <x:si>
    <x:t>http://id.who.int/icd/entity/1978823409</x:t>
  </x:si>
  <x:si>
    <x:t>http://id.who.int/icd/release/11/beta/ichi/1978823409</x:t>
  </x:si>
  <x:si>
    <x:t>UAH.PN.ZZ</x:t>
  </x:si>
  <x:si>
    <x:t>- - - - Advising about products and technology for employment</x:t>
  </x:si>
  <x:si>
    <x:t>http://id.who.int/icd/entity/557071742</x:t>
  </x:si>
  <x:si>
    <x:t>http://id.who.int/icd/release/11/beta/ichi/557071742</x:t>
  </x:si>
  <x:si>
    <x:t>UAH.RB.ZZ</x:t>
  </x:si>
  <x:si>
    <x:t>- - - - Practical support with products and technology for employment</x:t>
  </x:si>
  <x:si>
    <x:t>http://id.who.int/icd/entity/1263933529</x:t>
  </x:si>
  <x:si>
    <x:t>http://id.who.int/icd/release/11/beta/ichi/1263933529</x:t>
  </x:si>
  <x:si>
    <x:t>UAH.RD.ZZ</x:t>
  </x:si>
  <x:si>
    <x:t>- - - - Providing goods for employment</x:t>
  </x:si>
  <x:si>
    <x:t>http://id.who.int/icd/entity/1911051455</x:t>
  </x:si>
  <x:si>
    <x:t>http://id.who.int/icd/release/11/beta/ichi/1911051455</x:t>
  </x:si>
  <x:si>
    <x:t>UAH.SJ.ZZ</x:t>
  </x:si>
  <x:si>
    <x:t>- - - - Manufacturing of products and technology for employment</x:t>
  </x:si>
  <x:si>
    <x:t>http://id.who.int/icd/entity/221326725</x:t>
  </x:si>
  <x:si>
    <x:t>http://id.who.int/icd/release/11/beta/ichi/221326725</x:t>
  </x:si>
  <x:si>
    <x:t>UAH.SM.ZZ</x:t>
  </x:si>
  <x:si>
    <x:t>- - - - Management of products and technology for employment</x:t>
  </x:si>
  <x:si>
    <x:t>http://id.who.int/icd/entity/1665740526</x:t>
  </x:si>
  <x:si>
    <x:t>http://id.who.int/icd/release/11/beta/ichi/1665740526</x:t>
  </x:si>
  <x:si>
    <x:t>UAH.SO.ZZ</x:t>
  </x:si>
  <x:si>
    <x:t>- - - - Removal of assistive products for employment</x:t>
  </x:si>
  <x:si>
    <x:t>http://id.who.int/icd/entity/932143459</x:t>
  </x:si>
  <x:si>
    <x:t>http://id.who.int/icd/release/11/beta/ichi/932143459</x:t>
  </x:si>
  <x:si>
    <x:t>UAH.TI.ZZ</x:t>
  </x:si>
  <x:si>
    <x:t>- - - - Prescription of products and technology for employment</x:t>
  </x:si>
  <x:si>
    <x:t>http://id.who.int/icd/entity/306330785</x:t>
  </x:si>
  <x:si>
    <x:t>http://id.who.int/icd/release/11/beta/ichi/306330785</x:t>
  </x:si>
  <x:si>
    <x:t>UAI.AA.ZZ</x:t>
  </x:si>
  <x:si>
    <x:t>- - - - Assessment of products and technology for culture, recreation and sport</x:t>
  </x:si>
  <x:si>
    <x:t>http://id.who.int/icd/entity/687632455</x:t>
  </x:si>
  <x:si>
    <x:t>http://id.who.int/icd/release/11/beta/ichi/687632455</x:t>
  </x:si>
  <x:si>
    <x:t>UAI.DP.ZZ</x:t>
  </x:si>
  <x:si>
    <x:t>- - - - Installation of assistive products for culture, recreation and sport</x:t>
  </x:si>
  <x:si>
    <x:t>http://id.who.int/icd/entity/2102820504</x:t>
  </x:si>
  <x:si>
    <x:t>http://id.who.int/icd/release/11/beta/ichi/2102820504</x:t>
  </x:si>
  <x:si>
    <x:t>UAI.KB.ZZ</x:t>
  </x:si>
  <x:si>
    <x:t>- - - - Change of products and technology for culture, recreation and sport</x:t>
  </x:si>
  <x:si>
    <x:t>http://id.who.int/icd/entity/869732301</x:t>
  </x:si>
  <x:si>
    <x:t>http://id.who.int/icd/release/11/beta/ichi/869732301</x:t>
  </x:si>
  <x:si>
    <x:t>UAI.PH.ZZ</x:t>
  </x:si>
  <x:si>
    <x:t>- - - - Training in the use of products and technology for culture, recreation and sport</x:t>
  </x:si>
  <x:si>
    <x:t>http://id.who.int/icd/entity/1206399616</x:t>
  </x:si>
  <x:si>
    <x:t>http://id.who.int/icd/release/11/beta/ichi/1206399616</x:t>
  </x:si>
  <x:si>
    <x:t>UAI.PJ.ZZ</x:t>
  </x:si>
  <x:si>
    <x:t>- - - - Deconditioning from products and technology for culture, recreation and sport</x:t>
  </x:si>
  <x:si>
    <x:t>http://id.who.int/icd/entity/1646620604</x:t>
  </x:si>
  <x:si>
    <x:t>http://id.who.int/icd/release/11/beta/ichi/1646620604</x:t>
  </x:si>
  <x:si>
    <x:t>UAI.PM.ZZ</x:t>
  </x:si>
  <x:si>
    <x:t>- - - - Education about products and technology for culture, recreation and sport</x:t>
  </x:si>
  <x:si>
    <x:t>http://id.who.int/icd/entity/1486562140</x:t>
  </x:si>
  <x:si>
    <x:t>http://id.who.int/icd/release/11/beta/ichi/1486562140</x:t>
  </x:si>
  <x:si>
    <x:t>UAI.PN.ZZ</x:t>
  </x:si>
  <x:si>
    <x:t>- - - - Advising about products and technology for culture, recreation and sport</x:t>
  </x:si>
  <x:si>
    <x:t>http://id.who.int/icd/entity/302019649</x:t>
  </x:si>
  <x:si>
    <x:t>http://id.who.int/icd/release/11/beta/ichi/302019649</x:t>
  </x:si>
  <x:si>
    <x:t>UAI.RB.ZZ</x:t>
  </x:si>
  <x:si>
    <x:t>- - - - Practical support with products and technology for culture, recreation and sport</x:t>
  </x:si>
  <x:si>
    <x:t>http://id.who.int/icd/entity/1652744142</x:t>
  </x:si>
  <x:si>
    <x:t>http://id.who.int/icd/release/11/beta/ichi/1652744142</x:t>
  </x:si>
  <x:si>
    <x:t>UAI.RD.ZZ</x:t>
  </x:si>
  <x:si>
    <x:t>- - - - Providing goods for culture, recreation and sport</x:t>
  </x:si>
  <x:si>
    <x:t>http://id.who.int/icd/entity/1832605536</x:t>
  </x:si>
  <x:si>
    <x:t>http://id.who.int/icd/release/11/beta/ichi/1832605536</x:t>
  </x:si>
  <x:si>
    <x:t>UAI.SJ.ZZ</x:t>
  </x:si>
  <x:si>
    <x:t>- - - - Manufacturing of products and technology for culture, recreation and sport</x:t>
  </x:si>
  <x:si>
    <x:t>http://id.who.int/icd/entity/1026262241</x:t>
  </x:si>
  <x:si>
    <x:t>http://id.who.int/icd/release/11/beta/ichi/1026262241</x:t>
  </x:si>
  <x:si>
    <x:t>UAI.SM.ZZ</x:t>
  </x:si>
  <x:si>
    <x:t>- - - - Management of products and technology for culture, recreation and sport</x:t>
  </x:si>
  <x:si>
    <x:t>http://id.who.int/icd/entity/848432243</x:t>
  </x:si>
  <x:si>
    <x:t>http://id.who.int/icd/release/11/beta/ichi/848432243</x:t>
  </x:si>
  <x:si>
    <x:t>UAI.SO.ZZ</x:t>
  </x:si>
  <x:si>
    <x:t>- - - - Removal of assistive products for culture, recreation and sport</x:t>
  </x:si>
  <x:si>
    <x:t>http://id.who.int/icd/entity/1558843162</x:t>
  </x:si>
  <x:si>
    <x:t>http://id.who.int/icd/release/11/beta/ichi/1558843162</x:t>
  </x:si>
  <x:si>
    <x:t>UAI.TI.ZZ</x:t>
  </x:si>
  <x:si>
    <x:t>- - - - Prescription of products and technology for culture, recreation and sport</x:t>
  </x:si>
  <x:si>
    <x:t>http://id.who.int/icd/entity/1751976348</x:t>
  </x:si>
  <x:si>
    <x:t>http://id.who.int/icd/release/11/beta/ichi/1751976348</x:t>
  </x:si>
  <x:si>
    <x:t>UAI.VC.ZZ</x:t>
  </x:si>
  <x:si>
    <x:t>- - - - Public health surveillance in relation to products and technology for culture, recreation and sport</x:t>
  </x:si>
  <x:si>
    <x:t>http://id.who.int/icd/entity/1560397798</x:t>
  </x:si>
  <x:si>
    <x:t>http://id.who.int/icd/release/11/beta/ichi/1560397798</x:t>
  </x:si>
  <x:si>
    <x:t>UAI.WI.ZZ</x:t>
  </x:si>
  <x:si>
    <x:t>- - - - Restrictions through laws or standards in relation to products and technology for culture, recreation and sport</x:t>
  </x:si>
  <x:si>
    <x:t>http://id.who.int/icd/entity/226106967</x:t>
  </x:si>
  <x:si>
    <x:t>http://id.who.int/icd/release/11/beta/ichi/226106967</x:t>
  </x:si>
  <x:si>
    <x:t>UAI.WJ.ZZ</x:t>
  </x:si>
  <x:si>
    <x:t>- - - - Policy change in relation to products and technology for culture, recreation and sport</x:t>
  </x:si>
  <x:si>
    <x:t>http://id.who.int/icd/entity/44165113</x:t>
  </x:si>
  <x:si>
    <x:t>http://id.who.int/icd/release/11/beta/ichi/44165113</x:t>
  </x:si>
  <x:si>
    <x:t>UAJ.AA.ZZ</x:t>
  </x:si>
  <x:si>
    <x:t>- - - - Assessment of products and technology for the practice of religion and spirituality</x:t>
  </x:si>
  <x:si>
    <x:t>http://id.who.int/icd/entity/219705195</x:t>
  </x:si>
  <x:si>
    <x:t>http://id.who.int/icd/release/11/beta/ichi/219705195</x:t>
  </x:si>
  <x:si>
    <x:t>UAJ.DP.ZZ</x:t>
  </x:si>
  <x:si>
    <x:t>- - - - Installation of assistive products for the practice of religion and spirituality</x:t>
  </x:si>
  <x:si>
    <x:t>http://id.who.int/icd/entity/1840620992</x:t>
  </x:si>
  <x:si>
    <x:t>http://id.who.int/icd/release/11/beta/ichi/1840620992</x:t>
  </x:si>
  <x:si>
    <x:t>UAJ.KB.ZZ</x:t>
  </x:si>
  <x:si>
    <x:t>- - - - Change of products and technology for the practice of religion and spirituality</x:t>
  </x:si>
  <x:si>
    <x:t>http://id.who.int/icd/entity/1644965202</x:t>
  </x:si>
  <x:si>
    <x:t>http://id.who.int/icd/release/11/beta/ichi/1644965202</x:t>
  </x:si>
  <x:si>
    <x:t>UAJ.PH.ZZ</x:t>
  </x:si>
  <x:si>
    <x:t>- - - - Training in the use of products and technology for the practice of religion and spirituality</x:t>
  </x:si>
  <x:si>
    <x:t>http://id.who.int/icd/entity/747461639</x:t>
  </x:si>
  <x:si>
    <x:t>http://id.who.int/icd/release/11/beta/ichi/747461639</x:t>
  </x:si>
  <x:si>
    <x:t>UAJ.PJ.ZZ</x:t>
  </x:si>
  <x:si>
    <x:t>- - - - Deconditioning from products and technology for the practice of religion and spirituality</x:t>
  </x:si>
  <x:si>
    <x:t>http://id.who.int/icd/entity/1925625060</x:t>
  </x:si>
  <x:si>
    <x:t>http://id.who.int/icd/release/11/beta/ichi/1925625060</x:t>
  </x:si>
  <x:si>
    <x:t>UAJ.PM.ZZ</x:t>
  </x:si>
  <x:si>
    <x:t>- - - - Education about products and technology for the practice of religion and spirituality</x:t>
  </x:si>
  <x:si>
    <x:t>http://id.who.int/icd/entity/2105490550</x:t>
  </x:si>
  <x:si>
    <x:t>http://id.who.int/icd/release/11/beta/ichi/2105490550</x:t>
  </x:si>
  <x:si>
    <x:t>UAJ.PN.ZZ</x:t>
  </x:si>
  <x:si>
    <x:t>- - - - Advising about products and technology for the practice of religion and spirituality</x:t>
  </x:si>
  <x:si>
    <x:t>http://id.who.int/icd/entity/48475929</x:t>
  </x:si>
  <x:si>
    <x:t>http://id.who.int/icd/release/11/beta/ichi/48475929</x:t>
  </x:si>
  <x:si>
    <x:t>UAJ.RB.ZZ</x:t>
  </x:si>
  <x:si>
    <x:t>- - - - Practical support with products and technology for the practice of religion and spirituality</x:t>
  </x:si>
  <x:si>
    <x:t>http://id.who.int/icd/entity/166179253</x:t>
  </x:si>
  <x:si>
    <x:t>http://id.who.int/icd/release/11/beta/ichi/166179253</x:t>
  </x:si>
  <x:si>
    <x:t>UAJ.RD.ZZ</x:t>
  </x:si>
  <x:si>
    <x:t>- - - - Providing goods for the practice of religion and spirituality</x:t>
  </x:si>
  <x:si>
    <x:t>http://id.who.int/icd/entity/2111343624</x:t>
  </x:si>
  <x:si>
    <x:t>http://id.who.int/icd/release/11/beta/ichi/2111343624</x:t>
  </x:si>
  <x:si>
    <x:t>UAJ.SJ.ZZ</x:t>
  </x:si>
  <x:si>
    <x:t>- - - - Manufacturing of products and technology for the practice of religion and spirituality</x:t>
  </x:si>
  <x:si>
    <x:t>http://id.who.int/icd/entity/202369289</x:t>
  </x:si>
  <x:si>
    <x:t>http://id.who.int/icd/release/11/beta/ichi/202369289</x:t>
  </x:si>
  <x:si>
    <x:t>UAJ.SM.ZZ</x:t>
  </x:si>
  <x:si>
    <x:t>- - - - Management of products and technology for the practice of religion and spirituality</x:t>
  </x:si>
  <x:si>
    <x:t>http://id.who.int/icd/entity/917612015</x:t>
  </x:si>
  <x:si>
    <x:t>http://id.who.int/icd/release/11/beta/ichi/917612015</x:t>
  </x:si>
  <x:si>
    <x:t>UAJ.SO.ZZ</x:t>
  </x:si>
  <x:si>
    <x:t>- - - - Removal of assistive products for the practice of religion and spirituality</x:t>
  </x:si>
  <x:si>
    <x:t>http://id.who.int/icd/entity/864389649</x:t>
  </x:si>
  <x:si>
    <x:t>http://id.who.int/icd/release/11/beta/ichi/864389649</x:t>
  </x:si>
  <x:si>
    <x:t>UAJ.TI.ZZ</x:t>
  </x:si>
  <x:si>
    <x:t>- - - - Prescription of products and technology for the practice of religion and spirituality</x:t>
  </x:si>
  <x:si>
    <x:t>http://id.who.int/icd/entity/2097478468</x:t>
  </x:si>
  <x:si>
    <x:t>http://id.who.int/icd/release/11/beta/ichi/2097478468</x:t>
  </x:si>
  <x:si>
    <x:t>UAK.AA.ZZ</x:t>
  </x:si>
  <x:si>
    <x:t>- - - - Assessment of aspects of buildings for public use</x:t>
  </x:si>
  <x:si>
    <x:t>http://id.who.int/icd/entity/1287563534</x:t>
  </x:si>
  <x:si>
    <x:t>http://id.who.int/icd/release/11/beta/ichi/1287563534</x:t>
  </x:si>
  <x:si>
    <x:t>UAK.PM.ZZ</x:t>
  </x:si>
  <x:si>
    <x:t>- - - - Education about aspects of buildings for public use</x:t>
  </x:si>
  <x:si>
    <x:t>http://id.who.int/icd/entity/216666521</x:t>
  </x:si>
  <x:si>
    <x:t>http://id.who.int/icd/release/11/beta/ichi/216666521</x:t>
  </x:si>
  <x:si>
    <x:t>UAK.PN.ZZ</x:t>
  </x:si>
  <x:si>
    <x:t>- - - - Advising about aspects of buildings for public use</x:t>
  </x:si>
  <x:si>
    <x:t>http://id.who.int/icd/entity/717186062</x:t>
  </x:si>
  <x:si>
    <x:t>http://id.who.int/icd/release/11/beta/ichi/717186062</x:t>
  </x:si>
  <x:si>
    <x:t>UAK.TB.ZZ</x:t>
  </x:si>
  <x:si>
    <x:t>- - - - Planning in relation to design, construction and building products and technology of buildings for public use</x:t>
  </x:si>
  <x:si>
    <x:t>http://id.who.int/icd/entity/21104798</x:t>
  </x:si>
  <x:si>
    <x:t>http://id.who.int/icd/release/11/beta/ichi/21104798</x:t>
  </x:si>
  <x:si>
    <x:t>UAK.TK.ZZ</x:t>
  </x:si>
  <x:si>
    <x:t>- - - - Public facilities or infrastructure development in relation to design, construction and building products and technology of buildings for publice use</x:t>
  </x:si>
  <x:si>
    <x:t>http://id.who.int/icd/entity/133041973</x:t>
  </x:si>
  <x:si>
    <x:t>http://id.who.int/icd/release/11/beta/ichi/133041973</x:t>
  </x:si>
  <x:si>
    <x:t>UAK.TM.ZZ</x:t>
  </x:si>
  <x:si>
    <x:t>- - - - Environment modification to aspects of buildings for public use</x:t>
  </x:si>
  <x:si>
    <x:t>http://id.who.int/icd/entity/268511466</x:t>
  </x:si>
  <x:si>
    <x:t>http://id.who.int/icd/release/11/beta/ichi/268511466</x:t>
  </x:si>
  <x:si>
    <x:t>UAK.VA.ZZ</x:t>
  </x:si>
  <x:si>
    <x:t>- - - - Capacity building in relation to design, construction and building products and technology of buildings for public use</x:t>
  </x:si>
  <x:si>
    <x:t>http://id.who.int/icd/entity/366018440</x:t>
  </x:si>
  <x:si>
    <x:t>http://id.who.int/icd/release/11/beta/ichi/366018440</x:t>
  </x:si>
  <x:si>
    <x:t>UAK.VB.ZZ</x:t>
  </x:si>
  <x:si>
    <x:t>- - - - Awareness raising in relation to design, construction and building products and technology of buildings for public use</x:t>
  </x:si>
  <x:si>
    <x:t>http://id.who.int/icd/entity/1168844343</x:t>
  </x:si>
  <x:si>
    <x:t>http://id.who.int/icd/release/11/beta/ichi/1168844343</x:t>
  </x:si>
  <x:si>
    <x:t>UAK.VC.ZZ</x:t>
  </x:si>
  <x:si>
    <x:t>- - - - Public health surveillance in relation to the design, construction and building products and technology of buildings for public use</x:t>
  </x:si>
  <x:si>
    <x:t>http://id.who.int/icd/entity/443119382</x:t>
  </x:si>
  <x:si>
    <x:t>http://id.who.int/icd/release/11/beta/ichi/443119382</x:t>
  </x:si>
  <x:si>
    <x:t>UAK.WG.QF</x:t>
  </x:si>
  <x:si>
    <x:t>- - - - Economic incentives in relation to design, construction and building products and technology of buildings for public use</x:t>
  </x:si>
  <x:si>
    <x:t>http://id.who.int/icd/entity/831789958</x:t>
  </x:si>
  <x:si>
    <x:t>http://id.who.int/icd/release/11/beta/ichi/831789958</x:t>
  </x:si>
  <x:si>
    <x:t>UAK.WI.ZZ</x:t>
  </x:si>
  <x:si>
    <x:t>- - - - Restrictions through laws or standards in relation to design, construction and building products and technology of buildings for public use</x:t>
  </x:si>
  <x:si>
    <x:t>http://id.who.int/icd/entity/178515620</x:t>
  </x:si>
  <x:si>
    <x:t>http://id.who.int/icd/release/11/beta/ichi/178515620</x:t>
  </x:si>
  <x:si>
    <x:t>UAK.WJ.ZZ</x:t>
  </x:si>
  <x:si>
    <x:t>- - - - Policy change in relation to design, construction and building products and technology of buildings for public use</x:t>
  </x:si>
  <x:si>
    <x:t>http://id.who.int/icd/entity/1395146938</x:t>
  </x:si>
  <x:si>
    <x:t>http://id.who.int/icd/release/11/beta/ichi/1395146938</x:t>
  </x:si>
  <x:si>
    <x:t>UAL.AA.ZZ</x:t>
  </x:si>
  <x:si>
    <x:t>- - - - Assessment of aspects of buildings for private use</x:t>
  </x:si>
  <x:si>
    <x:t>http://id.who.int/icd/entity/107460341</x:t>
  </x:si>
  <x:si>
    <x:t>http://id.who.int/icd/release/11/beta/ichi/107460341</x:t>
  </x:si>
  <x:si>
    <x:t>UAL.PM.ZZ</x:t>
  </x:si>
  <x:si>
    <x:t>- - - - Education about aspects of buildings for private use</x:t>
  </x:si>
  <x:si>
    <x:t>http://id.who.int/icd/entity/690441307</x:t>
  </x:si>
  <x:si>
    <x:t>http://id.who.int/icd/release/11/beta/ichi/690441307</x:t>
  </x:si>
  <x:si>
    <x:t>UAL.PN.ZZ</x:t>
  </x:si>
  <x:si>
    <x:t>- - - - Advising about aspects of buildings for private use</x:t>
  </x:si>
  <x:si>
    <x:t>http://id.who.int/icd/entity/1998461112</x:t>
  </x:si>
  <x:si>
    <x:t>http://id.who.int/icd/release/11/beta/ichi/1998461112</x:t>
  </x:si>
  <x:si>
    <x:t>UAL.TB.ZZ</x:t>
  </x:si>
  <x:si>
    <x:t>- - - - Planning in relation to design, construction and building products and technology of buildings for private use</x:t>
  </x:si>
  <x:si>
    <x:t>http://id.who.int/icd/entity/685525403</x:t>
  </x:si>
  <x:si>
    <x:t>http://id.who.int/icd/release/11/beta/ichi/685525403</x:t>
  </x:si>
  <x:si>
    <x:t>UAL.TK.ZZ</x:t>
  </x:si>
  <x:si>
    <x:t>- - - - Public facilities or infrastructure development in relation to design, construction and building products and technology of buildings for private use</x:t>
  </x:si>
  <x:si>
    <x:t>http://id.who.int/icd/entity/1504045014</x:t>
  </x:si>
  <x:si>
    <x:t>http://id.who.int/icd/release/11/beta/ichi/1504045014</x:t>
  </x:si>
  <x:si>
    <x:t>UAL.TM.ZZ</x:t>
  </x:si>
  <x:si>
    <x:t>- - - - Environment modification to aspects of buildings for private use</x:t>
  </x:si>
  <x:si>
    <x:t>http://id.who.int/icd/entity/1731295646</x:t>
  </x:si>
  <x:si>
    <x:t>http://id.who.int/icd/release/11/beta/ichi/1731295646</x:t>
  </x:si>
  <x:si>
    <x:t>UAL.VA.ZZ</x:t>
  </x:si>
  <x:si>
    <x:t>- - - - Capacity building in relation to design, construction and building products and technology of buildings for private use</x:t>
  </x:si>
  <x:si>
    <x:t>http://id.who.int/icd/entity/895683372</x:t>
  </x:si>
  <x:si>
    <x:t>http://id.who.int/icd/release/11/beta/ichi/895683372</x:t>
  </x:si>
  <x:si>
    <x:t>UAL.VB.ZZ</x:t>
  </x:si>
  <x:si>
    <x:t>- - - - Awareness raising in relation to design, construction and building products and technology of buildings for private use</x:t>
  </x:si>
  <x:si>
    <x:t>http://id.who.int/icd/entity/1133536524</x:t>
  </x:si>
  <x:si>
    <x:t>http://id.who.int/icd/release/11/beta/ichi/1133536524</x:t>
  </x:si>
  <x:si>
    <x:t>UAL.VC.ZZ</x:t>
  </x:si>
  <x:si>
    <x:t>- - - - Public health surveillance in relation to the design, construction and building products and technology of buildings for private use</x:t>
  </x:si>
  <x:si>
    <x:t>http://id.who.int/icd/entity/397660691</x:t>
  </x:si>
  <x:si>
    <x:t>http://id.who.int/icd/release/11/beta/ichi/397660691</x:t>
  </x:si>
  <x:si>
    <x:t>UAL.WG.QF</x:t>
  </x:si>
  <x:si>
    <x:t>- - - - Economic incentives in relation to design, construction and building products and technology of buildings for private use</x:t>
  </x:si>
  <x:si>
    <x:t>http://id.who.int/icd/entity/52503819</x:t>
  </x:si>
  <x:si>
    <x:t>http://id.who.int/icd/release/11/beta/ichi/52503819</x:t>
  </x:si>
  <x:si>
    <x:t>UAL.WI.QE</x:t>
  </x:si>
  <x:si>
    <x:t>- - - - Restrictions through enforcement of laws or standards in relation to design, construction and building products and technology of buildings for private use</x:t>
  </x:si>
  <x:si>
    <x:t>http://id.who.int/icd/entity/287829802</x:t>
  </x:si>
  <x:si>
    <x:t>http://id.who.int/icd/release/11/beta/ichi/287829802</x:t>
  </x:si>
  <x:si>
    <x:t>UAL.WI.ZZ</x:t>
  </x:si>
  <x:si>
    <x:t>- - - - Restrictions through laws or standards in relation to design, construction and building products and technology of buildings for private use</x:t>
  </x:si>
  <x:si>
    <x:t>http://id.who.int/icd/entity/351680584</x:t>
  </x:si>
  <x:si>
    <x:t>http://id.who.int/icd/release/11/beta/ichi/351680584</x:t>
  </x:si>
  <x:si>
    <x:t>UAL.WJ.ZZ</x:t>
  </x:si>
  <x:si>
    <x:t>- - - - Policy change in relation to design, construction and building products and technology of buildings for private use</x:t>
  </x:si>
  <x:si>
    <x:t>http://id.who.int/icd/entity/868729585</x:t>
  </x:si>
  <x:si>
    <x:t>http://id.who.int/icd/release/11/beta/ichi/868729585</x:t>
  </x:si>
  <x:si>
    <x:t>UAM.TD.ZZ</x:t>
  </x:si>
  <x:si>
    <x:t>- - - - Collaborating or building partnerships in relation to the built environment, including housing</x:t>
  </x:si>
  <x:si>
    <x:t>http://id.who.int/icd/entity/1291641328</x:t>
  </x:si>
  <x:si>
    <x:t>http://id.who.int/icd/release/11/beta/ichi/1291641328</x:t>
  </x:si>
  <x:si>
    <x:t>UAM.TK.ZZ</x:t>
  </x:si>
  <x:si>
    <x:t>- - - - Public facilities or infrastructure development to improve aspects of the built environment, including housing</x:t>
  </x:si>
  <x:si>
    <x:t>http://id.who.int/icd/entity/579134087</x:t>
  </x:si>
  <x:si>
    <x:t>http://id.who.int/icd/release/11/beta/ichi/579134087</x:t>
  </x:si>
  <x:si>
    <x:t>UAM.VA.ZZ</x:t>
  </x:si>
  <x:si>
    <x:t>- - - - Capacity building targeting the built environment, including housing</x:t>
  </x:si>
  <x:si>
    <x:t>http://id.who.int/icd/entity/2039492502</x:t>
  </x:si>
  <x:si>
    <x:t>http://id.who.int/icd/release/11/beta/ichi/2039492502</x:t>
  </x:si>
  <x:si>
    <x:t>UAM.VB.ZZ</x:t>
  </x:si>
  <x:si>
    <x:t>- - - - Awareness raising concerning the built environment, including housing</x:t>
  </x:si>
  <x:si>
    <x:t>http://id.who.int/icd/entity/1675039056</x:t>
  </x:si>
  <x:si>
    <x:t>http://id.who.int/icd/release/11/beta/ichi/1675039056</x:t>
  </x:si>
  <x:si>
    <x:t>UAM.VC.ZZ</x:t>
  </x:si>
  <x:si>
    <x:t>- - - - Public health surveillance concerning the built environment, including housing</x:t>
  </x:si>
  <x:si>
    <x:t>http://id.who.int/icd/entity/1758662626</x:t>
  </x:si>
  <x:si>
    <x:t>http://id.who.int/icd/release/11/beta/ichi/1758662626</x:t>
  </x:si>
  <x:si>
    <x:t>UAM.WG.QF</x:t>
  </x:si>
  <x:si>
    <x:t>- - - - Economic incentives concerning the built environment, including housing</x:t>
  </x:si>
  <x:si>
    <x:t>http://id.who.int/icd/entity/375493949</x:t>
  </x:si>
  <x:si>
    <x:t>http://id.who.int/icd/release/11/beta/ichi/375493949</x:t>
  </x:si>
  <x:si>
    <x:t>UAM.WG.ZZ</x:t>
  </x:si>
  <x:si>
    <x:t>- - - - Applying incentives concerning the built environment, including housing</x:t>
  </x:si>
  <x:si>
    <x:t>http://id.who.int/icd/entity/1767552548</x:t>
  </x:si>
  <x:si>
    <x:t>http://id.who.int/icd/release/11/beta/ichi/1767552548</x:t>
  </x:si>
  <x:si>
    <x:t>UAM.WI.QD</x:t>
  </x:si>
  <x:si>
    <x:t>- - - - Restrictions through enactment of laws or standards in relation to the built environment, including housing</x:t>
  </x:si>
  <x:si>
    <x:t>http://id.who.int/icd/entity/470403777</x:t>
  </x:si>
  <x:si>
    <x:t>http://id.who.int/icd/release/11/beta/ichi/470403777</x:t>
  </x:si>
  <x:si>
    <x:t>UAM.WI.QE</x:t>
  </x:si>
  <x:si>
    <x:t>- - - - Restrictions through enforcement of laws or standards in relation to built environment, including housing</x:t>
  </x:si>
  <x:si>
    <x:t>http://id.who.int/icd/entity/629636184</x:t>
  </x:si>
  <x:si>
    <x:t>http://id.who.int/icd/release/11/beta/ichi/629636184</x:t>
  </x:si>
  <x:si>
    <x:t>UAM.WI.ZZ</x:t>
  </x:si>
  <x:si>
    <x:t>- - - - Restrictions through laws or standards in relation to the built environment, including housing</x:t>
  </x:si>
  <x:si>
    <x:t>http://id.who.int/icd/entity/1821073742</x:t>
  </x:si>
  <x:si>
    <x:t>http://id.who.int/icd/release/11/beta/ichi/1821073742</x:t>
  </x:si>
  <x:si>
    <x:t>UAM.WJ.ZZ</x:t>
  </x:si>
  <x:si>
    <x:t>- - - - Policy change concerning the built environment, including housing</x:t>
  </x:si>
  <x:si>
    <x:t>http://id.who.int/icd/entity/1813415748</x:t>
  </x:si>
  <x:si>
    <x:t>http://id.who.int/icd/release/11/beta/ichi/1813415748</x:t>
  </x:si>
  <x:si>
    <x:t>UAN.AA.ZZ</x:t>
  </x:si>
  <x:si>
    <x:t>- - - - Assessment of products and technology of land development</x:t>
  </x:si>
  <x:si>
    <x:t>http://id.who.int/icd/entity/1013800693</x:t>
  </x:si>
  <x:si>
    <x:t>http://id.who.int/icd/release/11/beta/ichi/1013800693</x:t>
  </x:si>
  <x:si>
    <x:t>UAN.PH.ZZ</x:t>
  </x:si>
  <x:si>
    <x:t>- - - - Training about products and technology of land development</x:t>
  </x:si>
  <x:si>
    <x:t>http://id.who.int/icd/entity/88951084</x:t>
  </x:si>
  <x:si>
    <x:t>http://id.who.int/icd/release/11/beta/ichi/88951084</x:t>
  </x:si>
  <x:si>
    <x:t>UAN.PM.ZZ</x:t>
  </x:si>
  <x:si>
    <x:t>- - - - Education about aspects of products and technology of land development</x:t>
  </x:si>
  <x:si>
    <x:t>http://id.who.int/icd/entity/783295932</x:t>
  </x:si>
  <x:si>
    <x:t>http://id.who.int/icd/release/11/beta/ichi/783295932</x:t>
  </x:si>
  <x:si>
    <x:t>UAN.PN.ZZ</x:t>
  </x:si>
  <x:si>
    <x:t>- - - - Advising about products and technology of land development</x:t>
  </x:si>
  <x:si>
    <x:t>http://id.who.int/icd/entity/361222302</x:t>
  </x:si>
  <x:si>
    <x:t>http://id.who.int/icd/release/11/beta/ichi/361222302</x:t>
  </x:si>
  <x:si>
    <x:t>UAN.RB.ZZ</x:t>
  </x:si>
  <x:si>
    <x:t>- - - - Practical support about products and technology of land development</x:t>
  </x:si>
  <x:si>
    <x:t>http://id.who.int/icd/entity/1246069183</x:t>
  </x:si>
  <x:si>
    <x:t>http://id.who.int/icd/release/11/beta/ichi/1246069183</x:t>
  </x:si>
  <x:si>
    <x:t>UAN.RD.ZZ</x:t>
  </x:si>
  <x:si>
    <x:t>- - - - Providing goods in relation to products and technology of land development</x:t>
  </x:si>
  <x:si>
    <x:t>http://id.who.int/icd/entity/440293392</x:t>
  </x:si>
  <x:si>
    <x:t>http://id.who.int/icd/release/11/beta/ichi/440293392</x:t>
  </x:si>
  <x:si>
    <x:t>UAN.RG.ZZ</x:t>
  </x:si>
  <x:si>
    <x:t>- - - - Providing services in relation to products and technology of land development</x:t>
  </x:si>
  <x:si>
    <x:t>http://id.who.int/icd/entity/535793506</x:t>
  </x:si>
  <x:si>
    <x:t>http://id.who.int/icd/release/11/beta/ichi/535793506</x:t>
  </x:si>
  <x:si>
    <x:t>UAN.TA.ZZ</x:t>
  </x:si>
  <x:si>
    <x:t>- - - - Advocacy in relation to products and products and technology of land development</x:t>
  </x:si>
  <x:si>
    <x:t>http://id.who.int/icd/entity/873653234</x:t>
  </x:si>
  <x:si>
    <x:t>http://id.who.int/icd/release/11/beta/ichi/873653234</x:t>
  </x:si>
  <x:si>
    <x:t>UAN.TB.ZZ</x:t>
  </x:si>
  <x:si>
    <x:t>- - - - Planning in relation to products and technology of land development</x:t>
  </x:si>
  <x:si>
    <x:t>http://id.who.int/icd/entity/626115462</x:t>
  </x:si>
  <x:si>
    <x:t>http://id.who.int/icd/release/11/beta/ichi/626115462</x:t>
  </x:si>
  <x:si>
    <x:t>UAN.TD.ZZ</x:t>
  </x:si>
  <x:si>
    <x:t>- - - - Collaboration relating to products and technology of land development</x:t>
  </x:si>
  <x:si>
    <x:t>http://id.who.int/icd/entity/1357334517</x:t>
  </x:si>
  <x:si>
    <x:t>http://id.who.int/icd/release/11/beta/ichi/1357334517</x:t>
  </x:si>
  <x:si>
    <x:t>UAN.TK.ZZ</x:t>
  </x:si>
  <x:si>
    <x:t>- - - - Public facilities or infrastructure development in relation to products and technology of land development</x:t>
  </x:si>
  <x:si>
    <x:t>http://id.who.int/icd/entity/10264134</x:t>
  </x:si>
  <x:si>
    <x:t>http://id.who.int/icd/release/11/beta/ichi/10264134</x:t>
  </x:si>
  <x:si>
    <x:t>UAN.TM.ZZ</x:t>
  </x:si>
  <x:si>
    <x:t>- - - - Environment modification in relation to products and technology of land development</x:t>
  </x:si>
  <x:si>
    <x:t>http://id.who.int/icd/entity/1437927091</x:t>
  </x:si>
  <x:si>
    <x:t>http://id.who.int/icd/release/11/beta/ichi/1437927091</x:t>
  </x:si>
  <x:si>
    <x:t>UAN.VA.ZZ</x:t>
  </x:si>
  <x:si>
    <x:t>- - - - Capacity building targeting products and technology of land development</x:t>
  </x:si>
  <x:si>
    <x:t>http://id.who.int/icd/entity/1600048999</x:t>
  </x:si>
  <x:si>
    <x:t>http://id.who.int/icd/release/11/beta/ichi/1600048999</x:t>
  </x:si>
  <x:si>
    <x:t>UAN.VB.ZZ</x:t>
  </x:si>
  <x:si>
    <x:t>- - - - Awareness raising concerning products and technology of land development</x:t>
  </x:si>
  <x:si>
    <x:t>http://id.who.int/icd/entity/2118674979</x:t>
  </x:si>
  <x:si>
    <x:t>http://id.who.int/icd/release/11/beta/ichi/2118674979</x:t>
  </x:si>
  <x:si>
    <x:t>UAN.VC.ZZ</x:t>
  </x:si>
  <x:si>
    <x:t>- - - - Public health surveillance concerning products and technology of land development</x:t>
  </x:si>
  <x:si>
    <x:t>http://id.who.int/icd/entity/707368412</x:t>
  </x:si>
  <x:si>
    <x:t>http://id.who.int/icd/release/11/beta/ichi/707368412</x:t>
  </x:si>
  <x:si>
    <x:t>UAN.VE.ZZ</x:t>
  </x:si>
  <x:si>
    <x:t>- - - - Infection control measures in relation to products and technology of land development</x:t>
  </x:si>
  <x:si>
    <x:t>http://id.who.int/icd/entity/1978385663</x:t>
  </x:si>
  <x:si>
    <x:t>http://id.who.int/icd/release/11/beta/ichi/1978385663</x:t>
  </x:si>
  <x:si>
    <x:t>UAN.VF.ZZ</x:t>
  </x:si>
  <x:si>
    <x:t>- - - - Alert concerning products and technology of land development</x:t>
  </x:si>
  <x:si>
    <x:t>http://id.who.int/icd/entity/1956881399</x:t>
  </x:si>
  <x:si>
    <x:t>http://id.who.int/icd/release/11/beta/ichi/1956881399</x:t>
  </x:si>
  <x:si>
    <x:t>UAN.VL.ZZ</x:t>
  </x:si>
  <x:si>
    <x:t>- - - - Environmental remediation in relation to products and technology of land development</x:t>
  </x:si>
  <x:si>
    <x:t>http://id.who.int/icd/entity/549608458</x:t>
  </x:si>
  <x:si>
    <x:t>http://id.who.int/icd/release/11/beta/ichi/549608458</x:t>
  </x:si>
  <x:si>
    <x:t>UAN.VN.ZZ</x:t>
  </x:si>
  <x:si>
    <x:t>- - - - Establishing health services or health-related services in relation to products and technology of land development</x:t>
  </x:si>
  <x:si>
    <x:t>http://id.who.int/icd/entity/2130709803</x:t>
  </x:si>
  <x:si>
    <x:t>http://id.who.int/icd/release/11/beta/ichi/2130709803</x:t>
  </x:si>
  <x:si>
    <x:t>UAN.VO.ZZ</x:t>
  </x:si>
  <x:si>
    <x:t>- - - - Marshalling health services or health-related services in relation to products and technology of land development</x:t>
  </x:si>
  <x:si>
    <x:t>http://id.who.int/icd/entity/796644508</x:t>
  </x:si>
  <x:si>
    <x:t>http://id.who.int/icd/release/11/beta/ichi/796644508</x:t>
  </x:si>
  <x:si>
    <x:t>UAN.VP.ZZ</x:t>
  </x:si>
  <x:si>
    <x:t>- - - - Improving access to health services or health-related services in relation to products and technology of land development</x:t>
  </x:si>
  <x:si>
    <x:t>http://id.who.int/icd/entity/1700992425</x:t>
  </x:si>
  <x:si>
    <x:t>http://id.who.int/icd/release/11/beta/ichi/1700992425</x:t>
  </x:si>
  <x:si>
    <x:t>UAN.VR.ZZ</x:t>
  </x:si>
  <x:si>
    <x:t>- - - - Reducing emissions from products and technology of land development</x:t>
  </x:si>
  <x:si>
    <x:t>http://id.who.int/icd/entity/1319008569</x:t>
  </x:si>
  <x:si>
    <x:t>http://id.who.int/icd/release/11/beta/ichi/1319008569</x:t>
  </x:si>
  <x:si>
    <x:t>UAN.WC.ZZ</x:t>
  </x:si>
  <x:si>
    <x:t>- - - - Restrictions on the sale or distribution of products or services in relation to products and technology of land development</x:t>
  </x:si>
  <x:si>
    <x:t>http://id.who.int/icd/entity/1608341839</x:t>
  </x:si>
  <x:si>
    <x:t>http://id.who.int/icd/release/11/beta/ichi/1608341839</x:t>
  </x:si>
  <x:si>
    <x:t>UAN.WD.ZZ</x:t>
  </x:si>
  <x:si>
    <x:t>- - - - Restrictions on advertising, promotion or sponsorship of products or services in relation to products and technology of land development</x:t>
  </x:si>
  <x:si>
    <x:t>http://id.who.int/icd/entity/711712062</x:t>
  </x:si>
  <x:si>
    <x:t>http://id.who.int/icd/release/11/beta/ichi/711712062</x:t>
  </x:si>
  <x:si>
    <x:t>UAN.WE.ZZ</x:t>
  </x:si>
  <x:si>
    <x:t>- - - - Restrictions on production or importation of products or services in relation to products and technology of land development</x:t>
  </x:si>
  <x:si>
    <x:t>http://id.who.int/icd/entity/2047870093</x:t>
  </x:si>
  <x:si>
    <x:t>http://id.who.int/icd/release/11/beta/ichi/2047870093</x:t>
  </x:si>
  <x:si>
    <x:t>UAN.WG.QF</x:t>
  </x:si>
  <x:si>
    <x:t>- - - - Economic incentives in relation to products and technology of land development</x:t>
  </x:si>
  <x:si>
    <x:t>http://id.who.int/icd/entity/634541488</x:t>
  </x:si>
  <x:si>
    <x:t>http://id.who.int/icd/release/11/beta/ichi/634541488</x:t>
  </x:si>
  <x:si>
    <x:t>UAN.WG.ZZ</x:t>
  </x:si>
  <x:si>
    <x:t>- - - - Applying incentives in relation to products and technology of land development</x:t>
  </x:si>
  <x:si>
    <x:t>http://id.who.int/icd/entity/237975872</x:t>
  </x:si>
  <x:si>
    <x:t>http://id.who.int/icd/release/11/beta/ichi/237975872</x:t>
  </x:si>
  <x:si>
    <x:t>UAN.WI.QD</x:t>
  </x:si>
  <x:si>
    <x:t>- - - - Restrictions through enactment of laws or standards in relation to products and technology of land development</x:t>
  </x:si>
  <x:si>
    <x:t>http://id.who.int/icd/entity/1165991685</x:t>
  </x:si>
  <x:si>
    <x:t>http://id.who.int/icd/release/11/beta/ichi/1165991685</x:t>
  </x:si>
  <x:si>
    <x:t>UAN.WI.QE</x:t>
  </x:si>
  <x:si>
    <x:t>- - - - Restrictions through enforcement of laws or standards in relation to products and technology of land development</x:t>
  </x:si>
  <x:si>
    <x:t>http://id.who.int/icd/entity/448646694</x:t>
  </x:si>
  <x:si>
    <x:t>http://id.who.int/icd/release/11/beta/ichi/448646694</x:t>
  </x:si>
  <x:si>
    <x:t>UAN.WI.ZZ</x:t>
  </x:si>
  <x:si>
    <x:t>- - - - Restrictions through laws or standards in relation to products and technology of land development</x:t>
  </x:si>
  <x:si>
    <x:t>http://id.who.int/icd/entity/1254496151</x:t>
  </x:si>
  <x:si>
    <x:t>http://id.who.int/icd/release/11/beta/ichi/1254496151</x:t>
  </x:si>
  <x:si>
    <x:t>UAN.WJ.ZZ</x:t>
  </x:si>
  <x:si>
    <x:t>- - - - Policy change in relation to products and technology of land development</x:t>
  </x:si>
  <x:si>
    <x:t>http://id.who.int/icd/entity/377777581</x:t>
  </x:si>
  <x:si>
    <x:t>http://id.who.int/icd/release/11/beta/ichi/377777581</x:t>
  </x:si>
  <x:si>
    <x:t>UAO.AA.ZZ</x:t>
  </x:si>
  <x:si>
    <x:t>- - - - Assessment of assets</x:t>
  </x:si>
  <x:si>
    <x:t>http://id.who.int/icd/entity/220236162</x:t>
  </x:si>
  <x:si>
    <x:t>http://id.who.int/icd/release/11/beta/ichi/220236162</x:t>
  </x:si>
  <x:si>
    <x:t>UAO.PH.ZZ</x:t>
  </x:si>
  <x:si>
    <x:t>- - - - Training about assets</x:t>
  </x:si>
  <x:si>
    <x:t>http://id.who.int/icd/entity/2029809348</x:t>
  </x:si>
  <x:si>
    <x:t>http://id.who.int/icd/release/11/beta/ichi/2029809348</x:t>
  </x:si>
  <x:si>
    <x:t>UAO.PM.ZZ</x:t>
  </x:si>
  <x:si>
    <x:t>- - - - Education about assets</x:t>
  </x:si>
  <x:si>
    <x:t>http://id.who.int/icd/entity/1229339790</x:t>
  </x:si>
  <x:si>
    <x:t>http://id.who.int/icd/release/11/beta/ichi/1229339790</x:t>
  </x:si>
  <x:si>
    <x:t>UAO.PN.ZZ</x:t>
  </x:si>
  <x:si>
    <x:t>- - - - Advising about assets</x:t>
  </x:si>
  <x:si>
    <x:t>http://id.who.int/icd/entity/1566265393</x:t>
  </x:si>
  <x:si>
    <x:t>http://id.who.int/icd/release/11/beta/ichi/1566265393</x:t>
  </x:si>
  <x:si>
    <x:t>UAO.RB.ZZ</x:t>
  </x:si>
  <x:si>
    <x:t>- - - - Practical support in relation to assets</x:t>
  </x:si>
  <x:si>
    <x:t>http://id.who.int/icd/entity/43581716</x:t>
  </x:si>
  <x:si>
    <x:t>http://id.who.int/icd/release/11/beta/ichi/43581716</x:t>
  </x:si>
  <x:si>
    <x:t>UAO.TB.ZZ</x:t>
  </x:si>
  <x:si>
    <x:t>- - - - Planning in relation to assets</x:t>
  </x:si>
  <x:si>
    <x:t>http://id.who.int/icd/entity/920301537</x:t>
  </x:si>
  <x:si>
    <x:t>http://id.who.int/icd/release/11/beta/ichi/920301537</x:t>
  </x:si>
  <x:si>
    <x:t>BlockL3-UB1</x:t>
  </x:si>
  <x:si>
    <x:t>- - - Interventions on the natural environment including human changes</x:t>
  </x:si>
  <x:si>
    <x:t>670</x:t>
  </x:si>
  <x:si>
    <x:t>http://id.who.int/icd/entity/371449309</x:t>
  </x:si>
  <x:si>
    <x:t>http://id.who.int/icd/release/11/beta/ichi/371449309</x:t>
  </x:si>
  <x:si>
    <x:t>UB1.AA.ZZ</x:t>
  </x:si>
  <x:si>
    <x:t>- - - - Assessment of aspects of natural environment and human-made changes to environment, unspecified</x:t>
  </x:si>
  <x:si>
    <x:t>http://id.who.int/icd/entity/207938311</x:t>
  </x:si>
  <x:si>
    <x:t>http://id.who.int/icd/release/11/beta/ichi/207938311</x:t>
  </x:si>
  <x:si>
    <x:t>UB1.PM.ZZ</x:t>
  </x:si>
  <x:si>
    <x:t>- - - - Education about aspects of natural environment and human-made changes to environment, unspecified</x:t>
  </x:si>
  <x:si>
    <x:t>http://id.who.int/icd/entity/2136937503</x:t>
  </x:si>
  <x:si>
    <x:t>http://id.who.int/icd/release/11/beta/ichi/2136937503</x:t>
  </x:si>
  <x:si>
    <x:t>UB1.PN.ZZ</x:t>
  </x:si>
  <x:si>
    <x:t>- - - - Advising about aspects of natural environment and human-made changes to environment, unspecified</x:t>
  </x:si>
  <x:si>
    <x:t>http://id.who.int/icd/entity/1952123571</x:t>
  </x:si>
  <x:si>
    <x:t>http://id.who.int/icd/release/11/beta/ichi/1952123571</x:t>
  </x:si>
  <x:si>
    <x:t>UB1.TD.ZZ</x:t>
  </x:si>
  <x:si>
    <x:t>- - - - Collaborating or building partnerships in relation to aspects of the natural environment and human-made changes to environment, unspecified</x:t>
  </x:si>
  <x:si>
    <x:t>http://id.who.int/icd/entity/547177790</x:t>
  </x:si>
  <x:si>
    <x:t>http://id.who.int/icd/release/11/beta/ichi/547177790</x:t>
  </x:si>
  <x:si>
    <x:t>UB1.TK.ZZ</x:t>
  </x:si>
  <x:si>
    <x:t>- - - - Public facilities or infrastructure development to improve aspects of the natural environment and human-made changes to environment, unspecified</x:t>
  </x:si>
  <x:si>
    <x:t>http://id.who.int/icd/entity/1976742771</x:t>
  </x:si>
  <x:si>
    <x:t>http://id.who.int/icd/release/11/beta/ichi/1976742771</x:t>
  </x:si>
  <x:si>
    <x:t>UB1.TM.ZZ</x:t>
  </x:si>
  <x:si>
    <x:t>- - - - Environment modification to influence aspects of the natural environment and human-made changes to environment, unspecified</x:t>
  </x:si>
  <x:si>
    <x:t>http://id.who.int/icd/entity/1519536605</x:t>
  </x:si>
  <x:si>
    <x:t>http://id.who.int/icd/release/11/beta/ichi/1519536605</x:t>
  </x:si>
  <x:si>
    <x:t>UB1.VA.ZZ</x:t>
  </x:si>
  <x:si>
    <x:t>- - - - Capacity building targeting aspects of natural environment and human-made changes to environment, unspecified</x:t>
  </x:si>
  <x:si>
    <x:t>http://id.who.int/icd/entity/705749586</x:t>
  </x:si>
  <x:si>
    <x:t>http://id.who.int/icd/release/11/beta/ichi/705749586</x:t>
  </x:si>
  <x:si>
    <x:t>UB1.VB.ZZ</x:t>
  </x:si>
  <x:si>
    <x:t>- - - - Awareness raising concerning aspects of the natural environment and human-made changes to environment, unspecified</x:t>
  </x:si>
  <x:si>
    <x:t>http://id.who.int/icd/entity/1598267059</x:t>
  </x:si>
  <x:si>
    <x:t>http://id.who.int/icd/release/11/beta/ichi/1598267059</x:t>
  </x:si>
  <x:si>
    <x:t>UB1.VC.ZZ</x:t>
  </x:si>
  <x:si>
    <x:t>- - - - Public health surveillance concerning aspects of the natural environment and human-made changes to environment, unspecified</x:t>
  </x:si>
  <x:si>
    <x:t>http://id.who.int/icd/entity/544783790</x:t>
  </x:si>
  <x:si>
    <x:t>http://id.who.int/icd/release/11/beta/ichi/544783790</x:t>
  </x:si>
  <x:si>
    <x:t>UB1.VF.ZZ</x:t>
  </x:si>
  <x:si>
    <x:t>- - - - Alert concerning aspects of the natural environment and human-made changes to the environment, unspecified</x:t>
  </x:si>
  <x:si>
    <x:t>http://id.who.int/icd/entity/1861864697</x:t>
  </x:si>
  <x:si>
    <x:t>http://id.who.int/icd/release/11/beta/ichi/1861864697</x:t>
  </x:si>
  <x:si>
    <x:t>UB1.VL.ZZ</x:t>
  </x:si>
  <x:si>
    <x:t>- - - - Environmental remediation or decontamination to reduce threats to health, unspecified</x:t>
  </x:si>
  <x:si>
    <x:t>http://id.who.int/icd/entity/273372710</x:t>
  </x:si>
  <x:si>
    <x:t>http://id.who.int/icd/release/11/beta/ichi/273372710</x:t>
  </x:si>
  <x:si>
    <x:t>UB1.WG.QF</x:t>
  </x:si>
  <x:si>
    <x:t>- - - - Economic incentives concerning aspects of the natural environment and human-made changes to environment, unspecified</x:t>
  </x:si>
  <x:si>
    <x:t>http://id.who.int/icd/entity/1869641017</x:t>
  </x:si>
  <x:si>
    <x:t>http://id.who.int/icd/release/11/beta/ichi/1869641017</x:t>
  </x:si>
  <x:si>
    <x:t>UB1.WG.ZZ</x:t>
  </x:si>
  <x:si>
    <x:t>- - - - Applying incentives concerning aspects of the natural environment and human-made changes to environment, unspecified</x:t>
  </x:si>
  <x:si>
    <x:t>http://id.who.int/icd/entity/85086240</x:t>
  </x:si>
  <x:si>
    <x:t>http://id.who.int/icd/release/11/beta/ichi/85086240</x:t>
  </x:si>
  <x:si>
    <x:t>UB1.WI.QD</x:t>
  </x:si>
  <x:si>
    <x:t>- - - - Restrictions through enactment of laws or standards on aspects of the natural environment and human-made changes to environment, unspecified</x:t>
  </x:si>
  <x:si>
    <x:t>http://id.who.int/icd/entity/1972435859</x:t>
  </x:si>
  <x:si>
    <x:t>http://id.who.int/icd/release/11/beta/ichi/1972435859</x:t>
  </x:si>
  <x:si>
    <x:t>UB1.WI.QE</x:t>
  </x:si>
  <x:si>
    <x:t>- - - - Restrictions through enforcement of laws or standards on aspects of the natural environment and human-made changes to environment, unspecified</x:t>
  </x:si>
  <x:si>
    <x:t>http://id.who.int/icd/entity/2049536769</x:t>
  </x:si>
  <x:si>
    <x:t>http://id.who.int/icd/release/11/beta/ichi/2049536769</x:t>
  </x:si>
  <x:si>
    <x:t>UB1.WJ.ZZ</x:t>
  </x:si>
  <x:si>
    <x:t>- - - - Policy change concerning aspects of the natural environment and human-made changes to environment, unspecified</x:t>
  </x:si>
  <x:si>
    <x:t>http://id.who.int/icd/entity/180408962</x:t>
  </x:si>
  <x:si>
    <x:t>http://id.who.int/icd/release/11/beta/ichi/180408962</x:t>
  </x:si>
  <x:si>
    <x:t>UB1.ZZ.ZZ</x:t>
  </x:si>
  <x:si>
    <x:t>- - - - Other interventions targeting unspecified aspects of the natural environment and human-made changes to environment</x:t>
  </x:si>
  <x:si>
    <x:t>http://id.who.int/icd/entity/893739696</x:t>
  </x:si>
  <x:si>
    <x:t>http://id.who.int/icd/release/11/beta/ichi/893739696</x:t>
  </x:si>
  <x:si>
    <x:t>UBA.AA.ZZ</x:t>
  </x:si>
  <x:si>
    <x:t>- - - - Assessment of impact of physical features of land forms</x:t>
  </x:si>
  <x:si>
    <x:t>http://id.who.int/icd/entity/1071118323</x:t>
  </x:si>
  <x:si>
    <x:t>http://id.who.int/icd/release/11/beta/ichi/1071118323</x:t>
  </x:si>
  <x:si>
    <x:t>UBA.PH.ZZ</x:t>
  </x:si>
  <x:si>
    <x:t>- - - - Training about physical features of land forms</x:t>
  </x:si>
  <x:si>
    <x:t>http://id.who.int/icd/entity/1698609951</x:t>
  </x:si>
  <x:si>
    <x:t>http://id.who.int/icd/release/11/beta/ichi/1698609951</x:t>
  </x:si>
  <x:si>
    <x:t>UBA.PM.ZZ</x:t>
  </x:si>
  <x:si>
    <x:t>- - - - Education about aspects of physical features of land forms</x:t>
  </x:si>
  <x:si>
    <x:t>http://id.who.int/icd/entity/989653566</x:t>
  </x:si>
  <x:si>
    <x:t>http://id.who.int/icd/release/11/beta/ichi/989653566</x:t>
  </x:si>
  <x:si>
    <x:t>UBA.PN.ZZ</x:t>
  </x:si>
  <x:si>
    <x:t>- - - - Advising about aspects of physical features of land forms</x:t>
  </x:si>
  <x:si>
    <x:t>http://id.who.int/icd/entity/81789653</x:t>
  </x:si>
  <x:si>
    <x:t>http://id.who.int/icd/release/11/beta/ichi/81789653</x:t>
  </x:si>
  <x:si>
    <x:t>UBA.RB.ZZ</x:t>
  </x:si>
  <x:si>
    <x:t>- - - - Practical support about physical features of land forms</x:t>
  </x:si>
  <x:si>
    <x:t>http://id.who.int/icd/entity/1528976374</x:t>
  </x:si>
  <x:si>
    <x:t>http://id.who.int/icd/release/11/beta/ichi/1528976374</x:t>
  </x:si>
  <x:si>
    <x:t>UBA.RD.ZZ</x:t>
  </x:si>
  <x:si>
    <x:t>- - - - Providing goods in relation to physical features of land forms</x:t>
  </x:si>
  <x:si>
    <x:t>http://id.who.int/icd/entity/190417479</x:t>
  </x:si>
  <x:si>
    <x:t>http://id.who.int/icd/release/11/beta/ichi/190417479</x:t>
  </x:si>
  <x:si>
    <x:t>UBA.RG.ZZ</x:t>
  </x:si>
  <x:si>
    <x:t>- - - - Providing services in relation to physical features of land forms</x:t>
  </x:si>
  <x:si>
    <x:t>http://id.who.int/icd/entity/243817769</x:t>
  </x:si>
  <x:si>
    <x:t>http://id.who.int/icd/release/11/beta/ichi/243817769</x:t>
  </x:si>
  <x:si>
    <x:t>UBA.TA.ZZ</x:t>
  </x:si>
  <x:si>
    <x:t>- - - - Advocacy in relation to physical features of land forms</x:t>
  </x:si>
  <x:si>
    <x:t>http://id.who.int/icd/entity/628437433</x:t>
  </x:si>
  <x:si>
    <x:t>http://id.who.int/icd/release/11/beta/ichi/628437433</x:t>
  </x:si>
  <x:si>
    <x:t>UBA.TB.ZZ</x:t>
  </x:si>
  <x:si>
    <x:t>- - - - Planning in relation to physical features of land forms</x:t>
  </x:si>
  <x:si>
    <x:t>http://id.who.int/icd/entity/875958735</x:t>
  </x:si>
  <x:si>
    <x:t>http://id.who.int/icd/release/11/beta/ichi/875958735</x:t>
  </x:si>
  <x:si>
    <x:t>UBA.TD.ZZ</x:t>
  </x:si>
  <x:si>
    <x:t>- - - - Collaboration relating to physical features of land forms</x:t>
  </x:si>
  <x:si>
    <x:t>http://id.who.int/icd/entity/1098945980</x:t>
  </x:si>
  <x:si>
    <x:t>http://id.who.int/icd/release/11/beta/ichi/1098945980</x:t>
  </x:si>
  <x:si>
    <x:t>UBA.TK.ZZ</x:t>
  </x:si>
  <x:si>
    <x:t>- - - - Public facilities or infrastructure development in relation to physical features of land forms</x:t>
  </x:si>
  <x:si>
    <x:t>http://id.who.int/icd/entity/301681677</x:t>
  </x:si>
  <x:si>
    <x:t>http://id.who.int/icd/release/11/beta/ichi/301681677</x:t>
  </x:si>
  <x:si>
    <x:t>UBA.TM.ZZ</x:t>
  </x:si>
  <x:si>
    <x:t>- - - - Environment modification in relation to physical features of land forms</x:t>
  </x:si>
  <x:si>
    <x:t>http://id.who.int/icd/entity/1312365870</x:t>
  </x:si>
  <x:si>
    <x:t>http://id.who.int/icd/release/11/beta/ichi/1312365870</x:t>
  </x:si>
  <x:si>
    <x:t>UBA.VA.ZZ</x:t>
  </x:si>
  <x:si>
    <x:t>- - - - Capacity building targeting physical features of land forms</x:t>
  </x:si>
  <x:si>
    <x:t>http://id.who.int/icd/entity/1707372990</x:t>
  </x:si>
  <x:si>
    <x:t>http://id.who.int/icd/release/11/beta/ichi/1707372990</x:t>
  </x:si>
  <x:si>
    <x:t>UBA.VB.ZZ</x:t>
  </x:si>
  <x:si>
    <x:t>- - - - Awareness raising concerning physical features of land forms</x:t>
  </x:si>
  <x:si>
    <x:t>http://id.who.int/icd/entity/832933441</x:t>
  </x:si>
  <x:si>
    <x:t>http://id.who.int/icd/release/11/beta/ichi/832933441</x:t>
  </x:si>
  <x:si>
    <x:t>UBA.VC.ZZ</x:t>
  </x:si>
  <x:si>
    <x:t>- - - - Public health surveillance concerning physical features of land forms</x:t>
  </x:si>
  <x:si>
    <x:t>http://id.who.int/icd/entity/957810849</x:t>
  </x:si>
  <x:si>
    <x:t>http://id.who.int/icd/release/11/beta/ichi/957810849</x:t>
  </x:si>
  <x:si>
    <x:t>UBA.VE.ZZ</x:t>
  </x:si>
  <x:si>
    <x:t>- - - - Infection control measures in relation to physical features of land forms</x:t>
  </x:si>
  <x:si>
    <x:t>http://id.who.int/icd/entity/1852301154</x:t>
  </x:si>
  <x:si>
    <x:t>http://id.who.int/icd/release/11/beta/ichi/1852301154</x:t>
  </x:si>
  <x:si>
    <x:t>UBA.VF.ZZ</x:t>
  </x:si>
  <x:si>
    <x:t>- - - - Alert concerning physical features of land forms</x:t>
  </x:si>
  <x:si>
    <x:t>http://id.who.int/icd/entity/1042024147</x:t>
  </x:si>
  <x:si>
    <x:t>http://id.who.int/icd/release/11/beta/ichi/1042024147</x:t>
  </x:si>
  <x:si>
    <x:t>UBA.VL.ZZ</x:t>
  </x:si>
  <x:si>
    <x:t>- - - - Environmental remediation in relation to physical features of land forms</x:t>
  </x:si>
  <x:si>
    <x:t>http://id.who.int/icd/entity/314484312</x:t>
  </x:si>
  <x:si>
    <x:t>http://id.who.int/icd/release/11/beta/ichi/314484312</x:t>
  </x:si>
  <x:si>
    <x:t>UBA.VN.ZZ</x:t>
  </x:si>
  <x:si>
    <x:t>- - - - Establishing health services or health-related services in relation to physical features of land forms</x:t>
  </x:si>
  <x:si>
    <x:t>http://id.who.int/icd/entity/960744136</x:t>
  </x:si>
  <x:si>
    <x:t>http://id.who.int/icd/release/11/beta/ichi/960744136</x:t>
  </x:si>
  <x:si>
    <x:t>UBA.VO.ZZ</x:t>
  </x:si>
  <x:si>
    <x:t>- - - - Marshalling health services or health-related services in relation to physical features of land forms</x:t>
  </x:si>
  <x:si>
    <x:t>http://id.who.int/icd/entity/671148736</x:t>
  </x:si>
  <x:si>
    <x:t>http://id.who.int/icd/release/11/beta/ichi/671148736</x:t>
  </x:si>
  <x:si>
    <x:t>UBA.VP.ZZ</x:t>
  </x:si>
  <x:si>
    <x:t>- - - - Improving access to health services or health-related services in relation to physical features of land forms</x:t>
  </x:si>
  <x:si>
    <x:t>http://id.who.int/icd/entity/1572237005</x:t>
  </x:si>
  <x:si>
    <x:t>http://id.who.int/icd/release/11/beta/ichi/1572237005</x:t>
  </x:si>
  <x:si>
    <x:t>UBA.VR.ZZ</x:t>
  </x:si>
  <x:si>
    <x:t>- - - - Reducing emissions from physical features of land forms</x:t>
  </x:si>
  <x:si>
    <x:t>http://id.who.int/icd/entity/231585660</x:t>
  </x:si>
  <x:si>
    <x:t>http://id.who.int/icd/release/11/beta/ichi/231585660</x:t>
  </x:si>
  <x:si>
    <x:t>UBA.WC.ZZ</x:t>
  </x:si>
  <x:si>
    <x:t>- - - - Restrictions on the sale or distribution of products or services in relation to physical features of land forms</x:t>
  </x:si>
  <x:si>
    <x:t>http://id.who.int/icd/entity/1376773727</x:t>
  </x:si>
  <x:si>
    <x:t>http://id.who.int/icd/release/11/beta/ichi/1376773727</x:t>
  </x:si>
  <x:si>
    <x:t>UBA.WD.ZZ</x:t>
  </x:si>
  <x:si>
    <x:t>- - - - Restrictions on advertising, promotion or sponsorship of products or services in relation to physical features of land forms</x:t>
  </x:si>
  <x:si>
    <x:t>http://id.who.int/icd/entity/2045938383</x:t>
  </x:si>
  <x:si>
    <x:t>http://id.who.int/icd/release/11/beta/ichi/2045938383</x:t>
  </x:si>
  <x:si>
    <x:t>UBA.WE.ZZ</x:t>
  </x:si>
  <x:si>
    <x:t>- - - - Restrictions on production or importation of products or services in relation to physical features of land forms</x:t>
  </x:si>
  <x:si>
    <x:t>http://id.who.int/icd/entity/849489142</x:t>
  </x:si>
  <x:si>
    <x:t>http://id.who.int/icd/release/11/beta/ichi/849489142</x:t>
  </x:si>
  <x:si>
    <x:t>UBA.WG.QF</x:t>
  </x:si>
  <x:si>
    <x:t>- - - - Economic incentives in relation to physical features of land forms</x:t>
  </x:si>
  <x:si>
    <x:t>http://id.who.int/icd/entity/1835040215</x:t>
  </x:si>
  <x:si>
    <x:t>http://id.who.int/icd/release/11/beta/ichi/1835040215</x:t>
  </x:si>
  <x:si>
    <x:t>UBA.WG.ZZ</x:t>
  </x:si>
  <x:si>
    <x:t>- - - - Applying incentives in relation to physical features of land forms</x:t>
  </x:si>
  <x:si>
    <x:t>http://id.who.int/icd/entity/1025221736</x:t>
  </x:si>
  <x:si>
    <x:t>http://id.who.int/icd/release/11/beta/ichi/1025221736</x:t>
  </x:si>
  <x:si>
    <x:t>UBA.WI.QD</x:t>
  </x:si>
  <x:si>
    <x:t>- - - - Restrictions through enactment of laws or standards in relation to physical features of land forms</x:t>
  </x:si>
  <x:si>
    <x:t>http://id.who.int/icd/entity/1219305493</x:t>
  </x:si>
  <x:si>
    <x:t>http://id.who.int/icd/release/11/beta/ichi/1219305493</x:t>
  </x:si>
  <x:si>
    <x:t>UBA.WI.QE</x:t>
  </x:si>
  <x:si>
    <x:t>- - - - Restrictions through enforcement of laws or standards in relation to physical features of land forms</x:t>
  </x:si>
  <x:si>
    <x:t>http://id.who.int/icd/entity/1666206853</x:t>
  </x:si>
  <x:si>
    <x:t>http://id.who.int/icd/release/11/beta/ichi/1666206853</x:t>
  </x:si>
  <x:si>
    <x:t>UBA.WI.ZZ</x:t>
  </x:si>
  <x:si>
    <x:t>- - - - Restrictions through laws or standards in relation to physical features of land forms</x:t>
  </x:si>
  <x:si>
    <x:t>http://id.who.int/icd/entity/1913875699</x:t>
  </x:si>
  <x:si>
    <x:t>http://id.who.int/icd/release/11/beta/ichi/1913875699</x:t>
  </x:si>
  <x:si>
    <x:t>UBA.WJ.ZZ</x:t>
  </x:si>
  <x:si>
    <x:t>- - - - Policy change in relation to physical features of land forms</x:t>
  </x:si>
  <x:si>
    <x:t>http://id.who.int/icd/entity/29674544</x:t>
  </x:si>
  <x:si>
    <x:t>http://id.who.int/icd/release/11/beta/ichi/29674544</x:t>
  </x:si>
  <x:si>
    <x:t>UBB.AA.ZZ</x:t>
  </x:si>
  <x:si>
    <x:t>- - - - Assessment of bodies of water</x:t>
  </x:si>
  <x:si>
    <x:t>http://id.who.int/icd/entity/1758096779</x:t>
  </x:si>
  <x:si>
    <x:t>http://id.who.int/icd/release/11/beta/ichi/1758096779</x:t>
  </x:si>
  <x:si>
    <x:t>UBB.PH.ZZ</x:t>
  </x:si>
  <x:si>
    <x:t>- - - - Training about bodies of water</x:t>
  </x:si>
  <x:si>
    <x:t>http://id.who.int/icd/entity/1426228129</x:t>
  </x:si>
  <x:si>
    <x:t>http://id.who.int/icd/release/11/beta/ichi/1426228129</x:t>
  </x:si>
  <x:si>
    <x:t>UBB.PM.ZZ</x:t>
  </x:si>
  <x:si>
    <x:t>- - - - Education about aspects of features of bodies of water</x:t>
  </x:si>
  <x:si>
    <x:t>http://id.who.int/icd/entity/5076462</x:t>
  </x:si>
  <x:si>
    <x:t>http://id.who.int/icd/release/11/beta/ichi/5076462</x:t>
  </x:si>
  <x:si>
    <x:t>UBB.PN.ZZ</x:t>
  </x:si>
  <x:si>
    <x:t>- - - - Advising about aspects of features of bodies of water</x:t>
  </x:si>
  <x:si>
    <x:t>http://id.who.int/icd/entity/1667875671</x:t>
  </x:si>
  <x:si>
    <x:t>http://id.who.int/icd/release/11/beta/ichi/1667875671</x:t>
  </x:si>
  <x:si>
    <x:t>UBB.RB.ZZ</x:t>
  </x:si>
  <x:si>
    <x:t>- - - - Practical support about bodies of water</x:t>
  </x:si>
  <x:si>
    <x:t>http://id.who.int/icd/entity/856824552</x:t>
  </x:si>
  <x:si>
    <x:t>http://id.who.int/icd/release/11/beta/ichi/856824552</x:t>
  </x:si>
  <x:si>
    <x:t>UBB.RD.ZZ</x:t>
  </x:si>
  <x:si>
    <x:t>- - - - Providing goods in relation to bodies of water</x:t>
  </x:si>
  <x:si>
    <x:t>http://id.who.int/icd/entity/95191559</x:t>
  </x:si>
  <x:si>
    <x:t>http://id.who.int/icd/release/11/beta/ichi/95191559</x:t>
  </x:si>
  <x:si>
    <x:t>UBB.RG.ZZ</x:t>
  </x:si>
  <x:si>
    <x:t>- - - - Providing services in relation to bodies of water</x:t>
  </x:si>
  <x:si>
    <x:t>http://id.who.int/icd/entity/777121431</x:t>
  </x:si>
  <x:si>
    <x:t>http://id.who.int/icd/release/11/beta/ichi/777121431</x:t>
  </x:si>
  <x:si>
    <x:t>UBB.TA.ZZ</x:t>
  </x:si>
  <x:si>
    <x:t>- - - - Advocacy in relation to bodies of water</x:t>
  </x:si>
  <x:si>
    <x:t>http://id.who.int/icd/entity/1058197217</x:t>
  </x:si>
  <x:si>
    <x:t>http://id.who.int/icd/release/11/beta/ichi/1058197217</x:t>
  </x:si>
  <x:si>
    <x:t>UBB.TB.ZZ</x:t>
  </x:si>
  <x:si>
    <x:t>- - - - Planning in relation to bodies of water</x:t>
  </x:si>
  <x:si>
    <x:t>http://id.who.int/icd/entity/1252280980</x:t>
  </x:si>
  <x:si>
    <x:t>http://id.who.int/icd/release/11/beta/ichi/1252280980</x:t>
  </x:si>
  <x:si>
    <x:t>UBB.TD.ZZ</x:t>
  </x:si>
  <x:si>
    <x:t>- - - - Collaboration relating to bodies of water</x:t>
  </x:si>
  <x:si>
    <x:t>http://id.who.int/icd/entity/450859811</x:t>
  </x:si>
  <x:si>
    <x:t>http://id.who.int/icd/release/11/beta/ichi/450859811</x:t>
  </x:si>
  <x:si>
    <x:t>UBB.TK.ZZ</x:t>
  </x:si>
  <x:si>
    <x:t>- - - - Public facilities or infrastructure development in relation to bodies of water</x:t>
  </x:si>
  <x:si>
    <x:t>http://id.who.int/icd/entity/1159578114</x:t>
  </x:si>
  <x:si>
    <x:t>http://id.who.int/icd/release/11/beta/ichi/1159578114</x:t>
  </x:si>
  <x:si>
    <x:t>UBB.TM.ZZ</x:t>
  </x:si>
  <x:si>
    <x:t>- - - - Environment modification in relation to bodies of water</x:t>
  </x:si>
  <x:si>
    <x:t>http://id.who.int/icd/entity/1860218514</x:t>
  </x:si>
  <x:si>
    <x:t>http://id.who.int/icd/release/11/beta/ichi/1860218514</x:t>
  </x:si>
  <x:si>
    <x:t>UBB.VA.ZZ</x:t>
  </x:si>
  <x:si>
    <x:t>- - - - Capacity building targeting bodies of water</x:t>
  </x:si>
  <x:si>
    <x:t>http://id.who.int/icd/entity/632293547</x:t>
  </x:si>
  <x:si>
    <x:t>http://id.who.int/icd/release/11/beta/ichi/632293547</x:t>
  </x:si>
  <x:si>
    <x:t>UBB.VB.ZZ</x:t>
  </x:si>
  <x:si>
    <x:t>- - - - Awareness raising concerning bodies of water</x:t>
  </x:si>
  <x:si>
    <x:t>http://id.who.int/icd/entity/2054314376</x:t>
  </x:si>
  <x:si>
    <x:t>http://id.who.int/icd/release/11/beta/ichi/2054314376</x:t>
  </x:si>
  <x:si>
    <x:t>UBB.VC.ZZ</x:t>
  </x:si>
  <x:si>
    <x:t>- - - - Public health surveillance concerning bodies of water</x:t>
  </x:si>
  <x:si>
    <x:t>http://id.who.int/icd/entity/1768739088</x:t>
  </x:si>
  <x:si>
    <x:t>http://id.who.int/icd/release/11/beta/ichi/1768739088</x:t>
  </x:si>
  <x:si>
    <x:t>UBB.VE.ZZ</x:t>
  </x:si>
  <x:si>
    <x:t>- - - - Infection control measures in relation to bodies of water</x:t>
  </x:si>
  <x:si>
    <x:t>http://id.who.int/icd/entity/705265721</x:t>
  </x:si>
  <x:si>
    <x:t>http://id.who.int/icd/release/11/beta/ichi/705265721</x:t>
  </x:si>
  <x:si>
    <x:t>UBB.VF.ZZ</x:t>
  </x:si>
  <x:si>
    <x:t>- - - - Alert concerning bodies of water</x:t>
  </x:si>
  <x:si>
    <x:t>http://id.who.int/icd/entity/1606353996</x:t>
  </x:si>
  <x:si>
    <x:t>http://id.who.int/icd/release/11/beta/ichi/1606353996</x:t>
  </x:si>
  <x:si>
    <x:t>UBB.VL.ZZ</x:t>
  </x:si>
  <x:si>
    <x:t>- - - - Environmental remediation in relation to bodies of water</x:t>
  </x:si>
  <x:si>
    <x:t>http://id.who.int/icd/entity/1950509276</x:t>
  </x:si>
  <x:si>
    <x:t>http://id.who.int/icd/release/11/beta/ichi/1950509276</x:t>
  </x:si>
  <x:si>
    <x:t>UBB.VN.ZZ</x:t>
  </x:si>
  <x:si>
    <x:t>- - - - Establishing health services or health-related services in relation to bodies of water</x:t>
  </x:si>
  <x:si>
    <x:t>http://id.who.int/icd/entity/1694582956</x:t>
  </x:si>
  <x:si>
    <x:t>http://id.who.int/icd/release/11/beta/ichi/1694582956</x:t>
  </x:si>
  <x:si>
    <x:t>UBB.VO.ZZ</x:t>
  </x:si>
  <x:si>
    <x:t>- - - - Marshalling health services or health-related services in relation to bodies of water</x:t>
  </x:si>
  <x:si>
    <x:t>http://id.who.int/icd/entity/2145502728</x:t>
  </x:si>
  <x:si>
    <x:t>http://id.who.int/icd/release/11/beta/ichi/2145502728</x:t>
  </x:si>
  <x:si>
    <x:t>UBB.VP.ZZ</x:t>
  </x:si>
  <x:si>
    <x:t>- - - - Improving access to health services or health-related services in relation to bodies of water</x:t>
  </x:si>
  <x:si>
    <x:t>http://id.who.int/icd/entity/798629815</x:t>
  </x:si>
  <x:si>
    <x:t>http://id.who.int/icd/release/11/beta/ichi/798629815</x:t>
  </x:si>
  <x:si>
    <x:t>UBB.VR.ZZ</x:t>
  </x:si>
  <x:si>
    <x:t>- - - - Reducing emissions from bodies of water</x:t>
  </x:si>
  <x:si>
    <x:t>http://id.who.int/icd/entity/1884835478</x:t>
  </x:si>
  <x:si>
    <x:t>http://id.who.int/icd/release/11/beta/ichi/1884835478</x:t>
  </x:si>
  <x:si>
    <x:t>UBB.WC.ZZ</x:t>
  </x:si>
  <x:si>
    <x:t>- - - - Restrictions on the sale or distribution of products or services in relation to bodies of water</x:t>
  </x:si>
  <x:si>
    <x:t>http://id.who.int/icd/entity/1537548806</x:t>
  </x:si>
  <x:si>
    <x:t>http://id.who.int/icd/release/11/beta/ichi/1537548806</x:t>
  </x:si>
  <x:si>
    <x:t>UBB.WD.ZZ</x:t>
  </x:si>
  <x:si>
    <x:t>- - - - Restrictions on advertising, promotion or sponsorship of products or services in relation to bodies of water</x:t>
  </x:si>
  <x:si>
    <x:t>http://id.who.int/icd/entity/541629739</x:t>
  </x:si>
  <x:si>
    <x:t>http://id.who.int/icd/release/11/beta/ichi/541629739</x:t>
  </x:si>
  <x:si>
    <x:t>UBB.WE.ZZ</x:t>
  </x:si>
  <x:si>
    <x:t>- - - - Restrictions on production or importation of products or services in relation to bodies of water</x:t>
  </x:si>
  <x:si>
    <x:t>http://id.who.int/icd/entity/2139802632</x:t>
  </x:si>
  <x:si>
    <x:t>http://id.who.int/icd/release/11/beta/ichi/2139802632</x:t>
  </x:si>
  <x:si>
    <x:t>UBB.WG.QF</x:t>
  </x:si>
  <x:si>
    <x:t>- - - - Economic incentives in relation to bodies of water</x:t>
  </x:si>
  <x:si>
    <x:t>http://id.who.int/icd/entity/804328889</x:t>
  </x:si>
  <x:si>
    <x:t>http://id.who.int/icd/release/11/beta/ichi/804328889</x:t>
  </x:si>
  <x:si>
    <x:t>UBB.WG.ZZ</x:t>
  </x:si>
  <x:si>
    <x:t>- - - - Applying incentives in relation to bodies of water</x:t>
  </x:si>
  <x:si>
    <x:t>http://id.who.int/icd/entity/1514639820</x:t>
  </x:si>
  <x:si>
    <x:t>http://id.who.int/icd/release/11/beta/ichi/1514639820</x:t>
  </x:si>
  <x:si>
    <x:t>UBB.WI.QD</x:t>
  </x:si>
  <x:si>
    <x:t>- - - - Restrictions through enactment of laws or standards in relation to bodies of water</x:t>
  </x:si>
  <x:si>
    <x:t>http://id.who.int/icd/entity/1908079964</x:t>
  </x:si>
  <x:si>
    <x:t>http://id.who.int/icd/release/11/beta/ichi/1908079964</x:t>
  </x:si>
  <x:si>
    <x:t>UBB.WI.QE</x:t>
  </x:si>
  <x:si>
    <x:t>- - - - Restrictions through enforcement of laws or standards in relation to bodies of water</x:t>
  </x:si>
  <x:si>
    <x:t>http://id.who.int/icd/entity/1626987820</x:t>
  </x:si>
  <x:si>
    <x:t>http://id.who.int/icd/release/11/beta/ichi/1626987820</x:t>
  </x:si>
  <x:si>
    <x:t>UBB.WI.ZZ</x:t>
  </x:si>
  <x:si>
    <x:t>- - - - Restrictions through laws or standards in relation to bodies of water</x:t>
  </x:si>
  <x:si>
    <x:t>http://id.who.int/icd/entity/1697122882</x:t>
  </x:si>
  <x:si>
    <x:t>http://id.who.int/icd/release/11/beta/ichi/1697122882</x:t>
  </x:si>
  <x:si>
    <x:t>UBB.WJ.ZZ</x:t>
  </x:si>
  <x:si>
    <x:t>- - - - Policy change in relation to bodies of water</x:t>
  </x:si>
  <x:si>
    <x:t>http://id.who.int/icd/entity/1363408610</x:t>
  </x:si>
  <x:si>
    <x:t>http://id.who.int/icd/release/11/beta/ichi/1363408610</x:t>
  </x:si>
  <x:si>
    <x:t>UBC.AA.ZZ</x:t>
  </x:si>
  <x:si>
    <x:t>- - - - Assessment of the population</x:t>
  </x:si>
  <x:si>
    <x:t>http://id.who.int/icd/entity/243378113</x:t>
  </x:si>
  <x:si>
    <x:t>http://id.who.int/icd/release/11/beta/ichi/243378113</x:t>
  </x:si>
  <x:si>
    <x:t>UBC.PH.ZZ</x:t>
  </x:si>
  <x:si>
    <x:t>- - - - Training about the population</x:t>
  </x:si>
  <x:si>
    <x:t>http://id.who.int/icd/entity/1593474672</x:t>
  </x:si>
  <x:si>
    <x:t>http://id.who.int/icd/release/11/beta/ichi/1593474672</x:t>
  </x:si>
  <x:si>
    <x:t>UBC.PM.ZZ</x:t>
  </x:si>
  <x:si>
    <x:t>- - - - Education about aspects of the population</x:t>
  </x:si>
  <x:si>
    <x:t>http://id.who.int/icd/entity/726465027</x:t>
  </x:si>
  <x:si>
    <x:t>http://id.who.int/icd/release/11/beta/ichi/726465027</x:t>
  </x:si>
  <x:si>
    <x:t>UBC.PN.ZZ</x:t>
  </x:si>
  <x:si>
    <x:t>- - - - Advising about the population</x:t>
  </x:si>
  <x:si>
    <x:t>http://id.who.int/icd/entity/11638419</x:t>
  </x:si>
  <x:si>
    <x:t>http://id.who.int/icd/release/11/beta/ichi/11638419</x:t>
  </x:si>
  <x:si>
    <x:t>UBC.RB.ZZ</x:t>
  </x:si>
  <x:si>
    <x:t>- - - - Practical support about the population</x:t>
  </x:si>
  <x:si>
    <x:t>http://id.who.int/icd/entity/301119205</x:t>
  </x:si>
  <x:si>
    <x:t>http://id.who.int/icd/release/11/beta/ichi/301119205</x:t>
  </x:si>
  <x:si>
    <x:t>UBC.RD.ZZ</x:t>
  </x:si>
  <x:si>
    <x:t>- - - - Providing goods in relation to the population</x:t>
  </x:si>
  <x:si>
    <x:t>http://id.who.int/icd/entity/337863051</x:t>
  </x:si>
  <x:si>
    <x:t>http://id.who.int/icd/release/11/beta/ichi/337863051</x:t>
  </x:si>
  <x:si>
    <x:t>UBC.RG.ZZ</x:t>
  </x:si>
  <x:si>
    <x:t>- - - - Providing services in relation to the population</x:t>
  </x:si>
  <x:si>
    <x:t>http://id.who.int/icd/entity/1146665018</x:t>
  </x:si>
  <x:si>
    <x:t>http://id.who.int/icd/release/11/beta/ichi/1146665018</x:t>
  </x:si>
  <x:si>
    <x:t>UBC.TA.ZZ</x:t>
  </x:si>
  <x:si>
    <x:t>- - - - Advocacy in relation to the population</x:t>
  </x:si>
  <x:si>
    <x:t>http://id.who.int/icd/entity/463137049</x:t>
  </x:si>
  <x:si>
    <x:t>http://id.who.int/icd/release/11/beta/ichi/463137049</x:t>
  </x:si>
  <x:si>
    <x:t>UBC.TB.ZZ</x:t>
  </x:si>
  <x:si>
    <x:t>- - - - Population planning</x:t>
  </x:si>
  <x:si>
    <x:t>http://id.who.int/icd/entity/812090761</x:t>
  </x:si>
  <x:si>
    <x:t>http://id.who.int/icd/release/11/beta/ichi/812090761</x:t>
  </x:si>
  <x:si>
    <x:t>UBC.TD.ZZ</x:t>
  </x:si>
  <x:si>
    <x:t>- - - - Collaboration relating to the population</x:t>
  </x:si>
  <x:si>
    <x:t>http://id.who.int/icd/entity/189821103</x:t>
  </x:si>
  <x:si>
    <x:t>http://id.who.int/icd/release/11/beta/ichi/189821103</x:t>
  </x:si>
  <x:si>
    <x:t>UBC.TK.ZZ</x:t>
  </x:si>
  <x:si>
    <x:t>- - - - Public facilities or infrastructure development in relation to the population</x:t>
  </x:si>
  <x:si>
    <x:t>http://id.who.int/icd/entity/1418862988</x:t>
  </x:si>
  <x:si>
    <x:t>http://id.who.int/icd/release/11/beta/ichi/1418862988</x:t>
  </x:si>
  <x:si>
    <x:t>UBC.TM.ZZ</x:t>
  </x:si>
  <x:si>
    <x:t>- - - - Environment modification in relation to the population</x:t>
  </x:si>
  <x:si>
    <x:t>http://id.who.int/icd/entity/789417794</x:t>
  </x:si>
  <x:si>
    <x:t>http://id.who.int/icd/release/11/beta/ichi/789417794</x:t>
  </x:si>
  <x:si>
    <x:t>UBC.VA.ZZ</x:t>
  </x:si>
  <x:si>
    <x:t>- - - - Building capacity of the population in relation to health issues</x:t>
  </x:si>
  <x:si>
    <x:t>http://id.who.int/icd/entity/503936663</x:t>
  </x:si>
  <x:si>
    <x:t>http://id.who.int/icd/release/11/beta/ichi/503936663</x:t>
  </x:si>
  <x:si>
    <x:t>UBC.VB.ZZ</x:t>
  </x:si>
  <x:si>
    <x:t>- - - - Awareness raising concerning the population</x:t>
  </x:si>
  <x:si>
    <x:t>http://id.who.int/icd/entity/1636630037</x:t>
  </x:si>
  <x:si>
    <x:t>http://id.who.int/icd/release/11/beta/ichi/1636630037</x:t>
  </x:si>
  <x:si>
    <x:t>UBC.VC.ZZ</x:t>
  </x:si>
  <x:si>
    <x:t>- - - - Population public health surveillance</x:t>
  </x:si>
  <x:si>
    <x:t>http://id.who.int/icd/entity/170207762</x:t>
  </x:si>
  <x:si>
    <x:t>http://id.who.int/icd/release/11/beta/ichi/170207762</x:t>
  </x:si>
  <x:si>
    <x:t>UBC.VE.ZZ</x:t>
  </x:si>
  <x:si>
    <x:t>- - - - Population quarantine measures</x:t>
  </x:si>
  <x:si>
    <x:t>http://id.who.int/icd/entity/815490806</x:t>
  </x:si>
  <x:si>
    <x:t>http://id.who.int/icd/release/11/beta/ichi/815490806</x:t>
  </x:si>
  <x:si>
    <x:t>UBC.VF.ZZ</x:t>
  </x:si>
  <x:si>
    <x:t>- - - - Population alert</x:t>
  </x:si>
  <x:si>
    <x:t>http://id.who.int/icd/entity/905189895</x:t>
  </x:si>
  <x:si>
    <x:t>http://id.who.int/icd/release/11/beta/ichi/905189895</x:t>
  </x:si>
  <x:si>
    <x:t>UBC.VL.ZZ</x:t>
  </x:si>
  <x:si>
    <x:t>- - - - Environmental remediation in relation to the population</x:t>
  </x:si>
  <x:si>
    <x:t>http://id.who.int/icd/entity/615987825</x:t>
  </x:si>
  <x:si>
    <x:t>http://id.who.int/icd/release/11/beta/ichi/615987825</x:t>
  </x:si>
  <x:si>
    <x:t>UBC.VN.ZZ</x:t>
  </x:si>
  <x:si>
    <x:t>- - - - Establishing health services or health-related services in relation to the population</x:t>
  </x:si>
  <x:si>
    <x:t>http://id.who.int/icd/entity/135633658</x:t>
  </x:si>
  <x:si>
    <x:t>http://id.who.int/icd/release/11/beta/ichi/135633658</x:t>
  </x:si>
  <x:si>
    <x:t>UBC.VO.ZZ</x:t>
  </x:si>
  <x:si>
    <x:t>- - - - Marshalling health services or health-related services in relation to the population</x:t>
  </x:si>
  <x:si>
    <x:t>http://id.who.int/icd/entity/1483621195</x:t>
  </x:si>
  <x:si>
    <x:t>http://id.who.int/icd/release/11/beta/ichi/1483621195</x:t>
  </x:si>
  <x:si>
    <x:t>UBC.VP.ZZ</x:t>
  </x:si>
  <x:si>
    <x:t>- - - - Improving access to health services or health-related services in relation to the population</x:t>
  </x:si>
  <x:si>
    <x:t>http://id.who.int/icd/entity/128717416</x:t>
  </x:si>
  <x:si>
    <x:t>http://id.who.int/icd/release/11/beta/ichi/128717416</x:t>
  </x:si>
  <x:si>
    <x:t>UBC.VR.ZZ</x:t>
  </x:si>
  <x:si>
    <x:t>- - - - Reducing emissions from the population</x:t>
  </x:si>
  <x:si>
    <x:t>http://id.who.int/icd/entity/900679948</x:t>
  </x:si>
  <x:si>
    <x:t>http://id.who.int/icd/release/11/beta/ichi/900679948</x:t>
  </x:si>
  <x:si>
    <x:t>UBC.WB.ZZ</x:t>
  </x:si>
  <x:si>
    <x:t>- - - - Restricting movement of people</x:t>
  </x:si>
  <x:si>
    <x:t>http://id.who.int/icd/entity/743538424</x:t>
  </x:si>
  <x:si>
    <x:t>http://id.who.int/icd/release/11/beta/ichi/743538424</x:t>
  </x:si>
  <x:si>
    <x:t>UBC.WC.ZZ</x:t>
  </x:si>
  <x:si>
    <x:t>- - - - Restrictions on the sale or distribution of products or services in relation to the population</x:t>
  </x:si>
  <x:si>
    <x:t>http://id.who.int/icd/entity/392596446</x:t>
  </x:si>
  <x:si>
    <x:t>http://id.who.int/icd/release/11/beta/ichi/392596446</x:t>
  </x:si>
  <x:si>
    <x:t>UBC.WD.ZZ</x:t>
  </x:si>
  <x:si>
    <x:t>- - - - Restrictions on advertising, promotion or sponsorship of products or services in relation to the population</x:t>
  </x:si>
  <x:si>
    <x:t>http://id.who.int/icd/entity/1218763517</x:t>
  </x:si>
  <x:si>
    <x:t>http://id.who.int/icd/release/11/beta/ichi/1218763517</x:t>
  </x:si>
  <x:si>
    <x:t>UBC.WE.ZZ</x:t>
  </x:si>
  <x:si>
    <x:t>- - - - Restrictions on production or importation of products or services in relation to the population</x:t>
  </x:si>
  <x:si>
    <x:t>http://id.who.int/icd/entity/417268556</x:t>
  </x:si>
  <x:si>
    <x:t>http://id.who.int/icd/release/11/beta/ichi/417268556</x:t>
  </x:si>
  <x:si>
    <x:t>UBC.WG.QF</x:t>
  </x:si>
  <x:si>
    <x:t>- - - - Economic incentives in relation to the population</x:t>
  </x:si>
  <x:si>
    <x:t>http://id.who.int/icd/entity/487511074</x:t>
  </x:si>
  <x:si>
    <x:t>http://id.who.int/icd/release/11/beta/ichi/487511074</x:t>
  </x:si>
  <x:si>
    <x:t>UBC.WG.ZZ</x:t>
  </x:si>
  <x:si>
    <x:t>- - - - Applying incentives in relation to the population</x:t>
  </x:si>
  <x:si>
    <x:t>http://id.who.int/icd/entity/921942194</x:t>
  </x:si>
  <x:si>
    <x:t>http://id.who.int/icd/release/11/beta/ichi/921942194</x:t>
  </x:si>
  <x:si>
    <x:t>UBC.WI.QD</x:t>
  </x:si>
  <x:si>
    <x:t>- - - - Restrictions through enactment of laws or standards in relation to the population</x:t>
  </x:si>
  <x:si>
    <x:t>http://id.who.int/icd/entity/733433100</x:t>
  </x:si>
  <x:si>
    <x:t>http://id.who.int/icd/release/11/beta/ichi/733433100</x:t>
  </x:si>
  <x:si>
    <x:t>UBC.WI.QE</x:t>
  </x:si>
  <x:si>
    <x:t>- - - - Restrictions through enforcement of laws or standards on the movement of population</x:t>
  </x:si>
  <x:si>
    <x:t>http://id.who.int/icd/entity/665884870</x:t>
  </x:si>
  <x:si>
    <x:t>http://id.who.int/icd/release/11/beta/ichi/665884870</x:t>
  </x:si>
  <x:si>
    <x:t>- - - - Restrictions through enforcement of laws or standards in relation to the population</x:t>
  </x:si>
  <x:si>
    <x:t>http://id.who.int/icd/entity/1376132279</x:t>
  </x:si>
  <x:si>
    <x:t>http://id.who.int/icd/release/11/beta/ichi/1376132279</x:t>
  </x:si>
  <x:si>
    <x:t>UBC.WI.ZZ</x:t>
  </x:si>
  <x:si>
    <x:t>- - - - Restrictions through laws or standards in relation to the population</x:t>
  </x:si>
  <x:si>
    <x:t>http://id.who.int/icd/entity/41796870</x:t>
  </x:si>
  <x:si>
    <x:t>http://id.who.int/icd/release/11/beta/ichi/41796870</x:t>
  </x:si>
  <x:si>
    <x:t>UBC.WJ.ZZ</x:t>
  </x:si>
  <x:si>
    <x:t>- - - - Policy change in relation to the population</x:t>
  </x:si>
  <x:si>
    <x:t>http://id.who.int/icd/entity/2066626655</x:t>
  </x:si>
  <x:si>
    <x:t>http://id.who.int/icd/release/11/beta/ichi/2066626655</x:t>
  </x:si>
  <x:si>
    <x:t>UBD.AA.ZZ</x:t>
  </x:si>
  <x:si>
    <x:t>- - - - Assessment of aspects of flora and fauna</x:t>
  </x:si>
  <x:si>
    <x:t>http://id.who.int/icd/entity/1212228205</x:t>
  </x:si>
  <x:si>
    <x:t>http://id.who.int/icd/release/11/beta/ichi/1212228205</x:t>
  </x:si>
  <x:si>
    <x:t>UBD.PH.ZZ</x:t>
  </x:si>
  <x:si>
    <x:t>- - - - Training about aspects of flora and fauna</x:t>
  </x:si>
  <x:si>
    <x:t>http://id.who.int/icd/entity/1251240469</x:t>
  </x:si>
  <x:si>
    <x:t>http://id.who.int/icd/release/11/beta/ichi/1251240469</x:t>
  </x:si>
  <x:si>
    <x:t>UBD.PM.ZZ</x:t>
  </x:si>
  <x:si>
    <x:t>- - - - Education about aspects of flora and fauna</x:t>
  </x:si>
  <x:si>
    <x:t>http://id.who.int/icd/entity/368151368</x:t>
  </x:si>
  <x:si>
    <x:t>http://id.who.int/icd/release/11/beta/ichi/368151368</x:t>
  </x:si>
  <x:si>
    <x:t>UBD.PN.ZZ</x:t>
  </x:si>
  <x:si>
    <x:t>- - - - Advising about aspects of flora and fauna</x:t>
  </x:si>
  <x:si>
    <x:t>http://id.who.int/icd/entity/1386327239</x:t>
  </x:si>
  <x:si>
    <x:t>http://id.who.int/icd/release/11/beta/ichi/1386327239</x:t>
  </x:si>
  <x:si>
    <x:t>UBD.RB.ZZ</x:t>
  </x:si>
  <x:si>
    <x:t>- - - - Practical support about aspects of flora and fauna</x:t>
  </x:si>
  <x:si>
    <x:t>http://id.who.int/icd/entity/2036121687</x:t>
  </x:si>
  <x:si>
    <x:t>http://id.who.int/icd/release/11/beta/ichi/2036121687</x:t>
  </x:si>
  <x:si>
    <x:t>UBD.RD.ZZ</x:t>
  </x:si>
  <x:si>
    <x:t>- - - - Providing goods in relation to aspects of flora and fauna</x:t>
  </x:si>
  <x:si>
    <x:t>http://id.who.int/icd/entity/1746919457</x:t>
  </x:si>
  <x:si>
    <x:t>http://id.who.int/icd/release/11/beta/ichi/1746919457</x:t>
  </x:si>
  <x:si>
    <x:t>UBD.RG.ZZ</x:t>
  </x:si>
  <x:si>
    <x:t>- - - - Providing services in relation to aspects of flora and fauna</x:t>
  </x:si>
  <x:si>
    <x:t>http://id.who.int/icd/entity/1567829595</x:t>
  </x:si>
  <x:si>
    <x:t>http://id.who.int/icd/release/11/beta/ichi/1567829595</x:t>
  </x:si>
  <x:si>
    <x:t>UBD.TA.ZZ</x:t>
  </x:si>
  <x:si>
    <x:t>- - - - Advocacy in relation to aspects of flora and fauna</x:t>
  </x:si>
  <x:si>
    <x:t>http://id.who.int/icd/entity/218691562</x:t>
  </x:si>
  <x:si>
    <x:t>http://id.who.int/icd/release/11/beta/ichi/218691562</x:t>
  </x:si>
  <x:si>
    <x:t>UBD.TB.ZZ</x:t>
  </x:si>
  <x:si>
    <x:t>- - - - Planning in relation to aspects of flora and fauna</x:t>
  </x:si>
  <x:si>
    <x:t>http://id.who.int/icd/entity/1389012681</x:t>
  </x:si>
  <x:si>
    <x:t>http://id.who.int/icd/release/11/beta/ichi/1389012681</x:t>
  </x:si>
  <x:si>
    <x:t>UBD.TD.ZZ</x:t>
  </x:si>
  <x:si>
    <x:t>- - - - Collaboration relating to aspects of flora and fauna</x:t>
  </x:si>
  <x:si>
    <x:t>http://id.who.int/icd/entity/2033699417</x:t>
  </x:si>
  <x:si>
    <x:t>http://id.who.int/icd/release/11/beta/ichi/2033699417</x:t>
  </x:si>
  <x:si>
    <x:t>UBD.TK.ZZ</x:t>
  </x:si>
  <x:si>
    <x:t>- - - - Public facilities or infrastructure development in relation to aspects of flora and fauna</x:t>
  </x:si>
  <x:si>
    <x:t>http://id.who.int/icd/entity/1107312511</x:t>
  </x:si>
  <x:si>
    <x:t>http://id.who.int/icd/release/11/beta/ichi/1107312511</x:t>
  </x:si>
  <x:si>
    <x:t>UBD.TM.ZZ</x:t>
  </x:si>
  <x:si>
    <x:t>- - - - Environment modification in relation to aspects of flora and fauna</x:t>
  </x:si>
  <x:si>
    <x:t>http://id.who.int/icd/entity/499281500</x:t>
  </x:si>
  <x:si>
    <x:t>http://id.who.int/icd/release/11/beta/ichi/499281500</x:t>
  </x:si>
  <x:si>
    <x:t>UBD.VA.ZZ</x:t>
  </x:si>
  <x:si>
    <x:t>- - - - Capacity building targeting aspects of flora and fauna</x:t>
  </x:si>
  <x:si>
    <x:t>http://id.who.int/icd/entity/1304016877</x:t>
  </x:si>
  <x:si>
    <x:t>http://id.who.int/icd/release/11/beta/ichi/1304016877</x:t>
  </x:si>
  <x:si>
    <x:t>UBD.VB.ZZ</x:t>
  </x:si>
  <x:si>
    <x:t>- - - - Awareness raising concerning aspects of flora and fauna</x:t>
  </x:si>
  <x:si>
    <x:t>http://id.who.int/icd/entity/1214800003</x:t>
  </x:si>
  <x:si>
    <x:t>http://id.who.int/icd/release/11/beta/ichi/1214800003</x:t>
  </x:si>
  <x:si>
    <x:t>UBD.VC.ZZ</x:t>
  </x:si>
  <x:si>
    <x:t>- - - - Public health surveillance concerning aspects of flora and fauna</x:t>
  </x:si>
  <x:si>
    <x:t>http://id.who.int/icd/entity/1531500643</x:t>
  </x:si>
  <x:si>
    <x:t>http://id.who.int/icd/release/11/beta/ichi/1531500643</x:t>
  </x:si>
  <x:si>
    <x:t>UBD.VE.ZZ</x:t>
  </x:si>
  <x:si>
    <x:t>- - - - Infection control measures in relation to aspects of flora and fauna</x:t>
  </x:si>
  <x:si>
    <x:t>http://id.who.int/icd/entity/1670712339</x:t>
  </x:si>
  <x:si>
    <x:t>http://id.who.int/icd/release/11/beta/ichi/1670712339</x:t>
  </x:si>
  <x:si>
    <x:t>UBD.VF.ZZ</x:t>
  </x:si>
  <x:si>
    <x:t>- - - - Alert concerning aspects of flora and fauna</x:t>
  </x:si>
  <x:si>
    <x:t>http://id.who.int/icd/entity/1926638693</x:t>
  </x:si>
  <x:si>
    <x:t>http://id.who.int/icd/release/11/beta/ichi/1926638693</x:t>
  </x:si>
  <x:si>
    <x:t>UBD.VL.ZZ</x:t>
  </x:si>
  <x:si>
    <x:t>- - - - Environmental remediation in relation to aspects of flora and fauna</x:t>
  </x:si>
  <x:si>
    <x:t>http://id.who.int/icd/entity/123774998</x:t>
  </x:si>
  <x:si>
    <x:t>http://id.who.int/icd/release/11/beta/ichi/123774998</x:t>
  </x:si>
  <x:si>
    <x:t>UBD.VN.ZZ</x:t>
  </x:si>
  <x:si>
    <x:t>- - - - Establishing health services or health-related services in relation to aspects of flora and fauna</x:t>
  </x:si>
  <x:si>
    <x:t>http://id.who.int/icd/entity/1461416359</x:t>
  </x:si>
  <x:si>
    <x:t>http://id.who.int/icd/release/11/beta/ichi/1461416359</x:t>
  </x:si>
  <x:si>
    <x:t>UBD.VO.ZZ</x:t>
  </x:si>
  <x:si>
    <x:t>- - - - Marshalling health services or health-related services in relation to aspects of flora and fauna</x:t>
  </x:si>
  <x:si>
    <x:t>http://id.who.int/icd/entity/148447364</x:t>
  </x:si>
  <x:si>
    <x:t>http://id.who.int/icd/release/11/beta/ichi/148447364</x:t>
  </x:si>
  <x:si>
    <x:t>UBD.VP.ZZ</x:t>
  </x:si>
  <x:si>
    <x:t>- - - - Improving access to health services or health-related services in relation to aspects of flora and fauna</x:t>
  </x:si>
  <x:si>
    <x:t>http://id.who.int/icd/entity/589581332</x:t>
  </x:si>
  <x:si>
    <x:t>http://id.who.int/icd/release/11/beta/ichi/589581332</x:t>
  </x:si>
  <x:si>
    <x:t>UBD.VR.ZZ</x:t>
  </x:si>
  <x:si>
    <x:t>- - - - Reducing emissions from aspects of flora and fauna</x:t>
  </x:si>
  <x:si>
    <x:t>http://id.who.int/icd/entity/519411178</x:t>
  </x:si>
  <x:si>
    <x:t>http://id.who.int/icd/release/11/beta/ichi/519411178</x:t>
  </x:si>
  <x:si>
    <x:t>UBD.WC.ZZ</x:t>
  </x:si>
  <x:si>
    <x:t>- - - - Restrictions or requirements concerning the sale or distribution of flora and fauna</x:t>
  </x:si>
  <x:si>
    <x:t>http://id.who.int/icd/entity/2001056747</x:t>
  </x:si>
  <x:si>
    <x:t>http://id.who.int/icd/release/11/beta/ichi/2001056747</x:t>
  </x:si>
  <x:si>
    <x:t>UBD.WD.ZZ</x:t>
  </x:si>
  <x:si>
    <x:t>- - - - Restrictions on advertising, promotion or sponsorship of products or services in relation to aspects of flora and fauna</x:t>
  </x:si>
  <x:si>
    <x:t>http://id.who.int/icd/entity/679994056</x:t>
  </x:si>
  <x:si>
    <x:t>http://id.who.int/icd/release/11/beta/ichi/679994056</x:t>
  </x:si>
  <x:si>
    <x:t>UBD.WE.ZZ</x:t>
  </x:si>
  <x:si>
    <x:t>- - - - Restrictions on production or importation of products or services in relation to aspects of flora and fauna</x:t>
  </x:si>
  <x:si>
    <x:t>http://id.who.int/icd/entity/2029796217</x:t>
  </x:si>
  <x:si>
    <x:t>http://id.who.int/icd/release/11/beta/ichi/2029796217</x:t>
  </x:si>
  <x:si>
    <x:t>UBD.WG.QF</x:t>
  </x:si>
  <x:si>
    <x:t>- - - - Economic incentives in relation to aspects of flora and fauna</x:t>
  </x:si>
  <x:si>
    <x:t>http://id.who.int/icd/entity/1498449863</x:t>
  </x:si>
  <x:si>
    <x:t>http://id.who.int/icd/release/11/beta/ichi/1498449863</x:t>
  </x:si>
  <x:si>
    <x:t>UBD.WG.ZZ</x:t>
  </x:si>
  <x:si>
    <x:t>- - - - Applying incentives in relation to aspects of flora and fauna</x:t>
  </x:si>
  <x:si>
    <x:t>http://id.who.int/icd/entity/1924000599</x:t>
  </x:si>
  <x:si>
    <x:t>http://id.who.int/icd/release/11/beta/ichi/1924000599</x:t>
  </x:si>
  <x:si>
    <x:t>UBD.WI.QD</x:t>
  </x:si>
  <x:si>
    <x:t>- - - - Restrictions through enactment of laws or standards in relation to aspects of flora and fauna</x:t>
  </x:si>
  <x:si>
    <x:t>http://id.who.int/icd/entity/1676593953</x:t>
  </x:si>
  <x:si>
    <x:t>http://id.who.int/icd/release/11/beta/ichi/1676593953</x:t>
  </x:si>
  <x:si>
    <x:t>UBD.WI.QE</x:t>
  </x:si>
  <x:si>
    <x:t>- - - - Restrictions through enforcement of laws or standards in relation to aspects of flora and fauna</x:t>
  </x:si>
  <x:si>
    <x:t>http://id.who.int/icd/entity/374886228</x:t>
  </x:si>
  <x:si>
    <x:t>http://id.who.int/icd/release/11/beta/ichi/374886228</x:t>
  </x:si>
  <x:si>
    <x:t>UBD.WI.ZZ</x:t>
  </x:si>
  <x:si>
    <x:t>- - - - Restrictions through laws or standards in relation to aspects of flora and fauna</x:t>
  </x:si>
  <x:si>
    <x:t>http://id.who.int/icd/entity/1176737507</x:t>
  </x:si>
  <x:si>
    <x:t>http://id.who.int/icd/release/11/beta/ichi/1176737507</x:t>
  </x:si>
  <x:si>
    <x:t>UBD.WJ.ZZ</x:t>
  </x:si>
  <x:si>
    <x:t>- - - - Policy change in relation to aspects of flora and fauna</x:t>
  </x:si>
  <x:si>
    <x:t>http://id.who.int/icd/entity/1244912229</x:t>
  </x:si>
  <x:si>
    <x:t>http://id.who.int/icd/release/11/beta/ichi/1244912229</x:t>
  </x:si>
  <x:si>
    <x:t>UBE.AA.ZZ</x:t>
  </x:si>
  <x:si>
    <x:t>- - - - Assessment of impact of climate</x:t>
  </x:si>
  <x:si>
    <x:t>http://id.who.int/icd/entity/543696173</x:t>
  </x:si>
  <x:si>
    <x:t>http://id.who.int/icd/release/11/beta/ichi/543696173</x:t>
  </x:si>
  <x:si>
    <x:t>UBE.PH.ZZ</x:t>
  </x:si>
  <x:si>
    <x:t>- - - - Training about aspects of climate</x:t>
  </x:si>
  <x:si>
    <x:t>http://id.who.int/icd/entity/212682746</x:t>
  </x:si>
  <x:si>
    <x:t>http://id.who.int/icd/release/11/beta/ichi/212682746</x:t>
  </x:si>
  <x:si>
    <x:t>UBE.PM.ZZ</x:t>
  </x:si>
  <x:si>
    <x:t>- - - - Education about aspects of climate</x:t>
  </x:si>
  <x:si>
    <x:t>http://id.who.int/icd/entity/602783062</x:t>
  </x:si>
  <x:si>
    <x:t>http://id.who.int/icd/release/11/beta/ichi/602783062</x:t>
  </x:si>
  <x:si>
    <x:t>UBE.PN.ZZ</x:t>
  </x:si>
  <x:si>
    <x:t>- - - - Advising about aspects of climate</x:t>
  </x:si>
  <x:si>
    <x:t>http://id.who.int/icd/entity/194333117</x:t>
  </x:si>
  <x:si>
    <x:t>http://id.who.int/icd/release/11/beta/ichi/194333117</x:t>
  </x:si>
  <x:si>
    <x:t>UBE.RB.ZZ</x:t>
  </x:si>
  <x:si>
    <x:t>- - - - Practical support about aspects of climate</x:t>
  </x:si>
  <x:si>
    <x:t>http://id.who.int/icd/entity/450259403</x:t>
  </x:si>
  <x:si>
    <x:t>http://id.who.int/icd/release/11/beta/ichi/450259403</x:t>
  </x:si>
  <x:si>
    <x:t>UBE.RD.ZZ</x:t>
  </x:si>
  <x:si>
    <x:t>- - - - Providing goods in relation to aspects of climate</x:t>
  </x:si>
  <x:si>
    <x:t>http://id.who.int/icd/entity/3598177</x:t>
  </x:si>
  <x:si>
    <x:t>http://id.who.int/icd/release/11/beta/ichi/3598177</x:t>
  </x:si>
  <x:si>
    <x:t>UBE.RG.ZZ</x:t>
  </x:si>
  <x:si>
    <x:t>- - - - Providing services in relation to aspects of climate</x:t>
  </x:si>
  <x:si>
    <x:t>http://id.who.int/icd/entity/1347239632</x:t>
  </x:si>
  <x:si>
    <x:t>http://id.who.int/icd/release/11/beta/ichi/1347239632</x:t>
  </x:si>
  <x:si>
    <x:t>UBE.TA.ZZ</x:t>
  </x:si>
  <x:si>
    <x:t>- - - - Advocacy in relation to aspects of climate</x:t>
  </x:si>
  <x:si>
    <x:t>http://id.who.int/icd/entity/261058547</x:t>
  </x:si>
  <x:si>
    <x:t>http://id.who.int/icd/release/11/beta/ichi/261058547</x:t>
  </x:si>
  <x:si>
    <x:t>UBE.TB.ZZ</x:t>
  </x:si>
  <x:si>
    <x:t>- - - - Planning in relation to aspects of climate</x:t>
  </x:si>
  <x:si>
    <x:t>http://id.who.int/icd/entity/611451747</x:t>
  </x:si>
  <x:si>
    <x:t>http://id.who.int/icd/release/11/beta/ichi/611451747</x:t>
  </x:si>
  <x:si>
    <x:t>UBE.TD.ZZ</x:t>
  </x:si>
  <x:si>
    <x:t>- - - - Collaboration relating to aspects of climate</x:t>
  </x:si>
  <x:si>
    <x:t>http://id.who.int/icd/entity/1604303950</x:t>
  </x:si>
  <x:si>
    <x:t>http://id.who.int/icd/release/11/beta/ichi/1604303950</x:t>
  </x:si>
  <x:si>
    <x:t>UBE.TK.ZZ</x:t>
  </x:si>
  <x:si>
    <x:t>- - - - Public facilities or infrastructure development in relation to aspects of climate</x:t>
  </x:si>
  <x:si>
    <x:t>http://id.who.int/icd/entity/6155631</x:t>
  </x:si>
  <x:si>
    <x:t>http://id.who.int/icd/release/11/beta/ichi/6155631</x:t>
  </x:si>
  <x:si>
    <x:t>UBE.TM.ZZ</x:t>
  </x:si>
  <x:si>
    <x:t>- - - - Environment modification in relation to aspects of climate</x:t>
  </x:si>
  <x:si>
    <x:t>http://id.who.int/icd/entity/1344681184</x:t>
  </x:si>
  <x:si>
    <x:t>http://id.who.int/icd/release/11/beta/ichi/1344681184</x:t>
  </x:si>
  <x:si>
    <x:t>UBE.VA.ZZ</x:t>
  </x:si>
  <x:si>
    <x:t>- - - - Capacity building targeting aspects of climate</x:t>
  </x:si>
  <x:si>
    <x:t>http://id.who.int/icd/entity/630239405</x:t>
  </x:si>
  <x:si>
    <x:t>http://id.who.int/icd/release/11/beta/ichi/630239405</x:t>
  </x:si>
  <x:si>
    <x:t>UBE.VB.ZZ</x:t>
  </x:si>
  <x:si>
    <x:t>- - - - Awareness raising concerning aspects of climate</x:t>
  </x:si>
  <x:si>
    <x:t>http://id.who.int/icd/entity/242080829</x:t>
  </x:si>
  <x:si>
    <x:t>http://id.who.int/icd/release/11/beta/ichi/242080829</x:t>
  </x:si>
  <x:si>
    <x:t>UBE.VC.ZZ</x:t>
  </x:si>
  <x:si>
    <x:t>- - - - Public health surveillance concerning aspects of climate</x:t>
  </x:si>
  <x:si>
    <x:t>http://id.who.int/icd/entity/469342308</x:t>
  </x:si>
  <x:si>
    <x:t>http://id.who.int/icd/release/11/beta/ichi/469342308</x:t>
  </x:si>
  <x:si>
    <x:t>UBE.VE.ZZ</x:t>
  </x:si>
  <x:si>
    <x:t>- - - - Infection control measures in relation to aspects of climate</x:t>
  </x:si>
  <x:si>
    <x:t>http://id.who.int/icd/entity/523172939</x:t>
  </x:si>
  <x:si>
    <x:t>http://id.who.int/icd/release/11/beta/ichi/523172939</x:t>
  </x:si>
  <x:si>
    <x:t>UBE.VF.ZZ</x:t>
  </x:si>
  <x:si>
    <x:t>- - - - Alert concerning aspects of climate</x:t>
  </x:si>
  <x:si>
    <x:t>http://id.who.int/icd/entity/452930341</x:t>
  </x:si>
  <x:si>
    <x:t>http://id.who.int/icd/release/11/beta/ichi/452930341</x:t>
  </x:si>
  <x:si>
    <x:t>UBE.VL.ZZ</x:t>
  </x:si>
  <x:si>
    <x:t>- - - - Environmental remediation in relation to aspects of climate</x:t>
  </x:si>
  <x:si>
    <x:t>http://id.who.int/icd/entity/1250226838</x:t>
  </x:si>
  <x:si>
    <x:t>http://id.who.int/icd/release/11/beta/ichi/1250226838</x:t>
  </x:si>
  <x:si>
    <x:t>UBE.VN.ZZ</x:t>
  </x:si>
  <x:si>
    <x:t>- - - - Establishing health services or health-related services in relation to aspects of climate</x:t>
  </x:si>
  <x:si>
    <x:t>http://id.who.int/icd/entity/356950967</x:t>
  </x:si>
  <x:si>
    <x:t>http://id.who.int/icd/release/11/beta/ichi/356950967</x:t>
  </x:si>
  <x:si>
    <x:t>UBE.VO.ZZ</x:t>
  </x:si>
  <x:si>
    <x:t>- - - - Marshalling health services or health-related services in relation to aspects of climate</x:t>
  </x:si>
  <x:si>
    <x:t>http://id.who.int/icd/entity/1052495655</x:t>
  </x:si>
  <x:si>
    <x:t>http://id.who.int/icd/release/11/beta/ichi/1052495655</x:t>
  </x:si>
  <x:si>
    <x:t>UBE.VP.ZZ</x:t>
  </x:si>
  <x:si>
    <x:t>- - - - Improving access to health services or health-related services in relation to aspects of climate</x:t>
  </x:si>
  <x:si>
    <x:t>http://id.who.int/icd/entity/93075969</x:t>
  </x:si>
  <x:si>
    <x:t>http://id.who.int/icd/release/11/beta/ichi/93075969</x:t>
  </x:si>
  <x:si>
    <x:t>UBE.WC.ZZ</x:t>
  </x:si>
  <x:si>
    <x:t>- - - - Restrictions on the sale or distribution of products or services in relation to aspects of climate</x:t>
  </x:si>
  <x:si>
    <x:t>http://id.who.int/icd/entity/1567321522</x:t>
  </x:si>
  <x:si>
    <x:t>http://id.who.int/icd/release/11/beta/ichi/1567321522</x:t>
  </x:si>
  <x:si>
    <x:t>UBE.WD.ZZ</x:t>
  </x:si>
  <x:si>
    <x:t>- - - - Restrictions on advertising, promotion or sponsorship of products or services in relation to aspects of climate</x:t>
  </x:si>
  <x:si>
    <x:t>http://id.who.int/icd/entity/171291283</x:t>
  </x:si>
  <x:si>
    <x:t>http://id.who.int/icd/release/11/beta/ichi/171291283</x:t>
  </x:si>
  <x:si>
    <x:t>UBE.WE.ZZ</x:t>
  </x:si>
  <x:si>
    <x:t>- - - - Restrictions on production or importation of products or services in relation to aspects of climate</x:t>
  </x:si>
  <x:si>
    <x:t>http://id.who.int/icd/entity/282410041</x:t>
  </x:si>
  <x:si>
    <x:t>http://id.who.int/icd/release/11/beta/ichi/282410041</x:t>
  </x:si>
  <x:si>
    <x:t>UBE.WG.QF</x:t>
  </x:si>
  <x:si>
    <x:t>- - - - Economic incentives in relation to aspects of climate</x:t>
  </x:si>
  <x:si>
    <x:t>http://id.who.int/icd/entity/992497833</x:t>
  </x:si>
  <x:si>
    <x:t>http://id.who.int/icd/release/11/beta/ichi/992497833</x:t>
  </x:si>
  <x:si>
    <x:t>UBE.WG.ZZ</x:t>
  </x:si>
  <x:si>
    <x:t>- - - - Applying incentives in relation to aspects of climate</x:t>
  </x:si>
  <x:si>
    <x:t>http://id.who.int/icd/entity/711684319</x:t>
  </x:si>
  <x:si>
    <x:t>http://id.who.int/icd/release/11/beta/ichi/711684319</x:t>
  </x:si>
  <x:si>
    <x:t>UBE.WI.QD</x:t>
  </x:si>
  <x:si>
    <x:t>- - - - Restrictions through enactment of laws or standards in relation to aspects of climate</x:t>
  </x:si>
  <x:si>
    <x:t>http://id.who.int/icd/entity/89369177</x:t>
  </x:si>
  <x:si>
    <x:t>http://id.who.int/icd/release/11/beta/ichi/89369177</x:t>
  </x:si>
  <x:si>
    <x:t>UBE.WI.QE</x:t>
  </x:si>
  <x:si>
    <x:t>- - - - Restrictions through enforcement of laws or standards in relation to aspects of climate</x:t>
  </x:si>
  <x:si>
    <x:t>http://id.who.int/icd/entity/1428714474</x:t>
  </x:si>
  <x:si>
    <x:t>http://id.who.int/icd/release/11/beta/ichi/1428714474</x:t>
  </x:si>
  <x:si>
    <x:t>UBE.WI.ZZ</x:t>
  </x:si>
  <x:si>
    <x:t>- - - - Restrictions through laws or standards in relation to aspects of climate</x:t>
  </x:si>
  <x:si>
    <x:t>http://id.who.int/icd/entity/183116491</x:t>
  </x:si>
  <x:si>
    <x:t>http://id.who.int/icd/release/11/beta/ichi/183116491</x:t>
  </x:si>
  <x:si>
    <x:t>UBE.WJ.ZZ</x:t>
  </x:si>
  <x:si>
    <x:t>- - - - Policy change in relation to aspects of climate</x:t>
  </x:si>
  <x:si>
    <x:t>http://id.who.int/icd/entity/1372020746</x:t>
  </x:si>
  <x:si>
    <x:t>http://id.who.int/icd/release/11/beta/ichi/1372020746</x:t>
  </x:si>
  <x:si>
    <x:t>UBF.AA.ZZ</x:t>
  </x:si>
  <x:si>
    <x:t>- - - - Assessment of the impact of natural events</x:t>
  </x:si>
  <x:si>
    <x:t>http://id.who.int/icd/entity/1260908194</x:t>
  </x:si>
  <x:si>
    <x:t>http://id.who.int/icd/release/11/beta/ichi/1260908194</x:t>
  </x:si>
  <x:si>
    <x:t>UBF.PH.ZZ</x:t>
  </x:si>
  <x:si>
    <x:t>- - - - Training about natural events</x:t>
  </x:si>
  <x:si>
    <x:t>http://id.who.int/icd/entity/1624932914</x:t>
  </x:si>
  <x:si>
    <x:t>http://id.who.int/icd/release/11/beta/ichi/1624932914</x:t>
  </x:si>
  <x:si>
    <x:t>UBF.PM.ZZ</x:t>
  </x:si>
  <x:si>
    <x:t>- - - - Education about aspects of natural events</x:t>
  </x:si>
  <x:si>
    <x:t>http://id.who.int/icd/entity/1905893958</x:t>
  </x:si>
  <x:si>
    <x:t>http://id.who.int/icd/release/11/beta/ichi/1905893958</x:t>
  </x:si>
  <x:si>
    <x:t>UBF.PN.ZZ</x:t>
  </x:si>
  <x:si>
    <x:t>- - - - Advising about natural events</x:t>
  </x:si>
  <x:si>
    <x:t>http://id.who.int/icd/entity/1156934716</x:t>
  </x:si>
  <x:si>
    <x:t>http://id.who.int/icd/release/11/beta/ichi/1156934716</x:t>
  </x:si>
  <x:si>
    <x:t>UBF.RB.ZZ</x:t>
  </x:si>
  <x:si>
    <x:t>- - - - Practical support about natural events</x:t>
  </x:si>
  <x:si>
    <x:t>http://id.who.int/icd/entity/344896909</x:t>
  </x:si>
  <x:si>
    <x:t>http://id.who.int/icd/release/11/beta/ichi/344896909</x:t>
  </x:si>
  <x:si>
    <x:t>UBF.RD.ZZ</x:t>
  </x:si>
  <x:si>
    <x:t>- - - - Providing goods in relation to natural events</x:t>
  </x:si>
  <x:si>
    <x:t>http://id.who.int/icd/entity/1263330478</x:t>
  </x:si>
  <x:si>
    <x:t>http://id.who.int/icd/release/11/beta/ichi/1263330478</x:t>
  </x:si>
  <x:si>
    <x:t>UBF.RG.ZZ</x:t>
  </x:si>
  <x:si>
    <x:t>- - - - Providing services in relation to natural events</x:t>
  </x:si>
  <x:si>
    <x:t>http://id.who.int/icd/entity/1622247486</x:t>
  </x:si>
  <x:si>
    <x:t>http://id.who.int/icd/release/11/beta/ichi/1622247486</x:t>
  </x:si>
  <x:si>
    <x:t>UBF.TA.ZZ</x:t>
  </x:si>
  <x:si>
    <x:t>- - - - Advocacy in relation to natural events</x:t>
  </x:si>
  <x:si>
    <x:t>http://id.who.int/icd/entity/1535540504</x:t>
  </x:si>
  <x:si>
    <x:t>http://id.who.int/icd/release/11/beta/ichi/1535540504</x:t>
  </x:si>
  <x:si>
    <x:t>UBF.TB.ZZ</x:t>
  </x:si>
  <x:si>
    <x:t>- - - - Planning in relation to natural events</x:t>
  </x:si>
  <x:si>
    <x:t>http://id.who.int/icd/entity/71576635</x:t>
  </x:si>
  <x:si>
    <x:t>http://id.who.int/icd/release/11/beta/ichi/71576635</x:t>
  </x:si>
  <x:si>
    <x:t>UBF.TD.ZZ</x:t>
  </x:si>
  <x:si>
    <x:t>- - - - Collaboration relating to natural events</x:t>
  </x:si>
  <x:si>
    <x:t>http://id.who.int/icd/entity/1413477770</x:t>
  </x:si>
  <x:si>
    <x:t>http://id.who.int/icd/release/11/beta/ichi/1413477770</x:t>
  </x:si>
  <x:si>
    <x:t>UBF.TK.ZZ</x:t>
  </x:si>
  <x:si>
    <x:t>- - - - Public facilities or infrastructure development in relation to natural events</x:t>
  </x:si>
  <x:si>
    <x:t>http://id.who.int/icd/entity/1374560996</x:t>
  </x:si>
  <x:si>
    <x:t>http://id.who.int/icd/release/11/beta/ichi/1374560996</x:t>
  </x:si>
  <x:si>
    <x:t>UBF.TM.ZZ</x:t>
  </x:si>
  <x:si>
    <x:t>- - - - Environment modification in relation to natural events</x:t>
  </x:si>
  <x:si>
    <x:t>http://id.who.int/icd/entity/2048085620</x:t>
  </x:si>
  <x:si>
    <x:t>http://id.who.int/icd/release/11/beta/ichi/2048085620</x:t>
  </x:si>
  <x:si>
    <x:t>UBF.VA.ZZ</x:t>
  </x:si>
  <x:si>
    <x:t>- - - - Capacity building targeting natural events</x:t>
  </x:si>
  <x:si>
    <x:t>http://id.who.int/icd/entity/1800433156</x:t>
  </x:si>
  <x:si>
    <x:t>http://id.who.int/icd/release/11/beta/ichi/1800433156</x:t>
  </x:si>
  <x:si>
    <x:t>UBF.VB.ZZ</x:t>
  </x:si>
  <x:si>
    <x:t>- - - - Awareness raising concerning natural events</x:t>
  </x:si>
  <x:si>
    <x:t>http://id.who.int/icd/entity/518449777</x:t>
  </x:si>
  <x:si>
    <x:t>http://id.who.int/icd/release/11/beta/ichi/518449777</x:t>
  </x:si>
  <x:si>
    <x:t>UBF.VC.ZZ</x:t>
  </x:si>
  <x:si>
    <x:t>- - - - Public health surveillance concerning natural events</x:t>
  </x:si>
  <x:si>
    <x:t>http://id.who.int/icd/entity/180008980</x:t>
  </x:si>
  <x:si>
    <x:t>http://id.who.int/icd/release/11/beta/ichi/180008980</x:t>
  </x:si>
  <x:si>
    <x:t>UBF.VE.ZZ</x:t>
  </x:si>
  <x:si>
    <x:t>- - - - Infection control measures in relation to natural events</x:t>
  </x:si>
  <x:si>
    <x:t>http://id.who.int/icd/entity/1318925248</x:t>
  </x:si>
  <x:si>
    <x:t>http://id.who.int/icd/release/11/beta/ichi/1318925248</x:t>
  </x:si>
  <x:si>
    <x:t>UBF.VF.ZZ</x:t>
  </x:si>
  <x:si>
    <x:t>- - - - Alert concerning natural events</x:t>
  </x:si>
  <x:si>
    <x:t>http://id.who.int/icd/entity/291463907</x:t>
  </x:si>
  <x:si>
    <x:t>http://id.who.int/icd/release/11/beta/ichi/291463907</x:t>
  </x:si>
  <x:si>
    <x:t>UBF.VL.ZZ</x:t>
  </x:si>
  <x:si>
    <x:t>- - - - Environmental remediation in relation to natural events</x:t>
  </x:si>
  <x:si>
    <x:t>http://id.who.int/icd/entity/983699059</x:t>
  </x:si>
  <x:si>
    <x:t>http://id.who.int/icd/release/11/beta/ichi/983699059</x:t>
  </x:si>
  <x:si>
    <x:t>UBF.VN.ZZ</x:t>
  </x:si>
  <x:si>
    <x:t>- - - - Establishing health services or health-related services in relation to natural events</x:t>
  </x:si>
  <x:si>
    <x:t>http://id.who.int/icd/entity/1858335116</x:t>
  </x:si>
  <x:si>
    <x:t>http://id.who.int/icd/release/11/beta/ichi/1858335116</x:t>
  </x:si>
  <x:si>
    <x:t>UBF.VO.ZZ</x:t>
  </x:si>
  <x:si>
    <x:t>- - - - Marshalling health services or health-related services in relation to natural events</x:t>
  </x:si>
  <x:si>
    <x:t>http://id.who.int/icd/entity/822190255</x:t>
  </x:si>
  <x:si>
    <x:t>http://id.who.int/icd/release/11/beta/ichi/822190255</x:t>
  </x:si>
  <x:si>
    <x:t>UBF.VP.ZZ</x:t>
  </x:si>
  <x:si>
    <x:t>- - - - Improving access to health services or health-related services in relation to natural events</x:t>
  </x:si>
  <x:si>
    <x:t>http://id.who.int/icd/entity/1635416350</x:t>
  </x:si>
  <x:si>
    <x:t>http://id.who.int/icd/release/11/beta/ichi/1635416350</x:t>
  </x:si>
  <x:si>
    <x:t>UBF.VR.ZZ</x:t>
  </x:si>
  <x:si>
    <x:t>- - - - Reducing emissions from natural events</x:t>
  </x:si>
  <x:si>
    <x:t>http://id.who.int/icd/entity/1306057109</x:t>
  </x:si>
  <x:si>
    <x:t>http://id.who.int/icd/release/11/beta/ichi/1306057109</x:t>
  </x:si>
  <x:si>
    <x:t>UBF.WC.ZZ</x:t>
  </x:si>
  <x:si>
    <x:t>- - - - Restrictions on the sale or distribution of products or services in relation to natural events</x:t>
  </x:si>
  <x:si>
    <x:t>http://id.who.int/icd/entity/1713747205</x:t>
  </x:si>
  <x:si>
    <x:t>http://id.who.int/icd/release/11/beta/ichi/1713747205</x:t>
  </x:si>
  <x:si>
    <x:t>UBF.WD.ZZ</x:t>
  </x:si>
  <x:si>
    <x:t>- - - - Restrictions on advertising, promotion or sponsorship of products or services in relation to natural events</x:t>
  </x:si>
  <x:si>
    <x:t>http://id.who.int/icd/entity/2003211635</x:t>
  </x:si>
  <x:si>
    <x:t>http://id.who.int/icd/release/11/beta/ichi/2003211635</x:t>
  </x:si>
  <x:si>
    <x:t>UBF.WE.ZZ</x:t>
  </x:si>
  <x:si>
    <x:t>- - - - Restrictions on production or importation of products or services in relation to natural events</x:t>
  </x:si>
  <x:si>
    <x:t>http://id.who.int/icd/entity/47190272</x:t>
  </x:si>
  <x:si>
    <x:t>http://id.who.int/icd/release/11/beta/ichi/47190272</x:t>
  </x:si>
  <x:si>
    <x:t>UBF.WG.QF</x:t>
  </x:si>
  <x:si>
    <x:t>- - - - Economic incentives in relation to natural events</x:t>
  </x:si>
  <x:si>
    <x:t>http://id.who.int/icd/entity/1386989745</x:t>
  </x:si>
  <x:si>
    <x:t>http://id.who.int/icd/release/11/beta/ichi/1386989745</x:t>
  </x:si>
  <x:si>
    <x:t>UBF.WG.ZZ</x:t>
  </x:si>
  <x:si>
    <x:t>- - - - Applying incentives in relation to natural events</x:t>
  </x:si>
  <x:si>
    <x:t>http://id.who.int/icd/entity/225024402</x:t>
  </x:si>
  <x:si>
    <x:t>http://id.who.int/icd/release/11/beta/ichi/225024402</x:t>
  </x:si>
  <x:si>
    <x:t>UBF.WI.QD</x:t>
  </x:si>
  <x:si>
    <x:t>- - - - Restrictions through enactment of laws or standards in relation to natural events</x:t>
  </x:si>
  <x:si>
    <x:t>http://id.who.int/icd/entity/647296258</x:t>
  </x:si>
  <x:si>
    <x:t>http://id.who.int/icd/release/11/beta/ichi/647296258</x:t>
  </x:si>
  <x:si>
    <x:t>UBF.WI.QE</x:t>
  </x:si>
  <x:si>
    <x:t>- - - - Restrictions through enforcement of laws or standards in relation to natural events</x:t>
  </x:si>
  <x:si>
    <x:t>http://id.who.int/icd/entity/1841582905</x:t>
  </x:si>
  <x:si>
    <x:t>http://id.who.int/icd/release/11/beta/ichi/1841582905</x:t>
  </x:si>
  <x:si>
    <x:t>UBF.WI.ZZ</x:t>
  </x:si>
  <x:si>
    <x:t>- - - - Restrictions through laws or standards in relation to natural events</x:t>
  </x:si>
  <x:si>
    <x:t>http://id.who.int/icd/entity/839254556</x:t>
  </x:si>
  <x:si>
    <x:t>http://id.who.int/icd/release/11/beta/ichi/839254556</x:t>
  </x:si>
  <x:si>
    <x:t>UBF.WJ.ZZ</x:t>
  </x:si>
  <x:si>
    <x:t>- - - - Policy change in relation to natural events</x:t>
  </x:si>
  <x:si>
    <x:t>http://id.who.int/icd/entity/138962387</x:t>
  </x:si>
  <x:si>
    <x:t>http://id.who.int/icd/release/11/beta/ichi/138962387</x:t>
  </x:si>
  <x:si>
    <x:t>UBG.AA.ZZ</x:t>
  </x:si>
  <x:si>
    <x:t>- - - - Assessment of the impact of human-caused events, not elsewhere classified</x:t>
  </x:si>
  <x:si>
    <x:t>http://id.who.int/icd/entity/420169125</x:t>
  </x:si>
  <x:si>
    <x:t>http://id.who.int/icd/release/11/beta/ichi/420169125</x:t>
  </x:si>
  <x:si>
    <x:t>UBG.PH.ZZ</x:t>
  </x:si>
  <x:si>
    <x:t>- - - - Training about human-caused events, not elsewhere classified</x:t>
  </x:si>
  <x:si>
    <x:t>http://id.who.int/icd/entity/484086475</x:t>
  </x:si>
  <x:si>
    <x:t>http://id.who.int/icd/release/11/beta/ichi/484086475</x:t>
  </x:si>
  <x:si>
    <x:t>UBG.PM.ZZ</x:t>
  </x:si>
  <x:si>
    <x:t>- - - - Education about aspects of human-caused events, not elsewhere classified</x:t>
  </x:si>
  <x:si>
    <x:t>http://id.who.int/icd/entity/1285639036</x:t>
  </x:si>
  <x:si>
    <x:t>http://id.who.int/icd/release/11/beta/ichi/1285639036</x:t>
  </x:si>
  <x:si>
    <x:t>UBG.PN.ZZ</x:t>
  </x:si>
  <x:si>
    <x:t>- - - - Advising about human-caused events, not elsewhere classified</x:t>
  </x:si>
  <x:si>
    <x:t>http://id.who.int/icd/entity/325261913</x:t>
  </x:si>
  <x:si>
    <x:t>http://id.who.int/icd/release/11/beta/ichi/325261913</x:t>
  </x:si>
  <x:si>
    <x:t>UBG.RB.ZZ</x:t>
  </x:si>
  <x:si>
    <x:t>- - - - Practical support about human-caused events, not elsewhere classified</x:t>
  </x:si>
  <x:si>
    <x:t>http://id.who.int/icd/entity/949909193</x:t>
  </x:si>
  <x:si>
    <x:t>http://id.who.int/icd/release/11/beta/ichi/949909193</x:t>
  </x:si>
  <x:si>
    <x:t>UBG.RD.ZZ</x:t>
  </x:si>
  <x:si>
    <x:t>- - - - Providing goods in relation to human-caused events, not elsewhere classified</x:t>
  </x:si>
  <x:si>
    <x:t>http://id.who.int/icd/entity/61441007</x:t>
  </x:si>
  <x:si>
    <x:t>http://id.who.int/icd/release/11/beta/ichi/61441007</x:t>
  </x:si>
  <x:si>
    <x:t>UBG.RG.ZZ</x:t>
  </x:si>
  <x:si>
    <x:t>- - - - Providing services in relation to human-caused events, not elsewhere classified</x:t>
  </x:si>
  <x:si>
    <x:t>http://id.who.int/icd/entity/1550570190</x:t>
  </x:si>
  <x:si>
    <x:t>http://id.who.int/icd/release/11/beta/ichi/1550570190</x:t>
  </x:si>
  <x:si>
    <x:t>UBG.TA.ZZ</x:t>
  </x:si>
  <x:si>
    <x:t>- - - - Advocacy in relation to human-caused events, not elsewhere classified</x:t>
  </x:si>
  <x:si>
    <x:t>http://id.who.int/icd/entity/202378109</x:t>
  </x:si>
  <x:si>
    <x:t>http://id.who.int/icd/release/11/beta/ichi/202378109</x:t>
  </x:si>
  <x:si>
    <x:t>UBG.TB.ZZ</x:t>
  </x:si>
  <x:si>
    <x:t>- - - - Planning in relation to human-caused events, not elsewhere classified</x:t>
  </x:si>
  <x:si>
    <x:t>http://id.who.int/icd/entity/384861655</x:t>
  </x:si>
  <x:si>
    <x:t>http://id.who.int/icd/release/11/beta/ichi/384861655</x:t>
  </x:si>
  <x:si>
    <x:t>UBG.TD.ZZ</x:t>
  </x:si>
  <x:si>
    <x:t>- - - - Collaboration relating to human-caused events, not elsewhere classified</x:t>
  </x:si>
  <x:si>
    <x:t>http://id.who.int/icd/entity/1024321863</x:t>
  </x:si>
  <x:si>
    <x:t>http://id.who.int/icd/release/11/beta/ichi/1024321863</x:t>
  </x:si>
  <x:si>
    <x:t>UBG.TK.ZZ</x:t>
  </x:si>
  <x:si>
    <x:t>- - - - Public facilities or infrastructure development in relation to human-caused events, not elsewhere classified</x:t>
  </x:si>
  <x:si>
    <x:t>http://id.who.int/icd/entity/743360817</x:t>
  </x:si>
  <x:si>
    <x:t>http://id.who.int/icd/release/11/beta/ichi/743360817</x:t>
  </x:si>
  <x:si>
    <x:t>UBG.TM.ZZ</x:t>
  </x:si>
  <x:si>
    <x:t>- - - - Environment modification in relation to human-caused events, not elsewhere classified</x:t>
  </x:si>
  <x:si>
    <x:t>http://id.who.int/icd/entity/421660491</x:t>
  </x:si>
  <x:si>
    <x:t>http://id.who.int/icd/release/11/beta/ichi/421660491</x:t>
  </x:si>
  <x:si>
    <x:t>UBG.VA.ZZ</x:t>
  </x:si>
  <x:si>
    <x:t>- - - - Capacity building targeting human-caused events, not elsewhere classified</x:t>
  </x:si>
  <x:si>
    <x:t>http://id.who.int/icd/entity/1230626556</x:t>
  </x:si>
  <x:si>
    <x:t>http://id.who.int/icd/release/11/beta/ichi/1230626556</x:t>
  </x:si>
  <x:si>
    <x:t>UBG.VB.ZZ</x:t>
  </x:si>
  <x:si>
    <x:t>- - - - Awareness raising concerning human-caused events, not elsewhere classified</x:t>
  </x:si>
  <x:si>
    <x:t>http://id.who.int/icd/entity/379293657</x:t>
  </x:si>
  <x:si>
    <x:t>http://id.who.int/icd/release/11/beta/ichi/379293657</x:t>
  </x:si>
  <x:si>
    <x:t>UBG.VC.ZZ</x:t>
  </x:si>
  <x:si>
    <x:t>- - - - Public health surveillance concerning human-caused events, not elsewhere classified</x:t>
  </x:si>
  <x:si>
    <x:t>http://id.who.int/icd/entity/258699134</x:t>
  </x:si>
  <x:si>
    <x:t>http://id.who.int/icd/release/11/beta/ichi/258699134</x:t>
  </x:si>
  <x:si>
    <x:t>UBG.VE.ZZ</x:t>
  </x:si>
  <x:si>
    <x:t>- - - - Infection control measures in relation to human-caused events, not elsewhere classified</x:t>
  </x:si>
  <x:si>
    <x:t>http://id.who.int/icd/entity/1030153033</x:t>
  </x:si>
  <x:si>
    <x:t>http://id.who.int/icd/release/11/beta/ichi/1030153033</x:t>
  </x:si>
  <x:si>
    <x:t>UBG.VF.ZZ</x:t>
  </x:si>
  <x:si>
    <x:t>- - - - Alert concerning human-caused events, not elsewhere classified</x:t>
  </x:si>
  <x:si>
    <x:t>http://id.who.int/icd/entity/105977455</x:t>
  </x:si>
  <x:si>
    <x:t>http://id.who.int/icd/release/11/beta/ichi/105977455</x:t>
  </x:si>
  <x:si>
    <x:t>UBG.VL.ZZ</x:t>
  </x:si>
  <x:si>
    <x:t>- - - - Environmental remediation in relation to human-caused events, not elsewhere classified</x:t>
  </x:si>
  <x:si>
    <x:t>http://id.who.int/icd/entity/1502824270</x:t>
  </x:si>
  <x:si>
    <x:t>http://id.who.int/icd/release/11/beta/ichi/1502824270</x:t>
  </x:si>
  <x:si>
    <x:t>UBG.VN.ZZ</x:t>
  </x:si>
  <x:si>
    <x:t>- - - - Establishing health services or health-related services in relation to human-caused events, not elsewhere classified</x:t>
  </x:si>
  <x:si>
    <x:t>http://id.who.int/icd/entity/166239997</x:t>
  </x:si>
  <x:si>
    <x:t>http://id.who.int/icd/release/11/beta/ichi/166239997</x:t>
  </x:si>
  <x:si>
    <x:t>UBG.VO.ZZ</x:t>
  </x:si>
  <x:si>
    <x:t>- - - - Marshalling health services or health-related services in relation to human-caused events, not elsewhere classified</x:t>
  </x:si>
  <x:si>
    <x:t>http://id.who.int/icd/entity/205080979</x:t>
  </x:si>
  <x:si>
    <x:t>http://id.who.int/icd/release/11/beta/ichi/205080979</x:t>
  </x:si>
  <x:si>
    <x:t>UBG.VP.ZZ</x:t>
  </x:si>
  <x:si>
    <x:t>- - - - Improving access to health services or health-related services in relation to human-caused events, not elsewhere classified</x:t>
  </x:si>
  <x:si>
    <x:t>http://id.who.int/icd/entity/667165955</x:t>
  </x:si>
  <x:si>
    <x:t>http://id.who.int/icd/release/11/beta/ichi/667165955</x:t>
  </x:si>
  <x:si>
    <x:t>UBG.VR.ZZ</x:t>
  </x:si>
  <x:si>
    <x:t>- - - - Reducing emissions from human-caused events, not elsewhere classified</x:t>
  </x:si>
  <x:si>
    <x:t>http://id.who.int/icd/entity/914818421</x:t>
  </x:si>
  <x:si>
    <x:t>http://id.who.int/icd/release/11/beta/ichi/914818421</x:t>
  </x:si>
  <x:si>
    <x:t>UBG.WC.ZZ</x:t>
  </x:si>
  <x:si>
    <x:t>- - - - Restrictions on the sale or distribution of products or services in relation to human-caused events, not elsewhere classified</x:t>
  </x:si>
  <x:si>
    <x:t>http://id.who.int/icd/entity/1127317768</x:t>
  </x:si>
  <x:si>
    <x:t>http://id.who.int/icd/release/11/beta/ichi/1127317768</x:t>
  </x:si>
  <x:si>
    <x:t>UBG.WD.ZZ</x:t>
  </x:si>
  <x:si>
    <x:t>- - - - Restrictions on advertising, promotion or sponsorship of products or services in relation to human-caused events, not elsewhere classified</x:t>
  </x:si>
  <x:si>
    <x:t>http://id.who.int/icd/entity/323639479</x:t>
  </x:si>
  <x:si>
    <x:t>http://id.who.int/icd/release/11/beta/ichi/323639479</x:t>
  </x:si>
  <x:si>
    <x:t>UBG.WE.ZZ</x:t>
  </x:si>
  <x:si>
    <x:t>- - - - Restrictions on production or importation of products or services in relation to human-caused events, not elsewhere classified</x:t>
  </x:si>
  <x:si>
    <x:t>http://id.who.int/icd/entity/1283983766</x:t>
  </x:si>
  <x:si>
    <x:t>http://id.who.int/icd/release/11/beta/ichi/1283983766</x:t>
  </x:si>
  <x:si>
    <x:t>UBG.WG.QF</x:t>
  </x:si>
  <x:si>
    <x:t>- - - - Economic incentives in relation to human-caused events, not elsewhere classified</x:t>
  </x:si>
  <x:si>
    <x:t>http://id.who.int/icd/entity/1735746822</x:t>
  </x:si>
  <x:si>
    <x:t>http://id.who.int/icd/release/11/beta/ichi/1735746822</x:t>
  </x:si>
  <x:si>
    <x:t>UBG.WG.ZZ</x:t>
  </x:si>
  <x:si>
    <x:t>- - - - Applying incentives in relation to human-caused events, not elsewhere classified</x:t>
  </x:si>
  <x:si>
    <x:t>http://id.who.int/icd/entity/856988411</x:t>
  </x:si>
  <x:si>
    <x:t>http://id.who.int/icd/release/11/beta/ichi/856988411</x:t>
  </x:si>
  <x:si>
    <x:t>UBG.WI.QD</x:t>
  </x:si>
  <x:si>
    <x:t>- - - - Restrictions through enactment of laws or standards in relation to human-caused events, not elsewhere classified</x:t>
  </x:si>
  <x:si>
    <x:t>http://id.who.int/icd/entity/1826016218</x:t>
  </x:si>
  <x:si>
    <x:t>http://id.who.int/icd/release/11/beta/ichi/1826016218</x:t>
  </x:si>
  <x:si>
    <x:t>UBG.WI.QE</x:t>
  </x:si>
  <x:si>
    <x:t>- - - - Restrictions through enforcement of laws or standards in relation to human-caused events, not elsewhere classified</x:t>
  </x:si>
  <x:si>
    <x:t>http://id.who.int/icd/entity/307518905</x:t>
  </x:si>
  <x:si>
    <x:t>http://id.who.int/icd/release/11/beta/ichi/307518905</x:t>
  </x:si>
  <x:si>
    <x:t>UBG.WI.ZZ</x:t>
  </x:si>
  <x:si>
    <x:t>- - - - Restrictions through laws or standards in relation to human-caused events, not elsewhere classified</x:t>
  </x:si>
  <x:si>
    <x:t>http://id.who.int/icd/entity/967389481</x:t>
  </x:si>
  <x:si>
    <x:t>http://id.who.int/icd/release/11/beta/ichi/967389481</x:t>
  </x:si>
  <x:si>
    <x:t>UBG.WJ.ZZ</x:t>
  </x:si>
  <x:si>
    <x:t>- - - - Policy change in relation to human-caused events, not elsewhere classified</x:t>
  </x:si>
  <x:si>
    <x:t>http://id.who.int/icd/entity/1399789273</x:t>
  </x:si>
  <x:si>
    <x:t>http://id.who.int/icd/release/11/beta/ichi/1399789273</x:t>
  </x:si>
  <x:si>
    <x:t>UBH.AA.ZZ</x:t>
  </x:si>
  <x:si>
    <x:t>- - - - Assessment of impact of light</x:t>
  </x:si>
  <x:si>
    <x:t>http://id.who.int/icd/entity/1680660324</x:t>
  </x:si>
  <x:si>
    <x:t>http://id.who.int/icd/release/11/beta/ichi/1680660324</x:t>
  </x:si>
  <x:si>
    <x:t>UBH.PH.ZZ</x:t>
  </x:si>
  <x:si>
    <x:t>- - - - Training about aspects of light</x:t>
  </x:si>
  <x:si>
    <x:t>http://id.who.int/icd/entity/1448818983</x:t>
  </x:si>
  <x:si>
    <x:t>http://id.who.int/icd/release/11/beta/ichi/1448818983</x:t>
  </x:si>
  <x:si>
    <x:t>UBH.PM.ZZ</x:t>
  </x:si>
  <x:si>
    <x:t>- - - - Education about aspects of light</x:t>
  </x:si>
  <x:si>
    <x:t>http://id.who.int/icd/entity/694164026</x:t>
  </x:si>
  <x:si>
    <x:t>http://id.who.int/icd/release/11/beta/ichi/694164026</x:t>
  </x:si>
  <x:si>
    <x:t>UBH.PN.ZZ</x:t>
  </x:si>
  <x:si>
    <x:t>- - - - Advising about aspects of light</x:t>
  </x:si>
  <x:si>
    <x:t>http://id.who.int/icd/entity/878120661</x:t>
  </x:si>
  <x:si>
    <x:t>http://id.who.int/icd/release/11/beta/ichi/878120661</x:t>
  </x:si>
  <x:si>
    <x:t>UBH.RB.ZZ</x:t>
  </x:si>
  <x:si>
    <x:t>- - - - Practical support about aspects of light</x:t>
  </x:si>
  <x:si>
    <x:t>http://id.who.int/icd/entity/225909004</x:t>
  </x:si>
  <x:si>
    <x:t>http://id.who.int/icd/release/11/beta/ichi/225909004</x:t>
  </x:si>
  <x:si>
    <x:t>UBH.RD.ZZ</x:t>
  </x:si>
  <x:si>
    <x:t>- - - - Providing goods in relation to aspects of light</x:t>
  </x:si>
  <x:si>
    <x:t>http://id.who.int/icd/entity/646608284</x:t>
  </x:si>
  <x:si>
    <x:t>http://id.who.int/icd/release/11/beta/ichi/646608284</x:t>
  </x:si>
  <x:si>
    <x:t>UBH.RG.ZZ</x:t>
  </x:si>
  <x:si>
    <x:t>- - - - Providing services in relation to aspects of light</x:t>
  </x:si>
  <x:si>
    <x:t>http://id.who.int/icd/entity/498958526</x:t>
  </x:si>
  <x:si>
    <x:t>http://id.who.int/icd/release/11/beta/ichi/498958526</x:t>
  </x:si>
  <x:si>
    <x:t>UBH.TA.ZZ</x:t>
  </x:si>
  <x:si>
    <x:t>- - - - Advocacy in relation to aspects of light</x:t>
  </x:si>
  <x:si>
    <x:t>http://id.who.int/icd/entity/1115672991</x:t>
  </x:si>
  <x:si>
    <x:t>http://id.who.int/icd/release/11/beta/ichi/1115672991</x:t>
  </x:si>
  <x:si>
    <x:t>UBH.TB.ZZ</x:t>
  </x:si>
  <x:si>
    <x:t>- - - - Planning in relation to aspects of light</x:t>
  </x:si>
  <x:si>
    <x:t>http://id.who.int/icd/entity/302254128</x:t>
  </x:si>
  <x:si>
    <x:t>http://id.who.int/icd/release/11/beta/ichi/302254128</x:t>
  </x:si>
  <x:si>
    <x:t>UBH.TD.ZZ</x:t>
  </x:si>
  <x:si>
    <x:t>- - - - Collaboration relating to aspects of light</x:t>
  </x:si>
  <x:si>
    <x:t>http://id.who.int/icd/entity/399892290</x:t>
  </x:si>
  <x:si>
    <x:t>http://id.who.int/icd/release/11/beta/ichi/399892290</x:t>
  </x:si>
  <x:si>
    <x:t>UBH.TK.ZZ</x:t>
  </x:si>
  <x:si>
    <x:t>- - - - Public facilities or infrastructure development in relation to aspects of light</x:t>
  </x:si>
  <x:si>
    <x:t>http://id.who.int/icd/entity/1192761681</x:t>
  </x:si>
  <x:si>
    <x:t>http://id.who.int/icd/release/11/beta/ichi/1192761681</x:t>
  </x:si>
  <x:si>
    <x:t>UBH.TM.ZZ</x:t>
  </x:si>
  <x:si>
    <x:t>- - - - Environment modification to influence light</x:t>
  </x:si>
  <x:si>
    <x:t>http://id.who.int/icd/entity/1009300434</x:t>
  </x:si>
  <x:si>
    <x:t>http://id.who.int/icd/release/11/beta/ichi/1009300434</x:t>
  </x:si>
  <x:si>
    <x:t>UBH.VA.ZZ</x:t>
  </x:si>
  <x:si>
    <x:t>- - - - Capacity building targeting aspects of light</x:t>
  </x:si>
  <x:si>
    <x:t>http://id.who.int/icd/entity/762024870</x:t>
  </x:si>
  <x:si>
    <x:t>http://id.who.int/icd/release/11/beta/ichi/762024870</x:t>
  </x:si>
  <x:si>
    <x:t>UBH.VB.ZZ</x:t>
  </x:si>
  <x:si>
    <x:t>- - - - Awareness raising concerning aspects of light</x:t>
  </x:si>
  <x:si>
    <x:t>http://id.who.int/icd/entity/1490884565</x:t>
  </x:si>
  <x:si>
    <x:t>http://id.who.int/icd/release/11/beta/ichi/1490884565</x:t>
  </x:si>
  <x:si>
    <x:t>UBH.VC.ZZ</x:t>
  </x:si>
  <x:si>
    <x:t>- - - - Public health surveillance concerning aspects of light</x:t>
  </x:si>
  <x:si>
    <x:t>http://id.who.int/icd/entity/1594930893</x:t>
  </x:si>
  <x:si>
    <x:t>http://id.who.int/icd/release/11/beta/ichi/1594930893</x:t>
  </x:si>
  <x:si>
    <x:t>UBH.VE.ZZ</x:t>
  </x:si>
  <x:si>
    <x:t>- - - - Infection control measures in relation to aspects of light</x:t>
  </x:si>
  <x:si>
    <x:t>http://id.who.int/icd/entity/145149542</x:t>
  </x:si>
  <x:si>
    <x:t>http://id.who.int/icd/release/11/beta/ichi/145149542</x:t>
  </x:si>
  <x:si>
    <x:t>UBH.VF.ZZ</x:t>
  </x:si>
  <x:si>
    <x:t>- - - - Alert concerning aspects of light</x:t>
  </x:si>
  <x:si>
    <x:t>http://id.who.int/icd/entity/1466212167</x:t>
  </x:si>
  <x:si>
    <x:t>http://id.who.int/icd/release/11/beta/ichi/1466212167</x:t>
  </x:si>
  <x:si>
    <x:t>UBH.VL.ZZ</x:t>
  </x:si>
  <x:si>
    <x:t>- - - - Environmental remediation in relation to aspects of light</x:t>
  </x:si>
  <x:si>
    <x:t>http://id.who.int/icd/entity/2090464215</x:t>
  </x:si>
  <x:si>
    <x:t>http://id.who.int/icd/release/11/beta/ichi/2090464215</x:t>
  </x:si>
  <x:si>
    <x:t>UBH.VN.ZZ</x:t>
  </x:si>
  <x:si>
    <x:t>- - - - Establishing health services or health-related services in relation to aspects of light</x:t>
  </x:si>
  <x:si>
    <x:t>http://id.who.int/icd/entity/687344682</x:t>
  </x:si>
  <x:si>
    <x:t>http://id.who.int/icd/release/11/beta/ichi/687344682</x:t>
  </x:si>
  <x:si>
    <x:t>UBH.VO.ZZ</x:t>
  </x:si>
  <x:si>
    <x:t>- - - - Marshalling health services or health-related services in relation to aspects of light</x:t>
  </x:si>
  <x:si>
    <x:t>http://id.who.int/icd/entity/2000313611</x:t>
  </x:si>
  <x:si>
    <x:t>http://id.who.int/icd/release/11/beta/ichi/2000313611</x:t>
  </x:si>
  <x:si>
    <x:t>UBH.VP.ZZ</x:t>
  </x:si>
  <x:si>
    <x:t>- - - - Improving access to health services or health-related services in relation to aspects of light</x:t>
  </x:si>
  <x:si>
    <x:t>http://id.who.int/icd/entity/658605244</x:t>
  </x:si>
  <x:si>
    <x:t>http://id.who.int/icd/release/11/beta/ichi/658605244</x:t>
  </x:si>
  <x:si>
    <x:t>UBH.VR.ZZ</x:t>
  </x:si>
  <x:si>
    <x:t>- - - - Reducing emissions from aspects of light</x:t>
  </x:si>
  <x:si>
    <x:t>http://id.who.int/icd/entity/1834567049</x:t>
  </x:si>
  <x:si>
    <x:t>http://id.who.int/icd/release/11/beta/ichi/1834567049</x:t>
  </x:si>
  <x:si>
    <x:t>UBH.WC.ZZ</x:t>
  </x:si>
  <x:si>
    <x:t>- - - - Restrictions on the sale or distribution of products or services in relation to aspects of light</x:t>
  </x:si>
  <x:si>
    <x:t>http://id.who.int/icd/entity/1185163545</x:t>
  </x:si>
  <x:si>
    <x:t>http://id.who.int/icd/release/11/beta/ichi/1185163545</x:t>
  </x:si>
  <x:si>
    <x:t>UBH.WD.ZZ</x:t>
  </x:si>
  <x:si>
    <x:t>- - - - Restrictions on advertising, promotion or sponsorship of products or services in relation to aspects of light</x:t>
  </x:si>
  <x:si>
    <x:t>http://id.who.int/icd/entity/1474759023</x:t>
  </x:si>
  <x:si>
    <x:t>http://id.who.int/icd/release/11/beta/ichi/1474759023</x:t>
  </x:si>
  <x:si>
    <x:t>UBH.WE.ZZ</x:t>
  </x:si>
  <x:si>
    <x:t>- - - - Restrictions on production or importation of products or services in relation to aspects of light</x:t>
  </x:si>
  <x:si>
    <x:t>http://id.who.int/icd/entity/575769886</x:t>
  </x:si>
  <x:si>
    <x:t>http://id.who.int/icd/release/11/beta/ichi/575769886</x:t>
  </x:si>
  <x:si>
    <x:t>UBH.WG.QF</x:t>
  </x:si>
  <x:si>
    <x:t>- - - - Economic incentives in relation to aspects of light</x:t>
  </x:si>
  <x:si>
    <x:t>http://id.who.int/icd/entity/1915376813</x:t>
  </x:si>
  <x:si>
    <x:t>http://id.who.int/icd/release/11/beta/ichi/1915376813</x:t>
  </x:si>
  <x:si>
    <x:t>UBH.WG.ZZ</x:t>
  </x:si>
  <x:si>
    <x:t>- - - - Applying incentives in relation to aspects of light</x:t>
  </x:si>
  <x:si>
    <x:t>http://id.who.int/icd/entity/770180496</x:t>
  </x:si>
  <x:si>
    <x:t>http://id.who.int/icd/release/11/beta/ichi/770180496</x:t>
  </x:si>
  <x:si>
    <x:t>UBH.WI.QD</x:t>
  </x:si>
  <x:si>
    <x:t>- - - - Restrictions through enactment of laws or standards in relation to aspects of light</x:t>
  </x:si>
  <x:si>
    <x:t>http://id.who.int/icd/entity/102066464</x:t>
  </x:si>
  <x:si>
    <x:t>http://id.who.int/icd/release/11/beta/ichi/102066464</x:t>
  </x:si>
  <x:si>
    <x:t>UBH.WI.QE</x:t>
  </x:si>
  <x:si>
    <x:t>- - - - Restrictions through enforcement of laws or standards in relation to aspects of light</x:t>
  </x:si>
  <x:si>
    <x:t>http://id.who.int/icd/entity/1296420645</x:t>
  </x:si>
  <x:si>
    <x:t>http://id.who.int/icd/release/11/beta/ichi/1296420645</x:t>
  </x:si>
  <x:si>
    <x:t>UBH.WI.ZZ</x:t>
  </x:si>
  <x:si>
    <x:t>- - - - Restrictions through laws or standards in relation to aspects of light</x:t>
  </x:si>
  <x:si>
    <x:t>http://id.who.int/icd/entity/310877702</x:t>
  </x:si>
  <x:si>
    <x:t>http://id.who.int/icd/release/11/beta/ichi/310877702</x:t>
  </x:si>
  <x:si>
    <x:t>UBH.WJ.ZZ</x:t>
  </x:si>
  <x:si>
    <x:t>- - - - Policy change in relation to aspects of light</x:t>
  </x:si>
  <x:si>
    <x:t>http://id.who.int/icd/entity/1798851870</x:t>
  </x:si>
  <x:si>
    <x:t>http://id.who.int/icd/release/11/beta/ichi/1798851870</x:t>
  </x:si>
  <x:si>
    <x:t>UBI.AA.ZZ</x:t>
  </x:si>
  <x:si>
    <x:t>- - - - Assessment of the impact of time-related changes</x:t>
  </x:si>
  <x:si>
    <x:t>http://id.who.int/icd/entity/282456625</x:t>
  </x:si>
  <x:si>
    <x:t>http://id.who.int/icd/release/11/beta/ichi/282456625</x:t>
  </x:si>
  <x:si>
    <x:t>UBI.PH.ZZ</x:t>
  </x:si>
  <x:si>
    <x:t>- - - - Training about time-related changes</x:t>
  </x:si>
  <x:si>
    <x:t>http://id.who.int/icd/entity/1326949140</x:t>
  </x:si>
  <x:si>
    <x:t>http://id.who.int/icd/release/11/beta/ichi/1326949140</x:t>
  </x:si>
  <x:si>
    <x:t>UBI.PM.ZZ</x:t>
  </x:si>
  <x:si>
    <x:t>- - - - Education about aspects of time-related changes</x:t>
  </x:si>
  <x:si>
    <x:t>http://id.who.int/icd/entity/527202979</x:t>
  </x:si>
  <x:si>
    <x:t>http://id.who.int/icd/release/11/beta/ichi/527202979</x:t>
  </x:si>
  <x:si>
    <x:t>UBI.PN.ZZ</x:t>
  </x:si>
  <x:si>
    <x:t>- - - - Advising about time-related changes</x:t>
  </x:si>
  <x:si>
    <x:t>http://id.who.int/icd/entity/1792736976</x:t>
  </x:si>
  <x:si>
    <x:t>http://id.who.int/icd/release/11/beta/ichi/1792736976</x:t>
  </x:si>
  <x:si>
    <x:t>UBI.RB.ZZ</x:t>
  </x:si>
  <x:si>
    <x:t>- - - - Practical support about time-related changes</x:t>
  </x:si>
  <x:si>
    <x:t>http://id.who.int/icd/entity/1093112384</x:t>
  </x:si>
  <x:si>
    <x:t>http://id.who.int/icd/release/11/beta/ichi/1093112384</x:t>
  </x:si>
  <x:si>
    <x:t>UBI.RD.ZZ</x:t>
  </x:si>
  <x:si>
    <x:t>- - - - Providing goods in relation to time-related changes</x:t>
  </x:si>
  <x:si>
    <x:t>http://id.who.int/icd/entity/1348776504</x:t>
  </x:si>
  <x:si>
    <x:t>http://id.who.int/icd/release/11/beta/ichi/1348776504</x:t>
  </x:si>
  <x:si>
    <x:t>UBI.RG.ZZ</x:t>
  </x:si>
  <x:si>
    <x:t>- - - - Providing services in relation to time-related changes</x:t>
  </x:si>
  <x:si>
    <x:t>http://id.who.int/icd/entity/1437951322</x:t>
  </x:si>
  <x:si>
    <x:t>http://id.who.int/icd/release/11/beta/ichi/1437951322</x:t>
  </x:si>
  <x:si>
    <x:t>UBI.TA.ZZ</x:t>
  </x:si>
  <x:si>
    <x:t>- - - - Advocacy in relation to time-related changes</x:t>
  </x:si>
  <x:si>
    <x:t>http://id.who.int/icd/entity/97434857</x:t>
  </x:si>
  <x:si>
    <x:t>http://id.who.int/icd/release/11/beta/ichi/97434857</x:t>
  </x:si>
  <x:si>
    <x:t>UBI.TB.ZZ</x:t>
  </x:si>
  <x:si>
    <x:t>- - - - Planning in relation to time-related changes</x:t>
  </x:si>
  <x:si>
    <x:t>http://id.who.int/icd/entity/1510796748</x:t>
  </x:si>
  <x:si>
    <x:t>http://id.who.int/icd/release/11/beta/ichi/1510796748</x:t>
  </x:si>
  <x:si>
    <x:t>UBI.TD.ZZ</x:t>
  </x:si>
  <x:si>
    <x:t>- - - - Collaboration relating to time-related changes</x:t>
  </x:si>
  <x:si>
    <x:t>http://id.who.int/icd/entity/1911652700</x:t>
  </x:si>
  <x:si>
    <x:t>http://id.who.int/icd/release/11/beta/ichi/1911652700</x:t>
  </x:si>
  <x:si>
    <x:t>UBI.TK.ZZ</x:t>
  </x:si>
  <x:si>
    <x:t>- - - - Public facilities or infrastructure development in relation to time-related changes</x:t>
  </x:si>
  <x:si>
    <x:t>http://id.who.int/icd/entity/1254519934</x:t>
  </x:si>
  <x:si>
    <x:t>http://id.who.int/icd/release/11/beta/ichi/1254519934</x:t>
  </x:si>
  <x:si>
    <x:t>UBI.TM.ZZ</x:t>
  </x:si>
  <x:si>
    <x:t>- - - - Environment modification in relation to time-related changes</x:t>
  </x:si>
  <x:si>
    <x:t>http://id.who.int/icd/entity/352593247</x:t>
  </x:si>
  <x:si>
    <x:t>http://id.who.int/icd/release/11/beta/ichi/352593247</x:t>
  </x:si>
  <x:si>
    <x:t>UBI.VA.ZZ</x:t>
  </x:si>
  <x:si>
    <x:t>- - - - Capacity building targeting time-related changes</x:t>
  </x:si>
  <x:si>
    <x:t>http://id.who.int/icd/entity/1166015728</x:t>
  </x:si>
  <x:si>
    <x:t>http://id.who.int/icd/release/11/beta/ichi/1166015728</x:t>
  </x:si>
  <x:si>
    <x:t>UBI.VB.ZZ</x:t>
  </x:si>
  <x:si>
    <x:t>- - - - Awareness raising concerning time-related changes</x:t>
  </x:si>
  <x:si>
    <x:t>http://id.who.int/icd/entity/1604284996</x:t>
  </x:si>
  <x:si>
    <x:t>http://id.who.int/icd/release/11/beta/ichi/1604284996</x:t>
  </x:si>
  <x:si>
    <x:t>UBI.VC.ZZ</x:t>
  </x:si>
  <x:si>
    <x:t>- - - - Public health surveillance concerning time-related changes</x:t>
  </x:si>
  <x:si>
    <x:t>http://id.who.int/icd/entity/13821936</x:t>
  </x:si>
  <x:si>
    <x:t>http://id.who.int/icd/release/11/beta/ichi/13821936</x:t>
  </x:si>
  <x:si>
    <x:t>UBI.VE.ZZ</x:t>
  </x:si>
  <x:si>
    <x:t>- - - - Infection control measures in relation to time-related changes</x:t>
  </x:si>
  <x:si>
    <x:t>http://id.who.int/icd/entity/1952587476</x:t>
  </x:si>
  <x:si>
    <x:t>http://id.who.int/icd/release/11/beta/ichi/1952587476</x:t>
  </x:si>
  <x:si>
    <x:t>UBI.VF.ZZ</x:t>
  </x:si>
  <x:si>
    <x:t>- - - - Alert concerning time-related changes</x:t>
  </x:si>
  <x:si>
    <x:t>http://id.who.int/icd/entity/1696677540</x:t>
  </x:si>
  <x:si>
    <x:t>http://id.who.int/icd/release/11/beta/ichi/1696677540</x:t>
  </x:si>
  <x:si>
    <x:t>UBI.VL.ZZ</x:t>
  </x:si>
  <x:si>
    <x:t>- - - - Environmental remediation in relation to time-related changes</x:t>
  </x:si>
  <x:si>
    <x:t>http://id.who.int/icd/entity/1150124572</x:t>
  </x:si>
  <x:si>
    <x:t>http://id.who.int/icd/release/11/beta/ichi/1150124572</x:t>
  </x:si>
  <x:si>
    <x:t>UBI.VN.ZZ</x:t>
  </x:si>
  <x:si>
    <x:t>- - - - Establishing health services or health-related services in relation to time-related changes</x:t>
  </x:si>
  <x:si>
    <x:t>http://id.who.int/icd/entity/351689645</x:t>
  </x:si>
  <x:si>
    <x:t>http://id.who.int/icd/release/11/beta/ichi/351689645</x:t>
  </x:si>
  <x:si>
    <x:t>UBI.VO.ZZ</x:t>
  </x:si>
  <x:si>
    <x:t>- - - - Marshalling health services or health-related services in relation to time-related changes</x:t>
  </x:si>
  <x:si>
    <x:t>http://id.who.int/icd/entity/1261701774</x:t>
  </x:si>
  <x:si>
    <x:t>http://id.who.int/icd/release/11/beta/ichi/1261701774</x:t>
  </x:si>
  <x:si>
    <x:t>UBI.VP.ZZ</x:t>
  </x:si>
  <x:si>
    <x:t>- - - - Improving access to health services or health-related services in relation to time-related changes</x:t>
  </x:si>
  <x:si>
    <x:t>http://id.who.int/icd/entity/1623811614</x:t>
  </x:si>
  <x:si>
    <x:t>http://id.who.int/icd/release/11/beta/ichi/1623811614</x:t>
  </x:si>
  <x:si>
    <x:t>UBI.WC.ZZ</x:t>
  </x:si>
  <x:si>
    <x:t>- - - - Restrictions on the sale or distribution of products or services in relation to time-related changes</x:t>
  </x:si>
  <x:si>
    <x:t>http://id.who.int/icd/entity/1543410488</x:t>
  </x:si>
  <x:si>
    <x:t>http://id.who.int/icd/release/11/beta/ichi/1543410488</x:t>
  </x:si>
  <x:si>
    <x:t>UBI.WD.ZZ</x:t>
  </x:si>
  <x:si>
    <x:t>- - - - Restrictions on advertising, promotion or sponsorship of products or services in relation to time-related changes</x:t>
  </x:si>
  <x:si>
    <x:t>http://id.who.int/icd/entity/71090715</x:t>
  </x:si>
  <x:si>
    <x:t>http://id.who.int/icd/release/11/beta/ichi/71090715</x:t>
  </x:si>
  <x:si>
    <x:t>UBI.WE.ZZ</x:t>
  </x:si>
  <x:si>
    <x:t>- - - - Restrictions on production or importation of products or services in relation to time-related changes</x:t>
  </x:si>
  <x:si>
    <x:t>http://id.who.int/icd/entity/1413946282</x:t>
  </x:si>
  <x:si>
    <x:t>http://id.who.int/icd/release/11/beta/ichi/1413946282</x:t>
  </x:si>
  <x:si>
    <x:t>UBI.WG.QF</x:t>
  </x:si>
  <x:si>
    <x:t>- - - - Economic incentives in relation to time-related changes</x:t>
  </x:si>
  <x:si>
    <x:t>http://id.who.int/icd/entity/1368837316</x:t>
  </x:si>
  <x:si>
    <x:t>http://id.who.int/icd/release/11/beta/ichi/1368837316</x:t>
  </x:si>
  <x:si>
    <x:t>UBI.WG.ZZ</x:t>
  </x:si>
  <x:si>
    <x:t>- - - - Applying incentives in relation to time-related changes</x:t>
  </x:si>
  <x:si>
    <x:t>http://id.who.int/icd/entity/2053873748</x:t>
  </x:si>
  <x:si>
    <x:t>http://id.who.int/icd/release/11/beta/ichi/2053873748</x:t>
  </x:si>
  <x:si>
    <x:t>UBI.WI.QD</x:t>
  </x:si>
  <x:si>
    <x:t>- - - - Restrictions through enactment of laws or standards in relation to time-related changes</x:t>
  </x:si>
  <x:si>
    <x:t>http://id.who.int/icd/entity/1797816356</x:t>
  </x:si>
  <x:si>
    <x:t>http://id.who.int/icd/release/11/beta/ichi/1797816356</x:t>
  </x:si>
  <x:si>
    <x:t>UBI.WI.QE</x:t>
  </x:si>
  <x:si>
    <x:t>- - - - Restrictions through enforcement of laws or standards in relation to time-related changes</x:t>
  </x:si>
  <x:si>
    <x:t>http://id.who.int/icd/entity/513672273</x:t>
  </x:si>
  <x:si>
    <x:t>http://id.who.int/icd/release/11/beta/ichi/513672273</x:t>
  </x:si>
  <x:si>
    <x:t>UBI.WI.ZZ</x:t>
  </x:si>
  <x:si>
    <x:t>- - - - Restrictions through laws or standards in relation to time-related changes</x:t>
  </x:si>
  <x:si>
    <x:t>http://id.who.int/icd/entity/1323687392</x:t>
  </x:si>
  <x:si>
    <x:t>http://id.who.int/icd/release/11/beta/ichi/1323687392</x:t>
  </x:si>
  <x:si>
    <x:t>UBI.WJ.ZZ</x:t>
  </x:si>
  <x:si>
    <x:t>- - - - Policy change in relation to time-related changes</x:t>
  </x:si>
  <x:si>
    <x:t>http://id.who.int/icd/entity/1765057199</x:t>
  </x:si>
  <x:si>
    <x:t>http://id.who.int/icd/release/11/beta/ichi/1765057199</x:t>
  </x:si>
  <x:si>
    <x:t>UBJ.AA.ZZ</x:t>
  </x:si>
  <x:si>
    <x:t>- - - - Assessment of impact of sound</x:t>
  </x:si>
  <x:si>
    <x:t>http://id.who.int/icd/entity/1352790690</x:t>
  </x:si>
  <x:si>
    <x:t>http://id.who.int/icd/release/11/beta/ichi/1352790690</x:t>
  </x:si>
  <x:si>
    <x:t>UBJ.PH.ZZ</x:t>
  </x:si>
  <x:si>
    <x:t>- - - - Training about sound</x:t>
  </x:si>
  <x:si>
    <x:t>http://id.who.int/icd/entity/370114992</x:t>
  </x:si>
  <x:si>
    <x:t>http://id.who.int/icd/release/11/beta/ichi/370114992</x:t>
  </x:si>
  <x:si>
    <x:t>UBJ.PM.ZZ</x:t>
  </x:si>
  <x:si>
    <x:t>- - - - Education about aspects of sound</x:t>
  </x:si>
  <x:si>
    <x:t>http://id.who.int/icd/entity/322678350</x:t>
  </x:si>
  <x:si>
    <x:t>http://id.who.int/icd/release/11/beta/ichi/322678350</x:t>
  </x:si>
  <x:si>
    <x:t>UBJ.PN.ZZ</x:t>
  </x:si>
  <x:si>
    <x:t>- - - - Advising about aspects of sound</x:t>
  </x:si>
  <x:si>
    <x:t>http://id.who.int/icd/entity/622294739</x:t>
  </x:si>
  <x:si>
    <x:t>http://id.who.int/icd/release/11/beta/ichi/622294739</x:t>
  </x:si>
  <x:si>
    <x:t>UBJ.RB.ZZ</x:t>
  </x:si>
  <x:si>
    <x:t>- - - - Practical support about sound</x:t>
  </x:si>
  <x:si>
    <x:t>http://id.who.int/icd/entity/1970057058</x:t>
  </x:si>
  <x:si>
    <x:t>http://id.who.int/icd/release/11/beta/ichi/1970057058</x:t>
  </x:si>
  <x:si>
    <x:t>UBJ.RD.ZZ</x:t>
  </x:si>
  <x:si>
    <x:t>- - - - Providing goods in relation to sound</x:t>
  </x:si>
  <x:si>
    <x:t>http://id.who.int/icd/entity/716111425</x:t>
  </x:si>
  <x:si>
    <x:t>http://id.who.int/icd/release/11/beta/ichi/716111425</x:t>
  </x:si>
  <x:si>
    <x:t>UBJ.RG.ZZ</x:t>
  </x:si>
  <x:si>
    <x:t>- - - - Providing services in relation to sound</x:t>
  </x:si>
  <x:si>
    <x:t>http://id.who.int/icd/entity/22254289</x:t>
  </x:si>
  <x:si>
    <x:t>http://id.who.int/icd/release/11/beta/ichi/22254289</x:t>
  </x:si>
  <x:si>
    <x:t>UBJ.TA.ZZ</x:t>
  </x:si>
  <x:si>
    <x:t>- - - - Advocacy in relation to sound</x:t>
  </x:si>
  <x:si>
    <x:t>http://id.who.int/icd/entity/1241724140</x:t>
  </x:si>
  <x:si>
    <x:t>http://id.who.int/icd/release/11/beta/ichi/1241724140</x:t>
  </x:si>
  <x:si>
    <x:t>UBJ.TB.ZZ</x:t>
  </x:si>
  <x:si>
    <x:t>- - - - Planning in relation to sound</x:t>
  </x:si>
  <x:si>
    <x:t>http://id.who.int/icd/entity/364996041</x:t>
  </x:si>
  <x:si>
    <x:t>http://id.who.int/icd/release/11/beta/ichi/364996041</x:t>
  </x:si>
  <x:si>
    <x:t>UBJ.TD.ZZ</x:t>
  </x:si>
  <x:si>
    <x:t>- - - - Collaboration relating to sound</x:t>
  </x:si>
  <x:si>
    <x:t>http://id.who.int/icd/entity/1169865850</x:t>
  </x:si>
  <x:si>
    <x:t>http://id.who.int/icd/release/11/beta/ichi/1169865850</x:t>
  </x:si>
  <x:si>
    <x:t>UBJ.TK.ZZ</x:t>
  </x:si>
  <x:si>
    <x:t>- - - - Public facilities or infrastructure development in relation to sound</x:t>
  </x:si>
  <x:si>
    <x:t>http://id.who.int/icd/entity/1673070019</x:t>
  </x:si>
  <x:si>
    <x:t>http://id.who.int/icd/release/11/beta/ichi/1673070019</x:t>
  </x:si>
  <x:si>
    <x:t>UBJ.TM.ZZ</x:t>
  </x:si>
  <x:si>
    <x:t>- - - - Environment modification to influence sound</x:t>
  </x:si>
  <x:si>
    <x:t>http://id.who.int/icd/entity/806107147</x:t>
  </x:si>
  <x:si>
    <x:t>http://id.who.int/icd/release/11/beta/ichi/806107147</x:t>
  </x:si>
  <x:si>
    <x:t>UBJ.VA.ZZ</x:t>
  </x:si>
  <x:si>
    <x:t>- - - - Capacity building targeting sound</x:t>
  </x:si>
  <x:si>
    <x:t>http://id.who.int/icd/entity/468800667</x:t>
  </x:si>
  <x:si>
    <x:t>http://id.who.int/icd/release/11/beta/ichi/468800667</x:t>
  </x:si>
  <x:si>
    <x:t>UBJ.VB.ZZ</x:t>
  </x:si>
  <x:si>
    <x:t>- - - - Awareness raising concerning sound</x:t>
  </x:si>
  <x:si>
    <x:t>http://id.who.int/icd/entity/179467501</x:t>
  </x:si>
  <x:si>
    <x:t>http://id.who.int/icd/release/11/beta/ichi/179467501</x:t>
  </x:si>
  <x:si>
    <x:t>UBJ.VC.ZZ</x:t>
  </x:si>
  <x:si>
    <x:t>- - - - Public health surveillance concerning sound</x:t>
  </x:si>
  <x:si>
    <x:t>http://id.who.int/icd/entity/724536192</x:t>
  </x:si>
  <x:si>
    <x:t>http://id.who.int/icd/release/11/beta/ichi/724536192</x:t>
  </x:si>
  <x:si>
    <x:t>UBJ.VE.ZZ</x:t>
  </x:si>
  <x:si>
    <x:t>- - - - Infection control measures in relation to sound</x:t>
  </x:si>
  <x:si>
    <x:t>http://id.who.int/icd/entity/273873479</x:t>
  </x:si>
  <x:si>
    <x:t>http://id.who.int/icd/release/11/beta/ichi/273873479</x:t>
  </x:si>
  <x:si>
    <x:t>UBJ.VF.ZZ</x:t>
  </x:si>
  <x:si>
    <x:t>- - - - Alert concerning sound</x:t>
  </x:si>
  <x:si>
    <x:t>http://id.who.int/icd/entity/1076438006</x:t>
  </x:si>
  <x:si>
    <x:t>http://id.who.int/icd/release/11/beta/ichi/1076438006</x:t>
  </x:si>
  <x:si>
    <x:t>UBJ.VL.ZZ</x:t>
  </x:si>
  <x:si>
    <x:t>- - - - Environmental remediation in relation to sound</x:t>
  </x:si>
  <x:si>
    <x:t>http://id.who.int/icd/entity/535524053</x:t>
  </x:si>
  <x:si>
    <x:t>http://id.who.int/icd/release/11/beta/ichi/535524053</x:t>
  </x:si>
  <x:si>
    <x:t>UBJ.VN.ZZ</x:t>
  </x:si>
  <x:si>
    <x:t>- - - - Establishing health services or health-related services in relation to sound</x:t>
  </x:si>
  <x:si>
    <x:t>http://id.who.int/icd/entity/873864773</x:t>
  </x:si>
  <x:si>
    <x:t>http://id.who.int/icd/release/11/beta/ichi/873864773</x:t>
  </x:si>
  <x:si>
    <x:t>UBJ.VO.ZZ</x:t>
  </x:si>
  <x:si>
    <x:t>- - - - Marshalling health services or health-related services in relation to sound</x:t>
  </x:si>
  <x:si>
    <x:t>http://id.who.int/icd/entity/1341890924</x:t>
  </x:si>
  <x:si>
    <x:t>http://id.who.int/icd/release/11/beta/ichi/1341890924</x:t>
  </x:si>
  <x:si>
    <x:t>UBJ.VP.ZZ</x:t>
  </x:si>
  <x:si>
    <x:t>- - - - Improving access to health services or health-related services in relation to sound</x:t>
  </x:si>
  <x:si>
    <x:t>http://id.who.int/icd/entity/272232521</x:t>
  </x:si>
  <x:si>
    <x:t>http://id.who.int/icd/release/11/beta/ichi/272232521</x:t>
  </x:si>
  <x:si>
    <x:t>UBJ.VR.ZZ</x:t>
  </x:si>
  <x:si>
    <x:t>- - - - Reducing noise emissions</x:t>
  </x:si>
  <x:si>
    <x:t>http://id.who.int/icd/entity/1078077946</x:t>
  </x:si>
  <x:si>
    <x:t>http://id.who.int/icd/release/11/beta/ichi/1078077946</x:t>
  </x:si>
  <x:si>
    <x:t>UBJ.WC.ZZ</x:t>
  </x:si>
  <x:si>
    <x:t>- - - - Restrictions on the sale or distribution of products or services in relation to sound</x:t>
  </x:si>
  <x:si>
    <x:t>http://id.who.int/icd/entity/905227659</x:t>
  </x:si>
  <x:si>
    <x:t>http://id.who.int/icd/release/11/beta/ichi/905227659</x:t>
  </x:si>
  <x:si>
    <x:t>UBJ.WD.ZZ</x:t>
  </x:si>
  <x:si>
    <x:t>- - - - Restrictions on advertising, promotion or sponsorship of products or services in relation to sound</x:t>
  </x:si>
  <x:si>
    <x:t>http://id.who.int/icd/entity/503955739</x:t>
  </x:si>
  <x:si>
    <x:t>http://id.who.int/icd/release/11/beta/ichi/503955739</x:t>
  </x:si>
  <x:si>
    <x:t>UBJ.WE.ZZ</x:t>
  </x:si>
  <x:si>
    <x:t>- - - - Restrictions on production or importation of products or services in relation to sound</x:t>
  </x:si>
  <x:si>
    <x:t>http://id.who.int/icd/entity/256565613</x:t>
  </x:si>
  <x:si>
    <x:t>http://id.who.int/icd/release/11/beta/ichi/256565613</x:t>
  </x:si>
  <x:si>
    <x:t>UBJ.WG.QF</x:t>
  </x:si>
  <x:si>
    <x:t>- - - - Economic incentives in relation to sound</x:t>
  </x:si>
  <x:si>
    <x:t>http://id.who.int/icd/entity/177944067</x:t>
  </x:si>
  <x:si>
    <x:t>http://id.who.int/icd/release/11/beta/ichi/177944067</x:t>
  </x:si>
  <x:si>
    <x:t>UBJ.WG.ZZ</x:t>
  </x:si>
  <x:si>
    <x:t>- - - - Applying incentives in relation to sound</x:t>
  </x:si>
  <x:si>
    <x:t>http://id.who.int/icd/entity/1524690868</x:t>
  </x:si>
  <x:si>
    <x:t>http://id.who.int/icd/release/11/beta/ichi/1524690868</x:t>
  </x:si>
  <x:si>
    <x:t>UBJ.WI.QD</x:t>
  </x:si>
  <x:si>
    <x:t>- - - - Restrictions through enactment of laws or standards in relation to sound</x:t>
  </x:si>
  <x:si>
    <x:t>http://id.who.int/icd/entity/86163089</x:t>
  </x:si>
  <x:si>
    <x:t>http://id.who.int/icd/release/11/beta/ichi/86163089</x:t>
  </x:si>
  <x:si>
    <x:t>UBJ.WI.QE</x:t>
  </x:si>
  <x:si>
    <x:t>- - - - Restrictions through enforcement of laws or standards in relation to sound</x:t>
  </x:si>
  <x:si>
    <x:t>http://id.who.int/icd/entity/786420225</x:t>
  </x:si>
  <x:si>
    <x:t>http://id.who.int/icd/release/11/beta/ichi/786420225</x:t>
  </x:si>
  <x:si>
    <x:t>UBJ.WI.ZZ</x:t>
  </x:si>
  <x:si>
    <x:t>- - - - Restrictions through laws or standards in relation to sound</x:t>
  </x:si>
  <x:si>
    <x:t>http://id.who.int/icd/entity/367535911</x:t>
  </x:si>
  <x:si>
    <x:t>http://id.who.int/icd/release/11/beta/ichi/367535911</x:t>
  </x:si>
  <x:si>
    <x:t>UBJ.WJ.ZZ</x:t>
  </x:si>
  <x:si>
    <x:t>- - - - Policy change in relation to sound</x:t>
  </x:si>
  <x:si>
    <x:t>http://id.who.int/icd/entity/1811975505</x:t>
  </x:si>
  <x:si>
    <x:t>http://id.who.int/icd/release/11/beta/ichi/1811975505</x:t>
  </x:si>
  <x:si>
    <x:t>UBK.AA.ZZ</x:t>
  </x:si>
  <x:si>
    <x:t>- - - - Assessment of impact of vibration</x:t>
  </x:si>
  <x:si>
    <x:t>http://id.who.int/icd/entity/2038216281</x:t>
  </x:si>
  <x:si>
    <x:t>http://id.who.int/icd/release/11/beta/ichi/2038216281</x:t>
  </x:si>
  <x:si>
    <x:t>UBK.PH.ZZ</x:t>
  </x:si>
  <x:si>
    <x:t>- - - - Training about vibration</x:t>
  </x:si>
  <x:si>
    <x:t>http://id.who.int/icd/entity/862284802</x:t>
  </x:si>
  <x:si>
    <x:t>http://id.who.int/icd/release/11/beta/ichi/862284802</x:t>
  </x:si>
  <x:si>
    <x:t>UBK.PM.ZZ</x:t>
  </x:si>
  <x:si>
    <x:t>- - - - Education about aspects of vibration</x:t>
  </x:si>
  <x:si>
    <x:t>http://id.who.int/icd/entity/945910448</x:t>
  </x:si>
  <x:si>
    <x:t>http://id.who.int/icd/release/11/beta/ichi/945910448</x:t>
  </x:si>
  <x:si>
    <x:t>UBK.PN.ZZ</x:t>
  </x:si>
  <x:si>
    <x:t>- - - - Advising about aspects of vibration</x:t>
  </x:si>
  <x:si>
    <x:t>http://id.who.int/icd/entity/1748997679</x:t>
  </x:si>
  <x:si>
    <x:t>http://id.who.int/icd/release/11/beta/ichi/1748997679</x:t>
  </x:si>
  <x:si>
    <x:t>UBK.RB.ZZ</x:t>
  </x:si>
  <x:si>
    <x:t>- - - - Practical support about vibration</x:t>
  </x:si>
  <x:si>
    <x:t>http://id.who.int/icd/entity/1927223429</x:t>
  </x:si>
  <x:si>
    <x:t>http://id.who.int/icd/release/11/beta/ichi/1927223429</x:t>
  </x:si>
  <x:si>
    <x:t>UBK.RD.ZZ</x:t>
  </x:si>
  <x:si>
    <x:t>- - - - Providing goods in relation to vibration</x:t>
  </x:si>
  <x:si>
    <x:t>http://id.who.int/icd/entity/581222708</x:t>
  </x:si>
  <x:si>
    <x:t>http://id.who.int/icd/release/11/beta/ichi/581222708</x:t>
  </x:si>
  <x:si>
    <x:t>UBK.RG.ZZ</x:t>
  </x:si>
  <x:si>
    <x:t>- - - - Providing services in relation to vibration</x:t>
  </x:si>
  <x:si>
    <x:t>http://id.who.int/icd/entity/2103873559</x:t>
  </x:si>
  <x:si>
    <x:t>http://id.who.int/icd/release/11/beta/ichi/2103873559</x:t>
  </x:si>
  <x:si>
    <x:t>UBK.TA.ZZ</x:t>
  </x:si>
  <x:si>
    <x:t>- - - - Advocacy in relation to vibration</x:t>
  </x:si>
  <x:si>
    <x:t>http://id.who.int/icd/entity/1453063303</x:t>
  </x:si>
  <x:si>
    <x:t>http://id.who.int/icd/release/11/beta/ichi/1453063303</x:t>
  </x:si>
  <x:si>
    <x:t>UBK.TB.ZZ</x:t>
  </x:si>
  <x:si>
    <x:t>- - - - Planning in relation to vibration</x:t>
  </x:si>
  <x:si>
    <x:t>http://id.who.int/icd/entity/924997462</x:t>
  </x:si>
  <x:si>
    <x:t>http://id.who.int/icd/release/11/beta/ichi/924997462</x:t>
  </x:si>
  <x:si>
    <x:t>UBK.TD.ZZ</x:t>
  </x:si>
  <x:si>
    <x:t>- - - - Collaboration relating to vibration</x:t>
  </x:si>
  <x:si>
    <x:t>http://id.who.int/icd/entity/1759512183</x:t>
  </x:si>
  <x:si>
    <x:t>http://id.who.int/icd/release/11/beta/ichi/1759512183</x:t>
  </x:si>
  <x:si>
    <x:t>UBK.TK.ZZ</x:t>
  </x:si>
  <x:si>
    <x:t>- - - - Public facilities or infrastructure development in relation to vibration</x:t>
  </x:si>
  <x:si>
    <x:t>http://id.who.int/icd/entity/1822899489</x:t>
  </x:si>
  <x:si>
    <x:t>http://id.who.int/icd/release/11/beta/ichi/1822899489</x:t>
  </x:si>
  <x:si>
    <x:t>UBK.TM.ZZ</x:t>
  </x:si>
  <x:si>
    <x:t>- - - - Environment modification to influence vibration</x:t>
  </x:si>
  <x:si>
    <x:t>http://id.who.int/icd/entity/949739464</x:t>
  </x:si>
  <x:si>
    <x:t>http://id.who.int/icd/release/11/beta/ichi/949739464</x:t>
  </x:si>
  <x:si>
    <x:t>UBK.VA.ZZ</x:t>
  </x:si>
  <x:si>
    <x:t>- - - - Capacity building targeting vibration</x:t>
  </x:si>
  <x:si>
    <x:t>http://id.who.int/icd/entity/1294818229</x:t>
  </x:si>
  <x:si>
    <x:t>http://id.who.int/icd/release/11/beta/ichi/1294818229</x:t>
  </x:si>
  <x:si>
    <x:t>UBK.VB.ZZ</x:t>
  </x:si>
  <x:si>
    <x:t>- - - - Awareness raising concerning vibration</x:t>
  </x:si>
  <x:si>
    <x:t>http://id.who.int/icd/entity/1724921637</x:t>
  </x:si>
  <x:si>
    <x:t>http://id.who.int/icd/release/11/beta/ichi/1724921637</x:t>
  </x:si>
  <x:si>
    <x:t>UBK.VC.ZZ</x:t>
  </x:si>
  <x:si>
    <x:t>- - - - Public health surveillance concerning vibration</x:t>
  </x:si>
  <x:si>
    <x:t>http://id.who.int/icd/entity/270040666</x:t>
  </x:si>
  <x:si>
    <x:t>http://id.who.int/icd/release/11/beta/ichi/270040666</x:t>
  </x:si>
  <x:si>
    <x:t>UBK.VE.ZZ</x:t>
  </x:si>
  <x:si>
    <x:t>- - - - Infection control measures in relation to vibration</x:t>
  </x:si>
  <x:si>
    <x:t>http://id.who.int/icd/entity/2006128467</x:t>
  </x:si>
  <x:si>
    <x:t>http://id.who.int/icd/release/11/beta/ichi/2006128467</x:t>
  </x:si>
  <x:si>
    <x:t>UBK.VF.ZZ</x:t>
  </x:si>
  <x:si>
    <x:t>- - - - Alert concerning vibration</x:t>
  </x:si>
  <x:si>
    <x:t>http://id.who.int/icd/entity/1916977213</x:t>
  </x:si>
  <x:si>
    <x:t>http://id.who.int/icd/release/11/beta/ichi/1916977213</x:t>
  </x:si>
  <x:si>
    <x:t>UBK.VL.ZZ</x:t>
  </x:si>
  <x:si>
    <x:t>- - - - Environmental remediation in relation to vibration</x:t>
  </x:si>
  <x:si>
    <x:t>http://id.who.int/icd/entity/574167438</x:t>
  </x:si>
  <x:si>
    <x:t>http://id.who.int/icd/release/11/beta/ichi/574167438</x:t>
  </x:si>
  <x:si>
    <x:t>UBK.VN.ZZ</x:t>
  </x:si>
  <x:si>
    <x:t>- - - - Establishing health services or health-related services in relation to vibration</x:t>
  </x:si>
  <x:si>
    <x:t>http://id.who.int/icd/entity/2113620143</x:t>
  </x:si>
  <x:si>
    <x:t>http://id.who.int/icd/release/11/beta/ichi/2113620143</x:t>
  </x:si>
  <x:si>
    <x:t>UBK.VO.ZZ</x:t>
  </x:si>
  <x:si>
    <x:t>- - - - Marshalling health services or health-related services in relation to vibration</x:t>
  </x:si>
  <x:si>
    <x:t>http://id.who.int/icd/entity/1443243071</x:t>
  </x:si>
  <x:si>
    <x:t>http://id.who.int/icd/release/11/beta/ichi/1443243071</x:t>
  </x:si>
  <x:si>
    <x:t>UBK.VP.ZZ</x:t>
  </x:si>
  <x:si>
    <x:t>- - - - Improving access to health services or health-related services in relation to vibration</x:t>
  </x:si>
  <x:si>
    <x:t>http://id.who.int/icd/entity/1831981337</x:t>
  </x:si>
  <x:si>
    <x:t>http://id.who.int/icd/release/11/beta/ichi/1831981337</x:t>
  </x:si>
  <x:si>
    <x:t>UBK.WC.ZZ</x:t>
  </x:si>
  <x:si>
    <x:t>- - - - Restrictions on the sale or distribution of products or services in relation to vibration</x:t>
  </x:si>
  <x:si>
    <x:t>http://id.who.int/icd/entity/854818876</x:t>
  </x:si>
  <x:si>
    <x:t>http://id.who.int/icd/release/11/beta/ichi/854818876</x:t>
  </x:si>
  <x:si>
    <x:t>UBK.WD.ZZ</x:t>
  </x:si>
  <x:si>
    <x:t>- - - - Restrictions on advertising, promotion or sponsorship of products or services in relation to vibration</x:t>
  </x:si>
  <x:si>
    <x:t>http://id.who.int/icd/entity/1653102987</x:t>
  </x:si>
  <x:si>
    <x:t>http://id.who.int/icd/release/11/beta/ichi/1653102987</x:t>
  </x:si>
  <x:si>
    <x:t>UBK.WE.ZZ</x:t>
  </x:si>
  <x:si>
    <x:t>- - - - Restrictions on production or importation of products or services in relation to vibration</x:t>
  </x:si>
  <x:si>
    <x:t>http://id.who.int/icd/entity/2020136737</x:t>
  </x:si>
  <x:si>
    <x:t>http://id.who.int/icd/release/11/beta/ichi/2020136737</x:t>
  </x:si>
  <x:si>
    <x:t>UBK.WG.QF</x:t>
  </x:si>
  <x:si>
    <x:t>- - - - Economic incentives in relation to vibration</x:t>
  </x:si>
  <x:si>
    <x:t>http://id.who.int/icd/entity/1402321841</x:t>
  </x:si>
  <x:si>
    <x:t>http://id.who.int/icd/release/11/beta/ichi/1402321841</x:t>
  </x:si>
  <x:si>
    <x:t>UBK.WG.ZZ</x:t>
  </x:si>
  <x:si>
    <x:t>- - - - Applying incentives in relation to vibration</x:t>
  </x:si>
  <x:si>
    <x:t>http://id.who.int/icd/entity/1121360839</x:t>
  </x:si>
  <x:si>
    <x:t>http://id.who.int/icd/release/11/beta/ichi/1121360839</x:t>
  </x:si>
  <x:si>
    <x:t>UBK.WI.QD</x:t>
  </x:si>
  <x:si>
    <x:t>- - - - Restrictions through enactment of laws or standards in relation to vibration</x:t>
  </x:si>
  <x:si>
    <x:t>http://id.who.int/icd/entity/2008700349</x:t>
  </x:si>
  <x:si>
    <x:t>http://id.who.int/icd/release/11/beta/ichi/2008700349</x:t>
  </x:si>
  <x:si>
    <x:t>UBK.WI.QE</x:t>
  </x:si>
  <x:si>
    <x:t>- - - - Restrictions through enforcement of laws or standards in relation to vibration</x:t>
  </x:si>
  <x:si>
    <x:t>http://id.who.int/icd/entity/666995726</x:t>
  </x:si>
  <x:si>
    <x:t>http://id.who.int/icd/release/11/beta/ichi/666995726</x:t>
  </x:si>
  <x:si>
    <x:t>UBK.WI.ZZ</x:t>
  </x:si>
  <x:si>
    <x:t>- - - - Restrictions through laws or standards in relation to vibration</x:t>
  </x:si>
  <x:si>
    <x:t>http://id.who.int/icd/entity/2013519151</x:t>
  </x:si>
  <x:si>
    <x:t>http://id.who.int/icd/release/11/beta/ichi/2013519151</x:t>
  </x:si>
  <x:si>
    <x:t>UBK.WJ.ZZ</x:t>
  </x:si>
  <x:si>
    <x:t>- - - - Policy change in relation to vibration</x:t>
  </x:si>
  <x:si>
    <x:t>http://id.who.int/icd/entity/162540266</x:t>
  </x:si>
  <x:si>
    <x:t>http://id.who.int/icd/release/11/beta/ichi/162540266</x:t>
  </x:si>
  <x:si>
    <x:t>UBL.AA.ZZ</x:t>
  </x:si>
  <x:si>
    <x:t>- - - - Assessment of aspects of indoor air quality</x:t>
  </x:si>
  <x:si>
    <x:t>http://id.who.int/icd/entity/1997455234</x:t>
  </x:si>
  <x:si>
    <x:t>http://id.who.int/icd/release/11/beta/ichi/1997455234</x:t>
  </x:si>
  <x:si>
    <x:t>UBL.AM.ZZ</x:t>
  </x:si>
  <x:si>
    <x:t>- - - - Acquisition of information in relation to indoor air quality</x:t>
  </x:si>
  <x:si>
    <x:t>http://id.who.int/icd/entity/1200625267</x:t>
  </x:si>
  <x:si>
    <x:t>http://id.who.int/icd/release/11/beta/ichi/1200625267</x:t>
  </x:si>
  <x:si>
    <x:t>UBL.PH.ZZ</x:t>
  </x:si>
  <x:si>
    <x:t>- - - - Training about indoor air quality</x:t>
  </x:si>
  <x:si>
    <x:t>http://id.who.int/icd/entity/1133301121</x:t>
  </x:si>
  <x:si>
    <x:t>http://id.who.int/icd/release/11/beta/ichi/1133301121</x:t>
  </x:si>
  <x:si>
    <x:t>UBL.PM.ZZ</x:t>
  </x:si>
  <x:si>
    <x:t>- - - - Education about indoor air quality</x:t>
  </x:si>
  <x:si>
    <x:t>http://id.who.int/icd/entity/1941906955</x:t>
  </x:si>
  <x:si>
    <x:t>http://id.who.int/icd/release/11/beta/ichi/1941906955</x:t>
  </x:si>
  <x:si>
    <x:t>UBL.PN.ZZ</x:t>
  </x:si>
  <x:si>
    <x:t>- - - - Advising about indoor air quality</x:t>
  </x:si>
  <x:si>
    <x:t>http://id.who.int/icd/entity/408045392</x:t>
  </x:si>
  <x:si>
    <x:t>http://id.who.int/icd/release/11/beta/ichi/408045392</x:t>
  </x:si>
  <x:si>
    <x:t>UBL.RB.ZZ</x:t>
  </x:si>
  <x:si>
    <x:t>- - - - Practical support about indoor air quality</x:t>
  </x:si>
  <x:si>
    <x:t>http://id.who.int/icd/entity/2025535655</x:t>
  </x:si>
  <x:si>
    <x:t>http://id.who.int/icd/release/11/beta/ichi/2025535655</x:t>
  </x:si>
  <x:si>
    <x:t>UBL.RD.ZZ</x:t>
  </x:si>
  <x:si>
    <x:t>- - - - Providing goods to improve indoor air quality</x:t>
  </x:si>
  <x:si>
    <x:t>http://id.who.int/icd/entity/867118016</x:t>
  </x:si>
  <x:si>
    <x:t>http://id.who.int/icd/release/11/beta/ichi/867118016</x:t>
  </x:si>
  <x:si>
    <x:t>UBL.RG.ZZ</x:t>
  </x:si>
  <x:si>
    <x:t>- - - - Providing services in relation to indoor air quality</x:t>
  </x:si>
  <x:si>
    <x:t>http://id.who.int/icd/entity/1552082475</x:t>
  </x:si>
  <x:si>
    <x:t>http://id.who.int/icd/release/11/beta/ichi/1552082475</x:t>
  </x:si>
  <x:si>
    <x:t>UBL.TA.ZZ</x:t>
  </x:si>
  <x:si>
    <x:t>- - - - Advocacy in relation to indoor air quality</x:t>
  </x:si>
  <x:si>
    <x:t>http://id.who.int/icd/entity/54572808</x:t>
  </x:si>
  <x:si>
    <x:t>http://id.who.int/icd/release/11/beta/ichi/54572808</x:t>
  </x:si>
  <x:si>
    <x:t>UBL.TB.ZZ</x:t>
  </x:si>
  <x:si>
    <x:t>- - - - Planning in relation to indoor air quality</x:t>
  </x:si>
  <x:si>
    <x:t>http://id.who.int/icd/entity/209978644</x:t>
  </x:si>
  <x:si>
    <x:t>http://id.who.int/icd/release/11/beta/ichi/209978644</x:t>
  </x:si>
  <x:si>
    <x:t>UBL.TD.ZZ</x:t>
  </x:si>
  <x:si>
    <x:t>- - - - Collaborating or building partnerships in relation to indoor air quality</x:t>
  </x:si>
  <x:si>
    <x:t>http://id.who.int/icd/entity/1396403897</x:t>
  </x:si>
  <x:si>
    <x:t>http://id.who.int/icd/release/11/beta/ichi/1396403897</x:t>
  </x:si>
  <x:si>
    <x:t>UBL.TK.ZZ</x:t>
  </x:si>
  <x:si>
    <x:t>- - - - Public facilities or infrastructure development in relation to indoor air quality</x:t>
  </x:si>
  <x:si>
    <x:t>http://id.who.int/icd/entity/2044164599</x:t>
  </x:si>
  <x:si>
    <x:t>http://id.who.int/icd/release/11/beta/ichi/2044164599</x:t>
  </x:si>
  <x:si>
    <x:t>UBL.TM.ZZ</x:t>
  </x:si>
  <x:si>
    <x:t>- - - - Environment modification to influence indoor air quality</x:t>
  </x:si>
  <x:si>
    <x:t>http://id.who.int/icd/entity/116153064</x:t>
  </x:si>
  <x:si>
    <x:t>http://id.who.int/icd/release/11/beta/ichi/116153064</x:t>
  </x:si>
  <x:si>
    <x:t>UBL.VA.ZZ</x:t>
  </x:si>
  <x:si>
    <x:t>- - - - Capacity building targeting indoor air quality</x:t>
  </x:si>
  <x:si>
    <x:t>http://id.who.int/icd/entity/1754552705</x:t>
  </x:si>
  <x:si>
    <x:t>http://id.who.int/icd/release/11/beta/ichi/1754552705</x:t>
  </x:si>
  <x:si>
    <x:t>UBL.VB.ZZ</x:t>
  </x:si>
  <x:si>
    <x:t>- - - - Awareness raising concerning indoor air quality</x:t>
  </x:si>
  <x:si>
    <x:t>http://id.who.int/icd/entity/1935335067</x:t>
  </x:si>
  <x:si>
    <x:t>http://id.who.int/icd/release/11/beta/ichi/1935335067</x:t>
  </x:si>
  <x:si>
    <x:t>UBL.VC.ZZ</x:t>
  </x:si>
  <x:si>
    <x:t>- - - - Public health surveillance concerning indoor air quality</x:t>
  </x:si>
  <x:si>
    <x:t>http://id.who.int/icd/entity/646834892</x:t>
  </x:si>
  <x:si>
    <x:t>http://id.who.int/icd/release/11/beta/ichi/646834892</x:t>
  </x:si>
  <x:si>
    <x:t>UBL.VF.ZZ</x:t>
  </x:si>
  <x:si>
    <x:t>- - - - Alert concerning indoor air quality</x:t>
  </x:si>
  <x:si>
    <x:t>http://id.who.int/icd/entity/1763565633</x:t>
  </x:si>
  <x:si>
    <x:t>http://id.who.int/icd/release/11/beta/ichi/1763565633</x:t>
  </x:si>
  <x:si>
    <x:t>UBL.VL.ZZ</x:t>
  </x:si>
  <x:si>
    <x:t>- - - - Environmental remediation or decontamination of indoor air</x:t>
  </x:si>
  <x:si>
    <x:t>http://id.who.int/icd/entity/846909519</x:t>
  </x:si>
  <x:si>
    <x:t>http://id.who.int/icd/release/11/beta/ichi/846909519</x:t>
  </x:si>
  <x:si>
    <x:t>UBL.VN.ZZ</x:t>
  </x:si>
  <x:si>
    <x:t>- - - - Establishing health services or health-related services in relation to indoor air quality</x:t>
  </x:si>
  <x:si>
    <x:t>http://id.who.int/icd/entity/1644235262</x:t>
  </x:si>
  <x:si>
    <x:t>http://id.who.int/icd/release/11/beta/ichi/1644235262</x:t>
  </x:si>
  <x:si>
    <x:t>UBL.VO.ZZ</x:t>
  </x:si>
  <x:si>
    <x:t>- - - - Marshalling health services or health-related services in relation to indoor air quality</x:t>
  </x:si>
  <x:si>
    <x:t>http://id.who.int/icd/entity/1528897057</x:t>
  </x:si>
  <x:si>
    <x:t>http://id.who.int/icd/release/11/beta/ichi/1528897057</x:t>
  </x:si>
  <x:si>
    <x:t>UBL.VP.ZZ</x:t>
  </x:si>
  <x:si>
    <x:t>- - - - Improving access to health services or health-related services in relation to indoor air quality</x:t>
  </x:si>
  <x:si>
    <x:t>http://id.who.int/icd/entity/93497306</x:t>
  </x:si>
  <x:si>
    <x:t>http://id.who.int/icd/release/11/beta/ichi/93497306</x:t>
  </x:si>
  <x:si>
    <x:t>UBL.VR.ZZ</x:t>
  </x:si>
  <x:si>
    <x:t>- - - - Reducing emissions to improve indoor air quality</x:t>
  </x:si>
  <x:si>
    <x:t>http://id.who.int/icd/entity/1893495473</x:t>
  </x:si>
  <x:si>
    <x:t>http://id.who.int/icd/release/11/beta/ichi/1893495473</x:t>
  </x:si>
  <x:si>
    <x:t>UBL.WC.ZZ</x:t>
  </x:si>
  <x:si>
    <x:t>- - - - Restrictions on the sale or distribution of products or services in relation to indoor air quality</x:t>
  </x:si>
  <x:si>
    <x:t>http://id.who.int/icd/entity/1273726871</x:t>
  </x:si>
  <x:si>
    <x:t>http://id.who.int/icd/release/11/beta/ichi/1273726871</x:t>
  </x:si>
  <x:si>
    <x:t>UBL.WD.ZZ</x:t>
  </x:si>
  <x:si>
    <x:t>- - - - Restrictions on advertising, promotion or sponsorship of products or services in relation to indoor air quality</x:t>
  </x:si>
  <x:si>
    <x:t>http://id.who.int/icd/entity/338286262</x:t>
  </x:si>
  <x:si>
    <x:t>http://id.who.int/icd/release/11/beta/ichi/338286262</x:t>
  </x:si>
  <x:si>
    <x:t>UBL.WE.ZZ</x:t>
  </x:si>
  <x:si>
    <x:t>- - - - Restrictions on production or importation of products or services in relation to indoor air quality</x:t>
  </x:si>
  <x:si>
    <x:t>http://id.who.int/icd/entity/1881416619</x:t>
  </x:si>
  <x:si>
    <x:t>http://id.who.int/icd/release/11/beta/ichi/1881416619</x:t>
  </x:si>
  <x:si>
    <x:t>UBL.WF.ZZ</x:t>
  </x:si>
  <x:si>
    <x:t>- - - - Restrictions on the consumption or use of products or services concerning indoor air quality</x:t>
  </x:si>
  <x:si>
    <x:t>http://id.who.int/icd/entity/1645870829</x:t>
  </x:si>
  <x:si>
    <x:t>http://id.who.int/icd/release/11/beta/ichi/1645870829</x:t>
  </x:si>
  <x:si>
    <x:t>UBL.WG.QF</x:t>
  </x:si>
  <x:si>
    <x:t>- - - - Economic incentives concerning indoor air quality</x:t>
  </x:si>
  <x:si>
    <x:t>http://id.who.int/icd/entity/1945988843</x:t>
  </x:si>
  <x:si>
    <x:t>http://id.who.int/icd/release/11/beta/ichi/1945988843</x:t>
  </x:si>
  <x:si>
    <x:t>UBL.WG.ZZ</x:t>
  </x:si>
  <x:si>
    <x:t>- - - - Applying incentives concerning indoor air quality</x:t>
  </x:si>
  <x:si>
    <x:t>http://id.who.int/icd/entity/214322678</x:t>
  </x:si>
  <x:si>
    <x:t>http://id.who.int/icd/release/11/beta/ichi/214322678</x:t>
  </x:si>
  <x:si>
    <x:t>UBL.WI.QD</x:t>
  </x:si>
  <x:si>
    <x:t>- - - - Restrictions through enactment of laws or standards to improve indoor air quality</x:t>
  </x:si>
  <x:si>
    <x:t>http://id.who.int/icd/entity/1575508679</x:t>
  </x:si>
  <x:si>
    <x:t>http://id.who.int/icd/release/11/beta/ichi/1575508679</x:t>
  </x:si>
  <x:si>
    <x:t>UBL.WI.QE</x:t>
  </x:si>
  <x:si>
    <x:t>- - - - Restrictions through enforcement of laws or standards to improve indoor air quality</x:t>
  </x:si>
  <x:si>
    <x:t>http://id.who.int/icd/entity/1146228485</x:t>
  </x:si>
  <x:si>
    <x:t>http://id.who.int/icd/release/11/beta/ichi/1146228485</x:t>
  </x:si>
  <x:si>
    <x:t>UBL.WI.ZZ</x:t>
  </x:si>
  <x:si>
    <x:t>- - - - Restrictions through laws or standards in relation to indoor air quality</x:t>
  </x:si>
  <x:si>
    <x:t>http://id.who.int/icd/entity/325659538</x:t>
  </x:si>
  <x:si>
    <x:t>http://id.who.int/icd/release/11/beta/ichi/325659538</x:t>
  </x:si>
  <x:si>
    <x:t>UBL.WJ.ZZ</x:t>
  </x:si>
  <x:si>
    <x:t>- - - - Policy change concerning indoor air quality</x:t>
  </x:si>
  <x:si>
    <x:t>http://id.who.int/icd/entity/316707412</x:t>
  </x:si>
  <x:si>
    <x:t>http://id.who.int/icd/release/11/beta/ichi/316707412</x:t>
  </x:si>
  <x:si>
    <x:t>UBM.AA.ZZ</x:t>
  </x:si>
  <x:si>
    <x:t>- - - - Assessment of outdoor air quality</x:t>
  </x:si>
  <x:si>
    <x:t>http://id.who.int/icd/entity/662005297</x:t>
  </x:si>
  <x:si>
    <x:t>http://id.who.int/icd/release/11/beta/ichi/662005297</x:t>
  </x:si>
  <x:si>
    <x:t>UBM.AM.ZZ</x:t>
  </x:si>
  <x:si>
    <x:t>- - - - Acquisition of information in relation to outdoor air quality</x:t>
  </x:si>
  <x:si>
    <x:t>http://id.who.int/icd/entity/1099159659</x:t>
  </x:si>
  <x:si>
    <x:t>http://id.who.int/icd/release/11/beta/ichi/1099159659</x:t>
  </x:si>
  <x:si>
    <x:t>UBM.PH.ZZ</x:t>
  </x:si>
  <x:si>
    <x:t>- - - - Training about outdoor air quality</x:t>
  </x:si>
  <x:si>
    <x:t>http://id.who.int/icd/entity/492378818</x:t>
  </x:si>
  <x:si>
    <x:t>http://id.who.int/icd/release/11/beta/ichi/492378818</x:t>
  </x:si>
  <x:si>
    <x:t>UBM.PM.ZZ</x:t>
  </x:si>
  <x:si>
    <x:t>- - - - Education about outdoor air quality</x:t>
  </x:si>
  <x:si>
    <x:t>http://id.who.int/icd/entity/1441365609</x:t>
  </x:si>
  <x:si>
    <x:t>http://id.who.int/icd/release/11/beta/ichi/1441365609</x:t>
  </x:si>
  <x:si>
    <x:t>UBM.PN.ZZ</x:t>
  </x:si>
  <x:si>
    <x:t>- - - - Advising about outdoor air quality</x:t>
  </x:si>
  <x:si>
    <x:t>http://id.who.int/icd/entity/1786688763</x:t>
  </x:si>
  <x:si>
    <x:t>http://id.who.int/icd/release/11/beta/ichi/1786688763</x:t>
  </x:si>
  <x:si>
    <x:t>UBM.RB.ZZ</x:t>
  </x:si>
  <x:si>
    <x:t>- - - - Practical support about outdoor air quality</x:t>
  </x:si>
  <x:si>
    <x:t>http://id.who.int/icd/entity/1843114317</x:t>
  </x:si>
  <x:si>
    <x:t>http://id.who.int/icd/release/11/beta/ichi/1843114317</x:t>
  </x:si>
  <x:si>
    <x:t>UBM.RD.ZZ</x:t>
  </x:si>
  <x:si>
    <x:t>- - - - Providing goods to reduce or protect against outdoor air pollution</x:t>
  </x:si>
  <x:si>
    <x:t>http://id.who.int/icd/entity/2067633293</x:t>
  </x:si>
  <x:si>
    <x:t>http://id.who.int/icd/release/11/beta/ichi/2067633293</x:t>
  </x:si>
  <x:si>
    <x:t>UBM.RG.ZZ</x:t>
  </x:si>
  <x:si>
    <x:t>- - - - Providing services in relation to outdoor air quality</x:t>
  </x:si>
  <x:si>
    <x:t>http://id.who.int/icd/entity/243994880</x:t>
  </x:si>
  <x:si>
    <x:t>http://id.who.int/icd/release/11/beta/ichi/243994880</x:t>
  </x:si>
  <x:si>
    <x:t>UBM.TA.ZZ</x:t>
  </x:si>
  <x:si>
    <x:t>- - - - Advocacy in relation to outdoor air quality</x:t>
  </x:si>
  <x:si>
    <x:t>http://id.who.int/icd/entity/1592838479</x:t>
  </x:si>
  <x:si>
    <x:t>http://id.who.int/icd/release/11/beta/ichi/1592838479</x:t>
  </x:si>
  <x:si>
    <x:t>UBM.TB.ZZ</x:t>
  </x:si>
  <x:si>
    <x:t>- - - - Planning in relation to outdoor air quality</x:t>
  </x:si>
  <x:si>
    <x:t>http://id.who.int/icd/entity/411618736</x:t>
  </x:si>
  <x:si>
    <x:t>http://id.who.int/icd/release/11/beta/ichi/411618736</x:t>
  </x:si>
  <x:si>
    <x:t>UBM.TD.ZZ</x:t>
  </x:si>
  <x:si>
    <x:t>- - - - Collaborating or building partnerships in relation to outdoor air quality</x:t>
  </x:si>
  <x:si>
    <x:t>http://id.who.int/icd/entity/20093038</x:t>
  </x:si>
  <x:si>
    <x:t>http://id.who.int/icd/release/11/beta/ichi/20093038</x:t>
  </x:si>
  <x:si>
    <x:t>UBM.TK.ZZ</x:t>
  </x:si>
  <x:si>
    <x:t>- - - - Public facilities or infrastructure development in relation to outdoor air quality</x:t>
  </x:si>
  <x:si>
    <x:t>http://id.who.int/icd/entity/1739845297</x:t>
  </x:si>
  <x:si>
    <x:t>http://id.who.int/icd/release/11/beta/ichi/1739845297</x:t>
  </x:si>
  <x:si>
    <x:t>UBM.TM.ZZ</x:t>
  </x:si>
  <x:si>
    <x:t>- - - - Environment modification to influence outdoor air quality</x:t>
  </x:si>
  <x:si>
    <x:t>http://id.who.int/icd/entity/164359640</x:t>
  </x:si>
  <x:si>
    <x:t>http://id.who.int/icd/release/11/beta/ichi/164359640</x:t>
  </x:si>
  <x:si>
    <x:t>UBM.VA.ZZ</x:t>
  </x:si>
  <x:si>
    <x:t>- - - - Capacity building targeting outdoor air quality</x:t>
  </x:si>
  <x:si>
    <x:t>http://id.who.int/icd/entity/302344900</x:t>
  </x:si>
  <x:si>
    <x:t>http://id.who.int/icd/release/11/beta/ichi/302344900</x:t>
  </x:si>
  <x:si>
    <x:t>UBM.VB.ZZ</x:t>
  </x:si>
  <x:si>
    <x:t>- - - - Awareness raising concerning outdoor air quality</x:t>
  </x:si>
  <x:si>
    <x:t>http://id.who.int/icd/entity/138564634</x:t>
  </x:si>
  <x:si>
    <x:t>http://id.who.int/icd/release/11/beta/ichi/138564634</x:t>
  </x:si>
  <x:si>
    <x:t>UBM.VC.ZZ</x:t>
  </x:si>
  <x:si>
    <x:t>- - - - Public health surveillance concerning outdoor air quality</x:t>
  </x:si>
  <x:si>
    <x:t>http://id.who.int/icd/entity/718271742</x:t>
  </x:si>
  <x:si>
    <x:t>http://id.who.int/icd/release/11/beta/ichi/718271742</x:t>
  </x:si>
  <x:si>
    <x:t>UBM.VF.ZZ</x:t>
  </x:si>
  <x:si>
    <x:t>- - - - Alert concerning outdoor air quality</x:t>
  </x:si>
  <x:si>
    <x:t>http://id.who.int/icd/entity/2125335299</x:t>
  </x:si>
  <x:si>
    <x:t>http://id.who.int/icd/release/11/beta/ichi/2125335299</x:t>
  </x:si>
  <x:si>
    <x:t>UBM.VL.ZZ</x:t>
  </x:si>
  <x:si>
    <x:t>- - - - Environmental remediation or decontamination of outdoor air</x:t>
  </x:si>
  <x:si>
    <x:t>http://id.who.int/icd/entity/560749090</x:t>
  </x:si>
  <x:si>
    <x:t>http://id.who.int/icd/release/11/beta/ichi/560749090</x:t>
  </x:si>
  <x:si>
    <x:t>UBM.VN.ZZ</x:t>
  </x:si>
  <x:si>
    <x:t>- - - - Establishing health services or health-related services in relation to outdoor air quality</x:t>
  </x:si>
  <x:si>
    <x:t>http://id.who.int/icd/entity/1897366417</x:t>
  </x:si>
  <x:si>
    <x:t>http://id.who.int/icd/release/11/beta/ichi/1897366417</x:t>
  </x:si>
  <x:si>
    <x:t>UBM.VO.ZZ</x:t>
  </x:si>
  <x:si>
    <x:t>- - - - Marshalling health services or health-related services in relation to outdoor air quality</x:t>
  </x:si>
  <x:si>
    <x:t>http://id.who.int/icd/entity/990855844</x:t>
  </x:si>
  <x:si>
    <x:t>http://id.who.int/icd/release/11/beta/ichi/990855844</x:t>
  </x:si>
  <x:si>
    <x:t>UBM.VP.ZZ</x:t>
  </x:si>
  <x:si>
    <x:t>- - - - Improving access to health services or health-related services in relation to outdoor air quality</x:t>
  </x:si>
  <x:si>
    <x:t>http://id.who.int/icd/entity/1847878044</x:t>
  </x:si>
  <x:si>
    <x:t>http://id.who.int/icd/release/11/beta/ichi/1847878044</x:t>
  </x:si>
  <x:si>
    <x:t>UBM.VR.QE</x:t>
  </x:si>
  <x:si>
    <x:t>- - - - Reducing emissions through enforcement of laws or standards to improve outdoor air quality</x:t>
  </x:si>
  <x:si>
    <x:t>http://id.who.int/icd/entity/256623556</x:t>
  </x:si>
  <x:si>
    <x:t>http://id.who.int/icd/release/11/beta/ichi/256623556</x:t>
  </x:si>
  <x:si>
    <x:t>UBM.VR.ZZ</x:t>
  </x:si>
  <x:si>
    <x:t>- - - - Reducing emissions to improve outdoor air quality</x:t>
  </x:si>
  <x:si>
    <x:t>http://id.who.int/icd/entity/284306996</x:t>
  </x:si>
  <x:si>
    <x:t>http://id.who.int/icd/release/11/beta/ichi/284306996</x:t>
  </x:si>
  <x:si>
    <x:t>UBM.WC.ZZ</x:t>
  </x:si>
  <x:si>
    <x:t>- - - - Restrictions on the sale or distribution of products or services in relation to outdoor air quality</x:t>
  </x:si>
  <x:si>
    <x:t>http://id.who.int/icd/entity/28380740</x:t>
  </x:si>
  <x:si>
    <x:t>http://id.who.int/icd/release/11/beta/ichi/28380740</x:t>
  </x:si>
  <x:si>
    <x:t>UBM.WD.ZZ</x:t>
  </x:si>
  <x:si>
    <x:t>- - - - Restrictions on advertising, promotion or sponsorship of products or services in relation to outdoor air quality</x:t>
  </x:si>
  <x:si>
    <x:t>http://id.who.int/icd/entity/1946651191</x:t>
  </x:si>
  <x:si>
    <x:t>http://id.who.int/icd/release/11/beta/ichi/1946651191</x:t>
  </x:si>
  <x:si>
    <x:t>UBM.WE.ZZ</x:t>
  </x:si>
  <x:si>
    <x:t>- - - - Restrictions on production or importation of products or services in relation to outdoor air quality</x:t>
  </x:si>
  <x:si>
    <x:t>http://id.who.int/icd/entity/312662706</x:t>
  </x:si>
  <x:si>
    <x:t>http://id.who.int/icd/release/11/beta/ichi/312662706</x:t>
  </x:si>
  <x:si>
    <x:t>UBM.WG.QF</x:t>
  </x:si>
  <x:si>
    <x:t>- - - - Economic incentives concerning outdoor air quality</x:t>
  </x:si>
  <x:si>
    <x:t>http://id.who.int/icd/entity/1838807469</x:t>
  </x:si>
  <x:si>
    <x:t>http://id.who.int/icd/release/11/beta/ichi/1838807469</x:t>
  </x:si>
  <x:si>
    <x:t>UBM.WG.ZZ</x:t>
  </x:si>
  <x:si>
    <x:t>- - - - Applying incentives concerning outdoor air quality</x:t>
  </x:si>
  <x:si>
    <x:t>http://id.who.int/icd/entity/678927450</x:t>
  </x:si>
  <x:si>
    <x:t>http://id.who.int/icd/release/11/beta/ichi/678927450</x:t>
  </x:si>
  <x:si>
    <x:t>UBM.WI.QD</x:t>
  </x:si>
  <x:si>
    <x:t>- - - - Restrictions through enactment of laws or standards to improve outdoor air quality</x:t>
  </x:si>
  <x:si>
    <x:t>http://id.who.int/icd/entity/1492465623</x:t>
  </x:si>
  <x:si>
    <x:t>http://id.who.int/icd/release/11/beta/ichi/1492465623</x:t>
  </x:si>
  <x:si>
    <x:t>UBM.WI.QE</x:t>
  </x:si>
  <x:si>
    <x:t>- - - - Restrictions through enforcement of laws or standards to improve outdoor air quality</x:t>
  </x:si>
  <x:si>
    <x:t>http://id.who.int/icd/entity/612127624</x:t>
  </x:si>
  <x:si>
    <x:t>http://id.who.int/icd/release/11/beta/ichi/612127624</x:t>
  </x:si>
  <x:si>
    <x:t>UBM.WI.ZZ</x:t>
  </x:si>
  <x:si>
    <x:t>- - - - Restrictions of laws or standards to improve outdoor air quality</x:t>
  </x:si>
  <x:si>
    <x:t>http://id.who.int/icd/entity/1464647493</x:t>
  </x:si>
  <x:si>
    <x:t>http://id.who.int/icd/release/11/beta/ichi/1464647493</x:t>
  </x:si>
  <x:si>
    <x:t>UBM.WJ.ZZ</x:t>
  </x:si>
  <x:si>
    <x:t>- - - - Policy change concerning outdoor air quality</x:t>
  </x:si>
  <x:si>
    <x:t>http://id.who.int/icd/entity/1820019299</x:t>
  </x:si>
  <x:si>
    <x:t>http://id.who.int/icd/release/11/beta/ichi/1820019299</x:t>
  </x:si>
  <x:si>
    <x:t>UBN.AA.ZZ</x:t>
  </x:si>
  <x:si>
    <x:t>- - - - Assessment of water quality</x:t>
  </x:si>
  <x:si>
    <x:t>http://id.who.int/icd/entity/2076050085</x:t>
  </x:si>
  <x:si>
    <x:t>http://id.who.int/icd/release/11/beta/ichi/2076050085</x:t>
  </x:si>
  <x:si>
    <x:t>UBN.PH.ZZ</x:t>
  </x:si>
  <x:si>
    <x:t>- - - - Training about water quality</x:t>
  </x:si>
  <x:si>
    <x:t>http://id.who.int/icd/entity/951911916</x:t>
  </x:si>
  <x:si>
    <x:t>http://id.who.int/icd/release/11/beta/ichi/951911916</x:t>
  </x:si>
  <x:si>
    <x:t>UBN.PM.ZZ</x:t>
  </x:si>
  <x:si>
    <x:t>- - - - Education about water quality</x:t>
  </x:si>
  <x:si>
    <x:t>http://id.who.int/icd/entity/1540968251</x:t>
  </x:si>
  <x:si>
    <x:t>http://id.who.int/icd/release/11/beta/ichi/1540968251</x:t>
  </x:si>
  <x:si>
    <x:t>UBN.PN.ZZ</x:t>
  </x:si>
  <x:si>
    <x:t>- - - - Advising about water quality</x:t>
  </x:si>
  <x:si>
    <x:t>http://id.who.int/icd/entity/1346596405</x:t>
  </x:si>
  <x:si>
    <x:t>http://id.who.int/icd/release/11/beta/ichi/1346596405</x:t>
  </x:si>
  <x:si>
    <x:t>UBN.RB.ZZ</x:t>
  </x:si>
  <x:si>
    <x:t>- - - - Practical support about water quality</x:t>
  </x:si>
  <x:si>
    <x:t>http://id.who.int/icd/entity/496345280</x:t>
  </x:si>
  <x:si>
    <x:t>http://id.who.int/icd/release/11/beta/ichi/496345280</x:t>
  </x:si>
  <x:si>
    <x:t>UBN.RD.ZZ</x:t>
  </x:si>
  <x:si>
    <x:t>- - - - Providing goods to improve water quality</x:t>
  </x:si>
  <x:si>
    <x:t>http://id.who.int/icd/entity/454281230</x:t>
  </x:si>
  <x:si>
    <x:t>http://id.who.int/icd/release/11/beta/ichi/454281230</x:t>
  </x:si>
  <x:si>
    <x:t>UBN.RG.ZZ</x:t>
  </x:si>
  <x:si>
    <x:t>- - - - Providing services in relation to water quality</x:t>
  </x:si>
  <x:si>
    <x:t>http://id.who.int/icd/entity/1154586925</x:t>
  </x:si>
  <x:si>
    <x:t>http://id.who.int/icd/release/11/beta/ichi/1154586925</x:t>
  </x:si>
  <x:si>
    <x:t>UBN.TA.ZZ</x:t>
  </x:si>
  <x:si>
    <x:t>- - - - Advocacy in relation to water quality</x:t>
  </x:si>
  <x:si>
    <x:t>http://id.who.int/icd/entity/346701980</x:t>
  </x:si>
  <x:si>
    <x:t>http://id.who.int/icd/release/11/beta/ichi/346701980</x:t>
  </x:si>
  <x:si>
    <x:t>UBN.TB.ZZ</x:t>
  </x:si>
  <x:si>
    <x:t>- - - - Planning in relation to water quality</x:t>
  </x:si>
  <x:si>
    <x:t>http://id.who.int/icd/entity/304883758</x:t>
  </x:si>
  <x:si>
    <x:t>http://id.who.int/icd/release/11/beta/ichi/304883758</x:t>
  </x:si>
  <x:si>
    <x:t>UBN.TD.ZZ</x:t>
  </x:si>
  <x:si>
    <x:t>- - - - Collaborating or building partnerships in relation to water quality</x:t>
  </x:si>
  <x:si>
    <x:t>http://id.who.int/icd/entity/2085890885</x:t>
  </x:si>
  <x:si>
    <x:t>http://id.who.int/icd/release/11/beta/ichi/2085890885</x:t>
  </x:si>
  <x:si>
    <x:t>UBN.TK.ZZ</x:t>
  </x:si>
  <x:si>
    <x:t>- - - - Public facilities or infrastructure development for improved water supply</x:t>
  </x:si>
  <x:si>
    <x:t>http://id.who.int/icd/entity/1738189919</x:t>
  </x:si>
  <x:si>
    <x:t>http://id.who.int/icd/release/11/beta/ichi/1738189919</x:t>
  </x:si>
  <x:si>
    <x:t>UBN.TM.ZZ</x:t>
  </x:si>
  <x:si>
    <x:t>- - - - Environment modification to influence water quality</x:t>
  </x:si>
  <x:si>
    <x:t>http://id.who.int/icd/entity/2111672965</x:t>
  </x:si>
  <x:si>
    <x:t>http://id.who.int/icd/release/11/beta/ichi/2111672965</x:t>
  </x:si>
  <x:si>
    <x:t>UBN.VA.ZZ</x:t>
  </x:si>
  <x:si>
    <x:t>- - - - Capacity building targeting water quality</x:t>
  </x:si>
  <x:si>
    <x:t>http://id.who.int/icd/entity/1993968681</x:t>
  </x:si>
  <x:si>
    <x:t>http://id.who.int/icd/release/11/beta/ichi/1993968681</x:t>
  </x:si>
  <x:si>
    <x:t>UBN.VB.ZZ</x:t>
  </x:si>
  <x:si>
    <x:t>- - - - Awareness raising concerning water quality</x:t>
  </x:si>
  <x:si>
    <x:t>http://id.who.int/icd/entity/1732058159</x:t>
  </x:si>
  <x:si>
    <x:t>http://id.who.int/icd/release/11/beta/ichi/1732058159</x:t>
  </x:si>
  <x:si>
    <x:t>UBN.VC.ZZ</x:t>
  </x:si>
  <x:si>
    <x:t>- - - - Public health surveillance concerning water quality</x:t>
  </x:si>
  <x:si>
    <x:t>http://id.who.int/icd/entity/1629275375</x:t>
  </x:si>
  <x:si>
    <x:t>http://id.who.int/icd/release/11/beta/ichi/1629275375</x:t>
  </x:si>
  <x:si>
    <x:t>UBN.VF.ZZ</x:t>
  </x:si>
  <x:si>
    <x:t>- - - - Alert concerning water quality</x:t>
  </x:si>
  <x:si>
    <x:t>http://id.who.int/icd/entity/403062576</x:t>
  </x:si>
  <x:si>
    <x:t>http://id.who.int/icd/release/11/beta/ichi/403062576</x:t>
  </x:si>
  <x:si>
    <x:t>UBN.VI.ZZ</x:t>
  </x:si>
  <x:si>
    <x:t>- - - - Water fortification</x:t>
  </x:si>
  <x:si>
    <x:t>http://id.who.int/icd/entity/1692354058</x:t>
  </x:si>
  <x:si>
    <x:t>http://id.who.int/icd/release/11/beta/ichi/1692354058</x:t>
  </x:si>
  <x:si>
    <x:t>UBN.VL.ZZ</x:t>
  </x:si>
  <x:si>
    <x:t>- - - - Environmental remediation or decontamination of water sources</x:t>
  </x:si>
  <x:si>
    <x:t>http://id.who.int/icd/entity/1256302719</x:t>
  </x:si>
  <x:si>
    <x:t>http://id.who.int/icd/release/11/beta/ichi/1256302719</x:t>
  </x:si>
  <x:si>
    <x:t>UBN.VN.ZZ</x:t>
  </x:si>
  <x:si>
    <x:t>- - - - Establishing health services or health-related services in relation to water quality</x:t>
  </x:si>
  <x:si>
    <x:t>http://id.who.int/icd/entity/1537378313</x:t>
  </x:si>
  <x:si>
    <x:t>http://id.who.int/icd/release/11/beta/ichi/1537378313</x:t>
  </x:si>
  <x:si>
    <x:t>UBN.VO.ZZ</x:t>
  </x:si>
  <x:si>
    <x:t>- - - - Marshalling health services or health-related services in relation to water quality</x:t>
  </x:si>
  <x:si>
    <x:t>http://id.who.int/icd/entity/1094846115</x:t>
  </x:si>
  <x:si>
    <x:t>http://id.who.int/icd/release/11/beta/ichi/1094846115</x:t>
  </x:si>
  <x:si>
    <x:t>UBN.VP.ZZ</x:t>
  </x:si>
  <x:si>
    <x:t>- - - - Improving access to health services or health-related services in relation to water quality</x:t>
  </x:si>
  <x:si>
    <x:t>http://id.who.int/icd/entity/289005332</x:t>
  </x:si>
  <x:si>
    <x:t>http://id.who.int/icd/release/11/beta/ichi/289005332</x:t>
  </x:si>
  <x:si>
    <x:t>UBN.WC.ZZ</x:t>
  </x:si>
  <x:si>
    <x:t>- - - - Restrictions on the sale or distribution of products or services in relation to water quality</x:t>
  </x:si>
  <x:si>
    <x:t>http://id.who.int/icd/entity/1325108785</x:t>
  </x:si>
  <x:si>
    <x:t>http://id.who.int/icd/release/11/beta/ichi/1325108785</x:t>
  </x:si>
  <x:si>
    <x:t>UBN.WD.ZZ</x:t>
  </x:si>
  <x:si>
    <x:t>- - - - Restrictions on advertising, promotion or sponsorship of products or services in relation to water quality</x:t>
  </x:si>
  <x:si>
    <x:t>http://id.who.int/icd/entity/1694950049</x:t>
  </x:si>
  <x:si>
    <x:t>http://id.who.int/icd/release/11/beta/ichi/1694950049</x:t>
  </x:si>
  <x:si>
    <x:t>UBN.WE.ZZ</x:t>
  </x:si>
  <x:si>
    <x:t>- - - - Restrictions on production or importation of products or services in relation to water quality</x:t>
  </x:si>
  <x:si>
    <x:t>http://id.who.int/icd/entity/178734435</x:t>
  </x:si>
  <x:si>
    <x:t>http://id.who.int/icd/release/11/beta/ichi/178734435</x:t>
  </x:si>
  <x:si>
    <x:t>UBN.WG.QF</x:t>
  </x:si>
  <x:si>
    <x:t>- - - - Economic incentives concerning water quality</x:t>
  </x:si>
  <x:si>
    <x:t>http://id.who.int/icd/entity/991762217</x:t>
  </x:si>
  <x:si>
    <x:t>http://id.who.int/icd/release/11/beta/ichi/991762217</x:t>
  </x:si>
  <x:si>
    <x:t>UBN.WG.ZZ</x:t>
  </x:si>
  <x:si>
    <x:t>- - - - Applying incentives concerning water quality</x:t>
  </x:si>
  <x:si>
    <x:t>http://id.who.int/icd/entity/187628707</x:t>
  </x:si>
  <x:si>
    <x:t>http://id.who.int/icd/release/11/beta/ichi/187628707</x:t>
  </x:si>
  <x:si>
    <x:t>UBN.WI.QD</x:t>
  </x:si>
  <x:si>
    <x:t>- - - - Restrictions through enactment of laws or standards to improve water quality</x:t>
  </x:si>
  <x:si>
    <x:t>http://id.who.int/icd/entity/2810383</x:t>
  </x:si>
  <x:si>
    <x:t>http://id.who.int/icd/release/11/beta/ichi/2810383</x:t>
  </x:si>
  <x:si>
    <x:t>UBN.WI.QE</x:t>
  </x:si>
  <x:si>
    <x:t>- - - - Restrictions through enforcement of laws or standards to improve water quality</x:t>
  </x:si>
  <x:si>
    <x:t>http://id.who.int/icd/entity/170602316</x:t>
  </x:si>
  <x:si>
    <x:t>http://id.who.int/icd/release/11/beta/ichi/170602316</x:t>
  </x:si>
  <x:si>
    <x:t>UBN.WI.ZZ</x:t>
  </x:si>
  <x:si>
    <x:t>- - - - Restrictions of laws or standards to improve water quality</x:t>
  </x:si>
  <x:si>
    <x:t>http://id.who.int/icd/entity/1947590588</x:t>
  </x:si>
  <x:si>
    <x:t>http://id.who.int/icd/release/11/beta/ichi/1947590588</x:t>
  </x:si>
  <x:si>
    <x:t>UBN.WJ.ZZ</x:t>
  </x:si>
  <x:si>
    <x:t>- - - - Policy change concerning water quality</x:t>
  </x:si>
  <x:si>
    <x:t>http://id.who.int/icd/entity/2122154048</x:t>
  </x:si>
  <x:si>
    <x:t>http://id.who.int/icd/release/11/beta/ichi/2122154048</x:t>
  </x:si>
  <x:si>
    <x:t>UBO.AA.ZZ</x:t>
  </x:si>
  <x:si>
    <x:t>- - - - Assessment of soil quality</x:t>
  </x:si>
  <x:si>
    <x:t>http://id.who.int/icd/entity/1331066222</x:t>
  </x:si>
  <x:si>
    <x:t>http://id.who.int/icd/release/11/beta/ichi/1331066222</x:t>
  </x:si>
  <x:si>
    <x:t>UBO.PH.ZZ</x:t>
  </x:si>
  <x:si>
    <x:t>- - - - Training about soil quality</x:t>
  </x:si>
  <x:si>
    <x:t>http://id.who.int/icd/entity/268796713</x:t>
  </x:si>
  <x:si>
    <x:t>http://id.who.int/icd/release/11/beta/ichi/268796713</x:t>
  </x:si>
  <x:si>
    <x:t>UBO.PM.ZZ</x:t>
  </x:si>
  <x:si>
    <x:t>- - - - Education about soil quality</x:t>
  </x:si>
  <x:si>
    <x:t>http://id.who.int/icd/entity/1688934910</x:t>
  </x:si>
  <x:si>
    <x:t>http://id.who.int/icd/release/11/beta/ichi/1688934910</x:t>
  </x:si>
  <x:si>
    <x:t>UBO.PN.ZZ</x:t>
  </x:si>
  <x:si>
    <x:t>- - - - Advising about soil quality</x:t>
  </x:si>
  <x:si>
    <x:t>http://id.who.int/icd/entity/1978153354</x:t>
  </x:si>
  <x:si>
    <x:t>http://id.who.int/icd/release/11/beta/ichi/1978153354</x:t>
  </x:si>
  <x:si>
    <x:t>UBO.RB.ZZ</x:t>
  </x:si>
  <x:si>
    <x:t>- - - - Practical support about soil quality</x:t>
  </x:si>
  <x:si>
    <x:t>http://id.who.int/icd/entity/6209017</x:t>
  </x:si>
  <x:si>
    <x:t>http://id.who.int/icd/release/11/beta/ichi/6209017</x:t>
  </x:si>
  <x:si>
    <x:t>UBO.RD.ZZ</x:t>
  </x:si>
  <x:si>
    <x:t>- - - - Providing goods in relation to soil quality</x:t>
  </x:si>
  <x:si>
    <x:t>http://id.who.int/icd/entity/1344627786</x:t>
  </x:si>
  <x:si>
    <x:t>http://id.who.int/icd/release/11/beta/ichi/1344627786</x:t>
  </x:si>
  <x:si>
    <x:t>UBO.RG.ZZ</x:t>
  </x:si>
  <x:si>
    <x:t>- - - - Providing services in relation to soil quality</x:t>
  </x:si>
  <x:si>
    <x:t>http://id.who.int/icd/entity/266810731</x:t>
  </x:si>
  <x:si>
    <x:t>http://id.who.int/icd/release/11/beta/ichi/266810731</x:t>
  </x:si>
  <x:si>
    <x:t>UBO.TA.ZZ</x:t>
  </x:si>
  <x:si>
    <x:t>- - - - Advocacy in relation to soil quality</x:t>
  </x:si>
  <x:si>
    <x:t>http://id.who.int/icd/entity/605706747</x:t>
  </x:si>
  <x:si>
    <x:t>http://id.who.int/icd/release/11/beta/ichi/605706747</x:t>
  </x:si>
  <x:si>
    <x:t>UBO.TB.ZZ</x:t>
  </x:si>
  <x:si>
    <x:t>- - - - Planning in relation to soil quality</x:t>
  </x:si>
  <x:si>
    <x:t>http://id.who.int/icd/entity/1887151622</x:t>
  </x:si>
  <x:si>
    <x:t>http://id.who.int/icd/release/11/beta/ichi/1887151622</x:t>
  </x:si>
  <x:si>
    <x:t>UBO.TD.ZZ</x:t>
  </x:si>
  <x:si>
    <x:t>- - - - Collaboration relating to soil quality</x:t>
  </x:si>
  <x:si>
    <x:t>http://id.who.int/icd/entity/800716583</x:t>
  </x:si>
  <x:si>
    <x:t>http://id.who.int/icd/release/11/beta/ichi/800716583</x:t>
  </x:si>
  <x:si>
    <x:t>UBO.TK.ZZ</x:t>
  </x:si>
  <x:si>
    <x:t>- - - - Public facilities or infrastructure development in relation to soil quality</x:t>
  </x:si>
  <x:si>
    <x:t>http://id.who.int/icd/entity/197854259</x:t>
  </x:si>
  <x:si>
    <x:t>http://id.who.int/icd/release/11/beta/ichi/197854259</x:t>
  </x:si>
  <x:si>
    <x:t>UBO.TM.ZZ</x:t>
  </x:si>
  <x:si>
    <x:t>- - - - Environment modification to influence soil quality</x:t>
  </x:si>
  <x:si>
    <x:t>http://id.who.int/icd/entity/2143432344</x:t>
  </x:si>
  <x:si>
    <x:t>http://id.who.int/icd/release/11/beta/ichi/2143432344</x:t>
  </x:si>
  <x:si>
    <x:t>UBO.VA.ZZ</x:t>
  </x:si>
  <x:si>
    <x:t>- - - - Capacity building targeting soil quality</x:t>
  </x:si>
  <x:si>
    <x:t>http://id.who.int/icd/entity/294402793</x:t>
  </x:si>
  <x:si>
    <x:t>http://id.who.int/icd/release/11/beta/ichi/294402793</x:t>
  </x:si>
  <x:si>
    <x:t>UBO.VB.ZZ</x:t>
  </x:si>
  <x:si>
    <x:t>- - - - Awareness raising concerning soil quality</x:t>
  </x:si>
  <x:si>
    <x:t>http://id.who.int/icd/entity/445129797</x:t>
  </x:si>
  <x:si>
    <x:t>http://id.who.int/icd/release/11/beta/ichi/445129797</x:t>
  </x:si>
  <x:si>
    <x:t>UBO.VC.ZZ</x:t>
  </x:si>
  <x:si>
    <x:t>- - - - Public health surveillance concerning soil quality</x:t>
  </x:si>
  <x:si>
    <x:t>http://id.who.int/icd/entity/1339699067</x:t>
  </x:si>
  <x:si>
    <x:t>http://id.who.int/icd/release/11/beta/ichi/1339699067</x:t>
  </x:si>
  <x:si>
    <x:t>UBO.VE.ZZ</x:t>
  </x:si>
  <x:si>
    <x:t>- - - - Infection control measures in relation to soil quality</x:t>
  </x:si>
  <x:si>
    <x:t>http://id.who.int/icd/entity/1584304680</x:t>
  </x:si>
  <x:si>
    <x:t>http://id.who.int/icd/release/11/beta/ichi/1584304680</x:t>
  </x:si>
  <x:si>
    <x:t>UBO.VF.ZZ</x:t>
  </x:si>
  <x:si>
    <x:t>- - - - Alert concerning soil quality</x:t>
  </x:si>
  <x:si>
    <x:t>http://id.who.int/icd/entity/191673411</x:t>
  </x:si>
  <x:si>
    <x:t>http://id.who.int/icd/release/11/beta/ichi/191673411</x:t>
  </x:si>
  <x:si>
    <x:t>UBO.VL.ZZ</x:t>
  </x:si>
  <x:si>
    <x:t>- - - - Environmental remediation or decontamination of soil</x:t>
  </x:si>
  <x:si>
    <x:t>http://id.who.int/icd/entity/1972633272</x:t>
  </x:si>
  <x:si>
    <x:t>http://id.who.int/icd/release/11/beta/ichi/1972633272</x:t>
  </x:si>
  <x:si>
    <x:t>UBO.VN.ZZ</x:t>
  </x:si>
  <x:si>
    <x:t>- - - - Establishing health services or health-related services in relation to soil quality</x:t>
  </x:si>
  <x:si>
    <x:t>http://id.who.int/icd/entity/1691410128</x:t>
  </x:si>
  <x:si>
    <x:t>http://id.who.int/icd/release/11/beta/ichi/1691410128</x:t>
  </x:si>
  <x:si>
    <x:t>UBO.VO.ZZ</x:t>
  </x:si>
  <x:si>
    <x:t>- - - - Marshalling health services or health-related services in relation to soil quality</x:t>
  </x:si>
  <x:si>
    <x:t>http://id.who.int/icd/entity/291920573</x:t>
  </x:si>
  <x:si>
    <x:t>http://id.who.int/icd/release/11/beta/ichi/291920573</x:t>
  </x:si>
  <x:si>
    <x:t>UBO.VP.ZZ</x:t>
  </x:si>
  <x:si>
    <x:t>- - - - Improving access to health services or health-related services in relation to soil quality</x:t>
  </x:si>
  <x:si>
    <x:t>http://id.who.int/icd/entity/1092453132</x:t>
  </x:si>
  <x:si>
    <x:t>http://id.who.int/icd/release/11/beta/ichi/1092453132</x:t>
  </x:si>
  <x:si>
    <x:t>UBO.VR.ZZ</x:t>
  </x:si>
  <x:si>
    <x:t>- - - - Reducing emissions in relation to soil quality</x:t>
  </x:si>
  <x:si>
    <x:t>http://id.who.int/icd/entity/517984815</x:t>
  </x:si>
  <x:si>
    <x:t>http://id.who.int/icd/release/11/beta/ichi/517984815</x:t>
  </x:si>
  <x:si>
    <x:t>UBO.WC.ZZ</x:t>
  </x:si>
  <x:si>
    <x:t>- - - - Restrictions on the sale or distribution of products or services in relation to soil quality</x:t>
  </x:si>
  <x:si>
    <x:t>http://id.who.int/icd/entity/891469503</x:t>
  </x:si>
  <x:si>
    <x:t>http://id.who.int/icd/release/11/beta/ichi/891469503</x:t>
  </x:si>
  <x:si>
    <x:t>UBO.WD.ZZ</x:t>
  </x:si>
  <x:si>
    <x:t>- - - - Restrictions on advertising, promotion or sponsorship of products or services in relation to soil quality</x:t>
  </x:si>
  <x:si>
    <x:t>http://id.who.int/icd/entity/2121406598</x:t>
  </x:si>
  <x:si>
    <x:t>http://id.who.int/icd/release/11/beta/ichi/2121406598</x:t>
  </x:si>
  <x:si>
    <x:t>UBO.WE.ZZ</x:t>
  </x:si>
  <x:si>
    <x:t>- - - - Restrictions on production or importation of products or services in relation to soil quality</x:t>
  </x:si>
  <x:si>
    <x:t>http://id.who.int/icd/entity/1951897438</x:t>
  </x:si>
  <x:si>
    <x:t>http://id.who.int/icd/release/11/beta/ichi/1951897438</x:t>
  </x:si>
  <x:si>
    <x:t>UBO.WG.QF</x:t>
  </x:si>
  <x:si>
    <x:t>- - - - Economic incentives concerning soil quality</x:t>
  </x:si>
  <x:si>
    <x:t>http://id.who.int/icd/entity/834269867</x:t>
  </x:si>
  <x:si>
    <x:t>http://id.who.int/icd/release/11/beta/ichi/834269867</x:t>
  </x:si>
  <x:si>
    <x:t>UBO.WG.ZZ</x:t>
  </x:si>
  <x:si>
    <x:t>- - - - Applying incentives concerning soil quality</x:t>
  </x:si>
  <x:si>
    <x:t>http://id.who.int/icd/entity/1094408488</x:t>
  </x:si>
  <x:si>
    <x:t>http://id.who.int/icd/release/11/beta/ichi/1094408488</x:t>
  </x:si>
  <x:si>
    <x:t>UBO.WI.QD</x:t>
  </x:si>
  <x:si>
    <x:t>- - - - Restrictions through enactment of laws or standards to improve soil quality</x:t>
  </x:si>
  <x:si>
    <x:t>http://id.who.int/icd/entity/1853596552</x:t>
  </x:si>
  <x:si>
    <x:t>http://id.who.int/icd/release/11/beta/ichi/1853596552</x:t>
  </x:si>
  <x:si>
    <x:t>UBO.WI.QE</x:t>
  </x:si>
  <x:si>
    <x:t>- - - - Restrictions through enforcement of laws or standards to improve soil quality</x:t>
  </x:si>
  <x:si>
    <x:t>http://id.who.int/icd/entity/565201319</x:t>
  </x:si>
  <x:si>
    <x:t>http://id.who.int/icd/release/11/beta/ichi/565201319</x:t>
  </x:si>
  <x:si>
    <x:t>UBO.WI.ZZ</x:t>
  </x:si>
  <x:si>
    <x:t>- - - - Restrictions through laws or standards in relation to soil quality</x:t>
  </x:si>
  <x:si>
    <x:t>http://id.who.int/icd/entity/2125543998</x:t>
  </x:si>
  <x:si>
    <x:t>http://id.who.int/icd/release/11/beta/ichi/2125543998</x:t>
  </x:si>
  <x:si>
    <x:t>UBO.WJ.ZZ</x:t>
  </x:si>
  <x:si>
    <x:t>- - - - Policy change concerning soil quality</x:t>
  </x:si>
  <x:si>
    <x:t>http://id.who.int/icd/entity/1865496818</x:t>
  </x:si>
  <x:si>
    <x:t>http://id.who.int/icd/release/11/beta/ichi/1865496818</x:t>
  </x:si>
  <x:si>
    <x:t>UBP.AA.ZZ</x:t>
  </x:si>
  <x:si>
    <x:t>- - - - Assessment of biological diversity</x:t>
  </x:si>
  <x:si>
    <x:t>http://id.who.int/icd/entity/1409732052</x:t>
  </x:si>
  <x:si>
    <x:t>http://id.who.int/icd/release/11/beta/ichi/1409732052</x:t>
  </x:si>
  <x:si>
    <x:t>UBP.PH.ZZ</x:t>
  </x:si>
  <x:si>
    <x:t>- - - - Training about biological diversity</x:t>
  </x:si>
  <x:si>
    <x:t>http://id.who.int/icd/entity/197434615</x:t>
  </x:si>
  <x:si>
    <x:t>http://id.who.int/icd/release/11/beta/ichi/197434615</x:t>
  </x:si>
  <x:si>
    <x:t>UBP.PM.ZZ</x:t>
  </x:si>
  <x:si>
    <x:t>- - - - Education about aspects of biological diversity</x:t>
  </x:si>
  <x:si>
    <x:t>http://id.who.int/icd/entity/1539261766</x:t>
  </x:si>
  <x:si>
    <x:t>http://id.who.int/icd/release/11/beta/ichi/1539261766</x:t>
  </x:si>
  <x:si>
    <x:t>UBP.PN.ZZ</x:t>
  </x:si>
  <x:si>
    <x:t>- - - - Advising about biological diversity</x:t>
  </x:si>
  <x:si>
    <x:t>http://id.who.int/icd/entity/1096797166</x:t>
  </x:si>
  <x:si>
    <x:t>http://id.who.int/icd/release/11/beta/ichi/1096797166</x:t>
  </x:si>
  <x:si>
    <x:t>UBP.RB.ZZ</x:t>
  </x:si>
  <x:si>
    <x:t>- - - - Practical support about biological diversity</x:t>
  </x:si>
  <x:si>
    <x:t>http://id.who.int/icd/entity/1789044606</x:t>
  </x:si>
  <x:si>
    <x:t>http://id.who.int/icd/release/11/beta/ichi/1789044606</x:t>
  </x:si>
  <x:si>
    <x:t>UBP.RD.ZZ</x:t>
  </x:si>
  <x:si>
    <x:t>- - - - Providing goods in relation to biological diversity</x:t>
  </x:si>
  <x:si>
    <x:t>http://id.who.int/icd/entity/2078377738</x:t>
  </x:si>
  <x:si>
    <x:t>http://id.who.int/icd/release/11/beta/ichi/2078377738</x:t>
  </x:si>
  <x:si>
    <x:t>UBP.RG.ZZ</x:t>
  </x:si>
  <x:si>
    <x:t>- - - - Providing services in relation to biological diversity</x:t>
  </x:si>
  <x:si>
    <x:t>http://id.who.int/icd/entity/1317882224</x:t>
  </x:si>
  <x:si>
    <x:t>http://id.who.int/icd/release/11/beta/ichi/1317882224</x:t>
  </x:si>
  <x:si>
    <x:t>UBP.TA.ZZ</x:t>
  </x:si>
  <x:si>
    <x:t>- - - - Advocacy in relation to biological diversity</x:t>
  </x:si>
  <x:si>
    <x:t>http://id.who.int/icd/entity/519475393</x:t>
  </x:si>
  <x:si>
    <x:t>http://id.who.int/icd/release/11/beta/ichi/519475393</x:t>
  </x:si>
  <x:si>
    <x:t>UBP.TB.ZZ</x:t>
  </x:si>
  <x:si>
    <x:t>- - - - Planning in relation to biological diversity</x:t>
  </x:si>
  <x:si>
    <x:t>http://id.who.int/icd/entity/1093976546</x:t>
  </x:si>
  <x:si>
    <x:t>http://id.who.int/icd/release/11/beta/ichi/1093976546</x:t>
  </x:si>
  <x:si>
    <x:t>UBP.TD.ZZ</x:t>
  </x:si>
  <x:si>
    <x:t>- - - - Collaboration relating to biological diversity</x:t>
  </x:si>
  <x:si>
    <x:t>http://id.who.int/icd/entity/1791602034</x:t>
  </x:si>
  <x:si>
    <x:t>http://id.who.int/icd/release/11/beta/ichi/1791602034</x:t>
  </x:si>
  <x:si>
    <x:t>UBP.TK.ZZ</x:t>
  </x:si>
  <x:si>
    <x:t>- - - - Public facilities or infrastructure development in relation to biological diversity</x:t>
  </x:si>
  <x:si>
    <x:t>http://id.who.int/icd/entity/1375623252</x:t>
  </x:si>
  <x:si>
    <x:t>http://id.who.int/icd/release/11/beta/ichi/1375623252</x:t>
  </x:si>
  <x:si>
    <x:t>UBP.TM.ZZ</x:t>
  </x:si>
  <x:si>
    <x:t>- - - - Environment modification in relation to biological diversity</x:t>
  </x:si>
  <x:si>
    <x:t>http://id.who.int/icd/entity/238815607</x:t>
  </x:si>
  <x:si>
    <x:t>http://id.who.int/icd/release/11/beta/ichi/238815607</x:t>
  </x:si>
  <x:si>
    <x:t>UBP.VA.ZZ</x:t>
  </x:si>
  <x:si>
    <x:t>- - - - Capacity building targeting biological diversity</x:t>
  </x:si>
  <x:si>
    <x:t>http://id.who.int/icd/entity/1581764806</x:t>
  </x:si>
  <x:si>
    <x:t>http://id.who.int/icd/release/11/beta/ichi/1581764806</x:t>
  </x:si>
  <x:si>
    <x:t>UBP.VB.ZZ</x:t>
  </x:si>
  <x:si>
    <x:t>- - - - Awareness raising concerning biological diversity</x:t>
  </x:si>
  <x:si>
    <x:t>http://id.who.int/icd/entity/1536559016</x:t>
  </x:si>
  <x:si>
    <x:t>http://id.who.int/icd/release/11/beta/ichi/1536559016</x:t>
  </x:si>
  <x:si>
    <x:t>UBP.VC.ZZ</x:t>
  </x:si>
  <x:si>
    <x:t>- - - - Public health surveillance concerning biological diversity</x:t>
  </x:si>
  <x:si>
    <x:t>http://id.who.int/icd/entity/530708172</x:t>
  </x:si>
  <x:si>
    <x:t>http://id.who.int/icd/release/11/beta/ichi/530708172</x:t>
  </x:si>
  <x:si>
    <x:t>UBP.VE.ZZ</x:t>
  </x:si>
  <x:si>
    <x:t>- - - - Infection control measures in relation to biological diversity</x:t>
  </x:si>
  <x:si>
    <x:t>http://id.who.int/icd/entity/1886087992</x:t>
  </x:si>
  <x:si>
    <x:t>http://id.who.int/icd/release/11/beta/ichi/1886087992</x:t>
  </x:si>
  <x:si>
    <x:t>UBP.VF.ZZ</x:t>
  </x:si>
  <x:si>
    <x:t>- - - - Alert concerning biological diversity</x:t>
  </x:si>
  <x:si>
    <x:t>http://id.who.int/icd/entity/1630030672</x:t>
  </x:si>
  <x:si>
    <x:t>http://id.who.int/icd/release/11/beta/ichi/1630030672</x:t>
  </x:si>
  <x:si>
    <x:t>UBP.VL.ZZ</x:t>
  </x:si>
  <x:si>
    <x:t>- - - - Environmental remediation in relation to biological diversity</x:t>
  </x:si>
  <x:si>
    <x:t>http://id.who.int/icd/entity/345952061</x:t>
  </x:si>
  <x:si>
    <x:t>http://id.who.int/icd/release/11/beta/ichi/345952061</x:t>
  </x:si>
  <x:si>
    <x:t>UBP.VN.ZZ</x:t>
  </x:si>
  <x:si>
    <x:t>- - - - Establishing health services or health-related services in relation to biological diversity</x:t>
  </x:si>
  <x:si>
    <x:t>http://id.who.int/icd/entity/1155864204</x:t>
  </x:si>
  <x:si>
    <x:t>http://id.who.int/icd/release/11/beta/ichi/1155864204</x:t>
  </x:si>
  <x:si>
    <x:t>UBP.VO.ZZ</x:t>
  </x:si>
  <x:si>
    <x:t>- - - - Marshalling health services or health-related services in relation to biological diversity</x:t>
  </x:si>
  <x:si>
    <x:t>http://id.who.int/icd/entity/455559087</x:t>
  </x:si>
  <x:si>
    <x:t>http://id.who.int/icd/release/11/beta/ichi/455559087</x:t>
  </x:si>
  <x:si>
    <x:t>UBP.VP.ZZ</x:t>
  </x:si>
  <x:si>
    <x:t>- - - - Improving access to health services or health-related services in relation to biological diversity</x:t>
  </x:si>
  <x:si>
    <x:t>http://id.who.int/icd/entity/819604287</x:t>
  </x:si>
  <x:si>
    <x:t>http://id.who.int/icd/release/11/beta/ichi/819604287</x:t>
  </x:si>
  <x:si>
    <x:t>UBP.VR.ZZ</x:t>
  </x:si>
  <x:si>
    <x:t>- - - - Reducing emissions in relation to biological diversity</x:t>
  </x:si>
  <x:si>
    <x:t>http://id.who.int/icd/entity/1882249997</x:t>
  </x:si>
  <x:si>
    <x:t>http://id.who.int/icd/release/11/beta/ichi/1882249997</x:t>
  </x:si>
  <x:si>
    <x:t>UBP.WB.ZZ</x:t>
  </x:si>
  <x:si>
    <x:t>- - - - Restrictions on movement of people or animals in relation to biological diversity</x:t>
  </x:si>
  <x:si>
    <x:t>http://id.who.int/icd/entity/1690031296</x:t>
  </x:si>
  <x:si>
    <x:t>http://id.who.int/icd/release/11/beta/ichi/1690031296</x:t>
  </x:si>
  <x:si>
    <x:t>UBP.WC.ZZ</x:t>
  </x:si>
  <x:si>
    <x:t>- - - - Restrictions on the sale or distribution of products or services in relation to biological diversity</x:t>
  </x:si>
  <x:si>
    <x:t>http://id.who.int/icd/entity/997819875</x:t>
  </x:si>
  <x:si>
    <x:t>http://id.who.int/icd/release/11/beta/ichi/997819875</x:t>
  </x:si>
  <x:si>
    <x:t>UBP.WD.ZZ</x:t>
  </x:si>
  <x:si>
    <x:t>- - - - Restrictions on advertising, promotion or sponsorship of products or services in relation to biological diversity</x:t>
  </x:si>
  <x:si>
    <x:t>http://id.who.int/icd/entity/1795316818</x:t>
  </x:si>
  <x:si>
    <x:t>http://id.who.int/icd/release/11/beta/ichi/1795316818</x:t>
  </x:si>
  <x:si>
    <x:t>UBP.WE.ZZ</x:t>
  </x:si>
  <x:si>
    <x:t>- - - - Restrictions on production or importation of products or services in relation to biological diversity</x:t>
  </x:si>
  <x:si>
    <x:t>http://id.who.int/icd/entity/804424240</x:t>
  </x:si>
  <x:si>
    <x:t>http://id.who.int/icd/release/11/beta/ichi/804424240</x:t>
  </x:si>
  <x:si>
    <x:t>UBP.WF.ZZ</x:t>
  </x:si>
  <x:si>
    <x:t>- - - - Restrictions on the consumption or use of products or services in relation to biological diversity</x:t>
  </x:si>
  <x:si>
    <x:t>http://id.who.int/icd/entity/1572652211</x:t>
  </x:si>
  <x:si>
    <x:t>http://id.who.int/icd/release/11/beta/ichi/1572652211</x:t>
  </x:si>
  <x:si>
    <x:t>UBP.WG.QF</x:t>
  </x:si>
  <x:si>
    <x:t>- - - - Economic incentives in relation to biological diversity</x:t>
  </x:si>
  <x:si>
    <x:t>http://id.who.int/icd/entity/1984014371</x:t>
  </x:si>
  <x:si>
    <x:t>http://id.who.int/icd/release/11/beta/ichi/1984014371</x:t>
  </x:si>
  <x:si>
    <x:t>UBP.WG.ZZ</x:t>
  </x:si>
  <x:si>
    <x:t>- - - - Applying incentives in relation to biological diversity</x:t>
  </x:si>
  <x:si>
    <x:t>http://id.who.int/icd/entity/1728219221</x:t>
  </x:si>
  <x:si>
    <x:t>http://id.who.int/icd/release/11/beta/ichi/1728219221</x:t>
  </x:si>
  <x:si>
    <x:t>UBP.WI.QD</x:t>
  </x:si>
  <x:si>
    <x:t>- - - - Restrictions through enactment of laws or standards in relation to biological diversity</x:t>
  </x:si>
  <x:si>
    <x:t>http://id.who.int/icd/entity/313789478</x:t>
  </x:si>
  <x:si>
    <x:t>http://id.who.int/icd/release/11/beta/ichi/313789478</x:t>
  </x:si>
  <x:si>
    <x:t>UBP.WI.QE</x:t>
  </x:si>
  <x:si>
    <x:t>- - - - Restrictions through enforcement of laws or standards in relation to biological diversity</x:t>
  </x:si>
  <x:si>
    <x:t>http://id.who.int/icd/entity/1120916887</x:t>
  </x:si>
  <x:si>
    <x:t>http://id.who.int/icd/release/11/beta/ichi/1120916887</x:t>
  </x:si>
  <x:si>
    <x:t>UBP.WI.ZZ</x:t>
  </x:si>
  <x:si>
    <x:t>- - - - Restrictions through laws or standards in relation to biological diversity</x:t>
  </x:si>
  <x:si>
    <x:t>http://id.who.int/icd/entity/487425204</x:t>
  </x:si>
  <x:si>
    <x:t>http://id.who.int/icd/release/11/beta/ichi/487425204</x:t>
  </x:si>
  <x:si>
    <x:t>UBP.WJ.ZZ</x:t>
  </x:si>
  <x:si>
    <x:t>- - - - Policy change in relation to biological diversity</x:t>
  </x:si>
  <x:si>
    <x:t>http://id.who.int/icd/entity/561212189</x:t>
  </x:si>
  <x:si>
    <x:t>http://id.who.int/icd/release/11/beta/ichi/561212189</x:t>
  </x:si>
  <x:si>
    <x:t>UBQ.AA.ZZ</x:t>
  </x:si>
  <x:si>
    <x:t>- - - - Assessment of animal vectors of disease</x:t>
  </x:si>
  <x:si>
    <x:t>http://id.who.int/icd/entity/1142242723</x:t>
  </x:si>
  <x:si>
    <x:t>http://id.who.int/icd/release/11/beta/ichi/1142242723</x:t>
  </x:si>
  <x:si>
    <x:t>UBQ.PH.ZZ</x:t>
  </x:si>
  <x:si>
    <x:t>- - - - Training about animal vectors of disease</x:t>
  </x:si>
  <x:si>
    <x:t>http://id.who.int/icd/entity/828115515</x:t>
  </x:si>
  <x:si>
    <x:t>http://id.who.int/icd/release/11/beta/ichi/828115515</x:t>
  </x:si>
  <x:si>
    <x:t>UBQ.PM.ZZ</x:t>
  </x:si>
  <x:si>
    <x:t>- - - - Education about animal vectors of disease</x:t>
  </x:si>
  <x:si>
    <x:t>http://id.who.int/icd/entity/1431707093</x:t>
  </x:si>
  <x:si>
    <x:t>http://id.who.int/icd/release/11/beta/ichi/1431707093</x:t>
  </x:si>
  <x:si>
    <x:t>UBQ.PN.ZZ</x:t>
  </x:si>
  <x:si>
    <x:t>- - - - Advising about animal vectors of disease</x:t>
  </x:si>
  <x:si>
    <x:t>http://id.who.int/icd/entity/551590310</x:t>
  </x:si>
  <x:si>
    <x:t>http://id.who.int/icd/release/11/beta/ichi/551590310</x:t>
  </x:si>
  <x:si>
    <x:t>UBQ.RB.ZZ</x:t>
  </x:si>
  <x:si>
    <x:t>- - - - Practical support about animal vectors of disease</x:t>
  </x:si>
  <x:si>
    <x:t>http://id.who.int/icd/entity/505213077</x:t>
  </x:si>
  <x:si>
    <x:t>http://id.who.int/icd/release/11/beta/ichi/505213077</x:t>
  </x:si>
  <x:si>
    <x:t>UBQ.RD.ZZ</x:t>
  </x:si>
  <x:si>
    <x:t>- - - - Providing goods to reduce exposure to animal vectors of disease</x:t>
  </x:si>
  <x:si>
    <x:t>http://id.who.int/icd/entity/1889222679</x:t>
  </x:si>
  <x:si>
    <x:t>http://id.who.int/icd/release/11/beta/ichi/1889222679</x:t>
  </x:si>
  <x:si>
    <x:t>UBQ.RG.ZZ</x:t>
  </x:si>
  <x:si>
    <x:t>- - - - Providing services in relation to animal vectors of disease</x:t>
  </x:si>
  <x:si>
    <x:t>http://id.who.int/icd/entity/794366260</x:t>
  </x:si>
  <x:si>
    <x:t>http://id.who.int/icd/release/11/beta/ichi/794366260</x:t>
  </x:si>
  <x:si>
    <x:t>UBQ.TA.ZZ</x:t>
  </x:si>
  <x:si>
    <x:t>- - - - Advocacy in relation to animal vectors of disease</x:t>
  </x:si>
  <x:si>
    <x:t>http://id.who.int/icd/entity/77888932</x:t>
  </x:si>
  <x:si>
    <x:t>http://id.who.int/icd/release/11/beta/ichi/77888932</x:t>
  </x:si>
  <x:si>
    <x:t>UBQ.TB.ZZ</x:t>
  </x:si>
  <x:si>
    <x:t>- - - - Planning in relation to animal vectors of disease</x:t>
  </x:si>
  <x:si>
    <x:t>http://id.who.int/icd/entity/248932643</x:t>
  </x:si>
  <x:si>
    <x:t>http://id.who.int/icd/release/11/beta/ichi/248932643</x:t>
  </x:si>
  <x:si>
    <x:t>UBQ.TD.ZZ</x:t>
  </x:si>
  <x:si>
    <x:t>- - - - Collaborating or building partnerships in relation to animal vectors of disease</x:t>
  </x:si>
  <x:si>
    <x:t>http://id.who.int/icd/entity/1341447071</x:t>
  </x:si>
  <x:si>
    <x:t>http://id.who.int/icd/release/11/beta/ichi/1341447071</x:t>
  </x:si>
  <x:si>
    <x:t>UBQ.TK.ZZ</x:t>
  </x:si>
  <x:si>
    <x:t>- - - - Public facilities or infrastructure development in relation to animal vectors of disease</x:t>
  </x:si>
  <x:si>
    <x:t>http://id.who.int/icd/entity/97679247</x:t>
  </x:si>
  <x:si>
    <x:t>http://id.who.int/icd/release/11/beta/ichi/97679247</x:t>
  </x:si>
  <x:si>
    <x:t>UBQ.TM.ZZ</x:t>
  </x:si>
  <x:si>
    <x:t>- - - - Environment modification to influence animals as vectors of disease</x:t>
  </x:si>
  <x:si>
    <x:t>http://id.who.int/icd/entity/1360279554</x:t>
  </x:si>
  <x:si>
    <x:t>http://id.who.int/icd/release/11/beta/ichi/1360279554</x:t>
  </x:si>
  <x:si>
    <x:t>UBQ.VA.ZZ</x:t>
  </x:si>
  <x:si>
    <x:t>- - - - Capacity building targeting animal vectors of disease</x:t>
  </x:si>
  <x:si>
    <x:t>http://id.who.int/icd/entity/1796064408</x:t>
  </x:si>
  <x:si>
    <x:t>http://id.who.int/icd/release/11/beta/ichi/1796064408</x:t>
  </x:si>
  <x:si>
    <x:t>UBQ.VB.ZZ</x:t>
  </x:si>
  <x:si>
    <x:t>- - - - Awareness raising concerning animals as vectors of disease</x:t>
  </x:si>
  <x:si>
    <x:t>http://id.who.int/icd/entity/1145912888</x:t>
  </x:si>
  <x:si>
    <x:t>http://id.who.int/icd/release/11/beta/ichi/1145912888</x:t>
  </x:si>
  <x:si>
    <x:t>UBQ.VC.ZZ</x:t>
  </x:si>
  <x:si>
    <x:t>- - - - Public health surveillance concerning animals as vectors of disease</x:t>
  </x:si>
  <x:si>
    <x:t>http://id.who.int/icd/entity/886019509</x:t>
  </x:si>
  <x:si>
    <x:t>http://id.who.int/icd/release/11/beta/ichi/886019509</x:t>
  </x:si>
  <x:si>
    <x:t>UBQ.VE.ZZ</x:t>
  </x:si>
  <x:si>
    <x:t>- - - - Animal infection control measures</x:t>
  </x:si>
  <x:si>
    <x:t>http://id.who.int/icd/entity/272009918</x:t>
  </x:si>
  <x:si>
    <x:t>http://id.who.int/icd/release/11/beta/ichi/272009918</x:t>
  </x:si>
  <x:si>
    <x:t>UBQ.VF.ZZ</x:t>
  </x:si>
  <x:si>
    <x:t>- - - - Alert concerning animal vectors of disease</x:t>
  </x:si>
  <x:si>
    <x:t>http://id.who.int/icd/entity/1078809357</x:t>
  </x:si>
  <x:si>
    <x:t>http://id.who.int/icd/release/11/beta/ichi/1078809357</x:t>
  </x:si>
  <x:si>
    <x:t>UBQ.VL.ZZ</x:t>
  </x:si>
  <x:si>
    <x:t>- - - - Environmental remediation in relation to animal vectors of disease</x:t>
  </x:si>
  <x:si>
    <x:t>http://id.who.int/icd/entity/905697150</x:t>
  </x:si>
  <x:si>
    <x:t>http://id.who.int/icd/release/11/beta/ichi/905697150</x:t>
  </x:si>
  <x:si>
    <x:t>UBQ.VN.ZZ</x:t>
  </x:si>
  <x:si>
    <x:t>- - - - Establishing health services or health-related services in relation to animal vectors of disease</x:t>
  </x:si>
  <x:si>
    <x:t>http://id.who.int/icd/entity/503757806</x:t>
  </x:si>
  <x:si>
    <x:t>http://id.who.int/icd/release/11/beta/ichi/503757806</x:t>
  </x:si>
  <x:si>
    <x:t>UBQ.VO.ZZ</x:t>
  </x:si>
  <x:si>
    <x:t>- - - - Marshalling health services or health-related services in relation to animal vectors of disease</x:t>
  </x:si>
  <x:si>
    <x:t>http://id.who.int/icd/entity/256220058</x:t>
  </x:si>
  <x:si>
    <x:t>http://id.who.int/icd/release/11/beta/ichi/256220058</x:t>
  </x:si>
  <x:si>
    <x:t>UBQ.VP.ZZ</x:t>
  </x:si>
  <x:si>
    <x:t>- - - - Improving access to health services or health-related services in relation to animal vectors of disease</x:t>
  </x:si>
  <x:si>
    <x:t>http://id.who.int/icd/entity/363140402</x:t>
  </x:si>
  <x:si>
    <x:t>http://id.who.int/icd/release/11/beta/ichi/363140402</x:t>
  </x:si>
  <x:si>
    <x:t>UBQ.WC.ZZ</x:t>
  </x:si>
  <x:si>
    <x:t>- - - - Restrictions on the sale or distribution of products or services in relation to animal vectors of disease</x:t>
  </x:si>
  <x:si>
    <x:t>http://id.who.int/icd/entity/1172229251</x:t>
  </x:si>
  <x:si>
    <x:t>http://id.who.int/icd/release/11/beta/ichi/1172229251</x:t>
  </x:si>
  <x:si>
    <x:t>UBQ.WD.ZZ</x:t>
  </x:si>
  <x:si>
    <x:t>- - - - Restrictions on advertising, promotion or sponsorship of products or services in relation to animal vectors of disease</x:t>
  </x:si>
  <x:si>
    <x:t>http://id.who.int/icd/entity/438082976</x:t>
  </x:si>
  <x:si>
    <x:t>http://id.who.int/icd/release/11/beta/ichi/438082976</x:t>
  </x:si>
  <x:si>
    <x:t>UBQ.WE.ZZ</x:t>
  </x:si>
  <x:si>
    <x:t>- - - - Restrictions on production or importation of products or services in relation to animal vectors of disease</x:t>
  </x:si>
  <x:si>
    <x:t>http://id.who.int/icd/entity/503899060</x:t>
  </x:si>
  <x:si>
    <x:t>http://id.who.int/icd/release/11/beta/ichi/503899060</x:t>
  </x:si>
  <x:si>
    <x:t>UBQ.WF.ZZ</x:t>
  </x:si>
  <x:si>
    <x:t>- - - - Restrictions on the consumption or use of products or services in relation to animals as vectors of disease</x:t>
  </x:si>
  <x:si>
    <x:t>http://id.who.int/icd/entity/10329923</x:t>
  </x:si>
  <x:si>
    <x:t>http://id.who.int/icd/release/11/beta/ichi/10329923</x:t>
  </x:si>
  <x:si>
    <x:t>UBQ.WG.QF</x:t>
  </x:si>
  <x:si>
    <x:t>- - - - Economic incentives concerning animals as vectors of disease</x:t>
  </x:si>
  <x:si>
    <x:t>http://id.who.int/icd/entity/2141633630</x:t>
  </x:si>
  <x:si>
    <x:t>http://id.who.int/icd/release/11/beta/ichi/2141633630</x:t>
  </x:si>
  <x:si>
    <x:t>UBQ.WG.ZZ</x:t>
  </x:si>
  <x:si>
    <x:t>- - - - Applying incentives concerning animals as vectors of disease</x:t>
  </x:si>
  <x:si>
    <x:t>http://id.who.int/icd/entity/836890928</x:t>
  </x:si>
  <x:si>
    <x:t>http://id.who.int/icd/release/11/beta/ichi/836890928</x:t>
  </x:si>
  <x:si>
    <x:t>UBQ.WI.QD</x:t>
  </x:si>
  <x:si>
    <x:t>- - - - Restrictions through enactment of laws or standards in relation to animal vectors of disease</x:t>
  </x:si>
  <x:si>
    <x:t>http://id.who.int/icd/entity/1405231344</x:t>
  </x:si>
  <x:si>
    <x:t>http://id.who.int/icd/release/11/beta/ichi/1405231344</x:t>
  </x:si>
  <x:si>
    <x:t>UBQ.WI.QE</x:t>
  </x:si>
  <x:si>
    <x:t>- - - - Restrictions through enforcement of laws or standards in relation to animal vectors of disease</x:t>
  </x:si>
  <x:si>
    <x:t>http://id.who.int/icd/entity/201355725</x:t>
  </x:si>
  <x:si>
    <x:t>http://id.who.int/icd/release/11/beta/ichi/201355725</x:t>
  </x:si>
  <x:si>
    <x:t>UBQ.WI.ZZ</x:t>
  </x:si>
  <x:si>
    <x:t>- - - - Restrictions through laws or standards in relation to animal vectors of disease</x:t>
  </x:si>
  <x:si>
    <x:t>http://id.who.int/icd/entity/2056426404</x:t>
  </x:si>
  <x:si>
    <x:t>http://id.who.int/icd/release/11/beta/ichi/2056426404</x:t>
  </x:si>
  <x:si>
    <x:t>UBQ.WJ.ZZ</x:t>
  </x:si>
  <x:si>
    <x:t>- - - - Policy change concerning animals as vectors of disease</x:t>
  </x:si>
  <x:si>
    <x:t>http://id.who.int/icd/entity/1115750552</x:t>
  </x:si>
  <x:si>
    <x:t>http://id.who.int/icd/release/11/beta/ichi/1115750552</x:t>
  </x:si>
  <x:si>
    <x:t>UBR.AA.ZZ</x:t>
  </x:si>
  <x:si>
    <x:t>- - - - Assessment of the impact of radiation</x:t>
  </x:si>
  <x:si>
    <x:t>http://id.who.int/icd/entity/2042033598</x:t>
  </x:si>
  <x:si>
    <x:t>http://id.who.int/icd/release/11/beta/ichi/2042033598</x:t>
  </x:si>
  <x:si>
    <x:t>UBR.PH.ZZ</x:t>
  </x:si>
  <x:si>
    <x:t>- - - - Training about radiation</x:t>
  </x:si>
  <x:si>
    <x:t>http://id.who.int/icd/entity/645178525</x:t>
  </x:si>
  <x:si>
    <x:t>http://id.who.int/icd/release/11/beta/ichi/645178525</x:t>
  </x:si>
  <x:si>
    <x:t>UBR.PM.ZZ</x:t>
  </x:si>
  <x:si>
    <x:t>- - - - Education about aspects of radiation</x:t>
  </x:si>
  <x:si>
    <x:t>http://id.who.int/icd/entity/1980726572</x:t>
  </x:si>
  <x:si>
    <x:t>http://id.who.int/icd/release/11/beta/ichi/1980726572</x:t>
  </x:si>
  <x:si>
    <x:t>UBR.PN.ZZ</x:t>
  </x:si>
  <x:si>
    <x:t>- - - - Advising about radiation</x:t>
  </x:si>
  <x:si>
    <x:t>http://id.who.int/icd/entity/1943972418</x:t>
  </x:si>
  <x:si>
    <x:t>http://id.who.int/icd/release/11/beta/ichi/1943972418</x:t>
  </x:si>
  <x:si>
    <x:t>UBR.RB.ZZ</x:t>
  </x:si>
  <x:si>
    <x:t>- - - - Practical support about radiation</x:t>
  </x:si>
  <x:si>
    <x:t>http://id.who.int/icd/entity/1478739666</x:t>
  </x:si>
  <x:si>
    <x:t>http://id.who.int/icd/release/11/beta/ichi/1478739666</x:t>
  </x:si>
  <x:si>
    <x:t>UBR.RD.ZZ</x:t>
  </x:si>
  <x:si>
    <x:t>- - - - Providing goods in relation to radiation</x:t>
  </x:si>
  <x:si>
    <x:t>http://id.who.int/icd/entity/1231087270</x:t>
  </x:si>
  <x:si>
    <x:t>http://id.who.int/icd/release/11/beta/ichi/1231087270</x:t>
  </x:si>
  <x:si>
    <x:t>UBR.RG.ZZ</x:t>
  </x:si>
  <x:si>
    <x:t>- - - - Providing services in relation to radiation</x:t>
  </x:si>
  <x:si>
    <x:t>http://id.who.int/icd/entity/1020682967</x:t>
  </x:si>
  <x:si>
    <x:t>http://id.who.int/icd/release/11/beta/ichi/1020682967</x:t>
  </x:si>
  <x:si>
    <x:t>UBR.TA.ZZ</x:t>
  </x:si>
  <x:si>
    <x:t>- - - - Advocacy in relation to radiation</x:t>
  </x:si>
  <x:si>
    <x:t>http://id.who.int/icd/entity/1823325030</x:t>
  </x:si>
  <x:si>
    <x:t>http://id.who.int/icd/release/11/beta/ichi/1823325030</x:t>
  </x:si>
  <x:si>
    <x:t>UBR.TB.ZZ</x:t>
  </x:si>
  <x:si>
    <x:t>- - - - Planning in relation to radiation</x:t>
  </x:si>
  <x:si>
    <x:t>http://id.who.int/icd/entity/862972485</x:t>
  </x:si>
  <x:si>
    <x:t>http://id.who.int/icd/release/11/beta/ichi/862972485</x:t>
  </x:si>
  <x:si>
    <x:t>UBR.TD.ZZ</x:t>
  </x:si>
  <x:si>
    <x:t>- - - - Collaboration relating to radiation</x:t>
  </x:si>
  <x:si>
    <x:t>http://id.who.int/icd/entity/412255957</x:t>
  </x:si>
  <x:si>
    <x:t>http://id.who.int/icd/release/11/beta/ichi/412255957</x:t>
  </x:si>
  <x:si>
    <x:t>UBR.TK.ZZ</x:t>
  </x:si>
  <x:si>
    <x:t>- - - - Public facilities or infrastructure development in relation to radiation</x:t>
  </x:si>
  <x:si>
    <x:t>http://id.who.int/icd/entity/1291024682</x:t>
  </x:si>
  <x:si>
    <x:t>http://id.who.int/icd/release/11/beta/ichi/1291024682</x:t>
  </x:si>
  <x:si>
    <x:t>UBR.TM.ZZ</x:t>
  </x:si>
  <x:si>
    <x:t>- - - - Environment modification in relation to radiation</x:t>
  </x:si>
  <x:si>
    <x:t>http://id.who.int/icd/entity/321988617</x:t>
  </x:si>
  <x:si>
    <x:t>http://id.who.int/icd/release/11/beta/ichi/321988617</x:t>
  </x:si>
  <x:si>
    <x:t>UBR.VA.ZZ</x:t>
  </x:si>
  <x:si>
    <x:t>- - - - Capacity building targeting radiation</x:t>
  </x:si>
  <x:si>
    <x:t>http://id.who.int/icd/entity/1128985016</x:t>
  </x:si>
  <x:si>
    <x:t>http://id.who.int/icd/release/11/beta/ichi/1128985016</x:t>
  </x:si>
  <x:si>
    <x:t>UBR.VB.ZZ</x:t>
  </x:si>
  <x:si>
    <x:t>- - - - Awareness raising concerning radiation</x:t>
  </x:si>
  <x:si>
    <x:t>http://id.who.int/icd/entity/1982218178</x:t>
  </x:si>
  <x:si>
    <x:t>http://id.who.int/icd/release/11/beta/ichi/1982218178</x:t>
  </x:si>
  <x:si>
    <x:t>UBR.VC.ZZ</x:t>
  </x:si>
  <x:si>
    <x:t>- - - - Public health surveillance concerning radiation</x:t>
  </x:si>
  <x:si>
    <x:t>http://id.who.int/icd/entity/88176736</x:t>
  </x:si>
  <x:si>
    <x:t>http://id.who.int/icd/release/11/beta/ichi/88176736</x:t>
  </x:si>
  <x:si>
    <x:t>UBR.VE.ZZ</x:t>
  </x:si>
  <x:si>
    <x:t>- - - - Infection control measures in relation to radiation</x:t>
  </x:si>
  <x:si>
    <x:t>http://id.who.int/icd/entity/1574654802</x:t>
  </x:si>
  <x:si>
    <x:t>http://id.who.int/icd/release/11/beta/ichi/1574654802</x:t>
  </x:si>
  <x:si>
    <x:t>UBR.VF.ZZ</x:t>
  </x:si>
  <x:si>
    <x:t>- - - - Alert concerning radiation</x:t>
  </x:si>
  <x:si>
    <x:t>http://id.who.int/icd/entity/1285059366</x:t>
  </x:si>
  <x:si>
    <x:t>http://id.who.int/icd/release/11/beta/ichi/1285059366</x:t>
  </x:si>
  <x:si>
    <x:t>UBR.VL.ZZ</x:t>
  </x:si>
  <x:si>
    <x:t>- - - - Environmental remediation in relation to radiation</x:t>
  </x:si>
  <x:si>
    <x:t>http://id.who.int/icd/entity/959379287</x:t>
  </x:si>
  <x:si>
    <x:t>http://id.who.int/icd/release/11/beta/ichi/959379287</x:t>
  </x:si>
  <x:si>
    <x:t>UBR.VN.ZZ</x:t>
  </x:si>
  <x:si>
    <x:t>- - - - Establishing health services or health-related services in relation to radiation</x:t>
  </x:si>
  <x:si>
    <x:t>http://id.who.int/icd/entity/1767190246</x:t>
  </x:si>
  <x:si>
    <x:t>http://id.who.int/icd/release/11/beta/ichi/1767190246</x:t>
  </x:si>
  <x:si>
    <x:t>UBR.VO.ZZ</x:t>
  </x:si>
  <x:si>
    <x:t>- - - - Marshalling health services or health-related services in relation to radiation</x:t>
  </x:si>
  <x:si>
    <x:t>http://id.who.int/icd/entity/915898309</x:t>
  </x:si>
  <x:si>
    <x:t>http://id.who.int/icd/release/11/beta/ichi/915898309</x:t>
  </x:si>
  <x:si>
    <x:t>UBR.VP.ZZ</x:t>
  </x:si>
  <x:si>
    <x:t>- - - - Improving access to health services or health-related services in relation to radiation</x:t>
  </x:si>
  <x:si>
    <x:t>http://id.who.int/icd/entity/493491029</x:t>
  </x:si>
  <x:si>
    <x:t>http://id.who.int/icd/release/11/beta/ichi/493491029</x:t>
  </x:si>
  <x:si>
    <x:t>UBR.VR.ZZ</x:t>
  </x:si>
  <x:si>
    <x:t>- - - - Reducing emissions from radiation</x:t>
  </x:si>
  <x:si>
    <x:t>http://id.who.int/icd/entity/1446688112</x:t>
  </x:si>
  <x:si>
    <x:t>http://id.who.int/icd/release/11/beta/ichi/1446688112</x:t>
  </x:si>
  <x:si>
    <x:t>UBR.WC.ZZ</x:t>
  </x:si>
  <x:si>
    <x:t>- - - - Restrictions on the sale or distribution of products or services in relation to radiation</x:t>
  </x:si>
  <x:si>
    <x:t>http://id.who.int/icd/entity/167306317</x:t>
  </x:si>
  <x:si>
    <x:t>http://id.who.int/icd/release/11/beta/ichi/167306317</x:t>
  </x:si>
  <x:si>
    <x:t>UBR.WD.ZZ</x:t>
  </x:si>
  <x:si>
    <x:t>- - - - Restrictions on advertising, promotion or sponsorship of products or services in relation to radiation</x:t>
  </x:si>
  <x:si>
    <x:t>http://id.who.int/icd/entity/1501773310</x:t>
  </x:si>
  <x:si>
    <x:t>http://id.who.int/icd/release/11/beta/ichi/1501773310</x:t>
  </x:si>
  <x:si>
    <x:t>UBR.WE.ZZ</x:t>
  </x:si>
  <x:si>
    <x:t>- - - - Restrictions on production or importation of products or services in relation to radiation</x:t>
  </x:si>
  <x:si>
    <x:t>http://id.who.int/icd/entity/741718415</x:t>
  </x:si>
  <x:si>
    <x:t>http://id.who.int/icd/release/11/beta/ichi/741718415</x:t>
  </x:si>
  <x:si>
    <x:t>UBR.WG.QF</x:t>
  </x:si>
  <x:si>
    <x:t>- - - - Economic incentives in relation to radiation</x:t>
  </x:si>
  <x:si>
    <x:t>http://id.who.int/icd/entity/130602271</x:t>
  </x:si>
  <x:si>
    <x:t>http://id.who.int/icd/release/11/beta/ichi/130602271</x:t>
  </x:si>
  <x:si>
    <x:t>UBR.WG.ZZ</x:t>
  </x:si>
  <x:si>
    <x:t>- - - - Applying incentives in relation to radiation</x:t>
  </x:si>
  <x:si>
    <x:t>http://id.who.int/icd/entity/378271081</x:t>
  </x:si>
  <x:si>
    <x:t>http://id.who.int/icd/release/11/beta/ichi/378271081</x:t>
  </x:si>
  <x:si>
    <x:t>UBR.WI.QD</x:t>
  </x:si>
  <x:si>
    <x:t>- - - - Restrictions through enactment of laws or standards in relation to radiation</x:t>
  </x:si>
  <x:si>
    <x:t>http://id.who.int/icd/entity/208370627</x:t>
  </x:si>
  <x:si>
    <x:t>http://id.who.int/icd/release/11/beta/ichi/208370627</x:t>
  </x:si>
  <x:si>
    <x:t>UBR.WI.QE</x:t>
  </x:si>
  <x:si>
    <x:t>- - - - Restrictions through enforcement of laws or standards in relation to radiation</x:t>
  </x:si>
  <x:si>
    <x:t>http://id.who.int/icd/entity/1544594034</x:t>
  </x:si>
  <x:si>
    <x:t>http://id.who.int/icd/release/11/beta/ichi/1544594034</x:t>
  </x:si>
  <x:si>
    <x:t>UBR.WI.ZZ</x:t>
  </x:si>
  <x:si>
    <x:t>- - - - Restrictions through laws or standards in relation to radiation</x:t>
  </x:si>
  <x:si>
    <x:t>http://id.who.int/icd/entity/64156497</x:t>
  </x:si>
  <x:si>
    <x:t>http://id.who.int/icd/release/11/beta/ichi/64156497</x:t>
  </x:si>
  <x:si>
    <x:t>UBR.WJ.ZZ</x:t>
  </x:si>
  <x:si>
    <x:t>- - - - Policy change in relation to radiation</x:t>
  </x:si>
  <x:si>
    <x:t>http://id.who.int/icd/entity/1392305250</x:t>
  </x:si>
  <x:si>
    <x:t>http://id.who.int/icd/release/11/beta/ichi/1392305250</x:t>
  </x:si>
  <x:si>
    <x:t>UBS.AA.ZZ</x:t>
  </x:si>
  <x:si>
    <x:t>- - - - Assessment of the impact of climate change</x:t>
  </x:si>
  <x:si>
    <x:t>http://id.who.int/icd/entity/42417619</x:t>
  </x:si>
  <x:si>
    <x:t>http://id.who.int/icd/release/11/beta/ichi/42417619</x:t>
  </x:si>
  <x:si>
    <x:t>UBS.PH.ZZ</x:t>
  </x:si>
  <x:si>
    <x:t>- - - - Training about climate change</x:t>
  </x:si>
  <x:si>
    <x:t>http://id.who.int/icd/entity/1564830960</x:t>
  </x:si>
  <x:si>
    <x:t>http://id.who.int/icd/release/11/beta/ichi/1564830960</x:t>
  </x:si>
  <x:si>
    <x:t>UBS.PM.ZZ</x:t>
  </x:si>
  <x:si>
    <x:t>- - - - Education about aspects of climate change</x:t>
  </x:si>
  <x:si>
    <x:t>http://id.who.int/icd/entity/1991770208</x:t>
  </x:si>
  <x:si>
    <x:t>http://id.who.int/icd/release/11/beta/ichi/1991770208</x:t>
  </x:si>
  <x:si>
    <x:t>UBS.PN.ZZ</x:t>
  </x:si>
  <x:si>
    <x:t>- - - - Advising about climate change</x:t>
  </x:si>
  <x:si>
    <x:t>http://id.who.int/icd/entity/1301280070</x:t>
  </x:si>
  <x:si>
    <x:t>http://id.who.int/icd/release/11/beta/ichi/1301280070</x:t>
  </x:si>
  <x:si>
    <x:t>UBS.RB.ZZ</x:t>
  </x:si>
  <x:si>
    <x:t>- - - - Practical support about climate change</x:t>
  </x:si>
  <x:si>
    <x:t>http://id.who.int/icd/entity/307078245</x:t>
  </x:si>
  <x:si>
    <x:t>http://id.who.int/icd/release/11/beta/ichi/307078245</x:t>
  </x:si>
  <x:si>
    <x:t>UBS.RD.ZZ</x:t>
  </x:si>
  <x:si>
    <x:t>- - - - Providing goods in relation to climate change</x:t>
  </x:si>
  <x:si>
    <x:t>http://id.who.int/icd/entity/1110867412</x:t>
  </x:si>
  <x:si>
    <x:t>http://id.who.int/icd/release/11/beta/ichi/1110867412</x:t>
  </x:si>
  <x:si>
    <x:t>UBS.RG.ZZ</x:t>
  </x:si>
  <x:si>
    <x:t>- - - - Providing services in relation to climate change</x:t>
  </x:si>
  <x:si>
    <x:t>http://id.who.int/icd/entity/1206364858</x:t>
  </x:si>
  <x:si>
    <x:t>http://id.who.int/icd/release/11/beta/ichi/1206364858</x:t>
  </x:si>
  <x:si>
    <x:t>UBS.TA.ZZ</x:t>
  </x:si>
  <x:si>
    <x:t>- - - - Advocacy in relation to climate change</x:t>
  </x:si>
  <x:si>
    <x:t>http://id.who.int/icd/entity/1813693994</x:t>
  </x:si>
  <x:si>
    <x:t>http://id.who.int/icd/release/11/beta/ichi/1813693994</x:t>
  </x:si>
  <x:si>
    <x:t>UBS.TB.ZZ</x:t>
  </x:si>
  <x:si>
    <x:t>- - - - Planning in relation to climate change</x:t>
  </x:si>
  <x:si>
    <x:t>http://id.who.int/icd/entity/2103043678</x:t>
  </x:si>
  <x:si>
    <x:t>http://id.who.int/icd/release/11/beta/ichi/2103043678</x:t>
  </x:si>
  <x:si>
    <x:t>UBS.TD.ZZ</x:t>
  </x:si>
  <x:si>
    <x:t>- - - - Collaboration relating to climate change</x:t>
  </x:si>
  <x:si>
    <x:t>http://id.who.int/icd/entity/149905967</x:t>
  </x:si>
  <x:si>
    <x:t>http://id.who.int/icd/release/11/beta/ichi/149905967</x:t>
  </x:si>
  <x:si>
    <x:t>UBS.TK.ZZ</x:t>
  </x:si>
  <x:si>
    <x:t>- - - - Public facilities or infrastructure development in relation to climate change</x:t>
  </x:si>
  <x:si>
    <x:t>http://id.who.int/icd/entity/1486142366</x:t>
  </x:si>
  <x:si>
    <x:t>http://id.who.int/icd/release/11/beta/ichi/1486142366</x:t>
  </x:si>
  <x:si>
    <x:t>UBS.TM.ZZ</x:t>
  </x:si>
  <x:si>
    <x:t>- - - - Environment modification in relation to climate change</x:t>
  </x:si>
  <x:si>
    <x:t>http://id.who.int/icd/entity/123136701</x:t>
  </x:si>
  <x:si>
    <x:t>http://id.who.int/icd/release/11/beta/ichi/123136701</x:t>
  </x:si>
  <x:si>
    <x:t>UBS.VA.ZZ</x:t>
  </x:si>
  <x:si>
    <x:t>- - - - Capacity building targeting climate change</x:t>
  </x:si>
  <x:si>
    <x:t>http://id.who.int/icd/entity/749438509</x:t>
  </x:si>
  <x:si>
    <x:t>http://id.who.int/icd/release/11/beta/ichi/749438509</x:t>
  </x:si>
  <x:si>
    <x:t>UBS.VB.ZZ</x:t>
  </x:si>
  <x:si>
    <x:t>- - - - Awareness raising concerning climate change</x:t>
  </x:si>
  <x:si>
    <x:t>http://id.who.int/icd/entity/2026535378</x:t>
  </x:si>
  <x:si>
    <x:t>http://id.who.int/icd/release/11/beta/ichi/2026535378</x:t>
  </x:si>
  <x:si>
    <x:t>UBS.VC.ZZ</x:t>
  </x:si>
  <x:si>
    <x:t>- - - - Public health surveillance concerning climate change</x:t>
  </x:si>
  <x:si>
    <x:t>http://id.who.int/icd/entity/784078064</x:t>
  </x:si>
  <x:si>
    <x:t>http://id.who.int/icd/release/11/beta/ichi/784078064</x:t>
  </x:si>
  <x:si>
    <x:t>UBS.VE.ZZ</x:t>
  </x:si>
  <x:si>
    <x:t>- - - - Infection control measures in relation to climate change</x:t>
  </x:si>
  <x:si>
    <x:t>http://id.who.int/icd/entity/654846193</x:t>
  </x:si>
  <x:si>
    <x:t>http://id.who.int/icd/release/11/beta/ichi/654846193</x:t>
  </x:si>
  <x:si>
    <x:t>UBS.VF.ZZ</x:t>
  </x:si>
  <x:si>
    <x:t>- - - - Alert concerning climate change</x:t>
  </x:si>
  <x:si>
    <x:t>http://id.who.int/icd/entity/2004087104</x:t>
  </x:si>
  <x:si>
    <x:t>http://id.who.int/icd/release/11/beta/ichi/2004087104</x:t>
  </x:si>
  <x:si>
    <x:t>UBS.VL.ZZ</x:t>
  </x:si>
  <x:si>
    <x:t>- - - - Environmental remediation in relation to climate change</x:t>
  </x:si>
  <x:si>
    <x:t>http://id.who.int/icd/entity/1109344058</x:t>
  </x:si>
  <x:si>
    <x:t>http://id.who.int/icd/release/11/beta/ichi/1109344058</x:t>
  </x:si>
  <x:si>
    <x:t>UBS.VN.ZZ</x:t>
  </x:si>
  <x:si>
    <x:t>- - - - Establishing health services or health-related services in relation to climate change</x:t>
  </x:si>
  <x:si>
    <x:t>http://id.who.int/icd/entity/1776440234</x:t>
  </x:si>
  <x:si>
    <x:t>http://id.who.int/icd/release/11/beta/ichi/1776440234</x:t>
  </x:si>
  <x:si>
    <x:t>UBS.VO.ZZ</x:t>
  </x:si>
  <x:si>
    <x:t>- - - - Marshalling health services or health-related services in relation to climate change</x:t>
  </x:si>
  <x:si>
    <x:t>http://id.who.int/icd/entity/2023846878</x:t>
  </x:si>
  <x:si>
    <x:t>http://id.who.int/icd/release/11/beta/ichi/2023846878</x:t>
  </x:si>
  <x:si>
    <x:t>UBS.VP.ZZ</x:t>
  </x:si>
  <x:si>
    <x:t>- - - - Improving access to health services or health-related services in relation to climate change</x:t>
  </x:si>
  <x:si>
    <x:t>http://id.who.int/icd/entity/219674543</x:t>
  </x:si>
  <x:si>
    <x:t>http://id.who.int/icd/release/11/beta/ichi/219674543</x:t>
  </x:si>
  <x:si>
    <x:t>UBS.VR.ZZ</x:t>
  </x:si>
  <x:si>
    <x:t>- - - - Reducing emissions in relation to climate change</x:t>
  </x:si>
  <x:si>
    <x:t>http://id.who.int/icd/entity/1567370782</x:t>
  </x:si>
  <x:si>
    <x:t>http://id.who.int/icd/release/11/beta/ichi/1567370782</x:t>
  </x:si>
  <x:si>
    <x:t>UBS.WC.ZZ</x:t>
  </x:si>
  <x:si>
    <x:t>- - - - Restrictions on the sale or distribution of products or services in relation to climate change</x:t>
  </x:si>
  <x:si>
    <x:t>http://id.who.int/icd/entity/44990269</x:t>
  </x:si>
  <x:si>
    <x:t>http://id.who.int/icd/release/11/beta/ichi/44990269</x:t>
  </x:si>
  <x:si>
    <x:t>UBS.WD.ZZ</x:t>
  </x:si>
  <x:si>
    <x:t>- - - - Restrictions on advertising, promotion or sponsorship of products or services in relation to climate change</x:t>
  </x:si>
  <x:si>
    <x:t>http://id.who.int/icd/entity/693310381</x:t>
  </x:si>
  <x:si>
    <x:t>http://id.who.int/icd/release/11/beta/ichi/693310381</x:t>
  </x:si>
  <x:si>
    <x:t>UBS.WE.ZZ</x:t>
  </x:si>
  <x:si>
    <x:t>- - - - Restrictions on production or importation of products or services in relation to climate change</x:t>
  </x:si>
  <x:si>
    <x:t>http://id.who.int/icd/entity/1644410264</x:t>
  </x:si>
  <x:si>
    <x:t>http://id.who.int/icd/release/11/beta/ichi/1644410264</x:t>
  </x:si>
  <x:si>
    <x:t>UBS.WG.QF</x:t>
  </x:si>
  <x:si>
    <x:t>- - - - Economic incentives in relation to climate change</x:t>
  </x:si>
  <x:si>
    <x:t>http://id.who.int/icd/entity/1036117173</x:t>
  </x:si>
  <x:si>
    <x:t>http://id.who.int/icd/release/11/beta/ichi/1036117173</x:t>
  </x:si>
  <x:si>
    <x:t>UBS.WG.ZZ</x:t>
  </x:si>
  <x:si>
    <x:t>- - - - Applying incentives in relation to climate change</x:t>
  </x:si>
  <x:si>
    <x:t>http://id.who.int/icd/entity/1840921862</x:t>
  </x:si>
  <x:si>
    <x:t>http://id.who.int/icd/release/11/beta/ichi/1840921862</x:t>
  </x:si>
  <x:si>
    <x:t>UBS.WI.QD</x:t>
  </x:si>
  <x:si>
    <x:t>- - - - Restrictions through enactment of laws or standards in relation to climate change</x:t>
  </x:si>
  <x:si>
    <x:t>http://id.who.int/icd/entity/403487095</x:t>
  </x:si>
  <x:si>
    <x:t>http://id.who.int/icd/release/11/beta/ichi/403487095</x:t>
  </x:si>
  <x:si>
    <x:t>UBS.WI.QE</x:t>
  </x:si>
  <x:si>
    <x:t>- - - - Restrictions through enforcement of laws or standards in relation to climate change</x:t>
  </x:si>
  <x:si>
    <x:t>http://id.who.int/icd/entity/871486951</x:t>
  </x:si>
  <x:si>
    <x:t>http://id.who.int/icd/release/11/beta/ichi/871486951</x:t>
  </x:si>
  <x:si>
    <x:t>UBS.WI.ZZ</x:t>
  </x:si>
  <x:si>
    <x:t>- - - - Restrictions through laws or standards in relation to climate change</x:t>
  </x:si>
  <x:si>
    <x:t>http://id.who.int/icd/entity/582153617</x:t>
  </x:si>
  <x:si>
    <x:t>http://id.who.int/icd/release/11/beta/ichi/582153617</x:t>
  </x:si>
  <x:si>
    <x:t>UBS.WJ.ZZ</x:t>
  </x:si>
  <x:si>
    <x:t>- - - - Policy change in relation to climate change</x:t>
  </x:si>
  <x:si>
    <x:t>http://id.who.int/icd/entity/766299507</x:t>
  </x:si>
  <x:si>
    <x:t>http://id.who.int/icd/release/11/beta/ichi/766299507</x:t>
  </x:si>
  <x:si>
    <x:t>UBT.AA.ZZ</x:t>
  </x:si>
  <x:si>
    <x:t>- - - - Assessment of the impact of land pollution</x:t>
  </x:si>
  <x:si>
    <x:t>http://id.who.int/icd/entity/1919851600</x:t>
  </x:si>
  <x:si>
    <x:t>http://id.who.int/icd/release/11/beta/ichi/1919851600</x:t>
  </x:si>
  <x:si>
    <x:t>UBT.PH.ZZ</x:t>
  </x:si>
  <x:si>
    <x:t>- - - - Training about land pollution</x:t>
  </x:si>
  <x:si>
    <x:t>http://id.who.int/icd/entity/571819489</x:t>
  </x:si>
  <x:si>
    <x:t>http://id.who.int/icd/release/11/beta/ichi/571819489</x:t>
  </x:si>
  <x:si>
    <x:t>UBT.PM.ZZ</x:t>
  </x:si>
  <x:si>
    <x:t>- - - - Education about aspects of land pollution</x:t>
  </x:si>
  <x:si>
    <x:t>http://id.who.int/icd/entity/346807552</x:t>
  </x:si>
  <x:si>
    <x:t>http://id.who.int/icd/release/11/beta/ichi/346807552</x:t>
  </x:si>
  <x:si>
    <x:t>UBT.PN.ZZ</x:t>
  </x:si>
  <x:si>
    <x:t>- - - - Advising about land pollution</x:t>
  </x:si>
  <x:si>
    <x:t>http://id.who.int/icd/entity/1062646160</x:t>
  </x:si>
  <x:si>
    <x:t>http://id.who.int/icd/release/11/beta/ichi/1062646160</x:t>
  </x:si>
  <x:si>
    <x:t>UBT.RB.ZZ</x:t>
  </x:si>
  <x:si>
    <x:t>- - - - Practical support about land pollution</x:t>
  </x:si>
  <x:si>
    <x:t>http://id.who.int/icd/entity/773165544</x:t>
  </x:si>
  <x:si>
    <x:t>http://id.who.int/icd/release/11/beta/ichi/773165544</x:t>
  </x:si>
  <x:si>
    <x:t>UBT.RD.ZZ</x:t>
  </x:si>
  <x:si>
    <x:t>- - - - Providing goods in relation to land pollution</x:t>
  </x:si>
  <x:si>
    <x:t>http://id.who.int/icd/entity/1537414549</x:t>
  </x:si>
  <x:si>
    <x:t>http://id.who.int/icd/release/11/beta/ichi/1537414549</x:t>
  </x:si>
  <x:si>
    <x:t>UBT.RG.ZZ</x:t>
  </x:si>
  <x:si>
    <x:t>- - - - Providing services in relation to land pollution</x:t>
  </x:si>
  <x:si>
    <x:t>http://id.who.int/icd/entity/198757412</x:t>
  </x:si>
  <x:si>
    <x:t>http://id.who.int/icd/release/11/beta/ichi/198757412</x:t>
  </x:si>
  <x:si>
    <x:t>UBT.TA.ZZ</x:t>
  </x:si>
  <x:si>
    <x:t>- - - - Advocacy in relation to land pollution</x:t>
  </x:si>
  <x:si>
    <x:t>http://id.who.int/icd/entity/1411030279</x:t>
  </x:si>
  <x:si>
    <x:t>http://id.who.int/icd/release/11/beta/ichi/1411030279</x:t>
  </x:si>
  <x:si>
    <x:t>UBT.TB.ZZ</x:t>
  </x:si>
  <x:si>
    <x:t>- - - - Planning in relation to land pollution</x:t>
  </x:si>
  <x:si>
    <x:t>http://id.who.int/icd/entity/2145907095</x:t>
  </x:si>
  <x:si>
    <x:t>http://id.who.int/icd/release/11/beta/ichi/2145907095</x:t>
  </x:si>
  <x:si>
    <x:t>UBT.TD.ZZ</x:t>
  </x:si>
  <x:si>
    <x:t>- - - - Collaboration relating to land pollution</x:t>
  </x:si>
  <x:si>
    <x:t>http://id.who.int/icd/entity/884430766</x:t>
  </x:si>
  <x:si>
    <x:t>http://id.who.int/icd/release/11/beta/ichi/884430766</x:t>
  </x:si>
  <x:si>
    <x:t>UBT.TK.ZZ</x:t>
  </x:si>
  <x:si>
    <x:t>- - - - Public facilities or infrastructure development in relation to land pollution</x:t>
  </x:si>
  <x:si>
    <x:t>http://id.who.int/icd/entity/1802831503</x:t>
  </x:si>
  <x:si>
    <x:t>http://id.who.int/icd/release/11/beta/ichi/1802831503</x:t>
  </x:si>
  <x:si>
    <x:t>UBT.TM.ZZ</x:t>
  </x:si>
  <x:si>
    <x:t>- - - - Environment modification in relation to land pollution</x:t>
  </x:si>
  <x:si>
    <x:t>http://id.who.int/icd/entity/990830400</x:t>
  </x:si>
  <x:si>
    <x:t>http://id.who.int/icd/release/11/beta/ichi/990830400</x:t>
  </x:si>
  <x:si>
    <x:t>UBT.VA.ZZ</x:t>
  </x:si>
  <x:si>
    <x:t>- - - - Capacity building targeting land pollution</x:t>
  </x:si>
  <x:si>
    <x:t>http://id.who.int/icd/entity/1320704845</x:t>
  </x:si>
  <x:si>
    <x:t>http://id.who.int/icd/release/11/beta/ichi/1320704845</x:t>
  </x:si>
  <x:si>
    <x:t>UBT.VB.ZZ</x:t>
  </x:si>
  <x:si>
    <x:t>- - - - Awareness raising concerning land pollution</x:t>
  </x:si>
  <x:si>
    <x:t>http://id.who.int/icd/entity/1699035101</x:t>
  </x:si>
  <x:si>
    <x:t>http://id.who.int/icd/release/11/beta/ichi/1699035101</x:t>
  </x:si>
  <x:si>
    <x:t>UBT.VC.ZZ</x:t>
  </x:si>
  <x:si>
    <x:t>- - - - Public health surveillance concerning land pollution</x:t>
  </x:si>
  <x:si>
    <x:t>http://id.who.int/icd/entity/1073689736</x:t>
  </x:si>
  <x:si>
    <x:t>http://id.who.int/icd/release/11/beta/ichi/1073689736</x:t>
  </x:si>
  <x:si>
    <x:t>UBT.VE.ZZ</x:t>
  </x:si>
  <x:si>
    <x:t>- - - - Infection control measures in relation to land pollution</x:t>
  </x:si>
  <x:si>
    <x:t>http://id.who.int/icd/entity/1946556331</x:t>
  </x:si>
  <x:si>
    <x:t>http://id.who.int/icd/release/11/beta/ichi/1946556331</x:t>
  </x:si>
  <x:si>
    <x:t>UBT.VF.ZZ</x:t>
  </x:si>
  <x:si>
    <x:t>- - - - Alert concerning land pollution</x:t>
  </x:si>
  <x:si>
    <x:t>http://id.who.int/icd/entity/1860606209</x:t>
  </x:si>
  <x:si>
    <x:t>http://id.who.int/icd/release/11/beta/ichi/1860606209</x:t>
  </x:si>
  <x:si>
    <x:t>UBT.VL.ZZ</x:t>
  </x:si>
  <x:si>
    <x:t>- - - - Environmental remediation in relation to land pollution</x:t>
  </x:si>
  <x:si>
    <x:t>http://id.who.int/icd/entity/1050493104</x:t>
  </x:si>
  <x:si>
    <x:t>http://id.who.int/icd/release/11/beta/ichi/1050493104</x:t>
  </x:si>
  <x:si>
    <x:t>UBT.VN.ZZ</x:t>
  </x:si>
  <x:si>
    <x:t>- - - - Establishing health services or health-related services in relation to land pollution</x:t>
  </x:si>
  <x:si>
    <x:t>http://id.who.int/icd/entity/1633620371</x:t>
  </x:si>
  <x:si>
    <x:t>http://id.who.int/icd/release/11/beta/ichi/1633620371</x:t>
  </x:si>
  <x:si>
    <x:t>UBT.VO.ZZ</x:t>
  </x:si>
  <x:si>
    <x:t>- - - - Marshalling health services or health-related services in relation to land pollution</x:t>
  </x:si>
  <x:si>
    <x:t>http://id.who.int/icd/entity/1252162819</x:t>
  </x:si>
  <x:si>
    <x:t>http://id.who.int/icd/release/11/beta/ichi/1252162819</x:t>
  </x:si>
  <x:si>
    <x:t>UBT.VP.ZZ</x:t>
  </x:si>
  <x:si>
    <x:t>- - - - Improving access to health services or health-related services in relation to land pollution</x:t>
  </x:si>
  <x:si>
    <x:t>http://id.who.int/icd/entity/827310638</x:t>
  </x:si>
  <x:si>
    <x:t>http://id.who.int/icd/release/11/beta/ichi/827310638</x:t>
  </x:si>
  <x:si>
    <x:t>UBT.VR.ZZ</x:t>
  </x:si>
  <x:si>
    <x:t>- - - - Reducing emissions from land pollution</x:t>
  </x:si>
  <x:si>
    <x:t>http://id.who.int/icd/entity/1854771983</x:t>
  </x:si>
  <x:si>
    <x:t>http://id.who.int/icd/release/11/beta/ichi/1854771983</x:t>
  </x:si>
  <x:si>
    <x:t>UBT.WC.ZZ</x:t>
  </x:si>
  <x:si>
    <x:t>- - - - Restrictions on the sale or distribution of products or services in relation to land pollution</x:t>
  </x:si>
  <x:si>
    <x:t>http://id.who.int/icd/entity/1056328384</x:t>
  </x:si>
  <x:si>
    <x:t>http://id.who.int/icd/release/11/beta/ichi/1056328384</x:t>
  </x:si>
  <x:si>
    <x:t>UBT.WD.ZZ</x:t>
  </x:si>
  <x:si>
    <x:t>- - - - Restrictions on advertising, promotion or sponsorship of products or services in relation to land pollution</x:t>
  </x:si>
  <x:si>
    <x:t>http://id.who.int/icd/entity/1262538445</x:t>
  </x:si>
  <x:si>
    <x:t>http://id.who.int/icd/release/11/beta/ichi/1262538445</x:t>
  </x:si>
  <x:si>
    <x:t>UBT.WE.ZZ</x:t>
  </x:si>
  <x:si>
    <x:t>- - - - Restrictions on production or importation of products or services in relation to land pollution</x:t>
  </x:si>
  <x:si>
    <x:t>http://id.who.int/icd/entity/1623040605</x:t>
  </x:si>
  <x:si>
    <x:t>http://id.who.int/icd/release/11/beta/ichi/1623040605</x:t>
  </x:si>
  <x:si>
    <x:t>UBT.WG.QF</x:t>
  </x:si>
  <x:si>
    <x:t>- - - - Economic incentives in relation to land pollution</x:t>
  </x:si>
  <x:si>
    <x:t>http://id.who.int/icd/entity/1912504875</x:t>
  </x:si>
  <x:si>
    <x:t>http://id.who.int/icd/release/11/beta/ichi/1912504875</x:t>
  </x:si>
  <x:si>
    <x:t>UBT.WG.ZZ</x:t>
  </x:si>
  <x:si>
    <x:t>- - - - Applying incentives in relation to land pollution</x:t>
  </x:si>
  <x:si>
    <x:t>http://id.who.int/icd/entity/1949259077</x:t>
  </x:si>
  <x:si>
    <x:t>http://id.who.int/icd/release/11/beta/ichi/1949259077</x:t>
  </x:si>
  <x:si>
    <x:t>UBT.WI.QD</x:t>
  </x:si>
  <x:si>
    <x:t>- - - - Restrictions through enactment of laws or standards in relation to land pollution</x:t>
  </x:si>
  <x:si>
    <x:t>http://id.who.int/icd/entity/609520886</x:t>
  </x:si>
  <x:si>
    <x:t>http://id.who.int/icd/release/11/beta/ichi/609520886</x:t>
  </x:si>
  <x:si>
    <x:t>UBT.WI.QE</x:t>
  </x:si>
  <x:si>
    <x:t>- - - - Restrictions through enforcement of laws or standards in relation to land pollution</x:t>
  </x:si>
  <x:si>
    <x:t>http://id.who.int/icd/entity/2073484759</x:t>
  </x:si>
  <x:si>
    <x:t>http://id.who.int/icd/release/11/beta/ichi/2073484759</x:t>
  </x:si>
  <x:si>
    <x:t>UBT.WI.ZZ</x:t>
  </x:si>
  <x:si>
    <x:t>- - - - Restrictions through laws or standards in relation to land pollution</x:t>
  </x:si>
  <x:si>
    <x:t>http://id.who.int/icd/entity/1349235015</x:t>
  </x:si>
  <x:si>
    <x:t>http://id.who.int/icd/release/11/beta/ichi/1349235015</x:t>
  </x:si>
  <x:si>
    <x:t>UBT.WJ.ZZ</x:t>
  </x:si>
  <x:si>
    <x:t>- - - - Policy change in relation to land pollution</x:t>
  </x:si>
  <x:si>
    <x:t>http://id.who.int/icd/entity/785984410</x:t>
  </x:si>
  <x:si>
    <x:t>http://id.who.int/icd/release/11/beta/ichi/785984410</x:t>
  </x:si>
  <x:si>
    <x:t>UBU.AA.ZZ</x:t>
  </x:si>
  <x:si>
    <x:t>- - - - Assessment of the impact of water pollution</x:t>
  </x:si>
  <x:si>
    <x:t>http://id.who.int/icd/entity/1897626299</x:t>
  </x:si>
  <x:si>
    <x:t>http://id.who.int/icd/release/11/beta/ichi/1897626299</x:t>
  </x:si>
  <x:si>
    <x:t>UBU.PH.ZZ</x:t>
  </x:si>
  <x:si>
    <x:t>- - - - Training about water pollution</x:t>
  </x:si>
  <x:si>
    <x:t>http://id.who.int/icd/entity/1525028395</x:t>
  </x:si>
  <x:si>
    <x:t>http://id.who.int/icd/release/11/beta/ichi/1525028395</x:t>
  </x:si>
  <x:si>
    <x:t>UBU.PM.ZZ</x:t>
  </x:si>
  <x:si>
    <x:t>- - - - Education about aspects of water pollution</x:t>
  </x:si>
  <x:si>
    <x:t>http://id.who.int/icd/entity/243788246</x:t>
  </x:si>
  <x:si>
    <x:t>http://id.who.int/icd/release/11/beta/ichi/243788246</x:t>
  </x:si>
  <x:si>
    <x:t>UBU.PN.ZZ</x:t>
  </x:si>
  <x:si>
    <x:t>- - - - Advising about water pollution</x:t>
  </x:si>
  <x:si>
    <x:t>http://id.who.int/icd/entity/1363523831</x:t>
  </x:si>
  <x:si>
    <x:t>http://id.who.int/icd/release/11/beta/ichi/1363523831</x:t>
  </x:si>
  <x:si>
    <x:t>UBU.RB.ZZ</x:t>
  </x:si>
  <x:si>
    <x:t>- - - - Practical support about water pollution</x:t>
  </x:si>
  <x:si>
    <x:t>http://id.who.int/icd/entity/20865352</x:t>
  </x:si>
  <x:si>
    <x:t>http://id.who.int/icd/release/11/beta/ichi/20865352</x:t>
  </x:si>
  <x:si>
    <x:t>UBU.RD.ZZ</x:t>
  </x:si>
  <x:si>
    <x:t>- - - - Providing goods in relation to water pollution</x:t>
  </x:si>
  <x:si>
    <x:t>http://id.who.int/icd/entity/1741281225</x:t>
  </x:si>
  <x:si>
    <x:t>http://id.who.int/icd/release/11/beta/ichi/1741281225</x:t>
  </x:si>
  <x:si>
    <x:t>UBU.RG.ZZ</x:t>
  </x:si>
  <x:si>
    <x:t>- - - - Providing services in relation to water pollution</x:t>
  </x:si>
  <x:si>
    <x:t>http://id.who.int/icd/entity/1278524249</x:t>
  </x:si>
  <x:si>
    <x:t>http://id.who.int/icd/release/11/beta/ichi/1278524249</x:t>
  </x:si>
  <x:si>
    <x:t>UBU.TA.ZZ</x:t>
  </x:si>
  <x:si>
    <x:t>- - - - Advocacy in relation to water pollution</x:t>
  </x:si>
  <x:si>
    <x:t>http://id.who.int/icd/entity/1568119599</x:t>
  </x:si>
  <x:si>
    <x:t>http://id.who.int/icd/release/11/beta/ichi/1568119599</x:t>
  </x:si>
  <x:si>
    <x:t>UBU.TB.ZZ</x:t>
  </x:si>
  <x:si>
    <x:t>- - - - Planning in relation to water pollution</x:t>
  </x:si>
  <x:si>
    <x:t>http://id.who.int/icd/entity/683745118</x:t>
  </x:si>
  <x:si>
    <x:t>http://id.who.int/icd/release/11/beta/ichi/683745118</x:t>
  </x:si>
  <x:si>
    <x:t>UBU.TD.ZZ</x:t>
  </x:si>
  <x:si>
    <x:t>- - - - Collaboration relating to water pollution</x:t>
  </x:si>
  <x:si>
    <x:t>http://id.who.int/icd/entity/2025506541</x:t>
  </x:si>
  <x:si>
    <x:t>http://id.who.int/icd/release/11/beta/ichi/2025506541</x:t>
  </x:si>
  <x:si>
    <x:t>UBU.TK.ZZ</x:t>
  </x:si>
  <x:si>
    <x:t>- - - - Public facilities or infrastructure development in relation to water pollution</x:t>
  </x:si>
  <x:si>
    <x:t>http://id.who.int/icd/entity/662214608</x:t>
  </x:si>
  <x:si>
    <x:t>http://id.who.int/icd/release/11/beta/ichi/662214608</x:t>
  </x:si>
  <x:si>
    <x:t>UBU.TM.ZZ</x:t>
  </x:si>
  <x:si>
    <x:t>- - - - Environment modification in relation to water pollution</x:t>
  </x:si>
  <x:si>
    <x:t>http://id.who.int/icd/entity/210107232</x:t>
  </x:si>
  <x:si>
    <x:t>http://id.who.int/icd/release/11/beta/ichi/210107232</x:t>
  </x:si>
  <x:si>
    <x:t>UBU.VA.ZZ</x:t>
  </x:si>
  <x:si>
    <x:t>- - - - Capacity building targeting water pollution</x:t>
  </x:si>
  <x:si>
    <x:t>http://id.who.int/icd/entity/1205165413</x:t>
  </x:si>
  <x:si>
    <x:t>http://id.who.int/icd/release/11/beta/ichi/1205165413</x:t>
  </x:si>
  <x:si>
    <x:t>UBU.VB.ZZ</x:t>
  </x:si>
  <x:si>
    <x:t>- - - - Awareness raising concerning water pollution</x:t>
  </x:si>
  <x:si>
    <x:t>http://id.who.int/icd/entity/404163654</x:t>
  </x:si>
  <x:si>
    <x:t>http://id.who.int/icd/release/11/beta/ichi/404163654</x:t>
  </x:si>
  <x:si>
    <x:t>UBU.VC.ZZ</x:t>
  </x:si>
  <x:si>
    <x:t>- - - - Public health surveillance concerning water pollution</x:t>
  </x:si>
  <x:si>
    <x:t>http://id.who.int/icd/entity/1978135989</x:t>
  </x:si>
  <x:si>
    <x:t>http://id.who.int/icd/release/11/beta/ichi/1978135989</x:t>
  </x:si>
  <x:si>
    <x:t>UBU.VE.ZZ</x:t>
  </x:si>
  <x:si>
    <x:t>- - - - Infection control measures in relation to water pollution</x:t>
  </x:si>
  <x:si>
    <x:t>http://id.who.int/icd/entity/1215092215</x:t>
  </x:si>
  <x:si>
    <x:t>http://id.who.int/icd/release/11/beta/ichi/1215092215</x:t>
  </x:si>
  <x:si>
    <x:t>UBU.VF.ZZ</x:t>
  </x:si>
  <x:si>
    <x:t>- - - - Alert concerning water pollution</x:t>
  </x:si>
  <x:si>
    <x:t>http://id.who.int/icd/entity/1037717894</x:t>
  </x:si>
  <x:si>
    <x:t>http://id.who.int/icd/release/11/beta/ichi/1037717894</x:t>
  </x:si>
  <x:si>
    <x:t>UBU.VL.ZZ</x:t>
  </x:si>
  <x:si>
    <x:t>- - - - Environmental remediation in relation to water pollution</x:t>
  </x:si>
  <x:si>
    <x:t>http://id.who.int/icd/entity/371670294</x:t>
  </x:si>
  <x:si>
    <x:t>http://id.who.int/icd/release/11/beta/ichi/371670294</x:t>
  </x:si>
  <x:si>
    <x:t>UBU.VN.ZZ</x:t>
  </x:si>
  <x:si>
    <x:t>- - - - Establishing health services or health-related services in relation to water pollution</x:t>
  </x:si>
  <x:si>
    <x:t>http://id.who.int/icd/entity/124001634</x:t>
  </x:si>
  <x:si>
    <x:t>http://id.who.int/icd/release/11/beta/ichi/124001634</x:t>
  </x:si>
  <x:si>
    <x:t>UBU.VO.ZZ</x:t>
  </x:si>
  <x:si>
    <x:t>- - - - Marshalling health services or health-related services in relation to water pollution</x:t>
  </x:si>
  <x:si>
    <x:t>http://id.who.int/icd/entity/495227850</x:t>
  </x:si>
  <x:si>
    <x:t>http://id.who.int/icd/release/11/beta/ichi/495227850</x:t>
  </x:si>
  <x:si>
    <x:t>UBU.VP.ZZ</x:t>
  </x:si>
  <x:si>
    <x:t>- - - - Improving access to health services or health-related services in relation to water pollution</x:t>
  </x:si>
  <x:si>
    <x:t>http://id.who.int/icd/entity/1308576377</x:t>
  </x:si>
  <x:si>
    <x:t>http://id.who.int/icd/release/11/beta/ichi/1308576377</x:t>
  </x:si>
  <x:si>
    <x:t>UBU.VR.ZZ</x:t>
  </x:si>
  <x:si>
    <x:t>- - - - Reducing emissions from water pollution</x:t>
  </x:si>
  <x:si>
    <x:t>http://id.who.int/icd/entity/305994588</x:t>
  </x:si>
  <x:si>
    <x:t>http://id.who.int/icd/release/11/beta/ichi/305994588</x:t>
  </x:si>
  <x:si>
    <x:t>UBU.WC.ZZ</x:t>
  </x:si>
  <x:si>
    <x:t>- - - - Restrictions on the sale or distribution of products or services in relation to water pollution</x:t>
  </x:si>
  <x:si>
    <x:t>http://id.who.int/icd/entity/968914892</x:t>
  </x:si>
  <x:si>
    <x:t>http://id.who.int/icd/release/11/beta/ichi/968914892</x:t>
  </x:si>
  <x:si>
    <x:t>UBU.WD.ZZ</x:t>
  </x:si>
  <x:si>
    <x:t>- - - - Restrictions on advertising, promotion or sponsorship of products or services in relation to water pollution</x:t>
  </x:si>
  <x:si>
    <x:t>http://id.who.int/icd/entity/1110296805</x:t>
  </x:si>
  <x:si>
    <x:t>http://id.who.int/icd/release/11/beta/ichi/1110296805</x:t>
  </x:si>
  <x:si>
    <x:t>UBU.WE.ZZ</x:t>
  </x:si>
  <x:si>
    <x:t>- - - - Restrictions on production or importation of products or services in relation to water pollution</x:t>
  </x:si>
  <x:si>
    <x:t>http://id.who.int/icd/entity/502241734</x:t>
  </x:si>
  <x:si>
    <x:t>http://id.who.int/icd/release/11/beta/ichi/502241734</x:t>
  </x:si>
  <x:si>
    <x:t>UBU.WG.QF</x:t>
  </x:si>
  <x:si>
    <x:t>- - - - Economic incentives in relation to water pollution</x:t>
  </x:si>
  <x:si>
    <x:t>http://id.who.int/icd/entity/1301561463</x:t>
  </x:si>
  <x:si>
    <x:t>http://id.who.int/icd/release/11/beta/ichi/1301561463</x:t>
  </x:si>
  <x:si>
    <x:t>UBU.WG.ZZ</x:t>
  </x:si>
  <x:si>
    <x:t>- - - - Applying incentives in relation to water pollution</x:t>
  </x:si>
  <x:si>
    <x:t>http://id.who.int/icd/entity/941802502</x:t>
  </x:si>
  <x:si>
    <x:t>http://id.who.int/icd/release/11/beta/ichi/941802502</x:t>
  </x:si>
  <x:si>
    <x:t>UBU.WI.QD</x:t>
  </x:si>
  <x:si>
    <x:t>- - - - Restrictions through enactment of laws or standards in relation to water pollution</x:t>
  </x:si>
  <x:si>
    <x:t>http://id.who.int/icd/entity/333424790</x:t>
  </x:si>
  <x:si>
    <x:t>http://id.who.int/icd/release/11/beta/ichi/333424790</x:t>
  </x:si>
  <x:si>
    <x:t>UBU.WI.QE</x:t>
  </x:si>
  <x:si>
    <x:t>- - - - Restrictions through enforcement of laws or standards in relation to water pollution</x:t>
  </x:si>
  <x:si>
    <x:t>http://id.who.int/icd/entity/43813090</x:t>
  </x:si>
  <x:si>
    <x:t>http://id.who.int/icd/release/11/beta/ichi/43813090</x:t>
  </x:si>
  <x:si>
    <x:t>UBU.WI.ZZ</x:t>
  </x:si>
  <x:si>
    <x:t>- - - - Restrictions through laws or standards in relation to water pollution</x:t>
  </x:si>
  <x:si>
    <x:t>http://id.who.int/icd/entity/122511244</x:t>
  </x:si>
  <x:si>
    <x:t>http://id.who.int/icd/release/11/beta/ichi/122511244</x:t>
  </x:si>
  <x:si>
    <x:t>UBU.WJ.ZZ</x:t>
  </x:si>
  <x:si>
    <x:t>- - - - Policy change in relation to water pollution</x:t>
  </x:si>
  <x:si>
    <x:t>http://id.who.int/icd/entity/95006909</x:t>
  </x:si>
  <x:si>
    <x:t>http://id.who.int/icd/release/11/beta/ichi/95006909</x:t>
  </x:si>
  <x:si>
    <x:t>BlockL3-UC1</x:t>
  </x:si>
  <x:si>
    <x:t>- - - Interventions on support and relationships</x:t>
  </x:si>
  <x:si>
    <x:t>183</x:t>
  </x:si>
  <x:si>
    <x:t>http://id.who.int/icd/entity/626049665</x:t>
  </x:si>
  <x:si>
    <x:t>http://id.who.int/icd/release/11/beta/ichi/626049665</x:t>
  </x:si>
  <x:si>
    <x:t>UC1.AA.ZZ</x:t>
  </x:si>
  <x:si>
    <x:t>- - - - Assessment of support and relationships, unspecified</x:t>
  </x:si>
  <x:si>
    <x:t>http://id.who.int/icd/entity/1342422626</x:t>
  </x:si>
  <x:si>
    <x:t>http://id.who.int/icd/release/11/beta/ichi/1342422626</x:t>
  </x:si>
  <x:si>
    <x:t>UC1.PM.ZZ</x:t>
  </x:si>
  <x:si>
    <x:t>- - - - Education about support and relationships, unspecified</x:t>
  </x:si>
  <x:si>
    <x:t>http://id.who.int/icd/entity/2135114958</x:t>
  </x:si>
  <x:si>
    <x:t>http://id.who.int/icd/release/11/beta/ichi/2135114958</x:t>
  </x:si>
  <x:si>
    <x:t>UC1.PN.ZZ</x:t>
  </x:si>
  <x:si>
    <x:t>- - - - Advising about support and relationships, unspecified</x:t>
  </x:si>
  <x:si>
    <x:t>http://id.who.int/icd/entity/705475203</x:t>
  </x:si>
  <x:si>
    <x:t>http://id.who.int/icd/release/11/beta/ichi/705475203</x:t>
  </x:si>
  <x:si>
    <x:t>UC1.RB.ZZ</x:t>
  </x:si>
  <x:si>
    <x:t>- - - - Practical support with personal support and relationships, unspecified</x:t>
  </x:si>
  <x:si>
    <x:t>http://id.who.int/icd/entity/1148498412</x:t>
  </x:si>
  <x:si>
    <x:t>http://id.who.int/icd/release/11/beta/ichi/1148498412</x:t>
  </x:si>
  <x:si>
    <x:t>UC1.RC.ZZ</x:t>
  </x:si>
  <x:si>
    <x:t>- - - - Emotional support for personal support and relationships, unspecified</x:t>
  </x:si>
  <x:si>
    <x:t>http://id.who.int/icd/entity/1299298535</x:t>
  </x:si>
  <x:si>
    <x:t>http://id.who.int/icd/release/11/beta/ichi/1299298535</x:t>
  </x:si>
  <x:si>
    <x:t>UC1.RG.ZZ</x:t>
  </x:si>
  <x:si>
    <x:t>- - - - Providing services in relation to support and relationships, unspecified</x:t>
  </x:si>
  <x:si>
    <x:t>http://id.who.int/icd/entity/487219542</x:t>
  </x:si>
  <x:si>
    <x:t>http://id.who.int/icd/release/11/beta/ichi/487219542</x:t>
  </x:si>
  <x:si>
    <x:t>UC1.TA.ZZ</x:t>
  </x:si>
  <x:si>
    <x:t>- - - - Advocacy in relation to support and relationships, unspecified</x:t>
  </x:si>
  <x:si>
    <x:t>http://id.who.int/icd/entity/1757209893</x:t>
  </x:si>
  <x:si>
    <x:t>http://id.who.int/icd/release/11/beta/ichi/1757209893</x:t>
  </x:si>
  <x:si>
    <x:t>UC1.TB.ZZ</x:t>
  </x:si>
  <x:si>
    <x:t>- - - - Planning in relation to support and relationships, unspecified</x:t>
  </x:si>
  <x:si>
    <x:t>http://id.who.int/icd/entity/1128368565</x:t>
  </x:si>
  <x:si>
    <x:t>http://id.who.int/icd/release/11/beta/ichi/1128368565</x:t>
  </x:si>
  <x:si>
    <x:t>UC1.TD.ZZ</x:t>
  </x:si>
  <x:si>
    <x:t>- - - - Collaboration relating to support and relationships, unspecified</x:t>
  </x:si>
  <x:si>
    <x:t>http://id.who.int/icd/entity/1375906243</x:t>
  </x:si>
  <x:si>
    <x:t>http://id.who.int/icd/release/11/beta/ichi/1375906243</x:t>
  </x:si>
  <x:si>
    <x:t>UC1.VA.ZZ</x:t>
  </x:si>
  <x:si>
    <x:t>- - - - Capacity building targeting support and relationships, unspecified</x:t>
  </x:si>
  <x:si>
    <x:t>http://id.who.int/icd/entity/1222780777</x:t>
  </x:si>
  <x:si>
    <x:t>http://id.who.int/icd/release/11/beta/ichi/1222780777</x:t>
  </x:si>
  <x:si>
    <x:t>UC1.VB.ZZ</x:t>
  </x:si>
  <x:si>
    <x:t>- - - - Awareness raising concerning support and relationships, unspecified</x:t>
  </x:si>
  <x:si>
    <x:t>http://id.who.int/icd/entity/412745434</x:t>
  </x:si>
  <x:si>
    <x:t>http://id.who.int/icd/release/11/beta/ichi/412745434</x:t>
  </x:si>
  <x:si>
    <x:t>UC1.VC.ZZ</x:t>
  </x:si>
  <x:si>
    <x:t>- - - - Public health surveillance concerning support and relationships, unspecified</x:t>
  </x:si>
  <x:si>
    <x:t>http://id.who.int/icd/entity/1197191163</x:t>
  </x:si>
  <x:si>
    <x:t>http://id.who.int/icd/release/11/beta/ichi/1197191163</x:t>
  </x:si>
  <x:si>
    <x:t>UC1.VF.ZZ</x:t>
  </x:si>
  <x:si>
    <x:t>- - - - Alert concerning support and relationships, unspecified</x:t>
  </x:si>
  <x:si>
    <x:t>http://id.who.int/icd/entity/1822868331</x:t>
  </x:si>
  <x:si>
    <x:t>http://id.who.int/icd/release/11/beta/ichi/1822868331</x:t>
  </x:si>
  <x:si>
    <x:t>UC1.WG.QF</x:t>
  </x:si>
  <x:si>
    <x:t>- - - - Economic incentives in relation to support and relationships, unspecified</x:t>
  </x:si>
  <x:si>
    <x:t>http://id.who.int/icd/entity/59444866</x:t>
  </x:si>
  <x:si>
    <x:t>http://id.who.int/icd/release/11/beta/ichi/59444866</x:t>
  </x:si>
  <x:si>
    <x:t>UC1.WG.ZZ</x:t>
  </x:si>
  <x:si>
    <x:t>- - - - Applying incentives in relation to support and relationships, unspecified</x:t>
  </x:si>
  <x:si>
    <x:t>http://id.who.int/icd/entity/1548312483</x:t>
  </x:si>
  <x:si>
    <x:t>http://id.who.int/icd/release/11/beta/ichi/1548312483</x:t>
  </x:si>
  <x:si>
    <x:t>UC1.WJ.ZZ</x:t>
  </x:si>
  <x:si>
    <x:t>- - - - Policy change in relation to support and relationships, unspecified</x:t>
  </x:si>
  <x:si>
    <x:t>http://id.who.int/icd/entity/1071321824</x:t>
  </x:si>
  <x:si>
    <x:t>http://id.who.int/icd/release/11/beta/ichi/1071321824</x:t>
  </x:si>
  <x:si>
    <x:t>UC1.ZZ.ZZ</x:t>
  </x:si>
  <x:si>
    <x:t>- - - - Other interventions targeting unspecified support and relationships</x:t>
  </x:si>
  <x:si>
    <x:t>http://id.who.int/icd/entity/1976492962</x:t>
  </x:si>
  <x:si>
    <x:t>http://id.who.int/icd/release/11/beta/ichi/1976492962</x:t>
  </x:si>
  <x:si>
    <x:t>UCB.AA.ZZ</x:t>
  </x:si>
  <x:si>
    <x:t>- - - - Assessment of support from immediate family</x:t>
  </x:si>
  <x:si>
    <x:t>http://id.who.int/icd/entity/715850483</x:t>
  </x:si>
  <x:si>
    <x:t>http://id.who.int/icd/release/11/beta/ichi/715850483</x:t>
  </x:si>
  <x:si>
    <x:t>UCB.PM.ZZ</x:t>
  </x:si>
  <x:si>
    <x:t>- - - - Education about support from immediate family</x:t>
  </x:si>
  <x:si>
    <x:t>http://id.who.int/icd/entity/565124191</x:t>
  </x:si>
  <x:si>
    <x:t>http://id.who.int/icd/release/11/beta/ichi/565124191</x:t>
  </x:si>
  <x:si>
    <x:t>UCB.PN.ZZ</x:t>
  </x:si>
  <x:si>
    <x:t>- - - - Advising about support from immediate family</x:t>
  </x:si>
  <x:si>
    <x:t>http://id.who.int/icd/entity/751563822</x:t>
  </x:si>
  <x:si>
    <x:t>http://id.who.int/icd/release/11/beta/ichi/751563822</x:t>
  </x:si>
  <x:si>
    <x:t>UCB.RB.ZZ</x:t>
  </x:si>
  <x:si>
    <x:t>- - - - Practical support with immediate family</x:t>
  </x:si>
  <x:si>
    <x:t>http://id.who.int/icd/entity/1501392989</x:t>
  </x:si>
  <x:si>
    <x:t>http://id.who.int/icd/release/11/beta/ichi/1501392989</x:t>
  </x:si>
  <x:si>
    <x:t>UCB.RG.ZZ</x:t>
  </x:si>
  <x:si>
    <x:t>- - - - Providing services in relation to support from immediate family</x:t>
  </x:si>
  <x:si>
    <x:t>http://id.who.int/icd/entity/1920998605</x:t>
  </x:si>
  <x:si>
    <x:t>http://id.who.int/icd/release/11/beta/ichi/1920998605</x:t>
  </x:si>
  <x:si>
    <x:t>UCB.TA.ZZ</x:t>
  </x:si>
  <x:si>
    <x:t>- - - - Advocacy in relation to support from immediate family</x:t>
  </x:si>
  <x:si>
    <x:t>http://id.who.int/icd/entity/1673739451</x:t>
  </x:si>
  <x:si>
    <x:t>http://id.who.int/icd/release/11/beta/ichi/1673739451</x:t>
  </x:si>
  <x:si>
    <x:t>UCB.TB.ZZ</x:t>
  </x:si>
  <x:si>
    <x:t>- - - - Planning in relation to support from immediate family</x:t>
  </x:si>
  <x:si>
    <x:t>http://id.who.int/icd/entity/1712516053</x:t>
  </x:si>
  <x:si>
    <x:t>http://id.who.int/icd/release/11/beta/ichi/1712516053</x:t>
  </x:si>
  <x:si>
    <x:t>UCB.TD.ZZ</x:t>
  </x:si>
  <x:si>
    <x:t>- - - - Collaboration relating to support from immediate family</x:t>
  </x:si>
  <x:si>
    <x:t>http://id.who.int/icd/entity/912863844</x:t>
  </x:si>
  <x:si>
    <x:t>http://id.who.int/icd/release/11/beta/ichi/912863844</x:t>
  </x:si>
  <x:si>
    <x:t>UCB.VA.ZZ</x:t>
  </x:si>
  <x:si>
    <x:t>- - - - Capacity building targeting support from immediate family</x:t>
  </x:si>
  <x:si>
    <x:t>http://id.who.int/icd/entity/1772839751</x:t>
  </x:si>
  <x:si>
    <x:t>http://id.who.int/icd/release/11/beta/ichi/1772839751</x:t>
  </x:si>
  <x:si>
    <x:t>UCB.VB.ZZ</x:t>
  </x:si>
  <x:si>
    <x:t>- - - - Awareness raising concerning support from immediate family</x:t>
  </x:si>
  <x:si>
    <x:t>http://id.who.int/icd/entity/1112936407</x:t>
  </x:si>
  <x:si>
    <x:t>http://id.who.int/icd/release/11/beta/ichi/1112936407</x:t>
  </x:si>
  <x:si>
    <x:t>UCB.VC.ZZ</x:t>
  </x:si>
  <x:si>
    <x:t>- - - - Public health surveillance concerning support from immediate family</x:t>
  </x:si>
  <x:si>
    <x:t>http://id.who.int/icd/entity/2036464369</x:t>
  </x:si>
  <x:si>
    <x:t>http://id.who.int/icd/release/11/beta/ichi/2036464369</x:t>
  </x:si>
  <x:si>
    <x:t>UCB.VF.ZZ</x:t>
  </x:si>
  <x:si>
    <x:t>- - - - Alert concerning support from immediate family</x:t>
  </x:si>
  <x:si>
    <x:t>http://id.who.int/icd/entity/648260562</x:t>
  </x:si>
  <x:si>
    <x:t>http://id.who.int/icd/release/11/beta/ichi/648260562</x:t>
  </x:si>
  <x:si>
    <x:t>UCB.WG.QF</x:t>
  </x:si>
  <x:si>
    <x:t>- - - - Economic incentives in relation to support from immediate family</x:t>
  </x:si>
  <x:si>
    <x:t>http://id.who.int/icd/entity/1993896547</x:t>
  </x:si>
  <x:si>
    <x:t>http://id.who.int/icd/release/11/beta/ichi/1993896547</x:t>
  </x:si>
  <x:si>
    <x:t>UCB.WG.ZZ</x:t>
  </x:si>
  <x:si>
    <x:t>- - - - Applying incentives in relation to support from immediate family</x:t>
  </x:si>
  <x:si>
    <x:t>http://id.who.int/icd/entity/1815674057</x:t>
  </x:si>
  <x:si>
    <x:t>http://id.who.int/icd/release/11/beta/ichi/1815674057</x:t>
  </x:si>
  <x:si>
    <x:t>UCB.WJ.ZZ</x:t>
  </x:si>
  <x:si>
    <x:t>- - - - Policy change in relation to support from immediate family</x:t>
  </x:si>
  <x:si>
    <x:t>http://id.who.int/icd/entity/1969837008</x:t>
  </x:si>
  <x:si>
    <x:t>http://id.who.int/icd/release/11/beta/ichi/1969837008</x:t>
  </x:si>
  <x:si>
    <x:t>UCC.AA.ZZ</x:t>
  </x:si>
  <x:si>
    <x:t>- - - - Assessment of support from extended family</x:t>
  </x:si>
  <x:si>
    <x:t>http://id.who.int/icd/entity/1627189144</x:t>
  </x:si>
  <x:si>
    <x:t>http://id.who.int/icd/release/11/beta/ichi/1627189144</x:t>
  </x:si>
  <x:si>
    <x:t>UCC.PM.ZZ</x:t>
  </x:si>
  <x:si>
    <x:t>- - - - Education about support from extended family</x:t>
  </x:si>
  <x:si>
    <x:t>http://id.who.int/icd/entity/1337726264</x:t>
  </x:si>
  <x:si>
    <x:t>http://id.who.int/icd/release/11/beta/ichi/1337726264</x:t>
  </x:si>
  <x:si>
    <x:t>UCC.PN.ZZ</x:t>
  </x:si>
  <x:si>
    <x:t>- - - - Advising about support from extended family</x:t>
  </x:si>
  <x:si>
    <x:t>http://id.who.int/icd/entity/1131939431</x:t>
  </x:si>
  <x:si>
    <x:t>http://id.who.int/icd/release/11/beta/ichi/1131939431</x:t>
  </x:si>
  <x:si>
    <x:t>UCC.RB.ZZ</x:t>
  </x:si>
  <x:si>
    <x:t>- - - - Practical support with extended family</x:t>
  </x:si>
  <x:si>
    <x:t>http://id.who.int/icd/entity/319021014</x:t>
  </x:si>
  <x:si>
    <x:t>http://id.who.int/icd/release/11/beta/ichi/319021014</x:t>
  </x:si>
  <x:si>
    <x:t>UCC.RG.ZZ</x:t>
  </x:si>
  <x:si>
    <x:t>- - - - Providing services in relation to support from extended family</x:t>
  </x:si>
  <x:si>
    <x:t>http://id.who.int/icd/entity/644813228</x:t>
  </x:si>
  <x:si>
    <x:t>http://id.who.int/icd/release/11/beta/ichi/644813228</x:t>
  </x:si>
  <x:si>
    <x:t>UCC.TA.ZZ</x:t>
  </x:si>
  <x:si>
    <x:t>- - - - Advocacy in relation to support from extended family</x:t>
  </x:si>
  <x:si>
    <x:t>http://id.who.int/icd/entity/227704124</x:t>
  </x:si>
  <x:si>
    <x:t>http://id.who.int/icd/release/11/beta/ichi/227704124</x:t>
  </x:si>
  <x:si>
    <x:t>UCC.TB.ZZ</x:t>
  </x:si>
  <x:si>
    <x:t>- - - - Planning in relation to support from extended family</x:t>
  </x:si>
  <x:si>
    <x:t>http://id.who.int/icd/entity/483482956</x:t>
  </x:si>
  <x:si>
    <x:t>http://id.who.int/icd/release/11/beta/ichi/483482956</x:t>
  </x:si>
  <x:si>
    <x:t>UCC.TD.ZZ</x:t>
  </x:si>
  <x:si>
    <x:t>- - - - Collaboration relating to support from extended family</x:t>
  </x:si>
  <x:si>
    <x:t>http://id.who.int/icd/entity/1768413497</x:t>
  </x:si>
  <x:si>
    <x:t>http://id.who.int/icd/release/11/beta/ichi/1768413497</x:t>
  </x:si>
  <x:si>
    <x:t>UCC.VA.ZZ</x:t>
  </x:si>
  <x:si>
    <x:t>- - - - Capacity building targeting support from extended family</x:t>
  </x:si>
  <x:si>
    <x:t>http://id.who.int/icd/entity/958136456</x:t>
  </x:si>
  <x:si>
    <x:t>http://id.who.int/icd/release/11/beta/ichi/958136456</x:t>
  </x:si>
  <x:si>
    <x:t>UCC.VB.ZZ</x:t>
  </x:si>
  <x:si>
    <x:t>- - - - Awareness raising concerning support from extended family</x:t>
  </x:si>
  <x:si>
    <x:t>http://id.who.int/icd/entity/1725845931</x:t>
  </x:si>
  <x:si>
    <x:t>http://id.who.int/icd/release/11/beta/ichi/1725845931</x:t>
  </x:si>
  <x:si>
    <x:t>UCC.VC.ZZ</x:t>
  </x:si>
  <x:si>
    <x:t>- - - - Public health surveillance concerning support from extended family</x:t>
  </x:si>
  <x:si>
    <x:t>http://id.who.int/icd/entity/1294155067</x:t>
  </x:si>
  <x:si>
    <x:t>http://id.who.int/icd/release/11/beta/ichi/1294155067</x:t>
  </x:si>
  <x:si>
    <x:t>UCC.VF.ZZ</x:t>
  </x:si>
  <x:si>
    <x:t>- - - - Alert concerning support from extended family</x:t>
  </x:si>
  <x:si>
    <x:t>http://id.who.int/icd/entity/108239618</x:t>
  </x:si>
  <x:si>
    <x:t>http://id.who.int/icd/release/11/beta/ichi/108239618</x:t>
  </x:si>
  <x:si>
    <x:t>UCC.WG.QF</x:t>
  </x:si>
  <x:si>
    <x:t>- - - - Economic incentives in relation to support from extended family</x:t>
  </x:si>
  <x:si>
    <x:t>http://id.who.int/icd/entity/1504823843</x:t>
  </x:si>
  <x:si>
    <x:t>http://id.who.int/icd/release/11/beta/ichi/1504823843</x:t>
  </x:si>
  <x:si>
    <x:t>UCC.WG.ZZ</x:t>
  </x:si>
  <x:si>
    <x:t>- - - - Applying incentives in relation to support from extended family</x:t>
  </x:si>
  <x:si>
    <x:t>http://id.who.int/icd/entity/164238228</x:t>
  </x:si>
  <x:si>
    <x:t>http://id.who.int/icd/release/11/beta/ichi/164238228</x:t>
  </x:si>
  <x:si>
    <x:t>UCC.WJ.ZZ</x:t>
  </x:si>
  <x:si>
    <x:t>- - - - Policy change in relation to support from extended family</x:t>
  </x:si>
  <x:si>
    <x:t>http://id.who.int/icd/entity/1061076661</x:t>
  </x:si>
  <x:si>
    <x:t>http://id.who.int/icd/release/11/beta/ichi/1061076661</x:t>
  </x:si>
  <x:si>
    <x:t>UCD.AA.ZZ</x:t>
  </x:si>
  <x:si>
    <x:t>- - - - Assessment of support from friends</x:t>
  </x:si>
  <x:si>
    <x:t>http://id.who.int/icd/entity/973771083</x:t>
  </x:si>
  <x:si>
    <x:t>http://id.who.int/icd/release/11/beta/ichi/973771083</x:t>
  </x:si>
  <x:si>
    <x:t>UCD.PM.ZZ</x:t>
  </x:si>
  <x:si>
    <x:t>- - - - Education about support from friends</x:t>
  </x:si>
  <x:si>
    <x:t>http://id.who.int/icd/entity/1160884820</x:t>
  </x:si>
  <x:si>
    <x:t>http://id.who.int/icd/release/11/beta/ichi/1160884820</x:t>
  </x:si>
  <x:si>
    <x:t>UCD.PN.ZZ</x:t>
  </x:si>
  <x:si>
    <x:t>- - - - Advising about support from friends</x:t>
  </x:si>
  <x:si>
    <x:t>http://id.who.int/icd/entity/1552279005</x:t>
  </x:si>
  <x:si>
    <x:t>http://id.who.int/icd/release/11/beta/ichi/1552279005</x:t>
  </x:si>
  <x:si>
    <x:t>UCD.RB.ZZ</x:t>
  </x:si>
  <x:si>
    <x:t>- - - - Practical support with friends</x:t>
  </x:si>
  <x:si>
    <x:t>http://id.who.int/icd/entity/2004388173</x:t>
  </x:si>
  <x:si>
    <x:t>http://id.who.int/icd/release/11/beta/ichi/2004388173</x:t>
  </x:si>
  <x:si>
    <x:t>UCD.RG.ZZ</x:t>
  </x:si>
  <x:si>
    <x:t>- - - - Providing services in relation to support from friends</x:t>
  </x:si>
  <x:si>
    <x:t>http://id.who.int/icd/entity/1715185979</x:t>
  </x:si>
  <x:si>
    <x:t>http://id.who.int/icd/release/11/beta/ichi/1715185979</x:t>
  </x:si>
  <x:si>
    <x:t>UCD.TA.ZZ</x:t>
  </x:si>
  <x:si>
    <x:t>- - - - Advocacy in relation to support from friends</x:t>
  </x:si>
  <x:si>
    <x:t>http://id.who.int/icd/entity/2094737297</x:t>
  </x:si>
  <x:si>
    <x:t>http://id.who.int/icd/release/11/beta/ichi/2094737297</x:t>
  </x:si>
  <x:si>
    <x:t>UCD.TB.ZZ</x:t>
  </x:si>
  <x:si>
    <x:t>- - - - Planning in relation to support from friends</x:t>
  </x:si>
  <x:si>
    <x:t>http://id.who.int/icd/entity/748748322</x:t>
  </x:si>
  <x:si>
    <x:t>http://id.who.int/icd/release/11/beta/ichi/748748322</x:t>
  </x:si>
  <x:si>
    <x:t>UCD.TD.ZZ</x:t>
  </x:si>
  <x:si>
    <x:t>- - - - Collaboration relating to support from friends</x:t>
  </x:si>
  <x:si>
    <x:t>http://id.who.int/icd/entity/1935847171</x:t>
  </x:si>
  <x:si>
    <x:t>http://id.who.int/icd/release/11/beta/ichi/1935847171</x:t>
  </x:si>
  <x:si>
    <x:t>UCD.VA.ZZ</x:t>
  </x:si>
  <x:si>
    <x:t>- - - - Capacity building targeting support from friends</x:t>
  </x:si>
  <x:si>
    <x:t>http://id.who.int/icd/entity/1486865299</x:t>
  </x:si>
  <x:si>
    <x:t>http://id.who.int/icd/release/11/beta/ichi/1486865299</x:t>
  </x:si>
  <x:si>
    <x:t>UCD.VB.ZZ</x:t>
  </x:si>
  <x:si>
    <x:t>- - - - Awareness raising concerning support from friends</x:t>
  </x:si>
  <x:si>
    <x:t>http://id.who.int/icd/entity/985403981</x:t>
  </x:si>
  <x:si>
    <x:t>http://id.who.int/icd/release/11/beta/ichi/985403981</x:t>
  </x:si>
  <x:si>
    <x:t>UCD.VC.ZZ</x:t>
  </x:si>
  <x:si>
    <x:t>- - - - Public health surveillance concerning support from friends</x:t>
  </x:si>
  <x:si>
    <x:t>http://id.who.int/icd/entity/1702773614</x:t>
  </x:si>
  <x:si>
    <x:t>http://id.who.int/icd/release/11/beta/ichi/1702773614</x:t>
  </x:si>
  <x:si>
    <x:t>UCD.VF.ZZ</x:t>
  </x:si>
  <x:si>
    <x:t>- - - - Alert concerning support from friends</x:t>
  </x:si>
  <x:si>
    <x:t>http://id.who.int/icd/entity/889559775</x:t>
  </x:si>
  <x:si>
    <x:t>http://id.who.int/icd/release/11/beta/ichi/889559775</x:t>
  </x:si>
  <x:si>
    <x:t>UCD.WG.QF</x:t>
  </x:si>
  <x:si>
    <x:t>- - - - Economic incentives in relation to support from friends</x:t>
  </x:si>
  <x:si>
    <x:t>http://id.who.int/icd/entity/1085480622</x:t>
  </x:si>
  <x:si>
    <x:t>http://id.who.int/icd/release/11/beta/ichi/1085480622</x:t>
  </x:si>
  <x:si>
    <x:t>UCD.WG.ZZ</x:t>
  </x:si>
  <x:si>
    <x:t>- - - - Applying incentives in relation to support from friends</x:t>
  </x:si>
  <x:si>
    <x:t>http://id.who.int/icd/entity/1800303166</x:t>
  </x:si>
  <x:si>
    <x:t>http://id.who.int/icd/release/11/beta/ichi/1800303166</x:t>
  </x:si>
  <x:si>
    <x:t>UCD.WJ.ZZ</x:t>
  </x:si>
  <x:si>
    <x:t>- - - - Policy change in relation to support from friends</x:t>
  </x:si>
  <x:si>
    <x:t>http://id.who.int/icd/entity/726249789</x:t>
  </x:si>
  <x:si>
    <x:t>http://id.who.int/icd/release/11/beta/ichi/726249789</x:t>
  </x:si>
  <x:si>
    <x:t>UCE.AA.ZZ</x:t>
  </x:si>
  <x:si>
    <x:t>- - - - Assessment of support from acquaintances, peers, colleagues, neighbours and community members</x:t>
  </x:si>
  <x:si>
    <x:t>http://id.who.int/icd/entity/1088447802</x:t>
  </x:si>
  <x:si>
    <x:t>http://id.who.int/icd/release/11/beta/ichi/1088447802</x:t>
  </x:si>
  <x:si>
    <x:t>UCE.PM.ZZ</x:t>
  </x:si>
  <x:si>
    <x:t>- - - - Education about support from acquaintances, peers, colleagues, neighbours and community members</x:t>
  </x:si>
  <x:si>
    <x:t>http://id.who.int/icd/entity/1520917472</x:t>
  </x:si>
  <x:si>
    <x:t>http://id.who.int/icd/release/11/beta/ichi/1520917472</x:t>
  </x:si>
  <x:si>
    <x:t>UCE.PN.ZZ</x:t>
  </x:si>
  <x:si>
    <x:t>- - - - Advising about support from acquaintances, peers, colleagues, neighbours and community members</x:t>
  </x:si>
  <x:si>
    <x:t>http://id.who.int/icd/entity/525864289</x:t>
  </x:si>
  <x:si>
    <x:t>http://id.who.int/icd/release/11/beta/ichi/525864289</x:t>
  </x:si>
  <x:si>
    <x:t>UCE.RB.ZZ</x:t>
  </x:si>
  <x:si>
    <x:t>- - - - Practical support with acquaintances, peers, colleagues, neighbours and community members</x:t>
  </x:si>
  <x:si>
    <x:t>http://id.who.int/icd/entity/883253745</x:t>
  </x:si>
  <x:si>
    <x:t>http://id.who.int/icd/release/11/beta/ichi/883253745</x:t>
  </x:si>
  <x:si>
    <x:t>UCE.RG.ZZ</x:t>
  </x:si>
  <x:si>
    <x:t>- - - - Providing services in relation to support from acquaintances, peers, colleagues, neighbours and community members</x:t>
  </x:si>
  <x:si>
    <x:t>http://id.who.int/icd/entity/635847047</x:t>
  </x:si>
  <x:si>
    <x:t>http://id.who.int/icd/release/11/beta/ichi/635847047</x:t>
  </x:si>
  <x:si>
    <x:t>UCE.TA.ZZ</x:t>
  </x:si>
  <x:si>
    <x:t>- - - - Advocacy in relation to support from acquaintances, peers, colleagues, neighbours and community members</x:t>
  </x:si>
  <x:si>
    <x:t>http://id.who.int/icd/entity/1347470838</x:t>
  </x:si>
  <x:si>
    <x:t>http://id.who.int/icd/release/11/beta/ichi/1347470838</x:t>
  </x:si>
  <x:si>
    <x:t>UCE.TB.ZZ</x:t>
  </x:si>
  <x:si>
    <x:t>- - - - Planning in relation to support from acquaintances, peers, colleagues, neighbours and community members</x:t>
  </x:si>
  <x:si>
    <x:t>http://id.who.int/icd/entity/2825285</x:t>
  </x:si>
  <x:si>
    <x:t>http://id.who.int/icd/release/11/beta/ichi/2825285</x:t>
  </x:si>
  <x:si>
    <x:t>UCE.TD.ZZ</x:t>
  </x:si>
  <x:si>
    <x:t>- - - - Collaboration relating to support from acquaintances, peers, colleagues, neighbours and community members</x:t>
  </x:si>
  <x:si>
    <x:t>http://id.who.int/icd/entity/1609125224</x:t>
  </x:si>
  <x:si>
    <x:t>http://id.who.int/icd/release/11/beta/ichi/1609125224</x:t>
  </x:si>
  <x:si>
    <x:t>UCE.VA.ZZ</x:t>
  </x:si>
  <x:si>
    <x:t>- - - - Capacity building targeting support from acquaintances, peers, colleagues, neighbours and community members</x:t>
  </x:si>
  <x:si>
    <x:t>http://id.who.int/icd/entity/1947476472</x:t>
  </x:si>
  <x:si>
    <x:t>http://id.who.int/icd/release/11/beta/ichi/1947476472</x:t>
  </x:si>
  <x:si>
    <x:t>UCE.VB.ZZ</x:t>
  </x:si>
  <x:si>
    <x:t>- - - - Awareness raising concerning support from acquaintances, peers, colleagues, neighbours and community members</x:t>
  </x:si>
  <x:si>
    <x:t>http://id.who.int/icd/entity/1061455821</x:t>
  </x:si>
  <x:si>
    <x:t>http://id.who.int/icd/release/11/beta/ichi/1061455821</x:t>
  </x:si>
  <x:si>
    <x:t>UCE.VC.ZZ</x:t>
  </x:si>
  <x:si>
    <x:t>- - - - Public health surveillance concerning support from acquaintances, peers, colleagues, neighbours and community members</x:t>
  </x:si>
  <x:si>
    <x:t>http://id.who.int/icd/entity/1619449582</x:t>
  </x:si>
  <x:si>
    <x:t>http://id.who.int/icd/release/11/beta/ichi/1619449582</x:t>
  </x:si>
  <x:si>
    <x:t>UCE.VF.ZZ</x:t>
  </x:si>
  <x:si>
    <x:t>- - - - Alert concerning support from acquaintances, peers, colleagues, neighbours and community members</x:t>
  </x:si>
  <x:si>
    <x:t>http://id.who.int/icd/entity/821890911</x:t>
  </x:si>
  <x:si>
    <x:t>http://id.who.int/icd/release/11/beta/ichi/821890911</x:t>
  </x:si>
  <x:si>
    <x:t>UCE.WG.QF</x:t>
  </x:si>
  <x:si>
    <x:t>- - - - Economic incentives in relation to support from acquaintances, peers, colleagues, neighbours and community members</x:t>
  </x:si>
  <x:si>
    <x:t>http://id.who.int/icd/entity/1162578734</x:t>
  </x:si>
  <x:si>
    <x:t>http://id.who.int/icd/release/11/beta/ichi/1162578734</x:t>
  </x:si>
  <x:si>
    <x:t>UCE.WG.ZZ</x:t>
  </x:si>
  <x:si>
    <x:t>- - - - Applying incentives in relation to support from acquaintances, peers, colleagues, neighbours and community members</x:t>
  </x:si>
  <x:si>
    <x:t>http://id.who.int/icd/entity/1857480638</x:t>
  </x:si>
  <x:si>
    <x:t>http://id.who.int/icd/release/11/beta/ichi/1857480638</x:t>
  </x:si>
  <x:si>
    <x:t>UCE.WJ.ZZ</x:t>
  </x:si>
  <x:si>
    <x:t>- - - - Policy change in relation to support from acquaintances, peers, colleagues, neighbours and community members</x:t>
  </x:si>
  <x:si>
    <x:t>http://id.who.int/icd/entity/1590821440</x:t>
  </x:si>
  <x:si>
    <x:t>http://id.who.int/icd/release/11/beta/ichi/1590821440</x:t>
  </x:si>
  <x:si>
    <x:t>UCF.AA.ZZ</x:t>
  </x:si>
  <x:si>
    <x:t>- - - - Assessment of support from people in positions of authority</x:t>
  </x:si>
  <x:si>
    <x:t>http://id.who.int/icd/entity/246012815</x:t>
  </x:si>
  <x:si>
    <x:t>http://id.who.int/icd/release/11/beta/ichi/246012815</x:t>
  </x:si>
  <x:si>
    <x:t>UCF.PM.ZZ</x:t>
  </x:si>
  <x:si>
    <x:t>- - - - Education about support from people in positions of authority</x:t>
  </x:si>
  <x:si>
    <x:t>http://id.who.int/icd/entity/931777616</x:t>
  </x:si>
  <x:si>
    <x:t>http://id.who.int/icd/release/11/beta/ichi/931777616</x:t>
  </x:si>
  <x:si>
    <x:t>UCF.PN.ZZ</x:t>
  </x:si>
  <x:si>
    <x:t>- - - - Advising about support from people in positions of authority</x:t>
  </x:si>
  <x:si>
    <x:t>http://id.who.int/icd/entity/477405376</x:t>
  </x:si>
  <x:si>
    <x:t>http://id.who.int/icd/release/11/beta/ichi/477405376</x:t>
  </x:si>
  <x:si>
    <x:t>UCF.RB.ZZ</x:t>
  </x:si>
  <x:si>
    <x:t>- - - - Practical support with people in positions of authority</x:t>
  </x:si>
  <x:si>
    <x:t>http://id.who.int/icd/entity/658724326</x:t>
  </x:si>
  <x:si>
    <x:t>http://id.who.int/icd/release/11/beta/ichi/658724326</x:t>
  </x:si>
  <x:si>
    <x:t>UCF.RG.ZZ</x:t>
  </x:si>
  <x:si>
    <x:t>- - - - Providing services in relation to support from people in positions of authority</x:t>
  </x:si>
  <x:si>
    <x:t>http://id.who.int/icd/entity/2021721285</x:t>
  </x:si>
  <x:si>
    <x:t>http://id.who.int/icd/release/11/beta/ichi/2021721285</x:t>
  </x:si>
  <x:si>
    <x:t>UCF.TA.ZZ</x:t>
  </x:si>
  <x:si>
    <x:t>- - - - Advocacy in relation to support from people in positions of authority</x:t>
  </x:si>
  <x:si>
    <x:t>http://id.who.int/icd/entity/687529332</x:t>
  </x:si>
  <x:si>
    <x:t>http://id.who.int/icd/release/11/beta/ichi/687529332</x:t>
  </x:si>
  <x:si>
    <x:t>UCF.TB.ZZ</x:t>
  </x:si>
  <x:si>
    <x:t>- - - - Planning in relation to support from people in positions of authority</x:t>
  </x:si>
  <x:si>
    <x:t>http://id.who.int/icd/entity/757795354</x:t>
  </x:si>
  <x:si>
    <x:t>http://id.who.int/icd/release/11/beta/ichi/757795354</x:t>
  </x:si>
  <x:si>
    <x:t>UCF.TD.ZZ</x:t>
  </x:si>
  <x:si>
    <x:t>- - - - Collaboration relating to support from people in positions of authority</x:t>
  </x:si>
  <x:si>
    <x:t>http://id.who.int/icd/entity/114714250</x:t>
  </x:si>
  <x:si>
    <x:t>http://id.who.int/icd/release/11/beta/ichi/114714250</x:t>
  </x:si>
  <x:si>
    <x:t>UCF.VA.ZZ</x:t>
  </x:si>
  <x:si>
    <x:t>- - - - Capacity building targeting support from people in positions of authority</x:t>
  </x:si>
  <x:si>
    <x:t>http://id.who.int/icd/entity/395659006</x:t>
  </x:si>
  <x:si>
    <x:t>http://id.who.int/icd/release/11/beta/ichi/395659006</x:t>
  </x:si>
  <x:si>
    <x:t>UCF.VB.ZZ</x:t>
  </x:si>
  <x:si>
    <x:t>- - - - Awareness raising concerning support from people in positions of authority</x:t>
  </x:si>
  <x:si>
    <x:t>http://id.who.int/icd/entity/1646510735</x:t>
  </x:si>
  <x:si>
    <x:t>http://id.who.int/icd/release/11/beta/ichi/1646510735</x:t>
  </x:si>
  <x:si>
    <x:t>UCF.VC.ZZ</x:t>
  </x:si>
  <x:si>
    <x:t>- - - - Public health surveillance concerning support from people in positions of authority</x:t>
  </x:si>
  <x:si>
    <x:t>http://id.who.int/icd/entity/844634942</x:t>
  </x:si>
  <x:si>
    <x:t>http://id.who.int/icd/release/11/beta/ichi/844634942</x:t>
  </x:si>
  <x:si>
    <x:t>UCF.VF.ZZ</x:t>
  </x:si>
  <x:si>
    <x:t>- - - - Alert concerning support from people in positions of authority</x:t>
  </x:si>
  <x:si>
    <x:t>http://id.who.int/icd/entity/1838828061</x:t>
  </x:si>
  <x:si>
    <x:t>http://id.who.int/icd/release/11/beta/ichi/1838828061</x:t>
  </x:si>
  <x:si>
    <x:t>UCF.WG.QF</x:t>
  </x:si>
  <x:si>
    <x:t>- - - - Economic incentives in relation to support from people in positions of authority</x:t>
  </x:si>
  <x:si>
    <x:t>http://id.who.int/icd/entity/1181165197</x:t>
  </x:si>
  <x:si>
    <x:t>http://id.who.int/icd/release/11/beta/ichi/1181165197</x:t>
  </x:si>
  <x:si>
    <x:t>UCF.WG.ZZ</x:t>
  </x:si>
  <x:si>
    <x:t>- - - - Applying incentives in relation to support from people in positions of authority</x:t>
  </x:si>
  <x:si>
    <x:t>http://id.who.int/icd/entity/302438770</x:t>
  </x:si>
  <x:si>
    <x:t>http://id.who.int/icd/release/11/beta/ichi/302438770</x:t>
  </x:si>
  <x:si>
    <x:t>UCF.WJ.ZZ</x:t>
  </x:si>
  <x:si>
    <x:t>- - - - Policy change in relation to support from people in positions of authority</x:t>
  </x:si>
  <x:si>
    <x:t>http://id.who.int/icd/entity/940860058</x:t>
  </x:si>
  <x:si>
    <x:t>http://id.who.int/icd/release/11/beta/ichi/940860058</x:t>
  </x:si>
  <x:si>
    <x:t>UCG.AA.ZZ</x:t>
  </x:si>
  <x:si>
    <x:t>- - - - Assessment of support from people in subordinate positions</x:t>
  </x:si>
  <x:si>
    <x:t>http://id.who.int/icd/entity/1742091193</x:t>
  </x:si>
  <x:si>
    <x:t>http://id.who.int/icd/release/11/beta/ichi/1742091193</x:t>
  </x:si>
  <x:si>
    <x:t>UCG.PM.ZZ</x:t>
  </x:si>
  <x:si>
    <x:t>- - - - Education about support from people in subordinate positions</x:t>
  </x:si>
  <x:si>
    <x:t>http://id.who.int/icd/entity/934144520</x:t>
  </x:si>
  <x:si>
    <x:t>http://id.who.int/icd/release/11/beta/ichi/934144520</x:t>
  </x:si>
  <x:si>
    <x:t>UCG.PN.ZZ</x:t>
  </x:si>
  <x:si>
    <x:t>- - - - Advising about support from people in subordinate positions</x:t>
  </x:si>
  <x:si>
    <x:t>http://id.who.int/icd/entity/369186488</x:t>
  </x:si>
  <x:si>
    <x:t>http://id.who.int/icd/release/11/beta/ichi/369186488</x:t>
  </x:si>
  <x:si>
    <x:t>UCG.RB.ZZ</x:t>
  </x:si>
  <x:si>
    <x:t>- - - - Practical support with people in subordinate positions</x:t>
  </x:si>
  <x:si>
    <x:t>http://id.who.int/icd/entity/1039940136</x:t>
  </x:si>
  <x:si>
    <x:t>http://id.who.int/icd/release/11/beta/ichi/1039940136</x:t>
  </x:si>
  <x:si>
    <x:t>UCG.RG.ZZ</x:t>
  </x:si>
  <x:si>
    <x:t>- - - - Providing services in relation to support from people in subordinate positions</x:t>
  </x:si>
  <x:si>
    <x:t>http://id.who.int/icd/entity/750721616</x:t>
  </x:si>
  <x:si>
    <x:t>http://id.who.int/icd/release/11/beta/ichi/750721616</x:t>
  </x:si>
  <x:si>
    <x:t>UCG.TA.ZZ</x:t>
  </x:si>
  <x:si>
    <x:t>- - - - Advocacy in relation to support from people in subordinate positions</x:t>
  </x:si>
  <x:si>
    <x:t>http://id.who.int/icd/entity/1493802531</x:t>
  </x:si>
  <x:si>
    <x:t>http://id.who.int/icd/release/11/beta/ichi/1493802531</x:t>
  </x:si>
  <x:si>
    <x:t>UCG.TB.ZZ</x:t>
  </x:si>
  <x:si>
    <x:t>- - - - Planning in relation to support from people in subordinate positions</x:t>
  </x:si>
  <x:si>
    <x:t>http://id.who.int/icd/entity/158484372</x:t>
  </x:si>
  <x:si>
    <x:t>http://id.who.int/icd/release/11/beta/ichi/158484372</x:t>
  </x:si>
  <x:si>
    <x:t>UCG.TD.ZZ</x:t>
  </x:si>
  <x:si>
    <x:t>- - - - Collaboration relating to support from people in subordinate positions</x:t>
  </x:si>
  <x:si>
    <x:t>http://id.who.int/icd/entity/1454380721</x:t>
  </x:si>
  <x:si>
    <x:t>http://id.who.int/icd/release/11/beta/ichi/1454380721</x:t>
  </x:si>
  <x:si>
    <x:t>UCG.VA.ZZ</x:t>
  </x:si>
  <x:si>
    <x:t>- - - - Capacity building targeting support from people in subordinate positions</x:t>
  </x:si>
  <x:si>
    <x:t>http://id.who.int/icd/entity/2102229537</x:t>
  </x:si>
  <x:si>
    <x:t>http://id.who.int/icd/release/11/beta/ichi/2102229537</x:t>
  </x:si>
  <x:si>
    <x:t>UCG.VB.ZZ</x:t>
  </x:si>
  <x:si>
    <x:t>- - - - Awareness raising concerning support from people in subordinate positions</x:t>
  </x:si>
  <x:si>
    <x:t>http://id.who.int/icd/entity/907926554</x:t>
  </x:si>
  <x:si>
    <x:t>http://id.who.int/icd/release/11/beta/ichi/907926554</x:t>
  </x:si>
  <x:si>
    <x:t>UCG.VC.ZZ</x:t>
  </x:si>
  <x:si>
    <x:t>- - - - Public health surveillance concerning support from people in subordinate positions</x:t>
  </x:si>
  <x:si>
    <x:t>http://id.who.int/icd/entity/1776258361</x:t>
  </x:si>
  <x:si>
    <x:t>http://id.who.int/icd/release/11/beta/ichi/1776258361</x:t>
  </x:si>
  <x:si>
    <x:t>UCG.VF.ZZ</x:t>
  </x:si>
  <x:si>
    <x:t>- - - - Alert concerning support from people in subordinate positions</x:t>
  </x:si>
  <x:si>
    <x:t>http://id.who.int/icd/entity/967070856</x:t>
  </x:si>
  <x:si>
    <x:t>http://id.who.int/icd/release/11/beta/ichi/967070856</x:t>
  </x:si>
  <x:si>
    <x:t>UCG.WG.QF</x:t>
  </x:si>
  <x:si>
    <x:t>- - - - Economic incentives in relation to support from people in subordinate positions</x:t>
  </x:si>
  <x:si>
    <x:t>http://id.who.int/icd/entity/1276301563</x:t>
  </x:si>
  <x:si>
    <x:t>http://id.who.int/icd/release/11/beta/ichi/1276301563</x:t>
  </x:si>
  <x:si>
    <x:t>UCG.WG.ZZ</x:t>
  </x:si>
  <x:si>
    <x:t>- - - - Applying incentives in relation to support from people in subordinate positions</x:t>
  </x:si>
  <x:si>
    <x:t>http://id.who.int/icd/entity/1743764587</x:t>
  </x:si>
  <x:si>
    <x:t>http://id.who.int/icd/release/11/beta/ichi/1743764587</x:t>
  </x:si>
  <x:si>
    <x:t>UCG.WJ.ZZ</x:t>
  </x:si>
  <x:si>
    <x:t>- - - - Policy change in relation to support from people in subordinate positions</x:t>
  </x:si>
  <x:si>
    <x:t>http://id.who.int/icd/entity/752095328</x:t>
  </x:si>
  <x:si>
    <x:t>http://id.who.int/icd/release/11/beta/ichi/752095328</x:t>
  </x:si>
  <x:si>
    <x:t>UCH.AA.ZZ</x:t>
  </x:si>
  <x:si>
    <x:t>- - - - Assessment of support from personal care providers and personal assistants</x:t>
  </x:si>
  <x:si>
    <x:t>http://id.who.int/icd/entity/1930838397</x:t>
  </x:si>
  <x:si>
    <x:t>http://id.who.int/icd/release/11/beta/ichi/1930838397</x:t>
  </x:si>
  <x:si>
    <x:t>UCH.PM.ZZ</x:t>
  </x:si>
  <x:si>
    <x:t>- - - - Education about support from personal care providers and personal assistants</x:t>
  </x:si>
  <x:si>
    <x:t>http://id.who.int/icd/entity/594385102</x:t>
  </x:si>
  <x:si>
    <x:t>http://id.who.int/icd/release/11/beta/ichi/594385102</x:t>
  </x:si>
  <x:si>
    <x:t>UCH.PN.ZZ</x:t>
  </x:si>
  <x:si>
    <x:t>- - - - Advising about support from personal care providers and personal assistants</x:t>
  </x:si>
  <x:si>
    <x:t>http://id.who.int/icd/entity/265238599</x:t>
  </x:si>
  <x:si>
    <x:t>http://id.who.int/icd/release/11/beta/ichi/265238599</x:t>
  </x:si>
  <x:si>
    <x:t>UCH.RB.ZZ</x:t>
  </x:si>
  <x:si>
    <x:t>- - - - Practical support with personal care providers and personal assistants</x:t>
  </x:si>
  <x:si>
    <x:t>http://id.who.int/icd/entity/607278295</x:t>
  </x:si>
  <x:si>
    <x:t>http://id.who.int/icd/release/11/beta/ichi/607278295</x:t>
  </x:si>
  <x:si>
    <x:t>UCH.RG.ZZ</x:t>
  </x:si>
  <x:si>
    <x:t>- - - - Providing services in relation to support from personal care providers and personal assistants</x:t>
  </x:si>
  <x:si>
    <x:t>http://id.who.int/icd/entity/896627873</x:t>
  </x:si>
  <x:si>
    <x:t>http://id.who.int/icd/release/11/beta/ichi/896627873</x:t>
  </x:si>
  <x:si>
    <x:t>UCH.TA.ZZ</x:t>
  </x:si>
  <x:si>
    <x:t>- - - - Advocacy in relation to support from personal care providers and personal assistants</x:t>
  </x:si>
  <x:si>
    <x:t>http://id.who.int/icd/entity/1086845140</x:t>
  </x:si>
  <x:si>
    <x:t>http://id.who.int/icd/release/11/beta/ichi/1086845140</x:t>
  </x:si>
  <x:si>
    <x:t>UCH.TB.ZZ</x:t>
  </x:si>
  <x:si>
    <x:t>- - - - Planning in relation to support from personal care providers and personal assistants</x:t>
  </x:si>
  <x:si>
    <x:t>http://id.who.int/icd/entity/1333688386</x:t>
  </x:si>
  <x:si>
    <x:t>http://id.who.int/icd/release/11/beta/ichi/1333688386</x:t>
  </x:si>
  <x:si>
    <x:t>UCH.VA.ZZ</x:t>
  </x:si>
  <x:si>
    <x:t>- - - - Capacity building targeting support from personal care providers and personal assistants</x:t>
  </x:si>
  <x:si>
    <x:t>http://id.who.int/icd/entity/1686312146</x:t>
  </x:si>
  <x:si>
    <x:t>http://id.who.int/icd/release/11/beta/ichi/1686312146</x:t>
  </x:si>
  <x:si>
    <x:t>UCH.VB.ZZ</x:t>
  </x:si>
  <x:si>
    <x:t>- - - - Awareness raising concerning support from personal care providers and personal assistants</x:t>
  </x:si>
  <x:si>
    <x:t>http://id.who.int/icd/entity/802403051</x:t>
  </x:si>
  <x:si>
    <x:t>http://id.who.int/icd/release/11/beta/ichi/802403051</x:t>
  </x:si>
  <x:si>
    <x:t>UCH.VC.ZZ</x:t>
  </x:si>
  <x:si>
    <x:t>- - - - Public health surveillance concerning support from personal care providers and personal assistants</x:t>
  </x:si>
  <x:si>
    <x:t>http://id.who.int/icd/entity/1880220616</x:t>
  </x:si>
  <x:si>
    <x:t>http://id.who.int/icd/release/11/beta/ichi/1880220616</x:t>
  </x:si>
  <x:si>
    <x:t>UCH.VF.ZZ</x:t>
  </x:si>
  <x:si>
    <x:t>- - - - Alert concerning support from personal care providers and personal assistants</x:t>
  </x:si>
  <x:si>
    <x:t>http://id.who.int/icd/entity/1615245992</x:t>
  </x:si>
  <x:si>
    <x:t>http://id.who.int/icd/release/11/beta/ichi/1615245992</x:t>
  </x:si>
  <x:si>
    <x:t>UCH.WG.QF</x:t>
  </x:si>
  <x:si>
    <x:t>- - - - Economic incentives in relation to support from personal care providers and personal assistants</x:t>
  </x:si>
  <x:si>
    <x:t>http://id.who.int/icd/entity/1270603320</x:t>
  </x:si>
  <x:si>
    <x:t>http://id.who.int/icd/release/11/beta/ichi/1270603320</x:t>
  </x:si>
  <x:si>
    <x:t>UCH.WG.ZZ</x:t>
  </x:si>
  <x:si>
    <x:t>- - - - Applying incentives in relation to support from personal care providers and personal assistants</x:t>
  </x:si>
  <x:si>
    <x:t>http://id.who.int/icd/entity/15431683</x:t>
  </x:si>
  <x:si>
    <x:t>http://id.who.int/icd/release/11/beta/ichi/15431683</x:t>
  </x:si>
  <x:si>
    <x:t>UCH.WJ.ZZ</x:t>
  </x:si>
  <x:si>
    <x:t>- - - - Policy change in relation to support from personal care providers and personal assistants</x:t>
  </x:si>
  <x:si>
    <x:t>http://id.who.int/icd/entity/447497945</x:t>
  </x:si>
  <x:si>
    <x:t>http://id.who.int/icd/release/11/beta/ichi/447497945</x:t>
  </x:si>
  <x:si>
    <x:t>UCI.AA.ZZ</x:t>
  </x:si>
  <x:si>
    <x:t>- - - - Assessment of support from strangers</x:t>
  </x:si>
  <x:si>
    <x:t>http://id.who.int/icd/entity/827402825</x:t>
  </x:si>
  <x:si>
    <x:t>http://id.who.int/icd/release/11/beta/ichi/827402825</x:t>
  </x:si>
  <x:si>
    <x:t>UCI.PM.ZZ</x:t>
  </x:si>
  <x:si>
    <x:t>- - - - Education about support from strangers</x:t>
  </x:si>
  <x:si>
    <x:t>http://id.who.int/icd/entity/174514031</x:t>
  </x:si>
  <x:si>
    <x:t>http://id.who.int/icd/release/11/beta/ichi/174514031</x:t>
  </x:si>
  <x:si>
    <x:t>UCI.PN.ZZ</x:t>
  </x:si>
  <x:si>
    <x:t>- - - - Advising about support from strangers</x:t>
  </x:si>
  <x:si>
    <x:t>http://id.who.int/icd/entity/1436847694</x:t>
  </x:si>
  <x:si>
    <x:t>http://id.who.int/icd/release/11/beta/ichi/1436847694</x:t>
  </x:si>
  <x:si>
    <x:t>UCI.RB.ZZ</x:t>
  </x:si>
  <x:si>
    <x:t>- - - - Practical support with strangers</x:t>
  </x:si>
  <x:si>
    <x:t>http://id.who.int/icd/entity/98523133</x:t>
  </x:si>
  <x:si>
    <x:t>http://id.who.int/icd/release/11/beta/ichi/98523133</x:t>
  </x:si>
  <x:si>
    <x:t>UCI.RG.ZZ</x:t>
  </x:si>
  <x:si>
    <x:t>- - - - Providing services in relation to support from strangers</x:t>
  </x:si>
  <x:si>
    <x:t>http://id.who.int/icd/entity/524278103</x:t>
  </x:si>
  <x:si>
    <x:t>http://id.who.int/icd/release/11/beta/ichi/524278103</x:t>
  </x:si>
  <x:si>
    <x:t>UCI.TA.ZZ</x:t>
  </x:si>
  <x:si>
    <x:t>- - - - Advocacy in relation to support from strangers</x:t>
  </x:si>
  <x:si>
    <x:t>http://id.who.int/icd/entity/885175751</x:t>
  </x:si>
  <x:si>
    <x:t>http://id.who.int/icd/release/11/beta/ichi/885175751</x:t>
  </x:si>
  <x:si>
    <x:t>UCI.TB.ZZ</x:t>
  </x:si>
  <x:si>
    <x:t>- - - - Planning in relation to support from strangers</x:t>
  </x:si>
  <x:si>
    <x:t>http://id.who.int/icd/entity/629249457</x:t>
  </x:si>
  <x:si>
    <x:t>http://id.who.int/icd/release/11/beta/ichi/629249457</x:t>
  </x:si>
  <x:si>
    <x:t>UCI.TD.ZZ</x:t>
  </x:si>
  <x:si>
    <x:t>- - - - Collaboration relating to support from strangers</x:t>
  </x:si>
  <x:si>
    <x:t>http://id.who.int/icd/entity/70068495</x:t>
  </x:si>
  <x:si>
    <x:t>http://id.who.int/icd/release/11/beta/ichi/70068495</x:t>
  </x:si>
  <x:si>
    <x:t>UCI.VA.ZZ</x:t>
  </x:si>
  <x:si>
    <x:t>- - - - Capacity building targeting support from strangers</x:t>
  </x:si>
  <x:si>
    <x:t>http://id.who.int/icd/entity/1414983870</x:t>
  </x:si>
  <x:si>
    <x:t>http://id.who.int/icd/release/11/beta/ichi/1414983870</x:t>
  </x:si>
  <x:si>
    <x:t>UCI.VB.ZZ</x:t>
  </x:si>
  <x:si>
    <x:t>- - - - Awareness raising concerning support from strangers</x:t>
  </x:si>
  <x:si>
    <x:t>http://id.who.int/icd/entity/194290077</x:t>
  </x:si>
  <x:si>
    <x:t>http://id.who.int/icd/release/11/beta/ichi/194290077</x:t>
  </x:si>
  <x:si>
    <x:t>UCI.VC.ZZ</x:t>
  </x:si>
  <x:si>
    <x:t>- - - - Public health surveillance concerning support from strangers</x:t>
  </x:si>
  <x:si>
    <x:t>http://id.who.int/icd/entity/543804685</x:t>
  </x:si>
  <x:si>
    <x:t>http://id.who.int/icd/release/11/beta/ichi/543804685</x:t>
  </x:si>
  <x:si>
    <x:t>UCI.VF.ZZ</x:t>
  </x:si>
  <x:si>
    <x:t>- - - - Alert concerning support from strangers</x:t>
  </x:si>
  <x:si>
    <x:t>http://id.who.int/icd/entity/459159595</x:t>
  </x:si>
  <x:si>
    <x:t>http://id.who.int/icd/release/11/beta/ichi/459159595</x:t>
  </x:si>
  <x:si>
    <x:t>UCI.WG.QF</x:t>
  </x:si>
  <x:si>
    <x:t>- - - - Economic incentives in relation to support from strangers</x:t>
  </x:si>
  <x:si>
    <x:t>http://id.who.int/icd/entity/1151101192</x:t>
  </x:si>
  <x:si>
    <x:t>http://id.who.int/icd/release/11/beta/ichi/1151101192</x:t>
  </x:si>
  <x:si>
    <x:t>UCI.WG.ZZ</x:t>
  </x:si>
  <x:si>
    <x:t>- - - - Applying incentives in relation to support from strangers</x:t>
  </x:si>
  <x:si>
    <x:t>http://id.who.int/icd/entity/350728377</x:t>
  </x:si>
  <x:si>
    <x:t>http://id.who.int/icd/release/11/beta/ichi/350728377</x:t>
  </x:si>
  <x:si>
    <x:t>UCI.WJ.ZZ</x:t>
  </x:si>
  <x:si>
    <x:t>- - - - Policy change in relation to support from strangers</x:t>
  </x:si>
  <x:si>
    <x:t>http://id.who.int/icd/entity/1381698924</x:t>
  </x:si>
  <x:si>
    <x:t>http://id.who.int/icd/release/11/beta/ichi/1381698924</x:t>
  </x:si>
  <x:si>
    <x:t>UCJ.AA.ZZ</x:t>
  </x:si>
  <x:si>
    <x:t>- - - - Assessment of support from domesticated animals</x:t>
  </x:si>
  <x:si>
    <x:t>http://id.who.int/icd/entity/1369654606</x:t>
  </x:si>
  <x:si>
    <x:t>http://id.who.int/icd/release/11/beta/ichi/1369654606</x:t>
  </x:si>
  <x:si>
    <x:t>UCJ.PH.ZZ</x:t>
  </x:si>
  <x:si>
    <x:t>- - - - Training in use of support from domesticated animals</x:t>
  </x:si>
  <x:si>
    <x:t>http://id.who.int/icd/entity/35706077</x:t>
  </x:si>
  <x:si>
    <x:t>http://id.who.int/icd/release/11/beta/ichi/35706077</x:t>
  </x:si>
  <x:si>
    <x:t>UCJ.PM.ZZ</x:t>
  </x:si>
  <x:si>
    <x:t>- - - - Education about support from domesticated animals</x:t>
  </x:si>
  <x:si>
    <x:t>http://id.who.int/icd/entity/989905668</x:t>
  </x:si>
  <x:si>
    <x:t>http://id.who.int/icd/release/11/beta/ichi/989905668</x:t>
  </x:si>
  <x:si>
    <x:t>UCJ.PN.ZZ</x:t>
  </x:si>
  <x:si>
    <x:t>- - - - Advising about support from domesticated animals</x:t>
  </x:si>
  <x:si>
    <x:t>http://id.who.int/icd/entity/837515127</x:t>
  </x:si>
  <x:si>
    <x:t>http://id.who.int/icd/release/11/beta/ichi/837515127</x:t>
  </x:si>
  <x:si>
    <x:t>UCJ.RB.ZZ</x:t>
  </x:si>
  <x:si>
    <x:t>- - - - Practical support with domesticated animals</x:t>
  </x:si>
  <x:si>
    <x:t>http://id.who.int/icd/entity/1697462522</x:t>
  </x:si>
  <x:si>
    <x:t>http://id.who.int/icd/release/11/beta/ichi/1697462522</x:t>
  </x:si>
  <x:si>
    <x:t>UCJ.RC.ZZ</x:t>
  </x:si>
  <x:si>
    <x:t>- - - - Emotional support with domesticated animals</x:t>
  </x:si>
  <x:si>
    <x:t>http://id.who.int/icd/entity/285061012</x:t>
  </x:si>
  <x:si>
    <x:t>http://id.who.int/icd/release/11/beta/ichi/285061012</x:t>
  </x:si>
  <x:si>
    <x:t>UCJ.RG.ZZ</x:t>
  </x:si>
  <x:si>
    <x:t>- - - - Providing services in relation to support from domesticated animals</x:t>
  </x:si>
  <x:si>
    <x:t>http://id.who.int/icd/entity/734681782</x:t>
  </x:si>
  <x:si>
    <x:t>http://id.who.int/icd/release/11/beta/ichi/734681782</x:t>
  </x:si>
  <x:si>
    <x:t>UCJ.TA.ZZ</x:t>
  </x:si>
  <x:si>
    <x:t>- - - - Advocacy in relation to support from domesticated animals</x:t>
  </x:si>
  <x:si>
    <x:t>http://id.who.int/icd/entity/1946684311</x:t>
  </x:si>
  <x:si>
    <x:t>http://id.who.int/icd/release/11/beta/ichi/1946684311</x:t>
  </x:si>
  <x:si>
    <x:t>UCJ.TB.ZZ</x:t>
  </x:si>
  <x:si>
    <x:t>- - - - Planning in relation to support from domesticated animals</x:t>
  </x:si>
  <x:si>
    <x:t>http://id.who.int/icd/entity/611570216</x:t>
  </x:si>
  <x:si>
    <x:t>http://id.who.int/icd/release/11/beta/ichi/611570216</x:t>
  </x:si>
  <x:si>
    <x:t>UCJ.TD.ZZ</x:t>
  </x:si>
  <x:si>
    <x:t>- - - - Collaboration relating to support from domesticated animals</x:t>
  </x:si>
  <x:si>
    <x:t>http://id.who.int/icd/entity/564266314</x:t>
  </x:si>
  <x:si>
    <x:t>http://id.who.int/icd/release/11/beta/ichi/564266314</x:t>
  </x:si>
  <x:si>
    <x:t>UCJ.VA.ZZ</x:t>
  </x:si>
  <x:si>
    <x:t>- - - - Capacity building targeting support from domesticated animals</x:t>
  </x:si>
  <x:si>
    <x:t>http://id.who.int/icd/entity/174025178</x:t>
  </x:si>
  <x:si>
    <x:t>http://id.who.int/icd/release/11/beta/ichi/174025178</x:t>
  </x:si>
  <x:si>
    <x:t>UCJ.VB.ZZ</x:t>
  </x:si>
  <x:si>
    <x:t>- - - - Awareness raising concerning support from domesticated animals</x:t>
  </x:si>
  <x:si>
    <x:t>http://id.who.int/icd/entity/454838702</x:t>
  </x:si>
  <x:si>
    <x:t>http://id.who.int/icd/release/11/beta/ichi/454838702</x:t>
  </x:si>
  <x:si>
    <x:t>UCJ.VC.ZZ</x:t>
  </x:si>
  <x:si>
    <x:t>- - - - Public health surveillance concerning support from domesticated animals</x:t>
  </x:si>
  <x:si>
    <x:t>http://id.who.int/icd/entity/1856687581</x:t>
  </x:si>
  <x:si>
    <x:t>http://id.who.int/icd/release/11/beta/ichi/1856687581</x:t>
  </x:si>
  <x:si>
    <x:t>UCJ.VF.ZZ</x:t>
  </x:si>
  <x:si>
    <x:t>- - - - Alert concerning support from domesticated animals</x:t>
  </x:si>
  <x:si>
    <x:t>http://id.who.int/icd/entity/1053889646</x:t>
  </x:si>
  <x:si>
    <x:t>http://id.who.int/icd/release/11/beta/ichi/1053889646</x:t>
  </x:si>
  <x:si>
    <x:t>UCJ.WG.QF</x:t>
  </x:si>
  <x:si>
    <x:t>- - - - Economic incentives in relation to support from domesticated animals</x:t>
  </x:si>
  <x:si>
    <x:t>http://id.who.int/icd/entity/1628652879</x:t>
  </x:si>
  <x:si>
    <x:t>http://id.who.int/icd/release/11/beta/ichi/1628652879</x:t>
  </x:si>
  <x:si>
    <x:t>UCJ.WG.ZZ</x:t>
  </x:si>
  <x:si>
    <x:t>- - - - Applying incentives in relation to support from domesticated animals</x:t>
  </x:si>
  <x:si>
    <x:t>http://id.who.int/icd/entity/1257122271</x:t>
  </x:si>
  <x:si>
    <x:t>http://id.who.int/icd/release/11/beta/ichi/1257122271</x:t>
  </x:si>
  <x:si>
    <x:t>UCJ.WJ.ZZ</x:t>
  </x:si>
  <x:si>
    <x:t>- - - - Policy change in relation to support from domesticated animals</x:t>
  </x:si>
  <x:si>
    <x:t>http://id.who.int/icd/entity/1047962652</x:t>
  </x:si>
  <x:si>
    <x:t>http://id.who.int/icd/release/11/beta/ichi/1047962652</x:t>
  </x:si>
  <x:si>
    <x:t>UCK.AA.ZZ</x:t>
  </x:si>
  <x:si>
    <x:t>- - - - Assessment of support from health professionals</x:t>
  </x:si>
  <x:si>
    <x:t>http://id.who.int/icd/entity/1639249215</x:t>
  </x:si>
  <x:si>
    <x:t>http://id.who.int/icd/release/11/beta/ichi/1639249215</x:t>
  </x:si>
  <x:si>
    <x:t>UCK.PM.ZZ</x:t>
  </x:si>
  <x:si>
    <x:t>- - - - Education about support from health professionals</x:t>
  </x:si>
  <x:si>
    <x:t>http://id.who.int/icd/entity/835660942</x:t>
  </x:si>
  <x:si>
    <x:t>http://id.who.int/icd/release/11/beta/ichi/835660942</x:t>
  </x:si>
  <x:si>
    <x:t>UCK.PN.ZZ</x:t>
  </x:si>
  <x:si>
    <x:t>- - - - Advising about support from health professionals</x:t>
  </x:si>
  <x:si>
    <x:t>http://id.who.int/icd/entity/2077748669</x:t>
  </x:si>
  <x:si>
    <x:t>http://id.who.int/icd/release/11/beta/ichi/2077748669</x:t>
  </x:si>
  <x:si>
    <x:t>UCK.RB.ZZ</x:t>
  </x:si>
  <x:si>
    <x:t>- - - - Practical support with health professionals</x:t>
  </x:si>
  <x:si>
    <x:t>http://id.who.int/icd/entity/1344962861</x:t>
  </x:si>
  <x:si>
    <x:t>http://id.who.int/icd/release/11/beta/ichi/1344962861</x:t>
  </x:si>
  <x:si>
    <x:t>UCK.RG.ZZ</x:t>
  </x:si>
  <x:si>
    <x:t>- - - - Providing services in relation to support from health professionals</x:t>
  </x:si>
  <x:si>
    <x:t>http://id.who.int/icd/entity/1097441627</x:t>
  </x:si>
  <x:si>
    <x:t>http://id.who.int/icd/release/11/beta/ichi/1097441627</x:t>
  </x:si>
  <x:si>
    <x:t>UCK.TA.ZZ</x:t>
  </x:si>
  <x:si>
    <x:t>- - - - Advocacy in relation to support from health professionals</x:t>
  </x:si>
  <x:si>
    <x:t>http://id.who.int/icd/entity/887039272</x:t>
  </x:si>
  <x:si>
    <x:t>http://id.who.int/icd/release/11/beta/ichi/887039272</x:t>
  </x:si>
  <x:si>
    <x:t>UCK.TB.ZZ</x:t>
  </x:si>
  <x:si>
    <x:t>- - - - Planning in relation to support from health professionals</x:t>
  </x:si>
  <x:si>
    <x:t>http://id.who.int/icd/entity/1688534169</x:t>
  </x:si>
  <x:si>
    <x:t>http://id.who.int/icd/release/11/beta/ichi/1688534169</x:t>
  </x:si>
  <x:si>
    <x:t>UCK.TD.ZZ</x:t>
  </x:si>
  <x:si>
    <x:t>- - - - Collaboration relating to support from health professionals</x:t>
  </x:si>
  <x:si>
    <x:t>http://id.who.int/icd/entity/996584890</x:t>
  </x:si>
  <x:si>
    <x:t>http://id.who.int/icd/release/11/beta/ichi/996584890</x:t>
  </x:si>
  <x:si>
    <x:t>UCK.VA.ZZ</x:t>
  </x:si>
  <x:si>
    <x:t>- - - - Capacity building targeting support from health professionals</x:t>
  </x:si>
  <x:si>
    <x:t>http://id.who.int/icd/entity/278642986</x:t>
  </x:si>
  <x:si>
    <x:t>http://id.who.int/icd/release/11/beta/ichi/278642986</x:t>
  </x:si>
  <x:si>
    <x:t>UCK.VB.ZZ</x:t>
  </x:si>
  <x:si>
    <x:t>- - - - Awareness raising concerning support from health professionals</x:t>
  </x:si>
  <x:si>
    <x:t>http://id.who.int/icd/entity/1540056849</x:t>
  </x:si>
  <x:si>
    <x:t>http://id.who.int/icd/release/11/beta/ichi/1540056849</x:t>
  </x:si>
  <x:si>
    <x:t>UCK.VC.ZZ</x:t>
  </x:si>
  <x:si>
    <x:t>- - - - Public health surveillance concerning support from health professionals</x:t>
  </x:si>
  <x:si>
    <x:t>http://id.who.int/icd/entity/67712564</x:t>
  </x:si>
  <x:si>
    <x:t>http://id.who.int/icd/release/11/beta/ichi/67712564</x:t>
  </x:si>
  <x:si>
    <x:t>UCK.VF.ZZ</x:t>
  </x:si>
  <x:si>
    <x:t>- - - - Alert concerning support from health professionals</x:t>
  </x:si>
  <x:si>
    <x:t>http://id.who.int/icd/entity/1416818563</x:t>
  </x:si>
  <x:si>
    <x:t>http://id.who.int/icd/release/11/beta/ichi/1416818563</x:t>
  </x:si>
  <x:si>
    <x:t>UCK.WG.QF</x:t>
  </x:si>
  <x:si>
    <x:t>- - - - Economic incentives in relation to support from health professionals</x:t>
  </x:si>
  <x:si>
    <x:t>http://id.who.int/icd/entity/566520816</x:t>
  </x:si>
  <x:si>
    <x:t>http://id.who.int/icd/release/11/beta/ichi/566520816</x:t>
  </x:si>
  <x:si>
    <x:t>UCK.WG.ZZ</x:t>
  </x:si>
  <x:si>
    <x:t>- - - - Applying incentives in relation to support from health professionals</x:t>
  </x:si>
  <x:si>
    <x:t>http://id.who.int/icd/entity/171509600</x:t>
  </x:si>
  <x:si>
    <x:t>http://id.who.int/icd/release/11/beta/ichi/171509600</x:t>
  </x:si>
  <x:si>
    <x:t>UCK.WJ.ZZ</x:t>
  </x:si>
  <x:si>
    <x:t>- - - - Policy change in relation to support from health professionals</x:t>
  </x:si>
  <x:si>
    <x:t>http://id.who.int/icd/entity/1593788655</x:t>
  </x:si>
  <x:si>
    <x:t>http://id.who.int/icd/release/11/beta/ichi/1593788655</x:t>
  </x:si>
  <x:si>
    <x:t>UCL.AA.ZZ</x:t>
  </x:si>
  <x:si>
    <x:t>- - - - Assessment of support from other professionals</x:t>
  </x:si>
  <x:si>
    <x:t>http://id.who.int/icd/entity/1142933061</x:t>
  </x:si>
  <x:si>
    <x:t>http://id.who.int/icd/release/11/beta/ichi/1142933061</x:t>
  </x:si>
  <x:si>
    <x:t>UCL.PM.ZZ</x:t>
  </x:si>
  <x:si>
    <x:t>- - - - Education about support from other professionals</x:t>
  </x:si>
  <x:si>
    <x:t>http://id.who.int/icd/entity/1877125845</x:t>
  </x:si>
  <x:si>
    <x:t>http://id.who.int/icd/release/11/beta/ichi/1877125845</x:t>
  </x:si>
  <x:si>
    <x:t>UCL.PN.ZZ</x:t>
  </x:si>
  <x:si>
    <x:t>- - - - Advising about support from other professionals</x:t>
  </x:si>
  <x:si>
    <x:t>http://id.who.int/icd/entity/2124516003</x:t>
  </x:si>
  <x:si>
    <x:t>http://id.who.int/icd/release/11/beta/ichi/2124516003</x:t>
  </x:si>
  <x:si>
    <x:t>UCL.RB.ZZ</x:t>
  </x:si>
  <x:si>
    <x:t>- - - - Practical support with other professionals</x:t>
  </x:si>
  <x:si>
    <x:t>http://id.who.int/icd/entity/1594701341</x:t>
  </x:si>
  <x:si>
    <x:t>http://id.who.int/icd/release/11/beta/ichi/1594701341</x:t>
  </x:si>
  <x:si>
    <x:t>UCL.RG.ZZ</x:t>
  </x:si>
  <x:si>
    <x:t>- - - - Providing services in relation to support from other professionals</x:t>
  </x:si>
  <x:si>
    <x:t>http://id.who.int/icd/entity/259452844</x:t>
  </x:si>
  <x:si>
    <x:t>http://id.who.int/icd/release/11/beta/ichi/259452844</x:t>
  </x:si>
  <x:si>
    <x:t>UCL.TA.ZZ</x:t>
  </x:si>
  <x:si>
    <x:t>- - - - Advocacy in relation to support from other professionals</x:t>
  </x:si>
  <x:si>
    <x:t>http://id.who.int/icd/entity/1354022543</x:t>
  </x:si>
  <x:si>
    <x:t>http://id.who.int/icd/release/11/beta/ichi/1354022543</x:t>
  </x:si>
  <x:si>
    <x:t>UCL.TB.ZZ</x:t>
  </x:si>
  <x:si>
    <x:t>- - - - Planning in relation to support from other professionals</x:t>
  </x:si>
  <x:si>
    <x:t>http://id.who.int/icd/entity/2068435487</x:t>
  </x:si>
  <x:si>
    <x:t>http://id.who.int/icd/release/11/beta/ichi/2068435487</x:t>
  </x:si>
  <x:si>
    <x:t>UCL.TD.ZZ</x:t>
  </x:si>
  <x:si>
    <x:t>- - - - Collaboration relating to support from other professionals</x:t>
  </x:si>
  <x:si>
    <x:t>http://id.who.int/icd/entity/1082009401</x:t>
  </x:si>
  <x:si>
    <x:t>http://id.who.int/icd/release/11/beta/ichi/1082009401</x:t>
  </x:si>
  <x:si>
    <x:t>UCL.VA.ZZ</x:t>
  </x:si>
  <x:si>
    <x:t>- - - - Capacity building targeting support from other professionals</x:t>
  </x:si>
  <x:si>
    <x:t>http://id.who.int/icd/entity/532444698</x:t>
  </x:si>
  <x:si>
    <x:t>http://id.who.int/icd/release/11/beta/ichi/532444698</x:t>
  </x:si>
  <x:si>
    <x:t>UCL.VB.ZZ</x:t>
  </x:si>
  <x:si>
    <x:t>- - - - Awareness raising concerning support from other professionals</x:t>
  </x:si>
  <x:si>
    <x:t>http://id.who.int/icd/entity/1338486699</x:t>
  </x:si>
  <x:si>
    <x:t>http://id.who.int/icd/release/11/beta/ichi/1338486699</x:t>
  </x:si>
  <x:si>
    <x:t>UCL.VC.ZZ</x:t>
  </x:si>
  <x:si>
    <x:t>- - - - Public health surveillance concerning support from other professionals</x:t>
  </x:si>
  <x:si>
    <x:t>http://id.who.int/icd/entity/1242986693</x:t>
  </x:si>
  <x:si>
    <x:t>http://id.who.int/icd/release/11/beta/ichi/1242986693</x:t>
  </x:si>
  <x:si>
    <x:t>UCL.VF.ZZ</x:t>
  </x:si>
  <x:si>
    <x:t>- - - - Alert concerning support from other professionals</x:t>
  </x:si>
  <x:si>
    <x:t>http://id.who.int/icd/entity/1642796117</x:t>
  </x:si>
  <x:si>
    <x:t>http://id.who.int/icd/release/11/beta/ichi/1642796117</x:t>
  </x:si>
  <x:si>
    <x:t>UCL.WG.QF</x:t>
  </x:si>
  <x:si>
    <x:t>- - - - Economic incentives in relation to support from other professionals</x:t>
  </x:si>
  <x:si>
    <x:t>http://id.who.int/icd/entity/1890071587</x:t>
  </x:si>
  <x:si>
    <x:t>http://id.who.int/icd/release/11/beta/ichi/1890071587</x:t>
  </x:si>
  <x:si>
    <x:t>UCL.WG.ZZ</x:t>
  </x:si>
  <x:si>
    <x:t>- - - - Applying incentives in relation to support from other professionals</x:t>
  </x:si>
  <x:si>
    <x:t>http://id.who.int/icd/entity/85897296</x:t>
  </x:si>
  <x:si>
    <x:t>http://id.who.int/icd/release/11/beta/ichi/85897296</x:t>
  </x:si>
  <x:si>
    <x:t>UCL.WJ.ZZ</x:t>
  </x:si>
  <x:si>
    <x:t>- - - - Policy change in relation to support from other professionals</x:t>
  </x:si>
  <x:si>
    <x:t>http://id.who.int/icd/entity/800485347</x:t>
  </x:si>
  <x:si>
    <x:t>http://id.who.int/icd/release/11/beta/ichi/800485347</x:t>
  </x:si>
  <x:si>
    <x:t>BlockL3-UD1</x:t>
  </x:si>
  <x:si>
    <x:t>- - - Interventions on attitudes</x:t>
  </x:si>
  <x:si>
    <x:t>194</x:t>
  </x:si>
  <x:si>
    <x:t>http://id.who.int/icd/entity/256843231</x:t>
  </x:si>
  <x:si>
    <x:t>http://id.who.int/icd/release/11/beta/ichi/256843231</x:t>
  </x:si>
  <x:si>
    <x:t>UD1.AA.ZZ</x:t>
  </x:si>
  <x:si>
    <x:t>- - - - Assessment of attitudes, unspecified</x:t>
  </x:si>
  <x:si>
    <x:t>http://id.who.int/icd/entity/537913201</x:t>
  </x:si>
  <x:si>
    <x:t>http://id.who.int/icd/release/11/beta/ichi/537913201</x:t>
  </x:si>
  <x:si>
    <x:t>UD1.PM.ZZ</x:t>
  </x:si>
  <x:si>
    <x:t>- - - - Education about attitudes, unspecified</x:t>
  </x:si>
  <x:si>
    <x:t>http://id.who.int/icd/entity/1714672669</x:t>
  </x:si>
  <x:si>
    <x:t>http://id.who.int/icd/release/11/beta/ichi/1714672669</x:t>
  </x:si>
  <x:si>
    <x:t>UD1.PN.ZZ</x:t>
  </x:si>
  <x:si>
    <x:t>- - - - Advising about attitudes, unspecified</x:t>
  </x:si>
  <x:si>
    <x:t>http://id.who.int/icd/entity/1268760837</x:t>
  </x:si>
  <x:si>
    <x:t>http://id.who.int/icd/release/11/beta/ichi/1268760837</x:t>
  </x:si>
  <x:si>
    <x:t>UD1.RB.ZZ</x:t>
  </x:si>
  <x:si>
    <x:t>- - - - Practical support with attitudes, unspecified</x:t>
  </x:si>
  <x:si>
    <x:t>http://id.who.int/icd/entity/420017922</x:t>
  </x:si>
  <x:si>
    <x:t>http://id.who.int/icd/release/11/beta/ichi/420017922</x:t>
  </x:si>
  <x:si>
    <x:t>UD1.TA.ZZ</x:t>
  </x:si>
  <x:si>
    <x:t>- - - - Advocacy in relation to attitudes, unspecified</x:t>
  </x:si>
  <x:si>
    <x:t>http://id.who.int/icd/entity/1524425075</x:t>
  </x:si>
  <x:si>
    <x:t>http://id.who.int/icd/release/11/beta/ichi/1524425075</x:t>
  </x:si>
  <x:si>
    <x:t>UD1.TB.ZZ</x:t>
  </x:si>
  <x:si>
    <x:t>- - - - Planning in relation to attitudes, unspecified</x:t>
  </x:si>
  <x:si>
    <x:t>http://id.who.int/icd/entity/1077702617</x:t>
  </x:si>
  <x:si>
    <x:t>http://id.who.int/icd/release/11/beta/ichi/1077702617</x:t>
  </x:si>
  <x:si>
    <x:t>UD1.TD.ZZ</x:t>
  </x:si>
  <x:si>
    <x:t>- - - - Collaboration relating to attitudes, unspecified</x:t>
  </x:si>
  <x:si>
    <x:t>http://id.who.int/icd/entity/273135210</x:t>
  </x:si>
  <x:si>
    <x:t>http://id.who.int/icd/release/11/beta/ichi/273135210</x:t>
  </x:si>
  <x:si>
    <x:t>UD1.VA.ZZ</x:t>
  </x:si>
  <x:si>
    <x:t>- - - - Capacity building targeting attitudes, unspecified</x:t>
  </x:si>
  <x:si>
    <x:t>http://id.who.int/icd/entity/2003891307</x:t>
  </x:si>
  <x:si>
    <x:t>http://id.who.int/icd/release/11/beta/ichi/2003891307</x:t>
  </x:si>
  <x:si>
    <x:t>UD1.VB.ZZ</x:t>
  </x:si>
  <x:si>
    <x:t>- - - - Awareness raising concerning attitudes, unspecified</x:t>
  </x:si>
  <x:si>
    <x:t>http://id.who.int/icd/entity/1824420721</x:t>
  </x:si>
  <x:si>
    <x:t>http://id.who.int/icd/release/11/beta/ichi/1824420721</x:t>
  </x:si>
  <x:si>
    <x:t>UD1.VC.ZZ</x:t>
  </x:si>
  <x:si>
    <x:t>- - - - Public health surveillance concerning attitudes, unspecified</x:t>
  </x:si>
  <x:si>
    <x:t>http://id.who.int/icd/entity/1685621723</x:t>
  </x:si>
  <x:si>
    <x:t>http://id.who.int/icd/release/11/beta/ichi/1685621723</x:t>
  </x:si>
  <x:si>
    <x:t>UD1.VF.ZZ</x:t>
  </x:si>
  <x:si>
    <x:t>- - - - Alert concerning attitudes, unspecified</x:t>
  </x:si>
  <x:si>
    <x:t>http://id.who.int/icd/entity/529872116</x:t>
  </x:si>
  <x:si>
    <x:t>http://id.who.int/icd/release/11/beta/ichi/529872116</x:t>
  </x:si>
  <x:si>
    <x:t>UD1.WI.QD</x:t>
  </x:si>
  <x:si>
    <x:t>- - - - Restrictions through enactment of laws or standards in relation to attitudes, unspecified</x:t>
  </x:si>
  <x:si>
    <x:t>http://id.who.int/icd/entity/1079469527</x:t>
  </x:si>
  <x:si>
    <x:t>http://id.who.int/icd/release/11/beta/ichi/1079469527</x:t>
  </x:si>
  <x:si>
    <x:t>UD1.WI.QE</x:t>
  </x:si>
  <x:si>
    <x:t>- - - - Restrictions through enforcement of laws or standards in relation to attitudes, unspecified</x:t>
  </x:si>
  <x:si>
    <x:t>http://id.who.int/icd/entity/271367270</x:t>
  </x:si>
  <x:si>
    <x:t>http://id.who.int/icd/release/11/beta/ichi/271367270</x:t>
  </x:si>
  <x:si>
    <x:t>UD1.WI.ZZ</x:t>
  </x:si>
  <x:si>
    <x:t>- - - - Restrictions through laws or standards in relation to attitudes, unspecified</x:t>
  </x:si>
  <x:si>
    <x:t>http://id.who.int/icd/entity/1996049835</x:t>
  </x:si>
  <x:si>
    <x:t>http://id.who.int/icd/release/11/beta/ichi/1996049835</x:t>
  </x:si>
  <x:si>
    <x:t>UD1.WJ.ZZ</x:t>
  </x:si>
  <x:si>
    <x:t>- - - - Policy change concerning attitudes, unspecified</x:t>
  </x:si>
  <x:si>
    <x:t>http://id.who.int/icd/entity/1872808815</x:t>
  </x:si>
  <x:si>
    <x:t>http://id.who.int/icd/release/11/beta/ichi/1872808815</x:t>
  </x:si>
  <x:si>
    <x:t>UD1.ZZ.ZZ</x:t>
  </x:si>
  <x:si>
    <x:t>- - - - Other interventions targeting unspecified attitudes</x:t>
  </x:si>
  <x:si>
    <x:t>http://id.who.int/icd/entity/2113753863</x:t>
  </x:si>
  <x:si>
    <x:t>http://id.who.int/icd/release/11/beta/ichi/2113753863</x:t>
  </x:si>
  <x:si>
    <x:t>UDB.AA.ZZ</x:t>
  </x:si>
  <x:si>
    <x:t>- - - - Assessment of individual attitudes of immediate family members</x:t>
  </x:si>
  <x:si>
    <x:t>http://id.who.int/icd/entity/1932040901</x:t>
  </x:si>
  <x:si>
    <x:t>http://id.who.int/icd/release/11/beta/ichi/1932040901</x:t>
  </x:si>
  <x:si>
    <x:t>UDB.PM.ZZ</x:t>
  </x:si>
  <x:si>
    <x:t>- - - - Education about individual attitudes of immediate family members</x:t>
  </x:si>
  <x:si>
    <x:t>http://id.who.int/icd/entity/202619354</x:t>
  </x:si>
  <x:si>
    <x:t>http://id.who.int/icd/release/11/beta/ichi/202619354</x:t>
  </x:si>
  <x:si>
    <x:t>UDB.PN.ZZ</x:t>
  </x:si>
  <x:si>
    <x:t>- - - - Advising about individual attitudes of immediate family members</x:t>
  </x:si>
  <x:si>
    <x:t>http://id.who.int/icd/entity/353932184</x:t>
  </x:si>
  <x:si>
    <x:t>http://id.who.int/icd/release/11/beta/ichi/353932184</x:t>
  </x:si>
  <x:si>
    <x:t>UDB.RB.ZZ</x:t>
  </x:si>
  <x:si>
    <x:t>- - - - Practical support with individual attitudes of immediate family members</x:t>
  </x:si>
  <x:si>
    <x:t>http://id.who.int/icd/entity/1255850683</x:t>
  </x:si>
  <x:si>
    <x:t>http://id.who.int/icd/release/11/beta/ichi/1255850683</x:t>
  </x:si>
  <x:si>
    <x:t>UDB.TA.ZZ</x:t>
  </x:si>
  <x:si>
    <x:t>- - - - Advocacy in relation to individual attitudes of immediate family members</x:t>
  </x:si>
  <x:si>
    <x:t>http://id.who.int/icd/entity/446765834</x:t>
  </x:si>
  <x:si>
    <x:t>http://id.who.int/icd/release/11/beta/ichi/446765834</x:t>
  </x:si>
  <x:si>
    <x:t>UDB.TB.ZZ</x:t>
  </x:si>
  <x:si>
    <x:t>- - - - Planning in relation to individual attitudes of immediate family members</x:t>
  </x:si>
  <x:si>
    <x:t>http://id.who.int/icd/entity/881697012</x:t>
  </x:si>
  <x:si>
    <x:t>http://id.who.int/icd/release/11/beta/ichi/881697012</x:t>
  </x:si>
  <x:si>
    <x:t>UDB.VA.ZZ</x:t>
  </x:si>
  <x:si>
    <x:t>- - - - Capacity building targeting individual attitudes of immediate family members</x:t>
  </x:si>
  <x:si>
    <x:t>http://id.who.int/icd/entity/634290308</x:t>
  </x:si>
  <x:si>
    <x:t>http://id.who.int/icd/release/11/beta/ichi/634290308</x:t>
  </x:si>
  <x:si>
    <x:t>UDB.VB.ZZ</x:t>
  </x:si>
  <x:si>
    <x:t>- - - - Awareness raising concerning individual attitudes of immediate family members</x:t>
  </x:si>
  <x:si>
    <x:t>http://id.who.int/icd/entity/1350042865</x:t>
  </x:si>
  <x:si>
    <x:t>http://id.who.int/icd/release/11/beta/ichi/1350042865</x:t>
  </x:si>
  <x:si>
    <x:t>UDB.VC.ZZ</x:t>
  </x:si>
  <x:si>
    <x:t>- - - - Public health surveillance concerning individual attitudes of immediate family members</x:t>
  </x:si>
  <x:si>
    <x:t>http://id.who.int/icd/entity/253248</x:t>
  </x:si>
  <x:si>
    <x:t>http://id.who.int/icd/release/11/beta/ichi/253248</x:t>
  </x:si>
  <x:si>
    <x:t>UDB.VF.ZZ</x:t>
  </x:si>
  <x:si>
    <x:t>- - - - Alert concerning individual attitudes of immediate family members</x:t>
  </x:si>
  <x:si>
    <x:t>http://id.who.int/icd/entity/1606519907</x:t>
  </x:si>
  <x:si>
    <x:t>http://id.who.int/icd/release/11/beta/ichi/1606519907</x:t>
  </x:si>
  <x:si>
    <x:t>UDB.WI.QD</x:t>
  </x:si>
  <x:si>
    <x:t>- - - - Restrictions through enactment of laws or standards in relation to individual attitudes of immediate family members</x:t>
  </x:si>
  <x:si>
    <x:t>http://id.who.int/icd/entity/1950146803</x:t>
  </x:si>
  <x:si>
    <x:t>http://id.who.int/icd/release/11/beta/ichi/1950146803</x:t>
  </x:si>
  <x:si>
    <x:t>UDB.WI.QE</x:t>
  </x:si>
  <x:si>
    <x:t>- - - - Restrictions through enforcement of laws or standards in relation to individual attitudes of immediate family members</x:t>
  </x:si>
  <x:si>
    <x:t>http://id.who.int/icd/entity/542973708</x:t>
  </x:si>
  <x:si>
    <x:t>http://id.who.int/icd/release/11/beta/ichi/542973708</x:t>
  </x:si>
  <x:si>
    <x:t>UDB.WI.ZZ</x:t>
  </x:si>
  <x:si>
    <x:t>- - - - Restrictions through laws or standards in relation to individual attitudes of immediate family members</x:t>
  </x:si>
  <x:si>
    <x:t>http://id.who.int/icd/entity/2141146671</x:t>
  </x:si>
  <x:si>
    <x:t>http://id.who.int/icd/release/11/beta/ichi/2141146671</x:t>
  </x:si>
  <x:si>
    <x:t>UDB.WJ.ZZ</x:t>
  </x:si>
  <x:si>
    <x:t>- - - - Policy change in relation to individual attitudes of immediate family members</x:t>
  </x:si>
  <x:si>
    <x:t>http://id.who.int/icd/entity/153589284</x:t>
  </x:si>
  <x:si>
    <x:t>http://id.who.int/icd/release/11/beta/ichi/153589284</x:t>
  </x:si>
  <x:si>
    <x:t>UDC.AA.ZZ</x:t>
  </x:si>
  <x:si>
    <x:t>- - - - Assessment of individual attitudes of extended family members</x:t>
  </x:si>
  <x:si>
    <x:t>http://id.who.int/icd/entity/2040872361</x:t>
  </x:si>
  <x:si>
    <x:t>http://id.who.int/icd/release/11/beta/ichi/2040872361</x:t>
  </x:si>
  <x:si>
    <x:t>UDC.PM.ZZ</x:t>
  </x:si>
  <x:si>
    <x:t>- - - - Education about individual attitudes of extended family members</x:t>
  </x:si>
  <x:si>
    <x:t>http://id.who.int/icd/entity/1457899271</x:t>
  </x:si>
  <x:si>
    <x:t>http://id.who.int/icd/release/11/beta/ichi/1457899271</x:t>
  </x:si>
  <x:si>
    <x:t>UDC.PN.ZZ</x:t>
  </x:si>
  <x:si>
    <x:t>- - - - Advising about individual attitudes of extended family members</x:t>
  </x:si>
  <x:si>
    <x:t>http://id.who.int/icd/entity/824065916</x:t>
  </x:si>
  <x:si>
    <x:t>http://id.who.int/icd/release/11/beta/ichi/824065916</x:t>
  </x:si>
  <x:si>
    <x:t>UDC.RB.ZZ</x:t>
  </x:si>
  <x:si>
    <x:t>- - - - Practical support with individual attitudes of extended family members</x:t>
  </x:si>
  <x:si>
    <x:t>http://id.who.int/icd/entity/1396567716</x:t>
  </x:si>
  <x:si>
    <x:t>http://id.who.int/icd/release/11/beta/ichi/1396567716</x:t>
  </x:si>
  <x:si>
    <x:t>UDC.TA.ZZ</x:t>
  </x:si>
  <x:si>
    <x:t>- - - - Advocacy in relation to individual attitudes of extended family members</x:t>
  </x:si>
  <x:si>
    <x:t>http://id.who.int/icd/entity/218087303</x:t>
  </x:si>
  <x:si>
    <x:t>http://id.who.int/icd/release/11/beta/ichi/218087303</x:t>
  </x:si>
  <x:si>
    <x:t>UDC.TB.ZZ</x:t>
  </x:si>
  <x:si>
    <x:t>- - - - Planning in relation to individual attitudes of extended family members</x:t>
  </x:si>
  <x:si>
    <x:t>http://id.who.int/icd/entity/691200581</x:t>
  </x:si>
  <x:si>
    <x:t>http://id.who.int/icd/release/11/beta/ichi/691200581</x:t>
  </x:si>
  <x:si>
    <x:t>UDC.VA.ZZ</x:t>
  </x:si>
  <x:si>
    <x:t>- - - - Capacity building targeting individual attitudes of extended family members</x:t>
  </x:si>
  <x:si>
    <x:t>http://id.who.int/icd/entity/47156949</x:t>
  </x:si>
  <x:si>
    <x:t>http://id.who.int/icd/release/11/beta/ichi/47156949</x:t>
  </x:si>
  <x:si>
    <x:t>UDC.VB.ZZ</x:t>
  </x:si>
  <x:si>
    <x:t>- - - - Awareness raising concerning individual attitudes of extended family members</x:t>
  </x:si>
  <x:si>
    <x:t>http://id.who.int/icd/entity/327986851</x:t>
  </x:si>
  <x:si>
    <x:t>http://id.who.int/icd/release/11/beta/ichi/327986851</x:t>
  </x:si>
  <x:si>
    <x:t>UDC.VC.ZZ</x:t>
  </x:si>
  <x:si>
    <x:t>- - - - Public health surveillance concerning individual attitudes of extended family members</x:t>
  </x:si>
  <x:si>
    <x:t>http://id.who.int/icd/entity/375224781</x:t>
  </x:si>
  <x:si>
    <x:t>http://id.who.int/icd/release/11/beta/ichi/375224781</x:t>
  </x:si>
  <x:si>
    <x:t>UDC.VF.ZZ</x:t>
  </x:si>
  <x:si>
    <x:t>- - - - Alert concerning individual attitudes of extended family members</x:t>
  </x:si>
  <x:si>
    <x:t>http://id.who.int/icd/entity/1176936572</x:t>
  </x:si>
  <x:si>
    <x:t>http://id.who.int/icd/release/11/beta/ichi/1176936572</x:t>
  </x:si>
  <x:si>
    <x:t>UDC.WI.QD</x:t>
  </x:si>
  <x:si>
    <x:t>- - - - Restrictions through enactment of laws or standards in relation to individual attitudes of extended family members</x:t>
  </x:si>
  <x:si>
    <x:t>http://id.who.int/icd/entity/434434399</x:t>
  </x:si>
  <x:si>
    <x:t>http://id.who.int/icd/release/11/beta/ichi/434434399</x:t>
  </x:si>
  <x:si>
    <x:t>UDC.WI.QE</x:t>
  </x:si>
  <x:si>
    <x:t>- - - - Restrictions through enforcement of laws or standards in relation to individual attitudes of extended family members</x:t>
  </x:si>
  <x:si>
    <x:t>http://id.who.int/icd/entity/840539599</x:t>
  </x:si>
  <x:si>
    <x:t>http://id.who.int/icd/release/11/beta/ichi/840539599</x:t>
  </x:si>
  <x:si>
    <x:t>UDC.WI.ZZ</x:t>
  </x:si>
  <x:si>
    <x:t>- - - - Restrictions through laws or standards in relation to individual attitudes of extended family members</x:t>
  </x:si>
  <x:si>
    <x:t>http://id.who.int/icd/entity/154036457</x:t>
  </x:si>
  <x:si>
    <x:t>http://id.who.int/icd/release/11/beta/ichi/154036457</x:t>
  </x:si>
  <x:si>
    <x:t>UDC.WJ.ZZ</x:t>
  </x:si>
  <x:si>
    <x:t>- - - - Policy change in relation to individual attitudes of extended family members</x:t>
  </x:si>
  <x:si>
    <x:t>http://id.who.int/icd/entity/1828469649</x:t>
  </x:si>
  <x:si>
    <x:t>http://id.who.int/icd/release/11/beta/ichi/1828469649</x:t>
  </x:si>
  <x:si>
    <x:t>UDD.AA.ZZ</x:t>
  </x:si>
  <x:si>
    <x:t>- - - - Assessment of individual attitudes of friends</x:t>
  </x:si>
  <x:si>
    <x:t>http://id.who.int/icd/entity/42219768</x:t>
  </x:si>
  <x:si>
    <x:t>http://id.who.int/icd/release/11/beta/ichi/42219768</x:t>
  </x:si>
  <x:si>
    <x:t>UDD.PM.ZZ</x:t>
  </x:si>
  <x:si>
    <x:t>- - - - Education about individual attitudes of friends</x:t>
  </x:si>
  <x:si>
    <x:t>http://id.who.int/icd/entity/859728562</x:t>
  </x:si>
  <x:si>
    <x:t>http://id.who.int/icd/release/11/beta/ichi/859728562</x:t>
  </x:si>
  <x:si>
    <x:t>UDD.PN.ZZ</x:t>
  </x:si>
  <x:si>
    <x:t>- - - - Advising about individual attitudes of friends</x:t>
  </x:si>
  <x:si>
    <x:t>http://id.who.int/icd/entity/865084431</x:t>
  </x:si>
  <x:si>
    <x:t>http://id.who.int/icd/release/11/beta/ichi/865084431</x:t>
  </x:si>
  <x:si>
    <x:t>UDD.RB.ZZ</x:t>
  </x:si>
  <x:si>
    <x:t>- - - - Practical support with individual attitudes of friends</x:t>
  </x:si>
  <x:si>
    <x:t>http://id.who.int/icd/entity/409815199</x:t>
  </x:si>
  <x:si>
    <x:t>http://id.who.int/icd/release/11/beta/ichi/409815199</x:t>
  </x:si>
  <x:si>
    <x:t>UDD.TA.ZZ</x:t>
  </x:si>
  <x:si>
    <x:t>- - - - Advocacy in relation to individual attitudes of friends</x:t>
  </x:si>
  <x:si>
    <x:t>http://id.who.int/icd/entity/332326467</x:t>
  </x:si>
  <x:si>
    <x:t>http://id.who.int/icd/release/11/beta/ichi/332326467</x:t>
  </x:si>
  <x:si>
    <x:t>UDD.TD.ZZ</x:t>
  </x:si>
  <x:si>
    <x:t>- - - - Collaboration relating to individual attitudes of friends</x:t>
  </x:si>
  <x:si>
    <x:t>http://id.who.int/icd/entity/1135951860</x:t>
  </x:si>
  <x:si>
    <x:t>http://id.who.int/icd/release/11/beta/ichi/1135951860</x:t>
  </x:si>
  <x:si>
    <x:t>UDD.VA.ZZ</x:t>
  </x:si>
  <x:si>
    <x:t>- - - - Capacity building targeting individual attitudes of friends</x:t>
  </x:si>
  <x:si>
    <x:t>http://id.who.int/icd/entity/1993994634</x:t>
  </x:si>
  <x:si>
    <x:t>http://id.who.int/icd/release/11/beta/ichi/1993994634</x:t>
  </x:si>
  <x:si>
    <x:t>UDD.VB.ZZ</x:t>
  </x:si>
  <x:si>
    <x:t>- - - - Awareness raising concerning individual attitudes of friends</x:t>
  </x:si>
  <x:si>
    <x:t>http://id.who.int/icd/entity/1562680602</x:t>
  </x:si>
  <x:si>
    <x:t>http://id.who.int/icd/release/11/beta/ichi/1562680602</x:t>
  </x:si>
  <x:si>
    <x:t>UDD.VC.ZZ</x:t>
  </x:si>
  <x:si>
    <x:t>- - - - Public health surveillance concerning individual attitudes of friends</x:t>
  </x:si>
  <x:si>
    <x:t>http://id.who.int/icd/entity/1281867118</x:t>
  </x:si>
  <x:si>
    <x:t>http://id.who.int/icd/release/11/beta/ichi/1281867118</x:t>
  </x:si>
  <x:si>
    <x:t>UDD.VF.ZZ</x:t>
  </x:si>
  <x:si>
    <x:t>- - - - Alert concerning individual attitudes of friends</x:t>
  </x:si>
  <x:si>
    <x:t>http://id.who.int/icd/entity/970012957</x:t>
  </x:si>
  <x:si>
    <x:t>http://id.who.int/icd/release/11/beta/ichi/970012957</x:t>
  </x:si>
  <x:si>
    <x:t>UDD.WI.QD</x:t>
  </x:si>
  <x:si>
    <x:t>- - - - Restrictions through enactment of laws or standards in relation to individual attitudes of friends</x:t>
  </x:si>
  <x:si>
    <x:t>http://id.who.int/icd/entity/1772806318</x:t>
  </x:si>
  <x:si>
    <x:t>http://id.who.int/icd/release/11/beta/ichi/1772806318</x:t>
  </x:si>
  <x:si>
    <x:t>UDD.WI.QE</x:t>
  </x:si>
  <x:si>
    <x:t>- - - - Restrictions through enforcement of laws or standards in relation to individual attitudes of friends</x:t>
  </x:si>
  <x:si>
    <x:t>http://id.who.int/icd/entity/912830863</x:t>
  </x:si>
  <x:si>
    <x:t>http://id.who.int/icd/release/11/beta/ichi/912830863</x:t>
  </x:si>
  <x:si>
    <x:t>UDD.WI.ZZ</x:t>
  </x:si>
  <x:si>
    <x:t>- - - - Restrictions through laws or standards in relation to individual attitudes of friends</x:t>
  </x:si>
  <x:si>
    <x:t>http://id.who.int/icd/entity/496360735</x:t>
  </x:si>
  <x:si>
    <x:t>http://id.who.int/icd/release/11/beta/ichi/496360735</x:t>
  </x:si>
  <x:si>
    <x:t>UDD.WJ.ZZ</x:t>
  </x:si>
  <x:si>
    <x:t>- - - - Policy change in relation to individual attitudes of friends</x:t>
  </x:si>
  <x:si>
    <x:t>http://id.who.int/icd/entity/1275901794</x:t>
  </x:si>
  <x:si>
    <x:t>http://id.who.int/icd/release/11/beta/ichi/1275901794</x:t>
  </x:si>
  <x:si>
    <x:t>UDD.ZZ.ZZ</x:t>
  </x:si>
  <x:si>
    <x:t>- - - - Planning in relation to individual attitudes of friends</x:t>
  </x:si>
  <x:si>
    <x:t>http://id.who.int/icd/entity/1138215729</x:t>
  </x:si>
  <x:si>
    <x:t>http://id.who.int/icd/release/11/beta/ichi/1138215729</x:t>
  </x:si>
  <x:si>
    <x:t>UDE.AA.ZZ</x:t>
  </x:si>
  <x:si>
    <x:t>- - - - Assessment of individual attitudes of acquaintances, peers, colleagues, neighbours and community members</x:t>
  </x:si>
  <x:si>
    <x:t>http://id.who.int/icd/entity/1221842333</x:t>
  </x:si>
  <x:si>
    <x:t>http://id.who.int/icd/release/11/beta/ichi/1221842333</x:t>
  </x:si>
  <x:si>
    <x:t>UDE.PM.ZZ</x:t>
  </x:si>
  <x:si>
    <x:t>- - - - Education about individual attitudes of acquaintances, peers, colleagues, neighbours and community members</x:t>
  </x:si>
  <x:si>
    <x:t>http://id.who.int/icd/entity/471177746</x:t>
  </x:si>
  <x:si>
    <x:t>http://id.who.int/icd/release/11/beta/ichi/471177746</x:t>
  </x:si>
  <x:si>
    <x:t>UDE.PN.ZZ</x:t>
  </x:si>
  <x:si>
    <x:t>- - - - Advising about individual attitudes of acquaintances, peers, colleagues, neighbours and community members</x:t>
  </x:si>
  <x:si>
    <x:t>http://id.who.int/icd/entity/867788513</x:t>
  </x:si>
  <x:si>
    <x:t>http://id.who.int/icd/release/11/beta/ichi/867788513</x:t>
  </x:si>
  <x:si>
    <x:t>UDE.RB.ZZ</x:t>
  </x:si>
  <x:si>
    <x:t>- - - - Practical support with individual attitudes of acquaintances, peers, colleagues, neighbours and community members</x:t>
  </x:si>
  <x:si>
    <x:t>http://id.who.int/icd/entity/1820014532</x:t>
  </x:si>
  <x:si>
    <x:t>http://id.who.int/icd/release/11/beta/ichi/1820014532</x:t>
  </x:si>
  <x:si>
    <x:t>UDE.TA.ZZ</x:t>
  </x:si>
  <x:si>
    <x:t>- - - - Advocacy in relation to individual attitudes of acquaintances, peers, colleagues, neighbours and community members</x:t>
  </x:si>
  <x:si>
    <x:t>http://id.who.int/icd/entity/1199987540</x:t>
  </x:si>
  <x:si>
    <x:t>http://id.who.int/icd/release/11/beta/ichi/1199987540</x:t>
  </x:si>
  <x:si>
    <x:t>UDE.TB.ZZ</x:t>
  </x:si>
  <x:si>
    <x:t>- - - - Planning in relation to individual attitudes of acquaintances, peers, colleagues, neighbours and community members</x:t>
  </x:si>
  <x:si>
    <x:t>http://id.who.int/icd/entity/2092019318</x:t>
  </x:si>
  <x:si>
    <x:t>http://id.who.int/icd/release/11/beta/ichi/2092019318</x:t>
  </x:si>
  <x:si>
    <x:t>UDE.TD.ZZ</x:t>
  </x:si>
  <x:si>
    <x:t>- - - - Collaboration relating to individual attitudes of acquaintances, peers, colleagues, neighbours and community members</x:t>
  </x:si>
  <x:si>
    <x:t>http://id.who.int/icd/entity/594804567</x:t>
  </x:si>
  <x:si>
    <x:t>http://id.who.int/icd/release/11/beta/ichi/594804567</x:t>
  </x:si>
  <x:si>
    <x:t>UDE.VA.ZZ</x:t>
  </x:si>
  <x:si>
    <x:t>- - - - Capacity building targeting acquaintances, peers, colleagues, neighbours and community members</x:t>
  </x:si>
  <x:si>
    <x:t>http://id.who.int/icd/entity/1929914088</x:t>
  </x:si>
  <x:si>
    <x:t>http://id.who.int/icd/release/11/beta/ichi/1929914088</x:t>
  </x:si>
  <x:si>
    <x:t>UDE.VB.ZZ</x:t>
  </x:si>
  <x:si>
    <x:t>- - - - Awareness raising concerning individual attitudes of acquaintances, peers, colleagues, neighbours and community members</x:t>
  </x:si>
  <x:si>
    <x:t>http://id.who.int/icd/entity/1776855116</x:t>
  </x:si>
  <x:si>
    <x:t>http://id.who.int/icd/release/11/beta/ichi/1776855116</x:t>
  </x:si>
  <x:si>
    <x:t>UDE.VC.ZZ</x:t>
  </x:si>
  <x:si>
    <x:t>- - - - Public health surveillance concerning individual attitudes of acquaintances, peers, colleagues, neighbours and community members</x:t>
  </x:si>
  <x:si>
    <x:t>http://id.who.int/icd/entity/1108722908</x:t>
  </x:si>
  <x:si>
    <x:t>http://id.who.int/icd/release/11/beta/ichi/1108722908</x:t>
  </x:si>
  <x:si>
    <x:t>UDE.VF.ZZ</x:t>
  </x:si>
  <x:si>
    <x:t>- - - - Alert concerning individual attitudes of acquaintances, peers, colleagues, neighbours and community members</x:t>
  </x:si>
  <x:si>
    <x:t>http://id.who.int/icd/entity/1398203564</x:t>
  </x:si>
  <x:si>
    <x:t>http://id.who.int/icd/release/11/beta/ichi/1398203564</x:t>
  </x:si>
  <x:si>
    <x:t>UDE.WI.QD</x:t>
  </x:si>
  <x:si>
    <x:t>- - - - Restrictions through enactment of laws or standards in relation to individual attitudes of acquaintances, peers, colleagues, neighbours and community members</x:t>
  </x:si>
  <x:si>
    <x:t>http://id.who.int/icd/entity/1929009172</x:t>
  </x:si>
  <x:si>
    <x:t>http://id.who.int/icd/release/11/beta/ichi/1929009172</x:t>
  </x:si>
  <x:si>
    <x:t>UDE.WI.QE</x:t>
  </x:si>
  <x:si>
    <x:t>- - - - Restrictions through enforcement of laws or standards in relation to individual attitudes of acquaintances, peers, colleagues, neighbours and community members</x:t>
  </x:si>
  <x:si>
    <x:t>http://id.who.int/icd/entity/578912677</x:t>
  </x:si>
  <x:si>
    <x:t>http://id.who.int/icd/release/11/beta/ichi/578912677</x:t>
  </x:si>
  <x:si>
    <x:t>UDE.WI.ZZ</x:t>
  </x:si>
  <x:si>
    <x:t>- - - - Restrictions through laws or standards in relation to individual attitudes of acquaintances, peers, colleagues, neighbours and community members</x:t>
  </x:si>
  <x:si>
    <x:t>http://id.who.int/icd/entity/2101596294</x:t>
  </x:si>
  <x:si>
    <x:t>http://id.who.int/icd/release/11/beta/ichi/2101596294</x:t>
  </x:si>
  <x:si>
    <x:t>UDE.WJ.ZZ</x:t>
  </x:si>
  <x:si>
    <x:t>- - - - Policy change in relation to individual attitudes of acquaintances, peers, colleagues, neighbours and community members</x:t>
  </x:si>
  <x:si>
    <x:t>http://id.who.int/icd/entity/1485737286</x:t>
  </x:si>
  <x:si>
    <x:t>http://id.who.int/icd/release/11/beta/ichi/1485737286</x:t>
  </x:si>
  <x:si>
    <x:t>UDF.AA.ZZ</x:t>
  </x:si>
  <x:si>
    <x:t>- - - - Assessment of individual attitudes of people in positions of authority</x:t>
  </x:si>
  <x:si>
    <x:t>http://id.who.int/icd/entity/150295797</x:t>
  </x:si>
  <x:si>
    <x:t>http://id.who.int/icd/release/11/beta/ichi/150295797</x:t>
  </x:si>
  <x:si>
    <x:t>UDF.PM.ZZ</x:t>
  </x:si>
  <x:si>
    <x:t>- - - - Education about individual attitudes of people in positions of authority</x:t>
  </x:si>
  <x:si>
    <x:t>http://id.who.int/icd/entity/1463223768</x:t>
  </x:si>
  <x:si>
    <x:t>http://id.who.int/icd/release/11/beta/ichi/1463223768</x:t>
  </x:si>
  <x:si>
    <x:t>UDF.PN.ZZ</x:t>
  </x:si>
  <x:si>
    <x:t>- - - - Advising about individual attitudes of people in positions of authority</x:t>
  </x:si>
  <x:si>
    <x:t>http://id.who.int/icd/entity/2093640008</x:t>
  </x:si>
  <x:si>
    <x:t>http://id.who.int/icd/release/11/beta/ichi/2093640008</x:t>
  </x:si>
  <x:si>
    <x:t>UDF.RB.ZZ</x:t>
  </x:si>
  <x:si>
    <x:t>- - - - Practical support with individual attitudes of people in positions of authority</x:t>
  </x:si>
  <x:si>
    <x:t>http://id.who.int/icd/entity/932892541</x:t>
  </x:si>
  <x:si>
    <x:t>http://id.who.int/icd/release/11/beta/ichi/932892541</x:t>
  </x:si>
  <x:si>
    <x:t>UDF.TA.ZZ</x:t>
  </x:si>
  <x:si>
    <x:t>- - - - Advocacy in relation to individual attitudes of people in positions of authority</x:t>
  </x:si>
  <x:si>
    <x:t>http://id.who.int/icd/entity/1750638174</x:t>
  </x:si>
  <x:si>
    <x:t>http://id.who.int/icd/release/11/beta/ichi/1750638174</x:t>
  </x:si>
  <x:si>
    <x:t>UDF.TB.ZZ</x:t>
  </x:si>
  <x:si>
    <x:t>- - - - Planning in relation to individual attitudes of people in positions of authority</x:t>
  </x:si>
  <x:si>
    <x:t>http://id.who.int/icd/entity/941836271</x:t>
  </x:si>
  <x:si>
    <x:t>http://id.who.int/icd/release/11/beta/ichi/941836271</x:t>
  </x:si>
  <x:si>
    <x:t>UDF.TD.ZZ</x:t>
  </x:si>
  <x:si>
    <x:t>- - - - Collaboration relating to individual attitudes of people in positions of authority</x:t>
  </x:si>
  <x:si>
    <x:t>http://id.who.int/icd/entity/1301660574</x:t>
  </x:si>
  <x:si>
    <x:t>http://id.who.int/icd/release/11/beta/ichi/1301660574</x:t>
  </x:si>
  <x:si>
    <x:t>UDF.VA.ZZ</x:t>
  </x:si>
  <x:si>
    <x:t>- - - - Capacity building targeting individual attitudes of people in positions of authority</x:t>
  </x:si>
  <x:si>
    <x:t>http://id.who.int/icd/entity/1718136590</x:t>
  </x:si>
  <x:si>
    <x:t>http://id.who.int/icd/release/11/beta/ichi/1718136590</x:t>
  </x:si>
  <x:si>
    <x:t>UDF.VB.ZZ</x:t>
  </x:si>
  <x:si>
    <x:t>- - - - Awareness raising concerning individual attitudes of people in positions of authority</x:t>
  </x:si>
  <x:si>
    <x:t>http://id.who.int/icd/entity/1999343482</x:t>
  </x:si>
  <x:si>
    <x:t>http://id.who.int/icd/release/11/beta/ichi/1999343482</x:t>
  </x:si>
  <x:si>
    <x:t>UDF.VC.ZZ</x:t>
  </x:si>
  <x:si>
    <x:t>- - - - Public health surveillance concerning individual attitudes of people in positions of authority</x:t>
  </x:si>
  <x:si>
    <x:t>http://id.who.int/icd/entity/1842020818</x:t>
  </x:si>
  <x:si>
    <x:t>http://id.who.int/icd/release/11/beta/ichi/1842020818</x:t>
  </x:si>
  <x:si>
    <x:t>UDF.VF.ZZ</x:t>
  </x:si>
  <x:si>
    <x:t>- - - - Alert concerning individual attitudes of people in positions of authority</x:t>
  </x:si>
  <x:si>
    <x:t>http://id.who.int/icd/entity/1034999905</x:t>
  </x:si>
  <x:si>
    <x:t>http://id.who.int/icd/release/11/beta/ichi/1034999905</x:t>
  </x:si>
  <x:si>
    <x:t>UDF.WI.QD</x:t>
  </x:si>
  <x:si>
    <x:t>- - - - Restrictions through enactment of laws or standards in relation to individual attitudes of people in positions of authority</x:t>
  </x:si>
  <x:si>
    <x:t>http://id.who.int/icd/entity/1651673412</x:t>
  </x:si>
  <x:si>
    <x:t>http://id.who.int/icd/release/11/beta/ichi/1651673412</x:t>
  </x:si>
  <x:si>
    <x:t>UDF.WI.QE</x:t>
  </x:si>
  <x:si>
    <x:t>- - - - Restrictions through enforcement of laws or standards in relation to individual attitudes of people in positions of authority</x:t>
  </x:si>
  <x:si>
    <x:t>http://id.who.int/icd/entity/1234167252</x:t>
  </x:si>
  <x:si>
    <x:t>http://id.who.int/icd/release/11/beta/ichi/1234167252</x:t>
  </x:si>
  <x:si>
    <x:t>UDF.WI.ZZ</x:t>
  </x:si>
  <x:si>
    <x:t>- - - - Restrictions through laws or standards in relation to individual attitudes of people in positions of authority</x:t>
  </x:si>
  <x:si>
    <x:t>http://id.who.int/icd/entity/845306621</x:t>
  </x:si>
  <x:si>
    <x:t>http://id.who.int/icd/release/11/beta/ichi/845306621</x:t>
  </x:si>
  <x:si>
    <x:t>UDF.WJ.ZZ</x:t>
  </x:si>
  <x:si>
    <x:t>- - - - Policy change in relation to individual attitudes of people in positions of authority</x:t>
  </x:si>
  <x:si>
    <x:t>http://id.who.int/icd/entity/148641307</x:t>
  </x:si>
  <x:si>
    <x:t>http://id.who.int/icd/release/11/beta/ichi/148641307</x:t>
  </x:si>
  <x:si>
    <x:t>UDG.AA.ZZ</x:t>
  </x:si>
  <x:si>
    <x:t>- - - - Assessment of individual attitudes of people in subordinate positions</x:t>
  </x:si>
  <x:si>
    <x:t>http://id.who.int/icd/entity/589396619</x:t>
  </x:si>
  <x:si>
    <x:t>http://id.who.int/icd/release/11/beta/ichi/589396619</x:t>
  </x:si>
  <x:si>
    <x:t>UDG.PM.ZZ</x:t>
  </x:si>
  <x:si>
    <x:t>- - - - Education about individual attitudes of people in subordinate positions</x:t>
  </x:si>
  <x:si>
    <x:t>http://id.who.int/icd/entity/404131757</x:t>
  </x:si>
  <x:si>
    <x:t>http://id.who.int/icd/release/11/beta/ichi/404131757</x:t>
  </x:si>
  <x:si>
    <x:t>UDG.PN.ZZ</x:t>
  </x:si>
  <x:si>
    <x:t>- - - - Advising about individual attitudes of people in subordinate positions</x:t>
  </x:si>
  <x:si>
    <x:t>http://id.who.int/icd/entity/1205132944</x:t>
  </x:si>
  <x:si>
    <x:t>http://id.who.int/icd/release/11/beta/ichi/1205132944</x:t>
  </x:si>
  <x:si>
    <x:t>UDG.RB.ZZ</x:t>
  </x:si>
  <x:si>
    <x:t>- - - - Practical support with individual attitudes of people in subordinate positions</x:t>
  </x:si>
  <x:si>
    <x:t>http://id.who.int/icd/entity/397346623</x:t>
  </x:si>
  <x:si>
    <x:t>http://id.who.int/icd/release/11/beta/ichi/397346623</x:t>
  </x:si>
  <x:si>
    <x:t>UDG.TA.ZZ</x:t>
  </x:si>
  <x:si>
    <x:t>- - - - Advocacy in relation to individual attitudes of people in subordinate positions</x:t>
  </x:si>
  <x:si>
    <x:t>http://id.who.int/icd/entity/310300753</x:t>
  </x:si>
  <x:si>
    <x:t>http://id.who.int/icd/release/11/beta/ichi/310300753</x:t>
  </x:si>
  <x:si>
    <x:t>UDG.TB.ZZ</x:t>
  </x:si>
  <x:si>
    <x:t>- - - - Planning in relation to individual attitudes of people in subordinate positions</x:t>
  </x:si>
  <x:si>
    <x:t>http://id.who.int/icd/entity/964934849</x:t>
  </x:si>
  <x:si>
    <x:t>http://id.who.int/icd/release/11/beta/ichi/964934849</x:t>
  </x:si>
  <x:si>
    <x:t>UDG.TD.ZZ</x:t>
  </x:si>
  <x:si>
    <x:t>- - - - Collaboration relating to individual attitudes of people in subordinate positions</x:t>
  </x:si>
  <x:si>
    <x:t>http://id.who.int/icd/entity/683711671</x:t>
  </x:si>
  <x:si>
    <x:t>http://id.who.int/icd/release/11/beta/ichi/683711671</x:t>
  </x:si>
  <x:si>
    <x:t>UDG.VA.ZZ</x:t>
  </x:si>
  <x:si>
    <x:t>- - - - Capacity building targeting individual attitudes of people in subordinate positions</x:t>
  </x:si>
  <x:si>
    <x:t>http://id.who.int/icd/entity/1568020678</x:t>
  </x:si>
  <x:si>
    <x:t>http://id.who.int/icd/release/11/beta/ichi/1568020678</x:t>
  </x:si>
  <x:si>
    <x:t>UDG.VB.ZZ</x:t>
  </x:si>
  <x:si>
    <x:t>- - - - Awareness raising concerning individual attitudes of people in subordinate positions</x:t>
  </x:si>
  <x:si>
    <x:t>http://id.who.int/icd/entity/219005301</x:t>
  </x:si>
  <x:si>
    <x:t>http://id.who.int/icd/release/11/beta/ichi/219005301</x:t>
  </x:si>
  <x:si>
    <x:t>UDG.VC.ZZ</x:t>
  </x:si>
  <x:si>
    <x:t>- - - - Public health surveillance concerning individual attitudes of people in subordinate positions</x:t>
  </x:si>
  <x:si>
    <x:t>http://id.who.int/icd/entity/1389334616</x:t>
  </x:si>
  <x:si>
    <x:t>http://id.who.int/icd/release/11/beta/ichi/1389334616</x:t>
  </x:si>
  <x:si>
    <x:t>UDG.VF.ZZ</x:t>
  </x:si>
  <x:si>
    <x:t>- - - - Alert concerning individual attitudes of people in subordinate positions</x:t>
  </x:si>
  <x:si>
    <x:t>http://id.who.int/icd/entity/2033384648</x:t>
  </x:si>
  <x:si>
    <x:t>http://id.who.int/icd/release/11/beta/ichi/2033384648</x:t>
  </x:si>
  <x:si>
    <x:t>UDG.WI.QD</x:t>
  </x:si>
  <x:si>
    <x:t>- - - - Restrictions through enactment of laws or standards in relation to individual attitudes of people in subordinate positions</x:t>
  </x:si>
  <x:si>
    <x:t>http://id.who.int/icd/entity/760415033</x:t>
  </x:si>
  <x:si>
    <x:t>http://id.who.int/icd/release/11/beta/ichi/760415033</x:t>
  </x:si>
  <x:si>
    <x:t>UDG.WI.QE</x:t>
  </x:si>
  <x:si>
    <x:t>- - - - Restrictions through enforcement of laws or standards in relation to individual attitudes of people in subordinate positions</x:t>
  </x:si>
  <x:si>
    <x:t>http://id.who.int/icd/entity/1922126364</x:t>
  </x:si>
  <x:si>
    <x:t>http://id.who.int/icd/release/11/beta/ichi/1922126364</x:t>
  </x:si>
  <x:si>
    <x:t>UDG.WI.ZZ</x:t>
  </x:si>
  <x:si>
    <x:t>- - - - Restrictions through laws or standards in relation to individual attitudes of people in subordinate positions</x:t>
  </x:si>
  <x:si>
    <x:t>http://id.who.int/icd/entity/585796523</x:t>
  </x:si>
  <x:si>
    <x:t>http://id.who.int/icd/release/11/beta/ichi/585796523</x:t>
  </x:si>
  <x:si>
    <x:t>UDG.WJ.ZZ</x:t>
  </x:si>
  <x:si>
    <x:t>- - - - Policy change in relation to individual attitudes of people in subordinate positions</x:t>
  </x:si>
  <x:si>
    <x:t>http://id.who.int/icd/entity/1143982843</x:t>
  </x:si>
  <x:si>
    <x:t>http://id.who.int/icd/release/11/beta/ichi/1143982843</x:t>
  </x:si>
  <x:si>
    <x:t>UDH.AA.ZZ</x:t>
  </x:si>
  <x:si>
    <x:t>- - - - Assessment of individual attitudes of personal care providers and personal assistants</x:t>
  </x:si>
  <x:si>
    <x:t>http://id.who.int/icd/entity/468556762</x:t>
  </x:si>
  <x:si>
    <x:t>http://id.who.int/icd/release/11/beta/ichi/468556762</x:t>
  </x:si>
  <x:si>
    <x:t>UDH.PM.ZZ</x:t>
  </x:si>
  <x:si>
    <x:t>- - - - Education about individual attitudes of personal care providers and personal assistants</x:t>
  </x:si>
  <x:si>
    <x:t>http://id.who.int/icd/entity/1268138601</x:t>
  </x:si>
  <x:si>
    <x:t>http://id.who.int/icd/release/11/beta/ichi/1268138601</x:t>
  </x:si>
  <x:si>
    <x:t>UDH.PN.ZZ</x:t>
  </x:si>
  <x:si>
    <x:t>- - - - Advising about individual attitudes of personal care providers and personal assistants</x:t>
  </x:si>
  <x:si>
    <x:t>http://id.who.int/icd/entity/1042335258</x:t>
  </x:si>
  <x:si>
    <x:t>http://id.who.int/icd/release/11/beta/ichi/1042335258</x:t>
  </x:si>
  <x:si>
    <x:t>UDH.RB.ZZ</x:t>
  </x:si>
  <x:si>
    <x:t>- - - - Practical support with individual attitudes of personal care providers and personal assistants</x:t>
  </x:si>
  <x:si>
    <x:t>http://id.who.int/icd/entity/366848650</x:t>
  </x:si>
  <x:si>
    <x:t>http://id.who.int/icd/release/11/beta/ichi/366848650</x:t>
  </x:si>
  <x:si>
    <x:t>UDH.TA.ZZ</x:t>
  </x:si>
  <x:si>
    <x:t>- - - - Advocacy in relation to individual attitudes of personal care providers and personal assistants</x:t>
  </x:si>
  <x:si>
    <x:t>http://id.who.int/icd/entity/77499134</x:t>
  </x:si>
  <x:si>
    <x:t>http://id.who.int/icd/release/11/beta/ichi/77499134</x:t>
  </x:si>
  <x:si>
    <x:t>UDH.TB.ZZ</x:t>
  </x:si>
  <x:si>
    <x:t>- - - - Planning in relation to individual attitudes of personal care providers and personal assistants</x:t>
  </x:si>
  <x:si>
    <x:t>http://id.who.int/icd/entity/21978516</x:t>
  </x:si>
  <x:si>
    <x:t>http://id.who.int/icd/release/11/beta/ichi/21978516</x:t>
  </x:si>
  <x:si>
    <x:t>UDH.TD.ZZ</x:t>
  </x:si>
  <x:si>
    <x:t>- - - - Collaboration relating to individual attitudes of personal care providers and personal assistants</x:t>
  </x:si>
  <x:si>
    <x:t>http://id.who.int/icd/entity/1362396195</x:t>
  </x:si>
  <x:si>
    <x:t>http://id.who.int/icd/release/11/beta/ichi/1362396195</x:t>
  </x:si>
  <x:si>
    <x:t>UDH.VA.ZZ</x:t>
  </x:si>
  <x:si>
    <x:t>- - - - Capacity building targeting individual attitudes of personal care providers and personal assistants</x:t>
  </x:si>
  <x:si>
    <x:t>http://id.who.int/icd/entity/251057410</x:t>
  </x:si>
  <x:si>
    <x:t>http://id.who.int/icd/release/11/beta/ichi/251057410</x:t>
  </x:si>
  <x:si>
    <x:t>UDH.VB.ZZ</x:t>
  </x:si>
  <x:si>
    <x:t>- - - - Awareness raising concerning individual attitudes of personal care providers and personal assistants</x:t>
  </x:si>
  <x:si>
    <x:t>http://id.who.int/icd/entity/621525394</x:t>
  </x:si>
  <x:si>
    <x:t>http://id.who.int/icd/release/11/beta/ichi/621525394</x:t>
  </x:si>
  <x:si>
    <x:t>UDH.VC.ZZ</x:t>
  </x:si>
  <x:si>
    <x:t>- - - - Public health surveillance concerning individual attitudes of personal care providers and personal assistants</x:t>
  </x:si>
  <x:si>
    <x:t>http://id.who.int/icd/entity/507268280</x:t>
  </x:si>
  <x:si>
    <x:t>http://id.who.int/icd/release/11/beta/ichi/507268280</x:t>
  </x:si>
  <x:si>
    <x:t>UDH.VF.ZZ</x:t>
  </x:si>
  <x:si>
    <x:t>- - - - Alert concerning individual attitudes of personal care providers and personal assistants</x:t>
  </x:si>
  <x:si>
    <x:t>http://id.who.int/icd/entity/1107172757</x:t>
  </x:si>
  <x:si>
    <x:t>http://id.who.int/icd/release/11/beta/ichi/1107172757</x:t>
  </x:si>
  <x:si>
    <x:t>UDH.WI.QD</x:t>
  </x:si>
  <x:si>
    <x:t>- - - - Restrictions through enactment of laws or standards in relation to individual attitudes of personal care providers and personal assistants</x:t>
  </x:si>
  <x:si>
    <x:t>http://id.who.int/icd/entity/293979174</x:t>
  </x:si>
  <x:si>
    <x:t>http://id.who.int/icd/release/11/beta/ichi/293979174</x:t>
  </x:si>
  <x:si>
    <x:t>UDH.WI.QE</x:t>
  </x:si>
  <x:si>
    <x:t>- - - - Restrictions through enforcement of laws or standards in relation to individual attitudes of personal care providers and personal assistants</x:t>
  </x:si>
  <x:si>
    <x:t>http://id.who.int/icd/entity/191187598</x:t>
  </x:si>
  <x:si>
    <x:t>http://id.who.int/icd/release/11/beta/ichi/191187598</x:t>
  </x:si>
  <x:si>
    <x:t>UDH.WI.ZZ</x:t>
  </x:si>
  <x:si>
    <x:t>- - - - Restrictions through laws or standards in relation to individual attitudes of personal care providers and personal assistants</x:t>
  </x:si>
  <x:si>
    <x:t>http://id.who.int/icd/entity/546842142</x:t>
  </x:si>
  <x:si>
    <x:t>http://id.who.int/icd/release/11/beta/ichi/546842142</x:t>
  </x:si>
  <x:si>
    <x:t>UDH.WJ.ZZ</x:t>
  </x:si>
  <x:si>
    <x:t>- - - - Policy change in relation to individual attitudes of personal care providers and personal assistants</x:t>
  </x:si>
  <x:si>
    <x:t>http://id.who.int/icd/entity/1420237741</x:t>
  </x:si>
  <x:si>
    <x:t>http://id.who.int/icd/release/11/beta/ichi/1420237741</x:t>
  </x:si>
  <x:si>
    <x:t>UDI.AA.ZZ</x:t>
  </x:si>
  <x:si>
    <x:t>- - - - Assessment of individual attitudes of strangers</x:t>
  </x:si>
  <x:si>
    <x:t>http://id.who.int/icd/entity/1640748503</x:t>
  </x:si>
  <x:si>
    <x:t>http://id.who.int/icd/release/11/beta/ichi/1640748503</x:t>
  </x:si>
  <x:si>
    <x:t>UDI.PM.ZZ</x:t>
  </x:si>
  <x:si>
    <x:t>- - - - Education about individual attitudes of strangers</x:t>
  </x:si>
  <x:si>
    <x:t>http://id.who.int/icd/entity/1245100359</x:t>
  </x:si>
  <x:si>
    <x:t>http://id.who.int/icd/release/11/beta/ichi/1245100359</x:t>
  </x:si>
  <x:si>
    <x:t>UDI.PN.ZZ</x:t>
  </x:si>
  <x:si>
    <x:t>- - - - Advising about individual attitudes of strangers</x:t>
  </x:si>
  <x:si>
    <x:t>http://id.who.int/icd/entity/1534433585</x:t>
  </x:si>
  <x:si>
    <x:t>http://id.who.int/icd/release/11/beta/ichi/1534433585</x:t>
  </x:si>
  <x:si>
    <x:t>UDI.RB.ZZ</x:t>
  </x:si>
  <x:si>
    <x:t>- - - - Practical support with individual attitudes of strangers</x:t>
  </x:si>
  <x:si>
    <x:t>http://id.who.int/icd/entity/784538946</x:t>
  </x:si>
  <x:si>
    <x:t>http://id.who.int/icd/release/11/beta/ichi/784538946</x:t>
  </x:si>
  <x:si>
    <x:t>UDI.TA.ZZ</x:t>
  </x:si>
  <x:si>
    <x:t>- - - - Advocacy in relation to individual attitudes of strangers</x:t>
  </x:si>
  <x:si>
    <x:t>http://id.who.int/icd/entity/2126038259</x:t>
  </x:si>
  <x:si>
    <x:t>http://id.who.int/icd/release/11/beta/ichi/2126038259</x:t>
  </x:si>
  <x:si>
    <x:t>UDI.TB.ZZ</x:t>
  </x:si>
  <x:si>
    <x:t>- - - - Planning in relation to individual attitudes of strangers</x:t>
  </x:si>
  <x:si>
    <x:t>http://id.who.int/icd/entity/561681872</x:t>
  </x:si>
  <x:si>
    <x:t>http://id.who.int/icd/release/11/beta/ichi/561681872</x:t>
  </x:si>
  <x:si>
    <x:t>UDI.TD.ZZ</x:t>
  </x:si>
  <x:si>
    <x:t>- - - - Collaboration relating to individual attitudes of strangers</x:t>
  </x:si>
  <x:si>
    <x:t>http://id.who.int/icd/entity/176683328</x:t>
  </x:si>
  <x:si>
    <x:t>http://id.who.int/icd/release/11/beta/ichi/176683328</x:t>
  </x:si>
  <x:si>
    <x:t>UDI.VA.ZZ</x:t>
  </x:si>
  <x:si>
    <x:t>- - - - Capacity building targeting individual attitudes of strangers</x:t>
  </x:si>
  <x:si>
    <x:t>http://id.who.int/icd/entity/1104633723</x:t>
  </x:si>
  <x:si>
    <x:t>http://id.who.int/icd/release/11/beta/ichi/1104633723</x:t>
  </x:si>
  <x:si>
    <x:t>UDI.VB.ZZ</x:t>
  </x:si>
  <x:si>
    <x:t>- - - - Awareness raising concerning individual attitudes of strangers</x:t>
  </x:si>
  <x:si>
    <x:t>http://id.who.int/icd/entity/504696410</x:t>
  </x:si>
  <x:si>
    <x:t>http://id.who.int/icd/release/11/beta/ichi/504696410</x:t>
  </x:si>
  <x:si>
    <x:t>UDI.VC.ZZ</x:t>
  </x:si>
  <x:si>
    <x:t>- - - - Public health surveillance concerning individual attitudes of strangers</x:t>
  </x:si>
  <x:si>
    <x:t>http://id.who.int/icd/entity/1315887081</x:t>
  </x:si>
  <x:si>
    <x:t>http://id.who.int/icd/release/11/beta/ichi/1315887081</x:t>
  </x:si>
  <x:si>
    <x:t>UDI.VF.ZZ</x:t>
  </x:si>
  <x:si>
    <x:t>- - - - Alert concerning individual attitudes of strangers</x:t>
  </x:si>
  <x:si>
    <x:t>http://id.who.int/icd/entity/1004032922</x:t>
  </x:si>
  <x:si>
    <x:t>http://id.who.int/icd/release/11/beta/ichi/1004032922</x:t>
  </x:si>
  <x:si>
    <x:t>UDI.WI.QD</x:t>
  </x:si>
  <x:si>
    <x:t>- - - - Restrictions through enactment of laws or standards in relation to individual attitudes of strangers</x:t>
  </x:si>
  <x:si>
    <x:t>http://id.who.int/icd/entity/270876426</x:t>
  </x:si>
  <x:si>
    <x:t>http://id.who.int/icd/release/11/beta/ichi/270876426</x:t>
  </x:si>
  <x:si>
    <x:t>UDI.WI.QE</x:t>
  </x:si>
  <x:si>
    <x:t>- - - - Restrictions through enforcement of laws or standards in relation to individual attitudes of strangers</x:t>
  </x:si>
  <x:si>
    <x:t>http://id.who.int/icd/entity/23469950</x:t>
  </x:si>
  <x:si>
    <x:t>http://id.who.int/icd/release/11/beta/ichi/23469950</x:t>
  </x:si>
  <x:si>
    <x:t>UDI.WI.ZZ</x:t>
  </x:si>
  <x:si>
    <x:t>- - - - Restrictions through laws or standards in relation to individual attitudes of strangers</x:t>
  </x:si>
  <x:si>
    <x:t>http://id.who.int/icd/entity/461803990</x:t>
  </x:si>
  <x:si>
    <x:t>http://id.who.int/icd/release/11/beta/ichi/461803990</x:t>
  </x:si>
  <x:si>
    <x:t>UDI.WJ.ZZ</x:t>
  </x:si>
  <x:si>
    <x:t>- - - - Policy change in relation to individual attitudes of strangers</x:t>
  </x:si>
  <x:si>
    <x:t>http://id.who.int/icd/entity/23488250</x:t>
  </x:si>
  <x:si>
    <x:t>http://id.who.int/icd/release/11/beta/ichi/23488250</x:t>
  </x:si>
  <x:si>
    <x:t>UDJ.AA.ZZ</x:t>
  </x:si>
  <x:si>
    <x:t>- - - - Assessment of individual attitudes of health professionals</x:t>
  </x:si>
  <x:si>
    <x:t>http://id.who.int/icd/entity/978424800</x:t>
  </x:si>
  <x:si>
    <x:t>http://id.who.int/icd/release/11/beta/ichi/978424800</x:t>
  </x:si>
  <x:si>
    <x:t>UDJ.PM.ZZ</x:t>
  </x:si>
  <x:si>
    <x:t>- - - - Education about individual attitudes of health professionals</x:t>
  </x:si>
  <x:si>
    <x:t>http://id.who.int/icd/entity/1704182525</x:t>
  </x:si>
  <x:si>
    <x:t>http://id.who.int/icd/release/11/beta/ichi/1704182525</x:t>
  </x:si>
  <x:si>
    <x:t>UDJ.PN.ZZ</x:t>
  </x:si>
  <x:si>
    <x:t>- - - - Advising about individual attitudes of health professionals</x:t>
  </x:si>
  <x:si>
    <x:t>http://id.who.int/icd/entity/904403790</x:t>
  </x:si>
  <x:si>
    <x:t>http://id.who.int/icd/release/11/beta/ichi/904403790</x:t>
  </x:si>
  <x:si>
    <x:t>UDJ.RB.ZZ</x:t>
  </x:si>
  <x:si>
    <x:t>- - - - Practical support with individual attitudes of health professionals</x:t>
  </x:si>
  <x:si>
    <x:t>http://id.who.int/icd/entity/789091814</x:t>
  </x:si>
  <x:si>
    <x:t>http://id.who.int/icd/release/11/beta/ichi/789091814</x:t>
  </x:si>
  <x:si>
    <x:t>UDJ.TA.ZZ</x:t>
  </x:si>
  <x:si>
    <x:t>- - - - Advocacy in relation to individual attitudes of health professionals</x:t>
  </x:si>
  <x:si>
    <x:t>http://id.who.int/icd/entity/4747082</x:t>
  </x:si>
  <x:si>
    <x:t>http://id.who.int/icd/release/11/beta/ichi/4747082</x:t>
  </x:si>
  <x:si>
    <x:t>UDJ.TB.ZZ</x:t>
  </x:si>
  <x:si>
    <x:t>- - - - Planning in relation to individual attitudes of health professionals</x:t>
  </x:si>
  <x:si>
    <x:t>http://id.who.int/icd/entity/1345566457</x:t>
  </x:si>
  <x:si>
    <x:t>http://id.who.int/icd/release/11/beta/ichi/1345566457</x:t>
  </x:si>
  <x:si>
    <x:t>UDJ.TD.ZZ</x:t>
  </x:si>
  <x:si>
    <x:t>- - - - Collaboration relating to individual attitudes of health professionals</x:t>
  </x:si>
  <x:si>
    <x:t>http://id.who.int/icd/entity/2089883252</x:t>
  </x:si>
  <x:si>
    <x:t>http://id.who.int/icd/release/11/beta/ichi/2089883252</x:t>
  </x:si>
  <x:si>
    <x:t>UDJ.VA.ZZ</x:t>
  </x:si>
  <x:si>
    <x:t>- - - - Capacity building targeting individual attitudes of health professionals</x:t>
  </x:si>
  <x:si>
    <x:t>http://id.who.int/icd/entity/1466727140</x:t>
  </x:si>
  <x:si>
    <x:t>http://id.who.int/icd/release/11/beta/ichi/1466727140</x:t>
  </x:si>
  <x:si>
    <x:t>UDJ.VB.ZZ</x:t>
  </x:si>
  <x:si>
    <x:t>- - - - Awareness raising concerning individual attitudes of health professionals</x:t>
  </x:si>
  <x:si>
    <x:t>http://id.who.int/icd/entity/1177508500</x:t>
  </x:si>
  <x:si>
    <x:t>http://id.who.int/icd/release/11/beta/ichi/1177508500</x:t>
  </x:si>
  <x:si>
    <x:t>UDJ.VC.ZZ</x:t>
  </x:si>
  <x:si>
    <x:t>- - - - Public health surveillance concerning individual attitudes of health professionals</x:t>
  </x:si>
  <x:si>
    <x:t>http://id.who.int/icd/entity/865722087</x:t>
  </x:si>
  <x:si>
    <x:t>http://id.who.int/icd/release/11/beta/ichi/865722087</x:t>
  </x:si>
  <x:si>
    <x:t>UDJ.VF.ZZ</x:t>
  </x:si>
  <x:si>
    <x:t>- - - - Alert concerning individual attitudes of health professionals</x:t>
  </x:si>
  <x:si>
    <x:t>http://id.who.int/icd/entity/1675757400</x:t>
  </x:si>
  <x:si>
    <x:t>http://id.who.int/icd/release/11/beta/ichi/1675757400</x:t>
  </x:si>
  <x:si>
    <x:t>UDJ.WI.QD</x:t>
  </x:si>
  <x:si>
    <x:t>- - - - Restrictions through enactment of laws or standards in relation to individual attitudes of health professionals</x:t>
  </x:si>
  <x:si>
    <x:t>http://id.who.int/icd/entity/400374501</x:t>
  </x:si>
  <x:si>
    <x:t>http://id.who.int/icd/release/11/beta/ichi/400374501</x:t>
  </x:si>
  <x:si>
    <x:t>UDJ.WI.QE</x:t>
  </x:si>
  <x:si>
    <x:t>- - - - Restrictions through enforcement of laws or standards in relation to individual attitudes of health professionals</x:t>
  </x:si>
  <x:si>
    <x:t>http://id.who.int/icd/entity/1552784606</x:t>
  </x:si>
  <x:si>
    <x:t>http://id.who.int/icd/release/11/beta/ichi/1552784606</x:t>
  </x:si>
  <x:si>
    <x:t>UDJ.WI.ZZ</x:t>
  </x:si>
  <x:si>
    <x:t>- - - - Restrictions through laws or standards in relation to individual attitudes of health professionals</x:t>
  </x:si>
  <x:si>
    <x:t>http://id.who.int/icd/entity/55561725</x:t>
  </x:si>
  <x:si>
    <x:t>http://id.who.int/icd/release/11/beta/ichi/55561725</x:t>
  </x:si>
  <x:si>
    <x:t>UDJ.WJ.ZZ</x:t>
  </x:si>
  <x:si>
    <x:t>- - - - Policy change in relation to individual attitudes of health professionals</x:t>
  </x:si>
  <x:si>
    <x:t>http://id.who.int/icd/entity/595199423</x:t>
  </x:si>
  <x:si>
    <x:t>http://id.who.int/icd/release/11/beta/ichi/595199423</x:t>
  </x:si>
  <x:si>
    <x:t>UDK.AA.ZZ</x:t>
  </x:si>
  <x:si>
    <x:t>- - - - Assessment of individual attitudes of other professionals</x:t>
  </x:si>
  <x:si>
    <x:t>http://id.who.int/icd/entity/960314213</x:t>
  </x:si>
  <x:si>
    <x:t>http://id.who.int/icd/release/11/beta/ichi/960314213</x:t>
  </x:si>
  <x:si>
    <x:t>UDK.PM.ZZ</x:t>
  </x:si>
  <x:si>
    <x:t>- - - - Education about individual attitudes of other professionals</x:t>
  </x:si>
  <x:si>
    <x:t>http://id.who.int/icd/entity/1022159883</x:t>
  </x:si>
  <x:si>
    <x:t>http://id.who.int/icd/release/11/beta/ichi/1022159883</x:t>
  </x:si>
  <x:si>
    <x:t>UDK.PN.ZZ</x:t>
  </x:si>
  <x:si>
    <x:t>- - - - Advising about individual attitudes of other professionals</x:t>
  </x:si>
  <x:si>
    <x:t>http://id.who.int/icd/entity/1821849020</x:t>
  </x:si>
  <x:si>
    <x:t>http://id.who.int/icd/release/11/beta/ichi/1821849020</x:t>
  </x:si>
  <x:si>
    <x:t>UDK.RB.ZZ</x:t>
  </x:si>
  <x:si>
    <x:t>- - - - Practical support with individual attitudes of other professionals</x:t>
  </x:si>
  <x:si>
    <x:t>http://id.who.int/icd/entity/861234329</x:t>
  </x:si>
  <x:si>
    <x:t>http://id.who.int/icd/release/11/beta/ichi/861234329</x:t>
  </x:si>
  <x:si>
    <x:t>UDK.TA.ZZ</x:t>
  </x:si>
  <x:si>
    <x:t>- - - - Advocacy in relation to individual attitudes of other professionals</x:t>
  </x:si>
  <x:si>
    <x:t>http://id.who.int/icd/entity/413665289</x:t>
  </x:si>
  <x:si>
    <x:t>http://id.who.int/icd/release/11/beta/ichi/413665289</x:t>
  </x:si>
  <x:si>
    <x:t>UDK.TB.ZZ</x:t>
  </x:si>
  <x:si>
    <x:t>- - - - Planning in relation to individual attitudes of other professionals</x:t>
  </x:si>
  <x:si>
    <x:t>http://id.who.int/icd/entity/597687599</x:t>
  </x:si>
  <x:si>
    <x:t>http://id.who.int/icd/release/11/beta/ichi/597687599</x:t>
  </x:si>
  <x:si>
    <x:t>UDK.TD.ZZ</x:t>
  </x:si>
  <x:si>
    <x:t>- - - - Collaboration relating to individual attitudes of other professionals</x:t>
  </x:si>
  <x:si>
    <x:t>http://id.who.int/icd/entity/2086513678</x:t>
  </x:si>
  <x:si>
    <x:t>http://id.who.int/icd/release/11/beta/ichi/2086513678</x:t>
  </x:si>
  <x:si>
    <x:t>UDK.VA.ZZ</x:t>
  </x:si>
  <x:si>
    <x:t>- - - - Capacity building targeting individual attitudes of other professionals</x:t>
  </x:si>
  <x:si>
    <x:t>http://id.who.int/icd/entity/740718013</x:t>
  </x:si>
  <x:si>
    <x:t>http://id.who.int/icd/release/11/beta/ichi/740718013</x:t>
  </x:si>
  <x:si>
    <x:t>UDK.VB.ZZ</x:t>
  </x:si>
  <x:si>
    <x:t>- - - - Awareness raising concerning individual attitudes of other professionals</x:t>
  </x:si>
  <x:si>
    <x:t>http://id.who.int/icd/entity/919010071</x:t>
  </x:si>
  <x:si>
    <x:t>http://id.who.int/icd/release/11/beta/ichi/919010071</x:t>
  </x:si>
  <x:si>
    <x:t>UDK.VC.ZZ</x:t>
  </x:si>
  <x:si>
    <x:t>- - - - Public health surveillance concerning individual attitudes of other professionals</x:t>
  </x:si>
  <x:si>
    <x:t>http://id.who.int/icd/entity/490444679</x:t>
  </x:si>
  <x:si>
    <x:t>http://id.who.int/icd/release/11/beta/ichi/490444679</x:t>
  </x:si>
  <x:si>
    <x:t>UDK.VF.ZZ</x:t>
  </x:si>
  <x:si>
    <x:t>- - - - Alert concerning individual attitudes of other professionals</x:t>
  </x:si>
  <x:si>
    <x:t>http://id.who.int/icd/entity/209238001</x:t>
  </x:si>
  <x:si>
    <x:t>http://id.who.int/icd/release/11/beta/ichi/209238001</x:t>
  </x:si>
  <x:si>
    <x:t>UDK.WI.QD</x:t>
  </x:si>
  <x:si>
    <x:t>- - - - Restrictions through enactment of laws or standards in relation to individual attitudes of other professionals</x:t>
  </x:si>
  <x:si>
    <x:t>http://id.who.int/icd/entity/768871247</x:t>
  </x:si>
  <x:si>
    <x:t>http://id.who.int/icd/release/11/beta/ichi/768871247</x:t>
  </x:si>
  <x:si>
    <x:t>UDK.WI.QE</x:t>
  </x:si>
  <x:si>
    <x:t>- - - - Restrictions through enforcement of laws or standards in relation to individual attitudes of other professionals</x:t>
  </x:si>
  <x:si>
    <x:t>http://id.who.int/icd/entity/2108674814</x:t>
  </x:si>
  <x:si>
    <x:t>http://id.who.int/icd/release/11/beta/ichi/2108674814</x:t>
  </x:si>
  <x:si>
    <x:t>UDK.WI.ZZ</x:t>
  </x:si>
  <x:si>
    <x:t>- - - - Restrictions through laws or standards in relation to individual attitudes of other professionals</x:t>
  </x:si>
  <x:si>
    <x:t>http://id.who.int/icd/entity/577602525</x:t>
  </x:si>
  <x:si>
    <x:t>http://id.who.int/icd/release/11/beta/ichi/577602525</x:t>
  </x:si>
  <x:si>
    <x:t>UDK.WJ.ZZ</x:t>
  </x:si>
  <x:si>
    <x:t>- - - - Policy change in relation to individual attitudes of other professionals</x:t>
  </x:si>
  <x:si>
    <x:t>http://id.who.int/icd/entity/127983135</x:t>
  </x:si>
  <x:si>
    <x:t>http://id.who.int/icd/release/11/beta/ichi/127983135</x:t>
  </x:si>
  <x:si>
    <x:t>UDL.AA.ZZ</x:t>
  </x:si>
  <x:si>
    <x:t>- - - - Assessment of societal attitudes</x:t>
  </x:si>
  <x:si>
    <x:t>http://id.who.int/icd/entity/1473972144</x:t>
  </x:si>
  <x:si>
    <x:t>http://id.who.int/icd/release/11/beta/ichi/1473972144</x:t>
  </x:si>
  <x:si>
    <x:t>UDL.PM.ZZ</x:t>
  </x:si>
  <x:si>
    <x:t>- - - - Education about societal attitudes</x:t>
  </x:si>
  <x:si>
    <x:t>http://id.who.int/icd/entity/135878285</x:t>
  </x:si>
  <x:si>
    <x:t>http://id.who.int/icd/release/11/beta/ichi/135878285</x:t>
  </x:si>
  <x:si>
    <x:t>UDL.PN.ZZ</x:t>
  </x:si>
  <x:si>
    <x:t>- - - - Advising about societal attitudes</x:t>
  </x:si>
  <x:si>
    <x:t>http://id.who.int/icd/entity/602159645</x:t>
  </x:si>
  <x:si>
    <x:t>http://id.who.int/icd/release/11/beta/ichi/602159645</x:t>
  </x:si>
  <x:si>
    <x:t>UDL.RB.ZZ</x:t>
  </x:si>
  <x:si>
    <x:t>- - - - Practical support with societal attitudes</x:t>
  </x:si>
  <x:si>
    <x:t>http://id.who.int/icd/entity/1756666918</x:t>
  </x:si>
  <x:si>
    <x:t>http://id.who.int/icd/release/11/beta/ichi/1756666918</x:t>
  </x:si>
  <x:si>
    <x:t>UDL.TA.ZZ</x:t>
  </x:si>
  <x:si>
    <x:t>- - - - Advocacy in relation to societal attitudes</x:t>
  </x:si>
  <x:si>
    <x:t>http://id.who.int/icd/entity/930532613</x:t>
  </x:si>
  <x:si>
    <x:t>http://id.who.int/icd/release/11/beta/ichi/930532613</x:t>
  </x:si>
  <x:si>
    <x:t>UDL.TB.ZZ</x:t>
  </x:si>
  <x:si>
    <x:t>- - - - Planning in relation to societal attitudes</x:t>
  </x:si>
  <x:si>
    <x:t>http://id.who.int/icd/entity/1728910516</x:t>
  </x:si>
  <x:si>
    <x:t>http://id.who.int/icd/release/11/beta/ichi/1728910516</x:t>
  </x:si>
  <x:si>
    <x:t>UDL.TD.ZZ</x:t>
  </x:si>
  <x:si>
    <x:t>- - - - Collaboration relating to societal attitudes</x:t>
  </x:si>
  <x:si>
    <x:t>http://id.who.int/icd/entity/314282183</x:t>
  </x:si>
  <x:si>
    <x:t>http://id.who.int/icd/release/11/beta/ichi/314282183</x:t>
  </x:si>
  <x:si>
    <x:t>UDL.VA.ZZ</x:t>
  </x:si>
  <x:si>
    <x:t>- - - - Capacity building targeting societal attitudes</x:t>
  </x:si>
  <x:si>
    <x:t>http://id.who.int/icd/entity/960953431</x:t>
  </x:si>
  <x:si>
    <x:t>http://id.who.int/icd/release/11/beta/ichi/960953431</x:t>
  </x:si>
  <x:si>
    <x:t>UDL.VB.ZZ</x:t>
  </x:si>
  <x:si>
    <x:t>- - - - Awareness raising concerning societal attitudes</x:t>
  </x:si>
  <x:si>
    <x:t>http://id.who.int/icd/entity/671472673</x:t>
  </x:si>
  <x:si>
    <x:t>http://id.who.int/icd/release/11/beta/ichi/671472673</x:t>
  </x:si>
  <x:si>
    <x:t>UDL.VC.ZZ</x:t>
  </x:si>
  <x:si>
    <x:t>- - - - Public health surveillance concerning societal attitudes</x:t>
  </x:si>
  <x:si>
    <x:t>http://id.who.int/icd/entity/853889675</x:t>
  </x:si>
  <x:si>
    <x:t>http://id.who.int/icd/release/11/beta/ichi/853889675</x:t>
  </x:si>
  <x:si>
    <x:t>UDL.VF.ZZ</x:t>
  </x:si>
  <x:si>
    <x:t>- - - - Alert concerning societal attitudes</x:t>
  </x:si>
  <x:si>
    <x:t>http://id.who.int/icd/entity/1654557500</x:t>
  </x:si>
  <x:si>
    <x:t>http://id.who.int/icd/release/11/beta/ichi/1654557500</x:t>
  </x:si>
  <x:si>
    <x:t>UDL.WI.QD</x:t>
  </x:si>
  <x:si>
    <x:t>- - - - Restrictions through enactment of laws or standards in relation to societal attitudes</x:t>
  </x:si>
  <x:si>
    <x:t>http://id.who.int/icd/entity/1029495321</x:t>
  </x:si>
  <x:si>
    <x:t>http://id.who.int/icd/release/11/beta/ichi/1029495321</x:t>
  </x:si>
  <x:si>
    <x:t>UDL.WI.QE</x:t>
  </x:si>
  <x:si>
    <x:t>- - - - Restrictions through enforcement of laws or standards in relation to societal attitudes</x:t>
  </x:si>
  <x:si>
    <x:t>http://id.who.int/icd/entity/379696777</x:t>
  </x:si>
  <x:si>
    <x:t>http://id.who.int/icd/release/11/beta/ichi/379696777</x:t>
  </x:si>
  <x:si>
    <x:t>UDL.WI.ZZ</x:t>
  </x:si>
  <x:si>
    <x:t>- - - - Restrictions through laws or standards in relation to societal attitudes</x:t>
  </x:si>
  <x:si>
    <x:t>http://id.who.int/icd/entity/1833699750</x:t>
  </x:si>
  <x:si>
    <x:t>http://id.who.int/icd/release/11/beta/ichi/1833699750</x:t>
  </x:si>
  <x:si>
    <x:t>UDL.WJ.ZZ</x:t>
  </x:si>
  <x:si>
    <x:t>- - - - Policy change in relation to societal attitudes</x:t>
  </x:si>
  <x:si>
    <x:t>http://id.who.int/icd/entity/1475495234</x:t>
  </x:si>
  <x:si>
    <x:t>http://id.who.int/icd/release/11/beta/ichi/1475495234</x:t>
  </x:si>
  <x:si>
    <x:t>UDM.AA.ZZ</x:t>
  </x:si>
  <x:si>
    <x:t>- - - - Assessment of social norms, practices and ideologies</x:t>
  </x:si>
  <x:si>
    <x:t>http://id.who.int/icd/entity/2081368530</x:t>
  </x:si>
  <x:si>
    <x:t>http://id.who.int/icd/release/11/beta/ichi/2081368530</x:t>
  </x:si>
  <x:si>
    <x:t>UDM.PM.ZZ</x:t>
  </x:si>
  <x:si>
    <x:t>- - - - Education about social norms, practices and ideologies</x:t>
  </x:si>
  <x:si>
    <x:t>http://id.who.int/icd/entity/1194908920</x:t>
  </x:si>
  <x:si>
    <x:t>http://id.who.int/icd/release/11/beta/ichi/1194908920</x:t>
  </x:si>
  <x:si>
    <x:t>UDM.PN.ZZ</x:t>
  </x:si>
  <x:si>
    <x:t>- - - - Advising about social norms, practices and ideologies</x:t>
  </x:si>
  <x:si>
    <x:t>http://id.who.int/icd/entity/419073493</x:t>
  </x:si>
  <x:si>
    <x:t>http://id.who.int/icd/release/11/beta/ichi/419073493</x:t>
  </x:si>
  <x:si>
    <x:t>UDM.RB.ZZ</x:t>
  </x:si>
  <x:si>
    <x:t>- - - - Practical support with social norms, practices and ideologies</x:t>
  </x:si>
  <x:si>
    <x:t>http://id.who.int/icd/entity/1216435302</x:t>
  </x:si>
  <x:si>
    <x:t>http://id.who.int/icd/release/11/beta/ichi/1216435302</x:t>
  </x:si>
  <x:si>
    <x:t>UDM.TA.ZZ</x:t>
  </x:si>
  <x:si>
    <x:t>- - - - Advocacy in relation to social norms, practices and ideologies</x:t>
  </x:si>
  <x:si>
    <x:t>http://id.who.int/icd/entity/1297122060</x:t>
  </x:si>
  <x:si>
    <x:t>http://id.who.int/icd/release/11/beta/ichi/1297122060</x:t>
  </x:si>
  <x:si>
    <x:t>UDM.TB.ZZ</x:t>
  </x:si>
  <x:si>
    <x:t>- - - - Planning in relation to social norms, practices and ideologies</x:t>
  </x:si>
  <x:si>
    <x:t>http://id.who.int/icd/entity/1722675100</x:t>
  </x:si>
  <x:si>
    <x:t>http://id.who.int/icd/release/11/beta/ichi/1722675100</x:t>
  </x:si>
  <x:si>
    <x:t>UDM.TD.ZZ</x:t>
  </x:si>
  <x:si>
    <x:t>- - - - Collaboration relating to social norms, practices and ideologies</x:t>
  </x:si>
  <x:si>
    <x:t>http://id.who.int/icd/entity/2012139500</x:t>
  </x:si>
  <x:si>
    <x:t>http://id.who.int/icd/release/11/beta/ichi/2012139500</x:t>
  </x:si>
  <x:si>
    <x:t>UDM.VA.ZZ</x:t>
  </x:si>
  <x:si>
    <x:t>- - - - Capacity building targeting social norms, practices and ideologies</x:t>
  </x:si>
  <x:si>
    <x:t>http://id.who.int/icd/entity/39340959</x:t>
  </x:si>
  <x:si>
    <x:t>http://id.who.int/icd/release/11/beta/ichi/39340959</x:t>
  </x:si>
  <x:si>
    <x:t>UDM.VB.ZZ</x:t>
  </x:si>
  <x:si>
    <x:t>- - - - Awareness raising concerning social norms, practices and ideologies</x:t>
  </x:si>
  <x:si>
    <x:t>http://id.who.int/icd/entity/1378062896</x:t>
  </x:si>
  <x:si>
    <x:t>http://id.who.int/icd/release/11/beta/ichi/1378062896</x:t>
  </x:si>
  <x:si>
    <x:t>UDM.VC.ZZ</x:t>
  </x:si>
  <x:si>
    <x:t>- - - - Public health surveillance concerning social norms, practices and ideologies</x:t>
  </x:si>
  <x:si>
    <x:t>http://id.who.int/icd/entity/232899341</x:t>
  </x:si>
  <x:si>
    <x:t>http://id.who.int/icd/release/11/beta/ichi/232899341</x:t>
  </x:si>
  <x:si>
    <x:t>UDM.VF.ZZ</x:t>
  </x:si>
  <x:si>
    <x:t>- - - - Alert concerning social norms, practices and ideologies</x:t>
  </x:si>
  <x:si>
    <x:t>http://id.who.int/icd/entity/639414173</x:t>
  </x:si>
  <x:si>
    <x:t>http://id.who.int/icd/release/11/beta/ichi/639414173</x:t>
  </x:si>
  <x:si>
    <x:t>UDM.WI.QD</x:t>
  </x:si>
  <x:si>
    <x:t>- - - - Restrictions through enactment of laws or standards in relation to social norms, practices and ideologies</x:t>
  </x:si>
  <x:si>
    <x:t>http://id.who.int/icd/entity/1920815204</x:t>
  </x:si>
  <x:si>
    <x:t>http://id.who.int/icd/release/11/beta/ichi/1920815204</x:t>
  </x:si>
  <x:si>
    <x:t>UDM.WI.QE</x:t>
  </x:si>
  <x:si>
    <x:t>- - - - Restrictions through enforcement of laws or standards in relation to social norms, practices and ideologies</x:t>
  </x:si>
  <x:si>
    <x:t>http://id.who.int/icd/entity/767492417</x:t>
  </x:si>
  <x:si>
    <x:t>http://id.who.int/icd/release/11/beta/ichi/767492417</x:t>
  </x:si>
  <x:si>
    <x:t>UDM.WI.ZZ</x:t>
  </x:si>
  <x:si>
    <x:t>- - - - Restrictions through laws or standards in relation to social norms, practices and ideologies</x:t>
  </x:si>
  <x:si>
    <x:t>http://id.who.int/icd/entity/2110052594</x:t>
  </x:si>
  <x:si>
    <x:t>http://id.who.int/icd/release/11/beta/ichi/2110052594</x:t>
  </x:si>
  <x:si>
    <x:t>UDM.WJ.ZZ</x:t>
  </x:si>
  <x:si>
    <x:t>- - - - Policy change in relation to social norms, practices and ideologies</x:t>
  </x:si>
  <x:si>
    <x:t>http://id.who.int/icd/entity/970508242</x:t>
  </x:si>
  <x:si>
    <x:t>http://id.who.int/icd/release/11/beta/ichi/970508242</x:t>
  </x:si>
  <x:si>
    <x:t>BlockL3-UE1</x:t>
  </x:si>
  <x:si>
    <x:t>- - - Interventions on services, systems and policies</x:t>
  </x:si>
  <x:si>
    <x:t>640</x:t>
  </x:si>
  <x:si>
    <x:t>http://id.who.int/icd/entity/1230662749</x:t>
  </x:si>
  <x:si>
    <x:t>http://id.who.int/icd/release/11/beta/ichi/1230662749</x:t>
  </x:si>
  <x:si>
    <x:t>UE1.AA.ZZ</x:t>
  </x:si>
  <x:si>
    <x:t>- - - - Assessment of services, systems and policies, unspecified</x:t>
  </x:si>
  <x:si>
    <x:t>http://id.who.int/icd/entity/912346948</x:t>
  </x:si>
  <x:si>
    <x:t>http://id.who.int/icd/release/11/beta/ichi/912346948</x:t>
  </x:si>
  <x:si>
    <x:t>UE1.PM.ZZ</x:t>
  </x:si>
  <x:si>
    <x:t>- - - - Education about services, systems and policies, unspecified</x:t>
  </x:si>
  <x:si>
    <x:t>http://id.who.int/icd/entity/323611152</x:t>
  </x:si>
  <x:si>
    <x:t>http://id.who.int/icd/release/11/beta/ichi/323611152</x:t>
  </x:si>
  <x:si>
    <x:t>UE1.PN.ZZ</x:t>
  </x:si>
  <x:si>
    <x:t>- - - - Advising about services, systems and policies, unspecified</x:t>
  </x:si>
  <x:si>
    <x:t>http://id.who.int/icd/entity/128511214</x:t>
  </x:si>
  <x:si>
    <x:t>http://id.who.int/icd/release/11/beta/ichi/128511214</x:t>
  </x:si>
  <x:si>
    <x:t>UE1.RG.ZZ</x:t>
  </x:si>
  <x:si>
    <x:t>- - - - Providing services, systems and policies, unspecified</x:t>
  </x:si>
  <x:si>
    <x:t>http://id.who.int/icd/entity/1007227072</x:t>
  </x:si>
  <x:si>
    <x:t>http://id.who.int/icd/release/11/beta/ichi/1007227072</x:t>
  </x:si>
  <x:si>
    <x:t>UE1.TA.ZZ</x:t>
  </x:si>
  <x:si>
    <x:t>- - - - Advocacy concerning health-related issues directed towards services, systems and policies, unspecified</x:t>
  </x:si>
  <x:si>
    <x:t>http://id.who.int/icd/entity/1921540587</x:t>
  </x:si>
  <x:si>
    <x:t>http://id.who.int/icd/release/11/beta/ichi/1921540587</x:t>
  </x:si>
  <x:si>
    <x:t>UE1.TK.ZZ</x:t>
  </x:si>
  <x:si>
    <x:t>- - - - Public facilities or infrastructure development targeting services and systems, unspecified</x:t>
  </x:si>
  <x:si>
    <x:t>http://id.who.int/icd/entity/1766254321</x:t>
  </x:si>
  <x:si>
    <x:t>http://id.who.int/icd/release/11/beta/ichi/1766254321</x:t>
  </x:si>
  <x:si>
    <x:t>UE1.VB.ZZ</x:t>
  </x:si>
  <x:si>
    <x:t>- - - - Awareness raising concerning services, systems and policies, unspecified</x:t>
  </x:si>
  <x:si>
    <x:t>http://id.who.int/icd/entity/1929500715</x:t>
  </x:si>
  <x:si>
    <x:t>http://id.who.int/icd/release/11/beta/ichi/1929500715</x:t>
  </x:si>
  <x:si>
    <x:t>UE1.VC.ZZ</x:t>
  </x:si>
  <x:si>
    <x:t>- - - - Public health surveillance concerning services, systems and policies, unspecified</x:t>
  </x:si>
  <x:si>
    <x:t>http://id.who.int/icd/entity/2013644423</x:t>
  </x:si>
  <x:si>
    <x:t>http://id.who.int/icd/release/11/beta/ichi/2013644423</x:t>
  </x:si>
  <x:si>
    <x:t>UE1.VN.ZZ</x:t>
  </x:si>
  <x:si>
    <x:t>- - - - Establishing services to meet population health need, unspecified</x:t>
  </x:si>
  <x:si>
    <x:t>http://id.who.int/icd/entity/1998323301</x:t>
  </x:si>
  <x:si>
    <x:t>http://id.who.int/icd/release/11/beta/ichi/1998323301</x:t>
  </x:si>
  <x:si>
    <x:t>UE1.VO.ZZ</x:t>
  </x:si>
  <x:si>
    <x:t>- - - - Marshalling services, unspecified</x:t>
  </x:si>
  <x:si>
    <x:t>http://id.who.int/icd/entity/601731562</x:t>
  </x:si>
  <x:si>
    <x:t>http://id.who.int/icd/release/11/beta/ichi/601731562</x:t>
  </x:si>
  <x:si>
    <x:t>UE1.VP.ZZ</x:t>
  </x:si>
  <x:si>
    <x:t>- - - - Improving access to services, unspecified</x:t>
  </x:si>
  <x:si>
    <x:t>http://id.who.int/icd/entity/952245570</x:t>
  </x:si>
  <x:si>
    <x:t>http://id.who.int/icd/release/11/beta/ichi/952245570</x:t>
  </x:si>
  <x:si>
    <x:t>UE1.WG.QF</x:t>
  </x:si>
  <x:si>
    <x:t>- - - - Economic incentives concerning services, systems and policies, unspecified</x:t>
  </x:si>
  <x:si>
    <x:t>http://id.who.int/icd/entity/394455022</x:t>
  </x:si>
  <x:si>
    <x:t>http://id.who.int/icd/release/11/beta/ichi/394455022</x:t>
  </x:si>
  <x:si>
    <x:t>UE1.WG.ZZ</x:t>
  </x:si>
  <x:si>
    <x:t>- - - - Applying incentives concerning services, systems and policies, unspecified</x:t>
  </x:si>
  <x:si>
    <x:t>http://id.who.int/icd/entity/1120735649</x:t>
  </x:si>
  <x:si>
    <x:t>http://id.who.int/icd/release/11/beta/ichi/1120735649</x:t>
  </x:si>
  <x:si>
    <x:t>UE1.WJ.ZZ</x:t>
  </x:si>
  <x:si>
    <x:t>- - - - Policy change concerning services, systems and policies, unspecified</x:t>
  </x:si>
  <x:si>
    <x:t>http://id.who.int/icd/entity/437669660</x:t>
  </x:si>
  <x:si>
    <x:t>http://id.who.int/icd/release/11/beta/ichi/437669660</x:t>
  </x:si>
  <x:si>
    <x:t>UE1.ZZ.ZZ</x:t>
  </x:si>
  <x:si>
    <x:t>- - - - Other interventions targeting unspecified services, systems and policies</x:t>
  </x:si>
  <x:si>
    <x:t>http://id.who.int/icd/entity/1261595783</x:t>
  </x:si>
  <x:si>
    <x:t>http://id.who.int/icd/release/11/beta/ichi/1261595783</x:t>
  </x:si>
  <x:si>
    <x:t>UEB.AA.ZZ</x:t>
  </x:si>
  <x:si>
    <x:t>- - - - Assessment of services, systems and policies for the production of consumer goods</x:t>
  </x:si>
  <x:si>
    <x:t>http://id.who.int/icd/entity/1624178711</x:t>
  </x:si>
  <x:si>
    <x:t>http://id.who.int/icd/release/11/beta/ichi/1624178711</x:t>
  </x:si>
  <x:si>
    <x:t>UEB.PM.ZZ</x:t>
  </x:si>
  <x:si>
    <x:t>- - - - Education about services, systems and policies for the production of consumer goods</x:t>
  </x:si>
  <x:si>
    <x:t>http://id.who.int/icd/entity/1905008737</x:t>
  </x:si>
  <x:si>
    <x:t>http://id.who.int/icd/release/11/beta/ichi/1905008737</x:t>
  </x:si>
  <x:si>
    <x:t>UEB.PN.ZZ</x:t>
  </x:si>
  <x:si>
    <x:t>- - - - Advising about services, systems and policies for the production of consumer goods</x:t>
  </x:si>
  <x:si>
    <x:t>http://id.who.int/icd/entity/70951956</x:t>
  </x:si>
  <x:si>
    <x:t>http://id.who.int/icd/release/11/beta/ichi/70951956</x:t>
  </x:si>
  <x:si>
    <x:t>UEB.RB.ZZ</x:t>
  </x:si>
  <x:si>
    <x:t>- - - - Practical support with services, systems and policies for the production of consumer goods</x:t>
  </x:si>
  <x:si>
    <x:t>http://id.who.int/icd/entity/1330362403</x:t>
  </x:si>
  <x:si>
    <x:t>http://id.who.int/icd/release/11/beta/ichi/1330362403</x:t>
  </x:si>
  <x:si>
    <x:t>UEB.RD.ZZ</x:t>
  </x:si>
  <x:si>
    <x:t>- - - - Providing goods in relation to services, systems and policies for the production of consumer goods</x:t>
  </x:si>
  <x:si>
    <x:t>http://id.who.int/icd/entity/41499524</x:t>
  </x:si>
  <x:si>
    <x:t>http://id.who.int/icd/release/11/beta/ichi/41499524</x:t>
  </x:si>
  <x:si>
    <x:t>UEB.RG.ZZ</x:t>
  </x:si>
  <x:si>
    <x:t>- - - - Providing services, systems and policies for the production of consumer goods</x:t>
  </x:si>
  <x:si>
    <x:t>http://id.who.int/icd/entity/235535712</x:t>
  </x:si>
  <x:si>
    <x:t>http://id.who.int/icd/release/11/beta/ichi/235535712</x:t>
  </x:si>
  <x:si>
    <x:t>UEB.TB.ZZ</x:t>
  </x:si>
  <x:si>
    <x:t>- - - - Planning in relation to services, systems and policies for the production of consumer goods</x:t>
  </x:si>
  <x:si>
    <x:t>http://id.who.int/icd/entity/1584538863</x:t>
  </x:si>
  <x:si>
    <x:t>http://id.who.int/icd/release/11/beta/ichi/1584538863</x:t>
  </x:si>
  <x:si>
    <x:t>UEB.TD.ZZ</x:t>
  </x:si>
  <x:si>
    <x:t>- - - - Collaboration relating to services, systems and policies for the production of consumer goods</x:t>
  </x:si>
  <x:si>
    <x:t>http://id.who.int/icd/entity/734306460</x:t>
  </x:si>
  <x:si>
    <x:t>http://id.who.int/icd/release/11/beta/ichi/734306460</x:t>
  </x:si>
  <x:si>
    <x:t>UEB.TK.ZZ</x:t>
  </x:si>
  <x:si>
    <x:t>- - - - Public facilities or infrastructure development in relation to services, systems and policies for the production of consumer goods</x:t>
  </x:si>
  <x:si>
    <x:t>http://id.who.int/icd/entity/3787788</x:t>
  </x:si>
  <x:si>
    <x:t>http://id.who.int/icd/release/11/beta/ichi/3787788</x:t>
  </x:si>
  <x:si>
    <x:t>UEB.TM.ZZ</x:t>
  </x:si>
  <x:si>
    <x:t>- - - - Environment modification in relation to services, systems and policies for the production of consumer goods</x:t>
  </x:si>
  <x:si>
    <x:t>http://id.who.int/icd/entity/293268604</x:t>
  </x:si>
  <x:si>
    <x:t>http://id.who.int/icd/release/11/beta/ichi/293268604</x:t>
  </x:si>
  <x:si>
    <x:t>UEB.VA.ZZ</x:t>
  </x:si>
  <x:si>
    <x:t>- - - - Capacity building targeting services, systems and policies for the production of consumer goods</x:t>
  </x:si>
  <x:si>
    <x:t>http://id.who.int/icd/entity/194667216</x:t>
  </x:si>
  <x:si>
    <x:t>http://id.who.int/icd/release/11/beta/ichi/194667216</x:t>
  </x:si>
  <x:si>
    <x:t>UEB.VB.ZZ</x:t>
  </x:si>
  <x:si>
    <x:t>- - - - Awareness raising concerning services, systems and policies for the production of consumer goods</x:t>
  </x:si>
  <x:si>
    <x:t>http://id.who.int/icd/entity/1541520225</x:t>
  </x:si>
  <x:si>
    <x:t>http://id.who.int/icd/release/11/beta/ichi/1541520225</x:t>
  </x:si>
  <x:si>
    <x:t>UEB.VC.ZZ</x:t>
  </x:si>
  <x:si>
    <x:t>- - - - Public health surveillance concerning services, systems and policies for the production of consumer goods</x:t>
  </x:si>
  <x:si>
    <x:t>http://id.who.int/icd/entity/69462594</x:t>
  </x:si>
  <x:si>
    <x:t>http://id.who.int/icd/release/11/beta/ichi/69462594</x:t>
  </x:si>
  <x:si>
    <x:t>UEB.VF.ZZ</x:t>
  </x:si>
  <x:si>
    <x:t>- - - - Alert concerning services, systems and policies for the production of consumer goods</x:t>
  </x:si>
  <x:si>
    <x:t>http://id.who.int/icd/entity/803112658</x:t>
  </x:si>
  <x:si>
    <x:t>http://id.who.int/icd/release/11/beta/ichi/803112658</x:t>
  </x:si>
  <x:si>
    <x:t>UEB.VL.ZZ</x:t>
  </x:si>
  <x:si>
    <x:t>- - - - Environmental remediation in relation to services, systems and policies for the production of consumer goods</x:t>
  </x:si>
  <x:si>
    <x:t>http://id.who.int/icd/entity/1412643325</x:t>
  </x:si>
  <x:si>
    <x:t>http://id.who.int/icd/release/11/beta/ichi/1412643325</x:t>
  </x:si>
  <x:si>
    <x:t>UEB.VN.ZZ</x:t>
  </x:si>
  <x:si>
    <x:t>- - - - Establishing health services or health-related services in relation to services, systems and policies for the production of consumer goods</x:t>
  </x:si>
  <x:si>
    <x:t>http://id.who.int/icd/entity/200370400</x:t>
  </x:si>
  <x:si>
    <x:t>http://id.who.int/icd/release/11/beta/ichi/200370400</x:t>
  </x:si>
  <x:si>
    <x:t>UEB.VO.ZZ</x:t>
  </x:si>
  <x:si>
    <x:t>- - - - Marshalling health services or health-related services in relation to services, systems and policies for the production of consumer goods</x:t>
  </x:si>
  <x:si>
    <x:t>http://id.who.int/icd/entity/1535816047</x:t>
  </x:si>
  <x:si>
    <x:t>http://id.who.int/icd/release/11/beta/ichi/1535816047</x:t>
  </x:si>
  <x:si>
    <x:t>UEB.VP.ZZ</x:t>
  </x:si>
  <x:si>
    <x:t>- - - - Improving access to health services or health-related services in relation to services, systems and policies for the production of consumer goods</x:t>
  </x:si>
  <x:si>
    <x:t>http://id.who.int/icd/entity/523264404</x:t>
  </x:si>
  <x:si>
    <x:t>http://id.who.int/icd/release/11/beta/ichi/523264404</x:t>
  </x:si>
  <x:si>
    <x:t>UEB.VR.ZZ</x:t>
  </x:si>
  <x:si>
    <x:t>- - - - Reducing emissions from services, systems and policies for the production of consumer goods</x:t>
  </x:si>
  <x:si>
    <x:t>http://id.who.int/icd/entity/1089614001</x:t>
  </x:si>
  <x:si>
    <x:t>http://id.who.int/icd/release/11/beta/ichi/1089614001</x:t>
  </x:si>
  <x:si>
    <x:t>UEB.WC.ZZ</x:t>
  </x:si>
  <x:si>
    <x:t>- - - - Restrictions on the sale or distribution of products or services in relation to services, systems and policies for the production of consumer goods</x:t>
  </x:si>
  <x:si>
    <x:t>http://id.who.int/icd/entity/1796168737</x:t>
  </x:si>
  <x:si>
    <x:t>http://id.who.int/icd/release/11/beta/ichi/1796168737</x:t>
  </x:si>
  <x:si>
    <x:t>UEB.WD.ZZ</x:t>
  </x:si>
  <x:si>
    <x:t>- - - - Restrictions on advertising, promotion or sponsorship of products or services in relation to services, systems and policies for the production of consumer goods</x:t>
  </x:si>
  <x:si>
    <x:t>http://id.who.int/icd/entity/1345890567</x:t>
  </x:si>
  <x:si>
    <x:t>http://id.who.int/icd/release/11/beta/ichi/1345890567</x:t>
  </x:si>
  <x:si>
    <x:t>UEB.WE.ZZ</x:t>
  </x:si>
  <x:si>
    <x:t>- - - - Restrictions on production or importation of products or services in relation to services, systems and policies for the production of consumer goods</x:t>
  </x:si>
  <x:si>
    <x:t>http://id.who.int/icd/entity/775697692</x:t>
  </x:si>
  <x:si>
    <x:t>http://id.who.int/icd/release/11/beta/ichi/775697692</x:t>
  </x:si>
  <x:si>
    <x:t>UEB.WG.QF</x:t>
  </x:si>
  <x:si>
    <x:t>- - - - Economic incentives in relation to services, systems and policies for the production of consumer goods</x:t>
  </x:si>
  <x:si>
    <x:t>http://id.who.int/icd/entity/96557452</x:t>
  </x:si>
  <x:si>
    <x:t>http://id.who.int/icd/release/11/beta/ichi/96557452</x:t>
  </x:si>
  <x:si>
    <x:t>UEB.WG.ZZ</x:t>
  </x:si>
  <x:si>
    <x:t>- - - - Applying incentives in relation to services, systems and policies for the production of consumer goods</x:t>
  </x:si>
  <x:si>
    <x:t>http://id.who.int/icd/entity/344095228</x:t>
  </x:si>
  <x:si>
    <x:t>http://id.who.int/icd/release/11/beta/ichi/344095228</x:t>
  </x:si>
  <x:si>
    <x:t>UEB.WI.QD</x:t>
  </x:si>
  <x:si>
    <x:t>- - - - Restrictions through enactment of laws or standards in relation to services, systems and policies for the production of consumer goods</x:t>
  </x:si>
  <x:si>
    <x:t>http://id.who.int/icd/entity/290696854</x:t>
  </x:si>
  <x:si>
    <x:t>http://id.who.int/icd/release/11/beta/ichi/290696854</x:t>
  </x:si>
  <x:si>
    <x:t>UEB.WI.QE</x:t>
  </x:si>
  <x:si>
    <x:t>- - - - Restrictions through enforcement of laws or standards in relation to services, systems and policies for the production of consumer goods</x:t>
  </x:si>
  <x:si>
    <x:t>http://id.who.int/icd/entity/1093170981</x:t>
  </x:si>
  <x:si>
    <x:t>http://id.who.int/icd/release/11/beta/ichi/1093170981</x:t>
  </x:si>
  <x:si>
    <x:t>UEB.WI.ZZ</x:t>
  </x:si>
  <x:si>
    <x:t>- - - - Restrictions through laws or standards in relation to services, systems and policies for the production of consumer goods</x:t>
  </x:si>
  <x:si>
    <x:t>http://id.who.int/icd/entity/518661640</x:t>
  </x:si>
  <x:si>
    <x:t>http://id.who.int/icd/release/11/beta/ichi/518661640</x:t>
  </x:si>
  <x:si>
    <x:t>UEB.WJ.ZZ</x:t>
  </x:si>
  <x:si>
    <x:t>- - - - Policy change in relation to services, systems and policies for the production of consumer goods</x:t>
  </x:si>
  <x:si>
    <x:t>http://id.who.int/icd/entity/1413578147</x:t>
  </x:si>
  <x:si>
    <x:t>http://id.who.int/icd/release/11/beta/ichi/1413578147</x:t>
  </x:si>
  <x:si>
    <x:t>UEC.AA.ZZ</x:t>
  </x:si>
  <x:si>
    <x:t>- - - - Assessment of architecture and construction services, systems and policies</x:t>
  </x:si>
  <x:si>
    <x:t>http://id.who.int/icd/entity/193145986</x:t>
  </x:si>
  <x:si>
    <x:t>http://id.who.int/icd/release/11/beta/ichi/193145986</x:t>
  </x:si>
  <x:si>
    <x:t>UEC.PM.ZZ</x:t>
  </x:si>
  <x:si>
    <x:t>- - - - Education about architecture and construction services, systems and policies</x:t>
  </x:si>
  <x:si>
    <x:t>http://id.who.int/icd/entity/545144850</x:t>
  </x:si>
  <x:si>
    <x:t>http://id.who.int/icd/release/11/beta/ichi/545144850</x:t>
  </x:si>
  <x:si>
    <x:t>UEC.PN.ZZ</x:t>
  </x:si>
  <x:si>
    <x:t>- - - - Advising about architecture and construction services, systems and policies</x:t>
  </x:si>
  <x:si>
    <x:t>http://id.who.int/icd/entity/1798235691</x:t>
  </x:si>
  <x:si>
    <x:t>http://id.who.int/icd/release/11/beta/ichi/1798235691</x:t>
  </x:si>
  <x:si>
    <x:t>UEC.RB.ZZ</x:t>
  </x:si>
  <x:si>
    <x:t>- - - - Practical support with architecture and construction services, systems and policies</x:t>
  </x:si>
  <x:si>
    <x:t>http://id.who.int/icd/entity/887928584</x:t>
  </x:si>
  <x:si>
    <x:t>http://id.who.int/icd/release/11/beta/ichi/887928584</x:t>
  </x:si>
  <x:si>
    <x:t>UEC.RD.ZZ</x:t>
  </x:si>
  <x:si>
    <x:t>- - - - Providing goods in relation to architecture and construction services, systems and policies</x:t>
  </x:si>
  <x:si>
    <x:t>http://id.who.int/icd/entity/1375920691</x:t>
  </x:si>
  <x:si>
    <x:t>http://id.who.int/icd/release/11/beta/ichi/1375920691</x:t>
  </x:si>
  <x:si>
    <x:t>UEC.RG.ZZ</x:t>
  </x:si>
  <x:si>
    <x:t>- - - - Providing architecture and construction services, systems and policies</x:t>
  </x:si>
  <x:si>
    <x:t>http://id.who.int/icd/entity/1158405817</x:t>
  </x:si>
  <x:si>
    <x:t>http://id.who.int/icd/release/11/beta/ichi/1158405817</x:t>
  </x:si>
  <x:si>
    <x:t>UEC.TB.ZZ</x:t>
  </x:si>
  <x:si>
    <x:t>- - - - Planning in relation to architecture and construction services, systems and policies</x:t>
  </x:si>
  <x:si>
    <x:t>http://id.who.int/icd/entity/449417114</x:t>
  </x:si>
  <x:si>
    <x:t>http://id.who.int/icd/release/11/beta/ichi/449417114</x:t>
  </x:si>
  <x:si>
    <x:t>UEC.TD.ZZ</x:t>
  </x:si>
  <x:si>
    <x:t>- - - - Collaboration relating to architecture and construction services, systems and policies</x:t>
  </x:si>
  <x:si>
    <x:t>http://id.who.int/icd/entity/1253201451</x:t>
  </x:si>
  <x:si>
    <x:t>http://id.who.int/icd/release/11/beta/ichi/1253201451</x:t>
  </x:si>
  <x:si>
    <x:t>UEC.TK.ZZ</x:t>
  </x:si>
  <x:si>
    <x:t>- - - - Public facilities or infrastructure development in relation to architecture and construction services, systems and policies</x:t>
  </x:si>
  <x:si>
    <x:t>http://id.who.int/icd/entity/1057280602</x:t>
  </x:si>
  <x:si>
    <x:t>http://id.who.int/icd/release/11/beta/ichi/1057280602</x:t>
  </x:si>
  <x:si>
    <x:t>UEC.TM.ZZ</x:t>
  </x:si>
  <x:si>
    <x:t>- - - - Environment modification in relation to architecture and construction services, systems and policies</x:t>
  </x:si>
  <x:si>
    <x:t>http://id.who.int/icd/entity/351911626</x:t>
  </x:si>
  <x:si>
    <x:t>http://id.who.int/icd/release/11/beta/ichi/351911626</x:t>
  </x:si>
  <x:si>
    <x:t>UEC.VA.ZZ</x:t>
  </x:si>
  <x:si>
    <x:t>- - - - Capacity building targeting architecture and construction services, systems and policies</x:t>
  </x:si>
  <x:si>
    <x:t>http://id.who.int/icd/entity/96116414</x:t>
  </x:si>
  <x:si>
    <x:t>http://id.who.int/icd/release/11/beta/ichi/96116414</x:t>
  </x:si>
  <x:si>
    <x:t>UEC.VB.ZZ</x:t>
  </x:si>
  <x:si>
    <x:t>- - - - Awareness raising concerning architecture and construction services, systems and policies</x:t>
  </x:si>
  <x:si>
    <x:t>http://id.who.int/icd/entity/525996054</x:t>
  </x:si>
  <x:si>
    <x:t>http://id.who.int/icd/release/11/beta/ichi/525996054</x:t>
  </x:si>
  <x:si>
    <x:t>UEC.VC.ZZ</x:t>
  </x:si>
  <x:si>
    <x:t>- - - - Public health surveillance concerning architecture and construction services, systems and policies</x:t>
  </x:si>
  <x:si>
    <x:t>http://id.who.int/icd/entity/1327614373</x:t>
  </x:si>
  <x:si>
    <x:t>http://id.who.int/icd/release/11/beta/ichi/1327614373</x:t>
  </x:si>
  <x:si>
    <x:t>UEC.VF.ZZ</x:t>
  </x:si>
  <x:si>
    <x:t>- - - - Alert concerning architecture and construction services, systems and policies</x:t>
  </x:si>
  <x:si>
    <x:t>http://id.who.int/icd/entity/283351176</x:t>
  </x:si>
  <x:si>
    <x:t>http://id.who.int/icd/release/11/beta/ichi/283351176</x:t>
  </x:si>
  <x:si>
    <x:t>UEC.VL.ZZ</x:t>
  </x:si>
  <x:si>
    <x:t>- - - - Environmental remediation in relation to architecture and construction services, systems and policies</x:t>
  </x:si>
  <x:si>
    <x:t>http://id.who.int/icd/entity/991884312</x:t>
  </x:si>
  <x:si>
    <x:t>http://id.who.int/icd/release/11/beta/ichi/991884312</x:t>
  </x:si>
  <x:si>
    <x:t>UEC.VN.ZZ</x:t>
  </x:si>
  <x:si>
    <x:t>- - - - Establishing health services or health-related services in relation to architecture and construction services, systems and policies</x:t>
  </x:si>
  <x:si>
    <x:t>http://id.who.int/icd/entity/1089686329</x:t>
  </x:si>
  <x:si>
    <x:t>http://id.who.int/icd/release/11/beta/ichi/1089686329</x:t>
  </x:si>
  <x:si>
    <x:t>UEC.VO.ZZ</x:t>
  </x:si>
  <x:si>
    <x:t>- - - - Marshalling health services or health-related services in relation to architecture and construction services, systems and policies</x:t>
  </x:si>
  <x:si>
    <x:t>http://id.who.int/icd/entity/523311642</x:t>
  </x:si>
  <x:si>
    <x:t>http://id.who.int/icd/release/11/beta/ichi/523311642</x:t>
  </x:si>
  <x:si>
    <x:t>UEC.VP.ZZ</x:t>
  </x:si>
  <x:si>
    <x:t>- - - - Improving access to health services or health-related services in relation to architecture and construction services, systems and policies</x:t>
  </x:si>
  <x:si>
    <x:t>http://id.who.int/icd/entity/1330299819</x:t>
  </x:si>
  <x:si>
    <x:t>http://id.who.int/icd/release/11/beta/ichi/1330299819</x:t>
  </x:si>
  <x:si>
    <x:t>UEC.VR.ZZ</x:t>
  </x:si>
  <x:si>
    <x:t>- - - - Reducing emissions from architecture and construction services, systems and policies</x:t>
  </x:si>
  <x:si>
    <x:t>http://id.who.int/icd/entity/989611994</x:t>
  </x:si>
  <x:si>
    <x:t>http://id.who.int/icd/release/11/beta/ichi/989611994</x:t>
  </x:si>
  <x:si>
    <x:t>UEC.WC.ZZ</x:t>
  </x:si>
  <x:si>
    <x:t>- - - - Restrictions on the sale or distribution of products or services in relation to architecture and construction services, systems and policies</x:t>
  </x:si>
  <x:si>
    <x:t>http://id.who.int/icd/entity/285289290</x:t>
  </x:si>
  <x:si>
    <x:t>http://id.who.int/icd/release/11/beta/ichi/285289290</x:t>
  </x:si>
  <x:si>
    <x:t>UEC.WD.ZZ</x:t>
  </x:si>
  <x:si>
    <x:t>- - - - Restrictions on advertising, promotion or sponsorship of products or services in relation to architecture and construction services, systems and policies</x:t>
  </x:si>
  <x:si>
    <x:t>http://id.who.int/icd/entity/4328254</x:t>
  </x:si>
  <x:si>
    <x:t>http://id.who.int/icd/release/11/beta/ichi/4328254</x:t>
  </x:si>
  <x:si>
    <x:t>UEC.WE.ZZ</x:t>
  </x:si>
  <x:si>
    <x:t>- - - - Restrictions on production or importation of products or services in relation to architecture and construction services, systems and policies</x:t>
  </x:si>
  <x:si>
    <x:t>http://id.who.int/icd/entity/93576272</x:t>
  </x:si>
  <x:si>
    <x:t>http://id.who.int/icd/release/11/beta/ichi/93576272</x:t>
  </x:si>
  <x:si>
    <x:t>UEC.WG.QF</x:t>
  </x:si>
  <x:si>
    <x:t>- - - - Economic incentives in relation to architecture and construction services, systems and policies</x:t>
  </x:si>
  <x:si>
    <x:t>http://id.who.int/icd/entity/1441269217</x:t>
  </x:si>
  <x:si>
    <x:t>http://id.who.int/icd/release/11/beta/ichi/1441269217</x:t>
  </x:si>
  <x:si>
    <x:t>UEC.WG.ZZ</x:t>
  </x:si>
  <x:si>
    <x:t>- - - - Applying incentives in relation to architecture and construction services, systems and policies</x:t>
  </x:si>
  <x:si>
    <x:t>http://id.who.int/icd/entity/170546370</x:t>
  </x:si>
  <x:si>
    <x:t>http://id.who.int/icd/release/11/beta/ichi/170546370</x:t>
  </x:si>
  <x:si>
    <x:t>UEC.WI.QD</x:t>
  </x:si>
  <x:si>
    <x:t>- - - - Restrictions through enactment of laws or standards in relation to architecture and construction services, systems and policies</x:t>
  </x:si>
  <x:si>
    <x:t>http://id.who.int/icd/entity/567752786</x:t>
  </x:si>
  <x:si>
    <x:t>http://id.who.int/icd/release/11/beta/ichi/567752786</x:t>
  </x:si>
  <x:si>
    <x:t>UEC.WI.QE</x:t>
  </x:si>
  <x:si>
    <x:t>- - - - Restrictions through enforcement of laws or standards in relation to architecture and construction services, systems and policies</x:t>
  </x:si>
  <x:si>
    <x:t>http://id.who.int/icd/entity/450940276</x:t>
  </x:si>
  <x:si>
    <x:t>http://id.who.int/icd/release/11/beta/ichi/450940276</x:t>
  </x:si>
  <x:si>
    <x:t>UEC.WI.ZZ</x:t>
  </x:si>
  <x:si>
    <x:t>- - - - Restrictions through laws or standards in relation to architecture and construction services, systems and policies</x:t>
  </x:si>
  <x:si>
    <x:t>http://id.who.int/icd/entity/1159896151</x:t>
  </x:si>
  <x:si>
    <x:t>http://id.who.int/icd/release/11/beta/ichi/1159896151</x:t>
  </x:si>
  <x:si>
    <x:t>UEC.WJ.ZZ</x:t>
  </x:si>
  <x:si>
    <x:t>- - - - Policy change in relation to architecture and construction services, systems and policies</x:t>
  </x:si>
  <x:si>
    <x:t>http://id.who.int/icd/entity/865319569</x:t>
  </x:si>
  <x:si>
    <x:t>http://id.who.int/icd/release/11/beta/ichi/865319569</x:t>
  </x:si>
  <x:si>
    <x:t>UED.AA.ZZ</x:t>
  </x:si>
  <x:si>
    <x:t>- - - - Assessment of open space planning services, systems and policies</x:t>
  </x:si>
  <x:si>
    <x:t>http://id.who.int/icd/entity/1817308082</x:t>
  </x:si>
  <x:si>
    <x:t>http://id.who.int/icd/release/11/beta/ichi/1817308082</x:t>
  </x:si>
  <x:si>
    <x:t>UED.PH.ZZ</x:t>
  </x:si>
  <x:si>
    <x:t>- - - - Training about open space planning services, systems and policies</x:t>
  </x:si>
  <x:si>
    <x:t>http://id.who.int/icd/entity/1009398275</x:t>
  </x:si>
  <x:si>
    <x:t>http://id.who.int/icd/release/11/beta/ichi/1009398275</x:t>
  </x:si>
  <x:si>
    <x:t>UED.PM.ZZ</x:t>
  </x:si>
  <x:si>
    <x:t>- - - - Education about aspects of open space planning services, systems and policies</x:t>
  </x:si>
  <x:si>
    <x:t>http://id.who.int/icd/entity/155647097</x:t>
  </x:si>
  <x:si>
    <x:t>http://id.who.int/icd/release/11/beta/ichi/155647097</x:t>
  </x:si>
  <x:si>
    <x:t>UED.PN.ZZ</x:t>
  </x:si>
  <x:si>
    <x:t>- - - - Advising about open space planning services, systems and policies</x:t>
  </x:si>
  <x:si>
    <x:t>http://id.who.int/icd/entity/582717673</x:t>
  </x:si>
  <x:si>
    <x:t>http://id.who.int/icd/release/11/beta/ichi/582717673</x:t>
  </x:si>
  <x:si>
    <x:t>UED.RB.ZZ</x:t>
  </x:si>
  <x:si>
    <x:t>- - - - Practical support about open space planning services, systems and policies</x:t>
  </x:si>
  <x:si>
    <x:t>http://id.who.int/icd/entity/871936159</x:t>
  </x:si>
  <x:si>
    <x:t>http://id.who.int/icd/release/11/beta/ichi/871936159</x:t>
  </x:si>
  <x:si>
    <x:t>UED.RD.ZZ</x:t>
  </x:si>
  <x:si>
    <x:t>- - - - Providing goods in relation to open space planning services, systems and policies</x:t>
  </x:si>
  <x:si>
    <x:t>http://id.who.int/icd/entity/230732562</x:t>
  </x:si>
  <x:si>
    <x:t>http://id.who.int/icd/release/11/beta/ichi/230732562</x:t>
  </x:si>
  <x:si>
    <x:t>UED.RG.ZZ</x:t>
  </x:si>
  <x:si>
    <x:t>- - - - Providing open space planning services, systems and policies</x:t>
  </x:si>
  <x:si>
    <x:t>http://id.who.int/icd/entity/372632925</x:t>
  </x:si>
  <x:si>
    <x:t>http://id.who.int/icd/release/11/beta/ichi/372632925</x:t>
  </x:si>
  <x:si>
    <x:t>UED.TA.ZZ</x:t>
  </x:si>
  <x:si>
    <x:t>- - - - Advocacy in relation to open space planning services, systems and policies</x:t>
  </x:si>
  <x:si>
    <x:t>http://id.who.int/icd/entity/1240972414</x:t>
  </x:si>
  <x:si>
    <x:t>http://id.who.int/icd/release/11/beta/ichi/1240972414</x:t>
  </x:si>
  <x:si>
    <x:t>UED.TB.ZZ</x:t>
  </x:si>
  <x:si>
    <x:t>- - - - Planning in relation to open space planning services, systems and policies</x:t>
  </x:si>
  <x:si>
    <x:t>http://id.who.int/icd/entity/1644876014</x:t>
  </x:si>
  <x:si>
    <x:t>http://id.who.int/icd/release/11/beta/ichi/1644876014</x:t>
  </x:si>
  <x:si>
    <x:t>UED.TD.ZZ</x:t>
  </x:si>
  <x:si>
    <x:t>- - - - Collaboration relating to open space planning services, systems and policies</x:t>
  </x:si>
  <x:si>
    <x:t>http://id.who.int/icd/entity/693794517</x:t>
  </x:si>
  <x:si>
    <x:t>http://id.who.int/icd/release/11/beta/ichi/693794517</x:t>
  </x:si>
  <x:si>
    <x:t>UED.TK.ZZ</x:t>
  </x:si>
  <x:si>
    <x:t>- - - - Public facilities or infrastructure development in relation to open space planning services, systems and policies</x:t>
  </x:si>
  <x:si>
    <x:t>http://id.who.int/icd/entity/1989683192</x:t>
  </x:si>
  <x:si>
    <x:t>http://id.who.int/icd/release/11/beta/ichi/1989683192</x:t>
  </x:si>
  <x:si>
    <x:t>UED.TM.ZZ</x:t>
  </x:si>
  <x:si>
    <x:t>- - - - Environment modification in relation to open space planning services, systems and policies</x:t>
  </x:si>
  <x:si>
    <x:t>http://id.who.int/icd/entity/652475975</x:t>
  </x:si>
  <x:si>
    <x:t>http://id.who.int/icd/release/11/beta/ichi/652475975</x:t>
  </x:si>
  <x:si>
    <x:t>UED.VA.ZZ</x:t>
  </x:si>
  <x:si>
    <x:t>- - - - Capacity building targeting open space planning services, systems and policies</x:t>
  </x:si>
  <x:si>
    <x:t>http://id.who.int/icd/entity/1398110772</x:t>
  </x:si>
  <x:si>
    <x:t>http://id.who.int/icd/release/11/beta/ichi/1398110772</x:t>
  </x:si>
  <x:si>
    <x:t>UED.VB.ZZ</x:t>
  </x:si>
  <x:si>
    <x:t>- - - - Awareness raising concerning open space planning services, systems and policies</x:t>
  </x:si>
  <x:si>
    <x:t>http://id.who.int/icd/entity/2024281764</x:t>
  </x:si>
  <x:si>
    <x:t>http://id.who.int/icd/release/11/beta/ichi/2024281764</x:t>
  </x:si>
  <x:si>
    <x:t>UED.VC.ZZ</x:t>
  </x:si>
  <x:si>
    <x:t>- - - - Public health surveillance concerning open space planning services, systems and policies</x:t>
  </x:si>
  <x:si>
    <x:t>http://id.who.int/icd/entity/2092052714</x:t>
  </x:si>
  <x:si>
    <x:t>http://id.who.int/icd/release/11/beta/ichi/2092052714</x:t>
  </x:si>
  <x:si>
    <x:t>UED.VO.ZZ</x:t>
  </x:si>
  <x:si>
    <x:t>- - - - Marshalling health services or health-related services in relation to open space planning services, systems and policies</x:t>
  </x:si>
  <x:si>
    <x:t>http://id.who.int/icd/entity/1464818810</x:t>
  </x:si>
  <x:si>
    <x:t>http://id.who.int/icd/release/11/beta/ichi/1464818810</x:t>
  </x:si>
  <x:si>
    <x:t>UED.VP.ZZ</x:t>
  </x:si>
  <x:si>
    <x:t>- - - - Improving access to health services or health-related services in relation to open space planning services, systems and policies</x:t>
  </x:si>
  <x:si>
    <x:t>http://id.who.int/icd/entity/945983889</x:t>
  </x:si>
  <x:si>
    <x:t>http://id.who.int/icd/release/11/beta/ichi/945983889</x:t>
  </x:si>
  <x:si>
    <x:t>UED.VR.ZZ</x:t>
  </x:si>
  <x:si>
    <x:t>- - - - Reducing emissions from open space planning services, systems and policies</x:t>
  </x:si>
  <x:si>
    <x:t>http://id.who.int/icd/entity/1738588338</x:t>
  </x:si>
  <x:si>
    <x:t>http://id.who.int/icd/release/11/beta/ichi/1738588338</x:t>
  </x:si>
  <x:si>
    <x:t>UED.WC.ZZ</x:t>
  </x:si>
  <x:si>
    <x:t>- - - - Restrictions on the sale or distribution of products or services in relation to open space planning services, systems and policies</x:t>
  </x:si>
  <x:si>
    <x:t>http://id.who.int/icd/entity/937105667</x:t>
  </x:si>
  <x:si>
    <x:t>http://id.who.int/icd/release/11/beta/ichi/937105667</x:t>
  </x:si>
  <x:si>
    <x:t>UED.WD.ZZ</x:t>
  </x:si>
  <x:si>
    <x:t>- - - - Restrictions on advertising, promotion or sponsorship of products or services in relation to open space planning services, systems and policies</x:t>
  </x:si>
  <x:si>
    <x:t>http://id.who.int/icd/entity/1114479986</x:t>
  </x:si>
  <x:si>
    <x:t>http://id.who.int/icd/release/11/beta/ichi/1114479986</x:t>
  </x:si>
  <x:si>
    <x:t>UED.WE.ZZ</x:t>
  </x:si>
  <x:si>
    <x:t>- - - - Restrictions on production or importation of products or services in relation to open space planning services, systems and policies</x:t>
  </x:si>
  <x:si>
    <x:t>http://id.who.int/icd/entity/1771106786</x:t>
  </x:si>
  <x:si>
    <x:t>http://id.who.int/icd/release/11/beta/ichi/1771106786</x:t>
  </x:si>
  <x:si>
    <x:t>UED.WG.QF</x:t>
  </x:si>
  <x:si>
    <x:t>- - - - Economic incentives in relation to open space planning services, systems and policies</x:t>
  </x:si>
  <x:si>
    <x:t>http://id.who.int/icd/entity/2027147670</x:t>
  </x:si>
  <x:si>
    <x:t>http://id.who.int/icd/release/11/beta/ichi/2027147670</x:t>
  </x:si>
  <x:si>
    <x:t>UED.WG.ZZ</x:t>
  </x:si>
  <x:si>
    <x:t>- - - - Applying incentives in relation to open space planning services, systems and policies</x:t>
  </x:si>
  <x:si>
    <x:t>http://id.who.int/icd/entity/2097284856</x:t>
  </x:si>
  <x:si>
    <x:t>http://id.who.int/icd/release/11/beta/ichi/2097284856</x:t>
  </x:si>
  <x:si>
    <x:t>UED.WI.QD</x:t>
  </x:si>
  <x:si>
    <x:t>- - - - Restrictions through enactment of laws or standards in relation to open space planning services, systems and policies</x:t>
  </x:si>
  <x:si>
    <x:t>http://id.who.int/icd/entity/762961737</x:t>
  </x:si>
  <x:si>
    <x:t>http://id.who.int/icd/release/11/beta/ichi/762961737</x:t>
  </x:si>
  <x:si>
    <x:t>UED.WI.QE</x:t>
  </x:si>
  <x:si>
    <x:t>- - - - Restrictions through enforcement of laws or standards in relation to open space planning services, systems and policies</x:t>
  </x:si>
  <x:si>
    <x:t>http://id.who.int/icd/entity/1924894314</x:t>
  </x:si>
  <x:si>
    <x:t>http://id.who.int/icd/release/11/beta/ichi/1924894314</x:t>
  </x:si>
  <x:si>
    <x:t>UED.WI.ZZ</x:t>
  </x:si>
  <x:si>
    <x:t>- - - - Restrictions through laws or standards in relation to open space planning services, systems and policies</x:t>
  </x:si>
  <x:si>
    <x:t>http://id.who.int/icd/entity/1497817850</x:t>
  </x:si>
  <x:si>
    <x:t>http://id.who.int/icd/release/11/beta/ichi/1497817850</x:t>
  </x:si>
  <x:si>
    <x:t>UED.WJ.ZZ</x:t>
  </x:si>
  <x:si>
    <x:t>- - - - Policy change in relation to open space planning services, systems and policies</x:t>
  </x:si>
  <x:si>
    <x:t>http://id.who.int/icd/entity/750064328</x:t>
  </x:si>
  <x:si>
    <x:t>http://id.who.int/icd/release/11/beta/ichi/750064328</x:t>
  </x:si>
  <x:si>
    <x:t>UEE.AA.ZZ</x:t>
  </x:si>
  <x:si>
    <x:t>- - - - Assessment of housing services, systems and policies</x:t>
  </x:si>
  <x:si>
    <x:t>http://id.who.int/icd/entity/1687645881</x:t>
  </x:si>
  <x:si>
    <x:t>http://id.who.int/icd/release/11/beta/ichi/1687645881</x:t>
  </x:si>
  <x:si>
    <x:t>UEE.PH.ZZ</x:t>
  </x:si>
  <x:si>
    <x:t>- - - - Training about housing services, systems and policies</x:t>
  </x:si>
  <x:si>
    <x:t>http://id.who.int/icd/entity/487538818</x:t>
  </x:si>
  <x:si>
    <x:t>http://id.who.int/icd/release/11/beta/ichi/487538818</x:t>
  </x:si>
  <x:si>
    <x:t>UEE.PM.ZZ</x:t>
  </x:si>
  <x:si>
    <x:t>- - - - Education about housing services, systems and policies</x:t>
  </x:si>
  <x:si>
    <x:t>http://id.who.int/icd/entity/1566308373</x:t>
  </x:si>
  <x:si>
    <x:t>http://id.who.int/icd/release/11/beta/ichi/1566308373</x:t>
  </x:si>
  <x:si>
    <x:t>UEE.PN.ZZ</x:t>
  </x:si>
  <x:si>
    <x:t>- - - - Advising about housing services, systems and policies</x:t>
  </x:si>
  <x:si>
    <x:t>http://id.who.int/icd/entity/287435468</x:t>
  </x:si>
  <x:si>
    <x:t>http://id.who.int/icd/release/11/beta/ichi/287435468</x:t>
  </x:si>
  <x:si>
    <x:t>UEE.RB.ZZ</x:t>
  </x:si>
  <x:si>
    <x:t>- - - - Practical support with housing services, systems and policies</x:t>
  </x:si>
  <x:si>
    <x:t>http://id.who.int/icd/entity/987530844</x:t>
  </x:si>
  <x:si>
    <x:t>http://id.who.int/icd/release/11/beta/ichi/987530844</x:t>
  </x:si>
  <x:si>
    <x:t>UEE.RD.ZZ</x:t>
  </x:si>
  <x:si>
    <x:t>- - - - Providing goods in relation to housing services, systems and policies</x:t>
  </x:si>
  <x:si>
    <x:t>http://id.who.int/icd/entity/641589122</x:t>
  </x:si>
  <x:si>
    <x:t>http://id.who.int/icd/release/11/beta/ichi/641589122</x:t>
  </x:si>
  <x:si>
    <x:t>UEE.RG.ZZ</x:t>
  </x:si>
  <x:si>
    <x:t>- - - - Providing housing services, systems and policies</x:t>
  </x:si>
  <x:si>
    <x:t>http://id.who.int/icd/entity/731883052</x:t>
  </x:si>
  <x:si>
    <x:t>http://id.who.int/icd/release/11/beta/ichi/731883052</x:t>
  </x:si>
  <x:si>
    <x:t>UEE.TA.ZZ</x:t>
  </x:si>
  <x:si>
    <x:t>- - - - Advocacy in relation to housing services, systems and policies</x:t>
  </x:si>
  <x:si>
    <x:t>http://id.who.int/icd/entity/830417032</x:t>
  </x:si>
  <x:si>
    <x:t>http://id.who.int/icd/release/11/beta/ichi/830417032</x:t>
  </x:si>
  <x:si>
    <x:t>UEE.TB.ZZ</x:t>
  </x:si>
  <x:si>
    <x:t>- - - - Planning in relation to housing services, systems and policies</x:t>
  </x:si>
  <x:si>
    <x:t>http://id.who.int/icd/entity/1627713847</x:t>
  </x:si>
  <x:si>
    <x:t>http://id.who.int/icd/release/11/beta/ichi/1627713847</x:t>
  </x:si>
  <x:si>
    <x:t>UEE.TD.ZZ</x:t>
  </x:si>
  <x:si>
    <x:t>- - - - Collaboration relating to housing services, systems and policies</x:t>
  </x:si>
  <x:si>
    <x:t>http://id.who.int/icd/entity/1053204502</x:t>
  </x:si>
  <x:si>
    <x:t>http://id.who.int/icd/release/11/beta/ichi/1053204502</x:t>
  </x:si>
  <x:si>
    <x:t>UEE.TK.ZZ</x:t>
  </x:si>
  <x:si>
    <x:t>- - - - Public facilities or infrastructure development in relation to housing services, systems and policies</x:t>
  </x:si>
  <x:si>
    <x:t>http://id.who.int/icd/entity/356240518</x:t>
  </x:si>
  <x:si>
    <x:t>http://id.who.int/icd/release/11/beta/ichi/356240518</x:t>
  </x:si>
  <x:si>
    <x:t>UEE.TM.ZZ</x:t>
  </x:si>
  <x:si>
    <x:t>- - - - Environment modification in relation to housing services, systems and policies</x:t>
  </x:si>
  <x:si>
    <x:t>http://id.who.int/icd/entity/1859548075</x:t>
  </x:si>
  <x:si>
    <x:t>http://id.who.int/icd/release/11/beta/ichi/1859548075</x:t>
  </x:si>
  <x:si>
    <x:t>UEE.VA.ZZ</x:t>
  </x:si>
  <x:si>
    <x:t>- - - - Capacity building targeting housing services, systems and policies</x:t>
  </x:si>
  <x:si>
    <x:t>http://id.who.int/icd/entity/823403144</x:t>
  </x:si>
  <x:si>
    <x:t>http://id.who.int/icd/release/11/beta/ichi/823403144</x:t>
  </x:si>
  <x:si>
    <x:t>UEE.VB.ZZ</x:t>
  </x:si>
  <x:si>
    <x:t>- - - - Awareness raising concerning housing services, systems and policies</x:t>
  </x:si>
  <x:si>
    <x:t>http://id.who.int/icd/entity/1634728761</x:t>
  </x:si>
  <x:si>
    <x:t>http://id.who.int/icd/release/11/beta/ichi/1634728761</x:t>
  </x:si>
  <x:si>
    <x:t>UEE.VC.ZZ</x:t>
  </x:si>
  <x:si>
    <x:t>- - - - Public health surveillance concerning housing services, systems and policies</x:t>
  </x:si>
  <x:si>
    <x:t>http://id.who.int/icd/entity/349798220</x:t>
  </x:si>
  <x:si>
    <x:t>http://id.who.int/icd/release/11/beta/ichi/349798220</x:t>
  </x:si>
  <x:si>
    <x:t>UEE.VF.ZZ</x:t>
  </x:si>
  <x:si>
    <x:t>- - - - Alert concerning housing services, systems and policies</x:t>
  </x:si>
  <x:si>
    <x:t>http://id.who.int/icd/entity/1059328988</x:t>
  </x:si>
  <x:si>
    <x:t>http://id.who.int/icd/release/11/beta/ichi/1059328988</x:t>
  </x:si>
  <x:si>
    <x:t>UEE.VL.ZZ</x:t>
  </x:si>
  <x:si>
    <x:t>- - - - Environmental remediation in relation to housing services, systems and policies</x:t>
  </x:si>
  <x:si>
    <x:t>http://id.who.int/icd/entity/778515372</x:t>
  </x:si>
  <x:si>
    <x:t>http://id.who.int/icd/release/11/beta/ichi/778515372</x:t>
  </x:si>
  <x:si>
    <x:t>UEE.VN.ZZ</x:t>
  </x:si>
  <x:si>
    <x:t>- - - - Establishing health services or health-related services in relation to housing services, systems and policies</x:t>
  </x:si>
  <x:si>
    <x:t>http://id.who.int/icd/entity/733406402</x:t>
  </x:si>
  <x:si>
    <x:t>http://id.who.int/icd/release/11/beta/ichi/733406402</x:t>
  </x:si>
  <x:si>
    <x:t>UEE.VO.ZZ</x:t>
  </x:si>
  <x:si>
    <x:t>- - - - Marshalling health services or health-related services in relation to housing services, systems and policies</x:t>
  </x:si>
  <x:si>
    <x:t>http://id.who.int/icd/entity/2077048179</x:t>
  </x:si>
  <x:si>
    <x:t>http://id.who.int/icd/release/11/beta/ichi/2077048179</x:t>
  </x:si>
  <x:si>
    <x:t>UEE.VP.ZZ</x:t>
  </x:si>
  <x:si>
    <x:t>- - - - Improving access to health services or health-related services in relation to housing services, systems and policies</x:t>
  </x:si>
  <x:si>
    <x:t>http://id.who.int/icd/entity/604990544</x:t>
  </x:si>
  <x:si>
    <x:t>http://id.who.int/icd/release/11/beta/ichi/604990544</x:t>
  </x:si>
  <x:si>
    <x:t>UEE.VR.ZZ</x:t>
  </x:si>
  <x:si>
    <x:t>- - - - Reducing emissions from housing services, systems and policies</x:t>
  </x:si>
  <x:si>
    <x:t>http://id.who.int/icd/entity/267518144</x:t>
  </x:si>
  <x:si>
    <x:t>http://id.who.int/icd/release/11/beta/ichi/267518144</x:t>
  </x:si>
  <x:si>
    <x:t>UEE.WC.ZZ</x:t>
  </x:si>
  <x:si>
    <x:t>- - - - Restrictions on the sale or distribution of products or services in relation to housing services, systems and policies</x:t>
  </x:si>
  <x:si>
    <x:t>http://id.who.int/icd/entity/885388774</x:t>
  </x:si>
  <x:si>
    <x:t>http://id.who.int/icd/release/11/beta/ichi/885388774</x:t>
  </x:si>
  <x:si>
    <x:t>UEE.WD.ZZ</x:t>
  </x:si>
  <x:si>
    <x:t>- - - - Restrictions on advertising, promotion or sponsorship of products or services in relation to housing services, systems and policies</x:t>
  </x:si>
  <x:si>
    <x:t>http://id.who.int/icd/entity/1795663045</x:t>
  </x:si>
  <x:si>
    <x:t>http://id.who.int/icd/release/11/beta/ichi/1795663045</x:t>
  </x:si>
  <x:si>
    <x:t>UEE.WE.ZZ</x:t>
  </x:si>
  <x:si>
    <x:t>- - - - Restrictions on production or importation of products or services in relation to housing services, systems and policies</x:t>
  </x:si>
  <x:si>
    <x:t>http://id.who.int/icd/entity/998014324</x:t>
  </x:si>
  <x:si>
    <x:t>http://id.who.int/icd/release/11/beta/ichi/998014324</x:t>
  </x:si>
  <x:si>
    <x:t>UEE.WG.QF</x:t>
  </x:si>
  <x:si>
    <x:t>- - - - Economic incentives in relation to housing services, systems and policies</x:t>
  </x:si>
  <x:si>
    <x:t>http://id.who.int/icd/entity/563934176</x:t>
  </x:si>
  <x:si>
    <x:t>http://id.who.int/icd/release/11/beta/ichi/563934176</x:t>
  </x:si>
  <x:si>
    <x:t>UEE.WG.ZZ</x:t>
  </x:si>
  <x:si>
    <x:t>- - - - Applying incentives in relation to housing services, systems and policies</x:t>
  </x:si>
  <x:si>
    <x:t>http://id.who.int/icd/entity/174169936</x:t>
  </x:si>
  <x:si>
    <x:t>http://id.who.int/icd/release/11/beta/ichi/174169936</x:t>
  </x:si>
  <x:si>
    <x:t>UEE.WI.QD</x:t>
  </x:si>
  <x:si>
    <x:t>- - - - Restrictions through enactment of laws or standards in relation to housing services, systems and policies</x:t>
  </x:si>
  <x:si>
    <x:t>http://id.who.int/icd/entity/455262008</x:t>
  </x:si>
  <x:si>
    <x:t>http://id.who.int/icd/release/11/beta/ichi/455262008</x:t>
  </x:si>
  <x:si>
    <x:t>UEE.WI.QE</x:t>
  </x:si>
  <x:si>
    <x:t>- - - - Restrictions through enforcement of laws or standards in relation to housing services, systems and policies</x:t>
  </x:si>
  <x:si>
    <x:t>http://id.who.int/icd/entity/2101694619</x:t>
  </x:si>
  <x:si>
    <x:t>http://id.who.int/icd/release/11/beta/ichi/2101694619</x:t>
  </x:si>
  <x:si>
    <x:t>UEE.WI.ZZ</x:t>
  </x:si>
  <x:si>
    <x:t>- - - - Restrictions through laws or standards in relation to housing services, systems and policies</x:t>
  </x:si>
  <x:si>
    <x:t>http://id.who.int/icd/entity/759073066</x:t>
  </x:si>
  <x:si>
    <x:t>http://id.who.int/icd/release/11/beta/ichi/759073066</x:t>
  </x:si>
  <x:si>
    <x:t>UEE.WJ.ZZ</x:t>
  </x:si>
  <x:si>
    <x:t>- - - - Policy change in relation to housing services, systems and policies</x:t>
  </x:si>
  <x:si>
    <x:t>http://id.who.int/icd/entity/928175934</x:t>
  </x:si>
  <x:si>
    <x:t>http://id.who.int/icd/release/11/beta/ichi/928175934</x:t>
  </x:si>
  <x:si>
    <x:t>UEG.AA.ZZ</x:t>
  </x:si>
  <x:si>
    <x:t>- - - - Assessment of communication services, systems and policies</x:t>
  </x:si>
  <x:si>
    <x:t>http://id.who.int/icd/entity/953986004</x:t>
  </x:si>
  <x:si>
    <x:t>http://id.who.int/icd/release/11/beta/ichi/953986004</x:t>
  </x:si>
  <x:si>
    <x:t>UEG.PH.ZZ</x:t>
  </x:si>
  <x:si>
    <x:t>- - - - Training about communication services, systems and policies</x:t>
  </x:si>
  <x:si>
    <x:t>http://id.who.int/icd/entity/1495979093</x:t>
  </x:si>
  <x:si>
    <x:t>http://id.who.int/icd/release/11/beta/ichi/1495979093</x:t>
  </x:si>
  <x:si>
    <x:t>UEG.PM.ZZ</x:t>
  </x:si>
  <x:si>
    <x:t>- - - - Education about communication services, systems and policies</x:t>
  </x:si>
  <x:si>
    <x:t>http://id.who.int/icd/entity/1754301983</x:t>
  </x:si>
  <x:si>
    <x:t>http://id.who.int/icd/release/11/beta/ichi/1754301983</x:t>
  </x:si>
  <x:si>
    <x:t>UEG.PN.ZZ</x:t>
  </x:si>
  <x:si>
    <x:t>- - - - Advising about communication services, systems and policies</x:t>
  </x:si>
  <x:si>
    <x:t>http://id.who.int/icd/entity/320980804</x:t>
  </x:si>
  <x:si>
    <x:t>http://id.who.int/icd/release/11/beta/ichi/320980804</x:t>
  </x:si>
  <x:si>
    <x:t>UEG.RB.ZZ</x:t>
  </x:si>
  <x:si>
    <x:t>- - - - Practical support about communication services, systems and policies</x:t>
  </x:si>
  <x:si>
    <x:t>http://id.who.int/icd/entity/672543334</x:t>
  </x:si>
  <x:si>
    <x:t>http://id.who.int/icd/release/11/beta/ichi/672543334</x:t>
  </x:si>
  <x:si>
    <x:t>UEG.RD.ZZ</x:t>
  </x:si>
  <x:si>
    <x:t>- - - - Providing goods in relation to communication services, systems and policies</x:t>
  </x:si>
  <x:si>
    <x:t>http://id.who.int/icd/entity/122492030</x:t>
  </x:si>
  <x:si>
    <x:t>http://id.who.int/icd/release/11/beta/ichi/122492030</x:t>
  </x:si>
  <x:si>
    <x:t>UEG.RG.ZZ</x:t>
  </x:si>
  <x:si>
    <x:t>- - - - Providing communication services, systems and policies</x:t>
  </x:si>
  <x:si>
    <x:t>http://id.who.int/icd/entity/2010407751</x:t>
  </x:si>
  <x:si>
    <x:t>http://id.who.int/icd/release/11/beta/ichi/2010407751</x:t>
  </x:si>
  <x:si>
    <x:t>UEG.TA.ZZ</x:t>
  </x:si>
  <x:si>
    <x:t>- - - - Advocacy in relation to communication services, systems and policies</x:t>
  </x:si>
  <x:si>
    <x:t>http://id.who.int/icd/entity/665828088</x:t>
  </x:si>
  <x:si>
    <x:t>http://id.who.int/icd/release/11/beta/ichi/665828088</x:t>
  </x:si>
  <x:si>
    <x:t>UEG.TB.ZZ</x:t>
  </x:si>
  <x:si>
    <x:t>- - - - Planning in relation to communication services, systems and policies</x:t>
  </x:si>
  <x:si>
    <x:t>http://id.who.int/icd/entity/578710938</x:t>
  </x:si>
  <x:si>
    <x:t>http://id.who.int/icd/release/11/beta/ichi/578710938</x:t>
  </x:si>
  <x:si>
    <x:t>UEG.TD.ZZ</x:t>
  </x:si>
  <x:si>
    <x:t>- - - - Collaboration relating to communication services, systems and policies</x:t>
  </x:si>
  <x:si>
    <x:t>http://id.who.int/icd/entity/159580426</x:t>
  </x:si>
  <x:si>
    <x:t>http://id.who.int/icd/release/11/beta/ichi/159580426</x:t>
  </x:si>
  <x:si>
    <x:t>UEG.TK.ZZ</x:t>
  </x:si>
  <x:si>
    <x:t>- - - - Public facilities or infrastructure development in relation to communication services, systems and policies</x:t>
  </x:si>
  <x:si>
    <x:t>http://id.who.int/icd/entity/415244670</x:t>
  </x:si>
  <x:si>
    <x:t>http://id.who.int/icd/release/11/beta/ichi/415244670</x:t>
  </x:si>
  <x:si>
    <x:t>UEG.TM.ZZ</x:t>
  </x:si>
  <x:si>
    <x:t>- - - - Environment modification in relation to communication services, systems and policies</x:t>
  </x:si>
  <x:si>
    <x:t>http://id.who.int/icd/entity/1836492045</x:t>
  </x:si>
  <x:si>
    <x:t>http://id.who.int/icd/release/11/beta/ichi/1836492045</x:t>
  </x:si>
  <x:si>
    <x:t>UEG.VA.ZZ</x:t>
  </x:si>
  <x:si>
    <x:t>- - - - Capacity building targeting communication services, systems and policies</x:t>
  </x:si>
  <x:si>
    <x:t>http://id.who.int/icd/entity/1024294078</x:t>
  </x:si>
  <x:si>
    <x:t>http://id.who.int/icd/release/11/beta/ichi/1024294078</x:t>
  </x:si>
  <x:si>
    <x:t>UEG.VB.ZZ</x:t>
  </x:si>
  <x:si>
    <x:t>- - - - Awareness raising concerning communication services, systems and policies</x:t>
  </x:si>
  <x:si>
    <x:t>http://id.who.int/icd/entity/1657744799</x:t>
  </x:si>
  <x:si>
    <x:t>http://id.who.int/icd/release/11/beta/ichi/1657744799</x:t>
  </x:si>
  <x:si>
    <x:t>UEG.VC.ZZ</x:t>
  </x:si>
  <x:si>
    <x:t>- - - - Public health surveillance concerning communication services, systems and policies</x:t>
  </x:si>
  <x:si>
    <x:t>http://id.who.int/icd/entity/1228030223</x:t>
  </x:si>
  <x:si>
    <x:t>http://id.who.int/icd/release/11/beta/ichi/1228030223</x:t>
  </x:si>
  <x:si>
    <x:t>UEG.VF.ZZ</x:t>
  </x:si>
  <x:si>
    <x:t>- - - - Alert concerning communication services, systems and policies</x:t>
  </x:si>
  <x:si>
    <x:t>http://id.who.int/icd/entity/492027634</x:t>
  </x:si>
  <x:si>
    <x:t>http://id.who.int/icd/release/11/beta/ichi/492027634</x:t>
  </x:si>
  <x:si>
    <x:t>UEG.VL.ZZ</x:t>
  </x:si>
  <x:si>
    <x:t>- - - - Environmental remediation in relation to communication services, systems and policies</x:t>
  </x:si>
  <x:si>
    <x:t>http://id.who.int/icd/entity/1116860371</x:t>
  </x:si>
  <x:si>
    <x:t>http://id.who.int/icd/release/11/beta/ichi/1116860371</x:t>
  </x:si>
  <x:si>
    <x:t>UEG.VN.ZZ</x:t>
  </x:si>
  <x:si>
    <x:t>- - - - Establishing health services or health-related services in relation to communication services, systems and policies</x:t>
  </x:si>
  <x:si>
    <x:t>http://id.who.int/icd/entity/317339236</x:t>
  </x:si>
  <x:si>
    <x:t>http://id.who.int/icd/release/11/beta/ichi/317339236</x:t>
  </x:si>
  <x:si>
    <x:t>UEG.VO.ZZ</x:t>
  </x:si>
  <x:si>
    <x:t>- - - - Marshalling health services or health-related services in relation to communication services, systems and policies</x:t>
  </x:si>
  <x:si>
    <x:t>http://id.who.int/icd/entity/1492318033</x:t>
  </x:si>
  <x:si>
    <x:t>http://id.who.int/icd/release/11/beta/ichi/1492318033</x:t>
  </x:si>
  <x:si>
    <x:t>UEG.VP.ZZ</x:t>
  </x:si>
  <x:si>
    <x:t>- - - - Improving access to health services or health-related services in relation to communication services, systems and policies</x:t>
  </x:si>
  <x:si>
    <x:t>http://id.who.int/icd/entity/1930402753</x:t>
  </x:si>
  <x:si>
    <x:t>http://id.who.int/icd/release/11/beta/ichi/1930402753</x:t>
  </x:si>
  <x:si>
    <x:t>UEG.VR.ZZ</x:t>
  </x:si>
  <x:si>
    <x:t>- - - - Reducing emissions from communication services, systems and policies</x:t>
  </x:si>
  <x:si>
    <x:t>http://id.who.int/icd/entity/1649195959</x:t>
  </x:si>
  <x:si>
    <x:t>http://id.who.int/icd/release/11/beta/ichi/1649195959</x:t>
  </x:si>
  <x:si>
    <x:t>UEG.WC.ZZ</x:t>
  </x:si>
  <x:si>
    <x:t>- - - - Restrictions on the sale or distribution of products or services in relation to communication services, systems and policies</x:t>
  </x:si>
  <x:si>
    <x:t>http://id.who.int/icd/entity/402276294</x:t>
  </x:si>
  <x:si>
    <x:t>http://id.who.int/icd/release/11/beta/ichi/402276294</x:t>
  </x:si>
  <x:si>
    <x:t>UEG.WD.ZZ</x:t>
  </x:si>
  <x:si>
    <x:t>- - - - Restrictions on advertising, promotion or sponsorship of products or services in relation to communication services, systems and policies</x:t>
  </x:si>
  <x:si>
    <x:t>http://id.who.int/icd/entity/1199695477</x:t>
  </x:si>
  <x:si>
    <x:t>http://id.who.int/icd/release/11/beta/ichi/1199695477</x:t>
  </x:si>
  <x:si>
    <x:t>UEG.WE.ZZ</x:t>
  </x:si>
  <x:si>
    <x:t>- - - - Restrictions on production or importation of products or services in relation to communication services, systems and policies</x:t>
  </x:si>
  <x:si>
    <x:t>http://id.who.int/icd/entity/407091032</x:t>
  </x:si>
  <x:si>
    <x:t>http://id.who.int/icd/release/11/beta/ichi/407091032</x:t>
  </x:si>
  <x:si>
    <x:t>UEG.WG.QF</x:t>
  </x:si>
  <x:si>
    <x:t>- - - - Economic incentives in relation to communication services, systems and policies</x:t>
  </x:si>
  <x:si>
    <x:t>http://id.who.int/icd/entity/868146120</x:t>
  </x:si>
  <x:si>
    <x:t>http://id.who.int/icd/release/11/beta/ichi/868146120</x:t>
  </x:si>
  <x:si>
    <x:t>UEG.WG.ZZ</x:t>
  </x:si>
  <x:si>
    <x:t>- - - - Applying incentives in relation to communication services, systems and policies</x:t>
  </x:si>
  <x:si>
    <x:t>http://id.who.int/icd/entity/2028895741</x:t>
  </x:si>
  <x:si>
    <x:t>http://id.who.int/icd/release/11/beta/ichi/2028895741</x:t>
  </x:si>
  <x:si>
    <x:t>UEG.WI.QD</x:t>
  </x:si>
  <x:si>
    <x:t>- - - - Restrictions through enactment of laws or standards in relation to communication services, systems and policies</x:t>
  </x:si>
  <x:si>
    <x:t>http://id.who.int/icd/entity/657206494</x:t>
  </x:si>
  <x:si>
    <x:t>http://id.who.int/icd/release/11/beta/ichi/657206494</x:t>
  </x:si>
  <x:si>
    <x:t>UEG.WI.QE</x:t>
  </x:si>
  <x:si>
    <x:t>- - - - Restrictions through enforcement of laws or standards in relation to communication services, systems and policies</x:t>
  </x:si>
  <x:si>
    <x:t>http://id.who.int/icd/entity/2002253167</x:t>
  </x:si>
  <x:si>
    <x:t>http://id.who.int/icd/release/11/beta/ichi/2002253167</x:t>
  </x:si>
  <x:si>
    <x:t>UEG.WI.ZZ</x:t>
  </x:si>
  <x:si>
    <x:t>- - - - Restrictions through laws or standards in relation to communication services, systems and policies</x:t>
  </x:si>
  <x:si>
    <x:t>http://id.who.int/icd/entity/48328990</x:t>
  </x:si>
  <x:si>
    <x:t>http://id.who.int/icd/release/11/beta/ichi/48328990</x:t>
  </x:si>
  <x:si>
    <x:t>UEG.WJ.ZZ</x:t>
  </x:si>
  <x:si>
    <x:t>- - - - Policy change in relation to communication services, systems and policies</x:t>
  </x:si>
  <x:si>
    <x:t>http://id.who.int/icd/entity/270815017</x:t>
  </x:si>
  <x:si>
    <x:t>http://id.who.int/icd/release/11/beta/ichi/270815017</x:t>
  </x:si>
  <x:si>
    <x:t>UEH.AA.ZZ</x:t>
  </x:si>
  <x:si>
    <x:t>- - - - Assessment of transportation services, systems and policies</x:t>
  </x:si>
  <x:si>
    <x:t>http://id.who.int/icd/entity/1340481036</x:t>
  </x:si>
  <x:si>
    <x:t>http://id.who.int/icd/release/11/beta/ichi/1340481036</x:t>
  </x:si>
  <x:si>
    <x:t>UEH.PH.ZZ</x:t>
  </x:si>
  <x:si>
    <x:t>- - - - Training about transportation services, systems and policies</x:t>
  </x:si>
  <x:si>
    <x:t>http://id.who.int/icd/entity/1679520412</x:t>
  </x:si>
  <x:si>
    <x:t>http://id.who.int/icd/release/11/beta/ichi/1679520412</x:t>
  </x:si>
  <x:si>
    <x:t>UEH.PM.ZZ</x:t>
  </x:si>
  <x:si>
    <x:t>- - - - Education about aspects of transportation services, systems and policies</x:t>
  </x:si>
  <x:si>
    <x:t>http://id.who.int/icd/entity/813337957</x:t>
  </x:si>
  <x:si>
    <x:t>http://id.who.int/icd/release/11/beta/ichi/813337957</x:t>
  </x:si>
  <x:si>
    <x:t>UEH.PN.ZZ</x:t>
  </x:si>
  <x:si>
    <x:t>- - - - Advising about transportation services, systems and policies</x:t>
  </x:si>
  <x:si>
    <x:t>http://id.who.int/icd/entity/1874385992</x:t>
  </x:si>
  <x:si>
    <x:t>http://id.who.int/icd/release/11/beta/ichi/1874385992</x:t>
  </x:si>
  <x:si>
    <x:t>UEH.RB.ZZ</x:t>
  </x:si>
  <x:si>
    <x:t>- - - - Practical support about transportation services, systems and policies</x:t>
  </x:si>
  <x:si>
    <x:t>http://id.who.int/icd/entity/1069745655</x:t>
  </x:si>
  <x:si>
    <x:t>http://id.who.int/icd/release/11/beta/ichi/1069745655</x:t>
  </x:si>
  <x:si>
    <x:t>UEH.RD.ZZ</x:t>
  </x:si>
  <x:si>
    <x:t>- - - - Providing goods in relation to transportation services, systems and policies</x:t>
  </x:si>
  <x:si>
    <x:t>http://id.who.int/icd/entity/510638409</x:t>
  </x:si>
  <x:si>
    <x:t>http://id.who.int/icd/release/11/beta/ichi/510638409</x:t>
  </x:si>
  <x:si>
    <x:t>UEH.RG.ZZ</x:t>
  </x:si>
  <x:si>
    <x:t>- - - - Providing transportation services, systems and policies</x:t>
  </x:si>
  <x:si>
    <x:t>http://id.who.int/icd/entity/898815449</x:t>
  </x:si>
  <x:si>
    <x:t>http://id.who.int/icd/release/11/beta/ichi/898815449</x:t>
  </x:si>
  <x:si>
    <x:t>UEH.TA.ZZ</x:t>
  </x:si>
  <x:si>
    <x:t>- - - - Advocacy in relation to transportation services, systems and policies</x:t>
  </x:si>
  <x:si>
    <x:t>http://id.who.int/icd/entity/617739695</x:t>
  </x:si>
  <x:si>
    <x:t>http://id.who.int/icd/release/11/beta/ichi/617739695</x:t>
  </x:si>
  <x:si>
    <x:t>UEH.TB.ZZ</x:t>
  </x:si>
  <x:si>
    <x:t>- - - - Planning in relation to transportation services, systems and policies</x:t>
  </x:si>
  <x:si>
    <x:t>http://id.who.int/icd/entity/1365733852</x:t>
  </x:si>
  <x:si>
    <x:t>http://id.who.int/icd/release/11/beta/ichi/1365733852</x:t>
  </x:si>
  <x:si>
    <x:t>UEH.TD.ZZ</x:t>
  </x:si>
  <x:si>
    <x:t>- - - - Collaboration relating to transportation services, systems and policies</x:t>
  </x:si>
  <x:si>
    <x:t>http://id.who.int/icd/entity/18655341</x:t>
  </x:si>
  <x:si>
    <x:t>http://id.who.int/icd/release/11/beta/ichi/18655341</x:t>
  </x:si>
  <x:si>
    <x:t>UEH.TK.ZZ</x:t>
  </x:si>
  <x:si>
    <x:t>- - - - Public facilities or infrastructure development in relation to transportation services, systems and policies</x:t>
  </x:si>
  <x:si>
    <x:t>http://id.who.int/icd/entity/1591671118</x:t>
  </x:si>
  <x:si>
    <x:t>http://id.who.int/icd/release/11/beta/ichi/1591671118</x:t>
  </x:si>
  <x:si>
    <x:t>UEH.TM.ZZ</x:t>
  </x:si>
  <x:si>
    <x:t>- - - - Environment modification in relation to transportation services, systems and policies</x:t>
  </x:si>
  <x:si>
    <x:t>http://id.who.int/icd/entity/1965266398</x:t>
  </x:si>
  <x:si>
    <x:t>http://id.who.int/icd/release/11/beta/ichi/1965266398</x:t>
  </x:si>
  <x:si>
    <x:t>UEH.VA.ZZ</x:t>
  </x:si>
  <x:si>
    <x:t>- - - - Capacity building targeting transportation services, systems and policies</x:t>
  </x:si>
  <x:si>
    <x:t>http://id.who.int/icd/entity/1047737317</x:t>
  </x:si>
  <x:si>
    <x:t>http://id.who.int/icd/release/11/beta/ichi/1047737317</x:t>
  </x:si>
  <x:si>
    <x:t>UEH.VB.ZZ</x:t>
  </x:si>
  <x:si>
    <x:t>- - - - Awareness raising concerning transportation services, systems and policies</x:t>
  </x:si>
  <x:si>
    <x:t>http://id.who.int/icd/entity/1639015112</x:t>
  </x:si>
  <x:si>
    <x:t>http://id.who.int/icd/release/11/beta/ichi/1639015112</x:t>
  </x:si>
  <x:si>
    <x:t>UEH.VC.ZZ</x:t>
  </x:si>
  <x:si>
    <x:t>- - - - Public health surveillance concerning transportation services, systems and policies</x:t>
  </x:si>
  <x:si>
    <x:t>http://id.who.int/icd/entity/835369847</x:t>
  </x:si>
  <x:si>
    <x:t>http://id.who.int/icd/release/11/beta/ichi/835369847</x:t>
  </x:si>
  <x:si>
    <x:t>UEH.VF.ZZ</x:t>
  </x:si>
  <x:si>
    <x:t>- - - - Alert concerning transportation services, systems and policies</x:t>
  </x:si>
  <x:si>
    <x:t>http://id.who.int/icd/entity/1148993284</x:t>
  </x:si>
  <x:si>
    <x:t>http://id.who.int/icd/release/11/beta/ichi/1148993284</x:t>
  </x:si>
  <x:si>
    <x:t>UEH.VL.ZZ</x:t>
  </x:si>
  <x:si>
    <x:t>- - - - Environmental remediation in relation to transportation services, systems and policies</x:t>
  </x:si>
  <x:si>
    <x:t>http://id.who.int/icd/entity/1870746516</x:t>
  </x:si>
  <x:si>
    <x:t>http://id.who.int/icd/release/11/beta/ichi/1870746516</x:t>
  </x:si>
  <x:si>
    <x:t>UEH.VN.ZZ</x:t>
  </x:si>
  <x:si>
    <x:t>- - - - Establishing health services or health-related services in relation to transportation services, systems and policies</x:t>
  </x:si>
  <x:si>
    <x:t>http://id.who.int/icd/entity/2126672868</x:t>
  </x:si>
  <x:si>
    <x:t>http://id.who.int/icd/release/11/beta/ichi/2126672868</x:t>
  </x:si>
  <x:si>
    <x:t>UEH.VO.ZZ</x:t>
  </x:si>
  <x:si>
    <x:t>- - - - Marshalling health services or health-related services in relation to transportation services, systems and policies</x:t>
  </x:si>
  <x:si>
    <x:t>http://id.who.int/icd/entity/1680014664</x:t>
  </x:si>
  <x:si>
    <x:t>http://id.who.int/icd/release/11/beta/ichi/1680014664</x:t>
  </x:si>
  <x:si>
    <x:t>UEH.VP.ZZ</x:t>
  </x:si>
  <x:si>
    <x:t>- - - - Improving access to health services or health-related services in relation to transportation services, systems and policies</x:t>
  </x:si>
  <x:si>
    <x:t>http://id.who.int/icd/entity/878257401</x:t>
  </x:si>
  <x:si>
    <x:t>http://id.who.int/icd/release/11/beta/ichi/878257401</x:t>
  </x:si>
  <x:si>
    <x:t>UEH.VR.ZZ</x:t>
  </x:si>
  <x:si>
    <x:t>- - - - Reducing emissions from transportation services, systems and policies</x:t>
  </x:si>
  <x:si>
    <x:t>http://id.who.int/icd/entity/1805350362</x:t>
  </x:si>
  <x:si>
    <x:t>http://id.who.int/icd/release/11/beta/ichi/1805350362</x:t>
  </x:si>
  <x:si>
    <x:t>UEH.WC.ZZ</x:t>
  </x:si>
  <x:si>
    <x:t>- - - - Restrictions on the sale or distribution of products or services in relation to transportation services, systems and policies</x:t>
  </x:si>
  <x:si>
    <x:t>http://id.who.int/icd/entity/1621060472</x:t>
  </x:si>
  <x:si>
    <x:t>http://id.who.int/icd/release/11/beta/ichi/1621060472</x:t>
  </x:si>
  <x:si>
    <x:t>UEH.WD.ZZ</x:t>
  </x:si>
  <x:si>
    <x:t>- - - - Restrictions on advertising, promotion or sponsorship of products or services in relation to transportation services, systems and policies</x:t>
  </x:si>
  <x:si>
    <x:t>http://id.who.int/icd/entity/1593293728</x:t>
  </x:si>
  <x:si>
    <x:t>http://id.who.int/icd/release/11/beta/ichi/1593293728</x:t>
  </x:si>
  <x:si>
    <x:t>UEH.WE.ZZ</x:t>
  </x:si>
  <x:si>
    <x:t>- - - - Restrictions on production or importation of products or services in relation to transportation services, systems and policies</x:t>
  </x:si>
  <x:si>
    <x:t>http://id.who.int/icd/entity/20310659</x:t>
  </x:si>
  <x:si>
    <x:t>http://id.who.int/icd/release/11/beta/ichi/20310659</x:t>
  </x:si>
  <x:si>
    <x:t>UEH.WG.QF</x:t>
  </x:si>
  <x:si>
    <x:t>- - - - Economic incentives in relation to transportation services, systems and policies</x:t>
  </x:si>
  <x:si>
    <x:t>http://id.who.int/icd/entity/717784595</x:t>
  </x:si>
  <x:si>
    <x:t>http://id.who.int/icd/release/11/beta/ichi/717784595</x:t>
  </x:si>
  <x:si>
    <x:t>UEH.WG.ZZ</x:t>
  </x:si>
  <x:si>
    <x:t>- - - - Applying incentives in relation to transportation services, systems and policies</x:t>
  </x:si>
  <x:si>
    <x:t>http://id.who.int/icd/entity/301953845</x:t>
  </x:si>
  <x:si>
    <x:t>http://id.who.int/icd/release/11/beta/ichi/301953845</x:t>
  </x:si>
  <x:si>
    <x:t>UEH.WI.QD</x:t>
  </x:si>
  <x:si>
    <x:t>- - - - Restrictions through enactment of laws or standards in relation to transportation services, systems and policies</x:t>
  </x:si>
  <x:si>
    <x:t>http://id.who.int/icd/entity/1312629270</x:t>
  </x:si>
  <x:si>
    <x:t>http://id.who.int/icd/release/11/beta/ichi/1312629270</x:t>
  </x:si>
  <x:si>
    <x:t>UEH.WI.QE</x:t>
  </x:si>
  <x:si>
    <x:t>- - - - Restrictions through enforcement of laws or standards in relation to transportation services, systems and policies</x:t>
  </x:si>
  <x:si>
    <x:t>http://id.who.int/icd/entity/507968423</x:t>
  </x:si>
  <x:si>
    <x:t>http://id.who.int/icd/release/11/beta/ichi/507968423</x:t>
  </x:si>
  <x:si>
    <x:t>UEH.WI.ZZ</x:t>
  </x:si>
  <x:si>
    <x:t>- - - - Restrictions through laws or standards in relation to transportation services, systems and policies</x:t>
  </x:si>
  <x:si>
    <x:t>http://id.who.int/icd/entity/462892233</x:t>
  </x:si>
  <x:si>
    <x:t>http://id.who.int/icd/release/11/beta/ichi/462892233</x:t>
  </x:si>
  <x:si>
    <x:t>UEH.WJ.ZZ</x:t>
  </x:si>
  <x:si>
    <x:t>- - - - Policy change in relation to transportation services, systems and policies</x:t>
  </x:si>
  <x:si>
    <x:t>http://id.who.int/icd/entity/319467378</x:t>
  </x:si>
  <x:si>
    <x:t>http://id.who.int/icd/release/11/beta/ichi/319467378</x:t>
  </x:si>
  <x:si>
    <x:t>UEI.AA.ZZ</x:t>
  </x:si>
  <x:si>
    <x:t>- - - - Assessment of civil protection services, systems and policies, not elsewhere classified</x:t>
  </x:si>
  <x:si>
    <x:t>http://id.who.int/icd/entity/955761634</x:t>
  </x:si>
  <x:si>
    <x:t>http://id.who.int/icd/release/11/beta/ichi/955761634</x:t>
  </x:si>
  <x:si>
    <x:t>UEI.PH.ZZ</x:t>
  </x:si>
  <x:si>
    <x:t>- - - - Training about civil protection services, systems and policies, not elsewhere classified</x:t>
  </x:si>
  <x:si>
    <x:t>http://id.who.int/icd/entity/1086859864</x:t>
  </x:si>
  <x:si>
    <x:t>http://id.who.int/icd/release/11/beta/ichi/1086859864</x:t>
  </x:si>
  <x:si>
    <x:t>UEI.PM.ZZ</x:t>
  </x:si>
  <x:si>
    <x:t>- - - - Education about aspects of civil protection services, systems and policies, not elsewhere classified</x:t>
  </x:si>
  <x:si>
    <x:t>http://id.who.int/icd/entity/520780661</x:t>
  </x:si>
  <x:si>
    <x:t>http://id.who.int/icd/release/11/beta/ichi/520780661</x:t>
  </x:si>
  <x:si>
    <x:t>UEI.PN.ZZ</x:t>
  </x:si>
  <x:si>
    <x:t>- - - - Advising about civil protection services, systems and policies, not elsewhere classified</x:t>
  </x:si>
  <x:si>
    <x:t>http://id.who.int/icd/entity/1332847302</x:t>
  </x:si>
  <x:si>
    <x:t>http://id.who.int/icd/release/11/beta/ichi/1332847302</x:t>
  </x:si>
  <x:si>
    <x:t>UEI.RB.ZZ</x:t>
  </x:si>
  <x:si>
    <x:t>- - - - Practical support about civil protection services, systems and policies, not elsewhere classified</x:t>
  </x:si>
  <x:si>
    <x:t>http://id.who.int/icd/entity/986130103</x:t>
  </x:si>
  <x:si>
    <x:t>http://id.who.int/icd/release/11/beta/ichi/986130103</x:t>
  </x:si>
  <x:si>
    <x:t>UEI.RD.ZZ</x:t>
  </x:si>
  <x:si>
    <x:t>- - - - Providing goods in relation to civil protection services, systems and policies, not elsewhere classified</x:t>
  </x:si>
  <x:si>
    <x:t>http://id.who.int/icd/entity/289032743</x:t>
  </x:si>
  <x:si>
    <x:t>http://id.who.int/icd/release/11/beta/ichi/289032743</x:t>
  </x:si>
  <x:si>
    <x:t>UEI.RG.ZZ</x:t>
  </x:si>
  <x:si>
    <x:t>- - - - Providing civil protection services, systems and policies, not elsewhere classified</x:t>
  </x:si>
  <x:si>
    <x:t>http://id.who.int/icd/entity/7957073</x:t>
  </x:si>
  <x:si>
    <x:t>http://id.who.int/icd/release/11/beta/ichi/7957073</x:t>
  </x:si>
  <x:si>
    <x:t>UEI.TA.ZZ</x:t>
  </x:si>
  <x:si>
    <x:t>- - - - Advocacy in relation to civil protection services, systems and policies, not elsewhere classified</x:t>
  </x:si>
  <x:si>
    <x:t>http://id.who.int/icd/entity/94944575</x:t>
  </x:si>
  <x:si>
    <x:t>http://id.who.int/icd/release/11/beta/ichi/94944575</x:t>
  </x:si>
  <x:si>
    <x:t>UEI.TB.ZZ</x:t>
  </x:si>
  <x:si>
    <x:t>- - - - Planning in relation to civil protection services, systems and policies, not elsewhere classified</x:t>
  </x:si>
  <x:si>
    <x:t>http://id.who.int/icd/entity/1439917200</x:t>
  </x:si>
  <x:si>
    <x:t>http://id.who.int/icd/release/11/beta/ichi/1439917200</x:t>
  </x:si>
  <x:si>
    <x:t>UEI.TD.ZZ</x:t>
  </x:si>
  <x:si>
    <x:t>- - - - Collaboration relating to civil protection services, systems and policies, not elsewhere classified</x:t>
  </x:si>
  <x:si>
    <x:t>http://id.who.int/icd/entity/168900013</x:t>
  </x:si>
  <x:si>
    <x:t>http://id.who.int/icd/release/11/beta/ichi/168900013</x:t>
  </x:si>
  <x:si>
    <x:t>UEI.TK.ZZ</x:t>
  </x:si>
  <x:si>
    <x:t>- - - - Public facilities or infrastructure development in relation to civil protection services, systems and policies, not elsewhere classified</x:t>
  </x:si>
  <x:si>
    <x:t>http://id.who.int/icd/entity/569137469</x:t>
  </x:si>
  <x:si>
    <x:t>http://id.who.int/icd/release/11/beta/ichi/569137469</x:t>
  </x:si>
  <x:si>
    <x:t>UEI.TM.ZZ</x:t>
  </x:si>
  <x:si>
    <x:t>- - - - Environment modification in relation to civil protection services, systems and policies, not elsewhere classified</x:t>
  </x:si>
  <x:si>
    <x:t>http://id.who.int/icd/entity/450604059</x:t>
  </x:si>
  <x:si>
    <x:t>http://id.who.int/icd/release/11/beta/ichi/450604059</x:t>
  </x:si>
  <x:si>
    <x:t>UEI.VA.ZZ</x:t>
  </x:si>
  <x:si>
    <x:t>- - - - Capacity building targeting civil protection services, systems and policies, not elsewhere classified</x:t>
  </x:si>
  <x:si>
    <x:t>http://id.who.int/icd/entity/1159331130</x:t>
  </x:si>
  <x:si>
    <x:t>http://id.who.int/icd/release/11/beta/ichi/1159331130</x:t>
  </x:si>
  <x:si>
    <x:t>UEI.VB.ZZ</x:t>
  </x:si>
  <x:si>
    <x:t>- - - - Awareness raising concerning civil protection services, systems and policies, not elsewhere classified</x:t>
  </x:si>
  <x:si>
    <x:t>http://id.who.int/icd/entity/358753417</x:t>
  </x:si>
  <x:si>
    <x:t>http://id.who.int/icd/release/11/beta/ichi/358753417</x:t>
  </x:si>
  <x:si>
    <x:t>UEI.VC.ZZ</x:t>
  </x:si>
  <x:si>
    <x:t>- - - - Public health surveillance concerning civil protection services, systems and policies, not elsewhere classified</x:t>
  </x:si>
  <x:si>
    <x:t>http://id.who.int/icd/entity/260221475</x:t>
  </x:si>
  <x:si>
    <x:t>http://id.who.int/icd/release/11/beta/ichi/260221475</x:t>
  </x:si>
  <x:si>
    <x:t>UEI.VF.ZZ</x:t>
  </x:si>
  <x:si>
    <x:t>- - - - Alert concerning civil protection services, systems and policies, not elsewhere classified</x:t>
  </x:si>
  <x:si>
    <x:t>http://id.who.int/icd/entity/612353715</x:t>
  </x:si>
  <x:si>
    <x:t>http://id.who.int/icd/release/11/beta/ichi/612353715</x:t>
  </x:si>
  <x:si>
    <x:t>UEI.VL.ZZ</x:t>
  </x:si>
  <x:si>
    <x:t>- - - - Environmental remediation in relation to civil protection services, systems and policies, not elsewhere classified</x:t>
  </x:si>
  <x:si>
    <x:t>http://id.who.int/icd/entity/893183685</x:t>
  </x:si>
  <x:si>
    <x:t>http://id.who.int/icd/release/11/beta/ichi/893183685</x:t>
  </x:si>
  <x:si>
    <x:t>UEI.VN.ZZ</x:t>
  </x:si>
  <x:si>
    <x:t>- - - - Establishing health services or health-related services in relation to civil protection services, systems and policies, not elsewhere classified</x:t>
  </x:si>
  <x:si>
    <x:t>http://id.who.int/icd/entity/5253311</x:t>
  </x:si>
  <x:si>
    <x:t>http://id.who.int/icd/release/11/beta/ichi/5253311</x:t>
  </x:si>
  <x:si>
    <x:t>UEI.VO.ZZ</x:t>
  </x:si>
  <x:si>
    <x:t>- - - - Marshalling health services or health-related services in relation to civil protection services, systems and policies, not elsewhere classified</x:t>
  </x:si>
  <x:si>
    <x:t>http://id.who.int/icd/entity/1345057040</x:t>
  </x:si>
  <x:si>
    <x:t>http://id.who.int/icd/release/11/beta/ichi/1345057040</x:t>
  </x:si>
  <x:si>
    <x:t>UEI.VP.ZZ</x:t>
  </x:si>
  <x:si>
    <x:t>- - - - Improving access to health services or health-related services in relation to civil protection services, systems and policies, not elsewhere classified</x:t>
  </x:si>
  <x:si>
    <x:t>http://id.who.int/icd/entity/266969133</x:t>
  </x:si>
  <x:si>
    <x:t>http://id.who.int/icd/release/11/beta/ichi/266969133</x:t>
  </x:si>
  <x:si>
    <x:t>UEI.VR.ZZ</x:t>
  </x:si>
  <x:si>
    <x:t>- - - - Reducing emissions from civil protection services, systems and policies, not elsewhere classified</x:t>
  </x:si>
  <x:si>
    <x:t>http://id.who.int/icd/entity/605342909</x:t>
  </x:si>
  <x:si>
    <x:t>http://id.who.int/icd/release/11/beta/ichi/605342909</x:t>
  </x:si>
  <x:si>
    <x:t>UEI.WC.ZZ</x:t>
  </x:si>
  <x:si>
    <x:t>- - - - Restrictions on the sale or distribution of products or services in relation to civil protection services, systems and policies, not elsewhere classified</x:t>
  </x:si>
  <x:si>
    <x:t>http://id.who.int/icd/entity/522402203</x:t>
  </x:si>
  <x:si>
    <x:t>http://id.who.int/icd/release/11/beta/ichi/522402203</x:t>
  </x:si>
  <x:si>
    <x:t>UEI.WD.ZZ</x:t>
  </x:si>
  <x:si>
    <x:t>- - - - Restrictions on advertising, promotion or sponsorship of products or services in relation to civil protection services, systems and policies, not elsewhere classified</x:t>
  </x:si>
  <x:si>
    <x:t>http://id.who.int/icd/entity/1088514234</x:t>
  </x:si>
  <x:si>
    <x:t>http://id.who.int/icd/release/11/beta/ichi/1088514234</x:t>
  </x:si>
  <x:si>
    <x:t>UEI.WE.ZZ</x:t>
  </x:si>
  <x:si>
    <x:t>- - - - Restrictions on production or importation of products or services in relation to civil protection services, systems and policies, not elsewhere classified</x:t>
  </x:si>
  <x:si>
    <x:t>http://id.who.int/icd/entity/278573321</x:t>
  </x:si>
  <x:si>
    <x:t>http://id.who.int/icd/release/11/beta/ichi/278573321</x:t>
  </x:si>
  <x:si>
    <x:t>UEI.WG.QF</x:t>
  </x:si>
  <x:si>
    <x:t>- - - - Economic incentives in relation to civil protection services, systems and policies, not elsewhere classified</x:t>
  </x:si>
  <x:si>
    <x:t>http://id.who.int/icd/entity/357262951</x:t>
  </x:si>
  <x:si>
    <x:t>http://id.who.int/icd/release/11/beta/ichi/357262951</x:t>
  </x:si>
  <x:si>
    <x:t>UEI.WG.ZZ</x:t>
  </x:si>
  <x:si>
    <x:t>- - - - Applying incentives in relation to civil protection services, systems and policies, not elsewhere classified</x:t>
  </x:si>
  <x:si>
    <x:t>http://id.who.int/icd/entity/1052117751</x:t>
  </x:si>
  <x:si>
    <x:t>http://id.who.int/icd/release/11/beta/ichi/1052117751</x:t>
  </x:si>
  <x:si>
    <x:t>UEI.WI.QD</x:t>
  </x:si>
  <x:si>
    <x:t>- - - - Restrictions through enactment of laws or standards in relation to civil protection services, systems and policies, not elsewhere classified</x:t>
  </x:si>
  <x:si>
    <x:t>http://id.who.int/icd/entity/804596353</x:t>
  </x:si>
  <x:si>
    <x:t>http://id.who.int/icd/release/11/beta/ichi/804596353</x:t>
  </x:si>
  <x:si>
    <x:t>UEI.WI.QE</x:t>
  </x:si>
  <x:si>
    <x:t>- - - - Restrictions through enforcement of laws or standards in relation to civil protection services, systems and policies, not elsewhere classified</x:t>
  </x:si>
  <x:si>
    <x:t>http://id.who.int/icd/entity/1514385140</x:t>
  </x:si>
  <x:si>
    <x:t>http://id.who.int/icd/release/11/beta/ichi/1514385140</x:t>
  </x:si>
  <x:si>
    <x:t>UEI.WI.ZZ</x:t>
  </x:si>
  <x:si>
    <x:t>- - - - Restrictions through laws or standards in relation to civil protection services, systems and policies, not elsewhere classified</x:t>
  </x:si>
  <x:si>
    <x:t>http://id.who.int/icd/entity/171472707</x:t>
  </x:si>
  <x:si>
    <x:t>http://id.who.int/icd/release/11/beta/ichi/171472707</x:t>
  </x:si>
  <x:si>
    <x:t>UEI.WJ.ZZ</x:t>
  </x:si>
  <x:si>
    <x:t>- - - - Policy change in relation to civil protection services, systems and policies, not elsewhere classified</x:t>
  </x:si>
  <x:si>
    <x:t>http://id.who.int/icd/entity/392344806</x:t>
  </x:si>
  <x:si>
    <x:t>http://id.who.int/icd/release/11/beta/ichi/392344806</x:t>
  </x:si>
  <x:si>
    <x:t>UEJ.AA.ZZ</x:t>
  </x:si>
  <x:si>
    <x:t>- - - - Assessment of legal services, systems and policies</x:t>
  </x:si>
  <x:si>
    <x:t>http://id.who.int/icd/entity/1218504133</x:t>
  </x:si>
  <x:si>
    <x:t>http://id.who.int/icd/release/11/beta/ichi/1218504133</x:t>
  </x:si>
  <x:si>
    <x:t>UEJ.PH.ZZ</x:t>
  </x:si>
  <x:si>
    <x:t>- - - - Training about legal services, systems and policies</x:t>
  </x:si>
  <x:si>
    <x:t>http://id.who.int/icd/entity/1667074389</x:t>
  </x:si>
  <x:si>
    <x:t>http://id.who.int/icd/release/11/beta/ichi/1667074389</x:t>
  </x:si>
  <x:si>
    <x:t>UEJ.PM.ZZ</x:t>
  </x:si>
  <x:si>
    <x:t>- - - - Education about aspects of legal services, systems and policies</x:t>
  </x:si>
  <x:si>
    <x:t>http://id.who.int/icd/entity/926709418</x:t>
  </x:si>
  <x:si>
    <x:t>http://id.who.int/icd/release/11/beta/ichi/926709418</x:t>
  </x:si>
  <x:si>
    <x:t>UEJ.PN.ZZ</x:t>
  </x:si>
  <x:si>
    <x:t>- - - - Advising about legal services, systems and policies</x:t>
  </x:si>
  <x:si>
    <x:t>http://id.who.int/icd/entity/1761486729</x:t>
  </x:si>
  <x:si>
    <x:t>http://id.who.int/icd/release/11/beta/ichi/1761486729</x:t>
  </x:si>
  <x:si>
    <x:t>UEJ.RB.ZZ</x:t>
  </x:si>
  <x:si>
    <x:t>- - - - Practical support about legal services, systems and policies</x:t>
  </x:si>
  <x:si>
    <x:t>http://id.who.int/icd/entity/948305464</x:t>
  </x:si>
  <x:si>
    <x:t>http://id.who.int/icd/release/11/beta/ichi/948305464</x:t>
  </x:si>
  <x:si>
    <x:t>UEJ.RD.ZZ</x:t>
  </x:si>
  <x:si>
    <x:t>- - - - Providing goods in relation to legal services, systems and policies</x:t>
  </x:si>
  <x:si>
    <x:t>http://id.who.int/icd/entity/233386050</x:t>
  </x:si>
  <x:si>
    <x:t>http://id.who.int/icd/release/11/beta/ichi/233386050</x:t>
  </x:si>
  <x:si>
    <x:t>UEJ.RG.ZZ</x:t>
  </x:si>
  <x:si>
    <x:t>- - - - Providing legal services, systems and policies</x:t>
  </x:si>
  <x:si>
    <x:t>http://id.who.int/icd/entity/638868690</x:t>
  </x:si>
  <x:si>
    <x:t>http://id.who.int/icd/release/11/beta/ichi/638868690</x:t>
  </x:si>
  <x:si>
    <x:t>UEJ.TA.ZZ</x:t>
  </x:si>
  <x:si>
    <x:t>- - - - Advocacy in relation to legal services, systems and policies</x:t>
  </x:si>
  <x:si>
    <x:t>http://id.who.int/icd/entity/928480422</x:t>
  </x:si>
  <x:si>
    <x:t>http://id.who.int/icd/release/11/beta/ichi/928480422</x:t>
  </x:si>
  <x:si>
    <x:t>UEJ.TB.ZZ</x:t>
  </x:si>
  <x:si>
    <x:t>- - - - Planning in relation to legal services, systems and policies</x:t>
  </x:si>
  <x:si>
    <x:t>http://id.who.int/icd/entity/1122105559</x:t>
  </x:si>
  <x:si>
    <x:t>http://id.who.int/icd/release/11/beta/ichi/1122105559</x:t>
  </x:si>
  <x:si>
    <x:t>UEJ.TD.ZZ</x:t>
  </x:si>
  <x:si>
    <x:t>- - - - Collaboration relating to legal services, systems and policies</x:t>
  </x:si>
  <x:si>
    <x:t>http://id.who.int/icd/entity/312090982</x:t>
  </x:si>
  <x:si>
    <x:t>http://id.who.int/icd/release/11/beta/ichi/312090982</x:t>
  </x:si>
  <x:si>
    <x:t>UEJ.TK.ZZ</x:t>
  </x:si>
  <x:si>
    <x:t>- - - - Public facilities or infrastructure development in relation to legal services, systems and policies</x:t>
  </x:si>
  <x:si>
    <x:t>http://id.who.int/icd/entity/1297641541</x:t>
  </x:si>
  <x:si>
    <x:t>http://id.who.int/icd/release/11/beta/ichi/1297641541</x:t>
  </x:si>
  <x:si>
    <x:t>UEJ.TM.ZZ</x:t>
  </x:si>
  <x:si>
    <x:t>- - - - Environment modification in relation to legal services, systems and policies</x:t>
  </x:si>
  <x:si>
    <x:t>http://id.who.int/icd/entity/1722096853</x:t>
  </x:si>
  <x:si>
    <x:t>http://id.who.int/icd/release/11/beta/ichi/1722096853</x:t>
  </x:si>
  <x:si>
    <x:t>UEJ.VA.ZZ</x:t>
  </x:si>
  <x:si>
    <x:t>- - - - Capacity building targeting legal services, systems and policies</x:t>
  </x:si>
  <x:si>
    <x:t>http://id.who.int/icd/entity/771078896</x:t>
  </x:si>
  <x:si>
    <x:t>http://id.who.int/icd/release/11/beta/ichi/771078896</x:t>
  </x:si>
  <x:si>
    <x:t>UEJ.VB.ZZ</x:t>
  </x:si>
  <x:si>
    <x:t>- - - - Awareness raising concerning legal services, systems and policies</x:t>
  </x:si>
  <x:si>
    <x:t>http://id.who.int/icd/entity/1916267469</x:t>
  </x:si>
  <x:si>
    <x:t>http://id.who.int/icd/release/11/beta/ichi/1916267469</x:t>
  </x:si>
  <x:si>
    <x:t>UEJ.VC.ZZ</x:t>
  </x:si>
  <x:si>
    <x:t>- - - - Public health surveillance concerning legal services, systems and policies</x:t>
  </x:si>
  <x:si>
    <x:t>http://id.who.int/icd/entity/575419006</x:t>
  </x:si>
  <x:si>
    <x:t>http://id.who.int/icd/release/11/beta/ichi/575419006</x:t>
  </x:si>
  <x:si>
    <x:t>UEJ.VF.ZZ</x:t>
  </x:si>
  <x:si>
    <x:t>- - - - Alert concerning legal services, systems and policies</x:t>
  </x:si>
  <x:si>
    <x:t>http://id.who.int/icd/entity/1476048399</x:t>
  </x:si>
  <x:si>
    <x:t>http://id.who.int/icd/release/11/beta/ichi/1476048399</x:t>
  </x:si>
  <x:si>
    <x:t>UEJ.VL.ZZ</x:t>
  </x:si>
  <x:si>
    <x:t>- - - - Environmental remediation in relation to legal services, systems and policies</x:t>
  </x:si>
  <x:si>
    <x:t>http://id.who.int/icd/entity/2080889503</x:t>
  </x:si>
  <x:si>
    <x:t>http://id.who.int/icd/release/11/beta/ichi/2080889503</x:t>
  </x:si>
  <x:si>
    <x:t>UEJ.VN.ZZ</x:t>
  </x:si>
  <x:si>
    <x:t>- - - - Establishing health services or health-related services in relation to legal services, systems and policies</x:t>
  </x:si>
  <x:si>
    <x:t>http://id.who.int/icd/entity/1833237225</x:t>
  </x:si>
  <x:si>
    <x:t>http://id.who.int/icd/release/11/beta/ichi/1833237225</x:t>
  </x:si>
  <x:si>
    <x:t>UEJ.VO.ZZ</x:t>
  </x:si>
  <x:si>
    <x:t>- - - - Marshalling health services or health-related services in relation to legal services, systems and policies</x:t>
  </x:si>
  <x:si>
    <x:t>http://id.who.int/icd/entity/2007266371</x:t>
  </x:si>
  <x:si>
    <x:t>http://id.who.int/icd/release/11/beta/ichi/2007266371</x:t>
  </x:si>
  <x:si>
    <x:t>UEJ.VP.ZZ</x:t>
  </x:si>
  <x:si>
    <x:t>- - - - Improving access to health services or health-related services in relation to legal services, systems and policies</x:t>
  </x:si>
  <x:si>
    <x:t>http://id.who.int/icd/entity/668970482</x:t>
  </x:si>
  <x:si>
    <x:t>http://id.who.int/icd/release/11/beta/ichi/668970482</x:t>
  </x:si>
  <x:si>
    <x:t>UEJ.VR.ZZ</x:t>
  </x:si>
  <x:si>
    <x:t>- - - - Reducing emissions from legal services, systems and policies</x:t>
  </x:si>
  <x:si>
    <x:t>http://id.who.int/icd/entity/2015231185</x:t>
  </x:si>
  <x:si>
    <x:t>http://id.who.int/icd/release/11/beta/ichi/2015231185</x:t>
  </x:si>
  <x:si>
    <x:t>UEJ.WC.ZZ</x:t>
  </x:si>
  <x:si>
    <x:t>- - - - Restrictions on the sale or distribution of products or services in relation to legal services, systems and policies</x:t>
  </x:si>
  <x:si>
    <x:t>http://id.who.int/icd/entity/1407225921</x:t>
  </x:si>
  <x:si>
    <x:t>http://id.who.int/icd/release/11/beta/ichi/1407225921</x:t>
  </x:si>
  <x:si>
    <x:t>UEJ.WD.ZZ</x:t>
  </x:si>
  <x:si>
    <x:t>- - - - Restrictions on advertising, promotion or sponsorship of products or services in relation to legal services, systems and policies</x:t>
  </x:si>
  <x:si>
    <x:t>http://id.who.int/icd/entity/1020091818</x:t>
  </x:si>
  <x:si>
    <x:t>http://id.who.int/icd/release/11/beta/ichi/1020091818</x:t>
  </x:si>
  <x:si>
    <x:t>UEJ.WE.ZZ</x:t>
  </x:si>
  <x:si>
    <x:t>- - - - Restrictions on production or importation of products or services in relation to legal services, systems and policies</x:t>
  </x:si>
  <x:si>
    <x:t>http://id.who.int/icd/entity/1661930633</x:t>
  </x:si>
  <x:si>
    <x:t>http://id.who.int/icd/release/11/beta/ichi/1661930633</x:t>
  </x:si>
  <x:si>
    <x:t>UEJ.WG.QF</x:t>
  </x:si>
  <x:si>
    <x:t>- - - - Economic incentives in relation to legal services, systems and policies</x:t>
  </x:si>
  <x:si>
    <x:t>http://id.who.int/icd/entity/863294776</x:t>
  </x:si>
  <x:si>
    <x:t>http://id.who.int/icd/release/11/beta/ichi/863294776</x:t>
  </x:si>
  <x:si>
    <x:t>UEJ.WG.ZZ</x:t>
  </x:si>
  <x:si>
    <x:t>- - - - Applying incentives in relation to legal services, systems and policies</x:t>
  </x:si>
  <x:si>
    <x:t>http://id.who.int/icd/entity/1187139915</x:t>
  </x:si>
  <x:si>
    <x:t>http://id.who.int/icd/release/11/beta/ichi/1187139915</x:t>
  </x:si>
  <x:si>
    <x:t>UEJ.WI.QD</x:t>
  </x:si>
  <x:si>
    <x:t>- - - - Restrictions through enactment of laws or standards in relation to legal services, systems and policies</x:t>
  </x:si>
  <x:si>
    <x:t>http://id.who.int/icd/entity/1832861147</x:t>
  </x:si>
  <x:si>
    <x:t>http://id.who.int/icd/release/11/beta/ichi/1832861147</x:t>
  </x:si>
  <x:si>
    <x:t>UEJ.WI.QE</x:t>
  </x:si>
  <x:si>
    <x:t>- - - - Restrictions through enforcement of laws or standards in relation to legal services, systems and policies</x:t>
  </x:si>
  <x:si>
    <x:t>http://id.who.int/icd/entity/2088508845</x:t>
  </x:si>
  <x:si>
    <x:t>http://id.who.int/icd/release/11/beta/ichi/2088508845</x:t>
  </x:si>
  <x:si>
    <x:t>UEJ.WI.ZZ</x:t>
  </x:si>
  <x:si>
    <x:t>- - - - Restrictions through laws or standards in relation to legal services, systems and policies</x:t>
  </x:si>
  <x:si>
    <x:t>http://id.who.int/icd/entity/2041432771</x:t>
  </x:si>
  <x:si>
    <x:t>http://id.who.int/icd/release/11/beta/ichi/2041432771</x:t>
  </x:si>
  <x:si>
    <x:t>UEJ.WJ.ZZ</x:t>
  </x:si>
  <x:si>
    <x:t>- - - - Policy change in relation to legal services, systems and policies</x:t>
  </x:si>
  <x:si>
    <x:t>http://id.who.int/icd/entity/2120209118</x:t>
  </x:si>
  <x:si>
    <x:t>http://id.who.int/icd/release/11/beta/ichi/2120209118</x:t>
  </x:si>
  <x:si>
    <x:t>UEK.AA.ZZ</x:t>
  </x:si>
  <x:si>
    <x:t>- - - - Assessment of associations and organisational services, systems and policies</x:t>
  </x:si>
  <x:si>
    <x:t>http://id.who.int/icd/entity/292691765</x:t>
  </x:si>
  <x:si>
    <x:t>http://id.who.int/icd/release/11/beta/ichi/292691765</x:t>
  </x:si>
  <x:si>
    <x:t>UEK.PH.ZZ</x:t>
  </x:si>
  <x:si>
    <x:t>- - - - Training about associations and organisational services, systems and policies</x:t>
  </x:si>
  <x:si>
    <x:t>http://id.who.int/icd/entity/1320177174</x:t>
  </x:si>
  <x:si>
    <x:t>http://id.who.int/icd/release/11/beta/ichi/1320177174</x:t>
  </x:si>
  <x:si>
    <x:t>UEK.PM.ZZ</x:t>
  </x:si>
  <x:si>
    <x:t>- - - - Education about aspects of associations and organisational services, systems and policies</x:t>
  </x:si>
  <x:si>
    <x:t>http://id.who.int/icd/entity/516659111</x:t>
  </x:si>
  <x:si>
    <x:t>http://id.who.int/icd/release/11/beta/ichi/516659111</x:t>
  </x:si>
  <x:si>
    <x:t>UEK.PN.ZZ</x:t>
  </x:si>
  <x:si>
    <x:t>- - - - Advising about associations and organisational services, systems and policies</x:t>
  </x:si>
  <x:si>
    <x:t>http://id.who.int/icd/entity/1803359190</x:t>
  </x:si>
  <x:si>
    <x:t>http://id.who.int/icd/release/11/beta/ichi/1803359190</x:t>
  </x:si>
  <x:si>
    <x:t>UEK.RB.ZZ</x:t>
  </x:si>
  <x:si>
    <x:t>- - - - Practical support about associations and organisational services, systems and policies</x:t>
  </x:si>
  <x:si>
    <x:t>http://id.who.int/icd/entity/1082163014</x:t>
  </x:si>
  <x:si>
    <x:t>http://id.who.int/icd/release/11/beta/ichi/1082163014</x:t>
  </x:si>
  <x:si>
    <x:t>UEK.RD.ZZ</x:t>
  </x:si>
  <x:si>
    <x:t>- - - - Providing goods in relation to associations and organisational services, systems and policies</x:t>
  </x:si>
  <x:si>
    <x:t>http://id.who.int/icd/entity/1371758386</x:t>
  </x:si>
  <x:si>
    <x:t>http://id.who.int/icd/release/11/beta/ichi/1371758386</x:t>
  </x:si>
  <x:si>
    <x:t>UEK.RG.ZZ</x:t>
  </x:si>
  <x:si>
    <x:t>- - - - Providing associations and organisational services, systems and policies</x:t>
  </x:si>
  <x:si>
    <x:t>http://id.who.int/icd/entity/1410500700</x:t>
  </x:si>
  <x:si>
    <x:t>http://id.who.int/icd/release/11/beta/ichi/1410500700</x:t>
  </x:si>
  <x:si>
    <x:t>UEK.TA.ZZ</x:t>
  </x:si>
  <x:si>
    <x:t>- - - - Advocacy in relation to associations and organisational services, systems and policies</x:t>
  </x:si>
  <x:si>
    <x:t>http://id.who.int/icd/entity/74011117</x:t>
  </x:si>
  <x:si>
    <x:t>http://id.who.int/icd/release/11/beta/ichi/74011117</x:t>
  </x:si>
  <x:si>
    <x:t>UEK.TB.ZZ</x:t>
  </x:si>
  <x:si>
    <x:t>- - - - Planning in relation to associations and organisational services, systems and policies</x:t>
  </x:si>
  <x:si>
    <x:t>http://id.who.int/icd/entity/1537933518</x:t>
  </x:si>
  <x:si>
    <x:t>http://id.who.int/icd/release/11/beta/ichi/1537933518</x:t>
  </x:si>
  <x:si>
    <x:t>UEK.TD.ZZ</x:t>
  </x:si>
  <x:si>
    <x:t>- - - - Collaboration relating to associations and organisational services, systems and policies</x:t>
  </x:si>
  <x:si>
    <x:t>http://id.who.int/icd/entity/1884712030</x:t>
  </x:si>
  <x:si>
    <x:t>http://id.who.int/icd/release/11/beta/ichi/1884712030</x:t>
  </x:si>
  <x:si>
    <x:t>UEK.TK.ZZ</x:t>
  </x:si>
  <x:si>
    <x:t>- - - - Public facilities or infrastructure development in relation to associations and organisational services, systems and policies</x:t>
  </x:si>
  <x:si>
    <x:t>http://id.who.int/icd/entity/1264687480</x:t>
  </x:si>
  <x:si>
    <x:t>http://id.who.int/icd/release/11/beta/ichi/1264687480</x:t>
  </x:si>
  <x:si>
    <x:t>UEK.TM.ZZ</x:t>
  </x:si>
  <x:si>
    <x:t>- - - - Environment modification in relation to associations and organisational services, systems and policies</x:t>
  </x:si>
  <x:si>
    <x:t>http://id.who.int/icd/entity/346277979</x:t>
  </x:si>
  <x:si>
    <x:t>http://id.who.int/icd/release/11/beta/ichi/346277979</x:t>
  </x:si>
  <x:si>
    <x:t>UEK.VA.ZZ</x:t>
  </x:si>
  <x:si>
    <x:t>- - - - Capacity building targeting associations and organisational services, systems and policies</x:t>
  </x:si>
  <x:si>
    <x:t>http://id.who.int/icd/entity/1155011050</x:t>
  </x:si>
  <x:si>
    <x:t>http://id.who.int/icd/release/11/beta/ichi/1155011050</x:t>
  </x:si>
  <x:si>
    <x:t>UEK.VB.ZZ</x:t>
  </x:si>
  <x:si>
    <x:t>- - - - Awareness raising concerning associations and organisational services, systems and policies</x:t>
  </x:si>
  <x:si>
    <x:t>http://id.who.int/icd/entity/1580769090</x:t>
  </x:si>
  <x:si>
    <x:t>http://id.who.int/icd/release/11/beta/ichi/1580769090</x:t>
  </x:si>
  <x:si>
    <x:t>UEK.VC.ZZ</x:t>
  </x:si>
  <x:si>
    <x:t>- - - - Public health surveillance concerning associations and organisational services, systems and policies</x:t>
  </x:si>
  <x:si>
    <x:t>http://id.who.int/icd/entity/1975907282</x:t>
  </x:si>
  <x:si>
    <x:t>http://id.who.int/icd/release/11/beta/ichi/1975907282</x:t>
  </x:si>
  <x:si>
    <x:t>UEK.VF.ZZ</x:t>
  </x:si>
  <x:si>
    <x:t>- - - - Alert concerning associations and organisational services, systems and policies</x:t>
  </x:si>
  <x:si>
    <x:t>http://id.who.int/icd/entity/1686557606</x:t>
  </x:si>
  <x:si>
    <x:t>http://id.who.int/icd/release/11/beta/ichi/1686557606</x:t>
  </x:si>
  <x:si>
    <x:t>UEK.VL.ZZ</x:t>
  </x:si>
  <x:si>
    <x:t>- - - - Environmental remediation in relation to associations and organisational services, systems and policies</x:t>
  </x:si>
  <x:si>
    <x:t>http://id.who.int/icd/entity/1374297564</x:t>
  </x:si>
  <x:si>
    <x:t>http://id.who.int/icd/release/11/beta/ichi/1374297564</x:t>
  </x:si>
  <x:si>
    <x:t>UEK.VN.ZZ</x:t>
  </x:si>
  <x:si>
    <x:t>- - - - Establishing health services or health-related services in relation to associations and organisational services, systems and policies</x:t>
  </x:si>
  <x:si>
    <x:t>http://id.who.int/icd/entity/26330221</x:t>
  </x:si>
  <x:si>
    <x:t>http://id.who.int/icd/release/11/beta/ichi/26330221</x:t>
  </x:si>
  <x:si>
    <x:t>UEK.VO.ZZ</x:t>
  </x:si>
  <x:si>
    <x:t>- - - - Marshalling health services or health-related services in relation to associations and organisational services, systems and policies</x:t>
  </x:si>
  <x:si>
    <x:t>http://id.who.int/icd/entity/1582536014</x:t>
  </x:si>
  <x:si>
    <x:t>http://id.who.int/icd/release/11/beta/ichi/1582536014</x:t>
  </x:si>
  <x:si>
    <x:t>UEK.VP.ZZ</x:t>
  </x:si>
  <x:si>
    <x:t>- - - - Improving access to health services or health-related services in relation to associations and organisational services, systems and policies</x:t>
  </x:si>
  <x:si>
    <x:t>http://id.who.int/icd/entity/1974401502</x:t>
  </x:si>
  <x:si>
    <x:t>http://id.who.int/icd/release/11/beta/ichi/1974401502</x:t>
  </x:si>
  <x:si>
    <x:t>UEK.VR.ZZ</x:t>
  </x:si>
  <x:si>
    <x:t>- - - - Reducing emissions from associations and organisational services, systems and policies</x:t>
  </x:si>
  <x:si>
    <x:t>http://id.who.int/icd/entity/1318653176</x:t>
  </x:si>
  <x:si>
    <x:t>http://id.who.int/icd/release/11/beta/ichi/1318653176</x:t>
  </x:si>
  <x:si>
    <x:t>UEK.WC.ZZ</x:t>
  </x:si>
  <x:si>
    <x:t>- - - - Restrictions on the sale or distribution of products or services in relation to associations and organisational services, systems and policies</x:t>
  </x:si>
  <x:si>
    <x:t>http://id.who.int/icd/entity/291200475</x:t>
  </x:si>
  <x:si>
    <x:t>http://id.who.int/icd/release/11/beta/ichi/291200475</x:t>
  </x:si>
  <x:si>
    <x:t>UEK.WD.ZZ</x:t>
  </x:si>
  <x:si>
    <x:t>- - - - Restrictions on advertising, promotion or sponsorship of products or services in relation to associations and organisational services, systems and policies</x:t>
  </x:si>
  <x:si>
    <x:t>http://id.who.int/icd/entity/1092650090</x:t>
  </x:si>
  <x:si>
    <x:t>http://id.who.int/icd/release/11/beta/ichi/1092650090</x:t>
  </x:si>
  <x:si>
    <x:t>UEK.WE.ZZ</x:t>
  </x:si>
  <x:si>
    <x:t>- - - - Restrictions on production or importation of products or services in relation to associations and organisational services, systems and policies</x:t>
  </x:si>
  <x:si>
    <x:t>http://id.who.int/icd/entity/1156666116</x:t>
  </x:si>
  <x:si>
    <x:t>http://id.who.int/icd/release/11/beta/ichi/1156666116</x:t>
  </x:si>
  <x:si>
    <x:t>UEK.WG.QF</x:t>
  </x:si>
  <x:si>
    <x:t>- - - - Economic incentives in relation to associations and organisational services, systems and policies</x:t>
  </x:si>
  <x:si>
    <x:t>http://id.who.int/icd/entity/1863073684</x:t>
  </x:si>
  <x:si>
    <x:t>http://id.who.int/icd/release/11/beta/ichi/1863073684</x:t>
  </x:si>
  <x:si>
    <x:t>UEK.WG.ZZ</x:t>
  </x:si>
  <x:si>
    <x:t>- - - - Applying incentives in relation to associations and organisational services, systems and policies</x:t>
  </x:si>
  <x:si>
    <x:t>http://id.who.int/icd/entity/2119114724</x:t>
  </x:si>
  <x:si>
    <x:t>http://id.who.int/icd/release/11/beta/ichi/2119114724</x:t>
  </x:si>
  <x:si>
    <x:t>UEK.WI.QD</x:t>
  </x:si>
  <x:si>
    <x:t>- - - - Restrictions through enactment of laws or standards in relation to associations and organisational services, systems and policies</x:t>
  </x:si>
  <x:si>
    <x:t>http://id.who.int/icd/entity/200907665</x:t>
  </x:si>
  <x:si>
    <x:t>http://id.who.int/icd/release/11/beta/ichi/200907665</x:t>
  </x:si>
  <x:si>
    <x:t>UEK.WI.QE</x:t>
  </x:si>
  <x:si>
    <x:t>- - - - Restrictions through enforcement of laws or standards in relation to associations and organisational services, systems and policies</x:t>
  </x:si>
  <x:si>
    <x:t>http://id.who.int/icd/entity/1535263264</x:t>
  </x:si>
  <x:si>
    <x:t>http://id.who.int/icd/release/11/beta/ichi/1535263264</x:t>
  </x:si>
  <x:si>
    <x:t>UEK.WI.ZZ</x:t>
  </x:si>
  <x:si>
    <x:t>- - - - Restrictions through laws or standards in relation to associations and organisational services, systems and policies</x:t>
  </x:si>
  <x:si>
    <x:t>http://id.who.int/icd/entity/71308035</x:t>
  </x:si>
  <x:si>
    <x:t>http://id.who.int/icd/release/11/beta/ichi/71308035</x:t>
  </x:si>
  <x:si>
    <x:t>UEK.WJ.ZZ</x:t>
  </x:si>
  <x:si>
    <x:t>- - - - Policy change in relation to associations and organisational services, systems and policies</x:t>
  </x:si>
  <x:si>
    <x:t>http://id.who.int/icd/entity/717396961</x:t>
  </x:si>
  <x:si>
    <x:t>http://id.who.int/icd/release/11/beta/ichi/717396961</x:t>
  </x:si>
  <x:si>
    <x:t>UEL.AA.ZZ</x:t>
  </x:si>
  <x:si>
    <x:t>- - - - Assessment of media services, systems and policies</x:t>
  </x:si>
  <x:si>
    <x:t>http://id.who.int/icd/entity/2058961490</x:t>
  </x:si>
  <x:si>
    <x:t>http://id.who.int/icd/release/11/beta/ichi/2058961490</x:t>
  </x:si>
  <x:si>
    <x:t>UEL.PH.ZZ</x:t>
  </x:si>
  <x:si>
    <x:t>- - - - Training about media services, systems and policies</x:t>
  </x:si>
  <x:si>
    <x:t>http://id.who.int/icd/entity/484355571</x:t>
  </x:si>
  <x:si>
    <x:t>http://id.who.int/icd/release/11/beta/ichi/484355571</x:t>
  </x:si>
  <x:si>
    <x:t>UEL.PM.ZZ</x:t>
  </x:si>
  <x:si>
    <x:t>- - - - Education about aspects of media services, systems and policies</x:t>
  </x:si>
  <x:si>
    <x:t>http://id.who.int/icd/entity/925090147</x:t>
  </x:si>
  <x:si>
    <x:t>http://id.who.int/icd/release/11/beta/ichi/925090147</x:t>
  </x:si>
  <x:si>
    <x:t>UEL.PN.ZZ</x:t>
  </x:si>
  <x:si>
    <x:t>- - - - Advising about media services, systems and policies</x:t>
  </x:si>
  <x:si>
    <x:t>http://id.who.int/icd/entity/643883285</x:t>
  </x:si>
  <x:si>
    <x:t>http://id.who.int/icd/release/11/beta/ichi/643883285</x:t>
  </x:si>
  <x:si>
    <x:t>UEL.RB.ZZ</x:t>
  </x:si>
  <x:si>
    <x:t>- - - - Practical support about media services, systems and policies</x:t>
  </x:si>
  <x:si>
    <x:t>http://id.who.int/icd/entity/1406559592</x:t>
  </x:si>
  <x:si>
    <x:t>http://id.who.int/icd/release/11/beta/ichi/1406559592</x:t>
  </x:si>
  <x:si>
    <x:t>UEL.RD.ZZ</x:t>
  </x:si>
  <x:si>
    <x:t>- - - - Providing goods in relation to media services, systems and policies</x:t>
  </x:si>
  <x:si>
    <x:t>http://id.who.int/icd/entity/61717719</x:t>
  </x:si>
  <x:si>
    <x:t>http://id.who.int/icd/release/11/beta/ichi/61717719</x:t>
  </x:si>
  <x:si>
    <x:t>UEL.RG.ZZ</x:t>
  </x:si>
  <x:si>
    <x:t>- - - - Providing media services, systems and policies</x:t>
  </x:si>
  <x:si>
    <x:t>http://id.who.int/icd/entity/1550839286</x:t>
  </x:si>
  <x:si>
    <x:t>http://id.who.int/icd/release/11/beta/ichi/1550839286</x:t>
  </x:si>
  <x:si>
    <x:t>UEL.TA.ZZ</x:t>
  </x:si>
  <x:si>
    <x:t>- - - - Advocacy in relation to media services, systems and policies</x:t>
  </x:si>
  <x:si>
    <x:t>http://id.who.int/icd/entity/2006090086</x:t>
  </x:si>
  <x:si>
    <x:t>http://id.who.int/icd/release/11/beta/ichi/2006090086</x:t>
  </x:si>
  <x:si>
    <x:t>UEL.TB.ZZ</x:t>
  </x:si>
  <x:si>
    <x:t>- - - - Planning in relation to media services, systems and policies</x:t>
  </x:si>
  <x:si>
    <x:t>http://id.who.int/icd/entity/1019357023</x:t>
  </x:si>
  <x:si>
    <x:t>http://id.who.int/icd/release/11/beta/ichi/1019357023</x:t>
  </x:si>
  <x:si>
    <x:t>UEL.TD.ZZ</x:t>
  </x:si>
  <x:si>
    <x:t>- - - - Collaboration relating to media services, systems and policies</x:t>
  </x:si>
  <x:si>
    <x:t>http://id.who.int/icd/entity/1660974716</x:t>
  </x:si>
  <x:si>
    <x:t>http://id.who.int/icd/release/11/beta/ichi/1660974716</x:t>
  </x:si>
  <x:si>
    <x:t>UEL.TK.ZZ</x:t>
  </x:si>
  <x:si>
    <x:t>- - - - Public facilities or infrastructure development in relation to media services, systems and policies</x:t>
  </x:si>
  <x:si>
    <x:t>http://id.who.int/icd/entity/863743949</x:t>
  </x:si>
  <x:si>
    <x:t>http://id.who.int/icd/release/11/beta/ichi/863743949</x:t>
  </x:si>
  <x:si>
    <x:t>UEL.TM.ZZ</x:t>
  </x:si>
  <x:si>
    <x:t>- - - - Environment modification in relation to media services, systems and policies</x:t>
  </x:si>
  <x:si>
    <x:t>http://id.who.int/icd/entity/1187851200</x:t>
  </x:si>
  <x:si>
    <x:t>http://id.who.int/icd/release/11/beta/ichi/1187851200</x:t>
  </x:si>
  <x:si>
    <x:t>UEL.VA.ZZ</x:t>
  </x:si>
  <x:si>
    <x:t>- - - - Capacity building targeting media services, systems and policies</x:t>
  </x:si>
  <x:si>
    <x:t>http://id.who.int/icd/entity/1831880496</x:t>
  </x:si>
  <x:si>
    <x:t>http://id.who.int/icd/release/11/beta/ichi/1831880496</x:t>
  </x:si>
  <x:si>
    <x:t>UEL.VB.ZZ</x:t>
  </x:si>
  <x:si>
    <x:t>- - - - Awareness raising concerning media services, systems and policies</x:t>
  </x:si>
  <x:si>
    <x:t>http://id.who.int/icd/entity/2087937880</x:t>
  </x:si>
  <x:si>
    <x:t>http://id.who.int/icd/release/11/beta/ichi/2087937880</x:t>
  </x:si>
  <x:si>
    <x:t>UEL.VC.ZZ</x:t>
  </x:si>
  <x:si>
    <x:t>- - - - Public health surveillance concerning media services, systems and policies</x:t>
  </x:si>
  <x:si>
    <x:t>http://id.who.int/icd/entity/1720969716</x:t>
  </x:si>
  <x:si>
    <x:t>http://id.who.int/icd/release/11/beta/ichi/1720969716</x:t>
  </x:si>
  <x:si>
    <x:t>UEL.VF.ZZ</x:t>
  </x:si>
  <x:si>
    <x:t>- - - - Alert concerning media services, systems and policies</x:t>
  </x:si>
  <x:si>
    <x:t>http://id.who.int/icd/entity/1764385122</x:t>
  </x:si>
  <x:si>
    <x:t>http://id.who.int/icd/release/11/beta/ichi/1764385122</x:t>
  </x:si>
  <x:si>
    <x:t>UEL.VN.ZZ</x:t>
  </x:si>
  <x:si>
    <x:t>- - - - Establishing health services or health-related services in relation to media services, systems and policies</x:t>
  </x:si>
  <x:si>
    <x:t>http://id.who.int/icd/entity/1121390066</x:t>
  </x:si>
  <x:si>
    <x:t>http://id.who.int/icd/release/11/beta/ichi/1121390066</x:t>
  </x:si>
  <x:si>
    <x:t>UEL.VO.ZZ</x:t>
  </x:si>
  <x:si>
    <x:t>- - - - Marshalling health services or health-related services in relation to media services, systems and policies</x:t>
  </x:si>
  <x:si>
    <x:t>http://id.who.int/icd/entity/960148191</x:t>
  </x:si>
  <x:si>
    <x:t>http://id.who.int/icd/release/11/beta/ichi/960148191</x:t>
  </x:si>
  <x:si>
    <x:t>UEL.VP.ZZ</x:t>
  </x:si>
  <x:si>
    <x:t>- - - - Improving access to health services or health-related services in relation to media services, systems and policies</x:t>
  </x:si>
  <x:si>
    <x:t>http://id.who.int/icd/entity/1727587324</x:t>
  </x:si>
  <x:si>
    <x:t>http://id.who.int/icd/release/11/beta/ichi/1727587324</x:t>
  </x:si>
  <x:si>
    <x:t>UEL.VR.ZZ</x:t>
  </x:si>
  <x:si>
    <x:t>- - - - Reducing emissions from media services, systems and policies</x:t>
  </x:si>
  <x:si>
    <x:t>http://id.who.int/icd/entity/914569805</x:t>
  </x:si>
  <x:si>
    <x:t>http://id.who.int/icd/release/11/beta/ichi/914569805</x:t>
  </x:si>
  <x:si>
    <x:t>UEL.WC.ZZ</x:t>
  </x:si>
  <x:si>
    <x:t>- - - - Restrictions on the sale or distribution of products or services in relation to media services, systems and policies</x:t>
  </x:si>
  <x:si>
    <x:t>http://id.who.int/icd/entity/1127595584</x:t>
  </x:si>
  <x:si>
    <x:t>http://id.who.int/icd/release/11/beta/ichi/1127595584</x:t>
  </x:si>
  <x:si>
    <x:t>UEL.WD.ZZ</x:t>
  </x:si>
  <x:si>
    <x:t>- - - - Restrictions on advertising, promotion or sponsorship of products or services in relation to media services, systems and policies</x:t>
  </x:si>
  <x:si>
    <x:t>http://id.who.int/icd/entity/1757991600</x:t>
  </x:si>
  <x:si>
    <x:t>http://id.who.int/icd/release/11/beta/ichi/1757991600</x:t>
  </x:si>
  <x:si>
    <x:t>UEL.WE.ZZ</x:t>
  </x:si>
  <x:si>
    <x:t>- - - - Restrictions on production or importation of products or services in relation to media services, systems and policies</x:t>
  </x:si>
  <x:si>
    <x:t>http://id.who.int/icd/entity/2039214808</x:t>
  </x:si>
  <x:si>
    <x:t>http://id.who.int/icd/release/11/beta/ichi/2039214808</x:t>
  </x:si>
  <x:si>
    <x:t>UEL.WG.QF</x:t>
  </x:si>
  <x:si>
    <x:t>- - - - Economic incentives in relation to media services, systems and policies</x:t>
  </x:si>
  <x:si>
    <x:t>http://id.who.int/icd/entity/2086282678</x:t>
  </x:si>
  <x:si>
    <x:t>http://id.who.int/icd/release/11/beta/ichi/2086282678</x:t>
  </x:si>
  <x:si>
    <x:t>UEL.WG.ZZ</x:t>
  </x:si>
  <x:si>
    <x:t>- - - - Applying incentives in relation to media services, systems and policies</x:t>
  </x:si>
  <x:si>
    <x:t>http://id.who.int/icd/entity/740424711</x:t>
  </x:si>
  <x:si>
    <x:t>http://id.who.int/icd/release/11/beta/ichi/740424711</x:t>
  </x:si>
  <x:si>
    <x:t>UEL.WI.QD</x:t>
  </x:si>
  <x:si>
    <x:t>- - - - Restrictions through enactment of laws or standards in relation to media services, systems and policies</x:t>
  </x:si>
  <x:si>
    <x:t>http://id.who.int/icd/entity/1944300836</x:t>
  </x:si>
  <x:si>
    <x:t>http://id.who.int/icd/release/11/beta/ichi/1944300836</x:t>
  </x:si>
  <x:si>
    <x:t>UEL.WI.QE</x:t>
  </x:si>
  <x:si>
    <x:t>- - - - Restrictions through enforcement of laws or standards in relation to media services, systems and policies</x:t>
  </x:si>
  <x:si>
    <x:t>http://id.who.int/icd/entity/1478410676</x:t>
  </x:si>
  <x:si>
    <x:t>http://id.who.int/icd/release/11/beta/ichi/1478410676</x:t>
  </x:si>
  <x:si>
    <x:t>UEL.WI.ZZ</x:t>
  </x:si>
  <x:si>
    <x:t>- - - - Restrictions through laws or standards in relation to media services, systems and policies</x:t>
  </x:si>
  <x:si>
    <x:t>http://id.who.int/icd/entity/1663644818</x:t>
  </x:si>
  <x:si>
    <x:t>http://id.who.int/icd/release/11/beta/ichi/1663644818</x:t>
  </x:si>
  <x:si>
    <x:t>UEL.WJ.ZZ</x:t>
  </x:si>
  <x:si>
    <x:t>- - - - Policy change in relation to media services, systems and policies</x:t>
  </x:si>
  <x:si>
    <x:t>http://id.who.int/icd/entity/857778557</x:t>
  </x:si>
  <x:si>
    <x:t>http://id.who.int/icd/release/11/beta/ichi/857778557</x:t>
  </x:si>
  <x:si>
    <x:t>UEM.AA.ZZ</x:t>
  </x:si>
  <x:si>
    <x:t>- - - - Assessment of economic services, systems and policies</x:t>
  </x:si>
  <x:si>
    <x:t>http://id.who.int/icd/entity/1666937036</x:t>
  </x:si>
  <x:si>
    <x:t>http://id.who.int/icd/release/11/beta/ichi/1666937036</x:t>
  </x:si>
  <x:si>
    <x:t>UEM.PH.ZZ</x:t>
  </x:si>
  <x:si>
    <x:t>- - - - Training about economic services, systems and policies</x:t>
  </x:si>
  <x:si>
    <x:t>http://id.who.int/icd/entity/1016668655</x:t>
  </x:si>
  <x:si>
    <x:t>http://id.who.int/icd/release/11/beta/ichi/1016668655</x:t>
  </x:si>
  <x:si>
    <x:t>UEM.PM.ZZ</x:t>
  </x:si>
  <x:si>
    <x:t>- - - - Education about aspects of economic services, systems and policies</x:t>
  </x:si>
  <x:si>
    <x:t>http://id.who.int/icd/entity/392449407</x:t>
  </x:si>
  <x:si>
    <x:t>http://id.who.int/icd/release/11/beta/ichi/392449407</x:t>
  </x:si>
  <x:si>
    <x:t>UEM.PN.ZZ</x:t>
  </x:si>
  <x:si>
    <x:t>- - - - Advising about economic services, systems and policies</x:t>
  </x:si>
  <x:si>
    <x:t>http://id.who.int/icd/entity/743684185</x:t>
  </x:si>
  <x:si>
    <x:t>http://id.who.int/icd/release/11/beta/ichi/743684185</x:t>
  </x:si>
  <x:si>
    <x:t>UEM.RB.ZZ</x:t>
  </x:si>
  <x:si>
    <x:t>- - - - Practical support about economic services, systems and policies</x:t>
  </x:si>
  <x:si>
    <x:t>http://id.who.int/icd/entity/1938942330</x:t>
  </x:si>
  <x:si>
    <x:t>http://id.who.int/icd/release/11/beta/ichi/1938942330</x:t>
  </x:si>
  <x:si>
    <x:t>UEM.RD.ZZ</x:t>
  </x:si>
  <x:si>
    <x:t>- - - - Providing goods in relation to economic services, systems and policies</x:t>
  </x:si>
  <x:si>
    <x:t>http://id.who.int/icd/entity/602550475</x:t>
  </x:si>
  <x:si>
    <x:t>http://id.who.int/icd/release/11/beta/ichi/602550475</x:t>
  </x:si>
  <x:si>
    <x:t>UEM.RG.ZZ</x:t>
  </x:si>
  <x:si>
    <x:t>- - - - Providing economic services, systems and policies</x:t>
  </x:si>
  <x:si>
    <x:t>http://id.who.int/icd/entity/957005409</x:t>
  </x:si>
  <x:si>
    <x:t>http://id.who.int/icd/release/11/beta/ichi/957005409</x:t>
  </x:si>
  <x:si>
    <x:t>UEM.TA.ZZ</x:t>
  </x:si>
  <x:si>
    <x:t>- - - - Advocacy in relation to economic services, systems and policies</x:t>
  </x:si>
  <x:si>
    <x:t>http://id.who.int/icd/entity/318231281</x:t>
  </x:si>
  <x:si>
    <x:t>http://id.who.int/icd/release/11/beta/ichi/318231281</x:t>
  </x:si>
  <x:si>
    <x:t>UEM.TB.ZZ</x:t>
  </x:si>
  <x:si>
    <x:t>- - - - Planning in relation to economic services, systems and policies</x:t>
  </x:si>
  <x:si>
    <x:t>http://id.who.int/icd/entity/62190215</x:t>
  </x:si>
  <x:si>
    <x:t>http://id.who.int/icd/release/11/beta/ichi/62190215</x:t>
  </x:si>
  <x:si>
    <x:t>UEM.TD.ZZ</x:t>
  </x:si>
  <x:si>
    <x:t>- - - - Collaboration relating to economic services, systems and policies</x:t>
  </x:si>
  <x:si>
    <x:t>http://id.who.int/icd/entity/920141053</x:t>
  </x:si>
  <x:si>
    <x:t>http://id.who.int/icd/release/11/beta/ichi/920141053</x:t>
  </x:si>
  <x:si>
    <x:t>UEM.TK.ZZ</x:t>
  </x:si>
  <x:si>
    <x:t>- - - - Public facilities or infrastructure development in relation to economic services, systems and policies</x:t>
  </x:si>
  <x:si>
    <x:t>http://id.who.int/icd/entity/1722017100</x:t>
  </x:si>
  <x:si>
    <x:t>http://id.who.int/icd/release/11/beta/ichi/1722017100</x:t>
  </x:si>
  <x:si>
    <x:t>UEM.TM.ZZ</x:t>
  </x:si>
  <x:si>
    <x:t>- - - - Environment modification in relation to economic services, systems and policies</x:t>
  </x:si>
  <x:si>
    <x:t>http://id.who.int/icd/entity/962704495</x:t>
  </x:si>
  <x:si>
    <x:t>http://id.who.int/icd/release/11/beta/ichi/962704495</x:t>
  </x:si>
  <x:si>
    <x:t>UEM.VA.ZZ</x:t>
  </x:si>
  <x:si>
    <x:t>- - - - Capacity building targeting economic services, systems and policies</x:t>
  </x:si>
  <x:si>
    <x:t>http://id.who.int/icd/entity/312269055</x:t>
  </x:si>
  <x:si>
    <x:t>http://id.who.int/icd/release/11/beta/ichi/312269055</x:t>
  </x:si>
  <x:si>
    <x:t>UEM.VB.ZZ</x:t>
  </x:si>
  <x:si>
    <x:t>- - - - Awareness raising concerning economic services, systems and policies</x:t>
  </x:si>
  <x:si>
    <x:t>http://id.who.int/icd/entity/699084249</x:t>
  </x:si>
  <x:si>
    <x:t>http://id.who.int/icd/release/11/beta/ichi/699084249</x:t>
  </x:si>
  <x:si>
    <x:t>UEM.VC.ZZ</x:t>
  </x:si>
  <x:si>
    <x:t>- - - - Public health surveillance concerning economic services, systems and policies</x:t>
  </x:si>
  <x:si>
    <x:t>http://id.who.int/icd/entity/1986624762</x:t>
  </x:si>
  <x:si>
    <x:t>http://id.who.int/icd/release/11/beta/ichi/1986624762</x:t>
  </x:si>
  <x:si>
    <x:t>UEM.VF.ZZ</x:t>
  </x:si>
  <x:si>
    <x:t>- - - - Alert concerning economic services, systems and policies</x:t>
  </x:si>
  <x:si>
    <x:t>http://id.who.int/icd/entity/638756171</x:t>
  </x:si>
  <x:si>
    <x:t>http://id.who.int/icd/release/11/beta/ichi/638756171</x:t>
  </x:si>
  <x:si>
    <x:t>UEM.VL.ZZ</x:t>
  </x:si>
  <x:si>
    <x:t>- - - - Environmental remediation in relation to economic services, systems and policies</x:t>
  </x:si>
  <x:si>
    <x:t>http://id.who.int/icd/entity/600011301</x:t>
  </x:si>
  <x:si>
    <x:t>http://id.who.int/icd/release/11/beta/ichi/600011301</x:t>
  </x:si>
  <x:si>
    <x:t>UEM.VN.ZZ</x:t>
  </x:si>
  <x:si>
    <x:t>- - - - Establishing health services or health-related services in relation to economic services, systems and policies</x:t>
  </x:si>
  <x:si>
    <x:t>http://id.who.int/icd/entity/138288821</x:t>
  </x:si>
  <x:si>
    <x:t>http://id.who.int/icd/release/11/beta/ichi/138288821</x:t>
  </x:si>
  <x:si>
    <x:t>UEM.VO.ZZ</x:t>
  </x:si>
  <x:si>
    <x:t>- - - - Marshalling health services or health-related services in relation to economic services, systems and policies</x:t>
  </x:si>
  <x:si>
    <x:t>http://id.who.int/icd/entity/427638467</x:t>
  </x:si>
  <x:si>
    <x:t>http://id.who.int/icd/release/11/beta/ichi/427638467</x:t>
  </x:si>
  <x:si>
    <x:t>UEM.VP.ZZ</x:t>
  </x:si>
  <x:si>
    <x:t>- - - - Improving access to health services or health-related services in relation to economic services, systems and policies</x:t>
  </x:si>
  <x:si>
    <x:t>http://id.who.int/icd/entity/1825290928</x:t>
  </x:si>
  <x:si>
    <x:t>http://id.who.int/icd/release/11/beta/ichi/1825290928</x:t>
  </x:si>
  <x:si>
    <x:t>UEM.VR.ZZ</x:t>
  </x:si>
  <x:si>
    <x:t>- - - - Reducing emissions from economic services, systems and policies</x:t>
  </x:si>
  <x:si>
    <x:t>http://id.who.int/icd/entity/1018192641</x:t>
  </x:si>
  <x:si>
    <x:t>http://id.who.int/icd/release/11/beta/ichi/1018192641</x:t>
  </x:si>
  <x:si>
    <x:t>UEM.WC.ZZ</x:t>
  </x:si>
  <x:si>
    <x:t>- - - - Restrictions on the sale or distribution of products or services in relation to economic services, systems and policies</x:t>
  </x:si>
  <x:si>
    <x:t>http://id.who.int/icd/entity/1668428322</x:t>
  </x:si>
  <x:si>
    <x:t>http://id.who.int/icd/release/11/beta/ichi/1668428322</x:t>
  </x:si>
  <x:si>
    <x:t>UEM.WD.ZZ</x:t>
  </x:si>
  <x:si>
    <x:t>- - - - Restrictions on advertising, promotion or sponsorship of products or services in relation to economic services, systems and policies</x:t>
  </x:si>
  <x:si>
    <x:t>http://id.who.int/icd/entity/1217355442</x:t>
  </x:si>
  <x:si>
    <x:t>http://id.who.int/icd/release/11/beta/ichi/1217355442</x:t>
  </x:si>
  <x:si>
    <x:t>UEM.WE.ZZ</x:t>
  </x:si>
  <x:si>
    <x:t>- - - - Restrictions on production or importation of products or services in relation to economic services, systems and policies</x:t>
  </x:si>
  <x:si>
    <x:t>http://id.who.int/icd/entity/485400909</x:t>
  </x:si>
  <x:si>
    <x:t>http://id.who.int/icd/release/11/beta/ichi/485400909</x:t>
  </x:si>
  <x:si>
    <x:t>UEM.WG.QF</x:t>
  </x:si>
  <x:si>
    <x:t>- - - - Economic incentives in relation to economic services, systems and policies</x:t>
  </x:si>
  <x:si>
    <x:t>http://id.who.int/icd/entity/1127018606</x:t>
  </x:si>
  <x:si>
    <x:t>http://id.who.int/icd/release/11/beta/ichi/1127018606</x:t>
  </x:si>
  <x:si>
    <x:t>UEM.WG.ZZ</x:t>
  </x:si>
  <x:si>
    <x:t>- - - - Applying incentives in relation to economic services, systems and policies</x:t>
  </x:si>
  <x:si>
    <x:t>http://id.who.int/icd/entity/324479455</x:t>
  </x:si>
  <x:si>
    <x:t>http://id.who.int/icd/release/11/beta/ichi/324479455</x:t>
  </x:si>
  <x:si>
    <x:t>UEM.WI.QD</x:t>
  </x:si>
  <x:si>
    <x:t>- - - - Restrictions through enactment of laws or standards in relation to economic services, systems and policies</x:t>
  </x:si>
  <x:si>
    <x:t>http://id.who.int/icd/entity/1973460816</x:t>
  </x:si>
  <x:si>
    <x:t>http://id.who.int/icd/release/11/beta/ichi/1973460816</x:t>
  </x:si>
  <x:si>
    <x:t>UEM.WI.QE</x:t>
  </x:si>
  <x:si>
    <x:t>- - - - Restrictions through enforcement of laws or standards in relation to economic services, systems and policies</x:t>
  </x:si>
  <x:si>
    <x:t>http://id.who.int/icd/entity/1583215552</x:t>
  </x:si>
  <x:si>
    <x:t>http://id.who.int/icd/release/11/beta/ichi/1583215552</x:t>
  </x:si>
  <x:si>
    <x:t>UEM.WI.ZZ</x:t>
  </x:si>
  <x:si>
    <x:t>- - - - Restrictions through laws or standards in relation to economic services, systems and policies</x:t>
  </x:si>
  <x:si>
    <x:t>http://id.who.int/icd/entity/1327420344</x:t>
  </x:si>
  <x:si>
    <x:t>http://id.who.int/icd/release/11/beta/ichi/1327420344</x:t>
  </x:si>
  <x:si>
    <x:t>UEM.WJ.ZZ</x:t>
  </x:si>
  <x:si>
    <x:t>- - - - Policy change in relation to economic services, systems and policies</x:t>
  </x:si>
  <x:si>
    <x:t>http://id.who.int/icd/entity/683949706</x:t>
  </x:si>
  <x:si>
    <x:t>http://id.who.int/icd/release/11/beta/ichi/683949706</x:t>
  </x:si>
  <x:si>
    <x:t>UEN.AA.ZZ</x:t>
  </x:si>
  <x:si>
    <x:t>- - - - Assessment of social security services, systems and policies</x:t>
  </x:si>
  <x:si>
    <x:t>http://id.who.int/icd/entity/598377290</x:t>
  </x:si>
  <x:si>
    <x:t>http://id.who.int/icd/release/11/beta/ichi/598377290</x:t>
  </x:si>
  <x:si>
    <x:t>UEN.PH.ZZ</x:t>
  </x:si>
  <x:si>
    <x:t>- - - - Training about social security services, systems and policies</x:t>
  </x:si>
  <x:si>
    <x:t>http://id.who.int/icd/entity/599793700</x:t>
  </x:si>
  <x:si>
    <x:t>http://id.who.int/icd/release/11/beta/ichi/599793700</x:t>
  </x:si>
  <x:si>
    <x:t>UEN.PM.ZZ</x:t>
  </x:si>
  <x:si>
    <x:t>- - - - Education about social security services, systems and policies</x:t>
  </x:si>
  <x:si>
    <x:t>http://id.who.int/icd/entity/1996910507</x:t>
  </x:si>
  <x:si>
    <x:t>http://id.who.int/icd/release/11/beta/ichi/1996910507</x:t>
  </x:si>
  <x:si>
    <x:t>UEN.PN.ZZ</x:t>
  </x:si>
  <x:si>
    <x:t>- - - - Advising about social security services, systems and policies</x:t>
  </x:si>
  <x:si>
    <x:t>http://id.who.int/icd/entity/139980762</x:t>
  </x:si>
  <x:si>
    <x:t>http://id.who.int/icd/release/11/beta/ichi/139980762</x:t>
  </x:si>
  <x:si>
    <x:t>UEN.RB.ZZ</x:t>
  </x:si>
  <x:si>
    <x:t>- - - - Practical support about social security services, systems and policies</x:t>
  </x:si>
  <x:si>
    <x:t>http://id.who.int/icd/entity/861936380</x:t>
  </x:si>
  <x:si>
    <x:t>http://id.who.int/icd/release/11/beta/ichi/861936380</x:t>
  </x:si>
  <x:si>
    <x:t>UEN.RD.ZZ</x:t>
  </x:si>
  <x:si>
    <x:t>- - - - Providing goods in relation to social security services, systems and policies</x:t>
  </x:si>
  <x:si>
    <x:t>http://id.who.int/icd/entity/749762798</x:t>
  </x:si>
  <x:si>
    <x:t>http://id.who.int/icd/release/11/beta/ichi/749762798</x:t>
  </x:si>
  <x:si>
    <x:t>UEN.RG.ZZ</x:t>
  </x:si>
  <x:si>
    <x:t>- - - - Providing social security services, systems and policies</x:t>
  </x:si>
  <x:si>
    <x:t>http://id.who.int/icd/entity/1822575583</x:t>
  </x:si>
  <x:si>
    <x:t>http://id.who.int/icd/release/11/beta/ichi/1822575583</x:t>
  </x:si>
  <x:si>
    <x:t>UEN.TA.ZZ</x:t>
  </x:si>
  <x:si>
    <x:t>- - - - Advocacy in relation to social security services, systems and policies</x:t>
  </x:si>
  <x:si>
    <x:t>http://id.who.int/icd/entity/1020891758</x:t>
  </x:si>
  <x:si>
    <x:t>http://id.who.int/icd/release/11/beta/ichi/1020891758</x:t>
  </x:si>
  <x:si>
    <x:t>UEN.TB.ZZ</x:t>
  </x:si>
  <x:si>
    <x:t>- - - - Planning in relation to social security services, systems and policies</x:t>
  </x:si>
  <x:si>
    <x:t>http://id.who.int/icd/entity/641277126</x:t>
  </x:si>
  <x:si>
    <x:t>http://id.who.int/icd/release/11/beta/ichi/641277126</x:t>
  </x:si>
  <x:si>
    <x:t>UEN.TD.ZZ</x:t>
  </x:si>
  <x:si>
    <x:t>- - - - Collaboration relating to social security services, systems and policies</x:t>
  </x:si>
  <x:si>
    <x:t>http://id.who.int/icd/entity/230977622</x:t>
  </x:si>
  <x:si>
    <x:t>http://id.who.int/icd/release/11/beta/ichi/230977622</x:t>
  </x:si>
  <x:si>
    <x:t>UEN.TK.ZZ</x:t>
  </x:si>
  <x:si>
    <x:t>- - - - Public facilities or infrastructure development in relation to social security services, systems and policies</x:t>
  </x:si>
  <x:si>
    <x:t>http://id.who.int/icd/entity/478629922</x:t>
  </x:si>
  <x:si>
    <x:t>http://id.who.int/icd/release/11/beta/ichi/478629922</x:t>
  </x:si>
  <x:si>
    <x:t>UEN.TM.ZZ</x:t>
  </x:si>
  <x:si>
    <x:t>- - - - Environment modification in relation to social security services, systems and policies</x:t>
  </x:si>
  <x:si>
    <x:t>http://id.who.int/icd/entity/708430019</x:t>
  </x:si>
  <x:si>
    <x:t>http://id.who.int/icd/release/11/beta/ichi/708430019</x:t>
  </x:si>
  <x:si>
    <x:t>UEN.VA.ZZ</x:t>
  </x:si>
  <x:si>
    <x:t>- - - - Capacity building targeting social security services, systems and policies</x:t>
  </x:si>
  <x:si>
    <x:t>http://id.who.int/icd/entity/2051150194</x:t>
  </x:si>
  <x:si>
    <x:t>http://id.who.int/icd/release/11/beta/ichi/2051150194</x:t>
  </x:si>
  <x:si>
    <x:t>UEN.VB.ZZ</x:t>
  </x:si>
  <x:si>
    <x:t>- - - - Awareness raising concerning social security services, systems and policies</x:t>
  </x:si>
  <x:si>
    <x:t>http://id.who.int/icd/entity/629162065</x:t>
  </x:si>
  <x:si>
    <x:t>http://id.who.int/icd/release/11/beta/ichi/629162065</x:t>
  </x:si>
  <x:si>
    <x:t>UEN.VC.ZZ</x:t>
  </x:si>
  <x:si>
    <x:t>- - - - Public health surveillance concerning social security services, systems and policies</x:t>
  </x:si>
  <x:si>
    <x:t>http://id.who.int/icd/entity/243084481</x:t>
  </x:si>
  <x:si>
    <x:t>http://id.who.int/icd/release/11/beta/ichi/243084481</x:t>
  </x:si>
  <x:si>
    <x:t>UEN.VF.ZZ</x:t>
  </x:si>
  <x:si>
    <x:t>- - - - Alert concerning social security services, systems and policies</x:t>
  </x:si>
  <x:si>
    <x:t>http://id.who.int/icd/entity/894097895</x:t>
  </x:si>
  <x:si>
    <x:t>http://id.who.int/icd/release/11/beta/ichi/894097895</x:t>
  </x:si>
  <x:si>
    <x:t>UEN.VL.ZZ</x:t>
  </x:si>
  <x:si>
    <x:t>- - - - Environmental remediation in relation to social security services, systems and policies</x:t>
  </x:si>
  <x:si>
    <x:t>http://id.who.int/icd/entity/1787332804</x:t>
  </x:si>
  <x:si>
    <x:t>http://id.who.int/icd/release/11/beta/ichi/1787332804</x:t>
  </x:si>
  <x:si>
    <x:t>UEN.VN.ZZ</x:t>
  </x:si>
  <x:si>
    <x:t>- - - - Establishing health services or health-related services in relation to social security services, systems and policies</x:t>
  </x:si>
  <x:si>
    <x:t>http://id.who.int/icd/entity/989024629</x:t>
  </x:si>
  <x:si>
    <x:t>http://id.who.int/icd/release/11/beta/ichi/989024629</x:t>
  </x:si>
  <x:si>
    <x:t>UEN.VO.ZZ</x:t>
  </x:si>
  <x:si>
    <x:t>- - - - Marshalling health services or health-related services in relation to social security services, systems and policies</x:t>
  </x:si>
  <x:si>
    <x:t>http://id.who.int/icd/entity/1059227163</x:t>
  </x:si>
  <x:si>
    <x:t>http://id.who.int/icd/release/11/beta/ichi/1059227163</x:t>
  </x:si>
  <x:si>
    <x:t>UEN.VP.ZZ</x:t>
  </x:si>
  <x:si>
    <x:t>- - - - Improving access to health services or health-related services in relation to social security services, systems and policies</x:t>
  </x:si>
  <x:si>
    <x:t>http://id.who.int/icd/entity/350218891</x:t>
  </x:si>
  <x:si>
    <x:t>http://id.who.int/icd/release/11/beta/ichi/350218891</x:t>
  </x:si>
  <x:si>
    <x:t>UEN.VR.ZZ</x:t>
  </x:si>
  <x:si>
    <x:t>- - - - Reducing emissions from social security services, systems and policies</x:t>
  </x:si>
  <x:si>
    <x:t>http://id.who.int/icd/entity/94161661</x:t>
  </x:si>
  <x:si>
    <x:t>http://id.who.int/icd/release/11/beta/ichi/94161661</x:t>
  </x:si>
  <x:si>
    <x:t>UEN.WC.ZZ</x:t>
  </x:si>
  <x:si>
    <x:t>- - - - Restrictions on the sale or distribution of products or services in relation to social security services, systems and policies</x:t>
  </x:si>
  <x:si>
    <x:t>http://id.who.int/icd/entity/1881820814</x:t>
  </x:si>
  <x:si>
    <x:t>http://id.who.int/icd/release/11/beta/ichi/1881820814</x:t>
  </x:si>
  <x:si>
    <x:t>UEN.WD.ZZ</x:t>
  </x:si>
  <x:si>
    <x:t>- - - - Restrictions on advertising, promotion or sponsorship of products or services in relation to social security services, systems and policies</x:t>
  </x:si>
  <x:si>
    <x:t>http://id.who.int/icd/entity/542218047</x:t>
  </x:si>
  <x:si>
    <x:t>http://id.who.int/icd/release/11/beta/ichi/542218047</x:t>
  </x:si>
  <x:si>
    <x:t>UEN.WE.ZZ</x:t>
  </x:si>
  <x:si>
    <x:t>- - - - Restrictions on production or importation of products or services in relation to social security services, systems and policies</x:t>
  </x:si>
  <x:si>
    <x:t>http://id.who.int/icd/entity/2140390940</x:t>
  </x:si>
  <x:si>
    <x:t>http://id.who.int/icd/release/11/beta/ichi/2140390940</x:t>
  </x:si>
  <x:si>
    <x:t>UEN.WG.QF</x:t>
  </x:si>
  <x:si>
    <x:t>- - - - Economic incentives in relation to social security services, systems and policies</x:t>
  </x:si>
  <x:si>
    <x:t>http://id.who.int/icd/entity/1416538764</x:t>
  </x:si>
  <x:si>
    <x:t>http://id.who.int/icd/release/11/beta/ichi/1416538764</x:t>
  </x:si>
  <x:si>
    <x:t>UEN.WG.ZZ</x:t>
  </x:si>
  <x:si>
    <x:t>- - - - Applying incentives in relation to social security services, systems and policies</x:t>
  </x:si>
  <x:si>
    <x:t>http://id.who.int/icd/entity/1004915</x:t>
  </x:si>
  <x:si>
    <x:t>http://id.who.int/icd/release/11/beta/ichi/1004915</x:t>
  </x:si>
  <x:si>
    <x:t>UEN.WI.QD</x:t>
  </x:si>
  <x:si>
    <x:t>- - - - Restrictions through enactment of laws or standards in relation to social security services, systems and policies</x:t>
  </x:si>
  <x:si>
    <x:t>http://id.who.int/icd/entity/1607271504</x:t>
  </x:si>
  <x:si>
    <x:t>http://id.who.int/icd/release/11/beta/ichi/1607271504</x:t>
  </x:si>
  <x:si>
    <x:t>UEN.WI.QE</x:t>
  </x:si>
  <x:si>
    <x:t>- - - - Restrictions through enforcement of laws or standards in relation to social security services, systems and policies</x:t>
  </x:si>
  <x:si>
    <x:t>http://id.who.int/icd/entity/263642593</x:t>
  </x:si>
  <x:si>
    <x:t>http://id.who.int/icd/release/11/beta/ichi/263642593</x:t>
  </x:si>
  <x:si>
    <x:t>UEN.WI.ZZ</x:t>
  </x:si>
  <x:si>
    <x:t>- - - - Restrictions through laws or standards in relation to social security services, systems and policies</x:t>
  </x:si>
  <x:si>
    <x:t>http://id.who.int/icd/entity/987370395</x:t>
  </x:si>
  <x:si>
    <x:t>http://id.who.int/icd/release/11/beta/ichi/987370395</x:t>
  </x:si>
  <x:si>
    <x:t>UEN.WJ.ZZ</x:t>
  </x:si>
  <x:si>
    <x:t>- - - - Policy change in relation to social security services, systems and policies</x:t>
  </x:si>
  <x:si>
    <x:t>http://id.who.int/icd/entity/575248870</x:t>
  </x:si>
  <x:si>
    <x:t>http://id.who.int/icd/release/11/beta/ichi/575248870</x:t>
  </x:si>
  <x:si>
    <x:t>UEO.AA.ZZ</x:t>
  </x:si>
  <x:si>
    <x:t>- - - - Assessment of general social support services, systems and policies</x:t>
  </x:si>
  <x:si>
    <x:t>http://id.who.int/icd/entity/949235583</x:t>
  </x:si>
  <x:si>
    <x:t>http://id.who.int/icd/release/11/beta/ichi/949235583</x:t>
  </x:si>
  <x:si>
    <x:t>UEO.PH.ZZ</x:t>
  </x:si>
  <x:si>
    <x:t>- - - - Training about general social support services, systems and policies</x:t>
  </x:si>
  <x:si>
    <x:t>http://id.who.int/icd/entity/218719050</x:t>
  </x:si>
  <x:si>
    <x:t>http://id.who.int/icd/release/11/beta/ichi/218719050</x:t>
  </x:si>
  <x:si>
    <x:t>UEO.PM.ZZ</x:t>
  </x:si>
  <x:si>
    <x:t>- - - - Education about general social support services, systems and policies</x:t>
  </x:si>
  <x:si>
    <x:t>http://id.who.int/icd/entity/2106312903</x:t>
  </x:si>
  <x:si>
    <x:t>http://id.who.int/icd/release/11/beta/ichi/2106312903</x:t>
  </x:si>
  <x:si>
    <x:t>UEO.PN.ZZ</x:t>
  </x:si>
  <x:si>
    <x:t>- - - - Advising about general social support services, systems and policies</x:t>
  </x:si>
  <x:si>
    <x:t>http://id.who.int/icd/entity/1760556752</x:t>
  </x:si>
  <x:si>
    <x:t>http://id.who.int/icd/release/11/beta/ichi/1760556752</x:t>
  </x:si>
  <x:si>
    <x:t>UEO.RB.ZZ</x:t>
  </x:si>
  <x:si>
    <x:t>- - - - Practical support about general social support services, systems and policies</x:t>
  </x:si>
  <x:si>
    <x:t>http://id.who.int/icd/entity/925738989</x:t>
  </x:si>
  <x:si>
    <x:t>http://id.who.int/icd/release/11/beta/ichi/925738989</x:t>
  </x:si>
  <x:si>
    <x:t>UEO.RD.ZZ</x:t>
  </x:si>
  <x:si>
    <x:t>- - - - Providing goods in relation to general social support services, systems and policies</x:t>
  </x:si>
  <x:si>
    <x:t>http://id.who.int/icd/entity/2026997523</x:t>
  </x:si>
  <x:si>
    <x:t>http://id.who.int/icd/release/11/beta/ichi/2026997523</x:t>
  </x:si>
  <x:si>
    <x:t>UEO.RG.ZZ</x:t>
  </x:si>
  <x:si>
    <x:t>- - - - Providing general social support services, systems and policies</x:t>
  </x:si>
  <x:si>
    <x:t>http://id.who.int/icd/entity/483445629</x:t>
  </x:si>
  <x:si>
    <x:t>http://id.who.int/icd/release/11/beta/ichi/483445629</x:t>
  </x:si>
  <x:si>
    <x:t>UEO.TA.ZZ</x:t>
  </x:si>
  <x:si>
    <x:t>- - - - Advocacy in relation to general social support services, systems and policies</x:t>
  </x:si>
  <x:si>
    <x:t>http://id.who.int/icd/entity/669466203</x:t>
  </x:si>
  <x:si>
    <x:t>http://id.who.int/icd/release/11/beta/ichi/669466203</x:t>
  </x:si>
  <x:si>
    <x:t>UEO.TB.ZZ</x:t>
  </x:si>
  <x:si>
    <x:t>- - - - Planning in relation to general social support services, systems and policies</x:t>
  </x:si>
  <x:si>
    <x:t>http://id.who.int/icd/entity/2015719290</x:t>
  </x:si>
  <x:si>
    <x:t>http://id.who.int/icd/release/11/beta/ichi/2015719290</x:t>
  </x:si>
  <x:si>
    <x:t>UEO.TD.ZZ</x:t>
  </x:si>
  <x:si>
    <x:t>- - - - Collaboration relating to general social support services, systems and policies</x:t>
  </x:si>
  <x:si>
    <x:t>http://id.who.int/icd/entity/677295817</x:t>
  </x:si>
  <x:si>
    <x:t>http://id.who.int/icd/release/11/beta/ichi/677295817</x:t>
  </x:si>
  <x:si>
    <x:t>UEO.TK.ZZ</x:t>
  </x:si>
  <x:si>
    <x:t>- - - - Public facilities or infrastructure development in relation to general social support services, systems and policies</x:t>
  </x:si>
  <x:si>
    <x:t>http://id.who.int/icd/entity/764371367</x:t>
  </x:si>
  <x:si>
    <x:t>http://id.who.int/icd/release/11/beta/ichi/764371367</x:t>
  </x:si>
  <x:si>
    <x:t>UEO.TM.ZZ</x:t>
  </x:si>
  <x:si>
    <x:t>- - - - Environment modification in relation to general social support services, systems and policies</x:t>
  </x:si>
  <x:si>
    <x:t>http://id.who.int/icd/entity/108137783</x:t>
  </x:si>
  <x:si>
    <x:t>http://id.who.int/icd/release/11/beta/ichi/108137783</x:t>
  </x:si>
  <x:si>
    <x:t>UEO.VA.ZZ</x:t>
  </x:si>
  <x:si>
    <x:t>- - - - Capacity building targeting general social support services, systems and policies</x:t>
  </x:si>
  <x:si>
    <x:t>http://id.who.int/icd/entity/389098817</x:t>
  </x:si>
  <x:si>
    <x:t>http://id.who.int/icd/release/11/beta/ichi/389098817</x:t>
  </x:si>
  <x:si>
    <x:t>UEO.VB.ZZ</x:t>
  </x:si>
  <x:si>
    <x:t>- - - - Awareness raising concerning general social support services, systems and policies</x:t>
  </x:si>
  <x:si>
    <x:t>http://id.who.int/icd/entity/1653057844</x:t>
  </x:si>
  <x:si>
    <x:t>http://id.who.int/icd/release/11/beta/ichi/1653057844</x:t>
  </x:si>
  <x:si>
    <x:t>UEO.VC.ZZ</x:t>
  </x:si>
  <x:si>
    <x:t>- - - - Public health surveillance concerning general social support services, systems and policies</x:t>
  </x:si>
  <x:si>
    <x:t>http://id.who.int/icd/entity/855404675</x:t>
  </x:si>
  <x:si>
    <x:t>http://id.who.int/icd/release/11/beta/ichi/855404675</x:t>
  </x:si>
  <x:si>
    <x:t>UEO.VF.ZZ</x:t>
  </x:si>
  <x:si>
    <x:t>- - - - Alert concerning general social support services, systems and policies</x:t>
  </x:si>
  <x:si>
    <x:t>http://id.who.int/icd/entity/1832788386</x:t>
  </x:si>
  <x:si>
    <x:t>http://id.who.int/icd/release/11/beta/ichi/1832788386</x:t>
  </x:si>
  <x:si>
    <x:t>UEO.VL.ZZ</x:t>
  </x:si>
  <x:si>
    <x:t>- - - - Environmental remediation in relation to general social support services, systems and policies</x:t>
  </x:si>
  <x:si>
    <x:t>http://id.who.int/icd/entity/1187204402</x:t>
  </x:si>
  <x:si>
    <x:t>http://id.who.int/icd/release/11/beta/ichi/1187204402</x:t>
  </x:si>
  <x:si>
    <x:t>UEO.VN.ZZ</x:t>
  </x:si>
  <x:si>
    <x:t>- - - - Establishing health services or health-related services in relation to general social support services, systems and policies</x:t>
  </x:si>
  <x:si>
    <x:t>http://id.who.int/icd/entity/312652495</x:t>
  </x:si>
  <x:si>
    <x:t>http://id.who.int/icd/release/11/beta/ichi/312652495</x:t>
  </x:si>
  <x:si>
    <x:t>UEO.VO.ZZ</x:t>
  </x:si>
  <x:si>
    <x:t>- - - - Marshalling health services or health-related services in relation to general social support services, systems and policies</x:t>
  </x:si>
  <x:si>
    <x:t>http://id.who.int/icd/entity/1298195438</x:t>
  </x:si>
  <x:si>
    <x:t>http://id.who.int/icd/release/11/beta/ichi/1298195438</x:t>
  </x:si>
  <x:si>
    <x:t>UEO.VP.ZZ</x:t>
  </x:si>
  <x:si>
    <x:t>- - - - Improving access to health services or health-related services in relation to general social support services, systems and policies</x:t>
  </x:si>
  <x:si>
    <x:t>http://id.who.int/icd/entity/488323677</x:t>
  </x:si>
  <x:si>
    <x:t>http://id.who.int/icd/release/11/beta/ichi/488323677</x:t>
  </x:si>
  <x:si>
    <x:t>UEO.VR.ZZ</x:t>
  </x:si>
  <x:si>
    <x:t>- - - - Reducing emissions from general social support services, systems and policies</x:t>
  </x:si>
  <x:si>
    <x:t>http://id.who.int/icd/entity/834247384</x:t>
  </x:si>
  <x:si>
    <x:t>http://id.who.int/icd/release/11/beta/ichi/834247384</x:t>
  </x:si>
  <x:si>
    <x:t>UEO.WC.ZZ</x:t>
  </x:si>
  <x:si>
    <x:t>- - - - Restrictions on the sale or distribution of products or services in relation to general social support services, systems and policies</x:t>
  </x:si>
  <x:si>
    <x:t>http://id.who.int/icd/entity/440727112</x:t>
  </x:si>
  <x:si>
    <x:t>http://id.who.int/icd/release/11/beta/ichi/440727112</x:t>
  </x:si>
  <x:si>
    <x:t>UEO.WD.ZZ</x:t>
  </x:si>
  <x:si>
    <x:t>- - - - Restrictions on advertising, promotion or sponsorship of products or services in relation to general social support services, systems and policies</x:t>
  </x:si>
  <x:si>
    <x:t>http://id.who.int/icd/entity/185062960</x:t>
  </x:si>
  <x:si>
    <x:t>http://id.who.int/icd/release/11/beta/ichi/185062960</x:t>
  </x:si>
  <x:si>
    <x:t>UEO.WE.ZZ</x:t>
  </x:si>
  <x:si>
    <x:t>- - - - Restrictions on production or importation of products or services in relation to general social support services, systems and policies</x:t>
  </x:si>
  <x:si>
    <x:t>http://id.who.int/icd/entity/2125550147</x:t>
  </x:si>
  <x:si>
    <x:t>http://id.who.int/icd/release/11/beta/ichi/2125550147</x:t>
  </x:si>
  <x:si>
    <x:t>UEO.WG.QF</x:t>
  </x:si>
  <x:si>
    <x:t>- - - - Economic incentives in relation to general social support services, systems and policies</x:t>
  </x:si>
  <x:si>
    <x:t>http://id.who.int/icd/entity/785026036</x:t>
  </x:si>
  <x:si>
    <x:t>http://id.who.int/icd/release/11/beta/ichi/785026036</x:t>
  </x:si>
  <x:si>
    <x:t>UEO.WG.ZZ</x:t>
  </x:si>
  <x:si>
    <x:t>- - - - Applying incentives in relation to general social support services, systems and policies</x:t>
  </x:si>
  <x:si>
    <x:t>http://id.who.int/icd/entity/1896405713</x:t>
  </x:si>
  <x:si>
    <x:t>http://id.who.int/icd/release/11/beta/ichi/1896405713</x:t>
  </x:si>
  <x:si>
    <x:t>UEO.WI.QD</x:t>
  </x:si>
  <x:si>
    <x:t>- - - - Restrictions through enactment of laws or standards in relation to general social support services, systems and policies</x:t>
  </x:si>
  <x:si>
    <x:t>http://id.who.int/icd/entity/1526052417</x:t>
  </x:si>
  <x:si>
    <x:t>http://id.who.int/icd/release/11/beta/ichi/1526052417</x:t>
  </x:si>
  <x:si>
    <x:t>UEO.WI.QE</x:t>
  </x:si>
  <x:si>
    <x:t>- - - - Restrictions through enforcement of laws or standards in relation to general social support services, systems and policies</x:t>
  </x:si>
  <x:si>
    <x:t>http://id.who.int/icd/entity/296030330</x:t>
  </x:si>
  <x:si>
    <x:t>http://id.who.int/icd/release/11/beta/ichi/296030330</x:t>
  </x:si>
  <x:si>
    <x:t>UEO.WI.ZZ</x:t>
  </x:si>
  <x:si>
    <x:t>- - - - Restrictions through laws or standards in relation to general social support services, systems and policies</x:t>
  </x:si>
  <x:si>
    <x:t>http://id.who.int/icd/entity/1315389785</x:t>
  </x:si>
  <x:si>
    <x:t>http://id.who.int/icd/release/11/beta/ichi/1315389785</x:t>
  </x:si>
  <x:si>
    <x:t>UEO.WJ.ZZ</x:t>
  </x:si>
  <x:si>
    <x:t>- - - - Policy change in relation to general social support services, systems and policies</x:t>
  </x:si>
  <x:si>
    <x:t>http://id.who.int/icd/entity/401206754</x:t>
  </x:si>
  <x:si>
    <x:t>http://id.who.int/icd/release/11/beta/ichi/401206754</x:t>
  </x:si>
  <x:si>
    <x:t>UEP.AA.ZZ</x:t>
  </x:si>
  <x:si>
    <x:t>- - - - Assessment of health services, systems and policies</x:t>
  </x:si>
  <x:si>
    <x:t>http://id.who.int/icd/entity/58923995</x:t>
  </x:si>
  <x:si>
    <x:t>http://id.who.int/icd/release/11/beta/ichi/58923995</x:t>
  </x:si>
  <x:si>
    <x:t>UEP.PH.ZZ</x:t>
  </x:si>
  <x:si>
    <x:t>- - - - Training about health services, systems and policies</x:t>
  </x:si>
  <x:si>
    <x:t>http://id.who.int/icd/entity/1758646015</x:t>
  </x:si>
  <x:si>
    <x:t>http://id.who.int/icd/release/11/beta/ichi/1758646015</x:t>
  </x:si>
  <x:si>
    <x:t>UEP.PM.ZZ</x:t>
  </x:si>
  <x:si>
    <x:t>- - - - Education about health services, systems and policies</x:t>
  </x:si>
  <x:si>
    <x:t>http://id.who.int/icd/entity/1551942665</x:t>
  </x:si>
  <x:si>
    <x:t>http://id.who.int/icd/release/11/beta/ichi/1551942665</x:t>
  </x:si>
  <x:si>
    <x:t>UEP.PN.ZZ</x:t>
  </x:si>
  <x:si>
    <x:t>- - - - Advising about health services, systems and policies</x:t>
  </x:si>
  <x:si>
    <x:t>http://id.who.int/icd/entity/425956721</x:t>
  </x:si>
  <x:si>
    <x:t>http://id.who.int/icd/release/11/beta/ichi/425956721</x:t>
  </x:si>
  <x:si>
    <x:t>UEP.RB.ZZ</x:t>
  </x:si>
  <x:si>
    <x:t>- - - - Practical support about health services, systems and policies</x:t>
  </x:si>
  <x:si>
    <x:t>http://id.who.int/icd/entity/849279457</x:t>
  </x:si>
  <x:si>
    <x:t>http://id.who.int/icd/release/11/beta/ichi/849279457</x:t>
  </x:si>
  <x:si>
    <x:t>UEP.RD.ZZ</x:t>
  </x:si>
  <x:si>
    <x:t>- - - - Providing goods in relation to health services, systems and policies</x:t>
  </x:si>
  <x:si>
    <x:t>http://id.who.int/icd/entity/655611442</x:t>
  </x:si>
  <x:si>
    <x:t>http://id.who.int/icd/release/11/beta/ichi/655611442</x:t>
  </x:si>
  <x:si>
    <x:t>UEP.RG.ZZ</x:t>
  </x:si>
  <x:si>
    <x:t>- - - - Providing health services, systems and policies</x:t>
  </x:si>
  <x:si>
    <x:t>http://id.who.int/icd/entity/601741719</x:t>
  </x:si>
  <x:si>
    <x:t>http://id.who.int/icd/release/11/beta/ichi/601741719</x:t>
  </x:si>
  <x:si>
    <x:t>UEP.TA.ZZ</x:t>
  </x:si>
  <x:si>
    <x:t>- - - - Advocacy in relation to health services, systems and policies</x:t>
  </x:si>
  <x:si>
    <x:t>http://id.who.int/icd/entity/380704749</x:t>
  </x:si>
  <x:si>
    <x:t>http://id.who.int/icd/release/11/beta/ichi/380704749</x:t>
  </x:si>
  <x:si>
    <x:t>UEP.TB.ZZ</x:t>
  </x:si>
  <x:si>
    <x:t>- - - - Planning in relation to health services, systems and policies</x:t>
  </x:si>
  <x:si>
    <x:t>http://id.who.int/icd/entity/1187696222</x:t>
  </x:si>
  <x:si>
    <x:t>http://id.who.int/icd/release/11/beta/ichi/1187696222</x:t>
  </x:si>
  <x:si>
    <x:t>UEP.TD.ZZ</x:t>
  </x:si>
  <x:si>
    <x:t>- - - - Collaboration relating to health services, systems and policies</x:t>
  </x:si>
  <x:si>
    <x:t>http://id.who.int/icd/entity/738357124</x:t>
  </x:si>
  <x:si>
    <x:t>http://id.who.int/icd/release/11/beta/ichi/738357124</x:t>
  </x:si>
  <x:si>
    <x:t>UEP.TI.ZZ</x:t>
  </x:si>
  <x:si>
    <x:t>- - - - Referral to health provider</x:t>
  </x:si>
  <x:si>
    <x:t>http://id.who.int/icd/entity/419995519</x:t>
  </x:si>
  <x:si>
    <x:t>http://id.who.int/icd/release/11/beta/ichi/419995519</x:t>
  </x:si>
  <x:si>
    <x:t>UEP.TK.ZZ</x:t>
  </x:si>
  <x:si>
    <x:t>- - - - Public facilities or infrastructure development in relation to health services, systems and policies</x:t>
  </x:si>
  <x:si>
    <x:t>http://id.who.int/icd/entity/854979567</x:t>
  </x:si>
  <x:si>
    <x:t>http://id.who.int/icd/release/11/beta/ichi/854979567</x:t>
  </x:si>
  <x:si>
    <x:t>UEP.TM.ZZ</x:t>
  </x:si>
  <x:si>
    <x:t>- - - - Environment modification in relation to health services, systems and policies</x:t>
  </x:si>
  <x:si>
    <x:t>http://id.who.int/icd/entity/599516950</x:t>
  </x:si>
  <x:si>
    <x:t>http://id.who.int/icd/release/11/beta/ichi/599516950</x:t>
  </x:si>
  <x:si>
    <x:t>UEP.VA.ZZ</x:t>
  </x:si>
  <x:si>
    <x:t>- - - - Capacity building targeting health services, systems and policies</x:t>
  </x:si>
  <x:si>
    <x:t>http://id.who.int/icd/entity/163710665</x:t>
  </x:si>
  <x:si>
    <x:t>http://id.who.int/icd/release/11/beta/ichi/163710665</x:t>
  </x:si>
  <x:si>
    <x:t>UEP.VB.ZZ</x:t>
  </x:si>
  <x:si>
    <x:t>- - - - Awareness raising concerning health services, systems and policies</x:t>
  </x:si>
  <x:si>
    <x:t>http://id.who.int/icd/entity/1442863084</x:t>
  </x:si>
  <x:si>
    <x:t>http://id.who.int/icd/release/11/beta/ichi/1442863084</x:t>
  </x:si>
  <x:si>
    <x:t>UEP.VC.ZZ</x:t>
  </x:si>
  <x:si>
    <x:t>- - - - Public health surveillance concerning health services, systems and policies</x:t>
  </x:si>
  <x:si>
    <x:t>http://id.who.int/icd/entity/863076000</x:t>
  </x:si>
  <x:si>
    <x:t>http://id.who.int/icd/release/11/beta/ichi/863076000</x:t>
  </x:si>
  <x:si>
    <x:t>UEP.VE.ZZ</x:t>
  </x:si>
  <x:si>
    <x:t>- - - - Health care infection control measures concerning health services, systems and policies</x:t>
  </x:si>
  <x:si>
    <x:t>http://id.who.int/icd/entity/2035128779</x:t>
  </x:si>
  <x:si>
    <x:t>http://id.who.int/icd/release/11/beta/ichi/2035128779</x:t>
  </x:si>
  <x:si>
    <x:t>UEP.VF.ZZ</x:t>
  </x:si>
  <x:si>
    <x:t>- - - - Alert for health services and systems</x:t>
  </x:si>
  <x:si>
    <x:t>http://id.who.int/icd/entity/108760667</x:t>
  </x:si>
  <x:si>
    <x:t>http://id.who.int/icd/release/11/beta/ichi/108760667</x:t>
  </x:si>
  <x:si>
    <x:t>UEP.VL.ZZ</x:t>
  </x:si>
  <x:si>
    <x:t>- - - - Environmental remediation in relation to health services, systems and policies</x:t>
  </x:si>
  <x:si>
    <x:t>http://id.who.int/icd/entity/61495605</x:t>
  </x:si>
  <x:si>
    <x:t>http://id.who.int/icd/release/11/beta/ichi/61495605</x:t>
  </x:si>
  <x:si>
    <x:t>UEP.VN.ZZ</x:t>
  </x:si>
  <x:si>
    <x:t>- - - - Establishing health services or health-related services in relation to health services, systems and policies</x:t>
  </x:si>
  <x:si>
    <x:t>http://id.who.int/icd/entity/676804005</x:t>
  </x:si>
  <x:si>
    <x:t>http://id.who.int/icd/release/11/beta/ichi/676804005</x:t>
  </x:si>
  <x:si>
    <x:t>UEP.VO.ZZ</x:t>
  </x:si>
  <x:si>
    <x:t>- - - - Marshalling health services or health-related services in relation to health services, systems and policies</x:t>
  </x:si>
  <x:si>
    <x:t>http://id.who.int/icd/entity/957617619</x:t>
  </x:si>
  <x:si>
    <x:t>http://id.who.int/icd/release/11/beta/ichi/957617619</x:t>
  </x:si>
  <x:si>
    <x:t>UEP.VP.ZZ</x:t>
  </x:si>
  <x:si>
    <x:t>- - - - Improving access to health services or health-related services in relation to health services, systems and policies</x:t>
  </x:si>
  <x:si>
    <x:t>http://id.who.int/icd/entity/1285722530</x:t>
  </x:si>
  <x:si>
    <x:t>http://id.who.int/icd/release/11/beta/ichi/1285722530</x:t>
  </x:si>
  <x:si>
    <x:t>UEP.VR.ZZ</x:t>
  </x:si>
  <x:si>
    <x:t>- - - - Reducing emissions from health services, systems and policies</x:t>
  </x:si>
  <x:si>
    <x:t>http://id.who.int/icd/entity/484001809</x:t>
  </x:si>
  <x:si>
    <x:t>http://id.who.int/icd/release/11/beta/ichi/484001809</x:t>
  </x:si>
  <x:si>
    <x:t>UEP.WC.ZZ</x:t>
  </x:si>
  <x:si>
    <x:t>- - - - Restrictions on the sale or distribution of products or services in relation to health services, systems and policies</x:t>
  </x:si>
  <x:si>
    <x:t>http://id.who.int/icd/entity/1125849396</x:t>
  </x:si>
  <x:si>
    <x:t>http://id.who.int/icd/release/11/beta/ichi/1125849396</x:t>
  </x:si>
  <x:si>
    <x:t>UEP.WD.ZZ</x:t>
  </x:si>
  <x:si>
    <x:t>- - - - Restrictions on advertising, promotion or sponsorship of products or services in relation to health services, systems and policies</x:t>
  </x:si>
  <x:si>
    <x:t>http://id.who.int/icd/entity/1759933860</x:t>
  </x:si>
  <x:si>
    <x:t>http://id.who.int/icd/release/11/beta/ichi/1759933860</x:t>
  </x:si>
  <x:si>
    <x:t>UEP.WE.ZZ</x:t>
  </x:si>
  <x:si>
    <x:t>- - - - Restrictions on production or importation of products or services in relation to health services, systems and policies</x:t>
  </x:si>
  <x:si>
    <x:t>http://id.who.int/icd/entity/1015515741</x:t>
  </x:si>
  <x:si>
    <x:t>http://id.who.int/icd/release/11/beta/ichi/1015515741</x:t>
  </x:si>
  <x:si>
    <x:t>UEP.WG.QF</x:t>
  </x:si>
  <x:si>
    <x:t>- - - - Economic incentives in relation to health services, systems and policies</x:t>
  </x:si>
  <x:si>
    <x:t>http://id.who.int/icd/entity/1665522560</x:t>
  </x:si>
  <x:si>
    <x:t>http://id.who.int/icd/release/11/beta/ichi/1665522560</x:t>
  </x:si>
  <x:si>
    <x:t>UEP.WG.ZZ</x:t>
  </x:si>
  <x:si>
    <x:t>- - - - Applying incentives in relation to health services, systems and policies</x:t>
  </x:si>
  <x:si>
    <x:t>http://id.who.int/icd/entity/859701967</x:t>
  </x:si>
  <x:si>
    <x:t>http://id.who.int/icd/release/11/beta/ichi/859701967</x:t>
  </x:si>
  <x:si>
    <x:t>UEP.WI.QD</x:t>
  </x:si>
  <x:si>
    <x:t>- - - - Restrictions through enactment of laws or standards in relation to health services, systems and policies</x:t>
  </x:si>
  <x:si>
    <x:t>http://id.who.int/icd/entity/470210633</x:t>
  </x:si>
  <x:si>
    <x:t>http://id.who.int/icd/release/11/beta/ichi/470210633</x:t>
  </x:si>
  <x:si>
    <x:t>UEP.WI.QE</x:t>
  </x:si>
  <x:si>
    <x:t>- - - - Restrictions through enforcement of laws or standards in relation to health services, systems and policies</x:t>
  </x:si>
  <x:si>
    <x:t>http://id.who.int/icd/entity/939242713</x:t>
  </x:si>
  <x:si>
    <x:t>http://id.who.int/icd/release/11/beta/ichi/939242713</x:t>
  </x:si>
  <x:si>
    <x:t>UEP.WI.ZZ</x:t>
  </x:si>
  <x:si>
    <x:t>- - - - Restrictions through laws or standards in relation to health services, systems and policies</x:t>
  </x:si>
  <x:si>
    <x:t>http://id.who.int/icd/entity/649630895</x:t>
  </x:si>
  <x:si>
    <x:t>http://id.who.int/icd/release/11/beta/ichi/649630895</x:t>
  </x:si>
  <x:si>
    <x:t>UEP.WJ.ZZ</x:t>
  </x:si>
  <x:si>
    <x:t>- - - - Policy change in relation to health services, systems and policies</x:t>
  </x:si>
  <x:si>
    <x:t>http://id.who.int/icd/entity/2090618533</x:t>
  </x:si>
  <x:si>
    <x:t>http://id.who.int/icd/release/11/beta/ichi/2090618533</x:t>
  </x:si>
  <x:si>
    <x:t>UEQ.AA.ZZ</x:t>
  </x:si>
  <x:si>
    <x:t>- - - - Assessment of education and training services, systems and policies</x:t>
  </x:si>
  <x:si>
    <x:t>http://id.who.int/icd/entity/1809985549</x:t>
  </x:si>
  <x:si>
    <x:t>http://id.who.int/icd/release/11/beta/ichi/1809985549</x:t>
  </x:si>
  <x:si>
    <x:t>UEQ.PH.ZZ</x:t>
  </x:si>
  <x:si>
    <x:t>- - - - Training about education and training services, systems and policies</x:t>
  </x:si>
  <x:si>
    <x:t>http://id.who.int/icd/entity/61304252</x:t>
  </x:si>
  <x:si>
    <x:t>http://id.who.int/icd/release/11/beta/ichi/61304252</x:t>
  </x:si>
  <x:si>
    <x:t>UEQ.PM.ZZ</x:t>
  </x:si>
  <x:si>
    <x:t>- - - - Education about education and training services, systems and policies</x:t>
  </x:si>
  <x:si>
    <x:t>http://id.who.int/icd/entity/110314054</x:t>
  </x:si>
  <x:si>
    <x:t>http://id.who.int/icd/release/11/beta/ichi/110314054</x:t>
  </x:si>
  <x:si>
    <x:t>UEQ.PN.ZZ</x:t>
  </x:si>
  <x:si>
    <x:t>- - - - Advising about education and training services, systems and policies</x:t>
  </x:si>
  <x:si>
    <x:t>http://id.who.int/icd/entity/1075797149</x:t>
  </x:si>
  <x:si>
    <x:t>http://id.who.int/icd/release/11/beta/ichi/1075797149</x:t>
  </x:si>
  <x:si>
    <x:t>UEQ.RB.ZZ</x:t>
  </x:si>
  <x:si>
    <x:t>- - - - Practical support about education and training services, systems and policies</x:t>
  </x:si>
  <x:si>
    <x:t>http://id.who.int/icd/entity/1365015787</x:t>
  </x:si>
  <x:si>
    <x:t>http://id.who.int/icd/release/11/beta/ichi/1365015787</x:t>
  </x:si>
  <x:si>
    <x:t>UEQ.RD.ZZ</x:t>
  </x:si>
  <x:si>
    <x:t>- - - - Providing goods in relation to education and training services, systems and policies</x:t>
  </x:si>
  <x:si>
    <x:t>http://id.who.int/icd/entity/2003308417</x:t>
  </x:si>
  <x:si>
    <x:t>http://id.who.int/icd/release/11/beta/ichi/2003308417</x:t>
  </x:si>
  <x:si>
    <x:t>UEQ.RG.ZZ</x:t>
  </x:si>
  <x:si>
    <x:t>- - - - Providing education and training services, systems and policies</x:t>
  </x:si>
  <x:si>
    <x:t>http://id.who.int/icd/entity/1270673985</x:t>
  </x:si>
  <x:si>
    <x:t>http://id.who.int/icd/release/11/beta/ichi/1270673985</x:t>
  </x:si>
  <x:si>
    <x:t>UEQ.TA.ZZ</x:t>
  </x:si>
  <x:si>
    <x:t>- - - - Advocacy in relation to education and training services, systems and policies</x:t>
  </x:si>
  <x:si>
    <x:t>http://id.who.int/icd/entity/466037746</x:t>
  </x:si>
  <x:si>
    <x:t>http://id.who.int/icd/release/11/beta/ichi/466037746</x:t>
  </x:si>
  <x:si>
    <x:t>UEQ.TB.ZZ</x:t>
  </x:si>
  <x:si>
    <x:t>- - - - Planning in relation to education and training services, systems and policies</x:t>
  </x:si>
  <x:si>
    <x:t>http://id.who.int/icd/entity/1141209811</x:t>
  </x:si>
  <x:si>
    <x:t>http://id.who.int/icd/release/11/beta/ichi/1141209811</x:t>
  </x:si>
  <x:si>
    <x:t>UEQ.TD.ZZ</x:t>
  </x:si>
  <x:si>
    <x:t>- - - - Collaboration relating to education and training services, systems and policies</x:t>
  </x:si>
  <x:si>
    <x:t>http://id.who.int/icd/entity/1878529603</x:t>
  </x:si>
  <x:si>
    <x:t>http://id.who.int/icd/release/11/beta/ichi/1878529603</x:t>
  </x:si>
  <x:si>
    <x:t>UEQ.TK.ZZ</x:t>
  </x:si>
  <x:si>
    <x:t>- - - - Public facilities or infrastructure development in relation to education and training services, systems and policies</x:t>
  </x:si>
  <x:si>
    <x:t>http://id.who.int/icd/entity/336963948</x:t>
  </x:si>
  <x:si>
    <x:t>http://id.who.int/icd/release/11/beta/ichi/336963948</x:t>
  </x:si>
  <x:si>
    <x:t>UEQ.TM.ZZ</x:t>
  </x:si>
  <x:si>
    <x:t>- - - - Environment modification in relation to education and training services, systems and policies</x:t>
  </x:si>
  <x:si>
    <x:t>http://id.who.int/icd/entity/1272445007</x:t>
  </x:si>
  <x:si>
    <x:t>http://id.who.int/icd/release/11/beta/ichi/1272445007</x:t>
  </x:si>
  <x:si>
    <x:t>UEQ.VA.ZZ</x:t>
  </x:si>
  <x:si>
    <x:t>- - - - Capacity building targeting education and training services, systems and policies</x:t>
  </x:si>
  <x:si>
    <x:t>http://id.who.int/icd/entity/464265726</x:t>
  </x:si>
  <x:si>
    <x:t>http://id.who.int/icd/release/11/beta/ichi/464265726</x:t>
  </x:si>
  <x:si>
    <x:t>UEQ.VB.ZZ</x:t>
  </x:si>
  <x:si>
    <x:t>- - - - Awareness raising concerning education and training services, systems and policies</x:t>
  </x:si>
  <x:si>
    <x:t>http://id.who.int/icd/entity/1847240077</x:t>
  </x:si>
  <x:si>
    <x:t>http://id.who.int/icd/release/11/beta/ichi/1847240077</x:t>
  </x:si>
  <x:si>
    <x:t>UEQ.VC.ZZ</x:t>
  </x:si>
  <x:si>
    <x:t>- - - - Public health surveillance concerning education and training services, systems and policies</x:t>
  </x:si>
  <x:si>
    <x:t>http://id.who.int/icd/entity/1172818205</x:t>
  </x:si>
  <x:si>
    <x:t>http://id.who.int/icd/release/11/beta/ichi/1172818205</x:t>
  </x:si>
  <x:si>
    <x:t>UEQ.VF.ZZ</x:t>
  </x:si>
  <x:si>
    <x:t>- - - - Alert concerning education and training services, systems and policies</x:t>
  </x:si>
  <x:si>
    <x:t>http://id.who.int/icd/entity/1420093803</x:t>
  </x:si>
  <x:si>
    <x:t>http://id.who.int/icd/release/11/beta/ichi/1420093803</x:t>
  </x:si>
  <x:si>
    <x:t>UEQ.VL.ZZ</x:t>
  </x:si>
  <x:si>
    <x:t>- - - - Environmental remediation in relation to education and training services, systems and policies</x:t>
  </x:si>
  <x:si>
    <x:t>http://id.who.int/icd/entity/1366638085</x:t>
  </x:si>
  <x:si>
    <x:t>http://id.who.int/icd/release/11/beta/ichi/1366638085</x:t>
  </x:si>
  <x:si>
    <x:t>UEQ.VN.ZZ</x:t>
  </x:si>
  <x:si>
    <x:t>- - - - Establishing health services or health-related services in relation to education and training services, systems and policies</x:t>
  </x:si>
  <x:si>
    <x:t>http://id.who.int/icd/entity/17754036</x:t>
  </x:si>
  <x:si>
    <x:t>http://id.who.int/icd/release/11/beta/ichi/17754036</x:t>
  </x:si>
  <x:si>
    <x:t>UEQ.VO.ZZ</x:t>
  </x:si>
  <x:si>
    <x:t>- - - - Marshalling health services or health-related services in relation to education and training services, systems and policies</x:t>
  </x:si>
  <x:si>
    <x:t>http://id.who.int/icd/entity/1590474391</x:t>
  </x:si>
  <x:si>
    <x:t>http://id.who.int/icd/release/11/beta/ichi/1590474391</x:t>
  </x:si>
  <x:si>
    <x:t>UEQ.VP.ZZ</x:t>
  </x:si>
  <x:si>
    <x:t>- - - - Improving access to health services or health-related services in relation to education and training services, systems and policies</x:t>
  </x:si>
  <x:si>
    <x:t>http://id.who.int/icd/entity/1966201351</x:t>
  </x:si>
  <x:si>
    <x:t>http://id.who.int/icd/release/11/beta/ichi/1966201351</x:t>
  </x:si>
  <x:si>
    <x:t>UEQ.VR.ZZ</x:t>
  </x:si>
  <x:si>
    <x:t>- - - - Reducing emissions from education and training services, systems and policies</x:t>
  </x:si>
  <x:si>
    <x:t>http://id.who.int/icd/entity/1309028129</x:t>
  </x:si>
  <x:si>
    <x:t>http://id.who.int/icd/release/11/beta/ichi/1309028129</x:t>
  </x:si>
  <x:si>
    <x:t>UEQ.WC.ZZ</x:t>
  </x:si>
  <x:si>
    <x:t>- - - - Restrictions on the sale or distribution of products or services in relation to education and training services, systems and policies</x:t>
  </x:si>
  <x:si>
    <x:t>http://id.who.int/icd/entity/298089986</x:t>
  </x:si>
  <x:si>
    <x:t>http://id.who.int/icd/release/11/beta/ichi/298089986</x:t>
  </x:si>
  <x:si>
    <x:t>UEQ.WD.ZZ</x:t>
  </x:si>
  <x:si>
    <x:t>- - - - Restrictions on advertising, promotion or sponsorship of products or services in relation to education and training services, systems and policies</x:t>
  </x:si>
  <x:si>
    <x:t>http://id.who.int/icd/entity/1103079347</x:t>
  </x:si>
  <x:si>
    <x:t>http://id.who.int/icd/release/11/beta/ichi/1103079347</x:t>
  </x:si>
  <x:si>
    <x:t>UEQ.WE.ZZ</x:t>
  </x:si>
  <x:si>
    <x:t>- - - - Restrictions on production or importation of products or services in relation to education and training services, systems and policies</x:t>
  </x:si>
  <x:si>
    <x:t>http://id.who.int/icd/entity/1532963097</x:t>
  </x:si>
  <x:si>
    <x:t>http://id.who.int/icd/release/11/beta/ichi/1532963097</x:t>
  </x:si>
  <x:si>
    <x:t>UEQ.WG.QF</x:t>
  </x:si>
  <x:si>
    <x:t>- - - - Economic incentives in relation to education and training services, systems and policies</x:t>
  </x:si>
  <x:si>
    <x:t>http://id.who.int/icd/entity/1889682825</x:t>
  </x:si>
  <x:si>
    <x:t>http://id.who.int/icd/release/11/beta/ichi/1889682825</x:t>
  </x:si>
  <x:si>
    <x:t>UEQ.WG.ZZ</x:t>
  </x:si>
  <x:si>
    <x:t>- - - - Applying incentives in relation to education and training services, systems and policies</x:t>
  </x:si>
  <x:si>
    <x:t>http://id.who.int/icd/entity/1642161663</x:t>
  </x:si>
  <x:si>
    <x:t>http://id.who.int/icd/release/11/beta/ichi/1642161663</x:t>
  </x:si>
  <x:si>
    <x:t>UEQ.WI.QD</x:t>
  </x:si>
  <x:si>
    <x:t>- - - - Restrictions through enactment of laws or standards in relation to education and training services, systems and policies</x:t>
  </x:si>
  <x:si>
    <x:t>http://id.who.int/icd/entity/1078843713</x:t>
  </x:si>
  <x:si>
    <x:t>http://id.who.int/icd/release/11/beta/ichi/1078843713</x:t>
  </x:si>
  <x:si>
    <x:t>UEQ.WI.QE</x:t>
  </x:si>
  <x:si>
    <x:t>- - - - Restrictions through enforcement of laws or standards in relation to education and training services, systems and policies</x:t>
  </x:si>
  <x:si>
    <x:t>http://id.who.int/icd/entity/271974642</x:t>
  </x:si>
  <x:si>
    <x:t>http://id.who.int/icd/release/11/beta/ichi/271974642</x:t>
  </x:si>
  <x:si>
    <x:t>UEQ.WI.ZZ</x:t>
  </x:si>
  <x:si>
    <x:t>- - - - Restrictions through laws or standards in relation to education and training services, systems and policies</x:t>
  </x:si>
  <x:si>
    <x:t>http://id.who.int/icd/entity/1341411795</x:t>
  </x:si>
  <x:si>
    <x:t>http://id.who.int/icd/release/11/beta/ichi/1341411795</x:t>
  </x:si>
  <x:si>
    <x:t>UEQ.WJ.ZZ</x:t>
  </x:si>
  <x:si>
    <x:t>- - - - Policy change in relation to education and training services, systems and policies</x:t>
  </x:si>
  <x:si>
    <x:t>http://id.who.int/icd/entity/1980885449</x:t>
  </x:si>
  <x:si>
    <x:t>http://id.who.int/icd/release/11/beta/ichi/1980885449</x:t>
  </x:si>
  <x:si>
    <x:t>UER.AA.ZZ</x:t>
  </x:si>
  <x:si>
    <x:t>- - - - Assessment of labour and employment services, systems and policies</x:t>
  </x:si>
  <x:si>
    <x:t>http://id.who.int/icd/entity/1641936046</x:t>
  </x:si>
  <x:si>
    <x:t>http://id.who.int/icd/release/11/beta/ichi/1641936046</x:t>
  </x:si>
  <x:si>
    <x:t>UER.PH.ZZ</x:t>
  </x:si>
  <x:si>
    <x:t>- - - - Training about labour and employment services, systems and policies</x:t>
  </x:si>
  <x:si>
    <x:t>http://id.who.int/icd/entity/1498485607</x:t>
  </x:si>
  <x:si>
    <x:t>http://id.who.int/icd/release/11/beta/ichi/1498485607</x:t>
  </x:si>
  <x:si>
    <x:t>UER.PM.ZZ</x:t>
  </x:si>
  <x:si>
    <x:t>- - - - Education about labour and employment services, systems and policies</x:t>
  </x:si>
  <x:si>
    <x:t>http://id.who.int/icd/entity/1665724401</x:t>
  </x:si>
  <x:si>
    <x:t>http://id.who.int/icd/release/11/beta/ichi/1665724401</x:t>
  </x:si>
  <x:si>
    <x:t>UER.PN.ZZ</x:t>
  </x:si>
  <x:si>
    <x:t>- - - - Advising about labour and employment services, systems and policies</x:t>
  </x:si>
  <x:si>
    <x:t>http://id.who.int/icd/entity/1889457370</x:t>
  </x:si>
  <x:si>
    <x:t>http://id.who.int/icd/release/11/beta/ichi/1889457370</x:t>
  </x:si>
  <x:si>
    <x:t>UER.RB.ZZ</x:t>
  </x:si>
  <x:si>
    <x:t>- - - - Practical support about labour and employment services, systems and policies</x:t>
  </x:si>
  <x:si>
    <x:t>http://id.who.int/icd/entity/1173494436</x:t>
  </x:si>
  <x:si>
    <x:t>http://id.who.int/icd/release/11/beta/ichi/1173494436</x:t>
  </x:si>
  <x:si>
    <x:t>UER.RD.ZZ</x:t>
  </x:si>
  <x:si>
    <x:t>- - - - Providing goods in relation to labour and employment services, systems and policies</x:t>
  </x:si>
  <x:si>
    <x:t>http://id.who.int/icd/entity/1107608059</x:t>
  </x:si>
  <x:si>
    <x:t>http://id.who.int/icd/release/11/beta/ichi/1107608059</x:t>
  </x:si>
  <x:si>
    <x:t>UER.RG.ZZ</x:t>
  </x:si>
  <x:si>
    <x:t>- - - - Providing labour and employment services, systems and policies</x:t>
  </x:si>
  <x:si>
    <x:t>http://id.who.int/icd/entity/361349907</x:t>
  </x:si>
  <x:si>
    <x:t>http://id.who.int/icd/release/11/beta/ichi/361349907</x:t>
  </x:si>
  <x:si>
    <x:t>UER.TA.ZZ</x:t>
  </x:si>
  <x:si>
    <x:t>- - - - Advocacy in relation to labour and employment services, systems and policies</x:t>
  </x:si>
  <x:si>
    <x:t>http://id.who.int/icd/entity/1246466610</x:t>
  </x:si>
  <x:si>
    <x:t>http://id.who.int/icd/release/11/beta/ichi/1246466610</x:t>
  </x:si>
  <x:si>
    <x:t>UER.TB.ZZ</x:t>
  </x:si>
  <x:si>
    <x:t>- - - - Planning in relation to labour and employment services, systems and policies</x:t>
  </x:si>
  <x:si>
    <x:t>http://id.who.int/icd/entity/1639382690</x:t>
  </x:si>
  <x:si>
    <x:t>http://id.who.int/icd/release/11/beta/ichi/1639382690</x:t>
  </x:si>
  <x:si>
    <x:t>UER.TD.ZZ</x:t>
  </x:si>
  <x:si>
    <x:t>- - - - Collaboration relating to labour and employment services, systems and policies</x:t>
  </x:si>
  <x:si>
    <x:t>http://id.who.int/icd/entity/1518406536</x:t>
  </x:si>
  <x:si>
    <x:t>http://id.who.int/icd/release/11/beta/ichi/1518406536</x:t>
  </x:si>
  <x:si>
    <x:t>UER.TK.ZZ</x:t>
  </x:si>
  <x:si>
    <x:t>- - - - Public facilities or infrastructure development in relation to labour and employment services, systems and policies</x:t>
  </x:si>
  <x:si>
    <x:t>http://id.who.int/icd/entity/88300197</x:t>
  </x:si>
  <x:si>
    <x:t>http://id.who.int/icd/release/11/beta/ichi/88300197</x:t>
  </x:si>
  <x:si>
    <x:t>UER.TM.ZZ</x:t>
  </x:si>
  <x:si>
    <x:t>- - - - Environment modification in relation to labour and employment services, systems and policies</x:t>
  </x:si>
  <x:si>
    <x:t>http://id.who.int/icd/entity/1429766934</x:t>
  </x:si>
  <x:si>
    <x:t>http://id.who.int/icd/release/11/beta/ichi/1429766934</x:t>
  </x:si>
  <x:si>
    <x:t>UER.VA.ZZ</x:t>
  </x:si>
  <x:si>
    <x:t>- - - - Capacity building targeting labour and employment services, systems and policies</x:t>
  </x:si>
  <x:si>
    <x:t>http://id.who.int/icd/entity/1357468796</x:t>
  </x:si>
  <x:si>
    <x:t>http://id.who.int/icd/release/11/beta/ichi/1357468796</x:t>
  </x:si>
  <x:si>
    <x:t>UER.VB.ZZ</x:t>
  </x:si>
  <x:si>
    <x:t>- - - - Awareness raising concerning labour and employment services, systems and policies</x:t>
  </x:si>
  <x:si>
    <x:t>http://id.who.int/icd/entity/2064922860</x:t>
  </x:si>
  <x:si>
    <x:t>http://id.who.int/icd/release/11/beta/ichi/2064922860</x:t>
  </x:si>
  <x:si>
    <x:t>UER.VC.ZZ</x:t>
  </x:si>
  <x:si>
    <x:t>- - - - Public health surveillance concerning labour and employment services, systems and policies</x:t>
  </x:si>
  <x:si>
    <x:t>http://id.who.int/icd/entity/1784092828</x:t>
  </x:si>
  <x:si>
    <x:t>http://id.who.int/icd/release/11/beta/ichi/1784092828</x:t>
  </x:si>
  <x:si>
    <x:t>UER.VF.ZZ</x:t>
  </x:si>
  <x:si>
    <x:t>- - - - Alert concerning labour and employment services, systems and policies</x:t>
  </x:si>
  <x:si>
    <x:t>http://id.who.int/icd/entity/534879471</x:t>
  </x:si>
  <x:si>
    <x:t>http://id.who.int/icd/release/11/beta/ichi/534879471</x:t>
  </x:si>
  <x:si>
    <x:t>UER.VL.ZZ</x:t>
  </x:si>
  <x:si>
    <x:t>- - - - Environmental remediation in relation to labour and employment services, systems and policies</x:t>
  </x:si>
  <x:si>
    <x:t>http://id.who.int/icd/entity/1335510368</x:t>
  </x:si>
  <x:si>
    <x:t>http://id.who.int/icd/release/11/beta/ichi/1335510368</x:t>
  </x:si>
  <x:si>
    <x:t>UER.VN.ZZ</x:t>
  </x:si>
  <x:si>
    <x:t>- - - - Establishing health services or health-related services in relation to labour and employment services, systems and policies</x:t>
  </x:si>
  <x:si>
    <x:t>http://id.who.int/icd/entity/274207869</x:t>
  </x:si>
  <x:si>
    <x:t>http://id.who.int/icd/release/11/beta/ichi/274207869</x:t>
  </x:si>
  <x:si>
    <x:t>UER.VO.ZZ</x:t>
  </x:si>
  <x:si>
    <x:t>- - - - Marshalling health services or health-related services in relation to labour and employment services, systems and policies</x:t>
  </x:si>
  <x:si>
    <x:t>http://id.who.int/icd/entity/1000700141</x:t>
  </x:si>
  <x:si>
    <x:t>http://id.who.int/icd/release/11/beta/ichi/1000700141</x:t>
  </x:si>
  <x:si>
    <x:t>UER.VP.ZZ</x:t>
  </x:si>
  <x:si>
    <x:t>- - - - Improving access to health services or health-related services in relation to labour and employment services, systems and policies</x:t>
  </x:si>
  <x:si>
    <x:t>http://id.who.int/icd/entity/1875150612</x:t>
  </x:si>
  <x:si>
    <x:t>http://id.who.int/icd/release/11/beta/ichi/1875150612</x:t>
  </x:si>
  <x:si>
    <x:t>UER.VR.ZZ</x:t>
  </x:si>
  <x:si>
    <x:t>- - - - Reducing emissions from labour and employment services, systems and policies</x:t>
  </x:si>
  <x:si>
    <x:t>http://id.who.int/icd/entity/805754417</x:t>
  </x:si>
  <x:si>
    <x:t>http://id.who.int/icd/release/11/beta/ichi/805754417</x:t>
  </x:si>
  <x:si>
    <x:t>UER.WC.ZZ</x:t>
  </x:si>
  <x:si>
    <x:t>- - - - Restrictions on the sale or distribution of products or services in relation to labour and employment services, systems and policies</x:t>
  </x:si>
  <x:si>
    <x:t>http://id.who.int/icd/entity/1618808706</x:t>
  </x:si>
  <x:si>
    <x:t>http://id.who.int/icd/release/11/beta/ichi/1618808706</x:t>
  </x:si>
  <x:si>
    <x:t>UER.WD.ZZ</x:t>
  </x:si>
  <x:si>
    <x:t>- - - - Restrictions on advertising, promotion or sponsorship of products or services in relation to labour and employment services, systems and policies</x:t>
  </x:si>
  <x:si>
    <x:t>http://id.who.int/icd/entity/1104261950</x:t>
  </x:si>
  <x:si>
    <x:t>http://id.who.int/icd/release/11/beta/ichi/1104261950</x:t>
  </x:si>
  <x:si>
    <x:t>UER.WE.ZZ</x:t>
  </x:si>
  <x:si>
    <x:t>- - - - Restrictions on production or importation of products or services in relation to labour and employment services, systems and policies</x:t>
  </x:si>
  <x:si>
    <x:t>http://id.who.int/icd/entity/1781325742</x:t>
  </x:si>
  <x:si>
    <x:t>http://id.who.int/icd/release/11/beta/ichi/1781325742</x:t>
  </x:si>
  <x:si>
    <x:t>UER.WG.QF</x:t>
  </x:si>
  <x:si>
    <x:t>- - - - Economic incentives in relation to labour and employment services, systems and policies</x:t>
  </x:si>
  <x:si>
    <x:t>http://id.who.int/icd/entity/2070937562</x:t>
  </x:si>
  <x:si>
    <x:t>http://id.who.int/icd/release/11/beta/ichi/2070937562</x:t>
  </x:si>
  <x:si>
    <x:t>UER.WG.ZZ</x:t>
  </x:si>
  <x:si>
    <x:t>- - - - Applying incentives in relation to labour and employment services, systems and policies</x:t>
  </x:si>
  <x:si>
    <x:t>http://id.who.int/icd/entity/249133995</x:t>
  </x:si>
  <x:si>
    <x:t>http://id.who.int/icd/release/11/beta/ichi/249133995</x:t>
  </x:si>
  <x:si>
    <x:t>UER.WI.QD</x:t>
  </x:si>
  <x:si>
    <x:t>- - - - Restrictions through enactment of laws or standards in relation to labour and employment services, systems and policies</x:t>
  </x:si>
  <x:si>
    <x:t>http://id.who.int/icd/entity/1587716634</x:t>
  </x:si>
  <x:si>
    <x:t>http://id.who.int/icd/release/11/beta/ichi/1587716634</x:t>
  </x:si>
  <x:si>
    <x:t>UER.WI.QE</x:t>
  </x:si>
  <x:si>
    <x:t>- - - - Restrictions through enforcement of laws or standards in relation to labour and employment services, systems and policies</x:t>
  </x:si>
  <x:si>
    <x:t>http://id.who.int/icd/entity/23130937</x:t>
  </x:si>
  <x:si>
    <x:t>http://id.who.int/icd/release/11/beta/ichi/23130937</x:t>
  </x:si>
  <x:si>
    <x:t>UER.WI.ZZ</x:t>
  </x:si>
  <x:si>
    <x:t>- - - - Restrictions through laws or standards in relation to labour and employment services, systems and policies</x:t>
  </x:si>
  <x:si>
    <x:t>http://id.who.int/icd/entity/714973097</x:t>
  </x:si>
  <x:si>
    <x:t>http://id.who.int/icd/release/11/beta/ichi/714973097</x:t>
  </x:si>
  <x:si>
    <x:t>UER.WJ.ZZ</x:t>
  </x:si>
  <x:si>
    <x:t>- - - - Policy change in relation to labour and employment services, systems and policies</x:t>
  </x:si>
  <x:si>
    <x:t>http://id.who.int/icd/entity/1928673085</x:t>
  </x:si>
  <x:si>
    <x:t>http://id.who.int/icd/release/11/beta/ichi/1928673085</x:t>
  </x:si>
  <x:si>
    <x:t>UES.AA.ZZ</x:t>
  </x:si>
  <x:si>
    <x:t>- - - - Assessment of political services, systems and policies</x:t>
  </x:si>
  <x:si>
    <x:t>http://id.who.int/icd/entity/967151878</x:t>
  </x:si>
  <x:si>
    <x:t>http://id.who.int/icd/release/11/beta/ichi/967151878</x:t>
  </x:si>
  <x:si>
    <x:t>UES.PH.ZZ</x:t>
  </x:si>
  <x:si>
    <x:t>- - - - Training about political services, systems and policies</x:t>
  </x:si>
  <x:si>
    <x:t>http://id.who.int/icd/entity/1718075429</x:t>
  </x:si>
  <x:si>
    <x:t>http://id.who.int/icd/release/11/beta/ichi/1718075429</x:t>
  </x:si>
  <x:si>
    <x:t>UES.PM.ZZ</x:t>
  </x:si>
  <x:si>
    <x:t>- - - - Education about aspects of political services, systems and policies</x:t>
  </x:si>
  <x:si>
    <x:t>http://id.who.int/icd/entity/907811220</x:t>
  </x:si>
  <x:si>
    <x:t>http://id.who.int/icd/release/11/beta/ichi/907811220</x:t>
  </x:si>
  <x:si>
    <x:t>UES.PN.ZZ</x:t>
  </x:si>
  <x:si>
    <x:t>- - - - Advising about political services, systems and policies</x:t>
  </x:si>
  <x:si>
    <x:t>http://id.who.int/icd/entity/1135255015</x:t>
  </x:si>
  <x:si>
    <x:t>http://id.who.int/icd/release/11/beta/ichi/1135255015</x:t>
  </x:si>
  <x:si>
    <x:t>UES.RB.ZZ</x:t>
  </x:si>
  <x:si>
    <x:t>- - - - Practical support about political services, systems and policies</x:t>
  </x:si>
  <x:si>
    <x:t>http://id.who.int/icd/entity/1750593911</x:t>
  </x:si>
  <x:si>
    <x:t>http://id.who.int/icd/release/11/beta/ichi/1750593911</x:t>
  </x:si>
  <x:si>
    <x:t>UES.RD.ZZ</x:t>
  </x:si>
  <x:si>
    <x:t>- - - - Providing goods in relation to political services, systems and policies</x:t>
  </x:si>
  <x:si>
    <x:t>http://id.who.int/icd/entity/2031407361</x:t>
  </x:si>
  <x:si>
    <x:t>http://id.who.int/icd/release/11/beta/ichi/2031407361</x:t>
  </x:si>
  <x:si>
    <x:t>UES.RG.ZZ</x:t>
  </x:si>
  <x:si>
    <x:t>- - - - Providing political services, systems and policies</x:t>
  </x:si>
  <x:si>
    <x:t>http://id.who.int/icd/entity/1676959659</x:t>
  </x:si>
  <x:si>
    <x:t>http://id.who.int/icd/release/11/beta/ichi/1676959659</x:t>
  </x:si>
  <x:si>
    <x:t>UES.TA.ZZ</x:t>
  </x:si>
  <x:si>
    <x:t>- - - - Advocacy in relation to political services, systems and policies</x:t>
  </x:si>
  <x:si>
    <x:t>http://id.who.int/icd/entity/865043996</x:t>
  </x:si>
  <x:si>
    <x:t>http://id.who.int/icd/release/11/beta/ichi/865043996</x:t>
  </x:si>
  <x:si>
    <x:t>UES.TB.ZZ</x:t>
  </x:si>
  <x:si>
    <x:t>- - - - Planning in relation to political services, systems and policies</x:t>
  </x:si>
  <x:si>
    <x:t>http://id.who.int/icd/entity/1817040697</x:t>
  </x:si>
  <x:si>
    <x:t>http://id.who.int/icd/release/11/beta/ichi/1817040697</x:t>
  </x:si>
  <x:si>
    <x:t>UES.TD.ZZ</x:t>
  </x:si>
  <x:si>
    <x:t>- - - - Collaboration relating to political services, systems and policies</x:t>
  </x:si>
  <x:si>
    <x:t>http://id.who.int/icd/entity/1202764713</x:t>
  </x:si>
  <x:si>
    <x:t>http://id.who.int/icd/release/11/beta/ichi/1202764713</x:t>
  </x:si>
  <x:si>
    <x:t>UES.TK.ZZ</x:t>
  </x:si>
  <x:si>
    <x:t>- - - - Public facilities or infrastructure development in relation to political services, systems and policies</x:t>
  </x:si>
  <x:si>
    <x:t>http://id.who.int/icd/entity/1066357277</x:t>
  </x:si>
  <x:si>
    <x:t>http://id.who.int/icd/release/11/beta/ichi/1066357277</x:t>
  </x:si>
  <x:si>
    <x:t>UES.TM.ZZ</x:t>
  </x:si>
  <x:si>
    <x:t>- - - - Environment modification in relation to political services, systems and policies</x:t>
  </x:si>
  <x:si>
    <x:t>http://id.who.int/icd/entity/1615659838</x:t>
  </x:si>
  <x:si>
    <x:t>http://id.who.int/icd/release/11/beta/ichi/1615659838</x:t>
  </x:si>
  <x:si>
    <x:t>UES.VA.ZZ</x:t>
  </x:si>
  <x:si>
    <x:t>- - - - Capacity building targeting political services, systems and policies</x:t>
  </x:si>
  <x:si>
    <x:t>http://id.who.int/icd/entity/808901263</x:t>
  </x:si>
  <x:si>
    <x:t>http://id.who.int/icd/release/11/beta/ichi/808901263</x:t>
  </x:si>
  <x:si>
    <x:t>UES.VB.ZZ</x:t>
  </x:si>
  <x:si>
    <x:t>- - - - Awareness raising concerning political services, systems and policies</x:t>
  </x:si>
  <x:si>
    <x:t>http://id.who.int/icd/entity/1166040830</x:t>
  </x:si>
  <x:si>
    <x:t>http://id.who.int/icd/release/11/beta/ichi/1166040830</x:t>
  </x:si>
  <x:si>
    <x:t>UES.VC.ZZ</x:t>
  </x:si>
  <x:si>
    <x:t>- - - - Public health surveillance concerning political services, systems and policies</x:t>
  </x:si>
  <x:si>
    <x:t>http://id.who.int/icd/entity/1853698670</x:t>
  </x:si>
  <x:si>
    <x:t>http://id.who.int/icd/release/11/beta/ichi/1853698670</x:t>
  </x:si>
  <x:si>
    <x:t>UES.VF.ZZ</x:t>
  </x:si>
  <x:si>
    <x:t>- - - - Alert concerning political services, systems and policies</x:t>
  </x:si>
  <x:si>
    <x:t>http://id.who.int/icd/entity/2134774298</x:t>
  </x:si>
  <x:si>
    <x:t>http://id.who.int/icd/release/11/beta/ichi/2134774298</x:t>
  </x:si>
  <x:si>
    <x:t>UES.VL.ZZ</x:t>
  </x:si>
  <x:si>
    <x:t>- - - - Environmental remediation in relation to political services, systems and policies</x:t>
  </x:si>
  <x:si>
    <x:t>http://id.who.int/icd/entity/2062534004</x:t>
  </x:si>
  <x:si>
    <x:t>http://id.who.int/icd/release/11/beta/ichi/2062534004</x:t>
  </x:si>
  <x:si>
    <x:t>UES.VN.ZZ</x:t>
  </x:si>
  <x:si>
    <x:t>- - - - Establishing health services or health-related services in relation to political services, systems and policies</x:t>
  </x:si>
  <x:si>
    <x:t>http://id.who.int/icd/entity/714349765</x:t>
  </x:si>
  <x:si>
    <x:t>http://id.who.int/icd/release/11/beta/ichi/714349765</x:t>
  </x:si>
  <x:si>
    <x:t>UES.VO.ZZ</x:t>
  </x:si>
  <x:si>
    <x:t>- - - - Marshalling health services or health-related services in relation to political services, systems and policies</x:t>
  </x:si>
  <x:si>
    <x:t>http://id.who.int/icd/entity/1968590310</x:t>
  </x:si>
  <x:si>
    <x:t>http://id.who.int/icd/release/11/beta/ichi/1968590310</x:t>
  </x:si>
  <x:si>
    <x:t>UES.VP.ZZ</x:t>
  </x:si>
  <x:si>
    <x:t>- - - - Improving access to health services or health-related services in relation to political services, systems and policies</x:t>
  </x:si>
  <x:si>
    <x:t>http://id.who.int/icd/entity/1588273526</x:t>
  </x:si>
  <x:si>
    <x:t>http://id.who.int/icd/release/11/beta/ichi/1588273526</x:t>
  </x:si>
  <x:si>
    <x:t>UES.VR.ZZ</x:t>
  </x:si>
  <x:si>
    <x:t>- - - - Reducing emissions from political services, systems and policies</x:t>
  </x:si>
  <x:si>
    <x:t>http://id.who.int/icd/entity/1704776784</x:t>
  </x:si>
  <x:si>
    <x:t>http://id.who.int/icd/release/11/beta/ichi/1704776784</x:t>
  </x:si>
  <x:si>
    <x:t>UES.WC.ZZ</x:t>
  </x:si>
  <x:si>
    <x:t>- - - - Restrictions on the sale or distribution of products or services in relation to political services, systems and policies</x:t>
  </x:si>
  <x:si>
    <x:t>http://id.who.int/icd/entity/979273075</x:t>
  </x:si>
  <x:si>
    <x:t>http://id.who.int/icd/release/11/beta/ichi/979273075</x:t>
  </x:si>
  <x:si>
    <x:t>UES.WD.ZZ</x:t>
  </x:si>
  <x:si>
    <x:t>- - - - Restrictions on advertising, promotion or sponsorship of products or services in relation to political services, systems and policies</x:t>
  </x:si>
  <x:si>
    <x:t>http://id.who.int/icd/entity/1780833474</x:t>
  </x:si>
  <x:si>
    <x:t>http://id.who.int/icd/release/11/beta/ichi/1780833474</x:t>
  </x:si>
  <x:si>
    <x:t>UES.WE.ZZ</x:t>
  </x:si>
  <x:si>
    <x:t>- - - - Restrictions on production or importation of products or services in relation to political services, systems and policies</x:t>
  </x:si>
  <x:si>
    <x:t>http://id.who.int/icd/entity/1892012650</x:t>
  </x:si>
  <x:si>
    <x:t>http://id.who.int/icd/release/11/beta/ichi/1892012650</x:t>
  </x:si>
  <x:si>
    <x:t>UES.WG.QF</x:t>
  </x:si>
  <x:si>
    <x:t>- - - - Economic incentives in relation to political services, systems and policies</x:t>
  </x:si>
  <x:si>
    <x:t>http://id.who.int/icd/entity/1530445562</x:t>
  </x:si>
  <x:si>
    <x:t>http://id.who.int/icd/release/11/beta/ichi/1530445562</x:t>
  </x:si>
  <x:si>
    <x:t>UES.WG.ZZ</x:t>
  </x:si>
  <x:si>
    <x:t>- - - - Applying incentives in relation to political services, systems and policies</x:t>
  </x:si>
  <x:si>
    <x:t>http://id.who.int/icd/entity/1249615502</x:t>
  </x:si>
  <x:si>
    <x:t>http://id.who.int/icd/release/11/beta/ichi/1249615502</x:t>
  </x:si>
  <x:si>
    <x:t>UES.WI.QD</x:t>
  </x:si>
  <x:si>
    <x:t>- - - - Restrictions through enactment of laws or standards in relation to political services, systems and policies</x:t>
  </x:si>
  <x:si>
    <x:t>http://id.who.int/icd/entity/2132234484</x:t>
  </x:si>
  <x:si>
    <x:t>http://id.who.int/icd/release/11/beta/ichi/2132234484</x:t>
  </x:si>
  <x:si>
    <x:t>UES.WI.QE</x:t>
  </x:si>
  <x:si>
    <x:t>- - - - Restrictions through enforcement of laws or standards in relation to political services, systems and policies</x:t>
  </x:si>
  <x:si>
    <x:t>http://id.who.int/icd/entity/795642181</x:t>
  </x:si>
  <x:si>
    <x:t>http://id.who.int/icd/release/11/beta/ichi/795642181</x:t>
  </x:si>
  <x:si>
    <x:t>UES.WI.ZZ</x:t>
  </x:si>
  <x:si>
    <x:t>- - - - Restrictions through laws or standards in relation to political services, systems and policies</x:t>
  </x:si>
  <x:si>
    <x:t>http://id.who.int/icd/entity/1890506854</x:t>
  </x:si>
  <x:si>
    <x:t>http://id.who.int/icd/release/11/beta/ichi/1890506854</x:t>
  </x:si>
  <x:si>
    <x:t>UES.WJ.ZZ</x:t>
  </x:si>
  <x:si>
    <x:t>- - - - Policy change in relation to political services, systems and policies</x:t>
  </x:si>
  <x:si>
    <x:t>http://id.who.int/icd/entity/2042056545</x:t>
  </x:si>
  <x:si>
    <x:t>http://id.who.int/icd/release/11/beta/ichi/2042056545</x:t>
  </x:si>
  <x:si>
    <x:t>UET.AA.ZZ</x:t>
  </x:si>
  <x:si>
    <x:t>- - - - Assessment of water collection, treatment and supply services, systems and policies</x:t>
  </x:si>
  <x:si>
    <x:t>http://id.who.int/icd/entity/1380590577</x:t>
  </x:si>
  <x:si>
    <x:t>http://id.who.int/icd/release/11/beta/ichi/1380590577</x:t>
  </x:si>
  <x:si>
    <x:t>UET.PH.ZZ</x:t>
  </x:si>
  <x:si>
    <x:t>- - - - Training about water collection, treatment and supply services, systems and policies</x:t>
  </x:si>
  <x:si>
    <x:t>http://id.who.int/icd/entity/636175739</x:t>
  </x:si>
  <x:si>
    <x:t>http://id.who.int/icd/release/11/beta/ichi/636175739</x:t>
  </x:si>
  <x:si>
    <x:t>UET.PM.ZZ</x:t>
  </x:si>
  <x:si>
    <x:t>- - - - Education about aspects of water collection, treatment and supply services, systems and policies</x:t>
  </x:si>
  <x:si>
    <x:t>http://id.who.int/icd/entity/1348321546</x:t>
  </x:si>
  <x:si>
    <x:t>http://id.who.int/icd/release/11/beta/ichi/1348321546</x:t>
  </x:si>
  <x:si>
    <x:t>UET.PN.ZZ</x:t>
  </x:si>
  <x:si>
    <x:t>- - - - Advising about water collection, treatment and supply services, systems and policies</x:t>
  </x:si>
  <x:si>
    <x:t>http://id.who.int/icd/entity/2496697</x:t>
  </x:si>
  <x:si>
    <x:t>http://id.who.int/icd/release/11/beta/ichi/2496697</x:t>
  </x:si>
  <x:si>
    <x:t>UET.RB.ZZ</x:t>
  </x:si>
  <x:si>
    <x:t>- - - - Practical support about water collection, treatment and supply services, systems and policies</x:t>
  </x:si>
  <x:si>
    <x:t>http://id.who.int/icd/entity/1608796572</x:t>
  </x:si>
  <x:si>
    <x:t>http://id.who.int/icd/release/11/beta/ichi/1608796572</x:t>
  </x:si>
  <x:si>
    <x:t>UET.RD.ZZ</x:t>
  </x:si>
  <x:si>
    <x:t>- - - - Providing goods in relation to water collection, treatment and supply services, systems and policies</x:t>
  </x:si>
  <x:si>
    <x:t>http://id.who.int/icd/entity/482279991</x:t>
  </x:si>
  <x:si>
    <x:t>http://id.who.int/icd/release/11/beta/ichi/482279991</x:t>
  </x:si>
  <x:si>
    <x:t>UET.RG.ZZ</x:t>
  </x:si>
  <x:si>
    <x:t>- - - - Providing services, systems and policies for water collection, treatment and supply</x:t>
  </x:si>
  <x:si>
    <x:t>http://id.who.int/icd/entity/1947804940</x:t>
  </x:si>
  <x:si>
    <x:t>http://id.who.int/icd/release/11/beta/ichi/1947804940</x:t>
  </x:si>
  <x:si>
    <x:t>UET.TA.ZZ</x:t>
  </x:si>
  <x:si>
    <x:t>- - - - Advocacy in relation to water collection, treatment and supply services, systems and policies</x:t>
  </x:si>
  <x:si>
    <x:t>http://id.who.int/icd/entity/1061782321</x:t>
  </x:si>
  <x:si>
    <x:t>http://id.who.int/icd/release/11/beta/ichi/1061782321</x:t>
  </x:si>
  <x:si>
    <x:t>UET.TB.ZZ</x:t>
  </x:si>
  <x:si>
    <x:t>- - - - Planning in relation to water collection, treatment and supply services, systems and policies</x:t>
  </x:si>
  <x:si>
    <x:t>http://id.who.int/icd/entity/1619776018</x:t>
  </x:si>
  <x:si>
    <x:t>http://id.who.int/icd/release/11/beta/ichi/1619776018</x:t>
  </x:si>
  <x:si>
    <x:t>UET.TD.ZZ</x:t>
  </x:si>
  <x:si>
    <x:t>- - - - Collaboration relating to water collection, treatment and supply services, systems and policies</x:t>
  </x:si>
  <x:si>
    <x:t>http://id.who.int/icd/entity/821037987</x:t>
  </x:si>
  <x:si>
    <x:t>http://id.who.int/icd/release/11/beta/ichi/821037987</x:t>
  </x:si>
  <x:si>
    <x:t>UET.TK.ZZ</x:t>
  </x:si>
  <x:si>
    <x:t>- - - - Public facilities or infrastructure development in relation to water collection, treatment and supply services, systems and policies</x:t>
  </x:si>
  <x:si>
    <x:t>http://id.who.int/icd/entity/1162252242</x:t>
  </x:si>
  <x:si>
    <x:t>http://id.who.int/icd/release/11/beta/ichi/1162252242</x:t>
  </x:si>
  <x:si>
    <x:t>UET.TM.ZZ</x:t>
  </x:si>
  <x:si>
    <x:t>- - - - Environment modification in relation to water collection, treatment and supply services, systems and policies</x:t>
  </x:si>
  <x:si>
    <x:t>http://id.who.int/icd/entity/1857807170</x:t>
  </x:si>
  <x:si>
    <x:t>http://id.who.int/icd/release/11/beta/ichi/1857807170</x:t>
  </x:si>
  <x:si>
    <x:t>UET.VA.ZZ</x:t>
  </x:si>
  <x:si>
    <x:t>- - - - Capacity building targeting water collection, treatment and supply services, systems and policies</x:t>
  </x:si>
  <x:si>
    <x:t>http://id.who.int/icd/entity/2147009334</x:t>
  </x:si>
  <x:si>
    <x:t>http://id.who.int/icd/release/11/beta/ichi/2147009334</x:t>
  </x:si>
  <x:si>
    <x:t>UET.VB.ZZ</x:t>
  </x:si>
  <x:si>
    <x:t>- - - - Awareness raising concerning water collection, treatment and supply services, systems and policies</x:t>
  </x:si>
  <x:si>
    <x:t>http://id.who.int/icd/entity/1696091550</x:t>
  </x:si>
  <x:si>
    <x:t>http://id.who.int/icd/release/11/beta/ichi/1696091550</x:t>
  </x:si>
  <x:si>
    <x:t>UET.VC.ZZ</x:t>
  </x:si>
  <x:si>
    <x:t>- - - - Public health surveillance concerning water collection, treatment and supply services, systems and policies</x:t>
  </x:si>
  <x:si>
    <x:t>http://id.who.int/icd/entity/895718445</x:t>
  </x:si>
  <x:si>
    <x:t>http://id.who.int/icd/release/11/beta/ichi/895718445</x:t>
  </x:si>
  <x:si>
    <x:t>UET.VF.ZZ</x:t>
  </x:si>
  <x:si>
    <x:t>- - - - Alert concerning water collection, treatment and supply services, systems and policies</x:t>
  </x:si>
  <x:si>
    <x:t>http://id.who.int/icd/entity/298376996</x:t>
  </x:si>
  <x:si>
    <x:t>http://id.who.int/icd/release/11/beta/ichi/298376996</x:t>
  </x:si>
  <x:si>
    <x:t>UET.VI.ZZ</x:t>
  </x:si>
  <x:si>
    <x:t>- - - - Fortification of water collection, treatment and supply services, systems and policies</x:t>
  </x:si>
  <x:si>
    <x:t>http://id.who.int/icd/entity/1788986640</x:t>
  </x:si>
  <x:si>
    <x:t>http://id.who.int/icd/release/11/beta/ichi/1788986640</x:t>
  </x:si>
  <x:si>
    <x:t>UET.VL.ZZ</x:t>
  </x:si>
  <x:si>
    <x:t>- - - - Environmental remediation in relation to water collection, treatment and supply services, systems and policies</x:t>
  </x:si>
  <x:si>
    <x:t>http://id.who.int/icd/entity/1096591776</x:t>
  </x:si>
  <x:si>
    <x:t>http://id.who.int/icd/release/11/beta/ichi/1096591776</x:t>
  </x:si>
  <x:si>
    <x:t>UET.VN.ZZ</x:t>
  </x:si>
  <x:si>
    <x:t>- - - - Establishing health services or health-related services in relation to water collection, treatment and supply services, systems and policies</x:t>
  </x:si>
  <x:si>
    <x:t>http://id.who.int/icd/entity/1170545144</x:t>
  </x:si>
  <x:si>
    <x:t>http://id.who.int/icd/release/11/beta/ichi/1170545144</x:t>
  </x:si>
  <x:si>
    <x:t>UET.VO.ZZ</x:t>
  </x:si>
  <x:si>
    <x:t>- - - - Marshalling health services or health-related services in relation to water collection, treatment and supply services, systems and policies</x:t>
  </x:si>
  <x:si>
    <x:t>http://id.who.int/icd/entity/436685019</x:t>
  </x:si>
  <x:si>
    <x:t>http://id.who.int/icd/release/11/beta/ichi/436685019</x:t>
  </x:si>
  <x:si>
    <x:t>UET.VP.ZZ</x:t>
  </x:si>
  <x:si>
    <x:t>- - - - Improving access to health services or health-related services in relation to water collection, treatment and supply services, systems and policies</x:t>
  </x:si>
  <x:si>
    <x:t>http://id.who.int/icd/entity/1249677674</x:t>
  </x:si>
  <x:si>
    <x:t>http://id.who.int/icd/release/11/beta/ichi/1249677674</x:t>
  </x:si>
  <x:si>
    <x:t>UET.VR.ZZ</x:t>
  </x:si>
  <x:si>
    <x:t>- - - - Reducing emissions from water collection, treatment and supply services, systems and policies</x:t>
  </x:si>
  <x:si>
    <x:t>http://id.who.int/icd/entity/1070208281</x:t>
  </x:si>
  <x:si>
    <x:t>http://id.who.int/icd/release/11/beta/ichi/1070208281</x:t>
  </x:si>
  <x:si>
    <x:t>UET.WC.ZZ</x:t>
  </x:si>
  <x:si>
    <x:t>- - - - Restrictions on the sale or distribution of products or services in relation to water collection, treatment and supply services, systems and policies</x:t>
  </x:si>
  <x:si>
    <x:t>http://id.who.int/icd/entity/339179913</x:t>
  </x:si>
  <x:si>
    <x:t>http://id.who.int/icd/release/11/beta/ichi/339179913</x:t>
  </x:si>
  <x:si>
    <x:t>UET.WD.ZZ</x:t>
  </x:si>
  <x:si>
    <x:t>- - - - Restrictions on advertising, promotion or sponsorship of products or services in relation to water collection, treatment and supply services, systems and policies</x:t>
  </x:si>
  <x:si>
    <x:t>http://id.who.int/icd/entity/91511295</x:t>
  </x:si>
  <x:si>
    <x:t>http://id.who.int/icd/release/11/beta/ichi/91511295</x:t>
  </x:si>
  <x:si>
    <x:t>UET.WE.ZZ</x:t>
  </x:si>
  <x:si>
    <x:t>- - - - Restrictions on production or importation of products or services in relation to water collection, treatment and supply services, systems and policies</x:t>
  </x:si>
  <x:si>
    <x:t>http://id.who.int/icd/entity/10849937</x:t>
  </x:si>
  <x:si>
    <x:t>http://id.who.int/icd/release/11/beta/ichi/10849937</x:t>
  </x:si>
  <x:si>
    <x:t>UET.WG.QF</x:t>
  </x:si>
  <x:si>
    <x:t>- - - - Economic incentives in relation to water collection, treatment and supply services, systems and policies</x:t>
  </x:si>
  <x:si>
    <x:t>http://id.who.int/icd/entity/1356748576</x:t>
  </x:si>
  <x:si>
    <x:t>http://id.who.int/icd/release/11/beta/ichi/1356748576</x:t>
  </x:si>
  <x:si>
    <x:t>UET.WG.ZZ</x:t>
  </x:si>
  <x:si>
    <x:t>- - - - Applying incentives in relation to water collection, treatment and supply services, systems and policies</x:t>
  </x:si>
  <x:si>
    <x:t>http://id.who.int/icd/entity/253494787</x:t>
  </x:si>
  <x:si>
    <x:t>http://id.who.int/icd/release/11/beta/ichi/253494787</x:t>
  </x:si>
  <x:si>
    <x:t>UET.WI.QD</x:t>
  </x:si>
  <x:si>
    <x:t>- - - - Restrictions through enactment of laws or standards in relation to water collection, treatment and supply services, systems and policies</x:t>
  </x:si>
  <x:si>
    <x:t>http://id.who.int/icd/entity/618752659</x:t>
  </x:si>
  <x:si>
    <x:t>http://id.who.int/icd/release/11/beta/ichi/618752659</x:t>
  </x:si>
  <x:si>
    <x:t>UET.WI.QE</x:t>
  </x:si>
  <x:si>
    <x:t>- - - - Restrictions through enforcement of laws or standards in relation to water collection, treatment and supply services, systems and policies</x:t>
  </x:si>
  <x:si>
    <x:t>http://id.who.int/icd/entity/534159285</x:t>
  </x:si>
  <x:si>
    <x:t>http://id.who.int/icd/release/11/beta/ichi/534159285</x:t>
  </x:si>
  <x:si>
    <x:t>UET.WI.ZZ</x:t>
  </x:si>
  <x:si>
    <x:t>- - - - Restrictions through laws or standards in relation to water collection, treatment and supply services, systems and policies</x:t>
  </x:si>
  <x:si>
    <x:t>http://id.who.int/icd/entity/1075105430</x:t>
  </x:si>
  <x:si>
    <x:t>http://id.who.int/icd/release/11/beta/ichi/1075105430</x:t>
  </x:si>
  <x:si>
    <x:t>UET.WJ.ZZ</x:t>
  </x:si>
  <x:si>
    <x:t>- - - - Policy change in relation to water collection, treatment and supply services, systems and policies</x:t>
  </x:si>
  <x:si>
    <x:t>http://id.who.int/icd/entity/700314492</x:t>
  </x:si>
  <x:si>
    <x:t>http://id.who.int/icd/release/11/beta/ichi/700314492</x:t>
  </x:si>
  <x:si>
    <x:t>UEU.AA.ZZ</x:t>
  </x:si>
  <x:si>
    <x:t>- - - - Assessment of sewerage services, systems and policies</x:t>
  </x:si>
  <x:si>
    <x:t>http://id.who.int/icd/entity/2043030219</x:t>
  </x:si>
  <x:si>
    <x:t>http://id.who.int/icd/release/11/beta/ichi/2043030219</x:t>
  </x:si>
  <x:si>
    <x:t>UEU.PH.ZZ</x:t>
  </x:si>
  <x:si>
    <x:t>- - - - Training about sewerage services, systems and policies</x:t>
  </x:si>
  <x:si>
    <x:t>http://id.who.int/icd/entity/2081947045</x:t>
  </x:si>
  <x:si>
    <x:t>http://id.who.int/icd/release/11/beta/ichi/2081947045</x:t>
  </x:si>
  <x:si>
    <x:t>UEU.PM.ZZ</x:t>
  </x:si>
  <x:si>
    <x:t>- - - - Education about aspects of sewerage services, systems and policies</x:t>
  </x:si>
  <x:si>
    <x:t>http://id.who.int/icd/entity/1474990389</x:t>
  </x:si>
  <x:si>
    <x:t>http://id.who.int/icd/release/11/beta/ichi/1474990389</x:t>
  </x:si>
  <x:si>
    <x:t>UEU.PN.ZZ</x:t>
  </x:si>
  <x:si>
    <x:t>- - - - Advising about sewerage services, systems and policies</x:t>
  </x:si>
  <x:si>
    <x:t>http://id.who.int/icd/entity/1185526083</x:t>
  </x:si>
  <x:si>
    <x:t>http://id.who.int/icd/release/11/beta/ichi/1185526083</x:t>
  </x:si>
  <x:si>
    <x:t>UEU.RB.ZZ</x:t>
  </x:si>
  <x:si>
    <x:t>- - - - Practical support about sewerage services, systems and policies</x:t>
  </x:si>
  <x:si>
    <x:t>http://id.who.int/icd/entity/857683250</x:t>
  </x:si>
  <x:si>
    <x:t>http://id.who.int/icd/release/11/beta/ichi/857683250</x:t>
  </x:si>
  <x:si>
    <x:t>UEU.RD.ZZ</x:t>
  </x:si>
  <x:si>
    <x:t>- - - - Providing goods in relation to sewerage services, systems and policies</x:t>
  </x:si>
  <x:si>
    <x:t>http://id.who.int/icd/entity/927100583</x:t>
  </x:si>
  <x:si>
    <x:t>http://id.who.int/icd/release/11/beta/ichi/927100583</x:t>
  </x:si>
  <x:si>
    <x:t>UEU.RG.ZZ</x:t>
  </x:si>
  <x:si>
    <x:t>- - - - Providing sewerage services, systems and policies</x:t>
  </x:si>
  <x:si>
    <x:t>http://id.who.int/icd/entity/1667558529</x:t>
  </x:si>
  <x:si>
    <x:t>http://id.who.int/icd/release/11/beta/ichi/1667558529</x:t>
  </x:si>
  <x:si>
    <x:t>UEU.TA.ZZ</x:t>
  </x:si>
  <x:si>
    <x:t>- - - - Advocacy in relation to sewerage services, systems and policies</x:t>
  </x:si>
  <x:si>
    <x:t>http://id.who.int/icd/entity/1017560484</x:t>
  </x:si>
  <x:si>
    <x:t>http://id.who.int/icd/release/11/beta/ichi/1017560484</x:t>
  </x:si>
  <x:si>
    <x:t>UEU.TB.ZZ</x:t>
  </x:si>
  <x:si>
    <x:t>- - - - Planning in relation to sewerage services, systems and policies</x:t>
  </x:si>
  <x:si>
    <x:t>http://id.who.int/icd/entity/391893300</x:t>
  </x:si>
  <x:si>
    <x:t>http://id.who.int/icd/release/11/beta/ichi/391893300</x:t>
  </x:si>
  <x:si>
    <x:t>UEU.TD.ZZ</x:t>
  </x:si>
  <x:si>
    <x:t>- - - - Collaboration relating to sewerage services, systems and policies</x:t>
  </x:si>
  <x:si>
    <x:t>http://id.who.int/icd/entity/1127886541</x:t>
  </x:si>
  <x:si>
    <x:t>http://id.who.int/icd/release/11/beta/ichi/1127886541</x:t>
  </x:si>
  <x:si>
    <x:t>UEU.TK.ZZ</x:t>
  </x:si>
  <x:si>
    <x:t>- - - - Public facilities or infrastructure development in relation to sewerage services, systems and policies</x:t>
  </x:si>
  <x:si>
    <x:t>http://id.who.int/icd/entity/486047728</x:t>
  </x:si>
  <x:si>
    <x:t>http://id.who.int/icd/release/11/beta/ichi/486047728</x:t>
  </x:si>
  <x:si>
    <x:t>UEU.TM.ZZ</x:t>
  </x:si>
  <x:si>
    <x:t>- - - - Environment modification in relation to sewerage services, systems and policies</x:t>
  </x:si>
  <x:si>
    <x:t>http://id.who.int/icd/entity/1283696223</x:t>
  </x:si>
  <x:si>
    <x:t>http://id.who.int/icd/release/11/beta/ichi/1283696223</x:t>
  </x:si>
  <x:si>
    <x:t>UEU.VA.ZZ</x:t>
  </x:si>
  <x:si>
    <x:t>- - - - Capacity building targeting sewerage services, systems and policies</x:t>
  </x:si>
  <x:si>
    <x:t>http://id.who.int/icd/entity/2050834112</x:t>
  </x:si>
  <x:si>
    <x:t>http://id.who.int/icd/release/11/beta/ichi/2050834112</x:t>
  </x:si>
  <x:si>
    <x:t>UEU.VB.ZZ</x:t>
  </x:si>
  <x:si>
    <x:t>- - - - Awareness raising concerning sewerage services, systems and policies</x:t>
  </x:si>
  <x:si>
    <x:t>http://id.who.int/icd/entity/1371558448</x:t>
  </x:si>
  <x:si>
    <x:t>http://id.who.int/icd/release/11/beta/ichi/1371558448</x:t>
  </x:si>
  <x:si>
    <x:t>UEU.VC.ZZ</x:t>
  </x:si>
  <x:si>
    <x:t>- - - - Public health surveillance concerning sewerage services, systems and policies</x:t>
  </x:si>
  <x:si>
    <x:t>http://id.who.int/icd/entity/1082356312</x:t>
  </x:si>
  <x:si>
    <x:t>http://id.who.int/icd/release/11/beta/ichi/1082356312</x:t>
  </x:si>
  <x:si>
    <x:t>UEU.VF.ZZ</x:t>
  </x:si>
  <x:si>
    <x:t>- - - - Alert concerning sewerage services, systems and policies</x:t>
  </x:si>
  <x:si>
    <x:t>http://id.who.int/icd/entity/892728875</x:t>
  </x:si>
  <x:si>
    <x:t>http://id.who.int/icd/release/11/beta/ichi/892728875</x:t>
  </x:si>
  <x:si>
    <x:t>UEU.VL.ZZ</x:t>
  </x:si>
  <x:si>
    <x:t>- - - - Environmental remediation in relation to sewerage services, systems and policies</x:t>
  </x:si>
  <x:si>
    <x:t>http://id.who.int/icd/entity/1699622812</x:t>
  </x:si>
  <x:si>
    <x:t>http://id.who.int/icd/release/11/beta/ichi/1699622812</x:t>
  </x:si>
  <x:si>
    <x:t>UEU.VN.ZZ</x:t>
  </x:si>
  <x:si>
    <x:t>- - - - Establishing health services or health-related services in relation to sewerage services, systems and policies</x:t>
  </x:si>
  <x:si>
    <x:t>http://id.who.int/icd/entity/982286009</x:t>
  </x:si>
  <x:si>
    <x:t>http://id.who.int/icd/release/11/beta/ichi/982286009</x:t>
  </x:si>
  <x:si>
    <x:t>UEU.VO.ZZ</x:t>
  </x:si>
  <x:si>
    <x:t>- - - - Marshalling health services or health-related services in relation to sewerage services, systems and policies</x:t>
  </x:si>
  <x:si>
    <x:t>http://id.who.int/icd/entity/292622889</x:t>
  </x:si>
  <x:si>
    <x:t>http://id.who.int/icd/release/11/beta/ichi/292622889</x:t>
  </x:si>
  <x:si>
    <x:t>UEU.VP.ZZ</x:t>
  </x:si>
  <x:si>
    <x:t>- - - - Improving access to health services or health-related services in relation to sewerage services, systems and policies</x:t>
  </x:si>
  <x:si>
    <x:t>http://id.who.int/icd/entity/1512158226</x:t>
  </x:si>
  <x:si>
    <x:t>http://id.who.int/icd/release/11/beta/ichi/1512158226</x:t>
  </x:si>
  <x:si>
    <x:t>UEU.VR.ZZ</x:t>
  </x:si>
  <x:si>
    <x:t>- - - - Reducing emissions from sewerage services, systems and policies</x:t>
  </x:si>
  <x:si>
    <x:t>http://id.who.int/icd/entity/98821425</x:t>
  </x:si>
  <x:si>
    <x:t>http://id.who.int/icd/release/11/beta/ichi/98821425</x:t>
  </x:si>
  <x:si>
    <x:t>UEU.WC.ZZ</x:t>
  </x:si>
  <x:si>
    <x:t>- - - - Restrictions on the sale or distribution of products or services in relation to sewerage services, systems and policies</x:t>
  </x:si>
  <x:si>
    <x:t>http://id.who.int/icd/entity/1436040320</x:t>
  </x:si>
  <x:si>
    <x:t>http://id.who.int/icd/release/11/beta/ichi/1436040320</x:t>
  </x:si>
  <x:si>
    <x:t>UEU.WD.ZZ</x:t>
  </x:si>
  <x:si>
    <x:t>- - - - Restrictions on advertising, promotion or sponsorship of products or services in relation to sewerage services, systems and policies</x:t>
  </x:si>
  <x:si>
    <x:t>http://id.who.int/icd/entity/539932915</x:t>
  </x:si>
  <x:si>
    <x:t>http://id.who.int/icd/release/11/beta/ichi/539932915</x:t>
  </x:si>
  <x:si>
    <x:t>UEU.WE.ZZ</x:t>
  </x:si>
  <x:si>
    <x:t>- - - - Restrictions on production or importation of products or services in relation to sewerage services, systems and policies</x:t>
  </x:si>
  <x:si>
    <x:t>http://id.who.int/icd/entity/198431843</x:t>
  </x:si>
  <x:si>
    <x:t>http://id.who.int/icd/release/11/beta/ichi/198431843</x:t>
  </x:si>
  <x:si>
    <x:t>UEU.WG.QF</x:t>
  </x:si>
  <x:si>
    <x:t>- - - - Economic incentives in relation to sewerage services, systems and policies</x:t>
  </x:si>
  <x:si>
    <x:t>http://id.who.int/icd/entity/445707285</x:t>
  </x:si>
  <x:si>
    <x:t>http://id.who.int/icd/release/11/beta/ichi/445707285</x:t>
  </x:si>
  <x:si>
    <x:t>UEU.WG.ZZ</x:t>
  </x:si>
  <x:si>
    <x:t>- - - - Applying incentives in relation to sewerage services, systems and policies</x:t>
  </x:si>
  <x:si>
    <x:t>http://id.who.int/icd/entity/7371455</x:t>
  </x:si>
  <x:si>
    <x:t>http://id.who.int/icd/release/11/beta/ichi/7371455</x:t>
  </x:si>
  <x:si>
    <x:t>UEU.WI.QD</x:t>
  </x:si>
  <x:si>
    <x:t>- - - - Restrictions through enactment of laws or standards in relation to sewerage services, systems and policies</x:t>
  </x:si>
  <x:si>
    <x:t>http://id.who.int/icd/entity/1342939920</x:t>
  </x:si>
  <x:si>
    <x:t>http://id.who.int/icd/release/11/beta/ichi/1342939920</x:t>
  </x:si>
  <x:si>
    <x:t>UEU.WI.QE</x:t>
  </x:si>
  <x:si>
    <x:t>- - - - Restrictions through enforcement of laws or standards in relation to sewerage services, systems and policies</x:t>
  </x:si>
  <x:si>
    <x:t>http://id.who.int/icd/entity/264892973</x:t>
  </x:si>
  <x:si>
    <x:t>http://id.who.int/icd/release/11/beta/ichi/264892973</x:t>
  </x:si>
  <x:si>
    <x:t>UEU.WI.ZZ</x:t>
  </x:si>
  <x:si>
    <x:t>- - - - Restrictions through laws or standards in relation to sewerage services, systems and policies</x:t>
  </x:si>
  <x:si>
    <x:t>http://id.who.int/icd/entity/607428285</x:t>
  </x:si>
  <x:si>
    <x:t>http://id.who.int/icd/release/11/beta/ichi/607428285</x:t>
  </x:si>
  <x:si>
    <x:t>UEU.WJ.ZZ</x:t>
  </x:si>
  <x:si>
    <x:t>- - - - Policy change in relation to sewerage services, systems and policies</x:t>
  </x:si>
  <x:si>
    <x:t>http://id.who.int/icd/entity/1613287254</x:t>
  </x:si>
  <x:si>
    <x:t>http://id.who.int/icd/release/11/beta/ichi/1613287254</x:t>
  </x:si>
  <x:si>
    <x:t>UEV.AA.ZZ</x:t>
  </x:si>
  <x:si>
    <x:t>- - - - Assessment of waste collection and disposal services, systems and policies</x:t>
  </x:si>
  <x:si>
    <x:t>http://id.who.int/icd/entity/810751719</x:t>
  </x:si>
  <x:si>
    <x:t>http://id.who.int/icd/release/11/beta/ichi/810751719</x:t>
  </x:si>
  <x:si>
    <x:t>UEV.PH.ZZ</x:t>
  </x:si>
  <x:si>
    <x:t>- - - - Training about waste collection and disposal services, systems and policies</x:t>
  </x:si>
  <x:si>
    <x:t>http://id.who.int/icd/entity/158531898</x:t>
  </x:si>
  <x:si>
    <x:t>http://id.who.int/icd/release/11/beta/ichi/158531898</x:t>
  </x:si>
  <x:si>
    <x:t>UEV.PM.ZZ</x:t>
  </x:si>
  <x:si>
    <x:t>- - - - Education about aspects of waste collection and disposal services, systems and policies</x:t>
  </x:si>
  <x:si>
    <x:t>http://id.who.int/icd/entity/579759530</x:t>
  </x:si>
  <x:si>
    <x:t>http://id.who.int/icd/release/11/beta/ichi/579759530</x:t>
  </x:si>
  <x:si>
    <x:t>UEV.PN.ZZ</x:t>
  </x:si>
  <x:si>
    <x:t>- - - - Advising about waste collection and disposal services, systems and policies</x:t>
  </x:si>
  <x:si>
    <x:t>http://id.who.int/icd/entity/431593616</x:t>
  </x:si>
  <x:si>
    <x:t>http://id.who.int/icd/release/11/beta/ichi/431593616</x:t>
  </x:si>
  <x:si>
    <x:t>UEV.RB.ZZ</x:t>
  </x:si>
  <x:si>
    <x:t>- - - - Practical support about waste collection and disposal services, systems and policies</x:t>
  </x:si>
  <x:si>
    <x:t>http://id.who.int/icd/entity/1182517677</x:t>
  </x:si>
  <x:si>
    <x:t>http://id.who.int/icd/release/11/beta/ichi/1182517677</x:t>
  </x:si>
  <x:si>
    <x:t>UEV.RD.ZZ</x:t>
  </x:si>
  <x:si>
    <x:t>- - - - Providing goods in relation to waste collection and disposal services, systems and policies</x:t>
  </x:si>
  <x:si>
    <x:t>http://id.who.int/icd/entity/209034113</x:t>
  </x:si>
  <x:si>
    <x:t>http://id.who.int/icd/release/11/beta/ichi/209034113</x:t>
  </x:si>
  <x:si>
    <x:t>UEV.RG.ZZ</x:t>
  </x:si>
  <x:si>
    <x:t>- - - - Providing services, systems and policies for waste collection and disposal</x:t>
  </x:si>
  <x:si>
    <x:t>http://id.who.int/icd/entity/369102878</x:t>
  </x:si>
  <x:si>
    <x:t>http://id.who.int/icd/release/11/beta/ichi/369102878</x:t>
  </x:si>
  <x:si>
    <x:t>UEV.TA.ZZ</x:t>
  </x:si>
  <x:si>
    <x:t>- - - - Advocacy in relation to waste collection and disposal services, systems and policies</x:t>
  </x:si>
  <x:si>
    <x:t>http://id.who.int/icd/entity/332515188</x:t>
  </x:si>
  <x:si>
    <x:t>http://id.who.int/icd/release/11/beta/ichi/332515188</x:t>
  </x:si>
  <x:si>
    <x:t>UEV.TB.ZZ</x:t>
  </x:si>
  <x:si>
    <x:t>- - - - Planning in relation to waste collection and disposal services, systems and policies</x:t>
  </x:si>
  <x:si>
    <x:t>http://id.who.int/icd/entity/942451684</x:t>
  </x:si>
  <x:si>
    <x:t>http://id.who.int/icd/release/11/beta/ichi/942451684</x:t>
  </x:si>
  <x:si>
    <x:t>UEV.TD.ZZ</x:t>
  </x:si>
  <x:si>
    <x:t>- - - - Collaboration relating to waste collection and disposal services, systems and policies</x:t>
  </x:si>
  <x:si>
    <x:t>http://id.who.int/icd/entity/695176084</x:t>
  </x:si>
  <x:si>
    <x:t>http://id.who.int/icd/release/11/beta/ichi/695176084</x:t>
  </x:si>
  <x:si>
    <x:t>UEV.TK.ZZ</x:t>
  </x:si>
  <x:si>
    <x:t>- - - - Public facilities or infrastructure development in relation to waste collection and disposal services, systems and policies</x:t>
  </x:si>
  <x:si>
    <x:t>http://id.who.int/icd/entity/1557729255</x:t>
  </x:si>
  <x:si>
    <x:t>http://id.who.int/icd/release/11/beta/ichi/1557729255</x:t>
  </x:si>
  <x:si>
    <x:t>UEV.TM.ZZ</x:t>
  </x:si>
  <x:si>
    <x:t>- - - - Environment modification in relation to waste collection and disposal services, systems and policies</x:t>
  </x:si>
  <x:si>
    <x:t>http://id.who.int/icd/entity/211998296</x:t>
  </x:si>
  <x:si>
    <x:t>http://id.who.int/icd/release/11/beta/ichi/211998296</x:t>
  </x:si>
  <x:si>
    <x:t>UEV.VA.ZZ</x:t>
  </x:si>
  <x:si>
    <x:t>- - - - Capacity building targeting waste collection and disposal services, systems and policies</x:t>
  </x:si>
  <x:si>
    <x:t>http://id.who.int/icd/entity/1398835061</x:t>
  </x:si>
  <x:si>
    <x:t>http://id.who.int/icd/release/11/beta/ichi/1398835061</x:t>
  </x:si>
  <x:si>
    <x:t>UEV.VB.ZZ</x:t>
  </x:si>
  <x:si>
    <x:t>- - - - Awareness raising concerning waste collection and disposal services, systems and policies</x:t>
  </x:si>
  <x:si>
    <x:t>http://id.who.int/icd/entity/2023615461</x:t>
  </x:si>
  <x:si>
    <x:t>http://id.who.int/icd/release/11/beta/ichi/2023615461</x:t>
  </x:si>
  <x:si>
    <x:t>UEV.VC.ZZ</x:t>
  </x:si>
  <x:si>
    <x:t>- - - - Public health surveillance concerning waste collection and disposal services, systems and policies</x:t>
  </x:si>
  <x:si>
    <x:t>http://id.who.int/icd/entity/754717724</x:t>
  </x:si>
  <x:si>
    <x:t>http://id.who.int/icd/release/11/beta/ichi/754717724</x:t>
  </x:si>
  <x:si>
    <x:t>UEV.VF.ZZ</x:t>
  </x:si>
  <x:si>
    <x:t>- - - - Alert concerning waste collection and disposal services, systems and policies</x:t>
  </x:si>
  <x:si>
    <x:t>http://id.who.int/icd/entity/1933460793</x:t>
  </x:si>
  <x:si>
    <x:t>http://id.who.int/icd/release/11/beta/ichi/1933460793</x:t>
  </x:si>
  <x:si>
    <x:t>UEV.VL.ZZ</x:t>
  </x:si>
  <x:si>
    <x:t>- - - - Environmental remediation in relation to waste collection and disposal services, systems and policies</x:t>
  </x:si>
  <x:si>
    <x:t>http://id.who.int/icd/entity/591764618</x:t>
  </x:si>
  <x:si>
    <x:t>http://id.who.int/icd/release/11/beta/ichi/591764618</x:t>
  </x:si>
  <x:si>
    <x:t>UEV.VN.ZZ</x:t>
  </x:si>
  <x:si>
    <x:t>- - - - Establishing health services or health-related services in relation to waste collection and disposal services, systems and policies</x:t>
  </x:si>
  <x:si>
    <x:t>http://id.who.int/icd/entity/1767726523</x:t>
  </x:si>
  <x:si>
    <x:t>http://id.who.int/icd/release/11/beta/ichi/1767726523</x:t>
  </x:si>
  <x:si>
    <x:t>UEV.VO.ZZ</x:t>
  </x:si>
  <x:si>
    <x:t>- - - - Marshalling health services or health-related services in relation to waste collection and disposal services, systems and policies</x:t>
  </x:si>
  <x:si>
    <x:t>http://id.who.int/icd/entity/1117794603</x:t>
  </x:si>
  <x:si>
    <x:t>http://id.who.int/icd/release/11/beta/ichi/1117794603</x:t>
  </x:si>
  <x:si>
    <x:t>UEV.VP.ZZ</x:t>
  </x:si>
  <x:si>
    <x:t>- - - - Improving access to health services or health-related services in relation to waste collection and disposal services, systems and policies</x:t>
  </x:si>
  <x:si>
    <x:t>http://id.who.int/icd/entity/1407390045</x:t>
  </x:si>
  <x:si>
    <x:t>http://id.who.int/icd/release/11/beta/ichi/1407390045</x:t>
  </x:si>
  <x:si>
    <x:t>UEV.VR.ZZ</x:t>
  </x:si>
  <x:si>
    <x:t>- - - - Reducing emissions from waste collection and disposal services, systems and policies</x:t>
  </x:si>
  <x:si>
    <x:t>http://id.who.int/icd/entity/643142960</x:t>
  </x:si>
  <x:si>
    <x:t>http://id.who.int/icd/release/11/beta/ichi/643142960</x:t>
  </x:si>
  <x:si>
    <x:t>UEV.WC.ZZ</x:t>
  </x:si>
  <x:si>
    <x:t>- - - - Restrictions on the sale or distribution of products or services in relation to waste collection and disposal services, systems and policies</x:t>
  </x:si>
  <x:si>
    <x:t>http://id.who.int/icd/entity/1982745759</x:t>
  </x:si>
  <x:si>
    <x:t>http://id.who.int/icd/release/11/beta/ichi/1982745759</x:t>
  </x:si>
  <x:si>
    <x:t>UEV.WD.ZZ</x:t>
  </x:si>
  <x:si>
    <x:t>- - - - Restrictions on advertising, promotion or sponsorship of products or services in relation to waste collection and disposal services, systems and policies</x:t>
  </x:si>
  <x:si>
    <x:t>http://id.who.int/icd/entity/703339966</x:t>
  </x:si>
  <x:si>
    <x:t>http://id.who.int/icd/release/11/beta/ichi/703339966</x:t>
  </x:si>
  <x:si>
    <x:t>UEV.WE.ZZ</x:t>
  </x:si>
  <x:si>
    <x:t>- - - - Restrictions on production or importation of products or services in relation to waste collection and disposal services, systems and policies</x:t>
  </x:si>
  <x:si>
    <x:t>http://id.who.int/icd/entity/34697518</x:t>
  </x:si>
  <x:si>
    <x:t>http://id.who.int/icd/release/11/beta/ichi/34697518</x:t>
  </x:si>
  <x:si>
    <x:t>UEV.WG.QF</x:t>
  </x:si>
  <x:si>
    <x:t>- - - - Economic incentives in relation to waste collection and disposal services, systems and policies</x:t>
  </x:si>
  <x:si>
    <x:t>http://id.who.int/icd/entity/1229051671</x:t>
  </x:si>
  <x:si>
    <x:t>http://id.who.int/icd/release/11/beta/ichi/1229051671</x:t>
  </x:si>
  <x:si>
    <x:t>UEV.WG.ZZ</x:t>
  </x:si>
  <x:si>
    <x:t>- - - - Applying incentives in relation to waste collection and disposal services, systems and policies</x:t>
  </x:si>
  <x:si>
    <x:t>http://id.who.int/icd/entity/377718324</x:t>
  </x:si>
  <x:si>
    <x:t>http://id.who.int/icd/release/11/beta/ichi/377718324</x:t>
  </x:si>
  <x:si>
    <x:t>UEV.WI.QD</x:t>
  </x:si>
  <x:si>
    <x:t>- - - - Restrictions through enactment of laws or standards in relation to waste collection and disposal services, systems and policies</x:t>
  </x:si>
  <x:si>
    <x:t>http://id.who.int/icd/entity/1190682501</x:t>
  </x:si>
  <x:si>
    <x:t>http://id.who.int/icd/release/11/beta/ichi/1190682501</x:t>
  </x:si>
  <x:si>
    <x:t>UEV.WI.QE</x:t>
  </x:si>
  <x:si>
    <x:t>- - - - Restrictions through enforcement of laws or standards in relation to waste collection and disposal services, systems and policies</x:t>
  </x:si>
  <x:si>
    <x:t>http://id.who.int/icd/entity/860806136</x:t>
  </x:si>
  <x:si>
    <x:t>http://id.who.int/icd/release/11/beta/ichi/860806136</x:t>
  </x:si>
  <x:si>
    <x:t>UEV.WI.ZZ</x:t>
  </x:si>
  <x:si>
    <x:t>- - - - Restrictions through laws or standards in relation to waste collection and disposal services, systems and policies</x:t>
  </x:si>
  <x:si>
    <x:t>http://id.who.int/icd/entity/414431080</x:t>
  </x:si>
  <x:si>
    <x:t>http://id.who.int/icd/release/11/beta/ichi/414431080</x:t>
  </x:si>
  <x:si>
    <x:t>UEV.WJ.ZZ</x:t>
  </x:si>
  <x:si>
    <x:t>- - - - Policy change in relation to waste collection and disposal services, systems and policies</x:t>
  </x:si>
  <x:si>
    <x:t>http://id.who.int/icd/entity/1801292987</x:t>
  </x:si>
  <x:si>
    <x:t>http://id.who.int/icd/release/11/beta/ichi/1801292987</x:t>
  </x:si>
  <x:si>
    <x:t>UEW.AA.ZZ</x:t>
  </x:si>
  <x:si>
    <x:t>- - - - Assessment of waste recycling and reuse services, systems and policies</x:t>
  </x:si>
  <x:si>
    <x:t>http://id.who.int/icd/entity/992367884</x:t>
  </x:si>
  <x:si>
    <x:t>http://id.who.int/icd/release/11/beta/ichi/992367884</x:t>
  </x:si>
  <x:si>
    <x:t>UEW.PH.ZZ</x:t>
  </x:si>
  <x:si>
    <x:t>- - - - Training about waste recycling and reuse services, systems and policies</x:t>
  </x:si>
  <x:si>
    <x:t>http://id.who.int/icd/entity/1318113657</x:t>
  </x:si>
  <x:si>
    <x:t>http://id.who.int/icd/release/11/beta/ichi/1318113657</x:t>
  </x:si>
  <x:si>
    <x:t>UEW.PM.ZZ</x:t>
  </x:si>
  <x:si>
    <x:t>- - - - Education about aspects of waste recycling and reuse services, systems and policies</x:t>
  </x:si>
  <x:si>
    <x:t>http://id.who.int/icd/entity/1701690857</x:t>
  </x:si>
  <x:si>
    <x:t>http://id.who.int/icd/release/11/beta/ichi/1701690857</x:t>
  </x:si>
  <x:si>
    <x:t>UEW.PN.ZZ</x:t>
  </x:si>
  <x:si>
    <x:t>- - - - Advising about waste recycling and reuse services, systems and policies</x:t>
  </x:si>
  <x:si>
    <x:t>http://id.who.int/icd/entity/1949212063</x:t>
  </x:si>
  <x:si>
    <x:t>http://id.who.int/icd/release/11/beta/ichi/1949212063</x:t>
  </x:si>
  <x:si>
    <x:t>UEW.RB.ZZ</x:t>
  </x:si>
  <x:si>
    <x:t>- - - - Practical support about waste recycling and reuse services, systems and policies</x:t>
  </x:si>
  <x:si>
    <x:t>http://id.who.int/icd/entity/1912556273</x:t>
  </x:si>
  <x:si>
    <x:t>http://id.who.int/icd/release/11/beta/ichi/1912556273</x:t>
  </x:si>
  <x:si>
    <x:t>UEW.RD.ZZ</x:t>
  </x:si>
  <x:si>
    <x:t>- - - - Providing goods in relation to waste recycling and reuse services, systems and policies</x:t>
  </x:si>
  <x:si>
    <x:t>http://id.who.int/icd/entity/1404553890</x:t>
  </x:si>
  <x:si>
    <x:t>http://id.who.int/icd/release/11/beta/ichi/1404553890</x:t>
  </x:si>
  <x:si>
    <x:t>UEW.RG.ZZ</x:t>
  </x:si>
  <x:si>
    <x:t>- - - - Providing services, systems and policies for waste recycling and reuse</x:t>
  </x:si>
  <x:si>
    <x:t>http://id.who.int/icd/entity/562336578</x:t>
  </x:si>
  <x:si>
    <x:t>http://id.who.int/icd/release/11/beta/ichi/562336578</x:t>
  </x:si>
  <x:si>
    <x:t>UEW.TA.ZZ</x:t>
  </x:si>
  <x:si>
    <x:t>- - - - Advocacy in relation to waste recycling and reuse services, systems and policies</x:t>
  </x:si>
  <x:si>
    <x:t>http://id.who.int/icd/entity/2118566499</x:t>
  </x:si>
  <x:si>
    <x:t>http://id.who.int/icd/release/11/beta/ichi/2118566499</x:t>
  </x:si>
  <x:si>
    <x:t>UEW.TB.ZZ</x:t>
  </x:si>
  <x:si>
    <x:t>- - - - Planning in relation to waste recycling and reuse services, systems and policies</x:t>
  </x:si>
  <x:si>
    <x:t>http://id.who.int/icd/entity/1438363379</x:t>
  </x:si>
  <x:si>
    <x:t>http://id.who.int/icd/release/11/beta/ichi/1438363379</x:t>
  </x:si>
  <x:si>
    <x:t>UEW.TD.ZZ</x:t>
  </x:si>
  <x:si>
    <x:t>- - - - Collaboration relating to waste recycling and reuse services, systems and policies</x:t>
  </x:si>
  <x:si>
    <x:t>http://id.who.int/icd/entity/1854692309</x:t>
  </x:si>
  <x:si>
    <x:t>http://id.who.int/icd/release/11/beta/ichi/1854692309</x:t>
  </x:si>
  <x:si>
    <x:t>UEW.TK.ZZ</x:t>
  </x:si>
  <x:si>
    <x:t>- - - - Public facilities or infrastructure development in relation to waste recycling and reuse services, systems and policies</x:t>
  </x:si>
  <x:si>
    <x:t>http://id.who.int/icd/entity/827198200</x:t>
  </x:si>
  <x:si>
    <x:t>http://id.who.int/icd/release/11/beta/ichi/827198200</x:t>
  </x:si>
  <x:si>
    <x:t>UEW.TM.ZZ</x:t>
  </x:si>
  <x:si>
    <x:t>- - - - Environment modification in relation to waste recycling and reuse services, systems and policies</x:t>
  </x:si>
  <x:si>
    <x:t>http://id.who.int/icd/entity/1630917447</x:t>
  </x:si>
  <x:si>
    <x:t>http://id.who.int/icd/release/11/beta/ichi/1630917447</x:t>
  </x:si>
  <x:si>
    <x:t>UEW.VA.ZZ</x:t>
  </x:si>
  <x:si>
    <x:t>- - - - Capacity building targeting waste recycling and reuse services, systems and policies</x:t>
  </x:si>
  <x:si>
    <x:t>http://id.who.int/icd/entity/2077580781</x:t>
  </x:si>
  <x:si>
    <x:t>http://id.who.int/icd/release/11/beta/ichi/2077580781</x:t>
  </x:si>
  <x:si>
    <x:t>UEW.VB.ZZ</x:t>
  </x:si>
  <x:si>
    <x:t>- - - - Awareness raising concerning waste recycling and reuse services, systems and policies</x:t>
  </x:si>
  <x:si>
    <x:t>http://id.who.int/icd/entity/1344811389</x:t>
  </x:si>
  <x:si>
    <x:t>http://id.who.int/icd/release/11/beta/ichi/1344811389</x:t>
  </x:si>
  <x:si>
    <x:t>UEW.VC.ZZ</x:t>
  </x:si>
  <x:si>
    <x:t>- - - - Public health surveillance concerning waste recycling and reuse services, systems and policies</x:t>
  </x:si>
  <x:si>
    <x:t>http://id.who.int/icd/entity/1097535755</x:t>
  </x:si>
  <x:si>
    <x:t>http://id.who.int/icd/release/11/beta/ichi/1097535755</x:t>
  </x:si>
  <x:si>
    <x:t>UEW.VF.ZZ</x:t>
  </x:si>
  <x:si>
    <x:t>- - - - Alert concerning waste recycling and reuse services, systems and policies</x:t>
  </x:si>
  <x:si>
    <x:t>http://id.who.int/icd/entity/192139322</x:t>
  </x:si>
  <x:si>
    <x:t>http://id.who.int/icd/release/11/beta/ichi/192139322</x:t>
  </x:si>
  <x:si>
    <x:t>UEW.VL.ZZ</x:t>
  </x:si>
  <x:si>
    <x:t>- - - - Environmental remediation in relation to waste recycling and reuse services, systems and policies</x:t>
  </x:si>
  <x:si>
    <x:t>http://id.who.int/icd/entity/1527253385</x:t>
  </x:si>
  <x:si>
    <x:t>http://id.who.int/icd/release/11/beta/ichi/1527253385</x:t>
  </x:si>
  <x:si>
    <x:t>UEW.VN.ZZ</x:t>
  </x:si>
  <x:si>
    <x:t>- - - - Establishing health services or health-related services in relation to waste recycling and reuse services, systems and policies</x:t>
  </x:si>
  <x:si>
    <x:t>http://id.who.int/icd/entity/80369836</x:t>
  </x:si>
  <x:si>
    <x:t>http://id.who.int/icd/release/11/beta/ichi/80369836</x:t>
  </x:si>
  <x:si>
    <x:t>UEW.VO.ZZ</x:t>
  </x:si>
  <x:si>
    <x:t>- - - - Marshalling health services or health-related services in relation to waste recycling and reuse services, systems and policies</x:t>
  </x:si>
  <x:si>
    <x:t>http://id.who.int/icd/entity/792147004</x:t>
  </x:si>
  <x:si>
    <x:t>http://id.who.int/icd/release/11/beta/ichi/792147004</x:t>
  </x:si>
  <x:si>
    <x:t>UEW.VP.ZZ</x:t>
  </x:si>
  <x:si>
    <x:t>- - - - Improving access to health services or health-related services in relation to waste recycling and reuse services, systems and policies</x:t>
  </x:si>
  <x:si>
    <x:t>http://id.who.int/icd/entity/335593758</x:t>
  </x:si>
  <x:si>
    <x:t>http://id.who.int/icd/release/11/beta/ichi/335593758</x:t>
  </x:si>
  <x:si>
    <x:t>UEW.VR.ZZ</x:t>
  </x:si>
  <x:si>
    <x:t>- - - - Reducing emissions from waste recycling and reuse services, systems and policies</x:t>
  </x:si>
  <x:si>
    <x:t>http://id.who.int/icd/entity/1271042111</x:t>
  </x:si>
  <x:si>
    <x:t>http://id.who.int/icd/release/11/beta/ichi/1271042111</x:t>
  </x:si>
  <x:si>
    <x:t>UEW.WC.ZZ</x:t>
  </x:si>
  <x:si>
    <x:t>- - - - Restrictions on the sale or distribution of products or services in relation to waste recycling and reuse services, systems and policies</x:t>
  </x:si>
  <x:si>
    <x:t>http://id.who.int/icd/entity/465127824</x:t>
  </x:si>
  <x:si>
    <x:t>http://id.who.int/icd/release/11/beta/ichi/465127824</x:t>
  </x:si>
  <x:si>
    <x:t>UEW.WD.ZZ</x:t>
  </x:si>
  <x:si>
    <x:t>- - - - Restrictions on advertising, promotion or sponsorship of products or services in relation to waste recycling and reuse services, systems and policies</x:t>
  </x:si>
  <x:si>
    <x:t>http://id.who.int/icd/entity/510172898</x:t>
  </x:si>
  <x:si>
    <x:t>http://id.who.int/icd/release/11/beta/ichi/510172898</x:t>
  </x:si>
  <x:si>
    <x:t>UEW.WE.ZZ</x:t>
  </x:si>
  <x:si>
    <x:t>- - - - Restrictions on production or importation of products or services in relation to waste recycling and reuse services, systems and policies</x:t>
  </x:si>
  <x:si>
    <x:t>http://id.who.int/icd/entity/899019378</x:t>
  </x:si>
  <x:si>
    <x:t>http://id.who.int/icd/release/11/beta/ichi/899019378</x:t>
  </x:si>
  <x:si>
    <x:t>UEW.WG.QF</x:t>
  </x:si>
  <x:si>
    <x:t>- - - - Economic incentives in relation to waste recycling and reuse services, systems and policies</x:t>
  </x:si>
  <x:si>
    <x:t>http://id.who.int/icd/entity/618058246</x:t>
  </x:si>
  <x:si>
    <x:t>http://id.who.int/icd/release/11/beta/ichi/618058246</x:t>
  </x:si>
  <x:si>
    <x:t>UEW.WG.ZZ</x:t>
  </x:si>
  <x:si>
    <x:t>- - - - Applying incentives in relation to waste recycling and reuse services, systems and policies</x:t>
  </x:si>
  <x:si>
    <x:t>http://id.who.int/icd/entity/1365268085</x:t>
  </x:si>
  <x:si>
    <x:t>http://id.who.int/icd/release/11/beta/ichi/1365268085</x:t>
  </x:si>
  <x:si>
    <x:t>UEW.WI.QD</x:t>
  </x:si>
  <x:si>
    <x:t>- - - - Restrictions through enactment of laws or standards in relation to waste recycling and reuse services, systems and policies</x:t>
  </x:si>
  <x:si>
    <x:t>http://id.who.int/icd/entity/18583494</x:t>
  </x:si>
  <x:si>
    <x:t>http://id.who.int/icd/release/11/beta/ichi/18583494</x:t>
  </x:si>
  <x:si>
    <x:t>UEW.WI.QE</x:t>
  </x:si>
  <x:si>
    <x:t>- - - - Restrictions through enforcement of laws or standards in relation to waste recycling and reuse services, systems and policies</x:t>
  </x:si>
  <x:si>
    <x:t>http://id.who.int/icd/entity/1591336679</x:t>
  </x:si>
  <x:si>
    <x:t>http://id.who.int/icd/release/11/beta/ichi/1591336679</x:t>
  </x:si>
  <x:si>
    <x:t>UEW.WI.ZZ</x:t>
  </x:si>
  <x:si>
    <x:t>- - - - Restrictions through laws or standards in relation to waste recycling and reuse services, systems and policies</x:t>
  </x:si>
  <x:si>
    <x:t>http://id.who.int/icd/entity/1965339255</x:t>
  </x:si>
  <x:si>
    <x:t>http://id.who.int/icd/release/11/beta/ichi/1965339255</x:t>
  </x:si>
  <x:si>
    <x:t>UEW.WJ.ZZ</x:t>
  </x:si>
  <x:si>
    <x:t>- - - - Policy change in relation to waste recycling and reuse services, systems and policies</x:t>
  </x:si>
  <x:si>
    <x:t>http://id.who.int/icd/entity/742386422</x:t>
  </x:si>
  <x:si>
    <x:t>http://id.who.int/icd/release/11/beta/ichi/742386422</x:t>
  </x:si>
  <x:si>
    <x:t>BlockL3-UG1</x:t>
  </x:si>
  <x:si>
    <x:t>- - - Interventions on additional environmental industries and products</x:t>
  </x:si>
  <x:si>
    <x:t>594</x:t>
  </x:si>
  <x:si>
    <x:t>http://id.who.int/icd/entity/1622909331</x:t>
  </x:si>
  <x:si>
    <x:t>http://id.who.int/icd/release/11/beta/ichi/1622909331</x:t>
  </x:si>
  <x:si>
    <x:t>UG1.AA.ZZ</x:t>
  </x:si>
  <x:si>
    <x:t>- - - - Assessment of environmental industries and products, unspecified</x:t>
  </x:si>
  <x:si>
    <x:t>http://id.who.int/icd/entity/817920036</x:t>
  </x:si>
  <x:si>
    <x:t>http://id.who.int/icd/release/11/beta/ichi/817920036</x:t>
  </x:si>
  <x:si>
    <x:t>UG1.PH.ZZ</x:t>
  </x:si>
  <x:si>
    <x:t>- - - - Training about environmental industries and products, unspecified</x:t>
  </x:si>
  <x:si>
    <x:t>http://id.who.int/icd/entity/95204954</x:t>
  </x:si>
  <x:si>
    <x:t>http://id.who.int/icd/release/11/beta/ichi/95204954</x:t>
  </x:si>
  <x:si>
    <x:t>UG1.PM.ZZ</x:t>
  </x:si>
  <x:si>
    <x:t>- - - - Education about environmental industries and products, unspecified</x:t>
  </x:si>
  <x:si>
    <x:t>http://id.who.int/icd/entity/777116362</x:t>
  </x:si>
  <x:si>
    <x:t>http://id.who.int/icd/release/11/beta/ichi/777116362</x:t>
  </x:si>
  <x:si>
    <x:t>UG1.PN.ZZ</x:t>
  </x:si>
  <x:si>
    <x:t>- - - - Advising about environmental industries and products, unspecified</x:t>
  </x:si>
  <x:si>
    <x:t>http://id.who.int/icd/entity/1058208446</x:t>
  </x:si>
  <x:si>
    <x:t>http://id.who.int/icd/release/11/beta/ichi/1058208446</x:t>
  </x:si>
  <x:si>
    <x:t>UG1.RB.ZZ</x:t>
  </x:si>
  <x:si>
    <x:t>- - - - Practical support about environmental industries and products, unspecified</x:t>
  </x:si>
  <x:si>
    <x:t>http://id.who.int/icd/entity/1252294349</x:t>
  </x:si>
  <x:si>
    <x:t>http://id.who.int/icd/release/11/beta/ichi/1252294349</x:t>
  </x:si>
  <x:si>
    <x:t>UG1.RD.ZZ</x:t>
  </x:si>
  <x:si>
    <x:t>- - - - Providing goods in relation to environmental industries and products, unspecified</x:t>
  </x:si>
  <x:si>
    <x:t>http://id.who.int/icd/entity/450865022</x:t>
  </x:si>
  <x:si>
    <x:t>http://id.who.int/icd/release/11/beta/ichi/450865022</x:t>
  </x:si>
  <x:si>
    <x:t>UG1.RG.ZZ</x:t>
  </x:si>
  <x:si>
    <x:t>- - - - Providing services in relation to environmental industries and products, unspecified</x:t>
  </x:si>
  <x:si>
    <x:t>http://id.who.int/icd/entity/1159591519</x:t>
  </x:si>
  <x:si>
    <x:t>http://id.who.int/icd/release/11/beta/ichi/1159591519</x:t>
  </x:si>
  <x:si>
    <x:t>UG1.TA.ZZ</x:t>
  </x:si>
  <x:si>
    <x:t>- - - - Advocacy in relation to environmental industries and products, unspecified</x:t>
  </x:si>
  <x:si>
    <x:t>http://id.who.int/icd/entity/1860213455</x:t>
  </x:si>
  <x:si>
    <x:t>http://id.who.int/icd/release/11/beta/ichi/1860213455</x:t>
  </x:si>
  <x:si>
    <x:t>UG1.TB.ZZ</x:t>
  </x:si>
  <x:si>
    <x:t>- - - - Planning in relation to environmental industries and products, unspecified</x:t>
  </x:si>
  <x:si>
    <x:t>http://id.who.int/icd/entity/632306932</x:t>
  </x:si>
  <x:si>
    <x:t>http://id.who.int/icd/release/11/beta/ichi/632306932</x:t>
  </x:si>
  <x:si>
    <x:t>UG1.TD.ZZ</x:t>
  </x:si>
  <x:si>
    <x:t>- - - - Collaboration relating to environmental industries and products, unspecified</x:t>
  </x:si>
  <x:si>
    <x:t>http://id.who.int/icd/entity/2054319575</x:t>
  </x:si>
  <x:si>
    <x:t>http://id.who.int/icd/release/11/beta/ichi/2054319575</x:t>
  </x:si>
  <x:si>
    <x:t>UG1.TK.ZZ</x:t>
  </x:si>
  <x:si>
    <x:t>- - - - Public facilities or infrastructure development in relation to environmental industries and products, unspecified</x:t>
  </x:si>
  <x:si>
    <x:t>http://id.who.int/icd/entity/705279078</x:t>
  </x:si>
  <x:si>
    <x:t>http://id.who.int/icd/release/11/beta/ichi/705279078</x:t>
  </x:si>
  <x:si>
    <x:t>UG1.TM.ZZ</x:t>
  </x:si>
  <x:si>
    <x:t>- - - - Environment modification in relation to environmental industries and products, unspecified</x:t>
  </x:si>
  <x:si>
    <x:t>http://id.who.int/icd/entity/1606365205</x:t>
  </x:si>
  <x:si>
    <x:t>http://id.who.int/icd/release/11/beta/ichi/1606365205</x:t>
  </x:si>
  <x:si>
    <x:t>UG1.VA.ZZ</x:t>
  </x:si>
  <x:si>
    <x:t>- - - - Capacity building targeting environmental industries and products, unspecified</x:t>
  </x:si>
  <x:si>
    <x:t>http://id.who.int/icd/entity/1950506117</x:t>
  </x:si>
  <x:si>
    <x:t>http://id.who.int/icd/release/11/beta/ichi/1950506117</x:t>
  </x:si>
  <x:si>
    <x:t>UG1.VB.ZZ</x:t>
  </x:si>
  <x:si>
    <x:t>- - - - Awareness raising concerning environmental industries and products, unspecified</x:t>
  </x:si>
  <x:si>
    <x:t>http://id.who.int/icd/entity/2145514073</x:t>
  </x:si>
  <x:si>
    <x:t>http://id.who.int/icd/release/11/beta/ichi/2145514073</x:t>
  </x:si>
  <x:si>
    <x:t>UG1.VC.ZZ</x:t>
  </x:si>
  <x:si>
    <x:t>- - - - Public health surveillance concerning environmental industries and products, unspecified</x:t>
  </x:si>
  <x:si>
    <x:t>http://id.who.int/icd/entity/1884846795</x:t>
  </x:si>
  <x:si>
    <x:t>http://id.who.int/icd/release/11/beta/ichi/1884846795</x:t>
  </x:si>
  <x:si>
    <x:t>UG1.VL.ZZ</x:t>
  </x:si>
  <x:si>
    <x:t>- - - - Environmental remediation in relation to environmental industries and products, unspecified</x:t>
  </x:si>
  <x:si>
    <x:t>http://id.who.int/icd/entity/1537545819</x:t>
  </x:si>
  <x:si>
    <x:t>http://id.who.int/icd/release/11/beta/ichi/1537545819</x:t>
  </x:si>
  <x:si>
    <x:t>UG1.VN.ZZ</x:t>
  </x:si>
  <x:si>
    <x:t>- - - - Establishing health services or health-related services in relation to environmental industries and products, unspecified</x:t>
  </x:si>
  <x:si>
    <x:t>http://id.who.int/icd/entity/965134213</x:t>
  </x:si>
  <x:si>
    <x:t>http://id.who.int/icd/release/11/beta/ichi/965134213</x:t>
  </x:si>
  <x:si>
    <x:t>UG1.VO.ZZ</x:t>
  </x:si>
  <x:si>
    <x:t>- - - - Marshalling health services or health-related services in relation to environmental industries and products, unspecified</x:t>
  </x:si>
  <x:si>
    <x:t>http://id.who.int/icd/entity/1715771046</x:t>
  </x:si>
  <x:si>
    <x:t>http://id.who.int/icd/release/11/beta/ichi/1715771046</x:t>
  </x:si>
  <x:si>
    <x:t>UG1.VP.ZZ</x:t>
  </x:si>
  <x:si>
    <x:t>- - - - Improving access to health services or health-related services in relation to environmental industries and products, unspecified</x:t>
  </x:si>
  <x:si>
    <x:t>http://id.who.int/icd/entity/910118679</x:t>
  </x:si>
  <x:si>
    <x:t>http://id.who.int/icd/release/11/beta/ichi/910118679</x:t>
  </x:si>
  <x:si>
    <x:t>UG1.VR.ZZ</x:t>
  </x:si>
  <x:si>
    <x:t>- - - - Reducing emissions from environmental industries and products, unspecified</x:t>
  </x:si>
  <x:si>
    <x:t>http://id.who.int/icd/entity/1133103974</x:t>
  </x:si>
  <x:si>
    <x:t>http://id.who.int/icd/release/11/beta/ichi/1133103974</x:t>
  </x:si>
  <x:si>
    <x:t>UG1.WC.ZZ</x:t>
  </x:si>
  <x:si>
    <x:t>- - - - Restrictions on the sale or distribution of products or services in relation to environmental industries and products, unspecified</x:t>
  </x:si>
  <x:si>
    <x:t>http://id.who.int/icd/entity/1752475638</x:t>
  </x:si>
  <x:si>
    <x:t>http://id.who.int/icd/release/11/beta/ichi/1752475638</x:t>
  </x:si>
  <x:si>
    <x:t>UG1.WD.ZZ</x:t>
  </x:si>
  <x:si>
    <x:t>- - - - Restrictions on advertising, promotion or sponsorship of products or services in relation to environmental industries and products, unspecified</x:t>
  </x:si>
  <x:si>
    <x:t>http://id.who.int/icd/entity/2033682306</x:t>
  </x:si>
  <x:si>
    <x:t>http://id.who.int/icd/release/11/beta/ichi/2033682306</x:t>
  </x:si>
  <x:si>
    <x:t>UG1.WE.ZZ</x:t>
  </x:si>
  <x:si>
    <x:t>- - - - Restrictions on production or importation of products or services in relation to environmental industries and products, unspecified</x:t>
  </x:si>
  <x:si>
    <x:t>http://id.who.int/icd/entity/2095468780</x:t>
  </x:si>
  <x:si>
    <x:t>http://id.who.int/icd/release/11/beta/ichi/2095468780</x:t>
  </x:si>
  <x:si>
    <x:t>UG1.WG.QF</x:t>
  </x:si>
  <x:si>
    <x:t>- - - - Economic incentives in relation to environmental industries and products, unspecified</x:t>
  </x:si>
  <x:si>
    <x:t>http://id.who.int/icd/entity/748521821</x:t>
  </x:si>
  <x:si>
    <x:t>http://id.who.int/icd/release/11/beta/ichi/748521821</x:t>
  </x:si>
  <x:si>
    <x:t>UG1.WG.ZZ</x:t>
  </x:si>
  <x:si>
    <x:t>- - - - Applying incentives in relation to environmental industries and products, unspecified</x:t>
  </x:si>
  <x:si>
    <x:t>http://id.who.int/icd/entity/1935661182</x:t>
  </x:si>
  <x:si>
    <x:t>http://id.who.int/icd/release/11/beta/ichi/1935661182</x:t>
  </x:si>
  <x:si>
    <x:t>UG1.WI.QD</x:t>
  </x:si>
  <x:si>
    <x:t>- - - - Restrictions through enactment of laws or standards in relation to environmental industries and products, unspecified</x:t>
  </x:si>
  <x:si>
    <x:t>http://id.who.int/icd/entity/1487058158</x:t>
  </x:si>
  <x:si>
    <x:t>http://id.who.int/icd/release/11/beta/ichi/1487058158</x:t>
  </x:si>
  <x:si>
    <x:t>UG1.WI.QE</x:t>
  </x:si>
  <x:si>
    <x:t>- - - - Restrictions through enforcement of laws or standards in relation to environmental industries and products, unspecified</x:t>
  </x:si>
  <x:si>
    <x:t>http://id.who.int/icd/entity/1670726088</x:t>
  </x:si>
  <x:si>
    <x:t>http://id.who.int/icd/release/11/beta/ichi/1670726088</x:t>
  </x:si>
  <x:si>
    <x:t>UG1.WI.ZZ</x:t>
  </x:si>
  <x:si>
    <x:t>- - - - Restrictions through laws or standards in relation to environmental industries and products, not elsewhere classified</x:t>
  </x:si>
  <x:si>
    <x:t>http://id.who.int/icd/entity/1012338923</x:t>
  </x:si>
  <x:si>
    <x:t>http://id.who.int/icd/release/11/beta/ichi/1012338923</x:t>
  </x:si>
  <x:si>
    <x:t>UG1.WJ.ZZ</x:t>
  </x:si>
  <x:si>
    <x:t>- - - - Policy change in relation to environmental industries and products, unspecified</x:t>
  </x:si>
  <x:si>
    <x:t>http://id.who.int/icd/entity/837493644</x:t>
  </x:si>
  <x:si>
    <x:t>http://id.who.int/icd/release/11/beta/ichi/837493644</x:t>
  </x:si>
  <x:si>
    <x:t>UG1.ZZ.ZZ</x:t>
  </x:si>
  <x:si>
    <x:t>- - - - Other interventions targeting unspecified additional environmental industries and products</x:t>
  </x:si>
  <x:si>
    <x:t>http://id.who.int/icd/entity/625334117</x:t>
  </x:si>
  <x:si>
    <x:t>http://id.who.int/icd/release/11/beta/ichi/625334117</x:t>
  </x:si>
  <x:si>
    <x:t>UGA.AA.ZZ</x:t>
  </x:si>
  <x:si>
    <x:t>- - - - Assessment of health effects of extraction of crude petroleum and natural gas</x:t>
  </x:si>
  <x:si>
    <x:t>http://id.who.int/icd/entity/1967001300</x:t>
  </x:si>
  <x:si>
    <x:t>http://id.who.int/icd/release/11/beta/ichi/1967001300</x:t>
  </x:si>
  <x:si>
    <x:t>UGA.PH.ZZ</x:t>
  </x:si>
  <x:si>
    <x:t>- - - - Training about extraction of crude petroleum and natural gas</x:t>
  </x:si>
  <x:si>
    <x:t>http://id.who.int/icd/entity/487162346</x:t>
  </x:si>
  <x:si>
    <x:t>http://id.who.int/icd/release/11/beta/ichi/487162346</x:t>
  </x:si>
  <x:si>
    <x:t>UGA.PM.ZZ</x:t>
  </x:si>
  <x:si>
    <x:t>- - - - Education about extraction of crude petroleum and natural gas</x:t>
  </x:si>
  <x:si>
    <x:t>http://id.who.int/icd/entity/1231584789</x:t>
  </x:si>
  <x:si>
    <x:t>http://id.who.int/icd/release/11/beta/ichi/1231584789</x:t>
  </x:si>
  <x:si>
    <x:t>UGA.PN.ZZ</x:t>
  </x:si>
  <x:si>
    <x:t>- - - - Advising about extraction of crude petroleum and natural gas</x:t>
  </x:si>
  <x:si>
    <x:t>http://id.who.int/icd/entity/380251958</x:t>
  </x:si>
  <x:si>
    <x:t>http://id.who.int/icd/release/11/beta/ichi/380251958</x:t>
  </x:si>
  <x:si>
    <x:t>UGA.RB.ZZ</x:t>
  </x:si>
  <x:si>
    <x:t>- - - - Practical support about extraction of crude petroleum and natural gas</x:t>
  </x:si>
  <x:si>
    <x:t>http://id.who.int/icd/entity/1188165255</x:t>
  </x:si>
  <x:si>
    <x:t>http://id.who.int/icd/release/11/beta/ichi/1188165255</x:t>
  </x:si>
  <x:si>
    <x:t>UGA.RD.ZZ</x:t>
  </x:si>
  <x:si>
    <x:t>- - - - Providing goods in relation to extraction of crude petroleum and natural gas</x:t>
  </x:si>
  <x:si>
    <x:t>http://id.who.int/icd/entity/214513588</x:t>
  </x:si>
  <x:si>
    <x:t>http://id.who.int/icd/release/11/beta/ichi/214513588</x:t>
  </x:si>
  <x:si>
    <x:t>UGA.RG.ZZ</x:t>
  </x:si>
  <x:si>
    <x:t>- - - - Providing services in relation to extraction of crude petroleum and natural gas</x:t>
  </x:si>
  <x:si>
    <x:t>http://id.who.int/icd/entity/657742628</x:t>
  </x:si>
  <x:si>
    <x:t>http://id.who.int/icd/release/11/beta/ichi/657742628</x:t>
  </x:si>
  <x:si>
    <x:t>UGA.TA.ZZ</x:t>
  </x:si>
  <x:si>
    <x:t>- - - - Advocacy in relation to extraction of crude petroleum and natural gas</x:t>
  </x:si>
  <x:si>
    <x:t>http://id.who.int/icd/entity/913800020</x:t>
  </x:si>
  <x:si>
    <x:t>http://id.who.int/icd/release/11/beta/ichi/913800020</x:t>
  </x:si>
  <x:si>
    <x:t>UGA.TB.ZZ</x:t>
  </x:si>
  <x:si>
    <x:t>- - - - Planning in relation to extraction of crude petroleum and natural gas</x:t>
  </x:si>
  <x:si>
    <x:t>http://id.who.int/icd/entity/1136787233</x:t>
  </x:si>
  <x:si>
    <x:t>http://id.who.int/icd/release/11/beta/ichi/1136787233</x:t>
  </x:si>
  <x:si>
    <x:t>UGA.TD.ZZ</x:t>
  </x:si>
  <x:si>
    <x:t>- - - - Collaboration relating to extraction of crude petroleum and natural gas</x:t>
  </x:si>
  <x:si>
    <x:t>http://id.who.int/icd/entity/330966672</x:t>
  </x:si>
  <x:si>
    <x:t>http://id.who.int/icd/release/11/beta/ichi/330966672</x:t>
  </x:si>
  <x:si>
    <x:t>UGA.TK.ZZ</x:t>
  </x:si>
  <x:si>
    <x:t>- - - - Public facilities or infrastructure development in relation to extraction of crude petroleum and natural gas</x:t>
  </x:si>
  <x:si>
    <x:t>http://id.who.int/icd/entity/1282963379</x:t>
  </x:si>
  <x:si>
    <x:t>http://id.who.int/icd/release/11/beta/ichi/1282963379</x:t>
  </x:si>
  <x:si>
    <x:t>UGA.TM.ZZ</x:t>
  </x:si>
  <x:si>
    <x:t>- - - - Environment modification in relation to extraction of crude petroleum and natural gas</x:t>
  </x:si>
  <x:si>
    <x:t>http://id.who.int/icd/entity/1736776483</x:t>
  </x:si>
  <x:si>
    <x:t>http://id.who.int/icd/release/11/beta/ichi/1736776483</x:t>
  </x:si>
  <x:si>
    <x:t>UGA.VA.ZZ</x:t>
  </x:si>
  <x:si>
    <x:t>- - - - Capacity building targeting extraction of crude petroleum and natural gas</x:t>
  </x:si>
  <x:si>
    <x:t>http://id.who.int/icd/entity/752205082</x:t>
  </x:si>
  <x:si>
    <x:t>http://id.who.int/icd/release/11/beta/ichi/752205082</x:t>
  </x:si>
  <x:si>
    <x:t>UGA.VB.ZZ</x:t>
  </x:si>
  <x:si>
    <x:t>- - - - Awareness raising concerning extraction of crude petroleum and natural gas</x:t>
  </x:si>
  <x:si>
    <x:t>http://id.who.int/icd/entity/1930947643</x:t>
  </x:si>
  <x:si>
    <x:t>http://id.who.int/icd/release/11/beta/ichi/1930947643</x:t>
  </x:si>
  <x:si>
    <x:t>UGA.VC.ZZ</x:t>
  </x:si>
  <x:si>
    <x:t>- - - - Public health surveillance concerning extraction of crude petroleum and natural gas</x:t>
  </x:si>
  <x:si>
    <x:t>http://id.who.int/icd/entity/594294156</x:t>
  </x:si>
  <x:si>
    <x:t>http://id.who.int/icd/release/11/beta/ichi/594294156</x:t>
  </x:si>
  <x:si>
    <x:t>UGA.VF.ZZ</x:t>
  </x:si>
  <x:si>
    <x:t>- - - - Alert concerning extraction of crude petroleum and natural gas</x:t>
  </x:si>
  <x:si>
    <x:t>http://id.who.int/icd/entity/1457172985</x:t>
  </x:si>
  <x:si>
    <x:t>http://id.who.int/icd/release/11/beta/ichi/1457172985</x:t>
  </x:si>
  <x:si>
    <x:t>UGA.VL.ZZ</x:t>
  </x:si>
  <x:si>
    <x:t>- - - - Environmental remediation in relation to extraction of crude petroleum and natural gas</x:t>
  </x:si>
  <x:si>
    <x:t>http://id.who.int/icd/entity/2099764585</x:t>
  </x:si>
  <x:si>
    <x:t>http://id.who.int/icd/release/11/beta/ichi/2099764585</x:t>
  </x:si>
  <x:si>
    <x:t>UGA.VN.ZZ</x:t>
  </x:si>
  <x:si>
    <x:t>- - - - Establishing health services or health-related services in relation to extraction of crude petroleum and natural gas</x:t>
  </x:si>
  <x:si>
    <x:t>http://id.who.int/icd/entity/1818557727</x:t>
  </x:si>
  <x:si>
    <x:t>http://id.who.int/icd/release/11/beta/ichi/1818557727</x:t>
  </x:si>
  <x:si>
    <x:t>UGA.VO.ZZ</x:t>
  </x:si>
  <x:si>
    <x:t>- - - - Marshalling health services or health-related services in relation to extraction of crude petroleum and natural gas</x:t>
  </x:si>
  <x:si>
    <x:t>http://id.who.int/icd/entity/1988391861</x:t>
  </x:si>
  <x:si>
    <x:t>http://id.who.int/icd/release/11/beta/ichi/1988391861</x:t>
  </x:si>
  <x:si>
    <x:t>UGA.VP.ZZ</x:t>
  </x:si>
  <x:si>
    <x:t>- - - - Improving access to health services or health-related services in relation to extraction of crude petroleum and natural gas</x:t>
  </x:si>
  <x:si>
    <x:t>http://id.who.int/icd/entity/654289412</x:t>
  </x:si>
  <x:si>
    <x:t>http://id.who.int/icd/release/11/beta/ichi/654289412</x:t>
  </x:si>
  <x:si>
    <x:t>UGA.VR.ZZ</x:t>
  </x:si>
  <x:si>
    <x:t>- - - - Reducing emissions from extraction of crude petroleum and natural gas</x:t>
  </x:si>
  <x:si>
    <x:t>http://id.who.int/icd/entity/2034105127</x:t>
  </x:si>
  <x:si>
    <x:t>http://id.who.int/icd/release/11/beta/ichi/2034105127</x:t>
  </x:si>
  <x:si>
    <x:t>UGA.WC.ZZ</x:t>
  </x:si>
  <x:si>
    <x:t>- - - - Restrictions on the sale or distribution of products or services in relation to extraction of crude petroleum and natural gas</x:t>
  </x:si>
  <x:si>
    <x:t>http://id.who.int/icd/entity/1388353463</x:t>
  </x:si>
  <x:si>
    <x:t>http://id.who.int/icd/release/11/beta/ichi/1388353463</x:t>
  </x:si>
  <x:si>
    <x:t>UGA.WD.ZZ</x:t>
  </x:si>
  <x:si>
    <x:t>- - - - Restrictions on advertising, promotion or sponsorship of products or services in relation to extraction of crude petroleum and natural gas</x:t>
  </x:si>
  <x:si>
    <x:t>http://id.who.int/icd/entity/1038965340</x:t>
  </x:si>
  <x:si>
    <x:t>http://id.who.int/icd/release/11/beta/ichi/1038965340</x:t>
  </x:si>
  <x:si>
    <x:t>UGA.WE.ZZ</x:t>
  </x:si>
  <x:si>
    <x:t>- - - - Restrictions on production or importation of products or services in relation to extraction of crude petroleum and natural gas</x:t>
  </x:si>
  <x:si>
    <x:t>http://id.who.int/icd/entity/1647250303</x:t>
  </x:si>
  <x:si>
    <x:t>http://id.who.int/icd/release/11/beta/ichi/1647250303</x:t>
  </x:si>
  <x:si>
    <x:t>UGA.WG.QF</x:t>
  </x:si>
  <x:si>
    <x:t>- - - - Economic incentives in relation to extraction of crude petroleum and natural gas</x:t>
  </x:si>
  <x:si>
    <x:t>http://id.who.int/icd/entity/844419790</x:t>
  </x:si>
  <x:si>
    <x:t>http://id.who.int/icd/release/11/beta/ichi/844419790</x:t>
  </x:si>
  <x:si>
    <x:t>UGA.WG.ZZ</x:t>
  </x:si>
  <x:si>
    <x:t>- - - - Applying incentives in relation to extraction of crude petroleum and natural gas</x:t>
  </x:si>
  <x:si>
    <x:t>http://id.who.int/icd/entity/1206015677</x:t>
  </x:si>
  <x:si>
    <x:t>http://id.who.int/icd/release/11/beta/ichi/1206015677</x:t>
  </x:si>
  <x:si>
    <x:t>UGA.WI.QD</x:t>
  </x:si>
  <x:si>
    <x:t>- - - - Restrictions through enactment of laws or standards in relation to extraction of crude petroleum and natural gas</x:t>
  </x:si>
  <x:si>
    <x:t>http://id.who.int/icd/entity/1813985837</x:t>
  </x:si>
  <x:si>
    <x:t>http://id.who.int/icd/release/11/beta/ichi/1813985837</x:t>
  </x:si>
  <x:si>
    <x:t>UGA.WI.QE</x:t>
  </x:si>
  <x:si>
    <x:t>- - - - Restrictions through enforcement of laws or standards in relation to extraction of crude petroleum and natural gas</x:t>
  </x:si>
  <x:si>
    <x:t>http://id.who.int/icd/entity/2103188059</x:t>
  </x:si>
  <x:si>
    <x:t>http://id.who.int/icd/release/11/beta/ichi/2103188059</x:t>
  </x:si>
  <x:si>
    <x:t>UGA.WI.ZZ</x:t>
  </x:si>
  <x:si>
    <x:t>- - - - Restrictions through laws or standards in relation to extraction of crude petroleum and natural gas, not elsewhere classified</x:t>
  </x:si>
  <x:si>
    <x:t>http://id.who.int/icd/entity/2022559029</x:t>
  </x:si>
  <x:si>
    <x:t>http://id.who.int/icd/release/11/beta/ichi/2022559029</x:t>
  </x:si>
  <x:si>
    <x:t>UGA.WJ.ZZ</x:t>
  </x:si>
  <x:si>
    <x:t>- - - - Policy change in relation to extraction of crude petroleum and natural gas</x:t>
  </x:si>
  <x:si>
    <x:t>http://id.who.int/icd/entity/1827105591</x:t>
  </x:si>
  <x:si>
    <x:t>http://id.who.int/icd/release/11/beta/ichi/1827105591</x:t>
  </x:si>
  <x:si>
    <x:t>UGB.AA.ZZ</x:t>
  </x:si>
  <x:si>
    <x:t>- - - - Assessment of health effects of mining of coal and lignite</x:t>
  </x:si>
  <x:si>
    <x:t>http://id.who.int/icd/entity/1192888231</x:t>
  </x:si>
  <x:si>
    <x:t>http://id.who.int/icd/release/11/beta/ichi/1192888231</x:t>
  </x:si>
  <x:si>
    <x:t>UGB.PH.ZZ</x:t>
  </x:si>
  <x:si>
    <x:t>- - - - Training about mining of coal and lignite</x:t>
  </x:si>
  <x:si>
    <x:t>http://id.who.int/icd/entity/2083385985</x:t>
  </x:si>
  <x:si>
    <x:t>http://id.who.int/icd/release/11/beta/ichi/2083385985</x:t>
  </x:si>
  <x:si>
    <x:t>UGB.PM.ZZ</x:t>
  </x:si>
  <x:si>
    <x:t>- - - - Education about mining of coal and lignite</x:t>
  </x:si>
  <x:si>
    <x:t>http://id.who.int/icd/entity/602907554</x:t>
  </x:si>
  <x:si>
    <x:t>http://id.who.int/icd/release/11/beta/ichi/602907554</x:t>
  </x:si>
  <x:si>
    <x:t>UGB.PN.ZZ</x:t>
  </x:si>
  <x:si>
    <x:t>- - - - Advising about mining of coal and lignite</x:t>
  </x:si>
  <x:si>
    <x:t>http://id.who.int/icd/entity/1939110419</x:t>
  </x:si>
  <x:si>
    <x:t>http://id.who.int/icd/release/11/beta/ichi/1939110419</x:t>
  </x:si>
  <x:si>
    <x:t>UGB.RB.ZZ</x:t>
  </x:si>
  <x:si>
    <x:t>- - - - Practical support about mining of coal and lignite</x:t>
  </x:si>
  <x:si>
    <x:t>http://id.who.int/icd/entity/1984277885</x:t>
  </x:si>
  <x:si>
    <x:t>http://id.who.int/icd/release/11/beta/ichi/1984277885</x:t>
  </x:si>
  <x:si>
    <x:t>UGB.RD.ZZ</x:t>
  </x:si>
  <x:si>
    <x:t>- - - - Providing goods in relation to mining of coal and lignite</x:t>
  </x:si>
  <x:si>
    <x:t>http://id.who.int/icd/entity/1572389357</x:t>
  </x:si>
  <x:si>
    <x:t>http://id.who.int/icd/release/11/beta/ichi/1572389357</x:t>
  </x:si>
  <x:si>
    <x:t>UGB.RG.ZZ</x:t>
  </x:si>
  <x:si>
    <x:t>- - - - Providing services in relation to mining of coal and lignite</x:t>
  </x:si>
  <x:si>
    <x:t>http://id.who.int/icd/entity/1291575707</x:t>
  </x:si>
  <x:si>
    <x:t>http://id.who.int/icd/release/11/beta/ichi/1291575707</x:t>
  </x:si>
  <x:si>
    <x:t>UGB.TA.ZZ</x:t>
  </x:si>
  <x:si>
    <x:t>- - - - Advocacy in relation to mining of coal and lignite</x:t>
  </x:si>
  <x:si>
    <x:t>http://id.who.int/icd/entity/961373672</x:t>
  </x:si>
  <x:si>
    <x:t>http://id.who.int/icd/release/11/beta/ichi/961373672</x:t>
  </x:si>
  <x:si>
    <x:t>UGB.TB.ZZ</x:t>
  </x:si>
  <x:si>
    <x:t>- - - - Planning in relation to mining of coal and lignite</x:t>
  </x:si>
  <x:si>
    <x:t>http://id.who.int/icd/entity/1765194841</x:t>
  </x:si>
  <x:si>
    <x:t>http://id.who.int/icd/release/11/beta/ichi/1765194841</x:t>
  </x:si>
  <x:si>
    <x:t>UGB.TD.ZZ</x:t>
  </x:si>
  <x:si>
    <x:t>- - - - Collaboration relating to mining of coal and lignite</x:t>
  </x:si>
  <x:si>
    <x:t>http://id.who.int/icd/entity/922021242</x:t>
  </x:si>
  <x:si>
    <x:t>http://id.who.int/icd/release/11/beta/ichi/922021242</x:t>
  </x:si>
  <x:si>
    <x:t>UGB.TK.ZZ</x:t>
  </x:si>
  <x:si>
    <x:t>- - - - Public facilities or infrastructure development in relation to mining of coal and lignite</x:t>
  </x:si>
  <x:si>
    <x:t>http://id.who.int/icd/entity/142709798</x:t>
  </x:si>
  <x:si>
    <x:t>http://id.who.int/icd/release/11/beta/ichi/142709798</x:t>
  </x:si>
  <x:si>
    <x:t>UGB.TM.ZZ</x:t>
  </x:si>
  <x:si>
    <x:t>- - - - Environment modification in relation to mining of coal and lignite</x:t>
  </x:si>
  <x:si>
    <x:t>http://id.who.int/icd/entity/995108233</x:t>
  </x:si>
  <x:si>
    <x:t>http://id.who.int/icd/release/11/beta/ichi/995108233</x:t>
  </x:si>
  <x:si>
    <x:t>UGB.VA.ZZ</x:t>
  </x:si>
  <x:si>
    <x:t>- - - - Capacity building targeting mining of coal and lignite</x:t>
  </x:si>
  <x:si>
    <x:t>http://id.who.int/icd/entity/1798044728</x:t>
  </x:si>
  <x:si>
    <x:t>http://id.who.int/icd/release/11/beta/ichi/1798044728</x:t>
  </x:si>
  <x:si>
    <x:t>UGB.VB.ZZ</x:t>
  </x:si>
  <x:si>
    <x:t>- - - - Awareness raising concerning mining of coal and lignite</x:t>
  </x:si>
  <x:si>
    <x:t>http://id.who.int/icd/entity/887729435</x:t>
  </x:si>
  <x:si>
    <x:t>http://id.who.int/icd/release/11/beta/ichi/887729435</x:t>
  </x:si>
  <x:si>
    <x:t>UGB.VC.ZZ</x:t>
  </x:si>
  <x:si>
    <x:t>- - - - Public health surveillance concerning mining of coal and lignite</x:t>
  </x:si>
  <x:si>
    <x:t>http://id.who.int/icd/entity/521453963</x:t>
  </x:si>
  <x:si>
    <x:t>http://id.who.int/icd/release/11/beta/ichi/521453963</x:t>
  </x:si>
  <x:si>
    <x:t>UGB.VF.ZZ</x:t>
  </x:si>
  <x:si>
    <x:t>- - - - Alert concerning mining of coal and lignite</x:t>
  </x:si>
  <x:si>
    <x:t>http://id.who.int/icd/entity/351610807</x:t>
  </x:si>
  <x:si>
    <x:t>http://id.who.int/icd/release/11/beta/ichi/351610807</x:t>
  </x:si>
  <x:si>
    <x:t>UGB.VL.ZZ</x:t>
  </x:si>
  <x:si>
    <x:t>- - - - Environmental remediation in relation to mining of coal and lignite</x:t>
  </x:si>
  <x:si>
    <x:t>http://id.who.int/icd/entity/236300573</x:t>
  </x:si>
  <x:si>
    <x:t>http://id.who.int/icd/release/11/beta/ichi/236300573</x:t>
  </x:si>
  <x:si>
    <x:t>UGB.VN.ZZ</x:t>
  </x:si>
  <x:si>
    <x:t>- - - - Establishing health services or health-related services in relation to mining of coal and lignite</x:t>
  </x:si>
  <x:si>
    <x:t>http://id.who.int/icd/entity/1584296108</x:t>
  </x:si>
  <x:si>
    <x:t>http://id.who.int/icd/release/11/beta/ichi/1584296108</x:t>
  </x:si>
  <x:si>
    <x:t>UGB.VO.ZZ</x:t>
  </x:si>
  <x:si>
    <x:t>- - - - Marshalling health services or health-related services in relation to mining of coal and lignite</x:t>
  </x:si>
  <x:si>
    <x:t>http://id.who.int/icd/entity/28057999</x:t>
  </x:si>
  <x:si>
    <x:t>http://id.who.int/icd/release/11/beta/ichi/28057999</x:t>
  </x:si>
  <x:si>
    <x:t>UGB.VP.ZZ</x:t>
  </x:si>
  <x:si>
    <x:t>- - - - Improving access to health services or health-related services in relation to mining of coal and lignite</x:t>
  </x:si>
  <x:si>
    <x:t>http://id.who.int/icd/entity/709971231</x:t>
  </x:si>
  <x:si>
    <x:t>http://id.who.int/icd/release/11/beta/ichi/709971231</x:t>
  </x:si>
  <x:si>
    <x:t>UGB.VR.ZZ</x:t>
  </x:si>
  <x:si>
    <x:t>- - - - Reducing emissions from mining of coal and lignite</x:t>
  </x:si>
  <x:si>
    <x:t>http://id.who.int/icd/entity/1371337266</x:t>
  </x:si>
  <x:si>
    <x:t>http://id.who.int/icd/release/11/beta/ichi/1371337266</x:t>
  </x:si>
  <x:si>
    <x:t>UGB.WC.ZZ</x:t>
  </x:si>
  <x:si>
    <x:t>- - - - Restrictions on the sale or distribution of products or services in relation to mining of coal and lignite</x:t>
  </x:si>
  <x:si>
    <x:t>http://id.who.int/icd/entity/243180307</x:t>
  </x:si>
  <x:si>
    <x:t>http://id.who.int/icd/release/11/beta/ichi/243180307</x:t>
  </x:si>
  <x:si>
    <x:t>UGB.WD.ZZ</x:t>
  </x:si>
  <x:si>
    <x:t>- - - - Restrictions on advertising, promotion or sponsorship of products or services in relation to mining of coal and lignite</x:t>
  </x:si>
  <x:si>
    <x:t>http://id.who.int/icd/entity/1805418868</x:t>
  </x:si>
  <x:si>
    <x:t>http://id.who.int/icd/release/11/beta/ichi/1805418868</x:t>
  </x:si>
  <x:si>
    <x:t>UGB.WE.ZZ</x:t>
  </x:si>
  <x:si>
    <x:t>- - - - Restrictions on production or importation of products or services in relation to mining of coal and lignite</x:t>
  </x:si>
  <x:si>
    <x:t>http://id.who.int/icd/entity/2061476100</x:t>
  </x:si>
  <x:si>
    <x:t>http://id.who.int/icd/release/11/beta/ichi/2061476100</x:t>
  </x:si>
  <x:si>
    <x:t>UGB.WG.QF</x:t>
  </x:si>
  <x:si>
    <x:t>- - - - Economic incentives in relation to mining of coal and lignite</x:t>
  </x:si>
  <x:si>
    <x:t>http://id.who.int/icd/entity/258549105</x:t>
  </x:si>
  <x:si>
    <x:t>http://id.who.int/icd/release/11/beta/ichi/258549105</x:t>
  </x:si>
  <x:si>
    <x:t>UGB.WG.ZZ</x:t>
  </x:si>
  <x:si>
    <x:t>- - - - Applying incentives in relation to mining of coal and lignite</x:t>
  </x:si>
  <x:si>
    <x:t>http://id.who.int/icd/entity/1595079872</x:t>
  </x:si>
  <x:si>
    <x:t>http://id.who.int/icd/release/11/beta/ichi/1595079872</x:t>
  </x:si>
  <x:si>
    <x:t>UGB.WI.QD</x:t>
  </x:si>
  <x:si>
    <x:t>- - - - Restrictions through enactment of laws or standards in relation to mining of coal and lignite</x:t>
  </x:si>
  <x:si>
    <x:t>http://id.who.int/icd/entity/13676003</x:t>
  </x:si>
  <x:si>
    <x:t>http://id.who.int/icd/release/11/beta/ichi/13676003</x:t>
  </x:si>
  <x:si>
    <x:t>UGB.WI.QE</x:t>
  </x:si>
  <x:si>
    <x:t>- - - - Restrictions through enforcement of laws or standards in relation to mining of coal and lignite</x:t>
  </x:si>
  <x:si>
    <x:t>http://id.who.int/icd/entity/724418931</x:t>
  </x:si>
  <x:si>
    <x:t>http://id.who.int/icd/release/11/beta/ichi/724418931</x:t>
  </x:si>
  <x:si>
    <x:t>UGB.WI.ZZ</x:t>
  </x:si>
  <x:si>
    <x:t>- - - - Restrictions through laws or standards in relation to mining of coal and lignite, not elsewhere classified</x:t>
  </x:si>
  <x:si>
    <x:t>http://id.who.int/icd/entity/1618831178</x:t>
  </x:si>
  <x:si>
    <x:t>http://id.who.int/icd/release/11/beta/ichi/1618831178</x:t>
  </x:si>
  <x:si>
    <x:t>UGB.WJ.ZZ</x:t>
  </x:si>
  <x:si>
    <x:t>- - - - Policy change in relation to mining of coal and lignite</x:t>
  </x:si>
  <x:si>
    <x:t>http://id.who.int/icd/entity/1464059141</x:t>
  </x:si>
  <x:si>
    <x:t>http://id.who.int/icd/release/11/beta/ichi/1464059141</x:t>
  </x:si>
  <x:si>
    <x:t>UGC.AA.ZZ</x:t>
  </x:si>
  <x:si>
    <x:t>- - - - Assessment of health effects of manufacture of coke and refined petroleum products</x:t>
  </x:si>
  <x:si>
    <x:t>http://id.who.int/icd/entity/1492798871</x:t>
  </x:si>
  <x:si>
    <x:t>http://id.who.int/icd/release/11/beta/ichi/1492798871</x:t>
  </x:si>
  <x:si>
    <x:t>UGC.PH.ZZ</x:t>
  </x:si>
  <x:si>
    <x:t>- - - - Training about manufacture of coke and refined petroleum products</x:t>
  </x:si>
  <x:si>
    <x:t>http://id.who.int/icd/entity/1951984924</x:t>
  </x:si>
  <x:si>
    <x:t>http://id.who.int/icd/release/11/beta/ichi/1951984924</x:t>
  </x:si>
  <x:si>
    <x:t>UGC.PM.ZZ</x:t>
  </x:si>
  <x:si>
    <x:t>- - - - Education about manufacture of coke and refined petroleum products</x:t>
  </x:si>
  <x:si>
    <x:t>http://id.who.int/icd/entity/1604682124</x:t>
  </x:si>
  <x:si>
    <x:t>http://id.who.int/icd/release/11/beta/ichi/1604682124</x:t>
  </x:si>
  <x:si>
    <x:t>UGC.PN.ZZ</x:t>
  </x:si>
  <x:si>
    <x:t>- - - - Advising about manufacture of coke and refined petroleum products</x:t>
  </x:si>
  <x:si>
    <x:t>http://id.who.int/icd/entity/1323737596</x:t>
  </x:si>
  <x:si>
    <x:t>http://id.who.int/icd/release/11/beta/ichi/1323737596</x:t>
  </x:si>
  <x:si>
    <x:t>UGC.RB.ZZ</x:t>
  </x:si>
  <x:si>
    <x:t>- - - - Practical support about manufacture of coke and refined petroleum products</x:t>
  </x:si>
  <x:si>
    <x:t>http://id.who.int/icd/entity/1413769138</x:t>
  </x:si>
  <x:si>
    <x:t>http://id.who.int/icd/release/11/beta/ichi/1413769138</x:t>
  </x:si>
  <x:si>
    <x:t>UGC.RD.ZZ</x:t>
  </x:si>
  <x:si>
    <x:t>- - - - Providing goods in relation to manufacture of coke and refined petroleum products</x:t>
  </x:si>
  <x:si>
    <x:t>http://id.who.int/icd/entity/193345171</x:t>
  </x:si>
  <x:si>
    <x:t>http://id.who.int/icd/release/11/beta/ichi/193345171</x:t>
  </x:si>
  <x:si>
    <x:t>UGC.RG.ZZ</x:t>
  </x:si>
  <x:si>
    <x:t>- - - - Providing services in relation to manufacture of coke and refined petroleum products</x:t>
  </x:si>
  <x:si>
    <x:t>http://id.who.int/icd/entity/1543368484</x:t>
  </x:si>
  <x:si>
    <x:t>http://id.who.int/icd/release/11/beta/ichi/1543368484</x:t>
  </x:si>
  <x:si>
    <x:t>UGC.TA.ZZ</x:t>
  </x:si>
  <x:si>
    <x:t>- - - - Advocacy in relation to manufacture of coke and refined petroleum products</x:t>
  </x:si>
  <x:si>
    <x:t>http://id.who.int/icd/entity/776694609</x:t>
  </x:si>
  <x:si>
    <x:t>http://id.who.int/icd/release/11/beta/ichi/776694609</x:t>
  </x:si>
  <x:si>
    <x:t>UGC.TB.ZZ</x:t>
  </x:si>
  <x:si>
    <x:t>- - - - Planning in relation to manufacture of coke and refined petroleum products</x:t>
  </x:si>
  <x:si>
    <x:t>http://id.who.int/icd/entity/95815617</x:t>
  </x:si>
  <x:si>
    <x:t>http://id.who.int/icd/release/11/beta/ichi/95815617</x:t>
  </x:si>
  <x:si>
    <x:t>UGC.TD.ZZ</x:t>
  </x:si>
  <x:si>
    <x:t>- - - - Collaboration relating to manufacture of coke and refined petroleum products</x:t>
  </x:si>
  <x:si>
    <x:t>http://id.who.int/icd/entity/529202729</x:t>
  </x:si>
  <x:si>
    <x:t>http://id.who.int/icd/release/11/beta/ichi/529202729</x:t>
  </x:si>
  <x:si>
    <x:t>UGC.TK.ZZ</x:t>
  </x:si>
  <x:si>
    <x:t>- - - - Public facilities or infrastructure development in relation to manufacture of coke and refined petroleum products</x:t>
  </x:si>
  <x:si>
    <x:t>http://id.who.int/icd/entity/880251577</x:t>
  </x:si>
  <x:si>
    <x:t>http://id.who.int/icd/release/11/beta/ichi/880251577</x:t>
  </x:si>
  <x:si>
    <x:t>UGC.TM.ZZ</x:t>
  </x:si>
  <x:si>
    <x:t>- - - - Environment modification in relation to manufacture of coke and refined petroleum products</x:t>
  </x:si>
  <x:si>
    <x:t>http://id.who.int/icd/entity/624210639</x:t>
  </x:si>
  <x:si>
    <x:t>http://id.who.int/icd/release/11/beta/ichi/624210639</x:t>
  </x:si>
  <x:si>
    <x:t>UGC.VA.ZZ</x:t>
  </x:si>
  <x:si>
    <x:t>- - - - Capacity building targeting manufacture of coke and refined petroleum products</x:t>
  </x:si>
  <x:si>
    <x:t>http://id.who.int/icd/entity/551904673</x:t>
  </x:si>
  <x:si>
    <x:t>http://id.who.int/icd/release/11/beta/ichi/551904673</x:t>
  </x:si>
  <x:si>
    <x:t>UGC.VB.ZZ</x:t>
  </x:si>
  <x:si>
    <x:t>- - - - Awareness raising concerning manufacture of coke and refined petroleum products</x:t>
  </x:si>
  <x:si>
    <x:t>http://id.who.int/icd/entity/1889451026</x:t>
  </x:si>
  <x:si>
    <x:t>http://id.who.int/icd/release/11/beta/ichi/1889451026</x:t>
  </x:si>
  <x:si>
    <x:t>UGC.VC.ZZ</x:t>
  </x:si>
  <x:si>
    <x:t>- - - - Public health surveillance concerning manufacture of coke and refined petroleum products</x:t>
  </x:si>
  <x:si>
    <x:t>http://id.who.int/icd/entity/794619187</x:t>
  </x:si>
  <x:si>
    <x:t>http://id.who.int/icd/release/11/beta/ichi/794619187</x:t>
  </x:si>
  <x:si>
    <x:t>UGC.VF.ZZ</x:t>
  </x:si>
  <x:si>
    <x:t>- - - - Alert concerning manufacture of coke and refined petroleum products</x:t>
  </x:si>
  <x:si>
    <x:t>http://id.who.int/icd/entity/77693347</x:t>
  </x:si>
  <x:si>
    <x:t>http://id.who.int/icd/release/11/beta/ichi/77693347</x:t>
  </x:si>
  <x:si>
    <x:t>UGC.VL.ZZ</x:t>
  </x:si>
  <x:si>
    <x:t>- - - - Environmental remediation in relation to manufacture of coke and refined petroleum products</x:t>
  </x:si>
  <x:si>
    <x:t>http://id.who.int/icd/entity/1066824837</x:t>
  </x:si>
  <x:si>
    <x:t>http://id.who.int/icd/release/11/beta/ichi/1066824837</x:t>
  </x:si>
  <x:si>
    <x:t>UGC.VN.ZZ</x:t>
  </x:si>
  <x:si>
    <x:t>- - - - Establishing health services or health-related services in relation to manufacture of coke and refined petroleum products</x:t>
  </x:si>
  <x:si>
    <x:t>http://id.who.int/icd/entity/1616127400</x:t>
  </x:si>
  <x:si>
    <x:t>http://id.who.int/icd/release/11/beta/ichi/1616127400</x:t>
  </x:si>
  <x:si>
    <x:t>UGC.VO.ZZ</x:t>
  </x:si>
  <x:si>
    <x:t>- - - - Marshalling health services or health-related services in relation to manufacture of coke and refined petroleum products</x:t>
  </x:si>
  <x:si>
    <x:t>http://id.who.int/icd/entity/808451095</x:t>
  </x:si>
  <x:si>
    <x:t>http://id.who.int/icd/release/11/beta/ichi/808451095</x:t>
  </x:si>
  <x:si>
    <x:t>UGC.VP.ZZ</x:t>
  </x:si>
  <x:si>
    <x:t>- - - - Improving access to health services or health-related services in relation to manufacture of coke and refined petroleum products</x:t>
  </x:si>
  <x:si>
    <x:t>http://id.who.int/icd/entity/718238397</x:t>
  </x:si>
  <x:si>
    <x:t>http://id.who.int/icd/release/11/beta/ichi/718238397</x:t>
  </x:si>
  <x:si>
    <x:t>UGC.VR.ZZ</x:t>
  </x:si>
  <x:si>
    <x:t>- - - - Reducing emissions from manufacture of coke and refined petroleum products</x:t>
  </x:si>
  <x:si>
    <x:t>http://id.who.int/icd/entity/20061741</x:t>
  </x:si>
  <x:si>
    <x:t>http://id.who.int/icd/release/11/beta/ichi/20061741</x:t>
  </x:si>
  <x:si>
    <x:t>UGC.WC.ZZ</x:t>
  </x:si>
  <x:si>
    <x:t>- - - - Restrictions on the sale or distribution of products or services in relation to manufacture of coke and refined petroleum products</x:t>
  </x:si>
  <x:si>
    <x:t>http://id.who.int/icd/entity/275856987</x:t>
  </x:si>
  <x:si>
    <x:t>http://id.who.int/icd/release/11/beta/ichi/275856987</x:t>
  </x:si>
  <x:si>
    <x:t>UGC.WD.ZZ</x:t>
  </x:si>
  <x:si>
    <x:t>- - - - Restrictions on advertising, promotion or sponsorship of products or services in relation to manufacture of coke and refined petroleum products</x:t>
  </x:si>
  <x:si>
    <x:t>http://id.who.int/icd/entity/651142844</x:t>
  </x:si>
  <x:si>
    <x:t>http://id.who.int/icd/release/11/beta/ichi/651142844</x:t>
  </x:si>
  <x:si>
    <x:t>UGC.WE.ZZ</x:t>
  </x:si>
  <x:si>
    <x:t>- - - - Restrictions on production or importation of products or services in relation to manufacture of coke and refined petroleum products</x:t>
  </x:si>
  <x:si>
    <x:t>http://id.who.int/icd/entity/1991540491</x:t>
  </x:si>
  <x:si>
    <x:t>http://id.who.int/icd/release/11/beta/ichi/1991540491</x:t>
  </x:si>
  <x:si>
    <x:t>UGC.WG.QF</x:t>
  </x:si>
  <x:si>
    <x:t>- - - - Economic incentives in relation to manufacture of coke and refined petroleum products</x:t>
  </x:si>
  <x:si>
    <x:t>http://id.who.int/icd/entity/695610922</x:t>
  </x:si>
  <x:si>
    <x:t>http://id.who.int/icd/release/11/beta/ichi/695610922</x:t>
  </x:si>
  <x:si>
    <x:t>UGC.WG.ZZ</x:t>
  </x:si>
  <x:si>
    <x:t>- - - - Applying incentives in relation to manufacture of coke and refined petroleum products</x:t>
  </x:si>
  <x:si>
    <x:t>http://id.who.int/icd/entity/42681018</x:t>
  </x:si>
  <x:si>
    <x:t>http://id.who.int/icd/release/11/beta/ichi/42681018</x:t>
  </x:si>
  <x:si>
    <x:t>UGC.WI.QD</x:t>
  </x:si>
  <x:si>
    <x:t>- - - - Restrictions through enactment of laws or standards in relation to manufacture of coke and refined petroleum products</x:t>
  </x:si>
  <x:si>
    <x:t>http://id.who.int/icd/entity/968669088</x:t>
  </x:si>
  <x:si>
    <x:t>http://id.who.int/icd/release/11/beta/ichi/968669088</x:t>
  </x:si>
  <x:si>
    <x:t>UGC.WI.QE</x:t>
  </x:si>
  <x:si>
    <x:t>- - - - Restrictions through enforcement of laws or standards in relation to manufacture of coke and refined petroleum products</x:t>
  </x:si>
  <x:si>
    <x:t>http://id.who.int/icd/entity/1719592637</x:t>
  </x:si>
  <x:si>
    <x:t>http://id.who.int/icd/release/11/beta/ichi/1719592637</x:t>
  </x:si>
  <x:si>
    <x:t>UGC.WI.ZZ</x:t>
  </x:si>
  <x:si>
    <x:t>- - - - Restrictions through laws or standards in relation to manufacture of coke and refined petroleum products, not elsewhere classified</x:t>
  </x:si>
  <x:si>
    <x:t>http://id.who.int/icd/entity/906313486</x:t>
  </x:si>
  <x:si>
    <x:t>http://id.who.int/icd/release/11/beta/ichi/906313486</x:t>
  </x:si>
  <x:si>
    <x:t>UGC.WJ.ZZ</x:t>
  </x:si>
  <x:si>
    <x:t>- - - - Policy change in relation to manufacture of coke and refined petroleum products</x:t>
  </x:si>
  <x:si>
    <x:t>http://id.who.int/icd/entity/1069495915</x:t>
  </x:si>
  <x:si>
    <x:t>http://id.who.int/icd/release/11/beta/ichi/1069495915</x:t>
  </x:si>
  <x:si>
    <x:t>UGD.AA.ZZ</x:t>
  </x:si>
  <x:si>
    <x:t>- - - - Assessment of health effects of coal and coke</x:t>
  </x:si>
  <x:si>
    <x:t>http://id.who.int/icd/entity/1875177436</x:t>
  </x:si>
  <x:si>
    <x:t>http://id.who.int/icd/release/11/beta/ichi/1875177436</x:t>
  </x:si>
  <x:si>
    <x:t>UGD.PH.ZZ</x:t>
  </x:si>
  <x:si>
    <x:t>- - - - Training about coal and coke</x:t>
  </x:si>
  <x:si>
    <x:t>http://id.who.int/icd/entity/443706281</x:t>
  </x:si>
  <x:si>
    <x:t>http://id.who.int/icd/release/11/beta/ichi/443706281</x:t>
  </x:si>
  <x:si>
    <x:t>UGD.PM.ZZ</x:t>
  </x:si>
  <x:si>
    <x:t>- - - - Education about coal and coke</x:t>
  </x:si>
  <x:si>
    <x:t>http://id.who.int/icd/entity/831457081</x:t>
  </x:si>
  <x:si>
    <x:t>http://id.who.int/icd/release/11/beta/ichi/831457081</x:t>
  </x:si>
  <x:si>
    <x:t>UGD.PN.ZZ</x:t>
  </x:si>
  <x:si>
    <x:t>- - - - Advising about coal and coke</x:t>
  </x:si>
  <x:si>
    <x:t>http://id.who.int/icd/entity/550250319</x:t>
  </x:si>
  <x:si>
    <x:t>http://id.who.int/icd/release/11/beta/ichi/550250319</x:t>
  </x:si>
  <x:si>
    <x:t>UGD.RB.ZZ</x:t>
  </x:si>
  <x:si>
    <x:t>- - - - Practical support about coal and coke</x:t>
  </x:si>
  <x:si>
    <x:t>http://id.who.int/icd/entity/976005605</x:t>
  </x:si>
  <x:si>
    <x:t>http://id.who.int/icd/release/11/beta/ichi/976005605</x:t>
  </x:si>
  <x:si>
    <x:t>UGD.RD.ZZ</x:t>
  </x:si>
  <x:si>
    <x:t>- - - - Providing goods in relation to coal and coke</x:t>
  </x:si>
  <x:si>
    <x:t>http://id.who.int/icd/entity/1784115284</x:t>
  </x:si>
  <x:si>
    <x:t>http://id.who.int/icd/release/11/beta/ichi/1784115284</x:t>
  </x:si>
  <x:si>
    <x:t>UGD.RG.ZZ</x:t>
  </x:si>
  <x:si>
    <x:t>- - - - Providing services in relation to coal and coke</x:t>
  </x:si>
  <x:si>
    <x:t>http://id.who.int/icd/entity/898965879</x:t>
  </x:si>
  <x:si>
    <x:t>http://id.who.int/icd/release/11/beta/ichi/898965879</x:t>
  </x:si>
  <x:si>
    <x:t>UGD.TA.ZZ</x:t>
  </x:si>
  <x:si>
    <x:t>- - - - Advocacy in relation to coal and coke</x:t>
  </x:si>
  <x:si>
    <x:t>http://id.who.int/icd/entity/510152167</x:t>
  </x:si>
  <x:si>
    <x:t>http://id.who.int/icd/release/11/beta/ichi/510152167</x:t>
  </x:si>
  <x:si>
    <x:t>UGD.TB.ZZ</x:t>
  </x:si>
  <x:si>
    <x:t>- - - - Planning in relation to coal and coke</x:t>
  </x:si>
  <x:si>
    <x:t>http://id.who.int/icd/entity/1703277258</x:t>
  </x:si>
  <x:si>
    <x:t>http://id.who.int/icd/release/11/beta/ichi/1703277258</x:t>
  </x:si>
  <x:si>
    <x:t>UGD.TD.ZZ</x:t>
  </x:si>
  <x:si>
    <x:t>- - - - Collaboration relating to coal and coke</x:t>
  </x:si>
  <x:si>
    <x:t>http://id.who.int/icd/entity/977773547</x:t>
  </x:si>
  <x:si>
    <x:t>http://id.who.int/icd/release/11/beta/ichi/977773547</x:t>
  </x:si>
  <x:si>
    <x:t>UGD.TK.ZZ</x:t>
  </x:si>
  <x:si>
    <x:t>- - - - Public facilities or infrastructure development in relation to coal and coke</x:t>
  </x:si>
  <x:si>
    <x:t>http://id.who.int/icd/entity/1782348380</x:t>
  </x:si>
  <x:si>
    <x:t>http://id.who.int/icd/release/11/beta/ichi/1782348380</x:t>
  </x:si>
  <x:si>
    <x:t>UGD.TM.ZZ</x:t>
  </x:si>
  <x:si>
    <x:t>- - - - Environment modification in relation to coal and coke</x:t>
  </x:si>
  <x:si>
    <x:t>http://id.who.int/icd/entity/1753978745</x:t>
  </x:si>
  <x:si>
    <x:t>http://id.who.int/icd/release/11/beta/ichi/1753978745</x:t>
  </x:si>
  <x:si>
    <x:t>UGD.VO.ZZ</x:t>
  </x:si>
  <x:si>
    <x:t>- - - - Capacity building targeting coal and coke</x:t>
  </x:si>
  <x:si>
    <x:t>http://id.who.int/icd/entity/1017651304</x:t>
  </x:si>
  <x:si>
    <x:t>http://id.who.int/icd/release/11/beta/ichi/1017651304</x:t>
  </x:si>
  <x:si>
    <x:t>UGD.VP.ZZ</x:t>
  </x:si>
  <x:si>
    <x:t>- - - - Improving access to health services or health-related services in relation to coal and coke</x:t>
  </x:si>
  <x:si>
    <x:t>http://id.who.int/icd/entity/1825831383</x:t>
  </x:si>
  <x:si>
    <x:t>http://id.who.int/icd/release/11/beta/ichi/1825831383</x:t>
  </x:si>
  <x:si>
    <x:t>UGD.VR.ZZ</x:t>
  </x:si>
  <x:si>
    <x:t>- - - - Reducing emissions from coal and coke</x:t>
  </x:si>
  <x:si>
    <x:t>http://id.who.int/icd/entity/1983084413</x:t>
  </x:si>
  <x:si>
    <x:t>http://id.who.int/icd/release/11/beta/ichi/1983084413</x:t>
  </x:si>
  <x:si>
    <x:t>UGD.WC.ZZ</x:t>
  </x:si>
  <x:si>
    <x:t>- - - - Restrictions on the sale or distribution of products or services in relation to coal and coke</x:t>
  </x:si>
  <x:si>
    <x:t>http://id.who.int/icd/entity/1573788653</x:t>
  </x:si>
  <x:si>
    <x:t>http://id.who.int/icd/release/11/beta/ichi/1573788653</x:t>
  </x:si>
  <x:si>
    <x:t>UGD.WD.ZZ</x:t>
  </x:si>
  <x:si>
    <x:t>- - - - Restrictions on advertising, promotion or sponsorship of products or services in relation to coal and coke</x:t>
  </x:si>
  <x:si>
    <x:t>http://id.who.int/icd/entity/1284324251</x:t>
  </x:si>
  <x:si>
    <x:t>http://id.who.int/icd/release/11/beta/ichi/1284324251</x:t>
  </x:si>
  <x:si>
    <x:t>UGD.WE.ZZ</x:t>
  </x:si>
  <x:si>
    <x:t>- - - - Restrictions on production or importation of products or services in relation to coal and coke</x:t>
  </x:si>
  <x:si>
    <x:t>http://id.who.int/icd/entity/1672864029</x:t>
  </x:si>
  <x:si>
    <x:t>http://id.who.int/icd/release/11/beta/ichi/1672864029</x:t>
  </x:si>
  <x:si>
    <x:t>UGD.WG.QF</x:t>
  </x:si>
  <x:si>
    <x:t>- - - - Economic incentives in relation to coal and coke</x:t>
  </x:si>
  <x:si>
    <x:t>http://id.who.int/icd/entity/869152942</x:t>
  </x:si>
  <x:si>
    <x:t>http://id.who.int/icd/release/11/beta/ichi/869152942</x:t>
  </x:si>
  <x:si>
    <x:t>UGD.WG.ZZ</x:t>
  </x:si>
  <x:si>
    <x:t>- - - - Applying incentives in relation to coal and coke</x:t>
  </x:si>
  <x:si>
    <x:t>http://id.who.int/icd/entity/1812752783</x:t>
  </x:si>
  <x:si>
    <x:t>http://id.who.int/icd/release/11/beta/ichi/1812752783</x:t>
  </x:si>
  <x:si>
    <x:t>UGD.WI.QD</x:t>
  </x:si>
  <x:si>
    <x:t>- - - - Restrictions through enactment of laws or standards in relation to coal and coke</x:t>
  </x:si>
  <x:si>
    <x:t>http://id.who.int/icd/entity/1206977823</x:t>
  </x:si>
  <x:si>
    <x:t>http://id.who.int/icd/release/11/beta/ichi/1206977823</x:t>
  </x:si>
  <x:si>
    <x:t>UGD.WI.QE</x:t>
  </x:si>
  <x:si>
    <x:t>- - - - Restrictions through enforcement of laws or standards in relation to coal and coke</x:t>
  </x:si>
  <x:si>
    <x:t>http://id.who.int/icd/entity/2093412409</x:t>
  </x:si>
  <x:si>
    <x:t>http://id.who.int/icd/release/11/beta/ichi/2093412409</x:t>
  </x:si>
  <x:si>
    <x:t>UGD.WI.ZZ</x:t>
  </x:si>
  <x:si>
    <x:t>- - - - Restrictions through laws or standards in relation to coal and coke, not elsewhere classified</x:t>
  </x:si>
  <x:si>
    <x:t>http://id.who.int/icd/entity/587505948</x:t>
  </x:si>
  <x:si>
    <x:t>http://id.who.int/icd/release/11/beta/ichi/587505948</x:t>
  </x:si>
  <x:si>
    <x:t>UGD.WJ.ZZ</x:t>
  </x:si>
  <x:si>
    <x:t>- - - - Policy change in relation to coal and coke</x:t>
  </x:si>
  <x:si>
    <x:t>http://id.who.int/icd/entity/117075704</x:t>
  </x:si>
  <x:si>
    <x:t>http://id.who.int/icd/release/11/beta/ichi/117075704</x:t>
  </x:si>
  <x:si>
    <x:t>UGE.AA.ZZ</x:t>
  </x:si>
  <x:si>
    <x:t>- - - - Assessment of health effects of refined petroleum products</x:t>
  </x:si>
  <x:si>
    <x:t>http://id.who.int/icd/entity/755434088</x:t>
  </x:si>
  <x:si>
    <x:t>http://id.who.int/icd/release/11/beta/ichi/755434088</x:t>
  </x:si>
  <x:si>
    <x:t>UGE.PH.ZZ</x:t>
  </x:si>
  <x:si>
    <x:t>- - - - Training about refined petroleum products</x:t>
  </x:si>
  <x:si>
    <x:t>http://id.who.int/icd/entity/2036792727</x:t>
  </x:si>
  <x:si>
    <x:t>http://id.who.int/icd/release/11/beta/ichi/2036792727</x:t>
  </x:si>
  <x:si>
    <x:t>UGE.PM.ZZ</x:t>
  </x:si>
  <x:si>
    <x:t>- - - - Education about refined petroleum products</x:t>
  </x:si>
  <x:si>
    <x:t>http://id.who.int/icd/entity/648326324</x:t>
  </x:si>
  <x:si>
    <x:t>http://id.who.int/icd/release/11/beta/ichi/648326324</x:t>
  </x:si>
  <x:si>
    <x:t>UGE.PN.ZZ</x:t>
  </x:si>
  <x:si>
    <x:t>- - - - Advising about refined petroleum products</x:t>
  </x:si>
  <x:si>
    <x:t>http://id.who.int/icd/entity/1994355973</x:t>
  </x:si>
  <x:si>
    <x:t>http://id.who.int/icd/release/11/beta/ichi/1994355973</x:t>
  </x:si>
  <x:si>
    <x:t>UGE.RB.ZZ</x:t>
  </x:si>
  <x:si>
    <x:t>- - - - Practical support about refined petroleum products</x:t>
  </x:si>
  <x:si>
    <x:t>http://id.who.int/icd/entity/109170766</x:t>
  </x:si>
  <x:si>
    <x:t>http://id.who.int/icd/release/11/beta/ichi/109170766</x:t>
  </x:si>
  <x:si>
    <x:t>UGE.RD.ZZ</x:t>
  </x:si>
  <x:si>
    <x:t>- - - - Providing goods in relation to refined petroleum products</x:t>
  </x:si>
  <x:si>
    <x:t>http://id.who.int/icd/entity/763149534</x:t>
  </x:si>
  <x:si>
    <x:t>http://id.who.int/icd/release/11/beta/ichi/763149534</x:t>
  </x:si>
  <x:si>
    <x:t>UGE.RG.ZZ</x:t>
  </x:si>
  <x:si>
    <x:t>- - - - Providing services in relation to refined petroleum products</x:t>
  </x:si>
  <x:si>
    <x:t>http://id.who.int/icd/entity/1010801834</x:t>
  </x:si>
  <x:si>
    <x:t>http://id.who.int/icd/release/11/beta/ichi/1010801834</x:t>
  </x:si>
  <x:si>
    <x:t>UGE.TA.ZZ</x:t>
  </x:si>
  <x:si>
    <x:t>- - - - Advocacy in relation to refined petroleum products</x:t>
  </x:si>
  <x:si>
    <x:t>http://id.who.int/icd/entity/1233721563</x:t>
  </x:si>
  <x:si>
    <x:t>http://id.who.int/icd/release/11/beta/ichi/1233721563</x:t>
  </x:si>
  <x:si>
    <x:t>UGE.TB.ZZ</x:t>
  </x:si>
  <x:si>
    <x:t>- - - - Planning in relation to refined petroleum products</x:t>
  </x:si>
  <x:si>
    <x:t>http://id.who.int/icd/entity/435339626</x:t>
  </x:si>
  <x:si>
    <x:t>http://id.who.int/icd/release/11/beta/ichi/435339626</x:t>
  </x:si>
  <x:si>
    <x:t>UGE.TD.ZZ</x:t>
  </x:si>
  <x:si>
    <x:t>- - - - Collaboration relating to refined petroleum products</x:t>
  </x:si>
  <x:si>
    <x:t>http://id.who.int/icd/entity/1177587785</x:t>
  </x:si>
  <x:si>
    <x:t>http://id.who.int/icd/release/11/beta/ichi/1177587785</x:t>
  </x:si>
  <x:si>
    <x:t>UGE.TK.ZZ</x:t>
  </x:si>
  <x:si>
    <x:t>- - - - Public facilities or infrastructure development in relation to refined petroleum products</x:t>
  </x:si>
  <x:si>
    <x:t>http://id.who.int/icd/entity/1842216153</x:t>
  </x:si>
  <x:si>
    <x:t>http://id.who.int/icd/release/11/beta/ichi/1842216153</x:t>
  </x:si>
  <x:si>
    <x:t>UGE.TM.ZZ</x:t>
  </x:si>
  <x:si>
    <x:t>- - - - Environment modification in relation to refined petroleum products</x:t>
  </x:si>
  <x:si>
    <x:t>http://id.who.int/icd/entity/647846628</x:t>
  </x:si>
  <x:si>
    <x:t>http://id.who.int/icd/release/11/beta/ichi/647846628</x:t>
  </x:si>
  <x:si>
    <x:t>UGE.VA.ZZ</x:t>
  </x:si>
  <x:si>
    <x:t>- - - - Capacity building targeting refined petroleum products</x:t>
  </x:si>
  <x:si>
    <x:t>http://id.who.int/icd/entity/262956519</x:t>
  </x:si>
  <x:si>
    <x:t>http://id.who.int/icd/release/11/beta/ichi/262956519</x:t>
  </x:si>
  <x:si>
    <x:t>- - - - Capacity building targeting electricity generation and supply</x:t>
  </x:si>
  <x:si>
    <x:t>http://id.who.int/icd/entity/2036272065</x:t>
  </x:si>
  <x:si>
    <x:t>http://id.who.int/icd/release/11/beta/ichi/2036272065</x:t>
  </x:si>
  <x:si>
    <x:t>UGE.VB.ZZ</x:t>
  </x:si>
  <x:si>
    <x:t>- - - - Awareness raising concerning refined petroleum products</x:t>
  </x:si>
  <x:si>
    <x:t>http://id.who.int/icd/entity/690279026</x:t>
  </x:si>
  <x:si>
    <x:t>http://id.who.int/icd/release/11/beta/ichi/690279026</x:t>
  </x:si>
  <x:si>
    <x:t>UGE.VC.ZZ</x:t>
  </x:si>
  <x:si>
    <x:t>- - - - Public health surveillance concerning refined petroleum products</x:t>
  </x:si>
  <x:si>
    <x:t>http://id.who.int/icd/entity/1553094147</x:t>
  </x:si>
  <x:si>
    <x:t>http://id.who.int/icd/release/11/beta/ichi/1553094147</x:t>
  </x:si>
  <x:si>
    <x:t>UGE.VF.ZZ</x:t>
  </x:si>
  <x:si>
    <x:t>- - - - Alert concerning refined petroleum products</x:t>
  </x:si>
  <x:si>
    <x:t>http://id.who.int/icd/entity/687861356</x:t>
  </x:si>
  <x:si>
    <x:t>http://id.who.int/icd/release/11/beta/ichi/687861356</x:t>
  </x:si>
  <x:si>
    <x:t>UGE.VL.ZZ</x:t>
  </x:si>
  <x:si>
    <x:t>- - - - Environmental remediation in relation to refined petroleum products</x:t>
  </x:si>
  <x:si>
    <x:t>http://id.who.int/icd/entity/1565092383</x:t>
  </x:si>
  <x:si>
    <x:t>http://id.who.int/icd/release/11/beta/ichi/1565092383</x:t>
  </x:si>
  <x:si>
    <x:t>UGE.VN.ZZ</x:t>
  </x:si>
  <x:si>
    <x:t>- - - - Establishing health services or health-related services in relation to refined petroleum products</x:t>
  </x:si>
  <x:si>
    <x:t>http://id.who.int/icd/entity/221426608</x:t>
  </x:si>
  <x:si>
    <x:t>http://id.who.int/icd/release/11/beta/ichi/221426608</x:t>
  </x:si>
  <x:si>
    <x:t>UGE.VO.ZZ</x:t>
  </x:si>
  <x:si>
    <x:t>- - - - Marshalling health services or health-related services in relation to refined petroleum products</x:t>
  </x:si>
  <x:si>
    <x:t>http://id.who.int/icd/entity/1391518349</x:t>
  </x:si>
  <x:si>
    <x:t>http://id.who.int/icd/release/11/beta/ichi/1391518349</x:t>
  </x:si>
  <x:si>
    <x:t>UGE.VP.ZZ</x:t>
  </x:si>
  <x:si>
    <x:t>- - - - Improving access to health services or health-related services in relation to refined petroleum products</x:t>
  </x:si>
  <x:si>
    <x:t>http://id.who.int/icd/entity/2030931485</x:t>
  </x:si>
  <x:si>
    <x:t>http://id.who.int/icd/release/11/beta/ichi/2030931485</x:t>
  </x:si>
  <x:si>
    <x:t>UGE.VR.ZZ</x:t>
  </x:si>
  <x:si>
    <x:t>- - - - Reducing emissions from refined petroleum products</x:t>
  </x:si>
  <x:si>
    <x:t>http://id.who.int/icd/entity/844965926</x:t>
  </x:si>
  <x:si>
    <x:t>http://id.who.int/icd/release/11/beta/ichi/844965926</x:t>
  </x:si>
  <x:si>
    <x:t>UGE.WC.ZZ</x:t>
  </x:si>
  <x:si>
    <x:t>- - - - Restrictions on the sale or distribution of products or services in relation to refined petroleum products</x:t>
  </x:si>
  <x:si>
    <x:t>http://id.who.int/icd/entity/1839167749</x:t>
  </x:si>
  <x:si>
    <x:t>http://id.who.int/icd/release/11/beta/ichi/1839167749</x:t>
  </x:si>
  <x:si>
    <x:t>UGE.WD.ZZ</x:t>
  </x:si>
  <x:si>
    <x:t>- - - - Restrictions on advertising, promotion or sponsorship of products or services in relation to refined petroleum products</x:t>
  </x:si>
  <x:si>
    <x:t>http://id.who.int/icd/entity/1038393524</x:t>
  </x:si>
  <x:si>
    <x:t>http://id.who.int/icd/release/11/beta/ichi/1038393524</x:t>
  </x:si>
  <x:si>
    <x:t>UGE.WE.ZZ</x:t>
  </x:si>
  <x:si>
    <x:t>- - - - Restrictions on production or importation of products or services in relation to refined petroleum products</x:t>
  </x:si>
  <x:si>
    <x:t>http://id.who.int/icd/entity/1213342919</x:t>
  </x:si>
  <x:si>
    <x:t>http://id.who.int/icd/release/11/beta/ichi/1213342919</x:t>
  </x:si>
  <x:si>
    <x:t>UGE.WG.QF</x:t>
  </x:si>
  <x:si>
    <x:t>- - - - Economic incentives in relation to refined petroleum products</x:t>
  </x:si>
  <x:si>
    <x:t>http://id.who.int/icd/entity/1672431703</x:t>
  </x:si>
  <x:si>
    <x:t>http://id.who.int/icd/release/11/beta/ichi/1672431703</x:t>
  </x:si>
  <x:si>
    <x:t>UGE.WG.ZZ</x:t>
  </x:si>
  <x:si>
    <x:t>- - - - Applying incentives in relation to refined petroleum products</x:t>
  </x:si>
  <x:si>
    <x:t>http://id.who.int/icd/entity/1928095777</x:t>
  </x:si>
  <x:si>
    <x:t>http://id.who.int/icd/release/11/beta/ichi/1928095777</x:t>
  </x:si>
  <x:si>
    <x:t>UGE.WI.QD</x:t>
  </x:si>
  <x:si>
    <x:t>- - - - Restrictions through enactment of laws or standards in relation to refined petroleum products</x:t>
  </x:si>
  <x:si>
    <x:t>http://id.who.int/icd/entity/1745675915</x:t>
  </x:si>
  <x:si>
    <x:t>http://id.who.int/icd/release/11/beta/ichi/1745675915</x:t>
  </x:si>
  <x:si>
    <x:t>UGE.WI.QE</x:t>
  </x:si>
  <x:si>
    <x:t>- - - - Restrictions through enforcement of laws or standards in relation to refined petroleum products</x:t>
  </x:si>
  <x:si>
    <x:t>http://id.who.int/icd/entity/947339068</x:t>
  </x:si>
  <x:si>
    <x:t>http://id.who.int/icd/release/11/beta/ichi/947339068</x:t>
  </x:si>
  <x:si>
    <x:t>UGE.WI.ZZ</x:t>
  </x:si>
  <x:si>
    <x:t>- - - - Restrictions through laws or standards in relation to refined petroleum products, not elsewhere classified</x:t>
  </x:si>
  <x:si>
    <x:t>http://id.who.int/icd/entity/1739943449</x:t>
  </x:si>
  <x:si>
    <x:t>http://id.who.int/icd/release/11/beta/ichi/1739943449</x:t>
  </x:si>
  <x:si>
    <x:t>UGE.WJ.ZZ</x:t>
  </x:si>
  <x:si>
    <x:t>- - - - Policy change in relation to refined petroleum products</x:t>
  </x:si>
  <x:si>
    <x:t>http://id.who.int/icd/entity/986736289</x:t>
  </x:si>
  <x:si>
    <x:t>http://id.who.int/icd/release/11/beta/ichi/986736289</x:t>
  </x:si>
  <x:si>
    <x:t>UGF.AA.ZZ</x:t>
  </x:si>
  <x:si>
    <x:t>- - - - Assessment of health effects of electricity generation and supply</x:t>
  </x:si>
  <x:si>
    <x:t>http://id.who.int/icd/entity/31953799</x:t>
  </x:si>
  <x:si>
    <x:t>http://id.who.int/icd/release/11/beta/ichi/31953799</x:t>
  </x:si>
  <x:si>
    <x:t>UGF.PH.ZZ</x:t>
  </x:si>
  <x:si>
    <x:t>- - - - Training about electricity generation and supply</x:t>
  </x:si>
  <x:si>
    <x:t>http://id.who.int/icd/entity/1579532966</x:t>
  </x:si>
  <x:si>
    <x:t>http://id.who.int/icd/release/11/beta/ichi/1579532966</x:t>
  </x:si>
  <x:si>
    <x:t>UGF.PM.ZZ</x:t>
  </x:si>
  <x:si>
    <x:t>- - - - Education about electricity generation and supply</x:t>
  </x:si>
  <x:si>
    <x:t>http://id.who.int/icd/entity/241048341</x:t>
  </x:si>
  <x:si>
    <x:t>http://id.who.int/icd/release/11/beta/ichi/241048341</x:t>
  </x:si>
  <x:si>
    <x:t>UGF.PN.ZZ</x:t>
  </x:si>
  <x:si>
    <x:t>- - - - Advising about electricity generation and supply</x:t>
  </x:si>
  <x:si>
    <x:t>http://id.who.int/icd/entity/348034495</x:t>
  </x:si>
  <x:si>
    <x:t>http://id.who.int/icd/release/11/beta/ichi/348034495</x:t>
  </x:si>
  <x:si>
    <x:t>UGF.RB.ZZ</x:t>
  </x:si>
  <x:si>
    <x:t>- - - - Practical support about electricity generation and supply</x:t>
  </x:si>
  <x:si>
    <x:t>http://id.who.int/icd/entity/1061419311</x:t>
  </x:si>
  <x:si>
    <x:t>http://id.who.int/icd/release/11/beta/ichi/1061419311</x:t>
  </x:si>
  <x:si>
    <x:t>UGF.RD.ZZ</x:t>
  </x:si>
  <x:si>
    <x:t>- - - - Providing goods in relation to electricity generation and supply</x:t>
  </x:si>
  <x:si>
    <x:t>http://id.who.int/icd/entity/771807577</x:t>
  </x:si>
  <x:si>
    <x:t>http://id.who.int/icd/release/11/beta/ichi/771807577</x:t>
  </x:si>
  <x:si>
    <x:t>UGF.RG.ZZ</x:t>
  </x:si>
  <x:si>
    <x:t>- - - - Providing services in relation to electricity generation and supply</x:t>
  </x:si>
  <x:si>
    <x:t>http://id.who.int/icd/entity/460068643</x:t>
  </x:si>
  <x:si>
    <x:t>http://id.who.int/icd/release/11/beta/ichi/460068643</x:t>
  </x:si>
  <x:si>
    <x:t>UGF.TA.ZZ</x:t>
  </x:si>
  <x:si>
    <x:t>- - - - Advocacy in relation to electricity generation and supply</x:t>
  </x:si>
  <x:si>
    <x:t>http://id.who.int/icd/entity/1259851412</x:t>
  </x:si>
  <x:si>
    <x:t>http://id.who.int/icd/release/11/beta/ichi/1259851412</x:t>
  </x:si>
  <x:si>
    <x:t>UGF.TB.ZZ</x:t>
  </x:si>
  <x:si>
    <x:t>- - - - Planning in relation to electricity generation and supply</x:t>
  </x:si>
  <x:si>
    <x:t>http://id.who.int/icd/entity/349544369</x:t>
  </x:si>
  <x:si>
    <x:t>http://id.who.int/icd/release/11/beta/ichi/349544369</x:t>
  </x:si>
  <x:si>
    <x:t>UGF.TD.ZZ</x:t>
  </x:si>
  <x:si>
    <x:t>- - - - Collaboration relating to electricity generation and supply</x:t>
  </x:si>
  <x:si>
    <x:t>http://id.who.int/icd/entity/730041323</x:t>
  </x:si>
  <x:si>
    <x:t>http://id.who.int/icd/release/11/beta/ichi/730041323</x:t>
  </x:si>
  <x:si>
    <x:t>UGF.TK.ZZ</x:t>
  </x:si>
  <x:si>
    <x:t>- - - - Public facilities or infrastructure development in relation to electricity generation and supply</x:t>
  </x:si>
  <x:si>
    <x:t>http://id.who.int/icd/entity/985705373</x:t>
  </x:si>
  <x:si>
    <x:t>http://id.who.int/icd/release/11/beta/ichi/985705373</x:t>
  </x:si>
  <x:si>
    <x:t>UGF.TM.ZZ</x:t>
  </x:si>
  <x:si>
    <x:t>- - - - Environment modification in relation to electricity generation and supply</x:t>
  </x:si>
  <x:si>
    <x:t>http://id.who.int/icd/entity/1607973974</x:t>
  </x:si>
  <x:si>
    <x:t>http://id.who.int/icd/release/11/beta/ichi/1607973974</x:t>
  </x:si>
  <x:si>
    <x:t>UGF.VB.ZZ</x:t>
  </x:si>
  <x:si>
    <x:t>- - - - Awareness raising concerning electricity generation and supply</x:t>
  </x:si>
  <x:si>
    <x:t>http://id.who.int/icd/entity/1437045</x:t>
  </x:si>
  <x:si>
    <x:t>http://id.who.int/icd/release/11/beta/ichi/1437045</x:t>
  </x:si>
  <x:si>
    <x:t>UGF.VC.ZZ</x:t>
  </x:si>
  <x:si>
    <x:t>- - - - Public health surveillance concerning electricity generation and supply</x:t>
  </x:si>
  <x:si>
    <x:t>http://id.who.int/icd/entity/736657893</x:t>
  </x:si>
  <x:si>
    <x:t>http://id.who.int/icd/release/11/beta/ichi/736657893</x:t>
  </x:si>
  <x:si>
    <x:t>UGF.VF.ZZ</x:t>
  </x:si>
  <x:si>
    <x:t>- - - - Alert concerning electricity generation and supply</x:t>
  </x:si>
  <x:si>
    <x:t>http://id.who.int/icd/entity/283079875</x:t>
  </x:si>
  <x:si>
    <x:t>http://id.who.int/icd/release/11/beta/ichi/283079875</x:t>
  </x:si>
  <x:si>
    <x:t>UGF.VL.ZZ</x:t>
  </x:si>
  <x:si>
    <x:t>- - - - Environmental remediation in relation to electricity generation and supply</x:t>
  </x:si>
  <x:si>
    <x:t>http://id.who.int/icd/entity/1327310304</x:t>
  </x:si>
  <x:si>
    <x:t>http://id.who.int/icd/release/11/beta/ichi/1327310304</x:t>
  </x:si>
  <x:si>
    <x:t>UGF.VN.ZZ</x:t>
  </x:si>
  <x:si>
    <x:t>- - - - Establishing health services or health-related services in relation to electricity generation and supply</x:t>
  </x:si>
  <x:si>
    <x:t>http://id.who.int/icd/entity/526842961</x:t>
  </x:si>
  <x:si>
    <x:t>http://id.who.int/icd/release/11/beta/ichi/526842961</x:t>
  </x:si>
  <x:si>
    <x:t>UGF.VO.ZZ</x:t>
  </x:si>
  <x:si>
    <x:t>- - - - Marshalling health services or health-related services in relation to electricity generation and supply</x:t>
  </x:si>
  <x:si>
    <x:t>http://id.who.int/icd/entity/448211775</x:t>
  </x:si>
  <x:si>
    <x:t>http://id.who.int/icd/release/11/beta/ichi/448211775</x:t>
  </x:si>
  <x:si>
    <x:t>UGF.VP.ZZ</x:t>
  </x:si>
  <x:si>
    <x:t>- - - - Improving access to health services or health-related services in relation to electricity generation and supply</x:t>
  </x:si>
  <x:si>
    <x:t>http://id.who.int/icd/entity/1937733803</x:t>
  </x:si>
  <x:si>
    <x:t>http://id.who.int/icd/release/11/beta/ichi/1937733803</x:t>
  </x:si>
  <x:si>
    <x:t>UGF.VR.ZZ</x:t>
  </x:si>
  <x:si>
    <x:t>- - - - Reducing emissions from electricity generation and supply</x:t>
  </x:si>
  <x:si>
    <x:t>http://id.who.int/icd/entity/1991159749</x:t>
  </x:si>
  <x:si>
    <x:t>http://id.who.int/icd/release/11/beta/ichi/1991159749</x:t>
  </x:si>
  <x:si>
    <x:t>UGF.WC.ZZ</x:t>
  </x:si>
  <x:si>
    <x:t>- - - - Restrictions on the sale or distribution of products or services in relation to electricity generation and supply</x:t>
  </x:si>
  <x:si>
    <x:t>http://id.who.int/icd/entity/1565770581</x:t>
  </x:si>
  <x:si>
    <x:t>http://id.who.int/icd/release/11/beta/ichi/1565770581</x:t>
  </x:si>
  <x:si>
    <x:t>UGF.WD.ZZ</x:t>
  </x:si>
  <x:si>
    <x:t>- - - - Restrictions on advertising, promotion or sponsorship of products or services in relation to electricity generation and supply</x:t>
  </x:si>
  <x:si>
    <x:t>http://id.who.int/icd/entity/1276175139</x:t>
  </x:si>
  <x:si>
    <x:t>http://id.who.int/icd/release/11/beta/ichi/1276175139</x:t>
  </x:si>
  <x:si>
    <x:t>UGF.WE.ZZ</x:t>
  </x:si>
  <x:si>
    <x:t>- - - - Restrictions on production or importation of products or services in relation to electricity generation and supply</x:t>
  </x:si>
  <x:si>
    <x:t>http://id.who.int/icd/entity/967206738</x:t>
  </x:si>
  <x:si>
    <x:t>http://id.who.int/icd/release/11/beta/ichi/967206738</x:t>
  </x:si>
  <x:si>
    <x:t>UGF.WG.QF</x:t>
  </x:si>
  <x:si>
    <x:t>- - - - Economic incentives in relation to electricity generation and supply</x:t>
  </x:si>
  <x:si>
    <x:t>http://id.who.int/icd/entity/1126045437</x:t>
  </x:si>
  <x:si>
    <x:t>http://id.who.int/icd/release/11/beta/ichi/1126045437</x:t>
  </x:si>
  <x:si>
    <x:t>UGF.WG.ZZ</x:t>
  </x:si>
  <x:si>
    <x:t>- - - - Applying incentives in relation to electricity generation and supply</x:t>
  </x:si>
  <x:si>
    <x:t>http://id.who.int/icd/entity/1381840523</x:t>
  </x:si>
  <x:si>
    <x:t>http://id.who.int/icd/release/11/beta/ichi/1381840523</x:t>
  </x:si>
  <x:si>
    <x:t>UGF.WI.QD</x:t>
  </x:si>
  <x:si>
    <x:t>- - - - Restrictions through enactment of laws or standards in relation to electricity generation and supply</x:t>
  </x:si>
  <x:si>
    <x:t>http://id.who.int/icd/entity/1220392993</x:t>
  </x:si>
  <x:si>
    <x:t>http://id.who.int/icd/release/11/beta/ichi/1220392993</x:t>
  </x:si>
  <x:si>
    <x:t>UGF.WI.QE</x:t>
  </x:si>
  <x:si>
    <x:t>- - - - Restrictions through enforcement of laws or standards in relation to electricity generation and supply</x:t>
  </x:si>
  <x:si>
    <x:t>http://id.who.int/icd/entity/415654288</x:t>
  </x:si>
  <x:si>
    <x:t>http://id.who.int/icd/release/11/beta/ichi/415654288</x:t>
  </x:si>
  <x:si>
    <x:t>UGF.WI.ZZ</x:t>
  </x:si>
  <x:si>
    <x:t>- - - - Restrictions through laws or standards in relation to electricity generation and supply, not elsewhere classified</x:t>
  </x:si>
  <x:si>
    <x:t>http://id.who.int/icd/entity/1191456947</x:t>
  </x:si>
  <x:si>
    <x:t>http://id.who.int/icd/release/11/beta/ichi/1191456947</x:t>
  </x:si>
  <x:si>
    <x:t>UGF.WJ.ZZ</x:t>
  </x:si>
  <x:si>
    <x:t>- - - - Policy change in relation to electricity generation and supply</x:t>
  </x:si>
  <x:si>
    <x:t>http://id.who.int/icd/entity/1828281379</x:t>
  </x:si>
  <x:si>
    <x:t>http://id.who.int/icd/release/11/beta/ichi/1828281379</x:t>
  </x:si>
  <x:si>
    <x:t>UGG.AA.ZZ</x:t>
  </x:si>
  <x:si>
    <x:t>- - - - Assessment of health effects of gas production and supply</x:t>
  </x:si>
  <x:si>
    <x:t>http://id.who.int/icd/entity/387244814</x:t>
  </x:si>
  <x:si>
    <x:t>http://id.who.int/icd/release/11/beta/ichi/387244814</x:t>
  </x:si>
  <x:si>
    <x:t>UGG.PH.ZZ</x:t>
  </x:si>
  <x:si>
    <x:t>- - - - Training about gas production and supply</x:t>
  </x:si>
  <x:si>
    <x:t>http://id.who.int/icd/entity/1222029871</x:t>
  </x:si>
  <x:si>
    <x:t>http://id.who.int/icd/release/11/beta/ichi/1222029871</x:t>
  </x:si>
  <x:si>
    <x:t>UGG.PM.ZZ</x:t>
  </x:si>
  <x:si>
    <x:t>- - - - Education about gas production and supply</x:t>
  </x:si>
  <x:si>
    <x:t>http://id.who.int/icd/entity/1830547437</x:t>
  </x:si>
  <x:si>
    <x:t>http://id.who.int/icd/release/11/beta/ichi/1830547437</x:t>
  </x:si>
  <x:si>
    <x:t>UGG.RB.ZZ</x:t>
  </x:si>
  <x:si>
    <x:t>- - - - Practical support about gas production and supply</x:t>
  </x:si>
  <x:si>
    <x:t>http://id.who.int/icd/entity/1189512061</x:t>
  </x:si>
  <x:si>
    <x:t>http://id.who.int/icd/release/11/beta/ichi/1189512061</x:t>
  </x:si>
  <x:si>
    <x:t>UGG.RD.ZZ</x:t>
  </x:si>
  <x:si>
    <x:t>- - - - Providing goods in relation to gas production and supply</x:t>
  </x:si>
  <x:si>
    <x:t>http://id.who.int/icd/entity/1470472971</x:t>
  </x:si>
  <x:si>
    <x:t>http://id.who.int/icd/release/11/beta/ichi/1470472971</x:t>
  </x:si>
  <x:si>
    <x:t>UGG.RG.ZZ</x:t>
  </x:si>
  <x:si>
    <x:t>- - - - Providing services in relation to gas production and supply</x:t>
  </x:si>
  <x:si>
    <x:t>http://id.who.int/icd/entity/414018464</x:t>
  </x:si>
  <x:si>
    <x:t>http://id.who.int/icd/release/11/beta/ichi/414018464</x:t>
  </x:si>
  <x:si>
    <x:t>UGG.TA.ZZ</x:t>
  </x:si>
  <x:si>
    <x:t>- - - - Advising about gas production and supply</x:t>
  </x:si>
  <x:si>
    <x:t>http://id.who.int/icd/entity/1383363685</x:t>
  </x:si>
  <x:si>
    <x:t>http://id.who.int/icd/release/11/beta/ichi/1383363685</x:t>
  </x:si>
  <x:si>
    <x:t>- - - - Advocacy in relation to gas production and supply</x:t>
  </x:si>
  <x:si>
    <x:t>http://id.who.int/icd/entity/34581974</x:t>
  </x:si>
  <x:si>
    <x:t>http://id.who.int/icd/release/11/beta/ichi/34581974</x:t>
  </x:si>
  <x:si>
    <x:t>UGG.TB.ZZ</x:t>
  </x:si>
  <x:si>
    <x:t>- - - - Planning in relation to gas production and supply</x:t>
  </x:si>
  <x:si>
    <x:t>http://id.who.int/icd/entity/1573780727</x:t>
  </x:si>
  <x:si>
    <x:t>http://id.who.int/icd/release/11/beta/ichi/1573780727</x:t>
  </x:si>
  <x:si>
    <x:t>UGG.TD.ZZ</x:t>
  </x:si>
  <x:si>
    <x:t>- - - - Collaboration relating to gas production and supply</x:t>
  </x:si>
  <x:si>
    <x:t>http://id.who.int/icd/entity/1534100260</x:t>
  </x:si>
  <x:si>
    <x:t>http://id.who.int/icd/release/11/beta/ichi/1534100260</x:t>
  </x:si>
  <x:si>
    <x:t>UGG.TK.ZZ</x:t>
  </x:si>
  <x:si>
    <x:t>- - - - Public facilities or infrastructure development in relation to gas production and supply</x:t>
  </x:si>
  <x:si>
    <x:t>http://id.who.int/icd/entity/1099959688</x:t>
  </x:si>
  <x:si>
    <x:t>http://id.who.int/icd/release/11/beta/ichi/1099959688</x:t>
  </x:si>
  <x:si>
    <x:t>UGG.TM.ZZ</x:t>
  </x:si>
  <x:si>
    <x:t>- - - - Environment modification in relation to gas production and supply</x:t>
  </x:si>
  <x:si>
    <x:t>http://id.who.int/icd/entity/1785553176</x:t>
  </x:si>
  <x:si>
    <x:t>http://id.who.int/icd/release/11/beta/ichi/1785553176</x:t>
  </x:si>
  <x:si>
    <x:t>UGG.VA.ZZ</x:t>
  </x:si>
  <x:si>
    <x:t>- - - - Capacity building targeting gas production and supply</x:t>
  </x:si>
  <x:si>
    <x:t>http://id.who.int/icd/entity/2066628976</x:t>
  </x:si>
  <x:si>
    <x:t>http://id.who.int/icd/release/11/beta/ichi/2066628976</x:t>
  </x:si>
  <x:si>
    <x:t>UGG.VB.ZZ</x:t>
  </x:si>
  <x:si>
    <x:t>- - - - Awareness raising concerning gas production and supply</x:t>
  </x:si>
  <x:si>
    <x:t>http://id.who.int/icd/entity/1518534096</x:t>
  </x:si>
  <x:si>
    <x:t>http://id.who.int/icd/release/11/beta/ichi/1518534096</x:t>
  </x:si>
  <x:si>
    <x:t>UGG.VC.ZZ</x:t>
  </x:si>
  <x:si>
    <x:t>- - - - Public health surveillance concerning gas production and supply</x:t>
  </x:si>
  <x:si>
    <x:t>http://id.who.int/icd/entity/184099937</x:t>
  </x:si>
  <x:si>
    <x:t>http://id.who.int/icd/release/11/beta/ichi/184099937</x:t>
  </x:si>
  <x:si>
    <x:t>UGG.VF.ZZ</x:t>
  </x:si>
  <x:si>
    <x:t>- - - - Alert concerning gas production and supply</x:t>
  </x:si>
  <x:si>
    <x:t>http://id.who.int/icd/entity/274457131</x:t>
  </x:si>
  <x:si>
    <x:t>http://id.who.int/icd/release/11/beta/ichi/274457131</x:t>
  </x:si>
  <x:si>
    <x:t>UGG.VL.ZZ</x:t>
  </x:si>
  <x:si>
    <x:t>- - - - Environmental remediation in relation to gas production and supply</x:t>
  </x:si>
  <x:si>
    <x:t>http://id.who.int/icd/entity/1710057050</x:t>
  </x:si>
  <x:si>
    <x:t>http://id.who.int/icd/release/11/beta/ichi/1710057050</x:t>
  </x:si>
  <x:si>
    <x:t>UGG.VN.ZZ</x:t>
  </x:si>
  <x:si>
    <x:t>- - - - Establishing health services or health-related services in relation to gas production and supply</x:t>
  </x:si>
  <x:si>
    <x:t>http://id.who.int/icd/entity/1309674186</x:t>
  </x:si>
  <x:si>
    <x:t>http://id.who.int/icd/release/11/beta/ichi/1309674186</x:t>
  </x:si>
  <x:si>
    <x:t>UGG.VO.ZZ</x:t>
  </x:si>
  <x:si>
    <x:t>- - - - Marshalling health services or health-related services in relation to gas production and supply</x:t>
  </x:si>
  <x:si>
    <x:t>http://id.who.int/icd/entity/1599285950</x:t>
  </x:si>
  <x:si>
    <x:t>http://id.who.int/icd/release/11/beta/ichi/1599285950</x:t>
  </x:si>
  <x:si>
    <x:t>UGG.VP.ZZ</x:t>
  </x:si>
  <x:si>
    <x:t>- - - - Improving access to health services or health-related services in relation to gas production and supply</x:t>
  </x:si>
  <x:si>
    <x:t>http://id.who.int/icd/entity/1169400854</x:t>
  </x:si>
  <x:si>
    <x:t>http://id.who.int/icd/release/11/beta/ichi/1169400854</x:t>
  </x:si>
  <x:si>
    <x:t>UGG.VR.ZZ</x:t>
  </x:si>
  <x:si>
    <x:t>- - - - Reducing emissions from gas production and supply</x:t>
  </x:si>
  <x:si>
    <x:t>http://id.who.int/icd/entity/365460901</x:t>
  </x:si>
  <x:si>
    <x:t>http://id.who.int/icd/release/11/beta/ichi/365460901</x:t>
  </x:si>
  <x:si>
    <x:t>UGG.WC.ZZ</x:t>
  </x:si>
  <x:si>
    <x:t>- - - - Restrictions on the sale or distribution of products or services in relation to gas production and supply</x:t>
  </x:si>
  <x:si>
    <x:t>http://id.who.int/icd/entity/1242180744</x:t>
  </x:si>
  <x:si>
    <x:t>http://id.who.int/icd/release/11/beta/ichi/1242180744</x:t>
  </x:si>
  <x:si>
    <x:t>UGG.WD.ZZ</x:t>
  </x:si>
  <x:si>
    <x:t>- - - - Restrictions on advertising, promotion or sponsorship of products or services in relation to gas production and supply</x:t>
  </x:si>
  <x:si>
    <x:t>http://id.who.int/icd/entity/1643593752</x:t>
  </x:si>
  <x:si>
    <x:t>http://id.who.int/icd/release/11/beta/ichi/1643593752</x:t>
  </x:si>
  <x:si>
    <x:t>UGG.WE.ZZ</x:t>
  </x:si>
  <x:si>
    <x:t>- - - - Restrictions on production or importation of products or services in relation to gas production and supply</x:t>
  </x:si>
  <x:si>
    <x:t>http://id.who.int/icd/entity/437976889</x:t>
  </x:si>
  <x:si>
    <x:t>http://id.who.int/icd/release/11/beta/ichi/437976889</x:t>
  </x:si>
  <x:si>
    <x:t>UGG.WG.QF</x:t>
  </x:si>
  <x:si>
    <x:t>- - - - Economic incentives in relation to gas production and supply</x:t>
  </x:si>
  <x:si>
    <x:t>http://id.who.int/icd/entity/1171828250</x:t>
  </x:si>
  <x:si>
    <x:t>http://id.who.int/icd/release/11/beta/ichi/1171828250</x:t>
  </x:si>
  <x:si>
    <x:t>UGG.WG.ZZ</x:t>
  </x:si>
  <x:si>
    <x:t>- - - - Applying incentives in relation to gas production and supply</x:t>
  </x:si>
  <x:si>
    <x:t>http://id.who.int/icd/entity/363034539</x:t>
  </x:si>
  <x:si>
    <x:t>http://id.who.int/icd/release/11/beta/ichi/363034539</x:t>
  </x:si>
  <x:si>
    <x:t>UGG.WI.QD</x:t>
  </x:si>
  <x:si>
    <x:t>- - - - Restrictions through enactment of laws or standards in relation to gas production and supply</x:t>
  </x:si>
  <x:si>
    <x:t>http://id.who.int/icd/entity/1612051418</x:t>
  </x:si>
  <x:si>
    <x:t>http://id.who.int/icd/release/11/beta/ichi/1612051418</x:t>
  </x:si>
  <x:si>
    <x:t>UGG.WI.QE</x:t>
  </x:si>
  <x:si>
    <x:t>- - - - Restrictions through enforcement of laws or standards in relation to gas production and supply</x:t>
  </x:si>
  <x:si>
    <x:t>http://id.who.int/icd/entity/1273536330</x:t>
  </x:si>
  <x:si>
    <x:t>http://id.who.int/icd/release/11/beta/ichi/1273536330</x:t>
  </x:si>
  <x:si>
    <x:t>UGG.WI.ZZ</x:t>
  </x:si>
  <x:si>
    <x:t>- - - - Restrictions through laws or standards in relation to gas production and supply, not elsewhere classified</x:t>
  </x:si>
  <x:si>
    <x:t>http://id.who.int/icd/entity/1521205054</x:t>
  </x:si>
  <x:si>
    <x:t>http://id.who.int/icd/release/11/beta/ichi/1521205054</x:t>
  </x:si>
  <x:si>
    <x:t>UGG.WJ.ZZ</x:t>
  </x:si>
  <x:si>
    <x:t>- - - - Policy change in relation to gas production and supply</x:t>
  </x:si>
  <x:si>
    <x:t>http://id.who.int/icd/entity/1385697177</x:t>
  </x:si>
  <x:si>
    <x:t>http://id.who.int/icd/release/11/beta/ichi/1385697177</x:t>
  </x:si>
  <x:si>
    <x:t>UGH.AA.ZZ</x:t>
  </x:si>
  <x:si>
    <x:t>- - - - Assessment of health effects of nuclear fuel</x:t>
  </x:si>
  <x:si>
    <x:t>http://id.who.int/icd/entity/117043304</x:t>
  </x:si>
  <x:si>
    <x:t>http://id.who.int/icd/release/11/beta/ichi/117043304</x:t>
  </x:si>
  <x:si>
    <x:t>UGH.PH.ZZ</x:t>
  </x:si>
  <x:si>
    <x:t>- - - - Training about nuclear fuel</x:t>
  </x:si>
  <x:si>
    <x:t>http://id.who.int/icd/entity/1497080133</x:t>
  </x:si>
  <x:si>
    <x:t>http://id.who.int/icd/release/11/beta/ichi/1497080133</x:t>
  </x:si>
  <x:si>
    <x:t>UGH.PM.ZZ</x:t>
  </x:si>
  <x:si>
    <x:t>- - - - Education about nuclear fuel</x:t>
  </x:si>
  <x:si>
    <x:t>http://id.who.int/icd/entity/155220214</x:t>
  </x:si>
  <x:si>
    <x:t>http://id.who.int/icd/release/11/beta/ichi/155220214</x:t>
  </x:si>
  <x:si>
    <x:t>UGH.PN.ZZ</x:t>
  </x:si>
  <x:si>
    <x:t>- - - - Advising about nuclear fuel</x:t>
  </x:si>
  <x:si>
    <x:t>http://id.who.int/icd/entity/1864865623</x:t>
  </x:si>
  <x:si>
    <x:t>http://id.who.int/icd/release/11/beta/ichi/1864865623</x:t>
  </x:si>
  <x:si>
    <x:t>UGH.RB.ZZ</x:t>
  </x:si>
  <x:si>
    <x:t>- - - - Practical support about nuclear fuel</x:t>
  </x:si>
  <x:si>
    <x:t>http://id.who.int/icd/entity/1155201991</x:t>
  </x:si>
  <x:si>
    <x:t>http://id.who.int/icd/release/11/beta/ichi/1155201991</x:t>
  </x:si>
  <x:si>
    <x:t>UGH.RD.ZZ</x:t>
  </x:si>
  <x:si>
    <x:t>- - - - Providing goods in relation to nuclear fuel</x:t>
  </x:si>
  <x:si>
    <x:t>http://id.who.int/icd/entity/1436146609</x:t>
  </x:si>
  <x:si>
    <x:t>http://id.who.int/icd/release/11/beta/ichi/1436146609</x:t>
  </x:si>
  <x:si>
    <x:t>UGH.RG.ZZ</x:t>
  </x:si>
  <x:si>
    <x:t>- - - - Providing services in relation to nuclear fuel</x:t>
  </x:si>
  <x:si>
    <x:t>http://id.who.int/icd/entity/539975620</x:t>
  </x:si>
  <x:si>
    <x:t>http://id.who.int/icd/release/11/beta/ichi/539975620</x:t>
  </x:si>
  <x:si>
    <x:t>UGH.TA.ZZ</x:t>
  </x:si>
  <x:si>
    <x:t>- - - - Advocacy in relation to nuclear fuel</x:t>
  </x:si>
  <x:si>
    <x:t>http://id.who.int/icd/entity/1884587635</x:t>
  </x:si>
  <x:si>
    <x:t>http://id.who.int/icd/release/11/beta/ichi/1884587635</x:t>
  </x:si>
  <x:si>
    <x:t>UGH.TB.ZZ</x:t>
  </x:si>
  <x:si>
    <x:t>- - - - Planning in relation to nuclear fuel</x:t>
  </x:si>
  <x:si>
    <x:t>http://id.who.int/icd/entity/798414674</x:t>
  </x:si>
  <x:si>
    <x:t>http://id.who.int/icd/release/11/beta/ichi/798414674</x:t>
  </x:si>
  <x:si>
    <x:t>UGH.TD.ZZ</x:t>
  </x:si>
  <x:si>
    <x:t>- - - - Collaboration relating to nuclear fuel</x:t>
  </x:si>
  <x:si>
    <x:t>http://id.who.int/icd/entity/74169282</x:t>
  </x:si>
  <x:si>
    <x:t>http://id.who.int/icd/release/11/beta/ichi/74169282</x:t>
  </x:si>
  <x:si>
    <x:t>UGH.TK.ZZ</x:t>
  </x:si>
  <x:si>
    <x:t>- - - - Public facilities or infrastructure development in relation to nuclear fuel</x:t>
  </x:si>
  <x:si>
    <x:t>http://id.who.int/icd/entity/1329274363</x:t>
  </x:si>
  <x:si>
    <x:t>http://id.who.int/icd/release/11/beta/ichi/1329274363</x:t>
  </x:si>
  <x:si>
    <x:t>UGH.TM.ZZ</x:t>
  </x:si>
  <x:si>
    <x:t>- - - - Environment modification in relation to nuclear fuel</x:t>
  </x:si>
  <x:si>
    <x:t>http://id.who.int/icd/entity/284773592</x:t>
  </x:si>
  <x:si>
    <x:t>http://id.who.int/icd/release/11/beta/ichi/284773592</x:t>
  </x:si>
  <x:si>
    <x:t>UGH.VA.ZZ</x:t>
  </x:si>
  <x:si>
    <x:t>- - - - Capacity building targeting nuclear fuel</x:t>
  </x:si>
  <x:si>
    <x:t>http://id.who.int/icd/entity/1082299753</x:t>
  </x:si>
  <x:si>
    <x:t>http://id.who.int/icd/release/11/beta/ichi/1082299753</x:t>
  </x:si>
  <x:si>
    <x:t>UGH.VB.ZZ</x:t>
  </x:si>
  <x:si>
    <x:t>- - - - Awareness raising concerning nuclear fuel</x:t>
  </x:si>
  <x:si>
    <x:t>http://id.who.int/icd/entity/1838154736</x:t>
  </x:si>
  <x:si>
    <x:t>http://id.who.int/icd/release/11/beta/ichi/1838154736</x:t>
  </x:si>
  <x:si>
    <x:t>UGH.VC.ZZ</x:t>
  </x:si>
  <x:si>
    <x:t>- - - - Public health surveillance concerning nuclear fuel</x:t>
  </x:si>
  <x:si>
    <x:t>http://id.who.int/icd/entity/1038867009</x:t>
  </x:si>
  <x:si>
    <x:t>http://id.who.int/icd/release/11/beta/ichi/1038867009</x:t>
  </x:si>
  <x:si>
    <x:t>UGH.VF.ZZ</x:t>
  </x:si>
  <x:si>
    <x:t>- - - - Alert concerning nuclear fuel</x:t>
  </x:si>
  <x:si>
    <x:t>http://id.who.int/icd/entity/1214078516</x:t>
  </x:si>
  <x:si>
    <x:t>http://id.who.int/icd/release/11/beta/ichi/1214078516</x:t>
  </x:si>
  <x:si>
    <x:t>UGH.VL.ZZ</x:t>
  </x:si>
  <x:si>
    <x:t>- - - - Environmental remediation in relation to nuclear fuel</x:t>
  </x:si>
  <x:si>
    <x:t>http://id.who.int/icd/entity/1190351042</x:t>
  </x:si>
  <x:si>
    <x:t>http://id.who.int/icd/release/11/beta/ichi/1190351042</x:t>
  </x:si>
  <x:si>
    <x:t>UGH.VN.ZZ</x:t>
  </x:si>
  <x:si>
    <x:t>- - - - Establishing health services or health-related services in relation to nuclear fuel</x:t>
  </x:si>
  <x:si>
    <x:t>http://id.who.int/icd/entity/378046835</x:t>
  </x:si>
  <x:si>
    <x:t>http://id.who.int/icd/release/11/beta/ichi/378046835</x:t>
  </x:si>
  <x:si>
    <x:t>UGH.VO.ZZ</x:t>
  </x:si>
  <x:si>
    <x:t>- - - - Marshalling health services or health-related services in relation to nuclear fuel</x:t>
  </x:si>
  <x:si>
    <x:t>http://id.who.int/icd/entity/1229641808</x:t>
  </x:si>
  <x:si>
    <x:t>http://id.who.int/icd/release/11/beta/ichi/1229641808</x:t>
  </x:si>
  <x:si>
    <x:t>UGH.VP.ZZ</x:t>
  </x:si>
  <x:si>
    <x:t>- - - - Improving access to health services or health-related services in relation to nuclear fuel</x:t>
  </x:si>
  <x:si>
    <x:t>http://id.who.int/icd/entity/1656206528</x:t>
  </x:si>
  <x:si>
    <x:t>http://id.who.int/icd/release/11/beta/ichi/1656206528</x:t>
  </x:si>
  <x:si>
    <x:t>UGH.VR.ZZ</x:t>
  </x:si>
  <x:si>
    <x:t>- - - - Reducing emissions from nuclear fuel</x:t>
  </x:si>
  <x:si>
    <x:t>http://id.who.int/icd/entity/1501577702</x:t>
  </x:si>
  <x:si>
    <x:t>http://id.who.int/icd/release/11/beta/ichi/1501577702</x:t>
  </x:si>
  <x:si>
    <x:t>UGH.WC.ZZ</x:t>
  </x:si>
  <x:si>
    <x:t>- - - - Restrictions on the sale or distribution of products or services in relation to nuclear fuel</x:t>
  </x:si>
  <x:si>
    <x:t>http://id.who.int/icd/entity/104992965</x:t>
  </x:si>
  <x:si>
    <x:t>http://id.who.int/icd/release/11/beta/ichi/104992965</x:t>
  </x:si>
  <x:si>
    <x:t>UGH.WD.ZZ</x:t>
  </x:si>
  <x:si>
    <x:t>- - - - Restrictions on advertising, promotion or sponsorship of products or services in relation to nuclear fuel</x:t>
  </x:si>
  <x:si>
    <x:t>http://id.who.int/icd/entity/1446627700</x:t>
  </x:si>
  <x:si>
    <x:t>http://id.who.int/icd/release/11/beta/ichi/1446627700</x:t>
  </x:si>
  <x:si>
    <x:t>UGH.WE.ZZ</x:t>
  </x:si>
  <x:si>
    <x:t>- - - - Restrictions on production or importation of products or services in relation to nuclear fuel</x:t>
  </x:si>
  <x:si>
    <x:t>http://id.who.int/icd/entity/1407720986</x:t>
  </x:si>
  <x:si>
    <x:t>http://id.who.int/icd/release/11/beta/ichi/1407720986</x:t>
  </x:si>
  <x:si>
    <x:t>UGH.WG.QF</x:t>
  </x:si>
  <x:si>
    <x:t>- - - - Economic incentives in relation to nuclear fuel</x:t>
  </x:si>
  <x:si>
    <x:t>http://id.who.int/icd/entity/2014671498</x:t>
  </x:si>
  <x:si>
    <x:t>http://id.who.int/icd/release/11/beta/ichi/2014671498</x:t>
  </x:si>
  <x:si>
    <x:t>UGH.WG.ZZ</x:t>
  </x:si>
  <x:si>
    <x:t>- - - - Applying incentives in relation to nuclear fuel</x:t>
  </x:si>
  <x:si>
    <x:t>http://id.who.int/icd/entity/1767265022</x:t>
  </x:si>
  <x:si>
    <x:t>http://id.who.int/icd/release/11/beta/ichi/1767265022</x:t>
  </x:si>
  <x:si>
    <x:t>UGH.WI.QD</x:t>
  </x:si>
  <x:si>
    <x:t>- - - - Restrictions through enactment of laws or standards in relation to nuclear fuel</x:t>
  </x:si>
  <x:si>
    <x:t>http://id.who.int/icd/entity/484497039</x:t>
  </x:si>
  <x:si>
    <x:t>http://id.who.int/icd/release/11/beta/ichi/484497039</x:t>
  </x:si>
  <x:si>
    <x:t>UGH.WI.QE</x:t>
  </x:si>
  <x:si>
    <x:t>- - - - Restrictions through enforcement of laws or standards in relation to nuclear fuel</x:t>
  </x:si>
  <x:si>
    <x:t>http://id.who.int/icd/entity/1285230398</x:t>
  </x:si>
  <x:si>
    <x:t>http://id.who.int/icd/release/11/beta/ichi/1285230398</x:t>
  </x:si>
  <x:si>
    <x:t>UGH.WI.ZZ</x:t>
  </x:si>
  <x:si>
    <x:t>- - - - Restrictions through laws or standards in relation to nuclear fuel</x:t>
  </x:si>
  <x:si>
    <x:t>http://id.who.int/icd/entity/324623901</x:t>
  </x:si>
  <x:si>
    <x:t>http://id.who.int/icd/release/11/beta/ichi/324623901</x:t>
  </x:si>
  <x:si>
    <x:t>UGH.WJ.ZZ</x:t>
  </x:si>
  <x:si>
    <x:t>- - - - Policy change in relation to nuclear fuel</x:t>
  </x:si>
  <x:si>
    <x:t>http://id.who.int/icd/entity/885420008</x:t>
  </x:si>
  <x:si>
    <x:t>http://id.who.int/icd/release/11/beta/ichi/885420008</x:t>
  </x:si>
  <x:si>
    <x:t>UGJ.AA.ZZ</x:t>
  </x:si>
  <x:si>
    <x:t>- - - - Assessment of health effects of renewable energy sources</x:t>
  </x:si>
  <x:si>
    <x:t>http://id.who.int/icd/entity/1097919387</x:t>
  </x:si>
  <x:si>
    <x:t>http://id.who.int/icd/release/11/beta/ichi/1097919387</x:t>
  </x:si>
  <x:si>
    <x:t>UGJ.PH.ZZ</x:t>
  </x:si>
  <x:si>
    <x:t>- - - - Training about renewable energy sources</x:t>
  </x:si>
  <x:si>
    <x:t>http://id.who.int/icd/entity/285946412</x:t>
  </x:si>
  <x:si>
    <x:t>http://id.who.int/icd/release/11/beta/ichi/285946412</x:t>
  </x:si>
  <x:si>
    <x:t>UGJ.PM.ZZ</x:t>
  </x:si>
  <x:si>
    <x:t>- - - - Education about renewable energy sources</x:t>
  </x:si>
  <x:si>
    <x:t>http://id.who.int/icd/entity/1321820937</x:t>
  </x:si>
  <x:si>
    <x:t>http://id.who.int/icd/release/11/beta/ichi/1321820937</x:t>
  </x:si>
  <x:si>
    <x:t>UGJ.PN.ZZ</x:t>
  </x:si>
  <x:si>
    <x:t>- - - - Advising about renewable energy sources</x:t>
  </x:si>
  <x:si>
    <x:t>http://id.who.int/icd/entity/1697910681</x:t>
  </x:si>
  <x:si>
    <x:t>http://id.who.int/icd/release/11/beta/ichi/1697910681</x:t>
  </x:si>
  <x:si>
    <x:t>UGJ.RB.ZZ</x:t>
  </x:si>
  <x:si>
    <x:t>- - - - Practical support about renewable energy sources</x:t>
  </x:si>
  <x:si>
    <x:t>http://id.who.int/icd/entity/778348962</x:t>
  </x:si>
  <x:si>
    <x:t>http://id.who.int/icd/release/11/beta/ichi/778348962</x:t>
  </x:si>
  <x:si>
    <x:t>UGJ.RD.ZZ</x:t>
  </x:si>
  <x:si>
    <x:t>- - - - Providing goods in relation to renewable energy sources</x:t>
  </x:si>
  <x:si>
    <x:t>http://id.who.int/icd/entity/1906768001</x:t>
  </x:si>
  <x:si>
    <x:t>http://id.who.int/icd/release/11/beta/ichi/1906768001</x:t>
  </x:si>
  <x:si>
    <x:t>UGJ.RG.ZZ</x:t>
  </x:si>
  <x:si>
    <x:t>- - - - Providing services in relation to renewable energy sources</x:t>
  </x:si>
  <x:si>
    <x:t>http://id.who.int/icd/entity/568140080</x:t>
  </x:si>
  <x:si>
    <x:t>http://id.who.int/icd/release/11/beta/ichi/568140080</x:t>
  </x:si>
  <x:si>
    <x:t>UGJ.TA.ZZ</x:t>
  </x:si>
  <x:si>
    <x:t>- - - - Advocacy in relation to renewable energy sources</x:t>
  </x:si>
  <x:si>
    <x:t>http://id.who.int/icd/entity/1416340803</x:t>
  </x:si>
  <x:si>
    <x:t>http://id.who.int/icd/release/11/beta/ichi/1416340803</x:t>
  </x:si>
  <x:si>
    <x:t>UGJ.TB.ZZ</x:t>
  </x:si>
  <x:si>
    <x:t>- - - - Planning in relation to renewable energy sources</x:t>
  </x:si>
  <x:si>
    <x:t>http://id.who.int/icd/entity/2140588499</x:t>
  </x:si>
  <x:si>
    <x:t>http://id.who.int/icd/release/11/beta/ichi/2140588499</x:t>
  </x:si>
  <x:si>
    <x:t>UGJ.TD.ZZ</x:t>
  </x:si>
  <x:si>
    <x:t>- - - - Collaboration relating to renewable energy sources</x:t>
  </x:si>
  <x:si>
    <x:t>http://id.who.int/icd/entity/1859512741</x:t>
  </x:si>
  <x:si>
    <x:t>http://id.who.int/icd/release/11/beta/ichi/1859512741</x:t>
  </x:si>
  <x:si>
    <x:t>UGJ.TK.ZZ</x:t>
  </x:si>
  <x:si>
    <x:t>- - - - Public facilities or infrastructure development in relation to renewable energy sources</x:t>
  </x:si>
  <x:si>
    <x:t>http://id.who.int/icd/entity/1949656847</x:t>
  </x:si>
  <x:si>
    <x:t>http://id.who.int/icd/release/11/beta/ichi/1949656847</x:t>
  </x:si>
  <x:si>
    <x:t>UGJ.TM.ZZ</x:t>
  </x:si>
  <x:si>
    <x:t>- - - - Environment modification in relation to renewable energy sources</x:t>
  </x:si>
  <x:si>
    <x:t>http://id.who.int/icd/entity/609140416</x:t>
  </x:si>
  <x:si>
    <x:t>http://id.who.int/icd/release/11/beta/ichi/609140416</x:t>
  </x:si>
  <x:si>
    <x:t>UGJ.VA.ZZ</x:t>
  </x:si>
  <x:si>
    <x:t>- - - - Capacity building targeting renewable energy sources</x:t>
  </x:si>
  <x:si>
    <x:t>http://id.who.int/icd/entity/2072833949</x:t>
  </x:si>
  <x:si>
    <x:t>http://id.who.int/icd/release/11/beta/ichi/2072833949</x:t>
  </x:si>
  <x:si>
    <x:t>UGJ.VB.ZZ</x:t>
  </x:si>
  <x:si>
    <x:t>- - - - Awareness raising concerning renewable energy sources</x:t>
  </x:si>
  <x:si>
    <x:t>http://id.who.int/icd/entity/1349616397</x:t>
  </x:si>
  <x:si>
    <x:t>http://id.who.int/icd/release/11/beta/ichi/1349616397</x:t>
  </x:si>
  <x:si>
    <x:t>UGJ.VC.ZZ</x:t>
  </x:si>
  <x:si>
    <x:t>- - - - Public health surveillance concerning renewable energy sources</x:t>
  </x:si>
  <x:si>
    <x:t>http://id.who.int/icd/entity/844255955</x:t>
  </x:si>
  <x:si>
    <x:t>http://id.who.int/icd/release/11/beta/ichi/844255955</x:t>
  </x:si>
  <x:si>
    <x:t>UGJ.VF.ZZ</x:t>
  </x:si>
  <x:si>
    <x:t>- - - - Alert concerning renewable energy sources</x:t>
  </x:si>
  <x:si>
    <x:t>http://id.who.int/icd/entity/577144516</x:t>
  </x:si>
  <x:si>
    <x:t>http://id.who.int/icd/release/11/beta/ichi/577144516</x:t>
  </x:si>
  <x:si>
    <x:t>UGJ.VL.ZZ</x:t>
  </x:si>
  <x:si>
    <x:t>- - - - Environmental remediation in relation to renewable energy sources</x:t>
  </x:si>
  <x:si>
    <x:t>http://id.who.int/icd/entity/2107955175</x:t>
  </x:si>
  <x:si>
    <x:t>http://id.who.int/icd/release/11/beta/ichi/2107955175</x:t>
  </x:si>
  <x:si>
    <x:t>UGJ.VN.ZZ</x:t>
  </x:si>
  <x:si>
    <x:t>- - - - Establishing health services or health-related services in relation to renewable energy sources</x:t>
  </x:si>
  <x:si>
    <x:t>http://id.who.int/icd/entity/1448721271</x:t>
  </x:si>
  <x:si>
    <x:t>http://id.who.int/icd/release/11/beta/ichi/1448721271</x:t>
  </x:si>
  <x:si>
    <x:t>UGJ.VO.ZZ</x:t>
  </x:si>
  <x:si>
    <x:t>- - - - Marshalling health services or health-related services in relation to renewable energy sources</x:t>
  </x:si>
  <x:si>
    <x:t>http://id.who.int/icd/entity/1835945553</x:t>
  </x:si>
  <x:si>
    <x:t>http://id.who.int/icd/release/11/beta/ichi/1835945553</x:t>
  </x:si>
  <x:si>
    <x:t>UGJ.VP.ZZ</x:t>
  </x:si>
  <x:si>
    <x:t>- - - - Improving access to health services or health-related services in relation to renewable energy sources</x:t>
  </x:si>
  <x:si>
    <x:t>http://id.who.int/icd/entity/850141042</x:t>
  </x:si>
  <x:si>
    <x:t>http://id.who.int/icd/release/11/beta/ichi/850141042</x:t>
  </x:si>
  <x:si>
    <x:t>UGJ.VR.ZZ</x:t>
  </x:si>
  <x:si>
    <x:t>- - - - Reducing emissions from renewable energy sources</x:t>
  </x:si>
  <x:si>
    <x:t>http://id.who.int/icd/entity/1658308291</x:t>
  </x:si>
  <x:si>
    <x:t>http://id.who.int/icd/release/11/beta/ichi/1658308291</x:t>
  </x:si>
  <x:si>
    <x:t>UGJ.WC.ZZ</x:t>
  </x:si>
  <x:si>
    <x:t>- - - - Restrictions on the sale or distribution of products or services in relation to renewable energy sources</x:t>
  </x:si>
  <x:si>
    <x:t>http://id.who.int/icd/entity/2016888937</x:t>
  </x:si>
  <x:si>
    <x:t>http://id.who.int/icd/release/11/beta/ichi/2016888937</x:t>
  </x:si>
  <x:si>
    <x:t>UGJ.WD.ZZ</x:t>
  </x:si>
  <x:si>
    <x:t>- - - - Restrictions on advertising, promotion or sponsorship of products or services in relation to renewable energy sources</x:t>
  </x:si>
  <x:si>
    <x:t>http://id.who.int/icd/entity/1405756665</x:t>
  </x:si>
  <x:si>
    <x:t>http://id.who.int/icd/release/11/beta/ichi/1405756665</x:t>
  </x:si>
  <x:si>
    <x:t>UGJ.WE.ZZ</x:t>
  </x:si>
  <x:si>
    <x:t>- - - - Restrictions on production or importation of products or services in relation to renewable energy sources</x:t>
  </x:si>
  <x:si>
    <x:t>http://id.who.int/icd/entity/1116275855</x:t>
  </x:si>
  <x:si>
    <x:t>http://id.who.int/icd/release/11/beta/ichi/1116275855</x:t>
  </x:si>
  <x:si>
    <x:t>UGJ.WG.QF</x:t>
  </x:si>
  <x:si>
    <x:t>- - - - Economic incentives in relation to renewable energy sources</x:t>
  </x:si>
  <x:si>
    <x:t>http://id.who.int/icd/entity/1848353796</x:t>
  </x:si>
  <x:si>
    <x:t>http://id.who.int/icd/release/11/beta/ichi/1848353796</x:t>
  </x:si>
  <x:si>
    <x:t>UGJ.WG.ZZ</x:t>
  </x:si>
  <x:si>
    <x:t>- - - - Applying incentives in relation to renewable energy sources</x:t>
  </x:si>
  <x:si>
    <x:t>http://id.who.int/icd/entity/1045462453</x:t>
  </x:si>
  <x:si>
    <x:t>http://id.who.int/icd/release/11/beta/ichi/1045462453</x:t>
  </x:si>
  <x:si>
    <x:t>UGJ.WI.QD</x:t>
  </x:si>
  <x:si>
    <x:t>- - - - Restrictions through enactment of laws or standards in relation to renewable energy sources</x:t>
  </x:si>
  <x:si>
    <x:t>http://id.who.int/icd/entity/1636969622</x:t>
  </x:si>
  <x:si>
    <x:t>http://id.who.int/icd/release/11/beta/ichi/1636969622</x:t>
  </x:si>
  <x:si>
    <x:t>UGJ.WI.QE</x:t>
  </x:si>
  <x:si>
    <x:t>- - - - Restrictions through enforcement of laws or standards in relation to renewable energy sources</x:t>
  </x:si>
  <x:si>
    <x:t>http://id.who.int/icd/entity/1248804870</x:t>
  </x:si>
  <x:si>
    <x:t>http://id.who.int/icd/release/11/beta/ichi/1248804870</x:t>
  </x:si>
  <x:si>
    <x:t>UGJ.WI.ZZ</x:t>
  </x:si>
  <x:si>
    <x:t>- - - - Restrictions through laws or standards in relation to renewable energy sources, not elsewhere classified</x:t>
  </x:si>
  <x:si>
    <x:t>http://id.who.int/icd/entity/1901638944</x:t>
  </x:si>
  <x:si>
    <x:t>http://id.who.int/icd/release/11/beta/ichi/1901638944</x:t>
  </x:si>
  <x:si>
    <x:t>UGJ.WJ.ZZ</x:t>
  </x:si>
  <x:si>
    <x:t>- - - - Policy change in relation to renewable energy sources</x:t>
  </x:si>
  <x:si>
    <x:t>http://id.who.int/icd/entity/1515582111</x:t>
  </x:si>
  <x:si>
    <x:t>http://id.who.int/icd/release/11/beta/ichi/1515582111</x:t>
  </x:si>
  <x:si>
    <x:t>UGK.AA.ZZ</x:t>
  </x:si>
  <x:si>
    <x:t>- - - - Assessment of health effects of manufacture of chemicals and chemical products</x:t>
  </x:si>
  <x:si>
    <x:t>http://id.who.int/icd/entity/170797870</x:t>
  </x:si>
  <x:si>
    <x:t>http://id.who.int/icd/release/11/beta/ichi/170797870</x:t>
  </x:si>
  <x:si>
    <x:t>UGK.PH.ZZ</x:t>
  </x:si>
  <x:si>
    <x:t>- - - - Training about manufacture of chemicals and chemical products</x:t>
  </x:si>
  <x:si>
    <x:t>http://id.who.int/icd/entity/1441561101</x:t>
  </x:si>
  <x:si>
    <x:t>http://id.who.int/icd/release/11/beta/ichi/1441561101</x:t>
  </x:si>
  <x:si>
    <x:t>UGK.PM.ZZ</x:t>
  </x:si>
  <x:si>
    <x:t>- - - - Education about manufacture of chemicals and chemical products</x:t>
  </x:si>
  <x:si>
    <x:t>http://id.who.int/icd/entity/2115049117</x:t>
  </x:si>
  <x:si>
    <x:t>http://id.who.int/icd/release/11/beta/ichi/2115049117</x:t>
  </x:si>
  <x:si>
    <x:t>UGK.PN.ZZ</x:t>
  </x:si>
  <x:si>
    <x:t>- - - - Advising about manufacture of chemicals and chemical products</x:t>
  </x:si>
  <x:si>
    <x:t>http://id.who.int/icd/entity/1160176571</x:t>
  </x:si>
  <x:si>
    <x:t>http://id.who.int/icd/release/11/beta/ichi/1160176571</x:t>
  </x:si>
  <x:si>
    <x:t>UGK.RB.ZZ</x:t>
  </x:si>
  <x:si>
    <x:t>- - - - Practical support about manufacture of chemicals and chemical products</x:t>
  </x:si>
  <x:si>
    <x:t>http://id.who.int/icd/entity/451195544</x:t>
  </x:si>
  <x:si>
    <x:t>http://id.who.int/icd/release/11/beta/ichi/451195544</x:t>
  </x:si>
  <x:si>
    <x:t>UGK.RD.ZZ</x:t>
  </x:si>
  <x:si>
    <x:t>- - - - Providing goods in relation to manufacture of chemicals and chemical products</x:t>
  </x:si>
  <x:si>
    <x:t>http://id.who.int/icd/entity/1251961641</x:t>
  </x:si>
  <x:si>
    <x:t>http://id.who.int/icd/release/11/beta/ichi/1251961641</x:t>
  </x:si>
  <x:si>
    <x:t>UGK.RG.ZZ</x:t>
  </x:si>
  <x:si>
    <x:t>- - - - Providing services in relation to manufacture of chemicals and chemical products</x:t>
  </x:si>
  <x:si>
    <x:t>http://id.who.int/icd/entity/1350559107</x:t>
  </x:si>
  <x:si>
    <x:t>http://id.who.int/icd/release/11/beta/ichi/1350559107</x:t>
  </x:si>
  <x:si>
    <x:t>UGK.TA.ZZ</x:t>
  </x:si>
  <x:si>
    <x:t>- - - - Advocacy in relation to manufacture of chemicals and chemical products</x:t>
  </x:si>
  <x:si>
    <x:t>http://id.who.int/icd/entity/2072152339</x:t>
  </x:si>
  <x:si>
    <x:t>http://id.who.int/icd/release/11/beta/ichi/2072152339</x:t>
  </x:si>
  <x:si>
    <x:t>UGK.TB.ZZ</x:t>
  </x:si>
  <x:si>
    <x:t>- - - - Planning in relation to manufacture of chemicals and chemical products</x:t>
  </x:si>
  <x:si>
    <x:t>http://id.who.int/icd/entity/1791076709</x:t>
  </x:si>
  <x:si>
    <x:t>http://id.who.int/icd/release/11/beta/ichi/1791076709</x:t>
  </x:si>
  <x:si>
    <x:t>UGK.TD.ZZ</x:t>
  </x:si>
  <x:si>
    <x:t>- - - - Collaboration relating to manufacture of chemicals and chemical products</x:t>
  </x:si>
  <x:si>
    <x:t>http://id.who.int/icd/entity/1605199647</x:t>
  </x:si>
  <x:si>
    <x:t>http://id.who.int/icd/release/11/beta/ichi/1605199647</x:t>
  </x:si>
  <x:si>
    <x:t>UGK.TK.ZZ</x:t>
  </x:si>
  <x:si>
    <x:t>- - - - Public facilities or infrastructure development in relation to manufacture of chemicals and chemical products</x:t>
  </x:si>
  <x:si>
    <x:t>http://id.who.int/icd/entity/265731758</x:t>
  </x:si>
  <x:si>
    <x:t>http://id.who.int/icd/release/11/beta/ichi/265731758</x:t>
  </x:si>
  <x:si>
    <x:t>UGK.TM.ZZ</x:t>
  </x:si>
  <x:si>
    <x:t>- - - - Environment modification in relation to manufacture of chemicals and chemical products</x:t>
  </x:si>
  <x:si>
    <x:t>http://id.who.int/icd/entity/1343549325</x:t>
  </x:si>
  <x:si>
    <x:t>http://id.who.int/icd/release/11/beta/ichi/1343549325</x:t>
  </x:si>
  <x:si>
    <x:t>UGK.VA.ZZ</x:t>
  </x:si>
  <x:si>
    <x:t>- - - - Capacity building targeting manufacture of chemicals and chemical products</x:t>
  </x:si>
  <x:si>
    <x:t>http://id.who.int/icd/entity/2078901021</x:t>
  </x:si>
  <x:si>
    <x:t>http://id.who.int/icd/release/11/beta/ichi/2078901021</x:t>
  </x:si>
  <x:si>
    <x:t>UGK.VB.ZZ</x:t>
  </x:si>
  <x:si>
    <x:t>- - - - Awareness raising concerning manufacture of chemicals and chemical products</x:t>
  </x:si>
  <x:si>
    <x:t>http://id.who.int/icd/entity/316571987</x:t>
  </x:si>
  <x:si>
    <x:t>http://id.who.int/icd/release/11/beta/ichi/316571987</x:t>
  </x:si>
  <x:si>
    <x:t>UGK.VC.ZZ</x:t>
  </x:si>
  <x:si>
    <x:t>- - - - Public health surveillance concerning manufacture of chemicals and chemical products</x:t>
  </x:si>
  <x:si>
    <x:t>http://id.who.int/icd/entity/958655939</x:t>
  </x:si>
  <x:si>
    <x:t>http://id.who.int/icd/release/11/beta/ichi/958655939</x:t>
  </x:si>
  <x:si>
    <x:t>UGK.VF.ZZ</x:t>
  </x:si>
  <x:si>
    <x:t>- - - - Alert concerning manufacture of chemicals and chemical products</x:t>
  </x:si>
  <x:si>
    <x:t>http://id.who.int/icd/entity/677432757</x:t>
  </x:si>
  <x:si>
    <x:t>http://id.who.int/icd/release/11/beta/ichi/677432757</x:t>
  </x:si>
  <x:si>
    <x:t>UGK.VL.ZZ</x:t>
  </x:si>
  <x:si>
    <x:t>- - - - Environmental remediation in relation to manufacture of chemicals and chemical products</x:t>
  </x:si>
  <x:si>
    <x:t>http://id.who.int/icd/entity/1574324680</x:t>
  </x:si>
  <x:si>
    <x:t>http://id.who.int/icd/release/11/beta/ichi/1574324680</x:t>
  </x:si>
  <x:si>
    <x:t>UGK.VN.ZZ</x:t>
  </x:si>
  <x:si>
    <x:t>- - - - Establishing health services or health-related services in relation to manufacture of chemicals and chemical products</x:t>
  </x:si>
  <x:si>
    <x:t>http://id.who.int/icd/entity/867060399</x:t>
  </x:si>
  <x:si>
    <x:t>http://id.who.int/icd/release/11/beta/ichi/867060399</x:t>
  </x:si>
  <x:si>
    <x:t>UGK.VO.ZZ</x:t>
  </x:si>
  <x:si>
    <x:t>- - - - Marshalling health services or health-related services in relation to manufacture of chemicals and chemical products</x:t>
  </x:si>
  <x:si>
    <x:t>http://id.who.int/icd/entity/34871525</x:t>
  </x:si>
  <x:si>
    <x:t>http://id.who.int/icd/release/11/beta/ichi/34871525</x:t>
  </x:si>
  <x:si>
    <x:t>UGK.VP.ZZ</x:t>
  </x:si>
  <x:si>
    <x:t>- - - - Improving access to health services or health-related services in relation to manufacture of chemicals and chemical products</x:t>
  </x:si>
  <x:si>
    <x:t>http://id.who.int/icd/entity/1567750582</x:t>
  </x:si>
  <x:si>
    <x:t>http://id.who.int/icd/release/11/beta/ichi/1567750582</x:t>
  </x:si>
  <x:si>
    <x:t>UGK.VR.ZZ</x:t>
  </x:si>
  <x:si>
    <x:t>- - - - Reducing emissions from manufacture of chemicals and chemical products</x:t>
  </x:si>
  <x:si>
    <x:t>http://id.who.int/icd/entity/1450567452</x:t>
  </x:si>
  <x:si>
    <x:t>http://id.who.int/icd/release/11/beta/ichi/1450567452</x:t>
  </x:si>
  <x:si>
    <x:t>UGK.WC.ZZ</x:t>
  </x:si>
  <x:si>
    <x:t>- - - - Restrictions on the sale or distribution of products or services in relation to manufacture of chemicals and chemical products</x:t>
  </x:si>
  <x:si>
    <x:t>http://id.who.int/icd/entity/1194772332</x:t>
  </x:si>
  <x:si>
    <x:t>http://id.who.int/icd/release/11/beta/ichi/1194772332</x:t>
  </x:si>
  <x:si>
    <x:t>UGK.WD.ZZ</x:t>
  </x:si>
  <x:si>
    <x:t>- - - - Restrictions on advertising, promotion or sponsorship of products or services in relation to manufacture of chemicals and chemical products</x:t>
  </x:si>
  <x:si>
    <x:t>http://id.who.int/icd/entity/937387759</x:t>
  </x:si>
  <x:si>
    <x:t>http://id.who.int/icd/release/11/beta/ichi/937387759</x:t>
  </x:si>
  <x:si>
    <x:t>UGK.WE.ZZ</x:t>
  </x:si>
  <x:si>
    <x:t>- - - - Restrictions on production or importation of products or services in relation to manufacture of chemicals and chemical products</x:t>
  </x:si>
  <x:si>
    <x:t>http://id.who.int/icd/entity/471992959</x:t>
  </x:si>
  <x:si>
    <x:t>http://id.who.int/icd/release/11/beta/ichi/471992959</x:t>
  </x:si>
  <x:si>
    <x:t>UGK.WG.QF</x:t>
  </x:si>
  <x:si>
    <x:t>- - - - Economic incentives in relation to manufacture of chemicals and chemical products</x:t>
  </x:si>
  <x:si>
    <x:t>http://id.who.int/icd/entity/764958773</x:t>
  </x:si>
  <x:si>
    <x:t>http://id.who.int/icd/release/11/beta/ichi/764958773</x:t>
  </x:si>
  <x:si>
    <x:t>UGK.WG.ZZ</x:t>
  </x:si>
  <x:si>
    <x:t>- - - - Applying incentives in relation to manufacture of chemicals and chemical products</x:t>
  </x:si>
  <x:si>
    <x:t>http://id.who.int/icd/entity/1479466056</x:t>
  </x:si>
  <x:si>
    <x:t>http://id.who.int/icd/release/11/beta/ichi/1479466056</x:t>
  </x:si>
  <x:si>
    <x:t>UGK.WI.QD</x:t>
  </x:si>
  <x:si>
    <x:t>- - - - Restrictions through enactment of laws or standards in relation to manufacture of chemicals and chemical products</x:t>
  </x:si>
  <x:si>
    <x:t>http://id.who.int/icd/entity/139789815</x:t>
  </x:si>
  <x:si>
    <x:t>http://id.who.int/icd/release/11/beta/ichi/139789815</x:t>
  </x:si>
  <x:si>
    <x:t>UGK.WI.QE</x:t>
  </x:si>
  <x:si>
    <x:t>- - - - Restrictions through enforcement of laws or standards in relation to manufacture of chemicals and chemical products</x:t>
  </x:si>
  <x:si>
    <x:t>http://id.who.int/icd/entity/655753049</x:t>
  </x:si>
  <x:si>
    <x:t>http://id.who.int/icd/release/11/beta/ichi/655753049</x:t>
  </x:si>
  <x:si>
    <x:t>UGK.WI.ZZ</x:t>
  </x:si>
  <x:si>
    <x:t>- - - - Restrictions through laws or standards in relation to manufacture of chemicals and chemical products, not elsewhere classified</x:t>
  </x:si>
  <x:si>
    <x:t>http://id.who.int/icd/entity/583280695</x:t>
  </x:si>
  <x:si>
    <x:t>http://id.who.int/icd/release/11/beta/ichi/583280695</x:t>
  </x:si>
  <x:si>
    <x:t>UGK.WJ.ZZ</x:t>
  </x:si>
  <x:si>
    <x:t>- - - - Policy change in relation to manufacture of chemicals and chemical products</x:t>
  </x:si>
  <x:si>
    <x:t>http://id.who.int/icd/entity/1946008533</x:t>
  </x:si>
  <x:si>
    <x:t>http://id.who.int/icd/release/11/beta/ichi/1946008533</x:t>
  </x:si>
  <x:si>
    <x:t>UGL.AA.ZZ</x:t>
  </x:si>
  <x:si>
    <x:t>- - - - Assessment of health effects of chemicals and chemical products</x:t>
  </x:si>
  <x:si>
    <x:t>http://id.who.int/icd/entity/596009572</x:t>
  </x:si>
  <x:si>
    <x:t>http://id.who.int/icd/release/11/beta/ichi/596009572</x:t>
  </x:si>
  <x:si>
    <x:t>UGL.PH.ZZ</x:t>
  </x:si>
  <x:si>
    <x:t>- - - - Training about chemicals and chemical products</x:t>
  </x:si>
  <x:si>
    <x:t>http://id.who.int/icd/entity/1446045207</x:t>
  </x:si>
  <x:si>
    <x:t>http://id.who.int/icd/release/11/beta/ichi/1446045207</x:t>
  </x:si>
  <x:si>
    <x:t>UGL.PM.ZZ</x:t>
  </x:si>
  <x:si>
    <x:t>- - - - Education about chemicals and chemical products</x:t>
  </x:si>
  <x:si>
    <x:t>http://id.who.int/icd/entity/2110622343</x:t>
  </x:si>
  <x:si>
    <x:t>http://id.who.int/icd/release/11/beta/ichi/2110622343</x:t>
  </x:si>
  <x:si>
    <x:t>UGL.PN.ZZ</x:t>
  </x:si>
  <x:si>
    <x:t>- - - - Advising about chemicals and chemical products</x:t>
  </x:si>
  <x:si>
    <x:t>http://id.who.int/icd/entity/802200906</x:t>
  </x:si>
  <x:si>
    <x:t>http://id.who.int/icd/release/11/beta/ichi/802200906</x:t>
  </x:si>
  <x:si>
    <x:t>UGL.RB.ZZ</x:t>
  </x:si>
  <x:si>
    <x:t>- - - - Practical support about chemicals and chemical products</x:t>
  </x:si>
  <x:si>
    <x:t>http://id.who.int/icd/entity/1821289201</x:t>
  </x:si>
  <x:si>
    <x:t>http://id.who.int/icd/release/11/beta/ichi/1821289201</x:t>
  </x:si>
  <x:si>
    <x:t>UGL.RD.ZZ</x:t>
  </x:si>
  <x:si>
    <x:t>- - - - Providing goods in relation to chemicals and chemical products</x:t>
  </x:si>
  <x:si>
    <x:t>http://id.who.int/icd/entity/1986929755</x:t>
  </x:si>
  <x:si>
    <x:t>http://id.who.int/icd/release/11/beta/ichi/1986929755</x:t>
  </x:si>
  <x:si>
    <x:t>UGL.TA.ZZ</x:t>
  </x:si>
  <x:si>
    <x:t>- - - - Advocacy in relation to chemicals and chemical products</x:t>
  </x:si>
  <x:si>
    <x:t>http://id.who.int/icd/entity/638975468</x:t>
  </x:si>
  <x:si>
    <x:t>http://id.who.int/icd/release/11/beta/ichi/638975468</x:t>
  </x:si>
  <x:si>
    <x:t>UGL.TB.ZZ</x:t>
  </x:si>
  <x:si>
    <x:t>- - - - Planning in relation to chemicals and chemical products</x:t>
  </x:si>
  <x:si>
    <x:t>http://id.who.int/icd/entity/2044177609</x:t>
  </x:si>
  <x:si>
    <x:t>http://id.who.int/icd/release/11/beta/ichi/2044177609</x:t>
  </x:si>
  <x:si>
    <x:t>UGL.TD.ZZ</x:t>
  </x:si>
  <x:si>
    <x:t>- - - - Collaboration relating to chemicals and chemical products</x:t>
  </x:si>
  <x:si>
    <x:t>http://id.who.int/icd/entity/994208336</x:t>
  </x:si>
  <x:si>
    <x:t>http://id.who.int/icd/release/11/beta/ichi/994208336</x:t>
  </x:si>
  <x:si>
    <x:t>UGL.TK.ZZ</x:t>
  </x:si>
  <x:si>
    <x:t>- - - - Public facilities or infrastructure development in relation to chemicals and chemical products</x:t>
  </x:si>
  <x:si>
    <x:t>http://id.who.int/icd/entity/1798943713</x:t>
  </x:si>
  <x:si>
    <x:t>http://id.who.int/icd/release/11/beta/ichi/1798943713</x:t>
  </x:si>
  <x:si>
    <x:t>UGL.TM.ZZ</x:t>
  </x:si>
  <x:si>
    <x:t>- - - - Environment modification in relation to chemicals and chemical products</x:t>
  </x:si>
  <x:si>
    <x:t>http://id.who.int/icd/entity/1545830105</x:t>
  </x:si>
  <x:si>
    <x:t>http://id.who.int/icd/release/11/beta/ichi/1545830105</x:t>
  </x:si>
  <x:si>
    <x:t>UGL.VA.ZZ</x:t>
  </x:si>
  <x:si>
    <x:t>- - - - Capacity building targeting chemicals and chemical products</x:t>
  </x:si>
  <x:si>
    <x:t>http://id.who.int/icd/entity/1378533465</x:t>
  </x:si>
  <x:si>
    <x:t>http://id.who.int/icd/release/11/beta/ichi/1378533465</x:t>
  </x:si>
  <x:si>
    <x:t>UGL.VB.ZZ</x:t>
  </x:si>
  <x:si>
    <x:t>- - - - Awareness raising concerning chemicals and chemical products</x:t>
  </x:si>
  <x:si>
    <x:t>http://id.who.int/icd/entity/1729399807</x:t>
  </x:si>
  <x:si>
    <x:t>http://id.who.int/icd/release/11/beta/ichi/1729399807</x:t>
  </x:si>
  <x:si>
    <x:t>UGL.VC.ZZ</x:t>
  </x:si>
  <x:si>
    <x:t>- - - - Public health surveillance concerning chemicals and chemical products</x:t>
  </x:si>
  <x:si>
    <x:t>http://id.who.int/icd/entity/1023872436</x:t>
  </x:si>
  <x:si>
    <x:t>http://id.who.int/icd/release/11/beta/ichi/1023872436</x:t>
  </x:si>
  <x:si>
    <x:t>UGL.VF.ZZ</x:t>
  </x:si>
  <x:si>
    <x:t>- - - - Alert concerning chemicals and chemical products</x:t>
  </x:si>
  <x:si>
    <x:t>http://id.who.int/icd/entity/953604830</x:t>
  </x:si>
  <x:si>
    <x:t>http://id.who.int/icd/release/11/beta/ichi/953604830</x:t>
  </x:si>
  <x:si>
    <x:t>UGL.VL.ZZ</x:t>
  </x:si>
  <x:si>
    <x:t>- - - - Environmental remediation in relation to chemicals and chemical products</x:t>
  </x:si>
  <x:si>
    <x:t>http://id.who.int/icd/entity/1756169069</x:t>
  </x:si>
  <x:si>
    <x:t>http://id.who.int/icd/release/11/beta/ichi/1756169069</x:t>
  </x:si>
  <x:si>
    <x:t>UGL.VN.ZZ</x:t>
  </x:si>
  <x:si>
    <x:t>- - - - Establishing health services or health related services in relation to chemicals and chemical products</x:t>
  </x:si>
  <x:si>
    <x:t>http://id.who.int/icd/entity/1917685191</x:t>
  </x:si>
  <x:si>
    <x:t>http://id.who.int/icd/release/11/beta/ichi/1917685191</x:t>
  </x:si>
  <x:si>
    <x:t>UGL.VO.ZZ</x:t>
  </x:si>
  <x:si>
    <x:t>- - - - Marshalling health services or health-related services in relation to chemicals and chemical products</x:t>
  </x:si>
  <x:si>
    <x:t>http://id.who.int/icd/entity/888922818</x:t>
  </x:si>
  <x:si>
    <x:t>http://id.who.int/icd/release/11/beta/ichi/888922818</x:t>
  </x:si>
  <x:si>
    <x:t>UGL.VP.ZZ</x:t>
  </x:si>
  <x:si>
    <x:t>- - - - Improving access to health services or health-related services in relation to chemicals and chemical products</x:t>
  </x:si>
  <x:si>
    <x:t>http://id.who.int/icd/entity/520523346</x:t>
  </x:si>
  <x:si>
    <x:t>http://id.who.int/icd/release/11/beta/ichi/520523346</x:t>
  </x:si>
  <x:si>
    <x:t>UGL.VR.ZZ</x:t>
  </x:si>
  <x:si>
    <x:t>- - - - Reducing emissions from chemicals and chemical products</x:t>
  </x:si>
  <x:si>
    <x:t>http://id.who.int/icd/entity/1657101457</x:t>
  </x:si>
  <x:si>
    <x:t>http://id.who.int/icd/release/11/beta/ichi/1657101457</x:t>
  </x:si>
  <x:si>
    <x:t>UGL.WC.ZZ</x:t>
  </x:si>
  <x:si>
    <x:t>- - - - Restrictions on the sale or distribution of products or services in relation to chemicals and chemical products</x:t>
  </x:si>
  <x:si>
    <x:t>http://id.who.int/icd/entity/607222644</x:t>
  </x:si>
  <x:si>
    <x:t>http://id.who.int/icd/release/11/beta/ichi/607222644</x:t>
  </x:si>
  <x:si>
    <x:t>UGL.WD.ZZ</x:t>
  </x:si>
  <x:si>
    <x:t>- - - - Restrictions on advertising, promotion or sponsorship of products or services in relation to chemicals and chemical products</x:t>
  </x:si>
  <x:si>
    <x:t>http://id.who.int/icd/entity/851346722</x:t>
  </x:si>
  <x:si>
    <x:t>http://id.who.int/icd/release/11/beta/ichi/851346722</x:t>
  </x:si>
  <x:si>
    <x:t>UGL.WE.ZZ</x:t>
  </x:si>
  <x:si>
    <x:t>- - - - Restrictions on production or importation of products or services in relation to chemicals and chemical products</x:t>
  </x:si>
  <x:si>
    <x:t>http://id.who.int/icd/entity/1191706963</x:t>
  </x:si>
  <x:si>
    <x:t>http://id.who.int/icd/release/11/beta/ichi/1191706963</x:t>
  </x:si>
  <x:si>
    <x:t>UGL.WF.QD</x:t>
  </x:si>
  <x:si>
    <x:t>- - - - Restrictions through enactment of laws or standards on the consumption or use of chemicals and chemical products</x:t>
  </x:si>
  <x:si>
    <x:t>http://id.who.int/icd/entity/1828023747</x:t>
  </x:si>
  <x:si>
    <x:t>http://id.who.int/icd/release/11/beta/ichi/1828023747</x:t>
  </x:si>
  <x:si>
    <x:t>UGL.WF.ZZ</x:t>
  </x:si>
  <x:si>
    <x:t>- - - - Restrictions on the consumption or use of chemicals and chemical products</x:t>
  </x:si>
  <x:si>
    <x:t>http://id.who.int/icd/entity/2079533655</x:t>
  </x:si>
  <x:si>
    <x:t>http://id.who.int/icd/release/11/beta/ichi/2079533655</x:t>
  </x:si>
  <x:si>
    <x:t>UGL.WG.QF</x:t>
  </x:si>
  <x:si>
    <x:t>- - - - Economic incentives in relation to chemicals and chemical products</x:t>
  </x:si>
  <x:si>
    <x:t>http://id.who.int/icd/entity/730395622</x:t>
  </x:si>
  <x:si>
    <x:t>http://id.who.int/icd/release/11/beta/ichi/730395622</x:t>
  </x:si>
  <x:si>
    <x:t>UGL.WG.ZZ</x:t>
  </x:si>
  <x:si>
    <x:t>- - - - Applying incentives in relation to chemicals and chemical products</x:t>
  </x:si>
  <x:si>
    <x:t>http://id.who.int/icd/entity/2109099445</x:t>
  </x:si>
  <x:si>
    <x:t>http://id.who.int/icd/release/11/beta/ichi/2109099445</x:t>
  </x:si>
  <x:si>
    <x:t>UGL.WI.QD</x:t>
  </x:si>
  <x:si>
    <x:t>- - - - Restrictions through enactment of laws or standards in relation to chemicals and chemical products</x:t>
  </x:si>
  <x:si>
    <x:t>http://id.who.int/icd/entity/2020055771</x:t>
  </x:si>
  <x:si>
    <x:t>http://id.who.int/icd/release/11/beta/ichi/2020055771</x:t>
  </x:si>
  <x:si>
    <x:t>UGL.WI.QE</x:t>
  </x:si>
  <x:si>
    <x:t>- - - - Restrictions through enforcement of laws or standards in relation to chemicals and chemical products</x:t>
  </x:si>
  <x:si>
    <x:t>http://id.who.int/icd/entity/672940908</x:t>
  </x:si>
  <x:si>
    <x:t>http://id.who.int/icd/release/11/beta/ichi/672940908</x:t>
  </x:si>
  <x:si>
    <x:t>UGL.WI.ZZ</x:t>
  </x:si>
  <x:si>
    <x:t>- - - - Restrictions through laws or standards in relation to chemicals and chemical products, not elsewhere classified</x:t>
  </x:si>
  <x:si>
    <x:t>http://id.who.int/icd/entity/2011042377</x:t>
  </x:si>
  <x:si>
    <x:t>http://id.who.int/icd/release/11/beta/ichi/2011042377</x:t>
  </x:si>
  <x:si>
    <x:t>UGL.WJ.ZZ</x:t>
  </x:si>
  <x:si>
    <x:t>- - - - Policy change in relation to chemicals and chemical products</x:t>
  </x:si>
  <x:si>
    <x:t>http://id.who.int/icd/entity/828931406</x:t>
  </x:si>
  <x:si>
    <x:t>http://id.who.int/icd/release/11/beta/ichi/828931406</x:t>
  </x:si>
  <x:si>
    <x:t>UGM.AA.ZZ</x:t>
  </x:si>
  <x:si>
    <x:t>- - - - Assessment of health effects of rubber and plastics products</x:t>
  </x:si>
  <x:si>
    <x:t>http://id.who.int/icd/entity/445977054</x:t>
  </x:si>
  <x:si>
    <x:t>http://id.who.int/icd/release/11/beta/ichi/445977054</x:t>
  </x:si>
  <x:si>
    <x:t>UGM.PH.ZZ</x:t>
  </x:si>
  <x:si>
    <x:t>- - - - Training about rubber and plastics products</x:t>
  </x:si>
  <x:si>
    <x:t>http://id.who.int/icd/entity/198586794</x:t>
  </x:si>
  <x:si>
    <x:t>http://id.who.int/icd/release/11/beta/ichi/198586794</x:t>
  </x:si>
  <x:si>
    <x:t>UGM.PM.ZZ</x:t>
  </x:si>
  <x:si>
    <x:t>- - - - Education about rubber and plastics products</x:t>
  </x:si>
  <x:si>
    <x:t>http://id.who.int/icd/entity/661950753</x:t>
  </x:si>
  <x:si>
    <x:t>http://id.who.int/icd/release/11/beta/ichi/661950753</x:t>
  </x:si>
  <x:si>
    <x:t>UGM.PN.ZZ</x:t>
  </x:si>
  <x:si>
    <x:t>- - - - Advising about rubber and plastics products</x:t>
  </x:si>
  <x:si>
    <x:t>http://id.who.int/icd/entity/1997490320</x:t>
  </x:si>
  <x:si>
    <x:t>http://id.who.int/icd/release/11/beta/ichi/1997490320</x:t>
  </x:si>
  <x:si>
    <x:t>UGM.RB.ZZ</x:t>
  </x:si>
  <x:si>
    <x:t>- - - - Practical support about rubber and plastics products</x:t>
  </x:si>
  <x:si>
    <x:t>http://id.who.int/icd/entity/684530099</x:t>
  </x:si>
  <x:si>
    <x:t>http://id.who.int/icd/release/11/beta/ichi/684530099</x:t>
  </x:si>
  <x:si>
    <x:t>UGM.RD.ZZ</x:t>
  </x:si>
  <x:si>
    <x:t>- - - - Providing goods in relation to rubber and plastics products</x:t>
  </x:si>
  <x:si>
    <x:t>http://id.who.int/icd/entity/53507363</x:t>
  </x:si>
  <x:si>
    <x:t>http://id.who.int/icd/release/11/beta/ichi/53507363</x:t>
  </x:si>
  <x:si>
    <x:t>UGM.TA.ZZ</x:t>
  </x:si>
  <x:si>
    <x:t>- - - - Advocacy in relation to rubber and plastics products</x:t>
  </x:si>
  <x:si>
    <x:t>http://id.who.int/icd/entity/940015621</x:t>
  </x:si>
  <x:si>
    <x:t>http://id.who.int/icd/release/11/beta/ichi/940015621</x:t>
  </x:si>
  <x:si>
    <x:t>UGM.TB.ZZ</x:t>
  </x:si>
  <x:si>
    <x:t>- - - - Planning in relation to rubber and plastics products</x:t>
  </x:si>
  <x:si>
    <x:t>http://id.who.int/icd/entity/1741017382</x:t>
  </x:si>
  <x:si>
    <x:t>http://id.who.int/icd/release/11/beta/ichi/1741017382</x:t>
  </x:si>
  <x:si>
    <x:t>UGM.TD.ZZ</x:t>
  </x:si>
  <x:si>
    <x:t>- - - - Collaboration relating to rubber and plastics products</x:t>
  </x:si>
  <x:si>
    <x:t>http://id.who.int/icd/entity/935200919</x:t>
  </x:si>
  <x:si>
    <x:t>http://id.who.int/icd/release/11/beta/ichi/935200919</x:t>
  </x:si>
  <x:si>
    <x:t>UGM.TK.ZZ</x:t>
  </x:si>
  <x:si>
    <x:t>- - - - Public facilities or infrastructure development in relation to rubber and plastics products</x:t>
  </x:si>
  <x:si>
    <x:t>http://id.who.int/icd/entity/846192633</x:t>
  </x:si>
  <x:si>
    <x:t>http://id.who.int/icd/release/11/beta/ichi/846192633</x:t>
  </x:si>
  <x:si>
    <x:t>UGM.TM.ZZ</x:t>
  </x:si>
  <x:si>
    <x:t>- - - - Environment modification in relation to rubber and plastics products</x:t>
  </x:si>
  <x:si>
    <x:t>http://id.who.int/icd/entity/429044585</x:t>
  </x:si>
  <x:si>
    <x:t>http://id.who.int/icd/release/11/beta/ichi/429044585</x:t>
  </x:si>
  <x:si>
    <x:t>UGM.VA.ZZ</x:t>
  </x:si>
  <x:si>
    <x:t>- - - - Capacity building targeting rubber and plastics products</x:t>
  </x:si>
  <x:si>
    <x:t>http://id.who.int/icd/entity/147952415</x:t>
  </x:si>
  <x:si>
    <x:t>http://id.who.int/icd/release/11/beta/ichi/147952415</x:t>
  </x:si>
  <x:si>
    <x:t>UGM.VB.ZZ</x:t>
  </x:si>
  <x:si>
    <x:t>- - - - Awareness raising concerning rubber and plastics products</x:t>
  </x:si>
  <x:si>
    <x:t>http://id.who.int/icd/entity/2103908204</x:t>
  </x:si>
  <x:si>
    <x:t>http://id.who.int/icd/release/11/beta/ichi/2103908204</x:t>
  </x:si>
  <x:si>
    <x:t>UGM.VC.ZZ</x:t>
  </x:si>
  <x:si>
    <x:t>- - - - Public health surveillance concerning rubber and plastics products</x:t>
  </x:si>
  <x:si>
    <x:t>http://id.who.int/icd/entity/267179622</x:t>
  </x:si>
  <x:si>
    <x:t>http://id.who.int/icd/release/11/beta/ichi/267179622</x:t>
  </x:si>
  <x:si>
    <x:t>UGM.VF.ZZ</x:t>
  </x:si>
  <x:si>
    <x:t>- - - - Alert concerning rubber and plastics products</x:t>
  </x:si>
  <x:si>
    <x:t>http://id.who.int/icd/entity/1345226565</x:t>
  </x:si>
  <x:si>
    <x:t>http://id.who.int/icd/release/11/beta/ichi/1345226565</x:t>
  </x:si>
  <x:si>
    <x:t>UGM.VL.ZZ</x:t>
  </x:si>
  <x:si>
    <x:t>- - - - Environmental remediation in relation to rubber and plastics products</x:t>
  </x:si>
  <x:si>
    <x:t>http://id.who.int/icd/entity/5594868</x:t>
  </x:si>
  <x:si>
    <x:t>http://id.who.int/icd/release/11/beta/ichi/5594868</x:t>
  </x:si>
  <x:si>
    <x:t>UGM.VN.ZZ</x:t>
  </x:si>
  <x:si>
    <x:t>- - - - Establishing health services or health-related services in relation to rubber and plastics products</x:t>
  </x:si>
  <x:si>
    <x:t>http://id.who.int/icd/entity/92572058</x:t>
  </x:si>
  <x:si>
    <x:t>http://id.who.int/icd/release/11/beta/ichi/92572058</x:t>
  </x:si>
  <x:si>
    <x:t>UGM.VO.ZZ</x:t>
  </x:si>
  <x:si>
    <x:t>- - - - Marshalling health services or health-related services in relation to rubber and plastics products</x:t>
  </x:si>
  <x:si>
    <x:t>http://id.who.int/icd/entity/779740426</x:t>
  </x:si>
  <x:si>
    <x:t>http://id.who.int/icd/release/11/beta/ichi/779740426</x:t>
  </x:si>
  <x:si>
    <x:t>UGM.VP.ZZ</x:t>
  </x:si>
  <x:si>
    <x:t>- - - - Improving access to health services or health-related services in relation to rubber and plastics products</x:t>
  </x:si>
  <x:si>
    <x:t>http://id.who.int/icd/entity/1060816254</x:t>
  </x:si>
  <x:si>
    <x:t>http://id.who.int/icd/release/11/beta/ichi/1060816254</x:t>
  </x:si>
  <x:si>
    <x:t>UGM.VR.ZZ</x:t>
  </x:si>
  <x:si>
    <x:t>- - - - Reducing emissions from rubber and plastics products</x:t>
  </x:si>
  <x:si>
    <x:t>http://id.who.int/icd/entity/1250705679</x:t>
  </x:si>
  <x:si>
    <x:t>http://id.who.int/icd/release/11/beta/ichi/1250705679</x:t>
  </x:si>
  <x:si>
    <x:t>UGM.WC.ZZ</x:t>
  </x:si>
  <x:si>
    <x:t>- - - - Restrictions on the sale or distribution of products or services in relation to rubber and plastics products</x:t>
  </x:si>
  <x:si>
    <x:t>http://id.who.int/icd/entity/452434110</x:t>
  </x:si>
  <x:si>
    <x:t>http://id.who.int/icd/release/11/beta/ichi/452434110</x:t>
  </x:si>
  <x:si>
    <x:t>UGM.WD.ZZ</x:t>
  </x:si>
  <x:si>
    <x:t>- - - - Restrictions on advertising, promotion or sponsorship of products or services in relation to rubber and plastics products</x:t>
  </x:si>
  <x:si>
    <x:t>http://id.who.int/icd/entity/1161152925</x:t>
  </x:si>
  <x:si>
    <x:t>http://id.who.int/icd/release/11/beta/ichi/1161152925</x:t>
  </x:si>
  <x:si>
    <x:t>UGM.WE.ZZ</x:t>
  </x:si>
  <x:si>
    <x:t>- - - - Restrictions on production or importation of products or services in relation to rubber and plastics products</x:t>
  </x:si>
  <x:si>
    <x:t>http://id.who.int/icd/entity/1858643213</x:t>
  </x:si>
  <x:si>
    <x:t>http://id.who.int/icd/release/11/beta/ichi/1858643213</x:t>
  </x:si>
  <x:si>
    <x:t>UGM.WG.QF</x:t>
  </x:si>
  <x:si>
    <x:t>- - - - Economic incentives in relation to rubber and plastics products</x:t>
  </x:si>
  <x:si>
    <x:t>http://id.who.int/icd/entity/984177394</x:t>
  </x:si>
  <x:si>
    <x:t>http://id.who.int/icd/release/11/beta/ichi/984177394</x:t>
  </x:si>
  <x:si>
    <x:t>UGM.WG.ZZ</x:t>
  </x:si>
  <x:si>
    <x:t>- - - - Applying incentives in relation to rubber and plastics products</x:t>
  </x:si>
  <x:si>
    <x:t>http://id.who.int/icd/entity/1701514193</x:t>
  </x:si>
  <x:si>
    <x:t>http://id.who.int/icd/release/11/beta/ichi/1701514193</x:t>
  </x:si>
  <x:si>
    <x:t>UGM.WI.QD</x:t>
  </x:si>
  <x:si>
    <x:t>- - - - Restrictions through enactment of laws or standards in relation to rubber and plastics products</x:t>
  </x:si>
  <x:si>
    <x:t>http://id.who.int/icd/entity/890294880</x:t>
  </x:si>
  <x:si>
    <x:t>http://id.who.int/icd/release/11/beta/ichi/890294880</x:t>
  </x:si>
  <x:si>
    <x:t>UGM.WI.QE</x:t>
  </x:si>
  <x:si>
    <x:t>- - - - Restrictions through enforcement of laws or standards in relation to rubber and plastics products</x:t>
  </x:si>
  <x:si>
    <x:t>http://id.who.int/icd/entity/8133658</x:t>
  </x:si>
  <x:si>
    <x:t>http://id.who.int/icd/release/11/beta/ichi/8133658</x:t>
  </x:si>
  <x:si>
    <x:t>UGM.WI.ZZ</x:t>
  </x:si>
  <x:si>
    <x:t>- - - - Restrictions through laws or standards in relation to rubber and plastics products, not elswhere classified</x:t>
  </x:si>
  <x:si>
    <x:t>http://id.who.int/icd/entity/729903242</x:t>
  </x:si>
  <x:si>
    <x:t>http://id.who.int/icd/release/11/beta/ichi/729903242</x:t>
  </x:si>
  <x:si>
    <x:t>UGM.WJ.ZZ</x:t>
  </x:si>
  <x:si>
    <x:t>- - - - Policy change in relation to rubber and plastics products</x:t>
  </x:si>
  <x:si>
    <x:t>http://id.who.int/icd/entity/232825442</x:t>
  </x:si>
  <x:si>
    <x:t>http://id.who.int/icd/release/11/beta/ichi/232825442</x:t>
  </x:si>
  <x:si>
    <x:t>UGN.AA.ZZ</x:t>
  </x:si>
  <x:si>
    <x:t>- - - - Assessment of health effects of construction of buildings</x:t>
  </x:si>
  <x:si>
    <x:t>http://id.who.int/icd/entity/639487730</x:t>
  </x:si>
  <x:si>
    <x:t>http://id.who.int/icd/release/11/beta/ichi/639487730</x:t>
  </x:si>
  <x:si>
    <x:t>UGN.PH.ZZ</x:t>
  </x:si>
  <x:si>
    <x:t>- - - - Training about construction of buildings</x:t>
  </x:si>
  <x:si>
    <x:t>http://id.who.int/icd/entity/928968326</x:t>
  </x:si>
  <x:si>
    <x:t>http://id.who.int/icd/release/11/beta/ichi/928968326</x:t>
  </x:si>
  <x:si>
    <x:t>UGN.PM.ZZ</x:t>
  </x:si>
  <x:si>
    <x:t>- - - - Education about construction of buildings</x:t>
  </x:si>
  <x:si>
    <x:t>http://id.who.int/icd/entity/36839680</x:t>
  </x:si>
  <x:si>
    <x:t>http://id.who.int/icd/release/11/beta/ichi/36839680</x:t>
  </x:si>
  <x:si>
    <x:t>UGN.PN.ZZ</x:t>
  </x:si>
  <x:si>
    <x:t>- - - - Advising about construction of buildings</x:t>
  </x:si>
  <x:si>
    <x:t>http://id.who.int/icd/entity/1380579663</x:t>
  </x:si>
  <x:si>
    <x:t>http://id.who.int/icd/release/11/beta/ichi/1380579663</x:t>
  </x:si>
  <x:si>
    <x:t>UGN.RB.ZZ</x:t>
  </x:si>
  <x:si>
    <x:t>- - - - Practical support about construction of buildings</x:t>
  </x:si>
  <x:si>
    <x:t>http://id.who.int/icd/entity/227256430</x:t>
  </x:si>
  <x:si>
    <x:t>http://id.who.int/icd/release/11/beta/ichi/227256430</x:t>
  </x:si>
  <x:si>
    <x:t>UGN.RD.ZZ</x:t>
  </x:si>
  <x:si>
    <x:t>- - - - Providing goods in relation to construction of buildings</x:t>
  </x:si>
  <x:si>
    <x:t>http://id.who.int/icd/entity/645317886</x:t>
  </x:si>
  <x:si>
    <x:t>http://id.who.int/icd/release/11/beta/ichi/645317886</x:t>
  </x:si>
  <x:si>
    <x:t>UGN.RG.ZZ</x:t>
  </x:si>
  <x:si>
    <x:t>- - - - Providing services in relation to construction of buildings</x:t>
  </x:si>
  <x:si>
    <x:t>http://id.who.int/icd/entity/490811868</x:t>
  </x:si>
  <x:si>
    <x:t>http://id.who.int/icd/release/11/beta/ichi/490811868</x:t>
  </x:si>
  <x:si>
    <x:t>UGN.TA.ZZ</x:t>
  </x:si>
  <x:si>
    <x:t>- - - - Advocacy in relation to construction of buildings</x:t>
  </x:si>
  <x:si>
    <x:t>http://id.who.int/icd/entity/1115906297</x:t>
  </x:si>
  <x:si>
    <x:t>http://id.who.int/icd/release/11/beta/ichi/1115906297</x:t>
  </x:si>
  <x:si>
    <x:t>UGN.TB.ZZ</x:t>
  </x:si>
  <x:si>
    <x:t>- - - - Planning in relation to construction of buildings</x:t>
  </x:si>
  <x:si>
    <x:t>http://id.who.int/icd/entity/318290250</x:t>
  </x:si>
  <x:si>
    <x:t>http://id.who.int/icd/release/11/beta/ichi/318290250</x:t>
  </x:si>
  <x:si>
    <x:t>UGN.TD.ZZ</x:t>
  </x:si>
  <x:si>
    <x:t>- - - - Collaboration relating to construction of buildings</x:t>
  </x:si>
  <x:si>
    <x:t>http://id.who.int/icd/entity/388591144</x:t>
  </x:si>
  <x:si>
    <x:t>http://id.who.int/icd/release/11/beta/ichi/388591144</x:t>
  </x:si>
  <x:si>
    <x:t>UGN.TK.ZZ</x:t>
  </x:si>
  <x:si>
    <x:t>- - - - Public facilities or infrastructure development in relation to construction of buildings</x:t>
  </x:si>
  <x:si>
    <x:t>http://id.who.int/icd/entity/1020527288</x:t>
  </x:si>
  <x:si>
    <x:t>http://id.who.int/icd/release/11/beta/ichi/1020527288</x:t>
  </x:si>
  <x:si>
    <x:t>UGN.TM.ZZ</x:t>
  </x:si>
  <x:si>
    <x:t>- - - - Environment modification in relation to construction of buildings</x:t>
  </x:si>
  <x:si>
    <x:t>http://id.who.int/icd/entity/764879552</x:t>
  </x:si>
  <x:si>
    <x:t>http://id.who.int/icd/release/11/beta/ichi/764879552</x:t>
  </x:si>
  <x:si>
    <x:t>UGN.VA.ZZ</x:t>
  </x:si>
  <x:si>
    <x:t>- - - - Capacity building targeting construction of buildings</x:t>
  </x:si>
  <x:si>
    <x:t>http://id.who.int/icd/entity/1478600371</x:t>
  </x:si>
  <x:si>
    <x:t>http://id.who.int/icd/release/11/beta/ichi/1478600371</x:t>
  </x:si>
  <x:si>
    <x:t>UGN.VB.ZZ</x:t>
  </x:si>
  <x:si>
    <x:t>- - - - Awareness raising concerning construction of buildings</x:t>
  </x:si>
  <x:si>
    <x:t>http://id.who.int/icd/entity/177613975</x:t>
  </x:si>
  <x:si>
    <x:t>http://id.who.int/icd/release/11/beta/ichi/177613975</x:t>
  </x:si>
  <x:si>
    <x:t>UGN.VC.ZZ</x:t>
  </x:si>
  <x:si>
    <x:t>- - - - Public health surveillance concerning construction of buildings</x:t>
  </x:si>
  <x:si>
    <x:t>http://id.who.int/icd/entity/466947297</x:t>
  </x:si>
  <x:si>
    <x:t>http://id.who.int/icd/release/11/beta/ichi/466947297</x:t>
  </x:si>
  <x:si>
    <x:t>UGN.VF.ZZ</x:t>
  </x:si>
  <x:si>
    <x:t>- - - - Alert concerning construction of buildings</x:t>
  </x:si>
  <x:si>
    <x:t>http://id.who.int/icd/entity/503634831</x:t>
  </x:si>
  <x:si>
    <x:t>http://id.who.int/icd/release/11/beta/ichi/503634831</x:t>
  </x:si>
  <x:si>
    <x:t>UGN.VL.ZZ</x:t>
  </x:si>
  <x:si>
    <x:t>- - - - Environmental remediation in relation to construction of buildings</x:t>
  </x:si>
  <x:si>
    <x:t>http://id.who.int/icd/entity/1316946496</x:t>
  </x:si>
  <x:si>
    <x:t>http://id.who.int/icd/release/11/beta/ichi/1316946496</x:t>
  </x:si>
  <x:si>
    <x:t>UGN.VN.ZZ</x:t>
  </x:si>
  <x:si>
    <x:t>- - - - Establishing health services or health-related services in relation to construction of buildings</x:t>
  </x:si>
  <x:si>
    <x:t>http://id.who.int/icd/entity/297620253</x:t>
  </x:si>
  <x:si>
    <x:t>http://id.who.int/icd/release/11/beta/ichi/297620253</x:t>
  </x:si>
  <x:si>
    <x:t>UGN.VO.ZZ</x:t>
  </x:si>
  <x:si>
    <x:t>- - - - Marshalling health services or health-related services in relation to construction of buildings</x:t>
  </x:si>
  <x:si>
    <x:t>http://id.who.int/icd/entity/977289101</x:t>
  </x:si>
  <x:si>
    <x:t>http://id.who.int/icd/release/11/beta/ichi/977289101</x:t>
  </x:si>
  <x:si>
    <x:t>UGN.VP.ZZ</x:t>
  </x:si>
  <x:si>
    <x:t>- - - - Improving access to health services or health-related services in relation to construction of buildings</x:t>
  </x:si>
  <x:si>
    <x:t>http://id.who.int/icd/entity/24627883</x:t>
  </x:si>
  <x:si>
    <x:t>http://id.who.int/icd/release/11/beta/ichi/24627883</x:t>
  </x:si>
  <x:si>
    <x:t>UGN.VR.ZZ</x:t>
  </x:si>
  <x:si>
    <x:t>- - - - Reducing emissions from construction of buildings</x:t>
  </x:si>
  <x:si>
    <x:t>http://id.who.int/icd/entity/1588960138</x:t>
  </x:si>
  <x:si>
    <x:t>http://id.who.int/icd/release/11/beta/ichi/1588960138</x:t>
  </x:si>
  <x:si>
    <x:t>UGN.WC.ZZ</x:t>
  </x:si>
  <x:si>
    <x:t>- - - - Restrictions on the sale or distribution of products or services in relation to construction of buildings</x:t>
  </x:si>
  <x:si>
    <x:t>http://id.who.int/icd/entity/248398393</x:t>
  </x:si>
  <x:si>
    <x:t>http://id.who.int/icd/release/11/beta/ichi/248398393</x:t>
  </x:si>
  <x:si>
    <x:t>UGN.WD.ZZ</x:t>
  </x:si>
  <x:si>
    <x:t>- - - - Restrictions on advertising, promotion or sponsorship of products or services in relation to construction of buildings</x:t>
  </x:si>
  <x:si>
    <x:t>http://id.who.int/icd/entity/338611347</x:t>
  </x:si>
  <x:si>
    <x:t>http://id.who.int/icd/release/11/beta/ichi/338611347</x:t>
  </x:si>
  <x:si>
    <x:t>UGN.WE.ZZ</x:t>
  </x:si>
  <x:si>
    <x:t>- - - - Restrictions on production or importation of products or services in relation to construction of buildings</x:t>
  </x:si>
  <x:si>
    <x:t>http://id.who.int/icd/entity/1070833667</x:t>
  </x:si>
  <x:si>
    <x:t>http://id.who.int/icd/release/11/beta/ichi/1070833667</x:t>
  </x:si>
  <x:si>
    <x:t>UGN.WG.QF</x:t>
  </x:si>
  <x:si>
    <x:t>- - - - Economic incentives in relation to construction of buildings</x:t>
  </x:si>
  <x:si>
    <x:t>http://id.who.int/icd/entity/781222005</x:t>
  </x:si>
  <x:si>
    <x:t>http://id.who.int/icd/release/11/beta/ichi/781222005</x:t>
  </x:si>
  <x:si>
    <x:t>UGN.WG.ZZ</x:t>
  </x:si>
  <x:si>
    <x:t>- - - - Applying incentives in relation to construction of buildings</x:t>
  </x:si>
  <x:si>
    <x:t>http://id.who.int/icd/entity/469519887</x:t>
  </x:si>
  <x:si>
    <x:t>http://id.who.int/icd/release/11/beta/ichi/469519887</x:t>
  </x:si>
  <x:si>
    <x:t>UGN.WI.QD</x:t>
  </x:si>
  <x:si>
    <x:t>- - - - Restrictions through enactment of laws or standards in relation to construction of buildings</x:t>
  </x:si>
  <x:si>
    <x:t>http://id.who.int/icd/entity/1267177408</x:t>
  </x:si>
  <x:si>
    <x:t>http://id.who.int/icd/release/11/beta/ichi/1267177408</x:t>
  </x:si>
  <x:si>
    <x:t>UGN.WI.QE</x:t>
  </x:si>
  <x:si>
    <x:t>- - - - Restrictions through enforcement of laws or standards in relation to construction of buildings</x:t>
  </x:si>
  <x:si>
    <x:t>http://id.who.int/icd/entity/340117149</x:t>
  </x:si>
  <x:si>
    <x:t>http://id.who.int/icd/release/11/beta/ichi/340117149</x:t>
  </x:si>
  <x:si>
    <x:t>UGN.WI.ZZ</x:t>
  </x:si>
  <x:si>
    <x:t>- - - - Restrictions through laws or standards in relation to construction of buildings, not elsewhere classified</x:t>
  </x:si>
  <x:si>
    <x:t>http://id.who.int/icd/entity/1069066765</x:t>
  </x:si>
  <x:si>
    <x:t>http://id.who.int/icd/release/11/beta/ichi/1069066765</x:t>
  </x:si>
  <x:si>
    <x:t>UGN.WJ.ZZ</x:t>
  </x:si>
  <x:si>
    <x:t>- - - - Policy change in relation to construction of buildings</x:t>
  </x:si>
  <x:si>
    <x:t>http://id.who.int/icd/entity/379639782</x:t>
  </x:si>
  <x:si>
    <x:t>http://id.who.int/icd/release/11/beta/ichi/379639782</x:t>
  </x:si>
  <x:si>
    <x:t>UGP.AA.ZZ</x:t>
  </x:si>
  <x:si>
    <x:t>- - - - Assessment of health effects of residential buildings</x:t>
  </x:si>
  <x:si>
    <x:t>http://id.who.int/icd/entity/132380562</x:t>
  </x:si>
  <x:si>
    <x:t>http://id.who.int/icd/release/11/beta/ichi/132380562</x:t>
  </x:si>
  <x:si>
    <x:t>UGP.PH.ZZ</x:t>
  </x:si>
  <x:si>
    <x:t>- - - - Training about residential buildings</x:t>
  </x:si>
  <x:si>
    <x:t>http://id.who.int/icd/entity/486766906</x:t>
  </x:si>
  <x:si>
    <x:t>http://id.who.int/icd/release/11/beta/ichi/486766906</x:t>
  </x:si>
  <x:si>
    <x:t>UGP.PM.ZZ</x:t>
  </x:si>
  <x:si>
    <x:t>- - - - Education about residential buildings</x:t>
  </x:si>
  <x:si>
    <x:t>http://id.who.int/icd/entity/1299751051</x:t>
  </x:si>
  <x:si>
    <x:t>http://id.who.int/icd/release/11/beta/ichi/1299751051</x:t>
  </x:si>
  <x:si>
    <x:t>UGP.PN.ZZ</x:t>
  </x:si>
  <x:si>
    <x:t>- - - - Advising about residential buildings</x:t>
  </x:si>
  <x:si>
    <x:t>http://id.who.int/icd/entity/314241448</x:t>
  </x:si>
  <x:si>
    <x:t>http://id.who.int/icd/release/11/beta/ichi/314241448</x:t>
  </x:si>
  <x:si>
    <x:t>UGP.RB.ZZ</x:t>
  </x:si>
  <x:si>
    <x:t>- - - - Practical support about residential buildings</x:t>
  </x:si>
  <x:si>
    <x:t>http://id.who.int/icd/entity/960994616</x:t>
  </x:si>
  <x:si>
    <x:t>http://id.who.int/icd/release/11/beta/ichi/960994616</x:t>
  </x:si>
  <x:si>
    <x:t>UGP.RD.ZZ</x:t>
  </x:si>
  <x:si>
    <x:t>- - - - Providing goods in relation to residential buildings</x:t>
  </x:si>
  <x:si>
    <x:t>http://id.who.int/icd/entity/1533299944</x:t>
  </x:si>
  <x:si>
    <x:t>http://id.who.int/icd/release/11/beta/ichi/1533299944</x:t>
  </x:si>
  <x:si>
    <x:t>UGP.RG.ZZ</x:t>
  </x:si>
  <x:si>
    <x:t>- - - - Providing services in relation to residential buildings</x:t>
  </x:si>
  <x:si>
    <x:t>http://id.who.int/icd/entity/77995461</x:t>
  </x:si>
  <x:si>
    <x:t>http://id.who.int/icd/release/11/beta/ichi/77995461</x:t>
  </x:si>
  <x:si>
    <x:t>UGP.TA.ZZ</x:t>
  </x:si>
  <x:si>
    <x:t>- - - - Advocacy in relation to residential buildings</x:t>
  </x:si>
  <x:si>
    <x:t>http://id.who.int/icd/entity/1423819894</x:t>
  </x:si>
  <x:si>
    <x:t>http://id.who.int/icd/release/11/beta/ichi/1423819894</x:t>
  </x:si>
  <x:si>
    <x:t>UGP.TB.ZZ</x:t>
  </x:si>
  <x:si>
    <x:t>- - - - Planning in relation to residential buildings</x:t>
  </x:si>
  <x:si>
    <x:t>http://id.who.int/icd/entity/560676871</x:t>
  </x:si>
  <x:si>
    <x:t>http://id.who.int/icd/release/11/beta/ichi/560676871</x:t>
  </x:si>
  <x:si>
    <x:t>UGP.TD.ZZ</x:t>
  </x:si>
  <x:si>
    <x:t>- - - - Collaboration relating to residential buildings</x:t>
  </x:si>
  <x:si>
    <x:t>http://id.who.int/icd/entity/1927999727</x:t>
  </x:si>
  <x:si>
    <x:t>http://id.who.int/icd/release/11/beta/ichi/1927999727</x:t>
  </x:si>
  <x:si>
    <x:t>UGP.TK.ZZ</x:t>
  </x:si>
  <x:si>
    <x:t>- - - - Public facilities or infrastructure development in relation to residential buildings</x:t>
  </x:si>
  <x:si>
    <x:t>http://id.who.int/icd/entity/757637582</x:t>
  </x:si>
  <x:si>
    <x:t>http://id.who.int/icd/release/11/beta/ichi/757637582</x:t>
  </x:si>
  <x:si>
    <x:t>UGP.TM.ZZ</x:t>
  </x:si>
  <x:si>
    <x:t>- - - - Environment modification in relation to residential buildings</x:t>
  </x:si>
  <x:si>
    <x:t>http://id.who.int/icd/entity/2102622333</x:t>
  </x:si>
  <x:si>
    <x:t>http://id.who.int/icd/release/11/beta/ichi/2102622333</x:t>
  </x:si>
  <x:si>
    <x:t>UGP.VA.ZZ</x:t>
  </x:si>
  <x:si>
    <x:t>- - - - Capacity building targeting residential buildings</x:t>
  </x:si>
  <x:si>
    <x:t>http://id.who.int/icd/entity/1739847383</x:t>
  </x:si>
  <x:si>
    <x:t>http://id.who.int/icd/release/11/beta/ichi/1739847383</x:t>
  </x:si>
  <x:si>
    <x:t>UGP.VB.ZZ</x:t>
  </x:si>
  <x:si>
    <x:t>- - - - Awareness raising concerning residential buildings</x:t>
  </x:si>
  <x:si>
    <x:t>http://id.who.int/icd/entity/1280219719</x:t>
  </x:si>
  <x:si>
    <x:t>http://id.who.int/icd/release/11/beta/ichi/1280219719</x:t>
  </x:si>
  <x:si>
    <x:t>UGP.VC.ZZ</x:t>
  </x:si>
  <x:si>
    <x:t>- - - - Public health surveillance concerning residential buildings</x:t>
  </x:si>
  <x:si>
    <x:t>http://id.who.int/icd/entity/1561180721</x:t>
  </x:si>
  <x:si>
    <x:t>http://id.who.int/icd/release/11/beta/ichi/1561180721</x:t>
  </x:si>
  <x:si>
    <x:t>UGP.VF.ZZ</x:t>
  </x:si>
  <x:si>
    <x:t>- - - - Alert concerning residential buildings</x:t>
  </x:si>
  <x:si>
    <x:t>http://id.who.int/icd/entity/2090927759</x:t>
  </x:si>
  <x:si>
    <x:t>http://id.who.int/icd/release/11/beta/ichi/2090927759</x:t>
  </x:si>
  <x:si>
    <x:t>UGP.VL.ZZ</x:t>
  </x:si>
  <x:si>
    <x:t>- - - - Environmental remediation in relation to residential buildings</x:t>
  </x:si>
  <x:si>
    <x:t>http://id.who.int/icd/entity/752541502</x:t>
  </x:si>
  <x:si>
    <x:t>http://id.who.int/icd/release/11/beta/ichi/752541502</x:t>
  </x:si>
  <x:si>
    <x:t>UGP.VN.ZZ</x:t>
  </x:si>
  <x:si>
    <x:t>- - - - Establishing health services or health-related services in relation to residential buildings</x:t>
  </x:si>
  <x:si>
    <x:t>http://id.who.int/icd/entity/1930989085</x:t>
  </x:si>
  <x:si>
    <x:t>http://id.who.int/icd/release/11/beta/ichi/1930989085</x:t>
  </x:si>
  <x:si>
    <x:t>UGP.VO.ZZ</x:t>
  </x:si>
  <x:si>
    <x:t>- - - - Marshalling health services or health-related services in relation to residential buildings</x:t>
  </x:si>
  <x:si>
    <x:t>http://id.who.int/icd/entity/1491460749</x:t>
  </x:si>
  <x:si>
    <x:t>http://id.who.int/icd/release/11/beta/ichi/1491460749</x:t>
  </x:si>
  <x:si>
    <x:t>UGP.VP.ZZ</x:t>
  </x:si>
  <x:si>
    <x:t>- - - - Improving access to health services or health-related services in relation to residential buildings</x:t>
  </x:si>
  <x:si>
    <x:t>http://id.who.int/icd/entity/1674713003</x:t>
  </x:si>
  <x:si>
    <x:t>http://id.who.int/icd/release/11/beta/ichi/1674713003</x:t>
  </x:si>
  <x:si>
    <x:t>UGP.VR.ZZ</x:t>
  </x:si>
  <x:si>
    <x:t>- - - - Reducing emissions from residential buildings</x:t>
  </x:si>
  <x:si>
    <x:t>http://id.who.int/icd/entity/1007699592</x:t>
  </x:si>
  <x:si>
    <x:t>http://id.who.int/icd/release/11/beta/ichi/1007699592</x:t>
  </x:si>
  <x:si>
    <x:t>UGP.WC.ZZ</x:t>
  </x:si>
  <x:si>
    <x:t>- - - - Restrictions on the sale or distribution of products or services in relation to residential buildings</x:t>
  </x:si>
  <x:si>
    <x:t>http://id.who.int/icd/entity/1818992441</x:t>
  </x:si>
  <x:si>
    <x:t>http://id.who.int/icd/release/11/beta/ichi/1818992441</x:t>
  </x:si>
  <x:si>
    <x:t>UGP.WD.ZZ</x:t>
  </x:si>
  <x:si>
    <x:t>- - - - Restrictions on advertising, promotion or sponsorship of products or services in relation to residential buildings</x:t>
  </x:si>
  <x:si>
    <x:t>http://id.who.int/icd/entity/1773815895</x:t>
  </x:si>
  <x:si>
    <x:t>http://id.who.int/icd/release/11/beta/ichi/1773815895</x:t>
  </x:si>
  <x:si>
    <x:t>UGP.WE.ZZ</x:t>
  </x:si>
  <x:si>
    <x:t>- - - - Restrictions on production or importation of products or services in relation to residential buildings</x:t>
  </x:si>
  <x:si>
    <x:t>http://id.who.int/icd/entity/1111958727</x:t>
  </x:si>
  <x:si>
    <x:t>http://id.who.int/icd/release/11/beta/ichi/1111958727</x:t>
  </x:si>
  <x:si>
    <x:t>UGP.WG.QF</x:t>
  </x:si>
  <x:si>
    <x:t>- - - - Economic incentives in relation to residential buildings</x:t>
  </x:si>
  <x:si>
    <x:t>http://id.who.int/icd/entity/1392772273</x:t>
  </x:si>
  <x:si>
    <x:t>http://id.who.int/icd/release/11/beta/ichi/1392772273</x:t>
  </x:si>
  <x:si>
    <x:t>UGP.WG.ZZ</x:t>
  </x:si>
  <x:si>
    <x:t>- - - - Applying incentives in relation to residential buildings</x:t>
  </x:si>
  <x:si>
    <x:t>http://id.who.int/icd/entity/649232578</x:t>
  </x:si>
  <x:si>
    <x:t>http://id.who.int/icd/release/11/beta/ichi/649232578</x:t>
  </x:si>
  <x:si>
    <x:t>UGP.WI.QD</x:t>
  </x:si>
  <x:si>
    <x:t>- - - - Restrictions through enactment of laws or standards in relation to residential buildings</x:t>
  </x:si>
  <x:si>
    <x:t>http://id.who.int/icd/entity/1992907123</x:t>
  </x:si>
  <x:si>
    <x:t>http://id.who.int/icd/release/11/beta/ichi/1992907123</x:t>
  </x:si>
  <x:si>
    <x:t>UGP.WI.QE</x:t>
  </x:si>
  <x:si>
    <x:t>- - - - Restrictions through enforcement of laws or standards in relation to residential buildings</x:t>
  </x:si>
  <x:si>
    <x:t>http://id.who.int/icd/entity/688588880</x:t>
  </x:si>
  <x:si>
    <x:t>http://id.who.int/icd/release/11/beta/ichi/688588880</x:t>
  </x:si>
  <x:si>
    <x:t>UGP.WI.ZZ</x:t>
  </x:si>
  <x:si>
    <x:t>- - - - Restrictions through laws or standards in relation to residential buildings, not elsewhere classified</x:t>
  </x:si>
  <x:si>
    <x:t>http://id.who.int/icd/entity/49702080</x:t>
  </x:si>
  <x:si>
    <x:t>http://id.who.int/icd/release/11/beta/ichi/49702080</x:t>
  </x:si>
  <x:si>
    <x:t>UGP.WJ.ZZ</x:t>
  </x:si>
  <x:si>
    <x:t>- - - - Policy change in relation to residential buildings</x:t>
  </x:si>
  <x:si>
    <x:t>http://id.who.int/icd/entity/662879846</x:t>
  </x:si>
  <x:si>
    <x:t>http://id.who.int/icd/release/11/beta/ichi/662879846</x:t>
  </x:si>
  <x:si>
    <x:t>UGQ.AA.ZZ</x:t>
  </x:si>
  <x:si>
    <x:t>- - - - Assessment of health effects of non-residential buildings</x:t>
  </x:si>
  <x:si>
    <x:t>http://id.who.int/icd/entity/209703670</x:t>
  </x:si>
  <x:si>
    <x:t>http://id.who.int/icd/release/11/beta/ichi/209703670</x:t>
  </x:si>
  <x:si>
    <x:t>UGQ.PH.ZZ</x:t>
  </x:si>
  <x:si>
    <x:t>- - - - Training about non-residential buildings</x:t>
  </x:si>
  <x:si>
    <x:t>http://id.who.int/icd/entity/490533506</x:t>
  </x:si>
  <x:si>
    <x:t>http://id.who.int/icd/release/11/beta/ichi/490533506</x:t>
  </x:si>
  <x:si>
    <x:t>UGQ.PM.ZZ</x:t>
  </x:si>
  <x:si>
    <x:t>- - - - Education about non-residential buildings</x:t>
  </x:si>
  <x:si>
    <x:t>http://id.who.int/icd/entity/418194928</x:t>
  </x:si>
  <x:si>
    <x:t>http://id.who.int/icd/release/11/beta/ichi/418194928</x:t>
  </x:si>
  <x:si>
    <x:t>UGQ.PN.ZZ</x:t>
  </x:si>
  <x:si>
    <x:t>- - - - Advising about non-residential buildings</x:t>
  </x:si>
  <x:si>
    <x:t>http://id.who.int/icd/entity/1217854559</x:t>
  </x:si>
  <x:si>
    <x:t>http://id.who.int/icd/release/11/beta/ichi/1217854559</x:t>
  </x:si>
  <x:si>
    <x:t>UGQ.RB.ZZ</x:t>
  </x:si>
  <x:si>
    <x:t>- - - - Practical support about non-residential buildings</x:t>
  </x:si>
  <x:si>
    <x:t>http://id.who.int/icd/entity/391425406</x:t>
  </x:si>
  <x:si>
    <x:t>http://id.who.int/icd/release/11/beta/ichi/391425406</x:t>
  </x:si>
  <x:si>
    <x:t>UGQ.RD.ZZ</x:t>
  </x:si>
  <x:si>
    <x:t>- - - - Providing goods in relation to non-residential buildings</x:t>
  </x:si>
  <x:si>
    <x:t>http://id.who.int/icd/entity/1017758190</x:t>
  </x:si>
  <x:si>
    <x:t>http://id.who.int/icd/release/11/beta/ichi/1017758190</x:t>
  </x:si>
  <x:si>
    <x:t>UGQ.RG.ZZ</x:t>
  </x:si>
  <x:si>
    <x:t>- - - - Providing services in relation to non-residential buildings</x:t>
  </x:si>
  <x:si>
    <x:t>http://id.who.int/icd/entity/127808716</x:t>
  </x:si>
  <x:si>
    <x:t>http://id.who.int/icd/release/11/beta/ichi/127808716</x:t>
  </x:si>
  <x:si>
    <x:t>UGQ.TA.ZZ</x:t>
  </x:si>
  <x:si>
    <x:t>- - - - Advocacy in relation to non-residential buildings</x:t>
  </x:si>
  <x:si>
    <x:t>http://id.who.int/icd/entity/1482450409</x:t>
  </x:si>
  <x:si>
    <x:t>http://id.who.int/icd/release/11/beta/ichi/1482450409</x:t>
  </x:si>
  <x:si>
    <x:t>UGQ.TB.ZZ</x:t>
  </x:si>
  <x:si>
    <x:t>- - - - Planning in relation to non-residential buildings</x:t>
  </x:si>
  <x:si>
    <x:t>http://id.who.int/icd/entity/136821850</x:t>
  </x:si>
  <x:si>
    <x:t>http://id.who.int/icd/release/11/beta/ichi/136821850</x:t>
  </x:si>
  <x:si>
    <x:t>UGQ.TD.ZZ</x:t>
  </x:si>
  <x:si>
    <x:t>- - - - Collaboration relating to non-residential buildings</x:t>
  </x:si>
  <x:si>
    <x:t>http://id.who.int/icd/entity/315044594</x:t>
  </x:si>
  <x:si>
    <x:t>http://id.who.int/icd/release/11/beta/ichi/315044594</x:t>
  </x:si>
  <x:si>
    <x:t>UGQ.TK.ZZ</x:t>
  </x:si>
  <x:si>
    <x:t>- - - - Public facilities or infrastructure development in relation to non-residential buildings</x:t>
  </x:si>
  <x:si>
    <x:t>http://id.who.int/icd/entity/960126562</x:t>
  </x:si>
  <x:si>
    <x:t>http://id.who.int/icd/release/11/beta/ichi/960126562</x:t>
  </x:si>
  <x:si>
    <x:t>UGQ.TM.ZZ</x:t>
  </x:si>
  <x:si>
    <x:t>- - - - Environment modification in relation to non-residential buildings</x:t>
  </x:si>
  <x:si>
    <x:t>http://id.who.int/icd/entity/679050774</x:t>
  </x:si>
  <x:si>
    <x:t>http://id.who.int/icd/release/11/beta/ichi/679050774</x:t>
  </x:si>
  <x:si>
    <x:t>UGQ.VA.ZZ</x:t>
  </x:si>
  <x:si>
    <x:t>- - - - Capacity building targeting non-residential buildings</x:t>
  </x:si>
  <x:si>
    <x:t>http://id.who.int/icd/entity/1650573095</x:t>
  </x:si>
  <x:si>
    <x:t>http://id.who.int/icd/release/11/beta/ichi/1650573095</x:t>
  </x:si>
  <x:si>
    <x:t>UGQ.VB.ZZ</x:t>
  </x:si>
  <x:si>
    <x:t>- - - - Awareness raising concerning non-residential buildings</x:t>
  </x:si>
  <x:si>
    <x:t>http://id.who.int/icd/entity/840591000</x:t>
  </x:si>
  <x:si>
    <x:t>http://id.who.int/icd/release/11/beta/ichi/840591000</x:t>
  </x:si>
  <x:si>
    <x:t>UGQ.VC.ZZ</x:t>
  </x:si>
  <x:si>
    <x:t>- - - - Public health surveillance concerning non-residential buildings</x:t>
  </x:si>
  <x:si>
    <x:t>http://id.who.int/icd/entity/1842886581</x:t>
  </x:si>
  <x:si>
    <x:t>http://id.who.int/icd/release/11/beta/ichi/1842886581</x:t>
  </x:si>
  <x:si>
    <x:t>UGQ.VF.ZZ</x:t>
  </x:si>
  <x:si>
    <x:t>- - - - Alert concerning non-residential buildings</x:t>
  </x:si>
  <x:si>
    <x:t>http://id.who.int/icd/entity/1072792115</x:t>
  </x:si>
  <x:si>
    <x:t>http://id.who.int/icd/release/11/beta/ichi/1072792115</x:t>
  </x:si>
  <x:si>
    <x:t>UGQ.VL.ZZ</x:t>
  </x:si>
  <x:si>
    <x:t>- - - - Environmental remediation in relation to non-residential buildings</x:t>
  </x:si>
  <x:si>
    <x:t>http://id.who.int/icd/entity/1871338370</x:t>
  </x:si>
  <x:si>
    <x:t>http://id.who.int/icd/release/11/beta/ichi/1871338370</x:t>
  </x:si>
  <x:si>
    <x:t>UGQ.VN.ZZ</x:t>
  </x:si>
  <x:si>
    <x:t>- - - - Establishing health services or health-related services in relation to non-residential buildings</x:t>
  </x:si>
  <x:si>
    <x:t>http://id.who.int/icd/entity/810027681</x:t>
  </x:si>
  <x:si>
    <x:t>http://id.who.int/icd/release/11/beta/ichi/810027681</x:t>
  </x:si>
  <x:si>
    <x:t>UGQ.VO.ZZ</x:t>
  </x:si>
  <x:si>
    <x:t>- - - - Marshalling health services or health-related services in relation to non-residential buildings</x:t>
  </x:si>
  <x:si>
    <x:t>http://id.who.int/icd/entity/464873009</x:t>
  </x:si>
  <x:si>
    <x:t>http://id.who.int/icd/release/11/beta/ichi/464873009</x:t>
  </x:si>
  <x:si>
    <x:t>UGQ.VP.ZZ</x:t>
  </x:si>
  <x:si>
    <x:t>- - - - Improving access to health services or health-related services in relation to non-residential buildings</x:t>
  </x:si>
  <x:si>
    <x:t>http://id.who.int/icd/entity/545428247</x:t>
  </x:si>
  <x:si>
    <x:t>http://id.who.int/icd/release/11/beta/ichi/545428247</x:t>
  </x:si>
  <x:si>
    <x:t>UGQ.VR.ZZ</x:t>
  </x:si>
  <x:si>
    <x:t>- - - - Reducing emissions from non-residential buildings</x:t>
  </x:si>
  <x:si>
    <x:t>http://id.who.int/icd/entity/2134950452</x:t>
  </x:si>
  <x:si>
    <x:t>http://id.who.int/icd/release/11/beta/ichi/2134950452</x:t>
  </x:si>
  <x:si>
    <x:t>UGQ.WC.ZZ</x:t>
  </x:si>
  <x:si>
    <x:t>- - - - Restrictions on the sale or distribution of products or services in relation to non-residential buildings</x:t>
  </x:si>
  <x:si>
    <x:t>http://id.who.int/icd/entity/792402821</x:t>
  </x:si>
  <x:si>
    <x:t>http://id.who.int/icd/release/11/beta/ichi/792402821</x:t>
  </x:si>
  <x:si>
    <x:t>UGQ.WD.ZZ</x:t>
  </x:si>
  <x:si>
    <x:t>- - - - Restrictions on advertising, promotion or sponsorship of products or services in relation to non-residential buildings</x:t>
  </x:si>
  <x:si>
    <x:t>http://id.who.int/icd/entity/903583023</x:t>
  </x:si>
  <x:si>
    <x:t>http://id.who.int/icd/release/11/beta/ichi/903583023</x:t>
  </x:si>
  <x:si>
    <x:t>UGQ.WE.ZZ</x:t>
  </x:si>
  <x:si>
    <x:t>- - - - Restrictions on production or importation of products or services in relation to non-residential buildings</x:t>
  </x:si>
  <x:si>
    <x:t>http://id.who.int/icd/entity/505870783</x:t>
  </x:si>
  <x:si>
    <x:t>http://id.who.int/icd/release/11/beta/ichi/505870783</x:t>
  </x:si>
  <x:si>
    <x:t>UGQ.WG.QF</x:t>
  </x:si>
  <x:si>
    <x:t>- - - - Economic incentives in relation to non-residential buildings</x:t>
  </x:si>
  <x:si>
    <x:t>http://id.who.int/icd/entity/258333129</x:t>
  </x:si>
  <x:si>
    <x:t>http://id.who.int/icd/release/11/beta/ichi/258333129</x:t>
  </x:si>
  <x:si>
    <x:t>UGQ.WG.ZZ</x:t>
  </x:si>
  <x:si>
    <x:t>- - - - Applying incentives in relation to non-residential buildings</x:t>
  </x:si>
  <x:si>
    <x:t>http://id.who.int/icd/entity/784950647</x:t>
  </x:si>
  <x:si>
    <x:t>http://id.who.int/icd/release/11/beta/ichi/784950647</x:t>
  </x:si>
  <x:si>
    <x:t>UGQ.WI.QD</x:t>
  </x:si>
  <x:si>
    <x:t>- - - - Restrictions through enactment of laws or standards in relation to non-residential buildings</x:t>
  </x:si>
  <x:si>
    <x:t>http://id.who.int/icd/entity/2125642952</x:t>
  </x:si>
  <x:si>
    <x:t>http://id.who.int/icd/release/11/beta/ichi/2125642952</x:t>
  </x:si>
  <x:si>
    <x:t>UGQ.WI.QE</x:t>
  </x:si>
  <x:si>
    <x:t>- - - - Restrictions through enforcement of laws or standards in relation to non-residential buildings</x:t>
  </x:si>
  <x:si>
    <x:t>http://id.who.int/icd/entity/561049061</x:t>
  </x:si>
  <x:si>
    <x:t>http://id.who.int/icd/release/11/beta/ichi/561049061</x:t>
  </x:si>
  <x:si>
    <x:t>UGQ.WI.ZZ</x:t>
  </x:si>
  <x:si>
    <x:t>- - - - Restrictions through laws or standards in relation to non-residential buildings, not elsewhere classified</x:t>
  </x:si>
  <x:si>
    <x:t>http://id.who.int/icd/entity/177045877</x:t>
  </x:si>
  <x:si>
    <x:t>http://id.who.int/icd/release/11/beta/ichi/177045877</x:t>
  </x:si>
  <x:si>
    <x:t>UGQ.WJ.ZZ</x:t>
  </x:si>
  <x:si>
    <x:t>- - - - Policy change in relation to non-residential buildings</x:t>
  </x:si>
  <x:si>
    <x:t>http://id.who.int/icd/entity/667183322</x:t>
  </x:si>
  <x:si>
    <x:t>http://id.who.int/icd/release/11/beta/ichi/667183322</x:t>
  </x:si>
  <x:si>
    <x:t>UGR.AA.ZZ</x:t>
  </x:si>
  <x:si>
    <x:t>- - - - Assessment of health effects of agriculture</x:t>
  </x:si>
  <x:si>
    <x:t>http://id.who.int/icd/entity/2013673979</x:t>
  </x:si>
  <x:si>
    <x:t>http://id.who.int/icd/release/11/beta/ichi/2013673979</x:t>
  </x:si>
  <x:si>
    <x:t>UGR.PH.ZZ</x:t>
  </x:si>
  <x:si>
    <x:t>- - - - Training about agriculture</x:t>
  </x:si>
  <x:si>
    <x:t>http://id.who.int/icd/entity/679338060</x:t>
  </x:si>
  <x:si>
    <x:t>http://id.who.int/icd/release/11/beta/ichi/679338060</x:t>
  </x:si>
  <x:si>
    <x:t>UGR.PM.ZZ</x:t>
  </x:si>
  <x:si>
    <x:t>- - - - Education about agriculture</x:t>
  </x:si>
  <x:si>
    <x:t>http://id.who.int/icd/entity/849178336</x:t>
  </x:si>
  <x:si>
    <x:t>http://id.who.int/icd/release/11/beta/ichi/849178336</x:t>
  </x:si>
  <x:si>
    <x:t>UGR.PN.ZZ</x:t>
  </x:si>
  <x:si>
    <x:t>- - - - Advising about agriculture</x:t>
  </x:si>
  <x:si>
    <x:t>http://id.who.int/icd/entity/425722480</x:t>
  </x:si>
  <x:si>
    <x:t>http://id.who.int/icd/release/11/beta/ichi/425722480</x:t>
  </x:si>
  <x:si>
    <x:t>UGR.RB.ZZ</x:t>
  </x:si>
  <x:si>
    <x:t>- - - - Practical support about agriculture</x:t>
  </x:si>
  <x:si>
    <x:t>http://id.who.int/icd/entity/136520200</x:t>
  </x:si>
  <x:si>
    <x:t>http://id.who.int/icd/release/11/beta/ichi/136520200</x:t>
  </x:si>
  <x:si>
    <x:t>UGR.RD.ZZ</x:t>
  </x:si>
  <x:si>
    <x:t>- - - - Providing goods in relation to agriculture</x:t>
  </x:si>
  <x:si>
    <x:t>http://id.who.int/icd/entity/1028648062</x:t>
  </x:si>
  <x:si>
    <x:t>http://id.who.int/icd/release/11/beta/ichi/1028648062</x:t>
  </x:si>
  <x:si>
    <x:t>UGR.RG.ZZ</x:t>
  </x:si>
  <x:si>
    <x:t>- - - - Providing services in relation to agriculture</x:t>
  </x:si>
  <x:si>
    <x:t>http://id.who.int/icd/entity/1832138189</x:t>
  </x:si>
  <x:si>
    <x:t>http://id.who.int/icd/release/11/beta/ichi/1832138189</x:t>
  </x:si>
  <x:si>
    <x:t>UGR.TA.ZZ</x:t>
  </x:si>
  <x:si>
    <x:t>- - - - Advocacy in relation to agriculture</x:t>
  </x:si>
  <x:si>
    <x:t>http://id.who.int/icd/entity/855008496</x:t>
  </x:si>
  <x:si>
    <x:t>http://id.who.int/icd/release/11/beta/ichi/855008496</x:t>
  </x:si>
  <x:si>
    <x:t>UGR.TB.ZZ</x:t>
  </x:si>
  <x:si>
    <x:t>- - - - Planning in relation to agriculture</x:t>
  </x:si>
  <x:si>
    <x:t>http://id.who.int/icd/entity/420153472</x:t>
  </x:si>
  <x:si>
    <x:t>http://id.who.int/icd/release/11/beta/ichi/420153472</x:t>
  </x:si>
  <x:si>
    <x:t>UGR.TD.ZZ</x:t>
  </x:si>
  <x:si>
    <x:t>- - - - Collaboration relating to agriculture</x:t>
  </x:si>
  <x:si>
    <x:t>http://id.who.int/icd/entity/574422362</x:t>
  </x:si>
  <x:si>
    <x:t>http://id.who.int/icd/release/11/beta/ichi/574422362</x:t>
  </x:si>
  <x:si>
    <x:t>UGR.TK.ZZ</x:t>
  </x:si>
  <x:si>
    <x:t>- - - - Public facilities or infrastructure development in relation to agriculture</x:t>
  </x:si>
  <x:si>
    <x:t>http://id.who.int/icd/entity/2113842299</x:t>
  </x:si>
  <x:si>
    <x:t>http://id.who.int/icd/release/11/beta/ichi/2113842299</x:t>
  </x:si>
  <x:si>
    <x:t>UGR.TM.ZZ</x:t>
  </x:si>
  <x:si>
    <x:t>- - - - Environment modification in relation to agriculture</x:t>
  </x:si>
  <x:si>
    <x:t>http://id.who.int/icd/entity/763721164</x:t>
  </x:si>
  <x:si>
    <x:t>http://id.who.int/icd/release/11/beta/ichi/763721164</x:t>
  </x:si>
  <x:si>
    <x:t>UGR.VA.ZZ</x:t>
  </x:si>
  <x:si>
    <x:t>- - - - Capacity building targeting agriculture</x:t>
  </x:si>
  <x:si>
    <x:t>http://id.who.int/icd/entity/676635302</x:t>
  </x:si>
  <x:si>
    <x:t>http://id.who.int/icd/release/11/beta/ichi/676635302</x:t>
  </x:si>
  <x:si>
    <x:t>UGR.VB.ZZ</x:t>
  </x:si>
  <x:si>
    <x:t>- - - - Awareness raising concerning agriculture</x:t>
  </x:si>
  <x:si>
    <x:t>http://id.who.int/icd/entity/61460022</x:t>
  </x:si>
  <x:si>
    <x:t>http://id.who.int/icd/release/11/beta/ichi/61460022</x:t>
  </x:si>
  <x:si>
    <x:t>UGR.VC.ZZ</x:t>
  </x:si>
  <x:si>
    <x:t>- - - - Public health surveillance concerning agriculture</x:t>
  </x:si>
  <x:si>
    <x:t>http://id.who.int/icd/entity/23436705</x:t>
  </x:si>
  <x:si>
    <x:t>http://id.who.int/icd/release/11/beta/ichi/23436705</x:t>
  </x:si>
  <x:si>
    <x:t>UGR.VF.ZZ</x:t>
  </x:si>
  <x:si>
    <x:t>- - - - Alert concerning agriculture</x:t>
  </x:si>
  <x:si>
    <x:t>http://id.who.int/icd/entity/1588055170</x:t>
  </x:si>
  <x:si>
    <x:t>http://id.who.int/icd/release/11/beta/ichi/1588055170</x:t>
  </x:si>
  <x:si>
    <x:t>UGR.VL.ZZ</x:t>
  </x:si>
  <x:si>
    <x:t>- - - - Environmental remediation in relation to agriculture</x:t>
  </x:si>
  <x:si>
    <x:t>http://id.who.int/icd/entity/1968873490</x:t>
  </x:si>
  <x:si>
    <x:t>http://id.who.int/icd/release/11/beta/ichi/1968873490</x:t>
  </x:si>
  <x:si>
    <x:t>UGR.VN.ZZ</x:t>
  </x:si>
  <x:si>
    <x:t>- - - - Establishing health services or health-related services in relation to agriculture</x:t>
  </x:si>
  <x:si>
    <x:t>http://id.who.int/icd/entity/1315788084</x:t>
  </x:si>
  <x:si>
    <x:t>http://id.who.int/icd/release/11/beta/ichi/1315788084</x:t>
  </x:si>
  <x:si>
    <x:t>UGR.VO.ZZ</x:t>
  </x:si>
  <x:si>
    <x:t>- - - - Marshalling health services or health-related services in relation to agriculture</x:t>
  </x:si>
  <x:si>
    <x:t>http://id.who.int/icd/entity/296682519</x:t>
  </x:si>
  <x:si>
    <x:t>http://id.who.int/icd/release/11/beta/ichi/296682519</x:t>
  </x:si>
  <x:si>
    <x:t>UGR.VP.ZZ</x:t>
  </x:si>
  <x:si>
    <x:t>- - - - Improving access to health services or health-related services in relation to agriculture</x:t>
  </x:si>
  <x:si>
    <x:t>http://id.who.int/icd/entity/1104469414</x:t>
  </x:si>
  <x:si>
    <x:t>http://id.who.int/icd/release/11/beta/ichi/1104469414</x:t>
  </x:si>
  <x:si>
    <x:t>UGR.VR.ZZ</x:t>
  </x:si>
  <x:si>
    <x:t>- - - - Reducing emissions from agriculture</x:t>
  </x:si>
  <x:si>
    <x:t>http://id.who.int/icd/entity/1141181128</x:t>
  </x:si>
  <x:si>
    <x:t>http://id.who.int/icd/release/11/beta/ichi/1141181128</x:t>
  </x:si>
  <x:si>
    <x:t>UGR.WC.ZZ</x:t>
  </x:si>
  <x:si>
    <x:t>- - - - Restrictions on the sale or distribution of products or services in relation to agriculture</x:t>
  </x:si>
  <x:si>
    <x:t>http://id.who.int/icd/entity/1878550104</x:t>
  </x:si>
  <x:si>
    <x:t>http://id.who.int/icd/release/11/beta/ichi/1878550104</x:t>
  </x:si>
  <x:si>
    <x:t>UGR.WD.ZZ</x:t>
  </x:si>
  <x:si>
    <x:t>- - - - Restrictions on advertising, promotion or sponsorship of products or services in relation to agriculture</x:t>
  </x:si>
  <x:si>
    <x:t>http://id.who.int/icd/entity/2126202416</x:t>
  </x:si>
  <x:si>
    <x:t>http://id.who.int/icd/release/11/beta/ichi/2126202416</x:t>
  </x:si>
  <x:si>
    <x:t>UGR.WE.ZZ</x:t>
  </x:si>
  <x:si>
    <x:t>- - - - Restrictions on production or importation of products or services in relation to agriculture</x:t>
  </x:si>
  <x:si>
    <x:t>http://id.who.int/icd/entity/185451101</x:t>
  </x:si>
  <x:si>
    <x:t>http://id.who.int/icd/release/11/beta/ichi/185451101</x:t>
  </x:si>
  <x:si>
    <x:t>UGR.WG.QF</x:t>
  </x:si>
  <x:si>
    <x:t>- - - - Economic incentives in relation to agriculture</x:t>
  </x:si>
  <x:si>
    <x:t>http://id.who.int/icd/entity/1534467052</x:t>
  </x:si>
  <x:si>
    <x:t>http://id.who.int/icd/release/11/beta/ichi/1534467052</x:t>
  </x:si>
  <x:si>
    <x:t>UGR.WG.ZZ</x:t>
  </x:si>
  <x:si>
    <x:t>- - - - Applying incentives in relation to agriculture</x:t>
  </x:si>
  <x:si>
    <x:t>http://id.who.int/icd/entity/78924495</x:t>
  </x:si>
  <x:si>
    <x:t>http://id.who.int/icd/release/11/beta/ichi/78924495</x:t>
  </x:si>
  <x:si>
    <x:t>UGR.WI.QD</x:t>
  </x:si>
  <x:si>
    <x:t>- - - - Restrictions through enactment of laws or standards in relation to agriculture</x:t>
  </x:si>
  <x:si>
    <x:t>http://id.who.int/icd/entity/793323103</x:t>
  </x:si>
  <x:si>
    <x:t>http://id.who.int/icd/release/11/beta/ichi/793323103</x:t>
  </x:si>
  <x:si>
    <x:t>UGR.WI.QE</x:t>
  </x:si>
  <x:si>
    <x:t>- - - - Restrictions through enforcement of laws or standards in relation to agriculture</x:t>
  </x:si>
  <x:si>
    <x:t>http://id.who.int/icd/entity/2066274720</x:t>
  </x:si>
  <x:si>
    <x:t>http://id.who.int/icd/release/11/beta/ichi/2066274720</x:t>
  </x:si>
  <x:si>
    <x:t>UGR.WI.ZZ</x:t>
  </x:si>
  <x:si>
    <x:t>- - - - Restrictions through laws or standards in relation to agriculture, not elsewhere classified</x:t>
  </x:si>
  <x:si>
    <x:t>http://id.who.int/icd/entity/619350147</x:t>
  </x:si>
  <x:si>
    <x:t>http://id.who.int/icd/release/11/beta/ichi/619350147</x:t>
  </x:si>
  <x:si>
    <x:t>UGR.WJ.ZZ</x:t>
  </x:si>
  <x:si>
    <x:t>- - - - Policy change in relation to agriculture</x:t>
  </x:si>
  <x:si>
    <x:t>http://id.who.int/icd/entity/1504764247</x:t>
  </x:si>
  <x:si>
    <x:t>http://id.who.int/icd/release/11/beta/ichi/1504764247</x:t>
  </x:si>
  <x:si>
    <x:t>UGS.AA.ZZ</x:t>
  </x:si>
  <x:si>
    <x:t>- - - - Assessment of health effects of wastes or scraps</x:t>
  </x:si>
  <x:si>
    <x:t>http://id.who.int/icd/entity/555252085</x:t>
  </x:si>
  <x:si>
    <x:t>http://id.who.int/icd/release/11/beta/ichi/555252085</x:t>
  </x:si>
  <x:si>
    <x:t>UGS.PH.ZZ</x:t>
  </x:si>
  <x:si>
    <x:t>- - - - Training about wastes or scraps</x:t>
  </x:si>
  <x:si>
    <x:t>http://id.who.int/icd/entity/1006172127</x:t>
  </x:si>
  <x:si>
    <x:t>http://id.who.int/icd/release/11/beta/ichi/1006172127</x:t>
  </x:si>
  <x:si>
    <x:t>UGS.PM.ZZ</x:t>
  </x:si>
  <x:si>
    <x:t>- - - - Education about wastes or scraps</x:t>
  </x:si>
  <x:si>
    <x:t>http://id.who.int/icd/entity/1803759214</x:t>
  </x:si>
  <x:si>
    <x:t>http://id.who.int/icd/release/11/beta/ichi/1803759214</x:t>
  </x:si>
  <x:si>
    <x:t>UGS.PN.ZZ</x:t>
  </x:si>
  <x:si>
    <x:t>- - - - Advising about wastes or scraps</x:t>
  </x:si>
  <x:si>
    <x:t>http://id.who.int/icd/entity/876707661</x:t>
  </x:si>
  <x:si>
    <x:t>http://id.who.int/icd/release/11/beta/ichi/876707661</x:t>
  </x:si>
  <x:si>
    <x:t>UGS.RB.ZZ</x:t>
  </x:si>
  <x:si>
    <x:t>- - - - Practical support about wastes or scraps</x:t>
  </x:si>
  <x:si>
    <x:t>http://id.who.int/icd/entity/532419549</x:t>
  </x:si>
  <x:si>
    <x:t>http://id.who.int/icd/release/11/beta/ichi/532419549</x:t>
  </x:si>
  <x:si>
    <x:t>UGS.RD.ZZ</x:t>
  </x:si>
  <x:si>
    <x:t>- - - - Providing goods in relation to wastes or scraps</x:t>
  </x:si>
  <x:si>
    <x:t>http://id.who.int/icd/entity/1736702569</x:t>
  </x:si>
  <x:si>
    <x:t>http://id.who.int/icd/release/11/beta/ichi/1736702569</x:t>
  </x:si>
  <x:si>
    <x:t>UGS.RG.ZZ</x:t>
  </x:si>
  <x:si>
    <x:t>- - - - Providing services in relation to wastes or scraps</x:t>
  </x:si>
  <x:si>
    <x:t>http://id.who.int/icd/entity/1223934241</x:t>
  </x:si>
  <x:si>
    <x:t>http://id.who.int/icd/release/11/beta/ichi/1223934241</x:t>
  </x:si>
  <x:si>
    <x:t>UGS.TA.ZZ</x:t>
  </x:si>
  <x:si>
    <x:t>- - - - Advocacy in relation to wastes or scraps</x:t>
  </x:si>
  <x:si>
    <x:t>http://id.who.int/icd/entity/943827788</x:t>
  </x:si>
  <x:si>
    <x:t>http://id.who.int/icd/release/11/beta/ichi/943827788</x:t>
  </x:si>
  <x:si>
    <x:t>UGS.TB.ZZ</x:t>
  </x:si>
  <x:si>
    <x:t>- - - - Planning in relation to wastes or scraps</x:t>
  </x:si>
  <x:si>
    <x:t>http://id.who.int/icd/entity/1748660987</x:t>
  </x:si>
  <x:si>
    <x:t>http://id.who.int/icd/release/11/beta/ichi/1748660987</x:t>
  </x:si>
  <x:si>
    <x:t>UGS.TD.ZZ</x:t>
  </x:si>
  <x:si>
    <x:t>- - - - Collaboration relating to wastes or scraps</x:t>
  </x:si>
  <x:si>
    <x:t>http://id.who.int/icd/entity/495777416</x:t>
  </x:si>
  <x:si>
    <x:t>http://id.who.int/icd/release/11/beta/ichi/495777416</x:t>
  </x:si>
  <x:si>
    <x:t>UGS.TK.ZZ</x:t>
  </x:si>
  <x:si>
    <x:t>- - - - Public facilities or infrastructure development in relation to wastes or scraps</x:t>
  </x:si>
  <x:si>
    <x:t>http://id.who.int/icd/entity/913414680</x:t>
  </x:si>
  <x:si>
    <x:t>http://id.who.int/icd/release/11/beta/ichi/913414680</x:t>
  </x:si>
  <x:si>
    <x:t>UGS.TM.ZZ</x:t>
  </x:si>
  <x:si>
    <x:t>- - - - Environment modification in relation to wastes or scraps</x:t>
  </x:si>
  <x:si>
    <x:t>http://id.who.int/icd/entity/657635952</x:t>
  </x:si>
  <x:si>
    <x:t>http://id.who.int/icd/release/11/beta/ichi/657635952</x:t>
  </x:si>
  <x:si>
    <x:t>UGS.VA.ZZ</x:t>
  </x:si>
  <x:si>
    <x:t>- - - - Capacity building targeting wastes or scraps</x:t>
  </x:si>
  <x:si>
    <x:t>http://id.who.int/icd/entity/585329922</x:t>
  </x:si>
  <x:si>
    <x:t>http://id.who.int/icd/release/11/beta/ichi/585329922</x:t>
  </x:si>
  <x:si>
    <x:t>UGS.VB.ZZ</x:t>
  </x:si>
  <x:si>
    <x:t>- - - - Awareness raising concerning wastes or scraps</x:t>
  </x:si>
  <x:si>
    <x:t>http://id.who.int/icd/entity/1922610353</x:t>
  </x:si>
  <x:si>
    <x:t>http://id.who.int/icd/release/11/beta/ichi/1922610353</x:t>
  </x:si>
  <x:si>
    <x:t>UGS.VC.ZZ</x:t>
  </x:si>
  <x:si>
    <x:t>- - - - Public health surveillance concerning wastes or scraps</x:t>
  </x:si>
  <x:si>
    <x:t>http://id.who.int/icd/entity/760931732</x:t>
  </x:si>
  <x:si>
    <x:t>http://id.who.int/icd/release/11/beta/ichi/760931732</x:t>
  </x:si>
  <x:si>
    <x:t>UGS.VF.ZZ</x:t>
  </x:si>
  <x:si>
    <x:t>- - - - Alert concerning wastes or scraps</x:t>
  </x:si>
  <x:si>
    <x:t>http://id.who.int/icd/entity/2107576155</x:t>
  </x:si>
  <x:si>
    <x:t>http://id.who.int/icd/release/11/beta/ichi/2107576155</x:t>
  </x:si>
  <x:si>
    <x:t>UGS.VL.ZZ</x:t>
  </x:si>
  <x:si>
    <x:t>- - - - Environmental remediation in relation to wastes or scraps</x:t>
  </x:si>
  <x:si>
    <x:t>http://id.who.int/icd/entity/111642884</x:t>
  </x:si>
  <x:si>
    <x:t>http://id.who.int/icd/release/11/beta/ichi/111642884</x:t>
  </x:si>
  <x:si>
    <x:t>UGS.VN.ZZ</x:t>
  </x:si>
  <x:si>
    <x:t>- - - - Establishing health services or health-related services in relation to wastes or scraps</x:t>
  </x:si>
  <x:si>
    <x:t>http://id.who.int/icd/entity/1032879142</x:t>
  </x:si>
  <x:si>
    <x:t>http://id.who.int/icd/release/11/beta/ichi/1032879142</x:t>
  </x:si>
  <x:si>
    <x:t>UGS.VO.ZZ</x:t>
  </x:si>
  <x:si>
    <x:t>- - - - Marshalling health services or health-related services in relation to wastes or scraps</x:t>
  </x:si>
  <x:si>
    <x:t>http://id.who.int/icd/entity/1649552647</x:t>
  </x:si>
  <x:si>
    <x:t>http://id.who.int/icd/release/11/beta/ichi/1649552647</x:t>
  </x:si>
  <x:si>
    <x:t>UGS.VP.ZZ</x:t>
  </x:si>
  <x:si>
    <x:t>- - - - Improving access to health services or health-related services in relation to wastes or scraps</x:t>
  </x:si>
  <x:si>
    <x:t>http://id.who.int/icd/entity/841610424</x:t>
  </x:si>
  <x:si>
    <x:t>http://id.who.int/icd/release/11/beta/ichi/841610424</x:t>
  </x:si>
  <x:si>
    <x:t>UGS.VR.ZZ</x:t>
  </x:si>
  <x:si>
    <x:t>- - - - Reducing emissions from wastes or scraps</x:t>
  </x:si>
  <x:si>
    <x:t>http://id.who.int/icd/entity/684292636</x:t>
  </x:si>
  <x:si>
    <x:t>http://id.who.int/icd/release/11/beta/ichi/684292636</x:t>
  </x:si>
  <x:si>
    <x:t>UGS.WC.ZZ</x:t>
  </x:si>
  <x:si>
    <x:t>- - - - Restrictions on the sale or distribution of products or services in relation to wastes or scraps</x:t>
  </x:si>
  <x:si>
    <x:t>http://id.who.int/icd/entity/53745292</x:t>
  </x:si>
  <x:si>
    <x:t>http://id.who.int/icd/release/11/beta/ichi/53745292</x:t>
  </x:si>
  <x:si>
    <x:t>UGS.WD.ZZ</x:t>
  </x:si>
  <x:si>
    <x:t>- - - - Restrictions on advertising, promotion or sponsorship of products or services in relation to wastes or scraps</x:t>
  </x:si>
  <x:si>
    <x:t>http://id.who.int/icd/entity/769971948</x:t>
  </x:si>
  <x:si>
    <x:t>http://id.who.int/icd/release/11/beta/ichi/769971948</x:t>
  </x:si>
  <x:si>
    <x:t>UGS.WE.ZZ</x:t>
  </x:si>
  <x:si>
    <x:t>- - - - Restrictions on production or importation of products or services in relation to wastes or scraps</x:t>
  </x:si>
  <x:si>
    <x:t>http://id.who.int/icd/entity/309802748</x:t>
  </x:si>
  <x:si>
    <x:t>http://id.who.int/icd/release/11/beta/ichi/309802748</x:t>
  </x:si>
  <x:si>
    <x:t>UGS.WG.QF</x:t>
  </x:si>
  <x:si>
    <x:t>- - - - Economic incentives in relation to wastes or scraps</x:t>
  </x:si>
  <x:si>
    <x:t>http://id.who.int/icd/entity/2002788657</x:t>
  </x:si>
  <x:si>
    <x:t>http://id.who.int/icd/release/11/beta/ichi/2002788657</x:t>
  </x:si>
  <x:si>
    <x:t>UGS.WG.ZZ</x:t>
  </x:si>
  <x:si>
    <x:t>- - - - Applying incentives in relation to wastes or scraps</x:t>
  </x:si>
  <x:si>
    <x:t>http://id.who.int/icd/entity/56564868</x:t>
  </x:si>
  <x:si>
    <x:t>http://id.who.int/icd/release/11/beta/ichi/56564868</x:t>
  </x:si>
  <x:si>
    <x:t>UGS.WI.QD</x:t>
  </x:si>
  <x:si>
    <x:t>- - - - Restrictions through enactment of laws or standards in relation to wastes or scraps</x:t>
  </x:si>
  <x:si>
    <x:t>http://id.who.int/icd/entity/1739241607</x:t>
  </x:si>
  <x:si>
    <x:t>http://id.who.int/icd/release/11/beta/ichi/1739241607</x:t>
  </x:si>
  <x:si>
    <x:t>UGS.WI.QE</x:t>
  </x:si>
  <x:si>
    <x:t>- - - - Restrictions through enforcement of laws or standards in relation to wastes or scraps</x:t>
  </x:si>
  <x:si>
    <x:t>http://id.who.int/icd/entity/1915127753</x:t>
  </x:si>
  <x:si>
    <x:t>http://id.who.int/icd/release/11/beta/ichi/1915127753</x:t>
  </x:si>
  <x:si>
    <x:t>UGS.WI.ZZ</x:t>
  </x:si>
  <x:si>
    <x:t>- - - - Restrictions through laws or standards in relation to wastes or scraps, not elsewhere classified</x:t>
  </x:si>
  <x:si>
    <x:t>http://id.who.int/icd/entity/936468792</x:t>
  </x:si>
  <x:si>
    <x:t>http://id.who.int/icd/release/11/beta/ichi/936468792</x:t>
  </x:si>
  <x:si>
    <x:t>UGS.WJ.ZZ</x:t>
  </x:si>
  <x:si>
    <x:t>- - - - Policy change in relation to wastes or scraps</x:t>
  </x:si>
  <x:si>
    <x:t>http://id.who.int/icd/entity/656144514</x:t>
  </x:si>
  <x:si>
    <x:t>http://id.who.int/icd/release/11/beta/ichi/656144514</x:t>
  </x:si>
  <x:si>
    <x:t>UGT.AA.ZZ</x:t>
  </x:si>
  <x:si>
    <x:t>- - - - Assessment of health effects of electronic products</x:t>
  </x:si>
  <x:si>
    <x:t>http://id.who.int/icd/entity/681734164</x:t>
  </x:si>
  <x:si>
    <x:t>http://id.who.int/icd/release/11/beta/ichi/681734164</x:t>
  </x:si>
  <x:si>
    <x:t>UGT.PH.ZZ</x:t>
  </x:si>
  <x:si>
    <x:t>- - - - Training about electronic products</x:t>
  </x:si>
  <x:si>
    <x:t>http://id.who.int/icd/entity/946399654</x:t>
  </x:si>
  <x:si>
    <x:t>http://id.who.int/icd/release/11/beta/ichi/946399654</x:t>
  </x:si>
  <x:si>
    <x:t>UGT.PM.ZZ</x:t>
  </x:si>
  <x:si>
    <x:t>- - - - Education about electronic products</x:t>
  </x:si>
  <x:si>
    <x:t>http://id.who.int/icd/entity/838907482</x:t>
  </x:si>
  <x:si>
    <x:t>http://id.who.int/icd/release/11/beta/ichi/838907482</x:t>
  </x:si>
  <x:si>
    <x:t>UGT.PN.ZZ</x:t>
  </x:si>
  <x:si>
    <x:t>- - - - Advising about electronic products</x:t>
  </x:si>
  <x:si>
    <x:t>http://id.who.int/icd/entity/436067018</x:t>
  </x:si>
  <x:si>
    <x:t>http://id.who.int/icd/release/11/beta/ichi/436067018</x:t>
  </x:si>
  <x:si>
    <x:t>UGT.RB.ZZ</x:t>
  </x:si>
  <x:si>
    <x:t>- - - - Practical support about electronic products</x:t>
  </x:si>
  <x:si>
    <x:t>http://id.who.int/icd/entity/146733758</x:t>
  </x:si>
  <x:si>
    <x:t>http://id.who.int/icd/release/11/beta/ichi/146733758</x:t>
  </x:si>
  <x:si>
    <x:t>UGT.RD.ZZ</x:t>
  </x:si>
  <x:si>
    <x:t>- - - - Providing goods in relation to electronic products</x:t>
  </x:si>
  <x:si>
    <x:t>http://id.who.int/icd/entity/2097708749</x:t>
  </x:si>
  <x:si>
    <x:t>http://id.who.int/icd/release/11/beta/ichi/2097708749</x:t>
  </x:si>
  <x:si>
    <x:t>UGT.RG.ZZ</x:t>
  </x:si>
  <x:si>
    <x:t>- - - - Providing services in relation to electronic products</x:t>
  </x:si>
  <x:si>
    <x:t>http://id.who.int/icd/entity/762554238</x:t>
  </x:si>
  <x:si>
    <x:t>http://id.who.int/icd/release/11/beta/ichi/762554238</x:t>
  </x:si>
  <x:si>
    <x:t>UGT.TA.ZZ</x:t>
  </x:si>
  <x:si>
    <x:t>- - - - Advocacy in relation to electronic products</x:t>
  </x:si>
  <x:si>
    <x:t>http://id.who.int/icd/entity/1924265567</x:t>
  </x:si>
  <x:si>
    <x:t>http://id.who.int/icd/release/11/beta/ichi/1924265567</x:t>
  </x:si>
  <x:si>
    <x:t>UGT.TB.ZZ</x:t>
  </x:si>
  <x:si>
    <x:t>- - - - Planning in relation to electronic products</x:t>
  </x:si>
  <x:si>
    <x:t>http://id.who.int/icd/entity/1498192591</x:t>
  </x:si>
  <x:si>
    <x:t>http://id.who.int/icd/release/11/beta/ichi/1498192591</x:t>
  </x:si>
  <x:si>
    <x:t>UGT.TD.ZZ</x:t>
  </x:si>
  <x:si>
    <x:t>- - - - Collaboration relating to electronic products</x:t>
  </x:si>
  <x:si>
    <x:t>http://id.who.int/icd/entity/221078834</x:t>
  </x:si>
  <x:si>
    <x:t>http://id.who.int/icd/release/11/beta/ichi/221078834</x:t>
  </x:si>
  <x:si>
    <x:t>UGT.TK.ZZ</x:t>
  </x:si>
  <x:si>
    <x:t>- - - - Public facilities or infrastructure development in relation to electronic products</x:t>
  </x:si>
  <x:si>
    <x:t>http://id.who.int/icd/entity/1391408147</x:t>
  </x:si>
  <x:si>
    <x:t>http://id.who.int/icd/release/11/beta/ichi/1391408147</x:t>
  </x:si>
  <x:si>
    <x:t>UGT.TM.ZZ</x:t>
  </x:si>
  <x:si>
    <x:t>- - - - Environment modification in relation to electronic products</x:t>
  </x:si>
  <x:si>
    <x:t>http://id.who.int/icd/entity/43314596</x:t>
  </x:si>
  <x:si>
    <x:t>http://id.who.int/icd/release/11/beta/ichi/43314596</x:t>
  </x:si>
  <x:si>
    <x:t>UGT.VA.ZZ</x:t>
  </x:si>
  <x:si>
    <x:t>- - - - Capacity building targeting electronic products</x:t>
  </x:si>
  <x:si>
    <x:t>http://id.who.int/icd/entity/1693647361</x:t>
  </x:si>
  <x:si>
    <x:t>http://id.who.int/icd/release/11/beta/ichi/1693647361</x:t>
  </x:si>
  <x:si>
    <x:t>UGT.VB.ZZ</x:t>
  </x:si>
  <x:si>
    <x:t>- - - - Awareness raising concerning electronic products</x:t>
  </x:si>
  <x:si>
    <x:t>http://id.who.int/icd/entity/1326345873</x:t>
  </x:si>
  <x:si>
    <x:t>http://id.who.int/icd/release/11/beta/ichi/1326345873</x:t>
  </x:si>
  <x:si>
    <x:t>UGT.VC.ZZ</x:t>
  </x:si>
  <x:si>
    <x:t>- - - - Public health surveillance concerning electronic products</x:t>
  </x:si>
  <x:si>
    <x:t>http://id.who.int/icd/entity/993088292</x:t>
  </x:si>
  <x:si>
    <x:t>http://id.who.int/icd/release/11/beta/ichi/993088292</x:t>
  </x:si>
  <x:si>
    <x:t>UGT.VF.ZZ</x:t>
  </x:si>
  <x:si>
    <x:t>- - - - Alert concerning electronic products</x:t>
  </x:si>
  <x:si>
    <x:t>http://id.who.int/icd/entity/1317525329</x:t>
  </x:si>
  <x:si>
    <x:t>http://id.who.int/icd/release/11/beta/ichi/1317525329</x:t>
  </x:si>
  <x:si>
    <x:t>UGT.VL.ZZ</x:t>
  </x:si>
  <x:si>
    <x:t>- - - - Environmental remediation in relation to electronic products</x:t>
  </x:si>
  <x:si>
    <x:t>http://id.who.int/icd/entity/1702542273</x:t>
  </x:si>
  <x:si>
    <x:t>http://id.who.int/icd/release/11/beta/ichi/1702542273</x:t>
  </x:si>
  <x:si>
    <x:t>UGT.VN.ZZ</x:t>
  </x:si>
  <x:si>
    <x:t>- - - - Establishing health services or health-related services in relation to electronic products</x:t>
  </x:si>
  <x:si>
    <x:t>http://id.who.int/icd/entity/1949932471</x:t>
  </x:si>
  <x:si>
    <x:t>http://id.who.int/icd/release/11/beta/ichi/1949932471</x:t>
  </x:si>
  <x:si>
    <x:t>UGT.VO.ZZ</x:t>
  </x:si>
  <x:si>
    <x:t>- - - - Marshalling health services or health-related services in relation to electronic products</x:t>
  </x:si>
  <x:si>
    <x:t>http://id.who.int/icd/entity/1911049433</x:t>
  </x:si>
  <x:si>
    <x:t>http://id.who.int/icd/release/11/beta/ichi/1911049433</x:t>
  </x:si>
  <x:si>
    <x:t>UGT.VP.ZZ</x:t>
  </x:si>
  <x:si>
    <x:t>- - - - Improving access to health services or health-related services in relation to electronic products</x:t>
  </x:si>
  <x:si>
    <x:t>http://id.who.int/icd/entity/563320170</x:t>
  </x:si>
  <x:si>
    <x:t>http://id.who.int/icd/release/11/beta/ichi/563320170</x:t>
  </x:si>
  <x:si>
    <x:t>UGT.VR.ZZ</x:t>
  </x:si>
  <x:si>
    <x:t>- - - - Reducing emissions from electronic products</x:t>
  </x:si>
  <x:si>
    <x:t>http://id.who.int/icd/entity/2119287883</x:t>
  </x:si>
  <x:si>
    <x:t>http://id.who.int/icd/release/11/beta/ichi/2119287883</x:t>
  </x:si>
  <x:si>
    <x:t>UGT.WC.ZZ</x:t>
  </x:si>
  <x:si>
    <x:t>- - - - Restrictions on the sale or distribution of products or services in relation to electronic products</x:t>
  </x:si>
  <x:si>
    <x:t>http://id.who.int/icd/entity/1437378779</x:t>
  </x:si>
  <x:si>
    <x:t>http://id.who.int/icd/release/11/beta/ichi/1437378779</x:t>
  </x:si>
  <x:si>
    <x:t>UGT.WD.ZZ</x:t>
  </x:si>
  <x:si>
    <x:t>- - - - Restrictions on advertising, promotion or sponsorship of products or services in relation to electronic products</x:t>
  </x:si>
  <x:si>
    <x:t>http://id.who.int/icd/entity/1855675901</x:t>
  </x:si>
  <x:si>
    <x:t>http://id.who.int/icd/release/11/beta/ichi/1855675901</x:t>
  </x:si>
  <x:si>
    <x:t>UGT.WE.ZZ</x:t>
  </x:si>
  <x:si>
    <x:t>- - - - Restrictions on production or importation of products or services in relation to electronic products</x:t>
  </x:si>
  <x:si>
    <x:t>http://id.who.int/icd/entity/827919584</x:t>
  </x:si>
  <x:si>
    <x:t>http://id.who.int/icd/release/11/beta/ichi/827919584</x:t>
  </x:si>
  <x:si>
    <x:t>UGT.WG.QF</x:t>
  </x:si>
  <x:si>
    <x:t>- - - - Economic incentives in relation to electronic products</x:t>
  </x:si>
  <x:si>
    <x:t>http://id.who.int/icd/entity/1629672815</x:t>
  </x:si>
  <x:si>
    <x:t>http://id.who.int/icd/release/11/beta/ichi/1629672815</x:t>
  </x:si>
  <x:si>
    <x:t>UGT.WG.ZZ</x:t>
  </x:si>
  <x:si>
    <x:t>- - - - Applying incentives in relation to electronic products</x:t>
  </x:si>
  <x:si>
    <x:t>http://id.who.int/icd/entity/2076335045</x:t>
  </x:si>
  <x:si>
    <x:t>http://id.who.int/icd/release/11/beta/ichi/2076335045</x:t>
  </x:si>
  <x:si>
    <x:t>UGT.WI.QD</x:t>
  </x:si>
  <x:si>
    <x:t>- - - - Restrictions through enactment of laws or standards in relation to electronic products</x:t>
  </x:si>
  <x:si>
    <x:t>http://id.who.int/icd/entity/1346320213</x:t>
  </x:si>
  <x:si>
    <x:t>http://id.who.int/icd/release/11/beta/ichi/1346320213</x:t>
  </x:si>
  <x:si>
    <x:t>UGT.WI.QE</x:t>
  </x:si>
  <x:si>
    <x:t>- - - - Restrictions through enforcement of laws or standards in relation to electronic products</x:t>
  </x:si>
  <x:si>
    <x:t>http://id.who.int/icd/entity/1098651427</x:t>
  </x:si>
  <x:si>
    <x:t>http://id.who.int/icd/release/11/beta/ichi/1098651427</x:t>
  </x:si>
  <x:si>
    <x:t>UGT.WI.ZZ</x:t>
  </x:si>
  <x:si>
    <x:t>- - - - Restrictions through laws or standards in relation to electronic products, not elsewhere classified</x:t>
  </x:si>
  <x:si>
    <x:t>http://id.who.int/icd/entity/1947261273</x:t>
  </x:si>
  <x:si>
    <x:t>http://id.who.int/icd/release/11/beta/ichi/1947261273</x:t>
  </x:si>
  <x:si>
    <x:t>UGT.WJ.ZZ</x:t>
  </x:si>
  <x:si>
    <x:t>- - - - Policy change in relation to electronic products</x:t>
  </x:si>
  <x:si>
    <x:t>http://id.who.int/icd/entity/982624268</x:t>
  </x:si>
  <x:si>
    <x:t>http://id.who.int/icd/release/11/beta/ichi/982624268</x:t>
  </x:si>
  <x:si>
    <x:t>UGU.AA.ZZ</x:t>
  </x:si>
  <x:si>
    <x:t>- - - - Assessment of health effects of motor vehicles</x:t>
  </x:si>
  <x:si>
    <x:t>http://id.who.int/icd/entity/735217788</x:t>
  </x:si>
  <x:si>
    <x:t>http://id.who.int/icd/release/11/beta/ichi/735217788</x:t>
  </x:si>
  <x:si>
    <x:t>UGU.PH.ZZ</x:t>
  </x:si>
  <x:si>
    <x:t>- - - - Training about motor vehicles</x:t>
  </x:si>
  <x:si>
    <x:t>http://id.who.int/icd/entity/1583614985</x:t>
  </x:si>
  <x:si>
    <x:t>http://id.who.int/icd/release/11/beta/ichi/1583614985</x:t>
  </x:si>
  <x:si>
    <x:t>UGU.PM.ZZ</x:t>
  </x:si>
  <x:si>
    <x:t>- - - - Education about motor vehicles</x:t>
  </x:si>
  <x:si>
    <x:t>http://id.who.int/icd/entity/236967352</x:t>
  </x:si>
  <x:si>
    <x:t>http://id.who.int/icd/release/11/beta/ichi/236967352</x:t>
  </x:si>
  <x:si>
    <x:t>UGU.PN.ZZ</x:t>
  </x:si>
  <x:si>
    <x:t>- - - - Advising about motor vehicles</x:t>
  </x:si>
  <x:si>
    <x:t>http://id.who.int/icd/entity/1373471899</x:t>
  </x:si>
  <x:si>
    <x:t>http://id.who.int/icd/release/11/beta/ichi/1373471899</x:t>
  </x:si>
  <x:si>
    <x:t>UGU.RB.ZZ</x:t>
  </x:si>
  <x:si>
    <x:t>- - - - Practical support about motor vehicles</x:t>
  </x:si>
  <x:si>
    <x:t>http://id.who.int/icd/entity/2048976907</x:t>
  </x:si>
  <x:si>
    <x:t>http://id.who.int/icd/release/11/beta/ichi/2048976907</x:t>
  </x:si>
  <x:si>
    <x:t>UGU.RD.ZZ</x:t>
  </x:si>
  <x:si>
    <x:t>- - - - Providing goods in relation to motor vehicles</x:t>
  </x:si>
  <x:si>
    <x:t>http://id.who.int/icd/entity/829443634</x:t>
  </x:si>
  <x:si>
    <x:t>http://id.who.int/icd/release/11/beta/ichi/829443634</x:t>
  </x:si>
  <x:si>
    <x:t>UGU.RG.ZZ</x:t>
  </x:si>
  <x:si>
    <x:t>- - - - Providing services in relation to motor vehicles</x:t>
  </x:si>
  <x:si>
    <x:t>http://id.who.int/icd/entity/1857167123</x:t>
  </x:si>
  <x:si>
    <x:t>http://id.who.int/icd/release/11/beta/ichi/1857167123</x:t>
  </x:si>
  <x:si>
    <x:t>UGU.TA.ZZ</x:t>
  </x:si>
  <x:si>
    <x:t>- - - - Advocacy in relation to motor vehicles</x:t>
  </x:si>
  <x:si>
    <x:t>http://id.who.int/icd/entity/1053410980</x:t>
  </x:si>
  <x:si>
    <x:t>http://id.who.int/icd/release/11/beta/ichi/1053410980</x:t>
  </x:si>
  <x:si>
    <x:t>UGU.TB.ZZ</x:t>
  </x:si>
  <x:si>
    <x:t>- - - - Planning in relation to motor vehicles</x:t>
  </x:si>
  <x:si>
    <x:t>http://id.who.int/icd/entity/1266631377</x:t>
  </x:si>
  <x:si>
    <x:t>http://id.who.int/icd/release/11/beta/ichi/1266631377</x:t>
  </x:si>
  <x:si>
    <x:t>UGU.TD.ZZ</x:t>
  </x:si>
  <x:si>
    <x:t>- - - - Collaboration relating to motor vehicles</x:t>
  </x:si>
  <x:si>
    <x:t>http://id.who.int/icd/entity/1619144257</x:t>
  </x:si>
  <x:si>
    <x:t>http://id.who.int/icd/release/11/beta/ichi/1619144257</x:t>
  </x:si>
  <x:si>
    <x:t>UGU.TK.ZZ</x:t>
  </x:si>
  <x:si>
    <x:t>- - - - Public facilities or infrastructure development in relation to motor vehicles</x:t>
  </x:si>
  <x:si>
    <x:t>http://id.who.int/icd/entity/1908477495</x:t>
  </x:si>
  <x:si>
    <x:t>http://id.who.int/icd/release/11/beta/ichi/1908477495</x:t>
  </x:si>
  <x:si>
    <x:t>UGU.TM.ZZ</x:t>
  </x:si>
  <x:si>
    <x:t>- - - - Environment modification in relation to motor vehicles</x:t>
  </x:si>
  <x:si>
    <x:t>http://id.who.int/icd/entity/1797357725</x:t>
  </x:si>
  <x:si>
    <x:t>http://id.who.int/icd/release/11/beta/ichi/1797357725</x:t>
  </x:si>
  <x:si>
    <x:t>UGU.VA.ZZ</x:t>
  </x:si>
  <x:si>
    <x:t>- - - - Capacity building targeting motor vehicles</x:t>
  </x:si>
  <x:si>
    <x:t>http://id.who.int/icd/entity/995776812</x:t>
  </x:si>
  <x:si>
    <x:t>http://id.who.int/icd/release/11/beta/ichi/995776812</x:t>
  </x:si>
  <x:si>
    <x:t>UGU.VB.ZZ</x:t>
  </x:si>
  <x:si>
    <x:t>- - - - Awareness raising concerning motor vehicles</x:t>
  </x:si>
  <x:si>
    <x:t>http://id.who.int/icd/entity/1687685135</x:t>
  </x:si>
  <x:si>
    <x:t>http://id.who.int/icd/release/11/beta/ichi/1687685135</x:t>
  </x:si>
  <x:si>
    <x:t>UGU.VC.ZZ</x:t>
  </x:si>
  <x:si>
    <x:t>- - - - Public health surveillance concerning motor vehicles</x:t>
  </x:si>
  <x:si>
    <x:t>http://id.who.int/icd/entity/1332044959</x:t>
  </x:si>
  <x:si>
    <x:t>http://id.who.int/icd/release/11/beta/ichi/1332044959</x:t>
  </x:si>
  <x:si>
    <x:t>UGU.VF.ZZ</x:t>
  </x:si>
  <x:si>
    <x:t>- - - - Alert concerning motor vehicles</x:t>
  </x:si>
  <x:si>
    <x:t>http://id.who.int/icd/entity/541632884</x:t>
  </x:si>
  <x:si>
    <x:t>http://id.who.int/icd/release/11/beta/ichi/541632884</x:t>
  </x:si>
  <x:si>
    <x:t>UGU.VL.ZZ</x:t>
  </x:si>
  <x:si>
    <x:t>- - - - Environmental remediation in relation to motor vehicles</x:t>
  </x:si>
  <x:si>
    <x:t>http://id.who.int/icd/entity/2139813975</x:t>
  </x:si>
  <x:si>
    <x:t>http://id.who.int/icd/release/11/beta/ichi/2139813975</x:t>
  </x:si>
  <x:si>
    <x:t>UGU.VN.ZZ</x:t>
  </x:si>
  <x:si>
    <x:t>- - - - Establishing health services or health-related services in relation to motor vehicles</x:t>
  </x:si>
  <x:si>
    <x:t>http://id.who.int/icd/entity/804332006</x:t>
  </x:si>
  <x:si>
    <x:t>http://id.who.int/icd/release/11/beta/ichi/804332006</x:t>
  </x:si>
  <x:si>
    <x:t>UGU.VO.ZZ</x:t>
  </x:si>
  <x:si>
    <x:t>- - - - Marshalling health services or health-related services in relation to motor vehicles</x:t>
  </x:si>
  <x:si>
    <x:t>http://id.who.int/icd/entity/1514644885</x:t>
  </x:si>
  <x:si>
    <x:t>http://id.who.int/icd/release/11/beta/ichi/1514644885</x:t>
  </x:si>
  <x:si>
    <x:t>UGU.VP.ZZ</x:t>
  </x:si>
  <x:si>
    <x:t>- - - - Improving access to health services or health-related services in relation to motor vehicles</x:t>
  </x:si>
  <x:si>
    <x:t>http://id.who.int/icd/entity/1908066565</x:t>
  </x:si>
  <x:si>
    <x:t>http://id.who.int/icd/release/11/beta/ichi/1908066565</x:t>
  </x:si>
  <x:si>
    <x:t>UGU.VR.ZZ</x:t>
  </x:si>
  <x:si>
    <x:t>- - - - Reducing emissions from motor vehicles</x:t>
  </x:si>
  <x:si>
    <x:t>http://id.who.int/icd/entity/1626990963</x:t>
  </x:si>
  <x:si>
    <x:t>http://id.who.int/icd/release/11/beta/ichi/1626990963</x:t>
  </x:si>
  <x:si>
    <x:t>UGU.WC.ZZ</x:t>
  </x:si>
  <x:si>
    <x:t>- - - - Restrictions on the sale or distribution of products or services in relation to motor vehicles</x:t>
  </x:si>
  <x:si>
    <x:t>http://id.who.int/icd/entity/1697136157</x:t>
  </x:si>
  <x:si>
    <x:t>http://id.who.int/icd/release/11/beta/ichi/1697136157</x:t>
  </x:si>
  <x:si>
    <x:t>UGU.WD.ZZ</x:t>
  </x:si>
  <x:si>
    <x:t>- - - - Restrictions on advertising, promotion or sponsorship of products or services in relation to motor vehicles</x:t>
  </x:si>
  <x:si>
    <x:t>http://id.who.int/icd/entity/894691244</x:t>
  </x:si>
  <x:si>
    <x:t>http://id.who.int/icd/release/11/beta/ichi/894691244</x:t>
  </x:si>
  <x:si>
    <x:t>UGU.WE.ZZ</x:t>
  </x:si>
  <x:si>
    <x:t>- - - - Restrictions on production or importation of products or services in relation to motor vehicles</x:t>
  </x:si>
  <x:si>
    <x:t>http://id.who.int/icd/entity/1787934351</x:t>
  </x:si>
  <x:si>
    <x:t>http://id.who.int/icd/release/11/beta/ichi/1787934351</x:t>
  </x:si>
  <x:si>
    <x:t>UGU.WG.QF</x:t>
  </x:si>
  <x:si>
    <x:t>- - - - Economic incentives in relation to motor vehicles</x:t>
  </x:si>
  <x:si>
    <x:t>http://id.who.int/icd/entity/1097652767</x:t>
  </x:si>
  <x:si>
    <x:t>http://id.who.int/icd/release/11/beta/ichi/1097652767</x:t>
  </x:si>
  <x:si>
    <x:t>UGU.WG.ZZ</x:t>
  </x:si>
  <x:si>
    <x:t>- - - - Applying incentives in relation to motor vehicles</x:t>
  </x:si>
  <x:si>
    <x:t>http://id.who.int/icd/entity/2052796217</x:t>
  </x:si>
  <x:si>
    <x:t>http://id.who.int/icd/release/11/beta/ichi/2052796217</x:t>
  </x:si>
  <x:si>
    <x:t>UGU.WI.QD</x:t>
  </x:si>
  <x:si>
    <x:t>- - - - Restrictions through enactment of laws or standards in relation to motor vehicles</x:t>
  </x:si>
  <x:si>
    <x:t>http://id.who.int/icd/entity/630816282</x:t>
  </x:si>
  <x:si>
    <x:t>http://id.who.int/icd/release/11/beta/ichi/630816282</x:t>
  </x:si>
  <x:si>
    <x:t>UGU.WI.QE</x:t>
  </x:si>
  <x:si>
    <x:t>- - - - Restrictions through enforcement of laws or standards in relation to motor vehicles</x:t>
  </x:si>
  <x:si>
    <x:t>http://id.who.int/icd/entity/1977788331</x:t>
  </x:si>
  <x:si>
    <x:t>http://id.who.int/icd/release/11/beta/ichi/1977788331</x:t>
  </x:si>
  <x:si>
    <x:t>UGU.WI.ZZ</x:t>
  </x:si>
  <x:si>
    <x:t>- - - - Restrictions through laws or standards in relation to motor vehicles, not elsewhere classified</x:t>
  </x:si>
  <x:si>
    <x:t>http://id.who.int/icd/entity/1862412545</x:t>
  </x:si>
  <x:si>
    <x:t>http://id.who.int/icd/release/11/beta/ichi/1862412545</x:t>
  </x:si>
  <x:si>
    <x:t>UGU.WJ.ZZ</x:t>
  </x:si>
  <x:si>
    <x:t>- - - - Policy change in relation to motor vehicles</x:t>
  </x:si>
  <x:si>
    <x:t>http://id.who.int/icd/release/11/beta/ichi/827551950/other</x:t>
  </x:si>
  <x:si>
    <x:t>UZZ.ZY.ZY</x:t>
  </x:si>
  <x:si>
    <x:t>- - - Other specified interventions on the environment</x:t>
  </x:si>
  <x:si>
    <x:t>http://id.who.int/icd/release/11/beta/ichi/827551950/unspecified</x:t>
  </x:si>
  <x:si>
    <x:t>UZZ.ZZ.ZZ</x:t>
  </x:si>
  <x:si>
    <x:t>- - - Interventions on the environment, unspecified</x:t>
  </x:si>
  <x:si>
    <x:t>http://id.who.int/icd/entity/768188068</x:t>
  </x:si>
  <x:si>
    <x:t>http://id.who.int/icd/release/11/beta/ichi/768188068</x:t>
  </x:si>
  <x:si>
    <x:t>BlockL2-VA1</x:t>
  </x:si>
  <x:si>
    <x:t>- - Interventions on health-related behaviours</x:t>
  </x:si>
  <x:si>
    <x:t>http://id.who.int/icd/entity/1015725780</x:t>
  </x:si>
  <x:si>
    <x:t>http://id.who.int/icd/release/11/beta/ichi/1015725780</x:t>
  </x:si>
  <x:si>
    <x:t>BlockL3-VA1</x:t>
  </x:si>
  <x:si>
    <x:t>- - - Interventions on substance-related and addictive behaviours</x:t>
  </x:si>
  <x:si>
    <x:t>187</x:t>
  </x:si>
  <x:si>
    <x:t>http://id.who.int/icd/entity/221310106</x:t>
  </x:si>
  <x:si>
    <x:t>http://id.who.int/icd/release/11/beta/ichi/221310106</x:t>
  </x:si>
  <x:si>
    <x:t>VA1.AA.ZZ</x:t>
  </x:si>
  <x:si>
    <x:t>- - - - Assessment of substance-related and addictive behaviours, unspecified</x:t>
  </x:si>
  <x:si>
    <x:t>http://id.who.int/icd/entity/1503504665</x:t>
  </x:si>
  <x:si>
    <x:t>http://id.who.int/icd/release/11/beta/ichi/1503504665</x:t>
  </x:si>
  <x:si>
    <x:t>VA1.AC.ZZ</x:t>
  </x:si>
  <x:si>
    <x:t>- - - - Test of substance-related and addictive behaviours, unspecified</x:t>
  </x:si>
  <x:si>
    <x:t>http://id.who.int/icd/entity/1994216375</x:t>
  </x:si>
  <x:si>
    <x:t>http://id.who.int/icd/release/11/beta/ichi/1994216375</x:t>
  </x:si>
  <x:si>
    <x:t>VA1.PH.ZZ</x:t>
  </x:si>
  <x:si>
    <x:t>- - - - Training to influence substance-related and addictive behaviours, unspecified</x:t>
  </x:si>
  <x:si>
    <x:t>http://id.who.int/icd/entity/596813304</x:t>
  </x:si>
  <x:si>
    <x:t>http://id.who.int/icd/release/11/beta/ichi/596813304</x:t>
  </x:si>
  <x:si>
    <x:t>VA1.PM.ZZ</x:t>
  </x:si>
  <x:si>
    <x:t>- - - - Education to influence substance-related and addictive behaviours, unspecified</x:t>
  </x:si>
  <x:si>
    <x:t>http://id.who.int/icd/entity/1307223697</x:t>
  </x:si>
  <x:si>
    <x:t>http://id.who.int/icd/release/11/beta/ichi/1307223697</x:t>
  </x:si>
  <x:si>
    <x:t>VA1.PN.ZZ</x:t>
  </x:si>
  <x:si>
    <x:t>- - - - Advising about substance-related and addictive behaviours, unspecified</x:t>
  </x:si>
  <x:si>
    <x:t>http://id.who.int/icd/entity/2085680347</x:t>
  </x:si>
  <x:si>
    <x:t>http://id.who.int/icd/release/11/beta/ichi/2085680347</x:t>
  </x:si>
  <x:si>
    <x:t>VA1.PP.ZZ</x:t>
  </x:si>
  <x:si>
    <x:t>- - - - Counselling about substance-related and addictive behaviours, unspecified</x:t>
  </x:si>
  <x:si>
    <x:t>http://id.who.int/icd/entity/1006914636</x:t>
  </x:si>
  <x:si>
    <x:t>http://id.who.int/icd/release/11/beta/ichi/1006914636</x:t>
  </x:si>
  <x:si>
    <x:t>VA1.RC.ZZ</x:t>
  </x:si>
  <x:si>
    <x:t>- - - - Emotional support for substance-related and addictive behaviours, unspecified</x:t>
  </x:si>
  <x:si>
    <x:t>http://id.who.int/icd/entity/922768098</x:t>
  </x:si>
  <x:si>
    <x:t>http://id.who.int/icd/release/11/beta/ichi/922768098</x:t>
  </x:si>
  <x:si>
    <x:t>VA1.RD.ZZ</x:t>
  </x:si>
  <x:si>
    <x:t>- - - - Providing goods to support improved substance-related and addictive behaviours, unspecified</x:t>
  </x:si>
  <x:si>
    <x:t>http://id.who.int/icd/entity/1673928047</x:t>
  </x:si>
  <x:si>
    <x:t>http://id.who.int/icd/release/11/beta/ichi/1673928047</x:t>
  </x:si>
  <x:si>
    <x:t>VA1.RE.ZZ</x:t>
  </x:si>
  <x:si>
    <x:t>- - - - Provision of peer support for substance-related and addictive behaviours, unspecified</x:t>
  </x:si>
  <x:si>
    <x:t>http://id.who.int/icd/entity/915008288</x:t>
  </x:si>
  <x:si>
    <x:t>http://id.who.int/icd/release/11/beta/ichi/915008288</x:t>
  </x:si>
  <x:si>
    <x:t>VA1.RF.ZZ</x:t>
  </x:si>
  <x:si>
    <x:t>- - - - Providing opportunities for participation in relation to substance-related and addictive behaviours, unspecified</x:t>
  </x:si>
  <x:si>
    <x:t>http://id.who.int/icd/entity/432607632</x:t>
  </x:si>
  <x:si>
    <x:t>http://id.who.int/icd/release/11/beta/ichi/432607632</x:t>
  </x:si>
  <x:si>
    <x:t>VA1.TA.ZZ</x:t>
  </x:si>
  <x:si>
    <x:t>- - - - Advocacy in relation to substance-related and addictive behaviours, unspecified</x:t>
  </x:si>
  <x:si>
    <x:t>http://id.who.int/icd/entity/1766570499</x:t>
  </x:si>
  <x:si>
    <x:t>http://id.who.int/icd/release/11/beta/ichi/1766570499</x:t>
  </x:si>
  <x:si>
    <x:t>VA1.TK.ZZ</x:t>
  </x:si>
  <x:si>
    <x:t>- - - - Public facilities or infrastructure development to support improved substance-related and addictive behaviours, unspecified</x:t>
  </x:si>
  <x:si>
    <x:t>http://id.who.int/icd/entity/53059364</x:t>
  </x:si>
  <x:si>
    <x:t>http://id.who.int/icd/release/11/beta/ichi/53059364</x:t>
  </x:si>
  <x:si>
    <x:t>VA1.TM.ZZ</x:t>
  </x:si>
  <x:si>
    <x:t>- - - - Environment modification to influence substance-related and addictive behaviours, unspecified</x:t>
  </x:si>
  <x:si>
    <x:t>http://id.who.int/icd/entity/2081602619</x:t>
  </x:si>
  <x:si>
    <x:t>http://id.who.int/icd/release/11/beta/ichi/2081602619</x:t>
  </x:si>
  <x:si>
    <x:t>VA1.VA.ZZ</x:t>
  </x:si>
  <x:si>
    <x:t>- - - - Capacity building targeting substance-related and addictive behaviours, unspecified</x:t>
  </x:si>
  <x:si>
    <x:t>http://id.who.int/icd/entity/308985684</x:t>
  </x:si>
  <x:si>
    <x:t>http://id.who.int/icd/release/11/beta/ichi/308985684</x:t>
  </x:si>
  <x:si>
    <x:t>VA1.VB.ZZ</x:t>
  </x:si>
  <x:si>
    <x:t>- - - - Awareness raising to influence substance-related and addictive behaviours, unspecified</x:t>
  </x:si>
  <x:si>
    <x:t>http://id.who.int/icd/entity/1353718962</x:t>
  </x:si>
  <x:si>
    <x:t>http://id.who.int/icd/release/11/beta/ichi/1353718962</x:t>
  </x:si>
  <x:si>
    <x:t>VA1.VC.ZZ</x:t>
  </x:si>
  <x:si>
    <x:t>- - - - Public health surveillance concerning substance-related and addictive behaviours, unspecified</x:t>
  </x:si>
  <x:si>
    <x:t>http://id.who.int/icd/entity/332599570</x:t>
  </x:si>
  <x:si>
    <x:t>http://id.who.int/icd/release/11/beta/ichi/332599570</x:t>
  </x:si>
  <x:si>
    <x:t>VA1.WG.QF</x:t>
  </x:si>
  <x:si>
    <x:t>- - - - Economic incentives to encourage improvements in relation to substance-related and addictive behaviours, unspecified</x:t>
  </x:si>
  <x:si>
    <x:t>http://id.who.int/icd/entity/942570882</x:t>
  </x:si>
  <x:si>
    <x:t>http://id.who.int/icd/release/11/beta/ichi/942570882</x:t>
  </x:si>
  <x:si>
    <x:t>VA1.WG.ZZ</x:t>
  </x:si>
  <x:si>
    <x:t>- - - - Applying incentives to encourage improvements in relation to substance-related and addictive behaviours, unspecified</x:t>
  </x:si>
  <x:si>
    <x:t>http://id.who.int/icd/entity/1257710188</x:t>
  </x:si>
  <x:si>
    <x:t>http://id.who.int/icd/release/11/beta/ichi/1257710188</x:t>
  </x:si>
  <x:si>
    <x:t>VA1.WI.QD</x:t>
  </x:si>
  <x:si>
    <x:t>- - - - Restrictions through enactment of laws or standards on substance-related and addictive behaviours, unspecified</x:t>
  </x:si>
  <x:si>
    <x:t>http://id.who.int/icd/entity/1106459846</x:t>
  </x:si>
  <x:si>
    <x:t>http://id.who.int/icd/release/11/beta/ichi/1106459846</x:t>
  </x:si>
  <x:si>
    <x:t>VA1.WI.QE</x:t>
  </x:si>
  <x:si>
    <x:t>- - - - Restrictions through enforcement of laws or standards on substance-related and addictive behaviours, unspecified</x:t>
  </x:si>
  <x:si>
    <x:t>http://id.who.int/icd/entity/310902253</x:t>
  </x:si>
  <x:si>
    <x:t>http://id.who.int/icd/release/11/beta/ichi/310902253</x:t>
  </x:si>
  <x:si>
    <x:t>VA1.WI.ZZ</x:t>
  </x:si>
  <x:si>
    <x:t>- - - - Restrictions through laws or standards in relation to substance-related and addictive behaviours, unspecified</x:t>
  </x:si>
  <x:si>
    <x:t>http://id.who.int/icd/entity/1061266969</x:t>
  </x:si>
  <x:si>
    <x:t>http://id.who.int/icd/release/11/beta/ichi/1061266969</x:t>
  </x:si>
  <x:si>
    <x:t>VA1.WJ.ZZ</x:t>
  </x:si>
  <x:si>
    <x:t>- - - - Policy change concerning substance-related and addictive behaviours, unspecified</x:t>
  </x:si>
  <x:si>
    <x:t>http://id.who.int/icd/entity/1081771272</x:t>
  </x:si>
  <x:si>
    <x:t>http://id.who.int/icd/release/11/beta/ichi/1081771272</x:t>
  </x:si>
  <x:si>
    <x:t>VA1.ZZ.ZZ</x:t>
  </x:si>
  <x:si>
    <x:t>- - - - Other interventions targeting unspecified substance-related and addictive behaviours</x:t>
  </x:si>
  <x:si>
    <x:t>http://id.who.int/icd/entity/891943397</x:t>
  </x:si>
  <x:si>
    <x:t>http://id.who.int/icd/release/11/beta/ichi/891943397</x:t>
  </x:si>
  <x:si>
    <x:t>VAA.AA.ZZ</x:t>
  </x:si>
  <x:si>
    <x:t>- - - - Assessment of alcohol use behaviours</x:t>
  </x:si>
  <x:si>
    <x:t>http://id.who.int/icd/entity/1168855658</x:t>
  </x:si>
  <x:si>
    <x:t>http://id.who.int/icd/release/11/beta/ichi/1168855658</x:t>
  </x:si>
  <x:si>
    <x:t>VAA.AC.ZZ</x:t>
  </x:si>
  <x:si>
    <x:t>- - - - Test of alcohol use behaviours</x:t>
  </x:si>
  <x:si>
    <x:t>http://id.who.int/icd/entity/1793829062</x:t>
  </x:si>
  <x:si>
    <x:t>http://id.who.int/icd/release/11/beta/ichi/1793829062</x:t>
  </x:si>
  <x:si>
    <x:t>VAA.PH.ZZ</x:t>
  </x:si>
  <x:si>
    <x:t>- - - - Training to influence alcohol use behaviours</x:t>
  </x:si>
  <x:si>
    <x:t>http://id.who.int/icd/entity/1067736713</x:t>
  </x:si>
  <x:si>
    <x:t>http://id.who.int/icd/release/11/beta/ichi/1067736713</x:t>
  </x:si>
  <x:si>
    <x:t>VAA.PM.ZZ</x:t>
  </x:si>
  <x:si>
    <x:t>- - - - Education to influence alcohol use behaviours</x:t>
  </x:si>
  <x:si>
    <x:t>http://id.who.int/icd/entity/1373396448</x:t>
  </x:si>
  <x:si>
    <x:t>http://id.who.int/icd/release/11/beta/ichi/1373396448</x:t>
  </x:si>
  <x:si>
    <x:t>VAA.PN.ZZ</x:t>
  </x:si>
  <x:si>
    <x:t>- - - - Advising about alcohol use behaviours</x:t>
  </x:si>
  <x:si>
    <x:t>http://id.who.int/icd/entity/1617301418</x:t>
  </x:si>
  <x:si>
    <x:t>http://id.who.int/icd/release/11/beta/ichi/1617301418</x:t>
  </x:si>
  <x:si>
    <x:t>VAA.PP.ZZ</x:t>
  </x:si>
  <x:si>
    <x:t>- - - - Counselling about alcohol use behaviours</x:t>
  </x:si>
  <x:si>
    <x:t>http://id.who.int/icd/entity/1057222393</x:t>
  </x:si>
  <x:si>
    <x:t>http://id.who.int/icd/release/11/beta/ichi/1057222393</x:t>
  </x:si>
  <x:si>
    <x:t>VAA.PQ.ZZ</x:t>
  </x:si>
  <x:si>
    <x:t>- - - - Psychotherapy for alcohol use behaviours</x:t>
  </x:si>
  <x:si>
    <x:t>http://id.who.int/icd/entity/872935509</x:t>
  </x:si>
  <x:si>
    <x:t>http://id.who.int/icd/release/11/beta/ichi/872935509</x:t>
  </x:si>
  <x:si>
    <x:t>VAA.RD.ZZ</x:t>
  </x:si>
  <x:si>
    <x:t>- - - - Providing goods to support improved health behaviours relating to alcohol use</x:t>
  </x:si>
  <x:si>
    <x:t>http://id.who.int/icd/entity/1077464550</x:t>
  </x:si>
  <x:si>
    <x:t>http://id.who.int/icd/release/11/beta/ichi/1077464550</x:t>
  </x:si>
  <x:si>
    <x:t>VAA.RE.ZZ</x:t>
  </x:si>
  <x:si>
    <x:t>- - - - Provision of peer support for alcohol use behaviours</x:t>
  </x:si>
  <x:si>
    <x:t>http://id.who.int/icd/entity/97953809</x:t>
  </x:si>
  <x:si>
    <x:t>http://id.who.int/icd/release/11/beta/ichi/97953809</x:t>
  </x:si>
  <x:si>
    <x:t>VAA.TA.ZZ</x:t>
  </x:si>
  <x:si>
    <x:t>- - - - Advocacy in relation to alcohol use behaviours</x:t>
  </x:si>
  <x:si>
    <x:t>http://id.who.int/icd/entity/2062387982</x:t>
  </x:si>
  <x:si>
    <x:t>http://id.who.int/icd/release/11/beta/ichi/2062387982</x:t>
  </x:si>
  <x:si>
    <x:t>VAA.TD.ZZ</x:t>
  </x:si>
  <x:si>
    <x:t>- - - - Collaborating or building partnerships in relation to alcohol use behaviours</x:t>
  </x:si>
  <x:si>
    <x:t>http://id.who.int/icd/entity/345344103</x:t>
  </x:si>
  <x:si>
    <x:t>http://id.who.int/icd/release/11/beta/ichi/345344103</x:t>
  </x:si>
  <x:si>
    <x:t>VAA.TI.ZZ</x:t>
  </x:si>
  <x:si>
    <x:t>- - - - Prescription related to alcohol use</x:t>
  </x:si>
  <x:si>
    <x:t>http://id.who.int/icd/entity/257625981</x:t>
  </x:si>
  <x:si>
    <x:t>http://id.who.int/icd/release/11/beta/ichi/257625981</x:t>
  </x:si>
  <x:si>
    <x:t>VAA.TM.ZZ</x:t>
  </x:si>
  <x:si>
    <x:t>- - - - Environment modification to influence alcohol use behaviours</x:t>
  </x:si>
  <x:si>
    <x:t>http://id.who.int/icd/entity/354169255</x:t>
  </x:si>
  <x:si>
    <x:t>http://id.who.int/icd/release/11/beta/ichi/354169255</x:t>
  </x:si>
  <x:si>
    <x:t>VAA.VA.ZZ</x:t>
  </x:si>
  <x:si>
    <x:t>- - - - Capacity building targeting alcohol use behaviours</x:t>
  </x:si>
  <x:si>
    <x:t>http://id.who.int/icd/entity/504901387</x:t>
  </x:si>
  <x:si>
    <x:t>http://id.who.int/icd/release/11/beta/ichi/504901387</x:t>
  </x:si>
  <x:si>
    <x:t>VAA.VB.ZZ</x:t>
  </x:si>
  <x:si>
    <x:t>- - - - Awareness raising to influence alcohol use behaviours</x:t>
  </x:si>
  <x:si>
    <x:t>http://id.who.int/icd/entity/281929417</x:t>
  </x:si>
  <x:si>
    <x:t>http://id.who.int/icd/release/11/beta/ichi/281929417</x:t>
  </x:si>
  <x:si>
    <x:t>VAA.VC.ZZ</x:t>
  </x:si>
  <x:si>
    <x:t>- - - - Public health surveillance concerning alcohol use behaviours</x:t>
  </x:si>
  <x:si>
    <x:t>http://id.who.int/icd/entity/1878443478</x:t>
  </x:si>
  <x:si>
    <x:t>http://id.who.int/icd/release/11/beta/ichi/1878443478</x:t>
  </x:si>
  <x:si>
    <x:t>VAA.WC.QD</x:t>
  </x:si>
  <x:si>
    <x:t>- - - - Restrictions through enactment of laws or standards on the sale or distribution of alcoholic beverages</x:t>
  </x:si>
  <x:si>
    <x:t>http://id.who.int/icd/entity/1791158824</x:t>
  </x:si>
  <x:si>
    <x:t>http://id.who.int/icd/release/11/beta/ichi/1791158824</x:t>
  </x:si>
  <x:si>
    <x:t>VAA.WC.QE</x:t>
  </x:si>
  <x:si>
    <x:t>- - - - Restrictions through enforcement of laws or standards on the sale or distribution of alcoholic beverages</x:t>
  </x:si>
  <x:si>
    <x:t>http://id.who.int/icd/entity/440418725</x:t>
  </x:si>
  <x:si>
    <x:t>http://id.who.int/icd/release/11/beta/ichi/440418725</x:t>
  </x:si>
  <x:si>
    <x:t>VAA.WC.ZZ</x:t>
  </x:si>
  <x:si>
    <x:t>- - - - Restrictions or requirements concerning the sale or distribution of alcoholic beverages, not elsewhere classified</x:t>
  </x:si>
  <x:si>
    <x:t>http://id.who.int/icd/entity/1350346448</x:t>
  </x:si>
  <x:si>
    <x:t>http://id.who.int/icd/release/11/beta/ichi/1350346448</x:t>
  </x:si>
  <x:si>
    <x:t>VAA.WD.QD</x:t>
  </x:si>
  <x:si>
    <x:t>- - - - Restrictions through enactment of laws or standards on advertising, promotion or sponsorship of alcoholic beverages</x:t>
  </x:si>
  <x:si>
    <x:t>http://id.who.int/icd/entity/1785027162</x:t>
  </x:si>
  <x:si>
    <x:t>http://id.who.int/icd/release/11/beta/ichi/1785027162</x:t>
  </x:si>
  <x:si>
    <x:t>VAA.WD.QE</x:t>
  </x:si>
  <x:si>
    <x:t>- - - - Restrictions through enforcement of laws or standards on the advertising, promotion or sponsorship of alcoholic beverages</x:t>
  </x:si>
  <x:si>
    <x:t>http://id.who.int/icd/entity/1160093942</x:t>
  </x:si>
  <x:si>
    <x:t>http://id.who.int/icd/release/11/beta/ichi/1160093942</x:t>
  </x:si>
  <x:si>
    <x:t>VAA.WD.ZZ</x:t>
  </x:si>
  <x:si>
    <x:t>- - - - Restrictions or requirements concerning the advertising, promotion or sponsorship of alcoholic beverages, not elsewhere classified</x:t>
  </x:si>
  <x:si>
    <x:t>http://id.who.int/icd/entity/900139899</x:t>
  </x:si>
  <x:si>
    <x:t>http://id.who.int/icd/release/11/beta/ichi/900139899</x:t>
  </x:si>
  <x:si>
    <x:t>VAA.WE.QD</x:t>
  </x:si>
  <x:si>
    <x:t>- - - - Restrictions through enactment of laws or standards on the production or importation of alcoholic beverages</x:t>
  </x:si>
  <x:si>
    <x:t>http://id.who.int/icd/entity/1148218996</x:t>
  </x:si>
  <x:si>
    <x:t>http://id.who.int/icd/release/11/beta/ichi/1148218996</x:t>
  </x:si>
  <x:si>
    <x:t>VAA.WE.QE</x:t>
  </x:si>
  <x:si>
    <x:t>- - - - Restrictions through enforcement of laws or standards on the production or importation of alcoholic beverages</x:t>
  </x:si>
  <x:si>
    <x:t>http://id.who.int/icd/entity/2127438484</x:t>
  </x:si>
  <x:si>
    <x:t>http://id.who.int/icd/release/11/beta/ichi/2127438484</x:t>
  </x:si>
  <x:si>
    <x:t>VAA.WF.QD</x:t>
  </x:si>
  <x:si>
    <x:t>- - - - Restrictions through enactment of laws or standards on the consumption of alcoholic beverages</x:t>
  </x:si>
  <x:si>
    <x:t>http://id.who.int/icd/entity/2079985006</x:t>
  </x:si>
  <x:si>
    <x:t>http://id.who.int/icd/release/11/beta/ichi/2079985006</x:t>
  </x:si>
  <x:si>
    <x:t>VAA.WF.QE</x:t>
  </x:si>
  <x:si>
    <x:t>- - - - Restrictions through enforcement of laws or standards on the consumption or use of alcoholic beverages</x:t>
  </x:si>
  <x:si>
    <x:t>http://id.who.int/icd/entity/192456417</x:t>
  </x:si>
  <x:si>
    <x:t>http://id.who.int/icd/release/11/beta/ichi/192456417</x:t>
  </x:si>
  <x:si>
    <x:t>VAA.WF.ZZ</x:t>
  </x:si>
  <x:si>
    <x:t>- - - - Restrictions concerning the consumption of alcoholic beverages, not elsewhere classified</x:t>
  </x:si>
  <x:si>
    <x:t>http://id.who.int/icd/entity/607673423</x:t>
  </x:si>
  <x:si>
    <x:t>http://id.who.int/icd/release/11/beta/ichi/607673423</x:t>
  </x:si>
  <x:si>
    <x:t>VAA.WG.QF</x:t>
  </x:si>
  <x:si>
    <x:t>- - - - Economic incentives to encourage improved health behaviours relating to alcohol use</x:t>
  </x:si>
  <x:si>
    <x:t>http://id.who.int/icd/entity/1150654180</x:t>
  </x:si>
  <x:si>
    <x:t>http://id.who.int/icd/release/11/beta/ichi/1150654180</x:t>
  </x:si>
  <x:si>
    <x:t>VAA.WG.ZZ</x:t>
  </x:si>
  <x:si>
    <x:t>- - - - Applying incentives to encourage improved health behaviours relating to alcohol use</x:t>
  </x:si>
  <x:si>
    <x:t>http://id.who.int/icd/entity/1334937674</x:t>
  </x:si>
  <x:si>
    <x:t>http://id.who.int/icd/release/11/beta/ichi/1334937674</x:t>
  </x:si>
  <x:si>
    <x:t>VAA.WJ.ZZ</x:t>
  </x:si>
  <x:si>
    <x:t>- - - - Policy change concerning alcohol use behaviours</x:t>
  </x:si>
  <x:si>
    <x:t>http://id.who.int/icd/entity/458737607</x:t>
  </x:si>
  <x:si>
    <x:t>http://id.who.int/icd/release/11/beta/ichi/458737607</x:t>
  </x:si>
  <x:si>
    <x:t>VAA.ZZ.ZZ</x:t>
  </x:si>
  <x:si>
    <x:t>- - - - Other interventions targeting alcohol use behaviours, not elsewhere classified</x:t>
  </x:si>
  <x:si>
    <x:t>http://id.who.int/icd/entity/1310208392</x:t>
  </x:si>
  <x:si>
    <x:t>http://id.who.int/icd/release/11/beta/ichi/1310208392</x:t>
  </x:si>
  <x:si>
    <x:t>VAB.AA.ZZ</x:t>
  </x:si>
  <x:si>
    <x:t>- - - - Assessment of tobacco use behaviours</x:t>
  </x:si>
  <x:si>
    <x:t>http://id.who.int/icd/entity/1633209128</x:t>
  </x:si>
  <x:si>
    <x:t>http://id.who.int/icd/release/11/beta/ichi/1633209128</x:t>
  </x:si>
  <x:si>
    <x:t>VAB.AC.ZZ</x:t>
  </x:si>
  <x:si>
    <x:t>- - - - Test of tobacco use behaviours</x:t>
  </x:si>
  <x:si>
    <x:t>http://id.who.int/icd/entity/299524267</x:t>
  </x:si>
  <x:si>
    <x:t>http://id.who.int/icd/release/11/beta/ichi/299524267</x:t>
  </x:si>
  <x:si>
    <x:t>VAB.PH.ZZ</x:t>
  </x:si>
  <x:si>
    <x:t>- - - - Training to influence tobacco use behaviours</x:t>
  </x:si>
  <x:si>
    <x:t>http://id.who.int/icd/entity/2075673996</x:t>
  </x:si>
  <x:si>
    <x:t>http://id.who.int/icd/release/11/beta/ichi/2075673996</x:t>
  </x:si>
  <x:si>
    <x:t>VAB.PM.ZZ</x:t>
  </x:si>
  <x:si>
    <x:t>- - - - Education to influence tobacco use behaviours</x:t>
  </x:si>
  <x:si>
    <x:t>http://id.who.int/icd/entity/75720339</x:t>
  </x:si>
  <x:si>
    <x:t>http://id.who.int/icd/release/11/beta/ichi/75720339</x:t>
  </x:si>
  <x:si>
    <x:t>VAB.PN.ZZ</x:t>
  </x:si>
  <x:si>
    <x:t>- - - - Advising about tobacco use behaviours</x:t>
  </x:si>
  <x:si>
    <x:t>http://id.who.int/icd/entity/1794860540</x:t>
  </x:si>
  <x:si>
    <x:t>http://id.who.int/icd/release/11/beta/ichi/1794860540</x:t>
  </x:si>
  <x:si>
    <x:t>VAB.PP.ZZ</x:t>
  </x:si>
  <x:si>
    <x:t>- - - - Counselling about tobacco use behaviours</x:t>
  </x:si>
  <x:si>
    <x:t>http://id.who.int/icd/entity/837789929</x:t>
  </x:si>
  <x:si>
    <x:t>http://id.who.int/icd/release/11/beta/ichi/837789929</x:t>
  </x:si>
  <x:si>
    <x:t>VAB.PQ.ZZ</x:t>
  </x:si>
  <x:si>
    <x:t>- - - - Psychotherapy for tobacco use behaviours</x:t>
  </x:si>
  <x:si>
    <x:t>http://id.who.int/icd/entity/732468787</x:t>
  </x:si>
  <x:si>
    <x:t>http://id.who.int/icd/release/11/beta/ichi/732468787</x:t>
  </x:si>
  <x:si>
    <x:t>VAB.RD.ZZ</x:t>
  </x:si>
  <x:si>
    <x:t>- - - - Providing goods to support improved health behaviours relating to tobacco use, not elsewhere classified</x:t>
  </x:si>
  <x:si>
    <x:t>http://id.who.int/icd/entity/548178079</x:t>
  </x:si>
  <x:si>
    <x:t>http://id.who.int/icd/release/11/beta/ichi/548178079</x:t>
  </x:si>
  <x:si>
    <x:t>VAB.RE.ZZ</x:t>
  </x:si>
  <x:si>
    <x:t>- - - - Provision of peer support for tobacco use behaviours</x:t>
  </x:si>
  <x:si>
    <x:t>http://id.who.int/icd/entity/1579029056</x:t>
  </x:si>
  <x:si>
    <x:t>http://id.who.int/icd/release/11/beta/ichi/1579029056</x:t>
  </x:si>
  <x:si>
    <x:t>VAB.TA.ZZ</x:t>
  </x:si>
  <x:si>
    <x:t>- - - - Advocacy in relation to tobacco use behaviours</x:t>
  </x:si>
  <x:si>
    <x:t>http://id.who.int/icd/entity/556085599</x:t>
  </x:si>
  <x:si>
    <x:t>http://id.who.int/icd/release/11/beta/ichi/556085599</x:t>
  </x:si>
  <x:si>
    <x:t>VAB.TD.ZZ</x:t>
  </x:si>
  <x:si>
    <x:t>- - - - Collaborating or building partnerships in relation to tobacco use behaviours</x:t>
  </x:si>
  <x:si>
    <x:t>http://id.who.int/icd/entity/1417039292</x:t>
  </x:si>
  <x:si>
    <x:t>http://id.who.int/icd/release/11/beta/ichi/1417039292</x:t>
  </x:si>
  <x:si>
    <x:t>VAB.TI.ZZ</x:t>
  </x:si>
  <x:si>
    <x:t>- - - - Prescription related to tobacco use</x:t>
  </x:si>
  <x:si>
    <x:t>http://id.who.int/icd/entity/620029489</x:t>
  </x:si>
  <x:si>
    <x:t>http://id.who.int/icd/release/11/beta/ichi/620029489</x:t>
  </x:si>
  <x:si>
    <x:t>VAB.TM.ZZ</x:t>
  </x:si>
  <x:si>
    <x:t>- - - - Environment modification to influence tobacco use behaviours</x:t>
  </x:si>
  <x:si>
    <x:t>http://id.who.int/icd/entity/196353183</x:t>
  </x:si>
  <x:si>
    <x:t>http://id.who.int/icd/release/11/beta/ichi/196353183</x:t>
  </x:si>
  <x:si>
    <x:t>VAB.VA.ZZ</x:t>
  </x:si>
  <x:si>
    <x:t>- - - - Capacity building targeting tobacco use behaviours</x:t>
  </x:si>
  <x:si>
    <x:t>http://id.who.int/icd/entity/1593567952</x:t>
  </x:si>
  <x:si>
    <x:t>http://id.who.int/icd/release/11/beta/ichi/1593567952</x:t>
  </x:si>
  <x:si>
    <x:t>VAB.VB.ZZ</x:t>
  </x:si>
  <x:si>
    <x:t>- - - - Awareness raising to influence tobacco use behaviours</x:t>
  </x:si>
  <x:si>
    <x:t>http://id.who.int/icd/entity/813951417</x:t>
  </x:si>
  <x:si>
    <x:t>http://id.who.int/icd/release/11/beta/ichi/813951417</x:t>
  </x:si>
  <x:si>
    <x:t>VAB.VC.ZZ</x:t>
  </x:si>
  <x:si>
    <x:t>- - - - Public health surveillance concerning tobacco use behaviours</x:t>
  </x:si>
  <x:si>
    <x:t>http://id.who.int/icd/entity/20560883</x:t>
  </x:si>
  <x:si>
    <x:t>http://id.who.int/icd/release/11/beta/ichi/20560883</x:t>
  </x:si>
  <x:si>
    <x:t>VAB.WC.QD</x:t>
  </x:si>
  <x:si>
    <x:t>- - - - Restrictions through enactment of laws or standards on the sale or distribution of tobacco products</x:t>
  </x:si>
  <x:si>
    <x:t>http://id.who.int/icd/entity/1583110818</x:t>
  </x:si>
  <x:si>
    <x:t>http://id.who.int/icd/release/11/beta/ichi/1583110818</x:t>
  </x:si>
  <x:si>
    <x:t>VAB.WC.QE</x:t>
  </x:si>
  <x:si>
    <x:t>- - - - Restrictions through enforcement of laws or standards on the sale or distribution of tobacco products</x:t>
  </x:si>
  <x:si>
    <x:t>http://id.who.int/icd/entity/1431847948</x:t>
  </x:si>
  <x:si>
    <x:t>http://id.who.int/icd/release/11/beta/ichi/1431847948</x:t>
  </x:si>
  <x:si>
    <x:t>VAB.WC.ZZ</x:t>
  </x:si>
  <x:si>
    <x:t>- - - - Restrictions or requirements concerning the sale or distribution of tobacco products, not elsewhere classified</x:t>
  </x:si>
  <x:si>
    <x:t>http://id.who.int/icd/entity/27134851</x:t>
  </x:si>
  <x:si>
    <x:t>http://id.who.int/icd/release/11/beta/ichi/27134851</x:t>
  </x:si>
  <x:si>
    <x:t>VAB.WD.QD</x:t>
  </x:si>
  <x:si>
    <x:t>- - - - Restrictions through enactment of laws or standards on the advertising, promotion or sponsorship of tobacco products</x:t>
  </x:si>
  <x:si>
    <x:t>http://id.who.int/icd/entity/400154974</x:t>
  </x:si>
  <x:si>
    <x:t>http://id.who.int/icd/release/11/beta/ichi/400154974</x:t>
  </x:si>
  <x:si>
    <x:t>VAB.WD.QE</x:t>
  </x:si>
  <x:si>
    <x:t>- - - - Restrictions through enforcement of laws or standards on the advertising, promotion or sponsorship of tobacco products</x:t>
  </x:si>
  <x:si>
    <x:t>http://id.who.int/icd/entity/949558258</x:t>
  </x:si>
  <x:si>
    <x:t>http://id.who.int/icd/release/11/beta/ichi/949558258</x:t>
  </x:si>
  <x:si>
    <x:t>VAB.WD.ZZ</x:t>
  </x:si>
  <x:si>
    <x:t>- - - - Restrictions or requirements concerning the advertising, promotion or sponsorship of tobacco products, not elsewhere classified</x:t>
  </x:si>
  <x:si>
    <x:t>http://id.who.int/icd/entity/1209774205</x:t>
  </x:si>
  <x:si>
    <x:t>http://id.who.int/icd/release/11/beta/ichi/1209774205</x:t>
  </x:si>
  <x:si>
    <x:t>VAB.WE.QD</x:t>
  </x:si>
  <x:si>
    <x:t>- - - - Restrictions through enactment of laws or standards on the production or importation of tobacco products</x:t>
  </x:si>
  <x:si>
    <x:t>http://id.who.int/icd/entity/1294966659</x:t>
  </x:si>
  <x:si>
    <x:t>http://id.who.int/icd/release/11/beta/ichi/1294966659</x:t>
  </x:si>
  <x:si>
    <x:t>VAB.WE.QE</x:t>
  </x:si>
  <x:si>
    <x:t>- - - - Restrictions through enforcement of laws or standards on the production or importation of tobacco products</x:t>
  </x:si>
  <x:si>
    <x:t>http://id.who.int/icd/entity/840219806</x:t>
  </x:si>
  <x:si>
    <x:t>http://id.who.int/icd/release/11/beta/ichi/840219806</x:t>
  </x:si>
  <x:si>
    <x:t>VAB.WF.QD</x:t>
  </x:si>
  <x:si>
    <x:t>- - - - Restrictions through enactment of laws or standards on the consumption or use of tobacco products</x:t>
  </x:si>
  <x:si>
    <x:t>http://id.who.int/icd/entity/1550630901</x:t>
  </x:si>
  <x:si>
    <x:t>http://id.who.int/icd/release/11/beta/ichi/1550630901</x:t>
  </x:si>
  <x:si>
    <x:t>VAB.WF.QE</x:t>
  </x:si>
  <x:si>
    <x:t>- - - - Restrictions through enforcement of laws or standards on the consumption or use of tobacco products</x:t>
  </x:si>
  <x:si>
    <x:t>http://id.who.int/icd/entity/935685108</x:t>
  </x:si>
  <x:si>
    <x:t>http://id.who.int/icd/release/11/beta/ichi/935685108</x:t>
  </x:si>
  <x:si>
    <x:t>VAB.WF.ZZ</x:t>
  </x:si>
  <x:si>
    <x:t>- - - - Restrictions concerning the consumption or use of tobacco products, not elsewhere classified</x:t>
  </x:si>
  <x:si>
    <x:t>http://id.who.int/icd/entity/763516202</x:t>
  </x:si>
  <x:si>
    <x:t>http://id.who.int/icd/release/11/beta/ichi/763516202</x:t>
  </x:si>
  <x:si>
    <x:t>VAB.WG.QF</x:t>
  </x:si>
  <x:si>
    <x:t>- - - - Economic incentives to encourage improved health behaviours relating to tobacco use</x:t>
  </x:si>
  <x:si>
    <x:t>http://id.who.int/icd/entity/646335364</x:t>
  </x:si>
  <x:si>
    <x:t>http://id.who.int/icd/release/11/beta/ichi/646335364</x:t>
  </x:si>
  <x:si>
    <x:t>VAB.WG.ZZ</x:t>
  </x:si>
  <x:si>
    <x:t>- - - - Applying incentives to encourage improved health behaviours relating to tobacco use</x:t>
  </x:si>
  <x:si>
    <x:t>http://id.who.int/icd/entity/964333949</x:t>
  </x:si>
  <x:si>
    <x:t>http://id.who.int/icd/release/11/beta/ichi/964333949</x:t>
  </x:si>
  <x:si>
    <x:t>VAB.WI.ZZ</x:t>
  </x:si>
  <x:si>
    <x:t>- - - - Restrictions through laws or standards in relation to the production or importation of tobacco products</x:t>
  </x:si>
  <x:si>
    <x:t>http://id.who.int/icd/entity/1479856475</x:t>
  </x:si>
  <x:si>
    <x:t>http://id.who.int/icd/release/11/beta/ichi/1479856475</x:t>
  </x:si>
  <x:si>
    <x:t>VAB.WJ.ZZ</x:t>
  </x:si>
  <x:si>
    <x:t>- - - - Policy change concerning tobacco use behaviours</x:t>
  </x:si>
  <x:si>
    <x:t>http://id.who.int/icd/entity/655356486</x:t>
  </x:si>
  <x:si>
    <x:t>http://id.who.int/icd/release/11/beta/ichi/655356486</x:t>
  </x:si>
  <x:si>
    <x:t>VAB.ZZ.ZZ</x:t>
  </x:si>
  <x:si>
    <x:t>- - - - Other interventions targeting tobacco use behaviours, not elsewhere classified</x:t>
  </x:si>
  <x:si>
    <x:t>http://id.who.int/icd/entity/1299044195</x:t>
  </x:si>
  <x:si>
    <x:t>http://id.who.int/icd/release/11/beta/ichi/1299044195</x:t>
  </x:si>
  <x:si>
    <x:t>VAC.AA.ZZ</x:t>
  </x:si>
  <x:si>
    <x:t>- - - - Assessment of illicit drug use behaviours</x:t>
  </x:si>
  <x:si>
    <x:t>http://id.who.int/icd/entity/1039105262</x:t>
  </x:si>
  <x:si>
    <x:t>http://id.who.int/icd/release/11/beta/ichi/1039105262</x:t>
  </x:si>
  <x:si>
    <x:t>VAC.AC.ZZ</x:t>
  </x:si>
  <x:si>
    <x:t>- - - - Test of illicit drug use behaviours</x:t>
  </x:si>
  <x:si>
    <x:t>http://id.who.int/icd/entity/313493058</x:t>
  </x:si>
  <x:si>
    <x:t>http://id.who.int/icd/release/11/beta/ichi/313493058</x:t>
  </x:si>
  <x:si>
    <x:t>VAC.PH.ZZ</x:t>
  </x:si>
  <x:si>
    <x:t>- - - - Training to influence illicit drug use behaviours</x:t>
  </x:si>
  <x:si>
    <x:t>http://id.who.int/icd/entity/121256454</x:t>
  </x:si>
  <x:si>
    <x:t>http://id.who.int/icd/release/11/beta/ichi/121256454</x:t>
  </x:si>
  <x:si>
    <x:t>VAC.PM.ZZ</x:t>
  </x:si>
  <x:si>
    <x:t>- - - - Education to influence illicit drug use behaviours</x:t>
  </x:si>
  <x:si>
    <x:t>http://id.who.int/icd/entity/1765947759</x:t>
  </x:si>
  <x:si>
    <x:t>http://id.who.int/icd/release/11/beta/ichi/1765947759</x:t>
  </x:si>
  <x:si>
    <x:t>VAC.PN.ZZ</x:t>
  </x:si>
  <x:si>
    <x:t>- - - - Advising about illicit drug use behaviours</x:t>
  </x:si>
  <x:si>
    <x:t>http://id.who.int/icd/entity/1492675365</x:t>
  </x:si>
  <x:si>
    <x:t>http://id.who.int/icd/release/11/beta/ichi/1492675365</x:t>
  </x:si>
  <x:si>
    <x:t>VAC.PP.ZZ</x:t>
  </x:si>
  <x:si>
    <x:t>- - - - Counselling about illicit drug use behaviours</x:t>
  </x:si>
  <x:si>
    <x:t>http://id.who.int/icd/entity/1758167215</x:t>
  </x:si>
  <x:si>
    <x:t>http://id.who.int/icd/release/11/beta/ichi/1758167215</x:t>
  </x:si>
  <x:si>
    <x:t>VAC.PQ.ZZ</x:t>
  </x:si>
  <x:si>
    <x:t>- - - - Psychotherapy for illicit drug use behaviours</x:t>
  </x:si>
  <x:si>
    <x:t>http://id.who.int/icd/entity/1674550787</x:t>
  </x:si>
  <x:si>
    <x:t>http://id.who.int/icd/release/11/beta/ichi/1674550787</x:t>
  </x:si>
  <x:si>
    <x:t>VAC.RD.ZZ</x:t>
  </x:si>
  <x:si>
    <x:t>- - - - Providing goods to support improved health behaviours relating to illicit drug use</x:t>
  </x:si>
  <x:si>
    <x:t>http://id.who.int/icd/entity/923390350</x:t>
  </x:si>
  <x:si>
    <x:t>http://id.who.int/icd/release/11/beta/ichi/923390350</x:t>
  </x:si>
  <x:si>
    <x:t>VAC.RE.ZZ</x:t>
  </x:si>
  <x:si>
    <x:t>- - - - Provision of peer support for illicit drug use behaviours</x:t>
  </x:si>
  <x:si>
    <x:t>http://id.who.int/icd/entity/304182494</x:t>
  </x:si>
  <x:si>
    <x:t>http://id.who.int/icd/release/11/beta/ichi/304182494</x:t>
  </x:si>
  <x:si>
    <x:t>VAC.TA.ZZ</x:t>
  </x:si>
  <x:si>
    <x:t>- - - - Advocacy in relation to illicit drug use behaviours</x:t>
  </x:si>
  <x:si>
    <x:t>http://id.who.int/icd/entity/1029803634</x:t>
  </x:si>
  <x:si>
    <x:t>http://id.who.int/icd/release/11/beta/ichi/1029803634</x:t>
  </x:si>
  <x:si>
    <x:t>VAC.TD.ZZ</x:t>
  </x:si>
  <x:si>
    <x:t>- - - - Collaborating or building partnerships in relation to illicit drug use behaviours</x:t>
  </x:si>
  <x:si>
    <x:t>http://id.who.int/icd/entity/1306732029</x:t>
  </x:si>
  <x:si>
    <x:t>http://id.who.int/icd/release/11/beta/ichi/1306732029</x:t>
  </x:si>
  <x:si>
    <x:t>VAC.TI.ZZ</x:t>
  </x:si>
  <x:si>
    <x:t>- - - - Prescription related to illicit drug use behaviours</x:t>
  </x:si>
  <x:si>
    <x:t>http://id.who.int/icd/entity/1222052355</x:t>
  </x:si>
  <x:si>
    <x:t>http://id.who.int/icd/release/11/beta/ichi/1222052355</x:t>
  </x:si>
  <x:si>
    <x:t>VAC.TM.ZZ</x:t>
  </x:si>
  <x:si>
    <x:t>- - - - Environment modification to influence illicit drug use behaviours</x:t>
  </x:si>
  <x:si>
    <x:t>http://id.who.int/icd/entity/938223902</x:t>
  </x:si>
  <x:si>
    <x:t>http://id.who.int/icd/release/11/beta/ichi/938223902</x:t>
  </x:si>
  <x:si>
    <x:t>VAC.VA.ZZ</x:t>
  </x:si>
  <x:si>
    <x:t>- - - - Capacity building targeting illicit drug use behaviours</x:t>
  </x:si>
  <x:si>
    <x:t>http://id.who.int/icd/entity/1502882421</x:t>
  </x:si>
  <x:si>
    <x:t>http://id.who.int/icd/release/11/beta/ichi/1502882421</x:t>
  </x:si>
  <x:si>
    <x:t>VAC.VB.ZZ</x:t>
  </x:si>
  <x:si>
    <x:t>- - - - Awareness raising to influence illicit drug use behaviours</x:t>
  </x:si>
  <x:si>
    <x:t>http://id.who.int/icd/entity/755804086</x:t>
  </x:si>
  <x:si>
    <x:t>http://id.who.int/icd/release/11/beta/ichi/755804086</x:t>
  </x:si>
  <x:si>
    <x:t>VAC.VC.ZZ</x:t>
  </x:si>
  <x:si>
    <x:t>- - - - Public health surveillance concerning illicit drug use behaviours</x:t>
  </x:si>
  <x:si>
    <x:t>http://id.who.int/icd/entity/927701356</x:t>
  </x:si>
  <x:si>
    <x:t>http://id.who.int/icd/release/11/beta/ichi/927701356</x:t>
  </x:si>
  <x:si>
    <x:t>VAC.WC.QD</x:t>
  </x:si>
  <x:si>
    <x:t>- - - - Restrictions through enactment of laws or standards on the sale or distribution of illicit drugs</x:t>
  </x:si>
  <x:si>
    <x:t>http://id.who.int/icd/entity/1011845058</x:t>
  </x:si>
  <x:si>
    <x:t>http://id.who.int/icd/release/11/beta/ichi/1011845058</x:t>
  </x:si>
  <x:si>
    <x:t>VAC.WC.QE</x:t>
  </x:si>
  <x:si>
    <x:t>- - - - Restrictions through enforcement of laws or standards on the sale or distribution of illicit drugs</x:t>
  </x:si>
  <x:si>
    <x:t>http://id.who.int/icd/entity/1361868495</x:t>
  </x:si>
  <x:si>
    <x:t>http://id.who.int/icd/release/11/beta/ichi/1361868495</x:t>
  </x:si>
  <x:si>
    <x:t>VAC.WC.ZZ</x:t>
  </x:si>
  <x:si>
    <x:t>- - - - Restrictions concerning the sale or distribution of illicit drugs, not elsewhere classified</x:t>
  </x:si>
  <x:si>
    <x:t>http://id.who.int/icd/entity/773281234</x:t>
  </x:si>
  <x:si>
    <x:t>http://id.who.int/icd/release/11/beta/ichi/773281234</x:t>
  </x:si>
  <x:si>
    <x:t>VAC.WE.QD</x:t>
  </x:si>
  <x:si>
    <x:t>- - - - Restrictions through enactment of laws or standards on the production or importation of illicit drugs by legal means</x:t>
  </x:si>
  <x:si>
    <x:t>http://id.who.int/icd/entity/723745328</x:t>
  </x:si>
  <x:si>
    <x:t>http://id.who.int/icd/release/11/beta/ichi/723745328</x:t>
  </x:si>
  <x:si>
    <x:t>VAC.WE.QE</x:t>
  </x:si>
  <x:si>
    <x:t>- - - - Restrictions through enforcement of laws or standards on the production or importation of illicit drugs by legal means</x:t>
  </x:si>
  <x:si>
    <x:t>http://id.who.int/icd/entity/1537331619</x:t>
  </x:si>
  <x:si>
    <x:t>http://id.who.int/icd/release/11/beta/ichi/1537331619</x:t>
  </x:si>
  <x:si>
    <x:t>VAC.WF.QD</x:t>
  </x:si>
  <x:si>
    <x:t>- - - - Restrictions through enactment of laws or standards on the consumption of illicit drugs</x:t>
  </x:si>
  <x:si>
    <x:t>http://id.who.int/icd/entity/1960913677</x:t>
  </x:si>
  <x:si>
    <x:t>http://id.who.int/icd/release/11/beta/ichi/1960913677</x:t>
  </x:si>
  <x:si>
    <x:t>VAC.WF.QE</x:t>
  </x:si>
  <x:si>
    <x:t>- - - - Restrictions through enforcement of laws or standards on the consumption of illicit drugs</x:t>
  </x:si>
  <x:si>
    <x:t>http://id.who.int/icd/entity/1372163679</x:t>
  </x:si>
  <x:si>
    <x:t>http://id.who.int/icd/release/11/beta/ichi/1372163679</x:t>
  </x:si>
  <x:si>
    <x:t>VAC.WF.ZZ</x:t>
  </x:si>
  <x:si>
    <x:t>- - - - Restrictions concerning the consumption of illicit drugs, not elsewhere classified</x:t>
  </x:si>
  <x:si>
    <x:t>http://id.who.int/icd/entity/1068600630</x:t>
  </x:si>
  <x:si>
    <x:t>http://id.who.int/icd/release/11/beta/ichi/1068600630</x:t>
  </x:si>
  <x:si>
    <x:t>VAC.WG.QF</x:t>
  </x:si>
  <x:si>
    <x:t>- - - - Economic incentives to encourage improved health behaviours relating to illicit drug use</x:t>
  </x:si>
  <x:si>
    <x:t>http://id.who.int/icd/entity/235659132</x:t>
  </x:si>
  <x:si>
    <x:t>http://id.who.int/icd/release/11/beta/ichi/235659132</x:t>
  </x:si>
  <x:si>
    <x:t>VAC.WG.ZZ</x:t>
  </x:si>
  <x:si>
    <x:t>- - - - Applying incentives to encourage improved health behaviours relating to illicit drug use</x:t>
  </x:si>
  <x:si>
    <x:t>http://id.who.int/icd/entity/674869515</x:t>
  </x:si>
  <x:si>
    <x:t>http://id.who.int/icd/release/11/beta/ichi/674869515</x:t>
  </x:si>
  <x:si>
    <x:t>VAC.WI.ZZ</x:t>
  </x:si>
  <x:si>
    <x:t>- - - - Restrictions through laws or standards in relation to the production or importation of illicit drugs by legal means</x:t>
  </x:si>
  <x:si>
    <x:t>http://id.who.int/icd/entity/1043870968</x:t>
  </x:si>
  <x:si>
    <x:t>http://id.who.int/icd/release/11/beta/ichi/1043870968</x:t>
  </x:si>
  <x:si>
    <x:t>VAC.WJ.ZZ</x:t>
  </x:si>
  <x:si>
    <x:t>- - - - Policy change concerning illicit drug use behaviours</x:t>
  </x:si>
  <x:si>
    <x:t>http://id.who.int/icd/entity/893135450</x:t>
  </x:si>
  <x:si>
    <x:t>http://id.who.int/icd/release/11/beta/ichi/893135450</x:t>
  </x:si>
  <x:si>
    <x:t>VAC.ZZ.ZZ</x:t>
  </x:si>
  <x:si>
    <x:t>- - - - Other interventions targeting illicit drug use behaviours, not elsewhere classified</x:t>
  </x:si>
  <x:si>
    <x:t>http://id.who.int/icd/entity/1643800021</x:t>
  </x:si>
  <x:si>
    <x:t>http://id.who.int/icd/release/11/beta/ichi/1643800021</x:t>
  </x:si>
  <x:si>
    <x:t>VAD.AA.ZZ</x:t>
  </x:si>
  <x:si>
    <x:t>- - - - Assessment of pharmaceutical use behaviours</x:t>
  </x:si>
  <x:si>
    <x:t>http://id.who.int/icd/entity/1541642563</x:t>
  </x:si>
  <x:si>
    <x:t>http://id.who.int/icd/release/11/beta/ichi/1541642563</x:t>
  </x:si>
  <x:si>
    <x:t>VAD.AC.ZZ</x:t>
  </x:si>
  <x:si>
    <x:t>- - - - Test of pharmaceutical use behaviours</x:t>
  </x:si>
  <x:si>
    <x:t>http://id.who.int/icd/entity/1332340019</x:t>
  </x:si>
  <x:si>
    <x:t>http://id.who.int/icd/release/11/beta/ichi/1332340019</x:t>
  </x:si>
  <x:si>
    <x:t>VAD.AM.ZZ</x:t>
  </x:si>
  <x:si>
    <x:t>- - - - Observation of pharmaceutical use behaviours</x:t>
  </x:si>
  <x:si>
    <x:t>http://id.who.int/icd/entity/1956865005</x:t>
  </x:si>
  <x:si>
    <x:t>http://id.who.int/icd/release/11/beta/ichi/1956865005</x:t>
  </x:si>
  <x:si>
    <x:t>VAD.PH.ZZ</x:t>
  </x:si>
  <x:si>
    <x:t>- - - - Training to influence pharmaceutical use behaviours</x:t>
  </x:si>
  <x:si>
    <x:t>http://id.who.int/icd/entity/69322850</x:t>
  </x:si>
  <x:si>
    <x:t>http://id.who.int/icd/release/11/beta/ichi/69322850</x:t>
  </x:si>
  <x:si>
    <x:t>VAD.PM.ZZ</x:t>
  </x:si>
  <x:si>
    <x:t>- - - - Education to influence pharmaceutical use behaviours</x:t>
  </x:si>
  <x:si>
    <x:t>http://id.who.int/icd/entity/1104129431</x:t>
  </x:si>
  <x:si>
    <x:t>http://id.who.int/icd/release/11/beta/ichi/1104129431</x:t>
  </x:si>
  <x:si>
    <x:t>VAD.PN.ZZ</x:t>
  </x:si>
  <x:si>
    <x:t>- - - - Advising about pharmaceutical use behaviours</x:t>
  </x:si>
  <x:si>
    <x:t>http://id.who.int/icd/entity/1056214666</x:t>
  </x:si>
  <x:si>
    <x:t>http://id.who.int/icd/release/11/beta/ichi/1056214666</x:t>
  </x:si>
  <x:si>
    <x:t>VAD.PP.ZZ</x:t>
  </x:si>
  <x:si>
    <x:t>- - - - Counselling about pharmaceutical use behaviours</x:t>
  </x:si>
  <x:si>
    <x:t>http://id.who.int/icd/entity/1351388641</x:t>
  </x:si>
  <x:si>
    <x:t>http://id.who.int/icd/release/11/beta/ichi/1351388641</x:t>
  </x:si>
  <x:si>
    <x:t>VAD.RE.ZZ</x:t>
  </x:si>
  <x:si>
    <x:t>- - - - Provision of peer support for pharmaceutical use behaviours</x:t>
  </x:si>
  <x:si>
    <x:t>http://id.who.int/icd/entity/1262619387</x:t>
  </x:si>
  <x:si>
    <x:t>http://id.who.int/icd/release/11/beta/ichi/1262619387</x:t>
  </x:si>
  <x:si>
    <x:t>VAD.TA.ZZ</x:t>
  </x:si>
  <x:si>
    <x:t>- - - - Advocacy in relation to pharmaceutical use behaviours</x:t>
  </x:si>
  <x:si>
    <x:t>http://id.who.int/icd/entity/1359295521</x:t>
  </x:si>
  <x:si>
    <x:t>http://id.who.int/icd/release/11/beta/ichi/1359295521</x:t>
  </x:si>
  <x:si>
    <x:t>VAD.TD.ZZ</x:t>
  </x:si>
  <x:si>
    <x:t>- - - - Collaborating or building partnerships in relation to pharmaceutical use behaviours</x:t>
  </x:si>
  <x:si>
    <x:t>http://id.who.int/icd/entity/1510025869</x:t>
  </x:si>
  <x:si>
    <x:t>http://id.who.int/icd/release/11/beta/ichi/1510025869</x:t>
  </x:si>
  <x:si>
    <x:t>VAD.TM.ZZ</x:t>
  </x:si>
  <x:si>
    <x:t>- - - - Environment modification to influence pharmaceutical use behaviours</x:t>
  </x:si>
  <x:si>
    <x:t>http://id.who.int/icd/entity/1423237967</x:t>
  </x:si>
  <x:si>
    <x:t>http://id.who.int/icd/release/11/beta/ichi/1423237967</x:t>
  </x:si>
  <x:si>
    <x:t>VAD.VA.ZZ</x:t>
  </x:si>
  <x:si>
    <x:t>- - - - Capacity building targeting pharmaceutical use behaviours</x:t>
  </x:si>
  <x:si>
    <x:t>http://id.who.int/icd/entity/737132626</x:t>
  </x:si>
  <x:si>
    <x:t>http://id.who.int/icd/release/11/beta/ichi/737132626</x:t>
  </x:si>
  <x:si>
    <x:t>VAD.VB.ZZ</x:t>
  </x:si>
  <x:si>
    <x:t>- - - - Awareness raising to influence pharmaceutical use behaviours</x:t>
  </x:si>
  <x:si>
    <x:t>http://id.who.int/icd/entity/786165680</x:t>
  </x:si>
  <x:si>
    <x:t>http://id.who.int/icd/release/11/beta/ichi/786165680</x:t>
  </x:si>
  <x:si>
    <x:t>VAD.VC.ZZ</x:t>
  </x:si>
  <x:si>
    <x:t>- - - - Public health surveillance concerning pharmaceutical use behaviours</x:t>
  </x:si>
  <x:si>
    <x:t>http://id.who.int/icd/entity/1582908451</x:t>
  </x:si>
  <x:si>
    <x:t>http://id.who.int/icd/release/11/beta/ichi/1582908451</x:t>
  </x:si>
  <x:si>
    <x:t>VAD.VF.ZZ</x:t>
  </x:si>
  <x:si>
    <x:t>- - - - Alert concerning pharmaceutical use behaviours</x:t>
  </x:si>
  <x:si>
    <x:t>http://id.who.int/icd/entity/1373686961</x:t>
  </x:si>
  <x:si>
    <x:t>http://id.who.int/icd/release/11/beta/ichi/1373686961</x:t>
  </x:si>
  <x:si>
    <x:t>VAD.WC.QD</x:t>
  </x:si>
  <x:si>
    <x:t>- - - - Restrictions through enactment of laws or standards on the sale or distribution of pharmaceuticals</x:t>
  </x:si>
  <x:si>
    <x:t>http://id.who.int/icd/entity/243609060</x:t>
  </x:si>
  <x:si>
    <x:t>http://id.who.int/icd/release/11/beta/ichi/243609060</x:t>
  </x:si>
  <x:si>
    <x:t>VAD.WC.QE</x:t>
  </x:si>
  <x:si>
    <x:t>- - - - Restrictions through enforcement of laws or standards on the sale or distribution of pharmaceuticals</x:t>
  </x:si>
  <x:si>
    <x:t>http://id.who.int/icd/entity/92353358</x:t>
  </x:si>
  <x:si>
    <x:t>http://id.who.int/icd/release/11/beta/ichi/92353358</x:t>
  </x:si>
  <x:si>
    <x:t>VAD.WC.ZZ</x:t>
  </x:si>
  <x:si>
    <x:t>- - - - Restrictions or requirements concerning the sale or distribution of pharmaceuticals, not elsewhere classified</x:t>
  </x:si>
  <x:si>
    <x:t>http://id.who.int/icd/entity/1363639489</x:t>
  </x:si>
  <x:si>
    <x:t>http://id.who.int/icd/release/11/beta/ichi/1363639489</x:t>
  </x:si>
  <x:si>
    <x:t>VAD.WD.QD</x:t>
  </x:si>
  <x:si>
    <x:t>- - - - Restrictions through enactment of laws or standards on the advertising, promotion or sponsorship of pharmaceuticals</x:t>
  </x:si>
  <x:si>
    <x:t>http://id.who.int/icd/entity/1343402563</x:t>
  </x:si>
  <x:si>
    <x:t>http://id.who.int/icd/release/11/beta/ichi/1343402563</x:t>
  </x:si>
  <x:si>
    <x:t>VAD.WD.QE</x:t>
  </x:si>
  <x:si>
    <x:t>- - - - Restrictions through enforcement of laws or standards on the advertising, promotion or sponsorship of pharmaceuticals</x:t>
  </x:si>
  <x:si>
    <x:t>http://id.who.int/icd/entity/2136099053</x:t>
  </x:si>
  <x:si>
    <x:t>http://id.who.int/icd/release/11/beta/ichi/2136099053</x:t>
  </x:si>
  <x:si>
    <x:t>VAD.WD.ZZ</x:t>
  </x:si>
  <x:si>
    <x:t>- - - - Restrictions or requirements concerning the advertising of pharmaceuticals, not elsewhere classified</x:t>
  </x:si>
  <x:si>
    <x:t>http://id.who.int/icd/entity/265347938</x:t>
  </x:si>
  <x:si>
    <x:t>http://id.who.int/icd/release/11/beta/ichi/265347938</x:t>
  </x:si>
  <x:si>
    <x:t>VAD.WE.QD</x:t>
  </x:si>
  <x:si>
    <x:t>- - - - Restrictions through enactment of laws or standards on the production or importation of pharmaceuticals</x:t>
  </x:si>
  <x:si>
    <x:t>http://id.who.int/icd/entity/182766752</x:t>
  </x:si>
  <x:si>
    <x:t>http://id.who.int/icd/release/11/beta/ichi/182766752</x:t>
  </x:si>
  <x:si>
    <x:t>VAD.WE.QE</x:t>
  </x:si>
  <x:si>
    <x:t>- - - - Restrictions through enforcement of laws or standards on the production or importation of pharmaceuticals</x:t>
  </x:si>
  <x:si>
    <x:t>http://id.who.int/icd/entity/1977610113</x:t>
  </x:si>
  <x:si>
    <x:t>http://id.who.int/icd/release/11/beta/ichi/1977610113</x:t>
  </x:si>
  <x:si>
    <x:t>VAD.WF.QD</x:t>
  </x:si>
  <x:si>
    <x:t>- - - - Restrictions through enactment of laws or standards on the consumption or use of pharmaceuticals</x:t>
  </x:si>
  <x:si>
    <x:t>http://id.who.int/icd/entity/463989992</x:t>
  </x:si>
  <x:si>
    <x:t>http://id.who.int/icd/release/11/beta/ichi/463989992</x:t>
  </x:si>
  <x:si>
    <x:t>VAD.WF.QE</x:t>
  </x:si>
  <x:si>
    <x:t>- - - - Restrictions through enforcement of laws or standards on the consumption or use of pharmaceuticals</x:t>
  </x:si>
  <x:si>
    <x:t>http://id.who.int/icd/entity/1879980271</x:t>
  </x:si>
  <x:si>
    <x:t>http://id.who.int/icd/release/11/beta/ichi/1879980271</x:t>
  </x:si>
  <x:si>
    <x:t>VAD.WF.ZZ</x:t>
  </x:si>
  <x:si>
    <x:t>- - - - Restrictions concerning the consumption or use of pharmaceuticals, not elsewhere classified</x:t>
  </x:si>
  <x:si>
    <x:t>http://id.who.int/icd/entity/1783170613</x:t>
  </x:si>
  <x:si>
    <x:t>http://id.who.int/icd/release/11/beta/ichi/1783170613</x:t>
  </x:si>
  <x:si>
    <x:t>VAD.WG.QF</x:t>
  </x:si>
  <x:si>
    <x:t>- - - - Economic incentives to encourage improved health behaviours relating to pharmaceutical use</x:t>
  </x:si>
  <x:si>
    <x:t>http://id.who.int/icd/entity/1632442521</x:t>
  </x:si>
  <x:si>
    <x:t>http://id.who.int/icd/release/11/beta/ichi/1632442521</x:t>
  </x:si>
  <x:si>
    <x:t>VAD.WG.ZZ</x:t>
  </x:si>
  <x:si>
    <x:t>- - - - Applying incentives to encourage improved health behaviours relating to pharmaceutical use</x:t>
  </x:si>
  <x:si>
    <x:t>http://id.who.int/icd/entity/853098401</x:t>
  </x:si>
  <x:si>
    <x:t>http://id.who.int/icd/release/11/beta/ichi/853098401</x:t>
  </x:si>
  <x:si>
    <x:t>VAD.WI.ZZ</x:t>
  </x:si>
  <x:si>
    <x:t>- - - - Restrictions through laws or standards on the production or importation of pharmaceuticals</x:t>
  </x:si>
  <x:si>
    <x:t>http://id.who.int/icd/entity/536838728</x:t>
  </x:si>
  <x:si>
    <x:t>http://id.who.int/icd/release/11/beta/ichi/536838728</x:t>
  </x:si>
  <x:si>
    <x:t>VAD.WJ.ZZ</x:t>
  </x:si>
  <x:si>
    <x:t>- - - - Policy change concerning pharmaceutical use behaviours</x:t>
  </x:si>
  <x:si>
    <x:t>http://id.who.int/icd/entity/1623499097</x:t>
  </x:si>
  <x:si>
    <x:t>http://id.who.int/icd/release/11/beta/ichi/1623499097</x:t>
  </x:si>
  <x:si>
    <x:t>VAD.ZZ.ZZ</x:t>
  </x:si>
  <x:si>
    <x:t>- - - - Other interventions targeting pharmaceutical use behaviours, not elsewhere classified</x:t>
  </x:si>
  <x:si>
    <x:t>http://id.who.int/icd/entity/178685054</x:t>
  </x:si>
  <x:si>
    <x:t>http://id.who.int/icd/release/11/beta/ichi/178685054</x:t>
  </x:si>
  <x:si>
    <x:t>VAE.AA.ZZ</x:t>
  </x:si>
  <x:si>
    <x:t>- - - - Assessment of gambling behaviours</x:t>
  </x:si>
  <x:si>
    <x:t>http://id.who.int/icd/entity/2049191923</x:t>
  </x:si>
  <x:si>
    <x:t>http://id.who.int/icd/release/11/beta/ichi/2049191923</x:t>
  </x:si>
  <x:si>
    <x:t>VAE.AC.ZZ</x:t>
  </x:si>
  <x:si>
    <x:t>- - - - Test of gambling behaviours</x:t>
  </x:si>
  <x:si>
    <x:t>http://id.who.int/icd/entity/1432671581</x:t>
  </x:si>
  <x:si>
    <x:t>http://id.who.int/icd/release/11/beta/ichi/1432671581</x:t>
  </x:si>
  <x:si>
    <x:t>VAE.PH.ZZ</x:t>
  </x:si>
  <x:si>
    <x:t>- - - - Training to influence gambling behaviours</x:t>
  </x:si>
  <x:si>
    <x:t>http://id.who.int/icd/entity/1089562907</x:t>
  </x:si>
  <x:si>
    <x:t>http://id.who.int/icd/release/11/beta/ichi/1089562907</x:t>
  </x:si>
  <x:si>
    <x:t>VAE.PM.ZZ</x:t>
  </x:si>
  <x:si>
    <x:t>- - - - Education to influence gambling behaviours</x:t>
  </x:si>
  <x:si>
    <x:t>http://id.who.int/icd/entity/780757620</x:t>
  </x:si>
  <x:si>
    <x:t>http://id.who.int/icd/release/11/beta/ichi/780757620</x:t>
  </x:si>
  <x:si>
    <x:t>VAE.PN.ZZ</x:t>
  </x:si>
  <x:si>
    <x:t>- - - - Advising about gambling behaviours</x:t>
  </x:si>
  <x:si>
    <x:t>http://id.who.int/icd/entity/523450426</x:t>
  </x:si>
  <x:si>
    <x:t>http://id.who.int/icd/release/11/beta/ichi/523450426</x:t>
  </x:si>
  <x:si>
    <x:t>VAE.PP.ZZ</x:t>
  </x:si>
  <x:si>
    <x:t>- - - - Counselling about gambling behaviours</x:t>
  </x:si>
  <x:si>
    <x:t>http://id.who.int/icd/entity/788583346</x:t>
  </x:si>
  <x:si>
    <x:t>http://id.who.int/icd/release/11/beta/ichi/788583346</x:t>
  </x:si>
  <x:si>
    <x:t>VAE.PQ.ZZ</x:t>
  </x:si>
  <x:si>
    <x:t>- - - - Psychotherapy for gambling behaviours</x:t>
  </x:si>
  <x:si>
    <x:t>http://id.who.int/icd/entity/604294432</x:t>
  </x:si>
  <x:si>
    <x:t>http://id.who.int/icd/release/11/beta/ichi/604294432</x:t>
  </x:si>
  <x:si>
    <x:t>VAE.RC.ZZ</x:t>
  </x:si>
  <x:si>
    <x:t>- - - - Emotional support for gambling behaviours</x:t>
  </x:si>
  <x:si>
    <x:t>http://id.who.int/icd/entity/1891795601</x:t>
  </x:si>
  <x:si>
    <x:t>http://id.who.int/icd/release/11/beta/ichi/1891795601</x:t>
  </x:si>
  <x:si>
    <x:t>VAE.RE.ZZ</x:t>
  </x:si>
  <x:si>
    <x:t>- - - - Provision of peer support for gambling behaviours</x:t>
  </x:si>
  <x:si>
    <x:t>http://id.who.int/icd/entity/1441408963</x:t>
  </x:si>
  <x:si>
    <x:t>http://id.who.int/icd/release/11/beta/ichi/1441408963</x:t>
  </x:si>
  <x:si>
    <x:t>VAE.TA.ZZ</x:t>
  </x:si>
  <x:si>
    <x:t>- - - - Advocacy in relation to gambling behaviours</x:t>
  </x:si>
  <x:si>
    <x:t>http://id.who.int/icd/entity/2058018157</x:t>
  </x:si>
  <x:si>
    <x:t>http://id.who.int/icd/release/11/beta/ichi/2058018157</x:t>
  </x:si>
  <x:si>
    <x:t>VAE.TD.ZZ</x:t>
  </x:si>
  <x:si>
    <x:t>- - - - Collaborating or building partnerships in relation to gambling behaviours</x:t>
  </x:si>
  <x:si>
    <x:t>http://id.who.int/icd/entity/170424034</x:t>
  </x:si>
  <x:si>
    <x:t>http://id.who.int/icd/release/11/beta/ichi/170424034</x:t>
  </x:si>
  <x:si>
    <x:t>VAE.TM.ZZ</x:t>
  </x:si>
  <x:si>
    <x:t>- - - - Environment modification to influence gambling behaviours</x:t>
  </x:si>
  <x:si>
    <x:t>http://id.who.int/icd/entity/253516064</x:t>
  </x:si>
  <x:si>
    <x:t>http://id.who.int/icd/release/11/beta/ichi/253516064</x:t>
  </x:si>
  <x:si>
    <x:t>VAE.VA.ZZ</x:t>
  </x:si>
  <x:si>
    <x:t>- - - - Capacity building targeting gambling behaviours</x:t>
  </x:si>
  <x:si>
    <x:t>http://id.who.int/icd/entity/1881635329</x:t>
  </x:si>
  <x:si>
    <x:t>http://id.who.int/icd/release/11/beta/ichi/1881635329</x:t>
  </x:si>
  <x:si>
    <x:t>VAE.VB.ZZ</x:t>
  </x:si>
  <x:si>
    <x:t>- - - - Awareness raising to influence gambling behaviours</x:t>
  </x:si>
  <x:si>
    <x:t>http://id.who.int/icd/entity/509573480</x:t>
  </x:si>
  <x:si>
    <x:t>http://id.who.int/icd/release/11/beta/ichi/509573480</x:t>
  </x:si>
  <x:si>
    <x:t>VAE.VC.ZZ</x:t>
  </x:si>
  <x:si>
    <x:t>- - - - Public health surveillance concerning gambling behaviours</x:t>
  </x:si>
  <x:si>
    <x:t>http://id.who.int/icd/entity/1791489195</x:t>
  </x:si>
  <x:si>
    <x:t>http://id.who.int/icd/release/11/beta/ichi/1791489195</x:t>
  </x:si>
  <x:si>
    <x:t>VAE.WG.QF</x:t>
  </x:si>
  <x:si>
    <x:t>- - - - Economic incentives to encourage improved health behaviours relating to gambling</x:t>
  </x:si>
  <x:si>
    <x:t>http://id.who.int/icd/entity/1887488625</x:t>
  </x:si>
  <x:si>
    <x:t>http://id.who.int/icd/release/11/beta/ichi/1887488625</x:t>
  </x:si>
  <x:si>
    <x:t>VAE.WG.ZZ</x:t>
  </x:si>
  <x:si>
    <x:t>- - - - Applying incentives to encourage improved health behaviours relating to gambling</x:t>
  </x:si>
  <x:si>
    <x:t>http://id.who.int/icd/entity/2072302813</x:t>
  </x:si>
  <x:si>
    <x:t>http://id.who.int/icd/release/11/beta/ichi/2072302813</x:t>
  </x:si>
  <x:si>
    <x:t>VAE.WI.QD</x:t>
  </x:si>
  <x:si>
    <x:t>- - - - Restrictions through enactment of laws or standards on gambling behaviours</x:t>
  </x:si>
  <x:si>
    <x:t>http://id.who.int/icd/entity/1545759484</x:t>
  </x:si>
  <x:si>
    <x:t>http://id.who.int/icd/release/11/beta/ichi/1545759484</x:t>
  </x:si>
  <x:si>
    <x:t>VAE.WI.QE</x:t>
  </x:si>
  <x:si>
    <x:t>- - - - Restrictions through enforcement of laws or standards on gambling behaviours</x:t>
  </x:si>
  <x:si>
    <x:t>http://id.who.int/icd/entity/1327794103</x:t>
  </x:si>
  <x:si>
    <x:t>http://id.who.int/icd/release/11/beta/ichi/1327794103</x:t>
  </x:si>
  <x:si>
    <x:t>VAE.WI.ZZ</x:t>
  </x:si>
  <x:si>
    <x:t>- - - - Restrictions through laws or standards on gambling behaviours</x:t>
  </x:si>
  <x:si>
    <x:t>http://id.who.int/icd/entity/588859877</x:t>
  </x:si>
  <x:si>
    <x:t>http://id.who.int/icd/release/11/beta/ichi/588859877</x:t>
  </x:si>
  <x:si>
    <x:t>VAE.WJ.ZZ</x:t>
  </x:si>
  <x:si>
    <x:t>- - - - Policy change concerning gambling behaviours</x:t>
  </x:si>
  <x:si>
    <x:t>http://id.who.int/icd/entity/640509467</x:t>
  </x:si>
  <x:si>
    <x:t>http://id.who.int/icd/release/11/beta/ichi/640509467</x:t>
  </x:si>
  <x:si>
    <x:t>VAE.ZZ.ZZ</x:t>
  </x:si>
  <x:si>
    <x:t>- - - - Other intervention targeting gambling behaviours, not elsewhere classified</x:t>
  </x:si>
  <x:si>
    <x:t>http://id.who.int/icd/entity/1454362008</x:t>
  </x:si>
  <x:si>
    <x:t>http://id.who.int/icd/release/11/beta/ichi/1454362008</x:t>
  </x:si>
  <x:si>
    <x:t>VAF.AA.ZZ</x:t>
  </x:si>
  <x:si>
    <x:t>- - - - Assessment of digital technology use behaviours</x:t>
  </x:si>
  <x:si>
    <x:t>http://id.who.int/icd/entity/2045720376</x:t>
  </x:si>
  <x:si>
    <x:t>http://id.who.int/icd/release/11/beta/ichi/2045720376</x:t>
  </x:si>
  <x:si>
    <x:t>VAF.AC.ZZ</x:t>
  </x:si>
  <x:si>
    <x:t>- - - - Test of digital technology use behaviours</x:t>
  </x:si>
  <x:si>
    <x:t>http://id.who.int/icd/entity/1556583020</x:t>
  </x:si>
  <x:si>
    <x:t>http://id.who.int/icd/release/11/beta/ichi/1556583020</x:t>
  </x:si>
  <x:si>
    <x:t>VAF.PH.ZZ</x:t>
  </x:si>
  <x:si>
    <x:t>- - - - Training to influence digital technology use behaviours</x:t>
  </x:si>
  <x:si>
    <x:t>http://id.who.int/icd/entity/851415299</x:t>
  </x:si>
  <x:si>
    <x:t>http://id.who.int/icd/release/11/beta/ichi/851415299</x:t>
  </x:si>
  <x:si>
    <x:t>VAF.PM.ZZ</x:t>
  </x:si>
  <x:si>
    <x:t>- - - - Education to influence digital technology use behaviours</x:t>
  </x:si>
  <x:si>
    <x:t>http://id.who.int/icd/entity/50709321</x:t>
  </x:si>
  <x:si>
    <x:t>http://id.who.int/icd/release/11/beta/ichi/50709321</x:t>
  </x:si>
  <x:si>
    <x:t>VAF.PN.ZZ</x:t>
  </x:si>
  <x:si>
    <x:t>- - - - Advising about digital technology use behaviours</x:t>
  </x:si>
  <x:si>
    <x:t>http://id.who.int/icd/entity/859187395</x:t>
  </x:si>
  <x:si>
    <x:t>http://id.who.int/icd/release/11/beta/ichi/859187395</x:t>
  </x:si>
  <x:si>
    <x:t>VAF.PP.ZZ</x:t>
  </x:si>
  <x:si>
    <x:t>- - - - Counselling about digital technology use behaviours</x:t>
  </x:si>
  <x:si>
    <x:t>http://id.who.int/icd/entity/942814831</x:t>
  </x:si>
  <x:si>
    <x:t>http://id.who.int/icd/release/11/beta/ichi/942814831</x:t>
  </x:si>
  <x:si>
    <x:t>VAF.PQ.ZZ</x:t>
  </x:si>
  <x:si>
    <x:t>- - - - Psychotherapy for digital technology use behaviours</x:t>
  </x:si>
  <x:si>
    <x:t>http://id.who.int/icd/entity/1827961312</x:t>
  </x:si>
  <x:si>
    <x:t>http://id.who.int/icd/release/11/beta/ichi/1827961312</x:t>
  </x:si>
  <x:si>
    <x:t>VAF.RC.ZZ</x:t>
  </x:si>
  <x:si>
    <x:t>- - - - Emotional support for digital technology use behaviours</x:t>
  </x:si>
  <x:si>
    <x:t>http://id.who.int/icd/entity/1458406774</x:t>
  </x:si>
  <x:si>
    <x:t>http://id.who.int/icd/release/11/beta/ichi/1458406774</x:t>
  </x:si>
  <x:si>
    <x:t>VAF.RE.ZZ</x:t>
  </x:si>
  <x:si>
    <x:t>- - - - Provision of peer support for digital technology use behaviours</x:t>
  </x:si>
  <x:si>
    <x:t>http://id.who.int/icd/entity/2041413594</x:t>
  </x:si>
  <x:si>
    <x:t>http://id.who.int/icd/release/11/beta/ichi/2041413594</x:t>
  </x:si>
  <x:si>
    <x:t>VAF.TA.ZZ</x:t>
  </x:si>
  <x:si>
    <x:t>- - - - Advocacy in relation to digital technology use behaviours</x:t>
  </x:si>
  <x:si>
    <x:t>http://id.who.int/icd/entity/154129493</x:t>
  </x:si>
  <x:si>
    <x:t>http://id.who.int/icd/release/11/beta/ichi/154129493</x:t>
  </x:si>
  <x:si>
    <x:t>VAF.TD.ZZ</x:t>
  </x:si>
  <x:si>
    <x:t>- - - - Collaborating or building partnerships in relation to digital technology use behaviours</x:t>
  </x:si>
  <x:si>
    <x:t>http://id.who.int/icd/entity/1287762340</x:t>
  </x:si>
  <x:si>
    <x:t>http://id.who.int/icd/release/11/beta/ichi/1287762340</x:t>
  </x:si>
  <x:si>
    <x:t>VAF.TM.ZZ</x:t>
  </x:si>
  <x:si>
    <x:t>- - - - Environment modification to influence digital technology use behaviours</x:t>
  </x:si>
  <x:si>
    <x:t>http://id.who.int/icd/entity/872059581</x:t>
  </x:si>
  <x:si>
    <x:t>http://id.who.int/icd/release/11/beta/ichi/872059581</x:t>
  </x:si>
  <x:si>
    <x:t>VAF.VA.ZZ</x:t>
  </x:si>
  <x:si>
    <x:t>- - - - Capacity building targeting digital technology use behaviours</x:t>
  </x:si>
  <x:si>
    <x:t>http://id.who.int/icd/entity/1568838100</x:t>
  </x:si>
  <x:si>
    <x:t>http://id.who.int/icd/release/11/beta/ichi/1568838100</x:t>
  </x:si>
  <x:si>
    <x:t>VAF.VB.ZZ</x:t>
  </x:si>
  <x:si>
    <x:t>- - - - Awareness raising to influence digital technology use behaviours</x:t>
  </x:si>
  <x:si>
    <x:t>http://id.who.int/icd/entity/1179391696</x:t>
  </x:si>
  <x:si>
    <x:t>http://id.who.int/icd/release/11/beta/ichi/1179391696</x:t>
  </x:si>
  <x:si>
    <x:t>VAF.VC.ZZ</x:t>
  </x:si>
  <x:si>
    <x:t>- - - - Public health surveillance concerning digital technology use behaviours</x:t>
  </x:si>
  <x:si>
    <x:t>http://id.who.int/icd/entity/1937693627</x:t>
  </x:si>
  <x:si>
    <x:t>http://id.who.int/icd/release/11/beta/ichi/1937693627</x:t>
  </x:si>
  <x:si>
    <x:t>VAF.WG.QF</x:t>
  </x:si>
  <x:si>
    <x:t>- - - - Economic incentives to encourage improved health behaviours relating to digital technology use</x:t>
  </x:si>
  <x:si>
    <x:t>http://id.who.int/icd/entity/1544235030</x:t>
  </x:si>
  <x:si>
    <x:t>http://id.who.int/icd/release/11/beta/ichi/1544235030</x:t>
  </x:si>
  <x:si>
    <x:t>VAF.WG.ZZ</x:t>
  </x:si>
  <x:si>
    <x:t>- - - - Applying incentives to encourage improved health behaviours relating to digital technology use</x:t>
  </x:si>
  <x:si>
    <x:t>http://id.who.int/icd/entity/1460614840</x:t>
  </x:si>
  <x:si>
    <x:t>http://id.who.int/icd/release/11/beta/ichi/1460614840</x:t>
  </x:si>
  <x:si>
    <x:t>VAF.WJ.ZZ</x:t>
  </x:si>
  <x:si>
    <x:t>- - - - Policy change concerning digital technology use behaviours</x:t>
  </x:si>
  <x:si>
    <x:t>http://id.who.int/icd/entity/1507524476</x:t>
  </x:si>
  <x:si>
    <x:t>http://id.who.int/icd/release/11/beta/ichi/1507524476</x:t>
  </x:si>
  <x:si>
    <x:t>VAF.ZZ.ZZ</x:t>
  </x:si>
  <x:si>
    <x:t>- - - - Other intervention targeting digital technology use behaviours, not elsewhere classified</x:t>
  </x:si>
  <x:si>
    <x:t>http://id.who.int/icd/entity/1449359338</x:t>
  </x:si>
  <x:si>
    <x:t>http://id.who.int/icd/release/11/beta/ichi/1449359338</x:t>
  </x:si>
  <x:si>
    <x:t>BlockL3-VB1</x:t>
  </x:si>
  <x:si>
    <x:t>- - - Interventions on violence-related behaviours</x:t>
  </x:si>
  <x:si>
    <x:t>http://id.who.int/icd/entity/652336229</x:t>
  </x:si>
  <x:si>
    <x:t>http://id.who.int/icd/release/11/beta/ichi/652336229</x:t>
  </x:si>
  <x:si>
    <x:t>VB1.AA.ZZ</x:t>
  </x:si>
  <x:si>
    <x:t>- - - - Assessment of violence-related behaviours, unspecified</x:t>
  </x:si>
  <x:si>
    <x:t>http://id.who.int/icd/entity/1940793898</x:t>
  </x:si>
  <x:si>
    <x:t>http://id.who.int/icd/release/11/beta/ichi/1940793898</x:t>
  </x:si>
  <x:si>
    <x:t>VB1.AC.ZZ</x:t>
  </x:si>
  <x:si>
    <x:t>- - - - Test of violence-related behaviours, unspecified</x:t>
  </x:si>
  <x:si>
    <x:t>http://id.who.int/icd/entity/211093813</x:t>
  </x:si>
  <x:si>
    <x:t>http://id.who.int/icd/release/11/beta/ichi/211093813</x:t>
  </x:si>
  <x:si>
    <x:t>VB1.PH.ZZ</x:t>
  </x:si>
  <x:si>
    <x:t>- - - - Training to influence violence-related behaviours, unspecified</x:t>
  </x:si>
  <x:si>
    <x:t>http://id.who.int/icd/entity/1727474708</x:t>
  </x:si>
  <x:si>
    <x:t>http://id.who.int/icd/release/11/beta/ichi/1727474708</x:t>
  </x:si>
  <x:si>
    <x:t>VB1.PM.ZZ</x:t>
  </x:si>
  <x:si>
    <x:t>- - - - Education to influence violence-related behaviours, unspecified</x:t>
  </x:si>
  <x:si>
    <x:t>http://id.who.int/icd/entity/376801183</x:t>
  </x:si>
  <x:si>
    <x:t>http://id.who.int/icd/release/11/beta/ichi/376801183</x:t>
  </x:si>
  <x:si>
    <x:t>VB1.PN.ZZ</x:t>
  </x:si>
  <x:si>
    <x:t>- - - - Advising about violence-related behaviours, unspecified</x:t>
  </x:si>
  <x:si>
    <x:t>http://id.who.int/icd/entity/959806769</x:t>
  </x:si>
  <x:si>
    <x:t>http://id.who.int/icd/release/11/beta/ichi/959806769</x:t>
  </x:si>
  <x:si>
    <x:t>VB1.PP.ZZ</x:t>
  </x:si>
  <x:si>
    <x:t>- - - - Counselling about violence-related behaviours, unspecified</x:t>
  </x:si>
  <x:si>
    <x:t>http://id.who.int/icd/entity/945861555</x:t>
  </x:si>
  <x:si>
    <x:t>http://id.who.int/icd/release/11/beta/ichi/945861555</x:t>
  </x:si>
  <x:si>
    <x:t>VB1.RC.ZZ</x:t>
  </x:si>
  <x:si>
    <x:t>- - - - Emotional support for violence-related behaviours, unspecified</x:t>
  </x:si>
  <x:si>
    <x:t>http://id.who.int/icd/entity/1444458716</x:t>
  </x:si>
  <x:si>
    <x:t>http://id.who.int/icd/release/11/beta/ichi/1444458716</x:t>
  </x:si>
  <x:si>
    <x:t>VB1.RD.ZZ</x:t>
  </x:si>
  <x:si>
    <x:t>- - - - Providing goods to support improved violence-related behaviours, unspecified</x:t>
  </x:si>
  <x:si>
    <x:t>http://id.who.int/icd/entity/1738728082</x:t>
  </x:si>
  <x:si>
    <x:t>http://id.who.int/icd/release/11/beta/ichi/1738728082</x:t>
  </x:si>
  <x:si>
    <x:t>VB1.RE.ZZ</x:t>
  </x:si>
  <x:si>
    <x:t>- - - - Provision of peer support for violence-related behaviours, unspecified</x:t>
  </x:si>
  <x:si>
    <x:t>http://id.who.int/icd/entity/1469122842</x:t>
  </x:si>
  <x:si>
    <x:t>http://id.who.int/icd/release/11/beta/ichi/1469122842</x:t>
  </x:si>
  <x:si>
    <x:t>VB1.RF.ZZ</x:t>
  </x:si>
  <x:si>
    <x:t>- - - - Providing opportunities for participation in relation to violence-related behaviours, unspecified</x:t>
  </x:si>
  <x:si>
    <x:t>http://id.who.int/icd/entity/1553274808</x:t>
  </x:si>
  <x:si>
    <x:t>http://id.who.int/icd/release/11/beta/ichi/1553274808</x:t>
  </x:si>
  <x:si>
    <x:t>VB1.TA.ZZ</x:t>
  </x:si>
  <x:si>
    <x:t>- - - - Advocacy in relation to violence-related behaviours, unspecified</x:t>
  </x:si>
  <x:si>
    <x:t>http://id.who.int/icd/entity/139679801</x:t>
  </x:si>
  <x:si>
    <x:t>http://id.who.int/icd/release/11/beta/ichi/139679801</x:t>
  </x:si>
  <x:si>
    <x:t>VB1.TK.ZZ</x:t>
  </x:si>
  <x:si>
    <x:t>- - - - Public facilities or infrastructure development to support improved violence-related behaviours, unspecified</x:t>
  </x:si>
  <x:si>
    <x:t>http://id.who.int/icd/entity/763100523</x:t>
  </x:si>
  <x:si>
    <x:t>http://id.who.int/icd/release/11/beta/ichi/763100523</x:t>
  </x:si>
  <x:si>
    <x:t>VB1.TM.ZZ</x:t>
  </x:si>
  <x:si>
    <x:t>- - - - Environment modification to influence violence-related behaviours, unspecified</x:t>
  </x:si>
  <x:si>
    <x:t>http://id.who.int/icd/entity/37423045</x:t>
  </x:si>
  <x:si>
    <x:t>http://id.who.int/icd/release/11/beta/ichi/37423045</x:t>
  </x:si>
  <x:si>
    <x:t>VB1.VA.ZZ</x:t>
  </x:si>
  <x:si>
    <x:t>- - - - Capacity building targeting violence-related behaviours, unspecified</x:t>
  </x:si>
  <x:si>
    <x:t>http://id.who.int/icd/entity/1924770890</x:t>
  </x:si>
  <x:si>
    <x:t>http://id.who.int/icd/release/11/beta/ichi/1924770890</x:t>
  </x:si>
  <x:si>
    <x:t>VB1.VB.ZZ</x:t>
  </x:si>
  <x:si>
    <x:t>- - - - Awareness raising to influence violence-related behaviours, unspecified</x:t>
  </x:si>
  <x:si>
    <x:t>http://id.who.int/icd/entity/2005763000</x:t>
  </x:si>
  <x:si>
    <x:t>http://id.who.int/icd/release/11/beta/ichi/2005763000</x:t>
  </x:si>
  <x:si>
    <x:t>VB1.VC.ZZ</x:t>
  </x:si>
  <x:si>
    <x:t>- - - - Public health surveillance concerning violence-related behaviours, unspecified</x:t>
  </x:si>
  <x:si>
    <x:t>http://id.who.int/icd/entity/696821094</x:t>
  </x:si>
  <x:si>
    <x:t>http://id.who.int/icd/release/11/beta/ichi/696821094</x:t>
  </x:si>
  <x:si>
    <x:t>VB1.WG.QF</x:t>
  </x:si>
  <x:si>
    <x:t>- - - - Economic incentives to encourage improved health behaviours relating to violence, unspecified</x:t>
  </x:si>
  <x:si>
    <x:t>http://id.who.int/icd/entity/41273846</x:t>
  </x:si>
  <x:si>
    <x:t>http://id.who.int/icd/release/11/beta/ichi/41273846</x:t>
  </x:si>
  <x:si>
    <x:t>VB1.WG.ZZ</x:t>
  </x:si>
  <x:si>
    <x:t>- - - - Applying incentives to encourage improved health behaviours relating to violence, unspecified</x:t>
  </x:si>
  <x:si>
    <x:t>http://id.who.int/icd/entity/146186409</x:t>
  </x:si>
  <x:si>
    <x:t>http://id.who.int/icd/release/11/beta/ichi/146186409</x:t>
  </x:si>
  <x:si>
    <x:t>VB1.WI.QD</x:t>
  </x:si>
  <x:si>
    <x:t>- - - - Restrictions through enactment of laws or standards on violence-related behaviours, unspecified</x:t>
  </x:si>
  <x:si>
    <x:t>http://id.who.int/icd/entity/1724818368</x:t>
  </x:si>
  <x:si>
    <x:t>http://id.who.int/icd/release/11/beta/ichi/1724818368</x:t>
  </x:si>
  <x:si>
    <x:t>VB1.WI.QE</x:t>
  </x:si>
  <x:si>
    <x:t>- - - - Restrictions through enforcement of laws or standards on violence-related behaviours, unspecified</x:t>
  </x:si>
  <x:si>
    <x:t>http://id.who.int/icd/entity/1692003111</x:t>
  </x:si>
  <x:si>
    <x:t>http://id.who.int/icd/release/11/beta/ichi/1692003111</x:t>
  </x:si>
  <x:si>
    <x:t>VB1.WI.ZZ</x:t>
  </x:si>
  <x:si>
    <x:t>- - - - Restrictions through laws or standards on violence-related behaviours, unspecified</x:t>
  </x:si>
  <x:si>
    <x:t>http://id.who.int/icd/entity/307637763</x:t>
  </x:si>
  <x:si>
    <x:t>http://id.who.int/icd/release/11/beta/ichi/307637763</x:t>
  </x:si>
  <x:si>
    <x:t>VB1.WJ.ZZ</x:t>
  </x:si>
  <x:si>
    <x:t>- - - - Policy change concerning violence-related behaviours, unspecified</x:t>
  </x:si>
  <x:si>
    <x:t>http://id.who.int/icd/entity/135336153</x:t>
  </x:si>
  <x:si>
    <x:t>http://id.who.int/icd/release/11/beta/ichi/135336153</x:t>
  </x:si>
  <x:si>
    <x:t>VB1.ZZ.ZZ</x:t>
  </x:si>
  <x:si>
    <x:t>- - - - Other interventions targeting unspecified violence-related behaviours</x:t>
  </x:si>
  <x:si>
    <x:t>http://id.who.int/icd/entity/51711605</x:t>
  </x:si>
  <x:si>
    <x:t>http://id.who.int/icd/release/11/beta/ichi/51711605</x:t>
  </x:si>
  <x:si>
    <x:t>VBA.AA.ZZ</x:t>
  </x:si>
  <x:si>
    <x:t>- - - - Assessment of self-harm behaviours</x:t>
  </x:si>
  <x:si>
    <x:t>http://id.who.int/icd/entity/1031659171</x:t>
  </x:si>
  <x:si>
    <x:t>http://id.who.int/icd/release/11/beta/ichi/1031659171</x:t>
  </x:si>
  <x:si>
    <x:t>VBA.AC.ZZ</x:t>
  </x:si>
  <x:si>
    <x:t>- - - - Test of self-harm behaviours</x:t>
  </x:si>
  <x:si>
    <x:t>http://id.who.int/icd/entity/1111948732</x:t>
  </x:si>
  <x:si>
    <x:t>http://id.who.int/icd/release/11/beta/ichi/1111948732</x:t>
  </x:si>
  <x:si>
    <x:t>VBA.PH.ZZ</x:t>
  </x:si>
  <x:si>
    <x:t>- - - - Training to influence self-harm behaviours</x:t>
  </x:si>
  <x:si>
    <x:t>http://id.who.int/icd/entity/1198707266</x:t>
  </x:si>
  <x:si>
    <x:t>http://id.who.int/icd/release/11/beta/ichi/1198707266</x:t>
  </x:si>
  <x:si>
    <x:t>VBA.PM.ZZ</x:t>
  </x:si>
  <x:si>
    <x:t>- - - - Education to influence self-harm behaviours</x:t>
  </x:si>
  <x:si>
    <x:t>http://id.who.int/icd/entity/938506703</x:t>
  </x:si>
  <x:si>
    <x:t>http://id.who.int/icd/release/11/beta/ichi/938506703</x:t>
  </x:si>
  <x:si>
    <x:t>VBA.PP.ZZ</x:t>
  </x:si>
  <x:si>
    <x:t>- - - - Counselling about self-harm behaviours</x:t>
  </x:si>
  <x:si>
    <x:t>http://id.who.int/icd/entity/414221153</x:t>
  </x:si>
  <x:si>
    <x:t>http://id.who.int/icd/release/11/beta/ichi/414221153</x:t>
  </x:si>
  <x:si>
    <x:t>VBA.PQ.ZZ</x:t>
  </x:si>
  <x:si>
    <x:t>- - - - Psychotherapy for self-harm behaviours</x:t>
  </x:si>
  <x:si>
    <x:t>http://id.who.int/icd/entity/1033381427</x:t>
  </x:si>
  <x:si>
    <x:t>http://id.who.int/icd/release/11/beta/ichi/1033381427</x:t>
  </x:si>
  <x:si>
    <x:t>VBA.RC.ZZ</x:t>
  </x:si>
  <x:si>
    <x:t>- - - - Emotional support for self-harm behaviours</x:t>
  </x:si>
  <x:si>
    <x:t>http://id.who.int/icd/entity/1407198556</x:t>
  </x:si>
  <x:si>
    <x:t>http://id.who.int/icd/release/11/beta/ichi/1407198556</x:t>
  </x:si>
  <x:si>
    <x:t>VBA.RE.ZZ</x:t>
  </x:si>
  <x:si>
    <x:t>- - - - Provision of peer support for self-harm behaviours</x:t>
  </x:si>
  <x:si>
    <x:t>http://id.who.int/icd/entity/1650095890</x:t>
  </x:si>
  <x:si>
    <x:t>http://id.who.int/icd/release/11/beta/ichi/1650095890</x:t>
  </x:si>
  <x:si>
    <x:t>VBA.TA.ZZ</x:t>
  </x:si>
  <x:si>
    <x:t>- - - - Advocacy in relation to self-harm behaviours</x:t>
  </x:si>
  <x:si>
    <x:t>http://id.who.int/icd/entity/1382653082</x:t>
  </x:si>
  <x:si>
    <x:t>http://id.who.int/icd/release/11/beta/ichi/1382653082</x:t>
  </x:si>
  <x:si>
    <x:t>VBA.TD.ZZ</x:t>
  </x:si>
  <x:si>
    <x:t>- - - - Collaborating or building partnerships in relation to self-harm behaviours</x:t>
  </x:si>
  <x:si>
    <x:t>http://id.who.int/icd/entity/1500348984</x:t>
  </x:si>
  <x:si>
    <x:t>http://id.who.int/icd/release/11/beta/ichi/1500348984</x:t>
  </x:si>
  <x:si>
    <x:t>VBA.TM.ZZ</x:t>
  </x:si>
  <x:si>
    <x:t>- - - - Environment modification to influence self-harm behaviours</x:t>
  </x:si>
  <x:si>
    <x:t>http://id.who.int/icd/entity/229363129</x:t>
  </x:si>
  <x:si>
    <x:t>http://id.who.int/icd/release/11/beta/ichi/229363129</x:t>
  </x:si>
  <x:si>
    <x:t>VBA.VA.ZZ</x:t>
  </x:si>
  <x:si>
    <x:t>- - - - Capacity building targeting self-harm behaviours</x:t>
  </x:si>
  <x:si>
    <x:t>http://id.who.int/icd/entity/934424879</x:t>
  </x:si>
  <x:si>
    <x:t>http://id.who.int/icd/release/11/beta/ichi/934424879</x:t>
  </x:si>
  <x:si>
    <x:t>VBA.VC.ZZ</x:t>
  </x:si>
  <x:si>
    <x:t>- - - - Public health surveillance concerning self-harm behaviours</x:t>
  </x:si>
  <x:si>
    <x:t>http://id.who.int/icd/entity/322365826</x:t>
  </x:si>
  <x:si>
    <x:t>http://id.who.int/icd/release/11/beta/ichi/322365826</x:t>
  </x:si>
  <x:si>
    <x:t>VBA.WG.QF</x:t>
  </x:si>
  <x:si>
    <x:t>- - - - Economic incentives to encourage improved health behaviours relating to self-harm</x:t>
  </x:si>
  <x:si>
    <x:t>http://id.who.int/icd/entity/418564993</x:t>
  </x:si>
  <x:si>
    <x:t>http://id.who.int/icd/release/11/beta/ichi/418564993</x:t>
  </x:si>
  <x:si>
    <x:t>VBA.WG.ZZ</x:t>
  </x:si>
  <x:si>
    <x:t>- - - - Applying incentives to encourage improved health behaviours relating to self-harm</x:t>
  </x:si>
  <x:si>
    <x:t>http://id.who.int/icd/entity/1450425044</x:t>
  </x:si>
  <x:si>
    <x:t>http://id.who.int/icd/release/11/beta/ichi/1450425044</x:t>
  </x:si>
  <x:si>
    <x:t>VBA.WJ.ZZ</x:t>
  </x:si>
  <x:si>
    <x:t>- - - - Policy change concerning self-harm behaviours</x:t>
  </x:si>
  <x:si>
    <x:t>http://id.who.int/icd/entity/246751580</x:t>
  </x:si>
  <x:si>
    <x:t>http://id.who.int/icd/release/11/beta/ichi/246751580</x:t>
  </x:si>
  <x:si>
    <x:t>VBA.ZZ.ZZ</x:t>
  </x:si>
  <x:si>
    <x:t>- - - - Other intervention targeting self-harm behaviours, not elsewhere classified</x:t>
  </x:si>
  <x:si>
    <x:t>http://id.who.int/icd/entity/351412102</x:t>
  </x:si>
  <x:si>
    <x:t>http://id.who.int/icd/release/11/beta/ichi/351412102</x:t>
  </x:si>
  <x:si>
    <x:t>VBB.AA.ZZ</x:t>
  </x:si>
  <x:si>
    <x:t>- - - - Assessment of family and partner violence behaviours</x:t>
  </x:si>
  <x:si>
    <x:t>http://id.who.int/icd/entity/536215852</x:t>
  </x:si>
  <x:si>
    <x:t>http://id.who.int/icd/release/11/beta/ichi/536215852</x:t>
  </x:si>
  <x:si>
    <x:t>VBB.AC.ZZ</x:t>
  </x:si>
  <x:si>
    <x:t>- - - - Test of family and partner violence behaviours</x:t>
  </x:si>
  <x:si>
    <x:t>http://id.who.int/icd/entity/1631886325</x:t>
  </x:si>
  <x:si>
    <x:t>http://id.who.int/icd/release/11/beta/ichi/1631886325</x:t>
  </x:si>
  <x:si>
    <x:t>VBB.PH.ZZ</x:t>
  </x:si>
  <x:si>
    <x:t>- - - - Training to influence family and partner violence behaviours</x:t>
  </x:si>
  <x:si>
    <x:t>http://id.who.int/icd/entity/511686890</x:t>
  </x:si>
  <x:si>
    <x:t>http://id.who.int/icd/release/11/beta/ichi/511686890</x:t>
  </x:si>
  <x:si>
    <x:t>VBB.PM.ZZ</x:t>
  </x:si>
  <x:si>
    <x:t>- - - - Education to influence family and partner violence behaviours</x:t>
  </x:si>
  <x:si>
    <x:t>http://id.who.int/icd/entity/368158591</x:t>
  </x:si>
  <x:si>
    <x:t>http://id.who.int/icd/release/11/beta/ichi/368158591</x:t>
  </x:si>
  <x:si>
    <x:t>VBB.PN.ZZ</x:t>
  </x:si>
  <x:si>
    <x:t>- - - - Advising about family and partner violence behaviours</x:t>
  </x:si>
  <x:si>
    <x:t>http://id.who.int/icd/entity/1798095881</x:t>
  </x:si>
  <x:si>
    <x:t>http://id.who.int/icd/release/11/beta/ichi/1798095881</x:t>
  </x:si>
  <x:si>
    <x:t>VBB.PP.ZZ</x:t>
  </x:si>
  <x:si>
    <x:t>- - - - Counselling about family and partner violence behaviours</x:t>
  </x:si>
  <x:si>
    <x:t>http://id.who.int/icd/entity/464416644</x:t>
  </x:si>
  <x:si>
    <x:t>http://id.who.int/icd/release/11/beta/ichi/464416644</x:t>
  </x:si>
  <x:si>
    <x:t>VBB.PQ.ZZ</x:t>
  </x:si>
  <x:si>
    <x:t>- - - - Psychotherapy for family and partner violence behaviours</x:t>
  </x:si>
  <x:si>
    <x:t>http://id.who.int/icd/entity/888050988</x:t>
  </x:si>
  <x:si>
    <x:t>http://id.who.int/icd/release/11/beta/ichi/888050988</x:t>
  </x:si>
  <x:si>
    <x:t>VBB.RC.ZZ</x:t>
  </x:si>
  <x:si>
    <x:t>- - - - Emotional support for family and partner violence behaviours</x:t>
  </x:si>
  <x:si>
    <x:t>http://id.who.int/icd/entity/1637966693</x:t>
  </x:si>
  <x:si>
    <x:t>http://id.who.int/icd/release/11/beta/ichi/1637966693</x:t>
  </x:si>
  <x:si>
    <x:t>VBB.RE.ZZ</x:t>
  </x:si>
  <x:si>
    <x:t>- - - - Provision of peer support for family and partner violence behaviours</x:t>
  </x:si>
  <x:si>
    <x:t>http://id.who.int/icd/entity/265904142</x:t>
  </x:si>
  <x:si>
    <x:t>http://id.who.int/icd/release/11/beta/ichi/265904142</x:t>
  </x:si>
  <x:si>
    <x:t>VBB.TA.ZZ</x:t>
  </x:si>
  <x:si>
    <x:t>- - - - Advocacy in relation to family and partner violence behaviours</x:t>
  </x:si>
  <x:si>
    <x:t>http://id.who.int/icd/entity/1046688328</x:t>
  </x:si>
  <x:si>
    <x:t>http://id.who.int/icd/release/11/beta/ichi/1046688328</x:t>
  </x:si>
  <x:si>
    <x:t>VBB.TD.ZZ</x:t>
  </x:si>
  <x:si>
    <x:t>- - - - Collaborating or building partnerships in relation to family and partner violence behaviours</x:t>
  </x:si>
  <x:si>
    <x:t>http://id.who.int/icd/entity/1627837205</x:t>
  </x:si>
  <x:si>
    <x:t>http://id.who.int/icd/release/11/beta/ichi/1627837205</x:t>
  </x:si>
  <x:si>
    <x:t>VBB.TM.ZZ</x:t>
  </x:si>
  <x:si>
    <x:t>- - - - Environment modification to influence family and partner violence behaviours</x:t>
  </x:si>
  <x:si>
    <x:t>http://id.who.int/icd/entity/1778568633</x:t>
  </x:si>
  <x:si>
    <x:t>http://id.who.int/icd/release/11/beta/ichi/1778568633</x:t>
  </x:si>
  <x:si>
    <x:t>VBB.VA.ZZ</x:t>
  </x:si>
  <x:si>
    <x:t>- - - - Capacity building targeting family and partner violence behaviours</x:t>
  </x:si>
  <x:si>
    <x:t>http://id.who.int/icd/entity/1053065782</x:t>
  </x:si>
  <x:si>
    <x:t>http://id.who.int/icd/release/11/beta/ichi/1053065782</x:t>
  </x:si>
  <x:si>
    <x:t>VBB.VB.ZZ</x:t>
  </x:si>
  <x:si>
    <x:t>- - - - Awareness raising to influence family and partner violence behaviours</x:t>
  </x:si>
  <x:si>
    <x:t>http://id.who.int/icd/entity/726744690</x:t>
  </x:si>
  <x:si>
    <x:t>http://id.who.int/icd/release/11/beta/ichi/726744690</x:t>
  </x:si>
  <x:si>
    <x:t>VBB.VC.ZZ</x:t>
  </x:si>
  <x:si>
    <x:t>- - - - Public health surveillance concerning family and partner violence behaviours</x:t>
  </x:si>
  <x:si>
    <x:t>http://id.who.int/icd/entity/165046058</x:t>
  </x:si>
  <x:si>
    <x:t>http://id.who.int/icd/release/11/beta/ichi/165046058</x:t>
  </x:si>
  <x:si>
    <x:t>VBB.WG.QF</x:t>
  </x:si>
  <x:si>
    <x:t>- - - - Economic incentives to encourage improved health behaviours relating to family and partner violence</x:t>
  </x:si>
  <x:si>
    <x:t>http://id.who.int/icd/entity/68273374</x:t>
  </x:si>
  <x:si>
    <x:t>http://id.who.int/icd/release/11/beta/ichi/68273374</x:t>
  </x:si>
  <x:si>
    <x:t>VBB.WG.ZZ</x:t>
  </x:si>
  <x:si>
    <x:t>- - - - Applying incentives to encourage improved health behaviours relating to family and partner violence</x:t>
  </x:si>
  <x:si>
    <x:t>http://id.who.int/icd/entity/1955819347</x:t>
  </x:si>
  <x:si>
    <x:t>http://id.who.int/icd/release/11/beta/ichi/1955819347</x:t>
  </x:si>
  <x:si>
    <x:t>VBB.WI.QD</x:t>
  </x:si>
  <x:si>
    <x:t>- - - - Restrictions through enactment of laws or standards on family and partner violence behaviours</x:t>
  </x:si>
  <x:si>
    <x:t>http://id.who.int/icd/entity/1906786477</x:t>
  </x:si>
  <x:si>
    <x:t>http://id.who.int/icd/release/11/beta/ichi/1906786477</x:t>
  </x:si>
  <x:si>
    <x:t>VBB.WI.QE</x:t>
  </x:si>
  <x:si>
    <x:t>- - - - Restrictions through enforcement of laws or standards on family and partner violence behaviours</x:t>
  </x:si>
  <x:si>
    <x:t>http://id.who.int/icd/entity/991672836</x:t>
  </x:si>
  <x:si>
    <x:t>http://id.who.int/icd/release/11/beta/ichi/991672836</x:t>
  </x:si>
  <x:si>
    <x:t>VBB.WI.ZZ</x:t>
  </x:si>
  <x:si>
    <x:t>- - - - Restrictions through laws or standards on family and partner violence behaviours</x:t>
  </x:si>
  <x:si>
    <x:t>http://id.who.int/icd/entity/245130162</x:t>
  </x:si>
  <x:si>
    <x:t>http://id.who.int/icd/release/11/beta/ichi/245130162</x:t>
  </x:si>
  <x:si>
    <x:t>VBB.WJ.ZZ</x:t>
  </x:si>
  <x:si>
    <x:t>- - - - Policy change concerning family and partner violence behaviours</x:t>
  </x:si>
  <x:si>
    <x:t>http://id.who.int/icd/entity/1625579739</x:t>
  </x:si>
  <x:si>
    <x:t>http://id.who.int/icd/release/11/beta/ichi/1625579739</x:t>
  </x:si>
  <x:si>
    <x:t>VBB.ZZ.ZZ</x:t>
  </x:si>
  <x:si>
    <x:t>- - - - Other intervention targeting family and partner violence behaviours, not elsewhere classified</x:t>
  </x:si>
  <x:si>
    <x:t>http://id.who.int/icd/entity/189641948</x:t>
  </x:si>
  <x:si>
    <x:t>http://id.who.int/icd/release/11/beta/ichi/189641948</x:t>
  </x:si>
  <x:si>
    <x:t>VBC.AA.ZZ</x:t>
  </x:si>
  <x:si>
    <x:t>- - - - Assessment of community violence behaviours</x:t>
  </x:si>
  <x:si>
    <x:t>http://id.who.int/icd/entity/285903366</x:t>
  </x:si>
  <x:si>
    <x:t>http://id.who.int/icd/release/11/beta/ichi/285903366</x:t>
  </x:si>
  <x:si>
    <x:t>VBC.AC.ZZ</x:t>
  </x:si>
  <x:si>
    <x:t>- - - - Test of community violence behaviours</x:t>
  </x:si>
  <x:si>
    <x:t>http://id.who.int/icd/entity/437163180</x:t>
  </x:si>
  <x:si>
    <x:t>http://id.who.int/icd/release/11/beta/ichi/437163180</x:t>
  </x:si>
  <x:si>
    <x:t>VBC.PH.ZZ</x:t>
  </x:si>
  <x:si>
    <x:t>- - - - Training to influence community violence behaviours</x:t>
  </x:si>
  <x:si>
    <x:t>http://id.who.int/icd/entity/1690046069</x:t>
  </x:si>
  <x:si>
    <x:t>http://id.who.int/icd/release/11/beta/ichi/1690046069</x:t>
  </x:si>
  <x:si>
    <x:t>VBC.PM.ZZ</x:t>
  </x:si>
  <x:si>
    <x:t>- - - - Education to influence community violence behaviours</x:t>
  </x:si>
  <x:si>
    <x:t>http://id.who.int/icd/entity/461843818</x:t>
  </x:si>
  <x:si>
    <x:t>http://id.who.int/icd/release/11/beta/ichi/461843818</x:t>
  </x:si>
  <x:si>
    <x:t>VBC.PP.ZZ</x:t>
  </x:si>
  <x:si>
    <x:t>- - - - Counselling about community violence behaviours</x:t>
  </x:si>
  <x:si>
    <x:t>http://id.who.int/icd/entity/1910835277</x:t>
  </x:si>
  <x:si>
    <x:t>http://id.who.int/icd/release/11/beta/ichi/1910835277</x:t>
  </x:si>
  <x:si>
    <x:t>VBC.PQ.ZZ</x:t>
  </x:si>
  <x:si>
    <x:t>- - - - Psychotherapy for community violence behaviours</x:t>
  </x:si>
  <x:si>
    <x:t>http://id.who.int/icd/entity/23569346</x:t>
  </x:si>
  <x:si>
    <x:t>http://id.who.int/icd/release/11/beta/ichi/23569346</x:t>
  </x:si>
  <x:si>
    <x:t>VBC.RC.ZZ</x:t>
  </x:si>
  <x:si>
    <x:t>- - - - Emotional support for community violence behaviours</x:t>
  </x:si>
  <x:si>
    <x:t>http://id.who.int/icd/entity/774330734</x:t>
  </x:si>
  <x:si>
    <x:t>http://id.who.int/icd/release/11/beta/ichi/774330734</x:t>
  </x:si>
  <x:si>
    <x:t>VBC.RE.ZZ</x:t>
  </x:si>
  <x:si>
    <x:t>- - - - Provision of peer support for community violence behaviours</x:t>
  </x:si>
  <x:si>
    <x:t>http://id.who.int/icd/entity/753457741</x:t>
  </x:si>
  <x:si>
    <x:t>http://id.who.int/icd/release/11/beta/ichi/753457741</x:t>
  </x:si>
  <x:si>
    <x:t>VBC.TA.ZZ</x:t>
  </x:si>
  <x:si>
    <x:t>- - - - Advocacy in relation to community violence behaviours</x:t>
  </x:si>
  <x:si>
    <x:t>http://id.who.int/icd/entity/1116789028</x:t>
  </x:si>
  <x:si>
    <x:t>http://id.who.int/icd/release/11/beta/ichi/1116789028</x:t>
  </x:si>
  <x:si>
    <x:t>VBC.TD.ZZ</x:t>
  </x:si>
  <x:si>
    <x:t>- - - - Collaborating or building partnerships in relation to community violence behaviours</x:t>
  </x:si>
  <x:si>
    <x:t>http://id.who.int/icd/entity/1932168046</x:t>
  </x:si>
  <x:si>
    <x:t>http://id.who.int/icd/release/11/beta/ichi/1932168046</x:t>
  </x:si>
  <x:si>
    <x:t>VBC.TK.ZZ</x:t>
  </x:si>
  <x:si>
    <x:t>- - - - Public facilities or infrastructure development targeting community violence behaviours</x:t>
  </x:si>
  <x:si>
    <x:t>http://id.who.int/icd/entity/1125736678</x:t>
  </x:si>
  <x:si>
    <x:t>http://id.who.int/icd/release/11/beta/ichi/1125736678</x:t>
  </x:si>
  <x:si>
    <x:t>VBC.TM.ZZ</x:t>
  </x:si>
  <x:si>
    <x:t>- - - - Environment modification to influence community violence behaviours</x:t>
  </x:si>
  <x:si>
    <x:t>http://id.who.int/icd/entity/1209892424</x:t>
  </x:si>
  <x:si>
    <x:t>http://id.who.int/icd/release/11/beta/ichi/1209892424</x:t>
  </x:si>
  <x:si>
    <x:t>VBC.VA.ZZ</x:t>
  </x:si>
  <x:si>
    <x:t>- - - - Capacity building targeting community violence behaviours</x:t>
  </x:si>
  <x:si>
    <x:t>http://id.who.int/icd/entity/484127175</x:t>
  </x:si>
  <x:si>
    <x:t>http://id.who.int/icd/release/11/beta/ichi/484127175</x:t>
  </x:si>
  <x:si>
    <x:t>VBC.VB.ZZ</x:t>
  </x:si>
  <x:si>
    <x:t>- - - - Awareness raising to influence community violence behaviours</x:t>
  </x:si>
  <x:si>
    <x:t>http://id.who.int/icd/entity/972264597</x:t>
  </x:si>
  <x:si>
    <x:t>http://id.who.int/icd/release/11/beta/ichi/972264597</x:t>
  </x:si>
  <x:si>
    <x:t>VBC.VC.ZZ</x:t>
  </x:si>
  <x:si>
    <x:t>- - - - Public health surveillance concerning community violence behaviours</x:t>
  </x:si>
  <x:si>
    <x:t>http://id.who.int/icd/entity/1504558747</x:t>
  </x:si>
  <x:si>
    <x:t>http://id.who.int/icd/release/11/beta/ichi/1504558747</x:t>
  </x:si>
  <x:si>
    <x:t>VBC.WG.QF</x:t>
  </x:si>
  <x:si>
    <x:t>- - - - Economic incentives to encourage improved health behaviours relating to community violence</x:t>
  </x:si>
  <x:si>
    <x:t>http://id.who.int/icd/entity/380857915</x:t>
  </x:si>
  <x:si>
    <x:t>http://id.who.int/icd/release/11/beta/ichi/380857915</x:t>
  </x:si>
  <x:si>
    <x:t>VBC.WG.ZZ</x:t>
  </x:si>
  <x:si>
    <x:t>- - - - Applying incentives to encourage improved health behaviours relating to community violence</x:t>
  </x:si>
  <x:si>
    <x:t>http://id.who.int/icd/entity/1714537910</x:t>
  </x:si>
  <x:si>
    <x:t>http://id.who.int/icd/release/11/beta/ichi/1714537910</x:t>
  </x:si>
  <x:si>
    <x:t>VBC.WJ.ZZ</x:t>
  </x:si>
  <x:si>
    <x:t>- - - - Policy change concerning community violence behaviours</x:t>
  </x:si>
  <x:si>
    <x:t>http://id.who.int/icd/entity/1661332040</x:t>
  </x:si>
  <x:si>
    <x:t>http://id.who.int/icd/release/11/beta/ichi/1661332040</x:t>
  </x:si>
  <x:si>
    <x:t>VBC.ZZ.ZZ</x:t>
  </x:si>
  <x:si>
    <x:t>- - - - Other interventions targeting community violence behaviours, not elsewhere classified</x:t>
  </x:si>
  <x:si>
    <x:t>http://id.who.int/icd/entity/1505470128</x:t>
  </x:si>
  <x:si>
    <x:t>http://id.who.int/icd/release/11/beta/ichi/1505470128</x:t>
  </x:si>
  <x:si>
    <x:t>BlockL3-VC1</x:t>
  </x:si>
  <x:si>
    <x:t>- - - Interventions on safety-related behaviours</x:t>
  </x:si>
  <x:si>
    <x:t>98</x:t>
  </x:si>
  <x:si>
    <x:t>http://id.who.int/icd/entity/473876823</x:t>
  </x:si>
  <x:si>
    <x:t>http://id.who.int/icd/release/11/beta/ichi/473876823</x:t>
  </x:si>
  <x:si>
    <x:t>VC1.AA.ZZ</x:t>
  </x:si>
  <x:si>
    <x:t>- - - - Assessment of safety-related behaviours, unspecified</x:t>
  </x:si>
  <x:si>
    <x:t>http://id.who.int/icd/entity/640103873</x:t>
  </x:si>
  <x:si>
    <x:t>http://id.who.int/icd/release/11/beta/ichi/640103873</x:t>
  </x:si>
  <x:si>
    <x:t>VC1.AC.ZZ</x:t>
  </x:si>
  <x:si>
    <x:t>- - - - Test of safety-related behaviours, unspecified</x:t>
  </x:si>
  <x:si>
    <x:t>http://id.who.int/icd/entity/1495013086</x:t>
  </x:si>
  <x:si>
    <x:t>http://id.who.int/icd/release/11/beta/ichi/1495013086</x:t>
  </x:si>
  <x:si>
    <x:t>VC1.PH.ZZ</x:t>
  </x:si>
  <x:si>
    <x:t>- - - - Training to influence safety-related behaviours, unspecified</x:t>
  </x:si>
  <x:si>
    <x:t>http://id.who.int/icd/entity/929306039</x:t>
  </x:si>
  <x:si>
    <x:t>http://id.who.int/icd/release/11/beta/ichi/929306039</x:t>
  </x:si>
  <x:si>
    <x:t>VC1.PM.ZZ</x:t>
  </x:si>
  <x:si>
    <x:t>- - - - Education to influence safety-related behaviours, unspecified</x:t>
  </x:si>
  <x:si>
    <x:t>http://id.who.int/icd/entity/1819334820</x:t>
  </x:si>
  <x:si>
    <x:t>http://id.who.int/icd/release/11/beta/ichi/1819334820</x:t>
  </x:si>
  <x:si>
    <x:t>VC1.PN.ZZ</x:t>
  </x:si>
  <x:si>
    <x:t>- - - - Advising about safety-related behaviours, unspecified</x:t>
  </x:si>
  <x:si>
    <x:t>http://id.who.int/icd/entity/1983374974</x:t>
  </x:si>
  <x:si>
    <x:t>http://id.who.int/icd/release/11/beta/ichi/1983374974</x:t>
  </x:si>
  <x:si>
    <x:t>VC1.PP.ZZ</x:t>
  </x:si>
  <x:si>
    <x:t>- - - - Counselling about safety-related behaviours, unspecified</x:t>
  </x:si>
  <x:si>
    <x:t>http://id.who.int/icd/entity/2100558036</x:t>
  </x:si>
  <x:si>
    <x:t>http://id.who.int/icd/release/11/beta/ichi/2100558036</x:t>
  </x:si>
  <x:si>
    <x:t>VC1.RC.ZZ</x:t>
  </x:si>
  <x:si>
    <x:t>- - - - Emotional support for safety-related behaviours, unspecified</x:t>
  </x:si>
  <x:si>
    <x:t>http://id.who.int/icd/entity/58810893</x:t>
  </x:si>
  <x:si>
    <x:t>http://id.who.int/icd/release/11/beta/ichi/58810893</x:t>
  </x:si>
  <x:si>
    <x:t>VC1.RD.ZZ</x:t>
  </x:si>
  <x:si>
    <x:t>- - - - Providing goods to support improved safety-related behaviours, unspecified</x:t>
  </x:si>
  <x:si>
    <x:t>http://id.who.int/icd/entity/2092581138</x:t>
  </x:si>
  <x:si>
    <x:t>http://id.who.int/icd/release/11/beta/ichi/2092581138</x:t>
  </x:si>
  <x:si>
    <x:t>VC1.RE.ZZ</x:t>
  </x:si>
  <x:si>
    <x:t>- - - - Provision of peer support for safety-related behaviours, unspecified</x:t>
  </x:si>
  <x:si>
    <x:t>http://id.who.int/icd/entity/166280689</x:t>
  </x:si>
  <x:si>
    <x:t>http://id.who.int/icd/release/11/beta/ichi/166280689</x:t>
  </x:si>
  <x:si>
    <x:t>VC1.RF.ZZ</x:t>
  </x:si>
  <x:si>
    <x:t>- - - - Providing opportunities for participation in relation to safety-related behaviours, unspecified</x:t>
  </x:si>
  <x:si>
    <x:t>http://id.who.int/icd/entity/2037094012</x:t>
  </x:si>
  <x:si>
    <x:t>http://id.who.int/icd/release/11/beta/ichi/2037094012</x:t>
  </x:si>
  <x:si>
    <x:t>VC1.TA.ZZ</x:t>
  </x:si>
  <x:si>
    <x:t>- - - - Advocacy in relation to safety-related behaviours, unspecified</x:t>
  </x:si>
  <x:si>
    <x:t>http://id.who.int/icd/entity/1445686484</x:t>
  </x:si>
  <x:si>
    <x:t>http://id.who.int/icd/release/11/beta/ichi/1445686484</x:t>
  </x:si>
  <x:si>
    <x:t>VC1.TK.ZZ</x:t>
  </x:si>
  <x:si>
    <x:t>- - - - Public facilities or infrastructure development in relation to safety-related behaviours, unspecified</x:t>
  </x:si>
  <x:si>
    <x:t>http://id.who.int/icd/entity/56924829</x:t>
  </x:si>
  <x:si>
    <x:t>http://id.who.int/icd/release/11/beta/ichi/56924829</x:t>
  </x:si>
  <x:si>
    <x:t>VC1.TM.ZZ</x:t>
  </x:si>
  <x:si>
    <x:t>- - - - Environment modification to influence safety-related behaviours, unspecified</x:t>
  </x:si>
  <x:si>
    <x:t>http://id.who.int/icd/entity/1830590966</x:t>
  </x:si>
  <x:si>
    <x:t>http://id.who.int/icd/release/11/beta/ichi/1830590966</x:t>
  </x:si>
  <x:si>
    <x:t>VC1.VA.ZZ</x:t>
  </x:si>
  <x:si>
    <x:t>- - - - Capacity building targeting safety-related behaviours, unspecified</x:t>
  </x:si>
  <x:si>
    <x:t>http://id.who.int/icd/entity/1554435008</x:t>
  </x:si>
  <x:si>
    <x:t>http://id.who.int/icd/release/11/beta/ichi/1554435008</x:t>
  </x:si>
  <x:si>
    <x:t>VC1.VB.ZZ</x:t>
  </x:si>
  <x:si>
    <x:t>- - - - Awareness raising to influence safety-related behaviours, unspecified</x:t>
  </x:si>
  <x:si>
    <x:t>http://id.who.int/icd/entity/63122157</x:t>
  </x:si>
  <x:si>
    <x:t>http://id.who.int/icd/release/11/beta/ichi/63122157</x:t>
  </x:si>
  <x:si>
    <x:t>VC1.VC.ZZ</x:t>
  </x:si>
  <x:si>
    <x:t>- - - - Public health surveillance concerning safety-related behaviours, unspecified</x:t>
  </x:si>
  <x:si>
    <x:t>http://id.who.int/icd/entity/328292848</x:t>
  </x:si>
  <x:si>
    <x:t>http://id.who.int/icd/release/11/beta/ichi/328292848</x:t>
  </x:si>
  <x:si>
    <x:t>VC1.WG.QF</x:t>
  </x:si>
  <x:si>
    <x:t>- - - - Economic incentives to encourage improved health behaviours relating to safety, unspecified</x:t>
  </x:si>
  <x:si>
    <x:t>http://id.who.int/icd/entity/654153610</x:t>
  </x:si>
  <x:si>
    <x:t>http://id.who.int/icd/release/11/beta/ichi/654153610</x:t>
  </x:si>
  <x:si>
    <x:t>VC1.WG.ZZ</x:t>
  </x:si>
  <x:si>
    <x:t>- - - - Applying incentives to encourage improved health behaviours relating to safety, unspecified</x:t>
  </x:si>
  <x:si>
    <x:t>http://id.who.int/icd/entity/147272769</x:t>
  </x:si>
  <x:si>
    <x:t>http://id.who.int/icd/release/11/beta/ichi/147272769</x:t>
  </x:si>
  <x:si>
    <x:t>VC1.WI.QD</x:t>
  </x:si>
  <x:si>
    <x:t>- - - - Restrictions through enactment of laws or standards on safety-related behaviours, unspecified</x:t>
  </x:si>
  <x:si>
    <x:t>http://id.who.int/icd/entity/1543601102</x:t>
  </x:si>
  <x:si>
    <x:t>http://id.who.int/icd/release/11/beta/ichi/1543601102</x:t>
  </x:si>
  <x:si>
    <x:t>VC1.WI.QE</x:t>
  </x:si>
  <x:si>
    <x:t>- - - - Restrictions through enforcement of laws or standards on safety-related behaviours, unspecified</x:t>
  </x:si>
  <x:si>
    <x:t>http://id.who.int/icd/entity/1587968265</x:t>
  </x:si>
  <x:si>
    <x:t>http://id.who.int/icd/release/11/beta/ichi/1587968265</x:t>
  </x:si>
  <x:si>
    <x:t>VC1.WI.ZZ</x:t>
  </x:si>
  <x:si>
    <x:t>- - - - Restrictions through laws or standards on safety-related behaviours, unspecified</x:t>
  </x:si>
  <x:si>
    <x:t>http://id.who.int/icd/entity/1565832524</x:t>
  </x:si>
  <x:si>
    <x:t>http://id.who.int/icd/release/11/beta/ichi/1565832524</x:t>
  </x:si>
  <x:si>
    <x:t>VC1.WJ.ZZ</x:t>
  </x:si>
  <x:si>
    <x:t>- - - - Policy change concerning safety-related behaviours, unspecified</x:t>
  </x:si>
  <x:si>
    <x:t>http://id.who.int/icd/entity/1913933796</x:t>
  </x:si>
  <x:si>
    <x:t>http://id.who.int/icd/release/11/beta/ichi/1913933796</x:t>
  </x:si>
  <x:si>
    <x:t>VC1.ZZ.ZZ</x:t>
  </x:si>
  <x:si>
    <x:t>- - - - Other interventions targeting unspecified safety-related behaviours</x:t>
  </x:si>
  <x:si>
    <x:t>http://id.who.int/icd/entity/43443311</x:t>
  </x:si>
  <x:si>
    <x:t>http://id.who.int/icd/release/11/beta/ichi/43443311</x:t>
  </x:si>
  <x:si>
    <x:t>VCA.AA.ZZ</x:t>
  </x:si>
  <x:si>
    <x:t>- - - - Assessment of road safety behaviours</x:t>
  </x:si>
  <x:si>
    <x:t>http://id.who.int/icd/entity/23341100</x:t>
  </x:si>
  <x:si>
    <x:t>http://id.who.int/icd/release/11/beta/ichi/23341100</x:t>
  </x:si>
  <x:si>
    <x:t>VCA.PH.ZZ</x:t>
  </x:si>
  <x:si>
    <x:t>- - - - Training in relation to road safety behaviours</x:t>
  </x:si>
  <x:si>
    <x:t>http://id.who.int/icd/entity/128109457</x:t>
  </x:si>
  <x:si>
    <x:t>http://id.who.int/icd/release/11/beta/ichi/128109457</x:t>
  </x:si>
  <x:si>
    <x:t>VCA.PM.ZZ</x:t>
  </x:si>
  <x:si>
    <x:t>- - - - Education to influence road safety behaviours</x:t>
  </x:si>
  <x:si>
    <x:t>http://id.who.int/icd/entity/2023352464</x:t>
  </x:si>
  <x:si>
    <x:t>http://id.who.int/icd/release/11/beta/ichi/2023352464</x:t>
  </x:si>
  <x:si>
    <x:t>VCA.PN.ZZ</x:t>
  </x:si>
  <x:si>
    <x:t>- - - - Advising about road safety behaviours</x:t>
  </x:si>
  <x:si>
    <x:t>http://id.who.int/icd/entity/383904743</x:t>
  </x:si>
  <x:si>
    <x:t>http://id.who.int/icd/release/11/beta/ichi/383904743</x:t>
  </x:si>
  <x:si>
    <x:t>VCA.TA.ZZ</x:t>
  </x:si>
  <x:si>
    <x:t>- - - - Advocacy in relation to road safety behaviours</x:t>
  </x:si>
  <x:si>
    <x:t>http://id.who.int/icd/entity/2101886946</x:t>
  </x:si>
  <x:si>
    <x:t>http://id.who.int/icd/release/11/beta/ichi/2101886946</x:t>
  </x:si>
  <x:si>
    <x:t>VCA.TD.ZZ</x:t>
  </x:si>
  <x:si>
    <x:t>- - - - Collaborating or building partnerships in relation to road safety behaviours</x:t>
  </x:si>
  <x:si>
    <x:t>http://id.who.int/icd/entity/1413969985</x:t>
  </x:si>
  <x:si>
    <x:t>http://id.who.int/icd/release/11/beta/ichi/1413969985</x:t>
  </x:si>
  <x:si>
    <x:t>VCA.TK.ZZ</x:t>
  </x:si>
  <x:si>
    <x:t>- - - - Public facilities or infrastructure development in relation to road safety behaviours</x:t>
  </x:si>
  <x:si>
    <x:t>http://id.who.int/icd/entity/1729036604</x:t>
  </x:si>
  <x:si>
    <x:t>http://id.who.int/icd/release/11/beta/ichi/1729036604</x:t>
  </x:si>
  <x:si>
    <x:t>VCA.TM.ZZ</x:t>
  </x:si>
  <x:si>
    <x:t>- - - - Environment modification to influence road safety behaviours</x:t>
  </x:si>
  <x:si>
    <x:t>http://id.who.int/icd/entity/996849068</x:t>
  </x:si>
  <x:si>
    <x:t>http://id.who.int/icd/release/11/beta/ichi/996849068</x:t>
  </x:si>
  <x:si>
    <x:t>VCA.VA.ZZ</x:t>
  </x:si>
  <x:si>
    <x:t>- - - - Capacity building targeting road safety behaviours</x:t>
  </x:si>
  <x:si>
    <x:t>http://id.who.int/icd/entity/1812668310</x:t>
  </x:si>
  <x:si>
    <x:t>http://id.who.int/icd/release/11/beta/ichi/1812668310</x:t>
  </x:si>
  <x:si>
    <x:t>VCA.VB.ZZ</x:t>
  </x:si>
  <x:si>
    <x:t>- - - - Awareness raising to influence road safety behaviours</x:t>
  </x:si>
  <x:si>
    <x:t>http://id.who.int/icd/entity/314148169</x:t>
  </x:si>
  <x:si>
    <x:t>http://id.who.int/icd/release/11/beta/ichi/314148169</x:t>
  </x:si>
  <x:si>
    <x:t>VCA.VC.ZZ</x:t>
  </x:si>
  <x:si>
    <x:t>- - - - Public health surveillance concerning road safety behaviours</x:t>
  </x:si>
  <x:si>
    <x:t>http://id.who.int/icd/entity/218168090</x:t>
  </x:si>
  <x:si>
    <x:t>http://id.who.int/icd/release/11/beta/ichi/218168090</x:t>
  </x:si>
  <x:si>
    <x:t>VCA.WG.QF</x:t>
  </x:si>
  <x:si>
    <x:t>- - - - Economic incentives to encourage improved health behaviours relating to road safety</x:t>
  </x:si>
  <x:si>
    <x:t>http://id.who.int/icd/entity/1837278808</x:t>
  </x:si>
  <x:si>
    <x:t>http://id.who.int/icd/release/11/beta/ichi/1837278808</x:t>
  </x:si>
  <x:si>
    <x:t>VCA.WG.ZZ</x:t>
  </x:si>
  <x:si>
    <x:t>- - - - Applying incentives to encourage improved health behaviours relating to road safety</x:t>
  </x:si>
  <x:si>
    <x:t>http://id.who.int/icd/entity/132154225</x:t>
  </x:si>
  <x:si>
    <x:t>http://id.who.int/icd/release/11/beta/ichi/132154225</x:t>
  </x:si>
  <x:si>
    <x:t>VCA.WI.QD</x:t>
  </x:si>
  <x:si>
    <x:t>- - - - Restrictions through enactment of laws or standards on road related behaviours</x:t>
  </x:si>
  <x:si>
    <x:t>http://id.who.int/icd/entity/1231155748</x:t>
  </x:si>
  <x:si>
    <x:t>http://id.who.int/icd/release/11/beta/ichi/1231155748</x:t>
  </x:si>
  <x:si>
    <x:t>VCA.WI.QE</x:t>
  </x:si>
  <x:si>
    <x:t>- - - - Restrictions through enforcement of laws or standards on road safety behaviours</x:t>
  </x:si>
  <x:si>
    <x:t>http://id.who.int/icd/entity/1801479093</x:t>
  </x:si>
  <x:si>
    <x:t>http://id.who.int/icd/release/11/beta/ichi/1801479093</x:t>
  </x:si>
  <x:si>
    <x:t>VCA.WI.ZZ</x:t>
  </x:si>
  <x:si>
    <x:t>- - - - Restrictions through laws or standards in relation to road safety behaviours</x:t>
  </x:si>
  <x:si>
    <x:t>http://id.who.int/icd/entity/1029623703</x:t>
  </x:si>
  <x:si>
    <x:t>http://id.who.int/icd/release/11/beta/ichi/1029623703</x:t>
  </x:si>
  <x:si>
    <x:t>VCA.WJ.ZZ</x:t>
  </x:si>
  <x:si>
    <x:t>- - - - Policy change concerning road safety behaviours</x:t>
  </x:si>
  <x:si>
    <x:t>http://id.who.int/icd/entity/684422097</x:t>
  </x:si>
  <x:si>
    <x:t>http://id.who.int/icd/release/11/beta/ichi/684422097</x:t>
  </x:si>
  <x:si>
    <x:t>VCA.ZZ.ZZ</x:t>
  </x:si>
  <x:si>
    <x:t>- - - - Other interventions targeting road safety behaviours, not elsewhere classified</x:t>
  </x:si>
  <x:si>
    <x:t>http://id.who.int/icd/entity/126585215</x:t>
  </x:si>
  <x:si>
    <x:t>http://id.who.int/icd/release/11/beta/ichi/126585215</x:t>
  </x:si>
  <x:si>
    <x:t>VCB.AA.ZZ</x:t>
  </x:si>
  <x:si>
    <x:t>- - - - Assessment of workplace safety behaviours</x:t>
  </x:si>
  <x:si>
    <x:t>http://id.who.int/icd/entity/714687676</x:t>
  </x:si>
  <x:si>
    <x:t>http://id.who.int/icd/release/11/beta/ichi/714687676</x:t>
  </x:si>
  <x:si>
    <x:t>VCB.PH.ZZ</x:t>
  </x:si>
  <x:si>
    <x:t>- - - - Training in relation to workplace safety behaviours</x:t>
  </x:si>
  <x:si>
    <x:t>http://id.who.int/icd/entity/1997087476</x:t>
  </x:si>
  <x:si>
    <x:t>http://id.who.int/icd/release/11/beta/ichi/1997087476</x:t>
  </x:si>
  <x:si>
    <x:t>VCB.PM.ZZ</x:t>
  </x:si>
  <x:si>
    <x:t>- - - - Education to influence workplace safety behaviours</x:t>
  </x:si>
  <x:si>
    <x:t>http://id.who.int/icd/entity/1916603662</x:t>
  </x:si>
  <x:si>
    <x:t>http://id.who.int/icd/release/11/beta/ichi/1916603662</x:t>
  </x:si>
  <x:si>
    <x:t>VCB.RD.ZZ</x:t>
  </x:si>
  <x:si>
    <x:t>- - - - Providing goods to support improved workplace safety behaviours</x:t>
  </x:si>
  <x:si>
    <x:t>http://id.who.int/icd/entity/218508819</x:t>
  </x:si>
  <x:si>
    <x:t>http://id.who.int/icd/release/11/beta/ichi/218508819</x:t>
  </x:si>
  <x:si>
    <x:t>VCB.TA.ZZ</x:t>
  </x:si>
  <x:si>
    <x:t>- - - - Advocacy in relation to workplace safety behaviours</x:t>
  </x:si>
  <x:si>
    <x:t>http://id.who.int/icd/entity/1669213562</x:t>
  </x:si>
  <x:si>
    <x:t>http://id.who.int/icd/release/11/beta/ichi/1669213562</x:t>
  </x:si>
  <x:si>
    <x:t>VCB.TD.ZZ</x:t>
  </x:si>
  <x:si>
    <x:t>- - - - Collaborating or building partnerships in relation to workplace safety behaviours</x:t>
  </x:si>
  <x:si>
    <x:t>http://id.who.int/icd/entity/148371837</x:t>
  </x:si>
  <x:si>
    <x:t>http://id.who.int/icd/release/11/beta/ichi/148371837</x:t>
  </x:si>
  <x:si>
    <x:t>VCB.TM.ZZ</x:t>
  </x:si>
  <x:si>
    <x:t>- - - - Environment modification to influence workplace safety behaviours</x:t>
  </x:si>
  <x:si>
    <x:t>http://id.who.int/icd/entity/311478183</x:t>
  </x:si>
  <x:si>
    <x:t>http://id.who.int/icd/release/11/beta/ichi/311478183</x:t>
  </x:si>
  <x:si>
    <x:t>VCB.VA.ZZ</x:t>
  </x:si>
  <x:si>
    <x:t>- - - - Capacity building targeting workplace safety behaviours</x:t>
  </x:si>
  <x:si>
    <x:t>http://id.who.int/icd/entity/429185291</x:t>
  </x:si>
  <x:si>
    <x:t>http://id.who.int/icd/release/11/beta/ichi/429185291</x:t>
  </x:si>
  <x:si>
    <x:t>VCB.VB.ZZ</x:t>
  </x:si>
  <x:si>
    <x:t>- - - - Awareness raising to influence workplace safety behaviours</x:t>
  </x:si>
  <x:si>
    <x:t>http://id.who.int/icd/entity/1730560982</x:t>
  </x:si>
  <x:si>
    <x:t>http://id.who.int/icd/release/11/beta/ichi/1730560982</x:t>
  </x:si>
  <x:si>
    <x:t>VCB.VC.ZZ</x:t>
  </x:si>
  <x:si>
    <x:t>- - - - Public health surveillance concerning workplace safety behaviours</x:t>
  </x:si>
  <x:si>
    <x:t>http://id.who.int/icd/entity/771814620</x:t>
  </x:si>
  <x:si>
    <x:t>http://id.who.int/icd/release/11/beta/ichi/771814620</x:t>
  </x:si>
  <x:si>
    <x:t>VCB.VE.ZZ</x:t>
  </x:si>
  <x:si>
    <x:t>- - - - Infection control measures in relation to workplace safety behaviours</x:t>
  </x:si>
  <x:si>
    <x:t>http://id.who.int/icd/entity/1908581887</x:t>
  </x:si>
  <x:si>
    <x:t>http://id.who.int/icd/release/11/beta/ichi/1908581887</x:t>
  </x:si>
  <x:si>
    <x:t>VCB.WF.ZZ</x:t>
  </x:si>
  <x:si>
    <x:t>- - - - Restrictions or requirements concerning the use of products in relation to workplace safety behaviours</x:t>
  </x:si>
  <x:si>
    <x:t>http://id.who.int/icd/entity/404578507</x:t>
  </x:si>
  <x:si>
    <x:t>http://id.who.int/icd/release/11/beta/ichi/404578507</x:t>
  </x:si>
  <x:si>
    <x:t>VCB.WG.QF</x:t>
  </x:si>
  <x:si>
    <x:t>- - - - Economic incentives to encourage improved health behaviours relating to workplace safety</x:t>
  </x:si>
  <x:si>
    <x:t>http://id.who.int/icd/entity/1920943596</x:t>
  </x:si>
  <x:si>
    <x:t>http://id.who.int/icd/release/11/beta/ichi/1920943596</x:t>
  </x:si>
  <x:si>
    <x:t>VCB.WG.ZZ</x:t>
  </x:si>
  <x:si>
    <x:t>- - - - Applying incentives to encourage improved health behaviours relating to workplace safety</x:t>
  </x:si>
  <x:si>
    <x:t>http://id.who.int/icd/entity/50196065</x:t>
  </x:si>
  <x:si>
    <x:t>http://id.who.int/icd/release/11/beta/ichi/50196065</x:t>
  </x:si>
  <x:si>
    <x:t>VCB.WI.QD</x:t>
  </x:si>
  <x:si>
    <x:t>- - - - Restrictions through enactment of laws or standards on workplace safety behaviours</x:t>
  </x:si>
  <x:si>
    <x:t>http://id.who.int/icd/entity/767366351</x:t>
  </x:si>
  <x:si>
    <x:t>http://id.who.int/icd/release/11/beta/ichi/767366351</x:t>
  </x:si>
  <x:si>
    <x:t>VCB.WI.QE</x:t>
  </x:si>
  <x:si>
    <x:t>- - - - Restrictions through enforcement of laws or standards on workplace safety behaviours</x:t>
  </x:si>
  <x:si>
    <x:t>http://id.who.int/icd/entity/565804110</x:t>
  </x:si>
  <x:si>
    <x:t>http://id.who.int/icd/release/11/beta/ichi/565804110</x:t>
  </x:si>
  <x:si>
    <x:t>VCB.WI.ZZ</x:t>
  </x:si>
  <x:si>
    <x:t>- - - - Restrictions through laws or standards in relation to workplace safety behaviours</x:t>
  </x:si>
  <x:si>
    <x:t>http://id.who.int/icd/entity/568772218</x:t>
  </x:si>
  <x:si>
    <x:t>http://id.who.int/icd/release/11/beta/ichi/568772218</x:t>
  </x:si>
  <x:si>
    <x:t>VCB.WJ.ZZ</x:t>
  </x:si>
  <x:si>
    <x:t>- - - - Policy change concerning workplace safety behaviours</x:t>
  </x:si>
  <x:si>
    <x:t>http://id.who.int/icd/entity/1335805201</x:t>
  </x:si>
  <x:si>
    <x:t>http://id.who.int/icd/release/11/beta/ichi/1335805201</x:t>
  </x:si>
  <x:si>
    <x:t>VCB.ZZ.ZZ</x:t>
  </x:si>
  <x:si>
    <x:t>- - - - Other interventions targeting workplace safety behaviours, not elsewhere classified</x:t>
  </x:si>
  <x:si>
    <x:t>http://id.who.int/icd/entity/2116327259</x:t>
  </x:si>
  <x:si>
    <x:t>http://id.who.int/icd/release/11/beta/ichi/2116327259</x:t>
  </x:si>
  <x:si>
    <x:t>VCC.AA.ZZ</x:t>
  </x:si>
  <x:si>
    <x:t>- - - - Assessment of home safety behaviours</x:t>
  </x:si>
  <x:si>
    <x:t>http://id.who.int/icd/entity/1410332733</x:t>
  </x:si>
  <x:si>
    <x:t>http://id.who.int/icd/release/11/beta/ichi/1410332733</x:t>
  </x:si>
  <x:si>
    <x:t>VCC.PH.ZZ</x:t>
  </x:si>
  <x:si>
    <x:t>- - - - Training in relation to home safety behaviours</x:t>
  </x:si>
  <x:si>
    <x:t>http://id.who.int/icd/entity/1310162129</x:t>
  </x:si>
  <x:si>
    <x:t>http://id.who.int/icd/release/11/beta/ichi/1310162129</x:t>
  </x:si>
  <x:si>
    <x:t>VCC.PM.ZZ</x:t>
  </x:si>
  <x:si>
    <x:t>- - - - Education to influence home safety behaviours</x:t>
  </x:si>
  <x:si>
    <x:t>http://id.who.int/icd/entity/1101984835</x:t>
  </x:si>
  <x:si>
    <x:t>http://id.who.int/icd/release/11/beta/ichi/1101984835</x:t>
  </x:si>
  <x:si>
    <x:t>VCC.TA.ZZ</x:t>
  </x:si>
  <x:si>
    <x:t>- - - - Advocacy in relation to home safety behaviours</x:t>
  </x:si>
  <x:si>
    <x:t>http://id.who.int/icd/entity/824991696</x:t>
  </x:si>
  <x:si>
    <x:t>http://id.who.int/icd/release/11/beta/ichi/824991696</x:t>
  </x:si>
  <x:si>
    <x:t>VCC.TD.ZZ</x:t>
  </x:si>
  <x:si>
    <x:t>- - - - Collaborating or building partnerships in relation to home safety behaviours</x:t>
  </x:si>
  <x:si>
    <x:t>http://id.who.int/icd/entity/1149182765</x:t>
  </x:si>
  <x:si>
    <x:t>http://id.who.int/icd/release/11/beta/ichi/1149182765</x:t>
  </x:si>
  <x:si>
    <x:t>VCC.TM.ZZ</x:t>
  </x:si>
  <x:si>
    <x:t>- - - - Environment modification to influence home safety behaviours</x:t>
  </x:si>
  <x:si>
    <x:t>http://id.who.int/icd/entity/994312244</x:t>
  </x:si>
  <x:si>
    <x:t>http://id.who.int/icd/release/11/beta/ichi/994312244</x:t>
  </x:si>
  <x:si>
    <x:t>VCC.VA.ZZ</x:t>
  </x:si>
  <x:si>
    <x:t>- - - - Capacity building targeting home safety behaviours</x:t>
  </x:si>
  <x:si>
    <x:t>http://id.who.int/icd/entity/1429996379</x:t>
  </x:si>
  <x:si>
    <x:t>http://id.who.int/icd/release/11/beta/ichi/1429996379</x:t>
  </x:si>
  <x:si>
    <x:t>VCC.VB.ZZ</x:t>
  </x:si>
  <x:si>
    <x:t>- - - - Awareness raising to influence home safety behaviours</x:t>
  </x:si>
  <x:si>
    <x:t>http://id.who.int/icd/entity/1324516417</x:t>
  </x:si>
  <x:si>
    <x:t>http://id.who.int/icd/release/11/beta/ichi/1324516417</x:t>
  </x:si>
  <x:si>
    <x:t>VCC.VC.ZZ</x:t>
  </x:si>
  <x:si>
    <x:t>- - - - Public health surveillance concerning home safety behaviours</x:t>
  </x:si>
  <x:si>
    <x:t>http://id.who.int/icd/entity/2146604205</x:t>
  </x:si>
  <x:si>
    <x:t>http://id.who.int/icd/release/11/beta/ichi/2146604205</x:t>
  </x:si>
  <x:si>
    <x:t>VCC.WF.ZZ</x:t>
  </x:si>
  <x:si>
    <x:t>- - - - Restrictions or requirements concerning the use of products or services in relation to home safety behaviours</x:t>
  </x:si>
  <x:si>
    <x:t>http://id.who.int/icd/entity/474209134</x:t>
  </x:si>
  <x:si>
    <x:t>http://id.who.int/icd/release/11/beta/ichi/474209134</x:t>
  </x:si>
  <x:si>
    <x:t>VCC.WG.QF</x:t>
  </x:si>
  <x:si>
    <x:t>- - - - Economic incentives to encourage improved health behaviours relating to home safety</x:t>
  </x:si>
  <x:si>
    <x:t>http://id.who.int/icd/entity/1421195931</x:t>
  </x:si>
  <x:si>
    <x:t>http://id.who.int/icd/release/11/beta/ichi/1421195931</x:t>
  </x:si>
  <x:si>
    <x:t>VCC.WG.ZZ</x:t>
  </x:si>
  <x:si>
    <x:t>- - - - Applying incentives to encourage improved health behaviours relating to home safety</x:t>
  </x:si>
  <x:si>
    <x:t>http://id.who.int/icd/entity/1605477431</x:t>
  </x:si>
  <x:si>
    <x:t>http://id.who.int/icd/release/11/beta/ichi/1605477431</x:t>
  </x:si>
  <x:si>
    <x:t>VCC.WI.QD</x:t>
  </x:si>
  <x:si>
    <x:t>- - - - Restrictions through enactment of laws or standards on home safety behaviours</x:t>
  </x:si>
  <x:si>
    <x:t>http://id.who.int/icd/entity/1314206769</x:t>
  </x:si>
  <x:si>
    <x:t>http://id.who.int/icd/release/11/beta/ichi/1314206769</x:t>
  </x:si>
  <x:si>
    <x:t>VCC.WI.QE</x:t>
  </x:si>
  <x:si>
    <x:t>- - - - Restrictions through enforcement of laws or standards on home safety behaviours</x:t>
  </x:si>
  <x:si>
    <x:t>http://id.who.int/icd/entity/1857139931</x:t>
  </x:si>
  <x:si>
    <x:t>http://id.who.int/icd/release/11/beta/ichi/1857139931</x:t>
  </x:si>
  <x:si>
    <x:t>VCC.WI.ZZ</x:t>
  </x:si>
  <x:si>
    <x:t>- - - - Restrictions through laws or standards in relation to home safety behaviours</x:t>
  </x:si>
  <x:si>
    <x:t>http://id.who.int/icd/entity/829298478</x:t>
  </x:si>
  <x:si>
    <x:t>http://id.who.int/icd/release/11/beta/ichi/829298478</x:t>
  </x:si>
  <x:si>
    <x:t>VCC.WJ.ZZ</x:t>
  </x:si>
  <x:si>
    <x:t>- - - - Policy change concerning home safety behaviours</x:t>
  </x:si>
  <x:si>
    <x:t>http://id.who.int/icd/entity/1954575065</x:t>
  </x:si>
  <x:si>
    <x:t>http://id.who.int/icd/release/11/beta/ichi/1954575065</x:t>
  </x:si>
  <x:si>
    <x:t>VCC.ZZ.ZZ</x:t>
  </x:si>
  <x:si>
    <x:t>- - - - Other interventions targeting home safety behaviours, not elsewhere classified</x:t>
  </x:si>
  <x:si>
    <x:t>http://id.who.int/icd/entity/846735319</x:t>
  </x:si>
  <x:si>
    <x:t>http://id.who.int/icd/release/11/beta/ichi/846735319</x:t>
  </x:si>
  <x:si>
    <x:t>VCD.AA.ZZ</x:t>
  </x:si>
  <x:si>
    <x:t>- - - - Assessment of water safety behaviours</x:t>
  </x:si>
  <x:si>
    <x:t>http://id.who.int/icd/entity/1644428902</x:t>
  </x:si>
  <x:si>
    <x:t>http://id.who.int/icd/release/11/beta/ichi/1644428902</x:t>
  </x:si>
  <x:si>
    <x:t>VCD.PH.ZZ</x:t>
  </x:si>
  <x:si>
    <x:t>- - - - Training to influence water safety behaviours</x:t>
  </x:si>
  <x:si>
    <x:t>http://id.who.int/icd/entity/2028171470</x:t>
  </x:si>
  <x:si>
    <x:t>http://id.who.int/icd/release/11/beta/ichi/2028171470</x:t>
  </x:si>
  <x:si>
    <x:t>VCD.PM.ZZ</x:t>
  </x:si>
  <x:si>
    <x:t>- - - - Education to influence water safety behaviours</x:t>
  </x:si>
  <x:si>
    <x:t>http://id.who.int/icd/entity/1394482270</x:t>
  </x:si>
  <x:si>
    <x:t>http://id.who.int/icd/release/11/beta/ichi/1394482270</x:t>
  </x:si>
  <x:si>
    <x:t>VCD.PN.ZZ</x:t>
  </x:si>
  <x:si>
    <x:t>- - - - Advising about water safety behaviours</x:t>
  </x:si>
  <x:si>
    <x:t>http://id.who.int/icd/entity/1113406506</x:t>
  </x:si>
  <x:si>
    <x:t>http://id.who.int/icd/release/11/beta/ichi/1113406506</x:t>
  </x:si>
  <x:si>
    <x:t>VCD.PP.ZZ</x:t>
  </x:si>
  <x:si>
    <x:t>- - - - Counselling about water safety behaviours</x:t>
  </x:si>
  <x:si>
    <x:t>http://id.who.int/icd/entity/508916206</x:t>
  </x:si>
  <x:si>
    <x:t>http://id.who.int/icd/release/11/beta/ichi/508916206</x:t>
  </x:si>
  <x:si>
    <x:t>VCD.RB.ZZ</x:t>
  </x:si>
  <x:si>
    <x:t>- - - - Practical support in relation to water safety behaviours</x:t>
  </x:si>
  <x:si>
    <x:t>http://id.who.int/icd/entity/1999762000</x:t>
  </x:si>
  <x:si>
    <x:t>http://id.who.int/icd/release/11/beta/ichi/1999762000</x:t>
  </x:si>
  <x:si>
    <x:t>VCD.RC.ZZ</x:t>
  </x:si>
  <x:si>
    <x:t>- - - - Emotional support for water safety behaviours</x:t>
  </x:si>
  <x:si>
    <x:t>http://id.who.int/icd/entity/659172321</x:t>
  </x:si>
  <x:si>
    <x:t>http://id.who.int/icd/release/11/beta/ichi/659172321</x:t>
  </x:si>
  <x:si>
    <x:t>VCD.RD.ZZ</x:t>
  </x:si>
  <x:si>
    <x:t>- - - - Providing goods to support improved water safety behaviours</x:t>
  </x:si>
  <x:si>
    <x:t>http://id.who.int/icd/entity/2022210242</x:t>
  </x:si>
  <x:si>
    <x:t>http://id.who.int/icd/release/11/beta/ichi/2022210242</x:t>
  </x:si>
  <x:si>
    <x:t>VCD.RE.ZZ</x:t>
  </x:si>
  <x:si>
    <x:t>- - - - Provision of peer support for water safety behaviours</x:t>
  </x:si>
  <x:si>
    <x:t>http://id.who.int/icd/entity/900210046</x:t>
  </x:si>
  <x:si>
    <x:t>http://id.who.int/icd/release/11/beta/ichi/900210046</x:t>
  </x:si>
  <x:si>
    <x:t>VCD.RG.ZZ</x:t>
  </x:si>
  <x:si>
    <x:t>- - - - Providing services in relation to water safety behaviours</x:t>
  </x:si>
  <x:si>
    <x:t>http://id.who.int/icd/entity/584611783</x:t>
  </x:si>
  <x:si>
    <x:t>http://id.who.int/icd/release/11/beta/ichi/584611783</x:t>
  </x:si>
  <x:si>
    <x:t>VCD.TA.ZZ</x:t>
  </x:si>
  <x:si>
    <x:t>- - - - Advocacy in relation to water safety behaviours</x:t>
  </x:si>
  <x:si>
    <x:t>http://id.who.int/icd/entity/245360728</x:t>
  </x:si>
  <x:si>
    <x:t>http://id.who.int/icd/release/11/beta/ichi/245360728</x:t>
  </x:si>
  <x:si>
    <x:t>VCD.TB.ZZ</x:t>
  </x:si>
  <x:si>
    <x:t>- - - - Water safety planning</x:t>
  </x:si>
  <x:si>
    <x:t>http://id.who.int/icd/entity/1749214068</x:t>
  </x:si>
  <x:si>
    <x:t>http://id.who.int/icd/release/11/beta/ichi/1749214068</x:t>
  </x:si>
  <x:si>
    <x:t>VCD.TD.ZZ</x:t>
  </x:si>
  <x:si>
    <x:t>- - - - Collaborating or building partnerships in relation to water safety behaviours</x:t>
  </x:si>
  <x:si>
    <x:t>http://id.who.int/icd/entity/19292362</x:t>
  </x:si>
  <x:si>
    <x:t>http://id.who.int/icd/release/11/beta/ichi/19292362</x:t>
  </x:si>
  <x:si>
    <x:t>VCD.TK.ZZ</x:t>
  </x:si>
  <x:si>
    <x:t>- - - - Public facilities or infrastructure development in relation to water safety behaviours</x:t>
  </x:si>
  <x:si>
    <x:t>http://id.who.int/icd/entity/95754288</x:t>
  </x:si>
  <x:si>
    <x:t>http://id.who.int/icd/release/11/beta/ichi/95754288</x:t>
  </x:si>
  <x:si>
    <x:t>VCD.TM.ZZ</x:t>
  </x:si>
  <x:si>
    <x:t>- - - - Environment modification in relation to water safety behaviours</x:t>
  </x:si>
  <x:si>
    <x:t>http://id.who.int/icd/entity/1400182354</x:t>
  </x:si>
  <x:si>
    <x:t>http://id.who.int/icd/release/11/beta/ichi/1400182354</x:t>
  </x:si>
  <x:si>
    <x:t>VCD.VB.ZZ</x:t>
  </x:si>
  <x:si>
    <x:t>- - - - Awareness raising to influence water safety behaviours</x:t>
  </x:si>
  <x:si>
    <x:t>http://id.who.int/icd/entity/83343268</x:t>
  </x:si>
  <x:si>
    <x:t>http://id.who.int/icd/release/11/beta/ichi/83343268</x:t>
  </x:si>
  <x:si>
    <x:t>VCD.VL.ZZ</x:t>
  </x:si>
  <x:si>
    <x:t>- - - - Environmental remediation or decontamination to improve water safety behaviours</x:t>
  </x:si>
  <x:si>
    <x:t>http://id.who.int/icd/entity/1744530406</x:t>
  </x:si>
  <x:si>
    <x:t>http://id.who.int/icd/release/11/beta/ichi/1744530406</x:t>
  </x:si>
  <x:si>
    <x:t>VCD.WI.QD</x:t>
  </x:si>
  <x:si>
    <x:t>- - - - Restrictions through enactment of laws or standards in relation to water safety behaviours</x:t>
  </x:si>
  <x:si>
    <x:t>http://id.who.int/icd/entity/1365096827</x:t>
  </x:si>
  <x:si>
    <x:t>http://id.who.int/icd/release/11/beta/ichi/1365096827</x:t>
  </x:si>
  <x:si>
    <x:t>VCD.WI.ZZ</x:t>
  </x:si>
  <x:si>
    <x:t>- - - - Restrictions through laws and standards in relation to water safety behaviours</x:t>
  </x:si>
  <x:si>
    <x:t>http://id.who.int/icd/entity/1646967944</x:t>
  </x:si>
  <x:si>
    <x:t>http://id.who.int/icd/release/11/beta/ichi/1646967944</x:t>
  </x:si>
  <x:si>
    <x:t>VCD.WJ.ZZ</x:t>
  </x:si>
  <x:si>
    <x:t>- - - - Policy change concerning water safety behaviours</x:t>
  </x:si>
  <x:si>
    <x:t>http://id.who.int/icd/entity/1130002292</x:t>
  </x:si>
  <x:si>
    <x:t>http://id.who.int/icd/release/11/beta/ichi/1130002292</x:t>
  </x:si>
  <x:si>
    <x:t>VCD.ZZ.ZZ</x:t>
  </x:si>
  <x:si>
    <x:t>- - - - Other interventions targeting water safety behaviours, not elsewhere classified</x:t>
  </x:si>
  <x:si>
    <x:t>http://id.who.int/icd/entity/973144972</x:t>
  </x:si>
  <x:si>
    <x:t>http://id.who.int/icd/release/11/beta/ichi/973144972</x:t>
  </x:si>
  <x:si>
    <x:t>BlockL3-VD1</x:t>
  </x:si>
  <x:si>
    <x:t>- - - Interventions on health service-related behaviours</x:t>
  </x:si>
  <x:si>
    <x:t>52</x:t>
  </x:si>
  <x:si>
    <x:t>http://id.who.int/icd/entity/67295572</x:t>
  </x:si>
  <x:si>
    <x:t>http://id.who.int/icd/release/11/beta/ichi/67295572</x:t>
  </x:si>
  <x:si>
    <x:t>VD1.AA.ZZ</x:t>
  </x:si>
  <x:si>
    <x:t>- - - - Assessment of health service-related behaviours, unspecified</x:t>
  </x:si>
  <x:si>
    <x:t>http://id.who.int/icd/entity/1593091977</x:t>
  </x:si>
  <x:si>
    <x:t>http://id.who.int/icd/release/11/beta/ichi/1593091977</x:t>
  </x:si>
  <x:si>
    <x:t>VD1.AC.ZZ</x:t>
  </x:si>
  <x:si>
    <x:t>- - - - Test of health service-related behaviours, unspecified</x:t>
  </x:si>
  <x:si>
    <x:t>http://id.who.int/icd/entity/779488262</x:t>
  </x:si>
  <x:si>
    <x:t>http://id.who.int/icd/release/11/beta/ichi/779488262</x:t>
  </x:si>
  <x:si>
    <x:t>VD1.PH.ZZ</x:t>
  </x:si>
  <x:si>
    <x:t>- - - - Training to influence health service-related behaviours, unspecified</x:t>
  </x:si>
  <x:si>
    <x:t>http://id.who.int/icd/entity/20379306</x:t>
  </x:si>
  <x:si>
    <x:t>http://id.who.int/icd/release/11/beta/ichi/20379306</x:t>
  </x:si>
  <x:si>
    <x:t>VD1.PM.ZZ</x:t>
  </x:si>
  <x:si>
    <x:t>- - - - Education to influence health service-related behaviours, unspecified</x:t>
  </x:si>
  <x:si>
    <x:t>http://id.who.int/icd/entity/605967354</x:t>
  </x:si>
  <x:si>
    <x:t>http://id.who.int/icd/release/11/beta/ichi/605967354</x:t>
  </x:si>
  <x:si>
    <x:t>VD1.PN.ZZ</x:t>
  </x:si>
  <x:si>
    <x:t>- - - - Advising about health service-related behaviours, unspecified</x:t>
  </x:si>
  <x:si>
    <x:t>http://id.who.int/icd/entity/1248219281</x:t>
  </x:si>
  <x:si>
    <x:t>http://id.who.int/icd/release/11/beta/ichi/1248219281</x:t>
  </x:si>
  <x:si>
    <x:t>VD1.PP.ZZ</x:t>
  </x:si>
  <x:si>
    <x:t>- - - - Counselling about health service-related behaviours, unspecified</x:t>
  </x:si>
  <x:si>
    <x:t>http://id.who.int/icd/entity/2078016219</x:t>
  </x:si>
  <x:si>
    <x:t>http://id.who.int/icd/release/11/beta/ichi/2078016219</x:t>
  </x:si>
  <x:si>
    <x:t>VD1.RC.ZZ</x:t>
  </x:si>
  <x:si>
    <x:t>- - - - Emotional support for health service-related behaviours, unspecified</x:t>
  </x:si>
  <x:si>
    <x:t>http://id.who.int/icd/entity/1274014033</x:t>
  </x:si>
  <x:si>
    <x:t>http://id.who.int/icd/release/11/beta/ichi/1274014033</x:t>
  </x:si>
  <x:si>
    <x:t>VD1.RD.ZZ</x:t>
  </x:si>
  <x:si>
    <x:t>- - - - Providing goods to support improved health service-related behaviours, unspecified</x:t>
  </x:si>
  <x:si>
    <x:t>http://id.who.int/icd/entity/1089206269</x:t>
  </x:si>
  <x:si>
    <x:t>http://id.who.int/icd/release/11/beta/ichi/1089206269</x:t>
  </x:si>
  <x:si>
    <x:t>VD1.RE.ZZ</x:t>
  </x:si>
  <x:si>
    <x:t>- - - - Provision of peer support for health service-related behaviours, unspecified</x:t>
  </x:si>
  <x:si>
    <x:t>http://id.who.int/icd/entity/338540658</x:t>
  </x:si>
  <x:si>
    <x:t>http://id.who.int/icd/release/11/beta/ichi/338540658</x:t>
  </x:si>
  <x:si>
    <x:t>VD1.RF.ZZ</x:t>
  </x:si>
  <x:si>
    <x:t>- - - - Providing opportunities for participation in relation to health service-related behaviours, unspecified</x:t>
  </x:si>
  <x:si>
    <x:t>http://id.who.int/icd/entity/775177444</x:t>
  </x:si>
  <x:si>
    <x:t>http://id.who.int/icd/release/11/beta/ichi/775177444</x:t>
  </x:si>
  <x:si>
    <x:t>VD1.TA.ZZ</x:t>
  </x:si>
  <x:si>
    <x:t>- - - - Advocacy in relation to health service-related behaviours, unspecified</x:t>
  </x:si>
  <x:si>
    <x:t>http://id.who.int/icd/entity/24428108</x:t>
  </x:si>
  <x:si>
    <x:t>http://id.who.int/icd/release/11/beta/ichi/24428108</x:t>
  </x:si>
  <x:si>
    <x:t>VD1.TK.ZZ</x:t>
  </x:si>
  <x:si>
    <x:t>- - - - Public facilities or infrastructure development to support improved health service-related behaviours, unspecified</x:t>
  </x:si>
  <x:si>
    <x:t>http://id.who.int/icd/entity/1911952839</x:t>
  </x:si>
  <x:si>
    <x:t>http://id.who.int/icd/release/11/beta/ichi/1911952839</x:t>
  </x:si>
  <x:si>
    <x:t>VD1.TM.ZZ</x:t>
  </x:si>
  <x:si>
    <x:t>- - - - Environment modification to influence health service-related behaviours, unspecified</x:t>
  </x:si>
  <x:si>
    <x:t>http://id.who.int/icd/entity/551027444</x:t>
  </x:si>
  <x:si>
    <x:t>http://id.who.int/icd/release/11/beta/ichi/551027444</x:t>
  </x:si>
  <x:si>
    <x:t>VD1.VA.ZZ</x:t>
  </x:si>
  <x:si>
    <x:t>- - - - Capacity building targeting health service-related behaviours, unspecified</x:t>
  </x:si>
  <x:si>
    <x:t>http://id.who.int/icd/entity/1608720875</x:t>
  </x:si>
  <x:si>
    <x:t>http://id.who.int/icd/release/11/beta/ichi/1608720875</x:t>
  </x:si>
  <x:si>
    <x:t>VD1.VB.ZZ</x:t>
  </x:si>
  <x:si>
    <x:t>- - - - Awareness raising to influence health service-related behaviours, unspecified</x:t>
  </x:si>
  <x:si>
    <x:t>http://id.who.int/icd/entity/832250500</x:t>
  </x:si>
  <x:si>
    <x:t>http://id.who.int/icd/release/11/beta/ichi/832250500</x:t>
  </x:si>
  <x:si>
    <x:t>VD1.VC.ZZ</x:t>
  </x:si>
  <x:si>
    <x:t>- - - - Public health surveillance concerning health service-related behaviours, unspecified</x:t>
  </x:si>
  <x:si>
    <x:t>http://id.who.int/icd/entity/710256024</x:t>
  </x:si>
  <x:si>
    <x:t>http://id.who.int/icd/release/11/beta/ichi/710256024</x:t>
  </x:si>
  <x:si>
    <x:t>VD1.VF.ZZ</x:t>
  </x:si>
  <x:si>
    <x:t>- - - - Alert concerning health service-related behaviours, unspecified</x:t>
  </x:si>
  <x:si>
    <x:t>http://id.who.int/icd/entity/1559403371</x:t>
  </x:si>
  <x:si>
    <x:t>http://id.who.int/icd/release/11/beta/ichi/1559403371</x:t>
  </x:si>
  <x:si>
    <x:t>VD1.WG.QF</x:t>
  </x:si>
  <x:si>
    <x:t>- - - - Economic incentives to encourage improved health behaviours relating to use of health services, unspecified</x:t>
  </x:si>
  <x:si>
    <x:t>http://id.who.int/icd/entity/53529162</x:t>
  </x:si>
  <x:si>
    <x:t>http://id.who.int/icd/release/11/beta/ichi/53529162</x:t>
  </x:si>
  <x:si>
    <x:t>VD1.WG.ZZ</x:t>
  </x:si>
  <x:si>
    <x:t>- - - - Applying incentives to encourage improved health behaviours relating to use of health services, unspecified</x:t>
  </x:si>
  <x:si>
    <x:t>http://id.who.int/icd/entity/283896192</x:t>
  </x:si>
  <x:si>
    <x:t>http://id.who.int/icd/release/11/beta/ichi/283896192</x:t>
  </x:si>
  <x:si>
    <x:t>VD1.WI.QD</x:t>
  </x:si>
  <x:si>
    <x:t>- - - - Restrictions through enactment of laws or standards on health service-related behaviours, unspecified</x:t>
  </x:si>
  <x:si>
    <x:t>http://id.who.int/icd/entity/1706595741</x:t>
  </x:si>
  <x:si>
    <x:t>http://id.who.int/icd/release/11/beta/ichi/1706595741</x:t>
  </x:si>
  <x:si>
    <x:t>VD1.WI.QE</x:t>
  </x:si>
  <x:si>
    <x:t>- - - - Restrictions through enforcement of laws or standards on health-service-related behaviours, unspecified</x:t>
  </x:si>
  <x:si>
    <x:t>http://id.who.int/icd/entity/1654842898</x:t>
  </x:si>
  <x:si>
    <x:t>http://id.who.int/icd/release/11/beta/ichi/1654842898</x:t>
  </x:si>
  <x:si>
    <x:t>VD1.WI.ZZ</x:t>
  </x:si>
  <x:si>
    <x:t>- - - - Restrictions through laws or standards on health-service-related behaviours, unspecified</x:t>
  </x:si>
  <x:si>
    <x:t>http://id.who.int/icd/entity/356138514</x:t>
  </x:si>
  <x:si>
    <x:t>http://id.who.int/icd/release/11/beta/ichi/356138514</x:t>
  </x:si>
  <x:si>
    <x:t>VD1.WJ.ZZ</x:t>
  </x:si>
  <x:si>
    <x:t>- - - - Policy change concerning health service-related behaviours, unspecified</x:t>
  </x:si>
  <x:si>
    <x:t>http://id.who.int/icd/entity/981124286</x:t>
  </x:si>
  <x:si>
    <x:t>http://id.who.int/icd/release/11/beta/ichi/981124286</x:t>
  </x:si>
  <x:si>
    <x:t>VD1.ZZ.ZZ</x:t>
  </x:si>
  <x:si>
    <x:t>- - - - Other interventions targeting unspecified health service-related behaviours</x:t>
  </x:si>
  <x:si>
    <x:t>http://id.who.int/icd/entity/1865757425</x:t>
  </x:si>
  <x:si>
    <x:t>http://id.who.int/icd/release/11/beta/ichi/1865757425</x:t>
  </x:si>
  <x:si>
    <x:t>VDA.AA.ZZ</x:t>
  </x:si>
  <x:si>
    <x:t>- - - - Assessment of immunisation behaviours</x:t>
  </x:si>
  <x:si>
    <x:t>http://id.who.int/icd/entity/21836184</x:t>
  </x:si>
  <x:si>
    <x:t>http://id.who.int/icd/release/11/beta/ichi/21836184</x:t>
  </x:si>
  <x:si>
    <x:t>VDA.PM.ZZ</x:t>
  </x:si>
  <x:si>
    <x:t>- - - - Education to influence immunisation behaviours</x:t>
  </x:si>
  <x:si>
    <x:t>http://id.who.int/icd/entity/821519314</x:t>
  </x:si>
  <x:si>
    <x:t>http://id.who.int/icd/release/11/beta/ichi/821519314</x:t>
  </x:si>
  <x:si>
    <x:t>VDA.PN.ZZ</x:t>
  </x:si>
  <x:si>
    <x:t>- - - - Advising about immunisation behaviours</x:t>
  </x:si>
  <x:si>
    <x:t>http://id.who.int/icd/entity/1871872641</x:t>
  </x:si>
  <x:si>
    <x:t>http://id.who.int/icd/release/11/beta/ichi/1871872641</x:t>
  </x:si>
  <x:si>
    <x:t>VDA.TA.ZZ</x:t>
  </x:si>
  <x:si>
    <x:t>- - - - Advocacy in relation to immunisation behaviours</x:t>
  </x:si>
  <x:si>
    <x:t>http://id.who.int/icd/entity/1687591981</x:t>
  </x:si>
  <x:si>
    <x:t>http://id.who.int/icd/release/11/beta/ichi/1687591981</x:t>
  </x:si>
  <x:si>
    <x:t>VDA.TD.ZZ</x:t>
  </x:si>
  <x:si>
    <x:t>- - - - Collaborating or building partnerships in relation to immunisation behaviours</x:t>
  </x:si>
  <x:si>
    <x:t>http://id.who.int/icd/entity/810603428</x:t>
  </x:si>
  <x:si>
    <x:t>http://id.who.int/icd/release/11/beta/ichi/810603428</x:t>
  </x:si>
  <x:si>
    <x:t>VDA.TM.ZZ</x:t>
  </x:si>
  <x:si>
    <x:t>- - - - Environment modification to influence immunisation behaviours</x:t>
  </x:si>
  <x:si>
    <x:t>http://id.who.int/icd/entity/633696228</x:t>
  </x:si>
  <x:si>
    <x:t>http://id.who.int/icd/release/11/beta/ichi/633696228</x:t>
  </x:si>
  <x:si>
    <x:t>VDA.VA.ZZ</x:t>
  </x:si>
  <x:si>
    <x:t>- - - - Capacity building targeting immunisation behaviours</x:t>
  </x:si>
  <x:si>
    <x:t>http://id.who.int/icd/entity/176526668</x:t>
  </x:si>
  <x:si>
    <x:t>http://id.who.int/icd/release/11/beta/ichi/176526668</x:t>
  </x:si>
  <x:si>
    <x:t>VDA.VB.ZZ</x:t>
  </x:si>
  <x:si>
    <x:t>- - - - Awareness raising to influence immunisation behaviours</x:t>
  </x:si>
  <x:si>
    <x:t>http://id.who.int/icd/entity/2047295175</x:t>
  </x:si>
  <x:si>
    <x:t>http://id.who.int/icd/release/11/beta/ichi/2047295175</x:t>
  </x:si>
  <x:si>
    <x:t>VDA.VC.ZZ</x:t>
  </x:si>
  <x:si>
    <x:t>- - - - Public health surveillance concerning immunisation behaviours</x:t>
  </x:si>
  <x:si>
    <x:t>http://id.who.int/icd/entity/2134053177</x:t>
  </x:si>
  <x:si>
    <x:t>http://id.who.int/icd/release/11/beta/ichi/2134053177</x:t>
  </x:si>
  <x:si>
    <x:t>VDA.VF.ZZ</x:t>
  </x:si>
  <x:si>
    <x:t>- - - - Alert concerning immunisation behaviours</x:t>
  </x:si>
  <x:si>
    <x:t>http://id.who.int/icd/entity/1166892511</x:t>
  </x:si>
  <x:si>
    <x:t>http://id.who.int/icd/release/11/beta/ichi/1166892511</x:t>
  </x:si>
  <x:si>
    <x:t>VDA.WG.QF</x:t>
  </x:si>
  <x:si>
    <x:t>- - - - Economic incentives to encourage improved health behaviours relating to use of immunisation services</x:t>
  </x:si>
  <x:si>
    <x:t>http://id.who.int/icd/entity/1317618547</x:t>
  </x:si>
  <x:si>
    <x:t>http://id.who.int/icd/release/11/beta/ichi/1317618547</x:t>
  </x:si>
  <x:si>
    <x:t>VDA.WG.ZZ</x:t>
  </x:si>
  <x:si>
    <x:t>- - - - Applying incentives to encourage improved health behaviours relating to use of immunisation services</x:t>
  </x:si>
  <x:si>
    <x:t>http://id.who.int/icd/entity/1079806641</x:t>
  </x:si>
  <x:si>
    <x:t>http://id.who.int/icd/release/11/beta/ichi/1079806641</x:t>
  </x:si>
  <x:si>
    <x:t>VDA.WJ.ZZ</x:t>
  </x:si>
  <x:si>
    <x:t>- - - - Policy change concerning immunisation behaviours</x:t>
  </x:si>
  <x:si>
    <x:t>http://id.who.int/icd/entity/1063758254</x:t>
  </x:si>
  <x:si>
    <x:t>http://id.who.int/icd/release/11/beta/ichi/1063758254</x:t>
  </x:si>
  <x:si>
    <x:t>VDA.ZZ.ZZ</x:t>
  </x:si>
  <x:si>
    <x:t>- - - - Other interventions targeting immunisation behaviours, not elsewhere classified</x:t>
  </x:si>
  <x:si>
    <x:t>http://id.who.int/icd/entity/978552400</x:t>
  </x:si>
  <x:si>
    <x:t>http://id.who.int/icd/release/11/beta/ichi/978552400</x:t>
  </x:si>
  <x:si>
    <x:t>VDB.AA.ZZ</x:t>
  </x:si>
  <x:si>
    <x:t>- - - - Assessment of screening behaviours</x:t>
  </x:si>
  <x:si>
    <x:t>http://id.who.int/icd/entity/1255222749</x:t>
  </x:si>
  <x:si>
    <x:t>http://id.who.int/icd/release/11/beta/ichi/1255222749</x:t>
  </x:si>
  <x:si>
    <x:t>VDB.PM.ZZ</x:t>
  </x:si>
  <x:si>
    <x:t>- - - - Education to influence screening behaviours</x:t>
  </x:si>
  <x:si>
    <x:t>http://id.who.int/icd/entity/1704056691</x:t>
  </x:si>
  <x:si>
    <x:t>http://id.who.int/icd/release/11/beta/ichi/1704056691</x:t>
  </x:si>
  <x:si>
    <x:t>VDB.PN.ZZ</x:t>
  </x:si>
  <x:si>
    <x:t>- - - - Advising about screening behaviours</x:t>
  </x:si>
  <x:si>
    <x:t>http://id.who.int/icd/entity/1602759653</x:t>
  </x:si>
  <x:si>
    <x:t>http://id.who.int/icd/release/11/beta/ichi/1602759653</x:t>
  </x:si>
  <x:si>
    <x:t>VDB.TA.ZZ</x:t>
  </x:si>
  <x:si>
    <x:t>- - - - Advocacy in relation to screening behaviours</x:t>
  </x:si>
  <x:si>
    <x:t>http://id.who.int/icd/entity/837822604</x:t>
  </x:si>
  <x:si>
    <x:t>http://id.who.int/icd/release/11/beta/ichi/837822604</x:t>
  </x:si>
  <x:si>
    <x:t>VDB.TD.ZZ</x:t>
  </x:si>
  <x:si>
    <x:t>- - - - Collaborating or building partnerships in relation to screening behaviours</x:t>
  </x:si>
  <x:si>
    <x:t>http://id.who.int/icd/entity/4881094</x:t>
  </x:si>
  <x:si>
    <x:t>http://id.who.int/icd/release/11/beta/ichi/4881094</x:t>
  </x:si>
  <x:si>
    <x:t>VDB.TM.ZZ</x:t>
  </x:si>
  <x:si>
    <x:t>- - - - Environment modification to influence screening behaviours</x:t>
  </x:si>
  <x:si>
    <x:t>http://id.who.int/icd/entity/1936821726</x:t>
  </x:si>
  <x:si>
    <x:t>http://id.who.int/icd/release/11/beta/ichi/1936821726</x:t>
  </x:si>
  <x:si>
    <x:t>VDB.VA.ZZ</x:t>
  </x:si>
  <x:si>
    <x:t>- - - - Capacity building targeting screening behaviours</x:t>
  </x:si>
  <x:si>
    <x:t>http://id.who.int/icd/entity/2020971380</x:t>
  </x:si>
  <x:si>
    <x:t>http://id.who.int/icd/release/11/beta/ichi/2020971380</x:t>
  </x:si>
  <x:si>
    <x:t>VDB.VB.ZZ</x:t>
  </x:si>
  <x:si>
    <x:t>- - - - Awareness raising to influence screening behaviours</x:t>
  </x:si>
  <x:si>
    <x:t>http://id.who.int/icd/entity/749985021</x:t>
  </x:si>
  <x:si>
    <x:t>http://id.who.int/icd/release/11/beta/ichi/749985021</x:t>
  </x:si>
  <x:si>
    <x:t>VDB.VC.ZZ</x:t>
  </x:si>
  <x:si>
    <x:t>- - - - Public health surveillance concerning screening behaviours</x:t>
  </x:si>
  <x:si>
    <x:t>http://id.who.int/icd/entity/2046569138</x:t>
  </x:si>
  <x:si>
    <x:t>http://id.who.int/icd/release/11/beta/ichi/2046569138</x:t>
  </x:si>
  <x:si>
    <x:t>VDB.VF.ZZ</x:t>
  </x:si>
  <x:si>
    <x:t>- - - - Alert concerning screening behaviours</x:t>
  </x:si>
  <x:si>
    <x:t>http://id.who.int/icd/entity/1984274976</x:t>
  </x:si>
  <x:si>
    <x:t>http://id.who.int/icd/release/11/beta/ichi/1984274976</x:t>
  </x:si>
  <x:si>
    <x:t>VDB.WG.QF</x:t>
  </x:si>
  <x:si>
    <x:t>- - - - Economic incentives to encourage improved health behaviours relating to use of health screening services</x:t>
  </x:si>
  <x:si>
    <x:t>http://id.who.int/icd/entity/406692169</x:t>
  </x:si>
  <x:si>
    <x:t>http://id.who.int/icd/release/11/beta/ichi/406692169</x:t>
  </x:si>
  <x:si>
    <x:t>VDB.WG.ZZ</x:t>
  </x:si>
  <x:si>
    <x:t>- - - - Applying incentives to encourage improved health behaviours relating to use of health screening services</x:t>
  </x:si>
  <x:si>
    <x:t>http://id.who.int/icd/entity/1939109198</x:t>
  </x:si>
  <x:si>
    <x:t>http://id.who.int/icd/release/11/beta/ichi/1939109198</x:t>
  </x:si>
  <x:si>
    <x:t>VDB.WJ.ZZ</x:t>
  </x:si>
  <x:si>
    <x:t>- - - - Policy change concerning screening behaviours</x:t>
  </x:si>
  <x:si>
    <x:t>http://id.who.int/icd/entity/1775455124</x:t>
  </x:si>
  <x:si>
    <x:t>http://id.who.int/icd/release/11/beta/ichi/1775455124</x:t>
  </x:si>
  <x:si>
    <x:t>VDB.ZZ.ZZ</x:t>
  </x:si>
  <x:si>
    <x:t>- - - - Other interventions targeting health screening behaviours, not elsewhere classified</x:t>
  </x:si>
  <x:si>
    <x:t>http://id.who.int/icd/entity/1277040216</x:t>
  </x:si>
  <x:si>
    <x:t>http://id.who.int/icd/release/11/beta/ichi/1277040216</x:t>
  </x:si>
  <x:si>
    <x:t>BlockL3-VE1</x:t>
  </x:si>
  <x:si>
    <x:t>- - - Interventions on lifestyle-related behaviours</x:t>
  </x:si>
  <x:si>
    <x:t>252</x:t>
  </x:si>
  <x:si>
    <x:t>http://id.who.int/icd/entity/1658279226</x:t>
  </x:si>
  <x:si>
    <x:t>http://id.who.int/icd/release/11/beta/ichi/1658279226</x:t>
  </x:si>
  <x:si>
    <x:t>VE1.AA.ZZ</x:t>
  </x:si>
  <x:si>
    <x:t>- - - - Assessment of lifestyle behaviours, unspecified</x:t>
  </x:si>
  <x:si>
    <x:t>http://id.who.int/icd/entity/1135058630</x:t>
  </x:si>
  <x:si>
    <x:t>http://id.who.int/icd/release/11/beta/ichi/1135058630</x:t>
  </x:si>
  <x:si>
    <x:t>VE1.AC.ZZ</x:t>
  </x:si>
  <x:si>
    <x:t>- - - - Test of lifestyle behaviours, unspecified</x:t>
  </x:si>
  <x:si>
    <x:t>http://id.who.int/icd/entity/1218674792</x:t>
  </x:si>
  <x:si>
    <x:t>http://id.who.int/icd/release/11/beta/ichi/1218674792</x:t>
  </x:si>
  <x:si>
    <x:t>VE1.PH.ZZ</x:t>
  </x:si>
  <x:si>
    <x:t>- - - - Training to influence lifestyle behaviours, unspecified</x:t>
  </x:si>
  <x:si>
    <x:t>http://id.who.int/icd/entity/1497829486</x:t>
  </x:si>
  <x:si>
    <x:t>http://id.who.int/icd/release/11/beta/ichi/1497829486</x:t>
  </x:si>
  <x:si>
    <x:t>VE1.PM.ZZ</x:t>
  </x:si>
  <x:si>
    <x:t>- - - - Education to influence lifestyle behaviours, unspecified</x:t>
  </x:si>
  <x:si>
    <x:t>http://id.who.int/icd/entity/645673841</x:t>
  </x:si>
  <x:si>
    <x:t>http://id.who.int/icd/release/11/beta/ichi/645673841</x:t>
  </x:si>
  <x:si>
    <x:t>VE1.PN.ZZ</x:t>
  </x:si>
  <x:si>
    <x:t>- - - - Advising about lifestyle behaviours, unspecified</x:t>
  </x:si>
  <x:si>
    <x:t>http://id.who.int/icd/entity/1670534790</x:t>
  </x:si>
  <x:si>
    <x:t>http://id.who.int/icd/release/11/beta/ichi/1670534790</x:t>
  </x:si>
  <x:si>
    <x:t>VE1.PP.ZZ</x:t>
  </x:si>
  <x:si>
    <x:t>- - - - Counselling about lifestyle behaviours, unspecified</x:t>
  </x:si>
  <x:si>
    <x:t>http://id.who.int/icd/entity/319880459</x:t>
  </x:si>
  <x:si>
    <x:t>http://id.who.int/icd/release/11/beta/ichi/319880459</x:t>
  </x:si>
  <x:si>
    <x:t>VE1.RC.ZZ</x:t>
  </x:si>
  <x:si>
    <x:t>- - - - Emotional support for lifestyle behaviours, unspecified</x:t>
  </x:si>
  <x:si>
    <x:t>http://id.who.int/icd/entity/1011877797</x:t>
  </x:si>
  <x:si>
    <x:t>http://id.who.int/icd/release/11/beta/ichi/1011877797</x:t>
  </x:si>
  <x:si>
    <x:t>VE1.RD.ZZ</x:t>
  </x:si>
  <x:si>
    <x:t>- - - - Providing goods to support improved lifestyle behaviours, unspecified</x:t>
  </x:si>
  <x:si>
    <x:t>http://id.who.int/icd/entity/1763701226</x:t>
  </x:si>
  <x:si>
    <x:t>http://id.who.int/icd/release/11/beta/ichi/1763701226</x:t>
  </x:si>
  <x:si>
    <x:t>VE1.RE.ZZ</x:t>
  </x:si>
  <x:si>
    <x:t>- - - - Provision of peer support for lifestyle behaviours, unspecified</x:t>
  </x:si>
  <x:si>
    <x:t>http://id.who.int/icd/entity/124252803</x:t>
  </x:si>
  <x:si>
    <x:t>http://id.who.int/icd/release/11/beta/ichi/124252803</x:t>
  </x:si>
  <x:si>
    <x:t>VE1.RF.ZZ</x:t>
  </x:si>
  <x:si>
    <x:t>- - - - Providing opportunities for participation in relation to lifestyle behaviours, unspecified</x:t>
  </x:si>
  <x:si>
    <x:t>http://id.who.int/icd/entity/920494281</x:t>
  </x:si>
  <x:si>
    <x:t>http://id.who.int/icd/release/11/beta/ichi/920494281</x:t>
  </x:si>
  <x:si>
    <x:t>VE1.TA.ZZ</x:t>
  </x:si>
  <x:si>
    <x:t>- - - - Advocacy in relation to lifestyle behaviours, unspecified</x:t>
  </x:si>
  <x:si>
    <x:t>http://id.who.int/icd/entity/1988696158</x:t>
  </x:si>
  <x:si>
    <x:t>http://id.who.int/icd/release/11/beta/ichi/1988696158</x:t>
  </x:si>
  <x:si>
    <x:t>VE1.TK.ZZ</x:t>
  </x:si>
  <x:si>
    <x:t>- - - - Public facilities or infrastructure development to support improved lifestyle behaviours, unspecified</x:t>
  </x:si>
  <x:si>
    <x:t>http://id.who.int/icd/entity/2106394356</x:t>
  </x:si>
  <x:si>
    <x:t>http://id.who.int/icd/release/11/beta/ichi/2106394356</x:t>
  </x:si>
  <x:si>
    <x:t>VE1.TM.ZZ</x:t>
  </x:si>
  <x:si>
    <x:t>- - - - Environment modification to influence lifestyle behaviours, unspecified</x:t>
  </x:si>
  <x:si>
    <x:t>http://id.who.int/icd/entity/692799869</x:t>
  </x:si>
  <x:si>
    <x:t>http://id.who.int/icd/release/11/beta/ichi/692799869</x:t>
  </x:si>
  <x:si>
    <x:t>VE1.VA.ZZ</x:t>
  </x:si>
  <x:si>
    <x:t>- - - - Capacity building targeting lifestyle behaviours, unspecified</x:t>
  </x:si>
  <x:si>
    <x:t>http://id.who.int/icd/entity/2080685874</x:t>
  </x:si>
  <x:si>
    <x:t>http://id.who.int/icd/release/11/beta/ichi/2080685874</x:t>
  </x:si>
  <x:si>
    <x:t>VE1.VB.ZZ</x:t>
  </x:si>
  <x:si>
    <x:t>- - - - Awareness raising to influence lifestyle behaviours, unspecified</x:t>
  </x:si>
  <x:si>
    <x:t>http://id.who.int/icd/entity/1396983198</x:t>
  </x:si>
  <x:si>
    <x:t>http://id.who.int/icd/release/11/beta/ichi/1396983198</x:t>
  </x:si>
  <x:si>
    <x:t>VE1.VC.ZZ</x:t>
  </x:si>
  <x:si>
    <x:t>- - - - Public health surveillance concerning lifestyle behaviours, unspecified</x:t>
  </x:si>
  <x:si>
    <x:t>http://id.who.int/icd/entity/1303493405</x:t>
  </x:si>
  <x:si>
    <x:t>http://id.who.int/icd/release/11/beta/ichi/1303493405</x:t>
  </x:si>
  <x:si>
    <x:t>VE1.WG.QF</x:t>
  </x:si>
  <x:si>
    <x:t>- - - - Economic incentives to encourage improvements in relation to lifestyle behaviours, unspecified</x:t>
  </x:si>
  <x:si>
    <x:t>http://id.who.int/icd/entity/115416360</x:t>
  </x:si>
  <x:si>
    <x:t>http://id.who.int/icd/release/11/beta/ichi/115416360</x:t>
  </x:si>
  <x:si>
    <x:t>VE1.WG.ZZ</x:t>
  </x:si>
  <x:si>
    <x:t>- - - - Applying incentives to encourage improvements in relation to lifestyle behaviours, unspecified</x:t>
  </x:si>
  <x:si>
    <x:t>http://id.who.int/icd/entity/600239633</x:t>
  </x:si>
  <x:si>
    <x:t>http://id.who.int/icd/release/11/beta/ichi/600239633</x:t>
  </x:si>
  <x:si>
    <x:t>VE1.WI.QD</x:t>
  </x:si>
  <x:si>
    <x:t>- - - - Restrictions through enactment of laws or standards on lifestyle behaviours, unspecified</x:t>
  </x:si>
  <x:si>
    <x:t>http://id.who.int/icd/entity/1235536694</x:t>
  </x:si>
  <x:si>
    <x:t>http://id.who.int/icd/release/11/beta/ichi/1235536694</x:t>
  </x:si>
  <x:si>
    <x:t>VE1.WI.QE</x:t>
  </x:si>
  <x:si>
    <x:t>- - - - Restrictions through enforcement of laws or standards on lifestyle behaviours, unspecified</x:t>
  </x:si>
  <x:si>
    <x:t>http://id.who.int/icd/entity/916449321</x:t>
  </x:si>
  <x:si>
    <x:t>http://id.who.int/icd/release/11/beta/ichi/916449321</x:t>
  </x:si>
  <x:si>
    <x:t>VE1.WJ.ZZ</x:t>
  </x:si>
  <x:si>
    <x:t>- - - - Policy change concerning lifestyle behaviours, unspecified</x:t>
  </x:si>
  <x:si>
    <x:t>http://id.who.int/icd/entity/1491594050</x:t>
  </x:si>
  <x:si>
    <x:t>http://id.who.int/icd/release/11/beta/ichi/1491594050</x:t>
  </x:si>
  <x:si>
    <x:t>VE1.ZZ.ZZ</x:t>
  </x:si>
  <x:si>
    <x:t>- - - - Other interventions targeting unspecified lifestyle behaviours</x:t>
  </x:si>
  <x:si>
    <x:t>http://id.who.int/icd/entity/1358432140</x:t>
  </x:si>
  <x:si>
    <x:t>http://id.who.int/icd/release/11/beta/ichi/1358432140</x:t>
  </x:si>
  <x:si>
    <x:t>VEA.AA.ZZ</x:t>
  </x:si>
  <x:si>
    <x:t>- - - - Assessment of eating behaviours</x:t>
  </x:si>
  <x:si>
    <x:t>http://id.who.int/icd/entity/1254046034</x:t>
  </x:si>
  <x:si>
    <x:t>http://id.who.int/icd/release/11/beta/ichi/1254046034</x:t>
  </x:si>
  <x:si>
    <x:t>VEA.AC.ZZ</x:t>
  </x:si>
  <x:si>
    <x:t>- - - - Test of eating behaviours</x:t>
  </x:si>
  <x:si>
    <x:t>http://id.who.int/icd/entity/1102784508</x:t>
  </x:si>
  <x:si>
    <x:t>http://id.who.int/icd/release/11/beta/ichi/1102784508</x:t>
  </x:si>
  <x:si>
    <x:t>VEA.PH.ZZ</x:t>
  </x:si>
  <x:si>
    <x:t>- - - - Training to influence eating behaviours</x:t>
  </x:si>
  <x:si>
    <x:t>http://id.who.int/icd/entity/1057602851</x:t>
  </x:si>
  <x:si>
    <x:t>http://id.who.int/icd/release/11/beta/ichi/1057602851</x:t>
  </x:si>
  <x:si>
    <x:t>VEA.PM.ZZ</x:t>
  </x:si>
  <x:si>
    <x:t>- - - - Education to influence eating behaviours</x:t>
  </x:si>
  <x:si>
    <x:t>http://id.who.int/icd/entity/1077059134</x:t>
  </x:si>
  <x:si>
    <x:t>http://id.who.int/icd/release/11/beta/ichi/1077059134</x:t>
  </x:si>
  <x:si>
    <x:t>VEA.PN.ZZ</x:t>
  </x:si>
  <x:si>
    <x:t>- - - - Advising about eating behaviours</x:t>
  </x:si>
  <x:si>
    <x:t>http://id.who.int/icd/entity/895607519</x:t>
  </x:si>
  <x:si>
    <x:t>http://id.who.int/icd/release/11/beta/ichi/895607519</x:t>
  </x:si>
  <x:si>
    <x:t>VEA.PP.ZZ</x:t>
  </x:si>
  <x:si>
    <x:t>- - - - Counselling about eating behaviours</x:t>
  </x:si>
  <x:si>
    <x:t>http://id.who.int/icd/entity/1172523348</x:t>
  </x:si>
  <x:si>
    <x:t>http://id.who.int/icd/release/11/beta/ichi/1172523348</x:t>
  </x:si>
  <x:si>
    <x:t>VEA.PQ.ZZ</x:t>
  </x:si>
  <x:si>
    <x:t>- - - - Psychotherapy for eating behaviours</x:t>
  </x:si>
  <x:si>
    <x:t>http://id.who.int/icd/entity/1789113340</x:t>
  </x:si>
  <x:si>
    <x:t>http://id.who.int/icd/release/11/beta/ichi/1789113340</x:t>
  </x:si>
  <x:si>
    <x:t>VEA.RD.ZZ</x:t>
  </x:si>
  <x:si>
    <x:t>- - - - Providing goods to support improved eating behaviours</x:t>
  </x:si>
  <x:si>
    <x:t>http://id.who.int/icd/entity/1072448947</x:t>
  </x:si>
  <x:si>
    <x:t>http://id.who.int/icd/release/11/beta/ichi/1072448947</x:t>
  </x:si>
  <x:si>
    <x:t>VEA.RE.ZZ</x:t>
  </x:si>
  <x:si>
    <x:t>- - - - Provision of peer support for eating behaviours</x:t>
  </x:si>
  <x:si>
    <x:t>http://id.who.int/icd/entity/1368671962</x:t>
  </x:si>
  <x:si>
    <x:t>http://id.who.int/icd/release/11/beta/ichi/1368671962</x:t>
  </x:si>
  <x:si>
    <x:t>VEA.RF.ZZ</x:t>
  </x:si>
  <x:si>
    <x:t>- - - - Providing opportunities for participation in relation to eating behaviours</x:t>
  </x:si>
  <x:si>
    <x:t>http://id.who.int/icd/entity/1613632656</x:t>
  </x:si>
  <x:si>
    <x:t>http://id.who.int/icd/release/11/beta/ichi/1613632656</x:t>
  </x:si>
  <x:si>
    <x:t>VEA.TA.ZZ</x:t>
  </x:si>
  <x:si>
    <x:t>- - - - Advocacy in relation to eating behaviours</x:t>
  </x:si>
  <x:si>
    <x:t>http://id.who.int/icd/entity/1389577596</x:t>
  </x:si>
  <x:si>
    <x:t>http://id.who.int/icd/release/11/beta/ichi/1389577596</x:t>
  </x:si>
  <x:si>
    <x:t>VEA.TB.ZZ</x:t>
  </x:si>
  <x:si>
    <x:t>- - - - Planning in relation to eating behaviours</x:t>
  </x:si>
  <x:si>
    <x:t>http://id.who.int/icd/entity/1061942723</x:t>
  </x:si>
  <x:si>
    <x:t>http://id.who.int/icd/release/11/beta/ichi/1061942723</x:t>
  </x:si>
  <x:si>
    <x:t>VEA.TD.ZZ</x:t>
  </x:si>
  <x:si>
    <x:t>- - - - Collaborating or building partnerships in relation to eating behaviours</x:t>
  </x:si>
  <x:si>
    <x:t>http://id.who.int/icd/entity/877652847</x:t>
  </x:si>
  <x:si>
    <x:t>http://id.who.int/icd/release/11/beta/ichi/877652847</x:t>
  </x:si>
  <x:si>
    <x:t>VEA.TI.ZZ</x:t>
  </x:si>
  <x:si>
    <x:t>- - - - Prescription for eating behaviours</x:t>
  </x:si>
  <x:si>
    <x:t>http://id.who.int/icd/entity/1619633378</x:t>
  </x:si>
  <x:si>
    <x:t>http://id.who.int/icd/release/11/beta/ichi/1619633378</x:t>
  </x:si>
  <x:si>
    <x:t>VEA.TK.ZZ</x:t>
  </x:si>
  <x:si>
    <x:t>- - - - Public facilities or infrastructure development to support healthy eating behaviours</x:t>
  </x:si>
  <x:si>
    <x:t>http://id.who.int/icd/entity/1964775590</x:t>
  </x:si>
  <x:si>
    <x:t>http://id.who.int/icd/release/11/beta/ichi/1964775590</x:t>
  </x:si>
  <x:si>
    <x:t>VEA.TM.ZZ</x:t>
  </x:si>
  <x:si>
    <x:t>- - - - Environment modification to influence eating behaviours</x:t>
  </x:si>
  <x:si>
    <x:t>http://id.who.int/icd/entity/1516036618</x:t>
  </x:si>
  <x:si>
    <x:t>http://id.who.int/icd/release/11/beta/ichi/1516036618</x:t>
  </x:si>
  <x:si>
    <x:t>VEA.VA.ZZ</x:t>
  </x:si>
  <x:si>
    <x:t>- - - - Capacity building targeting eating behaviours</x:t>
  </x:si>
  <x:si>
    <x:t>http://id.who.int/icd/entity/719210885</x:t>
  </x:si>
  <x:si>
    <x:t>http://id.who.int/icd/release/11/beta/ichi/719210885</x:t>
  </x:si>
  <x:si>
    <x:t>VEA.VB.ZZ</x:t>
  </x:si>
  <x:si>
    <x:t>- - - - Awareness raising to influence eating behaviours</x:t>
  </x:si>
  <x:si>
    <x:t>http://id.who.int/icd/entity/803890811</x:t>
  </x:si>
  <x:si>
    <x:t>http://id.who.int/icd/release/11/beta/ichi/803890811</x:t>
  </x:si>
  <x:si>
    <x:t>VEA.VC.ZZ</x:t>
  </x:si>
  <x:si>
    <x:t>- - - - Public health surveillance concerning eating behaviours</x:t>
  </x:si>
  <x:si>
    <x:t>http://id.who.int/icd/entity/1355892070</x:t>
  </x:si>
  <x:si>
    <x:t>http://id.who.int/icd/release/11/beta/ichi/1355892070</x:t>
  </x:si>
  <x:si>
    <x:t>VEA.WC.QD</x:t>
  </x:si>
  <x:si>
    <x:t>- - - - Restrictions through enactment of laws or standards on the sale or distribution of certain food or beverages</x:t>
  </x:si>
  <x:si>
    <x:t>http://id.who.int/icd/entity/1051280909</x:t>
  </x:si>
  <x:si>
    <x:t>http://id.who.int/icd/release/11/beta/ichi/1051280909</x:t>
  </x:si>
  <x:si>
    <x:t>VEA.WC.QE</x:t>
  </x:si>
  <x:si>
    <x:t>- - - - Restrictions through enforcement of laws or standards on the sale or distribution of certain foods or beverages</x:t>
  </x:si>
  <x:si>
    <x:t>http://id.who.int/icd/entity/1426100748</x:t>
  </x:si>
  <x:si>
    <x:t>http://id.who.int/icd/release/11/beta/ichi/1426100748</x:t>
  </x:si>
  <x:si>
    <x:t>VEA.WC.ZZ</x:t>
  </x:si>
  <x:si>
    <x:t>- - - - Restrictions or requirements concerning the sale or distribution of certain foods or beverages, not elsewhere classified</x:t>
  </x:si>
  <x:si>
    <x:t>http://id.who.int/icd/entity/1330097362</x:t>
  </x:si>
  <x:si>
    <x:t>http://id.who.int/icd/release/11/beta/ichi/1330097362</x:t>
  </x:si>
  <x:si>
    <x:t>VEA.WD.QD</x:t>
  </x:si>
  <x:si>
    <x:t>- - - - Restrictions through enactment of laws or standards on the advertising, promotion or sponsorship of certain foods or beverages</x:t>
  </x:si>
  <x:si>
    <x:t>http://id.who.int/icd/entity/1145287292</x:t>
  </x:si>
  <x:si>
    <x:t>http://id.who.int/icd/release/11/beta/ichi/1145287292</x:t>
  </x:si>
  <x:si>
    <x:t>VEA.WD.QE</x:t>
  </x:si>
  <x:si>
    <x:t>- - - - Restrictions through enforcement of laws or standards on the advertising, promotion or sponsorship of certain foods or beverages</x:t>
  </x:si>
  <x:si>
    <x:t>http://id.who.int/icd/entity/988883107</x:t>
  </x:si>
  <x:si>
    <x:t>http://id.who.int/icd/release/11/beta/ichi/988883107</x:t>
  </x:si>
  <x:si>
    <x:t>VEA.WD.ZZ</x:t>
  </x:si>
  <x:si>
    <x:t>- - - - Restrictions or requirements concerning the advertising, promotion or sponsorship of certain foods or beverages, not elsewhere classified</x:t>
  </x:si>
  <x:si>
    <x:t>http://id.who.int/icd/entity/1170869182</x:t>
  </x:si>
  <x:si>
    <x:t>http://id.who.int/icd/release/11/beta/ichi/1170869182</x:t>
  </x:si>
  <x:si>
    <x:t>VEA.WE.QD</x:t>
  </x:si>
  <x:si>
    <x:t>- - - - Restrictions through enactment of laws or standards on the production or importation of certain foods or beverages</x:t>
  </x:si>
  <x:si>
    <x:t>http://id.who.int/icd/entity/799551131</x:t>
  </x:si>
  <x:si>
    <x:t>http://id.who.int/icd/release/11/beta/ichi/799551131</x:t>
  </x:si>
  <x:si>
    <x:t>VEA.WE.QE</x:t>
  </x:si>
  <x:si>
    <x:t>- - - - Restrictions through enforcement of laws or standards on the production or importation of certain foods or beverages</x:t>
  </x:si>
  <x:si>
    <x:t>http://id.who.int/icd/entity/1596622102</x:t>
  </x:si>
  <x:si>
    <x:t>http://id.who.int/icd/release/11/beta/ichi/1596622102</x:t>
  </x:si>
  <x:si>
    <x:t>VEA.WF.QD</x:t>
  </x:si>
  <x:si>
    <x:t>- - - - Restrictions through enactment of laws or standards on the consumption of certain foods or beverages</x:t>
  </x:si>
  <x:si>
    <x:t>http://id.who.int/icd/entity/1886027706</x:t>
  </x:si>
  <x:si>
    <x:t>http://id.who.int/icd/release/11/beta/ichi/1886027706</x:t>
  </x:si>
  <x:si>
    <x:t>VEA.WF.QE</x:t>
  </x:si>
  <x:si>
    <x:t>- - - - Restrictions through enforcement of laws or standards concerning the consumption of certain foods or beverages</x:t>
  </x:si>
  <x:si>
    <x:t>http://id.who.int/icd/entity/1899999548</x:t>
  </x:si>
  <x:si>
    <x:t>http://id.who.int/icd/release/11/beta/ichi/1899999548</x:t>
  </x:si>
  <x:si>
    <x:t>VEA.WF.ZZ</x:t>
  </x:si>
  <x:si>
    <x:t>- - - - Restrictions concerning the consumption of certain foods or beverages, not elsewhere classified</x:t>
  </x:si>
  <x:si>
    <x:t>http://id.who.int/icd/entity/524792403</x:t>
  </x:si>
  <x:si>
    <x:t>http://id.who.int/icd/release/11/beta/ichi/524792403</x:t>
  </x:si>
  <x:si>
    <x:t>VEA.WG.QF</x:t>
  </x:si>
  <x:si>
    <x:t>- - - - Economic incentives to encourage improved health behaviours relating to eating</x:t>
  </x:si>
  <x:si>
    <x:t>http://id.who.int/icd/entity/788389913</x:t>
  </x:si>
  <x:si>
    <x:t>http://id.who.int/icd/release/11/beta/ichi/788389913</x:t>
  </x:si>
  <x:si>
    <x:t>VEA.WG.ZZ</x:t>
  </x:si>
  <x:si>
    <x:t>- - - - Applying incentives to encourage improved health behaviours relating to eating</x:t>
  </x:si>
  <x:si>
    <x:t>http://id.who.int/icd/entity/516819859</x:t>
  </x:si>
  <x:si>
    <x:t>http://id.who.int/icd/release/11/beta/ichi/516819859</x:t>
  </x:si>
  <x:si>
    <x:t>VEA.WJ.ZZ</x:t>
  </x:si>
  <x:si>
    <x:t>- - - - Policy change in relation to eating behaviours</x:t>
  </x:si>
  <x:si>
    <x:t>http://id.who.int/icd/entity/365565247</x:t>
  </x:si>
  <x:si>
    <x:t>http://id.who.int/icd/release/11/beta/ichi/365565247</x:t>
  </x:si>
  <x:si>
    <x:t>VEA.ZZ.ZZ</x:t>
  </x:si>
  <x:si>
    <x:t>- - - - Other interventions targeting eating behaviours, not elsewhere classified</x:t>
  </x:si>
  <x:si>
    <x:t>http://id.who.int/icd/entity/1091328688</x:t>
  </x:si>
  <x:si>
    <x:t>http://id.who.int/icd/release/11/beta/ichi/1091328688</x:t>
  </x:si>
  <x:si>
    <x:t>VEB.AA.ZZ</x:t>
  </x:si>
  <x:si>
    <x:t>- - - - Assessment of physical activity behaviours</x:t>
  </x:si>
  <x:si>
    <x:t>http://id.who.int/icd/entity/1680146404</x:t>
  </x:si>
  <x:si>
    <x:t>http://id.who.int/icd/release/11/beta/ichi/1680146404</x:t>
  </x:si>
  <x:si>
    <x:t>VEB.AC.ZZ</x:t>
  </x:si>
  <x:si>
    <x:t>- - - - Test of physical activity behaviours</x:t>
  </x:si>
  <x:si>
    <x:t>http://id.who.int/icd/entity/1264846156</x:t>
  </x:si>
  <x:si>
    <x:t>http://id.who.int/icd/release/11/beta/ichi/1264846156</x:t>
  </x:si>
  <x:si>
    <x:t>VEB.PH.ZZ</x:t>
  </x:si>
  <x:si>
    <x:t>- - - - Training to influence physical activity behaviours</x:t>
  </x:si>
  <x:si>
    <x:t>http://id.who.int/icd/entity/1004973761</x:t>
  </x:si>
  <x:si>
    <x:t>http://id.who.int/icd/release/11/beta/ichi/1004973761</x:t>
  </x:si>
  <x:si>
    <x:t>VEB.PM.ZZ</x:t>
  </x:si>
  <x:si>
    <x:t>- - - - Education to influence physical activity behaviours</x:t>
  </x:si>
  <x:si>
    <x:t>http://id.who.int/icd/entity/1053983039</x:t>
  </x:si>
  <x:si>
    <x:t>http://id.who.int/icd/release/11/beta/ichi/1053983039</x:t>
  </x:si>
  <x:si>
    <x:t>VEB.PN.ZZ</x:t>
  </x:si>
  <x:si>
    <x:t>- - - - Advising about physical activity behaviours</x:t>
  </x:si>
  <x:si>
    <x:t>http://id.who.int/icd/entity/1105830432</x:t>
  </x:si>
  <x:si>
    <x:t>http://id.who.int/icd/release/11/beta/ichi/1105830432</x:t>
  </x:si>
  <x:si>
    <x:t>VEB.PP.ZZ</x:t>
  </x:si>
  <x:si>
    <x:t>- - - - Counselling about physical activity behaviours</x:t>
  </x:si>
  <x:si>
    <x:t>http://id.who.int/icd/entity/798073161</x:t>
  </x:si>
  <x:si>
    <x:t>http://id.who.int/icd/release/11/beta/ichi/798073161</x:t>
  </x:si>
  <x:si>
    <x:t>VEB.RD.ZZ</x:t>
  </x:si>
  <x:si>
    <x:t>- - - - Providing goods to support improved physical activity behaviours</x:t>
  </x:si>
  <x:si>
    <x:t>http://id.who.int/icd/entity/1527327884</x:t>
  </x:si>
  <x:si>
    <x:t>http://id.who.int/icd/release/11/beta/ichi/1527327884</x:t>
  </x:si>
  <x:si>
    <x:t>VEB.RE.ZZ</x:t>
  </x:si>
  <x:si>
    <x:t>- - - - Provision of peer support for physical activity behaviours</x:t>
  </x:si>
  <x:si>
    <x:t>http://id.who.int/icd/entity/1095635538</x:t>
  </x:si>
  <x:si>
    <x:t>http://id.who.int/icd/release/11/beta/ichi/1095635538</x:t>
  </x:si>
  <x:si>
    <x:t>VEB.RF.ZZ</x:t>
  </x:si>
  <x:si>
    <x:t>- - - - Providing opportunities for participation in relation to physical activity behaviours</x:t>
  </x:si>
  <x:si>
    <x:t>http://id.who.int/icd/entity/1543434451</x:t>
  </x:si>
  <x:si>
    <x:t>http://id.who.int/icd/release/11/beta/ichi/1543434451</x:t>
  </x:si>
  <x:si>
    <x:t>VEB.RG.ZZ</x:t>
  </x:si>
  <x:si>
    <x:t>- - - - Providing services in relation to physical activity behaviours</x:t>
  </x:si>
  <x:si>
    <x:t>http://id.who.int/icd/entity/1246366972</x:t>
  </x:si>
  <x:si>
    <x:t>http://id.who.int/icd/release/11/beta/ichi/1246366972</x:t>
  </x:si>
  <x:si>
    <x:t>VEB.TA.ZZ</x:t>
  </x:si>
  <x:si>
    <x:t>- - - - Advocacy in relation to physical activity behaviours</x:t>
  </x:si>
  <x:si>
    <x:t>http://id.who.int/icd/entity/193276260</x:t>
  </x:si>
  <x:si>
    <x:t>http://id.who.int/icd/release/11/beta/ichi/193276260</x:t>
  </x:si>
  <x:si>
    <x:t>VEB.TB.ZZ</x:t>
  </x:si>
  <x:si>
    <x:t>- - - - Planning in relation to physical activity behaviours</x:t>
  </x:si>
  <x:si>
    <x:t>http://id.who.int/icd/entity/1948441644</x:t>
  </x:si>
  <x:si>
    <x:t>http://id.who.int/icd/release/11/beta/ichi/1948441644</x:t>
  </x:si>
  <x:si>
    <x:t>VEB.TD.ZZ</x:t>
  </x:si>
  <x:si>
    <x:t>- - - - Collaborating or building partnerships in relation to physical activity behaviours</x:t>
  </x:si>
  <x:si>
    <x:t>http://id.who.int/icd/entity/186253109</x:t>
  </x:si>
  <x:si>
    <x:t>http://id.who.int/icd/release/11/beta/ichi/186253109</x:t>
  </x:si>
  <x:si>
    <x:t>VEB.TI.ZZ</x:t>
  </x:si>
  <x:si>
    <x:t>- - - - Prescription for physical activity behaviours</x:t>
  </x:si>
  <x:si>
    <x:t>http://id.who.int/icd/entity/237883595</x:t>
  </x:si>
  <x:si>
    <x:t>http://id.who.int/icd/release/11/beta/ichi/237883595</x:t>
  </x:si>
  <x:si>
    <x:t>VEB.TK.ZZ</x:t>
  </x:si>
  <x:si>
    <x:t>- - - - Public facilities or infrastructure development to promote physical activity behaviours</x:t>
  </x:si>
  <x:si>
    <x:t>http://id.who.int/icd/entity/2125429576</x:t>
  </x:si>
  <x:si>
    <x:t>http://id.who.int/icd/release/11/beta/ichi/2125429576</x:t>
  </x:si>
  <x:si>
    <x:t>VEB.TM.ZZ</x:t>
  </x:si>
  <x:si>
    <x:t>- - - - Environment modification to influence physical activity behaviours</x:t>
  </x:si>
  <x:si>
    <x:t>http://id.who.int/icd/entity/1374650856</x:t>
  </x:si>
  <x:si>
    <x:t>http://id.who.int/icd/release/11/beta/ichi/1374650856</x:t>
  </x:si>
  <x:si>
    <x:t>VEB.VA.ZZ</x:t>
  </x:si>
  <x:si>
    <x:t>- - - - Capacity building targeting physical activity behaviours</x:t>
  </x:si>
  <x:si>
    <x:t>http://id.who.int/icd/entity/1959208124</x:t>
  </x:si>
  <x:si>
    <x:t>http://id.who.int/icd/release/11/beta/ichi/1959208124</x:t>
  </x:si>
  <x:si>
    <x:t>VEB.VB.ZZ</x:t>
  </x:si>
  <x:si>
    <x:t>- - - - Awareness raising to influence physical activity behaviours</x:t>
  </x:si>
  <x:si>
    <x:t>http://id.who.int/icd/entity/448735187</x:t>
  </x:si>
  <x:si>
    <x:t>http://id.who.int/icd/release/11/beta/ichi/448735187</x:t>
  </x:si>
  <x:si>
    <x:t>VEB.VC.ZZ</x:t>
  </x:si>
  <x:si>
    <x:t>- - - - Public health surveillance concerning physical activity behaviours</x:t>
  </x:si>
  <x:si>
    <x:t>http://id.who.int/icd/entity/776500384</x:t>
  </x:si>
  <x:si>
    <x:t>http://id.who.int/icd/release/11/beta/ichi/776500384</x:t>
  </x:si>
  <x:si>
    <x:t>VEB.WF.ZZ</x:t>
  </x:si>
  <x:si>
    <x:t>- - - - Restrictions concerning the consumption or use of products or services in relation to physical activity behaviours</x:t>
  </x:si>
  <x:si>
    <x:t>http://id.who.int/icd/entity/721778073</x:t>
  </x:si>
  <x:si>
    <x:t>http://id.who.int/icd/release/11/beta/ichi/721778073</x:t>
  </x:si>
  <x:si>
    <x:t>VEB.WG.QF</x:t>
  </x:si>
  <x:si>
    <x:t>- - - - Economic incentives to encourage improved health behaviours relating to physical activity</x:t>
  </x:si>
  <x:si>
    <x:t>http://id.who.int/icd/entity/456564243</x:t>
  </x:si>
  <x:si>
    <x:t>http://id.who.int/icd/release/11/beta/ichi/456564243</x:t>
  </x:si>
  <x:si>
    <x:t>VEB.WG.ZZ</x:t>
  </x:si>
  <x:si>
    <x:t>- - - - Applying incentives to encourage improved health behaviours relating to physical activity</x:t>
  </x:si>
  <x:si>
    <x:t>http://id.who.int/icd/entity/271745215</x:t>
  </x:si>
  <x:si>
    <x:t>http://id.who.int/icd/release/11/beta/ichi/271745215</x:t>
  </x:si>
  <x:si>
    <x:t>VEB.WJ.ZZ</x:t>
  </x:si>
  <x:si>
    <x:t>- - - - Policy change concerning physical activity behaviours</x:t>
  </x:si>
  <x:si>
    <x:t>http://id.who.int/icd/entity/1156894512</x:t>
  </x:si>
  <x:si>
    <x:t>http://id.who.int/icd/release/11/beta/ichi/1156894512</x:t>
  </x:si>
  <x:si>
    <x:t>VEB.ZZ.ZZ</x:t>
  </x:si>
  <x:si>
    <x:t>- - - - Other interventions targeting physical activity behaviours, not elsewhere classified</x:t>
  </x:si>
  <x:si>
    <x:t>http://id.who.int/icd/entity/2129474470</x:t>
  </x:si>
  <x:si>
    <x:t>http://id.who.int/icd/release/11/beta/ichi/2129474470</x:t>
  </x:si>
  <x:si>
    <x:t>VEC.AA.ZZ</x:t>
  </x:si>
  <x:si>
    <x:t>- - - - Assessment of sleep and rest behaviours</x:t>
  </x:si>
  <x:si>
    <x:t>http://id.who.int/icd/entity/1370343690</x:t>
  </x:si>
  <x:si>
    <x:t>http://id.who.int/icd/release/11/beta/ichi/1370343690</x:t>
  </x:si>
  <x:si>
    <x:t>VEC.AC.ZZ</x:t>
  </x:si>
  <x:si>
    <x:t>- - - - Test of sleep and rest behaviours</x:t>
  </x:si>
  <x:si>
    <x:t>http://id.who.int/icd/entity/556753541</x:t>
  </x:si>
  <x:si>
    <x:t>http://id.who.int/icd/release/11/beta/ichi/556753541</x:t>
  </x:si>
  <x:si>
    <x:t>VEC.PH.ZZ</x:t>
  </x:si>
  <x:si>
    <x:t>- - - - Training to influence sleep and rest behaviours</x:t>
  </x:si>
  <x:si>
    <x:t>http://id.who.int/icd/entity/2098162051</x:t>
  </x:si>
  <x:si>
    <x:t>http://id.who.int/icd/release/11/beta/ichi/2098162051</x:t>
  </x:si>
  <x:si>
    <x:t>VEC.PM.ZZ</x:t>
  </x:si>
  <x:si>
    <x:t>- - - - Education to influence sleep and rest behaviours</x:t>
  </x:si>
  <x:si>
    <x:t>http://id.who.int/icd/entity/36981404</x:t>
  </x:si>
  <x:si>
    <x:t>http://id.who.int/icd/release/11/beta/ichi/36981404</x:t>
  </x:si>
  <x:si>
    <x:t>VEC.PP.ZZ</x:t>
  </x:si>
  <x:si>
    <x:t>- - - - Counselling about sleep and rest behaviours</x:t>
  </x:si>
  <x:si>
    <x:t>http://id.who.int/icd/entity/1816938997</x:t>
  </x:si>
  <x:si>
    <x:t>http://id.who.int/icd/release/11/beta/ichi/1816938997</x:t>
  </x:si>
  <x:si>
    <x:t>VEC.RB.ZZ</x:t>
  </x:si>
  <x:si>
    <x:t>- - - - Practical support with sleep and rest behaviours</x:t>
  </x:si>
  <x:si>
    <x:t>http://id.who.int/icd/entity/2005061359</x:t>
  </x:si>
  <x:si>
    <x:t>http://id.who.int/icd/release/11/beta/ichi/2005061359</x:t>
  </x:si>
  <x:si>
    <x:t>VEC.TA.ZZ</x:t>
  </x:si>
  <x:si>
    <x:t>- - - - Advocacy in relation to sleep and rest behaviours</x:t>
  </x:si>
  <x:si>
    <x:t>http://id.who.int/icd/entity/1841688629</x:t>
  </x:si>
  <x:si>
    <x:t>http://id.who.int/icd/release/11/beta/ichi/1841688629</x:t>
  </x:si>
  <x:si>
    <x:t>VEC.TM.ZZ</x:t>
  </x:si>
  <x:si>
    <x:t>- - - - Environment modification to influence sleep and rest behaviours</x:t>
  </x:si>
  <x:si>
    <x:t>http://id.who.int/icd/entity/1723985561</x:t>
  </x:si>
  <x:si>
    <x:t>http://id.who.int/icd/release/11/beta/ichi/1723985561</x:t>
  </x:si>
  <x:si>
    <x:t>VEC.VB.ZZ</x:t>
  </x:si>
  <x:si>
    <x:t>- - - - Awareness raising to influence sleep and rest behaviours</x:t>
  </x:si>
  <x:si>
    <x:t>http://id.who.int/icd/entity/1746151259</x:t>
  </x:si>
  <x:si>
    <x:t>http://id.who.int/icd/release/11/beta/ichi/1746151259</x:t>
  </x:si>
  <x:si>
    <x:t>VEC.VC.ZZ</x:t>
  </x:si>
  <x:si>
    <x:t>- - - - Public health surveillance concerning sleep and rest behaviours</x:t>
  </x:si>
  <x:si>
    <x:t>http://id.who.int/icd/entity/1495485445</x:t>
  </x:si>
  <x:si>
    <x:t>http://id.who.int/icd/release/11/beta/ichi/1495485445</x:t>
  </x:si>
  <x:si>
    <x:t>VEC.WG.QF</x:t>
  </x:si>
  <x:si>
    <x:t>- - - - Economic incentives to encourage improved health behaviours relating to sleep and rest</x:t>
  </x:si>
  <x:si>
    <x:t>http://id.who.int/icd/entity/388957252</x:t>
  </x:si>
  <x:si>
    <x:t>http://id.who.int/icd/release/11/beta/ichi/388957252</x:t>
  </x:si>
  <x:si>
    <x:t>VEC.WG.ZZ</x:t>
  </x:si>
  <x:si>
    <x:t>- - - - Applying incentives to encourage improved health behaviours relating to sleep and rest</x:t>
  </x:si>
  <x:si>
    <x:t>http://id.who.int/icd/entity/303770554</x:t>
  </x:si>
  <x:si>
    <x:t>http://id.who.int/icd/release/11/beta/ichi/303770554</x:t>
  </x:si>
  <x:si>
    <x:t>VEC.WJ.ZZ</x:t>
  </x:si>
  <x:si>
    <x:t>- - - - Policy change concerning sleep and rest behaviours</x:t>
  </x:si>
  <x:si>
    <x:t>http://id.who.int/icd/entity/1654226999</x:t>
  </x:si>
  <x:si>
    <x:t>http://id.who.int/icd/release/11/beta/ichi/1654226999</x:t>
  </x:si>
  <x:si>
    <x:t>VEC.ZZ.ZZ</x:t>
  </x:si>
  <x:si>
    <x:t>- - - - Other interventions targeting sleep and rest behaviours, not elsewhere classified</x:t>
  </x:si>
  <x:si>
    <x:t>http://id.who.int/icd/entity/1830815909</x:t>
  </x:si>
  <x:si>
    <x:t>http://id.who.int/icd/release/11/beta/ichi/1830815909</x:t>
  </x:si>
  <x:si>
    <x:t>VED.AA.ZZ</x:t>
  </x:si>
  <x:si>
    <x:t>- - - - Assessment of hygiene behaviours</x:t>
  </x:si>
  <x:si>
    <x:t>http://id.who.int/icd/entity/843442678</x:t>
  </x:si>
  <x:si>
    <x:t>http://id.who.int/icd/release/11/beta/ichi/843442678</x:t>
  </x:si>
  <x:si>
    <x:t>VED.AC.ZZ</x:t>
  </x:si>
  <x:si>
    <x:t>- - - - Test of hygiene behaviours</x:t>
  </x:si>
  <x:si>
    <x:t>http://id.who.int/icd/entity/960624476</x:t>
  </x:si>
  <x:si>
    <x:t>http://id.who.int/icd/release/11/beta/ichi/960624476</x:t>
  </x:si>
  <x:si>
    <x:t>VED.PH.ZZ</x:t>
  </x:si>
  <x:si>
    <x:t>- - - - Training to influence hygiene behaviours</x:t>
  </x:si>
  <x:si>
    <x:t>http://id.who.int/icd/entity/1837611221</x:t>
  </x:si>
  <x:si>
    <x:t>http://id.who.int/icd/release/11/beta/ichi/1837611221</x:t>
  </x:si>
  <x:si>
    <x:t>VED.PM.ZZ</x:t>
  </x:si>
  <x:si>
    <x:t>- - - - Education to influence hygiene behaviours</x:t>
  </x:si>
  <x:si>
    <x:t>http://id.who.int/icd/entity/2014446739</x:t>
  </x:si>
  <x:si>
    <x:t>http://id.who.int/icd/release/11/beta/ichi/2014446739</x:t>
  </x:si>
  <x:si>
    <x:t>VED.PN.ZZ</x:t>
  </x:si>
  <x:si>
    <x:t>- - - - Advising about hygiene behaviours</x:t>
  </x:si>
  <x:si>
    <x:t>http://id.who.int/icd/entity/1465056829</x:t>
  </x:si>
  <x:si>
    <x:t>http://id.who.int/icd/release/11/beta/ichi/1465056829</x:t>
  </x:si>
  <x:si>
    <x:t>VED.PP.ZZ</x:t>
  </x:si>
  <x:si>
    <x:t>- - - - Counselling about hygiene behaviours</x:t>
  </x:si>
  <x:si>
    <x:t>http://id.who.int/icd/entity/667964850</x:t>
  </x:si>
  <x:si>
    <x:t>http://id.who.int/icd/release/11/beta/ichi/667964850</x:t>
  </x:si>
  <x:si>
    <x:t>VED.RD.ZZ</x:t>
  </x:si>
  <x:si>
    <x:t>- - - - Providing goods to support improved hygiene behaviours</x:t>
  </x:si>
  <x:si>
    <x:t>http://id.who.int/icd/entity/585398864</x:t>
  </x:si>
  <x:si>
    <x:t>http://id.who.int/icd/release/11/beta/ichi/585398864</x:t>
  </x:si>
  <x:si>
    <x:t>VED.TA.ZZ</x:t>
  </x:si>
  <x:si>
    <x:t>- - - - Advocacy in relation to hygiene behaviours</x:t>
  </x:si>
  <x:si>
    <x:t>http://id.who.int/icd/entity/1574918481</x:t>
  </x:si>
  <x:si>
    <x:t>http://id.who.int/icd/release/11/beta/ichi/1574918481</x:t>
  </x:si>
  <x:si>
    <x:t>VED.TD.ZZ</x:t>
  </x:si>
  <x:si>
    <x:t>- - - - Collaborating or building partnerships in relation to hygiene behaviours</x:t>
  </x:si>
  <x:si>
    <x:t>http://id.who.int/icd/entity/242880712</x:t>
  </x:si>
  <x:si>
    <x:t>http://id.who.int/icd/release/11/beta/ichi/242880712</x:t>
  </x:si>
  <x:si>
    <x:t>VED.TI.ZZ</x:t>
  </x:si>
  <x:si>
    <x:t>- - - - Prescription of products to improve hygiene behaviours</x:t>
  </x:si>
  <x:si>
    <x:t>http://id.who.int/icd/entity/2077004987</x:t>
  </x:si>
  <x:si>
    <x:t>http://id.who.int/icd/release/11/beta/ichi/2077004987</x:t>
  </x:si>
  <x:si>
    <x:t>VED.TK.ZZ</x:t>
  </x:si>
  <x:si>
    <x:t>- - - - Public facilities or infrastructure development to support improved hygiene behaviours</x:t>
  </x:si>
  <x:si>
    <x:t>http://id.who.int/icd/entity/866605624</x:t>
  </x:si>
  <x:si>
    <x:t>http://id.who.int/icd/release/11/beta/ichi/866605624</x:t>
  </x:si>
  <x:si>
    <x:t>VED.TM.ZZ</x:t>
  </x:si>
  <x:si>
    <x:t>- - - - Environment modification to influence hygiene behaviours</x:t>
  </x:si>
  <x:si>
    <x:t>http://id.who.int/icd/entity/1477348927</x:t>
  </x:si>
  <x:si>
    <x:t>http://id.who.int/icd/release/11/beta/ichi/1477348927</x:t>
  </x:si>
  <x:si>
    <x:t>VED.VA.ZZ</x:t>
  </x:si>
  <x:si>
    <x:t>- - - - Capacity building targeting improved hygiene behaviours</x:t>
  </x:si>
  <x:si>
    <x:t>http://id.who.int/icd/entity/1112125669</x:t>
  </x:si>
  <x:si>
    <x:t>http://id.who.int/icd/release/11/beta/ichi/1112125669</x:t>
  </x:si>
  <x:si>
    <x:t>VED.VB.ZZ</x:t>
  </x:si>
  <x:si>
    <x:t>- - - - Awareness raising to influence hygiene behaviours</x:t>
  </x:si>
  <x:si>
    <x:t>http://id.who.int/icd/entity/1229827657</x:t>
  </x:si>
  <x:si>
    <x:t>http://id.who.int/icd/release/11/beta/ichi/1229827657</x:t>
  </x:si>
  <x:si>
    <x:t>VED.VC.ZZ</x:t>
  </x:si>
  <x:si>
    <x:t>- - - - Public health surveillance concerning hygiene behaviours</x:t>
  </x:si>
  <x:si>
    <x:t>http://id.who.int/icd/entity/156800438</x:t>
  </x:si>
  <x:si>
    <x:t>http://id.who.int/icd/release/11/beta/ichi/156800438</x:t>
  </x:si>
  <x:si>
    <x:t>VED.WG.QF</x:t>
  </x:si>
  <x:si>
    <x:t>- - - - Economic incentives to encourage improved health behaviours relating to hygiene</x:t>
  </x:si>
  <x:si>
    <x:t>http://id.who.int/icd/entity/939472024</x:t>
  </x:si>
  <x:si>
    <x:t>http://id.who.int/icd/release/11/beta/ichi/939472024</x:t>
  </x:si>
  <x:si>
    <x:t>VED.WG.ZZ</x:t>
  </x:si>
  <x:si>
    <x:t>- - - - Applying incentives to encourage improved health behaviours relating to hygiene</x:t>
  </x:si>
  <x:si>
    <x:t>http://id.who.int/icd/entity/1220810633</x:t>
  </x:si>
  <x:si>
    <x:t>http://id.who.int/icd/release/11/beta/ichi/1220810633</x:t>
  </x:si>
  <x:si>
    <x:t>VED.WI.QD</x:t>
  </x:si>
  <x:si>
    <x:t>- - - - Restrictions through enactment of laws or standards on hygiene behaviours</x:t>
  </x:si>
  <x:si>
    <x:t>http://id.who.int/icd/entity/581317294</x:t>
  </x:si>
  <x:si>
    <x:t>http://id.who.int/icd/release/11/beta/ichi/581317294</x:t>
  </x:si>
  <x:si>
    <x:t>VED.WI.QE</x:t>
  </x:si>
  <x:si>
    <x:t>- - - - Restrictions through enforcement of laws or standards on hygiene behaviours</x:t>
  </x:si>
  <x:si>
    <x:t>http://id.who.int/icd/entity/1378130211</x:t>
  </x:si>
  <x:si>
    <x:t>http://id.who.int/icd/release/11/beta/ichi/1378130211</x:t>
  </x:si>
  <x:si>
    <x:t>VED.WJ.ZZ</x:t>
  </x:si>
  <x:si>
    <x:t>- - - - Policy change concerning hygiene behaviours</x:t>
  </x:si>
  <x:si>
    <x:t>http://id.who.int/icd/entity/2103731085</x:t>
  </x:si>
  <x:si>
    <x:t>http://id.who.int/icd/release/11/beta/ichi/2103731085</x:t>
  </x:si>
  <x:si>
    <x:t>VED.ZZ.ZZ</x:t>
  </x:si>
  <x:si>
    <x:t>- - - - Other interventions targeting hygiene behaviours, not elsewhere classified</x:t>
  </x:si>
  <x:si>
    <x:t>http://id.who.int/icd/entity/2083630351</x:t>
  </x:si>
  <x:si>
    <x:t>http://id.who.int/icd/release/11/beta/ichi/2083630351</x:t>
  </x:si>
  <x:si>
    <x:t>VEE.AA.ZZ</x:t>
  </x:si>
  <x:si>
    <x:t>- - - - Assessment of oral hygiene behaviours</x:t>
  </x:si>
  <x:si>
    <x:t>http://id.who.int/icd/entity/306818662</x:t>
  </x:si>
  <x:si>
    <x:t>http://id.who.int/icd/release/11/beta/ichi/306818662</x:t>
  </x:si>
  <x:si>
    <x:t>VEE.AC.ZZ</x:t>
  </x:si>
  <x:si>
    <x:t>- - - - Test of oral hygiene behaviours</x:t>
  </x:si>
  <x:si>
    <x:t>http://id.who.int/icd/entity/603192364</x:t>
  </x:si>
  <x:si>
    <x:t>http://id.who.int/icd/release/11/beta/ichi/603192364</x:t>
  </x:si>
  <x:si>
    <x:t>VEE.PH.ZZ</x:t>
  </x:si>
  <x:si>
    <x:t>- - - - Training to influence oral hygiene behaviours</x:t>
  </x:si>
  <x:si>
    <x:t>http://id.who.int/icd/entity/331356072</x:t>
  </x:si>
  <x:si>
    <x:t>http://id.who.int/icd/release/11/beta/ichi/331356072</x:t>
  </x:si>
  <x:si>
    <x:t>VEE.PM.ZZ</x:t>
  </x:si>
  <x:si>
    <x:t>- - - - Education to influence oral hygiene behaviours</x:t>
  </x:si>
  <x:si>
    <x:t>http://id.who.int/icd/entity/415500554</x:t>
  </x:si>
  <x:si>
    <x:t>http://id.who.int/icd/release/11/beta/ichi/415500554</x:t>
  </x:si>
  <x:si>
    <x:t>VEE.PN.ZZ</x:t>
  </x:si>
  <x:si>
    <x:t>- - - - Advising about oral hygiene behaviours</x:t>
  </x:si>
  <x:si>
    <x:t>http://id.who.int/icd/entity/1275217541</x:t>
  </x:si>
  <x:si>
    <x:t>http://id.who.int/icd/release/11/beta/ichi/1275217541</x:t>
  </x:si>
  <x:si>
    <x:t>VEE.RD.ZZ</x:t>
  </x:si>
  <x:si>
    <x:t>- - - - Providing goods to support improved oral hygiene behaviours</x:t>
  </x:si>
  <x:si>
    <x:t>http://id.who.int/icd/entity/430458972</x:t>
  </x:si>
  <x:si>
    <x:t>http://id.who.int/icd/release/11/beta/ichi/430458972</x:t>
  </x:si>
  <x:si>
    <x:t>VEE.TA.ZZ</x:t>
  </x:si>
  <x:si>
    <x:t>- - - - Advocacy in relation to oral hygiene behaviours</x:t>
  </x:si>
  <x:si>
    <x:t>http://id.who.int/icd/entity/1720937285</x:t>
  </x:si>
  <x:si>
    <x:t>http://id.who.int/icd/release/11/beta/ichi/1720937285</x:t>
  </x:si>
  <x:si>
    <x:t>VEE.TD.ZZ</x:t>
  </x:si>
  <x:si>
    <x:t>- - - - Collaborating or building partnerships in relation to oral hygiene behaviours</x:t>
  </x:si>
  <x:si>
    <x:t>http://id.who.int/icd/entity/149645356</x:t>
  </x:si>
  <x:si>
    <x:t>http://id.who.int/icd/release/11/beta/ichi/149645356</x:t>
  </x:si>
  <x:si>
    <x:t>VEE.TM.ZZ</x:t>
  </x:si>
  <x:si>
    <x:t>- - - - Environment modification to influence oral hygiene behaviours</x:t>
  </x:si>
  <x:si>
    <x:t>http://id.who.int/icd/entity/321253176</x:t>
  </x:si>
  <x:si>
    <x:t>http://id.who.int/icd/release/11/beta/ichi/321253176</x:t>
  </x:si>
  <x:si>
    <x:t>VEE.VA.ZZ</x:t>
  </x:si>
  <x:si>
    <x:t>- - - - Capacity building targeting oral hygiene behaviours</x:t>
  </x:si>
  <x:si>
    <x:t>http://id.who.int/icd/entity/157471214</x:t>
  </x:si>
  <x:si>
    <x:t>http://id.who.int/icd/release/11/beta/ichi/157471214</x:t>
  </x:si>
  <x:si>
    <x:t>VEE.VB.ZZ</x:t>
  </x:si>
  <x:si>
    <x:t>- - - - Awareness raising to influence oral hygiene behaviours</x:t>
  </x:si>
  <x:si>
    <x:t>http://id.who.int/icd/entity/40292160</x:t>
  </x:si>
  <x:si>
    <x:t>http://id.who.int/icd/release/11/beta/ichi/40292160</x:t>
  </x:si>
  <x:si>
    <x:t>VEE.VC.ZZ</x:t>
  </x:si>
  <x:si>
    <x:t>- - - - Public health surveillance concerning oral hygiene behaviours</x:t>
  </x:si>
  <x:si>
    <x:t>http://id.who.int/icd/entity/2095976903</x:t>
  </x:si>
  <x:si>
    <x:t>http://id.who.int/icd/release/11/beta/ichi/2095976903</x:t>
  </x:si>
  <x:si>
    <x:t>VEE.WG.QF</x:t>
  </x:si>
  <x:si>
    <x:t>- - - - Economic incentives to encourage improved health behaviours relating to oral hygiene</x:t>
  </x:si>
  <x:si>
    <x:t>http://id.who.int/icd/entity/327311174</x:t>
  </x:si>
  <x:si>
    <x:t>http://id.who.int/icd/release/11/beta/ichi/327311174</x:t>
  </x:si>
  <x:si>
    <x:t>VEE.WG.ZZ</x:t>
  </x:si>
  <x:si>
    <x:t>- - - - Applying incentives to encourage improved health behaviours relating to oral hygiene</x:t>
  </x:si>
  <x:si>
    <x:t>http://id.who.int/icd/entity/1824095321</x:t>
  </x:si>
  <x:si>
    <x:t>http://id.who.int/icd/release/11/beta/ichi/1824095321</x:t>
  </x:si>
  <x:si>
    <x:t>VEE.WJ.ZZ</x:t>
  </x:si>
  <x:si>
    <x:t>- - - - Policy change concerning oral hygiene behaviours</x:t>
  </x:si>
  <x:si>
    <x:t>http://id.who.int/icd/entity/693574062</x:t>
  </x:si>
  <x:si>
    <x:t>http://id.who.int/icd/release/11/beta/ichi/693574062</x:t>
  </x:si>
  <x:si>
    <x:t>VEE.ZZ.ZZ</x:t>
  </x:si>
  <x:si>
    <x:t>- - - - Other interventions targeting oral hygiene behaviours, not elsewhere classified</x:t>
  </x:si>
  <x:si>
    <x:t>http://id.who.int/icd/entity/1507176995</x:t>
  </x:si>
  <x:si>
    <x:t>http://id.who.int/icd/release/11/beta/ichi/1507176995</x:t>
  </x:si>
  <x:si>
    <x:t>VEF.AA.ZZ</x:t>
  </x:si>
  <x:si>
    <x:t>- - - - Assessment of sexual behaviours</x:t>
  </x:si>
  <x:si>
    <x:t>http://id.who.int/icd/entity/1989494925</x:t>
  </x:si>
  <x:si>
    <x:t>http://id.who.int/icd/release/11/beta/ichi/1989494925</x:t>
  </x:si>
  <x:si>
    <x:t>VEF.AC.ZZ</x:t>
  </x:si>
  <x:si>
    <x:t>- - - - Test of sexual behaviours</x:t>
  </x:si>
  <x:si>
    <x:t>http://id.who.int/icd/entity/601538242</x:t>
  </x:si>
  <x:si>
    <x:t>http://id.who.int/icd/release/11/beta/ichi/601538242</x:t>
  </x:si>
  <x:si>
    <x:t>VEF.PH.ZZ</x:t>
  </x:si>
  <x:si>
    <x:t>- - - - Training to influence sexual behaviours</x:t>
  </x:si>
  <x:si>
    <x:t>http://id.who.int/icd/entity/1302511019</x:t>
  </x:si>
  <x:si>
    <x:t>http://id.who.int/icd/release/11/beta/ichi/1302511019</x:t>
  </x:si>
  <x:si>
    <x:t>VEF.PM.ZZ</x:t>
  </x:si>
  <x:si>
    <x:t>- - - - Education to influence sexual behaviours</x:t>
  </x:si>
  <x:si>
    <x:t>http://id.who.int/icd/entity/2082009057</x:t>
  </x:si>
  <x:si>
    <x:t>http://id.who.int/icd/release/11/beta/ichi/2082009057</x:t>
  </x:si>
  <x:si>
    <x:t>VEF.PN.ZZ</x:t>
  </x:si>
  <x:si>
    <x:t>- - - - Advising about sexual behaviours</x:t>
  </x:si>
  <x:si>
    <x:t>http://id.who.int/icd/entity/1011636086</x:t>
  </x:si>
  <x:si>
    <x:t>http://id.who.int/icd/release/11/beta/ichi/1011636086</x:t>
  </x:si>
  <x:si>
    <x:t>VEF.PP.ZZ</x:t>
  </x:si>
  <x:si>
    <x:t>- - - - Counselling about sexual behaviours</x:t>
  </x:si>
  <x:si>
    <x:t>http://id.who.int/icd/entity/927484380</x:t>
  </x:si>
  <x:si>
    <x:t>http://id.who.int/icd/release/11/beta/ichi/927484380</x:t>
  </x:si>
  <x:si>
    <x:t>VEF.PQ.ZZ</x:t>
  </x:si>
  <x:si>
    <x:t>- - - - Psychotherapy for sexual behaviours</x:t>
  </x:si>
  <x:si>
    <x:t>http://id.who.int/icd/entity/1670252117</x:t>
  </x:si>
  <x:si>
    <x:t>http://id.who.int/icd/release/11/beta/ichi/1670252117</x:t>
  </x:si>
  <x:si>
    <x:t>VEF.RD.ZZ</x:t>
  </x:si>
  <x:si>
    <x:t>- - - - Providing goods to support improved sexual behaviours</x:t>
  </x:si>
  <x:si>
    <x:t>http://id.who.int/icd/entity/918679578</x:t>
  </x:si>
  <x:si>
    <x:t>http://id.who.int/icd/release/11/beta/ichi/918679578</x:t>
  </x:si>
  <x:si>
    <x:t>VEF.RE.ZZ</x:t>
  </x:si>
  <x:si>
    <x:t>- - - - Provision of peer support for sexual behaviours</x:t>
  </x:si>
  <x:si>
    <x:t>http://id.who.int/icd/entity/427887286</x:t>
  </x:si>
  <x:si>
    <x:t>http://id.who.int/icd/release/11/beta/ichi/427887286</x:t>
  </x:si>
  <x:si>
    <x:t>VEF.TA.ZZ</x:t>
  </x:si>
  <x:si>
    <x:t>- - - - Advocacy in relation to sexual behaviours</x:t>
  </x:si>
  <x:si>
    <x:t>http://id.who.int/icd/entity/1761845561</x:t>
  </x:si>
  <x:si>
    <x:t>http://id.who.int/icd/release/11/beta/ichi/1761845561</x:t>
  </x:si>
  <x:si>
    <x:t>VEF.TD.ZZ</x:t>
  </x:si>
  <x:si>
    <x:t>- - - - Collaborating or building partnerships in relation to sexual behaviours</x:t>
  </x:si>
  <x:si>
    <x:t>http://id.who.int/icd/entity/56722462</x:t>
  </x:si>
  <x:si>
    <x:t>http://id.who.int/icd/release/11/beta/ichi/56722462</x:t>
  </x:si>
  <x:si>
    <x:t>VEF.TM.ZZ</x:t>
  </x:si>
  <x:si>
    <x:t>- - - - Environment modification to influence sexual behaviours</x:t>
  </x:si>
  <x:si>
    <x:t>http://id.who.int/icd/entity/2086315777</x:t>
  </x:si>
  <x:si>
    <x:t>http://id.who.int/icd/release/11/beta/ichi/2086315777</x:t>
  </x:si>
  <x:si>
    <x:t>VEF.VA.ZZ</x:t>
  </x:si>
  <x:si>
    <x:t>- - - - Capacity building targeting sexual behaviours</x:t>
  </x:si>
  <x:si>
    <x:t>http://id.who.int/icd/entity/304260202</x:t>
  </x:si>
  <x:si>
    <x:t>http://id.who.int/icd/release/11/beta/ichi/304260202</x:t>
  </x:si>
  <x:si>
    <x:t>VEF.VB.ZZ</x:t>
  </x:si>
  <x:si>
    <x:t>- - - - Awareness raising to influence sexual behaviours</x:t>
  </x:si>
  <x:si>
    <x:t>http://id.who.int/icd/entity/1256472546</x:t>
  </x:si>
  <x:si>
    <x:t>http://id.who.int/icd/release/11/beta/ichi/1256472546</x:t>
  </x:si>
  <x:si>
    <x:t>VEF.VC.ZZ</x:t>
  </x:si>
  <x:si>
    <x:t>- - - - Public health surveillance concerning sexual behaviours</x:t>
  </x:si>
  <x:si>
    <x:t>http://id.who.int/icd/entity/1460895063</x:t>
  </x:si>
  <x:si>
    <x:t>http://id.who.int/icd/release/11/beta/ichi/1460895063</x:t>
  </x:si>
  <x:si>
    <x:t>VEF.WG.QF</x:t>
  </x:si>
  <x:si>
    <x:t>- - - - Economic incentives to encourage improved health behaviours relating to sexual activity and sexual relationships</x:t>
  </x:si>
  <x:si>
    <x:t>http://id.who.int/icd/entity/1352859964</x:t>
  </x:si>
  <x:si>
    <x:t>http://id.who.int/icd/release/11/beta/ichi/1352859964</x:t>
  </x:si>
  <x:si>
    <x:t>VEF.WG.ZZ</x:t>
  </x:si>
  <x:si>
    <x:t>- - - - Applying incentives to encourage improved health behaviours relating to sexual activity and sexual relationships</x:t>
  </x:si>
  <x:si>
    <x:t>http://id.who.int/icd/entity/1537679254</x:t>
  </x:si>
  <x:si>
    <x:t>http://id.who.int/icd/release/11/beta/ichi/1537679254</x:t>
  </x:si>
  <x:si>
    <x:t>VEF.WJ.ZZ</x:t>
  </x:si>
  <x:si>
    <x:t>- - - - Policy change concerning sexual behaviours</x:t>
  </x:si>
  <x:si>
    <x:t>http://id.who.int/icd/entity/622167369</x:t>
  </x:si>
  <x:si>
    <x:t>http://id.who.int/icd/release/11/beta/ichi/622167369</x:t>
  </x:si>
  <x:si>
    <x:t>VEF.ZZ.ZZ</x:t>
  </x:si>
  <x:si>
    <x:t>- - - - Other interventions targeting sexual behaviours, not elsewhere classified</x:t>
  </x:si>
  <x:si>
    <x:t>http://id.who.int/icd/entity/1513006680</x:t>
  </x:si>
  <x:si>
    <x:t>http://id.who.int/icd/release/11/beta/ichi/1513006680</x:t>
  </x:si>
  <x:si>
    <x:t>VEG.AA.ZZ</x:t>
  </x:si>
  <x:si>
    <x:t>- - - - Assessment of ultraviolet radiation exposure behaviours</x:t>
  </x:si>
  <x:si>
    <x:t>http://id.who.int/icd/entity/796777141</x:t>
  </x:si>
  <x:si>
    <x:t>http://id.who.int/icd/release/11/beta/ichi/796777141</x:t>
  </x:si>
  <x:si>
    <x:t>VEG.AC.ZZ</x:t>
  </x:si>
  <x:si>
    <x:t>- - - - Test of ultraviolet radiation exposure behaviours</x:t>
  </x:si>
  <x:si>
    <x:t>http://id.who.int/icd/entity/1610576186</x:t>
  </x:si>
  <x:si>
    <x:t>http://id.who.int/icd/release/11/beta/ichi/1610576186</x:t>
  </x:si>
  <x:si>
    <x:t>VEG.PH.ZZ</x:t>
  </x:si>
  <x:si>
    <x:t>- - - - Training to influence ultraviolet radiation exposure behaviours</x:t>
  </x:si>
  <x:si>
    <x:t>http://id.who.int/icd/entity/1891601302</x:t>
  </x:si>
  <x:si>
    <x:t>http://id.who.int/icd/release/11/beta/ichi/1891601302</x:t>
  </x:si>
  <x:si>
    <x:t>VEG.PM.ZZ</x:t>
  </x:si>
  <x:si>
    <x:t>- - - - Education to influence ultraviolet radiation exposure behaviours</x:t>
  </x:si>
  <x:si>
    <x:t>http://id.who.int/icd/entity/636517849</x:t>
  </x:si>
  <x:si>
    <x:t>http://id.who.int/icd/release/11/beta/ichi/636517849</x:t>
  </x:si>
  <x:si>
    <x:t>VEG.PN.ZZ</x:t>
  </x:si>
  <x:si>
    <x:t>- - - - Advising about ultraviolet radiation exposure behaviours</x:t>
  </x:si>
  <x:si>
    <x:t>http://id.who.int/icd/entity/1267236528</x:t>
  </x:si>
  <x:si>
    <x:t>http://id.who.int/icd/release/11/beta/ichi/1267236528</x:t>
  </x:si>
  <x:si>
    <x:t>VEG.RD.ZZ</x:t>
  </x:si>
  <x:si>
    <x:t>- - - - Providing goods to support improved ultraviolet radiation exposure behaviours</x:t>
  </x:si>
  <x:si>
    <x:t>http://id.who.int/icd/entity/2050108666</x:t>
  </x:si>
  <x:si>
    <x:t>http://id.who.int/icd/release/11/beta/ichi/2050108666</x:t>
  </x:si>
  <x:si>
    <x:t>VEG.TA.ZZ</x:t>
  </x:si>
  <x:si>
    <x:t>- - - - Advocacy in relation to ultraviolet radiation exposure behaviours</x:t>
  </x:si>
  <x:si>
    <x:t>http://id.who.int/icd/entity/522492212</x:t>
  </x:si>
  <x:si>
    <x:t>http://id.who.int/icd/release/11/beta/ichi/522492212</x:t>
  </x:si>
  <x:si>
    <x:t>VEG.TB.ZZ</x:t>
  </x:si>
  <x:si>
    <x:t>- - - - Planning in relation to ultraviolet radiation exposure behaviours</x:t>
  </x:si>
  <x:si>
    <x:t>http://id.who.int/icd/entity/626511273</x:t>
  </x:si>
  <x:si>
    <x:t>http://id.who.int/icd/release/11/beta/ichi/626511273</x:t>
  </x:si>
  <x:si>
    <x:t>VEG.TD.ZZ</x:t>
  </x:si>
  <x:si>
    <x:t>- - - - Collaborating or building partnerships in relation to ultraviolet radiation exposure behaviours</x:t>
  </x:si>
  <x:si>
    <x:t>http://id.who.int/icd/entity/777245445</x:t>
  </x:si>
  <x:si>
    <x:t>http://id.who.int/icd/release/11/beta/ichi/777245445</x:t>
  </x:si>
  <x:si>
    <x:t>VEG.TK.ZZ</x:t>
  </x:si>
  <x:si>
    <x:t>- - - - Public facilities or infrastructure development to support improved ultraviolet radiation exposure behaviours</x:t>
  </x:si>
  <x:si>
    <x:t>http://id.who.int/icd/entity/2056625292</x:t>
  </x:si>
  <x:si>
    <x:t>http://id.who.int/icd/release/11/beta/ichi/2056625292</x:t>
  </x:si>
  <x:si>
    <x:t>VEG.TM.ZZ</x:t>
  </x:si>
  <x:si>
    <x:t>- - - - Environment modification to influence ultraviolet radiation exposure behaviours</x:t>
  </x:si>
  <x:si>
    <x:t>http://id.who.int/icd/entity/1862279372</x:t>
  </x:si>
  <x:si>
    <x:t>http://id.who.int/icd/release/11/beta/ichi/1862279372</x:t>
  </x:si>
  <x:si>
    <x:t>VEG.VA.ZZ</x:t>
  </x:si>
  <x:si>
    <x:t>- - - - Capacity building targeting ultraviolet radiation exposure behaviours</x:t>
  </x:si>
  <x:si>
    <x:t>http://id.who.int/icd/entity/1077992036</x:t>
  </x:si>
  <x:si>
    <x:t>http://id.who.int/icd/release/11/beta/ichi/1077992036</x:t>
  </x:si>
  <x:si>
    <x:t>VEG.VB.ZZ</x:t>
  </x:si>
  <x:si>
    <x:t>- - - - Awareness raising to influence ultraviolet radiation exposure behaviours</x:t>
  </x:si>
  <x:si>
    <x:t>http://id.who.int/icd/entity/818049519</x:t>
  </x:si>
  <x:si>
    <x:t>http://id.who.int/icd/release/11/beta/ichi/818049519</x:t>
  </x:si>
  <x:si>
    <x:t>VEG.VC.ZZ</x:t>
  </x:si>
  <x:si>
    <x:t>- - - - Public health surveillance concerning ultraviolet radiation exposure behaviours</x:t>
  </x:si>
  <x:si>
    <x:t>http://id.who.int/icd/entity/886699428</x:t>
  </x:si>
  <x:si>
    <x:t>http://id.who.int/icd/release/11/beta/ichi/886699428</x:t>
  </x:si>
  <x:si>
    <x:t>VEG.WC.QD</x:t>
  </x:si>
  <x:si>
    <x:t>- - - - Enactment of restrictions on the sale or distribution of products or services in relation to ultraviolet radiation exposure</x:t>
  </x:si>
  <x:si>
    <x:t>http://id.who.int/icd/entity/630904276</x:t>
  </x:si>
  <x:si>
    <x:t>http://id.who.int/icd/release/11/beta/ichi/630904276</x:t>
  </x:si>
  <x:si>
    <x:t>VEG.WD.ZZ</x:t>
  </x:si>
  <x:si>
    <x:t>- - - - Restrictions on advertising, promotion or sponsorship of products or services in relation to ultraviolet radiation exposure behaviours</x:t>
  </x:si>
  <x:si>
    <x:t>http://id.who.int/icd/entity/1345081761</x:t>
  </x:si>
  <x:si>
    <x:t>http://id.who.int/icd/release/11/beta/ichi/1345081761</x:t>
  </x:si>
  <x:si>
    <x:t>VEG.WE.ZZ</x:t>
  </x:si>
  <x:si>
    <x:t>- - - - Restrictions on the production or importation of products or services in relation to ultraviolet radiation exposure</x:t>
  </x:si>
  <x:si>
    <x:t>http://id.who.int/icd/entity/5736464</x:t>
  </x:si>
  <x:si>
    <x:t>http://id.who.int/icd/release/11/beta/ichi/5736464</x:t>
  </x:si>
  <x:si>
    <x:t>VEG.WF.QF</x:t>
  </x:si>
  <x:si>
    <x:t>- - - - Economic instruments to restrict consumption or use of products or services in relation to ultraviolet radiation exposure</x:t>
  </x:si>
  <x:si>
    <x:t>http://id.who.int/icd/entity/1603655987</x:t>
  </x:si>
  <x:si>
    <x:t>http://id.who.int/icd/release/11/beta/ichi/1603655987</x:t>
  </x:si>
  <x:si>
    <x:t>VEG.WF.ZZ</x:t>
  </x:si>
  <x:si>
    <x:t>- - - - Restrictions or requirements concerning the consumption or use of products or services in relation to ultraviolet radiation exposure</x:t>
  </x:si>
  <x:si>
    <x:t>http://id.who.int/icd/entity/1477264821</x:t>
  </x:si>
  <x:si>
    <x:t>http://id.who.int/icd/release/11/beta/ichi/1477264821</x:t>
  </x:si>
  <x:si>
    <x:t>VEG.WG.QF</x:t>
  </x:si>
  <x:si>
    <x:t>- - - - Economic incentives to encourage improved health behaviours relating to ultraviolet radiation exposure</x:t>
  </x:si>
  <x:si>
    <x:t>http://id.who.int/icd/entity/905338385</x:t>
  </x:si>
  <x:si>
    <x:t>http://id.who.int/icd/release/11/beta/ichi/905338385</x:t>
  </x:si>
  <x:si>
    <x:t>VEG.WG.ZZ</x:t>
  </x:si>
  <x:si>
    <x:t>- - - - Applying incentives to encourage improved health behaviours relating to ultraviolet radiation exposure</x:t>
  </x:si>
  <x:si>
    <x:t>http://id.who.int/icd/entity/1953019299</x:t>
  </x:si>
  <x:si>
    <x:t>http://id.who.int/icd/release/11/beta/ichi/1953019299</x:t>
  </x:si>
  <x:si>
    <x:t>VEG.WI.QD</x:t>
  </x:si>
  <x:si>
    <x:t>- - - - Restrictions through enactment of laws or standards in relation to ultraviolet radiation exposure behaviours</x:t>
  </x:si>
  <x:si>
    <x:t>http://id.who.int/icd/entity/1060639642</x:t>
  </x:si>
  <x:si>
    <x:t>http://id.who.int/icd/release/11/beta/ichi/1060639642</x:t>
  </x:si>
  <x:si>
    <x:t>VEG.WI.QE</x:t>
  </x:si>
  <x:si>
    <x:t>- - - - Restrictions through enforcement of laws or standards in relation to ultraviolet radiation exposure behaviours</x:t>
  </x:si>
  <x:si>
    <x:t>http://id.who.int/icd/entity/1627013819</x:t>
  </x:si>
  <x:si>
    <x:t>http://id.who.int/icd/release/11/beta/ichi/1627013819</x:t>
  </x:si>
  <x:si>
    <x:t>VEG.WI.ZZ</x:t>
  </x:si>
  <x:si>
    <x:t>- - - - Restrictions through laws or standards in relation to ultraviolet radiation exposure behaviours</x:t>
  </x:si>
  <x:si>
    <x:t>http://id.who.int/icd/entity/1254980880</x:t>
  </x:si>
  <x:si>
    <x:t>http://id.who.int/icd/release/11/beta/ichi/1254980880</x:t>
  </x:si>
  <x:si>
    <x:t>VEG.WJ.ZZ</x:t>
  </x:si>
  <x:si>
    <x:t>- - - - Policy change concerning ultraviolet radiation exposure behaviours</x:t>
  </x:si>
  <x:si>
    <x:t>http://id.who.int/icd/entity/615874151</x:t>
  </x:si>
  <x:si>
    <x:t>http://id.who.int/icd/release/11/beta/ichi/615874151</x:t>
  </x:si>
  <x:si>
    <x:t>VEG.ZZ.ZZ</x:t>
  </x:si>
  <x:si>
    <x:t>- - - - Other interventions to support improved ultraviolet radiation exposure behaviours, not elsewhere classified</x:t>
  </x:si>
  <x:si>
    <x:t>http://id.who.int/icd/entity/1327278690</x:t>
  </x:si>
  <x:si>
    <x:t>http://id.who.int/icd/release/11/beta/ichi/1327278690</x:t>
  </x:si>
  <x:si>
    <x:t>VEH.AA.ZZ</x:t>
  </x:si>
  <x:si>
    <x:t>- - - - Assessment of breastfeeding behaviours</x:t>
  </x:si>
  <x:si>
    <x:t>http://id.who.int/icd/entity/1432065212</x:t>
  </x:si>
  <x:si>
    <x:t>http://id.who.int/icd/release/11/beta/ichi/1432065212</x:t>
  </x:si>
  <x:si>
    <x:t>VEH.AC.ZZ</x:t>
  </x:si>
  <x:si>
    <x:t>- - - - Test of breastfeeding behaviours</x:t>
  </x:si>
  <x:si>
    <x:t>http://id.who.int/icd/entity/1583319574</x:t>
  </x:si>
  <x:si>
    <x:t>http://id.who.int/icd/release/11/beta/ichi/1583319574</x:t>
  </x:si>
  <x:si>
    <x:t>VEH.PH.ZZ</x:t>
  </x:si>
  <x:si>
    <x:t>- - - - Training to influence breastfeeding behaviours</x:t>
  </x:si>
  <x:si>
    <x:t>http://id.who.int/icd/entity/552407241</x:t>
  </x:si>
  <x:si>
    <x:t>http://id.who.int/icd/release/11/beta/ichi/552407241</x:t>
  </x:si>
  <x:si>
    <x:t>VEH.PM.ZZ</x:t>
  </x:si>
  <x:si>
    <x:t>- - - - Education to influence breastfeeding behaviours</x:t>
  </x:si>
  <x:si>
    <x:t>http://id.who.int/icd/entity/1607873496</x:t>
  </x:si>
  <x:si>
    <x:t>http://id.who.int/icd/release/11/beta/ichi/1607873496</x:t>
  </x:si>
  <x:si>
    <x:t>VEH.PN.ZZ</x:t>
  </x:si>
  <x:si>
    <x:t>- - - - Advising about breastfeeding behaviours</x:t>
  </x:si>
  <x:si>
    <x:t>http://id.who.int/icd/entity/900994801</x:t>
  </x:si>
  <x:si>
    <x:t>http://id.who.int/icd/release/11/beta/ichi/900994801</x:t>
  </x:si>
  <x:si>
    <x:t>VEH.PP.ZZ</x:t>
  </x:si>
  <x:si>
    <x:t>- - - - Counselling about breastfeeding behaviours</x:t>
  </x:si>
  <x:si>
    <x:t>http://id.who.int/icd/entity/1161215356</x:t>
  </x:si>
  <x:si>
    <x:t>http://id.who.int/icd/release/11/beta/ichi/1161215356</x:t>
  </x:si>
  <x:si>
    <x:t>VEH.RB.ZZ</x:t>
  </x:si>
  <x:si>
    <x:t>- - - - Practical support with breastfeeding behaviours</x:t>
  </x:si>
  <x:si>
    <x:t>http://id.who.int/icd/entity/1786136532</x:t>
  </x:si>
  <x:si>
    <x:t>http://id.who.int/icd/release/11/beta/ichi/1786136532</x:t>
  </x:si>
  <x:si>
    <x:t>VEH.RE.ZZ</x:t>
  </x:si>
  <x:si>
    <x:t>- - - - Provision of peer support for breastfeeding</x:t>
  </x:si>
  <x:si>
    <x:t>http://id.who.int/icd/entity/1706553192</x:t>
  </x:si>
  <x:si>
    <x:t>http://id.who.int/icd/release/11/beta/ichi/1706553192</x:t>
  </x:si>
  <x:si>
    <x:t>VEH.TA.ZZ</x:t>
  </x:si>
  <x:si>
    <x:t>- - - - Advocacy concerning breastfeeding behaviours</x:t>
  </x:si>
  <x:si>
    <x:t>http://id.who.int/icd/entity/198175745</x:t>
  </x:si>
  <x:si>
    <x:t>http://id.who.int/icd/release/11/beta/ichi/198175745</x:t>
  </x:si>
  <x:si>
    <x:t>VEH.TD.ZZ</x:t>
  </x:si>
  <x:si>
    <x:t>- - - - Collaborating or building partnerships in relation to breastfeeding</x:t>
  </x:si>
  <x:si>
    <x:t>http://id.who.int/icd/entity/980794955</x:t>
  </x:si>
  <x:si>
    <x:t>http://id.who.int/icd/release/11/beta/ichi/980794955</x:t>
  </x:si>
  <x:si>
    <x:t>VEH.TK.ZZ</x:t>
  </x:si>
  <x:si>
    <x:t>- - - - Public facilities or infrastructure development to support breastfeeding</x:t>
  </x:si>
  <x:si>
    <x:t>http://id.who.int/icd/entity/172381633</x:t>
  </x:si>
  <x:si>
    <x:t>http://id.who.int/icd/release/11/beta/ichi/172381633</x:t>
  </x:si>
  <x:si>
    <x:t>VEH.TM.ZZ</x:t>
  </x:si>
  <x:si>
    <x:t>- - - - Environment modification to influence breastfeeding behaviours</x:t>
  </x:si>
  <x:si>
    <x:t>http://id.who.int/icd/entity/21121901</x:t>
  </x:si>
  <x:si>
    <x:t>http://id.who.int/icd/release/11/beta/ichi/21121901</x:t>
  </x:si>
  <x:si>
    <x:t>VEH.VA.ZZ</x:t>
  </x:si>
  <x:si>
    <x:t>- - - - Capacity building targeting breastfeeding behaviours</x:t>
  </x:si>
  <x:si>
    <x:t>http://id.who.int/icd/entity/1434715364</x:t>
  </x:si>
  <x:si>
    <x:t>http://id.who.int/icd/release/11/beta/ichi/1434715364</x:t>
  </x:si>
  <x:si>
    <x:t>VEH.VB.ZZ</x:t>
  </x:si>
  <x:si>
    <x:t>- - - - Awareness raising to influence breastfeeding behaviours</x:t>
  </x:si>
  <x:si>
    <x:t>http://id.who.int/icd/entity/1890361776</x:t>
  </x:si>
  <x:si>
    <x:t>http://id.who.int/icd/release/11/beta/ichi/1890361776</x:t>
  </x:si>
  <x:si>
    <x:t>VEH.VC.ZZ</x:t>
  </x:si>
  <x:si>
    <x:t>- - - - Public health surveillance concerning breastfeeding behaviours</x:t>
  </x:si>
  <x:si>
    <x:t>http://id.who.int/icd/entity/976131179</x:t>
  </x:si>
  <x:si>
    <x:t>http://id.who.int/icd/release/11/beta/ichi/976131179</x:t>
  </x:si>
  <x:si>
    <x:t>VEH.WG.QF</x:t>
  </x:si>
  <x:si>
    <x:t>- - - - Economic incentives to encourage improved health behaviours relating to breastfeeding</x:t>
  </x:si>
  <x:si>
    <x:t>http://id.who.int/icd/entity/1609325344</x:t>
  </x:si>
  <x:si>
    <x:t>http://id.who.int/icd/release/11/beta/ichi/1609325344</x:t>
  </x:si>
  <x:si>
    <x:t>VEH.WG.ZZ</x:t>
  </x:si>
  <x:si>
    <x:t>- - - - Applying incentives to encourage improved health behaviours relating to breastfeeding</x:t>
  </x:si>
  <x:si>
    <x:t>http://id.who.int/icd/entity/795799699</x:t>
  </x:si>
  <x:si>
    <x:t>http://id.who.int/icd/release/11/beta/ichi/795799699</x:t>
  </x:si>
  <x:si>
    <x:t>VEH.WI.QD</x:t>
  </x:si>
  <x:si>
    <x:t>- - - - Restrictions through enactment of laws or standards on breastfeeding</x:t>
  </x:si>
  <x:si>
    <x:t>http://id.who.int/icd/entity/1327940266</x:t>
  </x:si>
  <x:si>
    <x:t>http://id.who.int/icd/release/11/beta/ichi/1327940266</x:t>
  </x:si>
  <x:si>
    <x:t>VEH.WI.QE</x:t>
  </x:si>
  <x:si>
    <x:t>- - - - Restrictions through enforcement of laws or standards on breastfeeding</x:t>
  </x:si>
  <x:si>
    <x:t>http://id.who.int/icd/entity/1084181052</x:t>
  </x:si>
  <x:si>
    <x:t>http://id.who.int/icd/release/11/beta/ichi/1084181052</x:t>
  </x:si>
  <x:si>
    <x:t>VEH.WJ.ZZ</x:t>
  </x:si>
  <x:si>
    <x:t>- - - - Policy change concerning breastfeeding behaviours</x:t>
  </x:si>
  <x:si>
    <x:t>http://id.who.int/icd/entity/2055648942</x:t>
  </x:si>
  <x:si>
    <x:t>http://id.who.int/icd/release/11/beta/ichi/2055648942</x:t>
  </x:si>
  <x:si>
    <x:t>VEH.ZZ.ZZ</x:t>
  </x:si>
  <x:si>
    <x:t>- - - - Other interventions targeting breastfeeding, not elsewhere classified</x:t>
  </x:si>
  <x:si>
    <x:t>http://id.who.int/icd/entity/352236997</x:t>
  </x:si>
  <x:si>
    <x:t>http://id.who.int/icd/release/11/beta/ichi/352236997</x:t>
  </x:si>
  <x:si>
    <x:t>VEJ.AA.ZZ</x:t>
  </x:si>
  <x:si>
    <x:t>- - - - Assessment of parenting behaviours</x:t>
  </x:si>
  <x:si>
    <x:t>http://id.who.int/icd/entity/625272719</x:t>
  </x:si>
  <x:si>
    <x:t>http://id.who.int/icd/release/11/beta/ichi/625272719</x:t>
  </x:si>
  <x:si>
    <x:t>VEJ.AC.ZZ</x:t>
  </x:si>
  <x:si>
    <x:t>- - - - Test of parenting behaviours</x:t>
  </x:si>
  <x:si>
    <x:t>http://id.who.int/icd/entity/1437419022</x:t>
  </x:si>
  <x:si>
    <x:t>http://id.who.int/icd/release/11/beta/ichi/1437419022</x:t>
  </x:si>
  <x:si>
    <x:t>VEJ.PH.ZZ</x:t>
  </x:si>
  <x:si>
    <x:t>- - - - Training to influence parenting behaviours</x:t>
  </x:si>
  <x:si>
    <x:t>http://id.who.int/icd/entity/1588156576</x:t>
  </x:si>
  <x:si>
    <x:t>http://id.who.int/icd/release/11/beta/ichi/1588156576</x:t>
  </x:si>
  <x:si>
    <x:t>VEJ.PM.ZZ</x:t>
  </x:si>
  <x:si>
    <x:t>- - - - Education to influence parenting behaviours</x:t>
  </x:si>
  <x:si>
    <x:t>http://id.who.int/icd/entity/175052591</x:t>
  </x:si>
  <x:si>
    <x:t>http://id.who.int/icd/release/11/beta/ichi/175052591</x:t>
  </x:si>
  <x:si>
    <x:t>VEJ.PN.ZZ</x:t>
  </x:si>
  <x:si>
    <x:t>- - - - Advising about parenting behaviours</x:t>
  </x:si>
  <x:si>
    <x:t>http://id.who.int/icd/entity/1595990370</x:t>
  </x:si>
  <x:si>
    <x:t>http://id.who.int/icd/release/11/beta/ichi/1595990370</x:t>
  </x:si>
  <x:si>
    <x:t>VEJ.PP.ZZ</x:t>
  </x:si>
  <x:si>
    <x:t>- - - - Counselling about parenting behaviours</x:t>
  </x:si>
  <x:si>
    <x:t>http://id.who.int/icd/entity/1885346766</x:t>
  </x:si>
  <x:si>
    <x:t>http://id.who.int/icd/release/11/beta/ichi/1885346766</x:t>
  </x:si>
  <x:si>
    <x:t>VEJ.PQ.ZZ</x:t>
  </x:si>
  <x:si>
    <x:t>- - - - Psychotherapy for parenting behaviours</x:t>
  </x:si>
  <x:si>
    <x:t>http://id.who.int/icd/entity/14856259</x:t>
  </x:si>
  <x:si>
    <x:t>http://id.who.int/icd/release/11/beta/ichi/14856259</x:t>
  </x:si>
  <x:si>
    <x:t>VEJ.RC.ZZ</x:t>
  </x:si>
  <x:si>
    <x:t>- - - - Emotional support for parenting behaviours</x:t>
  </x:si>
  <x:si>
    <x:t>http://id.who.int/icd/entity/1974586528</x:t>
  </x:si>
  <x:si>
    <x:t>http://id.who.int/icd/release/11/beta/ichi/1974586528</x:t>
  </x:si>
  <x:si>
    <x:t>VEJ.RE.ZZ</x:t>
  </x:si>
  <x:si>
    <x:t>- - - - Provision of peer support for parenting behaviours</x:t>
  </x:si>
  <x:si>
    <x:t>http://id.who.int/icd/entity/176877503</x:t>
  </x:si>
  <x:si>
    <x:t>http://id.who.int/icd/release/11/beta/ichi/176877503</x:t>
  </x:si>
  <x:si>
    <x:t>VEJ.TA.ZZ</x:t>
  </x:si>
  <x:si>
    <x:t>- - - - Advocacy in relation to parenting behaviours</x:t>
  </x:si>
  <x:si>
    <x:t>http://id.who.int/icd/entity/1693641944</x:t>
  </x:si>
  <x:si>
    <x:t>http://id.who.int/icd/release/11/beta/ichi/1693641944</x:t>
  </x:si>
  <x:si>
    <x:t>VEJ.TD.ZZ</x:t>
  </x:si>
  <x:si>
    <x:t>- - - - Collaborating or building partnerships in relation to parenting behaviours</x:t>
  </x:si>
  <x:si>
    <x:t>http://id.who.int/icd/entity/2134666188</x:t>
  </x:si>
  <x:si>
    <x:t>http://id.who.int/icd/release/11/beta/ichi/2134666188</x:t>
  </x:si>
  <x:si>
    <x:t>VEJ.TM.ZZ</x:t>
  </x:si>
  <x:si>
    <x:t>- - - - Environment modification to influence parenting behaviours</x:t>
  </x:si>
  <x:si>
    <x:t>http://id.who.int/icd/entity/1702581526</x:t>
  </x:si>
  <x:si>
    <x:t>http://id.who.int/icd/release/11/beta/ichi/1702581526</x:t>
  </x:si>
  <x:si>
    <x:t>VEJ.VA.ZZ</x:t>
  </x:si>
  <x:si>
    <x:t>- - - - Capacity building targeting parenting behaviours</x:t>
  </x:si>
  <x:si>
    <x:t>http://id.who.int/icd/entity/1853836220</x:t>
  </x:si>
  <x:si>
    <x:t>http://id.who.int/icd/release/11/beta/ichi/1853836220</x:t>
  </x:si>
  <x:si>
    <x:t>VEJ.VB.ZZ</x:t>
  </x:si>
  <x:si>
    <x:t>- - - - Awareness raising to influence parenting behaviours</x:t>
  </x:si>
  <x:si>
    <x:t>http://id.who.int/icd/entity/2140920766</x:t>
  </x:si>
  <x:si>
    <x:t>http://id.who.int/icd/release/11/beta/ichi/2140920766</x:t>
  </x:si>
  <x:si>
    <x:t>VEJ.VC.ZZ</x:t>
  </x:si>
  <x:si>
    <x:t>- - - - Public health surveillance concerning parenting behaviours</x:t>
  </x:si>
  <x:si>
    <x:t>http://id.who.int/icd/entity/1710015816</x:t>
  </x:si>
  <x:si>
    <x:t>http://id.who.int/icd/release/11/beta/ichi/1710015816</x:t>
  </x:si>
  <x:si>
    <x:t>VEJ.WG.QF</x:t>
  </x:si>
  <x:si>
    <x:t>- - - - Economic incentives to encourage improved health behaviours relating to parenting</x:t>
  </x:si>
  <x:si>
    <x:t>http://id.who.int/icd/entity/10549411</x:t>
  </x:si>
  <x:si>
    <x:t>http://id.who.int/icd/release/11/beta/ichi/10549411</x:t>
  </x:si>
  <x:si>
    <x:t>VEJ.WG.ZZ</x:t>
  </x:si>
  <x:si>
    <x:t>- - - - Applying incentives to encourage improved health behaviours relating to parenting</x:t>
  </x:si>
  <x:si>
    <x:t>http://id.who.int/icd/entity/1368321936</x:t>
  </x:si>
  <x:si>
    <x:t>http://id.who.int/icd/release/11/beta/ichi/1368321936</x:t>
  </x:si>
  <x:si>
    <x:t>VEJ.WJ.ZZ</x:t>
  </x:si>
  <x:si>
    <x:t>- - - - Policy change concerning parenting behaviours</x:t>
  </x:si>
  <x:si>
    <x:t>http://id.who.int/icd/entity/554451997</x:t>
  </x:si>
  <x:si>
    <x:t>http://id.who.int/icd/release/11/beta/ichi/554451997</x:t>
  </x:si>
  <x:si>
    <x:t>VEJ.ZZ.ZZ</x:t>
  </x:si>
  <x:si>
    <x:t>- - - - Other intervention targeting parenting behaviours, not elsewhere classified</x:t>
  </x:si>
  <x:si>
    <x:t>http://id.who.int/icd/entity/239910579</x:t>
  </x:si>
  <x:si>
    <x:t>http://id.who.int/icd/release/11/beta/ichi/239910579</x:t>
  </x:si>
  <x:si>
    <x:t>VEK.AA.ZZ</x:t>
  </x:si>
  <x:si>
    <x:t>- - - - Assessment of social behaviours</x:t>
  </x:si>
  <x:si>
    <x:t>http://id.who.int/icd/entity/897272725</x:t>
  </x:si>
  <x:si>
    <x:t>http://id.who.int/icd/release/11/beta/ichi/897272725</x:t>
  </x:si>
  <x:si>
    <x:t>VEK.PH.ZZ</x:t>
  </x:si>
  <x:si>
    <x:t>- - - - Training to influence social behaviours</x:t>
  </x:si>
  <x:si>
    <x:t>http://id.who.int/icd/entity/79763935</x:t>
  </x:si>
  <x:si>
    <x:t>http://id.who.int/icd/release/11/beta/ichi/79763935</x:t>
  </x:si>
  <x:si>
    <x:t>VEK.PM.ZZ</x:t>
  </x:si>
  <x:si>
    <x:t>- - - - Education to influence social behaviours</x:t>
  </x:si>
  <x:si>
    <x:t>http://id.who.int/icd/entity/1150656840</x:t>
  </x:si>
  <x:si>
    <x:t>http://id.who.int/icd/release/11/beta/ichi/1150656840</x:t>
  </x:si>
  <x:si>
    <x:t>VEK.PN.ZZ</x:t>
  </x:si>
  <x:si>
    <x:t>- - - - Advising about social behaviours</x:t>
  </x:si>
  <x:si>
    <x:t>http://id.who.int/icd/entity/1334951910</x:t>
  </x:si>
  <x:si>
    <x:t>http://id.who.int/icd/release/11/beta/ichi/1334951910</x:t>
  </x:si>
  <x:si>
    <x:t>VEK.PQ.ZZ</x:t>
  </x:si>
  <x:si>
    <x:t>- - - - Psychotherapy for social behaviours</x:t>
  </x:si>
  <x:si>
    <x:t>http://id.who.int/icd/entity/458748011</x:t>
  </x:si>
  <x:si>
    <x:t>http://id.who.int/icd/release/11/beta/ichi/458748011</x:t>
  </x:si>
  <x:si>
    <x:t>VEK.TA.ZZ</x:t>
  </x:si>
  <x:si>
    <x:t>- - - - Advocacy in relation to social behaviours</x:t>
  </x:si>
  <x:si>
    <x:t>http://id.who.int/icd/entity/1310197284</x:t>
  </x:si>
  <x:si>
    <x:t>http://id.who.int/icd/release/11/beta/ichi/1310197284</x:t>
  </x:si>
  <x:si>
    <x:t>VEK.TD.ZZ</x:t>
  </x:si>
  <x:si>
    <x:t>- - - - Collaborating or building partnerships in relation to social behaviours</x:t>
  </x:si>
  <x:si>
    <x:t>http://id.who.int/icd/entity/1633221772</x:t>
  </x:si>
  <x:si>
    <x:t>http://id.who.int/icd/release/11/beta/ichi/1633221772</x:t>
  </x:si>
  <x:si>
    <x:t>VEK.TM.ZZ</x:t>
  </x:si>
  <x:si>
    <x:t>- - - - Environment modification to influence social behaviours</x:t>
  </x:si>
  <x:si>
    <x:t>http://id.who.int/icd/entity/299521799</x:t>
  </x:si>
  <x:si>
    <x:t>http://id.who.int/icd/release/11/beta/ichi/299521799</x:t>
  </x:si>
  <x:si>
    <x:t>VEK.VA.ZZ</x:t>
  </x:si>
  <x:si>
    <x:t>- - - - Capacity building targeting social behaviours</x:t>
  </x:si>
  <x:si>
    <x:t>http://id.who.int/icd/entity/2075685408</x:t>
  </x:si>
  <x:si>
    <x:t>http://id.who.int/icd/release/11/beta/ichi/2075685408</x:t>
  </x:si>
  <x:si>
    <x:t>VEK.VB.ZZ</x:t>
  </x:si>
  <x:si>
    <x:t>- - - - Awareness raising to influence social behaviours</x:t>
  </x:si>
  <x:si>
    <x:t>http://id.who.int/icd/entity/75714879</x:t>
  </x:si>
  <x:si>
    <x:t>http://id.who.int/icd/release/11/beta/ichi/75714879</x:t>
  </x:si>
  <x:si>
    <x:t>VEK.VC.ZZ</x:t>
  </x:si>
  <x:si>
    <x:t>- - - - Public health surveillance concerning social behaviours</x:t>
  </x:si>
  <x:si>
    <x:t>http://id.who.int/icd/entity/899095801</x:t>
  </x:si>
  <x:si>
    <x:t>http://id.who.int/icd/release/11/beta/ichi/899095801</x:t>
  </x:si>
  <x:si>
    <x:t>VEK.WG.QF</x:t>
  </x:si>
  <x:si>
    <x:t>- - - - Economic incentives to encourage improved social behaviours</x:t>
  </x:si>
  <x:si>
    <x:t>http://id.who.int/icd/entity/1794855512</x:t>
  </x:si>
  <x:si>
    <x:t>http://id.who.int/icd/release/11/beta/ichi/1794855512</x:t>
  </x:si>
  <x:si>
    <x:t>VEK.WG.ZZ</x:t>
  </x:si>
  <x:si>
    <x:t>- - - - Applying incentives to encourage improved social behaviours</x:t>
  </x:si>
  <x:si>
    <x:t>http://id.who.int/icd/entity/837787461</x:t>
  </x:si>
  <x:si>
    <x:t>http://id.who.int/icd/release/11/beta/ichi/837787461</x:t>
  </x:si>
  <x:si>
    <x:t>VEK.WI.QD</x:t>
  </x:si>
  <x:si>
    <x:t>- - - - Restrictions through enactment of laws or standards on social behaviours</x:t>
  </x:si>
  <x:si>
    <x:t>http://id.who.int/icd/entity/732471711</x:t>
  </x:si>
  <x:si>
    <x:t>http://id.who.int/icd/release/11/beta/ichi/732471711</x:t>
  </x:si>
  <x:si>
    <x:t>VEK.WI.QE</x:t>
  </x:si>
  <x:si>
    <x:t>- - - - Restrictions through enforcement of laws or standards on social behaviours</x:t>
  </x:si>
  <x:si>
    <x:t>http://id.who.int/icd/entity/548192051</x:t>
  </x:si>
  <x:si>
    <x:t>http://id.who.int/icd/release/11/beta/ichi/548192051</x:t>
  </x:si>
  <x:si>
    <x:t>VEK.WJ.ZZ</x:t>
  </x:si>
  <x:si>
    <x:t>- - - - Policy change concerning social behaviours</x:t>
  </x:si>
  <x:si>
    <x:t>http://id.who.int/icd/entity/1579034092</x:t>
  </x:si>
  <x:si>
    <x:t>http://id.who.int/icd/release/11/beta/ichi/1579034092</x:t>
  </x:si>
  <x:si>
    <x:t>VEK.ZZ.ZZ</x:t>
  </x:si>
  <x:si>
    <x:t>- - - - Other interventions targeting social behaviours, not elsewhere classified</x:t>
  </x:si>
  <x:si>
    <x:t>http://id.who.int/icd/entity/556074739</x:t>
  </x:si>
  <x:si>
    <x:t>http://id.who.int/icd/release/11/beta/ichi/556074739</x:t>
  </x:si>
  <x:si>
    <x:t>VEL.AA.ZZ</x:t>
  </x:si>
  <x:si>
    <x:t>- - - - Assessment of behaviours related to psychological health and wellbeing</x:t>
  </x:si>
  <x:si>
    <x:t>http://id.who.int/icd/entity/1417050640</x:t>
  </x:si>
  <x:si>
    <x:t>http://id.who.int/icd/release/11/beta/ichi/1417050640</x:t>
  </x:si>
  <x:si>
    <x:t>VEL.AC.ZZ</x:t>
  </x:si>
  <x:si>
    <x:t>- - - - Test of behaviours related to psychological health and wellbeing</x:t>
  </x:si>
  <x:si>
    <x:t>http://id.who.int/icd/entity/620024221</x:t>
  </x:si>
  <x:si>
    <x:t>http://id.who.int/icd/release/11/beta/ichi/620024221</x:t>
  </x:si>
  <x:si>
    <x:t>VEL.PH.ZZ</x:t>
  </x:si>
  <x:si>
    <x:t>- - - - Training to influence behaviours related to psychological health and wellbeing</x:t>
  </x:si>
  <x:si>
    <x:t>http://id.who.int/icd/entity/196356915</x:t>
  </x:si>
  <x:si>
    <x:t>http://id.who.int/icd/release/11/beta/ichi/196356915</x:t>
  </x:si>
  <x:si>
    <x:t>VEL.PM.ZZ</x:t>
  </x:si>
  <x:si>
    <x:t>- - - - Education to influence behaviours related to psychological health and wellbeing</x:t>
  </x:si>
  <x:si>
    <x:t>http://id.who.int/icd/entity/1593564540</x:t>
  </x:si>
  <x:si>
    <x:t>http://id.who.int/icd/release/11/beta/ichi/1593564540</x:t>
  </x:si>
  <x:si>
    <x:t>VEL.PN.ZZ</x:t>
  </x:si>
  <x:si>
    <x:t>- - - - Advising about behaviours related to psychological health and wellbeing</x:t>
  </x:si>
  <x:si>
    <x:t>http://id.who.int/icd/entity/813948437</x:t>
  </x:si>
  <x:si>
    <x:t>http://id.who.int/icd/release/11/beta/ichi/813948437</x:t>
  </x:si>
  <x:si>
    <x:t>VEL.PP.ZZ</x:t>
  </x:si>
  <x:si>
    <x:t>- - - - Counselling about behaviours related to psychological health and wellbeing</x:t>
  </x:si>
  <x:si>
    <x:t>http://id.who.int/icd/entity/20548703</x:t>
  </x:si>
  <x:si>
    <x:t>http://id.who.int/icd/release/11/beta/ichi/20548703</x:t>
  </x:si>
  <x:si>
    <x:t>VEL.PQ.ZZ</x:t>
  </x:si>
  <x:si>
    <x:t>- - - - Psychotherapy for behaviours related to psychological health and wellbeing</x:t>
  </x:si>
  <x:si>
    <x:t>http://id.who.int/icd/entity/1583115534</x:t>
  </x:si>
  <x:si>
    <x:t>http://id.who.int/icd/release/11/beta/ichi/1583115534</x:t>
  </x:si>
  <x:si>
    <x:t>VEL.RD.ZZ</x:t>
  </x:si>
  <x:si>
    <x:t>- - - - Providing goods to support improved behaviours relating to psychological health and wellbeing</x:t>
  </x:si>
  <x:si>
    <x:t>http://id.who.int/icd/entity/1374021024</x:t>
  </x:si>
  <x:si>
    <x:t>http://id.who.int/icd/release/11/beta/ichi/1374021024</x:t>
  </x:si>
  <x:si>
    <x:t>VEL.RE.ZZ</x:t>
  </x:si>
  <x:si>
    <x:t>- - - - Provision of peer support for behaviours related to psychological health and wellbeing</x:t>
  </x:si>
  <x:si>
    <x:t>http://id.who.int/icd/entity/560418323</x:t>
  </x:si>
  <x:si>
    <x:t>http://id.who.int/icd/release/11/beta/ichi/560418323</x:t>
  </x:si>
  <x:si>
    <x:t>VEL.TA.ZZ</x:t>
  </x:si>
  <x:si>
    <x:t>- - - - Advocacy in relation to behaviours related to psychological health and wellbeing</x:t>
  </x:si>
  <x:si>
    <x:t>http://id.who.int/icd/entity/2101822741</x:t>
  </x:si>
  <x:si>
    <x:t>http://id.who.int/icd/release/11/beta/ichi/2101822741</x:t>
  </x:si>
  <x:si>
    <x:t>VEL.TD.ZZ</x:t>
  </x:si>
  <x:si>
    <x:t>- - - - Collaborating or building partnerships in relation to behaviours related to psychological health and wellbeing</x:t>
  </x:si>
  <x:si>
    <x:t>http://id.who.int/icd/entity/41707018</x:t>
  </x:si>
  <x:si>
    <x:t>http://id.who.int/icd/release/11/beta/ichi/41707018</x:t>
  </x:si>
  <x:si>
    <x:t>VEL.TM.ZZ</x:t>
  </x:si>
  <x:si>
    <x:t>- - - - Environment modification to influence behaviours related to psychological health and wellbeing</x:t>
  </x:si>
  <x:si>
    <x:t>http://id.who.int/icd/entity/1812227427</x:t>
  </x:si>
  <x:si>
    <x:t>http://id.who.int/icd/release/11/beta/ichi/1812227427</x:t>
  </x:si>
  <x:si>
    <x:t>VEL.VA.ZZ</x:t>
  </x:si>
  <x:si>
    <x:t>- - - - Capacity building targeting behaviours related to psychological health and wellbeing</x:t>
  </x:si>
  <x:si>
    <x:t>http://id.who.int/icd/entity/2009784953</x:t>
  </x:si>
  <x:si>
    <x:t>http://id.who.int/icd/release/11/beta/ichi/2009784953</x:t>
  </x:si>
  <x:si>
    <x:t>VEL.VB.ZZ</x:t>
  </x:si>
  <x:si>
    <x:t>- - - - Awareness raising to influence behaviours related to psychological health and wellbeing</x:t>
  </x:si>
  <x:si>
    <x:t>http://id.who.int/icd/entity/1838013603</x:t>
  </x:si>
  <x:si>
    <x:t>http://id.who.int/icd/release/11/beta/ichi/1838013603</x:t>
  </x:si>
  <x:si>
    <x:t>VEL.VC.ZZ</x:t>
  </x:si>
  <x:si>
    <x:t>- - - - Public health surveillance concerning behaviours related to psychological health and wellbeing</x:t>
  </x:si>
  <x:si>
    <x:t>http://id.who.int/icd/entity/1075943564</x:t>
  </x:si>
  <x:si>
    <x:t>http://id.who.int/icd/release/11/beta/ichi/1075943564</x:t>
  </x:si>
  <x:si>
    <x:t>VEL.WG.QF</x:t>
  </x:si>
  <x:si>
    <x:t>- - - - Economic incentives to encourage improved health behaviours relating to psychological health and wellbeing</x:t>
  </x:si>
  <x:si>
    <x:t>http://id.who.int/icd/entity/1720304143</x:t>
  </x:si>
  <x:si>
    <x:t>http://id.who.int/icd/release/11/beta/ichi/1720304143</x:t>
  </x:si>
  <x:si>
    <x:t>VEL.WG.ZZ</x:t>
  </x:si>
  <x:si>
    <x:t>- - - - Applying incentives to encourage improved health behaviours relating to psychological health and wellbeing</x:t>
  </x:si>
  <x:si>
    <x:t>http://id.who.int/icd/entity/1750862797</x:t>
  </x:si>
  <x:si>
    <x:t>http://id.who.int/icd/release/11/beta/ichi/1750862797</x:t>
  </x:si>
  <x:si>
    <x:t>VEL.WJ.ZZ</x:t>
  </x:si>
  <x:si>
    <x:t>- - - - Policy change concerning behaviours related to psychological health and wellbeing</x:t>
  </x:si>
  <x:si>
    <x:t>http://id.who.int/icd/entity/392636626</x:t>
  </x:si>
  <x:si>
    <x:t>http://id.who.int/icd/release/11/beta/ichi/392636626</x:t>
  </x:si>
  <x:si>
    <x:t>VEL.ZZ.ZZ</x:t>
  </x:si>
  <x:si>
    <x:t>- - - - Other interventions targeting behaviours related to psychological health and wellbeing, not elsewhere classified</x:t>
  </x:si>
  <x:si>
    <x:t>http://id.who.int/icd/entity/850031890</x:t>
  </x:si>
  <x:si>
    <x:t>http://id.who.int/icd/release/11/beta/ichi/850031890</x:t>
  </x:si>
  <x:si>
    <x:t>BlockL3-VFS</x:t>
  </x:si>
  <x:si>
    <x:t>- - - Interventions on other health-related behaviours</x:t>
  </x:si>
  <x:si>
    <x:t>http://id.who.int/icd/entity/307431212</x:t>
  </x:si>
  <x:si>
    <x:t>http://id.who.int/icd/release/11/beta/ichi/307431212</x:t>
  </x:si>
  <x:si>
    <x:t>VFS.AA.ZZ</x:t>
  </x:si>
  <x:si>
    <x:t>- - - - Assessment of health literacy levels</x:t>
  </x:si>
  <x:si>
    <x:t>http://id.who.int/icd/entity/1024720260</x:t>
  </x:si>
  <x:si>
    <x:t>http://id.who.int/icd/release/11/beta/ichi/1024720260</x:t>
  </x:si>
  <x:si>
    <x:t>VFS.PH.ZZ</x:t>
  </x:si>
  <x:si>
    <x:t>- - - - Training to influence health literacy</x:t>
  </x:si>
  <x:si>
    <x:t>http://id.who.int/icd/entity/1467078821</x:t>
  </x:si>
  <x:si>
    <x:t>http://id.who.int/icd/release/11/beta/ichi/1467078821</x:t>
  </x:si>
  <x:si>
    <x:t>VFS.PM.ZZ</x:t>
  </x:si>
  <x:si>
    <x:t>- - - - Education aimed at improving health literacy</x:t>
  </x:si>
  <x:si>
    <x:t>http://id.who.int/icd/entity/670266152</x:t>
  </x:si>
  <x:si>
    <x:t>http://id.who.int/icd/release/11/beta/ichi/670266152</x:t>
  </x:si>
  <x:si>
    <x:t>VFS.RE.ZZ</x:t>
  </x:si>
  <x:si>
    <x:t>- - - - Provision of peer support for health literacy</x:t>
  </x:si>
  <x:si>
    <x:t>http://id.who.int/icd/entity/145983880</x:t>
  </x:si>
  <x:si>
    <x:t>http://id.who.int/icd/release/11/beta/ichi/145983880</x:t>
  </x:si>
  <x:si>
    <x:t>VFS.TA.ZZ</x:t>
  </x:si>
  <x:si>
    <x:t>- - - - Advocacy in relation to health literacy</x:t>
  </x:si>
  <x:si>
    <x:t>http://id.who.int/icd/entity/489043392</x:t>
  </x:si>
  <x:si>
    <x:t>http://id.who.int/icd/release/11/beta/ichi/489043392</x:t>
  </x:si>
  <x:si>
    <x:t>VFS.TD.ZZ</x:t>
  </x:si>
  <x:si>
    <x:t>- - - - Collaborating or building partnerships in relation to health literacy</x:t>
  </x:si>
  <x:si>
    <x:t>http://id.who.int/icd/entity/1935554217</x:t>
  </x:si>
  <x:si>
    <x:t>http://id.who.int/icd/release/11/beta/ichi/1935554217</x:t>
  </x:si>
  <x:si>
    <x:t>VFS.TM.ZZ</x:t>
  </x:si>
  <x:si>
    <x:t>- - - - Environment modification to influence health literacy</x:t>
  </x:si>
  <x:si>
    <x:t>http://id.who.int/icd/entity/1122264291</x:t>
  </x:si>
  <x:si>
    <x:t>http://id.who.int/icd/release/11/beta/ichi/1122264291</x:t>
  </x:si>
  <x:si>
    <x:t>VFS.VA.ZZ</x:t>
  </x:si>
  <x:si>
    <x:t>- - - - Capacity building targeting health literacy</x:t>
  </x:si>
  <x:si>
    <x:t>http://id.who.int/icd/entity/1926729577</x:t>
  </x:si>
  <x:si>
    <x:t>http://id.who.int/icd/release/11/beta/ichi/1926729577</x:t>
  </x:si>
  <x:si>
    <x:t>VFS.VB.ZZ</x:t>
  </x:si>
  <x:si>
    <x:t>- - - - Awareness raising to influence health literacy</x:t>
  </x:si>
  <x:si>
    <x:t>http://id.who.int/icd/entity/2043908549</x:t>
  </x:si>
  <x:si>
    <x:t>http://id.who.int/icd/release/11/beta/ichi/2043908549</x:t>
  </x:si>
  <x:si>
    <x:t>VFS.VC.ZZ</x:t>
  </x:si>
  <x:si>
    <x:t>- - - - Public health surveillance concerning health literacy</x:t>
  </x:si>
  <x:si>
    <x:t>http://id.who.int/icd/entity/1809642524</x:t>
  </x:si>
  <x:si>
    <x:t>http://id.who.int/icd/release/11/beta/ichi/1809642524</x:t>
  </x:si>
  <x:si>
    <x:t>VFS.WG.QF</x:t>
  </x:si>
  <x:si>
    <x:t>- - - - Economic incentives to improve health literacy</x:t>
  </x:si>
  <x:si>
    <x:t>http://id.who.int/icd/entity/756407884</x:t>
  </x:si>
  <x:si>
    <x:t>http://id.who.int/icd/release/11/beta/ichi/756407884</x:t>
  </x:si>
  <x:si>
    <x:t>VFS.WG.ZZ</x:t>
  </x:si>
  <x:si>
    <x:t>- - - - Applying incentives to improve health literacy</x:t>
  </x:si>
  <x:si>
    <x:t>http://id.who.int/icd/entity/138246936</x:t>
  </x:si>
  <x:si>
    <x:t>http://id.who.int/icd/release/11/beta/ichi/138246936</x:t>
  </x:si>
  <x:si>
    <x:t>VFS.WJ.ZZ</x:t>
  </x:si>
  <x:si>
    <x:t>- - - - Policy change concerning health literacy</x:t>
  </x:si>
  <x:si>
    <x:t>http://id.who.int/icd/entity/662536632</x:t>
  </x:si>
  <x:si>
    <x:t>http://id.who.int/icd/release/11/beta/ichi/662536632</x:t>
  </x:si>
  <x:si>
    <x:t>VFS.ZZ.ZZ</x:t>
  </x:si>
  <x:si>
    <x:t>- - - - Other interventions targeting health literacy, not elsewhere classified</x:t>
  </x:si>
  <x:si>
    <x:t>http://id.who.int/icd/entity/1476340283</x:t>
  </x:si>
  <x:si>
    <x:t>http://id.who.int/icd/release/11/beta/ichi/1476340283</x:t>
  </x:si>
  <x:si>
    <x:t>VFX.AA.ZZ</x:t>
  </x:si>
  <x:si>
    <x:t>- - - - Assessment of other health-related behaviours, not elsewhere classified</x:t>
  </x:si>
  <x:si>
    <x:t>http://id.who.int/icd/entity/1389036997</x:t>
  </x:si>
  <x:si>
    <x:t>http://id.who.int/icd/release/11/beta/ichi/1389036997</x:t>
  </x:si>
  <x:si>
    <x:t>VFX.PH.ZZ</x:t>
  </x:si>
  <x:si>
    <x:t>- - - - Training to influence other health-related behaviours, not elsewhere classified</x:t>
  </x:si>
  <x:si>
    <x:t>http://id.who.int/icd/entity/770713308</x:t>
  </x:si>
  <x:si>
    <x:t>http://id.who.int/icd/release/11/beta/ichi/770713308</x:t>
  </x:si>
  <x:si>
    <x:t>VFX.PM.ZZ</x:t>
  </x:si>
  <x:si>
    <x:t>- - - - Education to influence other health-related behaviours, not elsewhere classified</x:t>
  </x:si>
  <x:si>
    <x:t>http://id.who.int/icd/entity/1132996019</x:t>
  </x:si>
  <x:si>
    <x:t>http://id.who.int/icd/release/11/beta/ichi/1132996019</x:t>
  </x:si>
  <x:si>
    <x:t>VFX.PN.ZZ</x:t>
  </x:si>
  <x:si>
    <x:t>- - - - Advising about other health-related behaviours, not elsewhere classified</x:t>
  </x:si>
  <x:si>
    <x:t>http://id.who.int/icd/entity/923838576</x:t>
  </x:si>
  <x:si>
    <x:t>http://id.who.int/icd/release/11/beta/ichi/923838576</x:t>
  </x:si>
  <x:si>
    <x:t>VFX.PP.ZZ</x:t>
  </x:si>
  <x:si>
    <x:t>- - - - Counselling about other health-related behaviours, not elsewhere classified</x:t>
  </x:si>
  <x:si>
    <x:t>http://id.who.int/icd/entity/760714922</x:t>
  </x:si>
  <x:si>
    <x:t>http://id.who.int/icd/release/11/beta/ichi/760714922</x:t>
  </x:si>
  <x:si>
    <x:t>VFX.PQ.ZZ</x:t>
  </x:si>
  <x:si>
    <x:t>- - - - Psychotherapy for other health-related behaviours, not elsewhere classified</x:t>
  </x:si>
  <x:si>
    <x:t>http://id.who.int/icd/entity/643008520</x:t>
  </x:si>
  <x:si>
    <x:t>http://id.who.int/icd/release/11/beta/ichi/643008520</x:t>
  </x:si>
  <x:si>
    <x:t>VFX.RD.ZZ</x:t>
  </x:si>
  <x:si>
    <x:t>- - - - Providing goods to support improvement in other health-related behaviours, not elsewhere classified</x:t>
  </x:si>
  <x:si>
    <x:t>http://id.who.int/icd/entity/738351144</x:t>
  </x:si>
  <x:si>
    <x:t>http://id.who.int/icd/release/11/beta/ichi/738351144</x:t>
  </x:si>
  <x:si>
    <x:t>VFX.RE.ZZ</x:t>
  </x:si>
  <x:si>
    <x:t>- - - - Provision of peer support for other health-related behaviours, not elsewhere classified</x:t>
  </x:si>
  <x:si>
    <x:t>http://id.who.int/icd/entity/54698632</x:t>
  </x:si>
  <x:si>
    <x:t>http://id.who.int/icd/release/11/beta/ichi/54698632</x:t>
  </x:si>
  <x:si>
    <x:t>VFX.TA.ZZ</x:t>
  </x:si>
  <x:si>
    <x:t>- - - - Advocacy in relation to other health-related behaviours, not elsewhere classified</x:t>
  </x:si>
  <x:si>
    <x:t>http://id.who.int/icd/entity/1443714249</x:t>
  </x:si>
  <x:si>
    <x:t>http://id.who.int/icd/release/11/beta/ichi/1443714249</x:t>
  </x:si>
  <x:si>
    <x:t>VFX.TD.ZZ</x:t>
  </x:si>
  <x:si>
    <x:t>- - - - Collaborating or building partnerships in relation to other health-related behaviours, not elsewhere classified</x:t>
  </x:si>
  <x:si>
    <x:t>http://id.who.int/icd/entity/947214242</x:t>
  </x:si>
  <x:si>
    <x:t>http://id.who.int/icd/release/11/beta/ichi/947214242</x:t>
  </x:si>
  <x:si>
    <x:t>VFX.TM.ZZ</x:t>
  </x:si>
  <x:si>
    <x:t>- - - - Environment modification to influence other health-related behaviours, not elsewhere classified</x:t>
  </x:si>
  <x:si>
    <x:t>http://id.who.int/icd/entity/164562412</x:t>
  </x:si>
  <x:si>
    <x:t>http://id.who.int/icd/release/11/beta/ichi/164562412</x:t>
  </x:si>
  <x:si>
    <x:t>VFX.VA.ZZ</x:t>
  </x:si>
  <x:si>
    <x:t>- - - - Capacity building targeting other health-related behaviours, not elsewhere classified</x:t>
  </x:si>
  <x:si>
    <x:t>http://id.who.int/icd/entity/1234943357</x:t>
  </x:si>
  <x:si>
    <x:t>http://id.who.int/icd/release/11/beta/ichi/1234943357</x:t>
  </x:si>
  <x:si>
    <x:t>VFX.VB.ZZ</x:t>
  </x:si>
  <x:si>
    <x:t>- - - - Awareness raising to influence other health-related behaviours, not elsewhere classified</x:t>
  </x:si>
  <x:si>
    <x:t>http://id.who.int/icd/entity/1117758417</x:t>
  </x:si>
  <x:si>
    <x:t>http://id.who.int/icd/release/11/beta/ichi/1117758417</x:t>
  </x:si>
  <x:si>
    <x:t>VFX.VC.ZZ</x:t>
  </x:si>
  <x:si>
    <x:t>- - - - Public health surveillance concerning other health-related behaviours, not elsewhere classified</x:t>
  </x:si>
  <x:si>
    <x:t>http://id.who.int/icd/entity/1060370811</x:t>
  </x:si>
  <x:si>
    <x:t>http://id.who.int/icd/release/11/beta/ichi/1060370811</x:t>
  </x:si>
  <x:si>
    <x:t>VFX.WG.QF</x:t>
  </x:si>
  <x:si>
    <x:t>- - - - Economic incentives to encourage improvements in relation to other health-related behaviours, not elsewhere classified</x:t>
  </x:si>
  <x:si>
    <x:t>http://id.who.int/icd/entity/374991968</x:t>
  </x:si>
  <x:si>
    <x:t>http://id.who.int/icd/release/11/beta/ichi/374991968</x:t>
  </x:si>
  <x:si>
    <x:t>VFX.WG.ZZ</x:t>
  </x:si>
  <x:si>
    <x:t>- - - - Applying incentives to encourage improvements in relation to other health-related behaviours, not elsewhere classified</x:t>
  </x:si>
  <x:si>
    <x:t>http://id.who.int/icd/entity/1125521937</x:t>
  </x:si>
  <x:si>
    <x:t>http://id.who.int/icd/release/11/beta/ichi/1125521937</x:t>
  </x:si>
  <x:si>
    <x:t>VFX.WJ.ZZ</x:t>
  </x:si>
  <x:si>
    <x:t>- - - - Policy change concerning other health-related behaviours, not elsewhere classified</x:t>
  </x:si>
  <x:si>
    <x:t>http://id.who.int/icd/release/11/beta/ichi/768188068/other</x:t>
  </x:si>
  <x:si>
    <x:t>VFZ.ZY.ZY</x:t>
  </x:si>
  <x:si>
    <x:t>- - - Other specified interventions on health-related behaviours</x:t>
  </x:si>
  <x:si>
    <x:t>http://id.who.int/icd/release/11/beta/ichi/768188068/unspecified</x:t>
  </x:si>
  <x:si>
    <x:t>VFZ.ZZ.ZZ</x:t>
  </x:si>
  <x:si>
    <x:t>- - - Interventions on health-related behaviours, unspecified</x:t>
  </x:si>
  <x:si>
    <x:t>http://id.who.int/icd/entity/1153570334</x:t>
  </x:si>
  <x:si>
    <x:t>http://id.who.int/icd/release/11/beta/ichi/1153570334</x:t>
  </x:si>
  <x:si>
    <x:t>ICHI Extension Code</x:t>
  </x:si>
  <x:si>
    <x:t>http://id.who.int/icd/entity/1399457851</x:t>
  </x:si>
  <x:si>
    <x:t>http://id.who.int/icd/release/11/beta/ichi/1399457851</x:t>
  </x:si>
  <x:si>
    <x:t>_NOCODEASSIGNED</x:t>
  </x:si>
  <x:si>
    <x:t>- Additional descriptive information</x:t>
  </x:si>
  <x:si>
    <x:t>http://id.who.int/icd/entity/1718471759</x:t>
  </x:si>
  <x:si>
    <x:t>http://id.who.int/icd/release/11/beta/ichi/1718471759</x:t>
  </x:si>
  <x:si>
    <x:t>- - Initiating/maintaining/discontinuing/resuming</x:t>
  </x:si>
  <x:si>
    <x:t>http://id.who.int/icd/entity/1024592722</x:t>
  </x:si>
  <x:si>
    <x:t>http://id.who.int/icd/release/11/beta/ichi/1024592722</x:t>
  </x:si>
  <x:si>
    <x:t>- - - Initiating</x:t>
  </x:si>
  <x:si>
    <x:t>http://id.who.int/icd/entity/1783242726</x:t>
  </x:si>
  <x:si>
    <x:t>http://id.who.int/icd/release/11/beta/ichi/1783242726</x:t>
  </x:si>
  <x:si>
    <x:t>- - - Maintaining</x:t>
  </x:si>
  <x:si>
    <x:t>http://id.who.int/icd/entity/825612537</x:t>
  </x:si>
  <x:si>
    <x:t>http://id.who.int/icd/release/11/beta/ichi/825612537</x:t>
  </x:si>
  <x:si>
    <x:t>- - - Discontinuing</x:t>
  </x:si>
  <x:si>
    <x:t>http://id.who.int/icd/entity/721117155</x:t>
  </x:si>
  <x:si>
    <x:t>http://id.who.int/icd/release/11/beta/ichi/721117155</x:t>
  </x:si>
  <x:si>
    <x:t>- - - Resuming</x:t>
  </x:si>
  <x:si>
    <x:t>http://id.who.int/icd/entity/1904515326</x:t>
  </x:si>
  <x:si>
    <x:t>http://id.who.int/icd/release/11/beta/ichi/1904515326</x:t>
  </x:si>
  <x:si>
    <x:t>- - Relationship to other intervention(s)</x:t>
  </x:si>
  <x:si>
    <x:t>http://id.who.int/icd/entity/1077856948</x:t>
  </x:si>
  <x:si>
    <x:t>http://id.who.int/icd/release/11/beta/ichi/1077856948</x:t>
  </x:si>
  <x:si>
    <x:t>- - - Incidental</x:t>
  </x:si>
  <x:si>
    <x:t>http://id.who.int/icd/entity/457248169</x:t>
  </x:si>
  <x:si>
    <x:t>http://id.who.int/icd/release/11/beta/ichi/457248169</x:t>
  </x:si>
  <x:si>
    <x:t>- - - Simultaneous</x:t>
  </x:si>
  <x:si>
    <x:t>http://id.who.int/icd/entity/1894308272</x:t>
  </x:si>
  <x:si>
    <x:t>http://id.who.int/icd/release/11/beta/ichi/1894308272</x:t>
  </x:si>
  <x:si>
    <x:t>- - - Laparoscopic converted to open</x:t>
  </x:si>
  <x:si>
    <x:t>http://id.who.int/icd/entity/731324083</x:t>
  </x:si>
  <x:si>
    <x:t>http://id.who.int/icd/release/11/beta/ichi/731324083</x:t>
  </x:si>
  <x:si>
    <x:t>- - - Endoscopic (per orifice) converted to open</x:t>
  </x:si>
  <x:si>
    <x:t>http://id.who.int/icd/entity/439176441</x:t>
  </x:si>
  <x:si>
    <x:t>http://id.who.int/icd/release/11/beta/ichi/439176441</x:t>
  </x:si>
  <x:si>
    <x:t>- - - Re-operation</x:t>
  </x:si>
  <x:si>
    <x:t>http://id.who.int/icd/entity/1095928806</x:t>
  </x:si>
  <x:si>
    <x:t>http://id.who.int/icd/release/11/beta/ichi/1095928806</x:t>
  </x:si>
  <x:si>
    <x:t>- - - Revision</x:t>
  </x:si>
  <x:si>
    <x:t>http://id.who.int/icd/entity/1520176382</x:t>
  </x:si>
  <x:si>
    <x:t>http://id.who.int/icd/release/11/beta/ichi/1520176382</x:t>
  </x:si>
  <x:si>
    <x:t>- - - Staged</x:t>
  </x:si>
  <x:si>
    <x:t>http://id.who.int/icd/entity/278981525</x:t>
  </x:si>
  <x:si>
    <x:t>http://id.who.int/icd/release/11/beta/ichi/278981525</x:t>
  </x:si>
  <x:si>
    <x:t>- - - Repeated over time</x:t>
  </x:si>
  <x:si>
    <x:t>http://id.who.int/icd/entity/1619390568</x:t>
  </x:si>
  <x:si>
    <x:t>http://id.who.int/icd/release/11/beta/ichi/1619390568</x:t>
  </x:si>
  <x:si>
    <x:t>- - Nature of the intervention</x:t>
  </x:si>
  <x:si>
    <x:t>http://id.who.int/icd/entity/1434596382</x:t>
  </x:si>
  <x:si>
    <x:t>http://id.who.int/icd/release/11/beta/ichi/1434596382</x:t>
  </x:si>
  <x:si>
    <x:t>- - - Standardised</x:t>
  </x:si>
  <x:si>
    <x:t>http://id.who.int/icd/entity/1063487251</x:t>
  </x:si>
  <x:si>
    <x:t>http://id.who.int/icd/release/11/beta/ichi/1063487251</x:t>
  </x:si>
  <x:si>
    <x:t>- - - Non standardised</x:t>
  </x:si>
  <x:si>
    <x:t>http://id.who.int/icd/entity/714944859</x:t>
  </x:si>
  <x:si>
    <x:t>http://id.who.int/icd/release/11/beta/ichi/714944859</x:t>
  </x:si>
  <x:si>
    <x:t>- - - Structured</x:t>
  </x:si>
  <x:si>
    <x:t>http://id.who.int/icd/entity/1436947014</x:t>
  </x:si>
  <x:si>
    <x:t>http://id.who.int/icd/release/11/beta/ichi/1436947014</x:t>
  </x:si>
  <x:si>
    <x:t>- - - Unstructured</x:t>
  </x:si>
  <x:si>
    <x:t>http://id.who.int/icd/entity/171992383</x:t>
  </x:si>
  <x:si>
    <x:t>http://id.who.int/icd/release/11/beta/ichi/171992383</x:t>
  </x:si>
  <x:si>
    <x:t>- - - Unplanned</x:t>
  </x:si>
  <x:si>
    <x:t>http://id.who.int/icd/entity/1578463652</x:t>
  </x:si>
  <x:si>
    <x:t>http://id.who.int/icd/release/11/beta/ichi/1578463652</x:t>
  </x:si>
  <x:si>
    <x:t>- - - Temporary</x:t>
  </x:si>
  <x:si>
    <x:t>http://id.who.int/icd/entity/223698746</x:t>
  </x:si>
  <x:si>
    <x:t>http://id.who.int/icd/release/11/beta/ichi/223698746</x:t>
  </x:si>
  <x:si>
    <x:t>- - - Case formulation</x:t>
  </x:si>
  <x:si>
    <x:t>http://id.who.int/icd/entity/2009049929</x:t>
  </x:si>
  <x:si>
    <x:t>http://id.who.int/icd/release/11/beta/ichi/2009049929</x:t>
  </x:si>
  <x:si>
    <x:t>- - - Discharge planning</x:t>
  </x:si>
  <x:si>
    <x:t>http://id.who.int/icd/entity/407769570</x:t>
  </x:si>
  <x:si>
    <x:t>http://id.who.int/icd/release/11/beta/ichi/407769570</x:t>
  </x:si>
  <x:si>
    <x:t>- - - Rehabilitation and Habilitation</x:t>
  </x:si>
  <x:si>
    <x:t>http://id.who.int/icd/entity/2106965077</x:t>
  </x:si>
  <x:si>
    <x:t>http://id.who.int/icd/release/11/beta/ichi/2106965077</x:t>
  </x:si>
  <x:si>
    <x:t>- - - Palliation</x:t>
  </x:si>
  <x:si>
    <x:t>http://id.who.int/icd/entity/1079550990</x:t>
  </x:si>
  <x:si>
    <x:t>http://id.who.int/icd/release/11/beta/ichi/1079550990</x:t>
  </x:si>
  <x:si>
    <x:t>- - Use of equipment or challenge</x:t>
  </x:si>
  <x:si>
    <x:t>http://id.who.int/icd/entity/1004409133</x:t>
  </x:si>
  <x:si>
    <x:t>http://id.who.int/icd/release/11/beta/ichi/1004409133</x:t>
  </x:si>
  <x:si>
    <x:t>- - - With equipment</x:t>
  </x:si>
  <x:si>
    <x:t>http://id.who.int/icd/entity/15328267</x:t>
  </x:si>
  <x:si>
    <x:t>http://id.who.int/icd/release/11/beta/ichi/15328267</x:t>
  </x:si>
  <x:si>
    <x:t>- - - With robotic assistance</x:t>
  </x:si>
  <x:si>
    <x:t>http://id.who.int/icd/entity/2144519956</x:t>
  </x:si>
  <x:si>
    <x:t>http://id.who.int/icd/release/11/beta/ichi/2144519956</x:t>
  </x:si>
  <x:si>
    <x:t>- - - With challenge</x:t>
  </x:si>
  <x:si>
    <x:t>http://id.who.int/icd/entity/799612581</x:t>
  </x:si>
  <x:si>
    <x:t>http://id.who.int/icd/release/11/beta/ichi/799612581</x:t>
  </x:si>
  <x:si>
    <x:t>- - - With image guidance</x:t>
  </x:si>
  <x:si>
    <x:t>http://id.who.int/icd/entity/889968879</x:t>
  </x:si>
  <x:si>
    <x:t>http://id.who.int/icd/release/11/beta/ichi/889968879</x:t>
  </x:si>
  <x:si>
    <x:t>- - Recipient</x:t>
  </x:si>
  <x:si>
    <x:t>http://id.who.int/icd/entity/793568821</x:t>
  </x:si>
  <x:si>
    <x:t>http://id.who.int/icd/release/11/beta/ichi/793568821</x:t>
  </x:si>
  <x:si>
    <x:t>- - - Person/patient – individual</x:t>
  </x:si>
  <x:si>
    <x:t>http://id.who.int/icd/entity/1607355834</x:t>
  </x:si>
  <x:si>
    <x:t>http://id.who.int/icd/release/11/beta/ichi/1607355834</x:t>
  </x:si>
  <x:si>
    <x:t>- - - Person/patient – group</x:t>
  </x:si>
  <x:si>
    <x:t>http://id.who.int/icd/entity/1160692498</x:t>
  </x:si>
  <x:si>
    <x:t>http://id.who.int/icd/release/11/beta/ichi/1160692498</x:t>
  </x:si>
  <x:si>
    <x:t>- - - Family – individual family</x:t>
  </x:si>
  <x:si>
    <x:t>http://id.who.int/icd/entity/1859366786</x:t>
  </x:si>
  <x:si>
    <x:t>http://id.who.int/icd/release/11/beta/ichi/1859366786</x:t>
  </x:si>
  <x:si>
    <x:t>- - - Family – group of families</x:t>
  </x:si>
  <x:si>
    <x:t>http://id.who.int/icd/entity/252847225</x:t>
  </x:si>
  <x:si>
    <x:t>http://id.who.int/icd/release/11/beta/ichi/252847225</x:t>
  </x:si>
  <x:si>
    <x:t>- - - Carer – individual</x:t>
  </x:si>
  <x:si>
    <x:t>http://id.who.int/icd/entity/619661545</x:t>
  </x:si>
  <x:si>
    <x:t>http://id.who.int/icd/release/11/beta/ichi/619661545</x:t>
  </x:si>
  <x:si>
    <x:t>- - - Carer – group</x:t>
  </x:si>
  <x:si>
    <x:t>http://id.who.int/icd/entity/1434020010</x:t>
  </x:si>
  <x:si>
    <x:t>http://id.who.int/icd/release/11/beta/ichi/1434020010</x:t>
  </x:si>
  <x:si>
    <x:t>- - - Organisation</x:t>
  </x:si>
  <x:si>
    <x:t>http://id.who.int/icd/entity/2129595958</x:t>
  </x:si>
  <x:si>
    <x:t>http://id.who.int/icd/release/11/beta/ichi/2129595958</x:t>
  </x:si>
  <x:si>
    <x:t>- - - Community</x:t>
  </x:si>
  <x:si>
    <x:t>http://id.who.int/icd/entity/1273547328</x:t>
  </x:si>
  <x:si>
    <x:t>http://id.who.int/icd/release/11/beta/ichi/1273547328</x:t>
  </x:si>
  <x:si>
    <x:t>- - - Political system</x:t>
  </x:si>
  <x:si>
    <x:t>http://id.who.int/icd/entity/1000723999</x:t>
  </x:si>
  <x:si>
    <x:t>http://id.who.int/icd/release/11/beta/ichi/1000723999</x:t>
  </x:si>
  <x:si>
    <x:t>- - Creative therapy</x:t>
  </x:si>
  <x:si>
    <x:t>http://id.who.int/icd/entity/1151268096</x:t>
  </x:si>
  <x:si>
    <x:t>http://id.who.int/icd/release/11/beta/ichi/1151268096</x:t>
  </x:si>
  <x:si>
    <x:t>- - - Art therapy</x:t>
  </x:si>
  <x:si>
    <x:t>http://id.who.int/icd/entity/1365263176</x:t>
  </x:si>
  <x:si>
    <x:t>http://id.who.int/icd/release/11/beta/ichi/1365263176</x:t>
  </x:si>
  <x:si>
    <x:t>- - - Music therapy</x:t>
  </x:si>
  <x:si>
    <x:t>http://id.who.int/icd/entity/70235399</x:t>
  </x:si>
  <x:si>
    <x:t>http://id.who.int/icd/release/11/beta/ichi/70235399</x:t>
  </x:si>
  <x:si>
    <x:t>- - - Creative therapy, other and unspecified</x:t>
  </x:si>
  <x:si>
    <x:t>http://id.who.int/icd/entity/824734067</x:t>
  </x:si>
  <x:si>
    <x:t>http://id.who.int/icd/release/11/beta/ichi/824734067</x:t>
  </x:si>
  <x:si>
    <x:t>- - Specific skills and techniques</x:t>
  </x:si>
  <x:si>
    <x:t>http://id.who.int/icd/entity/1252967508</x:t>
  </x:si>
  <x:si>
    <x:t>http://id.who.int/icd/release/11/beta/ichi/1252967508</x:t>
  </x:si>
  <x:si>
    <x:t>- - - Emotional regulation skills and techniques</x:t>
  </x:si>
  <x:si>
    <x:t>http://id.who.int/icd/entity/728715177</x:t>
  </x:si>
  <x:si>
    <x:t>http://id.who.int/icd/release/11/beta/ichi/728715177</x:t>
  </x:si>
  <x:si>
    <x:t>- - - Sensory skills and techniques</x:t>
  </x:si>
  <x:si>
    <x:t>http://id.who.int/icd/entity/543904005</x:t>
  </x:si>
  <x:si>
    <x:t>http://id.who.int/icd/release/11/beta/ichi/543904005</x:t>
  </x:si>
  <x:si>
    <x:t>- - - Cognitive skills and techniques</x:t>
  </x:si>
  <x:si>
    <x:t>http://id.who.int/icd/entity/76023159</x:t>
  </x:si>
  <x:si>
    <x:t>http://id.who.int/icd/release/11/beta/ichi/76023159</x:t>
  </x:si>
  <x:si>
    <x:t>- - - Strength techniques</x:t>
  </x:si>
  <x:si>
    <x:t>http://id.who.int/icd/entity/1043745169</x:t>
  </x:si>
  <x:si>
    <x:t>http://id.who.int/icd/release/11/beta/ichi/1043745169</x:t>
  </x:si>
  <x:si>
    <x:t>- - - Endurance techniques</x:t>
  </x:si>
  <x:si>
    <x:t>http://id.who.int/icd/entity/190482411</x:t>
  </x:si>
  <x:si>
    <x:t>http://id.who.int/icd/release/11/beta/ichi/190482411</x:t>
  </x:si>
  <x:si>
    <x:t>- - - Movement techniques</x:t>
  </x:si>
  <x:si>
    <x:t>http://id.who.int/icd/entity/1637814974</x:t>
  </x:si>
  <x:si>
    <x:t>http://id.who.int/icd/release/11/beta/ichi/1637814974</x:t>
  </x:si>
  <x:si>
    <x:t>- - - Flexibility techniques</x:t>
  </x:si>
  <x:si>
    <x:t>http://id.who.int/icd/entity/30875783</x:t>
  </x:si>
  <x:si>
    <x:t>http://id.who.int/icd/release/11/beta/ichi/30875783</x:t>
  </x:si>
  <x:si>
    <x:t>- - - Multi-faceted exercise techniques</x:t>
  </x:si>
  <x:si>
    <x:t>http://id.who.int/icd/entity/1873748974</x:t>
  </x:si>
  <x:si>
    <x:t>http://id.who.int/icd/release/11/beta/ichi/1873748974</x:t>
  </x:si>
  <x:si>
    <x:t>- - - Ergonomics</x:t>
  </x:si>
  <x:si>
    <x:t>http://id.who.int/icd/entity/90879673</x:t>
  </x:si>
  <x:si>
    <x:t>http://id.who.int/icd/release/11/beta/ichi/90879673</x:t>
  </x:si>
  <x:si>
    <x:t>- - Tissue flaps</x:t>
  </x:si>
  <x:si>
    <x:t>http://id.who.int/icd/entity/1312428162</x:t>
  </x:si>
  <x:si>
    <x:t>http://id.who.int/icd/release/11/beta/ichi/1312428162</x:t>
  </x:si>
  <x:si>
    <x:t>- - - Local flap</x:t>
  </x:si>
  <x:si>
    <x:t>http://id.who.int/icd/entity/822162333</x:t>
  </x:si>
  <x:si>
    <x:t>http://id.who.int/icd/release/11/beta/ichi/822162333</x:t>
  </x:si>
  <x:si>
    <x:t>- - - Free flap</x:t>
  </x:si>
  <x:si>
    <x:t>http://id.who.int/icd/entity/620725717</x:t>
  </x:si>
  <x:si>
    <x:t>http://id.who.int/icd/release/11/beta/ichi/620725717</x:t>
  </x:si>
  <x:si>
    <x:t>- - - - Noninnervated free flap</x:t>
  </x:si>
  <x:si>
    <x:t>http://id.who.int/icd/entity/1601777910</x:t>
  </x:si>
  <x:si>
    <x:t>http://id.who.int/icd/release/11/beta/ichi/1601777910</x:t>
  </x:si>
  <x:si>
    <x:t>- - - - Innervated free flap</x:t>
  </x:si>
  <x:si>
    <x:t>http://id.who.int/icd/entity/875895907</x:t>
  </x:si>
  <x:si>
    <x:t>http://id.who.int/icd/release/11/beta/ichi/875895907</x:t>
  </x:si>
  <x:si>
    <x:t>- - - Pedicle flap</x:t>
  </x:si>
  <x:si>
    <x:t>http://id.who.int/icd/entity/1060176591</x:t>
  </x:si>
  <x:si>
    <x:t>http://id.who.int/icd/release/11/beta/ichi/1060176591</x:t>
  </x:si>
  <x:si>
    <x:t>- - Tissue grafts</x:t>
  </x:si>
  <x:si>
    <x:t>http://id.who.int/icd/entity/779231929</x:t>
  </x:si>
  <x:si>
    <x:t>http://id.who.int/icd/release/11/beta/ichi/779231929</x:t>
  </x:si>
  <x:si>
    <x:t>- - - Autograft</x:t>
  </x:si>
  <x:si>
    <x:t>http://id.who.int/icd/entity/1963845028</x:t>
  </x:si>
  <x:si>
    <x:t>http://id.who.int/icd/release/11/beta/ichi/1963845028</x:t>
  </x:si>
  <x:si>
    <x:t>- - - Full thickness skin graft (autograft)</x:t>
  </x:si>
  <x:si>
    <x:t>http://id.who.int/icd/entity/26568807</x:t>
  </x:si>
  <x:si>
    <x:t>http://id.who.int/icd/release/11/beta/ichi/26568807</x:t>
  </x:si>
  <x:si>
    <x:t>- - - Split thickness skin graft (autograft)</x:t>
  </x:si>
  <x:si>
    <x:t>http://id.who.int/icd/entity/1525329786</x:t>
  </x:si>
  <x:si>
    <x:t>http://id.who.int/icd/release/11/beta/ichi/1525329786</x:t>
  </x:si>
  <x:si>
    <x:t>- - - Homograft</x:t>
  </x:si>
  <x:si>
    <x:t>http://id.who.int/icd/entity/1800469808</x:t>
  </x:si>
  <x:si>
    <x:t>http://id.who.int/icd/release/11/beta/ichi/1800469808</x:t>
  </x:si>
  <x:si>
    <x:t>- - - - Living donor homograft</x:t>
  </x:si>
  <x:si>
    <x:t>http://id.who.int/icd/entity/808401453</x:t>
  </x:si>
  <x:si>
    <x:t>http://id.who.int/icd/release/11/beta/ichi/808401453</x:t>
  </x:si>
  <x:si>
    <x:t>- - - - Related donor homograft</x:t>
  </x:si>
  <x:si>
    <x:t>http://id.who.int/icd/entity/1928698319</x:t>
  </x:si>
  <x:si>
    <x:t>http://id.who.int/icd/release/11/beta/ichi/1928698319</x:t>
  </x:si>
  <x:si>
    <x:t>- - - Xenograft</x:t>
  </x:si>
  <x:si>
    <x:t>http://id.who.int/icd/entity/1338961517</x:t>
  </x:si>
  <x:si>
    <x:t>http://id.who.int/icd/release/11/beta/ichi/1338961517</x:t>
  </x:si>
  <x:si>
    <x:t>- Assistive products</x:t>
  </x:si>
  <x:si>
    <x:t>http://id.who.int/icd/entity/2060003865</x:t>
  </x:si>
  <x:si>
    <x:t>http://id.who.int/icd/release/11/beta/ichi/2060003865</x:t>
  </x:si>
  <x:si>
    <x:t>- - Assistive products and technology for personal use in daily living (e1151)</x:t>
  </x:si>
  <x:si>
    <x:t>http://id.who.int/icd/entity/99748104</x:t>
  </x:si>
  <x:si>
    <x:t>http://id.who.int/icd/release/11/beta/ichi/99748104</x:t>
  </x:si>
  <x:si>
    <x:t>- - - Orthoses, other and unspecified</x:t>
  </x:si>
  <x:si>
    <x:t>http://id.who.int/icd/entity/269270864</x:t>
  </x:si>
  <x:si>
    <x:t>http://id.who.int/icd/release/11/beta/ichi/269270864</x:t>
  </x:si>
  <x:si>
    <x:t>- - - Spinal orthoses</x:t>
  </x:si>
  <x:si>
    <x:t>http://id.who.int/icd/entity/891558428</x:t>
  </x:si>
  <x:si>
    <x:t>http://id.who.int/icd/release/11/beta/ichi/891558428</x:t>
  </x:si>
  <x:si>
    <x:t>- - - Upper limb orthoses</x:t>
  </x:si>
  <x:si>
    <x:t>http://id.who.int/icd/entity/551201876</x:t>
  </x:si>
  <x:si>
    <x:t>http://id.who.int/icd/release/11/beta/ichi/551201876</x:t>
  </x:si>
  <x:si>
    <x:t>- - - Lower limb orthoses</x:t>
  </x:si>
  <x:si>
    <x:t>http://id.who.int/icd/entity/1608617803</x:t>
  </x:si>
  <x:si>
    <x:t>http://id.who.int/icd/release/11/beta/ichi/1608617803</x:t>
  </x:si>
  <x:si>
    <x:t>- - - Club foot braces</x:t>
  </x:si>
  <x:si>
    <x:t>http://id.who.int/icd/entity/1243560195</x:t>
  </x:si>
  <x:si>
    <x:t>http://id.who.int/icd/release/11/beta/ichi/1243560195</x:t>
  </x:si>
  <x:si>
    <x:t>- - - Prostheses, other and unspecified</x:t>
  </x:si>
  <x:si>
    <x:t>http://id.who.int/icd/entity/1068088688</x:t>
  </x:si>
  <x:si>
    <x:t>http://id.who.int/icd/release/11/beta/ichi/1068088688</x:t>
  </x:si>
  <x:si>
    <x:t>- - - Upper limb prostheses</x:t>
  </x:si>
  <x:si>
    <x:t>http://id.who.int/icd/entity/1328223997</x:t>
  </x:si>
  <x:si>
    <x:t>http://id.who.int/icd/release/11/beta/ichi/1328223997</x:t>
  </x:si>
  <x:si>
    <x:t>- - - Lower limb prostheses</x:t>
  </x:si>
  <x:si>
    <x:t>http://id.who.int/icd/entity/283723744</x:t>
  </x:si>
  <x:si>
    <x:t>http://id.who.int/icd/release/11/beta/ichi/283723744</x:t>
  </x:si>
  <x:si>
    <x:t>- - - Therapeutic footwear</x:t>
  </x:si>
  <x:si>
    <x:t>http://id.who.int/icd/entity/991177552</x:t>
  </x:si>
  <x:si>
    <x:t>http://id.who.int/icd/release/11/beta/ichi/991177552</x:t>
  </x:si>
  <x:si>
    <x:t>- - - Assistive products for circulation therapy, other and unspecified</x:t>
  </x:si>
  <x:si>
    <x:t>http://id.who.int/icd/entity/536313660</x:t>
  </x:si>
  <x:si>
    <x:t>http://id.who.int/icd/release/11/beta/ichi/536313660</x:t>
  </x:si>
  <x:si>
    <x:t>- - - Anti-oedema stockings for arms and legs</x:t>
  </x:si>
  <x:si>
    <x:t>http://id.who.int/icd/entity/351494546</x:t>
  </x:si>
  <x:si>
    <x:t>http://id.who.int/icd/release/11/beta/ichi/351494546</x:t>
  </x:si>
  <x:si>
    <x:t>- - - Assistive products for administrating medicines, other and unspecified</x:t>
  </x:si>
  <x:si>
    <x:t>http://id.who.int/icd/entity/1439406167</x:t>
  </x:si>
  <x:si>
    <x:t>http://id.who.int/icd/release/11/beta/ichi/1439406167</x:t>
  </x:si>
  <x:si>
    <x:t>- - - Pill organisers</x:t>
  </x:si>
  <x:si>
    <x:t>http://id.who.int/icd/entity/1077227039</x:t>
  </x:si>
  <x:si>
    <x:t>http://id.who.int/icd/release/11/beta/ichi/1077227039</x:t>
  </x:si>
  <x:si>
    <x:t>- - - Assistive products intended to manage tissue integrity, other and unspecified</x:t>
  </x:si>
  <x:si>
    <x:t>http://id.who.int/icd/entity/1436586585</x:t>
  </x:si>
  <x:si>
    <x:t>http://id.who.int/icd/release/11/beta/ichi/1436586585</x:t>
  </x:si>
  <x:si>
    <x:t>- - - Pressure relief cushions</x:t>
  </x:si>
  <x:si>
    <x:t>http://id.who.int/icd/entity/1079911441</x:t>
  </x:si>
  <x:si>
    <x:t>http://id.who.int/icd/release/11/beta/ichi/1079911441</x:t>
  </x:si>
  <x:si>
    <x:t>- - - Pressure relief mattresses</x:t>
  </x:si>
  <x:si>
    <x:t>http://id.who.int/icd/entity/1063585550</x:t>
  </x:si>
  <x:si>
    <x:t>http://id.who.int/icd/release/11/beta/ichi/1063585550</x:t>
  </x:si>
  <x:si>
    <x:t>- - - Equipment for movement, strength and balance training, other and unspecified</x:t>
  </x:si>
  <x:si>
    <x:t>http://id.who.int/icd/entity/714846534</x:t>
  </x:si>
  <x:si>
    <x:t>http://id.who.int/icd/release/11/beta/ichi/714846534</x:t>
  </x:si>
  <x:si>
    <x:t>- - - Standing frames, adjustable</x:t>
  </x:si>
  <x:si>
    <x:t>http://id.who.int/icd/entity/2144618249</x:t>
  </x:si>
  <x:si>
    <x:t>http://id.who.int/icd/release/11/beta/ichi/2144618249</x:t>
  </x:si>
  <x:si>
    <x:t>- - - Assistive products for body stabilisation</x:t>
  </x:si>
  <x:si>
    <x:t>http://id.who.int/icd/entity/1781199169</x:t>
  </x:si>
  <x:si>
    <x:t>http://id.who.int/icd/release/11/beta/ichi/1781199169</x:t>
  </x:si>
  <x:si>
    <x:t>- - - Assistive products for dressing</x:t>
  </x:si>
  <x:si>
    <x:t>http://id.who.int/icd/entity/353489504</x:t>
  </x:si>
  <x:si>
    <x:t>http://id.who.int/icd/release/11/beta/ichi/353489504</x:t>
  </x:si>
  <x:si>
    <x:t>- - - Assistive products for toileting, other and unspecified</x:t>
  </x:si>
  <x:si>
    <x:t>http://id.who.int/icd/entity/15688728</x:t>
  </x:si>
  <x:si>
    <x:t>http://id.who.int/icd/release/11/beta/ichi/15688728</x:t>
  </x:si>
  <x:si>
    <x:t>- - - Chairs for toilet</x:t>
  </x:si>
  <x:si>
    <x:t>http://id.who.int/icd/entity/633848132</x:t>
  </x:si>
  <x:si>
    <x:t>http://id.who.int/icd/release/11/beta/ichi/633848132</x:t>
  </x:si>
  <x:si>
    <x:t>- - - Assistive products for ostomy care</x:t>
  </x:si>
  <x:si>
    <x:t>http://id.who.int/icd/entity/809072396</x:t>
  </x:si>
  <x:si>
    <x:t>http://id.who.int/icd/release/11/beta/ichi/809072396</x:t>
  </x:si>
  <x:si>
    <x:t>- - - Assistive products for absorbing urine and faeces and collectors of urine and faeces, other and unsp</x:t>
  </x:si>
  <x:si>
    <x:t>http://id.who.int/icd/entity/1325552659</x:t>
  </x:si>
  <x:si>
    <x:t>http://id.who.int/icd/release/11/beta/ichi/1325552659</x:t>
  </x:si>
  <x:si>
    <x:t>- - - Incontinence products, absorbent</x:t>
  </x:si>
  <x:si>
    <x:t>http://id.who.int/icd/entity/1526522459</x:t>
  </x:si>
  <x:si>
    <x:t>http://id.who.int/icd/release/11/beta/ichi/1526522459</x:t>
  </x:si>
  <x:si>
    <x:t>- - - Assistive products for washing, bathing and showering, other and unspecified</x:t>
  </x:si>
  <x:si>
    <x:t>http://id.who.int/icd/entity/263394326</x:t>
  </x:si>
  <x:si>
    <x:t>http://id.who.int/icd/release/11/beta/ichi/263394326</x:t>
  </x:si>
  <x:si>
    <x:t>- - - Chairs for shower/bath</x:t>
  </x:si>
  <x:si>
    <x:t>http://id.who.int/icd/entity/441295454</x:t>
  </x:si>
  <x:si>
    <x:t>http://id.who.int/icd/release/11/beta/ichi/441295454</x:t>
  </x:si>
  <x:si>
    <x:t>- - - Assistive products for manicure, pedicure, hair care, dental care, facial care</x:t>
  </x:si>
  <x:si>
    <x:t>http://id.who.int/icd/entity/1702265155</x:t>
  </x:si>
  <x:si>
    <x:t>http://id.who.int/icd/release/11/beta/ichi/1702265155</x:t>
  </x:si>
  <x:si>
    <x:t>- - - Assistive products for eating and drinking</x:t>
  </x:si>
  <x:si>
    <x:t>http://id.who.int/icd/entity/1887975179</x:t>
  </x:si>
  <x:si>
    <x:t>http://id.who.int/icd/release/11/beta/ichi/1887975179</x:t>
  </x:si>
  <x:si>
    <x:t>- - - Assistive products for preparing (food and drink) meals</x:t>
  </x:si>
  <x:si>
    <x:t>http://id.who.int/icd/entity/1251068829</x:t>
  </x:si>
  <x:si>
    <x:t>http://id.who.int/icd/release/11/beta/ichi/1251068829</x:t>
  </x:si>
  <x:si>
    <x:t>- - - Assistive products for dishwashing</x:t>
  </x:si>
  <x:si>
    <x:t>http://id.who.int/icd/entity/1601142229</x:t>
  </x:si>
  <x:si>
    <x:t>http://id.who.int/icd/release/11/beta/ichi/1601142229</x:t>
  </x:si>
  <x:si>
    <x:t>- - - Assistive products for housecleaning</x:t>
  </x:si>
  <x:si>
    <x:t>http://id.who.int/icd/entity/542400204</x:t>
  </x:si>
  <x:si>
    <x:t>http://id.who.int/icd/release/11/beta/ichi/542400204</x:t>
  </x:si>
  <x:si>
    <x:t>- - - Assistive products for making and maintaining textiles</x:t>
  </x:si>
  <x:si>
    <x:t>http://id.who.int/icd/entity/900393092</x:t>
  </x:si>
  <x:si>
    <x:t>http://id.who.int/icd/release/11/beta/ichi/900393092</x:t>
  </x:si>
  <x:si>
    <x:t>- - - Assistive products for alarming, indicating, reminding and signaling, other and unspecified</x:t>
  </x:si>
  <x:si>
    <x:t>http://id.who.int/icd/entity/1718119846</x:t>
  </x:si>
  <x:si>
    <x:t>http://id.who.int/icd/release/11/beta/ichi/1718119846</x:t>
  </x:si>
  <x:si>
    <x:t>- - - Alarm signallers with light/sound/vibration</x:t>
  </x:si>
  <x:si>
    <x:t>http://id.who.int/icd/entity/384484907</x:t>
  </x:si>
  <x:si>
    <x:t>http://id.who.int/icd/release/11/beta/ichi/384484907</x:t>
  </x:si>
  <x:si>
    <x:t>- - - Time management products</x:t>
  </x:si>
  <x:si>
    <x:t>http://id.who.int/icd/entity/212728049</x:t>
  </x:si>
  <x:si>
    <x:t>http://id.who.int/icd/release/11/beta/ichi/212728049</x:t>
  </x:si>
  <x:si>
    <x:t>- - - Watches, talking/touching</x:t>
  </x:si>
  <x:si>
    <x:t>http://id.who.int/icd/entity/2083476348</x:t>
  </x:si>
  <x:si>
    <x:t>http://id.who.int/icd/release/11/beta/ichi/2083476348</x:t>
  </x:si>
  <x:si>
    <x:t>- - - Fall detectors</x:t>
  </x:si>
  <x:si>
    <x:t>http://id.who.int/icd/entity/1276950776</x:t>
  </x:si>
  <x:si>
    <x:t>http://id.who.int/icd/release/11/beta/ichi/1276950776</x:t>
  </x:si>
  <x:si>
    <x:t>- - - Personal emergency alarm systems</x:t>
  </x:si>
  <x:si>
    <x:t>http://id.who.int/icd/entity/1016992635</x:t>
  </x:si>
  <x:si>
    <x:t>http://id.who.int/icd/release/11/beta/ichi/1016992635</x:t>
  </x:si>
  <x:si>
    <x:t>- - - Global positioning system (GPS) locators</x:t>
  </x:si>
  <x:si>
    <x:t>http://id.who.int/icd/entity/651767201</x:t>
  </x:si>
  <x:si>
    <x:t>http://id.who.int/icd/release/11/beta/ichi/651767201</x:t>
  </x:si>
  <x:si>
    <x:t>- - - Assistive products for operating and controlling devices (incl from distance)</x:t>
  </x:si>
  <x:si>
    <x:t>http://id.who.int/icd/entity/1448838702</x:t>
  </x:si>
  <x:si>
    <x:t>http://id.who.int/icd/release/11/beta/ichi/1448838702</x:t>
  </x:si>
  <x:si>
    <x:t>- - - Assistive products to assist or replace functions of arm, hand, finger</x:t>
  </x:si>
  <x:si>
    <x:t>http://id.who.int/icd/entity/370097851</x:t>
  </x:si>
  <x:si>
    <x:t>http://id.who.int/icd/release/11/beta/ichi/370097851</x:t>
  </x:si>
  <x:si>
    <x:t>- - - Adjustable furniture</x:t>
  </x:si>
  <x:si>
    <x:t>http://id.who.int/icd/entity/1720554806</x:t>
  </x:si>
  <x:si>
    <x:t>http://id.who.int/icd/release/11/beta/ichi/1720554806</x:t>
  </x:si>
  <x:si>
    <x:t>- - - Accessories for sitting furniture</x:t>
  </x:si>
  <x:si>
    <x:t>http://id.who.int/icd/entity/2093657068</x:t>
  </x:si>
  <x:si>
    <x:t>http://id.who.int/icd/release/11/beta/ichi/2093657068</x:t>
  </x:si>
  <x:si>
    <x:t>- - - Assistive products and technology for personal use in daily living, not elsewhere classified</x:t>
  </x:si>
  <x:si>
    <x:t>http://id.who.int/icd/entity/1238200218</x:t>
  </x:si>
  <x:si>
    <x:t>http://id.who.int/icd/release/11/beta/ichi/1238200218</x:t>
  </x:si>
  <x:si>
    <x:t>- - Assistive products and technology for personal indoor and outdoor mobility and transportation (e1201)</x:t>
  </x:si>
  <x:si>
    <x:t>http://id.who.int/icd/entity/478321111</x:t>
  </x:si>
  <x:si>
    <x:t>http://id.who.int/icd/release/11/beta/ichi/478321111</x:t>
  </x:si>
  <x:si>
    <x:t>- - - Assistive products for walking manipulated by one arm, other and unspecified</x:t>
  </x:si>
  <x:si>
    <x:t>http://id.who.int/icd/entity/159133599</x:t>
  </x:si>
  <x:si>
    <x:t>http://id.who.int/icd/release/11/beta/ichi/159133599</x:t>
  </x:si>
  <x:si>
    <x:t>- - - Canes/sticks</x:t>
  </x:si>
  <x:si>
    <x:t>http://id.who.int/icd/entity/1984367744</x:t>
  </x:si>
  <x:si>
    <x:t>http://id.who.int/icd/release/11/beta/ichi/1984367744</x:t>
  </x:si>
  <x:si>
    <x:t>- - - Crutches, axillary/elbow</x:t>
  </x:si>
  <x:si>
    <x:t>http://id.who.int/icd/entity/1673116360</x:t>
  </x:si>
  <x:si>
    <x:t>http://id.who.int/icd/release/11/beta/ichi/1673116360</x:t>
  </x:si>
  <x:si>
    <x:t>- - - Assistive products for walking manipulated by both arms; other and unspecified</x:t>
  </x:si>
  <x:si>
    <x:t>http://id.who.int/icd/entity/1503675998</x:t>
  </x:si>
  <x:si>
    <x:t>http://id.who.int/icd/release/11/beta/ichi/1503675998</x:t>
  </x:si>
  <x:si>
    <x:t>- - - Walking frames/walkers</x:t>
  </x:si>
  <x:si>
    <x:t>http://id.who.int/icd/entity/1281290262</x:t>
  </x:si>
  <x:si>
    <x:t>http://id.who.int/icd/release/11/beta/ichi/1281290262</x:t>
  </x:si>
  <x:si>
    <x:t>- - - Rollators</x:t>
  </x:si>
  <x:si>
    <x:t>http://id.who.int/icd/entity/862311177</x:t>
  </x:si>
  <x:si>
    <x:t>http://id.who.int/icd/release/11/beta/ichi/862311177</x:t>
  </x:si>
  <x:si>
    <x:t>- - - Cars, vans and trucks - special manufactured</x:t>
  </x:si>
  <x:si>
    <x:t>http://id.who.int/icd/entity/647718209</x:t>
  </x:si>
  <x:si>
    <x:t>http://id.who.int/icd/release/11/beta/ichi/647718209</x:t>
  </x:si>
  <x:si>
    <x:t>- - - Mass transit vehicles - special</x:t>
  </x:si>
  <x:si>
    <x:t>http://id.who.int/icd/entity/856611079</x:t>
  </x:si>
  <x:si>
    <x:t>http://id.who.int/icd/release/11/beta/ichi/856611079</x:t>
  </x:si>
  <x:si>
    <x:t>- - - Vehicle accessories and vehicle adaptations</x:t>
  </x:si>
  <x:si>
    <x:t>http://id.who.int/icd/entity/653291343</x:t>
  </x:si>
  <x:si>
    <x:t>http://id.who.int/icd/release/11/beta/ichi/653291343</x:t>
  </x:si>
  <x:si>
    <x:t>- - - Mopeds and motorcycles</x:t>
  </x:si>
  <x:si>
    <x:t>http://id.who.int/icd/entity/1506495570</x:t>
  </x:si>
  <x:si>
    <x:t>http://id.who.int/icd/release/11/beta/ichi/1506495570</x:t>
  </x:si>
  <x:si>
    <x:t>- - - Pedal- or hand-propelled cycles, other and unspecified</x:t>
  </x:si>
  <x:si>
    <x:t>http://id.who.int/icd/entity/692709341</x:t>
  </x:si>
  <x:si>
    <x:t>http://id.who.int/icd/release/11/beta/ichi/692709341</x:t>
  </x:si>
  <x:si>
    <x:t>- - - Tricycles</x:t>
  </x:si>
  <x:si>
    <x:t>http://id.who.int/icd/entity/2080772498</x:t>
  </x:si>
  <x:si>
    <x:t>http://id.who.int/icd/release/11/beta/ichi/2080772498</x:t>
  </x:si>
  <x:si>
    <x:t>- - - Motorised cycles</x:t>
  </x:si>
  <x:si>
    <x:t>http://id.who.int/icd/entity/1777903578</x:t>
  </x:si>
  <x:si>
    <x:t>http://id.who.int/icd/release/11/beta/ichi/1777903578</x:t>
  </x:si>
  <x:si>
    <x:t>- - - Wheelchairs, other and unspecified</x:t>
  </x:si>
  <x:si>
    <x:t>http://id.who.int/icd/entity/1397156670</x:t>
  </x:si>
  <x:si>
    <x:t>http://id.who.int/icd/release/11/beta/ichi/1397156670</x:t>
  </x:si>
  <x:si>
    <x:t>- - - Manual wheelchairs, other and unspecified</x:t>
  </x:si>
  <x:si>
    <x:t>http://id.who.int/icd/entity/1715547976</x:t>
  </x:si>
  <x:si>
    <x:t>http://id.who.int/icd/release/11/beta/ichi/1715547976</x:t>
  </x:si>
  <x:si>
    <x:t>- - - Wheelchairs, manual for active use</x:t>
  </x:si>
  <x:si>
    <x:t>http://id.who.int/icd/entity/1130990108</x:t>
  </x:si>
  <x:si>
    <x:t>http://id.who.int/icd/release/11/beta/ichi/1130990108</x:t>
  </x:si>
  <x:si>
    <x:t>- - - Wheelchairs, manual assistant-controlled</x:t>
  </x:si>
  <x:si>
    <x:t>http://id.who.int/icd/entity/1452751956</x:t>
  </x:si>
  <x:si>
    <x:t>http://id.who.int/icd/release/11/beta/ichi/1452751956</x:t>
  </x:si>
  <x:si>
    <x:t>- - - Wheelchairs, manual with postural support</x:t>
  </x:si>
  <x:si>
    <x:t>http://id.who.int/icd/entity/699146061</x:t>
  </x:si>
  <x:si>
    <x:t>http://id.who.int/icd/release/11/beta/ichi/699146061</x:t>
  </x:si>
  <x:si>
    <x:t>- - - Powered wheelchairs, other and unspecified</x:t>
  </x:si>
  <x:si>
    <x:t>http://id.who.int/icd/entity/481024825</x:t>
  </x:si>
  <x:si>
    <x:t>http://id.who.int/icd/release/11/beta/ichi/481024825</x:t>
  </x:si>
  <x:si>
    <x:t>- - - Wheelchairs, electrically powered</x:t>
  </x:si>
  <x:si>
    <x:t>http://id.who.int/icd/entity/1205083172</x:t>
  </x:si>
  <x:si>
    <x:t>http://id.who.int/icd/release/11/beta/ichi/1205083172</x:t>
  </x:si>
  <x:si>
    <x:t>- - - Wheelchair accessories</x:t>
  </x:si>
  <x:si>
    <x:t>http://id.who.int/icd/entity/1545247552</x:t>
  </x:si>
  <x:si>
    <x:t>http://id.who.int/icd/release/11/beta/ichi/1545247552</x:t>
  </x:si>
  <x:si>
    <x:t>- - - Assistive products for transfer and turning</x:t>
  </x:si>
  <x:si>
    <x:t>http://id.who.int/icd/entity/124083235</x:t>
  </x:si>
  <x:si>
    <x:t>http://id.who.int/icd/release/11/beta/ichi/124083235</x:t>
  </x:si>
  <x:si>
    <x:t>- - - Assistive products for lifting persons</x:t>
  </x:si>
  <x:si>
    <x:t>http://id.who.int/icd/entity/920587881</x:t>
  </x:si>
  <x:si>
    <x:t>http://id.who.int/icd/release/11/beta/ichi/920587881</x:t>
  </x:si>
  <x:si>
    <x:t>- - - Assistive products for orientation, other and unspecified</x:t>
  </x:si>
  <x:si>
    <x:t>http://id.who.int/icd/entity/1839253878</x:t>
  </x:si>
  <x:si>
    <x:t>http://id.who.int/icd/release/11/beta/ichi/1839253878</x:t>
  </x:si>
  <x:si>
    <x:t>- - - White canes</x:t>
  </x:si>
  <x:si>
    <x:t>http://id.who.int/icd/entity/423118007</x:t>
  </x:si>
  <x:si>
    <x:t>http://id.who.int/icd/release/11/beta/ichi/423118007</x:t>
  </x:si>
  <x:si>
    <x:t>- - - Assistive products and technology for personal indoor and outdoor mobility and transportation, not elsewhere classified</x:t>
  </x:si>
  <x:si>
    <x:t>http://id.who.int/icd/entity/1656680854</x:t>
  </x:si>
  <x:si>
    <x:t>http://id.who.int/icd/release/11/beta/ichi/1656680854</x:t>
  </x:si>
  <x:si>
    <x:t>- - Assistive products and technology for communication (e1251)</x:t>
  </x:si>
  <x:si>
    <x:t>http://id.who.int/icd/entity/58686061</x:t>
  </x:si>
  <x:si>
    <x:t>http://id.who.int/icd/release/11/beta/ichi/58686061</x:t>
  </x:si>
  <x:si>
    <x:t>- - - Assistive products for seeing, other and unspecified</x:t>
  </x:si>
  <x:si>
    <x:t>http://id.who.int/icd/entity/142304449</x:t>
  </x:si>
  <x:si>
    <x:t>http://id.who.int/icd/release/11/beta/ichi/142304449</x:t>
  </x:si>
  <x:si>
    <x:t>- - - Spectacles; low vision, short distance, long distance, with filters and protection</x:t>
  </x:si>
  <x:si>
    <x:t>http://id.who.int/icd/entity/1351551128</x:t>
  </x:si>
  <x:si>
    <x:t>http://id.who.int/icd/release/11/beta/ichi/1351551128</x:t>
  </x:si>
  <x:si>
    <x:t>- - - Magnifiers, digital hand held</x:t>
  </x:si>
  <x:si>
    <x:t>http://id.who.int/icd/entity/1535841850</x:t>
  </x:si>
  <x:si>
    <x:t>http://id.who.int/icd/release/11/beta/ichi/1535841850</x:t>
  </x:si>
  <x:si>
    <x:t>- - - Magnifiers, optical</x:t>
  </x:si>
  <x:si>
    <x:t>http://id.who.int/icd/entity/977968577</x:t>
  </x:si>
  <x:si>
    <x:t>http://id.who.int/icd/release/11/beta/ichi/977968577</x:t>
  </x:si>
  <x:si>
    <x:t>- - - Assistive products for hearing, other and unspecified</x:t>
  </x:si>
  <x:si>
    <x:t>http://id.who.int/icd/entity/256727477</x:t>
  </x:si>
  <x:si>
    <x:t>http://id.who.int/icd/release/11/beta/ichi/256727477</x:t>
  </x:si>
  <x:si>
    <x:t>- - - Hearing aids (digital) and batteries</x:t>
  </x:si>
  <x:si>
    <x:t>http://id.who.int/icd/entity/1510125564</x:t>
  </x:si>
  <x:si>
    <x:t>http://id.who.int/icd/release/11/beta/ichi/1510125564</x:t>
  </x:si>
  <x:si>
    <x:t>- - - Assistive products for voice production</x:t>
  </x:si>
  <x:si>
    <x:t>http://id.who.int/icd/entity/1341921716</x:t>
  </x:si>
  <x:si>
    <x:t>http://id.who.int/icd/release/11/beta/ichi/1341921716</x:t>
  </x:si>
  <x:si>
    <x:t>- - - Assistive devices for drawing and writing, other and unspecified</x:t>
  </x:si>
  <x:si>
    <x:t>http://id.who.int/icd/entity/818363053</x:t>
  </x:si>
  <x:si>
    <x:t>http://id.who.int/icd/release/11/beta/ichi/818363053</x:t>
  </x:si>
  <x:si>
    <x:t>- - - Braille displays (note takers)</x:t>
  </x:si>
  <x:si>
    <x:t>http://id.who.int/icd/entity/624528613</x:t>
  </x:si>
  <x:si>
    <x:t>http://id.who.int/icd/release/11/beta/ichi/624528613</x:t>
  </x:si>
  <x:si>
    <x:t>- - - Braille writing equipment/braillers</x:t>
  </x:si>
  <x:si>
    <x:t>http://id.who.int/icd/entity/1124791</x:t>
  </x:si>
  <x:si>
    <x:t>http://id.who.int/icd/release/11/beta/ichi/1124791</x:t>
  </x:si>
  <x:si>
    <x:t>- - - Assistive products for calculation</x:t>
  </x:si>
  <x:si>
    <x:t>http://id.who.int/icd/entity/368025599</x:t>
  </x:si>
  <x:si>
    <x:t>http://id.who.int/icd/release/11/beta/ichi/368025599</x:t>
  </x:si>
  <x:si>
    <x:t>- - - Assistive products that record, play, and display audio and visual information, other and unspecifie</x:t>
  </x:si>
  <x:si>
    <x:t>http://id.who.int/icd/entity/1792326880</x:t>
  </x:si>
  <x:si>
    <x:t>http://id.who.int/icd/release/11/beta/ichi/1792326880</x:t>
  </x:si>
  <x:si>
    <x:t>- - - Audioplayers with DAISY capability</x:t>
  </x:si>
  <x:si>
    <x:t>http://id.who.int/icd/entity/2133461672</x:t>
  </x:si>
  <x:si>
    <x:t>http://id.who.int/icd/release/11/beta/ichi/2133461672</x:t>
  </x:si>
  <x:si>
    <x:t>- - - Recorders</x:t>
  </x:si>
  <x:si>
    <x:t>http://id.who.int/icd/entity/711326951</x:t>
  </x:si>
  <x:si>
    <x:t>http://id.who.int/icd/release/11/beta/ichi/711326951</x:t>
  </x:si>
  <x:si>
    <x:t>- - - Video communication devices</x:t>
  </x:si>
  <x:si>
    <x:t>http://id.who.int/icd/entity/1067141807</x:t>
  </x:si>
  <x:si>
    <x:t>http://id.who.int/icd/release/11/beta/ichi/1067141807</x:t>
  </x:si>
  <x:si>
    <x:t>- - - Captioning TVs</x:t>
  </x:si>
  <x:si>
    <x:t>http://id.who.int/icd/entity/1084254642</x:t>
  </x:si>
  <x:si>
    <x:t>http://id.who.int/icd/release/11/beta/ichi/1084254642</x:t>
  </x:si>
  <x:si>
    <x:t>- - - Hearing loops/FM systems</x:t>
  </x:si>
  <x:si>
    <x:t>http://id.who.int/icd/entity/1432281082</x:t>
  </x:si>
  <x:si>
    <x:t>http://id.who.int/icd/release/11/beta/ichi/1432281082</x:t>
  </x:si>
  <x:si>
    <x:t>- - - Assistive products for face-to-face communication, other and unspecified</x:t>
  </x:si>
  <x:si>
    <x:t>http://id.who.int/icd/entity/1866933104</x:t>
  </x:si>
  <x:si>
    <x:t>http://id.who.int/icd/release/11/beta/ichi/1866933104</x:t>
  </x:si>
  <x:si>
    <x:t>- - - Communication boards/books/cards</x:t>
  </x:si>
  <x:si>
    <x:t>http://id.who.int/icd/entity/2058982696</x:t>
  </x:si>
  <x:si>
    <x:t>http://id.who.int/icd/release/11/beta/ichi/2058982696</x:t>
  </x:si>
  <x:si>
    <x:t>- - - Deafblind comunicators</x:t>
  </x:si>
  <x:si>
    <x:t>http://id.who.int/icd/entity/92452409</x:t>
  </x:si>
  <x:si>
    <x:t>http://id.who.int/icd/release/11/beta/ichi/92452409</x:t>
  </x:si>
  <x:si>
    <x:t>- - - Assistive products for telephoning, other and unspecified</x:t>
  </x:si>
  <x:si>
    <x:t>http://id.who.int/icd/entity/814051917</x:t>
  </x:si>
  <x:si>
    <x:t>http://id.who.int/icd/release/11/beta/ichi/814051917</x:t>
  </x:si>
  <x:si>
    <x:t>- - - Simplified mobile phones</x:t>
  </x:si>
  <x:si>
    <x:t>http://id.who.int/icd/entity/1080873936</x:t>
  </x:si>
  <x:si>
    <x:t>http://id.who.int/icd/release/11/beta/ichi/1080873936</x:t>
  </x:si>
  <x:si>
    <x:t>- - - Assistive products for reading</x:t>
  </x:si>
  <x:si>
    <x:t>http://id.who.int/icd/entity/820934723</x:t>
  </x:si>
  <x:si>
    <x:t>http://id.who.int/icd/release/11/beta/ichi/820934723</x:t>
  </x:si>
  <x:si>
    <x:t>- - - Computers and devices for computer, other and unspecified</x:t>
  </x:si>
  <x:si>
    <x:t>http://id.who.int/icd/entity/715736729</x:t>
  </x:si>
  <x:si>
    <x:t>http://id.who.int/icd/release/11/beta/ichi/715736729</x:t>
  </x:si>
  <x:si>
    <x:t>- - - Personal digital assistant (PDA)</x:t>
  </x:si>
  <x:si>
    <x:t>http://id.who.int/icd/entity/1512828182</x:t>
  </x:si>
  <x:si>
    <x:t>http://id.who.int/icd/release/11/beta/ichi/1512828182</x:t>
  </x:si>
  <x:si>
    <x:t>- - - Communication software</x:t>
  </x:si>
  <x:si>
    <x:t>http://id.who.int/icd/entity/1779959454</x:t>
  </x:si>
  <x:si>
    <x:t>http://id.who.int/icd/release/11/beta/ichi/1779959454</x:t>
  </x:si>
  <x:si>
    <x:t>- - - Keyboard and mouse emulation software</x:t>
  </x:si>
  <x:si>
    <x:t>http://id.who.int/icd/entity/446344467</x:t>
  </x:si>
  <x:si>
    <x:t>http://id.who.int/icd/release/11/beta/ichi/446344467</x:t>
  </x:si>
  <x:si>
    <x:t>- - - Gesture to voice technology</x:t>
  </x:si>
  <x:si>
    <x:t>http://id.who.int/icd/entity/14521289</x:t>
  </x:si>
  <x:si>
    <x:t>http://id.who.int/icd/release/11/beta/ichi/14521289</x:t>
  </x:si>
  <x:si>
    <x:t>- - - Screen readers</x:t>
  </x:si>
  <x:si>
    <x:t>http://id.who.int/icd/entity/1885288516</x:t>
  </x:si>
  <x:si>
    <x:t>http://id.who.int/icd/release/11/beta/ichi/1885288516</x:t>
  </x:si>
  <x:si>
    <x:t>- - - Assistive products and technology for communication, not elsewhere classified</x:t>
  </x:si>
  <x:si>
    <x:t>http://id.who.int/icd/entity/284357359</x:t>
  </x:si>
  <x:si>
    <x:t>http://id.who.int/icd/release/11/beta/ichi/284357359</x:t>
  </x:si>
  <x:si>
    <x:t>- - Assistive products and technology for education (e1301)</x:t>
  </x:si>
  <x:si>
    <x:t>http://id.who.int/icd/entity/84690087</x:t>
  </x:si>
  <x:si>
    <x:t>http://id.who.int/icd/release/11/beta/ichi/84690087</x:t>
  </x:si>
  <x:si>
    <x:t>- - - Assistive products for training in communication</x:t>
  </x:si>
  <x:si>
    <x:t>http://id.who.int/icd/entity/2050451384</x:t>
  </x:si>
  <x:si>
    <x:t>http://id.who.int/icd/release/11/beta/ichi/2050451384</x:t>
  </x:si>
  <x:si>
    <x:t>- - - Assistive products for training in using alternative communication techniques</x:t>
  </x:si>
  <x:si>
    <x:t>http://id.who.int/icd/entity/1875497456</x:t>
  </x:si>
  <x:si>
    <x:t>http://id.who.int/icd/release/11/beta/ichi/1875497456</x:t>
  </x:si>
  <x:si>
    <x:t>- - - Assistive products for training in cognitive skills</x:t>
  </x:si>
  <x:si>
    <x:t>http://id.who.int/icd/entity/981870527</x:t>
  </x:si>
  <x:si>
    <x:t>http://id.who.int/icd/release/11/beta/ichi/981870527</x:t>
  </x:si>
  <x:si>
    <x:t>- - - Assistive products for training i educational subjects</x:t>
  </x:si>
  <x:si>
    <x:t>http://id.who.int/icd/entity/796430839</x:t>
  </x:si>
  <x:si>
    <x:t>http://id.who.int/icd/release/11/beta/ichi/796430839</x:t>
  </x:si>
  <x:si>
    <x:t>- - - Assistive products for training in arts</x:t>
  </x:si>
  <x:si>
    <x:t>http://id.who.int/icd/entity/1346613994</x:t>
  </x:si>
  <x:si>
    <x:t>http://id.who.int/icd/release/11/beta/ichi/1346613994</x:t>
  </x:si>
  <x:si>
    <x:t>- - - Assistive products for training in social skills</x:t>
  </x:si>
  <x:si>
    <x:t>http://id.who.int/icd/entity/1170015394</x:t>
  </x:si>
  <x:si>
    <x:t>http://id.who.int/icd/release/11/beta/ichi/1170015394</x:t>
  </x:si>
  <x:si>
    <x:t>- - - Assistive products and technology for education, not esewhere classified</x:t>
  </x:si>
  <x:si>
    <x:t>http://id.who.int/icd/entity/1044099457</x:t>
  </x:si>
  <x:si>
    <x:t>http://id.who.int/icd/release/11/beta/ichi/1044099457</x:t>
  </x:si>
  <x:si>
    <x:t>- - Assistive products and technology for employment (e1351)</x:t>
  </x:si>
  <x:si>
    <x:t>http://id.who.int/icd/entity/1252211778</x:t>
  </x:si>
  <x:si>
    <x:t>http://id.who.int/icd/release/11/beta/ichi/1252211778</x:t>
  </x:si>
  <x:si>
    <x:t>- - - Workplace furniture and furniture elements</x:t>
  </x:si>
  <x:si>
    <x:t>http://id.who.int/icd/entity/299694943</x:t>
  </x:si>
  <x:si>
    <x:t>http://id.who.int/icd/release/11/beta/ichi/299694943</x:t>
  </x:si>
  <x:si>
    <x:t>- - - Assistive products for transporting objects in workplace</x:t>
  </x:si>
  <x:si>
    <x:t>http://id.who.int/icd/entity/543598869</x:t>
  </x:si>
  <x:si>
    <x:t>http://id.who.int/icd/release/11/beta/ichi/543598869</x:t>
  </x:si>
  <x:si>
    <x:t>- - - Assistive products for hoisting and repositioning objects in workplace</x:t>
  </x:si>
  <x:si>
    <x:t>http://id.who.int/icd/entity/2065264136</x:t>
  </x:si>
  <x:si>
    <x:t>http://id.who.int/icd/release/11/beta/ichi/2065264136</x:t>
  </x:si>
  <x:si>
    <x:t>- - - Assistive products for fixing, reaching and grasping objects in the workplace</x:t>
  </x:si>
  <x:si>
    <x:t>http://id.who.int/icd/entity/1146059346</x:t>
  </x:si>
  <x:si>
    <x:t>http://id.who.int/icd/release/11/beta/ichi/1146059346</x:t>
  </x:si>
  <x:si>
    <x:t>- - - Machines and tools for use in the workplace</x:t>
  </x:si>
  <x:si>
    <x:t>http://id.who.int/icd/entity/1330341120</x:t>
  </x:si>
  <x:si>
    <x:t>http://id.who.int/icd/release/11/beta/ichi/1330341120</x:t>
  </x:si>
  <x:si>
    <x:t>- - - Assistive products to manage the work</x:t>
  </x:si>
  <x:si>
    <x:t>http://id.who.int/icd/entity/780857093</x:t>
  </x:si>
  <x:si>
    <x:t>http://id.who.int/icd/release/11/beta/ichi/780857093</x:t>
  </x:si>
  <x:si>
    <x:t>- - - Assistive products for protection and safety in workplace</x:t>
  </x:si>
  <x:si>
    <x:t>http://id.who.int/icd/entity/630124969</x:t>
  </x:si>
  <x:si>
    <x:t>http://id.who.int/icd/release/11/beta/ichi/630124969</x:t>
  </x:si>
  <x:si>
    <x:t>- - - Assistive products for vocational assessment and training</x:t>
  </x:si>
  <x:si>
    <x:t>http://id.who.int/icd/entity/1321393470</x:t>
  </x:si>
  <x:si>
    <x:t>http://id.who.int/icd/release/11/beta/ichi/1321393470</x:t>
  </x:si>
  <x:si>
    <x:t>- - - Assistive products and technology for employment, not elsewhere classified</x:t>
  </x:si>
  <x:si>
    <x:t>http://id.who.int/icd/entity/2076514636</x:t>
  </x:si>
  <x:si>
    <x:t>http://id.who.int/icd/release/11/beta/ichi/2076514636</x:t>
  </x:si>
  <x:si>
    <x:t>- - Assistive products and technology for culture, recreation, sport and play (e1401)</x:t>
  </x:si>
  <x:si>
    <x:t>http://id.who.int/icd/entity/1635919762</x:t>
  </x:si>
  <x:si>
    <x:t>http://id.who.int/icd/release/11/beta/ichi/1635919762</x:t>
  </x:si>
  <x:si>
    <x:t>- - - Assistive products for play</x:t>
  </x:si>
  <x:si>
    <x:t>http://id.who.int/icd/entity/285248541</x:t>
  </x:si>
  <x:si>
    <x:t>http://id.who.int/icd/release/11/beta/ichi/285248541</x:t>
  </x:si>
  <x:si>
    <x:t>- - - Assistive products for sports</x:t>
  </x:si>
  <x:si>
    <x:t>http://id.who.int/icd/entity/1907181240</x:t>
  </x:si>
  <x:si>
    <x:t>http://id.who.int/icd/release/11/beta/ichi/1907181240</x:t>
  </x:si>
  <x:si>
    <x:t>- - - Assistive products for playing and composing music</x:t>
  </x:si>
  <x:si>
    <x:t>http://id.who.int/icd/entity/1152025282</x:t>
  </x:si>
  <x:si>
    <x:t>http://id.who.int/icd/release/11/beta/ichi/1152025282</x:t>
  </x:si>
  <x:si>
    <x:t>- - - Assistive products for producing photos, videos and films</x:t>
  </x:si>
  <x:si>
    <x:t>http://id.who.int/icd/entity/1059862499</x:t>
  </x:si>
  <x:si>
    <x:t>http://id.who.int/icd/release/11/beta/ichi/1059862499</x:t>
  </x:si>
  <x:si>
    <x:t>- - - Assistive products for handicraft</x:t>
  </x:si>
  <x:si>
    <x:t>http://id.who.int/icd/entity/2115292710</x:t>
  </x:si>
  <x:si>
    <x:t>http://id.who.int/icd/release/11/beta/ichi/2115292710</x:t>
  </x:si>
  <x:si>
    <x:t>- - - Assistive devices for gardening and lawn care for private use</x:t>
  </x:si>
  <x:si>
    <x:t>http://id.who.int/icd/entity/1259539024</x:t>
  </x:si>
  <x:si>
    <x:t>http://id.who.int/icd/release/11/beta/ichi/1259539024</x:t>
  </x:si>
  <x:si>
    <x:t>- - - Assistive products for hunting and fishing</x:t>
  </x:si>
  <x:si>
    <x:t>http://id.who.int/icd/entity/1540985830</x:t>
  </x:si>
  <x:si>
    <x:t>http://id.who.int/icd/release/11/beta/ichi/1540985830</x:t>
  </x:si>
  <x:si>
    <x:t>- - - Assistive products for camping and caravanning</x:t>
  </x:si>
  <x:si>
    <x:t>http://id.who.int/icd/entity/1860065172</x:t>
  </x:si>
  <x:si>
    <x:t>http://id.who.int/icd/release/11/beta/ichi/1860065172</x:t>
  </x:si>
  <x:si>
    <x:t>- - - Assistive products for pet care</x:t>
  </x:si>
  <x:si>
    <x:t>http://id.who.int/icd/entity/358146739</x:t>
  </x:si>
  <x:si>
    <x:t>http://id.who.int/icd/release/11/beta/ichi/358146739</x:t>
  </x:si>
  <x:si>
    <x:t>- - - Assistive products and technology for culture, recreation and sport, not elsewhere classified</x:t>
  </x:si>
  <x:si>
    <x:t>http://id.who.int/icd/entity/1415584628</x:t>
  </x:si>
  <x:si>
    <x:t>http://id.who.int/icd/release/11/beta/ichi/1415584628</x:t>
  </x:si>
  <x:si>
    <x:t>- - Assistive products and technology for the practice of religion or spirituality (e1451)</x:t>
  </x:si>
  <x:si>
    <x:t>http://id.who.int/icd/entity/1100918076</x:t>
  </x:si>
  <x:si>
    <x:t>http://id.who.int/icd/release/11/beta/ichi/1100918076</x:t>
  </x:si>
  <x:si>
    <x:t>- - - Assistive products and technology for the practice of religion or spirituality</x:t>
  </x:si>
  <x:si>
    <x:t>http://id.who.int/icd/entity/1040334419</x:t>
  </x:si>
  <x:si>
    <x:t>http://id.who.int/icd/release/11/beta/ichi/1040334419</x:t>
  </x:si>
  <x:si>
    <x:t>- - Design, construction and building products and technology of buildings for private or public use</x:t>
  </x:si>
  <x:si>
    <x:t>http://id.who.int/icd/entity/184941095</x:t>
  </x:si>
  <x:si>
    <x:t>http://id.who.int/icd/release/11/beta/ichi/184941095</x:t>
  </x:si>
  <x:si>
    <x:t>- - - Accessible construction</x:t>
  </x:si>
  <x:si>
    <x:t>http://id.who.int/icd/entity/1950275896</x:t>
  </x:si>
  <x:si>
    <x:t>http://id.who.int/icd/release/11/beta/ichi/1950275896</x:t>
  </x:si>
  <x:si>
    <x:t>- - - Handrails and grab bars</x:t>
  </x:si>
  <x:si>
    <x:t>http://id.who.int/icd/entity/1640001392</x:t>
  </x:si>
  <x:si>
    <x:t>http://id.who.int/icd/release/11/beta/ichi/1640001392</x:t>
  </x:si>
  <x:si>
    <x:t>- - - Gate, door, window and curtain openers/closers</x:t>
  </x:si>
  <x:si>
    <x:t>http://id.who.int/icd/entity/440851025</x:t>
  </x:si>
  <x:si>
    <x:t>http://id.who.int/icd/release/11/beta/ichi/440851025</x:t>
  </x:si>
  <x:si>
    <x:t>- - - Assistive products for vertical accessibility, other and unspecified</x:t>
  </x:si>
  <x:si>
    <x:t>http://id.who.int/icd/entity/1095898946</x:t>
  </x:si>
  <x:si>
    <x:t>http://id.who.int/icd/release/11/beta/ichi/1095898946</x:t>
  </x:si>
  <x:si>
    <x:t>- - - Elevators</x:t>
  </x:si>
  <x:si>
    <x:t>http://id.who.int/icd/entity/987013731</x:t>
  </x:si>
  <x:si>
    <x:t>http://id.who.int/icd/release/11/beta/ichi/987013731</x:t>
  </x:si>
  <x:si>
    <x:t>- - - Lifting platforms</x:t>
  </x:si>
  <x:si>
    <x:t>http://id.who.int/icd/entity/1528113560</x:t>
  </x:si>
  <x:si>
    <x:t>http://id.who.int/icd/release/11/beta/ichi/1528113560</x:t>
  </x:si>
  <x:si>
    <x:t>- - - Stairlifts</x:t>
  </x:si>
  <x:si>
    <x:t>http://id.who.int/icd/entity/1343305526</x:t>
  </x:si>
  <x:si>
    <x:t>http://id.who.int/icd/release/11/beta/ichi/1343305526</x:t>
  </x:si>
  <x:si>
    <x:t>- - - Portable ramps</x:t>
  </x:si>
  <x:si>
    <x:t>http://id.who.int/icd/entity/463759775</x:t>
  </x:si>
  <x:si>
    <x:t>http://id.who.int/icd/release/11/beta/ichi/463759775</x:t>
  </x:si>
  <x:si>
    <x:t>- - - Fixed ramps</x:t>
  </x:si>
  <x:si>
    <x:t>http://id.who.int/icd/entity/782478827</x:t>
  </x:si>
  <x:si>
    <x:t>http://id.who.int/icd/release/11/beta/ichi/782478827</x:t>
  </x:si>
  <x:si>
    <x:t>- - - Design, construction and building products and technology of buildings for private or public use, NE</x:t>
  </x:si>
  <x:si>
    <x:t>http://id.who.int/icd/entity/337502477</x:t>
  </x:si>
  <x:si>
    <x:t>http://id.who.int/icd/release/11/beta/ichi/337502477</x:t>
  </x:si>
  <x:si>
    <x:t>- Essential pathology tests</x:t>
  </x:si>
  <x:si>
    <x:t>119</x:t>
  </x:si>
  <x:si>
    <x:t>http://id.who.int/icd/entity/555361657</x:t>
  </x:si>
  <x:si>
    <x:t>http://id.who.int/icd/release/11/beta/ichi/555361657</x:t>
  </x:si>
  <x:si>
    <x:t>- - A, B and O and rhesus factor</x:t>
  </x:si>
  <x:si>
    <x:t>http://id.who.int/icd/entity/1520210010</x:t>
  </x:si>
  <x:si>
    <x:t>http://id.who.int/icd/release/11/beta/ichi/1520210010</x:t>
  </x:si>
  <x:si>
    <x:t>- - Alanine amino-transferase</x:t>
  </x:si>
  <x:si>
    <x:t>http://id.who.int/icd/entity/1102573522</x:t>
  </x:si>
  <x:si>
    <x:t>http://id.who.int/icd/release/11/beta/ichi/1102573522</x:t>
  </x:si>
  <x:si>
    <x:t>- - Albumin</x:t>
  </x:si>
  <x:si>
    <x:t>http://id.who.int/icd/entity/1957702568</x:t>
  </x:si>
  <x:si>
    <x:t>http://id.who.int/icd/release/11/beta/ichi/1957702568</x:t>
  </x:si>
  <x:si>
    <x:t>- - Alkaline phosphatase</x:t>
  </x:si>
  <x:si>
    <x:t>http://id.who.int/icd/entity/1309566784</x:t>
  </x:si>
  <x:si>
    <x:t>http://id.who.int/icd/release/11/beta/ichi/1309566784</x:t>
  </x:si>
  <x:si>
    <x:t>- - Alpha-fetoprotein immunoassay</x:t>
  </x:si>
  <x:si>
    <x:t>http://id.who.int/icd/entity/2064229174</x:t>
  </x:si>
  <x:si>
    <x:t>http://id.who.int/icd/release/11/beta/ichi/2064229174</x:t>
  </x:si>
  <x:si>
    <x:t>- - Antibodies to HCV</x:t>
  </x:si>
  <x:si>
    <x:t>http://id.who.int/icd/entity/9377301</x:t>
  </x:si>
  <x:si>
    <x:t>http://id.who.int/icd/release/11/beta/ichi/9377301</x:t>
  </x:si>
  <x:si>
    <x:t>- - Antibodies to hepatitis B surface antigen</x:t>
  </x:si>
  <x:si>
    <x:t>http://id.who.int/icd/entity/1807956612</x:t>
  </x:si>
  <x:si>
    <x:t>http://id.who.int/icd/release/11/beta/ichi/1807956612</x:t>
  </x:si>
  <x:si>
    <x:t>- - Antibodies to hepatitis C virus</x:t>
  </x:si>
  <x:si>
    <x:t>http://id.who.int/icd/entity/1589968630</x:t>
  </x:si>
  <x:si>
    <x:t>http://id.who.int/icd/release/11/beta/ichi/1589968630</x:t>
  </x:si>
  <x:si>
    <x:t>- - Antibodies to HIV-1/2 test</x:t>
  </x:si>
  <x:si>
    <x:t>http://id.who.int/icd/entity/1685762578</x:t>
  </x:si>
  <x:si>
    <x:t>http://id.who.int/icd/release/11/beta/ichi/1685762578</x:t>
  </x:si>
  <x:si>
    <x:t>- - Antibodies to T. pallidum</x:t>
  </x:si>
  <x:si>
    <x:t>http://id.who.int/icd/entity/1367176804</x:t>
  </x:si>
  <x:si>
    <x:t>http://id.who.int/icd/release/11/beta/ichi/1367176804</x:t>
  </x:si>
  <x:si>
    <x:t>- - Quantitative HCV virological nucleic acid</x:t>
  </x:si>
  <x:si>
    <x:t>http://id.who.int/icd/entity/1771132597</x:t>
  </x:si>
  <x:si>
    <x:t>http://id.who.int/icd/release/11/beta/ichi/1771132597</x:t>
  </x:si>
  <x:si>
    <x:t>- - Oestrogen and progesterone receptors</x:t>
  </x:si>
  <x:si>
    <x:t>http://id.who.int/icd/entity/154967072</x:t>
  </x:si>
  <x:si>
    <x:t>http://id.who.int/icd/release/11/beta/ichi/154967072</x:t>
  </x:si>
  <x:si>
    <x:t>- - Papanicolaou smear test</x:t>
  </x:si>
  <x:si>
    <x:t>http://id.who.int/icd/entity/1010522218</x:t>
  </x:si>
  <x:si>
    <x:t>http://id.who.int/icd/release/11/beta/ichi/1010522218</x:t>
  </x:si>
  <x:si>
    <x:t>- - Partial thromboplastin time</x:t>
  </x:si>
  <x:si>
    <x:t>http://id.who.int/icd/entity/1203629387</x:t>
  </x:si>
  <x:si>
    <x:t>http://id.who.int/icd/release/11/beta/ichi/1203629387</x:t>
  </x:si>
  <x:si>
    <x:t>- - Peripheral blood film examination</x:t>
  </x:si>
  <x:si>
    <x:t>http://id.who.int/icd/entity/109384846</x:t>
  </x:si>
  <x:si>
    <x:t>http://id.who.int/icd/release/11/beta/ichi/109384846</x:t>
  </x:si>
  <x:si>
    <x:t>- - Phosphate</x:t>
  </x:si>
  <x:si>
    <x:t>http://id.who.int/icd/entity/864211192</x:t>
  </x:si>
  <x:si>
    <x:t>http://id.who.int/icd/release/11/beta/ichi/864211192</x:t>
  </x:si>
  <x:si>
    <x:t>- - Plasmodium spp.</x:t>
  </x:si>
  <x:si>
    <x:t>http://id.who.int/icd/entity/591939918</x:t>
  </x:si>
  <x:si>
    <x:t>http://id.who.int/icd/release/11/beta/ichi/591939918</x:t>
  </x:si>
  <x:si>
    <x:t>- - Plasmodium spp. Antigens</x:t>
  </x:si>
  <x:si>
    <x:t>http://id.who.int/icd/entity/374312252</x:t>
  </x:si>
  <x:si>
    <x:t>http://id.who.int/icd/release/11/beta/ichi/374312252</x:t>
  </x:si>
  <x:si>
    <x:t>- - Platelet count</x:t>
  </x:si>
  <x:si>
    <x:t>http://id.who.int/icd/entity/1841903643</x:t>
  </x:si>
  <x:si>
    <x:t>http://id.who.int/icd/release/11/beta/ichi/1841903643</x:t>
  </x:si>
  <x:si>
    <x:t>- - Post-mortem examination</x:t>
  </x:si>
  <x:si>
    <x:t>http://id.who.int/icd/entity/754041308</x:t>
  </x:si>
  <x:si>
    <x:t>http://id.who.int/icd/release/11/beta/ichi/754041308</x:t>
  </x:si>
  <x:si>
    <x:t>- - Procalcitonin</x:t>
  </x:si>
  <x:si>
    <x:t>http://id.who.int/icd/entity/721142597</x:t>
  </x:si>
  <x:si>
    <x:t>http://id.who.int/icd/release/11/beta/ichi/721142597</x:t>
  </x:si>
  <x:si>
    <x:t>- - Quantitative HIV virological nucleic acid test</x:t>
  </x:si>
  <x:si>
    <x:t>http://id.who.int/icd/entity/435553706</x:t>
  </x:si>
  <x:si>
    <x:t>http://id.who.int/icd/release/11/beta/ichi/435553706</x:t>
  </x:si>
  <x:si>
    <x:t>- - Prostate specific antigen</x:t>
  </x:si>
  <x:si>
    <x:t>http://id.who.int/icd/entity/1718261447</x:t>
  </x:si>
  <x:si>
    <x:t>http://id.who.int/icd/release/11/beta/ichi/1718261447</x:t>
  </x:si>
  <x:si>
    <x:t>- - Prothrombin time and international normalized ratio</x:t>
  </x:si>
  <x:si>
    <x:t>http://id.who.int/icd/entity/1399673523</x:t>
  </x:si>
  <x:si>
    <x:t>http://id.who.int/icd/release/11/beta/ichi/1399673523</x:t>
  </x:si>
  <x:si>
    <x:t>- - Qualitative dengue virus nucleic acid test</x:t>
  </x:si>
  <x:si>
    <x:t>http://id.who.int/icd/entity/686548882</x:t>
  </x:si>
  <x:si>
    <x:t>http://id.who.int/icd/release/11/beta/ichi/686548882</x:t>
  </x:si>
  <x:si>
    <x:t>- - Qualitative HCV virological nucleic acid</x:t>
  </x:si>
  <x:si>
    <x:t>http://id.who.int/icd/entity/1775443541</x:t>
  </x:si>
  <x:si>
    <x:t>http://id.who.int/icd/release/11/beta/ichi/1775443541</x:t>
  </x:si>
  <x:si>
    <x:t>- - Qualitative HIV virological nucleic acid test</x:t>
  </x:si>
  <x:si>
    <x:t>http://id.who.int/icd/entity/1557453345</x:t>
  </x:si>
  <x:si>
    <x:t>http://id.who.int/icd/release/11/beta/ichi/1557453345</x:t>
  </x:si>
  <x:si>
    <x:t>- - Qualitative test for Chlamydia trachomatis and Neisseria gonorrhoeae infections</x:t>
  </x:si>
  <x:si>
    <x:t>http://id.who.int/icd/entity/253124357</x:t>
  </x:si>
  <x:si>
    <x:t>http://id.who.int/icd/release/11/beta/ichi/253124357</x:t>
  </x:si>
  <x:si>
    <x:t>- - Quantitative HBV virological nucleic acid test</x:t>
  </x:si>
  <x:si>
    <x:t>http://id.who.int/icd/entity/1334426561</x:t>
  </x:si>
  <x:si>
    <x:t>http://id.who.int/icd/release/11/beta/ichi/1334426561</x:t>
  </x:si>
  <x:si>
    <x:t>- - Viral nucleic acid amplification test</x:t>
  </x:si>
  <x:si>
    <x:t>http://id.who.int/icd/entity/2056159157</x:t>
  </x:si>
  <x:si>
    <x:t>http://id.who.int/icd/release/11/beta/ichi/2056159157</x:t>
  </x:si>
  <x:si>
    <x:t>- - Rapid immunoassay detecting viral proteins</x:t>
  </x:si>
  <x:si>
    <x:t>http://id.who.int/icd/entity/786556171</x:t>
  </x:si>
  <x:si>
    <x:t>http://id.who.int/icd/release/11/beta/ichi/786556171</x:t>
  </x:si>
  <x:si>
    <x:t>- - rK39 antigen test for visceral leishmaniasis</x:t>
  </x:si>
  <x:si>
    <x:t>http://id.who.int/icd/entity/468066687</x:t>
  </x:si>
  <x:si>
    <x:t>http://id.who.int/icd/release/11/beta/ichi/468066687</x:t>
  </x:si>
  <x:si>
    <x:t>- - Sickle cell testing</x:t>
  </x:si>
  <x:si>
    <x:t>http://id.who.int/icd/entity/559443353</x:t>
  </x:si>
  <x:si>
    <x:t>http://id.who.int/icd/release/11/beta/ichi/559443353</x:t>
  </x:si>
  <x:si>
    <x:t>- - T. pallidum haemagglutination test</x:t>
  </x:si>
  <x:si>
    <x:t>http://id.who.int/icd/entity/341813741</x:t>
  </x:si>
  <x:si>
    <x:t>http://id.who.int/icd/release/11/beta/ichi/341813741</x:t>
  </x:si>
  <x:si>
    <x:t>- - T. pallidum particle agglutination test</x:t>
  </x:si>
  <x:si>
    <x:t>http://id.who.int/icd/entity/1876499662</x:t>
  </x:si>
  <x:si>
    <x:t>http://id.who.int/icd/release/11/beta/ichi/1876499662</x:t>
  </x:si>
  <x:si>
    <x:t>- - Thyroid-stimulating hormone</x:t>
  </x:si>
  <x:si>
    <x:t>http://id.who.int/icd/entity/1568740515</x:t>
  </x:si>
  <x:si>
    <x:t>http://id.who.int/icd/release/11/beta/ichi/1568740515</x:t>
  </x:si>
  <x:si>
    <x:t>- - Screening blood donations</x:t>
  </x:si>
  <x:si>
    <x:t>http://id.who.int/icd/entity/1451559439</x:t>
  </x:si>
  <x:si>
    <x:t>http://id.who.int/icd/release/11/beta/ichi/1451559439</x:t>
  </x:si>
  <x:si>
    <x:t>- - Troponin T/I</x:t>
  </x:si>
  <x:si>
    <x:t>http://id.who.int/icd/entity/398324680</x:t>
  </x:si>
  <x:si>
    <x:t>http://id.who.int/icd/release/11/beta/ichi/398324680</x:t>
  </x:si>
  <x:si>
    <x:t>- - Tuberculin skin test</x:t>
  </x:si>
  <x:si>
    <x:t>http://id.who.int/icd/entity/582629310</x:t>
  </x:si>
  <x:si>
    <x:t>http://id.who.int/icd/release/11/beta/ichi/582629310</x:t>
  </x:si>
  <x:si>
    <x:t>- - Antibodies to T.pallidum and to HIV-1/2</x:t>
  </x:si>
  <x:si>
    <x:t>http://id.who.int/icd/entity/846245388</x:t>
  </x:si>
  <x:si>
    <x:t>http://id.who.int/icd/release/11/beta/ichi/846245388</x:t>
  </x:si>
  <x:si>
    <x:t>- - Tyrosine-protein kinase receptor</x:t>
  </x:si>
  <x:si>
    <x:t>http://id.who.int/icd/entity/125266558</x:t>
  </x:si>
  <x:si>
    <x:t>http://id.who.int/icd/release/11/beta/ichi/125266558</x:t>
  </x:si>
  <x:si>
    <x:t>- - Uric acid</x:t>
  </x:si>
  <x:si>
    <x:t>http://id.who.int/icd/entity/2096226143</x:t>
  </x:si>
  <x:si>
    <x:t>http://id.who.int/icd/release/11/beta/ichi/2096226143</x:t>
  </x:si>
  <x:si>
    <x:t>- - Urinalysis test strips</x:t>
  </x:si>
  <x:si>
    <x:t>http://id.who.int/icd/entity/1036592794</x:t>
  </x:si>
  <x:si>
    <x:t>http://id.who.int/icd/release/11/beta/ichi/1036592794</x:t>
  </x:si>
  <x:si>
    <x:t>- - Urine chemistry</x:t>
  </x:si>
  <x:si>
    <x:t>http://id.who.int/icd/entity/147776236</x:t>
  </x:si>
  <x:si>
    <x:t>http://id.who.int/icd/release/11/beta/ichi/147776236</x:t>
  </x:si>
  <x:si>
    <x:t>- - Vibrio cholerae antigen</x:t>
  </x:si>
  <x:si>
    <x:t>http://id.who.int/icd/entity/1751328839</x:t>
  </x:si>
  <x:si>
    <x:t>http://id.who.int/icd/release/11/beta/ichi/1751328839</x:t>
  </x:si>
  <x:si>
    <x:t>- - Virological detection of Zika virus</x:t>
  </x:si>
  <x:si>
    <x:t>http://id.who.int/icd/entity/1566895155</x:t>
  </x:si>
  <x:si>
    <x:t>http://id.who.int/icd/release/11/beta/ichi/1566895155</x:t>
  </x:si>
  <x:si>
    <x:t>- - White blood cell count</x:t>
  </x:si>
  <x:si>
    <x:t>http://id.who.int/icd/entity/652368146</x:t>
  </x:si>
  <x:si>
    <x:t>http://id.who.int/icd/release/11/beta/ichi/652368146</x:t>
  </x:si>
  <x:si>
    <x:t>- - Whole blood lactate</x:t>
  </x:si>
  <x:si>
    <x:t>http://id.who.int/icd/entity/1742381269</x:t>
  </x:si>
  <x:si>
    <x:t>http://id.who.int/icd/release/11/beta/ichi/1742381269</x:t>
  </x:si>
  <x:si>
    <x:t>- - Antimicrobial susceptibility testing</x:t>
  </x:si>
  <x:si>
    <x:t>http://id.who.int/icd/entity/1390240929</x:t>
  </x:si>
  <x:si>
    <x:t>http://id.who.int/icd/release/11/beta/ichi/1390240929</x:t>
  </x:si>
  <x:si>
    <x:t>- - Aspartate amino-transferase</x:t>
  </x:si>
  <x:si>
    <x:t>http://id.who.int/icd/entity/1108868375</x:t>
  </x:si>
  <x:si>
    <x:t>http://id.who.int/icd/release/11/beta/ichi/1108868375</x:t>
  </x:si>
  <x:si>
    <x:t>- - Basic metabolic panel</x:t>
  </x:si>
  <x:si>
    <x:t>http://id.who.int/icd/entity/1997551971</x:t>
  </x:si>
  <x:si>
    <x:t>http://id.who.int/icd/release/11/beta/ichi/1997551971</x:t>
  </x:si>
  <x:si>
    <x:t>- - Basic panel for immunohisto-chemical testing for diagnosis of lymphoma</x:t>
  </x:si>
  <x:si>
    <x:t>http://id.who.int/icd/entity/211192900</x:t>
  </x:si>
  <x:si>
    <x:t>http://id.who.int/icd/release/11/beta/ichi/211192900</x:t>
  </x:si>
  <x:si>
    <x:t>- - Basic panel of immunohisto-chemical markers for diagnosis of solid tumours</x:t>
  </x:si>
  <x:si>
    <x:t>http://id.who.int/icd/entity/1303278981</x:t>
  </x:si>
  <x:si>
    <x:t>http://id.who.int/icd/release/11/beta/ichi/1303278981</x:t>
  </x:si>
  <x:si>
    <x:t>- - BCR-ABL1 and ABL1 transcripts</x:t>
  </x:si>
  <x:si>
    <x:t>http://id.who.int/icd/entity/2024387057</x:t>
  </x:si>
  <x:si>
    <x:t>http://id.who.int/icd/release/11/beta/ichi/2024387057</x:t>
  </x:si>
  <x:si>
    <x:t>- - Bilirubin</x:t>
  </x:si>
  <x:si>
    <x:t>http://id.who.int/icd/entity/120922784</x:t>
  </x:si>
  <x:si>
    <x:t>http://id.who.int/icd/release/11/beta/ichi/120922784</x:t>
  </x:si>
  <x:si>
    <x:t>- - Blood cross-matching</x:t>
  </x:si>
  <x:si>
    <x:t>http://id.who.int/icd/entity/842196714</x:t>
  </x:si>
  <x:si>
    <x:t>http://id.who.int/icd/release/11/beta/ichi/842196714</x:t>
  </x:si>
  <x:si>
    <x:t>- - Blood culture</x:t>
  </x:si>
  <x:si>
    <x:t>http://id.who.int/icd/entity/1236554699</x:t>
  </x:si>
  <x:si>
    <x:t>http://id.who.int/icd/release/11/beta/ichi/1236554699</x:t>
  </x:si>
  <x:si>
    <x:t>- - Blood pH and gases</x:t>
  </x:si>
  <x:si>
    <x:t>http://id.who.int/icd/entity/143436302</x:t>
  </x:si>
  <x:si>
    <x:t>http://id.who.int/icd/release/11/beta/ichi/143436302</x:t>
  </x:si>
  <x:si>
    <x:t>- - Blood urea nitrogen</x:t>
  </x:si>
  <x:si>
    <x:t>http://id.who.int/icd/entity/1032547960</x:t>
  </x:si>
  <x:si>
    <x:t>http://id.who.int/icd/release/11/beta/ichi/1032547960</x:t>
  </x:si>
  <x:si>
    <x:t>- - CD4 cell enumeration</x:t>
  </x:si>
  <x:si>
    <x:t>http://id.who.int/icd/entity/1838923207</x:t>
  </x:si>
  <x:si>
    <x:t>http://id.who.int/icd/release/11/beta/ichi/1838923207</x:t>
  </x:si>
  <x:si>
    <x:t>- - Combined antibodies to HCV and HCV core antigen</x:t>
  </x:si>
  <x:si>
    <x:t>http://id.who.int/icd/entity/1486649779</x:t>
  </x:si>
  <x:si>
    <x:t>http://id.who.int/icd/release/11/beta/ichi/1486649779</x:t>
  </x:si>
  <x:si>
    <x:t>- - Combined antibodies to T. pallidum and to HIV-1/2</x:t>
  </x:si>
  <x:si>
    <x:t>http://id.who.int/icd/entity/588958866</x:t>
  </x:si>
  <x:si>
    <x:t>http://id.who.int/icd/release/11/beta/ichi/588958866</x:t>
  </x:si>
  <x:si>
    <x:t>- - Combined HIV antibody/p24 antigen test</x:t>
  </x:si>
  <x:si>
    <x:t>http://id.who.int/icd/entity/1646409045</x:t>
  </x:si>
  <x:si>
    <x:t>http://id.who.int/icd/release/11/beta/ichi/1646409045</x:t>
  </x:si>
  <x:si>
    <x:t>- - Complete blood count automated</x:t>
  </x:si>
  <x:si>
    <x:t>http://id.who.int/icd/entity/1462104353</x:t>
  </x:si>
  <x:si>
    <x:t>http://id.who.int/icd/release/11/beta/ichi/1462104353</x:t>
  </x:si>
  <x:si>
    <x:t>- - Comprehensive metabolic panel</x:t>
  </x:si>
  <x:si>
    <x:t>http://id.who.int/icd/entity/1206872215</x:t>
  </x:si>
  <x:si>
    <x:t>http://id.who.int/icd/release/11/beta/ichi/1206872215</x:t>
  </x:si>
  <x:si>
    <x:t>- - C-reactive protein</x:t>
  </x:si>
  <x:si>
    <x:t>http://id.who.int/icd/entity/1927851235</x:t>
  </x:si>
  <x:si>
    <x:t>http://id.who.int/icd/release/11/beta/ichi/1927851235</x:t>
  </x:si>
  <x:si>
    <x:t>- - Creatinine</x:t>
  </x:si>
  <x:si>
    <x:t>http://id.who.int/icd/entity/158210500</x:t>
  </x:si>
  <x:si>
    <x:t>http://id.who.int/icd/release/11/beta/ichi/158210500</x:t>
  </x:si>
  <x:si>
    <x:t>- - Cryptococcal antigen</x:t>
  </x:si>
  <x:si>
    <x:t>http://id.who.int/icd/entity/1213652997</x:t>
  </x:si>
  <x:si>
    <x:t>http://id.who.int/icd/release/11/beta/ichi/1213652997</x:t>
  </x:si>
  <x:si>
    <x:t>- - Culture</x:t>
  </x:si>
  <x:si>
    <x:t>http://id.who.int/icd/entity/2102469745</x:t>
  </x:si>
  <x:si>
    <x:t>http://id.who.int/icd/release/11/beta/ichi/2102469745</x:t>
  </x:si>
  <x:si>
    <x:t>- - Cytology</x:t>
  </x:si>
  <x:si>
    <x:t>http://id.who.int/icd/entity/503115482</x:t>
  </x:si>
  <x:si>
    <x:t>http://id.who.int/icd/release/11/beta/ichi/503115482</x:t>
  </x:si>
  <x:si>
    <x:t>- - D-Dimer</x:t>
  </x:si>
  <x:si>
    <x:t>http://id.who.int/icd/entity/687549104</x:t>
  </x:si>
  <x:si>
    <x:t>http://id.who.int/icd/release/11/beta/ichi/687549104</x:t>
  </x:si>
  <x:si>
    <x:t>- - Dengue virus antibody</x:t>
  </x:si>
  <x:si>
    <x:t>http://id.who.int/icd/entity/1400741775</x:t>
  </x:si>
  <x:si>
    <x:t>http://id.who.int/icd/release/11/beta/ichi/1400741775</x:t>
  </x:si>
  <x:si>
    <x:t>- - Dengue virus antigen</x:t>
  </x:si>
  <x:si>
    <x:t>http://id.who.int/icd/entity/306538056</x:t>
  </x:si>
  <x:si>
    <x:t>http://id.who.int/icd/release/11/beta/ichi/306538056</x:t>
  </x:si>
  <x:si>
    <x:t>- - Detection of IgM antibodies to Zika virus</x:t>
  </x:si>
  <x:si>
    <x:t>http://id.who.int/icd/entity/658678334</x:t>
  </x:si>
  <x:si>
    <x:t>http://id.who.int/icd/release/11/beta/ichi/658678334</x:t>
  </x:si>
  <x:si>
    <x:t>- - Direct and indirect bilirubin</x:t>
  </x:si>
  <x:si>
    <x:t>http://id.who.int/icd/entity/931675020</x:t>
  </x:si>
  <x:si>
    <x:t>http://id.who.int/icd/release/11/beta/ichi/931675020</x:t>
  </x:si>
  <x:si>
    <x:t>- - Direct antiglobulin test</x:t>
  </x:si>
  <x:si>
    <x:t>http://id.who.int/icd/entity/42991614</x:t>
  </x:si>
  <x:si>
    <x:t>http://id.who.int/icd/release/11/beta/ichi/42991614</x:t>
  </x:si>
  <x:si>
    <x:t>- - Drug susceptibility testing with M. tuberculosis culture</x:t>
  </x:si>
  <x:si>
    <x:t>http://id.who.int/icd/entity/2030652127</x:t>
  </x:si>
  <x:si>
    <x:t>http://id.who.int/icd/release/11/beta/ichi/2030652127</x:t>
  </x:si>
  <x:si>
    <x:t>- - Electrolytes</x:t>
  </x:si>
  <x:si>
    <x:t>http://id.who.int/icd/entity/942781210</x:t>
  </x:si>
  <x:si>
    <x:t>http://id.who.int/icd/release/11/beta/ichi/942781210</x:t>
  </x:si>
  <x:si>
    <x:t>- - Essential flow cytometry panel of antibodies for leukaemia</x:t>
  </x:si>
  <x:si>
    <x:t>http://id.who.int/icd/entity/221673324</x:t>
  </x:si>
  <x:si>
    <x:t>http://id.who.int/icd/release/11/beta/ichi/221673324</x:t>
  </x:si>
  <x:si>
    <x:t>- - Faecal immunochemical test</x:t>
  </x:si>
  <x:si>
    <x:t>http://id.who.int/icd/entity/1923802115</x:t>
  </x:si>
  <x:si>
    <x:t>http://id.who.int/icd/release/11/beta/ichi/1923802115</x:t>
  </x:si>
  <x:si>
    <x:t>- - Fibrinogen</x:t>
  </x:si>
  <x:si>
    <x:t>http://id.who.int/icd/entity/1202528375</x:t>
  </x:si>
  <x:si>
    <x:t>http://id.who.int/icd/release/11/beta/ichi/1202528375</x:t>
  </x:si>
  <x:si>
    <x:t>- - Gamma-glutamyl transferase</x:t>
  </x:si>
  <x:si>
    <x:t>http://id.who.int/icd/entity/1009489240</x:t>
  </x:si>
  <x:si>
    <x:t>http://id.who.int/icd/release/11/beta/ichi/1009489240</x:t>
  </x:si>
  <x:si>
    <x:t>- - Genus and species identification of bacteria and fungi</x:t>
  </x:si>
  <x:si>
    <x:t>http://id.who.int/icd/entity/2098424977</x:t>
  </x:si>
  <x:si>
    <x:t>http://id.who.int/icd/release/11/beta/ichi/2098424977</x:t>
  </x:si>
  <x:si>
    <x:t>- - Glucose</x:t>
  </x:si>
  <x:si>
    <x:t>http://id.who.int/icd/entity/1209313509</x:t>
  </x:si>
  <x:si>
    <x:t>http://id.who.int/icd/release/11/beta/ichi/1209313509</x:t>
  </x:si>
  <x:si>
    <x:t>- - Glucose-6-phosphate dehydrogenase activity</x:t>
  </x:si>
  <x:si>
    <x:t>http://id.who.int/icd/entity/214174112</x:t>
  </x:si>
  <x:si>
    <x:t>http://id.who.int/icd/release/11/beta/ichi/214174112</x:t>
  </x:si>
  <x:si>
    <x:t>- - Haematocrit</x:t>
  </x:si>
  <x:si>
    <x:t>http://id.who.int/icd/entity/969133546</x:t>
  </x:si>
  <x:si>
    <x:t>http://id.who.int/icd/release/11/beta/ichi/969133546</x:t>
  </x:si>
  <x:si>
    <x:t>- - Haemoglobin</x:t>
  </x:si>
  <x:si>
    <x:t>http://id.who.int/icd/entity/1111849163</x:t>
  </x:si>
  <x:si>
    <x:t>http://id.who.int/icd/release/11/beta/ichi/1111849163</x:t>
  </x:si>
  <x:si>
    <x:t>- - Haemoglobin A1c</x:t>
  </x:si>
  <x:si>
    <x:t>http://id.who.int/icd/entity/58556686</x:t>
  </x:si>
  <x:si>
    <x:t>http://id.who.int/icd/release/11/beta/ichi/58556686</x:t>
  </x:si>
  <x:si>
    <x:t>- - HCV core antigen</x:t>
  </x:si>
  <x:si>
    <x:t>http://id.who.int/icd/entity/913982840</x:t>
  </x:si>
  <x:si>
    <x:t>http://id.who.int/icd/release/11/beta/ichi/913982840</x:t>
  </x:si>
  <x:si>
    <x:t>- - Hepatitis B e antigen</x:t>
  </x:si>
  <x:si>
    <x:t>http://id.who.int/icd/entity/649125070</x:t>
  </x:si>
  <x:si>
    <x:t>http://id.who.int/icd/release/11/beta/ichi/649125070</x:t>
  </x:si>
  <x:si>
    <x:t>- - Hepatitis B virus surface antigen</x:t>
  </x:si>
  <x:si>
    <x:t>http://id.who.int/icd/entity/330766524</x:t>
  </x:si>
  <x:si>
    <x:t>http://id.who.int/icd/release/11/beta/ichi/330766524</x:t>
  </x:si>
  <x:si>
    <x:t>- - Histopathology</x:t>
  </x:si>
  <x:si>
    <x:t>http://id.who.int/icd/entity/1748086171</x:t>
  </x:si>
  <x:si>
    <x:t>http://id.who.int/icd/release/11/beta/ichi/1748086171</x:t>
  </x:si>
  <x:si>
    <x:t>- - Histoplasma antigen</x:t>
  </x:si>
  <x:si>
    <x:t>http://id.who.int/icd/entity/688477276</x:t>
  </x:si>
  <x:si>
    <x:t>http://id.who.int/icd/release/11/beta/ichi/688477276</x:t>
  </x:si>
  <x:si>
    <x:t>- - HIV 1/2 antibody</x:t>
  </x:si>
  <x:si>
    <x:t>http://id.who.int/icd/entity/470716458</x:t>
  </x:si>
  <x:si>
    <x:t>http://id.who.int/icd/release/11/beta/ichi/470716458</x:t>
  </x:si>
  <x:si>
    <x:t>- - Human chorionic gonadotrophin plus beta-hCG</x:t>
  </x:si>
  <x:si>
    <x:t>http://id.who.int/icd/entity/2091080323</x:t>
  </x:si>
  <x:si>
    <x:t>http://id.who.int/icd/release/11/beta/ichi/2091080323</x:t>
  </x:si>
  <x:si>
    <x:t>- - Human chorionic gonadotropin</x:t>
  </x:si>
  <x:si>
    <x:t>http://id.who.int/icd/entity/1235525367</x:t>
  </x:si>
  <x:si>
    <x:t>http://id.who.int/icd/release/11/beta/ichi/1235525367</x:t>
  </x:si>
  <x:si>
    <x:t>- - Human epidermal growth factor receptor 2 overexpression</x:t>
  </x:si>
  <x:si>
    <x:t>http://id.who.int/icd/entity/841100248</x:t>
  </x:si>
  <x:si>
    <x:t>http://id.who.int/icd/release/11/beta/ichi/841100248</x:t>
  </x:si>
  <x:si>
    <x:t>- - Human papilloma virus nucleic acid test</x:t>
  </x:si>
  <x:si>
    <x:t>http://id.who.int/icd/entity/1931137553</x:t>
  </x:si>
  <x:si>
    <x:t>http://id.who.int/icd/release/11/beta/ichi/1931137553</x:t>
  </x:si>
  <x:si>
    <x:t>- - IgM-specific antibodies to hepatitis B core antigen</x:t>
  </x:si>
  <x:si>
    <x:t>http://id.who.int/icd/entity/1176311397</x:t>
  </x:si>
  <x:si>
    <x:t>http://id.who.int/icd/release/11/beta/ichi/1176311397</x:t>
  </x:si>
  <x:si>
    <x:t>- - Immune response by Interferon-gamma release assay</x:t>
  </x:si>
  <x:si>
    <x:t>http://id.who.int/icd/entity/1456967635</x:t>
  </x:si>
  <x:si>
    <x:t>http://id.who.int/icd/release/11/beta/ichi/1456967635</x:t>
  </x:si>
  <x:si>
    <x:t>- - Immunoglobulin plasma levels</x:t>
  </x:si>
  <x:si>
    <x:t>http://id.who.int/icd/entity/1674595239</x:t>
  </x:si>
  <x:si>
    <x:t>http://id.who.int/icd/release/11/beta/ichi/1674595239</x:t>
  </x:si>
  <x:si>
    <x:t>- - Immunohisto-chemistry</x:t>
  </x:si>
  <x:si>
    <x:t>http://id.who.int/icd/entity/408354438</x:t>
  </x:si>
  <x:si>
    <x:t>http://id.who.int/icd/release/11/beta/ichi/408354438</x:t>
  </x:si>
  <x:si>
    <x:t>- - Indirect antiglobulin test</x:t>
  </x:si>
  <x:si>
    <x:t>http://id.who.int/icd/entity/1500383041</x:t>
  </x:si>
  <x:si>
    <x:t>http://id.who.int/icd/release/11/beta/ichi/1500383041</x:t>
  </x:si>
  <x:si>
    <x:t>- - Influenza A and B antigen detection</x:t>
  </x:si>
  <x:si>
    <x:t>http://id.who.int/icd/entity/1818870581</x:t>
  </x:si>
  <x:si>
    <x:t>http://id.who.int/icd/release/11/beta/ichi/1818870581</x:t>
  </x:si>
  <x:si>
    <x:t>- - Influenza A and B nucleic acid test</x:t>
  </x:si>
  <x:si>
    <x:t>http://id.who.int/icd/entity/334843994</x:t>
  </x:si>
  <x:si>
    <x:t>http://id.who.int/icd/release/11/beta/ichi/334843994</x:t>
  </x:si>
  <x:si>
    <x:t>- - Iron studies</x:t>
  </x:si>
  <x:si>
    <x:t>http://id.who.int/icd/entity/653431856</x:t>
  </x:si>
  <x:si>
    <x:t>http://id.who.int/icd/release/11/beta/ichi/653431856</x:t>
  </x:si>
  <x:si>
    <x:t>- - Kato-Katz</x:t>
  </x:si>
  <x:si>
    <x:t>http://id.who.int/icd/entity/1567891727</x:t>
  </x:si>
  <x:si>
    <x:t>http://id.who.int/icd/release/11/beta/ichi/1567891727</x:t>
  </x:si>
  <x:si>
    <x:t>- - Ketones</x:t>
  </x:si>
  <x:si>
    <x:t>http://id.who.int/icd/entity/474798280</x:t>
  </x:si>
  <x:si>
    <x:t>http://id.who.int/icd/release/11/beta/ichi/474798280</x:t>
  </x:si>
  <x:si>
    <x:t>- - Lactate dehydrogenase activity</x:t>
  </x:si>
  <x:si>
    <x:t>http://id.who.int/icd/entity/692788414</x:t>
  </x:si>
  <x:si>
    <x:t>http://id.who.int/icd/release/11/beta/ichi/692788414</x:t>
  </x:si>
  <x:si>
    <x:t>- - Lipase or amylase</x:t>
  </x:si>
  <x:si>
    <x:t>http://id.who.int/icd/entity/2036059907</x:t>
  </x:si>
  <x:si>
    <x:t>http://id.who.int/icd/release/11/beta/ichi/2036059907</x:t>
  </x:si>
  <x:si>
    <x:t>- - Lipid profile</x:t>
  </x:si>
  <x:si>
    <x:t>http://id.who.int/icd/entity/1281100663</x:t>
  </x:si>
  <x:si>
    <x:t>http://id.who.int/icd/release/11/beta/ichi/1281100663</x:t>
  </x:si>
  <x:si>
    <x:t>- - Lipoarabino-mannan antigen</x:t>
  </x:si>
  <x:si>
    <x:t>http://id.who.int/icd/entity/937082456</x:t>
  </x:si>
  <x:si>
    <x:t>http://id.who.int/icd/release/11/beta/ichi/937082456</x:t>
  </x:si>
  <x:si>
    <x:t>- - Lymphocyte subtype enumeration: CD4, CD8, CD20 and CD15/26 cells</x:t>
  </x:si>
  <x:si>
    <x:t>http://id.who.int/icd/entity/1994540945</x:t>
  </x:si>
  <x:si>
    <x:t>http://id.who.int/icd/release/11/beta/ichi/1994540945</x:t>
  </x:si>
  <x:si>
    <x:t>- - M. tuberculosis DNA</x:t>
  </x:si>
  <x:si>
    <x:t>http://id.who.int/icd/entity/1139114981</x:t>
  </x:si>
  <x:si>
    <x:t>http://id.who.int/icd/release/11/beta/ichi/1139114981</x:t>
  </x:si>
  <x:si>
    <x:t>- - M. tuberculosis DNA mutations associated with resistance</x:t>
  </x:si>
  <x:si>
    <x:t>http://id.who.int/icd/entity/1395595859</x:t>
  </x:si>
  <x:si>
    <x:t>http://id.who.int/icd/release/11/beta/ichi/1395595859</x:t>
  </x:si>
  <x:si>
    <x:t>- - Microscopy</x:t>
  </x:si>
  <x:si>
    <x:t>http://id.who.int/icd/entity/1713954343</x:t>
  </x:si>
  <x:si>
    <x:t>http://id.who.int/icd/release/11/beta/ichi/1713954343</x:t>
  </x:si>
  <x:si>
    <x:t>- - Mycobacterium tuberculosis bacteria</x:t>
  </x:si>
  <x:si>
    <x:t>http://id.who.int/icd/entity/497969926</x:t>
  </x:si>
  <x:si>
    <x:t>http://id.who.int/icd/release/11/beta/ichi/497969926</x:t>
  </x:si>
  <x:si>
    <x:t>- - Non-treponemal rapid plasma reagin test</x:t>
  </x:si>
  <x:si>
    <x:t>http://id.who.int/icd/entity/1553371841</x:t>
  </x:si>
  <x:si>
    <x:t>http://id.who.int/icd/release/11/beta/ichi/1553371841</x:t>
  </x:si>
  <x:si>
    <x:t>- - Non-treponemal venereal disease research laboratory test</x:t>
  </x:si>
  <x:si>
    <x:t>http://id.who.int/icd/entity/974232433</x:t>
  </x:si>
  <x:si>
    <x:t>http://id.who.int/icd/release/11/beta/ichi/974232433</x:t>
  </x:si>
  <x:si>
    <x:t>- Quantifiers</x:t>
  </x:si>
  <x:si>
    <x:t>http://id.who.int/icd/entity/1100426832</x:t>
  </x:si>
  <x:si>
    <x:t>http://id.who.int/icd/release/11/beta/ichi/1100426832</x:t>
  </x:si>
  <x:si>
    <x:t>- - Number of anatomical structures an intervention is performed on</x:t>
  </x:si>
  <x:si>
    <x:t>http://id.who.int/icd/entity/357655007</x:t>
  </x:si>
  <x:si>
    <x:t>http://id.who.int/icd/release/11/beta/ichi/357655007</x:t>
  </x:si>
  <x:si>
    <x:t>- - - Two anatomical structures an intervention is performed on</x:t>
  </x:si>
  <x:si>
    <x:t>http://id.who.int/icd/entity/94107753</x:t>
  </x:si>
  <x:si>
    <x:t>http://id.who.int/icd/release/11/beta/ichi/94107753</x:t>
  </x:si>
  <x:si>
    <x:t>- - - Three anatomical structures an intervention is performed on</x:t>
  </x:si>
  <x:si>
    <x:t>http://id.who.int/icd/entity/815545373</x:t>
  </x:si>
  <x:si>
    <x:t>http://id.who.int/icd/release/11/beta/ichi/815545373</x:t>
  </x:si>
  <x:si>
    <x:t>- - - Four anatomical structures an intervention is performed on</x:t>
  </x:si>
  <x:si>
    <x:t>http://id.who.int/icd/entity/1260030268</x:t>
  </x:si>
  <x:si>
    <x:t>http://id.who.int/icd/release/11/beta/ichi/1260030268</x:t>
  </x:si>
  <x:si>
    <x:t>- - - Five anatomical structures an intervention is performed on</x:t>
  </x:si>
  <x:si>
    <x:t>http://id.who.int/icd/entity/170029307</x:t>
  </x:si>
  <x:si>
    <x:t>http://id.who.int/icd/release/11/beta/ichi/170029307</x:t>
  </x:si>
  <x:si>
    <x:t>- - - Six anatomical structures an intervention is performed on</x:t>
  </x:si>
  <x:si>
    <x:t>http://id.who.int/icd/entity/1059435663</x:t>
  </x:si>
  <x:si>
    <x:t>http://id.who.int/icd/release/11/beta/ichi/1059435663</x:t>
  </x:si>
  <x:si>
    <x:t>- - - Seven anatomical structures an intervention is performed on</x:t>
  </x:si>
  <x:si>
    <x:t>http://id.who.int/icd/entity/1602780710</x:t>
  </x:si>
  <x:si>
    <x:t>http://id.who.int/icd/release/11/beta/ichi/1602780710</x:t>
  </x:si>
  <x:si>
    <x:t>- - - Eight anatomical structures an intervention is performed on</x:t>
  </x:si>
  <x:si>
    <x:t>http://id.who.int/icd/entity/1787804240</x:t>
  </x:si>
  <x:si>
    <x:t>http://id.who.int/icd/release/11/beta/ichi/1787804240</x:t>
  </x:si>
  <x:si>
    <x:t>- - - Nine anatomical structures an intervention is performed on</x:t>
  </x:si>
  <x:si>
    <x:t>http://id.who.int/icd/entity/542549419</x:t>
  </x:si>
  <x:si>
    <x:t>http://id.who.int/icd/release/11/beta/ichi/542549419</x:t>
  </x:si>
  <x:si>
    <x:t>- - - Ten or more anatomical structures an intervention is performed on</x:t>
  </x:si>
  <x:si>
    <x:t>http://id.who.int/icd/entity/285806449</x:t>
  </x:si>
  <x:si>
    <x:t>http://id.who.int/icd/release/11/beta/ichi/285806449</x:t>
  </x:si>
  <x:si>
    <x:t>- - Number of interventions performed</x:t>
  </x:si>
  <x:si>
    <x:t>http://id.who.int/icd/entity/1530259482</x:t>
  </x:si>
  <x:si>
    <x:t>http://id.who.int/icd/release/11/beta/ichi/1530259482</x:t>
  </x:si>
  <x:si>
    <x:t>- - - Two of the same interventions performed</x:t>
  </x:si>
  <x:si>
    <x:t>http://id.who.int/icd/entity/813286541</x:t>
  </x:si>
  <x:si>
    <x:t>http://id.who.int/icd/release/11/beta/ichi/813286541</x:t>
  </x:si>
  <x:si>
    <x:t>- - - Three of the same intervention performed</x:t>
  </x:si>
  <x:si>
    <x:t>http://id.who.int/icd/entity/92143865</x:t>
  </x:si>
  <x:si>
    <x:t>http://id.who.int/icd/release/11/beta/ichi/92143865</x:t>
  </x:si>
  <x:si>
    <x:t>- - - Four of the same intervention performed</x:t>
  </x:si>
  <x:si>
    <x:t>http://id.who.int/icd/entity/1069567007</x:t>
  </x:si>
  <x:si>
    <x:t>http://id.who.int/icd/release/11/beta/ichi/1069567007</x:t>
  </x:si>
  <x:si>
    <x:t>- - - Five of the same intervention performed</x:t>
  </x:si>
  <x:si>
    <x:t>http://id.who.int/icd/entity/180848747</x:t>
  </x:si>
  <x:si>
    <x:t>http://id.who.int/icd/release/11/beta/ichi/180848747</x:t>
  </x:si>
  <x:si>
    <x:t>- - - Six of the same intervention performed</x:t>
  </x:si>
  <x:si>
    <x:t>http://id.who.int/icd/entity/1900100940</x:t>
  </x:si>
  <x:si>
    <x:t>http://id.who.int/icd/release/11/beta/ichi/1900100940</x:t>
  </x:si>
  <x:si>
    <x:t>- - - Seven of the same intervention performed</x:t>
  </x:si>
  <x:si>
    <x:t>http://id.who.int/icd/entity/1968904966</x:t>
  </x:si>
  <x:si>
    <x:t>http://id.who.int/icd/release/11/beta/ichi/1968904966</x:t>
  </x:si>
  <x:si>
    <x:t>- - - Eight of the same intervention performed</x:t>
  </x:si>
  <x:si>
    <x:t>http://id.who.int/icd/entity/1079828336</x:t>
  </x:si>
  <x:si>
    <x:t>http://id.who.int/icd/release/11/beta/ichi/1079828336</x:t>
  </x:si>
  <x:si>
    <x:t>- - - Nine of the same intervention performed</x:t>
  </x:si>
  <x:si>
    <x:t>http://id.who.int/icd/entity/548625723</x:t>
  </x:si>
  <x:si>
    <x:t>http://id.who.int/icd/release/11/beta/ichi/548625723</x:t>
  </x:si>
  <x:si>
    <x:t>- - - Ten or more of the same intervention performed</x:t>
  </x:si>
  <x:si>
    <x:t>http://id.who.int/icd/entity/2061669272</x:t>
  </x:si>
  <x:si>
    <x:t>http://id.who.int/icd/release/11/beta/ichi/2061669272</x:t>
  </x:si>
  <x:si>
    <x:t>- - Number of therapeutic products inserted</x:t>
  </x:si>
  <x:si>
    <x:t>http://id.who.int/icd/entity/345673983</x:t>
  </x:si>
  <x:si>
    <x:t>http://id.who.int/icd/release/11/beta/ichi/345673983</x:t>
  </x:si>
  <x:si>
    <x:t>- - - Two therapeutic products inserted</x:t>
  </x:si>
  <x:si>
    <x:t>http://id.who.int/icd/entity/1057814113</x:t>
  </x:si>
  <x:si>
    <x:t>http://id.who.int/icd/release/11/beta/ichi/1057814113</x:t>
  </x:si>
  <x:si>
    <x:t>- - - Three therapeutic products inserted</x:t>
  </x:si>
  <x:si>
    <x:t>http://id.who.int/icd/entity/168505877</x:t>
  </x:si>
  <x:si>
    <x:t>http://id.who.int/icd/release/11/beta/ichi/168505877</x:t>
  </x:si>
  <x:si>
    <x:t>- - - Four therapeutic products inserted</x:t>
  </x:si>
  <x:si>
    <x:t>http://id.who.int/icd/entity/817200883</x:t>
  </x:si>
  <x:si>
    <x:t>http://id.who.int/icd/release/11/beta/ichi/817200883</x:t>
  </x:si>
  <x:si>
    <x:t>- - - Five therapeutic products inserted</x:t>
  </x:si>
  <x:si>
    <x:t>http://id.who.int/icd/entity/95599239</x:t>
  </x:si>
  <x:si>
    <x:t>http://id.who.int/icd/release/11/beta/ichi/95599239</x:t>
  </x:si>
  <x:si>
    <x:t>- - - Six therapeutic products inserted</x:t>
  </x:si>
  <x:si>
    <x:t>http://id.who.int/icd/entity/2117341096</x:t>
  </x:si>
  <x:si>
    <x:t>http://id.who.int/icd/release/11/beta/ichi/2117341096</x:t>
  </x:si>
  <x:si>
    <x:t>- - - Seven therapeutic products inserted</x:t>
  </x:si>
  <x:si>
    <x:t>http://id.who.int/icd/entity/360194865</x:t>
  </x:si>
  <x:si>
    <x:t>http://id.who.int/icd/release/11/beta/ichi/360194865</x:t>
  </x:si>
  <x:si>
    <x:t>- - - Eight therapeutic products inserted</x:t>
  </x:si>
  <x:si>
    <x:t>http://id.who.int/icd/entity/545253189</x:t>
  </x:si>
  <x:si>
    <x:t>http://id.who.int/icd/release/11/beta/ichi/545253189</x:t>
  </x:si>
  <x:si>
    <x:t>- - - Nine therapeutic products inserted</x:t>
  </x:si>
  <x:si>
    <x:t>http://id.who.int/icd/entity/1864115680</x:t>
  </x:si>
  <x:si>
    <x:t>http://id.who.int/icd/release/11/beta/ichi/1864115680</x:t>
  </x:si>
  <x:si>
    <x:t>- - - Ten or more therapeutic products inserted</x:t>
  </x:si>
  <x:si>
    <x:t>http://id.who.int/icd/entity/448900003</x:t>
  </x:si>
  <x:si>
    <x:t>http://id.who.int/icd/release/11/beta/ichi/448900003</x:t>
  </x:si>
  <x:si>
    <x:t>- Telehealth</x:t>
  </x:si>
  <x:si>
    <x:t>http://id.who.int/icd/entity/801533911</x:t>
  </x:si>
  <x:si>
    <x:t>http://id.who.int/icd/release/11/beta/ichi/801533911</x:t>
  </x:si>
  <x:si>
    <x:t>- - Intervention performed with advice or assistance provided from a distant location</x:t>
  </x:si>
  <x:si>
    <x:t>http://id.who.int/icd/entity/706197689</x:t>
  </x:si>
  <x:si>
    <x:t>http://id.who.int/icd/release/11/beta/ichi/706197689</x:t>
  </x:si>
  <x:si>
    <x:t>- - Intervention provided to recipient/s in a distant location</x:t>
  </x:si>
  <x:si>
    <x:t>http://id.who.int/icd/entity/2053923080</x:t>
  </x:si>
  <x:si>
    <x:t>http://id.who.int/icd/release/11/beta/ichi/2053923080</x:t>
  </x:si>
  <x:si>
    <x:t>- - Interventions delivered via technology, without direct involvement of a human provider</x:t>
  </x:si>
  <x:si>
    <x:t>http://id.who.int/icd/entity/89604631</x:t>
  </x:si>
  <x:si>
    <x:t>http://id.who.int/icd/release/11/beta/ichi/89604631</x:t>
  </x:si>
  <x:si>
    <x:t>- Therapeutic products</x:t>
  </x:si>
  <x:si>
    <x:t>http://id.who.int/icd/entity/810583651</x:t>
  </x:si>
  <x:si>
    <x:t>http://id.who.int/icd/release/11/beta/ichi/810583651</x:t>
  </x:si>
  <x:si>
    <x:t>- - Cardiovascular</x:t>
  </x:si>
  <x:si>
    <x:t>http://id.who.int/icd/entity/546971605</x:t>
  </x:si>
  <x:si>
    <x:t>http://id.who.int/icd/release/11/beta/ichi/546971605</x:t>
  </x:si>
  <x:si>
    <x:t>- - - Muscular VSD occluder</x:t>
  </x:si>
  <x:si>
    <x:t>http://id.who.int/icd/entity/362666913</x:t>
  </x:si>
  <x:si>
    <x:t>http://id.who.int/icd/release/11/beta/ichi/362666913</x:t>
  </x:si>
  <x:si>
    <x:t>- - - Contractility modulation device</x:t>
  </x:si>
  <x:si>
    <x:t>http://id.who.int/icd/entity/1323441340</x:t>
  </x:si>
  <x:si>
    <x:t>http://id.who.int/icd/release/11/beta/ichi/1323441340</x:t>
  </x:si>
  <x:si>
    <x:t>- - - Annuloplasty ring</x:t>
  </x:si>
  <x:si>
    <x:t>http://id.who.int/icd/entity/1604402380</x:t>
  </x:si>
  <x:si>
    <x:t>http://id.who.int/icd/release/11/beta/ichi/1604402380</x:t>
  </x:si>
  <x:si>
    <x:t>- - - Pulmonary Valved Conduit</x:t>
  </x:si>
  <x:si>
    <x:t>http://id.who.int/icd/entity/606570987</x:t>
  </x:si>
  <x:si>
    <x:t>http://id.who.int/icd/release/11/beta/ichi/606570987</x:t>
  </x:si>
  <x:si>
    <x:t>- - - Pacemaker</x:t>
  </x:si>
  <x:si>
    <x:t>http://id.who.int/icd/entity/197182261</x:t>
  </x:si>
  <x:si>
    <x:t>http://id.who.int/icd/release/11/beta/ichi/197182261</x:t>
  </x:si>
  <x:si>
    <x:t>- - - Defibrillator</x:t>
  </x:si>
  <x:si>
    <x:t>http://id.who.int/icd/entity/2095320288</x:t>
  </x:si>
  <x:si>
    <x:t>http://id.who.int/icd/release/11/beta/ichi/2095320288</x:t>
  </x:si>
  <x:si>
    <x:t>- - - Cardiac event recorder</x:t>
  </x:si>
  <x:si>
    <x:t>http://id.who.int/icd/entity/208054125</x:t>
  </x:si>
  <x:si>
    <x:t>http://id.who.int/icd/release/11/beta/ichi/208054125</x:t>
  </x:si>
  <x:si>
    <x:t>- - - Cardiac lead/electrode</x:t>
  </x:si>
  <x:si>
    <x:t>http://id.who.int/icd/entity/371300791</x:t>
  </x:si>
  <x:si>
    <x:t>http://id.who.int/icd/release/11/beta/ichi/371300791</x:t>
  </x:si>
  <x:si>
    <x:t>- - - Intraaortic balloon pump</x:t>
  </x:si>
  <x:si>
    <x:t>http://id.who.int/icd/entity/1721971258</x:t>
  </x:si>
  <x:si>
    <x:t>http://id.who.int/icd/release/11/beta/ichi/1721971258</x:t>
  </x:si>
  <x:si>
    <x:t>- - - External heart assist system</x:t>
  </x:si>
  <x:si>
    <x:t>http://id.who.int/icd/entity/320190025</x:t>
  </x:si>
  <x:si>
    <x:t>http://id.who.int/icd/release/11/beta/ichi/320190025</x:t>
  </x:si>
  <x:si>
    <x:t>- - - Internal heart assist system</x:t>
  </x:si>
  <x:si>
    <x:t>http://id.who.int/icd/entity/954784473</x:t>
  </x:si>
  <x:si>
    <x:t>http://id.who.int/icd/release/11/beta/ichi/954784473</x:t>
  </x:si>
  <x:si>
    <x:t>- - - Artificial heart</x:t>
  </x:si>
  <x:si>
    <x:t>http://id.who.int/icd/entity/699136687</x:t>
  </x:si>
  <x:si>
    <x:t>http://id.who.int/icd/release/11/beta/ichi/699136687</x:t>
  </x:si>
  <x:si>
    <x:t>- - - Embolisation coil(s)</x:t>
  </x:si>
  <x:si>
    <x:t>http://id.who.int/icd/entity/1926512052</x:t>
  </x:si>
  <x:si>
    <x:t>http://id.who.int/icd/release/11/beta/ichi/1926512052</x:t>
  </x:si>
  <x:si>
    <x:t>- - - Coronary stent</x:t>
  </x:si>
  <x:si>
    <x:t>http://id.who.int/icd/entity/427682229</x:t>
  </x:si>
  <x:si>
    <x:t>http://id.who.int/icd/release/11/beta/ichi/427682229</x:t>
  </x:si>
  <x:si>
    <x:t>- - - Carotid Stent</x:t>
  </x:si>
  <x:si>
    <x:t>http://id.who.int/icd/entity/1107439272</x:t>
  </x:si>
  <x:si>
    <x:t>http://id.who.int/icd/release/11/beta/ichi/1107439272</x:t>
  </x:si>
  <x:si>
    <x:t>- - - Endovascular Stent</x:t>
  </x:si>
  <x:si>
    <x:t>http://id.who.int/icd/entity/1396772576</x:t>
  </x:si>
  <x:si>
    <x:t>http://id.who.int/icd/release/11/beta/ichi/1396772576</x:t>
  </x:si>
  <x:si>
    <x:t>- - - Vascular [nitinol mesh] plug</x:t>
  </x:si>
  <x:si>
    <x:t>http://id.who.int/icd/entity/684178431</x:t>
  </x:si>
  <x:si>
    <x:t>http://id.who.int/icd/release/11/beta/ichi/684178431</x:t>
  </x:si>
  <x:si>
    <x:t>- - - Implanted (venous)(access) port</x:t>
  </x:si>
  <x:si>
    <x:t>http://id.who.int/icd/entity/1450516770</x:t>
  </x:si>
  <x:si>
    <x:t>http://id.who.int/icd/release/11/beta/ichi/1450516770</x:t>
  </x:si>
  <x:si>
    <x:t>- - - Tunneled central venous catheter</x:t>
  </x:si>
  <x:si>
    <x:t>http://id.who.int/icd/entity/1825271238</x:t>
  </x:si>
  <x:si>
    <x:t>http://id.who.int/icd/release/11/beta/ichi/1825271238</x:t>
  </x:si>
  <x:si>
    <x:t>- - - Peripherally inserted central catheter</x:t>
  </x:si>
  <x:si>
    <x:t>http://id.who.int/icd/entity/1506585012</x:t>
  </x:si>
  <x:si>
    <x:t>http://id.who.int/icd/release/11/beta/ichi/1506585012</x:t>
  </x:si>
  <x:si>
    <x:t>- - - Central venous catheter</x:t>
  </x:si>
  <x:si>
    <x:t>http://id.who.int/icd/entity/798351548</x:t>
  </x:si>
  <x:si>
    <x:t>http://id.who.int/icd/release/11/beta/ichi/798351548</x:t>
  </x:si>
  <x:si>
    <x:t>- - - Microcatheter</x:t>
  </x:si>
  <x:si>
    <x:t>http://id.who.int/icd/entity/575282323</x:t>
  </x:si>
  <x:si>
    <x:t>http://id.who.int/icd/release/11/beta/ichi/575282323</x:t>
  </x:si>
  <x:si>
    <x:t>- - - Pressure sensor monitor in heart and vessels not otherwise specified</x:t>
  </x:si>
  <x:si>
    <x:t>http://id.who.int/icd/entity/111757537</x:t>
  </x:si>
  <x:si>
    <x:t>http://id.who.int/icd/release/11/beta/ichi/111757537</x:t>
  </x:si>
  <x:si>
    <x:t>- - - Implantable haemodynamic monitor</x:t>
  </x:si>
  <x:si>
    <x:t>http://id.who.int/icd/entity/229463629</x:t>
  </x:si>
  <x:si>
    <x:t>http://id.who.int/icd/release/11/beta/ichi/229463629</x:t>
  </x:si>
  <x:si>
    <x:t>- - - Atrial septal occluder device</x:t>
  </x:si>
  <x:si>
    <x:t>http://id.who.int/icd/entity/1284878218</x:t>
  </x:si>
  <x:si>
    <x:t>http://id.who.int/icd/release/11/beta/ichi/1284878218</x:t>
  </x:si>
  <x:si>
    <x:t>- - - Ventricular septal occluder device</x:t>
  </x:si>
  <x:si>
    <x:t>http://id.who.int/icd/entity/2039639040</x:t>
  </x:si>
  <x:si>
    <x:t>http://id.who.int/icd/release/11/beta/ichi/2039639040</x:t>
  </x:si>
  <x:si>
    <x:t>- - - Patent foramen ovale occluder device</x:t>
  </x:si>
  <x:si>
    <x:t>http://id.who.int/icd/entity/696432705</x:t>
  </x:si>
  <x:si>
    <x:t>http://id.who.int/icd/release/11/beta/ichi/696432705</x:t>
  </x:si>
  <x:si>
    <x:t>- - - Patent arterial duct occluder device</x:t>
  </x:si>
  <x:si>
    <x:t>http://id.who.int/icd/entity/478510133</x:t>
  </x:si>
  <x:si>
    <x:t>http://id.who.int/icd/release/11/beta/ichi/478510133</x:t>
  </x:si>
  <x:si>
    <x:t>- - - Valve, mechanical</x:t>
  </x:si>
  <x:si>
    <x:t>http://id.who.int/icd/entity/1728301334</x:t>
  </x:si>
  <x:si>
    <x:t>http://id.who.int/icd/release/11/beta/ichi/1728301334</x:t>
  </x:si>
  <x:si>
    <x:t>- - - Pulmonary valveless conduit</x:t>
  </x:si>
  <x:si>
    <x:t>http://id.who.int/icd/entity/641413331</x:t>
  </x:si>
  <x:si>
    <x:t>http://id.who.int/icd/release/11/beta/ichi/641413331</x:t>
  </x:si>
  <x:si>
    <x:t>- - - Intracardiac stent</x:t>
  </x:si>
  <x:si>
    <x:t>http://id.who.int/icd/entity/322761895</x:t>
  </x:si>
  <x:si>
    <x:t>http://id.who.int/icd/release/11/beta/ichi/322761895</x:t>
  </x:si>
  <x:si>
    <x:t>- - - Other cardiovascular device, not otherwise specified</x:t>
  </x:si>
  <x:si>
    <x:t>http://id.who.int/icd/entity/66481425</x:t>
  </x:si>
  <x:si>
    <x:t>http://id.who.int/icd/release/11/beta/ichi/66481425</x:t>
  </x:si>
  <x:si>
    <x:t>- - - Unspecified cardiovascular device</x:t>
  </x:si>
  <x:si>
    <x:t>http://id.who.int/icd/entity/921807205</x:t>
  </x:si>
  <x:si>
    <x:t>http://id.who.int/icd/release/11/beta/ichi/921807205</x:t>
  </x:si>
  <x:si>
    <x:t>- - Dental</x:t>
  </x:si>
  <x:si>
    <x:t>http://id.who.int/icd/entity/1299651652</x:t>
  </x:si>
  <x:si>
    <x:t>http://id.who.int/icd/release/11/beta/ichi/1299651652</x:t>
  </x:si>
  <x:si>
    <x:t>- - - Fixed dental implant</x:t>
  </x:si>
  <x:si>
    <x:t>http://id.who.int/icd/entity/2093829646</x:t>
  </x:si>
  <x:si>
    <x:t>http://id.who.int/icd/release/11/beta/ichi/2093829646</x:t>
  </x:si>
  <x:si>
    <x:t>- - - Fixed prosthodontic device</x:t>
  </x:si>
  <x:si>
    <x:t>http://id.who.int/icd/entity/122420015</x:t>
  </x:si>
  <x:si>
    <x:t>http://id.who.int/icd/release/11/beta/ichi/122420015</x:t>
  </x:si>
  <x:si>
    <x:t>- - - Removable prosthodontic device</x:t>
  </x:si>
  <x:si>
    <x:t>http://id.who.int/icd/entity/476087461</x:t>
  </x:si>
  <x:si>
    <x:t>http://id.who.int/icd/release/11/beta/ichi/476087461</x:t>
  </x:si>
  <x:si>
    <x:t>- - - Retentive device</x:t>
  </x:si>
  <x:si>
    <x:t>http://id.who.int/icd/entity/694632657</x:t>
  </x:si>
  <x:si>
    <x:t>http://id.who.int/icd/release/11/beta/ichi/694632657</x:t>
  </x:si>
  <x:si>
    <x:t>- - - Other dental implant</x:t>
  </x:si>
  <x:si>
    <x:t>http://id.who.int/icd/entity/1448895440</x:t>
  </x:si>
  <x:si>
    <x:t>http://id.who.int/icd/release/11/beta/ichi/1448895440</x:t>
  </x:si>
  <x:si>
    <x:t>- - - Unspecified dental implant</x:t>
  </x:si>
  <x:si>
    <x:t>http://id.who.int/icd/entity/1666951098</x:t>
  </x:si>
  <x:si>
    <x:t>http://id.who.int/icd/release/11/beta/ichi/1666951098</x:t>
  </x:si>
  <x:si>
    <x:t>- - Ear</x:t>
  </x:si>
  <x:si>
    <x:t>http://id.who.int/icd/entity/1938898444</x:t>
  </x:si>
  <x:si>
    <x:t>http://id.who.int/icd/release/11/beta/ichi/1938898444</x:t>
  </x:si>
  <x:si>
    <x:t>- - - Cochlear implant</x:t>
  </x:si>
  <x:si>
    <x:t>http://id.who.int/icd/entity/602597309</x:t>
  </x:si>
  <x:si>
    <x:t>http://id.who.int/icd/release/11/beta/ichi/602597309</x:t>
  </x:si>
  <x:si>
    <x:t>- - - Bone anchored hearing system</x:t>
  </x:si>
  <x:si>
    <x:t>http://id.who.int/icd/entity/424979291</x:t>
  </x:si>
  <x:si>
    <x:t>http://id.who.int/icd/release/11/beta/ichi/424979291</x:t>
  </x:si>
  <x:si>
    <x:t>- - - Other ear implant</x:t>
  </x:si>
  <x:si>
    <x:t>http://id.who.int/icd/entity/743665455</x:t>
  </x:si>
  <x:si>
    <x:t>http://id.who.int/icd/release/11/beta/ichi/743665455</x:t>
  </x:si>
  <x:si>
    <x:t>- - - Unspecified ear implant</x:t>
  </x:si>
  <x:si>
    <x:t>http://id.who.int/icd/entity/1473632782</x:t>
  </x:si>
  <x:si>
    <x:t>http://id.who.int/icd/release/11/beta/ichi/1473632782</x:t>
  </x:si>
  <x:si>
    <x:t>- - Endocrine/metabolic</x:t>
  </x:si>
  <x:si>
    <x:t>http://id.who.int/icd/entity/1406139456</x:t>
  </x:si>
  <x:si>
    <x:t>http://id.who.int/icd/release/11/beta/ichi/1406139456</x:t>
  </x:si>
  <x:si>
    <x:t>- - - Implantable blood glucose monitoring system</x:t>
  </x:si>
  <x:si>
    <x:t>http://id.who.int/icd/entity/2016579792</x:t>
  </x:si>
  <x:si>
    <x:t>http://id.who.int/icd/release/11/beta/ichi/2016579792</x:t>
  </x:si>
  <x:si>
    <x:t>- - - Implantable drug infusion pump</x:t>
  </x:si>
  <x:si>
    <x:t>http://id.who.int/icd/entity/1769058472</x:t>
  </x:si>
  <x:si>
    <x:t>http://id.who.int/icd/release/11/beta/ichi/1769058472</x:t>
  </x:si>
  <x:si>
    <x:t>- - - Implantable drug reservoir</x:t>
  </x:si>
  <x:si>
    <x:t>http://id.who.int/icd/entity/1222446104</x:t>
  </x:si>
  <x:si>
    <x:t>http://id.who.int/icd/release/11/beta/ichi/1222446104</x:t>
  </x:si>
  <x:si>
    <x:t>- - - Implantable drug delivery system</x:t>
  </x:si>
  <x:si>
    <x:t>http://id.who.int/icd/entity/2111490158</x:t>
  </x:si>
  <x:si>
    <x:t>http://id.who.int/icd/release/11/beta/ichi/2111490158</x:t>
  </x:si>
  <x:si>
    <x:t>- - - Subdermal progesterone implant</x:t>
  </x:si>
  <x:si>
    <x:t>http://id.who.int/icd/entity/106724685</x:t>
  </x:si>
  <x:si>
    <x:t>http://id.who.int/icd/release/11/beta/ichi/106724685</x:t>
  </x:si>
  <x:si>
    <x:t>- - - Other endocrine or metabolic implant</x:t>
  </x:si>
  <x:si>
    <x:t>http://id.who.int/icd/entity/1738405560</x:t>
  </x:si>
  <x:si>
    <x:t>http://id.who.int/icd/release/11/beta/ichi/1738405560</x:t>
  </x:si>
  <x:si>
    <x:t>- - - Unspecified endocrine or metabolic implant</x:t>
  </x:si>
  <x:si>
    <x:t>http://id.who.int/icd/entity/1281399336</x:t>
  </x:si>
  <x:si>
    <x:t>http://id.who.int/icd/release/11/beta/ichi/1281399336</x:t>
  </x:si>
  <x:si>
    <x:t>- - Eye</x:t>
  </x:si>
  <x:si>
    <x:t>http://id.who.int/icd/entity/657241777</x:t>
  </x:si>
  <x:si>
    <x:t>http://id.who.int/icd/release/11/beta/ichi/657241777</x:t>
  </x:si>
  <x:si>
    <x:t>- - - Intraocular lens</x:t>
  </x:si>
  <x:si>
    <x:t>http://id.who.int/icd/entity/304837317</x:t>
  </x:si>
  <x:si>
    <x:t>http://id.who.int/icd/release/11/beta/ichi/304837317</x:t>
  </x:si>
  <x:si>
    <x:t>- - - Anterior chamber implant</x:t>
  </x:si>
  <x:si>
    <x:t>http://id.who.int/icd/entity/1829786076</x:t>
  </x:si>
  <x:si>
    <x:t>http://id.who.int/icd/release/11/beta/ichi/1829786076</x:t>
  </x:si>
  <x:si>
    <x:t>- - - Posterior chamber implant</x:t>
  </x:si>
  <x:si>
    <x:t>http://id.who.int/icd/entity/1477940654</x:t>
  </x:si>
  <x:si>
    <x:t>http://id.who.int/icd/release/11/beta/ichi/1477940654</x:t>
  </x:si>
  <x:si>
    <x:t>- - - - Rigid posterior chamber implant; rigid lens</x:t>
  </x:si>
  <x:si>
    <x:t>http://id.who.int/icd/entity/407055673</x:t>
  </x:si>
  <x:si>
    <x:t>http://id.who.int/icd/release/11/beta/ichi/407055673</x:t>
  </x:si>
  <x:si>
    <x:t>- - - - Folded posterior chamber implant</x:t>
  </x:si>
  <x:si>
    <x:t>http://id.who.int/icd/entity/1757513398</x:t>
  </x:si>
  <x:si>
    <x:t>http://id.who.int/icd/release/11/beta/ichi/1757513398</x:t>
  </x:si>
  <x:si>
    <x:t>- - - - Other posterior chamber implant</x:t>
  </x:si>
  <x:si>
    <x:t>http://id.who.int/icd/entity/1384106578</x:t>
  </x:si>
  <x:si>
    <x:t>http://id.who.int/icd/release/11/beta/ichi/1384106578</x:t>
  </x:si>
  <x:si>
    <x:t>- - - - Unspecified posterior chamber implant</x:t>
  </x:si>
  <x:si>
    <x:t>http://id.who.int/icd/release/11/beta/ichi/1829786076/other</x:t>
  </x:si>
  <x:si>
    <x:t>- - - - Other specified posterior chamber implant</x:t>
  </x:si>
  <x:si>
    <x:t>http://id.who.int/icd/release/11/beta/ichi/1829786076/unspecified</x:t>
  </x:si>
  <x:si>
    <x:t>- - - - Posterior chamber implant, unspecified</x:t>
  </x:si>
  <x:si>
    <x:t>http://id.who.int/icd/entity/1735921192</x:t>
  </x:si>
  <x:si>
    <x:t>http://id.who.int/icd/release/11/beta/ichi/1735921192</x:t>
  </x:si>
  <x:si>
    <x:t>- - - Scleral implant</x:t>
  </x:si>
  <x:si>
    <x:t>http://id.who.int/icd/entity/1007143227</x:t>
  </x:si>
  <x:si>
    <x:t>http://id.who.int/icd/release/11/beta/ichi/1007143227</x:t>
  </x:si>
  <x:si>
    <x:t>- - - Implantable miniature telescope for eye replacement</x:t>
  </x:si>
  <x:si>
    <x:t>http://id.who.int/icd/entity/1464591788</x:t>
  </x:si>
  <x:si>
    <x:t>http://id.who.int/icd/release/11/beta/ichi/1464591788</x:t>
  </x:si>
  <x:si>
    <x:t>- - - Occlusive device</x:t>
  </x:si>
  <x:si>
    <x:t>http://id.who.int/icd/entity/1649156570</x:t>
  </x:si>
  <x:si>
    <x:t>http://id.who.int/icd/release/11/beta/ichi/1649156570</x:t>
  </x:si>
  <x:si>
    <x:t>- - - Ocular implant</x:t>
  </x:si>
  <x:si>
    <x:t>http://id.who.int/icd/entity/1292688246</x:t>
  </x:si>
  <x:si>
    <x:t>http://id.who.int/icd/release/11/beta/ichi/1292688246</x:t>
  </x:si>
  <x:si>
    <x:t>- - - Orbital implant</x:t>
  </x:si>
  <x:si>
    <x:t>http://id.who.int/icd/entity/376642667</x:t>
  </x:si>
  <x:si>
    <x:t>http://id.who.int/icd/release/11/beta/ichi/376642667</x:t>
  </x:si>
  <x:si>
    <x:t>- - - Other eye implant</x:t>
  </x:si>
  <x:si>
    <x:t>http://id.who.int/icd/entity/308886053</x:t>
  </x:si>
  <x:si>
    <x:t>http://id.who.int/icd/release/11/beta/ichi/308886053</x:t>
  </x:si>
  <x:si>
    <x:t>- - - Unspecified eye implant</x:t>
  </x:si>
  <x:si>
    <x:t>http://id.who.int/icd/entity/426583177</x:t>
  </x:si>
  <x:si>
    <x:t>http://id.who.int/icd/release/11/beta/ichi/426583177</x:t>
  </x:si>
  <x:si>
    <x:t>- - Gastroenterology</x:t>
  </x:si>
  <x:si>
    <x:t>http://id.who.int/icd/entity/1482022224</x:t>
  </x:si>
  <x:si>
    <x:t>http://id.who.int/icd/release/11/beta/ichi/1482022224</x:t>
  </x:si>
  <x:si>
    <x:t>- - - Adjustable gastric band\n</x:t>
  </x:si>
  <x:si>
    <x:t>http://id.who.int/icd/entity/1397867490</x:t>
  </x:si>
  <x:si>
    <x:t>http://id.who.int/icd/release/11/beta/ichi/1397867490</x:t>
  </x:si>
  <x:si>
    <x:t>- - - Gastric pacemaker</x:t>
  </x:si>
  <x:si>
    <x:t>http://id.who.int/icd/entity/2026349950</x:t>
  </x:si>
  <x:si>
    <x:t>http://id.who.int/icd/release/11/beta/ichi/2026349950</x:t>
  </x:si>
  <x:si>
    <x:t>- - - Gastric pacemaker lead</x:t>
  </x:si>
  <x:si>
    <x:t>http://id.who.int/icd/entity/1942207440</x:t>
  </x:si>
  <x:si>
    <x:t>http://id.who.int/icd/release/11/beta/ichi/1942207440</x:t>
  </x:si>
  <x:si>
    <x:t>- - - Gastroenterologic basket device</x:t>
  </x:si>
  <x:si>
    <x:t>http://id.who.int/icd/entity/855327255</x:t>
  </x:si>
  <x:si>
    <x:t>http://id.who.int/icd/release/11/beta/ichi/855327255</x:t>
  </x:si>
  <x:si>
    <x:t>- - - Percutaneous endoscopic gastrostomy tube</x:t>
  </x:si>
  <x:si>
    <x:t>http://id.who.int/icd/entity/419835527</x:t>
  </x:si>
  <x:si>
    <x:t>http://id.who.int/icd/release/11/beta/ichi/419835527</x:t>
  </x:si>
  <x:si>
    <x:t>- - - Colonic Stent</x:t>
  </x:si>
  <x:si>
    <x:t>http://id.who.int/icd/entity/1387491372</x:t>
  </x:si>
  <x:si>
    <x:t>http://id.who.int/icd/release/11/beta/ichi/1387491372</x:t>
  </x:si>
  <x:si>
    <x:t>- - - Artificial anal sphincter</x:t>
  </x:si>
  <x:si>
    <x:t>http://id.who.int/icd/entity/1739895898</x:t>
  </x:si>
  <x:si>
    <x:t>http://id.who.int/icd/release/11/beta/ichi/1739895898</x:t>
  </x:si>
  <x:si>
    <x:t>- - - Artificial bowel sphincter</x:t>
  </x:si>
  <x:si>
    <x:t>http://id.who.int/icd/entity/1561000126</x:t>
  </x:si>
  <x:si>
    <x:t>http://id.who.int/icd/release/11/beta/ichi/1561000126</x:t>
  </x:si>
  <x:si>
    <x:t>- - - Other gastroenterological implant</x:t>
  </x:si>
  <x:si>
    <x:t>http://id.who.int/icd/entity/763908915</x:t>
  </x:si>
  <x:si>
    <x:t>http://id.who.int/icd/release/11/beta/ichi/763908915</x:t>
  </x:si>
  <x:si>
    <x:t>- - - Unspecified gastroenterological implant</x:t>
  </x:si>
  <x:si>
    <x:t>http://id.who.int/icd/entity/1294309784</x:t>
  </x:si>
  <x:si>
    <x:t>http://id.who.int/icd/release/11/beta/ichi/1294309784</x:t>
  </x:si>
  <x:si>
    <x:t>- - Genitourinary</x:t>
  </x:si>
  <x:si>
    <x:t>http://id.who.int/icd/entity/2015518190</x:t>
  </x:si>
  <x:si>
    <x:t>http://id.who.int/icd/release/11/beta/ichi/2015518190</x:t>
  </x:si>
  <x:si>
    <x:t>- - - Cystostomy tube</x:t>
  </x:si>
  <x:si>
    <x:t>http://id.who.int/icd/entity/593337073</x:t>
  </x:si>
  <x:si>
    <x:t>http://id.who.int/icd/release/11/beta/ichi/593337073</x:t>
  </x:si>
  <x:si>
    <x:t>- - - Urinary basket device</x:t>
  </x:si>
  <x:si>
    <x:t>http://id.who.int/icd/entity/1650811704</x:t>
  </x:si>
  <x:si>
    <x:t>http://id.who.int/icd/release/11/beta/ichi/1650811704</x:t>
  </x:si>
  <x:si>
    <x:t>- - - Percutaneous nephrostomy catheter</x:t>
  </x:si>
  <x:si>
    <x:t>http://id.who.int/icd/entity/1466083138</x:t>
  </x:si>
  <x:si>
    <x:t>http://id.who.int/icd/release/11/beta/ichi/1466083138</x:t>
  </x:si>
  <x:si>
    <x:t>- - - Urinary incontinence stimulator electrode</x:t>
  </x:si>
  <x:si>
    <x:t>http://id.who.int/icd/entity/36524301</x:t>
  </x:si>
  <x:si>
    <x:t>http://id.who.int/icd/release/11/beta/ichi/36524301</x:t>
  </x:si>
  <x:si>
    <x:t>- - - Artificial urinary sphincter</x:t>
  </x:si>
  <x:si>
    <x:t>http://id.who.int/icd/entity/925537657</x:t>
  </x:si>
  <x:si>
    <x:t>http://id.who.int/icd/release/11/beta/ichi/925537657</x:t>
  </x:si>
  <x:si>
    <x:t>- - - Artificial spermatocele</x:t>
  </x:si>
  <x:si>
    <x:t>http://id.who.int/icd/entity/227858847</x:t>
  </x:si>
  <x:si>
    <x:t>http://id.who.int/icd/release/11/beta/ichi/227858847</x:t>
  </x:si>
  <x:si>
    <x:t>- - - Scrotal ejaculation device</x:t>
  </x:si>
  <x:si>
    <x:t>http://id.who.int/icd/entity/949165547</x:t>
  </x:si>
  <x:si>
    <x:t>http://id.who.int/icd/release/11/beta/ichi/949165547</x:t>
  </x:si>
  <x:si>
    <x:t>- - - Inflatable hydraulic penile prosthesis</x:t>
  </x:si>
  <x:si>
    <x:t>http://id.who.int/icd/entity/1125492940</x:t>
  </x:si>
  <x:si>
    <x:t>http://id.who.int/icd/release/11/beta/ichi/1125492940</x:t>
  </x:si>
  <x:si>
    <x:t>- - - Inguinal ejaculation device</x:t>
  </x:si>
  <x:si>
    <x:t>http://id.who.int/icd/entity/1192201862</x:t>
  </x:si>
  <x:si>
    <x:t>http://id.who.int/icd/release/11/beta/ichi/1192201862</x:t>
  </x:si>
  <x:si>
    <x:t>- - - Vaginal pessary</x:t>
  </x:si>
  <x:si>
    <x:t>http://id.who.int/icd/entity/1391540430</x:t>
  </x:si>
  <x:si>
    <x:t>http://id.who.int/icd/release/11/beta/ichi/1391540430</x:t>
  </x:si>
  <x:si>
    <x:t>- - - Intrauterine contraceptive device</x:t>
  </x:si>
  <x:si>
    <x:t>http://id.who.int/icd/entity/221473263</x:t>
  </x:si>
  <x:si>
    <x:t>http://id.who.int/icd/release/11/beta/ichi/221473263</x:t>
  </x:si>
  <x:si>
    <x:t>- - - Occlusion device(s)</x:t>
  </x:si>
  <x:si>
    <x:t>http://id.who.int/icd/entity/1360225001</x:t>
  </x:si>
  <x:si>
    <x:t>http://id.who.int/icd/release/11/beta/ichi/1360225001</x:t>
  </x:si>
  <x:si>
    <x:t>- - - Other genitourinary implant</x:t>
  </x:si>
  <x:si>
    <x:t>http://id.who.int/icd/entity/1156437153</x:t>
  </x:si>
  <x:si>
    <x:t>http://id.who.int/icd/release/11/beta/ichi/1156437153</x:t>
  </x:si>
  <x:si>
    <x:t>- - - Unspecified genitourinary implant</x:t>
  </x:si>
  <x:si>
    <x:t>http://id.who.int/icd/entity/1064001920</x:t>
  </x:si>
  <x:si>
    <x:t>http://id.who.int/icd/release/11/beta/ichi/1064001920</x:t>
  </x:si>
  <x:si>
    <x:t>- - Nervous</x:t>
  </x:si>
  <x:si>
    <x:t>http://id.who.int/icd/entity/2119407687</x:t>
  </x:si>
  <x:si>
    <x:t>http://id.who.int/icd/release/11/beta/ichi/2119407687</x:t>
  </x:si>
  <x:si>
    <x:t>- - - Deep brain stimulator electrode</x:t>
  </x:si>
  <x:si>
    <x:t>http://id.who.int/icd/entity/1437529303</x:t>
  </x:si>
  <x:si>
    <x:t>http://id.who.int/icd/release/11/beta/ichi/1437529303</x:t>
  </x:si>
  <x:si>
    <x:t>- - - Holter valve ventricular shunt</x:t>
  </x:si>
  <x:si>
    <x:t>http://id.who.int/icd/entity/1055053890</x:t>
  </x:si>
  <x:si>
    <x:t>http://id.who.int/icd/release/11/beta/ichi/1055053890</x:t>
  </x:si>
  <x:si>
    <x:t>- - - Intrathecal catheter spinal</x:t>
  </x:si>
  <x:si>
    <x:t>http://id.who.int/icd/entity/354399442</x:t>
  </x:si>
  <x:si>
    <x:t>http://id.who.int/icd/release/11/beta/ichi/354399442</x:t>
  </x:si>
  <x:si>
    <x:t>- - - Ventricular shunt</x:t>
  </x:si>
  <x:si>
    <x:t>http://id.who.int/icd/entity/73176230</x:t>
  </x:si>
  <x:si>
    <x:t>http://id.who.int/icd/release/11/beta/ichi/73176230</x:t>
  </x:si>
  <x:si>
    <x:t>- - - Ventricular Access Device</x:t>
  </x:si>
  <x:si>
    <x:t>http://id.who.int/icd/entity/2145001863</x:t>
  </x:si>
  <x:si>
    <x:t>http://id.who.int/icd/release/11/beta/ichi/2145001863</x:t>
  </x:si>
  <x:si>
    <x:t>- - - Neurostimulator generator</x:t>
  </x:si>
  <x:si>
    <x:t>http://id.who.int/icd/entity/1896867909</x:t>
  </x:si>
  <x:si>
    <x:t>http://id.who.int/icd/release/11/beta/ichi/1896867909</x:t>
  </x:si>
  <x:si>
    <x:t>- - - Carotid artery sinus electrode</x:t>
  </x:si>
  <x:si>
    <x:t>http://id.who.int/icd/entity/1269933219</x:t>
  </x:si>
  <x:si>
    <x:t>http://id.who.int/icd/release/11/beta/ichi/1269933219</x:t>
  </x:si>
  <x:si>
    <x:t>- - - Neurostimulator electrode in peripheral nervous system</x:t>
  </x:si>
  <x:si>
    <x:t>http://id.who.int/icd/entity/1582240491</x:t>
  </x:si>
  <x:si>
    <x:t>http://id.who.int/icd/release/11/beta/ichi/1582240491</x:t>
  </x:si>
  <x:si>
    <x:t>- - - Phrenic nerve stimulator generator</x:t>
  </x:si>
  <x:si>
    <x:t>http://id.who.int/icd/entity/633972682</x:t>
  </x:si>
  <x:si>
    <x:t>http://id.who.int/icd/release/11/beta/ichi/633972682</x:t>
  </x:si>
  <x:si>
    <x:t>- - - Phrenic nerve stimulator electrode</x:t>
  </x:si>
  <x:si>
    <x:t>http://id.who.int/icd/entity/1317374813</x:t>
  </x:si>
  <x:si>
    <x:t>http://id.who.int/icd/release/11/beta/ichi/1317374813</x:t>
  </x:si>
  <x:si>
    <x:t>- - - Sacral nerve modulation electrode</x:t>
  </x:si>
  <x:si>
    <x:t>http://id.who.int/icd/entity/1166120433</x:t>
  </x:si>
  <x:si>
    <x:t>http://id.who.int/icd/release/11/beta/ichi/1166120433</x:t>
  </x:si>
  <x:si>
    <x:t>- - - Spinal cord neurostimulator electrode</x:t>
  </x:si>
  <x:si>
    <x:t>http://id.who.int/icd/entity/79260726</x:t>
  </x:si>
  <x:si>
    <x:t>http://id.who.int/icd/release/11/beta/ichi/79260726</x:t>
  </x:si>
  <x:si>
    <x:t>- - - Other nervous implant</x:t>
  </x:si>
  <x:si>
    <x:t>http://id.who.int/icd/entity/289921662</x:t>
  </x:si>
  <x:si>
    <x:t>http://id.who.int/icd/release/11/beta/ichi/289921662</x:t>
  </x:si>
  <x:si>
    <x:t>- - - Unspecified nervous implant</x:t>
  </x:si>
  <x:si>
    <x:t>http://id.who.int/icd/entity/1859864849</x:t>
  </x:si>
  <x:si>
    <x:t>http://id.who.int/icd/release/11/beta/ichi/1859864849</x:t>
  </x:si>
  <x:si>
    <x:t>- - Orthopaedic</x:t>
  </x:si>
  <x:si>
    <x:t>39</x:t>
  </x:si>
  <x:si>
    <x:t>http://id.who.int/icd/entity/1541180773</x:t>
  </x:si>
  <x:si>
    <x:t>http://id.who.int/icd/release/11/beta/ichi/1541180773</x:t>
  </x:si>
  <x:si>
    <x:t>- - - Internal corrective device</x:t>
  </x:si>
  <x:si>
    <x:t>http://id.who.int/icd/entity/542783558</x:t>
  </x:si>
  <x:si>
    <x:t>http://id.who.int/icd/release/11/beta/ichi/542783558</x:t>
  </x:si>
  <x:si>
    <x:t>- - - Internal fixation device, not otherwise specified</x:t>
  </x:si>
  <x:si>
    <x:t>http://id.who.int/icd/entity/1628031885</x:t>
  </x:si>
  <x:si>
    <x:t>http://id.who.int/icd/release/11/beta/ichi/1628031885</x:t>
  </x:si>
  <x:si>
    <x:t>- - - Intramedullary nail</x:t>
  </x:si>
  <x:si>
    <x:t>http://id.who.int/icd/entity/1410207737</x:t>
  </x:si>
  <x:si>
    <x:t>http://id.who.int/icd/release/11/beta/ichi/1410207737</x:t>
  </x:si>
  <x:si>
    <x:t>- - - Keel or plate</x:t>
  </x:si>
  <x:si>
    <x:t>http://id.who.int/icd/entity/1857045279</x:t>
  </x:si>
  <x:si>
    <x:t>http://id.who.int/icd/release/11/beta/ichi/1857045279</x:t>
  </x:si>
  <x:si>
    <x:t>- - - Pin and/or nail</x:t>
  </x:si>
  <x:si>
    <x:t>http://id.who.int/icd/entity/1538754411</x:t>
  </x:si>
  <x:si>
    <x:t>http://id.who.int/icd/release/11/beta/ichi/1538754411</x:t>
  </x:si>
  <x:si>
    <x:t>- - - Plate and/or screw</x:t>
  </x:si>
  <x:si>
    <x:t>http://id.who.int/icd/entity/540095050</x:t>
  </x:si>
  <x:si>
    <x:t>http://id.who.int/icd/release/11/beta/ichi/540095050</x:t>
  </x:si>
  <x:si>
    <x:t>- - - Rod with hook</x:t>
  </x:si>
  <x:si>
    <x:t>http://id.who.int/icd/entity/1266491101</x:t>
  </x:si>
  <x:si>
    <x:t>http://id.who.int/icd/release/11/beta/ichi/1266491101</x:t>
  </x:si>
  <x:si>
    <x:t>- - - Transmandibular design implant</x:t>
  </x:si>
  <x:si>
    <x:t>http://id.who.int/icd/entity/2121980585</x:t>
  </x:si>
  <x:si>
    <x:t>http://id.who.int/icd/release/11/beta/ichi/2121980585</x:t>
  </x:si>
  <x:si>
    <x:t>- - - Interspinous process spinal stabilisation device</x:t>
  </x:si>
  <x:si>
    <x:t>http://id.who.int/icd/entity/1153734223</x:t>
  </x:si>
  <x:si>
    <x:t>http://id.who.int/icd/release/11/beta/ichi/1153734223</x:t>
  </x:si>
  <x:si>
    <x:t>- - - Facet replacement spinal stabilisation device</x:t>
  </x:si>
  <x:si>
    <x:t>http://id.who.int/icd/entity/1908625979</x:t>
  </x:si>
  <x:si>
    <x:t>http://id.who.int/icd/release/11/beta/ichi/1908625979</x:t>
  </x:si>
  <x:si>
    <x:t>- - - External fixation device, not otherwise specified</x:t>
  </x:si>
  <x:si>
    <x:t>http://id.who.int/icd/entity/610884838</x:t>
  </x:si>
  <x:si>
    <x:t>http://id.who.int/icd/release/11/beta/ichi/610884838</x:t>
  </x:si>
  <x:si>
    <x:t>- - - External fixation device, limb lengthening</x:t>
  </x:si>
  <x:si>
    <x:t>http://id.who.int/icd/entity/517410818</x:t>
  </x:si>
  <x:si>
    <x:t>http://id.who.int/icd/release/11/beta/ichi/517410818</x:t>
  </x:si>
  <x:si>
    <x:t>- - - Interbody fusion device</x:t>
  </x:si>
  <x:si>
    <x:t>http://id.who.int/icd/entity/735106168</x:t>
  </x:si>
  <x:si>
    <x:t>http://id.who.int/icd/release/11/beta/ichi/735106168</x:t>
  </x:si>
  <x:si>
    <x:t>- - - Interbody cervical fusion system</x:t>
  </x:si>
  <x:si>
    <x:t>http://id.who.int/icd/entity/1347838295</x:t>
  </x:si>
  <x:si>
    <x:t>http://id.who.int/icd/release/11/beta/ichi/1347838295</x:t>
  </x:si>
  <x:si>
    <x:t>- - - Interbody fusion (spine) cage not otherwise specified</x:t>
  </x:si>
  <x:si>
    <x:t>http://id.who.int/icd/entity/991579586</x:t>
  </x:si>
  <x:si>
    <x:t>http://id.who.int/icd/release/11/beta/ichi/991579586</x:t>
  </x:si>
  <x:si>
    <x:t>- - - Lumbar interbody fusion system</x:t>
  </x:si>
  <x:si>
    <x:t>http://id.who.int/icd/entity/807293804</x:t>
  </x:si>
  <x:si>
    <x:t>http://id.who.int/icd/release/11/beta/ichi/807293804</x:t>
  </x:si>
  <x:si>
    <x:t>- - - Acetabular cup, hip</x:t>
  </x:si>
  <x:si>
    <x:t>http://id.who.int/icd/entity/1898359467</x:t>
  </x:si>
  <x:si>
    <x:t>http://id.who.int/icd/release/11/beta/ichi/1898359467</x:t>
  </x:si>
  <x:si>
    <x:t>- - - Articulation hip system</x:t>
  </x:si>
  <x:si>
    <x:t>http://id.who.int/icd/entity/1143041759</x:t>
  </x:si>
  <x:si>
    <x:t>http://id.who.int/icd/release/11/beta/ichi/1143041759</x:t>
  </x:si>
  <x:si>
    <x:t>- - - Hip resurfacing system</x:t>
  </x:si>
  <x:si>
    <x:t>http://id.who.int/icd/entity/457478030</x:t>
  </x:si>
  <x:si>
    <x:t>http://id.who.int/icd/release/11/beta/ichi/457478030</x:t>
  </x:si>
  <x:si>
    <x:t>- - - Hip (joint) liner</x:t>
  </x:si>
  <x:si>
    <x:t>http://id.who.int/icd/entity/776162296</x:t>
  </x:si>
  <x:si>
    <x:t>http://id.who.int/icd/release/11/beta/ichi/776162296</x:t>
  </x:si>
  <x:si>
    <x:t>- - - Hip, femoral neck extension</x:t>
  </x:si>
  <x:si>
    <x:t>http://id.who.int/icd/entity/1439039193</x:t>
  </x:si>
  <x:si>
    <x:t>http://id.who.int/icd/release/11/beta/ichi/1439039193</x:t>
  </x:si>
  <x:si>
    <x:t>- - - Resurfacing device in lower joints, not otherwise specified</x:t>
  </x:si>
  <x:si>
    <x:t>http://id.who.int/icd/entity/352126752</x:t>
  </x:si>
  <x:si>
    <x:t>http://id.who.int/icd/release/11/beta/ichi/352126752</x:t>
  </x:si>
  <x:si>
    <x:t>- - - Tibial insert liner</x:t>
  </x:si>
  <x:si>
    <x:t>http://id.who.int/icd/entity/570082154</x:t>
  </x:si>
  <x:si>
    <x:t>http://id.who.int/icd/release/11/beta/ichi/570082154</x:t>
  </x:si>
  <x:si>
    <x:t>- - - Joint liner (insert) not otherwise specified</x:t>
  </x:si>
  <x:si>
    <x:t>http://id.who.int/icd/entity/1697276433</x:t>
  </x:si>
  <x:si>
    <x:t>http://id.who.int/icd/release/11/beta/ichi/1697276433</x:t>
  </x:si>
  <x:si>
    <x:t>- - - Joint spacer</x:t>
  </x:si>
  <x:si>
    <x:t>http://id.who.int/icd/entity/363383198</x:t>
  </x:si>
  <x:si>
    <x:t>http://id.who.int/icd/release/11/beta/ichi/363383198</x:t>
  </x:si>
  <x:si>
    <x:t>- - - Knee (implant) insert</x:t>
  </x:si>
  <x:si>
    <x:t>http://id.who.int/icd/entity/790005114</x:t>
  </x:si>
  <x:si>
    <x:t>http://id.who.int/icd/release/11/beta/ichi/790005114</x:t>
  </x:si>
  <x:si>
    <x:t>- - - Joint socket replacement</x:t>
  </x:si>
  <x:si>
    <x:t>http://id.who.int/icd/entity/437338384</x:t>
  </x:si>
  <x:si>
    <x:t>http://id.who.int/icd/release/11/beta/ichi/437338384</x:t>
  </x:si>
  <x:si>
    <x:t>- - - Head and joint socket replacement</x:t>
  </x:si>
  <x:si>
    <x:t>http://id.who.int/icd/entity/1637348399</x:t>
  </x:si>
  <x:si>
    <x:t>http://id.who.int/icd/release/11/beta/ichi/1637348399</x:t>
  </x:si>
  <x:si>
    <x:t>- - - Shoulder prosthesis</x:t>
  </x:si>
  <x:si>
    <x:t>http://id.who.int/icd/entity/182180026</x:t>
  </x:si>
  <x:si>
    <x:t>http://id.who.int/icd/release/11/beta/ichi/182180026</x:t>
  </x:si>
  <x:si>
    <x:t>- - - Reverse dual-component shoulder prosthetic device [humeral cup and glenoid head]</x:t>
  </x:si>
  <x:si>
    <x:t>http://id.who.int/icd/entity/1071389900</x:t>
  </x:si>
  <x:si>
    <x:t>http://id.who.int/icd/release/11/beta/ichi/1071389900</x:t>
  </x:si>
  <x:si>
    <x:t>- - - Electrical muscle stimulation electrode</x:t>
  </x:si>
  <x:si>
    <x:t>http://id.who.int/icd/entity/1088896979</x:t>
  </x:si>
  <x:si>
    <x:t>http://id.who.int/icd/release/11/beta/ichi/1088896979</x:t>
  </x:si>
  <x:si>
    <x:t>- - - Bone growth stimulator noninvasive</x:t>
  </x:si>
  <x:si>
    <x:t>http://id.who.int/icd/entity/1273176447</x:t>
  </x:si>
  <x:si>
    <x:t>http://id.who.int/icd/release/11/beta/ichi/1273176447</x:t>
  </x:si>
  <x:si>
    <x:t>- - - Bone growth stimulator invasive</x:t>
  </x:si>
  <x:si>
    <x:t>http://id.who.int/icd/entity/541783416</x:t>
  </x:si>
  <x:si>
    <x:t>http://id.who.int/icd/release/11/beta/ichi/541783416</x:t>
  </x:si>
  <x:si>
    <x:t>- - - Dual-component prosthetic device</x:t>
  </x:si>
  <x:si>
    <x:t>http://id.who.int/icd/entity/1540112473</x:t>
  </x:si>
  <x:si>
    <x:t>http://id.who.int/icd/release/11/beta/ichi/1540112473</x:t>
  </x:si>
  <x:si>
    <x:t>- - - Dual-component prosthetic device with fixative device, not elsewhere classified</x:t>
  </x:si>
  <x:si>
    <x:t>http://id.who.int/icd/entity/452245920</x:t>
  </x:si>
  <x:si>
    <x:t>http://id.who.int/icd/release/11/beta/ichi/452245920</x:t>
  </x:si>
  <x:si>
    <x:t>- - - Tri-component prosthetic device</x:t>
  </x:si>
  <x:si>
    <x:t>http://id.who.int/icd/entity/804486634</x:t>
  </x:si>
  <x:si>
    <x:t>http://id.who.int/icd/release/11/beta/ichi/804486634</x:t>
  </x:si>
  <x:si>
    <x:t>- - - Bioabsorbable binding device</x:t>
  </x:si>
  <x:si>
    <x:t>http://id.who.int/icd/entity/1060758620</x:t>
  </x:si>
  <x:si>
    <x:t>http://id.who.int/icd/release/11/beta/ichi/1060758620</x:t>
  </x:si>
  <x:si>
    <x:t>- - - Other orthopaedic implant</x:t>
  </x:si>
  <x:si>
    <x:t>http://id.who.int/icd/entity/171843626</x:t>
  </x:si>
  <x:si>
    <x:t>http://id.who.int/icd/release/11/beta/ichi/171843626</x:t>
  </x:si>
  <x:si>
    <x:t>- - - Unspecified orthopaedic implant</x:t>
  </x:si>
  <x:si>
    <x:t>http://id.who.int/icd/entity/1963262775</x:t>
  </x:si>
  <x:si>
    <x:t>http://id.who.int/icd/release/11/beta/ichi/1963262775</x:t>
  </x:si>
  <x:si>
    <x:t>- - Respiratory</x:t>
  </x:si>
  <x:si>
    <x:t>http://id.who.int/icd/entity/1073923907</x:t>
  </x:si>
  <x:si>
    <x:t>http://id.who.int/icd/release/11/beta/ichi/1073923907</x:t>
  </x:si>
  <x:si>
    <x:t>- - - Nasopharyngeal airway</x:t>
  </x:si>
  <x:si>
    <x:t>http://id.who.int/icd/entity/998535780</x:t>
  </x:si>
  <x:si>
    <x:t>http://id.who.int/icd/release/11/beta/ichi/998535780</x:t>
  </x:si>
  <x:si>
    <x:t>- - - Oropharyngeal airway</x:t>
  </x:si>
  <x:si>
    <x:t>http://id.who.int/icd/entity/1877314973</x:t>
  </x:si>
  <x:si>
    <x:t>http://id.who.int/icd/release/11/beta/ichi/1877314973</x:t>
  </x:si>
  <x:si>
    <x:t>- - - Oesophageal obturator airway</x:t>
  </x:si>
  <x:si>
    <x:t>http://id.who.int/icd/entity/342046910</x:t>
  </x:si>
  <x:si>
    <x:t>http://id.who.int/icd/release/11/beta/ichi/342046910</x:t>
  </x:si>
  <x:si>
    <x:t>- - - Endotracheal tube</x:t>
  </x:si>
  <x:si>
    <x:t>http://id.who.int/icd/entity/85989578</x:t>
  </x:si>
  <x:si>
    <x:t>http://id.who.int/icd/release/11/beta/ichi/85989578</x:t>
  </x:si>
  <x:si>
    <x:t>- - - Tracheostomy tube</x:t>
  </x:si>
  <x:si>
    <x:t>http://id.who.int/icd/entity/2124852715</x:t>
  </x:si>
  <x:si>
    <x:t>http://id.who.int/icd/release/11/beta/ichi/2124852715</x:t>
  </x:si>
  <x:si>
    <x:t>- - - Thoracostomy tube</x:t>
  </x:si>
  <x:si>
    <x:t>http://id.who.int/icd/entity/1429261173</x:t>
  </x:si>
  <x:si>
    <x:t>http://id.who.int/icd/release/11/beta/ichi/1429261173</x:t>
  </x:si>
  <x:si>
    <x:t>- - - Breathing pacemaker system</x:t>
  </x:si>
  <x:si>
    <x:t>http://id.who.int/icd/entity/1614221057</x:t>
  </x:si>
  <x:si>
    <x:t>http://id.who.int/icd/release/11/beta/ichi/1614221057</x:t>
  </x:si>
  <x:si>
    <x:t>- - - Diaphragmatic pacemaker generator</x:t>
  </x:si>
  <x:si>
    <x:t>http://id.who.int/icd/entity/1518945255</x:t>
  </x:si>
  <x:si>
    <x:t>http://id.who.int/icd/release/11/beta/ichi/1518945255</x:t>
  </x:si>
  <x:si>
    <x:t>- - - Diaphragmatic pacemaker electrode</x:t>
  </x:si>
  <x:si>
    <x:t>http://id.who.int/icd/entity/1871611795</x:t>
  </x:si>
  <x:si>
    <x:t>http://id.who.int/icd/release/11/beta/ichi/1871611795</x:t>
  </x:si>
  <x:si>
    <x:t>- - - Other respiratory implant</x:t>
  </x:si>
  <x:si>
    <x:t>http://id.who.int/icd/entity/888225936</x:t>
  </x:si>
  <x:si>
    <x:t>http://id.who.int/icd/release/11/beta/ichi/888225936</x:t>
  </x:si>
  <x:si>
    <x:t>- - - Unspecified respiratory implant</x:t>
  </x:si>
  <x:si>
    <x:t>http://id.who.int/icd/entity/1606249497</x:t>
  </x:si>
  <x:si>
    <x:t>http://id.who.int/icd/release/11/beta/ichi/1606249497</x:t>
  </x:si>
  <x:si>
    <x:t>- - Skin and subcutaneous tissue</x:t>
  </x:si>
  <x:si>
    <x:t>http://id.who.int/icd/entity/1790617709</x:t>
  </x:si>
  <x:si>
    <x:t>http://id.who.int/icd/release/11/beta/ichi/1790617709</x:t>
  </x:si>
  <x:si>
    <x:t>- - - Nonautologous tissue substitute</x:t>
  </x:si>
  <x:si>
    <x:t>http://id.who.int/icd/entity/1694703871</x:t>
  </x:si>
  <x:si>
    <x:t>http://id.who.int/icd/release/11/beta/ichi/1694703871</x:t>
  </x:si>
  <x:si>
    <x:t>- - - Tissue expander, not otherwise specified</x:t>
  </x:si>
  <x:si>
    <x:t>http://id.who.int/icd/entity/512071134</x:t>
  </x:si>
  <x:si>
    <x:t>http://id.who.int/icd/release/11/beta/ichi/512071134</x:t>
  </x:si>
  <x:si>
    <x:t>- - - Tissue expander in breast, not otherwise specified</x:t>
  </x:si>
  <x:si>
    <x:t>http://id.who.int/icd/entity/95349334</x:t>
  </x:si>
  <x:si>
    <x:t>http://id.who.int/icd/release/11/beta/ichi/95349334</x:t>
  </x:si>
  <x:si>
    <x:t>- - - Tissue expander in skin and subcutaneous tissue, not otherwise specified</x:t>
  </x:si>
  <x:si>
    <x:t>http://id.who.int/icd/entity/816393760</x:t>
  </x:si>
  <x:si>
    <x:t>http://id.who.int/icd/release/11/beta/ichi/816393760</x:t>
  </x:si>
  <x:si>
    <x:t>- - - Breast prosthesis</x:t>
  </x:si>
  <x:si>
    <x:t>http://id.who.int/icd/entity/169304776</x:t>
  </x:si>
  <x:si>
    <x:t>http://id.who.int/icd/release/11/beta/ichi/169304776</x:t>
  </x:si>
  <x:si>
    <x:t>- - - Cultured epidermal autograft</x:t>
  </x:si>
  <x:si>
    <x:t>http://id.who.int/icd/entity/1685021103</x:t>
  </x:si>
  <x:si>
    <x:t>http://id.who.int/icd/release/11/beta/ichi/1685021103</x:t>
  </x:si>
  <x:si>
    <x:t>- - - Other skin and subcutaneous implant</x:t>
  </x:si>
  <x:si>
    <x:t>http://id.who.int/icd/entity/802832132</x:t>
  </x:si>
  <x:si>
    <x:t>http://id.who.int/icd/release/11/beta/ichi/802832132</x:t>
  </x:si>
  <x:si>
    <x:t>- - - Unspecified skin and subcutaneous implant</x:t>
  </x:si>
  <x:si>
    <x:t>http://id.who.int/icd/entity/450755442</x:t>
  </x:si>
  <x:si>
    <x:t>http://id.who.int/icd/release/11/beta/ichi/450755442</x:t>
  </x:si>
  <x:si>
    <x:t>- - Other and unspecified</x:t>
  </x:si>
  <x:si>
    <x:t>http://id.who.int/icd/entity/543405974</x:t>
  </x:si>
  <x:si>
    <x:t>http://id.who.int/icd/release/11/beta/ichi/543405974</x:t>
  </x:si>
  <x:si>
    <x:t>- - - Interstitial radioactive material</x:t>
  </x:si>
  <x:si>
    <x:t>http://id.who.int/icd/entity/358904804</x:t>
  </x:si>
  <x:si>
    <x:t>http://id.who.int/icd/release/11/beta/ichi/358904804</x:t>
  </x:si>
  <x:si>
    <x:t>- - - Radioactive element not otherwise specified</x:t>
  </x:si>
  <x:si>
    <x:t>http://id.who.int/icd/entity/796757878</x:t>
  </x:si>
  <x:si>
    <x:t>http://id.who.int/icd/release/11/beta/ichi/796757878</x:t>
  </x:si>
  <x:si>
    <x:t>- - - Brachytherapy seeds</x:t>
  </x:si>
  <x:si>
    <x:t>http://id.who.int/icd/entity/981678398</x:t>
  </x:si>
  <x:si>
    <x:t>http://id.who.int/icd/release/11/beta/ichi/981678398</x:t>
  </x:si>
  <x:si>
    <x:t>- - - Other therapeutic product</x:t>
  </x:si>
  <x:si>
    <x:t>http://id.who.int/icd/entity/1090882589</x:t>
  </x:si>
  <x:si>
    <x:t>http://id.who.int/icd/release/11/beta/ichi/1090882589</x:t>
  </x:si>
  <x:si>
    <x:t>- - - Unspecified therapeutic product</x:t>
  </x:si>
  <x:si>
    <x:t>http://id.who.int/icd/entity/1154280071</x:t>
  </x:si>
  <x:si>
    <x:t>http://id.who.int/icd/release/11/beta/ichi/1154280071</x:t>
  </x:si>
  <x:si>
    <x:t>BlockL1-_NO</x:t>
  </x:si>
  <x:si>
    <x:t>- Anatomy and topography</x:t>
  </x:si>
  <x:si>
    <x:t>http://id.who.int/icd/entity/1644747126</x:t>
  </x:si>
  <x:si>
    <x:t>http://id.who.int/icd/release/11/beta/ichi/1644747126</x:t>
  </x:si>
  <x:si>
    <x:t>BlockL2-_NO</x:t>
  </x:si>
  <x:si>
    <x:t>- - Functional anatomy</x:t>
  </x:si>
  <x:si>
    <x:t>http://id.who.int/icd/entity/256187719</x:t>
  </x:si>
  <x:si>
    <x:t>http://id.who.int/icd/release/11/beta/ichi/256187719</x:t>
  </x:si>
  <x:si>
    <x:t>BlockL3-_NO</x:t>
  </x:si>
  <x:si>
    <x:t>- - - Haematopoietic system</x:t>
  </x:si>
  <x:si>
    <x:t>http://id.who.int/icd/entity/1207618189</x:t>
  </x:si>
  <x:si>
    <x:t>http://id.who.int/icd/release/11/beta/ichi/1207618189</x:t>
  </x:si>
  <x:si>
    <x:t>- - - - Haematopoietic stem cells</x:t>
  </x:si>
  <x:si>
    <x:t>http://id.who.int/icd/entity/1062867618</x:t>
  </x:si>
  <x:si>
    <x:t>http://id.who.int/icd/release/11/beta/ichi/1062867618</x:t>
  </x:si>
  <x:si>
    <x:t>- - - - - Common myeloid progenitor</x:t>
  </x:si>
  <x:si>
    <x:t>http://id.who.int/icd/entity/2052462000</x:t>
  </x:si>
  <x:si>
    <x:t>http://id.who.int/icd/release/11/beta/ichi/2052462000</x:t>
  </x:si>
  <x:si>
    <x:t>- - - - - - Erythroblast</x:t>
  </x:si>
  <x:si>
    <x:t>http://id.who.int/icd/entity/282481264</x:t>
  </x:si>
  <x:si>
    <x:t>http://id.who.int/icd/release/11/beta/ichi/282481264</x:t>
  </x:si>
  <x:si>
    <x:t>- - - - - - Myeloblast</x:t>
  </x:si>
  <x:si>
    <x:t>http://id.who.int/icd/entity/2133321945</x:t>
  </x:si>
  <x:si>
    <x:t>http://id.who.int/icd/release/11/beta/ichi/2133321945</x:t>
  </x:si>
  <x:si>
    <x:t>- - - - - - Megakaryoblast</x:t>
  </x:si>
  <x:si>
    <x:t>http://id.who.int/icd/entity/910012423</x:t>
  </x:si>
  <x:si>
    <x:t>http://id.who.int/icd/release/11/beta/ichi/910012423</x:t>
  </x:si>
  <x:si>
    <x:t>- - - Immune system</x:t>
  </x:si>
  <x:si>
    <x:t>http://id.who.int/icd/entity/1867340648</x:t>
  </x:si>
  <x:si>
    <x:t>http://id.who.int/icd/release/11/beta/ichi/1867340648</x:t>
  </x:si>
  <x:si>
    <x:t>BlockL4-_NO</x:t>
  </x:si>
  <x:si>
    <x:t>- - - - Lymphoid organs</x:t>
  </x:si>
  <x:si>
    <x:t>http://id.who.int/icd/entity/198809973</x:t>
  </x:si>
  <x:si>
    <x:t>http://id.who.int/icd/release/11/beta/ichi/198809973</x:t>
  </x:si>
  <x:si>
    <x:t>- - - - - Thymus</x:t>
  </x:si>
  <x:si>
    <x:t>http://id.who.int/icd/entity/1682242339</x:t>
  </x:si>
  <x:si>
    <x:t>http://id.who.int/icd/release/11/beta/ichi/1682242339</x:t>
  </x:si>
  <x:si>
    <x:t>- - - - - - Connective and other soft tissues of thymus</x:t>
  </x:si>
  <x:si>
    <x:t>http://id.who.int/icd/entity/579489467</x:t>
  </x:si>
  <x:si>
    <x:t>http://id.who.int/icd/release/11/beta/ichi/579489467</x:t>
  </x:si>
  <x:si>
    <x:t>- - - - - Waldeyer ring</x:t>
  </x:si>
  <x:si>
    <x:t>http://id.who.int/icd/entity/785854420</x:t>
  </x:si>
  <x:si>
    <x:t>http://id.who.int/icd/release/11/beta/ichi/785854420</x:t>
  </x:si>
  <x:si>
    <x:t>- - - - Mononuclear phagocyte system</x:t>
  </x:si>
  <x:si>
    <x:t>http://id.who.int/icd/entity/340179422</x:t>
  </x:si>
  <x:si>
    <x:t>http://id.who.int/icd/release/11/beta/ichi/340179422</x:t>
  </x:si>
  <x:si>
    <x:t>- - - Nervous system</x:t>
  </x:si>
  <x:si>
    <x:t>http://id.who.int/icd/entity/974549086</x:t>
  </x:si>
  <x:si>
    <x:t>http://id.who.int/icd/release/11/beta/ichi/974549086</x:t>
  </x:si>
  <x:si>
    <x:t>- - - - Central nervous system</x:t>
  </x:si>
  <x:si>
    <x:t>http://id.who.int/icd/entity/1537714794</x:t>
  </x:si>
  <x:si>
    <x:t>http://id.who.int/icd/release/11/beta/ichi/1537714794</x:t>
  </x:si>
  <x:si>
    <x:t>- - - - - Meninges</x:t>
  </x:si>
  <x:si>
    <x:t>http://id.who.int/icd/entity/1979147242</x:t>
  </x:si>
  <x:si>
    <x:t>http://id.who.int/icd/release/11/beta/ichi/1979147242</x:t>
  </x:si>
  <x:si>
    <x:t>- - - - - - Cerebral meninges</x:t>
  </x:si>
  <x:si>
    <x:t>http://id.who.int/icd/entity/1243042431</x:t>
  </x:si>
  <x:si>
    <x:t>http://id.who.int/icd/release/11/beta/ichi/1243042431</x:t>
  </x:si>
  <x:si>
    <x:t>- - - - - - - Cranial dura mater</x:t>
  </x:si>
  <x:si>
    <x:t>http://id.who.int/icd/entity/536810562</x:t>
  </x:si>
  <x:si>
    <x:t>http://id.who.int/icd/release/11/beta/ichi/536810562</x:t>
  </x:si>
  <x:si>
    <x:t>- - - - - - - Cranial arachnoid</x:t>
  </x:si>
  <x:si>
    <x:t>http://id.who.int/icd/entity/1143431981</x:t>
  </x:si>
  <x:si>
    <x:t>http://id.who.int/icd/release/11/beta/ichi/1143431981</x:t>
  </x:si>
  <x:si>
    <x:t>- - - - - - - Cranial pia mater</x:t>
  </x:si>
  <x:si>
    <x:t>http://id.who.int/icd/entity/613924498</x:t>
  </x:si>
  <x:si>
    <x:t>http://id.who.int/icd/release/11/beta/ichi/613924498</x:t>
  </x:si>
  <x:si>
    <x:t>- - - - - - - Tentorium cerebelli</x:t>
  </x:si>
  <x:si>
    <x:t>http://id.who.int/icd/entity/1753770831</x:t>
  </x:si>
  <x:si>
    <x:t>http://id.who.int/icd/release/11/beta/ichi/1753770831</x:t>
  </x:si>
  <x:si>
    <x:t>- - - - - - - Falx without further specification</x:t>
  </x:si>
  <x:si>
    <x:t>http://id.who.int/icd/entity/907939357</x:t>
  </x:si>
  <x:si>
    <x:t>http://id.who.int/icd/release/11/beta/ichi/907939357</x:t>
  </x:si>
  <x:si>
    <x:t>- - - - - - - - Falx cerebri</x:t>
  </x:si>
  <x:si>
    <x:t>http://id.who.int/icd/entity/1085519869</x:t>
  </x:si>
  <x:si>
    <x:t>http://id.who.int/icd/release/11/beta/ichi/1085519869</x:t>
  </x:si>
  <x:si>
    <x:t>- - - - - - - - Falx cerebelli</x:t>
  </x:si>
  <x:si>
    <x:t>http://id.who.int/icd/entity/1284492970</x:t>
  </x:si>
  <x:si>
    <x:t>http://id.who.int/icd/release/11/beta/ichi/1284492970</x:t>
  </x:si>
  <x:si>
    <x:t>- - - - - - Spinal meninges</x:t>
  </x:si>
  <x:si>
    <x:t>http://id.who.int/icd/entity/259507478</x:t>
  </x:si>
  <x:si>
    <x:t>http://id.who.int/icd/release/11/beta/ichi/259507478</x:t>
  </x:si>
  <x:si>
    <x:t>- - - - - - - Spinal dura mater</x:t>
  </x:si>
  <x:si>
    <x:t>http://id.who.int/icd/entity/342177102</x:t>
  </x:si>
  <x:si>
    <x:t>http://id.who.int/icd/release/11/beta/ichi/342177102</x:t>
  </x:si>
  <x:si>
    <x:t>- - - - - - - Spinal arachnoid</x:t>
  </x:si>
  <x:si>
    <x:t>http://id.who.int/icd/entity/1970850295</x:t>
  </x:si>
  <x:si>
    <x:t>http://id.who.int/icd/release/11/beta/ichi/1970850295</x:t>
  </x:si>
  <x:si>
    <x:t>- - - - - - - Spinal pia mater</x:t>
  </x:si>
  <x:si>
    <x:t>http://id.who.int/icd/entity/360442275</x:t>
  </x:si>
  <x:si>
    <x:t>http://id.who.int/icd/release/11/beta/ichi/360442275</x:t>
  </x:si>
  <x:si>
    <x:t>- - - - - - Dura mater</x:t>
  </x:si>
  <x:si>
    <x:t>http://id.who.int/icd/entity/1658783530</x:t>
  </x:si>
  <x:si>
    <x:t>http://id.who.int/icd/release/11/beta/ichi/1658783530</x:t>
  </x:si>
  <x:si>
    <x:t>- - - - - - Arachnoid mater</x:t>
  </x:si>
  <x:si>
    <x:t>http://id.who.int/icd/entity/39030115</x:t>
  </x:si>
  <x:si>
    <x:t>http://id.who.int/icd/release/11/beta/ichi/39030115</x:t>
  </x:si>
  <x:si>
    <x:t>- - - - - - Pia mater</x:t>
  </x:si>
  <x:si>
    <x:t>http://id.who.int/icd/entity/1150229943</x:t>
  </x:si>
  <x:si>
    <x:t>http://id.who.int/icd/release/11/beta/ichi/1150229943</x:t>
  </x:si>
  <x:si>
    <x:t>http://id.who.int/icd/entity/559293431</x:t>
  </x:si>
  <x:si>
    <x:t>http://id.who.int/icd/release/11/beta/ichi/559293431</x:t>
  </x:si>
  <x:si>
    <x:t>- - - - - - Cervical spinal cord</x:t>
  </x:si>
  <x:si>
    <x:t>http://id.who.int/icd/entity/1700621186</x:t>
  </x:si>
  <x:si>
    <x:t>http://id.who.int/icd/release/11/beta/ichi/1700621186</x:t>
  </x:si>
  <x:si>
    <x:t>- - - - - - - C1 level</x:t>
  </x:si>
  <x:si>
    <x:t>http://id.who.int/icd/entity/1513287692</x:t>
  </x:si>
  <x:si>
    <x:t>http://id.who.int/icd/release/11/beta/ichi/1513287692</x:t>
  </x:si>
  <x:si>
    <x:t>- - - - - - - C2 level</x:t>
  </x:si>
  <x:si>
    <x:t>http://id.who.int/icd/entity/540933355</x:t>
  </x:si>
  <x:si>
    <x:t>http://id.who.int/icd/release/11/beta/ichi/540933355</x:t>
  </x:si>
  <x:si>
    <x:t>- - - - - - - C3 level</x:t>
  </x:si>
  <x:si>
    <x:t>http://id.who.int/icd/entity/6504103</x:t>
  </x:si>
  <x:si>
    <x:t>http://id.who.int/icd/release/11/beta/ichi/6504103</x:t>
  </x:si>
  <x:si>
    <x:t>- - - - - - - C4 level</x:t>
  </x:si>
  <x:si>
    <x:t>http://id.who.int/icd/entity/1514747706</x:t>
  </x:si>
  <x:si>
    <x:t>http://id.who.int/icd/release/11/beta/ichi/1514747706</x:t>
  </x:si>
  <x:si>
    <x:t>- - - - - - - C5 level</x:t>
  </x:si>
  <x:si>
    <x:t>http://id.who.int/icd/entity/1858554510</x:t>
  </x:si>
  <x:si>
    <x:t>http://id.who.int/icd/release/11/beta/ichi/1858554510</x:t>
  </x:si>
  <x:si>
    <x:t>- - - - - - - C6 level</x:t>
  </x:si>
  <x:si>
    <x:t>http://id.who.int/icd/entity/1370018052</x:t>
  </x:si>
  <x:si>
    <x:t>http://id.who.int/icd/release/11/beta/ichi/1370018052</x:t>
  </x:si>
  <x:si>
    <x:t>- - - - - - - C7 level</x:t>
  </x:si>
  <x:si>
    <x:t>http://id.who.int/icd/entity/732421605</x:t>
  </x:si>
  <x:si>
    <x:t>http://id.who.int/icd/release/11/beta/ichi/732421605</x:t>
  </x:si>
  <x:si>
    <x:t>- - - - - - - C8 level</x:t>
  </x:si>
  <x:si>
    <x:t>http://id.who.int/icd/entity/914245431</x:t>
  </x:si>
  <x:si>
    <x:t>http://id.who.int/icd/release/11/beta/ichi/914245431</x:t>
  </x:si>
  <x:si>
    <x:t>- - - - - - Thoracic spinal cord</x:t>
  </x:si>
  <x:si>
    <x:t>http://id.who.int/icd/entity/1367446506</x:t>
  </x:si>
  <x:si>
    <x:t>http://id.who.int/icd/release/11/beta/ichi/1367446506</x:t>
  </x:si>
  <x:si>
    <x:t>- - - - - - - T1 level</x:t>
  </x:si>
  <x:si>
    <x:t>http://id.who.int/icd/entity/820488289</x:t>
  </x:si>
  <x:si>
    <x:t>http://id.who.int/icd/release/11/beta/ichi/820488289</x:t>
  </x:si>
  <x:si>
    <x:t>- - - - - - - T2 level</x:t>
  </x:si>
  <x:si>
    <x:t>http://id.who.int/icd/entity/1197590855</x:t>
  </x:si>
  <x:si>
    <x:t>http://id.who.int/icd/release/11/beta/ichi/1197590855</x:t>
  </x:si>
  <x:si>
    <x:t>- - - - - - - T3 level</x:t>
  </x:si>
  <x:si>
    <x:t>http://id.who.int/icd/entity/141099474</x:t>
  </x:si>
  <x:si>
    <x:t>http://id.who.int/icd/release/11/beta/ichi/141099474</x:t>
  </x:si>
  <x:si>
    <x:t>- - - - - - - T4 level</x:t>
  </x:si>
  <x:si>
    <x:t>http://id.who.int/icd/entity/33644078</x:t>
  </x:si>
  <x:si>
    <x:t>http://id.who.int/icd/release/11/beta/ichi/33644078</x:t>
  </x:si>
  <x:si>
    <x:t>- - - - - - - T5 level</x:t>
  </x:si>
  <x:si>
    <x:t>http://id.who.int/icd/entity/1292474043</x:t>
  </x:si>
  <x:si>
    <x:t>http://id.who.int/icd/release/11/beta/ichi/1292474043</x:t>
  </x:si>
  <x:si>
    <x:t>- - - - - - - T6 level</x:t>
  </x:si>
  <x:si>
    <x:t>http://id.who.int/icd/entity/1766683321</x:t>
  </x:si>
  <x:si>
    <x:t>http://id.who.int/icd/release/11/beta/ichi/1766683321</x:t>
  </x:si>
  <x:si>
    <x:t>- - - - - - - T7 level</x:t>
  </x:si>
  <x:si>
    <x:t>http://id.who.int/icd/entity/848627156</x:t>
  </x:si>
  <x:si>
    <x:t>http://id.who.int/icd/release/11/beta/ichi/848627156</x:t>
  </x:si>
  <x:si>
    <x:t>- - - - - - - T8 level</x:t>
  </x:si>
  <x:si>
    <x:t>http://id.who.int/icd/entity/1028097866</x:t>
  </x:si>
  <x:si>
    <x:t>http://id.who.int/icd/release/11/beta/ichi/1028097866</x:t>
  </x:si>
  <x:si>
    <x:t>- - - - - - - T9 level</x:t>
  </x:si>
  <x:si>
    <x:t>http://id.who.int/icd/entity/1195936681</x:t>
  </x:si>
  <x:si>
    <x:t>http://id.who.int/icd/release/11/beta/ichi/1195936681</x:t>
  </x:si>
  <x:si>
    <x:t>- - - - - - - T10 level</x:t>
  </x:si>
  <x:si>
    <x:t>http://id.who.int/icd/entity/2015825953</x:t>
  </x:si>
  <x:si>
    <x:t>http://id.who.int/icd/release/11/beta/ichi/2015825953</x:t>
  </x:si>
  <x:si>
    <x:t>- - - - - - - T11 level</x:t>
  </x:si>
  <x:si>
    <x:t>http://id.who.int/icd/entity/1981227379</x:t>
  </x:si>
  <x:si>
    <x:t>http://id.who.int/icd/release/11/beta/ichi/1981227379</x:t>
  </x:si>
  <x:si>
    <x:t>- - - - - - - T12 level</x:t>
  </x:si>
  <x:si>
    <x:t>http://id.who.int/icd/entity/1403484535</x:t>
  </x:si>
  <x:si>
    <x:t>http://id.who.int/icd/release/11/beta/ichi/1403484535</x:t>
  </x:si>
  <x:si>
    <x:t>- - - - - - Lumbar spinal cord</x:t>
  </x:si>
  <x:si>
    <x:t>http://id.who.int/icd/entity/200875945</x:t>
  </x:si>
  <x:si>
    <x:t>http://id.who.int/icd/release/11/beta/ichi/200875945</x:t>
  </x:si>
  <x:si>
    <x:t>- - - - - - - L1 level</x:t>
  </x:si>
  <x:si>
    <x:t>http://id.who.int/icd/entity/800979883</x:t>
  </x:si>
  <x:si>
    <x:t>http://id.who.int/icd/release/11/beta/ichi/800979883</x:t>
  </x:si>
  <x:si>
    <x:t>- - - - - - - L2 level</x:t>
  </x:si>
  <x:si>
    <x:t>http://id.who.int/icd/entity/1542048790</x:t>
  </x:si>
  <x:si>
    <x:t>http://id.who.int/icd/release/11/beta/ichi/1542048790</x:t>
  </x:si>
  <x:si>
    <x:t>- - - - - - - L3 level</x:t>
  </x:si>
  <x:si>
    <x:t>http://id.who.int/icd/entity/350291075</x:t>
  </x:si>
  <x:si>
    <x:t>http://id.who.int/icd/release/11/beta/ichi/350291075</x:t>
  </x:si>
  <x:si>
    <x:t>- - - - - - - L4 level</x:t>
  </x:si>
  <x:si>
    <x:t>http://id.who.int/icd/entity/512318335</x:t>
  </x:si>
  <x:si>
    <x:t>http://id.who.int/icd/release/11/beta/ichi/512318335</x:t>
  </x:si>
  <x:si>
    <x:t>- - - - - - - L5 level</x:t>
  </x:si>
  <x:si>
    <x:t>http://id.who.int/icd/entity/1495611560</x:t>
  </x:si>
  <x:si>
    <x:t>http://id.who.int/icd/release/11/beta/ichi/1495611560</x:t>
  </x:si>
  <x:si>
    <x:t>- - - - - - Sacral spinal cord</x:t>
  </x:si>
  <x:si>
    <x:t>http://id.who.int/icd/entity/2075634047</x:t>
  </x:si>
  <x:si>
    <x:t>http://id.who.int/icd/release/11/beta/ichi/2075634047</x:t>
  </x:si>
  <x:si>
    <x:t>- - - - - - - S1 level</x:t>
  </x:si>
  <x:si>
    <x:t>http://id.who.int/icd/entity/1910503043</x:t>
  </x:si>
  <x:si>
    <x:t>http://id.who.int/icd/release/11/beta/ichi/1910503043</x:t>
  </x:si>
  <x:si>
    <x:t>- - - - - - - S2 level</x:t>
  </x:si>
  <x:si>
    <x:t>http://id.who.int/icd/entity/1054293526</x:t>
  </x:si>
  <x:si>
    <x:t>http://id.who.int/icd/release/11/beta/ichi/1054293526</x:t>
  </x:si>
  <x:si>
    <x:t>- - - - - - - S3 level</x:t>
  </x:si>
  <x:si>
    <x:t>http://id.who.int/icd/entity/445897236</x:t>
  </x:si>
  <x:si>
    <x:t>http://id.who.int/icd/release/11/beta/ichi/445897236</x:t>
  </x:si>
  <x:si>
    <x:t>- - - - - - - S4 level</x:t>
  </x:si>
  <x:si>
    <x:t>http://id.who.int/icd/entity/1095478649</x:t>
  </x:si>
  <x:si>
    <x:t>http://id.who.int/icd/release/11/beta/ichi/1095478649</x:t>
  </x:si>
  <x:si>
    <x:t>- - - - - - - S5 level</x:t>
  </x:si>
  <x:si>
    <x:t>http://id.who.int/icd/entity/759043230</x:t>
  </x:si>
  <x:si>
    <x:t>http://id.who.int/icd/release/11/beta/ichi/759043230</x:t>
  </x:si>
  <x:si>
    <x:t>http://id.who.int/icd/entity/591377318</x:t>
  </x:si>
  <x:si>
    <x:t>http://id.who.int/icd/release/11/beta/ichi/591377318</x:t>
  </x:si>
  <x:si>
    <x:t>- - - - Autonomic nervous system</x:t>
  </x:si>
  <x:si>
    <x:t>http://id.who.int/icd/entity/1392197834</x:t>
  </x:si>
  <x:si>
    <x:t>http://id.who.int/icd/release/11/beta/ichi/1392197834</x:t>
  </x:si>
  <x:si>
    <x:t>- - - - - Nerves of the autonomic nervous system</x:t>
  </x:si>
  <x:si>
    <x:t>http://id.who.int/icd/entity/1381822652</x:t>
  </x:si>
  <x:si>
    <x:t>http://id.who.int/icd/release/11/beta/ichi/1381822652</x:t>
  </x:si>
  <x:si>
    <x:t>- - - - - - Coeliac plexus</x:t>
  </x:si>
  <x:si>
    <x:t>http://id.who.int/icd/entity/670061318</x:t>
  </x:si>
  <x:si>
    <x:t>http://id.who.int/icd/release/11/beta/ichi/670061318</x:t>
  </x:si>
  <x:si>
    <x:t>- - - - - - Splanchnic plexus</x:t>
  </x:si>
  <x:si>
    <x:t>http://id.who.int/icd/entity/1941299455</x:t>
  </x:si>
  <x:si>
    <x:t>http://id.who.int/icd/release/11/beta/ichi/1941299455</x:t>
  </x:si>
  <x:si>
    <x:t>- - - - - - Uterovaginal plexus</x:t>
  </x:si>
  <x:si>
    <x:t>http://id.who.int/icd/entity/1575299455</x:t>
  </x:si>
  <x:si>
    <x:t>http://id.who.int/icd/release/11/beta/ichi/1575299455</x:t>
  </x:si>
  <x:si>
    <x:t>- - - - - - Vesical nervous plexus</x:t>
  </x:si>
  <x:si>
    <x:t>http://id.who.int/icd/entity/440868582</x:t>
  </x:si>
  <x:si>
    <x:t>http://id.who.int/icd/release/11/beta/ichi/440868582</x:t>
  </x:si>
  <x:si>
    <x:t>- - - - - Parasympathetic nervous system</x:t>
  </x:si>
  <x:si>
    <x:t>http://id.who.int/icd/entity/225409574</x:t>
  </x:si>
  <x:si>
    <x:t>http://id.who.int/icd/release/11/beta/ichi/225409574</x:t>
  </x:si>
  <x:si>
    <x:t>- - - - - Sympathetic nervous system</x:t>
  </x:si>
  <x:si>
    <x:t>http://id.who.int/icd/entity/519578830</x:t>
  </x:si>
  <x:si>
    <x:t>http://id.who.int/icd/release/11/beta/ichi/519578830</x:t>
  </x:si>
  <x:si>
    <x:t>- - - - Nerve</x:t>
  </x:si>
  <x:si>
    <x:t>146</x:t>
  </x:si>
  <x:si>
    <x:t>http://id.who.int/icd/entity/1752769951</x:t>
  </x:si>
  <x:si>
    <x:t>http://id.who.int/icd/release/11/beta/ichi/1752769951</x:t>
  </x:si>
  <x:si>
    <x:t>- - - - - Nerve ganglia</x:t>
  </x:si>
  <x:si>
    <x:t>http://id.who.int/icd/entity/1390958888</x:t>
  </x:si>
  <x:si>
    <x:t>http://id.who.int/icd/release/11/beta/ichi/1390958888</x:t>
  </x:si>
  <x:si>
    <x:t>- - - - - Accessory obturator nerve</x:t>
  </x:si>
  <x:si>
    <x:t>http://id.who.int/icd/entity/1170226664</x:t>
  </x:si>
  <x:si>
    <x:t>http://id.who.int/icd/release/11/beta/ichi/1170226664</x:t>
  </x:si>
  <x:si>
    <x:t>- - - - - Auricular branch of vagus nerve</x:t>
  </x:si>
  <x:si>
    <x:t>http://id.who.int/icd/entity/2092470440</x:t>
  </x:si>
  <x:si>
    <x:t>http://id.who.int/icd/release/11/beta/ichi/2092470440</x:t>
  </x:si>
  <x:si>
    <x:t>- - - - - Anococcygeal nerve</x:t>
  </x:si>
  <x:si>
    <x:t>http://id.who.int/icd/entity/1804661864</x:t>
  </x:si>
  <x:si>
    <x:t>http://id.who.int/icd/release/11/beta/ichi/1804661864</x:t>
  </x:si>
  <x:si>
    <x:t>- - - - - Ansa cervicalis</x:t>
  </x:si>
  <x:si>
    <x:t>http://id.who.int/icd/entity/239716904</x:t>
  </x:si>
  <x:si>
    <x:t>http://id.who.int/icd/release/11/beta/ichi/239716904</x:t>
  </x:si>
  <x:si>
    <x:t>- - - - - Anterior interosseous nerve</x:t>
  </x:si>
  <x:si>
    <x:t>http://id.who.int/icd/entity/425832168</x:t>
  </x:si>
  <x:si>
    <x:t>http://id.who.int/icd/release/11/beta/ichi/425832168</x:t>
  </x:si>
  <x:si>
    <x:t>- - - - - Anterior superior alveolar nerve</x:t>
  </x:si>
  <x:si>
    <x:t>http://id.who.int/icd/entity/1802766222</x:t>
  </x:si>
  <x:si>
    <x:t>http://id.who.int/icd/release/11/beta/ichi/1802766222</x:t>
  </x:si>
  <x:si>
    <x:t>- - - - - Middle cardiac nerve</x:t>
  </x:si>
  <x:si>
    <x:t>http://id.who.int/icd/entity/1376561870</x:t>
  </x:si>
  <x:si>
    <x:t>http://id.who.int/icd/release/11/beta/ichi/1376561870</x:t>
  </x:si>
  <x:si>
    <x:t>- - - - - Middle cervical ganglion</x:t>
  </x:si>
  <x:si>
    <x:t>http://id.who.int/icd/entity/1715546546</x:t>
  </x:si>
  <x:si>
    <x:t>http://id.who.int/icd/release/11/beta/ichi/1715546546</x:t>
  </x:si>
  <x:si>
    <x:t>- - - - - Muscular branches of the radial nerve</x:t>
  </x:si>
  <x:si>
    <x:t>http://id.who.int/icd/entity/1902726514</x:t>
  </x:si>
  <x:si>
    <x:t>http://id.who.int/icd/release/11/beta/ichi/1902726514</x:t>
  </x:si>
  <x:si>
    <x:t>- - - - - Musculocutaneous nerve</x:t>
  </x:si>
  <x:si>
    <x:t>http://id.who.int/icd/entity/1008141435</x:t>
  </x:si>
  <x:si>
    <x:t>http://id.who.int/icd/release/11/beta/ichi/1008141435</x:t>
  </x:si>
  <x:si>
    <x:t>- - - - - Mylohyoid nerve</x:t>
  </x:si>
  <x:si>
    <x:t>http://id.who.int/icd/entity/1189514726</x:t>
  </x:si>
  <x:si>
    <x:t>http://id.who.int/icd/release/11/beta/ichi/1189514726</x:t>
  </x:si>
  <x:si>
    <x:t>- - - - - Nerve of the cervical region</x:t>
  </x:si>
  <x:si>
    <x:t>http://id.who.int/icd/entity/58516504</x:t>
  </x:si>
  <x:si>
    <x:t>http://id.who.int/icd/release/11/beta/ichi/58516504</x:t>
  </x:si>
  <x:si>
    <x:t>- - - - - Axillary nerve</x:t>
  </x:si>
  <x:si>
    <x:t>http://id.who.int/icd/entity/2141069478</x:t>
  </x:si>
  <x:si>
    <x:t>http://id.who.int/icd/release/11/beta/ichi/2141069478</x:t>
  </x:si>
  <x:si>
    <x:t>- - - - - Nerve of the Thorax</x:t>
  </x:si>
  <x:si>
    <x:t>http://id.who.int/icd/entity/1622579067</x:t>
  </x:si>
  <x:si>
    <x:t>http://id.who.int/icd/release/11/beta/ichi/1622579067</x:t>
  </x:si>
  <x:si>
    <x:t>- - - - - Nerve to obturator internus</x:t>
  </x:si>
  <x:si>
    <x:t>http://id.who.int/icd/entity/2006905787</x:t>
  </x:si>
  <x:si>
    <x:t>http://id.who.int/icd/release/11/beta/ichi/2006905787</x:t>
  </x:si>
  <x:si>
    <x:t>- - - - - Nerve to quadratus femoris</x:t>
  </x:si>
  <x:si>
    <x:t>http://id.who.int/icd/entity/1323720443</x:t>
  </x:si>
  <x:si>
    <x:t>http://id.who.int/icd/release/11/beta/ichi/1323720443</x:t>
  </x:si>
  <x:si>
    <x:t>- - - - - Nerve to the piriformis</x:t>
  </x:si>
  <x:si>
    <x:t>http://id.who.int/icd/entity/1506687547</x:t>
  </x:si>
  <x:si>
    <x:t>http://id.who.int/icd/release/11/beta/ichi/1506687547</x:t>
  </x:si>
  <x:si>
    <x:t>- - - - - Nerve to the stapedius</x:t>
  </x:si>
  <x:si>
    <x:t>http://id.who.int/icd/entity/2058083717</x:t>
  </x:si>
  <x:si>
    <x:t>http://id.who.int/icd/release/11/beta/ichi/2058083717</x:t>
  </x:si>
  <x:si>
    <x:t>- - - - - Nerve to the subclavius</x:t>
  </x:si>
  <x:si>
    <x:t>http://id.who.int/icd/entity/1837349189</x:t>
  </x:si>
  <x:si>
    <x:t>http://id.who.int/icd/release/11/beta/ichi/1837349189</x:t>
  </x:si>
  <x:si>
    <x:t>- - - - - Nervus intermedius</x:t>
  </x:si>
  <x:si>
    <x:t>http://id.who.int/icd/entity/1120771748</x:t>
  </x:si>
  <x:si>
    <x:t>http://id.who.int/icd/release/11/beta/ichi/1120771748</x:t>
  </x:si>
  <x:si>
    <x:t>- - - - - Nervus spinosus</x:t>
  </x:si>
  <x:si>
    <x:t>http://id.who.int/icd/entity/1441135204</x:t>
  </x:si>
  <x:si>
    <x:t>http://id.who.int/icd/release/11/beta/ichi/1441135204</x:t>
  </x:si>
  <x:si>
    <x:t>- - - - - Nodose ganglion</x:t>
  </x:si>
  <x:si>
    <x:t>http://id.who.int/icd/entity/164642830</x:t>
  </x:si>
  <x:si>
    <x:t>http://id.who.int/icd/release/11/beta/ichi/164642830</x:t>
  </x:si>
  <x:si>
    <x:t>BlockL5-_NO</x:t>
  </x:si>
  <x:si>
    <x:t>- - - - - Number of Nerves</x:t>
  </x:si>
  <x:si>
    <x:t>http://id.who.int/icd/entity/5919770</x:t>
  </x:si>
  <x:si>
    <x:t>http://id.who.int/icd/release/11/beta/ichi/5919770</x:t>
  </x:si>
  <x:si>
    <x:t>- - - - - - Multiple Nerves</x:t>
  </x:si>
  <x:si>
    <x:t>http://id.who.int/icd/entity/393359578</x:t>
  </x:si>
  <x:si>
    <x:t>http://id.who.int/icd/release/11/beta/ichi/393359578</x:t>
  </x:si>
  <x:si>
    <x:t>- - - - - - Single Nerve</x:t>
  </x:si>
  <x:si>
    <x:t>http://id.who.int/icd/entity/1822250788</x:t>
  </x:si>
  <x:si>
    <x:t>http://id.who.int/icd/release/11/beta/ichi/1822250788</x:t>
  </x:si>
  <x:si>
    <x:t>- - - - - Obturator nerve</x:t>
  </x:si>
  <x:si>
    <x:t>http://id.who.int/icd/entity/2075472868</x:t>
  </x:si>
  <x:si>
    <x:t>http://id.who.int/icd/release/11/beta/ichi/2075472868</x:t>
  </x:si>
  <x:si>
    <x:t>- - - - - Trigeminal nerve, ophthalmic branch</x:t>
  </x:si>
  <x:si>
    <x:t>http://id.who.int/icd/entity/510397860</x:t>
  </x:si>
  <x:si>
    <x:t>http://id.who.int/icd/release/11/beta/ichi/510397860</x:t>
  </x:si>
  <x:si>
    <x:t>- - - - - Otic ganglion</x:t>
  </x:si>
  <x:si>
    <x:t>http://id.who.int/icd/entity/655663332</x:t>
  </x:si>
  <x:si>
    <x:t>http://id.who.int/icd/release/11/beta/ichi/655663332</x:t>
  </x:si>
  <x:si>
    <x:t>- - - - - Palmar branch of the median nerve</x:t>
  </x:si>
  <x:si>
    <x:t>http://id.who.int/icd/entity/74532700</x:t>
  </x:si>
  <x:si>
    <x:t>http://id.who.int/icd/release/11/beta/ichi/74532700</x:t>
  </x:si>
  <x:si>
    <x:t>- - - - - Palmar branch of ulnar nerve</x:t>
  </x:si>
  <x:si>
    <x:t>http://id.who.int/icd/entity/1787697679</x:t>
  </x:si>
  <x:si>
    <x:t>http://id.who.int/icd/release/11/beta/ichi/1787697679</x:t>
  </x:si>
  <x:si>
    <x:t>- - - - - Bulbar nuclei</x:t>
  </x:si>
  <x:si>
    <x:t>http://id.who.int/icd/entity/312688159</x:t>
  </x:si>
  <x:si>
    <x:t>http://id.who.int/icd/release/11/beta/ichi/312688159</x:t>
  </x:si>
  <x:si>
    <x:t>http://id.who.int/icd/entity/151494226</x:t>
  </x:si>
  <x:si>
    <x:t>http://id.who.int/icd/release/11/beta/ichi/151494226</x:t>
  </x:si>
  <x:si>
    <x:t>- - - - - Patellar plexus</x:t>
  </x:si>
  <x:si>
    <x:t>http://id.who.int/icd/entity/506460818</x:t>
  </x:si>
  <x:si>
    <x:t>http://id.who.int/icd/release/11/beta/ichi/506460818</x:t>
  </x:si>
  <x:si>
    <x:t>- - - - - Pelvic splanchnic nerve</x:t>
  </x:si>
  <x:si>
    <x:t>http://id.who.int/icd/entity/660035538</x:t>
  </x:si>
  <x:si>
    <x:t>http://id.who.int/icd/release/11/beta/ichi/660035538</x:t>
  </x:si>
  <x:si>
    <x:t>- - - - - Perforating cutaneous nerve</x:t>
  </x:si>
  <x:si>
    <x:t>http://id.who.int/icd/entity/813642514</x:t>
  </x:si>
  <x:si>
    <x:t>http://id.who.int/icd/release/11/beta/ichi/813642514</x:t>
  </x:si>
  <x:si>
    <x:t>- - - - - Perineal branches of posterior femoral cutaneous nerve</x:t>
  </x:si>
  <x:si>
    <x:t>http://id.who.int/icd/entity/2079769810</x:t>
  </x:si>
  <x:si>
    <x:t>http://id.who.int/icd/release/11/beta/ichi/2079769810</x:t>
  </x:si>
  <x:si>
    <x:t>- - - - - Perineal nerve</x:t>
  </x:si>
  <x:si>
    <x:t>http://id.who.int/icd/entity/1826529298</x:t>
  </x:si>
  <x:si>
    <x:t>http://id.who.int/icd/release/11/beta/ichi/1826529298</x:t>
  </x:si>
  <x:si>
    <x:t>- - - - - Petrous ganglion</x:t>
  </x:si>
  <x:si>
    <x:t>http://id.who.int/icd/entity/1486037870</x:t>
  </x:si>
  <x:si>
    <x:t>http://id.who.int/icd/release/11/beta/ichi/1486037870</x:t>
  </x:si>
  <x:si>
    <x:t>- - - - - Phrenic nerve</x:t>
  </x:si>
  <x:si>
    <x:t>http://id.who.int/icd/entity/1436945746</x:t>
  </x:si>
  <x:si>
    <x:t>http://id.who.int/icd/release/11/beta/ichi/1436945746</x:t>
  </x:si>
  <x:si>
    <x:t>- - - - - Plantar nerve</x:t>
  </x:si>
  <x:si>
    <x:t>http://id.who.int/icd/entity/1626693707</x:t>
  </x:si>
  <x:si>
    <x:t>http://id.who.int/icd/release/11/beta/ichi/1626693707</x:t>
  </x:si>
  <x:si>
    <x:t>- - - - - Posterior auricular nerve</x:t>
  </x:si>
  <x:si>
    <x:t>http://id.who.int/icd/entity/1502465291</x:t>
  </x:si>
  <x:si>
    <x:t>http://id.who.int/icd/release/11/beta/ichi/1502465291</x:t>
  </x:si>
  <x:si>
    <x:t>- - - - - Posterior branch of spinal nerve</x:t>
  </x:si>
  <x:si>
    <x:t>http://id.who.int/icd/entity/1319479755</x:t>
  </x:si>
  <x:si>
    <x:t>http://id.who.int/icd/release/11/beta/ichi/1319479755</x:t>
  </x:si>
  <x:si>
    <x:t>- - - - - Posterior cord of brachial plexus</x:t>
  </x:si>
  <x:si>
    <x:t>http://id.who.int/icd/entity/729585547</x:t>
  </x:si>
  <x:si>
    <x:t>http://id.who.int/icd/release/11/beta/ichi/729585547</x:t>
  </x:si>
  <x:si>
    <x:t>- - - - - Posterior cutaneous nerve of arm</x:t>
  </x:si>
  <x:si>
    <x:t>http://id.who.int/icd/entity/1012200267</x:t>
  </x:si>
  <x:si>
    <x:t>http://id.who.int/icd/release/11/beta/ichi/1012200267</x:t>
  </x:si>
  <x:si>
    <x:t>- - - - - Posterior cutaneous nerve of forearm</x:t>
  </x:si>
  <x:si>
    <x:t>http://id.who.int/icd/entity/86793739</x:t>
  </x:si>
  <x:si>
    <x:t>http://id.who.int/icd/release/11/beta/ichi/86793739</x:t>
  </x:si>
  <x:si>
    <x:t>- - - - - Posterior cutaneous nerve of thigh</x:t>
  </x:si>
  <x:si>
    <x:t>http://id.who.int/icd/entity/302267083</x:t>
  </x:si>
  <x:si>
    <x:t>http://id.who.int/icd/release/11/beta/ichi/302267083</x:t>
  </x:si>
  <x:si>
    <x:t>- - - - - Posterior scrotal nerve</x:t>
  </x:si>
  <x:si>
    <x:t>http://id.who.int/icd/entity/828497269</x:t>
  </x:si>
  <x:si>
    <x:t>http://id.who.int/icd/release/11/beta/ichi/828497269</x:t>
  </x:si>
  <x:si>
    <x:t>- - - - - Posterior superior alveolar nerve</x:t>
  </x:si>
  <x:si>
    <x:t>http://id.who.int/icd/entity/642365877</x:t>
  </x:si>
  <x:si>
    <x:t>http://id.who.int/icd/release/11/beta/ichi/642365877</x:t>
  </x:si>
  <x:si>
    <x:t>- - - - - Proper palmar digital nerves of median nerve</x:t>
  </x:si>
  <x:si>
    <x:t>http://id.who.int/icd/entity/677972541</x:t>
  </x:si>
  <x:si>
    <x:t>http://id.who.int/icd/release/11/beta/ichi/677972541</x:t>
  </x:si>
  <x:si>
    <x:t>- - - - - Cauda equina</x:t>
  </x:si>
  <x:si>
    <x:t>http://id.who.int/icd/entity/954976611</x:t>
  </x:si>
  <x:si>
    <x:t>http://id.who.int/icd/release/11/beta/ichi/954976611</x:t>
  </x:si>
  <x:si>
    <x:t>- - - - - Pterygopalatine ganglion</x:t>
  </x:si>
  <x:si>
    <x:t>http://id.who.int/icd/entity/26436643</x:t>
  </x:si>
  <x:si>
    <x:t>http://id.who.int/icd/release/11/beta/ichi/26436643</x:t>
  </x:si>
  <x:si>
    <x:t>- - - - - Pudendal nerve</x:t>
  </x:si>
  <x:si>
    <x:t>http://id.who.int/icd/entity/1935818403</x:t>
  </x:si>
  <x:si>
    <x:t>http://id.who.int/icd/release/11/beta/ichi/1935818403</x:t>
  </x:si>
  <x:si>
    <x:t>- - - - - Radial nerve</x:t>
  </x:si>
  <x:si>
    <x:t>http://id.who.int/icd/entity/1563621155</x:t>
  </x:si>
  <x:si>
    <x:t>http://id.who.int/icd/release/11/beta/ichi/1563621155</x:t>
  </x:si>
  <x:si>
    <x:t>- - - - - Right recurrent laryngeal nerve</x:t>
  </x:si>
  <x:si>
    <x:t>http://id.who.int/icd/entity/1769960541</x:t>
  </x:si>
  <x:si>
    <x:t>http://id.who.int/icd/release/11/beta/ichi/1769960541</x:t>
  </x:si>
  <x:si>
    <x:t>- - - - - Sacral splanchnic nerves</x:t>
  </x:si>
  <x:si>
    <x:t>http://id.who.int/icd/entity/2119635101</x:t>
  </x:si>
  <x:si>
    <x:t>http://id.who.int/icd/release/11/beta/ichi/2119635101</x:t>
  </x:si>
  <x:si>
    <x:t>- - - - - Saphenous nerve</x:t>
  </x:si>
  <x:si>
    <x:t>http://id.who.int/icd/entity/1360607098</x:t>
  </x:si>
  <x:si>
    <x:t>http://id.who.int/icd/release/11/beta/ichi/1360607098</x:t>
  </x:si>
  <x:si>
    <x:t>- - - - - Sciatic nerve</x:t>
  </x:si>
  <x:si>
    <x:t>http://id.who.int/icd/entity/1177637818</x:t>
  </x:si>
  <x:si>
    <x:t>http://id.who.int/icd/release/11/beta/ichi/1177637818</x:t>
  </x:si>
  <x:si>
    <x:t>- - - - - Semilunar ganglion</x:t>
  </x:si>
  <x:si>
    <x:t>http://id.who.int/icd/entity/1751226938</x:t>
  </x:si>
  <x:si>
    <x:t>http://id.who.int/icd/release/11/beta/ichi/1751226938</x:t>
  </x:si>
  <x:si>
    <x:t>- - - - - Short ciliary nerves</x:t>
  </x:si>
  <x:si>
    <x:t>http://id.who.int/icd/entity/602435066</x:t>
  </x:si>
  <x:si>
    <x:t>http://id.who.int/icd/release/11/beta/ichi/602435066</x:t>
  </x:si>
  <x:si>
    <x:t>- - - - - Subcostal nerve</x:t>
  </x:si>
  <x:si>
    <x:t>http://id.who.int/icd/entity/885000506</x:t>
  </x:si>
  <x:si>
    <x:t>http://id.who.int/icd/release/11/beta/ichi/885000506</x:t>
  </x:si>
  <x:si>
    <x:t>- - - - - Submandibular ganglion</x:t>
  </x:si>
  <x:si>
    <x:t>http://id.who.int/icd/entity/396750470</x:t>
  </x:si>
  <x:si>
    <x:t>http://id.who.int/icd/release/11/beta/ichi/396750470</x:t>
  </x:si>
  <x:si>
    <x:t>- - - - - Suboccipital nerve</x:t>
  </x:si>
  <x:si>
    <x:t>http://id.who.int/icd/entity/9275974</x:t>
  </x:si>
  <x:si>
    <x:t>http://id.who.int/icd/release/11/beta/ichi/9275974</x:t>
  </x:si>
  <x:si>
    <x:t>- - - - - Superficial branch of the radial nerve</x:t>
  </x:si>
  <x:si>
    <x:t>http://id.who.int/icd/entity/1610678285</x:t>
  </x:si>
  <x:si>
    <x:t>http://id.who.int/icd/release/11/beta/ichi/1610678285</x:t>
  </x:si>
  <x:si>
    <x:t>- - - - - Superficial fibular nerve</x:t>
  </x:si>
  <x:si>
    <x:t>http://id.who.int/icd/entity/2004484191</x:t>
  </x:si>
  <x:si>
    <x:t>http://id.who.int/icd/release/11/beta/ichi/2004484191</x:t>
  </x:si>
  <x:si>
    <x:t>- - - - - Celiac ganglion</x:t>
  </x:si>
  <x:si>
    <x:t>http://id.who.int/icd/entity/1999201485</x:t>
  </x:si>
  <x:si>
    <x:t>http://id.who.int/icd/release/11/beta/ichi/1999201485</x:t>
  </x:si>
  <x:si>
    <x:t>- - - - - Superior cardiac nerve</x:t>
  </x:si>
  <x:si>
    <x:t>http://id.who.int/icd/entity/1313982861</x:t>
  </x:si>
  <x:si>
    <x:t>http://id.who.int/icd/release/11/beta/ichi/1313982861</x:t>
  </x:si>
  <x:si>
    <x:t>- - - - - Superior cervical ganglion</x:t>
  </x:si>
  <x:si>
    <x:t>http://id.who.int/icd/entity/1501146445</x:t>
  </x:si>
  <x:si>
    <x:t>http://id.who.int/icd/release/11/beta/ichi/1501146445</x:t>
  </x:si>
  <x:si>
    <x:t>- - - - - Superior ganglion</x:t>
  </x:si>
  <x:si>
    <x:t>http://id.who.int/icd/entity/1017156365</x:t>
  </x:si>
  <x:si>
    <x:t>http://id.who.int/icd/release/11/beta/ichi/1017156365</x:t>
  </x:si>
  <x:si>
    <x:t>- - - - - Superior gluteal nerve</x:t>
  </x:si>
  <x:si>
    <x:t>http://id.who.int/icd/entity/98057805</x:t>
  </x:si>
  <x:si>
    <x:t>http://id.who.int/icd/release/11/beta/ichi/98057805</x:t>
  </x:si>
  <x:si>
    <x:t>- - - - - Superior laryngeal nerve</x:t>
  </x:si>
  <x:si>
    <x:t>http://id.who.int/icd/entity/649976307</x:t>
  </x:si>
  <x:si>
    <x:t>http://id.who.int/icd/release/11/beta/ichi/649976307</x:t>
  </x:si>
  <x:si>
    <x:t>- - - - - Superior lateral cutaneous nerve of arm</x:t>
  </x:si>
  <x:si>
    <x:t>http://id.who.int/icd/entity/161520262</x:t>
  </x:si>
  <x:si>
    <x:t>http://id.who.int/icd/release/11/beta/ichi/161520262</x:t>
  </x:si>
  <x:si>
    <x:t>- - - - - Chorda tympani</x:t>
  </x:si>
  <x:si>
    <x:t>http://id.who.int/icd/entity/166985238</x:t>
  </x:si>
  <x:si>
    <x:t>http://id.who.int/icd/release/11/beta/ichi/166985238</x:t>
  </x:si>
  <x:si>
    <x:t>- - - - - Supraclavicular nerves</x:t>
  </x:si>
  <x:si>
    <x:t>http://id.who.int/icd/entity/1115294166</x:t>
  </x:si>
  <x:si>
    <x:t>http://id.who.int/icd/release/11/beta/ichi/1115294166</x:t>
  </x:si>
  <x:si>
    <x:t>- - - - - Suprascapular nerve</x:t>
  </x:si>
  <x:si>
    <x:t>http://id.who.int/icd/entity/1431465238</x:t>
  </x:si>
  <x:si>
    <x:t>http://id.who.int/icd/release/11/beta/ichi/1431465238</x:t>
  </x:si>
  <x:si>
    <x:t>- - - - - Supratrochlear nerve</x:t>
  </x:si>
  <x:si>
    <x:t>http://id.who.int/icd/entity/1814741078</x:t>
  </x:si>
  <x:si>
    <x:t>http://id.who.int/icd/release/11/beta/ichi/1814741078</x:t>
  </x:si>
  <x:si>
    <x:t>- - - - - Sural nerve</x:t>
  </x:si>
  <x:si>
    <x:t>http://id.who.int/icd/entity/2063770774</x:t>
  </x:si>
  <x:si>
    <x:t>http://id.who.int/icd/release/11/beta/ichi/2063770774</x:t>
  </x:si>
  <x:si>
    <x:t>- - - - - Sympathetic trunk</x:t>
  </x:si>
  <x:si>
    <x:t>http://id.who.int/icd/entity/1483162410</x:t>
  </x:si>
  <x:si>
    <x:t>http://id.who.int/icd/release/11/beta/ichi/1483162410</x:t>
  </x:si>
  <x:si>
    <x:t>- - - - - Third occipital nerve</x:t>
  </x:si>
  <x:si>
    <x:t>http://id.who.int/icd/entity/1330587626</x:t>
  </x:si>
  <x:si>
    <x:t>http://id.who.int/icd/release/11/beta/ichi/1330587626</x:t>
  </x:si>
  <x:si>
    <x:t>- - - - - Thoracic splanchnic nerve</x:t>
  </x:si>
  <x:si>
    <x:t>http://id.who.int/icd/entity/1187329022</x:t>
  </x:si>
  <x:si>
    <x:t>http://id.who.int/icd/release/11/beta/ichi/1187329022</x:t>
  </x:si>
  <x:si>
    <x:t>- - - - - Thoraco-abdominal nerve</x:t>
  </x:si>
  <x:si>
    <x:t>http://id.who.int/icd/entity/1374508862</x:t>
  </x:si>
  <x:si>
    <x:t>http://id.who.int/icd/release/11/beta/ichi/1374508862</x:t>
  </x:si>
  <x:si>
    <x:t>- - - - - Thoracodorsal nerve</x:t>
  </x:si>
  <x:si>
    <x:t>http://id.who.int/icd/entity/1819911366</x:t>
  </x:si>
  <x:si>
    <x:t>http://id.who.int/icd/release/11/beta/ichi/1819911366</x:t>
  </x:si>
  <x:si>
    <x:t>- - - - - Ciliary ganglion</x:t>
  </x:si>
  <x:si>
    <x:t>http://id.who.int/icd/entity/1754659454</x:t>
  </x:si>
  <x:si>
    <x:t>http://id.who.int/icd/release/11/beta/ichi/1754659454</x:t>
  </x:si>
  <x:si>
    <x:t>- - - - - Tibial nerve</x:t>
  </x:si>
  <x:si>
    <x:t>http://id.who.int/icd/entity/2143133374</x:t>
  </x:si>
  <x:si>
    <x:t>http://id.who.int/icd/release/11/beta/ichi/2143133374</x:t>
  </x:si>
  <x:si>
    <x:t>- - - - - Transverse cervical nerve</x:t>
  </x:si>
  <x:si>
    <x:t>http://id.who.int/icd/entity/442802430</x:t>
  </x:si>
  <x:si>
    <x:t>http://id.who.int/icd/release/11/beta/ichi/442802430</x:t>
  </x:si>
  <x:si>
    <x:t>- - - - - Tympanic nerve</x:t>
  </x:si>
  <x:si>
    <x:t>http://id.who.int/icd/entity/223134782</x:t>
  </x:si>
  <x:si>
    <x:t>http://id.who.int/icd/release/11/beta/ichi/223134782</x:t>
  </x:si>
  <x:si>
    <x:t>- - - - - Ulnar nerve</x:t>
  </x:si>
  <x:si>
    <x:t>http://id.who.int/icd/entity/875850110</x:t>
  </x:si>
  <x:si>
    <x:t>http://id.who.int/icd/release/11/beta/ichi/875850110</x:t>
  </x:si>
  <x:si>
    <x:t>- - - - - Upper subscapular nerve</x:t>
  </x:si>
  <x:si>
    <x:t>http://id.who.int/icd/entity/1688044607</x:t>
  </x:si>
  <x:si>
    <x:t>http://id.who.int/icd/release/11/beta/ichi/1688044607</x:t>
  </x:si>
  <x:si>
    <x:t>- - - - - Ventral ramus</x:t>
  </x:si>
  <x:si>
    <x:t>http://id.who.int/icd/entity/1254968767</x:t>
  </x:si>
  <x:si>
    <x:t>http://id.who.int/icd/release/11/beta/ichi/1254968767</x:t>
  </x:si>
  <x:si>
    <x:t>- - - - - Vestibular nerve</x:t>
  </x:si>
  <x:si>
    <x:t>http://id.who.int/icd/entity/2068955142</x:t>
  </x:si>
  <x:si>
    <x:t>http://id.who.int/icd/release/11/beta/ichi/2068955142</x:t>
  </x:si>
  <x:si>
    <x:t>- - - - - Coccygeal nerve</x:t>
  </x:si>
  <x:si>
    <x:t>http://id.who.int/icd/entity/1110011206</x:t>
  </x:si>
  <x:si>
    <x:t>http://id.who.int/icd/release/11/beta/ichi/1110011206</x:t>
  </x:si>
  <x:si>
    <x:t>- - - - - Cochlear nerve</x:t>
  </x:si>
  <x:si>
    <x:t>http://id.who.int/icd/entity/1632406266</x:t>
  </x:si>
  <x:si>
    <x:t>http://id.who.int/icd/release/11/beta/ichi/1632406266</x:t>
  </x:si>
  <x:si>
    <x:t>- - - - - Common palmar digital nerves of median nerve</x:t>
  </x:si>
  <x:si>
    <x:t>http://id.who.int/icd/entity/1986326074</x:t>
  </x:si>
  <x:si>
    <x:t>http://id.who.int/icd/release/11/beta/ichi/1986326074</x:t>
  </x:si>
  <x:si>
    <x:t>- - - - - Common fibular nerve</x:t>
  </x:si>
  <x:si>
    <x:t>http://id.who.int/icd/entity/300271419</x:t>
  </x:si>
  <x:si>
    <x:t>http://id.who.int/icd/release/11/beta/ichi/300271419</x:t>
  </x:si>
  <x:si>
    <x:t>- - - - - Deep branch of the radial nerve</x:t>
  </x:si>
  <x:si>
    <x:t>http://id.who.int/icd/entity/114140155</x:t>
  </x:si>
  <x:si>
    <x:t>http://id.who.int/icd/release/11/beta/ichi/114140155</x:t>
  </x:si>
  <x:si>
    <x:t>- - - - - Deep fibular nerve</x:t>
  </x:si>
  <x:si>
    <x:t>http://id.who.int/icd/entity/1068830395</x:t>
  </x:si>
  <x:si>
    <x:t>http://id.who.int/icd/release/11/beta/ichi/1068830395</x:t>
  </x:si>
  <x:si>
    <x:t>- - - - - Deep petrosal nerve</x:t>
  </x:si>
  <x:si>
    <x:t>http://id.who.int/icd/entity/1296323643</x:t>
  </x:si>
  <x:si>
    <x:t>http://id.who.int/icd/release/11/beta/ichi/1296323643</x:t>
  </x:si>
  <x:si>
    <x:t>- - - - - Diagonal band of Broca</x:t>
  </x:si>
  <x:si>
    <x:t>http://id.who.int/icd/entity/936744078</x:t>
  </x:si>
  <x:si>
    <x:t>http://id.who.int/icd/release/11/beta/ichi/936744078</x:t>
  </x:si>
  <x:si>
    <x:t>- - - - - Digital nerve</x:t>
  </x:si>
  <x:si>
    <x:t>http://id.who.int/icd/entity/1517039867</x:t>
  </x:si>
  <x:si>
    <x:t>http://id.who.int/icd/release/11/beta/ichi/1517039867</x:t>
  </x:si>
  <x:si>
    <x:t>- - - - - Dorsal branch of ulnar nerve</x:t>
  </x:si>
  <x:si>
    <x:t>http://id.who.int/icd/entity/1662295483</x:t>
  </x:si>
  <x:si>
    <x:t>http://id.who.int/icd/release/11/beta/ichi/1662295483</x:t>
  </x:si>
  <x:si>
    <x:t>- - - - - Dorsal nerve of clitoris</x:t>
  </x:si>
  <x:si>
    <x:t>http://id.who.int/icd/entity/1950153083</x:t>
  </x:si>
  <x:si>
    <x:t>http://id.who.int/icd/release/11/beta/ichi/1950153083</x:t>
  </x:si>
  <x:si>
    <x:t>- - - - - Dorsal nerve of the penis</x:t>
  </x:si>
  <x:si>
    <x:t>http://id.who.int/icd/entity/1465458373</x:t>
  </x:si>
  <x:si>
    <x:t>http://id.who.int/icd/release/11/beta/ichi/1465458373</x:t>
  </x:si>
  <x:si>
    <x:t>- - - - - Dorsal scapular nerve</x:t>
  </x:si>
  <x:si>
    <x:t>http://id.who.int/icd/entity/2014787874</x:t>
  </x:si>
  <x:si>
    <x:t>http://id.who.int/icd/release/11/beta/ichi/2014787874</x:t>
  </x:si>
  <x:si>
    <x:t>- - - - - External laryngeal nerve</x:t>
  </x:si>
  <x:si>
    <x:t>http://id.who.int/icd/entity/1447555234</x:t>
  </x:si>
  <x:si>
    <x:t>http://id.who.int/icd/release/11/beta/ichi/1447555234</x:t>
  </x:si>
  <x:si>
    <x:t>- - - - - Femoral nerve</x:t>
  </x:si>
  <x:si>
    <x:t>http://id.who.int/icd/entity/500041570</x:t>
  </x:si>
  <x:si>
    <x:t>http://id.who.int/icd/release/11/beta/ichi/500041570</x:t>
  </x:si>
  <x:si>
    <x:t>- - - - - Geniculate ganglion</x:t>
  </x:si>
  <x:si>
    <x:t>http://id.who.int/icd/entity/182870946</x:t>
  </x:si>
  <x:si>
    <x:t>http://id.who.int/icd/release/11/beta/ichi/182870946</x:t>
  </x:si>
  <x:si>
    <x:t>- - - - - Genital branch of genitofemoral nerve</x:t>
  </x:si>
  <x:si>
    <x:t>http://id.who.int/icd/entity/696484894</x:t>
  </x:si>
  <x:si>
    <x:t>http://id.who.int/icd/release/11/beta/ichi/696484894</x:t>
  </x:si>
  <x:si>
    <x:t>- - - - - Genitofemoral nerve</x:t>
  </x:si>
  <x:si>
    <x:t>http://id.who.int/icd/entity/1051451614</x:t>
  </x:si>
  <x:si>
    <x:t>http://id.who.int/icd/release/11/beta/ichi/1051451614</x:t>
  </x:si>
  <x:si>
    <x:t>- - - - - Gluteal nerve</x:t>
  </x:si>
  <x:si>
    <x:t>http://id.who.int/icd/entity/924972234</x:t>
  </x:si>
  <x:si>
    <x:t>http://id.who.int/icd/release/11/beta/ichi/924972234</x:t>
  </x:si>
  <x:si>
    <x:t>- - - - - Greater auricular nerve</x:t>
  </x:si>
  <x:si>
    <x:t>http://id.who.int/icd/entity/537497610</x:t>
  </x:si>
  <x:si>
    <x:t>http://id.who.int/icd/release/11/beta/ichi/537497610</x:t>
  </x:si>
  <x:si>
    <x:t>- - - - - Greater occipital nerve</x:t>
  </x:si>
  <x:si>
    <x:t>http://id.who.int/icd/entity/426851658</x:t>
  </x:si>
  <x:si>
    <x:t>http://id.who.int/icd/release/11/beta/ichi/426851658</x:t>
  </x:si>
  <x:si>
    <x:t>- - - - - Greater petrosal nerve</x:t>
  </x:si>
  <x:si>
    <x:t>http://id.who.int/icd/entity/1803577290</x:t>
  </x:si>
  <x:si>
    <x:t>http://id.who.int/icd/release/11/beta/ichi/1803577290</x:t>
  </x:si>
  <x:si>
    <x:t>- - - - - Iliohypogastric nerve</x:t>
  </x:si>
  <x:si>
    <x:t>http://id.who.int/icd/entity/2091385610</x:t>
  </x:si>
  <x:si>
    <x:t>http://id.who.int/icd/release/11/beta/ichi/2091385610</x:t>
  </x:si>
  <x:si>
    <x:t>- - - - - Ilioinguinal nerve</x:t>
  </x:si>
  <x:si>
    <x:t>http://id.who.int/icd/entity/1392036490</x:t>
  </x:si>
  <x:si>
    <x:t>http://id.who.int/icd/release/11/beta/ichi/1392036490</x:t>
  </x:si>
  <x:si>
    <x:t>- - - - - Inferior anal nerves</x:t>
  </x:si>
  <x:si>
    <x:t>http://id.who.int/icd/entity/1906126134</x:t>
  </x:si>
  <x:si>
    <x:t>http://id.who.int/icd/release/11/beta/ichi/1906126134</x:t>
  </x:si>
  <x:si>
    <x:t>- - - - - Inferior cardiac nerve</x:t>
  </x:si>
  <x:si>
    <x:t>http://id.who.int/icd/entity/1723156982</x:t>
  </x:si>
  <x:si>
    <x:t>http://id.who.int/icd/release/11/beta/ichi/1723156982</x:t>
  </x:si>
  <x:si>
    <x:t>- - - - - Inferior cervical ganglion</x:t>
  </x:si>
  <x:si>
    <x:t>http://id.who.int/icd/entity/1241214483</x:t>
  </x:si>
  <x:si>
    <x:t>http://id.who.int/icd/release/11/beta/ichi/1241214483</x:t>
  </x:si>
  <x:si>
    <x:t>- - - - - Inferior gluteal nerve</x:t>
  </x:si>
  <x:si>
    <x:t>http://id.who.int/icd/entity/41064915</x:t>
  </x:si>
  <x:si>
    <x:t>http://id.who.int/icd/release/11/beta/ichi/41064915</x:t>
  </x:si>
  <x:si>
    <x:t>- - - - - Infraorbital plexus</x:t>
  </x:si>
  <x:si>
    <x:t>http://id.who.int/icd/entity/990524563</x:t>
  </x:si>
  <x:si>
    <x:t>http://id.who.int/icd/release/11/beta/ichi/990524563</x:t>
  </x:si>
  <x:si>
    <x:t>- - - - - Intercostal nerve</x:t>
  </x:si>
  <x:si>
    <x:t>http://id.who.int/icd/entity/740446291</x:t>
  </x:si>
  <x:si>
    <x:t>http://id.who.int/icd/release/11/beta/ichi/740446291</x:t>
  </x:si>
  <x:si>
    <x:t>- - - - - Intercostobrachial nerve</x:t>
  </x:si>
  <x:si>
    <x:t>http://id.who.int/icd/entity/256358381</x:t>
  </x:si>
  <x:si>
    <x:t>http://id.who.int/icd/release/11/beta/ichi/256358381</x:t>
  </x:si>
  <x:si>
    <x:t>- - - - - Intermediate cutaneous nerve</x:t>
  </x:si>
  <x:si>
    <x:t>http://id.who.int/icd/entity/2028165478</x:t>
  </x:si>
  <x:si>
    <x:t>http://id.who.int/icd/release/11/beta/ichi/2028165478</x:t>
  </x:si>
  <x:si>
    <x:t>- - - - - Internal laryngeal nerve</x:t>
  </x:si>
  <x:si>
    <x:t>http://id.who.int/icd/entity/1875590566</x:t>
  </x:si>
  <x:si>
    <x:t>http://id.who.int/icd/release/11/beta/ichi/1875590566</x:t>
  </x:si>
  <x:si>
    <x:t>- - - - - Jugular ganglion</x:t>
  </x:si>
  <x:si>
    <x:t>http://id.who.int/icd/entity/1100739622</x:t>
  </x:si>
  <x:si>
    <x:t>http://id.who.int/icd/release/11/beta/ichi/1100739622</x:t>
  </x:si>
  <x:si>
    <x:t>- - - - - Lateral cord of brachial plexus</x:t>
  </x:si>
  <x:si>
    <x:t>http://id.who.int/icd/entity/608356966</x:t>
  </x:si>
  <x:si>
    <x:t>http://id.who.int/icd/release/11/beta/ichi/608356966</x:t>
  </x:si>
  <x:si>
    <x:t>- - - - - Lateral cutaneous nerve of forearm</x:t>
  </x:si>
  <x:si>
    <x:t>http://id.who.int/icd/entity/862629542</x:t>
  </x:si>
  <x:si>
    <x:t>http://id.who.int/icd/release/11/beta/ichi/862629542</x:t>
  </x:si>
  <x:si>
    <x:t>- - - - - Lateral cutaneous nerve of thigh</x:t>
  </x:si>
  <x:si>
    <x:t>http://id.who.int/icd/entity/1116629394</x:t>
  </x:si>
  <x:si>
    <x:t>http://id.who.int/icd/release/11/beta/ichi/1116629394</x:t>
  </x:si>
  <x:si>
    <x:t>- - - - - Lateral femoral cutaneous nerve</x:t>
  </x:si>
  <x:si>
    <x:t>http://id.who.int/icd/entity/168952806</x:t>
  </x:si>
  <x:si>
    <x:t>http://id.who.int/icd/release/11/beta/ichi/168952806</x:t>
  </x:si>
  <x:si>
    <x:t>- - - - - Lateral pectoral nerve</x:t>
  </x:si>
  <x:si>
    <x:t>http://id.who.int/icd/entity/490366758</x:t>
  </x:si>
  <x:si>
    <x:t>http://id.who.int/icd/release/11/beta/ichi/490366758</x:t>
  </x:si>
  <x:si>
    <x:t>- - - - - Lateral plantar nerve</x:t>
  </x:si>
  <x:si>
    <x:t>http://id.who.int/icd/entity/1682594403</x:t>
  </x:si>
  <x:si>
    <x:t>http://id.who.int/icd/release/11/beta/ichi/1682594403</x:t>
  </x:si>
  <x:si>
    <x:t>- - - - - Left recurrent laryngeal nerve</x:t>
  </x:si>
  <x:si>
    <x:t>http://id.who.int/icd/entity/695723098</x:t>
  </x:si>
  <x:si>
    <x:t>http://id.who.int/icd/release/11/beta/ichi/695723098</x:t>
  </x:si>
  <x:si>
    <x:t>- - - - - Lesser occipital nerve</x:t>
  </x:si>
  <x:si>
    <x:t>http://id.who.int/icd/entity/1519931581</x:t>
  </x:si>
  <x:si>
    <x:t>http://id.who.int/icd/release/11/beta/ichi/1519931581</x:t>
  </x:si>
  <x:si>
    <x:t>- - - - - Long root of the ciliary ganglion</x:t>
  </x:si>
  <x:si>
    <x:t>http://id.who.int/icd/entity/1303393405</x:t>
  </x:si>
  <x:si>
    <x:t>http://id.who.int/icd/release/11/beta/ichi/1303393405</x:t>
  </x:si>
  <x:si>
    <x:t>- - - - - Long thoracic nerve</x:t>
  </x:si>
  <x:si>
    <x:t>http://id.who.int/icd/entity/1959303485</x:t>
  </x:si>
  <x:si>
    <x:t>http://id.who.int/icd/release/11/beta/ichi/1959303485</x:t>
  </x:si>
  <x:si>
    <x:t>- - - - - Lower subscapular nerve</x:t>
  </x:si>
  <x:si>
    <x:t>http://id.who.int/icd/entity/1675689469</x:t>
  </x:si>
  <x:si>
    <x:t>http://id.who.int/icd/release/11/beta/ichi/1675689469</x:t>
  </x:si>
  <x:si>
    <x:t>- - - - - Lumbar nerve</x:t>
  </x:si>
  <x:si>
    <x:t>http://id.who.int/icd/entity/1082464835</x:t>
  </x:si>
  <x:si>
    <x:t>http://id.who.int/icd/release/11/beta/ichi/1082464835</x:t>
  </x:si>
  <x:si>
    <x:t>- - - - - Lumbar splanchnic nerve</x:t>
  </x:si>
  <x:si>
    <x:t>http://id.who.int/icd/entity/1470987907</x:t>
  </x:si>
  <x:si>
    <x:t>http://id.who.int/icd/release/11/beta/ichi/1470987907</x:t>
  </x:si>
  <x:si>
    <x:t>- - - - - Lumboinguinal nerve</x:t>
  </x:si>
  <x:si>
    <x:t>http://id.who.int/icd/entity/1579641493</x:t>
  </x:si>
  <x:si>
    <x:t>http://id.who.int/icd/release/11/beta/ichi/1579641493</x:t>
  </x:si>
  <x:si>
    <x:t>- - - - - Lumbosacral trunk</x:t>
  </x:si>
  <x:si>
    <x:t>http://id.who.int/icd/entity/1225723477</x:t>
  </x:si>
  <x:si>
    <x:t>http://id.who.int/icd/release/11/beta/ichi/1225723477</x:t>
  </x:si>
  <x:si>
    <x:t>- - - - - Trigeminal nerve, mandibular branch</x:t>
  </x:si>
  <x:si>
    <x:t>http://id.who.int/icd/entity/1734330325</x:t>
  </x:si>
  <x:si>
    <x:t>http://id.who.int/icd/release/11/beta/ichi/1734330325</x:t>
  </x:si>
  <x:si>
    <x:t>- - - - - Trigeminal nerve, maxillary branch</x:t>
  </x:si>
  <x:si>
    <x:t>http://id.who.int/icd/entity/42400149</x:t>
  </x:si>
  <x:si>
    <x:t>http://id.who.int/icd/release/11/beta/ichi/42400149</x:t>
  </x:si>
  <x:si>
    <x:t>- - - - - Medial cord of brachial plexus</x:t>
  </x:si>
  <x:si>
    <x:t>http://id.who.int/icd/entity/363765077</x:t>
  </x:si>
  <x:si>
    <x:t>http://id.who.int/icd/release/11/beta/ichi/363765077</x:t>
  </x:si>
  <x:si>
    <x:t>- - - - - Medial cutaneous nerve of arm</x:t>
  </x:si>
  <x:si>
    <x:t>http://id.who.int/icd/entity/752234517</x:t>
  </x:si>
  <x:si>
    <x:t>http://id.who.int/icd/release/11/beta/ichi/752234517</x:t>
  </x:si>
  <x:si>
    <x:t>- - - - - Medial cutaneous nerve of forearm</x:t>
  </x:si>
  <x:si>
    <x:t>http://id.who.int/icd/entity/1006523605</x:t>
  </x:si>
  <x:si>
    <x:t>http://id.who.int/icd/release/11/beta/ichi/1006523605</x:t>
  </x:si>
  <x:si>
    <x:t>- - - - - Medial cutaneous nerve</x:t>
  </x:si>
  <x:si>
    <x:t>http://id.who.int/icd/entity/412857195</x:t>
  </x:si>
  <x:si>
    <x:t>http://id.who.int/icd/release/11/beta/ichi/412857195</x:t>
  </x:si>
  <x:si>
    <x:t>- - - - - Medial pectoral nerve</x:t>
  </x:si>
  <x:si>
    <x:t>http://id.who.int/icd/entity/263444395</x:t>
  </x:si>
  <x:si>
    <x:t>http://id.who.int/icd/release/11/beta/ichi/263444395</x:t>
  </x:si>
  <x:si>
    <x:t>- - - - - Medial plantar nerve</x:t>
  </x:si>
  <x:si>
    <x:t>http://id.who.int/icd/entity/246233550</x:t>
  </x:si>
  <x:si>
    <x:t>http://id.who.int/icd/release/11/beta/ichi/246233550</x:t>
  </x:si>
  <x:si>
    <x:t>- - - - - Median nerve</x:t>
  </x:si>
  <x:si>
    <x:t>http://id.who.int/icd/entity/358111161</x:t>
  </x:si>
  <x:si>
    <x:t>http://id.who.int/icd/release/11/beta/ichi/358111161</x:t>
  </x:si>
  <x:si>
    <x:t>- - - Visual system</x:t>
  </x:si>
  <x:si>
    <x:t>http://id.who.int/icd/entity/28784496</x:t>
  </x:si>
  <x:si>
    <x:t>http://id.who.int/icd/release/11/beta/ichi/28784496</x:t>
  </x:si>
  <x:si>
    <x:t>- - - - Lacrimal apparatus</x:t>
  </x:si>
  <x:si>
    <x:t>http://id.who.int/icd/entity/1223272140</x:t>
  </x:si>
  <x:si>
    <x:t>http://id.who.int/icd/release/11/beta/ichi/1223272140</x:t>
  </x:si>
  <x:si>
    <x:t>- - - - - Meibomian gland</x:t>
  </x:si>
  <x:si>
    <x:t>http://id.who.int/icd/entity/628961459</x:t>
  </x:si>
  <x:si>
    <x:t>http://id.who.int/icd/release/11/beta/ichi/628961459</x:t>
  </x:si>
  <x:si>
    <x:t>- - - - - Lacrimal puncta</x:t>
  </x:si>
  <x:si>
    <x:t>http://id.who.int/icd/entity/466248034</x:t>
  </x:si>
  <x:si>
    <x:t>http://id.who.int/icd/release/11/beta/ichi/466248034</x:t>
  </x:si>
  <x:si>
    <x:t>- - - - - - Superior lacrimal punctum</x:t>
  </x:si>
  <x:si>
    <x:t>http://id.who.int/icd/entity/289916430</x:t>
  </x:si>
  <x:si>
    <x:t>http://id.who.int/icd/release/11/beta/ichi/289916430</x:t>
  </x:si>
  <x:si>
    <x:t>- - - - - - Inferior lacrimal punctum</x:t>
  </x:si>
  <x:si>
    <x:t>http://id.who.int/icd/entity/1263812675</x:t>
  </x:si>
  <x:si>
    <x:t>http://id.who.int/icd/release/11/beta/ichi/1263812675</x:t>
  </x:si>
  <x:si>
    <x:t>- - - - - Lacrimal canaliculi</x:t>
  </x:si>
  <x:si>
    <x:t>http://id.who.int/icd/entity/640375349</x:t>
  </x:si>
  <x:si>
    <x:t>http://id.who.int/icd/release/11/beta/ichi/640375349</x:t>
  </x:si>
  <x:si>
    <x:t>- - - - - Nasolacrimal duct</x:t>
  </x:si>
  <x:si>
    <x:t>http://id.who.int/icd/entity/822296309</x:t>
  </x:si>
  <x:si>
    <x:t>http://id.who.int/icd/release/11/beta/ichi/822296309</x:t>
  </x:si>
  <x:si>
    <x:t>- - - - Orbit</x:t>
  </x:si>
  <x:si>
    <x:t>http://id.who.int/icd/entity/1999532114</x:t>
  </x:si>
  <x:si>
    <x:t>http://id.who.int/icd/release/11/beta/ichi/1999532114</x:t>
  </x:si>
  <x:si>
    <x:t>- - - - - Connective and other soft tissue of orbit</x:t>
  </x:si>
  <x:si>
    <x:t>http://id.who.int/icd/entity/547695392</x:t>
  </x:si>
  <x:si>
    <x:t>http://id.who.int/icd/release/11/beta/ichi/547695392</x:t>
  </x:si>
  <x:si>
    <x:t>- - - - - - Nasofrontal vein</x:t>
  </x:si>
  <x:si>
    <x:t>http://id.who.int/icd/entity/1907141160</x:t>
  </x:si>
  <x:si>
    <x:t>http://id.who.int/icd/release/11/beta/ichi/1907141160</x:t>
  </x:si>
  <x:si>
    <x:t>- - - - - - Supraorbital vein</x:t>
  </x:si>
  <x:si>
    <x:t>http://id.who.int/icd/entity/583069829</x:t>
  </x:si>
  <x:si>
    <x:t>http://id.who.int/icd/release/11/beta/ichi/583069829</x:t>
  </x:si>
  <x:si>
    <x:t>- - - Auditory system</x:t>
  </x:si>
  <x:si>
    <x:t>http://id.who.int/icd/entity/1144556225</x:t>
  </x:si>
  <x:si>
    <x:t>http://id.who.int/icd/release/11/beta/ichi/1144556225</x:t>
  </x:si>
  <x:si>
    <x:t>- - - - Ear</x:t>
  </x:si>
  <x:si>
    <x:t>http://id.who.int/icd/entity/1393618433</x:t>
  </x:si>
  <x:si>
    <x:t>http://id.who.int/icd/release/11/beta/ichi/1393618433</x:t>
  </x:si>
  <x:si>
    <x:t>- - - - - Inner Ear</x:t>
  </x:si>
  <x:si>
    <x:t>http://id.who.int/icd/entity/1802939686</x:t>
  </x:si>
  <x:si>
    <x:t>http://id.who.int/icd/release/11/beta/ichi/1802939686</x:t>
  </x:si>
  <x:si>
    <x:t>- - - - - - Semicircular canals</x:t>
  </x:si>
  <x:si>
    <x:t>http://id.who.int/icd/entity/1597714010</x:t>
  </x:si>
  <x:si>
    <x:t>http://id.who.int/icd/release/11/beta/ichi/1597714010</x:t>
  </x:si>
  <x:si>
    <x:t>- - - - - - Cochlea</x:t>
  </x:si>
  <x:si>
    <x:t>http://id.who.int/icd/entity/1715700506</x:t>
  </x:si>
  <x:si>
    <x:t>http://id.who.int/icd/release/11/beta/ichi/1715700506</x:t>
  </x:si>
  <x:si>
    <x:t>- - - - - - Internal Acoustic Meatus</x:t>
  </x:si>
  <x:si>
    <x:t>http://id.who.int/icd/entity/2086586854</x:t>
  </x:si>
  <x:si>
    <x:t>http://id.who.int/icd/release/11/beta/ichi/2086586854</x:t>
  </x:si>
  <x:si>
    <x:t>- - - - - - Labyrinth</x:t>
  </x:si>
  <x:si>
    <x:t>http://id.who.int/icd/entity/1209223834</x:t>
  </x:si>
  <x:si>
    <x:t>http://id.who.int/icd/release/11/beta/ichi/1209223834</x:t>
  </x:si>
  <x:si>
    <x:t>- - - - - - Auditory vestibule</x:t>
  </x:si>
  <x:si>
    <x:t>http://id.who.int/icd/entity/1902897114</x:t>
  </x:si>
  <x:si>
    <x:t>http://id.who.int/icd/release/11/beta/ichi/1902897114</x:t>
  </x:si>
  <x:si>
    <x:t>- - - - - Middle Ear</x:t>
  </x:si>
  <x:si>
    <x:t>http://id.who.int/icd/entity/987893786</x:t>
  </x:si>
  <x:si>
    <x:t>http://id.who.int/icd/release/11/beta/ichi/987893786</x:t>
  </x:si>
  <x:si>
    <x:t>- - - - - - Eustachian tube</x:t>
  </x:si>
  <x:si>
    <x:t>http://id.who.int/icd/entity/60472666</x:t>
  </x:si>
  <x:si>
    <x:t>http://id.who.int/icd/release/11/beta/ichi/60472666</x:t>
  </x:si>
  <x:si>
    <x:t>- - - - - - Oval window</x:t>
  </x:si>
  <x:si>
    <x:t>http://id.who.int/icd/entity/595221519</x:t>
  </x:si>
  <x:si>
    <x:t>http://id.who.int/icd/release/11/beta/ichi/595221519</x:t>
  </x:si>
  <x:si>
    <x:t>- - - - - - Mastoid antrum</x:t>
  </x:si>
  <x:si>
    <x:t>http://id.who.int/icd/entity/122233677</x:t>
  </x:si>
  <x:si>
    <x:t>http://id.who.int/icd/release/11/beta/ichi/122233677</x:t>
  </x:si>
  <x:si>
    <x:t>- - - - - - Connective and other soft tissues of middle ear</x:t>
  </x:si>
  <x:si>
    <x:t>http://id.who.int/icd/entity/768242906</x:t>
  </x:si>
  <x:si>
    <x:t>http://id.who.int/icd/release/11/beta/ichi/768242906</x:t>
  </x:si>
  <x:si>
    <x:t>- - - - - External Ear</x:t>
  </x:si>
  <x:si>
    <x:t>http://id.who.int/icd/entity/2030796271</x:t>
  </x:si>
  <x:si>
    <x:t>http://id.who.int/icd/release/11/beta/ichi/2030796271</x:t>
  </x:si>
  <x:si>
    <x:t>- - - - - - Pinna</x:t>
  </x:si>
  <x:si>
    <x:t>http://id.who.int/icd/entity/696331958</x:t>
  </x:si>
  <x:si>
    <x:t>http://id.who.int/icd/release/11/beta/ichi/696331958</x:t>
  </x:si>
  <x:si>
    <x:t>- - - - - - - Helix of pinna</x:t>
  </x:si>
  <x:si>
    <x:t>http://id.who.int/icd/entity/1280839926</x:t>
  </x:si>
  <x:si>
    <x:t>http://id.who.int/icd/release/11/beta/ichi/1280839926</x:t>
  </x:si>
  <x:si>
    <x:t>- - - - - - - - Crus of helix</x:t>
  </x:si>
  <x:si>
    <x:t>http://id.who.int/icd/entity/1965079990</x:t>
  </x:si>
  <x:si>
    <x:t>http://id.who.int/icd/release/11/beta/ichi/1965079990</x:t>
  </x:si>
  <x:si>
    <x:t>- - - - - - - - Apex of helix</x:t>
  </x:si>
  <x:si>
    <x:t>http://id.who.int/icd/entity/1534096438</x:t>
  </x:si>
  <x:si>
    <x:t>http://id.who.int/icd/release/11/beta/ichi/1534096438</x:t>
  </x:si>
  <x:si>
    <x:t>- - - - - - - - Spine of helix</x:t>
  </x:si>
  <x:si>
    <x:t>http://id.who.int/icd/entity/1051282038</x:t>
  </x:si>
  <x:si>
    <x:t>http://id.who.int/icd/release/11/beta/ichi/1051282038</x:t>
  </x:si>
  <x:si>
    <x:t>- - - - - - - - Tail of helix</x:t>
  </x:si>
  <x:si>
    <x:t>http://id.who.int/icd/entity/615776394</x:t>
  </x:si>
  <x:si>
    <x:t>http://id.who.int/icd/release/11/beta/ichi/615776394</x:t>
  </x:si>
  <x:si>
    <x:t>- - - - - - - Antihelix</x:t>
  </x:si>
  <x:si>
    <x:t>http://id.who.int/icd/entity/131196726</x:t>
  </x:si>
  <x:si>
    <x:t>http://id.who.int/icd/release/11/beta/ichi/131196726</x:t>
  </x:si>
  <x:si>
    <x:t>- - - - - - - - Crura of antihelix</x:t>
  </x:si>
  <x:si>
    <x:t>http://id.who.int/icd/entity/284787702</x:t>
  </x:si>
  <x:si>
    <x:t>http://id.who.int/icd/release/11/beta/ichi/284787702</x:t>
  </x:si>
  <x:si>
    <x:t>- - - - - - - - Scaphoid fossa of pinna</x:t>
  </x:si>
  <x:si>
    <x:t>http://id.who.int/icd/entity/483541935</x:t>
  </x:si>
  <x:si>
    <x:t>http://id.who.int/icd/release/11/beta/ichi/483541935</x:t>
  </x:si>
  <x:si>
    <x:t>- - - - - - - Concha of pinna</x:t>
  </x:si>
  <x:si>
    <x:t>http://id.who.int/icd/entity/1867929275</x:t>
  </x:si>
  <x:si>
    <x:t>http://id.who.int/icd/release/11/beta/ichi/1867929275</x:t>
  </x:si>
  <x:si>
    <x:t>- - - - - - - - Cymba conchae</x:t>
  </x:si>
  <x:si>
    <x:t>http://id.who.int/icd/entity/792766158</x:t>
  </x:si>
  <x:si>
    <x:t>http://id.who.int/icd/release/11/beta/ichi/792766158</x:t>
  </x:si>
  <x:si>
    <x:t>- - - - - - - - Conchal bowl of pinna</x:t>
  </x:si>
  <x:si>
    <x:t>http://id.who.int/icd/entity/865887306</x:t>
  </x:si>
  <x:si>
    <x:t>http://id.who.int/icd/release/11/beta/ichi/865887306</x:t>
  </x:si>
  <x:si>
    <x:t>- - - - - - - Triangular fossa of pinna</x:t>
  </x:si>
  <x:si>
    <x:t>http://id.who.int/icd/entity/200943471</x:t>
  </x:si>
  <x:si>
    <x:t>http://id.who.int/icd/release/11/beta/ichi/200943471</x:t>
  </x:si>
  <x:si>
    <x:t>- - - - - - - Tragus of pinna</x:t>
  </x:si>
  <x:si>
    <x:t>http://id.who.int/icd/entity/847415855</x:t>
  </x:si>
  <x:si>
    <x:t>http://id.who.int/icd/release/11/beta/ichi/847415855</x:t>
  </x:si>
  <x:si>
    <x:t>- - - - - - - Intertragic notch of pinna</x:t>
  </x:si>
  <x:si>
    <x:t>http://id.who.int/icd/entity/1081331887</x:t>
  </x:si>
  <x:si>
    <x:t>http://id.who.int/icd/release/11/beta/ichi/1081331887</x:t>
  </x:si>
  <x:si>
    <x:t>- - - - - - - Earlobe</x:t>
  </x:si>
  <x:si>
    <x:t>http://id.who.int/icd/entity/631959279</x:t>
  </x:si>
  <x:si>
    <x:t>http://id.who.int/icd/release/11/beta/ichi/631959279</x:t>
  </x:si>
  <x:si>
    <x:t>- - - - - - - Antitragus of pinna</x:t>
  </x:si>
  <x:si>
    <x:t>http://id.who.int/icd/entity/1847793967</x:t>
  </x:si>
  <x:si>
    <x:t>http://id.who.int/icd/release/11/beta/ichi/1847793967</x:t>
  </x:si>
  <x:si>
    <x:t>- - - - - - - Posterior surface of pinna</x:t>
  </x:si>
  <x:si>
    <x:t>http://id.who.int/icd/entity/1413633920</x:t>
  </x:si>
  <x:si>
    <x:t>http://id.who.int/icd/release/11/beta/ichi/1413633920</x:t>
  </x:si>
  <x:si>
    <x:t>- - - - - - - - Antihelical fossa</x:t>
  </x:si>
  <x:si>
    <x:t>http://id.who.int/icd/entity/782803727</x:t>
  </x:si>
  <x:si>
    <x:t>http://id.who.int/icd/release/11/beta/ichi/782803727</x:t>
  </x:si>
  <x:si>
    <x:t>- - - - - - - - Eminence of concha</x:t>
  </x:si>
  <x:si>
    <x:t>http://id.who.int/icd/entity/1952374226</x:t>
  </x:si>
  <x:si>
    <x:t>http://id.who.int/icd/release/11/beta/ichi/1952374226</x:t>
  </x:si>
  <x:si>
    <x:t>- - - - - - - - Eminence of scapha</x:t>
  </x:si>
  <x:si>
    <x:t>http://id.who.int/icd/entity/293957735</x:t>
  </x:si>
  <x:si>
    <x:t>http://id.who.int/icd/release/11/beta/ichi/293957735</x:t>
  </x:si>
  <x:si>
    <x:t>- - - - - - - - Eminence of triangular fossa</x:t>
  </x:si>
  <x:si>
    <x:t>http://id.who.int/icd/entity/1465627759</x:t>
  </x:si>
  <x:si>
    <x:t>http://id.who.int/icd/release/11/beta/ichi/1465627759</x:t>
  </x:si>
  <x:si>
    <x:t>- - - - - - - Retroauricular sulcus</x:t>
  </x:si>
  <x:si>
    <x:t>http://id.who.int/icd/entity/1296498321</x:t>
  </x:si>
  <x:si>
    <x:t>http://id.who.int/icd/release/11/beta/ichi/1296498321</x:t>
  </x:si>
  <x:si>
    <x:t>- - - - - - External auditory canal</x:t>
  </x:si>
  <x:si>
    <x:t>http://id.who.int/icd/entity/1517197905</x:t>
  </x:si>
  <x:si>
    <x:t>http://id.who.int/icd/release/11/beta/ichi/1517197905</x:t>
  </x:si>
  <x:si>
    <x:t>- - - - - - - External auditory meatus</x:t>
  </x:si>
  <x:si>
    <x:t>http://id.who.int/icd/entity/893767926</x:t>
  </x:si>
  <x:si>
    <x:t>http://id.who.int/icd/release/11/beta/ichi/893767926</x:t>
  </x:si>
  <x:si>
    <x:t>- - - - - - - Ceruminal gland</x:t>
  </x:si>
  <x:si>
    <x:t>http://id.who.int/icd/entity/1070102426</x:t>
  </x:si>
  <x:si>
    <x:t>http://id.who.int/icd/release/11/beta/ichi/1070102426</x:t>
  </x:si>
  <x:si>
    <x:t>- - - - - - Skin of auricle</x:t>
  </x:si>
  <x:si>
    <x:t>http://id.who.int/icd/entity/2079332103</x:t>
  </x:si>
  <x:si>
    <x:t>http://id.who.int/icd/release/11/beta/ichi/2079332103</x:t>
  </x:si>
  <x:si>
    <x:t>- - - Circulatory system</x:t>
  </x:si>
  <x:si>
    <x:t>http://id.who.int/icd/entity/1788617479</x:t>
  </x:si>
  <x:si>
    <x:t>http://id.who.int/icd/release/11/beta/ichi/1788617479</x:t>
  </x:si>
  <x:si>
    <x:t>- - - - Cardiovascular system</x:t>
  </x:si>
  <x:si>
    <x:t>http://id.who.int/icd/entity/1933239759</x:t>
  </x:si>
  <x:si>
    <x:t>http://id.who.int/icd/release/11/beta/ichi/1933239759</x:t>
  </x:si>
  <x:si>
    <x:t>- - - - - Arteries</x:t>
  </x:si>
  <x:si>
    <x:t>http://id.who.int/icd/entity/852143287</x:t>
  </x:si>
  <x:si>
    <x:t>http://id.who.int/icd/release/11/beta/ichi/852143287</x:t>
  </x:si>
  <x:si>
    <x:t>- - - - - - Artery of head, face, and neck</x:t>
  </x:si>
  <x:si>
    <x:t>http://id.who.int/icd/entity/698366470</x:t>
  </x:si>
  <x:si>
    <x:t>http://id.who.int/icd/release/11/beta/ichi/698366470</x:t>
  </x:si>
  <x:si>
    <x:t>- - - - - - - Anterior communicating artery</x:t>
  </x:si>
  <x:si>
    <x:t>http://id.who.int/icd/entity/38873033</x:t>
  </x:si>
  <x:si>
    <x:t>http://id.who.int/icd/release/11/beta/ichi/38873033</x:t>
  </x:si>
  <x:si>
    <x:t>- - - - - - - Anterior ethmoidal artery</x:t>
  </x:si>
  <x:si>
    <x:t>http://id.who.int/icd/entity/360268553</x:t>
  </x:si>
  <x:si>
    <x:t>http://id.who.int/icd/release/11/beta/ichi/360268553</x:t>
  </x:si>
  <x:si>
    <x:t>- - - - - - - - Nasal branches of the anterior ethmoidal artery</x:t>
  </x:si>
  <x:si>
    <x:t>http://id.who.int/icd/entity/754290191</x:t>
  </x:si>
  <x:si>
    <x:t>http://id.who.int/icd/release/11/beta/ichi/754290191</x:t>
  </x:si>
  <x:si>
    <x:t>- - - - - - - Anterior meningeal artery</x:t>
  </x:si>
  <x:si>
    <x:t>http://id.who.int/icd/entity/1565703689</x:t>
  </x:si>
  <x:si>
    <x:t>http://id.who.int/icd/release/11/beta/ichi/1565703689</x:t>
  </x:si>
  <x:si>
    <x:t>- - - - - - - Anterior superior alveolar artery</x:t>
  </x:si>
  <x:si>
    <x:t>http://id.who.int/icd/entity/383470025</x:t>
  </x:si>
  <x:si>
    <x:t>http://id.who.int/icd/release/11/beta/ichi/383470025</x:t>
  </x:si>
  <x:si>
    <x:t>- - - - - - - Artery of pterygoid canal</x:t>
  </x:si>
  <x:si>
    <x:t>http://id.who.int/icd/entity/34787577</x:t>
  </x:si>
  <x:si>
    <x:t>http://id.who.int/icd/release/11/beta/ichi/34787577</x:t>
  </x:si>
  <x:si>
    <x:t>- - - - - - - Carotid artery</x:t>
  </x:si>
  <x:si>
    <x:t>http://id.who.int/icd/entity/420574304</x:t>
  </x:si>
  <x:si>
    <x:t>http://id.who.int/icd/release/11/beta/ichi/420574304</x:t>
  </x:si>
  <x:si>
    <x:t>- - - - - - - - Common carotid artery</x:t>
  </x:si>
  <x:si>
    <x:t>http://id.who.int/icd/entity/980718560</x:t>
  </x:si>
  <x:si>
    <x:t>http://id.who.int/icd/release/11/beta/ichi/980718560</x:t>
  </x:si>
  <x:si>
    <x:t>- - - - - - - - Internal carotid artery</x:t>
  </x:si>
  <x:si>
    <x:t>http://id.who.int/icd/entity/996834745</x:t>
  </x:si>
  <x:si>
    <x:t>http://id.who.int/icd/release/11/beta/ichi/996834745</x:t>
  </x:si>
  <x:si>
    <x:t>- - - - - - - - - Ophthalmic artery</x:t>
  </x:si>
  <x:si>
    <x:t>http://id.who.int/icd/entity/807921792</x:t>
  </x:si>
  <x:si>
    <x:t>http://id.who.int/icd/release/11/beta/ichi/807921792</x:t>
  </x:si>
  <x:si>
    <x:t>- - - - - - - - External carotid artery</x:t>
  </x:si>
  <x:si>
    <x:t>http://id.who.int/icd/entity/914462863</x:t>
  </x:si>
  <x:si>
    <x:t>http://id.who.int/icd/release/11/beta/ichi/914462863</x:t>
  </x:si>
  <x:si>
    <x:t>- - - - - - - Cerebellar artery</x:t>
  </x:si>
  <x:si>
    <x:t>http://id.who.int/icd/entity/868053242</x:t>
  </x:si>
  <x:si>
    <x:t>http://id.who.int/icd/release/11/beta/ichi/868053242</x:t>
  </x:si>
  <x:si>
    <x:t>- - - - - - - Cerebral artery</x:t>
  </x:si>
  <x:si>
    <x:t>http://id.who.int/icd/entity/1449414330</x:t>
  </x:si>
  <x:si>
    <x:t>http://id.who.int/icd/release/11/beta/ichi/1449414330</x:t>
  </x:si>
  <x:si>
    <x:t>- - - - - - - - Anterior cerebral artery</x:t>
  </x:si>
  <x:si>
    <x:t>http://id.who.int/icd/entity/267990479</x:t>
  </x:si>
  <x:si>
    <x:t>http://id.who.int/icd/release/11/beta/ichi/267990479</x:t>
  </x:si>
  <x:si>
    <x:t>- - - - - - - - Basilar artery</x:t>
  </x:si>
  <x:si>
    <x:t>http://id.who.int/icd/entity/367296305</x:t>
  </x:si>
  <x:si>
    <x:t>http://id.who.int/icd/release/11/beta/ichi/367296305</x:t>
  </x:si>
  <x:si>
    <x:t>- - - - - - - - - Pontine branches of the basilar artery</x:t>
  </x:si>
  <x:si>
    <x:t>http://id.who.int/icd/entity/613749818</x:t>
  </x:si>
  <x:si>
    <x:t>http://id.who.int/icd/release/11/beta/ichi/613749818</x:t>
  </x:si>
  <x:si>
    <x:t>- - - - - - - - Middle cerebral artery</x:t>
  </x:si>
  <x:si>
    <x:t>http://id.who.int/icd/entity/180739514</x:t>
  </x:si>
  <x:si>
    <x:t>http://id.who.int/icd/release/11/beta/ichi/180739514</x:t>
  </x:si>
  <x:si>
    <x:t>- - - - - - - - Anterolateral central artery</x:t>
  </x:si>
  <x:si>
    <x:t>http://id.who.int/icd/entity/1095510650</x:t>
  </x:si>
  <x:si>
    <x:t>http://id.who.int/icd/release/11/beta/ichi/1095510650</x:t>
  </x:si>
  <x:si>
    <x:t>- - - - - - - - Posterior cerebral artery</x:t>
  </x:si>
  <x:si>
    <x:t>http://id.who.int/icd/entity/476998439</x:t>
  </x:si>
  <x:si>
    <x:t>http://id.who.int/icd/release/11/beta/ichi/476998439</x:t>
  </x:si>
  <x:si>
    <x:t>- - - - - - - Costocervical trunk</x:t>
  </x:si>
  <x:si>
    <x:t>http://id.who.int/icd/entity/361571151</x:t>
  </x:si>
  <x:si>
    <x:t>http://id.who.int/icd/release/11/beta/ichi/361571151</x:t>
  </x:si>
  <x:si>
    <x:t>- - - - - - - Deep auricular artery</x:t>
  </x:si>
  <x:si>
    <x:t>http://id.who.int/icd/entity/189140967</x:t>
  </x:si>
  <x:si>
    <x:t>http://id.who.int/icd/release/11/beta/ichi/189140967</x:t>
  </x:si>
  <x:si>
    <x:t>- - - - - - - Deep cervical artery</x:t>
  </x:si>
  <x:si>
    <x:t>http://id.who.int/icd/entity/539635218</x:t>
  </x:si>
  <x:si>
    <x:t>http://id.who.int/icd/release/11/beta/ichi/539635218</x:t>
  </x:si>
  <x:si>
    <x:t>- - - - - - - Dorsal nasal artery</x:t>
  </x:si>
  <x:si>
    <x:t>http://id.who.int/icd/entity/242935698</x:t>
  </x:si>
  <x:si>
    <x:t>http://id.who.int/icd/release/11/beta/ichi/242935698</x:t>
  </x:si>
  <x:si>
    <x:t>- - - - - - - - Dorsal nasal artery to the root of nose</x:t>
  </x:si>
  <x:si>
    <x:t>http://id.who.int/icd/entity/424837970</x:t>
  </x:si>
  <x:si>
    <x:t>http://id.who.int/icd/release/11/beta/ichi/424837970</x:t>
  </x:si>
  <x:si>
    <x:t>- - - - - - - - Dorsal nasal artery to the dorsum of the nose</x:t>
  </x:si>
  <x:si>
    <x:t>http://id.who.int/icd/entity/1049124550</x:t>
  </x:si>
  <x:si>
    <x:t>http://id.who.int/icd/release/11/beta/ichi/1049124550</x:t>
  </x:si>
  <x:si>
    <x:t>- - - - - - - External striate of the anterolateral central artery</x:t>
  </x:si>
  <x:si>
    <x:t>http://id.who.int/icd/entity/1079165983</x:t>
  </x:si>
  <x:si>
    <x:t>http://id.who.int/icd/release/11/beta/ichi/1079165983</x:t>
  </x:si>
  <x:si>
    <x:t>- - - - - - - Facial artery</x:t>
  </x:si>
  <x:si>
    <x:t>http://id.who.int/icd/entity/938879638</x:t>
  </x:si>
  <x:si>
    <x:t>http://id.who.int/icd/release/11/beta/ichi/938879638</x:t>
  </x:si>
  <x:si>
    <x:t>- - - - - - - - Ascending palatine artery</x:t>
  </x:si>
  <x:si>
    <x:t>http://id.who.int/icd/entity/1378817238</x:t>
  </x:si>
  <x:si>
    <x:t>http://id.who.int/icd/release/11/beta/ichi/1378817238</x:t>
  </x:si>
  <x:si>
    <x:t>- - - - - - - - Superior labial artery</x:t>
  </x:si>
  <x:si>
    <x:t>http://id.who.int/icd/entity/1158115350</x:t>
  </x:si>
  <x:si>
    <x:t>http://id.who.int/icd/release/11/beta/ichi/1158115350</x:t>
  </x:si>
  <x:si>
    <x:t>- - - - - - - - Inferior labial artery</x:t>
  </x:si>
  <x:si>
    <x:t>http://id.who.int/icd/entity/1717737386</x:t>
  </x:si>
  <x:si>
    <x:t>http://id.who.int/icd/release/11/beta/ichi/1717737386</x:t>
  </x:si>
  <x:si>
    <x:t>- - - - - - - - Angular artery</x:t>
  </x:si>
  <x:si>
    <x:t>http://id.who.int/icd/entity/1467654367</x:t>
  </x:si>
  <x:si>
    <x:t>http://id.who.int/icd/release/11/beta/ichi/1467654367</x:t>
  </x:si>
  <x:si>
    <x:t>- - - - - - - - Cervical artery</x:t>
  </x:si>
  <x:si>
    <x:t>http://id.who.int/icd/entity/1800911254</x:t>
  </x:si>
  <x:si>
    <x:t>http://id.who.int/icd/release/11/beta/ichi/1800911254</x:t>
  </x:si>
  <x:si>
    <x:t>- - - - - - - - - Deep branch of the submental artery</x:t>
  </x:si>
  <x:si>
    <x:t>http://id.who.int/icd/entity/2088754518</x:t>
  </x:si>
  <x:si>
    <x:t>http://id.who.int/icd/release/11/beta/ichi/2088754518</x:t>
  </x:si>
  <x:si>
    <x:t>- - - - - - - Glandular branches of the cervical artery</x:t>
  </x:si>
  <x:si>
    <x:t>http://id.who.int/icd/entity/693393986</x:t>
  </x:si>
  <x:si>
    <x:t>http://id.who.int/icd/release/11/beta/ichi/693393986</x:t>
  </x:si>
  <x:si>
    <x:t>- - - - - - - Greater palatine artery</x:t>
  </x:si>
  <x:si>
    <x:t>http://id.who.int/icd/entity/683594849</x:t>
  </x:si>
  <x:si>
    <x:t>http://id.who.int/icd/release/11/beta/ichi/683594849</x:t>
  </x:si>
  <x:si>
    <x:t>- - - - - - - Hyoid artery</x:t>
  </x:si>
  <x:si>
    <x:t>http://id.who.int/icd/entity/407661879</x:t>
  </x:si>
  <x:si>
    <x:t>http://id.who.int/icd/release/11/beta/ichi/407661879</x:t>
  </x:si>
  <x:si>
    <x:t>- - - - - - - Inferior palpebral arch artery</x:t>
  </x:si>
  <x:si>
    <x:t>http://id.who.int/icd/entity/502118778</x:t>
  </x:si>
  <x:si>
    <x:t>http://id.who.int/icd/release/11/beta/ichi/502118778</x:t>
  </x:si>
  <x:si>
    <x:t>- - - - - - - Internal striate of the anterolateral central artery</x:t>
  </x:si>
  <x:si>
    <x:t>http://id.who.int/icd/entity/1997200087</x:t>
  </x:si>
  <x:si>
    <x:t>http://id.who.int/icd/release/11/beta/ichi/1997200087</x:t>
  </x:si>
  <x:si>
    <x:t>- - - - - - - Intracranial artery</x:t>
  </x:si>
  <x:si>
    <x:t>http://id.who.int/icd/entity/1780485007</x:t>
  </x:si>
  <x:si>
    <x:t>http://id.who.int/icd/release/11/beta/ichi/1780485007</x:t>
  </x:si>
  <x:si>
    <x:t>- - - - - - - Lateral branch of the posterior inferior cerebellar artery</x:t>
  </x:si>
  <x:si>
    <x:t>http://id.who.int/icd/entity/1900737386</x:t>
  </x:si>
  <x:si>
    <x:t>http://id.who.int/icd/release/11/beta/ichi/1900737386</x:t>
  </x:si>
  <x:si>
    <x:t>- - - - - - - Lateral nasal branch of the facial artery</x:t>
  </x:si>
  <x:si>
    <x:t>http://id.who.int/icd/entity/1048329858</x:t>
  </x:si>
  <x:si>
    <x:t>http://id.who.int/icd/release/11/beta/ichi/1048329858</x:t>
  </x:si>
  <x:si>
    <x:t>- - - - - - - Lesser palatine artery</x:t>
  </x:si>
  <x:si>
    <x:t>http://id.who.int/icd/entity/1961568039</x:t>
  </x:si>
  <x:si>
    <x:t>http://id.who.int/icd/release/11/beta/ichi/1961568039</x:t>
  </x:si>
  <x:si>
    <x:t>- - - - - - - Lingual branch of the inferior alveolar artery</x:t>
  </x:si>
  <x:si>
    <x:t>http://id.who.int/icd/entity/1736210895</x:t>
  </x:si>
  <x:si>
    <x:t>http://id.who.int/icd/release/11/beta/ichi/1736210895</x:t>
  </x:si>
  <x:si>
    <x:t>- - - - - - - Maxillary artery</x:t>
  </x:si>
  <x:si>
    <x:t>http://id.who.int/icd/entity/1884560655</x:t>
  </x:si>
  <x:si>
    <x:t>http://id.who.int/icd/release/11/beta/ichi/1884560655</x:t>
  </x:si>
  <x:si>
    <x:t>- - - - - - - - First portion of the maxillary artery</x:t>
  </x:si>
  <x:si>
    <x:t>http://id.who.int/icd/entity/1102596670</x:t>
  </x:si>
  <x:si>
    <x:t>http://id.who.int/icd/release/11/beta/ichi/1102596670</x:t>
  </x:si>
  <x:si>
    <x:t>- - - - - - - - Deep temporal artery (anterior and posterior)</x:t>
  </x:si>
  <x:si>
    <x:t>http://id.who.int/icd/entity/1301514855</x:t>
  </x:si>
  <x:si>
    <x:t>http://id.who.int/icd/release/11/beta/ichi/1301514855</x:t>
  </x:si>
  <x:si>
    <x:t>- - - - - - - - Inferior alveolar artery</x:t>
  </x:si>
  <x:si>
    <x:t>http://id.who.int/icd/entity/1522265767</x:t>
  </x:si>
  <x:si>
    <x:t>http://id.who.int/icd/release/11/beta/ichi/1522265767</x:t>
  </x:si>
  <x:si>
    <x:t>- - - - - - - - - Incisor branch of the Inferior alveolar artery</x:t>
  </x:si>
  <x:si>
    <x:t>http://id.who.int/icd/entity/1673741287</x:t>
  </x:si>
  <x:si>
    <x:t>http://id.who.int/icd/release/11/beta/ichi/1673741287</x:t>
  </x:si>
  <x:si>
    <x:t>- - - - - - - - - Mental branch of the Inferior alveolar artery</x:t>
  </x:si>
  <x:si>
    <x:t>http://id.who.int/icd/entity/1877509054</x:t>
  </x:si>
  <x:si>
    <x:t>http://id.who.int/icd/release/11/beta/ichi/1877509054</x:t>
  </x:si>
  <x:si>
    <x:t>- - - - - - - - Masseteric artery</x:t>
  </x:si>
  <x:si>
    <x:t>http://id.who.int/icd/entity/171032062</x:t>
  </x:si>
  <x:si>
    <x:t>http://id.who.int/icd/release/11/beta/ichi/171032062</x:t>
  </x:si>
  <x:si>
    <x:t>- - - - - - - - Descending palatine artery</x:t>
  </x:si>
  <x:si>
    <x:t>http://id.who.int/icd/entity/32713993</x:t>
  </x:si>
  <x:si>
    <x:t>http://id.who.int/icd/release/11/beta/ichi/32713993</x:t>
  </x:si>
  <x:si>
    <x:t>- - - - - - - - - Pharyngeal artery</x:t>
  </x:si>
  <x:si>
    <x:t>http://id.who.int/icd/entity/1249565385</x:t>
  </x:si>
  <x:si>
    <x:t>http://id.who.int/icd/release/11/beta/ichi/1249565385</x:t>
  </x:si>
  <x:si>
    <x:t>- - - - - - - - Posterior superior alveolar artery</x:t>
  </x:si>
  <x:si>
    <x:t>http://id.who.int/icd/entity/1452289790</x:t>
  </x:si>
  <x:si>
    <x:t>http://id.who.int/icd/release/11/beta/ichi/1452289790</x:t>
  </x:si>
  <x:si>
    <x:t>- - - - - - - - Buccal artery</x:t>
  </x:si>
  <x:si>
    <x:t>http://id.who.int/icd/entity/1084662873</x:t>
  </x:si>
  <x:si>
    <x:t>http://id.who.int/icd/release/11/beta/ichi/1084662873</x:t>
  </x:si>
  <x:si>
    <x:t>- - - - - - - - Accessory meningeal artery</x:t>
  </x:si>
  <x:si>
    <x:t>http://id.who.int/icd/entity/1004399311</x:t>
  </x:si>
  <x:si>
    <x:t>http://id.who.int/icd/release/11/beta/ichi/1004399311</x:t>
  </x:si>
  <x:si>
    <x:t>- - - - - - - - Middle meningeal artery</x:t>
  </x:si>
  <x:si>
    <x:t>http://id.who.int/icd/entity/1664557985</x:t>
  </x:si>
  <x:si>
    <x:t>http://id.who.int/icd/release/11/beta/ichi/1664557985</x:t>
  </x:si>
  <x:si>
    <x:t>- - - - - - - Lingual artery</x:t>
  </x:si>
  <x:si>
    <x:t>http://id.who.int/icd/entity/1227665487</x:t>
  </x:si>
  <x:si>
    <x:t>http://id.who.int/icd/release/11/beta/ichi/1227665487</x:t>
  </x:si>
  <x:si>
    <x:t>- - - - - - - Occipital artery</x:t>
  </x:si>
  <x:si>
    <x:t>http://id.who.int/icd/entity/1577374863</x:t>
  </x:si>
  <x:si>
    <x:t>http://id.who.int/icd/release/11/beta/ichi/1577374863</x:t>
  </x:si>
  <x:si>
    <x:t>- - - - - - - Posterior auricular artery</x:t>
  </x:si>
  <x:si>
    <x:t>http://id.who.int/icd/entity/901688951</x:t>
  </x:si>
  <x:si>
    <x:t>http://id.who.int/icd/release/11/beta/ichi/901688951</x:t>
  </x:si>
  <x:si>
    <x:t>- - - - - - - Superficial temporal artery</x:t>
  </x:si>
  <x:si>
    <x:t>http://id.who.int/icd/entity/596124880</x:t>
  </x:si>
  <x:si>
    <x:t>http://id.who.int/icd/release/11/beta/ichi/596124880</x:t>
  </x:si>
  <x:si>
    <x:t>- - - - - - - - Frontal branch of the superficial temporal artery</x:t>
  </x:si>
  <x:si>
    <x:t>http://id.who.int/icd/entity/298219809</x:t>
  </x:si>
  <x:si>
    <x:t>http://id.who.int/icd/release/11/beta/ichi/298219809</x:t>
  </x:si>
  <x:si>
    <x:t>- - - - - - - Superior thyroid artery</x:t>
  </x:si>
  <x:si>
    <x:t>http://id.who.int/icd/entity/1298655777</x:t>
  </x:si>
  <x:si>
    <x:t>http://id.who.int/icd/release/11/beta/ichi/1298655777</x:t>
  </x:si>
  <x:si>
    <x:t>- - - - - - - - Cricothyroid artery</x:t>
  </x:si>
  <x:si>
    <x:t>http://id.who.int/icd/entity/1041588990</x:t>
  </x:si>
  <x:si>
    <x:t>http://id.who.int/icd/release/11/beta/ichi/1041588990</x:t>
  </x:si>
  <x:si>
    <x:t>- - - - - - - - Inferior thyroid artery</x:t>
  </x:si>
  <x:si>
    <x:t>http://id.who.int/icd/entity/1066840225</x:t>
  </x:si>
  <x:si>
    <x:t>http://id.who.int/icd/release/11/beta/ichi/1066840225</x:t>
  </x:si>
  <x:si>
    <x:t>- - - - - - - - Sternocleidomastoid artery</x:t>
  </x:si>
  <x:si>
    <x:t>http://id.who.int/icd/entity/1948206945</x:t>
  </x:si>
  <x:si>
    <x:t>http://id.who.int/icd/release/11/beta/ichi/1948206945</x:t>
  </x:si>
  <x:si>
    <x:t>- - - - - - - Ascending pharyngeal artery</x:t>
  </x:si>
  <x:si>
    <x:t>http://id.who.int/icd/entity/927055328</x:t>
  </x:si>
  <x:si>
    <x:t>http://id.who.int/icd/release/11/beta/ichi/927055328</x:t>
  </x:si>
  <x:si>
    <x:t>- - - - - - - Right common carotid artery</x:t>
  </x:si>
  <x:si>
    <x:t>http://id.who.int/icd/entity/232320336</x:t>
  </x:si>
  <x:si>
    <x:t>http://id.who.int/icd/release/11/beta/ichi/232320336</x:t>
  </x:si>
  <x:si>
    <x:t>- - - - - - - Middle temporal artery</x:t>
  </x:si>
  <x:si>
    <x:t>http://id.who.int/icd/entity/1468973209</x:t>
  </x:si>
  <x:si>
    <x:t>http://id.who.int/icd/release/11/beta/ichi/1468973209</x:t>
  </x:si>
  <x:si>
    <x:t>- - - - - - - Mylohyoid branch of the inferior alveolar artery</x:t>
  </x:si>
  <x:si>
    <x:t>http://id.who.int/icd/entity/882917392</x:t>
  </x:si>
  <x:si>
    <x:t>http://id.who.int/icd/release/11/beta/ichi/882917392</x:t>
  </x:si>
  <x:si>
    <x:t>- - - - - - - Parietal branch of the superficial temporal artery</x:t>
  </x:si>
  <x:si>
    <x:t>http://id.who.int/icd/entity/116268513</x:t>
  </x:si>
  <x:si>
    <x:t>http://id.who.int/icd/release/11/beta/ichi/116268513</x:t>
  </x:si>
  <x:si>
    <x:t>- - - - - - - Posterior communicating artery</x:t>
  </x:si>
  <x:si>
    <x:t>http://id.who.int/icd/entity/1238945801</x:t>
  </x:si>
  <x:si>
    <x:t>http://id.who.int/icd/release/11/beta/ichi/1238945801</x:t>
  </x:si>
  <x:si>
    <x:t>- - - - - - - Posterior ethmoidal artery</x:t>
  </x:si>
  <x:si>
    <x:t>http://id.who.int/icd/entity/1736972681</x:t>
  </x:si>
  <x:si>
    <x:t>http://id.who.int/icd/release/11/beta/ichi/1736972681</x:t>
  </x:si>
  <x:si>
    <x:t>- - - - - - - - Nasal branches of the posterior ethmoidal artery</x:t>
  </x:si>
  <x:si>
    <x:t>http://id.who.int/icd/entity/1889566025</x:t>
  </x:si>
  <x:si>
    <x:t>http://id.who.int/icd/release/11/beta/ichi/1889566025</x:t>
  </x:si>
  <x:si>
    <x:t>- - - - - - - - Meningeal branch of the posterior ethmoidal artery</x:t>
  </x:si>
  <x:si>
    <x:t>http://id.who.int/icd/entity/1148240399</x:t>
  </x:si>
  <x:si>
    <x:t>http://id.who.int/icd/release/11/beta/ichi/1148240399</x:t>
  </x:si>
  <x:si>
    <x:t>- - - - - - - Posterior inferior cerebellar artery</x:t>
  </x:si>
  <x:si>
    <x:t>http://id.who.int/icd/entity/610366590</x:t>
  </x:si>
  <x:si>
    <x:t>http://id.who.int/icd/release/11/beta/ichi/610366590</x:t>
  </x:si>
  <x:si>
    <x:t>- - - - - - - Posterior lateral nasal branches of the sphenopalatine artery</x:t>
  </x:si>
  <x:si>
    <x:t>http://id.who.int/icd/entity/261122481</x:t>
  </x:si>
  <x:si>
    <x:t>http://id.who.int/icd/release/11/beta/ichi/261122481</x:t>
  </x:si>
  <x:si>
    <x:t>- - - - - - - Posterior meningeal artery</x:t>
  </x:si>
  <x:si>
    <x:t>http://id.who.int/icd/entity/488233278</x:t>
  </x:si>
  <x:si>
    <x:t>http://id.who.int/icd/release/11/beta/ichi/488233278</x:t>
  </x:si>
  <x:si>
    <x:t>- - - - - - - Posterior septal branches of the sphenopalatine artery</x:t>
  </x:si>
  <x:si>
    <x:t>http://id.who.int/icd/entity/2025908094</x:t>
  </x:si>
  <x:si>
    <x:t>http://id.who.int/icd/release/11/beta/ichi/2025908094</x:t>
  </x:si>
  <x:si>
    <x:t>- - - - - - - Pterygoid branches</x:t>
  </x:si>
  <x:si>
    <x:t>http://id.who.int/icd/entity/860426430</x:t>
  </x:si>
  <x:si>
    <x:t>http://id.who.int/icd/release/11/beta/ichi/860426430</x:t>
  </x:si>
  <x:si>
    <x:t>- - - - - - - Sphenopalatine artery, terminal branch</x:t>
  </x:si>
  <x:si>
    <x:t>http://id.who.int/icd/entity/430367510</x:t>
  </x:si>
  <x:si>
    <x:t>http://id.who.int/icd/release/11/beta/ichi/430367510</x:t>
  </x:si>
  <x:si>
    <x:t>- - - - - - - Submental artery of the cervical artery</x:t>
  </x:si>
  <x:si>
    <x:t>http://id.who.int/icd/entity/244221910</x:t>
  </x:si>
  <x:si>
    <x:t>http://id.who.int/icd/release/11/beta/ichi/244221910</x:t>
  </x:si>
  <x:si>
    <x:t>- - - - - - - - Superficial branch of the submental artery</x:t>
  </x:si>
  <x:si>
    <x:t>http://id.who.int/icd/entity/857754818</x:t>
  </x:si>
  <x:si>
    <x:t>http://id.who.int/icd/release/11/beta/ichi/857754818</x:t>
  </x:si>
  <x:si>
    <x:t>- - - - - - - Superficial branch of the transverse cervical artery</x:t>
  </x:si>
  <x:si>
    <x:t>http://id.who.int/icd/entity/102399399</x:t>
  </x:si>
  <x:si>
    <x:t>http://id.who.int/icd/release/11/beta/ichi/102399399</x:t>
  </x:si>
  <x:si>
    <x:t>- - - - - - - Superficial petrosal branch of the anterior and posterior meningeal artery</x:t>
  </x:si>
  <x:si>
    <x:t>http://id.who.int/icd/entity/564788303</x:t>
  </x:si>
  <x:si>
    <x:t>http://id.who.int/icd/release/11/beta/ichi/564788303</x:t>
  </x:si>
  <x:si>
    <x:t>- - - - - - - Superior cerebellar artery</x:t>
  </x:si>
  <x:si>
    <x:t>http://id.who.int/icd/entity/1515163361</x:t>
  </x:si>
  <x:si>
    <x:t>http://id.who.int/icd/release/11/beta/ichi/1515163361</x:t>
  </x:si>
  <x:si>
    <x:t>- - - - - - - Superior laryngeal artery</x:t>
  </x:si>
  <x:si>
    <x:t>http://id.who.int/icd/entity/414715249</x:t>
  </x:si>
  <x:si>
    <x:t>http://id.who.int/icd/release/11/beta/ichi/414715249</x:t>
  </x:si>
  <x:si>
    <x:t>- - - - - - - Superior tympanic artery</x:t>
  </x:si>
  <x:si>
    <x:t>http://id.who.int/icd/entity/258214391</x:t>
  </x:si>
  <x:si>
    <x:t>http://id.who.int/icd/release/11/beta/ichi/258214391</x:t>
  </x:si>
  <x:si>
    <x:t>- - - - - - - Supratrochlear artery</x:t>
  </x:si>
  <x:si>
    <x:t>http://id.who.int/icd/entity/675984423</x:t>
  </x:si>
  <x:si>
    <x:t>http://id.who.int/icd/release/11/beta/ichi/675984423</x:t>
  </x:si>
  <x:si>
    <x:t>- - - - - - - Temporal branches of the anterior and posterior meningeal artery</x:t>
  </x:si>
  <x:si>
    <x:t>http://id.who.int/icd/entity/691865150</x:t>
  </x:si>
  <x:si>
    <x:t>http://id.who.int/icd/release/11/beta/ichi/691865150</x:t>
  </x:si>
  <x:si>
    <x:t>- - - - - - - Thyrocervical trunk</x:t>
  </x:si>
  <x:si>
    <x:t>http://id.who.int/icd/entity/551439958</x:t>
  </x:si>
  <x:si>
    <x:t>http://id.who.int/icd/release/11/beta/ichi/551439958</x:t>
  </x:si>
  <x:si>
    <x:t>- - - - - - - - Tonsillar branch of the cervical artery</x:t>
  </x:si>
  <x:si>
    <x:t>http://id.who.int/icd/entity/273001342</x:t>
  </x:si>
  <x:si>
    <x:t>http://id.who.int/icd/release/11/beta/ichi/273001342</x:t>
  </x:si>
  <x:si>
    <x:t>- - - - - - - Transverse cervical artery</x:t>
  </x:si>
  <x:si>
    <x:t>http://id.who.int/icd/entity/580307639</x:t>
  </x:si>
  <x:si>
    <x:t>http://id.who.int/icd/release/11/beta/ichi/580307639</x:t>
  </x:si>
  <x:si>
    <x:t>- - - - - - - Transverse facial artery</x:t>
  </x:si>
  <x:si>
    <x:t>http://id.who.int/icd/entity/922897106</x:t>
  </x:si>
  <x:si>
    <x:t>http://id.who.int/icd/release/11/beta/ichi/922897106</x:t>
  </x:si>
  <x:si>
    <x:t>- - - - - - - Twig to the upper part of lacrimal sac of the dorsal nasal artery</x:t>
  </x:si>
  <x:si>
    <x:t>http://id.who.int/icd/entity/1179720336</x:t>
  </x:si>
  <x:si>
    <x:t>http://id.who.int/icd/release/11/beta/ichi/1179720336</x:t>
  </x:si>
  <x:si>
    <x:t>- - - - - - - Vertebral artery</x:t>
  </x:si>
  <x:si>
    <x:t>http://id.who.int/icd/entity/2133440464</x:t>
  </x:si>
  <x:si>
    <x:t>http://id.who.int/icd/release/11/beta/ichi/2133440464</x:t>
  </x:si>
  <x:si>
    <x:t>- - - - - - - - Meningeal branches of vertebral artery</x:t>
  </x:si>
  <x:si>
    <x:t>http://id.who.int/icd/entity/1264858288</x:t>
  </x:si>
  <x:si>
    <x:t>http://id.who.int/icd/release/11/beta/ichi/1264858288</x:t>
  </x:si>
  <x:si>
    <x:t>- - - - - - - - Ascending branch of the vertebral artery</x:t>
  </x:si>
  <x:si>
    <x:t>http://id.who.int/icd/entity/1548505200</x:t>
  </x:si>
  <x:si>
    <x:t>http://id.who.int/icd/release/11/beta/ichi/1548505200</x:t>
  </x:si>
  <x:si>
    <x:t>- - - - - - - - Descending branch of the vertebral artery</x:t>
  </x:si>
  <x:si>
    <x:t>http://id.who.int/icd/entity/1401318855</x:t>
  </x:si>
  <x:si>
    <x:t>http://id.who.int/icd/release/11/beta/ichi/1401318855</x:t>
  </x:si>
  <x:si>
    <x:t>- - - - - - - Supraorbital artery</x:t>
  </x:si>
  <x:si>
    <x:t>http://id.who.int/icd/entity/1152256263</x:t>
  </x:si>
  <x:si>
    <x:t>http://id.who.int/icd/release/11/beta/ichi/1152256263</x:t>
  </x:si>
  <x:si>
    <x:t>- - - - - - - - Superficial branch of the supraorbital artery</x:t>
  </x:si>
  <x:si>
    <x:t>http://id.who.int/icd/entity/1592833225</x:t>
  </x:si>
  <x:si>
    <x:t>http://id.who.int/icd/release/11/beta/ichi/1592833225</x:t>
  </x:si>
  <x:si>
    <x:t>- - - - - - - - Deep branch of the supraorbital artery</x:t>
  </x:si>
  <x:si>
    <x:t>http://id.who.int/icd/entity/1063440615</x:t>
  </x:si>
  <x:si>
    <x:t>http://id.who.int/icd/release/11/beta/ichi/1063440615</x:t>
  </x:si>
  <x:si>
    <x:t>- - - - - - - Orbital branches of the anterior and posterior meningeal artery</x:t>
  </x:si>
  <x:si>
    <x:t>http://id.who.int/icd/entity/1929541513</x:t>
  </x:si>
  <x:si>
    <x:t>http://id.who.int/icd/release/11/beta/ichi/1929541513</x:t>
  </x:si>
  <x:si>
    <x:t>- - - - - - - Infraorbital artery</x:t>
  </x:si>
  <x:si>
    <x:t>http://id.who.int/icd/entity/1680479049</x:t>
  </x:si>
  <x:si>
    <x:t>http://id.who.int/icd/release/11/beta/ichi/1680479049</x:t>
  </x:si>
  <x:si>
    <x:t>- - - - - - - - Orbital branches of the infraorbital artery</x:t>
  </x:si>
  <x:si>
    <x:t>http://id.who.int/icd/entity/1805900242</x:t>
  </x:si>
  <x:si>
    <x:t>http://id.who.int/icd/release/11/beta/ichi/1805900242</x:t>
  </x:si>
  <x:si>
    <x:t>- - - - - - - Long posterior ciliary artery</x:t>
  </x:si>
  <x:si>
    <x:t>http://id.who.int/icd/entity/1721169902</x:t>
  </x:si>
  <x:si>
    <x:t>http://id.who.int/icd/release/11/beta/ichi/1721169902</x:t>
  </x:si>
  <x:si>
    <x:t>- - - - - - - Short posterior ciliary artery</x:t>
  </x:si>
  <x:si>
    <x:t>http://id.who.int/icd/entity/1908314926</x:t>
  </x:si>
  <x:si>
    <x:t>http://id.who.int/icd/release/11/beta/ichi/1908314926</x:t>
  </x:si>
  <x:si>
    <x:t>- - - - - - - Anterior ciliary artery</x:t>
  </x:si>
  <x:si>
    <x:t>http://id.who.int/icd/entity/2016708410</x:t>
  </x:si>
  <x:si>
    <x:t>http://id.who.int/icd/release/11/beta/ichi/2016708410</x:t>
  </x:si>
  <x:si>
    <x:t>- - - - - - - Central retinal artery</x:t>
  </x:si>
  <x:si>
    <x:t>http://id.who.int/icd/entity/1390113938</x:t>
  </x:si>
  <x:si>
    <x:t>http://id.who.int/icd/release/11/beta/ichi/1390113938</x:t>
  </x:si>
  <x:si>
    <x:t>- - - - - - - Circulus arteriosus major artery</x:t>
  </x:si>
  <x:si>
    <x:t>http://id.who.int/icd/entity/1173557330</x:t>
  </x:si>
  <x:si>
    <x:t>http://id.who.int/icd/release/11/beta/ichi/1173557330</x:t>
  </x:si>
  <x:si>
    <x:t>- - - - - - - Circulus arteriosus minor artery</x:t>
  </x:si>
  <x:si>
    <x:t>http://id.who.int/icd/entity/1234904889</x:t>
  </x:si>
  <x:si>
    <x:t>http://id.who.int/icd/release/11/beta/ichi/1234904889</x:t>
  </x:si>
  <x:si>
    <x:t>- - - - - - - Lacrimal artery</x:t>
  </x:si>
  <x:si>
    <x:t>http://id.who.int/icd/entity/738324041</x:t>
  </x:si>
  <x:si>
    <x:t>http://id.who.int/icd/release/11/beta/ichi/738324041</x:t>
  </x:si>
  <x:si>
    <x:t>- - - - - - - Medial palpebral artery</x:t>
  </x:si>
  <x:si>
    <x:t>http://id.who.int/icd/entity/992578185</x:t>
  </x:si>
  <x:si>
    <x:t>http://id.who.int/icd/release/11/beta/ichi/992578185</x:t>
  </x:si>
  <x:si>
    <x:t>- - - - - - - Superior palpebral arch artery</x:t>
  </x:si>
  <x:si>
    <x:t>http://id.who.int/icd/entity/1741418169</x:t>
  </x:si>
  <x:si>
    <x:t>http://id.who.int/icd/release/11/beta/ichi/1741418169</x:t>
  </x:si>
  <x:si>
    <x:t>- - - - - - - Zygomatic branches of the lacrimal artery</x:t>
  </x:si>
  <x:si>
    <x:t>http://id.who.int/icd/entity/948666441</x:t>
  </x:si>
  <x:si>
    <x:t>http://id.who.int/icd/release/11/beta/ichi/948666441</x:t>
  </x:si>
  <x:si>
    <x:t>- - - - - - - Branches to gingiva</x:t>
  </x:si>
  <x:si>
    <x:t>http://id.who.int/icd/entity/1885434231</x:t>
  </x:si>
  <x:si>
    <x:t>http://id.who.int/icd/release/11/beta/ichi/1885434231</x:t>
  </x:si>
  <x:si>
    <x:t>- - - - - - Artery of thorax</x:t>
  </x:si>
  <x:si>
    <x:t>http://id.who.int/icd/entity/1656025598</x:t>
  </x:si>
  <x:si>
    <x:t>http://id.who.int/icd/release/11/beta/ichi/1656025598</x:t>
  </x:si>
  <x:si>
    <x:t>- - - - - - - Branches to diaphragm of the musculophrenic artery</x:t>
  </x:si>
  <x:si>
    <x:t>http://id.who.int/icd/entity/1973196094</x:t>
  </x:si>
  <x:si>
    <x:t>http://id.who.int/icd/release/11/beta/ichi/1973196094</x:t>
  </x:si>
  <x:si>
    <x:t>- - - - - - - Branches to lower part of the pericardium of the musculophrenic artery</x:t>
  </x:si>
  <x:si>
    <x:t>http://id.who.int/icd/entity/1385726880</x:t>
  </x:si>
  <x:si>
    <x:t>http://id.who.int/icd/release/11/beta/ichi/1385726880</x:t>
  </x:si>
  <x:si>
    <x:t>- - - - - - - Brachiocephalic trunk</x:t>
  </x:si>
  <x:si>
    <x:t>http://id.who.int/icd/entity/604514306</x:t>
  </x:si>
  <x:si>
    <x:t>http://id.who.int/icd/release/11/beta/ichi/604514306</x:t>
  </x:si>
  <x:si>
    <x:t>- - - - - - - Deep branch of dorsal scapular artery</x:t>
  </x:si>
  <x:si>
    <x:t>http://id.who.int/icd/entity/1474796775</x:t>
  </x:si>
  <x:si>
    <x:t>http://id.who.int/icd/release/11/beta/ichi/1474796775</x:t>
  </x:si>
  <x:si>
    <x:t>- - - - - - - Intercostal artery</x:t>
  </x:si>
  <x:si>
    <x:t>http://id.who.int/icd/entity/2081849642</x:t>
  </x:si>
  <x:si>
    <x:t>http://id.who.int/icd/release/11/beta/ichi/2081849642</x:t>
  </x:si>
  <x:si>
    <x:t>- - - - - - - Intercostal branches of the musculophrenic artery</x:t>
  </x:si>
  <x:si>
    <x:t>http://id.who.int/icd/entity/46930929</x:t>
  </x:si>
  <x:si>
    <x:t>http://id.who.int/icd/release/11/beta/ichi/46930929</x:t>
  </x:si>
  <x:si>
    <x:t>- - - - - - - Internal thoracic artery</x:t>
  </x:si>
  <x:si>
    <x:t>http://id.who.int/icd/entity/1308284441</x:t>
  </x:si>
  <x:si>
    <x:t>http://id.who.int/icd/release/11/beta/ichi/1308284441</x:t>
  </x:si>
  <x:si>
    <x:t>- - - - - - - Lateral thoracic artery</x:t>
  </x:si>
  <x:si>
    <x:t>http://id.who.int/icd/entity/2034447649</x:t>
  </x:si>
  <x:si>
    <x:t>http://id.who.int/icd/release/11/beta/ichi/2034447649</x:t>
  </x:si>
  <x:si>
    <x:t>- - - - - - - Pulmonary artery</x:t>
  </x:si>
  <x:si>
    <x:t>http://id.who.int/icd/entity/891523663</x:t>
  </x:si>
  <x:si>
    <x:t>http://id.who.int/icd/release/11/beta/ichi/891523663</x:t>
  </x:si>
  <x:si>
    <x:t>- - - - - - - Lower (3rd to 11th) posterior intercostal artery</x:t>
  </x:si>
  <x:si>
    <x:t>http://id.who.int/icd/entity/1213923926</x:t>
  </x:si>
  <x:si>
    <x:t>http://id.who.int/icd/release/11/beta/ichi/1213923926</x:t>
  </x:si>
  <x:si>
    <x:t>- - - - - - - Lower branches of the space anastomoses of the six anterior intercostal branches of the internal thoracic artery</x:t>
  </x:si>
  <x:si>
    <x:t>http://id.who.int/icd/entity/1799284202</x:t>
  </x:si>
  <x:si>
    <x:t>http://id.who.int/icd/release/11/beta/ichi/1799284202</x:t>
  </x:si>
  <x:si>
    <x:t>- - - - - - - Musculophrenic artery</x:t>
  </x:si>
  <x:si>
    <x:t>http://id.who.int/icd/entity/1898163990</x:t>
  </x:si>
  <x:si>
    <x:t>http://id.who.int/icd/release/11/beta/ichi/1898163990</x:t>
  </x:si>
  <x:si>
    <x:t>- - - - - - - Perforating branches of the internal thoracic artery</x:t>
  </x:si>
  <x:si>
    <x:t>http://id.who.int/icd/entity/842965671</x:t>
  </x:si>
  <x:si>
    <x:t>http://id.who.int/icd/release/11/beta/ichi/842965671</x:t>
  </x:si>
  <x:si>
    <x:t>- - - - - - - Posterior intercostal artery</x:t>
  </x:si>
  <x:si>
    <x:t>http://id.who.int/icd/entity/1712049110</x:t>
  </x:si>
  <x:si>
    <x:t>http://id.who.int/icd/release/11/beta/ichi/1712049110</x:t>
  </x:si>
  <x:si>
    <x:t>- - - - - - - Six anterior intercostal branches of the internal thoracic artery</x:t>
  </x:si>
  <x:si>
    <x:t>http://id.who.int/icd/entity/351965526</x:t>
  </x:si>
  <x:si>
    <x:t>http://id.who.int/icd/release/11/beta/ichi/351965526</x:t>
  </x:si>
  <x:si>
    <x:t>- - - - - - - Sternal branches of the internal thoracic artery</x:t>
  </x:si>
  <x:si>
    <x:t>http://id.who.int/icd/entity/207306511</x:t>
  </x:si>
  <x:si>
    <x:t>http://id.who.int/icd/release/11/beta/ichi/207306511</x:t>
  </x:si>
  <x:si>
    <x:t>- - - - - - - Subcostal artery</x:t>
  </x:si>
  <x:si>
    <x:t>http://id.who.int/icd/entity/460544975</x:t>
  </x:si>
  <x:si>
    <x:t>http://id.who.int/icd/release/11/beta/ichi/460544975</x:t>
  </x:si>
  <x:si>
    <x:t>- - - - - - - Superior phrenic artery</x:t>
  </x:si>
  <x:si>
    <x:t>http://id.who.int/icd/entity/2042058087</x:t>
  </x:si>
  <x:si>
    <x:t>http://id.who.int/icd/release/11/beta/ichi/2042058087</x:t>
  </x:si>
  <x:si>
    <x:t>- - - - - - - Superior thoracic artery</x:t>
  </x:si>
  <x:si>
    <x:t>http://id.who.int/icd/entity/622249575</x:t>
  </x:si>
  <x:si>
    <x:t>http://id.who.int/icd/release/11/beta/ichi/622249575</x:t>
  </x:si>
  <x:si>
    <x:t>- - - - - - - Supreme intercostal artery</x:t>
  </x:si>
  <x:si>
    <x:t>http://id.who.int/icd/entity/1855926695</x:t>
  </x:si>
  <x:si>
    <x:t>http://id.who.int/icd/release/11/beta/ichi/1855926695</x:t>
  </x:si>
  <x:si>
    <x:t>- - - - - - - Thoracoacromial artery</x:t>
  </x:si>
  <x:si>
    <x:t>http://id.who.int/icd/entity/1601398422</x:t>
  </x:si>
  <x:si>
    <x:t>http://id.who.int/icd/release/11/beta/ichi/1601398422</x:t>
  </x:si>
  <x:si>
    <x:t>- - - - - - - Upper branches of the six anterior intercostal branches of the internal thoracic artery</x:t>
  </x:si>
  <x:si>
    <x:t>http://id.who.int/icd/entity/1204996303</x:t>
  </x:si>
  <x:si>
    <x:t>http://id.who.int/icd/release/11/beta/ichi/1204996303</x:t>
  </x:si>
  <x:si>
    <x:t>- - - - - - - Oesophageal artery</x:t>
  </x:si>
  <x:si>
    <x:t>http://id.who.int/icd/entity/1358605327</x:t>
  </x:si>
  <x:si>
    <x:t>http://id.who.int/icd/release/11/beta/ichi/1358605327</x:t>
  </x:si>
  <x:si>
    <x:t>- - - - - - - Bronchial artery</x:t>
  </x:si>
  <x:si>
    <x:t>http://id.who.int/icd/entity/1366916688</x:t>
  </x:si>
  <x:si>
    <x:t>http://id.who.int/icd/release/11/beta/ichi/1366916688</x:t>
  </x:si>
  <x:si>
    <x:t>- - - - - - - Subclavian artery</x:t>
  </x:si>
  <x:si>
    <x:t>http://id.who.int/icd/entity/1934266287</x:t>
  </x:si>
  <x:si>
    <x:t>http://id.who.int/icd/release/11/beta/ichi/1934266287</x:t>
  </x:si>
  <x:si>
    <x:t>- - - - - - - Arteries of heart</x:t>
  </x:si>
  <x:si>
    <x:t>http://id.who.int/icd/entity/1612889623</x:t>
  </x:si>
  <x:si>
    <x:t>http://id.who.int/icd/release/11/beta/ichi/1612889623</x:t>
  </x:si>
  <x:si>
    <x:t>- - - - - - - - Coronary arteries</x:t>
  </x:si>
  <x:si>
    <x:t>http://id.who.int/icd/entity/1642334362</x:t>
  </x:si>
  <x:si>
    <x:t>http://id.who.int/icd/release/11/beta/ichi/1642334362</x:t>
  </x:si>
  <x:si>
    <x:t>- - - - - - - - - Left main coronary artery</x:t>
  </x:si>
  <x:si>
    <x:t>http://id.who.int/icd/entity/21611059</x:t>
  </x:si>
  <x:si>
    <x:t>http://id.who.int/icd/release/11/beta/ichi/21611059</x:t>
  </x:si>
  <x:si>
    <x:t>- - - - - - - - - - Left circumflex artery</x:t>
  </x:si>
  <x:si>
    <x:t>http://id.who.int/icd/entity/732645847</x:t>
  </x:si>
  <x:si>
    <x:t>http://id.who.int/icd/release/11/beta/ichi/732645847</x:t>
  </x:si>
  <x:si>
    <x:t>- - - - - - - - - - Left anterior descending coronary artery</x:t>
  </x:si>
  <x:si>
    <x:t>http://id.who.int/icd/entity/2144873078</x:t>
  </x:si>
  <x:si>
    <x:t>http://id.who.int/icd/release/11/beta/ichi/2144873078</x:t>
  </x:si>
  <x:si>
    <x:t>- - - - - - - - - - - Diagonal branches of left anterior descending coronary artery</x:t>
  </x:si>
  <x:si>
    <x:t>http://id.who.int/icd/entity/466122465</x:t>
  </x:si>
  <x:si>
    <x:t>http://id.who.int/icd/release/11/beta/ichi/466122465</x:t>
  </x:si>
  <x:si>
    <x:t>- - - - - - - - - - - - D1 - first diagonal branch</x:t>
  </x:si>
  <x:si>
    <x:t>http://id.who.int/icd/entity/289788301</x:t>
  </x:si>
  <x:si>
    <x:t>http://id.who.int/icd/release/11/beta/ichi/289788301</x:t>
  </x:si>
  <x:si>
    <x:t>- - - - - - - - - - - - D2 - second diagonal branch</x:t>
  </x:si>
  <x:si>
    <x:t>http://id.who.int/icd/entity/300048893</x:t>
  </x:si>
  <x:si>
    <x:t>http://id.who.int/icd/release/11/beta/ichi/300048893</x:t>
  </x:si>
  <x:si>
    <x:t>- - - - - - - - - - - - D3 - third diagonal branch</x:t>
  </x:si>
  <x:si>
    <x:t>http://id.who.int/icd/entity/1809854176</x:t>
  </x:si>
  <x:si>
    <x:t>http://id.who.int/icd/release/11/beta/ichi/1809854176</x:t>
  </x:si>
  <x:si>
    <x:t>- - - - - - - - - - Left obtuse marginal artery</x:t>
  </x:si>
  <x:si>
    <x:t>http://id.who.int/icd/entity/1169221472</x:t>
  </x:si>
  <x:si>
    <x:t>http://id.who.int/icd/release/11/beta/ichi/1169221472</x:t>
  </x:si>
  <x:si>
    <x:t>- - - - - - - - - - Ramus intermedius artery</x:t>
  </x:si>
  <x:si>
    <x:t>http://id.who.int/icd/entity/1625632108</x:t>
  </x:si>
  <x:si>
    <x:t>http://id.who.int/icd/release/11/beta/ichi/1625632108</x:t>
  </x:si>
  <x:si>
    <x:t>- - - - - - - - - - Septal artery</x:t>
  </x:si>
  <x:si>
    <x:t>http://id.who.int/icd/entity/787267597</x:t>
  </x:si>
  <x:si>
    <x:t>http://id.who.int/icd/release/11/beta/ichi/787267597</x:t>
  </x:si>
  <x:si>
    <x:t>- - - - - - - - - Right coronary artery</x:t>
  </x:si>
  <x:si>
    <x:t>http://id.who.int/icd/entity/1316124567</x:t>
  </x:si>
  <x:si>
    <x:t>http://id.who.int/icd/release/11/beta/ichi/1316124567</x:t>
  </x:si>
  <x:si>
    <x:t>- - - - - - - - - - Right acute marginal artery</x:t>
  </x:si>
  <x:si>
    <x:t>http://id.who.int/icd/entity/647915497</x:t>
  </x:si>
  <x:si>
    <x:t>http://id.who.int/icd/release/11/beta/ichi/647915497</x:t>
  </x:si>
  <x:si>
    <x:t>- - - - - - - - - - Posterior interventricular artery</x:t>
  </x:si>
  <x:si>
    <x:t>http://id.who.int/icd/entity/2093500960</x:t>
  </x:si>
  <x:si>
    <x:t>http://id.who.int/icd/release/11/beta/ichi/2093500960</x:t>
  </x:si>
  <x:si>
    <x:t>- - - - - - - - - - Posterolateral artery</x:t>
  </x:si>
  <x:si>
    <x:t>http://id.who.int/icd/entity/1499075415</x:t>
  </x:si>
  <x:si>
    <x:t>http://id.who.int/icd/release/11/beta/ichi/1499075415</x:t>
  </x:si>
  <x:si>
    <x:t>- - - - - - - - - - Sinoatrial nodal artery</x:t>
  </x:si>
  <x:si>
    <x:t>http://id.who.int/icd/entity/64157078</x:t>
  </x:si>
  <x:si>
    <x:t>http://id.who.int/icd/release/11/beta/ichi/64157078</x:t>
  </x:si>
  <x:si>
    <x:t>- - - - - - - - Pericardiophrenic artery</x:t>
  </x:si>
  <x:si>
    <x:t>http://id.who.int/icd/entity/553603158</x:t>
  </x:si>
  <x:si>
    <x:t>http://id.who.int/icd/release/11/beta/ichi/553603158</x:t>
  </x:si>
  <x:si>
    <x:t>- - - - - - Artery of abdomen</x:t>
  </x:si>
  <x:si>
    <x:t>http://id.who.int/icd/entity/1774319231</x:t>
  </x:si>
  <x:si>
    <x:t>http://id.who.int/icd/release/11/beta/ichi/1774319231</x:t>
  </x:si>
  <x:si>
    <x:t>- - - - - - - Anterior suprarenal artery</x:t>
  </x:si>
  <x:si>
    <x:t>http://id.who.int/icd/entity/1021997417</x:t>
  </x:si>
  <x:si>
    <x:t>http://id.who.int/icd/release/11/beta/ichi/1021997417</x:t>
  </x:si>
  <x:si>
    <x:t>- - - - - - - Ascending branch of the left colic artery</x:t>
  </x:si>
  <x:si>
    <x:t>http://id.who.int/icd/entity/1540119742</x:t>
  </x:si>
  <x:si>
    <x:t>http://id.who.int/icd/release/11/beta/ichi/1540119742</x:t>
  </x:si>
  <x:si>
    <x:t>- - - - - - - Branches to abdominal muscles of the musculophrenic artery</x:t>
  </x:si>
  <x:si>
    <x:t>http://id.who.int/icd/entity/792647857</x:t>
  </x:si>
  <x:si>
    <x:t>http://id.who.int/icd/release/11/beta/ichi/792647857</x:t>
  </x:si>
  <x:si>
    <x:t>- - - - - - - Coeliac artery</x:t>
  </x:si>
  <x:si>
    <x:t>http://id.who.int/icd/entity/956846616</x:t>
  </x:si>
  <x:si>
    <x:t>http://id.who.int/icd/release/11/beta/ichi/956846616</x:t>
  </x:si>
  <x:si>
    <x:t>- - - - - - - Common hepatic artery</x:t>
  </x:si>
  <x:si>
    <x:t>http://id.who.int/icd/entity/1274611864</x:t>
  </x:si>
  <x:si>
    <x:t>http://id.who.int/icd/release/11/beta/ichi/1274611864</x:t>
  </x:si>
  <x:si>
    <x:t>- - - - - - - Cystic artery</x:t>
  </x:si>
  <x:si>
    <x:t>http://id.who.int/icd/entity/329537166</x:t>
  </x:si>
  <x:si>
    <x:t>http://id.who.int/icd/release/11/beta/ichi/329537166</x:t>
  </x:si>
  <x:si>
    <x:t>- - - - - - - Descending branch of the left colic artery</x:t>
  </x:si>
  <x:si>
    <x:t>http://id.who.int/icd/entity/2052499607</x:t>
  </x:si>
  <x:si>
    <x:t>http://id.who.int/icd/release/11/beta/ichi/2052499607</x:t>
  </x:si>
  <x:si>
    <x:t>- - - - - - - Descending vasa recta</x:t>
  </x:si>
  <x:si>
    <x:t>http://id.who.int/icd/entity/1925337830</x:t>
  </x:si>
  <x:si>
    <x:t>http://id.who.int/icd/release/11/beta/ichi/1925337830</x:t>
  </x:si>
  <x:si>
    <x:t>- - - - - - - Dorsal pancreatic artery</x:t>
  </x:si>
  <x:si>
    <x:t>http://id.who.int/icd/entity/1373913704</x:t>
  </x:si>
  <x:si>
    <x:t>http://id.who.int/icd/release/11/beta/ichi/1373913704</x:t>
  </x:si>
  <x:si>
    <x:t>- - - - - - - Gastroduodenal artery</x:t>
  </x:si>
  <x:si>
    <x:t>http://id.who.int/icd/entity/1705623832</x:t>
  </x:si>
  <x:si>
    <x:t>http://id.who.int/icd/release/11/beta/ichi/1705623832</x:t>
  </x:si>
  <x:si>
    <x:t>- - - - - - - Hepatic artery</x:t>
  </x:si>
  <x:si>
    <x:t>http://id.who.int/icd/entity/391682968</x:t>
  </x:si>
  <x:si>
    <x:t>http://id.who.int/icd/release/11/beta/ichi/391682968</x:t>
  </x:si>
  <x:si>
    <x:t>- - - - - - - Hepatic branch of the left gastric artery</x:t>
  </x:si>
  <x:si>
    <x:t>http://id.who.int/icd/entity/575144383</x:t>
  </x:si>
  <x:si>
    <x:t>http://id.who.int/icd/release/11/beta/ichi/575144383</x:t>
  </x:si>
  <x:si>
    <x:t>- - - - - - - Ileocolic artery</x:t>
  </x:si>
  <x:si>
    <x:t>http://id.who.int/icd/entity/2057488593</x:t>
  </x:si>
  <x:si>
    <x:t>http://id.who.int/icd/release/11/beta/ichi/2057488593</x:t>
  </x:si>
  <x:si>
    <x:t>- - - - - - - Inferior epigastric artery</x:t>
  </x:si>
  <x:si>
    <x:t>http://id.who.int/icd/entity/145224215</x:t>
  </x:si>
  <x:si>
    <x:t>http://id.who.int/icd/release/11/beta/ichi/145224215</x:t>
  </x:si>
  <x:si>
    <x:t>- - - - - - - Inferior mesenteric artery</x:t>
  </x:si>
  <x:si>
    <x:t>http://id.who.int/icd/entity/778289638</x:t>
  </x:si>
  <x:si>
    <x:t>http://id.who.int/icd/release/11/beta/ichi/778289638</x:t>
  </x:si>
  <x:si>
    <x:t>- - - - - - - Inferior pancreaticoduodenal artery</x:t>
  </x:si>
  <x:si>
    <x:t>http://id.who.int/icd/entity/941014129</x:t>
  </x:si>
  <x:si>
    <x:t>http://id.who.int/icd/release/11/beta/ichi/941014129</x:t>
  </x:si>
  <x:si>
    <x:t>- - - - - - - Inferior phrenic</x:t>
  </x:si>
  <x:si>
    <x:t>http://id.who.int/icd/entity/895509887</x:t>
  </x:si>
  <x:si>
    <x:t>http://id.who.int/icd/release/11/beta/ichi/895509887</x:t>
  </x:si>
  <x:si>
    <x:t>- - - - - - - Intestinal artery</x:t>
  </x:si>
  <x:si>
    <x:t>http://id.who.int/icd/entity/734139817</x:t>
  </x:si>
  <x:si>
    <x:t>http://id.who.int/icd/release/11/beta/ichi/734139817</x:t>
  </x:si>
  <x:si>
    <x:t>- - - - - - - Left colic artery</x:t>
  </x:si>
  <x:si>
    <x:t>http://id.who.int/icd/entity/7405400</x:t>
  </x:si>
  <x:si>
    <x:t>http://id.who.int/icd/release/11/beta/ichi/7405400</x:t>
  </x:si>
  <x:si>
    <x:t>- - - - - - - Left gastric artery</x:t>
  </x:si>
  <x:si>
    <x:t>http://id.who.int/icd/entity/3344486</x:t>
  </x:si>
  <x:si>
    <x:t>http://id.who.int/icd/release/11/beta/ichi/3344486</x:t>
  </x:si>
  <x:si>
    <x:t>- - - - - - - Left gastro-omental artery</x:t>
  </x:si>
  <x:si>
    <x:t>http://id.who.int/icd/entity/529503959</x:t>
  </x:si>
  <x:si>
    <x:t>http://id.who.int/icd/release/11/beta/ichi/529503959</x:t>
  </x:si>
  <x:si>
    <x:t>- - - - - - - Lumbar artery</x:t>
  </x:si>
  <x:si>
    <x:t>http://id.who.int/icd/entity/834011945</x:t>
  </x:si>
  <x:si>
    <x:t>http://id.who.int/icd/release/11/beta/ichi/834011945</x:t>
  </x:si>
  <x:si>
    <x:t>- - - - - - - Mesenteric artery</x:t>
  </x:si>
  <x:si>
    <x:t>http://id.who.int/icd/entity/218506842</x:t>
  </x:si>
  <x:si>
    <x:t>http://id.who.int/icd/release/11/beta/ichi/218506842</x:t>
  </x:si>
  <x:si>
    <x:t>- - - - - - - Middle colic artery</x:t>
  </x:si>
  <x:si>
    <x:t>http://id.who.int/icd/entity/456174847</x:t>
  </x:si>
  <x:si>
    <x:t>http://id.who.int/icd/release/11/beta/ichi/456174847</x:t>
  </x:si>
  <x:si>
    <x:t>- - - - - - - Middle suprarenal artery</x:t>
  </x:si>
  <x:si>
    <x:t>http://id.who.int/icd/entity/2129236671</x:t>
  </x:si>
  <x:si>
    <x:t>http://id.who.int/icd/release/11/beta/ichi/2129236671</x:t>
  </x:si>
  <x:si>
    <x:t>- - - - - - - Posterior suprarenal artery</x:t>
  </x:si>
  <x:si>
    <x:t>http://id.who.int/icd/entity/1557228632</x:t>
  </x:si>
  <x:si>
    <x:t>http://id.who.int/icd/release/11/beta/ichi/1557228632</x:t>
  </x:si>
  <x:si>
    <x:t>- - - - - - - Proper hepatic artery</x:t>
  </x:si>
  <x:si>
    <x:t>http://id.who.int/icd/entity/202950719</x:t>
  </x:si>
  <x:si>
    <x:t>http://id.who.int/icd/release/11/beta/ichi/202950719</x:t>
  </x:si>
  <x:si>
    <x:t>- - - - - - - Renal artery</x:t>
  </x:si>
  <x:si>
    <x:t>http://id.who.int/icd/entity/439239322</x:t>
  </x:si>
  <x:si>
    <x:t>http://id.who.int/icd/release/11/beta/ichi/439239322</x:t>
  </x:si>
  <x:si>
    <x:t>- - - - - - - Right colic artery</x:t>
  </x:si>
  <x:si>
    <x:t>http://id.who.int/icd/entity/1187784360</x:t>
  </x:si>
  <x:si>
    <x:t>http://id.who.int/icd/release/11/beta/ichi/1187784360</x:t>
  </x:si>
  <x:si>
    <x:t>- - - - - - - Right gastric artery</x:t>
  </x:si>
  <x:si>
    <x:t>http://id.who.int/icd/entity/1270546342</x:t>
  </x:si>
  <x:si>
    <x:t>http://id.who.int/icd/release/11/beta/ichi/1270546342</x:t>
  </x:si>
  <x:si>
    <x:t>- - - - - - - Right gastro-omental artery</x:t>
  </x:si>
  <x:si>
    <x:t>http://id.who.int/icd/entity/76296782</x:t>
  </x:si>
  <x:si>
    <x:t>http://id.who.int/icd/release/11/beta/ichi/76296782</x:t>
  </x:si>
  <x:si>
    <x:t>- - - - - - - Sigmoid artery</x:t>
  </x:si>
  <x:si>
    <x:t>http://id.who.int/icd/entity/1709848102</x:t>
  </x:si>
  <x:si>
    <x:t>http://id.who.int/icd/release/11/beta/ichi/1709848102</x:t>
  </x:si>
  <x:si>
    <x:t>- - - - - - - Splenic artery</x:t>
  </x:si>
  <x:si>
    <x:t>http://id.who.int/icd/entity/1553111910</x:t>
  </x:si>
  <x:si>
    <x:t>http://id.who.int/icd/release/11/beta/ichi/1553111910</x:t>
  </x:si>
  <x:si>
    <x:t>- - - - - - - Superior pancreaticoduodenal artery</x:t>
  </x:si>
  <x:si>
    <x:t>http://id.who.int/icd/entity/1921099224</x:t>
  </x:si>
  <x:si>
    <x:t>http://id.who.int/icd/release/11/beta/ichi/1921099224</x:t>
  </x:si>
  <x:si>
    <x:t>- - - - - - - Terminal branches of the proper hepatic artery</x:t>
  </x:si>
  <x:si>
    <x:t>http://id.who.int/icd/entity/450503390</x:t>
  </x:si>
  <x:si>
    <x:t>http://id.who.int/icd/release/11/beta/ichi/450503390</x:t>
  </x:si>
  <x:si>
    <x:t>- - - - - - - Umbilical artery</x:t>
  </x:si>
  <x:si>
    <x:t>http://id.who.int/icd/entity/961258790</x:t>
  </x:si>
  <x:si>
    <x:t>http://id.who.int/icd/release/11/beta/ichi/961258790</x:t>
  </x:si>
  <x:si>
    <x:t>- - - - - - - Superior mesenteric</x:t>
  </x:si>
  <x:si>
    <x:t>http://id.who.int/icd/entity/1421585111</x:t>
  </x:si>
  <x:si>
    <x:t>http://id.who.int/icd/release/11/beta/ichi/1421585111</x:t>
  </x:si>
  <x:si>
    <x:t>- - - - - - Artery of pelvis</x:t>
  </x:si>
  <x:si>
    <x:t>http://id.who.int/icd/entity/1677768711</x:t>
  </x:si>
  <x:si>
    <x:t>http://id.who.int/icd/release/11/beta/ichi/1677768711</x:t>
  </x:si>
  <x:si>
    <x:t>- - - - - - - Artery of bulb of penis</x:t>
  </x:si>
  <x:si>
    <x:t>http://id.who.int/icd/entity/1932057799</x:t>
  </x:si>
  <x:si>
    <x:t>http://id.who.int/icd/release/11/beta/ichi/1932057799</x:t>
  </x:si>
  <x:si>
    <x:t>- - - - - - - Artery of bulb of vestibule</x:t>
  </x:si>
  <x:si>
    <x:t>http://id.who.int/icd/entity/1696487010</x:t>
  </x:si>
  <x:si>
    <x:t>http://id.who.int/icd/release/11/beta/ichi/1696487010</x:t>
  </x:si>
  <x:si>
    <x:t>- - - - - - - Deep artery of clitoris</x:t>
  </x:si>
  <x:si>
    <x:t>http://id.who.int/icd/entity/1916154530</x:t>
  </x:si>
  <x:si>
    <x:t>http://id.who.int/icd/release/11/beta/ichi/1916154530</x:t>
  </x:si>
  <x:si>
    <x:t>- - - - - - - Deep artery of penis</x:t>
  </x:si>
  <x:si>
    <x:t>http://id.who.int/icd/entity/1120177142</x:t>
  </x:si>
  <x:si>
    <x:t>http://id.who.int/icd/release/11/beta/ichi/1120177142</x:t>
  </x:si>
  <x:si>
    <x:t>- - - - - - - Deep branch of the superior gluteal artery</x:t>
  </x:si>
  <x:si>
    <x:t>http://id.who.int/icd/entity/139694673</x:t>
  </x:si>
  <x:si>
    <x:t>http://id.who.int/icd/release/11/beta/ichi/139694673</x:t>
  </x:si>
  <x:si>
    <x:t>- - - - - - - Deep external pudendal artery</x:t>
  </x:si>
  <x:si>
    <x:t>http://id.who.int/icd/entity/968869218</x:t>
  </x:si>
  <x:si>
    <x:t>http://id.who.int/icd/release/11/beta/ichi/968869218</x:t>
  </x:si>
  <x:si>
    <x:t>- - - - - - - Deferential artery</x:t>
  </x:si>
  <x:si>
    <x:t>http://id.who.int/icd/entity/1263443938</x:t>
  </x:si>
  <x:si>
    <x:t>http://id.who.int/icd/release/11/beta/ichi/1263443938</x:t>
  </x:si>
  <x:si>
    <x:t>- - - - - - - Dorsal artery of clitoris</x:t>
  </x:si>
  <x:si>
    <x:t>http://id.who.int/icd/entity/1550252834</x:t>
  </x:si>
  <x:si>
    <x:t>http://id.who.int/icd/release/11/beta/ichi/1550252834</x:t>
  </x:si>
  <x:si>
    <x:t>- - - - - - - Dorsal artery of penis</x:t>
  </x:si>
  <x:si>
    <x:t>http://id.who.int/icd/entity/707304330</x:t>
  </x:si>
  <x:si>
    <x:t>http://id.who.int/icd/release/11/beta/ichi/707304330</x:t>
  </x:si>
  <x:si>
    <x:t>- - - - - - - Iliac branch of the iliolumbar artery</x:t>
  </x:si>
  <x:si>
    <x:t>http://id.who.int/icd/entity/74994186</x:t>
  </x:si>
  <x:si>
    <x:t>http://id.who.int/icd/release/11/beta/ichi/74994186</x:t>
  </x:si>
  <x:si>
    <x:t>- - - - - - - Iliolumbar artery</x:t>
  </x:si>
  <x:si>
    <x:t>http://id.who.int/icd/entity/1341236682</x:t>
  </x:si>
  <x:si>
    <x:t>http://id.who.int/icd/release/11/beta/ichi/1341236682</x:t>
  </x:si>
  <x:si>
    <x:t>- - - - - - - Inferior branch of the lateral sacral artery</x:t>
  </x:si>
  <x:si>
    <x:t>http://id.who.int/icd/entity/13068322</x:t>
  </x:si>
  <x:si>
    <x:t>http://id.who.int/icd/release/11/beta/ichi/13068322</x:t>
  </x:si>
  <x:si>
    <x:t>- - - - - - - Inferior gluteal artery</x:t>
  </x:si>
  <x:si>
    <x:t>http://id.who.int/icd/entity/582771193</x:t>
  </x:si>
  <x:si>
    <x:t>http://id.who.int/icd/release/11/beta/ichi/582771193</x:t>
  </x:si>
  <x:si>
    <x:t>- - - - - - - Inferior vesical artery</x:t>
  </x:si>
  <x:si>
    <x:t>http://id.who.int/icd/entity/216836217</x:t>
  </x:si>
  <x:si>
    <x:t>http://id.who.int/icd/release/11/beta/ichi/216836217</x:t>
  </x:si>
  <x:si>
    <x:t>- - - - - - - Internal pudendal artery</x:t>
  </x:si>
  <x:si>
    <x:t>http://id.who.int/icd/entity/1023475530</x:t>
  </x:si>
  <x:si>
    <x:t>http://id.who.int/icd/release/11/beta/ichi/1023475530</x:t>
  </x:si>
  <x:si>
    <x:t>- - - - - - - Lateral sacral artery</x:t>
  </x:si>
  <x:si>
    <x:t>http://id.who.int/icd/entity/719125454</x:t>
  </x:si>
  <x:si>
    <x:t>http://id.who.int/icd/release/11/beta/ichi/719125454</x:t>
  </x:si>
  <x:si>
    <x:t>- - - - - - - Median sacral artery</x:t>
  </x:si>
  <x:si>
    <x:t>http://id.who.int/icd/entity/898893113</x:t>
  </x:si>
  <x:si>
    <x:t>http://id.who.int/icd/release/11/beta/ichi/898893113</x:t>
  </x:si>
  <x:si>
    <x:t>- - - - - - - Middle rectal artery</x:t>
  </x:si>
  <x:si>
    <x:t>http://id.who.int/icd/entity/1987930318</x:t>
  </x:si>
  <x:si>
    <x:t>http://id.who.int/icd/release/11/beta/ichi/1987930318</x:t>
  </x:si>
  <x:si>
    <x:t>- - - - - - - Obturator artery</x:t>
  </x:si>
  <x:si>
    <x:t>http://id.who.int/icd/entity/653736855</x:t>
  </x:si>
  <x:si>
    <x:t>http://id.who.int/icd/release/11/beta/ichi/653736855</x:t>
  </x:si>
  <x:si>
    <x:t>- - - - - - - Ovarian artery in females</x:t>
  </x:si>
  <x:si>
    <x:t>http://id.who.int/icd/entity/2115891961</x:t>
  </x:si>
  <x:si>
    <x:t>http://id.who.int/icd/release/11/beta/ichi/2115891961</x:t>
  </x:si>
  <x:si>
    <x:t>- - - - - - - Perineal artery</x:t>
  </x:si>
  <x:si>
    <x:t>http://id.who.int/icd/entity/1347238777</x:t>
  </x:si>
  <x:si>
    <x:t>http://id.who.int/icd/release/11/beta/ichi/1347238777</x:t>
  </x:si>
  <x:si>
    <x:t>- - - - - - - Posterior labial branches  of the internal pudendal artery</x:t>
  </x:si>
  <x:si>
    <x:t>http://id.who.int/icd/entity/1765119545</x:t>
  </x:si>
  <x:si>
    <x:t>http://id.who.int/icd/release/11/beta/ichi/1765119545</x:t>
  </x:si>
  <x:si>
    <x:t>- - - - - - - Posterior scrotal branches of the internal pudendal artery</x:t>
  </x:si>
  <x:si>
    <x:t>http://id.who.int/icd/entity/1637968970</x:t>
  </x:si>
  <x:si>
    <x:t>http://id.who.int/icd/release/11/beta/ichi/1637968970</x:t>
  </x:si>
  <x:si>
    <x:t>- - - - - - - Superficial branch of the superior gluteal artery</x:t>
  </x:si>
  <x:si>
    <x:t>http://id.who.int/icd/entity/1490665738</x:t>
  </x:si>
  <x:si>
    <x:t>http://id.who.int/icd/release/11/beta/ichi/1490665738</x:t>
  </x:si>
  <x:si>
    <x:t>- - - - - - - Superior branch of the lateral sacral artery</x:t>
  </x:si>
  <x:si>
    <x:t>http://id.who.int/icd/entity/1988692106</x:t>
  </x:si>
  <x:si>
    <x:t>http://id.who.int/icd/release/11/beta/ichi/1988692106</x:t>
  </x:si>
  <x:si>
    <x:t>- - - - - - - Superior gluteal artery</x:t>
  </x:si>
  <x:si>
    <x:t>http://id.who.int/icd/entity/1427672946</x:t>
  </x:si>
  <x:si>
    <x:t>http://id.who.int/icd/release/11/beta/ichi/1427672946</x:t>
  </x:si>
  <x:si>
    <x:t>- - - - - - - Superior vesical artery</x:t>
  </x:si>
  <x:si>
    <x:t>http://id.who.int/icd/entity/836722519</x:t>
  </x:si>
  <x:si>
    <x:t>http://id.who.int/icd/release/11/beta/ichi/836722519</x:t>
  </x:si>
  <x:si>
    <x:t>- - - - - - - Testicular artery in males</x:t>
  </x:si>
  <x:si>
    <x:t>http://id.who.int/icd/entity/1197825977</x:t>
  </x:si>
  <x:si>
    <x:t>http://id.who.int/icd/release/11/beta/ichi/1197825977</x:t>
  </x:si>
  <x:si>
    <x:t>- - - - - - - Urethral artery</x:t>
  </x:si>
  <x:si>
    <x:t>http://id.who.int/icd/entity/781689250</x:t>
  </x:si>
  <x:si>
    <x:t>http://id.who.int/icd/release/11/beta/ichi/781689250</x:t>
  </x:si>
  <x:si>
    <x:t>- - - - - - - Uterine artery</x:t>
  </x:si>
  <x:si>
    <x:t>http://id.who.int/icd/entity/1110502322</x:t>
  </x:si>
  <x:si>
    <x:t>http://id.who.int/icd/release/11/beta/ichi/1110502322</x:t>
  </x:si>
  <x:si>
    <x:t>- - - - - - - Vaginal artery</x:t>
  </x:si>
  <x:si>
    <x:t>http://id.who.int/icd/entity/540176836</x:t>
  </x:si>
  <x:si>
    <x:t>http://id.who.int/icd/release/11/beta/ichi/540176836</x:t>
  </x:si>
  <x:si>
    <x:t>- - - - - - - Iliac artery</x:t>
  </x:si>
  <x:si>
    <x:t>http://id.who.int/icd/entity/1325778318</x:t>
  </x:si>
  <x:si>
    <x:t>http://id.who.int/icd/release/11/beta/ichi/1325778318</x:t>
  </x:si>
  <x:si>
    <x:t>- - - - - - - - Common iliac artery</x:t>
  </x:si>
  <x:si>
    <x:t>http://id.who.int/icd/entity/1837804561</x:t>
  </x:si>
  <x:si>
    <x:t>http://id.who.int/icd/release/11/beta/ichi/1837804561</x:t>
  </x:si>
  <x:si>
    <x:t>- - - - - - - - Deep circumflex iliac artery</x:t>
  </x:si>
  <x:si>
    <x:t>http://id.who.int/icd/entity/1479385422</x:t>
  </x:si>
  <x:si>
    <x:t>http://id.who.int/icd/release/11/beta/ichi/1479385422</x:t>
  </x:si>
  <x:si>
    <x:t>- - - - - - - - Internal iliac artery</x:t>
  </x:si>
  <x:si>
    <x:t>http://id.who.int/icd/entity/1441591094</x:t>
  </x:si>
  <x:si>
    <x:t>http://id.who.int/icd/release/11/beta/ichi/1441591094</x:t>
  </x:si>
  <x:si>
    <x:t>- - - - - - - - External iliac artery</x:t>
  </x:si>
  <x:si>
    <x:t>http://id.who.int/icd/entity/1937337123</x:t>
  </x:si>
  <x:si>
    <x:t>http://id.who.int/icd/release/11/beta/ichi/1937337123</x:t>
  </x:si>
  <x:si>
    <x:t>- - - - - - - Inferior adrenal artery</x:t>
  </x:si>
  <x:si>
    <x:t>http://id.who.int/icd/entity/1316314647</x:t>
  </x:si>
  <x:si>
    <x:t>http://id.who.int/icd/release/11/beta/ichi/1316314647</x:t>
  </x:si>
  <x:si>
    <x:t>- - - - - - Artery of upper extremity</x:t>
  </x:si>
  <x:si>
    <x:t>http://id.who.int/icd/entity/979253394</x:t>
  </x:si>
  <x:si>
    <x:t>http://id.who.int/icd/release/11/beta/ichi/979253394</x:t>
  </x:si>
  <x:si>
    <x:t>- - - - - - - Anterior humeral circumflex artery</x:t>
  </x:si>
  <x:si>
    <x:t>http://id.who.int/icd/entity/1460927649</x:t>
  </x:si>
  <x:si>
    <x:t>http://id.who.int/icd/release/11/beta/ichi/1460927649</x:t>
  </x:si>
  <x:si>
    <x:t>- - - - - - - Anterior ulnar recurrent artery</x:t>
  </x:si>
  <x:si>
    <x:t>http://id.who.int/icd/entity/1276139578</x:t>
  </x:si>
  <x:si>
    <x:t>http://id.who.int/icd/release/11/beta/ichi/1276139578</x:t>
  </x:si>
  <x:si>
    <x:t>- - - - - - - Anterior interosseous artery</x:t>
  </x:si>
  <x:si>
    <x:t>http://id.who.int/icd/entity/1808434606</x:t>
  </x:si>
  <x:si>
    <x:t>http://id.who.int/icd/release/11/beta/ichi/1808434606</x:t>
  </x:si>
  <x:si>
    <x:t>- - - - - - - Ascending branches of the Inferior ulnar collateral artery</x:t>
  </x:si>
  <x:si>
    <x:t>http://id.who.int/icd/entity/1087371303</x:t>
  </x:si>
  <x:si>
    <x:t>http://id.who.int/icd/release/11/beta/ichi/1087371303</x:t>
  </x:si>
  <x:si>
    <x:t>- - - - - - - Axillary artery</x:t>
  </x:si>
  <x:si>
    <x:t>http://id.who.int/icd/entity/336523538</x:t>
  </x:si>
  <x:si>
    <x:t>http://id.who.int/icd/release/11/beta/ichi/336523538</x:t>
  </x:si>
  <x:si>
    <x:t>- - - - - - - Brachial artery</x:t>
  </x:si>
  <x:si>
    <x:t>http://id.who.int/icd/entity/701064826</x:t>
  </x:si>
  <x:si>
    <x:t>http://id.who.int/icd/release/11/beta/ichi/701064826</x:t>
  </x:si>
  <x:si>
    <x:t>- - - - - - - Branch to volar carpal network of the anterior interosseous artery</x:t>
  </x:si>
  <x:si>
    <x:t>http://id.who.int/icd/entity/1219453458</x:t>
  </x:si>
  <x:si>
    <x:t>http://id.who.int/icd/release/11/beta/ichi/1219453458</x:t>
  </x:si>
  <x:si>
    <x:t>- - - - - - - Branches to the deltoid muscle of the Profunda brachii artery</x:t>
  </x:si>
  <x:si>
    <x:t>http://id.who.int/icd/entity/1292809823</x:t>
  </x:si>
  <x:si>
    <x:t>http://id.who.int/icd/release/11/beta/ichi/1292809823</x:t>
  </x:si>
  <x:si>
    <x:t>- - - - - - - Common interosseous artery</x:t>
  </x:si>
  <x:si>
    <x:t>http://id.who.int/icd/entity/635610657</x:t>
  </x:si>
  <x:si>
    <x:t>http://id.who.int/icd/release/11/beta/ichi/635610657</x:t>
  </x:si>
  <x:si>
    <x:t>- - - - - - - Deep palmar arch of the radial artery</x:t>
  </x:si>
  <x:si>
    <x:t>http://id.who.int/icd/entity/1149542985</x:t>
  </x:si>
  <x:si>
    <x:t>http://id.who.int/icd/release/11/beta/ichi/1149542985</x:t>
  </x:si>
  <x:si>
    <x:t>- - - - - - - Descending branches of the Inferior ulnar collateral artery</x:t>
  </x:si>
  <x:si>
    <x:t>http://id.who.int/icd/entity/37256119</x:t>
  </x:si>
  <x:si>
    <x:t>http://id.who.int/icd/release/11/beta/ichi/37256119</x:t>
  </x:si>
  <x:si>
    <x:t>- - - - - - - First dorsal metacarpal artery</x:t>
  </x:si>
  <x:si>
    <x:t>http://id.who.int/icd/entity/2095243630</x:t>
  </x:si>
  <x:si>
    <x:t>http://id.who.int/icd/release/11/beta/ichi/2095243630</x:t>
  </x:si>
  <x:si>
    <x:t>- - - - - - - Inferior ulnar collateral artery</x:t>
  </x:si>
  <x:si>
    <x:t>http://id.who.int/icd/entity/1969812858</x:t>
  </x:si>
  <x:si>
    <x:t>http://id.who.int/icd/release/11/beta/ichi/1969812858</x:t>
  </x:si>
  <x:si>
    <x:t>- - - - - - - Interosseous recurrent artery</x:t>
  </x:si>
  <x:si>
    <x:t>http://id.who.int/icd/entity/1909968722</x:t>
  </x:si>
  <x:si>
    <x:t>http://id.who.int/icd/release/11/beta/ichi/1909968722</x:t>
  </x:si>
  <x:si>
    <x:t>- - - - - - - Medial collateral artery</x:t>
  </x:si>
  <x:si>
    <x:t>http://id.who.int/icd/entity/1530412282</x:t>
  </x:si>
  <x:si>
    <x:t>http://id.who.int/icd/release/11/beta/ichi/1530412282</x:t>
  </x:si>
  <x:si>
    <x:t>- - - - - - - Muscular branches of the anterior interosseous artery</x:t>
  </x:si>
  <x:si>
    <x:t>http://id.who.int/icd/entity/127512570</x:t>
  </x:si>
  <x:si>
    <x:t>http://id.who.int/icd/release/11/beta/ichi/127512570</x:t>
  </x:si>
  <x:si>
    <x:t>- - - - - - - Palmar carpal arch</x:t>
  </x:si>
  <x:si>
    <x:t>http://id.who.int/icd/entity/405090633</x:t>
  </x:si>
  <x:si>
    <x:t>http://id.who.int/icd/release/11/beta/ichi/405090633</x:t>
  </x:si>
  <x:si>
    <x:t>- - - - - - - Palmar carpal branch of radial artery</x:t>
  </x:si>
  <x:si>
    <x:t>http://id.who.int/icd/entity/1648398778</x:t>
  </x:si>
  <x:si>
    <x:t>http://id.who.int/icd/release/11/beta/ichi/1648398778</x:t>
  </x:si>
  <x:si>
    <x:t>- - - - - - - Posterior interosseous artery</x:t>
  </x:si>
  <x:si>
    <x:t>http://id.who.int/icd/entity/1512493727</x:t>
  </x:si>
  <x:si>
    <x:t>http://id.who.int/icd/release/11/beta/ichi/1512493727</x:t>
  </x:si>
  <x:si>
    <x:t>- - - - - - - Posterior ulnar recurrent artery</x:t>
  </x:si>
  <x:si>
    <x:t>http://id.who.int/icd/entity/479857505</x:t>
  </x:si>
  <x:si>
    <x:t>http://id.who.int/icd/release/11/beta/ichi/479857505</x:t>
  </x:si>
  <x:si>
    <x:t>- - - - - - - Princeps pollicis artery</x:t>
  </x:si>
  <x:si>
    <x:t>http://id.who.int/icd/entity/52860370</x:t>
  </x:si>
  <x:si>
    <x:t>http://id.who.int/icd/release/11/beta/ichi/52860370</x:t>
  </x:si>
  <x:si>
    <x:t>- - - - - - - Profunda brachii artery</x:t>
  </x:si>
  <x:si>
    <x:t>http://id.who.int/icd/entity/1403831945</x:t>
  </x:si>
  <x:si>
    <x:t>http://id.who.int/icd/release/11/beta/ichi/1403831945</x:t>
  </x:si>
  <x:si>
    <x:t>- - - - - - - Radial artery</x:t>
  </x:si>
  <x:si>
    <x:t>http://id.who.int/icd/entity/913701065</x:t>
  </x:si>
  <x:si>
    <x:t>http://id.who.int/icd/release/11/beta/ichi/913701065</x:t>
  </x:si>
  <x:si>
    <x:t>- - - - - - - Radial branches at the wrist of the radial artery</x:t>
  </x:si>
  <x:si>
    <x:t>http://id.who.int/icd/entity/353378167</x:t>
  </x:si>
  <x:si>
    <x:t>http://id.who.int/icd/release/11/beta/ichi/353378167</x:t>
  </x:si>
  <x:si>
    <x:t>- - - - - - - Radial branches in the hand of the radial artery</x:t>
  </x:si>
  <x:si>
    <x:t>http://id.who.int/icd/entity/1792306121</x:t>
  </x:si>
  <x:si>
    <x:t>http://id.who.int/icd/release/11/beta/ichi/1792306121</x:t>
  </x:si>
  <x:si>
    <x:t>- - - - - - - Radial branches in the forearm of the radial artery</x:t>
  </x:si>
  <x:si>
    <x:t>http://id.who.int/icd/entity/1728031634</x:t>
  </x:si>
  <x:si>
    <x:t>http://id.who.int/icd/release/11/beta/ichi/1728031634</x:t>
  </x:si>
  <x:si>
    <x:t>- - - - - - - Radial collateral artery</x:t>
  </x:si>
  <x:si>
    <x:t>http://id.who.int/icd/entity/2113670921</x:t>
  </x:si>
  <x:si>
    <x:t>http://id.who.int/icd/release/11/beta/ichi/2113670921</x:t>
  </x:si>
  <x:si>
    <x:t>- - - - - - - Radial recurrent artery</x:t>
  </x:si>
  <x:si>
    <x:t>http://id.who.int/icd/entity/196243361</x:t>
  </x:si>
  <x:si>
    <x:t>http://id.who.int/icd/release/11/beta/ichi/196243361</x:t>
  </x:si>
  <x:si>
    <x:t>- - - - - - - Radialis indicis of the radial artery</x:t>
  </x:si>
  <x:si>
    <x:t>http://id.who.int/icd/entity/852148961</x:t>
  </x:si>
  <x:si>
    <x:t>http://id.who.int/icd/release/11/beta/ichi/852148961</x:t>
  </x:si>
  <x:si>
    <x:t>- - - - - - - Superficial palmar arch of the radial artery</x:t>
  </x:si>
  <x:si>
    <x:t>http://id.who.int/icd/entity/252532105</x:t>
  </x:si>
  <x:si>
    <x:t>http://id.who.int/icd/release/11/beta/ichi/252532105</x:t>
  </x:si>
  <x:si>
    <x:t>- - - - - - - Superficial palmar branch of the radial artery</x:t>
  </x:si>
  <x:si>
    <x:t>http://id.who.int/icd/entity/1602684626</x:t>
  </x:si>
  <x:si>
    <x:t>http://id.who.int/icd/release/11/beta/ichi/1602684626</x:t>
  </x:si>
  <x:si>
    <x:t>- - - - - - - Superior ulnar collateral artery</x:t>
  </x:si>
  <x:si>
    <x:t>http://id.who.int/icd/entity/1077647457</x:t>
  </x:si>
  <x:si>
    <x:t>http://id.who.int/icd/release/11/beta/ichi/1077647457</x:t>
  </x:si>
  <x:si>
    <x:t>- - - - - - - Ulnar artery</x:t>
  </x:si>
  <x:si>
    <x:t>http://id.who.int/icd/entity/280087354</x:t>
  </x:si>
  <x:si>
    <x:t>http://id.who.int/icd/release/11/beta/ichi/280087354</x:t>
  </x:si>
  <x:si>
    <x:t>- - - - - - - Volar carpal network</x:t>
  </x:si>
  <x:si>
    <x:t>http://id.who.int/icd/entity/2125096335</x:t>
  </x:si>
  <x:si>
    <x:t>http://id.who.int/icd/release/11/beta/ichi/2125096335</x:t>
  </x:si>
  <x:si>
    <x:t>- - - - - - - Deep volar branch of ulnar artery</x:t>
  </x:si>
  <x:si>
    <x:t>http://id.who.int/icd/entity/869543046</x:t>
  </x:si>
  <x:si>
    <x:t>http://id.who.int/icd/release/11/beta/ichi/869543046</x:t>
  </x:si>
  <x:si>
    <x:t>- - - - - - - Dorsal carpal arch</x:t>
  </x:si>
  <x:si>
    <x:t>http://id.who.int/icd/entity/559782921</x:t>
  </x:si>
  <x:si>
    <x:t>http://id.who.int/icd/release/11/beta/ichi/559782921</x:t>
  </x:si>
  <x:si>
    <x:t>- - - - - - - Dorsal carpal branch of radial artery</x:t>
  </x:si>
  <x:si>
    <x:t>http://id.who.int/icd/entity/620513350</x:t>
  </x:si>
  <x:si>
    <x:t>http://id.who.int/icd/release/11/beta/ichi/620513350</x:t>
  </x:si>
  <x:si>
    <x:t>- - - - - - - Dorsal carpal network</x:t>
  </x:si>
  <x:si>
    <x:t>http://id.who.int/icd/entity/1523757785</x:t>
  </x:si>
  <x:si>
    <x:t>http://id.who.int/icd/release/11/beta/ichi/1523757785</x:t>
  </x:si>
  <x:si>
    <x:t>- - - - - - - Subscapular artery</x:t>
  </x:si>
  <x:si>
    <x:t>http://id.who.int/icd/entity/543807776</x:t>
  </x:si>
  <x:si>
    <x:t>http://id.who.int/icd/release/11/beta/ichi/543807776</x:t>
  </x:si>
  <x:si>
    <x:t>- - - - - - - Right subclavian artery</x:t>
  </x:si>
  <x:si>
    <x:t>http://id.who.int/icd/entity/1508677205</x:t>
  </x:si>
  <x:si>
    <x:t>http://id.who.int/icd/release/11/beta/ichi/1508677205</x:t>
  </x:si>
  <x:si>
    <x:t>- - - - - - Artery of lower extremity</x:t>
  </x:si>
  <x:si>
    <x:t>http://id.who.int/icd/entity/59835048</x:t>
  </x:si>
  <x:si>
    <x:t>http://id.who.int/icd/release/11/beta/ichi/59835048</x:t>
  </x:si>
  <x:si>
    <x:t>- - - - - - - Acetabular branch</x:t>
  </x:si>
  <x:si>
    <x:t>http://id.who.int/icd/entity/2075008960</x:t>
  </x:si>
  <x:si>
    <x:t>http://id.who.int/icd/release/11/beta/ichi/2075008960</x:t>
  </x:si>
  <x:si>
    <x:t>- - - - - - - Anterior lateral malleolar artery</x:t>
  </x:si>
  <x:si>
    <x:t>http://id.who.int/icd/entity/1820752768</x:t>
  </x:si>
  <x:si>
    <x:t>http://id.who.int/icd/release/11/beta/ichi/1820752768</x:t>
  </x:si>
  <x:si>
    <x:t>- - - - - - - Anterior medial malleolar artery</x:t>
  </x:si>
  <x:si>
    <x:t>http://id.who.int/icd/entity/1784937663</x:t>
  </x:si>
  <x:si>
    <x:t>http://id.who.int/icd/release/11/beta/ichi/1784937663</x:t>
  </x:si>
  <x:si>
    <x:t>- - - - - - - Anterior tibial artery</x:t>
  </x:si>
  <x:si>
    <x:t>http://id.who.int/icd/entity/1580105665</x:t>
  </x:si>
  <x:si>
    <x:t>http://id.who.int/icd/release/11/beta/ichi/1580105665</x:t>
  </x:si>
  <x:si>
    <x:t>- - - - - - - Anterior tibial recurrent artery</x:t>
  </x:si>
  <x:si>
    <x:t>http://id.who.int/icd/entity/724989423</x:t>
  </x:si>
  <x:si>
    <x:t>http://id.who.int/icd/release/11/beta/ichi/724989423</x:t>
  </x:si>
  <x:si>
    <x:t>- - - - - - - Ascending branch of the lateral femoral circumflex artery</x:t>
  </x:si>
  <x:si>
    <x:t>http://id.who.int/icd/entity/1597018536</x:t>
  </x:si>
  <x:si>
    <x:t>http://id.who.int/icd/release/11/beta/ichi/1597018536</x:t>
  </x:si>
  <x:si>
    <x:t>- - - - - - - Ascending branch of the medial femoral circumflex artery</x:t>
  </x:si>
  <x:si>
    <x:t>http://id.who.int/icd/entity/1137204377</x:t>
  </x:si>
  <x:si>
    <x:t>http://id.who.int/icd/release/11/beta/ichi/1137204377</x:t>
  </x:si>
  <x:si>
    <x:t>- - - - - - - Branch of the medial inferior genicular artery to popliteus</x:t>
  </x:si>
  <x:si>
    <x:t>http://id.who.int/icd/entity/1007429671</x:t>
  </x:si>
  <x:si>
    <x:t>http://id.who.int/icd/release/11/beta/ichi/1007429671</x:t>
  </x:si>
  <x:si>
    <x:t>- - - - - - - Branch of the medial superior genicular artery to vastus medialis</x:t>
  </x:si>
  <x:si>
    <x:t>http://id.who.int/icd/entity/723799271</x:t>
  </x:si>
  <x:si>
    <x:t>http://id.who.int/icd/release/11/beta/ichi/723799271</x:t>
  </x:si>
  <x:si>
    <x:t>- - - - - - - Branch of the medial superior genicular artery to surface of the femur and the knee-joint</x:t>
  </x:si>
  <x:si>
    <x:t>http://id.who.int/icd/entity/511123968</x:t>
  </x:si>
  <x:si>
    <x:t>http://id.who.int/icd/release/11/beta/ichi/511123968</x:t>
  </x:si>
  <x:si>
    <x:t>- - - - - - - Communicating branch of the fibular artery to the anterior tibial artery</x:t>
  </x:si>
  <x:si>
    <x:t>http://id.who.int/icd/entity/347694696</x:t>
  </x:si>
  <x:si>
    <x:t>http://id.who.int/icd/release/11/beta/ichi/347694696</x:t>
  </x:si>
  <x:si>
    <x:t>- - - - - - - Deep branch of the descending branch of the Medial femoral circumflex artery</x:t>
  </x:si>
  <x:si>
    <x:t>http://id.who.int/icd/entity/1621998375</x:t>
  </x:si>
  <x:si>
    <x:t>http://id.who.int/icd/release/11/beta/ichi/1621998375</x:t>
  </x:si>
  <x:si>
    <x:t>- - - - - - - Deep branch of the lateral superior genicular artery</x:t>
  </x:si>
  <x:si>
    <x:t>http://id.who.int/icd/entity/528217745</x:t>
  </x:si>
  <x:si>
    <x:t>http://id.who.int/icd/release/11/beta/ichi/528217745</x:t>
  </x:si>
  <x:si>
    <x:t>- - - - - - - Deep femoral artery</x:t>
  </x:si>
  <x:si>
    <x:t>http://id.who.int/icd/entity/1716010216</x:t>
  </x:si>
  <x:si>
    <x:t>http://id.who.int/icd/release/11/beta/ichi/1716010216</x:t>
  </x:si>
  <x:si>
    <x:t>- - - - - - - Descending branch of the lateral femoral circumflex artery</x:t>
  </x:si>
  <x:si>
    <x:t>http://id.who.int/icd/entity/988393448</x:t>
  </x:si>
  <x:si>
    <x:t>http://id.who.int/icd/release/11/beta/ichi/988393448</x:t>
  </x:si>
  <x:si>
    <x:t>- - - - - - - Descending branch of the Medial femoral circumflex artery</x:t>
  </x:si>
  <x:si>
    <x:t>http://id.who.int/icd/entity/918712255</x:t>
  </x:si>
  <x:si>
    <x:t>http://id.who.int/icd/release/11/beta/ichi/918712255</x:t>
  </x:si>
  <x:si>
    <x:t>- - - - - - - Descending genicular artery</x:t>
  </x:si>
  <x:si>
    <x:t>http://id.who.int/icd/entity/1121366784</x:t>
  </x:si>
  <x:si>
    <x:t>http://id.who.int/icd/release/11/beta/ichi/1121366784</x:t>
  </x:si>
  <x:si>
    <x:t>- - - - - - - Dorsalis pedis artery</x:t>
  </x:si>
  <x:si>
    <x:t>http://id.who.int/icd/entity/1425146193</x:t>
  </x:si>
  <x:si>
    <x:t>http://id.who.int/icd/release/11/beta/ichi/1425146193</x:t>
  </x:si>
  <x:si>
    <x:t>- - - - - - - Femoral artery</x:t>
  </x:si>
  <x:si>
    <x:t>http://id.who.int/icd/entity/655330496</x:t>
  </x:si>
  <x:si>
    <x:t>http://id.who.int/icd/release/11/beta/ichi/655330496</x:t>
  </x:si>
  <x:si>
    <x:t>- - - - - - - Fibular artery</x:t>
  </x:si>
  <x:si>
    <x:t>http://id.who.int/icd/entity/937198040</x:t>
  </x:si>
  <x:si>
    <x:t>http://id.who.int/icd/release/11/beta/ichi/937198040</x:t>
  </x:si>
  <x:si>
    <x:t>- - - - - - - First perforating artery</x:t>
  </x:si>
  <x:si>
    <x:t>http://id.who.int/icd/entity/1008603439</x:t>
  </x:si>
  <x:si>
    <x:t>http://id.who.int/icd/release/11/beta/ichi/1008603439</x:t>
  </x:si>
  <x:si>
    <x:t>- - - - - - - Lateral femoral circumflex artery</x:t>
  </x:si>
  <x:si>
    <x:t>http://id.who.int/icd/entity/1567239247</x:t>
  </x:si>
  <x:si>
    <x:t>http://id.who.int/icd/release/11/beta/ichi/1567239247</x:t>
  </x:si>
  <x:si>
    <x:t>- - - - - - - Lateral inferior genicular artery</x:t>
  </x:si>
  <x:si>
    <x:t>http://id.who.int/icd/entity/1209595240</x:t>
  </x:si>
  <x:si>
    <x:t>http://id.who.int/icd/release/11/beta/ichi/1209595240</x:t>
  </x:si>
  <x:si>
    <x:t>- - - - - - - Medial femoral circumflex artery</x:t>
  </x:si>
  <x:si>
    <x:t>http://id.who.int/icd/entity/1423980633</x:t>
  </x:si>
  <x:si>
    <x:t>http://id.who.int/icd/release/11/beta/ichi/1423980633</x:t>
  </x:si>
  <x:si>
    <x:t>- - - - - - - Medial inferior genicular artery</x:t>
  </x:si>
  <x:si>
    <x:t>http://id.who.int/icd/entity/708485760</x:t>
  </x:si>
  <x:si>
    <x:t>http://id.who.int/icd/release/11/beta/ichi/708485760</x:t>
  </x:si>
  <x:si>
    <x:t>- - - - - - - Medial plantar artery</x:t>
  </x:si>
  <x:si>
    <x:t>http://id.who.int/icd/entity/2005262311</x:t>
  </x:si>
  <x:si>
    <x:t>http://id.who.int/icd/release/11/beta/ichi/2005262311</x:t>
  </x:si>
  <x:si>
    <x:t>- - - - - - - Middle genicular artery</x:t>
  </x:si>
  <x:si>
    <x:t>http://id.who.int/icd/entity/1225136897</x:t>
  </x:si>
  <x:si>
    <x:t>http://id.who.int/icd/release/11/beta/ichi/1225136897</x:t>
  </x:si>
  <x:si>
    <x:t>- - - - - - - Muscular branches of the anterior tibial artery</x:t>
  </x:si>
  <x:si>
    <x:t>http://id.who.int/icd/entity/1144206655</x:t>
  </x:si>
  <x:si>
    <x:t>http://id.who.int/icd/release/11/beta/ichi/1144206655</x:t>
  </x:si>
  <x:si>
    <x:t>- - - - - - - Musculo-articular branch of the Descending genicular artery</x:t>
  </x:si>
  <x:si>
    <x:t>http://id.who.int/icd/entity/552920344</x:t>
  </x:si>
  <x:si>
    <x:t>http://id.who.int/icd/release/11/beta/ichi/552920344</x:t>
  </x:si>
  <x:si>
    <x:t>- - - - - - - Perforating artery</x:t>
  </x:si>
  <x:si>
    <x:t>http://id.who.int/icd/entity/157238592</x:t>
  </x:si>
  <x:si>
    <x:t>http://id.who.int/icd/release/11/beta/ichi/157238592</x:t>
  </x:si>
  <x:si>
    <x:t>- - - - - - - Perforating branch of the fibular artery to the posterior tibial artery</x:t>
  </x:si>
  <x:si>
    <x:t>http://id.who.int/icd/entity/1394299391</x:t>
  </x:si>
  <x:si>
    <x:t>http://id.who.int/icd/release/11/beta/ichi/1394299391</x:t>
  </x:si>
  <x:si>
    <x:t>- - - - - - - Popliteal artery</x:t>
  </x:si>
  <x:si>
    <x:t>http://id.who.int/icd/entity/762731602</x:t>
  </x:si>
  <x:si>
    <x:t>http://id.who.int/icd/release/11/beta/ichi/762731602</x:t>
  </x:si>
  <x:si>
    <x:t>- - - - - - - Posterior humeral circumflex artery</x:t>
  </x:si>
  <x:si>
    <x:t>http://id.who.int/icd/entity/1442764352</x:t>
  </x:si>
  <x:si>
    <x:t>http://id.who.int/icd/release/11/beta/ichi/1442764352</x:t>
  </x:si>
  <x:si>
    <x:t>- - - - - - - Posterior tibial artery</x:t>
  </x:si>
  <x:si>
    <x:t>http://id.who.int/icd/entity/2102106239</x:t>
  </x:si>
  <x:si>
    <x:t>http://id.who.int/icd/release/11/beta/ichi/2102106239</x:t>
  </x:si>
  <x:si>
    <x:t>- - - - - - - Posterior tibial recurrent artery</x:t>
  </x:si>
  <x:si>
    <x:t>http://id.who.int/icd/entity/568986495</x:t>
  </x:si>
  <x:si>
    <x:t>http://id.who.int/icd/release/11/beta/ichi/568986495</x:t>
  </x:si>
  <x:si>
    <x:t>- - - - - - - Saphenous branch of the Descending genicular artery</x:t>
  </x:si>
  <x:si>
    <x:t>http://id.who.int/icd/entity/412263999</x:t>
  </x:si>
  <x:si>
    <x:t>http://id.who.int/icd/release/11/beta/ichi/412263999</x:t>
  </x:si>
  <x:si>
    <x:t>- - - - - - - Second perforating artery</x:t>
  </x:si>
  <x:si>
    <x:t>http://id.who.int/icd/entity/767675176</x:t>
  </x:si>
  <x:si>
    <x:t>http://id.who.int/icd/release/11/beta/ichi/767675176</x:t>
  </x:si>
  <x:si>
    <x:t>- - - - - - - Superficial branch of the descending branch of the Medial femoral circumflex artery</x:t>
  </x:si>
  <x:si>
    <x:t>http://id.who.int/icd/entity/1507137127</x:t>
  </x:si>
  <x:si>
    <x:t>http://id.who.int/icd/release/11/beta/ichi/1507137127</x:t>
  </x:si>
  <x:si>
    <x:t>- - - - - - - Superficial branch of the lateral superior genicular artery</x:t>
  </x:si>
  <x:si>
    <x:t>http://id.who.int/icd/entity/308076967</x:t>
  </x:si>
  <x:si>
    <x:t>http://id.who.int/icd/release/11/beta/ichi/308076967</x:t>
  </x:si>
  <x:si>
    <x:t>- - - - - - - Sural artery</x:t>
  </x:si>
  <x:si>
    <x:t>http://id.who.int/icd/entity/263897855</x:t>
  </x:si>
  <x:si>
    <x:t>http://id.who.int/icd/release/11/beta/ichi/263897855</x:t>
  </x:si>
  <x:si>
    <x:t>- - - - - - - Third or fourth perforating artery</x:t>
  </x:si>
  <x:si>
    <x:t>http://id.who.int/icd/entity/1902139432</x:t>
  </x:si>
  <x:si>
    <x:t>http://id.who.int/icd/release/11/beta/ichi/1902139432</x:t>
  </x:si>
  <x:si>
    <x:t>- - - - - - - Transverse branch of the lateral femoral circumflex artery</x:t>
  </x:si>
  <x:si>
    <x:t>http://id.who.int/icd/entity/1024640576</x:t>
  </x:si>
  <x:si>
    <x:t>http://id.who.int/icd/release/11/beta/ichi/1024640576</x:t>
  </x:si>
  <x:si>
    <x:t>- - - - - - - Lateral plantar artery</x:t>
  </x:si>
  <x:si>
    <x:t>http://id.who.int/icd/entity/1731329088</x:t>
  </x:si>
  <x:si>
    <x:t>http://id.who.int/icd/release/11/beta/ichi/1731329088</x:t>
  </x:si>
  <x:si>
    <x:t>- - - - - - - Common femoral artery</x:t>
  </x:si>
  <x:si>
    <x:t>http://id.who.int/icd/entity/1693767745</x:t>
  </x:si>
  <x:si>
    <x:t>http://id.who.int/icd/release/11/beta/ichi/1693767745</x:t>
  </x:si>
  <x:si>
    <x:t>- - - - - - Afferent arteriole of the interlobular artery</x:t>
  </x:si>
  <x:si>
    <x:t>http://id.who.int/icd/entity/1480916274</x:t>
  </x:si>
  <x:si>
    <x:t>http://id.who.int/icd/release/11/beta/ichi/1480916274</x:t>
  </x:si>
  <x:si>
    <x:t>- - - - - - Aorta</x:t>
  </x:si>
  <x:si>
    <x:t>http://id.who.int/icd/entity/1332517362</x:t>
  </x:si>
  <x:si>
    <x:t>http://id.who.int/icd/release/11/beta/ichi/1332517362</x:t>
  </x:si>
  <x:si>
    <x:t>- - - - - - - Thoracoabdominal aorta</x:t>
  </x:si>
  <x:si>
    <x:t>http://id.who.int/icd/entity/662735246</x:t>
  </x:si>
  <x:si>
    <x:t>http://id.who.int/icd/release/11/beta/ichi/662735246</x:t>
  </x:si>
  <x:si>
    <x:t>- - - - - - - Ascending aorta</x:t>
  </x:si>
  <x:si>
    <x:t>http://id.who.int/icd/entity/1433522958</x:t>
  </x:si>
  <x:si>
    <x:t>http://id.who.int/icd/release/11/beta/ichi/1433522958</x:t>
  </x:si>
  <x:si>
    <x:t>- - - - - - - Arch of the aorta</x:t>
  </x:si>
  <x:si>
    <x:t>http://id.who.int/icd/entity/816377166</x:t>
  </x:si>
  <x:si>
    <x:t>http://id.who.int/icd/release/11/beta/ichi/816377166</x:t>
  </x:si>
  <x:si>
    <x:t>- - - - - - - - Aortic body</x:t>
  </x:si>
  <x:si>
    <x:t>http://id.who.int/icd/entity/1113176014</x:t>
  </x:si>
  <x:si>
    <x:t>http://id.who.int/icd/release/11/beta/ichi/1113176014</x:t>
  </x:si>
  <x:si>
    <x:t>- - - - - - - Descending aorta</x:t>
  </x:si>
  <x:si>
    <x:t>http://id.who.int/icd/entity/832846369</x:t>
  </x:si>
  <x:si>
    <x:t>http://id.who.int/icd/release/11/beta/ichi/832846369</x:t>
  </x:si>
  <x:si>
    <x:t>- - - - - Veins</x:t>
  </x:si>
  <x:si>
    <x:t>http://id.who.int/icd/entity/821283472</x:t>
  </x:si>
  <x:si>
    <x:t>http://id.who.int/icd/release/11/beta/ichi/821283472</x:t>
  </x:si>
  <x:si>
    <x:t>- - - - - - Vein of head, face, and neck</x:t>
  </x:si>
  <x:si>
    <x:t>64</x:t>
  </x:si>
  <x:si>
    <x:t>http://id.who.int/icd/entity/1758273808</x:t>
  </x:si>
  <x:si>
    <x:t>http://id.who.int/icd/release/11/beta/ichi/1758273808</x:t>
  </x:si>
  <x:si>
    <x:t>- - - - - - - Cortical vein</x:t>
  </x:si>
  <x:si>
    <x:t>http://id.who.int/icd/entity/313033185</x:t>
  </x:si>
  <x:si>
    <x:t>http://id.who.int/icd/release/11/beta/ichi/313033185</x:t>
  </x:si>
  <x:si>
    <x:t>- - - - - - - Basal vein</x:t>
  </x:si>
  <x:si>
    <x:t>http://id.who.int/icd/entity/798717647</x:t>
  </x:si>
  <x:si>
    <x:t>http://id.who.int/icd/release/11/beta/ichi/798717647</x:t>
  </x:si>
  <x:si>
    <x:t>- - - - - - - Alveolar vein</x:t>
  </x:si>
  <x:si>
    <x:t>http://id.who.int/icd/entity/218009969</x:t>
  </x:si>
  <x:si>
    <x:t>http://id.who.int/icd/release/11/beta/ichi/218009969</x:t>
  </x:si>
  <x:si>
    <x:t>- - - - - - - Angular vein</x:t>
  </x:si>
  <x:si>
    <x:t>http://id.who.int/icd/entity/56488104</x:t>
  </x:si>
  <x:si>
    <x:t>http://id.who.int/icd/release/11/beta/ichi/56488104</x:t>
  </x:si>
  <x:si>
    <x:t>- - - - - - - Temporal vein</x:t>
  </x:si>
  <x:si>
    <x:t>http://id.who.int/icd/entity/1748582744</x:t>
  </x:si>
  <x:si>
    <x:t>http://id.who.int/icd/release/11/beta/ichi/1748582744</x:t>
  </x:si>
  <x:si>
    <x:t>- - - - - - - - Deep anterior temporal vein</x:t>
  </x:si>
  <x:si>
    <x:t>http://id.who.int/icd/entity/433948256</x:t>
  </x:si>
  <x:si>
    <x:t>http://id.who.int/icd/release/11/beta/ichi/433948256</x:t>
  </x:si>
  <x:si>
    <x:t>- - - - - - - - Middle temporal vein</x:t>
  </x:si>
  <x:si>
    <x:t>http://id.who.int/icd/entity/692478792</x:t>
  </x:si>
  <x:si>
    <x:t>http://id.who.int/icd/release/11/beta/ichi/692478792</x:t>
  </x:si>
  <x:si>
    <x:t>- - - - - - - - Deep posterior temporal vein</x:t>
  </x:si>
  <x:si>
    <x:t>http://id.who.int/icd/entity/1078000919</x:t>
  </x:si>
  <x:si>
    <x:t>http://id.who.int/icd/release/11/beta/ichi/1078000919</x:t>
  </x:si>
  <x:si>
    <x:t>- - - - - - - - Superficial temporal vein</x:t>
  </x:si>
  <x:si>
    <x:t>http://id.who.int/icd/entity/735063201</x:t>
  </x:si>
  <x:si>
    <x:t>http://id.who.int/icd/release/11/beta/ichi/735063201</x:t>
  </x:si>
  <x:si>
    <x:t>- - - - - - - Basilar plexus</x:t>
  </x:si>
  <x:si>
    <x:t>http://id.who.int/icd/entity/1616501601</x:t>
  </x:si>
  <x:si>
    <x:t>http://id.who.int/icd/release/11/beta/ichi/1616501601</x:t>
  </x:si>
  <x:si>
    <x:t>- - - - - - - Buccinator vein</x:t>
  </x:si>
  <x:si>
    <x:t>http://id.who.int/icd/entity/1819417400</x:t>
  </x:si>
  <x:si>
    <x:t>http://id.who.int/icd/release/11/beta/ichi/1819417400</x:t>
  </x:si>
  <x:si>
    <x:t>- - - - - - - Cerebellar vein</x:t>
  </x:si>
  <x:si>
    <x:t>http://id.who.int/icd/entity/1094143760</x:t>
  </x:si>
  <x:si>
    <x:t>http://id.who.int/icd/release/11/beta/ichi/1094143760</x:t>
  </x:si>
  <x:si>
    <x:t>- - - - - - - - Inferior cerebellar vein</x:t>
  </x:si>
  <x:si>
    <x:t>http://id.who.int/icd/entity/850503575</x:t>
  </x:si>
  <x:si>
    <x:t>http://id.who.int/icd/release/11/beta/ichi/850503575</x:t>
  </x:si>
  <x:si>
    <x:t>- - - - - - - - Superior cerebellar vein</x:t>
  </x:si>
  <x:si>
    <x:t>http://id.who.int/icd/entity/1426765432</x:t>
  </x:si>
  <x:si>
    <x:t>http://id.who.int/icd/release/11/beta/ichi/1426765432</x:t>
  </x:si>
  <x:si>
    <x:t>- - - - - - - Cerebral vein</x:t>
  </x:si>
  <x:si>
    <x:t>http://id.who.int/icd/entity/1586221503</x:t>
  </x:si>
  <x:si>
    <x:t>http://id.who.int/icd/release/11/beta/ichi/1586221503</x:t>
  </x:si>
  <x:si>
    <x:t>- - - - - - - - Internal cerebral vein</x:t>
  </x:si>
  <x:si>
    <x:t>http://id.who.int/icd/entity/795809417</x:t>
  </x:si>
  <x:si>
    <x:t>http://id.who.int/icd/release/11/beta/ichi/795809417</x:t>
  </x:si>
  <x:si>
    <x:t>- - - - - - - - Deep middle cerebral vein</x:t>
  </x:si>
  <x:si>
    <x:t>http://id.who.int/icd/entity/2018501200</x:t>
  </x:si>
  <x:si>
    <x:t>http://id.who.int/icd/release/11/beta/ichi/2018501200</x:t>
  </x:si>
  <x:si>
    <x:t>- - - - - - - - Inferior cerebral Vein</x:t>
  </x:si>
  <x:si>
    <x:t>http://id.who.int/icd/entity/1781674631</x:t>
  </x:si>
  <x:si>
    <x:t>http://id.who.int/icd/release/11/beta/ichi/1781674631</x:t>
  </x:si>
  <x:si>
    <x:t>- - - - - - - - Middle cerebral vein</x:t>
  </x:si>
  <x:si>
    <x:t>http://id.who.int/icd/entity/1964216336</x:t>
  </x:si>
  <x:si>
    <x:t>http://id.who.int/icd/release/11/beta/ichi/1964216336</x:t>
  </x:si>
  <x:si>
    <x:t>- - - - - - - - Superficial middle cerebral vein</x:t>
  </x:si>
  <x:si>
    <x:t>http://id.who.int/icd/entity/630834007</x:t>
  </x:si>
  <x:si>
    <x:t>http://id.who.int/icd/release/11/beta/ichi/630834007</x:t>
  </x:si>
  <x:si>
    <x:t>- - - - - - - - Superior cerebral vein</x:t>
  </x:si>
  <x:si>
    <x:t>http://id.who.int/icd/entity/1784377081</x:t>
  </x:si>
  <x:si>
    <x:t>http://id.who.int/icd/release/11/beta/ichi/1784377081</x:t>
  </x:si>
  <x:si>
    <x:t>- - - - - - - - Small anterior cerebral vein</x:t>
  </x:si>
  <x:si>
    <x:t>http://id.who.int/icd/entity/1072551383</x:t>
  </x:si>
  <x:si>
    <x:t>http://id.who.int/icd/release/11/beta/ichi/1072551383</x:t>
  </x:si>
  <x:si>
    <x:t>- - - - - - - - Great cerebral vein</x:t>
  </x:si>
  <x:si>
    <x:t>http://id.who.int/icd/entity/1109578424</x:t>
  </x:si>
  <x:si>
    <x:t>http://id.who.int/icd/release/11/beta/ichi/1109578424</x:t>
  </x:si>
  <x:si>
    <x:t>- - - - - - - Choroid vein</x:t>
  </x:si>
  <x:si>
    <x:t>http://id.who.int/icd/entity/1184753808</x:t>
  </x:si>
  <x:si>
    <x:t>http://id.who.int/icd/release/11/beta/ichi/1184753808</x:t>
  </x:si>
  <x:si>
    <x:t>- - - - - - - Cricothyroid vein</x:t>
  </x:si>
  <x:si>
    <x:t>http://id.who.int/icd/entity/1570655241</x:t>
  </x:si>
  <x:si>
    <x:t>http://id.who.int/icd/release/11/beta/ichi/1570655241</x:t>
  </x:si>
  <x:si>
    <x:t>- - - - - - - Deep cervical vein</x:t>
  </x:si>
  <x:si>
    <x:t>http://id.who.int/icd/entity/1864659390</x:t>
  </x:si>
  <x:si>
    <x:t>http://id.who.int/icd/release/11/beta/ichi/1864659390</x:t>
  </x:si>
  <x:si>
    <x:t>- - - - - - - Diploic vein</x:t>
  </x:si>
  <x:si>
    <x:t>http://id.who.int/icd/entity/2031287065</x:t>
  </x:si>
  <x:si>
    <x:t>http://id.who.int/icd/release/11/beta/ichi/2031287065</x:t>
  </x:si>
  <x:si>
    <x:t>- - - - - - - - Frontal diploic vein</x:t>
  </x:si>
  <x:si>
    <x:t>http://id.who.int/icd/entity/571597894</x:t>
  </x:si>
  <x:si>
    <x:t>http://id.who.int/icd/release/11/beta/ichi/571597894</x:t>
  </x:si>
  <x:si>
    <x:t>- - - - - - - - Anterior temporal diploic vein</x:t>
  </x:si>
  <x:si>
    <x:t>http://id.who.int/icd/entity/494829520</x:t>
  </x:si>
  <x:si>
    <x:t>http://id.who.int/icd/release/11/beta/ichi/494829520</x:t>
  </x:si>
  <x:si>
    <x:t>- - - - - - - - Posterior temporal diploic vein</x:t>
  </x:si>
  <x:si>
    <x:t>http://id.who.int/icd/entity/1503060311</x:t>
  </x:si>
  <x:si>
    <x:t>http://id.who.int/icd/release/11/beta/ichi/1503060311</x:t>
  </x:si>
  <x:si>
    <x:t>- - - - - - - - Occipital diploic vein</x:t>
  </x:si>
  <x:si>
    <x:t>http://id.who.int/icd/entity/283116802</x:t>
  </x:si>
  <x:si>
    <x:t>http://id.who.int/icd/release/11/beta/ichi/283116802</x:t>
  </x:si>
  <x:si>
    <x:t>- - - - - - - Emissary vein of the foramen of Vesalius</x:t>
  </x:si>
  <x:si>
    <x:t>http://id.who.int/icd/entity/615351934</x:t>
  </x:si>
  <x:si>
    <x:t>http://id.who.int/icd/release/11/beta/ichi/615351934</x:t>
  </x:si>
  <x:si>
    <x:t>- - - - - - - Emissary Vein</x:t>
  </x:si>
  <x:si>
    <x:t>http://id.who.int/icd/entity/591714000</x:t>
  </x:si>
  <x:si>
    <x:t>http://id.who.int/icd/release/11/beta/ichi/591714000</x:t>
  </x:si>
  <x:si>
    <x:t>- - - - - - - - Condyloid emissary vein</x:t>
  </x:si>
  <x:si>
    <x:t>http://id.who.int/icd/entity/912714704</x:t>
  </x:si>
  <x:si>
    <x:t>http://id.who.int/icd/release/11/beta/ichi/912714704</x:t>
  </x:si>
  <x:si>
    <x:t>- - - - - - - - Occipital emissary vein</x:t>
  </x:si>
  <x:si>
    <x:t>http://id.who.int/icd/entity/107026641</x:t>
  </x:si>
  <x:si>
    <x:t>http://id.who.int/icd/release/11/beta/ichi/107026641</x:t>
  </x:si>
  <x:si>
    <x:t>- - - - - - - - Mastoid emissary vein</x:t>
  </x:si>
  <x:si>
    <x:t>http://id.who.int/icd/entity/811867982</x:t>
  </x:si>
  <x:si>
    <x:t>http://id.who.int/icd/release/11/beta/ichi/811867982</x:t>
  </x:si>
  <x:si>
    <x:t>- - - - - - - - Parietal emissary vein</x:t>
  </x:si>
  <x:si>
    <x:t>http://id.who.int/icd/entity/1849335769</x:t>
  </x:si>
  <x:si>
    <x:t>http://id.who.int/icd/release/11/beta/ichi/1849335769</x:t>
  </x:si>
  <x:si>
    <x:t>- - - - - - - Frontal vein</x:t>
  </x:si>
  <x:si>
    <x:t>http://id.who.int/icd/entity/1952719383</x:t>
  </x:si>
  <x:si>
    <x:t>http://id.who.int/icd/release/11/beta/ichi/1952719383</x:t>
  </x:si>
  <x:si>
    <x:t>- - - - - - - Frontal venous lacunae</x:t>
  </x:si>
  <x:si>
    <x:t>http://id.who.int/icd/entity/684044567</x:t>
  </x:si>
  <x:si>
    <x:t>http://id.who.int/icd/release/11/beta/ichi/684044567</x:t>
  </x:si>
  <x:si>
    <x:t>- - - - - - - Great anastomotic vein of Trolard</x:t>
  </x:si>
  <x:si>
    <x:t>http://id.who.int/icd/entity/337430552</x:t>
  </x:si>
  <x:si>
    <x:t>http://id.who.int/icd/release/11/beta/ichi/337430552</x:t>
  </x:si>
  <x:si>
    <x:t>- - - - - - - Inferior striate vein</x:t>
  </x:si>
  <x:si>
    <x:t>http://id.who.int/icd/entity/2112763393</x:t>
  </x:si>
  <x:si>
    <x:t>http://id.who.int/icd/release/11/beta/ichi/2112763393</x:t>
  </x:si>
  <x:si>
    <x:t>- - - - - - - Maxillary vein</x:t>
  </x:si>
  <x:si>
    <x:t>http://id.who.int/icd/entity/1103310664</x:t>
  </x:si>
  <x:si>
    <x:t>http://id.who.int/icd/release/11/beta/ichi/1103310664</x:t>
  </x:si>
  <x:si>
    <x:t>- - - - - - - Laryngeal vein</x:t>
  </x:si>
  <x:si>
    <x:t>http://id.who.int/icd/entity/162447416</x:t>
  </x:si>
  <x:si>
    <x:t>http://id.who.int/icd/release/11/beta/ichi/162447416</x:t>
  </x:si>
  <x:si>
    <x:t>- - - - - - - - Inferior laryngeal vein</x:t>
  </x:si>
  <x:si>
    <x:t>http://id.who.int/icd/entity/906927551</x:t>
  </x:si>
  <x:si>
    <x:t>http://id.who.int/icd/release/11/beta/ichi/906927551</x:t>
  </x:si>
  <x:si>
    <x:t>- - - - - - - - Superior laryngeal vein</x:t>
  </x:si>
  <x:si>
    <x:t>http://id.who.int/icd/entity/290028561</x:t>
  </x:si>
  <x:si>
    <x:t>http://id.who.int/icd/release/11/beta/ichi/290028561</x:t>
  </x:si>
  <x:si>
    <x:t>- - - - - - - Masseteric vein</x:t>
  </x:si>
  <x:si>
    <x:t>http://id.who.int/icd/entity/1058649489</x:t>
  </x:si>
  <x:si>
    <x:t>http://id.who.int/icd/release/11/beta/ichi/1058649489</x:t>
  </x:si>
  <x:si>
    <x:t>- - - - - - - Lingual vein</x:t>
  </x:si>
  <x:si>
    <x:t>http://id.who.int/icd/entity/1230492985</x:t>
  </x:si>
  <x:si>
    <x:t>http://id.who.int/icd/release/11/beta/ichi/1230492985</x:t>
  </x:si>
  <x:si>
    <x:t>- - - - - - - Meningeal vein</x:t>
  </x:si>
  <x:si>
    <x:t>http://id.who.int/icd/entity/1572141307</x:t>
  </x:si>
  <x:si>
    <x:t>http://id.who.int/icd/release/11/beta/ichi/1572141307</x:t>
  </x:si>
  <x:si>
    <x:t>- - - - - - - - Anterior meningeal vein</x:t>
  </x:si>
  <x:si>
    <x:t>http://id.who.int/icd/entity/1798102240</x:t>
  </x:si>
  <x:si>
    <x:t>http://id.who.int/icd/release/11/beta/ichi/1798102240</x:t>
  </x:si>
  <x:si>
    <x:t>- - - - - - - - Middle meningeal vein</x:t>
  </x:si>
  <x:si>
    <x:t>http://id.who.int/icd/entity/272551432</x:t>
  </x:si>
  <x:si>
    <x:t>http://id.who.int/icd/release/11/beta/ichi/272551432</x:t>
  </x:si>
  <x:si>
    <x:t>- - - - - - - - Posterior meningeal vein</x:t>
  </x:si>
  <x:si>
    <x:t>http://id.who.int/icd/entity/2009475287</x:t>
  </x:si>
  <x:si>
    <x:t>http://id.who.int/icd/release/11/beta/ichi/2009475287</x:t>
  </x:si>
  <x:si>
    <x:t>- - - - - - - Occipital vein</x:t>
  </x:si>
  <x:si>
    <x:t>http://id.who.int/icd/entity/1626229783</x:t>
  </x:si>
  <x:si>
    <x:t>http://id.who.int/icd/release/11/beta/ichi/1626229783</x:t>
  </x:si>
  <x:si>
    <x:t>- - - - - - - Occipital venous lacunae</x:t>
  </x:si>
  <x:si>
    <x:t>http://id.who.int/icd/entity/87519831</x:t>
  </x:si>
  <x:si>
    <x:t>http://id.who.int/icd/release/11/beta/ichi/87519831</x:t>
  </x:si>
  <x:si>
    <x:t>- - - - - - - Ophthalmic vein</x:t>
  </x:si>
  <x:si>
    <x:t>http://id.who.int/icd/entity/408835135</x:t>
  </x:si>
  <x:si>
    <x:t>http://id.who.int/icd/release/11/beta/ichi/408835135</x:t>
  </x:si>
  <x:si>
    <x:t>- - - - - - - - Superior ophthalmic vein</x:t>
  </x:si>
  <x:si>
    <x:t>http://id.who.int/icd/entity/2096158824</x:t>
  </x:si>
  <x:si>
    <x:t>http://id.who.int/icd/release/11/beta/ichi/2096158824</x:t>
  </x:si>
  <x:si>
    <x:t>- - - - - - - - Inferior ophthalmic vein</x:t>
  </x:si>
  <x:si>
    <x:t>http://id.who.int/icd/entity/1011867415</x:t>
  </x:si>
  <x:si>
    <x:t>http://id.who.int/icd/release/11/beta/ichi/1011867415</x:t>
  </x:si>
  <x:si>
    <x:t>- - - - - - - Palatine vein</x:t>
  </x:si>
  <x:si>
    <x:t>http://id.who.int/icd/entity/152875534</x:t>
  </x:si>
  <x:si>
    <x:t>http://id.who.int/icd/release/11/beta/ichi/152875534</x:t>
  </x:si>
  <x:si>
    <x:t>- - - - - - - Parietal venous lacunae</x:t>
  </x:si>
  <x:si>
    <x:t>http://id.who.int/icd/entity/506779342</x:t>
  </x:si>
  <x:si>
    <x:t>http://id.who.int/icd/release/11/beta/ichi/506779342</x:t>
  </x:si>
  <x:si>
    <x:t>- - - - - - - Parotid vein</x:t>
  </x:si>
  <x:si>
    <x:t>http://id.who.int/icd/entity/1860457681</x:t>
  </x:si>
  <x:si>
    <x:t>http://id.who.int/icd/release/11/beta/ichi/1860457681</x:t>
  </x:si>
  <x:si>
    <x:t>- - - - - - - Pharyngeal vein</x:t>
  </x:si>
  <x:si>
    <x:t>http://id.who.int/icd/entity/188574353</x:t>
  </x:si>
  <x:si>
    <x:t>http://id.who.int/icd/release/11/beta/ichi/188574353</x:t>
  </x:si>
  <x:si>
    <x:t>- - - - - - - Posterior anastomotic vein of Labbé</x:t>
  </x:si>
  <x:si>
    <x:t>http://id.who.int/icd/entity/1451366392</x:t>
  </x:si>
  <x:si>
    <x:t>http://id.who.int/icd/release/11/beta/ichi/1451366392</x:t>
  </x:si>
  <x:si>
    <x:t>- - - - - - - Pterygoid venous plexus</x:t>
  </x:si>
  <x:si>
    <x:t>http://id.who.int/icd/entity/1735278791</x:t>
  </x:si>
  <x:si>
    <x:t>http://id.who.int/icd/release/11/beta/ichi/1735278791</x:t>
  </x:si>
  <x:si>
    <x:t>- - - - - - - Sphenopalatine vein</x:t>
  </x:si>
  <x:si>
    <x:t>http://id.who.int/icd/entity/132303504</x:t>
  </x:si>
  <x:si>
    <x:t>http://id.who.int/icd/release/11/beta/ichi/132303504</x:t>
  </x:si>
  <x:si>
    <x:t>- - - - - - - Stylomastoid vein</x:t>
  </x:si>
  <x:si>
    <x:t>http://id.who.int/icd/entity/301919079</x:t>
  </x:si>
  <x:si>
    <x:t>http://id.who.int/icd/release/11/beta/ichi/301919079</x:t>
  </x:si>
  <x:si>
    <x:t>- - - - - - - Sublingual vein</x:t>
  </x:si>
  <x:si>
    <x:t>http://id.who.int/icd/entity/1282096464</x:t>
  </x:si>
  <x:si>
    <x:t>http://id.who.int/icd/release/11/beta/ichi/1282096464</x:t>
  </x:si>
  <x:si>
    <x:t>- - - - - - - Submaxillary vein</x:t>
  </x:si>
  <x:si>
    <x:t>http://id.who.int/icd/entity/1531140496</x:t>
  </x:si>
  <x:si>
    <x:t>http://id.who.int/icd/release/11/beta/ichi/1531140496</x:t>
  </x:si>
  <x:si>
    <x:t>- - - - - - - Submental vein</x:t>
  </x:si>
  <x:si>
    <x:t>http://id.who.int/icd/entity/975527400</x:t>
  </x:si>
  <x:si>
    <x:t>http://id.who.int/icd/release/11/beta/ichi/975527400</x:t>
  </x:si>
  <x:si>
    <x:t>- - - - - - - Terminal vein</x:t>
  </x:si>
  <x:si>
    <x:t>http://id.who.int/icd/entity/1413411665</x:t>
  </x:si>
  <x:si>
    <x:t>http://id.who.int/icd/release/11/beta/ichi/1413411665</x:t>
  </x:si>
  <x:si>
    <x:t>- - - - - - - Tracheal vein</x:t>
  </x:si>
  <x:si>
    <x:t>http://id.who.int/icd/entity/1125554065</x:t>
  </x:si>
  <x:si>
    <x:t>http://id.who.int/icd/release/11/beta/ichi/1125554065</x:t>
  </x:si>
  <x:si>
    <x:t>- - - - - - - Transverse cervical vein</x:t>
  </x:si>
  <x:si>
    <x:t>http://id.who.int/icd/entity/95047279</x:t>
  </x:si>
  <x:si>
    <x:t>http://id.who.int/icd/release/11/beta/ichi/95047279</x:t>
  </x:si>
  <x:si>
    <x:t>- - - - - - - Vein from the tympanic cavity</x:t>
  </x:si>
  <x:si>
    <x:t>http://id.who.int/icd/entity/1984297610</x:t>
  </x:si>
  <x:si>
    <x:t>http://id.who.int/icd/release/11/beta/ichi/1984297610</x:t>
  </x:si>
  <x:si>
    <x:t>- - - - - - - Vein of the ala nasi</x:t>
  </x:si>
  <x:si>
    <x:t>http://id.who.int/icd/entity/78946314</x:t>
  </x:si>
  <x:si>
    <x:t>http://id.who.int/icd/release/11/beta/ichi/78946314</x:t>
  </x:si>
  <x:si>
    <x:t>- - - - - - - Vein of the pterygoid canal</x:t>
  </x:si>
  <x:si>
    <x:t>http://id.who.int/icd/entity/1329420234</x:t>
  </x:si>
  <x:si>
    <x:t>http://id.who.int/icd/release/11/beta/ichi/1329420234</x:t>
  </x:si>
  <x:si>
    <x:t>- - - - - - - Vena comitans of the hypoglossal nerve</x:t>
  </x:si>
  <x:si>
    <x:t>http://id.who.int/icd/entity/2070992054</x:t>
  </x:si>
  <x:si>
    <x:t>http://id.who.int/icd/release/11/beta/ichi/2070992054</x:t>
  </x:si>
  <x:si>
    <x:t>- - - - - - - Venous jugular arch</x:t>
  </x:si>
  <x:si>
    <x:t>http://id.who.int/icd/entity/1333698808</x:t>
  </x:si>
  <x:si>
    <x:t>http://id.who.int/icd/release/11/beta/ichi/1333698808</x:t>
  </x:si>
  <x:si>
    <x:t>- - - - - - - Venous Sinuses</x:t>
  </x:si>
  <x:si>
    <x:t>http://id.who.int/icd/entity/1410619423</x:t>
  </x:si>
  <x:si>
    <x:t>http://id.who.int/icd/release/11/beta/ichi/1410619423</x:t>
  </x:si>
  <x:si>
    <x:t>- - - - - - - - Cavernous sinus</x:t>
  </x:si>
  <x:si>
    <x:t>http://id.who.int/icd/entity/879538704</x:t>
  </x:si>
  <x:si>
    <x:t>http://id.who.int/icd/release/11/beta/ichi/879538704</x:t>
  </x:si>
  <x:si>
    <x:t>- - - - - - - - Confluence of the sinuses</x:t>
  </x:si>
  <x:si>
    <x:t>http://id.who.int/icd/entity/234980072</x:t>
  </x:si>
  <x:si>
    <x:t>http://id.who.int/icd/release/11/beta/ichi/234980072</x:t>
  </x:si>
  <x:si>
    <x:t>- - - - - - - - Inferior petrosal Sinus</x:t>
  </x:si>
  <x:si>
    <x:t>http://id.who.int/icd/entity/930688936</x:t>
  </x:si>
  <x:si>
    <x:t>http://id.who.int/icd/release/11/beta/ichi/930688936</x:t>
  </x:si>
  <x:si>
    <x:t>- - - - - - - - Inferior sagittal sinus</x:t>
  </x:si>
  <x:si>
    <x:t>http://id.who.int/icd/entity/1321108887</x:t>
  </x:si>
  <x:si>
    <x:t>http://id.who.int/icd/release/11/beta/ichi/1321108887</x:t>
  </x:si>
  <x:si>
    <x:t>- - - - - - - - Occipital sinus</x:t>
  </x:si>
  <x:si>
    <x:t>http://id.who.int/icd/entity/922418681</x:t>
  </x:si>
  <x:si>
    <x:t>http://id.who.int/icd/release/11/beta/ichi/922418681</x:t>
  </x:si>
  <x:si>
    <x:t>- - - - - - - - Sigmoid sinus</x:t>
  </x:si>
  <x:si>
    <x:t>http://id.who.int/icd/entity/281718352</x:t>
  </x:si>
  <x:si>
    <x:t>http://id.who.int/icd/release/11/beta/ichi/281718352</x:t>
  </x:si>
  <x:si>
    <x:t>- - - - - - - - Straight sinus</x:t>
  </x:si>
  <x:si>
    <x:t>http://id.who.int/icd/entity/1890731073</x:t>
  </x:si>
  <x:si>
    <x:t>http://id.who.int/icd/release/11/beta/ichi/1890731073</x:t>
  </x:si>
  <x:si>
    <x:t>- - - - - - - - Superior sagittal sinus</x:t>
  </x:si>
  <x:si>
    <x:t>http://id.who.int/icd/entity/1789857471</x:t>
  </x:si>
  <x:si>
    <x:t>http://id.who.int/icd/release/11/beta/ichi/1789857471</x:t>
  </x:si>
  <x:si>
    <x:t>- - - - - - - - Superior petrosal sinus</x:t>
  </x:si>
  <x:si>
    <x:t>http://id.who.int/icd/entity/144662609</x:t>
  </x:si>
  <x:si>
    <x:t>http://id.who.int/icd/release/11/beta/ichi/144662609</x:t>
  </x:si>
  <x:si>
    <x:t>- - - - - - - - Transverse sinus</x:t>
  </x:si>
  <x:si>
    <x:t>http://id.who.int/icd/entity/1883644935</x:t>
  </x:si>
  <x:si>
    <x:t>http://id.who.int/icd/release/11/beta/ichi/1883644935</x:t>
  </x:si>
  <x:si>
    <x:t>- - - - - - - - Sphenoparietal sinus</x:t>
  </x:si>
  <x:si>
    <x:t>http://id.who.int/icd/entity/427070652</x:t>
  </x:si>
  <x:si>
    <x:t>http://id.who.int/icd/release/11/beta/ichi/427070652</x:t>
  </x:si>
  <x:si>
    <x:t>- - - - - - - - Intercavernous sinus</x:t>
  </x:si>
  <x:si>
    <x:t>http://id.who.int/icd/entity/449321944</x:t>
  </x:si>
  <x:si>
    <x:t>http://id.who.int/icd/release/11/beta/ichi/449321944</x:t>
  </x:si>
  <x:si>
    <x:t>- - - - - - - - - Anterior intercavernous sinus</x:t>
  </x:si>
  <x:si>
    <x:t>http://id.who.int/icd/entity/118926024</x:t>
  </x:si>
  <x:si>
    <x:t>http://id.who.int/icd/release/11/beta/ichi/118926024</x:t>
  </x:si>
  <x:si>
    <x:t>- - - - - - - - - Posterior intercavernous sinus</x:t>
  </x:si>
  <x:si>
    <x:t>http://id.who.int/icd/entity/670821624</x:t>
  </x:si>
  <x:si>
    <x:t>http://id.who.int/icd/release/11/beta/ichi/670821624</x:t>
  </x:si>
  <x:si>
    <x:t>- - - - - - - - Circular sinus</x:t>
  </x:si>
  <x:si>
    <x:t>http://id.who.int/icd/entity/2043424785</x:t>
  </x:si>
  <x:si>
    <x:t>http://id.who.int/icd/release/11/beta/ichi/2043424785</x:t>
  </x:si>
  <x:si>
    <x:t>- - - - - - - - Petrosquamous sinus</x:t>
  </x:si>
  <x:si>
    <x:t>http://id.who.int/icd/entity/413807737</x:t>
  </x:si>
  <x:si>
    <x:t>http://id.who.int/icd/release/11/beta/ichi/413807737</x:t>
  </x:si>
  <x:si>
    <x:t>- - - - - - - - Sinus of the dura mater</x:t>
  </x:si>
  <x:si>
    <x:t>http://id.who.int/icd/entity/1370852432</x:t>
  </x:si>
  <x:si>
    <x:t>http://id.who.int/icd/release/11/beta/ichi/1370852432</x:t>
  </x:si>
  <x:si>
    <x:t>- - - - - - - - Cranial venous sinus</x:t>
  </x:si>
  <x:si>
    <x:t>http://id.who.int/icd/entity/423672408</x:t>
  </x:si>
  <x:si>
    <x:t>http://id.who.int/icd/release/11/beta/ichi/423672408</x:t>
  </x:si>
  <x:si>
    <x:t>- - - - - - - Thyroid vein</x:t>
  </x:si>
  <x:si>
    <x:t>http://id.who.int/icd/entity/53783768</x:t>
  </x:si>
  <x:si>
    <x:t>http://id.who.int/icd/release/11/beta/ichi/53783768</x:t>
  </x:si>
  <x:si>
    <x:t>- - - - - - - - Inferior thyroid vein</x:t>
  </x:si>
  <x:si>
    <x:t>http://id.who.int/icd/entity/250995360</x:t>
  </x:si>
  <x:si>
    <x:t>http://id.who.int/icd/release/11/beta/ichi/250995360</x:t>
  </x:si>
  <x:si>
    <x:t>- - - - - - - - Middle thyroid vein</x:t>
  </x:si>
  <x:si>
    <x:t>http://id.who.int/icd/entity/1738154113</x:t>
  </x:si>
  <x:si>
    <x:t>http://id.who.int/icd/release/11/beta/ichi/1738154113</x:t>
  </x:si>
  <x:si>
    <x:t>- - - - - - - - Superior thyroid vein</x:t>
  </x:si>
  <x:si>
    <x:t>http://id.who.int/icd/entity/1463377815</x:t>
  </x:si>
  <x:si>
    <x:t>http://id.who.int/icd/release/11/beta/ichi/1463377815</x:t>
  </x:si>
  <x:si>
    <x:t>- - - - - - - Palpebral vein</x:t>
  </x:si>
  <x:si>
    <x:t>http://id.who.int/icd/entity/1809366184</x:t>
  </x:si>
  <x:si>
    <x:t>http://id.who.int/icd/release/11/beta/ichi/1809366184</x:t>
  </x:si>
  <x:si>
    <x:t>- - - - - - - - Inferior palpebral vein</x:t>
  </x:si>
  <x:si>
    <x:t>http://id.who.int/icd/entity/259404031</x:t>
  </x:si>
  <x:si>
    <x:t>http://id.who.int/icd/release/11/beta/ichi/259404031</x:t>
  </x:si>
  <x:si>
    <x:t>- - - - - - - - Superior palpebral vein</x:t>
  </x:si>
  <x:si>
    <x:t>http://id.who.int/icd/entity/2025554440</x:t>
  </x:si>
  <x:si>
    <x:t>http://id.who.int/icd/release/11/beta/ichi/2025554440</x:t>
  </x:si>
  <x:si>
    <x:t>- - - - - - - - Lateral palpebral vein</x:t>
  </x:si>
  <x:si>
    <x:t>http://id.who.int/icd/entity/644875578</x:t>
  </x:si>
  <x:si>
    <x:t>http://id.who.int/icd/release/11/beta/ichi/644875578</x:t>
  </x:si>
  <x:si>
    <x:t>- - - - - - - Labial vein</x:t>
  </x:si>
  <x:si>
    <x:t>http://id.who.int/icd/entity/1386222056</x:t>
  </x:si>
  <x:si>
    <x:t>http://id.who.int/icd/release/11/beta/ichi/1386222056</x:t>
  </x:si>
  <x:si>
    <x:t>- - - - - - - - Inferior labial vein</x:t>
  </x:si>
  <x:si>
    <x:t>http://id.who.int/icd/entity/1065650601</x:t>
  </x:si>
  <x:si>
    <x:t>http://id.who.int/icd/release/11/beta/ichi/1065650601</x:t>
  </x:si>
  <x:si>
    <x:t>- - - - - - - - Superior labial vein</x:t>
  </x:si>
  <x:si>
    <x:t>http://id.who.int/icd/entity/581343498</x:t>
  </x:si>
  <x:si>
    <x:t>http://id.who.int/icd/release/11/beta/ichi/581343498</x:t>
  </x:si>
  <x:si>
    <x:t>- - - - - - - Auricular vein</x:t>
  </x:si>
  <x:si>
    <x:t>http://id.who.int/icd/entity/467072433</x:t>
  </x:si>
  <x:si>
    <x:t>http://id.who.int/icd/release/11/beta/ichi/467072433</x:t>
  </x:si>
  <x:si>
    <x:t>- - - - - - - - Anterior auricular vein</x:t>
  </x:si>
  <x:si>
    <x:t>http://id.who.int/icd/entity/471141969</x:t>
  </x:si>
  <x:si>
    <x:t>http://id.who.int/icd/release/11/beta/ichi/471141969</x:t>
  </x:si>
  <x:si>
    <x:t>- - - - - - - - Posterior auricular vein</x:t>
  </x:si>
  <x:si>
    <x:t>http://id.who.int/icd/entity/1988439573</x:t>
  </x:si>
  <x:si>
    <x:t>http://id.who.int/icd/release/11/beta/ichi/1988439573</x:t>
  </x:si>
  <x:si>
    <x:t>- - - - - - - Facial vein</x:t>
  </x:si>
  <x:si>
    <x:t>http://id.who.int/icd/entity/598783640</x:t>
  </x:si>
  <x:si>
    <x:t>http://id.who.int/icd/release/11/beta/ichi/598783640</x:t>
  </x:si>
  <x:si>
    <x:t>- - - - - - - - Anterior facial vein</x:t>
  </x:si>
  <x:si>
    <x:t>http://id.who.int/icd/entity/1942914441</x:t>
  </x:si>
  <x:si>
    <x:t>http://id.who.int/icd/release/11/beta/ichi/1942914441</x:t>
  </x:si>
  <x:si>
    <x:t>- - - - - - - - Deep facial vein</x:t>
  </x:si>
  <x:si>
    <x:t>http://id.who.int/icd/entity/511918520</x:t>
  </x:si>
  <x:si>
    <x:t>http://id.who.int/icd/release/11/beta/ichi/511918520</x:t>
  </x:si>
  <x:si>
    <x:t>- - - - - - - - Common facial vein</x:t>
  </x:si>
  <x:si>
    <x:t>http://id.who.int/icd/entity/676891951</x:t>
  </x:si>
  <x:si>
    <x:t>http://id.who.int/icd/release/11/beta/ichi/676891951</x:t>
  </x:si>
  <x:si>
    <x:t>- - - - - - - - Posterior facial vein</x:t>
  </x:si>
  <x:si>
    <x:t>http://id.who.int/icd/entity/2054044369</x:t>
  </x:si>
  <x:si>
    <x:t>http://id.who.int/icd/release/11/beta/ichi/2054044369</x:t>
  </x:si>
  <x:si>
    <x:t>- - - - - - - - Transverse facial vein</x:t>
  </x:si>
  <x:si>
    <x:t>http://id.who.int/icd/entity/204313222</x:t>
  </x:si>
  <x:si>
    <x:t>http://id.who.int/icd/release/11/beta/ichi/204313222</x:t>
  </x:si>
  <x:si>
    <x:t>- - - - - - - Jugular vein</x:t>
  </x:si>
  <x:si>
    <x:t>http://id.who.int/icd/entity/232816408</x:t>
  </x:si>
  <x:si>
    <x:t>http://id.who.int/icd/release/11/beta/ichi/232816408</x:t>
  </x:si>
  <x:si>
    <x:t>- - - - - - - - Anterior jugular vein</x:t>
  </x:si>
  <x:si>
    <x:t>http://id.who.int/icd/entity/1235465599</x:t>
  </x:si>
  <x:si>
    <x:t>http://id.who.int/icd/release/11/beta/ichi/1235465599</x:t>
  </x:si>
  <x:si>
    <x:t>- - - - - - - - Internal jugular vein</x:t>
  </x:si>
  <x:si>
    <x:t>http://id.who.int/icd/entity/1661972967</x:t>
  </x:si>
  <x:si>
    <x:t>http://id.who.int/icd/release/11/beta/ichi/1661972967</x:t>
  </x:si>
  <x:si>
    <x:t>- - - - - - - - External jugular vein</x:t>
  </x:si>
  <x:si>
    <x:t>http://id.who.int/icd/entity/1064364527</x:t>
  </x:si>
  <x:si>
    <x:t>http://id.who.int/icd/release/11/beta/ichi/1064364527</x:t>
  </x:si>
  <x:si>
    <x:t>- - - - - - - - Posterior external jugular vein</x:t>
  </x:si>
  <x:si>
    <x:t>http://id.who.int/icd/entity/304027287</x:t>
  </x:si>
  <x:si>
    <x:t>http://id.who.int/icd/release/11/beta/ichi/304027287</x:t>
  </x:si>
  <x:si>
    <x:t>- - - - - - - Orbital vein</x:t>
  </x:si>
  <x:si>
    <x:t>http://id.who.int/icd/entity/1036782922</x:t>
  </x:si>
  <x:si>
    <x:t>http://id.who.int/icd/release/11/beta/ichi/1036782922</x:t>
  </x:si>
  <x:si>
    <x:t>- - - - - - - Vein of the pericranium</x:t>
  </x:si>
  <x:si>
    <x:t>http://id.who.int/icd/entity/1181321432</x:t>
  </x:si>
  <x:si>
    <x:t>http://id.who.int/icd/release/11/beta/ichi/1181321432</x:t>
  </x:si>
  <x:si>
    <x:t>- - - - - - - Anterior vertebral vein</x:t>
  </x:si>
  <x:si>
    <x:t>http://id.who.int/icd/entity/455251447</x:t>
  </x:si>
  <x:si>
    <x:t>http://id.who.int/icd/release/11/beta/ichi/455251447</x:t>
  </x:si>
  <x:si>
    <x:t>- - - - - - - Deep temporal vein</x:t>
  </x:si>
  <x:si>
    <x:t>http://id.who.int/icd/entity/1298102375</x:t>
  </x:si>
  <x:si>
    <x:t>http://id.who.int/icd/release/11/beta/ichi/1298102375</x:t>
  </x:si>
  <x:si>
    <x:t>- - - - - - - Extraspinal vein</x:t>
  </x:si>
  <x:si>
    <x:t>http://id.who.int/icd/entity/1744010495</x:t>
  </x:si>
  <x:si>
    <x:t>http://id.who.int/icd/release/11/beta/ichi/1744010495</x:t>
  </x:si>
  <x:si>
    <x:t>- - - - - - - Internal auditory vein</x:t>
  </x:si>
  <x:si>
    <x:t>http://id.who.int/icd/entity/1657771144</x:t>
  </x:si>
  <x:si>
    <x:t>http://id.who.int/icd/release/11/beta/ichi/1657771144</x:t>
  </x:si>
  <x:si>
    <x:t>- - - - - - - Pterygoid plexus</x:t>
  </x:si>
  <x:si>
    <x:t>http://id.who.int/icd/entity/1101689656</x:t>
  </x:si>
  <x:si>
    <x:t>http://id.who.int/icd/release/11/beta/ichi/1101689656</x:t>
  </x:si>
  <x:si>
    <x:t>- - - - - - - Pterygoid vein</x:t>
  </x:si>
  <x:si>
    <x:t>http://id.who.int/icd/entity/1406641151</x:t>
  </x:si>
  <x:si>
    <x:t>http://id.who.int/icd/release/11/beta/ichi/1406641151</x:t>
  </x:si>
  <x:si>
    <x:t>- - - - - - - Superior sagittal vein</x:t>
  </x:si>
  <x:si>
    <x:t>http://id.who.int/icd/entity/1482081336</x:t>
  </x:si>
  <x:si>
    <x:t>http://id.who.int/icd/release/11/beta/ichi/1482081336</x:t>
  </x:si>
  <x:si>
    <x:t>- - - - - - - Vertebral vein</x:t>
  </x:si>
  <x:si>
    <x:t>http://id.who.int/icd/entity/1363274776</x:t>
  </x:si>
  <x:si>
    <x:t>http://id.who.int/icd/release/11/beta/ichi/1363274776</x:t>
  </x:si>
  <x:si>
    <x:t>- - - - - - - Anterior vertebral venous plexus</x:t>
  </x:si>
  <x:si>
    <x:t>http://id.who.int/icd/entity/1832356831</x:t>
  </x:si>
  <x:si>
    <x:t>http://id.who.int/icd/release/11/beta/ichi/1832356831</x:t>
  </x:si>
  <x:si>
    <x:t>- - - - - - Vein of thorax</x:t>
  </x:si>
  <x:si>
    <x:t>http://id.who.int/icd/entity/30129999</x:t>
  </x:si>
  <x:si>
    <x:t>http://id.who.int/icd/release/11/beta/ichi/30129999</x:t>
  </x:si>
  <x:si>
    <x:t>- - - - - - - Accessory hemiazygos vein</x:t>
  </x:si>
  <x:si>
    <x:t>http://id.who.int/icd/entity/92333345</x:t>
  </x:si>
  <x:si>
    <x:t>http://id.who.int/icd/release/11/beta/ichi/92333345</x:t>
  </x:si>
  <x:si>
    <x:t>- - - - - - - Azygos vein</x:t>
  </x:si>
  <x:si>
    <x:t>http://id.who.int/icd/entity/130572738</x:t>
  </x:si>
  <x:si>
    <x:t>http://id.who.int/icd/release/11/beta/ichi/130572738</x:t>
  </x:si>
  <x:si>
    <x:t>- - - - - - - Brachiocephalic vein</x:t>
  </x:si>
  <x:si>
    <x:t>http://id.who.int/icd/entity/2003943329</x:t>
  </x:si>
  <x:si>
    <x:t>http://id.who.int/icd/release/11/beta/ichi/2003943329</x:t>
  </x:si>
  <x:si>
    <x:t>- - - - - - - Bronchial vein</x:t>
  </x:si>
  <x:si>
    <x:t>http://id.who.int/icd/entity/1448926462</x:t>
  </x:si>
  <x:si>
    <x:t>http://id.who.int/icd/release/11/beta/ichi/1448926462</x:t>
  </x:si>
  <x:si>
    <x:t>- - - - - - - Diaphragmatic vein</x:t>
  </x:si>
  <x:si>
    <x:t>http://id.who.int/icd/entity/679888423</x:t>
  </x:si>
  <x:si>
    <x:t>http://id.who.int/icd/release/11/beta/ichi/679888423</x:t>
  </x:si>
  <x:si>
    <x:t>- - - - - - - Oesophageal vein</x:t>
  </x:si>
  <x:si>
    <x:t>http://id.who.int/icd/entity/297606231</x:t>
  </x:si>
  <x:si>
    <x:t>http://id.who.int/icd/release/11/beta/ichi/297606231</x:t>
  </x:si>
  <x:si>
    <x:t>- - - - - - - Hemiazygos vein</x:t>
  </x:si>
  <x:si>
    <x:t>http://id.who.int/icd/entity/36324031</x:t>
  </x:si>
  <x:si>
    <x:t>http://id.who.int/icd/release/11/beta/ichi/36324031</x:t>
  </x:si>
  <x:si>
    <x:t>- - - - - - - Innominate vein</x:t>
  </x:si>
  <x:si>
    <x:t>http://id.who.int/icd/entity/1893406783</x:t>
  </x:si>
  <x:si>
    <x:t>http://id.who.int/icd/release/11/beta/ichi/1893406783</x:t>
  </x:si>
  <x:si>
    <x:t>- - - - - - - Intercostal vein</x:t>
  </x:si>
  <x:si>
    <x:t>http://id.who.int/icd/entity/1050306512</x:t>
  </x:si>
  <x:si>
    <x:t>http://id.who.int/icd/release/11/beta/ichi/1050306512</x:t>
  </x:si>
  <x:si>
    <x:t>- - - - - - - Subclavian vein</x:t>
  </x:si>
  <x:si>
    <x:t>http://id.who.int/icd/entity/699532048</x:t>
  </x:si>
  <x:si>
    <x:t>http://id.who.int/icd/release/11/beta/ichi/699532048</x:t>
  </x:si>
  <x:si>
    <x:t>- - - - - - - Subcostal vein</x:t>
  </x:si>
  <x:si>
    <x:t>http://id.who.int/icd/entity/484535831</x:t>
  </x:si>
  <x:si>
    <x:t>http://id.who.int/icd/release/11/beta/ichi/484535831</x:t>
  </x:si>
  <x:si>
    <x:t>- - - - - - - Superior epigastric vein</x:t>
  </x:si>
  <x:si>
    <x:t>http://id.who.int/icd/entity/180271312</x:t>
  </x:si>
  <x:si>
    <x:t>http://id.who.int/icd/release/11/beta/ichi/180271312</x:t>
  </x:si>
  <x:si>
    <x:t>- - - - - - - Superior intercostal vein</x:t>
  </x:si>
  <x:si>
    <x:t>http://id.who.int/icd/entity/1791382209</x:t>
  </x:si>
  <x:si>
    <x:t>http://id.who.int/icd/release/11/beta/ichi/1791382209</x:t>
  </x:si>
  <x:si>
    <x:t>- - - - - - - Internal mammary vein</x:t>
  </x:si>
  <x:si>
    <x:t>http://id.who.int/icd/entity/1833328145</x:t>
  </x:si>
  <x:si>
    <x:t>http://id.who.int/icd/release/11/beta/ichi/1833328145</x:t>
  </x:si>
  <x:si>
    <x:t>- - - - - - - Transverse scapular vein</x:t>
  </x:si>
  <x:si>
    <x:t>http://id.who.int/icd/entity/1648096464</x:t>
  </x:si>
  <x:si>
    <x:t>http://id.who.int/icd/release/11/beta/ichi/1648096464</x:t>
  </x:si>
  <x:si>
    <x:t>- - - - - - - Subscapular vein</x:t>
  </x:si>
  <x:si>
    <x:t>http://id.who.int/icd/entity/241753752</x:t>
  </x:si>
  <x:si>
    <x:t>http://id.who.int/icd/release/11/beta/ichi/241753752</x:t>
  </x:si>
  <x:si>
    <x:t>- - - - - - - Thymic vein</x:t>
  </x:si>
  <x:si>
    <x:t>http://id.who.int/icd/entity/1210083104</x:t>
  </x:si>
  <x:si>
    <x:t>http://id.who.int/icd/release/11/beta/ichi/1210083104</x:t>
  </x:si>
  <x:si>
    <x:t>- - - - - - - Pulmonary vein</x:t>
  </x:si>
  <x:si>
    <x:t>http://id.who.int/icd/entity/542198632</x:t>
  </x:si>
  <x:si>
    <x:t>http://id.who.int/icd/release/11/beta/ichi/542198632</x:t>
  </x:si>
  <x:si>
    <x:t>- - - - - - - - Inferior pulmonary vein</x:t>
  </x:si>
  <x:si>
    <x:t>http://id.who.int/icd/entity/1307111185</x:t>
  </x:si>
  <x:si>
    <x:t>http://id.who.int/icd/release/11/beta/ichi/1307111185</x:t>
  </x:si>
  <x:si>
    <x:t>- - - - - - - - Left pulmonary vein</x:t>
  </x:si>
  <x:si>
    <x:t>http://id.who.int/icd/entity/1157613375</x:t>
  </x:si>
  <x:si>
    <x:t>http://id.who.int/icd/release/11/beta/ichi/1157613375</x:t>
  </x:si>
  <x:si>
    <x:t>- - - - - - - - Superior pulmonary vein</x:t>
  </x:si>
  <x:si>
    <x:t>http://id.who.int/icd/entity/389580608</x:t>
  </x:si>
  <x:si>
    <x:t>http://id.who.int/icd/release/11/beta/ichi/389580608</x:t>
  </x:si>
  <x:si>
    <x:t>- - - - - - Vein of abdomen</x:t>
  </x:si>
  <x:si>
    <x:t>http://id.who.int/icd/entity/1914964904</x:t>
  </x:si>
  <x:si>
    <x:t>http://id.who.int/icd/release/11/beta/ichi/1914964904</x:t>
  </x:si>
  <x:si>
    <x:t>- - - - - - - Ascending lumbar vein</x:t>
  </x:si>
  <x:si>
    <x:t>http://id.who.int/icd/entity/1128021215</x:t>
  </x:si>
  <x:si>
    <x:t>http://id.who.int/icd/release/11/beta/ichi/1128021215</x:t>
  </x:si>
  <x:si>
    <x:t>- - - - - - - Caput medusae vein</x:t>
  </x:si>
  <x:si>
    <x:t>http://id.who.int/icd/entity/1926261744</x:t>
  </x:si>
  <x:si>
    <x:t>http://id.who.int/icd/release/11/beta/ichi/1926261744</x:t>
  </x:si>
  <x:si>
    <x:t>- - - - - - - Cystic Vein</x:t>
  </x:si>
  <x:si>
    <x:t>http://id.who.int/icd/entity/619606352</x:t>
  </x:si>
  <x:si>
    <x:t>http://id.who.int/icd/release/11/beta/ichi/619606352</x:t>
  </x:si>
  <x:si>
    <x:t>- - - - - - - Ileocolic vein</x:t>
  </x:si>
  <x:si>
    <x:t>http://id.who.int/icd/entity/636526377</x:t>
  </x:si>
  <x:si>
    <x:t>http://id.who.int/icd/release/11/beta/ichi/636526377</x:t>
  </x:si>
  <x:si>
    <x:t>- - - - - - - Hepatic Vein</x:t>
  </x:si>
  <x:si>
    <x:t>http://id.who.int/icd/entity/674353489</x:t>
  </x:si>
  <x:si>
    <x:t>http://id.who.int/icd/release/11/beta/ichi/674353489</x:t>
  </x:si>
  <x:si>
    <x:t>- - - - - - - Lumbar vein</x:t>
  </x:si>
  <x:si>
    <x:t>http://id.who.int/icd/entity/134372457</x:t>
  </x:si>
  <x:si>
    <x:t>http://id.who.int/icd/release/11/beta/ichi/134372457</x:t>
  </x:si>
  <x:si>
    <x:t>- - - - - - - Pancreatic vein</x:t>
  </x:si>
  <x:si>
    <x:t>http://id.who.int/icd/entity/659323790</x:t>
  </x:si>
  <x:si>
    <x:t>http://id.who.int/icd/release/11/beta/ichi/659323790</x:t>
  </x:si>
  <x:si>
    <x:t>- - - - - - - Pancreaticoduodenal vein</x:t>
  </x:si>
  <x:si>
    <x:t>http://id.who.int/icd/entity/2079189134</x:t>
  </x:si>
  <x:si>
    <x:t>http://id.who.int/icd/release/11/beta/ichi/2079189134</x:t>
  </x:si>
  <x:si>
    <x:t>- - - - - - - Parumbilical Vein</x:t>
  </x:si>
  <x:si>
    <x:t>http://id.who.int/icd/entity/843433937</x:t>
  </x:si>
  <x:si>
    <x:t>http://id.who.int/icd/release/11/beta/ichi/843433937</x:t>
  </x:si>
  <x:si>
    <x:t>- - - - - - - Portal Vein</x:t>
  </x:si>
  <x:si>
    <x:t>http://id.who.int/icd/entity/715628216</x:t>
  </x:si>
  <x:si>
    <x:t>http://id.who.int/icd/release/11/beta/ichi/715628216</x:t>
  </x:si>
  <x:si>
    <x:t>- - - - - - - Rectal venous plexus</x:t>
  </x:si>
  <x:si>
    <x:t>http://id.who.int/icd/entity/1692852553</x:t>
  </x:si>
  <x:si>
    <x:t>http://id.who.int/icd/release/11/beta/ichi/1692852553</x:t>
  </x:si>
  <x:si>
    <x:t>- - - - - - - Splenic vein</x:t>
  </x:si>
  <x:si>
    <x:t>http://id.who.int/icd/entity/755841320</x:t>
  </x:si>
  <x:si>
    <x:t>http://id.who.int/icd/release/11/beta/ichi/755841320</x:t>
  </x:si>
  <x:si>
    <x:t>- - - - - - - Thoracoepigastric vein</x:t>
  </x:si>
  <x:si>
    <x:t>http://id.who.int/icd/entity/819169336</x:t>
  </x:si>
  <x:si>
    <x:t>http://id.who.int/icd/release/11/beta/ichi/819169336</x:t>
  </x:si>
  <x:si>
    <x:t>- - - - - - - Colic vein</x:t>
  </x:si>
  <x:si>
    <x:t>http://id.who.int/icd/entity/771316064</x:t>
  </x:si>
  <x:si>
    <x:t>http://id.who.int/icd/release/11/beta/ichi/771316064</x:t>
  </x:si>
  <x:si>
    <x:t>- - - - - - - - Right colic vein</x:t>
  </x:si>
  <x:si>
    <x:t>http://id.who.int/icd/entity/1165759840</x:t>
  </x:si>
  <x:si>
    <x:t>http://id.who.int/icd/release/11/beta/ichi/1165759840</x:t>
  </x:si>
  <x:si>
    <x:t>- - - - - - - - Middle colic vein</x:t>
  </x:si>
  <x:si>
    <x:t>http://id.who.int/icd/entity/1274407871</x:t>
  </x:si>
  <x:si>
    <x:t>http://id.who.int/icd/release/11/beta/ichi/1274407871</x:t>
  </x:si>
  <x:si>
    <x:t>- - - - - - - - Left colic vein</x:t>
  </x:si>
  <x:si>
    <x:t>http://id.who.int/icd/entity/358773790</x:t>
  </x:si>
  <x:si>
    <x:t>http://id.who.int/icd/release/11/beta/ichi/358773790</x:t>
  </x:si>
  <x:si>
    <x:t>- - - - - - - Rectal vein</x:t>
  </x:si>
  <x:si>
    <x:t>http://id.who.int/icd/entity/1381265824</x:t>
  </x:si>
  <x:si>
    <x:t>http://id.who.int/icd/release/11/beta/ichi/1381265824</x:t>
  </x:si>
  <x:si>
    <x:t>- - - - - - - - Middle rectal vein</x:t>
  </x:si>
  <x:si>
    <x:t>http://id.who.int/icd/entity/1529480688</x:t>
  </x:si>
  <x:si>
    <x:t>http://id.who.int/icd/release/11/beta/ichi/1529480688</x:t>
  </x:si>
  <x:si>
    <x:t>- - - - - - - - Inferior rectal vein</x:t>
  </x:si>
  <x:si>
    <x:t>http://id.who.int/icd/entity/682421609</x:t>
  </x:si>
  <x:si>
    <x:t>http://id.who.int/icd/release/11/beta/ichi/682421609</x:t>
  </x:si>
  <x:si>
    <x:t>- - - - - - - - Superior hemorrhoidal vein</x:t>
  </x:si>
  <x:si>
    <x:t>http://id.who.int/icd/entity/1117078990</x:t>
  </x:si>
  <x:si>
    <x:t>http://id.who.int/icd/release/11/beta/ichi/1117078990</x:t>
  </x:si>
  <x:si>
    <x:t>- - - - - - - - Perineal hemorrhoidal vein</x:t>
  </x:si>
  <x:si>
    <x:t>http://id.who.int/icd/entity/196189718</x:t>
  </x:si>
  <x:si>
    <x:t>http://id.who.int/icd/release/11/beta/ichi/196189718</x:t>
  </x:si>
  <x:si>
    <x:t>- - - - - - - Phrenic vein</x:t>
  </x:si>
  <x:si>
    <x:t>http://id.who.int/icd/entity/2106026623</x:t>
  </x:si>
  <x:si>
    <x:t>http://id.who.int/icd/release/11/beta/ichi/2106026623</x:t>
  </x:si>
  <x:si>
    <x:t>- - - - - - - - Superior phrenic vein</x:t>
  </x:si>
  <x:si>
    <x:t>http://id.who.int/icd/entity/422176296</x:t>
  </x:si>
  <x:si>
    <x:t>http://id.who.int/icd/release/11/beta/ichi/422176296</x:t>
  </x:si>
  <x:si>
    <x:t>- - - - - - - - Inferior phrenic vein</x:t>
  </x:si>
  <x:si>
    <x:t>http://id.who.int/icd/entity/1369577561</x:t>
  </x:si>
  <x:si>
    <x:t>http://id.who.int/icd/release/11/beta/ichi/1369577561</x:t>
  </x:si>
  <x:si>
    <x:t>- - - - - - - Mesenteric vein</x:t>
  </x:si>
  <x:si>
    <x:t>http://id.who.int/icd/entity/556202367</x:t>
  </x:si>
  <x:si>
    <x:t>http://id.who.int/icd/release/11/beta/ichi/556202367</x:t>
  </x:si>
  <x:si>
    <x:t>- - - - - - - - Superior mesenteric vein</x:t>
  </x:si>
  <x:si>
    <x:t>http://id.who.int/icd/entity/1166570792</x:t>
  </x:si>
  <x:si>
    <x:t>http://id.who.int/icd/release/11/beta/ichi/1166570792</x:t>
  </x:si>
  <x:si>
    <x:t>- - - - - - - - Inferior mesenteric vein</x:t>
  </x:si>
  <x:si>
    <x:t>http://id.who.int/icd/entity/1068376807</x:t>
  </x:si>
  <x:si>
    <x:t>http://id.who.int/icd/release/11/beta/ichi/1068376807</x:t>
  </x:si>
  <x:si>
    <x:t>- - - - - - - Epigastric vein</x:t>
  </x:si>
  <x:si>
    <x:t>http://id.who.int/icd/entity/1096684400</x:t>
  </x:si>
  <x:si>
    <x:t>http://id.who.int/icd/release/11/beta/ichi/1096684400</x:t>
  </x:si>
  <x:si>
    <x:t>- - - - - - - - Superficial epigastric vein</x:t>
  </x:si>
  <x:si>
    <x:t>http://id.who.int/icd/entity/1869055632</x:t>
  </x:si>
  <x:si>
    <x:t>http://id.who.int/icd/release/11/beta/ichi/1869055632</x:t>
  </x:si>
  <x:si>
    <x:t>- - - - - - - - Inferior epigastric vein</x:t>
  </x:si>
  <x:si>
    <x:t>http://id.who.int/icd/entity/605688072</x:t>
  </x:si>
  <x:si>
    <x:t>http://id.who.int/icd/release/11/beta/ichi/605688072</x:t>
  </x:si>
  <x:si>
    <x:t>- - - - - - - Intestinal vein</x:t>
  </x:si>
  <x:si>
    <x:t>http://id.who.int/icd/entity/929449332</x:t>
  </x:si>
  <x:si>
    <x:t>http://id.who.int/icd/release/11/beta/ichi/929449332</x:t>
  </x:si>
  <x:si>
    <x:t>- - - - - - Vein of pelvis</x:t>
  </x:si>
  <x:si>
    <x:t>http://id.who.int/icd/entity/344060960</x:t>
  </x:si>
  <x:si>
    <x:t>http://id.who.int/icd/release/11/beta/ichi/344060960</x:t>
  </x:si>
  <x:si>
    <x:t>- - - - - - - Renal vein</x:t>
  </x:si>
  <x:si>
    <x:t>http://id.who.int/icd/entity/2145732048</x:t>
  </x:si>
  <x:si>
    <x:t>http://id.who.int/icd/release/11/beta/ichi/2145732048</x:t>
  </x:si>
  <x:si>
    <x:t>- - - - - - - Corpus cavernosum penis</x:t>
  </x:si>
  <x:si>
    <x:t>http://id.who.int/icd/entity/1253451977</x:t>
  </x:si>
  <x:si>
    <x:t>http://id.who.int/icd/release/11/beta/ichi/1253451977</x:t>
  </x:si>
  <x:si>
    <x:t>- - - - - - - Deep dorsal vein of the penis</x:t>
  </x:si>
  <x:si>
    <x:t>http://id.who.int/icd/entity/1444883408</x:t>
  </x:si>
  <x:si>
    <x:t>http://id.who.int/icd/release/11/beta/ichi/1444883408</x:t>
  </x:si>
  <x:si>
    <x:t>- - - - - - - Iliolumbar vein</x:t>
  </x:si>
  <x:si>
    <x:t>http://id.who.int/icd/entity/202043703</x:t>
  </x:si>
  <x:si>
    <x:t>http://id.who.int/icd/release/11/beta/ichi/202043703</x:t>
  </x:si>
  <x:si>
    <x:t>- - - - - - - Deep vein of the penis</x:t>
  </x:si>
  <x:si>
    <x:t>http://id.who.int/icd/entity/350791776</x:t>
  </x:si>
  <x:si>
    <x:t>http://id.who.int/icd/release/11/beta/ichi/350791776</x:t>
  </x:si>
  <x:si>
    <x:t>- - - - - - - Obturator vein</x:t>
  </x:si>
  <x:si>
    <x:t>http://id.who.int/icd/entity/728218583</x:t>
  </x:si>
  <x:si>
    <x:t>http://id.who.int/icd/release/11/beta/ichi/728218583</x:t>
  </x:si>
  <x:si>
    <x:t>- - - - - - - Ovarian Vein</x:t>
  </x:si>
  <x:si>
    <x:t>http://id.who.int/icd/entity/1643160178</x:t>
  </x:si>
  <x:si>
    <x:t>http://id.who.int/icd/release/11/beta/ichi/1643160178</x:t>
  </x:si>
  <x:si>
    <x:t>- - - - - - - Perineal vein</x:t>
  </x:si>
  <x:si>
    <x:t>http://id.who.int/icd/entity/1978134600</x:t>
  </x:si>
  <x:si>
    <x:t>http://id.who.int/icd/release/11/beta/ichi/1978134600</x:t>
  </x:si>
  <x:si>
    <x:t>- - - - - - - Prostatic vein</x:t>
  </x:si>
  <x:si>
    <x:t>http://id.who.int/icd/entity/1594360800</x:t>
  </x:si>
  <x:si>
    <x:t>http://id.who.int/icd/release/11/beta/ichi/1594360800</x:t>
  </x:si>
  <x:si>
    <x:t>- - - - - - - Pubic vein</x:t>
  </x:si>
  <x:si>
    <x:t>http://id.who.int/icd/entity/260198585</x:t>
  </x:si>
  <x:si>
    <x:t>http://id.who.int/icd/release/11/beta/ichi/260198585</x:t>
  </x:si>
  <x:si>
    <x:t>- - - - - - - Sigmoid vein</x:t>
  </x:si>
  <x:si>
    <x:t>http://id.who.int/icd/entity/1450604464</x:t>
  </x:si>
  <x:si>
    <x:t>http://id.who.int/icd/release/11/beta/ichi/1450604464</x:t>
  </x:si>
  <x:si>
    <x:t>- - - - - - - Superficial dorsal vein of the penis</x:t>
  </x:si>
  <x:si>
    <x:t>http://id.who.int/icd/entity/343250024</x:t>
  </x:si>
  <x:si>
    <x:t>http://id.who.int/icd/release/11/beta/ichi/343250024</x:t>
  </x:si>
  <x:si>
    <x:t>- - - - - - - Suprarenal vein</x:t>
  </x:si>
  <x:si>
    <x:t>http://id.who.int/icd/entity/651143633</x:t>
  </x:si>
  <x:si>
    <x:t>http://id.who.int/icd/release/11/beta/ichi/651143633</x:t>
  </x:si>
  <x:si>
    <x:t>- - - - - - - Uterine plexus</x:t>
  </x:si>
  <x:si>
    <x:t>http://id.who.int/icd/entity/837274897</x:t>
  </x:si>
  <x:si>
    <x:t>http://id.who.int/icd/release/11/beta/ichi/837274897</x:t>
  </x:si>
  <x:si>
    <x:t>- - - - - - - Uterine vein</x:t>
  </x:si>
  <x:si>
    <x:t>http://id.who.int/icd/entity/310520495</x:t>
  </x:si>
  <x:si>
    <x:t>http://id.who.int/icd/release/11/beta/ichi/310520495</x:t>
  </x:si>
  <x:si>
    <x:t>- - - - - - - Vaginal vein</x:t>
  </x:si>
  <x:si>
    <x:t>http://id.who.int/icd/entity/333394936</x:t>
  </x:si>
  <x:si>
    <x:t>http://id.who.int/icd/release/11/beta/ichi/333394936</x:t>
  </x:si>
  <x:si>
    <x:t>- - - - - - - Vesical plexus</x:t>
  </x:si>
  <x:si>
    <x:t>http://id.who.int/icd/entity/83318584</x:t>
  </x:si>
  <x:si>
    <x:t>http://id.who.int/icd/release/11/beta/ichi/83318584</x:t>
  </x:si>
  <x:si>
    <x:t>- - - - - - - Vesical vein</x:t>
  </x:si>
  <x:si>
    <x:t>http://id.who.int/icd/entity/536146849</x:t>
  </x:si>
  <x:si>
    <x:t>http://id.who.int/icd/release/11/beta/ichi/536146849</x:t>
  </x:si>
  <x:si>
    <x:t>- - - - - - - Vulval vein</x:t>
  </x:si>
  <x:si>
    <x:t>http://id.who.int/icd/entity/1513417623</x:t>
  </x:si>
  <x:si>
    <x:t>http://id.who.int/icd/release/11/beta/ichi/1513417623</x:t>
  </x:si>
  <x:si>
    <x:t>- - - - - - - Gluteal vein</x:t>
  </x:si>
  <x:si>
    <x:t>http://id.who.int/icd/entity/1275224368</x:t>
  </x:si>
  <x:si>
    <x:t>http://id.who.int/icd/release/11/beta/ichi/1275224368</x:t>
  </x:si>
  <x:si>
    <x:t>- - - - - - - - Inferior gluteal vein</x:t>
  </x:si>
  <x:si>
    <x:t>http://id.who.int/icd/entity/197724887</x:t>
  </x:si>
  <x:si>
    <x:t>http://id.who.int/icd/release/11/beta/ichi/197724887</x:t>
  </x:si>
  <x:si>
    <x:t>- - - - - - - - Superior gluteal Vein</x:t>
  </x:si>
  <x:si>
    <x:t>http://id.who.int/icd/entity/868619664</x:t>
  </x:si>
  <x:si>
    <x:t>http://id.who.int/icd/release/11/beta/ichi/868619664</x:t>
  </x:si>
  <x:si>
    <x:t>- - - - - - - Iliac vein</x:t>
  </x:si>
  <x:si>
    <x:t>http://id.who.int/icd/entity/496426000</x:t>
  </x:si>
  <x:si>
    <x:t>http://id.who.int/icd/release/11/beta/ichi/496426000</x:t>
  </x:si>
  <x:si>
    <x:t>- - - - - - - - Internal iliac vein</x:t>
  </x:si>
  <x:si>
    <x:t>http://id.who.int/icd/entity/114724775</x:t>
  </x:si>
  <x:si>
    <x:t>http://id.who.int/icd/release/11/beta/ichi/114724775</x:t>
  </x:si>
  <x:si>
    <x:t>- - - - - - - - External iliac vein</x:t>
  </x:si>
  <x:si>
    <x:t>http://id.who.int/icd/entity/1038525960</x:t>
  </x:si>
  <x:si>
    <x:t>http://id.who.int/icd/release/11/beta/ichi/1038525960</x:t>
  </x:si>
  <x:si>
    <x:t>- - - - - - - - Common iliac vein</x:t>
  </x:si>
  <x:si>
    <x:t>http://id.who.int/icd/entity/370654153</x:t>
  </x:si>
  <x:si>
    <x:t>http://id.who.int/icd/release/11/beta/ichi/370654153</x:t>
  </x:si>
  <x:si>
    <x:t>- - - - - - - - Deep iliac circumflex vein</x:t>
  </x:si>
  <x:si>
    <x:t>http://id.who.int/icd/entity/245153504</x:t>
  </x:si>
  <x:si>
    <x:t>http://id.who.int/icd/release/11/beta/ichi/245153504</x:t>
  </x:si>
  <x:si>
    <x:t>- - - - - - - Sacral vein</x:t>
  </x:si>
  <x:si>
    <x:t>http://id.who.int/icd/entity/1291190648</x:t>
  </x:si>
  <x:si>
    <x:t>http://id.who.int/icd/release/11/beta/ichi/1291190648</x:t>
  </x:si>
  <x:si>
    <x:t>- - - - - - - - Lateral sacral vein</x:t>
  </x:si>
  <x:si>
    <x:t>http://id.who.int/icd/entity/2080684064</x:t>
  </x:si>
  <x:si>
    <x:t>http://id.who.int/icd/release/11/beta/ichi/2080684064</x:t>
  </x:si>
  <x:si>
    <x:t>- - - - - - - - Middle sacral vein</x:t>
  </x:si>
  <x:si>
    <x:t>http://id.who.int/icd/entity/1141614457</x:t>
  </x:si>
  <x:si>
    <x:t>http://id.who.int/icd/release/11/beta/ichi/1141614457</x:t>
  </x:si>
  <x:si>
    <x:t>- - - - - - - Spermatic Vein</x:t>
  </x:si>
  <x:si>
    <x:t>http://id.who.int/icd/entity/403137061</x:t>
  </x:si>
  <x:si>
    <x:t>http://id.who.int/icd/release/11/beta/ichi/403137061</x:t>
  </x:si>
  <x:si>
    <x:t>- - - - - - - Pudendal vein</x:t>
  </x:si>
  <x:si>
    <x:t>http://id.who.int/icd/entity/493009992</x:t>
  </x:si>
  <x:si>
    <x:t>http://id.who.int/icd/release/11/beta/ichi/493009992</x:t>
  </x:si>
  <x:si>
    <x:t>- - - - - - - - Internal pudendal vein</x:t>
  </x:si>
  <x:si>
    <x:t>http://id.who.int/icd/entity/1846555799</x:t>
  </x:si>
  <x:si>
    <x:t>http://id.who.int/icd/release/11/beta/ichi/1846555799</x:t>
  </x:si>
  <x:si>
    <x:t>- - - - - - - - Superficial external pudendal vein</x:t>
  </x:si>
  <x:si>
    <x:t>http://id.who.int/icd/entity/1414729397</x:t>
  </x:si>
  <x:si>
    <x:t>http://id.who.int/icd/release/11/beta/ichi/1414729397</x:t>
  </x:si>
  <x:si>
    <x:t>- - - - - - - - Deep external pudendal vein</x:t>
  </x:si>
  <x:si>
    <x:t>http://id.who.int/icd/entity/2031170783</x:t>
  </x:si>
  <x:si>
    <x:t>http://id.who.int/icd/release/11/beta/ichi/2031170783</x:t>
  </x:si>
  <x:si>
    <x:t>- - - - - - - Adrenal vein</x:t>
  </x:si>
  <x:si>
    <x:t>http://id.who.int/icd/entity/1725328867</x:t>
  </x:si>
  <x:si>
    <x:t>http://id.who.int/icd/release/11/beta/ichi/1725328867</x:t>
  </x:si>
  <x:si>
    <x:t>- - - - - - Vein of upper extremity</x:t>
  </x:si>
  <x:si>
    <x:t>http://id.who.int/icd/entity/384031631</x:t>
  </x:si>
  <x:si>
    <x:t>http://id.who.int/icd/release/11/beta/ichi/384031631</x:t>
  </x:si>
  <x:si>
    <x:t>- - - - - - - Accessory cephalic vein</x:t>
  </x:si>
  <x:si>
    <x:t>http://id.who.int/icd/entity/1695313768</x:t>
  </x:si>
  <x:si>
    <x:t>http://id.who.int/icd/release/11/beta/ichi/1695313768</x:t>
  </x:si>
  <x:si>
    <x:t>- - - - - - - Axillary vein</x:t>
  </x:si>
  <x:si>
    <x:t>http://id.who.int/icd/entity/1022904417</x:t>
  </x:si>
  <x:si>
    <x:t>http://id.who.int/icd/release/11/beta/ichi/1022904417</x:t>
  </x:si>
  <x:si>
    <x:t>- - - - - - - Basilic vein</x:t>
  </x:si>
  <x:si>
    <x:t>http://id.who.int/icd/entity/1309217505</x:t>
  </x:si>
  <x:si>
    <x:t>http://id.who.int/icd/release/11/beta/ichi/1309217505</x:t>
  </x:si>
  <x:si>
    <x:t>- - - - - - - Brachial vein</x:t>
  </x:si>
  <x:si>
    <x:t>http://id.who.int/icd/entity/2069528568</x:t>
  </x:si>
  <x:si>
    <x:t>http://id.who.int/icd/release/11/beta/ichi/2069528568</x:t>
  </x:si>
  <x:si>
    <x:t>- - - - - - - Cephalic vein</x:t>
  </x:si>
  <x:si>
    <x:t>http://id.who.int/icd/entity/718193352</x:t>
  </x:si>
  <x:si>
    <x:t>http://id.who.int/icd/release/11/beta/ichi/718193352</x:t>
  </x:si>
  <x:si>
    <x:t>- - - - - - - Common volar digital vein</x:t>
  </x:si>
  <x:si>
    <x:t>http://id.who.int/icd/entity/1098168382</x:t>
  </x:si>
  <x:si>
    <x:t>http://id.who.int/icd/release/11/beta/ichi/1098168382</x:t>
  </x:si>
  <x:si>
    <x:t>- - - - - - - Deep volar venous arch</x:t>
  </x:si>
  <x:si>
    <x:t>http://id.who.int/icd/entity/500509502</x:t>
  </x:si>
  <x:si>
    <x:t>http://id.who.int/icd/release/11/beta/ichi/500509502</x:t>
  </x:si>
  <x:si>
    <x:t>- - - - - - - Dorsal interosseous vein</x:t>
  </x:si>
  <x:si>
    <x:t>http://id.who.int/icd/entity/184373246</x:t>
  </x:si>
  <x:si>
    <x:t>http://id.who.int/icd/release/11/beta/ichi/184373246</x:t>
  </x:si>
  <x:si>
    <x:t>- - - - - - - Dorsal metacarpal vein</x:t>
  </x:si>
  <x:si>
    <x:t>http://id.who.int/icd/entity/1673012881</x:t>
  </x:si>
  <x:si>
    <x:t>http://id.who.int/icd/release/11/beta/ichi/1673012881</x:t>
  </x:si>
  <x:si>
    <x:t>- - - - - - - Lateral thoracic vein</x:t>
  </x:si>
  <x:si>
    <x:t>http://id.who.int/icd/entity/368461369</x:t>
  </x:si>
  <x:si>
    <x:t>http://id.who.int/icd/release/11/beta/ichi/368461369</x:t>
  </x:si>
  <x:si>
    <x:t>- - - - - - - Median antebrachial vein</x:t>
  </x:si>
  <x:si>
    <x:t>http://id.who.int/icd/entity/48112377</x:t>
  </x:si>
  <x:si>
    <x:t>http://id.who.int/icd/release/11/beta/ichi/48112377</x:t>
  </x:si>
  <x:si>
    <x:t>- - - - - - - Median basilic vein</x:t>
  </x:si>
  <x:si>
    <x:t>http://id.who.int/icd/entity/1285512456</x:t>
  </x:si>
  <x:si>
    <x:t>http://id.who.int/icd/release/11/beta/ichi/1285512456</x:t>
  </x:si>
  <x:si>
    <x:t>- - - - - - - Proper volar digital vein</x:t>
  </x:si>
  <x:si>
    <x:t>http://id.who.int/icd/entity/1718660768</x:t>
  </x:si>
  <x:si>
    <x:t>http://id.who.int/icd/release/11/beta/ichi/1718660768</x:t>
  </x:si>
  <x:si>
    <x:t>- - - - - - - Radial vein</x:t>
  </x:si>
  <x:si>
    <x:t>http://id.who.int/icd/entity/1466472919</x:t>
  </x:si>
  <x:si>
    <x:t>http://id.who.int/icd/release/11/beta/ichi/1466472919</x:t>
  </x:si>
  <x:si>
    <x:t>- - - - - - - Superficial volar venous arch</x:t>
  </x:si>
  <x:si>
    <x:t>http://id.who.int/icd/entity/532087953</x:t>
  </x:si>
  <x:si>
    <x:t>http://id.who.int/icd/release/11/beta/ichi/532087953</x:t>
  </x:si>
  <x:si>
    <x:t>- - - - - - - Ulnar vein</x:t>
  </x:si>
  <x:si>
    <x:t>http://id.who.int/icd/entity/663924872</x:t>
  </x:si>
  <x:si>
    <x:t>http://id.who.int/icd/release/11/beta/ichi/663924872</x:t>
  </x:si>
  <x:si>
    <x:t>- - - - - - - Volar digital vein</x:t>
  </x:si>
  <x:si>
    <x:t>http://id.who.int/icd/entity/817550408</x:t>
  </x:si>
  <x:si>
    <x:t>http://id.who.int/icd/release/11/beta/ichi/817550408</x:t>
  </x:si>
  <x:si>
    <x:t>- - - - - - - Volar interosseous vein</x:t>
  </x:si>
  <x:si>
    <x:t>http://id.who.int/icd/entity/148674401</x:t>
  </x:si>
  <x:si>
    <x:t>http://id.who.int/icd/release/11/beta/ichi/148674401</x:t>
  </x:si>
  <x:si>
    <x:t>- - - - - - - Volar metacarpal vein</x:t>
  </x:si>
  <x:si>
    <x:t>http://id.who.int/icd/entity/1381503063</x:t>
  </x:si>
  <x:si>
    <x:t>http://id.who.int/icd/release/11/beta/ichi/1381503063</x:t>
  </x:si>
  <x:si>
    <x:t>- - - - - - Vein of lower extremity</x:t>
  </x:si>
  <x:si>
    <x:t>http://id.who.int/icd/entity/951259663</x:t>
  </x:si>
  <x:si>
    <x:t>http://id.who.int/icd/release/11/beta/ichi/951259663</x:t>
  </x:si>
  <x:si>
    <x:t>- - - - - - - Accessory saphenous vein</x:t>
  </x:si>
  <x:si>
    <x:t>http://id.who.int/icd/entity/2131830168</x:t>
  </x:si>
  <x:si>
    <x:t>http://id.who.int/icd/release/11/beta/ichi/2131830168</x:t>
  </x:si>
  <x:si>
    <x:t>- - - - - - - Anterior tibial vein</x:t>
  </x:si>
  <x:si>
    <x:t>http://id.who.int/icd/entity/162211192</x:t>
  </x:si>
  <x:si>
    <x:t>http://id.who.int/icd/release/11/beta/ichi/162211192</x:t>
  </x:si>
  <x:si>
    <x:t>- - - - - - - Common digital vein</x:t>
  </x:si>
  <x:si>
    <x:t>http://id.who.int/icd/entity/20963081</x:t>
  </x:si>
  <x:si>
    <x:t>http://id.who.int/icd/release/11/beta/ichi/20963081</x:t>
  </x:si>
  <x:si>
    <x:t>- - - - - - - Deep Femoral Vein</x:t>
  </x:si>
  <x:si>
    <x:t>http://id.who.int/icd/entity/944206409</x:t>
  </x:si>
  <x:si>
    <x:t>http://id.who.int/icd/release/11/beta/ichi/944206409</x:t>
  </x:si>
  <x:si>
    <x:t>- - - - - - - Deep plantar venous arch</x:t>
  </x:si>
  <x:si>
    <x:t>http://id.who.int/icd/entity/1517755559</x:t>
  </x:si>
  <x:si>
    <x:t>http://id.who.int/icd/release/11/beta/ichi/1517755559</x:t>
  </x:si>
  <x:si>
    <x:t>- - - - - - - Femoral vein</x:t>
  </x:si>
  <x:si>
    <x:t>http://id.who.int/icd/entity/110459031</x:t>
  </x:si>
  <x:si>
    <x:t>http://id.who.int/icd/release/11/beta/ichi/110459031</x:t>
  </x:si>
  <x:si>
    <x:t>- - - - - - - Great saphenous vein</x:t>
  </x:si>
  <x:si>
    <x:t>http://id.who.int/icd/entity/1458260872</x:t>
  </x:si>
  <x:si>
    <x:t>http://id.who.int/icd/release/11/beta/ichi/1458260872</x:t>
  </x:si>
  <x:si>
    <x:t>- - - - - - - Lateral femoral circumflex vein</x:t>
  </x:si>
  <x:si>
    <x:t>http://id.who.int/icd/entity/1871963848</x:t>
  </x:si>
  <x:si>
    <x:t>http://id.who.int/icd/release/11/beta/ichi/1871963848</x:t>
  </x:si>
  <x:si>
    <x:t>- - - - - - - Lateral marginal vein</x:t>
  </x:si>
  <x:si>
    <x:t>http://id.who.int/icd/entity/1541301688</x:t>
  </x:si>
  <x:si>
    <x:t>http://id.who.int/icd/release/11/beta/ichi/1541301688</x:t>
  </x:si>
  <x:si>
    <x:t>- - - - - - - Lateral plantar vein</x:t>
  </x:si>
  <x:si>
    <x:t>http://id.who.int/icd/entity/841784239</x:t>
  </x:si>
  <x:si>
    <x:t>http://id.who.int/icd/release/11/beta/ichi/841784239</x:t>
  </x:si>
  <x:si>
    <x:t>- - - - - - - Medial femoral circumflex vein</x:t>
  </x:si>
  <x:si>
    <x:t>http://id.who.int/icd/entity/1000771513</x:t>
  </x:si>
  <x:si>
    <x:t>http://id.who.int/icd/release/11/beta/ichi/1000771513</x:t>
  </x:si>
  <x:si>
    <x:t>- - - - - - - Medial marginal vein</x:t>
  </x:si>
  <x:si>
    <x:t>http://id.who.int/icd/entity/747563897</x:t>
  </x:si>
  <x:si>
    <x:t>http://id.who.int/icd/release/11/beta/ichi/747563897</x:t>
  </x:si>
  <x:si>
    <x:t>- - - - - - - Medial plantar vein</x:t>
  </x:si>
  <x:si>
    <x:t>http://id.who.int/icd/entity/1585426937</x:t>
  </x:si>
  <x:si>
    <x:t>http://id.who.int/icd/release/11/beta/ichi/1585426937</x:t>
  </x:si>
  <x:si>
    <x:t>- - - - - - - Metatarsal vein</x:t>
  </x:si>
  <x:si>
    <x:t>http://id.who.int/icd/entity/1469905297</x:t>
  </x:si>
  <x:si>
    <x:t>http://id.who.int/icd/release/11/beta/ichi/1469905297</x:t>
  </x:si>
  <x:si>
    <x:t>- - - - - - - Plantar cutaneous venous arch</x:t>
  </x:si>
  <x:si>
    <x:t>http://id.who.int/icd/entity/1085578577</x:t>
  </x:si>
  <x:si>
    <x:t>http://id.who.int/icd/release/11/beta/ichi/1085578577</x:t>
  </x:si>
  <x:si>
    <x:t>- - - - - - - Plantar digital vein</x:t>
  </x:si>
  <x:si>
    <x:t>http://id.who.int/icd/entity/627942161</x:t>
  </x:si>
  <x:si>
    <x:t>http://id.who.int/icd/release/11/beta/ichi/627942161</x:t>
  </x:si>
  <x:si>
    <x:t>- - - - - - - Popliteal vein</x:t>
  </x:si>
  <x:si>
    <x:t>http://id.who.int/icd/entity/1047398280</x:t>
  </x:si>
  <x:si>
    <x:t>http://id.who.int/icd/release/11/beta/ichi/1047398280</x:t>
  </x:si>
  <x:si>
    <x:t>- - - - - - - Posterior tibial vein</x:t>
  </x:si>
  <x:si>
    <x:t>http://id.who.int/icd/entity/1394852793</x:t>
  </x:si>
  <x:si>
    <x:t>http://id.who.int/icd/release/11/beta/ichi/1394852793</x:t>
  </x:si>
  <x:si>
    <x:t>- - - - - - - Small saphenous vein</x:t>
  </x:si>
  <x:si>
    <x:t>http://id.who.int/icd/entity/2033733719</x:t>
  </x:si>
  <x:si>
    <x:t>http://id.who.int/icd/release/11/beta/ichi/2033733719</x:t>
  </x:si>
  <x:si>
    <x:t>- - - - - - - Superficial iliac circumflex vein</x:t>
  </x:si>
  <x:si>
    <x:t>http://id.who.int/icd/entity/1993918130</x:t>
  </x:si>
  <x:si>
    <x:t>http://id.who.int/icd/release/11/beta/ichi/1993918130</x:t>
  </x:si>
  <x:si>
    <x:t>- - - - - - - Peroneal vein</x:t>
  </x:si>
  <x:si>
    <x:t>http://id.who.int/icd/entity/1477784330</x:t>
  </x:si>
  <x:si>
    <x:t>http://id.who.int/icd/release/11/beta/ichi/1477784330</x:t>
  </x:si>
  <x:si>
    <x:t>- - - - - - Vena cava</x:t>
  </x:si>
  <x:si>
    <x:t>http://id.who.int/icd/entity/1206540937</x:t>
  </x:si>
  <x:si>
    <x:t>http://id.who.int/icd/release/11/beta/ichi/1206540937</x:t>
  </x:si>
  <x:si>
    <x:t>- - - - - Blood Vessels</x:t>
  </x:si>
  <x:si>
    <x:t>http://id.who.int/icd/entity/1497901663</x:t>
  </x:si>
  <x:si>
    <x:t>http://id.who.int/icd/release/11/beta/ichi/1497901663</x:t>
  </x:si>
  <x:si>
    <x:t>- - - - - - Blood vessel of the finger</x:t>
  </x:si>
  <x:si>
    <x:t>http://id.who.int/icd/entity/1426247174</x:t>
  </x:si>
  <x:si>
    <x:t>http://id.who.int/icd/release/11/beta/ichi/1426247174</x:t>
  </x:si>
  <x:si>
    <x:t>- - - - - - Blood vessel of the thumb</x:t>
  </x:si>
  <x:si>
    <x:t>http://id.who.int/icd/entity/267694299</x:t>
  </x:si>
  <x:si>
    <x:t>http://id.who.int/icd/release/11/beta/ichi/267694299</x:t>
  </x:si>
  <x:si>
    <x:t>- - - - - - Blood vessels at wrist or hand level</x:t>
  </x:si>
  <x:si>
    <x:t>http://id.who.int/icd/entity/2049822177</x:t>
  </x:si>
  <x:si>
    <x:t>http://id.who.int/icd/release/11/beta/ichi/2049822177</x:t>
  </x:si>
  <x:si>
    <x:t>- - - - - - Blood vessel of the kidney</x:t>
  </x:si>
  <x:si>
    <x:t>http://id.who.int/icd/entity/1829087521</x:t>
  </x:si>
  <x:si>
    <x:t>http://id.who.int/icd/release/11/beta/ichi/1829087521</x:t>
  </x:si>
  <x:si>
    <x:t>- - - - - - Blood vessel of the lung</x:t>
  </x:si>
  <x:si>
    <x:t>http://id.who.int/icd/entity/1417479265</x:t>
  </x:si>
  <x:si>
    <x:t>http://id.who.int/icd/release/11/beta/ichi/1417479265</x:t>
  </x:si>
  <x:si>
    <x:t>- - - - - - Blood vessel of the neck</x:t>
  </x:si>
  <x:si>
    <x:t>http://id.who.int/icd/entity/1314934431</x:t>
  </x:si>
  <x:si>
    <x:t>http://id.who.int/icd/release/11/beta/ichi/1314934431</x:t>
  </x:si>
  <x:si>
    <x:t>- - - - - - Blood vessel of the thorax</x:t>
  </x:si>
  <x:si>
    <x:t>http://id.who.int/icd/entity/1344401194</x:t>
  </x:si>
  <x:si>
    <x:t>http://id.who.int/icd/release/11/beta/ichi/1344401194</x:t>
  </x:si>
  <x:si>
    <x:t>- - - - - - Blood vessel of hip</x:t>
  </x:si>
  <x:si>
    <x:t>http://id.who.int/icd/entity/294659997</x:t>
  </x:si>
  <x:si>
    <x:t>http://id.who.int/icd/release/11/beta/ichi/294659997</x:t>
  </x:si>
  <x:si>
    <x:t>- - - - - - Blood vessels at lower leg level</x:t>
  </x:si>
  <x:si>
    <x:t>http://id.who.int/icd/entity/1129668769</x:t>
  </x:si>
  <x:si>
    <x:t>http://id.who.int/icd/release/11/beta/ichi/1129668769</x:t>
  </x:si>
  <x:si>
    <x:t>- - - - - - Capillary, not elsewhere classified</x:t>
  </x:si>
  <x:si>
    <x:t>http://id.who.int/icd/entity/646733537</x:t>
  </x:si>
  <x:si>
    <x:t>http://id.who.int/icd/release/11/beta/ichi/646733537</x:t>
  </x:si>
  <x:si>
    <x:t>- - - - - - Cerebral vasculature</x:t>
  </x:si>
  <x:si>
    <x:t>http://id.who.int/icd/entity/562908439</x:t>
  </x:si>
  <x:si>
    <x:t>http://id.who.int/icd/release/11/beta/ichi/562908439</x:t>
  </x:si>
  <x:si>
    <x:t>- - - - - - Intracranial blood vessels, not elsewhere classified</x:t>
  </x:si>
  <x:si>
    <x:t>http://id.who.int/icd/entity/721480315</x:t>
  </x:si>
  <x:si>
    <x:t>http://id.who.int/icd/release/11/beta/ichi/721480315</x:t>
  </x:si>
  <x:si>
    <x:t>- - - - - - Extracranial blood vessels, not elsewhere classified</x:t>
  </x:si>
  <x:si>
    <x:t>http://id.who.int/icd/entity/194670149</x:t>
  </x:si>
  <x:si>
    <x:t>http://id.who.int/icd/release/11/beta/ichi/194670149</x:t>
  </x:si>
  <x:si>
    <x:t>http://id.who.int/icd/entity/1031510592</x:t>
  </x:si>
  <x:si>
    <x:t>http://id.who.int/icd/release/11/beta/ichi/1031510592</x:t>
  </x:si>
  <x:si>
    <x:t>- - - - - Lymphatic system of the head and neck</x:t>
  </x:si>
  <x:si>
    <x:t>http://id.who.int/icd/entity/1334493376</x:t>
  </x:si>
  <x:si>
    <x:t>http://id.who.int/icd/release/11/beta/ichi/1334493376</x:t>
  </x:si>
  <x:si>
    <x:t>- - - - - - Jugular lymphatic trunk</x:t>
  </x:si>
  <x:si>
    <x:t>http://id.who.int/icd/entity/1704022864</x:t>
  </x:si>
  <x:si>
    <x:t>http://id.who.int/icd/release/11/beta/ichi/1704022864</x:t>
  </x:si>
  <x:si>
    <x:t>- - - - - - Lymphatic vessel of the pinna</x:t>
  </x:si>
  <x:si>
    <x:t>http://id.who.int/icd/entity/1924741008</x:t>
  </x:si>
  <x:si>
    <x:t>http://id.who.int/icd/release/11/beta/ichi/1924741008</x:t>
  </x:si>
  <x:si>
    <x:t>- - - - - - Lymphatic vessel of the external acoustic meatus</x:t>
  </x:si>
  <x:si>
    <x:t>http://id.who.int/icd/entity/2139888048</x:t>
  </x:si>
  <x:si>
    <x:t>http://id.who.int/icd/release/11/beta/ichi/2139888048</x:t>
  </x:si>
  <x:si>
    <x:t>- - - - - - Lymphatic vessel of the face</x:t>
  </x:si>
  <x:si>
    <x:t>http://id.who.int/icd/entity/827349607</x:t>
  </x:si>
  <x:si>
    <x:t>http://id.who.int/icd/release/11/beta/ichi/827349607</x:t>
  </x:si>
  <x:si>
    <x:t>- - - - - - Lymphatic vessel of the palatine tonsil</x:t>
  </x:si>
  <x:si>
    <x:t>http://id.who.int/icd/entity/392169936</x:t>
  </x:si>
  <x:si>
    <x:t>http://id.who.int/icd/release/11/beta/ichi/392169936</x:t>
  </x:si>
  <x:si>
    <x:t>- - - - - - Lymphatic vessel of the scalp</x:t>
  </x:si>
  <x:si>
    <x:t>http://id.who.int/icd/entity/1418290215</x:t>
  </x:si>
  <x:si>
    <x:t>http://id.who.int/icd/release/11/beta/ichi/1418290215</x:t>
  </x:si>
  <x:si>
    <x:t>- - - - - - Lymphatic vessel of the tongue</x:t>
  </x:si>
  <x:si>
    <x:t>http://id.who.int/icd/entity/710147840</x:t>
  </x:si>
  <x:si>
    <x:t>http://id.who.int/icd/release/11/beta/ichi/710147840</x:t>
  </x:si>
  <x:si>
    <x:t>- - - - - - Lymphatic vessels of the skin and muscles of the neck</x:t>
  </x:si>
  <x:si>
    <x:t>http://id.who.int/icd/entity/280674825</x:t>
  </x:si>
  <x:si>
    <x:t>http://id.who.int/icd/release/11/beta/ichi/280674825</x:t>
  </x:si>
  <x:si>
    <x:t>- - - - - - Lymph nodes of head, face and neck</x:t>
  </x:si>
  <x:si>
    <x:t>http://id.who.int/icd/entity/1354907209</x:t>
  </x:si>
  <x:si>
    <x:t>http://id.who.int/icd/release/11/beta/ichi/1354907209</x:t>
  </x:si>
  <x:si>
    <x:t>- - - - - - - Occipital lymph node</x:t>
  </x:si>
  <x:si>
    <x:t>http://id.who.int/icd/entity/179271951</x:t>
  </x:si>
  <x:si>
    <x:t>http://id.who.int/icd/release/11/beta/ichi/179271951</x:t>
  </x:si>
  <x:si>
    <x:t>- - - - - - - Auricular lymph node</x:t>
  </x:si>
  <x:si>
    <x:t>http://id.who.int/icd/entity/2123560905</x:t>
  </x:si>
  <x:si>
    <x:t>http://id.who.int/icd/release/11/beta/ichi/2123560905</x:t>
  </x:si>
  <x:si>
    <x:t>- - - - - - - - Posterior auricular lymph node</x:t>
  </x:si>
  <x:si>
    <x:t>http://id.who.int/icd/entity/207859017</x:t>
  </x:si>
  <x:si>
    <x:t>http://id.who.int/icd/release/11/beta/ichi/207859017</x:t>
  </x:si>
  <x:si>
    <x:t>- - - - - - - Parotid lymph node</x:t>
  </x:si>
  <x:si>
    <x:t>http://id.who.int/icd/entity/645414567</x:t>
  </x:si>
  <x:si>
    <x:t>http://id.who.int/icd/release/11/beta/ichi/645414567</x:t>
  </x:si>
  <x:si>
    <x:t>- - - - - - - - Subparotid lymph node</x:t>
  </x:si>
  <x:si>
    <x:t>http://id.who.int/icd/entity/1291230721</x:t>
  </x:si>
  <x:si>
    <x:t>http://id.who.int/icd/release/11/beta/ichi/1291230721</x:t>
  </x:si>
  <x:si>
    <x:t>- - - - - - - - Superficial parotid lymph node</x:t>
  </x:si>
  <x:si>
    <x:t>http://id.who.int/icd/entity/690828214</x:t>
  </x:si>
  <x:si>
    <x:t>http://id.who.int/icd/release/11/beta/ichi/690828214</x:t>
  </x:si>
  <x:si>
    <x:t>- - - - - - - - Deep parotid lymph node</x:t>
  </x:si>
  <x:si>
    <x:t>http://id.who.int/icd/entity/890961929</x:t>
  </x:si>
  <x:si>
    <x:t>http://id.who.int/icd/release/11/beta/ichi/890961929</x:t>
  </x:si>
  <x:si>
    <x:t>- - - - - - - Facial lymph node</x:t>
  </x:si>
  <x:si>
    <x:t>http://id.who.int/icd/entity/22446967</x:t>
  </x:si>
  <x:si>
    <x:t>http://id.who.int/icd/release/11/beta/ichi/22446967</x:t>
  </x:si>
  <x:si>
    <x:t>- - - - - - - - Buccinator lymph node</x:t>
  </x:si>
  <x:si>
    <x:t>http://id.who.int/icd/entity/377415607</x:t>
  </x:si>
  <x:si>
    <x:t>http://id.who.int/icd/release/11/beta/ichi/377415607</x:t>
  </x:si>
  <x:si>
    <x:t>- - - - - - - - Mandibular lymph node</x:t>
  </x:si>
  <x:si>
    <x:t>http://id.who.int/icd/entity/136902439</x:t>
  </x:si>
  <x:si>
    <x:t>http://id.who.int/icd/release/11/beta/ichi/136902439</x:t>
  </x:si>
  <x:si>
    <x:t>- - - - - - - - Deep facial lymph node</x:t>
  </x:si>
  <x:si>
    <x:t>http://id.who.int/icd/entity/959496272</x:t>
  </x:si>
  <x:si>
    <x:t>http://id.who.int/icd/release/11/beta/ichi/959496272</x:t>
  </x:si>
  <x:si>
    <x:t>- - - - - - - Lingual lymph node</x:t>
  </x:si>
  <x:si>
    <x:t>http://id.who.int/icd/entity/1921942507</x:t>
  </x:si>
  <x:si>
    <x:t>http://id.who.int/icd/release/11/beta/ichi/1921942507</x:t>
  </x:si>
  <x:si>
    <x:t>- - - - - - - - Sublingual lymph node</x:t>
  </x:si>
  <x:si>
    <x:t>http://id.who.int/icd/entity/520131559</x:t>
  </x:si>
  <x:si>
    <x:t>http://id.who.int/icd/release/11/beta/ichi/520131559</x:t>
  </x:si>
  <x:si>
    <x:t>- - - - - - - Submental lymph node</x:t>
  </x:si>
  <x:si>
    <x:t>http://id.who.int/icd/entity/1755610480</x:t>
  </x:si>
  <x:si>
    <x:t>http://id.who.int/icd/release/11/beta/ichi/1755610480</x:t>
  </x:si>
  <x:si>
    <x:t>- - - - - - - Submandibular lymph node</x:t>
  </x:si>
  <x:si>
    <x:t>http://id.who.int/icd/entity/1844562279</x:t>
  </x:si>
  <x:si>
    <x:t>http://id.who.int/icd/release/11/beta/ichi/1844562279</x:t>
  </x:si>
  <x:si>
    <x:t>- - - - - - - Anterior cervical lymph node</x:t>
  </x:si>
  <x:si>
    <x:t>http://id.who.int/icd/entity/1995599360</x:t>
  </x:si>
  <x:si>
    <x:t>http://id.who.int/icd/release/11/beta/ichi/1995599360</x:t>
  </x:si>
  <x:si>
    <x:t>- - - - - - - - Deep cervical lymph node</x:t>
  </x:si>
  <x:si>
    <x:t>http://id.who.int/icd/entity/1318334169</x:t>
  </x:si>
  <x:si>
    <x:t>http://id.who.int/icd/release/11/beta/ichi/1318334169</x:t>
  </x:si>
  <x:si>
    <x:t>- - - - - - - - - Prelaryngeal lymph node</x:t>
  </x:si>
  <x:si>
    <x:t>http://id.who.int/icd/entity/1505511961</x:t>
  </x:si>
  <x:si>
    <x:t>http://id.who.int/icd/release/11/beta/ichi/1505511961</x:t>
  </x:si>
  <x:si>
    <x:t>- - - - - - - - - Pretracheal lymph node</x:t>
  </x:si>
  <x:si>
    <x:t>http://id.who.int/icd/entity/1487053952</x:t>
  </x:si>
  <x:si>
    <x:t>http://id.who.int/icd/release/11/beta/ichi/1487053952</x:t>
  </x:si>
  <x:si>
    <x:t>- - - - - - - - - Paratracheal lymph node</x:t>
  </x:si>
  <x:si>
    <x:t>http://id.who.int/icd/entity/773366928</x:t>
  </x:si>
  <x:si>
    <x:t>http://id.who.int/icd/release/11/beta/ichi/773366928</x:t>
  </x:si>
  <x:si>
    <x:t>- - - - - - - - - Retropharyngeal lymph node</x:t>
  </x:si>
  <x:si>
    <x:t>http://id.who.int/icd/entity/1224504691</x:t>
  </x:si>
  <x:si>
    <x:t>http://id.who.int/icd/release/11/beta/ichi/1224504691</x:t>
  </x:si>
  <x:si>
    <x:t>- - - - - - - Jugular lymph node</x:t>
  </x:si>
  <x:si>
    <x:t>http://id.who.int/icd/entity/1773835017</x:t>
  </x:si>
  <x:si>
    <x:t>http://id.who.int/icd/release/11/beta/ichi/1773835017</x:t>
  </x:si>
  <x:si>
    <x:t>- - - - - - - Cervical lymph node</x:t>
  </x:si>
  <x:si>
    <x:t>http://id.who.int/icd/entity/1261828760</x:t>
  </x:si>
  <x:si>
    <x:t>http://id.who.int/icd/release/11/beta/ichi/1261828760</x:t>
  </x:si>
  <x:si>
    <x:t>- - - - - - - - Inferior cervical lymph node</x:t>
  </x:si>
  <x:si>
    <x:t>http://id.who.int/icd/entity/1830316639</x:t>
  </x:si>
  <x:si>
    <x:t>http://id.who.int/icd/release/11/beta/ichi/1830316639</x:t>
  </x:si>
  <x:si>
    <x:t>- - - - - - - - Lateral cervical lymph node</x:t>
  </x:si>
  <x:si>
    <x:t>http://id.who.int/icd/entity/1270979280</x:t>
  </x:si>
  <x:si>
    <x:t>http://id.who.int/icd/release/11/beta/ichi/1270979280</x:t>
  </x:si>
  <x:si>
    <x:t>- - - - - - - - Superior deep cervical lymph node</x:t>
  </x:si>
  <x:si>
    <x:t>http://id.who.int/icd/entity/1641679168</x:t>
  </x:si>
  <x:si>
    <x:t>http://id.who.int/icd/release/11/beta/ichi/1641679168</x:t>
  </x:si>
  <x:si>
    <x:t>- - - - - - - - Inferior deep cervical lymph node</x:t>
  </x:si>
  <x:si>
    <x:t>http://id.who.int/icd/entity/1558838800</x:t>
  </x:si>
  <x:si>
    <x:t>http://id.who.int/icd/release/11/beta/ichi/1558838800</x:t>
  </x:si>
  <x:si>
    <x:t>- - - - - - - - Superficial cervical lymph node</x:t>
  </x:si>
  <x:si>
    <x:t>http://id.who.int/icd/entity/1186749817</x:t>
  </x:si>
  <x:si>
    <x:t>http://id.who.int/icd/release/11/beta/ichi/1186749817</x:t>
  </x:si>
  <x:si>
    <x:t>- - - - - - - Supraclavicular lymph node</x:t>
  </x:si>
  <x:si>
    <x:t>http://id.who.int/icd/entity/465545679</x:t>
  </x:si>
  <x:si>
    <x:t>http://id.who.int/icd/release/11/beta/ichi/465545679</x:t>
  </x:si>
  <x:si>
    <x:t>- - - - - Lymphatic system of the upper extremity</x:t>
  </x:si>
  <x:si>
    <x:t>http://id.who.int/icd/entity/2138601960</x:t>
  </x:si>
  <x:si>
    <x:t>http://id.who.int/icd/release/11/beta/ichi/2138601960</x:t>
  </x:si>
  <x:si>
    <x:t>- - - - - - Deep lymphatic vessel</x:t>
  </x:si>
  <x:si>
    <x:t>http://id.who.int/icd/entity/211275023</x:t>
  </x:si>
  <x:si>
    <x:t>http://id.who.int/icd/release/11/beta/ichi/211275023</x:t>
  </x:si>
  <x:si>
    <x:t>- - - - - - Dorsal interosseous lymphatic vessel</x:t>
  </x:si>
  <x:si>
    <x:t>http://id.who.int/icd/entity/2120652687</x:t>
  </x:si>
  <x:si>
    <x:t>http://id.who.int/icd/release/11/beta/ichi/2120652687</x:t>
  </x:si>
  <x:si>
    <x:t>- - - - - - Median lymphatic vessel</x:t>
  </x:si>
  <x:si>
    <x:t>http://id.who.int/icd/entity/1345740303</x:t>
  </x:si>
  <x:si>
    <x:t>http://id.who.int/icd/release/11/beta/ichi/1345740303</x:t>
  </x:si>
  <x:si>
    <x:t>- - - - - - Radial lymphatic vessel</x:t>
  </x:si>
  <x:si>
    <x:t>http://id.who.int/icd/entity/1750080808</x:t>
  </x:si>
  <x:si>
    <x:t>http://id.who.int/icd/release/11/beta/ichi/1750080808</x:t>
  </x:si>
  <x:si>
    <x:t>- - - - - - Superficial lymphatic vessel</x:t>
  </x:si>
  <x:si>
    <x:t>http://id.who.int/icd/entity/1193163471</x:t>
  </x:si>
  <x:si>
    <x:t>http://id.who.int/icd/release/11/beta/ichi/1193163471</x:t>
  </x:si>
  <x:si>
    <x:t>- - - - - - Ulnar lymphatic vessel</x:t>
  </x:si>
  <x:si>
    <x:t>http://id.who.int/icd/entity/1766781775</x:t>
  </x:si>
  <x:si>
    <x:t>http://id.who.int/icd/release/11/beta/ichi/1766781775</x:t>
  </x:si>
  <x:si>
    <x:t>- - - - - - Volar lymphatic vessel</x:t>
  </x:si>
  <x:si>
    <x:t>http://id.who.int/icd/entity/365733143</x:t>
  </x:si>
  <x:si>
    <x:t>http://id.who.int/icd/release/11/beta/ichi/365733143</x:t>
  </x:si>
  <x:si>
    <x:t>- - - - - - Lymph nodes of upper extremity</x:t>
  </x:si>
  <x:si>
    <x:t>http://id.who.int/icd/entity/1545444952</x:t>
  </x:si>
  <x:si>
    <x:t>http://id.who.int/icd/release/11/beta/ichi/1545444952</x:t>
  </x:si>
  <x:si>
    <x:t>- - - - - - - Axillary lymph node</x:t>
  </x:si>
  <x:si>
    <x:t>http://id.who.int/icd/entity/12324184</x:t>
  </x:si>
  <x:si>
    <x:t>http://id.who.int/icd/release/11/beta/ichi/12324184</x:t>
  </x:si>
  <x:si>
    <x:t>- - - - - - - - Pectoral lymph node</x:t>
  </x:si>
  <x:si>
    <x:t>http://id.who.int/icd/entity/1701131032</x:t>
  </x:si>
  <x:si>
    <x:t>http://id.who.int/icd/release/11/beta/ichi/1701131032</x:t>
  </x:si>
  <x:si>
    <x:t>- - - - - - - - Lateral axillary lymph node</x:t>
  </x:si>
  <x:si>
    <x:t>http://id.who.int/icd/entity/969187352</x:t>
  </x:si>
  <x:si>
    <x:t>http://id.who.int/icd/release/11/beta/ichi/969187352</x:t>
  </x:si>
  <x:si>
    <x:t>- - - - - - - - Subscapular lymph node</x:t>
  </x:si>
  <x:si>
    <x:t>http://id.who.int/icd/entity/1917671384</x:t>
  </x:si>
  <x:si>
    <x:t>http://id.who.int/icd/release/11/beta/ichi/1917671384</x:t>
  </x:si>
  <x:si>
    <x:t>- - - - - - - - Central axillary lymph node</x:t>
  </x:si>
  <x:si>
    <x:t>http://id.who.int/icd/entity/395602328</x:t>
  </x:si>
  <x:si>
    <x:t>http://id.who.int/icd/release/11/beta/ichi/395602328</x:t>
  </x:si>
  <x:si>
    <x:t>- - - - - - - - Subclavicular axillary lymph node</x:t>
  </x:si>
  <x:si>
    <x:t>http://id.who.int/icd/entity/787268824</x:t>
  </x:si>
  <x:si>
    <x:t>http://id.who.int/icd/release/11/beta/ichi/787268824</x:t>
  </x:si>
  <x:si>
    <x:t>- - - - - - - - Intermediate lymph node</x:t>
  </x:si>
  <x:si>
    <x:t>http://id.who.int/icd/entity/67319680</x:t>
  </x:si>
  <x:si>
    <x:t>http://id.who.int/icd/release/11/beta/ichi/67319680</x:t>
  </x:si>
  <x:si>
    <x:t>- - - - - - - Cubital lymph node</x:t>
  </x:si>
  <x:si>
    <x:t>http://id.who.int/icd/entity/1110280623</x:t>
  </x:si>
  <x:si>
    <x:t>http://id.who.int/icd/release/11/beta/ichi/1110280623</x:t>
  </x:si>
  <x:si>
    <x:t>- - - - - - - - Epitrochlear lymph node</x:t>
  </x:si>
  <x:si>
    <x:t>http://id.who.int/icd/entity/321606592</x:t>
  </x:si>
  <x:si>
    <x:t>http://id.who.int/icd/release/11/beta/ichi/321606592</x:t>
  </x:si>
  <x:si>
    <x:t>- - - - - - - Infraclavicular lymph node</x:t>
  </x:si>
  <x:si>
    <x:t>http://id.who.int/icd/entity/2122474603</x:t>
  </x:si>
  <x:si>
    <x:t>http://id.who.int/icd/release/11/beta/ichi/2122474603</x:t>
  </x:si>
  <x:si>
    <x:t>- - - - - Lymphatic system of the thorax</x:t>
  </x:si>
  <x:si>
    <x:t>http://id.who.int/icd/entity/208879339</x:t>
  </x:si>
  <x:si>
    <x:t>http://id.who.int/icd/release/11/beta/ichi/208879339</x:t>
  </x:si>
  <x:si>
    <x:t>- - - - - - Bronchomediastinal trunk</x:t>
  </x:si>
  <x:si>
    <x:t>http://id.who.int/icd/entity/772290354</x:t>
  </x:si>
  <x:si>
    <x:t>http://id.who.int/icd/release/11/beta/ichi/772290354</x:t>
  </x:si>
  <x:si>
    <x:t>- - - - - - Cisterna chyli lymph sac</x:t>
  </x:si>
  <x:si>
    <x:t>http://id.who.int/icd/entity/1416468419</x:t>
  </x:si>
  <x:si>
    <x:t>http://id.who.int/icd/release/11/beta/ichi/1416468419</x:t>
  </x:si>
  <x:si>
    <x:t>- - - - - - Deep lymphatic vessel of the thoracic wall</x:t>
  </x:si>
  <x:si>
    <x:t>http://id.who.int/icd/entity/440775758</x:t>
  </x:si>
  <x:si>
    <x:t>http://id.who.int/icd/release/11/beta/ichi/440775758</x:t>
  </x:si>
  <x:si>
    <x:t>- - - - - - Intestinal lymphatic trunk</x:t>
  </x:si>
  <x:si>
    <x:t>http://id.who.int/icd/entity/1703002354</x:t>
  </x:si>
  <x:si>
    <x:t>http://id.who.int/icd/release/11/beta/ichi/1703002354</x:t>
  </x:si>
  <x:si>
    <x:t>- - - - - - Jugular lymph sac</x:t>
  </x:si>
  <x:si>
    <x:t>http://id.who.int/icd/entity/1923720242</x:t>
  </x:si>
  <x:si>
    <x:t>http://id.who.int/icd/release/11/beta/ichi/1923720242</x:t>
  </x:si>
  <x:si>
    <x:t>- - - - - - Lymph Sac</x:t>
  </x:si>
  <x:si>
    <x:t>http://id.who.int/icd/entity/647810371</x:t>
  </x:si>
  <x:si>
    <x:t>http://id.who.int/icd/release/11/beta/ichi/647810371</x:t>
  </x:si>
  <x:si>
    <x:t>- - - - - - Lymphatic vessel of the diaphragm</x:t>
  </x:si>
  <x:si>
    <x:t>http://id.who.int/icd/entity/1128657667</x:t>
  </x:si>
  <x:si>
    <x:t>http://id.who.int/icd/release/11/beta/ichi/1128657667</x:t>
  </x:si>
  <x:si>
    <x:t>- - - - - - Lymphatic vessel of the breast</x:t>
  </x:si>
  <x:si>
    <x:t>http://id.who.int/icd/entity/1271990642</x:t>
  </x:si>
  <x:si>
    <x:t>http://id.who.int/icd/release/11/beta/ichi/1271990642</x:t>
  </x:si>
  <x:si>
    <x:t>- - - - - - Lymphatic vessel of the thoracic viscera</x:t>
  </x:si>
  <x:si>
    <x:t>http://id.who.int/icd/entity/1559850418</x:t>
  </x:si>
  <x:si>
    <x:t>http://id.who.int/icd/release/11/beta/ichi/1559850418</x:t>
  </x:si>
  <x:si>
    <x:t>- - - - - - - Lymphatic vessel of the heart</x:t>
  </x:si>
  <x:si>
    <x:t>http://id.who.int/icd/entity/1113267558</x:t>
  </x:si>
  <x:si>
    <x:t>http://id.who.int/icd/release/11/beta/ichi/1113267558</x:t>
  </x:si>
  <x:si>
    <x:t>- - - - - - - Lymphatic vessel of the lungs</x:t>
  </x:si>
  <x:si>
    <x:t>http://id.who.int/icd/entity/1332622170</x:t>
  </x:si>
  <x:si>
    <x:t>http://id.who.int/icd/release/11/beta/ichi/1332622170</x:t>
  </x:si>
  <x:si>
    <x:t>- - - - - - - Lymphatic vessel of the oesophagus</x:t>
  </x:si>
  <x:si>
    <x:t>http://id.who.int/icd/entity/1433631142</x:t>
  </x:si>
  <x:si>
    <x:t>http://id.who.int/icd/release/11/beta/ichi/1433631142</x:t>
  </x:si>
  <x:si>
    <x:t>- - - - - - - Lymphatic vessel of the pericardium</x:t>
  </x:si>
  <x:si>
    <x:t>http://id.who.int/icd/entity/1631517402</x:t>
  </x:si>
  <x:si>
    <x:t>http://id.who.int/icd/release/11/beta/ichi/1631517402</x:t>
  </x:si>
  <x:si>
    <x:t>- - - - - - - Lymphatic vessel of the pleura</x:t>
  </x:si>
  <x:si>
    <x:t>http://id.who.int/icd/entity/1981193754</x:t>
  </x:si>
  <x:si>
    <x:t>http://id.who.int/icd/release/11/beta/ichi/1981193754</x:t>
  </x:si>
  <x:si>
    <x:t>- - - - - - - Lymphatic vessel of the thymus</x:t>
  </x:si>
  <x:si>
    <x:t>http://id.who.int/icd/entity/5832370</x:t>
  </x:si>
  <x:si>
    <x:t>http://id.who.int/icd/release/11/beta/ichi/5832370</x:t>
  </x:si>
  <x:si>
    <x:t>- - - - - - Posterior lymph sac</x:t>
  </x:si>
  <x:si>
    <x:t>http://id.who.int/icd/entity/393255538</x:t>
  </x:si>
  <x:si>
    <x:t>http://id.who.int/icd/release/11/beta/ichi/393255538</x:t>
  </x:si>
  <x:si>
    <x:t>- - - - - - Retroperitoneal lymph sac</x:t>
  </x:si>
  <x:si>
    <x:t>http://id.who.int/icd/entity/458971691</x:t>
  </x:si>
  <x:si>
    <x:t>http://id.who.int/icd/release/11/beta/ichi/458971691</x:t>
  </x:si>
  <x:si>
    <x:t>- - - - - - Right lymphatic duct</x:t>
  </x:si>
  <x:si>
    <x:t>http://id.who.int/icd/entity/1830107779</x:t>
  </x:si>
  <x:si>
    <x:t>http://id.who.int/icd/release/11/beta/ichi/1830107779</x:t>
  </x:si>
  <x:si>
    <x:t>- - - - - - Superficial lymphatic vessel of the thoracic wall</x:t>
  </x:si>
  <x:si>
    <x:t>http://id.who.int/icd/entity/958419954</x:t>
  </x:si>
  <x:si>
    <x:t>http://id.who.int/icd/release/11/beta/ichi/958419954</x:t>
  </x:si>
  <x:si>
    <x:t>- - - - - - Thoracic duct</x:t>
  </x:si>
  <x:si>
    <x:t>http://id.who.int/icd/entity/1324428010</x:t>
  </x:si>
  <x:si>
    <x:t>http://id.who.int/icd/release/11/beta/ichi/1324428010</x:t>
  </x:si>
  <x:si>
    <x:t>- - - - - - Intrathoracic lymph nodes</x:t>
  </x:si>
  <x:si>
    <x:t>http://id.who.int/icd/entity/1033857498</x:t>
  </x:si>
  <x:si>
    <x:t>http://id.who.int/icd/release/11/beta/ichi/1033857498</x:t>
  </x:si>
  <x:si>
    <x:t>- - - - - - - Tracheobronchial lymph node</x:t>
  </x:si>
  <x:si>
    <x:t>http://id.who.int/icd/entity/82298010</x:t>
  </x:si>
  <x:si>
    <x:t>http://id.who.int/icd/release/11/beta/ichi/82298010</x:t>
  </x:si>
  <x:si>
    <x:t>- - - - - - - - Bronchopulmonary lymph node</x:t>
  </x:si>
  <x:si>
    <x:t>http://id.who.int/icd/entity/1555232041</x:t>
  </x:si>
  <x:si>
    <x:t>http://id.who.int/icd/release/11/beta/ichi/1555232041</x:t>
  </x:si>
  <x:si>
    <x:t>- - - - - - - - - Hilar lymph node</x:t>
  </x:si>
  <x:si>
    <x:t>http://id.who.int/icd/entity/732554109</x:t>
  </x:si>
  <x:si>
    <x:t>http://id.who.int/icd/release/11/beta/ichi/732554109</x:t>
  </x:si>
  <x:si>
    <x:t>- - - - - - - - Pulmonary lymph node</x:t>
  </x:si>
  <x:si>
    <x:t>http://id.who.int/icd/entity/716639514</x:t>
  </x:si>
  <x:si>
    <x:t>http://id.who.int/icd/release/11/beta/ichi/716639514</x:t>
  </x:si>
  <x:si>
    <x:t>- - - - - - - - Tracheal lymph node</x:t>
  </x:si>
  <x:si>
    <x:t>http://id.who.int/icd/entity/320703950</x:t>
  </x:si>
  <x:si>
    <x:t>http://id.who.int/icd/release/11/beta/ichi/320703950</x:t>
  </x:si>
  <x:si>
    <x:t>- - - - - - - - Superior tracheobronchial lymph node</x:t>
  </x:si>
  <x:si>
    <x:t>http://id.who.int/icd/entity/1544897881</x:t>
  </x:si>
  <x:si>
    <x:t>http://id.who.int/icd/release/11/beta/ichi/1544897881</x:t>
  </x:si>
  <x:si>
    <x:t>- - - - - - - - Inferior tracheobronchial lymph node</x:t>
  </x:si>
  <x:si>
    <x:t>http://id.who.int/icd/entity/210461818</x:t>
  </x:si>
  <x:si>
    <x:t>http://id.who.int/icd/release/11/beta/ichi/210461818</x:t>
  </x:si>
  <x:si>
    <x:t>- - - - - - - Mediastinal lymph node</x:t>
  </x:si>
  <x:si>
    <x:t>http://id.who.int/icd/entity/535060483</x:t>
  </x:si>
  <x:si>
    <x:t>http://id.who.int/icd/release/11/beta/ichi/535060483</x:t>
  </x:si>
  <x:si>
    <x:t>- - - - - - - - Anterior mediastinal visceral lymph node</x:t>
  </x:si>
  <x:si>
    <x:t>http://id.who.int/icd/entity/147588291</x:t>
  </x:si>
  <x:si>
    <x:t>http://id.who.int/icd/release/11/beta/ichi/147588291</x:t>
  </x:si>
  <x:si>
    <x:t>- - - - - - - - Posterior mediastinal visceral lymph node</x:t>
  </x:si>
  <x:si>
    <x:t>http://id.who.int/icd/entity/1939408265</x:t>
  </x:si>
  <x:si>
    <x:t>http://id.who.int/icd/release/11/beta/ichi/1939408265</x:t>
  </x:si>
  <x:si>
    <x:t>- - - - - - - Oesophageal lymph node</x:t>
  </x:si>
  <x:si>
    <x:t>http://id.who.int/icd/entity/228176074</x:t>
  </x:si>
  <x:si>
    <x:t>http://id.who.int/icd/release/11/beta/ichi/228176074</x:t>
  </x:si>
  <x:si>
    <x:t>- - - - - - - Intercostal lymph node</x:t>
  </x:si>
  <x:si>
    <x:t>http://id.who.int/icd/entity/447861770</x:t>
  </x:si>
  <x:si>
    <x:t>http://id.who.int/icd/release/11/beta/ichi/447861770</x:t>
  </x:si>
  <x:si>
    <x:t>- - - - - - - Parasternal lymph node</x:t>
  </x:si>
  <x:si>
    <x:t>http://id.who.int/icd/entity/788289398</x:t>
  </x:si>
  <x:si>
    <x:t>http://id.who.int/icd/release/11/beta/ichi/788289398</x:t>
  </x:si>
  <x:si>
    <x:t>- - - - - - - Superior diaphragmatic lymph node</x:t>
  </x:si>
  <x:si>
    <x:t>http://id.who.int/icd/entity/1132702957</x:t>
  </x:si>
  <x:si>
    <x:t>http://id.who.int/icd/release/11/beta/ichi/1132702957</x:t>
  </x:si>
  <x:si>
    <x:t>- - - - - - - Innominate lymph node</x:t>
  </x:si>
  <x:si>
    <x:t>http://id.who.int/icd/entity/970208182</x:t>
  </x:si>
  <x:si>
    <x:t>http://id.who.int/icd/release/11/beta/ichi/970208182</x:t>
  </x:si>
  <x:si>
    <x:t>- - - - - Lymphatic system of the abdomen</x:t>
  </x:si>
  <x:si>
    <x:t>http://id.who.int/icd/entity/137913477</x:t>
  </x:si>
  <x:si>
    <x:t>http://id.who.int/icd/release/11/beta/ichi/137913477</x:t>
  </x:si>
  <x:si>
    <x:t>- - - - - - Intestinal lumbar trunk</x:t>
  </x:si>
  <x:si>
    <x:t>http://id.who.int/icd/entity/727548731</x:t>
  </x:si>
  <x:si>
    <x:t>http://id.who.int/icd/release/11/beta/ichi/727548731</x:t>
  </x:si>
  <x:si>
    <x:t>- - - - - - Lumbar lymphatic trunk</x:t>
  </x:si>
  <x:si>
    <x:t>http://id.who.int/icd/entity/475461985</x:t>
  </x:si>
  <x:si>
    <x:t>http://id.who.int/icd/release/11/beta/ichi/475461985</x:t>
  </x:si>
  <x:si>
    <x:t>- - - - - - Lymphatic vessel of the caecum</x:t>
  </x:si>
  <x:si>
    <x:t>http://id.who.int/icd/entity/623793185</x:t>
  </x:si>
  <x:si>
    <x:t>http://id.who.int/icd/release/11/beta/ichi/623793185</x:t>
  </x:si>
  <x:si>
    <x:t>- - - - - - Lymphatic vessel of the colon</x:t>
  </x:si>
  <x:si>
    <x:t>http://id.who.int/icd/entity/1474236065</x:t>
  </x:si>
  <x:si>
    <x:t>http://id.who.int/icd/release/11/beta/ichi/1474236065</x:t>
  </x:si>
  <x:si>
    <x:t>- - - - - - Lymphatic vessel of the duodenum</x:t>
  </x:si>
  <x:si>
    <x:t>http://id.who.int/icd/entity/491263750</x:t>
  </x:si>
  <x:si>
    <x:t>http://id.who.int/icd/release/11/beta/ichi/491263750</x:t>
  </x:si>
  <x:si>
    <x:t>- - - - - - Lymphatic vessel of the gallbladder</x:t>
  </x:si>
  <x:si>
    <x:t>http://id.who.int/icd/entity/1856480225</x:t>
  </x:si>
  <x:si>
    <x:t>http://id.who.int/icd/release/11/beta/ichi/1856480225</x:t>
  </x:si>
  <x:si>
    <x:t>- - - - - - Lymphatic vessel of the ileum</x:t>
  </x:si>
  <x:si>
    <x:t>http://id.who.int/icd/entity/2039465761</x:t>
  </x:si>
  <x:si>
    <x:t>http://id.who.int/icd/release/11/beta/ichi/2039465761</x:t>
  </x:si>
  <x:si>
    <x:t>- - - - - - Lymphatic vessel of the jejunum</x:t>
  </x:si>
  <x:si>
    <x:t>http://id.who.int/icd/entity/123035130</x:t>
  </x:si>
  <x:si>
    <x:t>http://id.who.int/icd/release/11/beta/ichi/123035130</x:t>
  </x:si>
  <x:si>
    <x:t>- - - - - - Lymphatic vessel of the kidney</x:t>
  </x:si>
  <x:si>
    <x:t>http://id.who.int/icd/entity/839266529</x:t>
  </x:si>
  <x:si>
    <x:t>http://id.who.int/icd/release/11/beta/ichi/839266529</x:t>
  </x:si>
  <x:si>
    <x:t>- - - - - - Lymphatic vessel of the liver</x:t>
  </x:si>
  <x:si>
    <x:t>http://id.who.int/icd/entity/174093254</x:t>
  </x:si>
  <x:si>
    <x:t>http://id.who.int/icd/release/11/beta/ichi/174093254</x:t>
  </x:si>
  <x:si>
    <x:t>- - - - - - Lymphatic vessel of the pancreas</x:t>
  </x:si>
  <x:si>
    <x:t>http://id.who.int/icd/entity/688231546</x:t>
  </x:si>
  <x:si>
    <x:t>http://id.who.int/icd/release/11/beta/ichi/688231546</x:t>
  </x:si>
  <x:si>
    <x:t>- - - - - - Lymphatic vessel of the spleen</x:t>
  </x:si>
  <x:si>
    <x:t>http://id.who.int/icd/entity/1670548959</x:t>
  </x:si>
  <x:si>
    <x:t>http://id.who.int/icd/release/11/beta/ichi/1670548959</x:t>
  </x:si>
  <x:si>
    <x:t>- - - - - - Lymphatic vessel of the stomach</x:t>
  </x:si>
  <x:si>
    <x:t>http://id.who.int/icd/entity/322682910</x:t>
  </x:si>
  <x:si>
    <x:t>http://id.who.int/icd/release/11/beta/ichi/322682910</x:t>
  </x:si>
  <x:si>
    <x:t>- - - - - - Lymphatic vessel of the subdiaphragmatic portion of the digestive tube</x:t>
  </x:si>
  <x:si>
    <x:t>http://id.who.int/icd/entity/1043198138</x:t>
  </x:si>
  <x:si>
    <x:t>http://id.who.int/icd/release/11/beta/ichi/1043198138</x:t>
  </x:si>
  <x:si>
    <x:t>- - - - - - Lymphatic vessel of the suprarenal lymph node</x:t>
  </x:si>
  <x:si>
    <x:t>http://id.who.int/icd/entity/192847265</x:t>
  </x:si>
  <x:si>
    <x:t>http://id.who.int/icd/release/11/beta/ichi/192847265</x:t>
  </x:si>
  <x:si>
    <x:t>- - - - - - Lymphatic vessel of the vermiform process</x:t>
  </x:si>
  <x:si>
    <x:t>http://id.who.int/icd/entity/254553021</x:t>
  </x:si>
  <x:si>
    <x:t>http://id.who.int/icd/release/11/beta/ichi/254553021</x:t>
  </x:si>
  <x:si>
    <x:t>- - - - - - Intra-abdominal lymph nodes</x:t>
  </x:si>
  <x:si>
    <x:t>http://id.who.int/icd/entity/1344720301</x:t>
  </x:si>
  <x:si>
    <x:t>http://id.who.int/icd/release/11/beta/ichi/1344720301</x:t>
  </x:si>
  <x:si>
    <x:t>- - - - - - - Lumbar lymph node</x:t>
  </x:si>
  <x:si>
    <x:t>http://id.who.int/icd/entity/639639920</x:t>
  </x:si>
  <x:si>
    <x:t>http://id.who.int/icd/release/11/beta/ichi/639639920</x:t>
  </x:si>
  <x:si>
    <x:t>- - - - - - - Aortic lymph node</x:t>
  </x:si>
  <x:si>
    <x:t>http://id.who.int/icd/entity/2121663533</x:t>
  </x:si>
  <x:si>
    <x:t>http://id.who.int/icd/release/11/beta/ichi/2121663533</x:t>
  </x:si>
  <x:si>
    <x:t>- - - - - - - - Preaortic lymph node</x:t>
  </x:si>
  <x:si>
    <x:t>http://id.who.int/icd/entity/1767792877</x:t>
  </x:si>
  <x:si>
    <x:t>http://id.who.int/icd/release/11/beta/ichi/1767792877</x:t>
  </x:si>
  <x:si>
    <x:t>- - - - - - - - - Coeliac lymph node</x:t>
  </x:si>
  <x:si>
    <x:t>http://id.who.int/icd/entity/521142341</x:t>
  </x:si>
  <x:si>
    <x:t>http://id.who.int/icd/release/11/beta/ichi/521142341</x:t>
  </x:si>
  <x:si>
    <x:t>- - - - - - - - - - Gastric lymph node</x:t>
  </x:si>
  <x:si>
    <x:t>http://id.who.int/icd/entity/2060008965</x:t>
  </x:si>
  <x:si>
    <x:t>http://id.who.int/icd/release/11/beta/ichi/2060008965</x:t>
  </x:si>
  <x:si>
    <x:t>- - - - - - - - - - - Inferior gastric lymph node</x:t>
  </x:si>
  <x:si>
    <x:t>http://id.who.int/icd/entity/826329541</x:t>
  </x:si>
  <x:si>
    <x:t>http://id.who.int/icd/release/11/beta/ichi/826329541</x:t>
  </x:si>
  <x:si>
    <x:t>- - - - - - - - - - - Upper superior gastric lymph node</x:t>
  </x:si>
  <x:si>
    <x:t>http://id.who.int/icd/entity/644394245</x:t>
  </x:si>
  <x:si>
    <x:t>http://id.who.int/icd/release/11/beta/ichi/644394245</x:t>
  </x:si>
  <x:si>
    <x:t>- - - - - - - - - - - Superior gastric lymph node</x:t>
  </x:si>
  <x:si>
    <x:t>http://id.who.int/icd/entity/1419376517</x:t>
  </x:si>
  <x:si>
    <x:t>http://id.who.int/icd/release/11/beta/ichi/1419376517</x:t>
  </x:si>
  <x:si>
    <x:t>- - - - - - - - - - - Lower superior gastric lymph node</x:t>
  </x:si>
  <x:si>
    <x:t>http://id.who.int/icd/entity/1135711045</x:t>
  </x:si>
  <x:si>
    <x:t>http://id.who.int/icd/release/11/beta/ichi/1135711045</x:t>
  </x:si>
  <x:si>
    <x:t>- - - - - - - - - - - Paracardial superior gastric lymph node</x:t>
  </x:si>
  <x:si>
    <x:t>http://id.who.int/icd/entity/1958406431</x:t>
  </x:si>
  <x:si>
    <x:t>http://id.who.int/icd/release/11/beta/ichi/1958406431</x:t>
  </x:si>
  <x:si>
    <x:t>- - - - - - - - - - - Pyloric lymph node</x:t>
  </x:si>
  <x:si>
    <x:t>http://id.who.int/icd/entity/1118797090</x:t>
  </x:si>
  <x:si>
    <x:t>http://id.who.int/icd/release/11/beta/ichi/1118797090</x:t>
  </x:si>
  <x:si>
    <x:t>- - - - - - - - - - - Subpyloric lymph node</x:t>
  </x:si>
  <x:si>
    <x:t>http://id.who.int/icd/entity/1843485381</x:t>
  </x:si>
  <x:si>
    <x:t>http://id.who.int/icd/release/11/beta/ichi/1843485381</x:t>
  </x:si>
  <x:si>
    <x:t>- - - - - - - - - - Hepatic lymph node</x:t>
  </x:si>
  <x:si>
    <x:t>http://id.who.int/icd/entity/903681741</x:t>
  </x:si>
  <x:si>
    <x:t>http://id.who.int/icd/release/11/beta/ichi/903681741</x:t>
  </x:si>
  <x:si>
    <x:t>- - - - - - - - - - - Common duct lymph node</x:t>
  </x:si>
  <x:si>
    <x:t>http://id.who.int/icd/entity/2037068997</x:t>
  </x:si>
  <x:si>
    <x:t>http://id.who.int/icd/release/11/beta/ichi/2037068997</x:t>
  </x:si>
  <x:si>
    <x:t>- - - - - - - - - - - Cystic lymph node</x:t>
  </x:si>
  <x:si>
    <x:t>http://id.who.int/icd/entity/734152377</x:t>
  </x:si>
  <x:si>
    <x:t>http://id.who.int/icd/release/11/beta/ichi/734152377</x:t>
  </x:si>
  <x:si>
    <x:t>- - - - - - - - - - Pancreaticosplenic lymph node</x:t>
  </x:si>
  <x:si>
    <x:t>http://id.who.int/icd/entity/1089956449</x:t>
  </x:si>
  <x:si>
    <x:t>http://id.who.int/icd/release/11/beta/ichi/1089956449</x:t>
  </x:si>
  <x:si>
    <x:t>- - - - - - - - - - - Pancreaticoduodenal lymph node</x:t>
  </x:si>
  <x:si>
    <x:t>http://id.who.int/icd/entity/2012939247</x:t>
  </x:si>
  <x:si>
    <x:t>http://id.who.int/icd/release/11/beta/ichi/2012939247</x:t>
  </x:si>
  <x:si>
    <x:t>- - - - - - - - - - - Splenic lymph node</x:t>
  </x:si>
  <x:si>
    <x:t>http://id.who.int/icd/entity/740521092</x:t>
  </x:si>
  <x:si>
    <x:t>http://id.who.int/icd/release/11/beta/ichi/740521092</x:t>
  </x:si>
  <x:si>
    <x:t>- - - - - - - - - - - Splenic hilar lymph node</x:t>
  </x:si>
  <x:si>
    <x:t>http://id.who.int/icd/entity/603059742</x:t>
  </x:si>
  <x:si>
    <x:t>http://id.who.int/icd/release/11/beta/ichi/603059742</x:t>
  </x:si>
  <x:si>
    <x:t>- - - - - - - - - - - Pancreatic lymph node</x:t>
  </x:si>
  <x:si>
    <x:t>http://id.who.int/icd/entity/1509882623</x:t>
  </x:si>
  <x:si>
    <x:t>http://id.who.int/icd/release/11/beta/ichi/1509882623</x:t>
  </x:si>
  <x:si>
    <x:t>- - - - - - - - - - - Peripancreatic lymph node</x:t>
  </x:si>
  <x:si>
    <x:t>http://id.who.int/icd/entity/464468589</x:t>
  </x:si>
  <x:si>
    <x:t>http://id.who.int/icd/release/11/beta/ichi/464468589</x:t>
  </x:si>
  <x:si>
    <x:t>- - - - - - - - - Inferior mesenteric lymph node</x:t>
  </x:si>
  <x:si>
    <x:t>http://id.who.int/icd/entity/584554285</x:t>
  </x:si>
  <x:si>
    <x:t>http://id.who.int/icd/release/11/beta/ichi/584554285</x:t>
  </x:si>
  <x:si>
    <x:t>- - - - - - - - - - Pararectal inferior mesenteric lymph node</x:t>
  </x:si>
  <x:si>
    <x:t>http://id.who.int/icd/entity/210198189</x:t>
  </x:si>
  <x:si>
    <x:t>http://id.who.int/icd/release/11/beta/ichi/210198189</x:t>
  </x:si>
  <x:si>
    <x:t>- - - - - - - - - Superior mesenteric lymph node</x:t>
  </x:si>
  <x:si>
    <x:t>http://id.who.int/icd/entity/1994587742</x:t>
  </x:si>
  <x:si>
    <x:t>http://id.who.int/icd/release/11/beta/ichi/1994587742</x:t>
  </x:si>
  <x:si>
    <x:t>- - - - - - - - - - Mesenteric lymph node</x:t>
  </x:si>
  <x:si>
    <x:t>http://id.who.int/icd/entity/1640667806</x:t>
  </x:si>
  <x:si>
    <x:t>http://id.who.int/icd/release/11/beta/ichi/1640667806</x:t>
  </x:si>
  <x:si>
    <x:t>- - - - - - - - - - Ileocolic lymph node</x:t>
  </x:si>
  <x:si>
    <x:t>http://id.who.int/icd/entity/1488074718</x:t>
  </x:si>
  <x:si>
    <x:t>http://id.who.int/icd/release/11/beta/ichi/1488074718</x:t>
  </x:si>
  <x:si>
    <x:t>- - - - - - - - - - - Ileal ileocolic lymph node</x:t>
  </x:si>
  <x:si>
    <x:t>http://id.who.int/icd/entity/1335513886</x:t>
  </x:si>
  <x:si>
    <x:t>http://id.who.int/icd/release/11/beta/ichi/1335513886</x:t>
  </x:si>
  <x:si>
    <x:t>- - - - - - - - - - - Anterior ileocolic lymph node</x:t>
  </x:si>
  <x:si>
    <x:t>http://id.who.int/icd/entity/709061982</x:t>
  </x:si>
  <x:si>
    <x:t>http://id.who.int/icd/release/11/beta/ichi/709061982</x:t>
  </x:si>
  <x:si>
    <x:t>- - - - - - - - - - - Posterior ileocolic lymph node</x:t>
  </x:si>
  <x:si>
    <x:t>http://id.who.int/icd/entity/1030424990</x:t>
  </x:si>
  <x:si>
    <x:t>http://id.who.int/icd/release/11/beta/ichi/1030424990</x:t>
  </x:si>
  <x:si>
    <x:t>- - - - - - - - - - - Right colic ileocolic lymph node</x:t>
  </x:si>
  <x:si>
    <x:t>http://id.who.int/icd/entity/258138167</x:t>
  </x:si>
  <x:si>
    <x:t>http://id.who.int/icd/release/11/beta/ichi/258138167</x:t>
  </x:si>
  <x:si>
    <x:t>- - - - - - - - - - Colic lymph node</x:t>
  </x:si>
  <x:si>
    <x:t>http://id.who.int/icd/entity/1435803372</x:t>
  </x:si>
  <x:si>
    <x:t>http://id.who.int/icd/release/11/beta/ichi/1435803372</x:t>
  </x:si>
  <x:si>
    <x:t>- - - - - - - - - - - Midcolic lymph node</x:t>
  </x:si>
  <x:si>
    <x:t>http://id.who.int/icd/entity/796813979</x:t>
  </x:si>
  <x:si>
    <x:t>http://id.who.int/icd/release/11/beta/ichi/796813979</x:t>
  </x:si>
  <x:si>
    <x:t>- - - - - - - - - - - Epicolic lymph node</x:t>
  </x:si>
  <x:si>
    <x:t>http://id.who.int/icd/entity/1083166772</x:t>
  </x:si>
  <x:si>
    <x:t>http://id.who.int/icd/release/11/beta/ichi/1083166772</x:t>
  </x:si>
  <x:si>
    <x:t>- - - - - - - - - - - Paracolic lymph node</x:t>
  </x:si>
  <x:si>
    <x:t>http://id.who.int/icd/entity/626294151</x:t>
  </x:si>
  <x:si>
    <x:t>http://id.who.int/icd/release/11/beta/ichi/626294151</x:t>
  </x:si>
  <x:si>
    <x:t>- - - - - - - - - - - Intermediate colic lymph node</x:t>
  </x:si>
  <x:si>
    <x:t>http://id.who.int/icd/entity/1262974176</x:t>
  </x:si>
  <x:si>
    <x:t>http://id.who.int/icd/release/11/beta/ichi/1262974176</x:t>
  </x:si>
  <x:si>
    <x:t>- - - - - - - - - - - Preterminal colic lymph node</x:t>
  </x:si>
  <x:si>
    <x:t>http://id.who.int/icd/entity/1192143213</x:t>
  </x:si>
  <x:si>
    <x:t>http://id.who.int/icd/release/11/beta/ichi/1192143213</x:t>
  </x:si>
  <x:si>
    <x:t>- - - - - - - - Lateral aortic lymph node</x:t>
  </x:si>
  <x:si>
    <x:t>http://id.who.int/icd/entity/1918747766</x:t>
  </x:si>
  <x:si>
    <x:t>http://id.who.int/icd/release/11/beta/ichi/1918747766</x:t>
  </x:si>
  <x:si>
    <x:t>- - - - - - - - - Common iliac lymph node</x:t>
  </x:si>
  <x:si>
    <x:t>http://id.who.int/icd/entity/11312886</x:t>
  </x:si>
  <x:si>
    <x:t>http://id.who.int/icd/release/11/beta/ichi/11312886</x:t>
  </x:si>
  <x:si>
    <x:t>- - - - - - - - - External iliac lymph node</x:t>
  </x:si>
  <x:si>
    <x:t>http://id.who.int/icd/entity/1684754131</x:t>
  </x:si>
  <x:si>
    <x:t>http://id.who.int/icd/release/11/beta/ichi/1684754131</x:t>
  </x:si>
  <x:si>
    <x:t>- - - - - - - - - - Obturator lymph node</x:t>
  </x:si>
  <x:si>
    <x:t>http://id.who.int/icd/entity/1702207670</x:t>
  </x:si>
  <x:si>
    <x:t>http://id.who.int/icd/release/11/beta/ichi/1702207670</x:t>
  </x:si>
  <x:si>
    <x:t>- - - - - - - - - Epigastric lymph node</x:t>
  </x:si>
  <x:si>
    <x:t>http://id.who.int/icd/entity/298546963</x:t>
  </x:si>
  <x:si>
    <x:t>http://id.who.int/icd/release/11/beta/ichi/298546963</x:t>
  </x:si>
  <x:si>
    <x:t>- - - - - - - - - - Inferior epigastric lymph node</x:t>
  </x:si>
  <x:si>
    <x:t>http://id.who.int/icd/entity/1544359414</x:t>
  </x:si>
  <x:si>
    <x:t>http://id.who.int/icd/release/11/beta/ichi/1544359414</x:t>
  </x:si>
  <x:si>
    <x:t>- - - - - - - - - Iliac circumflex lymph node</x:t>
  </x:si>
  <x:si>
    <x:t>http://id.who.int/icd/entity/1260742966</x:t>
  </x:si>
  <x:si>
    <x:t>http://id.who.int/icd/release/11/beta/ichi/1260742966</x:t>
  </x:si>
  <x:si>
    <x:t>- - - - - - - - - Internal iliac lymph node</x:t>
  </x:si>
  <x:si>
    <x:t>http://id.who.int/icd/entity/905966573</x:t>
  </x:si>
  <x:si>
    <x:t>http://id.who.int/icd/release/11/beta/ichi/905966573</x:t>
  </x:si>
  <x:si>
    <x:t>- - - - - - - - Retroaortic lymph node</x:t>
  </x:si>
  <x:si>
    <x:t>http://id.who.int/icd/entity/818145224</x:t>
  </x:si>
  <x:si>
    <x:t>http://id.who.int/icd/release/11/beta/ichi/818145224</x:t>
  </x:si>
  <x:si>
    <x:t>- - - - - - - Intestinal lymph node</x:t>
  </x:si>
  <x:si>
    <x:t>http://id.who.int/icd/entity/1597136239</x:t>
  </x:si>
  <x:si>
    <x:t>http://id.who.int/icd/release/11/beta/ichi/1597136239</x:t>
  </x:si>
  <x:si>
    <x:t>- - - - - - - Retroperitoneal lymph node</x:t>
  </x:si>
  <x:si>
    <x:t>http://id.who.int/icd/entity/1014360059</x:t>
  </x:si>
  <x:si>
    <x:t>http://id.who.int/icd/release/11/beta/ichi/1014360059</x:t>
  </x:si>
  <x:si>
    <x:t>- - - - - - - - Suprarenal lymph node</x:t>
  </x:si>
  <x:si>
    <x:t>http://id.who.int/icd/entity/2137825059</x:t>
  </x:si>
  <x:si>
    <x:t>http://id.who.int/icd/release/11/beta/ichi/2137825059</x:t>
  </x:si>
  <x:si>
    <x:t>- - - - - - - Porta hepatis lymph node</x:t>
  </x:si>
  <x:si>
    <x:t>http://id.who.int/icd/entity/481430149</x:t>
  </x:si>
  <x:si>
    <x:t>http://id.who.int/icd/release/11/beta/ichi/481430149</x:t>
  </x:si>
  <x:si>
    <x:t>- - - - - Lymphatic system of the pelvis and perineum</x:t>
  </x:si>
  <x:si>
    <x:t>http://id.who.int/icd/entity/1278761436</x:t>
  </x:si>
  <x:si>
    <x:t>http://id.who.int/icd/release/11/beta/ichi/1278761436</x:t>
  </x:si>
  <x:si>
    <x:t>- - - - - - Anterior vesical lymphatic vessel of the bladder</x:t>
  </x:si>
  <x:si>
    <x:t>http://id.who.int/icd/entity/1967191196</x:t>
  </x:si>
  <x:si>
    <x:t>http://id.who.int/icd/release/11/beta/ichi/1967191196</x:t>
  </x:si>
  <x:si>
    <x:t>- - - - - - Lateral vesical lymphatic vessel of the bladder</x:t>
  </x:si>
  <x:si>
    <x:t>http://id.who.int/icd/entity/1463549253</x:t>
  </x:si>
  <x:si>
    <x:t>http://id.who.int/icd/release/11/beta/ichi/1463549253</x:t>
  </x:si>
  <x:si>
    <x:t>- - - - - - Lymphatic vessel of the anal canal</x:t>
  </x:si>
  <x:si>
    <x:t>http://id.who.int/icd/entity/1075026309</x:t>
  </x:si>
  <x:si>
    <x:t>http://id.who.int/icd/release/11/beta/ichi/1075026309</x:t>
  </x:si>
  <x:si>
    <x:t>- - - - - - Lymphatic vessel of the anus</x:t>
  </x:si>
  <x:si>
    <x:t>http://id.who.int/icd/entity/1527790876</x:t>
  </x:si>
  <x:si>
    <x:t>http://id.who.int/icd/release/11/beta/ichi/1527790876</x:t>
  </x:si>
  <x:si>
    <x:t>- - - - - - Lymphatic vessel of the bladder</x:t>
  </x:si>
  <x:si>
    <x:t>http://id.who.int/icd/entity/1053360988</x:t>
  </x:si>
  <x:si>
    <x:t>http://id.who.int/icd/release/11/beta/ichi/1053360988</x:t>
  </x:si>
  <x:si>
    <x:t>- - - - - - Lymphatic vessel of the ductus deferens</x:t>
  </x:si>
  <x:si>
    <x:t>http://id.who.int/icd/entity/1688153749</x:t>
  </x:si>
  <x:si>
    <x:t>http://id.who.int/icd/release/11/beta/ichi/1688153749</x:t>
  </x:si>
  <x:si>
    <x:t>- - - - - - Lymphatic vessel of the ovary</x:t>
  </x:si>
  <x:si>
    <x:t>http://id.who.int/icd/entity/1651019868</x:t>
  </x:si>
  <x:si>
    <x:t>http://id.who.int/icd/release/11/beta/ichi/1651019868</x:t>
  </x:si>
  <x:si>
    <x:t>- - - - - - Lymphatic vessel of the prostate</x:t>
  </x:si>
  <x:si>
    <x:t>http://id.who.int/icd/entity/1849905157</x:t>
  </x:si>
  <x:si>
    <x:t>http://id.who.int/icd/release/11/beta/ichi/1849905157</x:t>
  </x:si>
  <x:si>
    <x:t>- - - - - - Lymphatic vessel of the rectum</x:t>
  </x:si>
  <x:si>
    <x:t>http://id.who.int/icd/entity/278514396</x:t>
  </x:si>
  <x:si>
    <x:t>http://id.who.int/icd/release/11/beta/ichi/278514396</x:t>
  </x:si>
  <x:si>
    <x:t>- - - - - - Lymphatic vessel of the reproductive organs</x:t>
  </x:si>
  <x:si>
    <x:t>http://id.who.int/icd/entity/702637980</x:t>
  </x:si>
  <x:si>
    <x:t>http://id.who.int/icd/release/11/beta/ichi/702637980</x:t>
  </x:si>
  <x:si>
    <x:t>- - - - - - Lymphatic vessel of the testes</x:t>
  </x:si>
  <x:si>
    <x:t>http://id.who.int/icd/entity/2020989604</x:t>
  </x:si>
  <x:si>
    <x:t>http://id.who.int/icd/release/11/beta/ichi/2020989604</x:t>
  </x:si>
  <x:si>
    <x:t>- - - - - - Lymphatic vessel of the ureter</x:t>
  </x:si>
  <x:si>
    <x:t>http://id.who.int/icd/entity/129084956</x:t>
  </x:si>
  <x:si>
    <x:t>http://id.who.int/icd/release/11/beta/ichi/129084956</x:t>
  </x:si>
  <x:si>
    <x:t>- - - - - - Lymphatic vessel of the urethra</x:t>
  </x:si>
  <x:si>
    <x:t>http://id.who.int/icd/entity/1868414564</x:t>
  </x:si>
  <x:si>
    <x:t>http://id.who.int/icd/release/11/beta/ichi/1868414564</x:t>
  </x:si>
  <x:si>
    <x:t>- - - - - - Lymphatic vessel of the urinary organ</x:t>
  </x:si>
  <x:si>
    <x:t>http://id.who.int/icd/entity/1207617835</x:t>
  </x:si>
  <x:si>
    <x:t>http://id.who.int/icd/release/11/beta/ichi/1207617835</x:t>
  </x:si>
  <x:si>
    <x:t>- - - - - - Lymphatic vessel of the uterine tube</x:t>
  </x:si>
  <x:si>
    <x:t>http://id.who.int/icd/entity/1355984363</x:t>
  </x:si>
  <x:si>
    <x:t>http://id.who.int/icd/release/11/beta/ichi/1355984363</x:t>
  </x:si>
  <x:si>
    <x:t>- - - - - - Lymphatic vessel of the uterus</x:t>
  </x:si>
  <x:si>
    <x:t>http://id.who.int/icd/entity/1772748971</x:t>
  </x:si>
  <x:si>
    <x:t>http://id.who.int/icd/release/11/beta/ichi/1772748971</x:t>
  </x:si>
  <x:si>
    <x:t>- - - - - - Lymphatic vessel of the vagina</x:t>
  </x:si>
  <x:si>
    <x:t>http://id.who.int/icd/entity/1941391957</x:t>
  </x:si>
  <x:si>
    <x:t>http://id.who.int/icd/release/11/beta/ichi/1941391957</x:t>
  </x:si>
  <x:si>
    <x:t>- - - - - - Lymphatic vessel of the seminal vesicles</x:t>
  </x:si>
  <x:si>
    <x:t>http://id.who.int/icd/entity/276642106</x:t>
  </x:si>
  <x:si>
    <x:t>http://id.who.int/icd/release/11/beta/ichi/276642106</x:t>
  </x:si>
  <x:si>
    <x:t>- - - - - Lymphatic system of the lower extremity</x:t>
  </x:si>
  <x:si>
    <x:t>http://id.who.int/icd/entity/904880207</x:t>
  </x:si>
  <x:si>
    <x:t>http://id.who.int/icd/release/11/beta/ichi/904880207</x:t>
  </x:si>
  <x:si>
    <x:t>- - - - - - Anterior tibial lymphatic trunk</x:t>
  </x:si>
  <x:si>
    <x:t>http://id.who.int/icd/entity/257420431</x:t>
  </x:si>
  <x:si>
    <x:t>http://id.who.int/icd/release/11/beta/ichi/257420431</x:t>
  </x:si>
  <x:si>
    <x:t>- - - - - - Lymph nodes of lower extremity</x:t>
  </x:si>
  <x:si>
    <x:t>http://id.who.int/icd/entity/1542770426</x:t>
  </x:si>
  <x:si>
    <x:t>http://id.who.int/icd/release/11/beta/ichi/1542770426</x:t>
  </x:si>
  <x:si>
    <x:t>- - - - - - - Inguinal lymph node</x:t>
  </x:si>
  <x:si>
    <x:t>http://id.who.int/icd/entity/1289529914</x:t>
  </x:si>
  <x:si>
    <x:t>http://id.who.int/icd/release/11/beta/ichi/1289529914</x:t>
  </x:si>
  <x:si>
    <x:t>- - - - - - - - Superficial inguinal lymph node</x:t>
  </x:si>
  <x:si>
    <x:t>http://id.who.int/icd/entity/27452209</x:t>
  </x:si>
  <x:si>
    <x:t>http://id.who.int/icd/release/11/beta/ichi/27452209</x:t>
  </x:si>
  <x:si>
    <x:t>- - - - - - - - Subinguinal lymph node</x:t>
  </x:si>
  <x:si>
    <x:t>http://id.who.int/icd/entity/583468175</x:t>
  </x:si>
  <x:si>
    <x:t>http://id.who.int/icd/release/11/beta/ichi/583468175</x:t>
  </x:si>
  <x:si>
    <x:t>- - - - - - - - - Superficial subinguinal lymph node</x:t>
  </x:si>
  <x:si>
    <x:t>http://id.who.int/icd/entity/122494662</x:t>
  </x:si>
  <x:si>
    <x:t>http://id.who.int/icd/release/11/beta/ichi/122494662</x:t>
  </x:si>
  <x:si>
    <x:t>- - - - - - - - - Deep subinguinal lymph nodes</x:t>
  </x:si>
  <x:si>
    <x:t>http://id.who.int/icd/entity/503033770</x:t>
  </x:si>
  <x:si>
    <x:t>http://id.who.int/icd/release/11/beta/ichi/503033770</x:t>
  </x:si>
  <x:si>
    <x:t>- - - - - - - - Femoral lymph node</x:t>
  </x:si>
  <x:si>
    <x:t>http://id.who.int/icd/entity/378177521</x:t>
  </x:si>
  <x:si>
    <x:t>http://id.who.int/icd/release/11/beta/ichi/378177521</x:t>
  </x:si>
  <x:si>
    <x:t>- - - - - - - - - Lymph node of Cloquet</x:t>
  </x:si>
  <x:si>
    <x:t>http://id.who.int/icd/entity/1653367738</x:t>
  </x:si>
  <x:si>
    <x:t>http://id.who.int/icd/release/11/beta/ichi/1653367738</x:t>
  </x:si>
  <x:si>
    <x:t>- - - - - - - Popliteal lymph node</x:t>
  </x:si>
  <x:si>
    <x:t>http://id.who.int/icd/entity/144877972</x:t>
  </x:si>
  <x:si>
    <x:t>http://id.who.int/icd/release/11/beta/ichi/144877972</x:t>
  </x:si>
  <x:si>
    <x:t>- - - - - - - Tibial lymph node</x:t>
  </x:si>
  <x:si>
    <x:t>http://id.who.int/icd/entity/1973684090</x:t>
  </x:si>
  <x:si>
    <x:t>http://id.who.int/icd/release/11/beta/ichi/1973684090</x:t>
  </x:si>
  <x:si>
    <x:t>- - - - - - - - Anterior tibial lymph node</x:t>
  </x:si>
  <x:si>
    <x:t>http://id.who.int/icd/entity/57597214</x:t>
  </x:si>
  <x:si>
    <x:t>http://id.who.int/icd/release/11/beta/ichi/57597214</x:t>
  </x:si>
  <x:si>
    <x:t>- - - Respiratory system</x:t>
  </x:si>
  <x:si>
    <x:t>http://id.who.int/icd/entity/2033392163</x:t>
  </x:si>
  <x:si>
    <x:t>http://id.who.int/icd/release/11/beta/ichi/2033392163</x:t>
  </x:si>
  <x:si>
    <x:t>http://id.who.int/icd/entity/1471140905</x:t>
  </x:si>
  <x:si>
    <x:t>http://id.who.int/icd/release/11/beta/ichi/1471140905</x:t>
  </x:si>
  <x:si>
    <x:t>- - - - - Nostril</x:t>
  </x:si>
  <x:si>
    <x:t>http://id.who.int/icd/entity/626953897</x:t>
  </x:si>
  <x:si>
    <x:t>http://id.who.int/icd/release/11/beta/ichi/626953897</x:t>
  </x:si>
  <x:si>
    <x:t>- - - - - - Columella</x:t>
  </x:si>
  <x:si>
    <x:t>http://id.who.int/icd/entity/846654057</x:t>
  </x:si>
  <x:si>
    <x:t>http://id.who.int/icd/release/11/beta/ichi/846654057</x:t>
  </x:si>
  <x:si>
    <x:t>- - - - - - Sill of nostril</x:t>
  </x:si>
  <x:si>
    <x:t>http://id.who.int/icd/entity/909890232</x:t>
  </x:si>
  <x:si>
    <x:t>http://id.who.int/icd/release/11/beta/ichi/909890232</x:t>
  </x:si>
  <x:si>
    <x:t>http://id.who.int/icd/entity/2108966855</x:t>
  </x:si>
  <x:si>
    <x:t>http://id.who.int/icd/release/11/beta/ichi/2108966855</x:t>
  </x:si>
  <x:si>
    <x:t>- - - Digestive system</x:t>
  </x:si>
  <x:si>
    <x:t>http://id.who.int/icd/entity/1337584902</x:t>
  </x:si>
  <x:si>
    <x:t>http://id.who.int/icd/release/11/beta/ichi/1337584902</x:t>
  </x:si>
  <x:si>
    <x:t>- - - - Mouth</x:t>
  </x:si>
  <x:si>
    <x:t>http://id.who.int/icd/entity/1379637685</x:t>
  </x:si>
  <x:si>
    <x:t>http://id.who.int/icd/release/11/beta/ichi/1379637685</x:t>
  </x:si>
  <x:si>
    <x:t>- - - - - Vestibule of mouth</x:t>
  </x:si>
  <x:si>
    <x:t>http://id.who.int/icd/entity/1481885257</x:t>
  </x:si>
  <x:si>
    <x:t>http://id.who.int/icd/release/11/beta/ichi/1481885257</x:t>
  </x:si>
  <x:si>
    <x:t>- - - - - - Retromolar region</x:t>
  </x:si>
  <x:si>
    <x:t>http://id.who.int/icd/entity/382105818</x:t>
  </x:si>
  <x:si>
    <x:t>http://id.who.int/icd/release/11/beta/ichi/382105818</x:t>
  </x:si>
  <x:si>
    <x:t>- - - - - - Labial sulcus</x:t>
  </x:si>
  <x:si>
    <x:t>http://id.who.int/icd/entity/1198448711</x:t>
  </x:si>
  <x:si>
    <x:t>http://id.who.int/icd/release/11/beta/ichi/1198448711</x:t>
  </x:si>
  <x:si>
    <x:t>- - - - - - - Superior labial sulcus</x:t>
  </x:si>
  <x:si>
    <x:t>http://id.who.int/icd/entity/1346798727</x:t>
  </x:si>
  <x:si>
    <x:t>http://id.who.int/icd/release/11/beta/ichi/1346798727</x:t>
  </x:si>
  <x:si>
    <x:t>- - - - - - - Inferior labial sulcus</x:t>
  </x:si>
  <x:si>
    <x:t>http://id.who.int/icd/entity/1378834033</x:t>
  </x:si>
  <x:si>
    <x:t>http://id.who.int/icd/release/11/beta/ichi/1378834033</x:t>
  </x:si>
  <x:si>
    <x:t>- - - - - - Buccal sulcus</x:t>
  </x:si>
  <x:si>
    <x:t>http://id.who.int/icd/entity/1133653343</x:t>
  </x:si>
  <x:si>
    <x:t>http://id.who.int/icd/release/11/beta/ichi/1133653343</x:t>
  </x:si>
  <x:si>
    <x:t>- - - - - - - Superolateral buccal sulcus</x:t>
  </x:si>
  <x:si>
    <x:t>http://id.who.int/icd/entity/642454303</x:t>
  </x:si>
  <x:si>
    <x:t>http://id.who.int/icd/release/11/beta/ichi/642454303</x:t>
  </x:si>
  <x:si>
    <x:t>- - - - - - - Inferolateral buccal sulcus</x:t>
  </x:si>
  <x:si>
    <x:t>http://id.who.int/icd/entity/1682501833</x:t>
  </x:si>
  <x:si>
    <x:t>http://id.who.int/icd/release/11/beta/ichi/1682501833</x:t>
  </x:si>
  <x:si>
    <x:t>- - - - - Gingivae</x:t>
  </x:si>
  <x:si>
    <x:t>http://id.who.int/icd/entity/1342534583</x:t>
  </x:si>
  <x:si>
    <x:t>http://id.who.int/icd/release/11/beta/ichi/1342534583</x:t>
  </x:si>
  <x:si>
    <x:t>- - - - - - Upper gingiva</x:t>
  </x:si>
  <x:si>
    <x:t>http://id.who.int/icd/entity/1799572494</x:t>
  </x:si>
  <x:si>
    <x:t>http://id.who.int/icd/release/11/beta/ichi/1799572494</x:t>
  </x:si>
  <x:si>
    <x:t>- - - - - - - Upper alveolar mucosa</x:t>
  </x:si>
  <x:si>
    <x:t>http://id.who.int/icd/entity/1325901840</x:t>
  </x:si>
  <x:si>
    <x:t>http://id.who.int/icd/release/11/beta/ichi/1325901840</x:t>
  </x:si>
  <x:si>
    <x:t>- - - - - - - Upper alveolar ridge mucosa</x:t>
  </x:si>
  <x:si>
    <x:t>http://id.who.int/icd/entity/1194137463</x:t>
  </x:si>
  <x:si>
    <x:t>http://id.who.int/icd/release/11/beta/ichi/1194137463</x:t>
  </x:si>
  <x:si>
    <x:t>- - - - - - Lower gingiva</x:t>
  </x:si>
  <x:si>
    <x:t>http://id.who.int/icd/entity/1540823032</x:t>
  </x:si>
  <x:si>
    <x:t>http://id.who.int/icd/release/11/beta/ichi/1540823032</x:t>
  </x:si>
  <x:si>
    <x:t>- - - - - - - Lower alveolar mucosa</x:t>
  </x:si>
  <x:si>
    <x:t>http://id.who.int/icd/entity/1657800581</x:t>
  </x:si>
  <x:si>
    <x:t>http://id.who.int/icd/release/11/beta/ichi/1657800581</x:t>
  </x:si>
  <x:si>
    <x:t>- - - - - - - Lower alveolar ridge mucosa</x:t>
  </x:si>
  <x:si>
    <x:t>http://id.who.int/icd/entity/1421494687</x:t>
  </x:si>
  <x:si>
    <x:t>http://id.who.int/icd/release/11/beta/ichi/1421494687</x:t>
  </x:si>
  <x:si>
    <x:t>- - - - - Oral mucosa</x:t>
  </x:si>
  <x:si>
    <x:t>http://id.who.int/icd/entity/1610684600</x:t>
  </x:si>
  <x:si>
    <x:t>http://id.who.int/icd/release/11/beta/ichi/1610684600</x:t>
  </x:si>
  <x:si>
    <x:t>- - - - - Other and unspecified parts of mouth</x:t>
  </x:si>
  <x:si>
    <x:t>http://id.who.int/icd/entity/1769856759</x:t>
  </x:si>
  <x:si>
    <x:t>http://id.who.int/icd/release/11/beta/ichi/1769856759</x:t>
  </x:si>
  <x:si>
    <x:t>http://id.who.int/icd/entity/903630327</x:t>
  </x:si>
  <x:si>
    <x:t>http://id.who.int/icd/release/11/beta/ichi/903630327</x:t>
  </x:si>
  <x:si>
    <x:t>- - - - - - Body of tongue</x:t>
  </x:si>
  <x:si>
    <x:t>http://id.who.int/icd/entity/559344009</x:t>
  </x:si>
  <x:si>
    <x:t>http://id.who.int/icd/release/11/beta/ichi/559344009</x:t>
  </x:si>
  <x:si>
    <x:t>- - - - - - - Midline of tongue</x:t>
  </x:si>
  <x:si>
    <x:t>http://id.who.int/icd/entity/873459633</x:t>
  </x:si>
  <x:si>
    <x:t>http://id.who.int/icd/release/11/beta/ichi/873459633</x:t>
  </x:si>
  <x:si>
    <x:t>- - - - - - Junctional zone of tongue</x:t>
  </x:si>
  <x:si>
    <x:t>http://id.who.int/icd/entity/462193783</x:t>
  </x:si>
  <x:si>
    <x:t>http://id.who.int/icd/release/11/beta/ichi/462193783</x:t>
  </x:si>
  <x:si>
    <x:t>- - - - - - Base of tongue</x:t>
  </x:si>
  <x:si>
    <x:t>http://id.who.int/icd/entity/2074122070</x:t>
  </x:si>
  <x:si>
    <x:t>http://id.who.int/icd/release/11/beta/ichi/2074122070</x:t>
  </x:si>
  <x:si>
    <x:t>- - - - - - - Posterior of tongue</x:t>
  </x:si>
  <x:si>
    <x:t>http://id.who.int/icd/entity/2119547447</x:t>
  </x:si>
  <x:si>
    <x:t>http://id.who.int/icd/release/11/beta/ichi/2119547447</x:t>
  </x:si>
  <x:si>
    <x:t>- - - - - - Dorsal surface of tongue</x:t>
  </x:si>
  <x:si>
    <x:t>http://id.who.int/icd/entity/11325971</x:t>
  </x:si>
  <x:si>
    <x:t>http://id.who.int/icd/release/11/beta/ichi/11325971</x:t>
  </x:si>
  <x:si>
    <x:t>- - - - - - Other and unspecified parts of tongue</x:t>
  </x:si>
  <x:si>
    <x:t>http://id.who.int/icd/entity/972524974</x:t>
  </x:si>
  <x:si>
    <x:t>http://id.who.int/icd/release/11/beta/ichi/972524974</x:t>
  </x:si>
  <x:si>
    <x:t>- - - - - - Ventral surface of tongue</x:t>
  </x:si>
  <x:si>
    <x:t>http://id.who.int/icd/entity/786426222</x:t>
  </x:si>
  <x:si>
    <x:t>http://id.who.int/icd/release/11/beta/ichi/786426222</x:t>
  </x:si>
  <x:si>
    <x:t>- - - - - - - Lingual frenulum</x:t>
  </x:si>
  <x:si>
    <x:t>http://id.who.int/icd/entity/1796590376</x:t>
  </x:si>
  <x:si>
    <x:t>http://id.who.int/icd/release/11/beta/ichi/1796590376</x:t>
  </x:si>
  <x:si>
    <x:t>- - - - - - Border of tongue</x:t>
  </x:si>
  <x:si>
    <x:t>http://id.who.int/icd/entity/445803026</x:t>
  </x:si>
  <x:si>
    <x:t>http://id.who.int/icd/release/11/beta/ichi/445803026</x:t>
  </x:si>
  <x:si>
    <x:t>- - - - - - - Lateral margin of tongue</x:t>
  </x:si>
  <x:si>
    <x:t>http://id.who.int/icd/entity/230297298</x:t>
  </x:si>
  <x:si>
    <x:t>http://id.who.int/icd/release/11/beta/ichi/230297298</x:t>
  </x:si>
  <x:si>
    <x:t>- - - - - - - Tip of tongue</x:t>
  </x:si>
  <x:si>
    <x:t>http://id.who.int/icd/entity/136043167</x:t>
  </x:si>
  <x:si>
    <x:t>http://id.who.int/icd/release/11/beta/ichi/136043167</x:t>
  </x:si>
  <x:si>
    <x:t>- - - - - Floor of mouth</x:t>
  </x:si>
  <x:si>
    <x:t>http://id.who.int/icd/entity/847420636</x:t>
  </x:si>
  <x:si>
    <x:t>http://id.who.int/icd/release/11/beta/ichi/847420636</x:t>
  </x:si>
  <x:si>
    <x:t>- - - - - - Alveololingual sulcus</x:t>
  </x:si>
  <x:si>
    <x:t>http://id.who.int/icd/entity/70261446</x:t>
  </x:si>
  <x:si>
    <x:t>http://id.who.int/icd/release/11/beta/ichi/70261446</x:t>
  </x:si>
  <x:si>
    <x:t>- - - - - Palate</x:t>
  </x:si>
  <x:si>
    <x:t>http://id.who.int/icd/entity/523484767</x:t>
  </x:si>
  <x:si>
    <x:t>http://id.who.int/icd/release/11/beta/ichi/523484767</x:t>
  </x:si>
  <x:si>
    <x:t>- - - - - - Hard palate</x:t>
  </x:si>
  <x:si>
    <x:t>http://id.who.int/icd/entity/1012292065</x:t>
  </x:si>
  <x:si>
    <x:t>http://id.who.int/icd/release/11/beta/ichi/1012292065</x:t>
  </x:si>
  <x:si>
    <x:t>- - - - - - Soft palate</x:t>
  </x:si>
  <x:si>
    <x:t>http://id.who.int/icd/entity/729693473</x:t>
  </x:si>
  <x:si>
    <x:t>http://id.who.int/icd/release/11/beta/ichi/729693473</x:t>
  </x:si>
  <x:si>
    <x:t>- - - - - - Uvula</x:t>
  </x:si>
  <x:si>
    <x:t>http://id.who.int/icd/entity/1515005003</x:t>
  </x:si>
  <x:si>
    <x:t>http://id.who.int/icd/release/11/beta/ichi/1515005003</x:t>
  </x:si>
  <x:si>
    <x:t>- - - - Salivary gland apparatus</x:t>
  </x:si>
  <x:si>
    <x:t>http://id.who.int/icd/entity/1079013045</x:t>
  </x:si>
  <x:si>
    <x:t>http://id.who.int/icd/release/11/beta/ichi/1079013045</x:t>
  </x:si>
  <x:si>
    <x:t>http://id.who.int/icd/entity/849425461</x:t>
  </x:si>
  <x:si>
    <x:t>http://id.who.int/icd/release/11/beta/ichi/849425461</x:t>
  </x:si>
  <x:si>
    <x:t>- - - - - Submandibular gland</x:t>
  </x:si>
  <x:si>
    <x:t>http://id.who.int/icd/entity/2032714741</x:t>
  </x:si>
  <x:si>
    <x:t>http://id.who.int/icd/release/11/beta/ichi/2032714741</x:t>
  </x:si>
  <x:si>
    <x:t>- - - - - - Left submandibular gland</x:t>
  </x:si>
  <x:si>
    <x:t>http://id.who.int/icd/entity/1845536565</x:t>
  </x:si>
  <x:si>
    <x:t>http://id.who.int/icd/release/11/beta/ichi/1845536565</x:t>
  </x:si>
  <x:si>
    <x:t>- - - - - - Right submandibular gland</x:t>
  </x:si>
  <x:si>
    <x:t>http://id.who.int/icd/entity/1467484789</x:t>
  </x:si>
  <x:si>
    <x:t>http://id.who.int/icd/release/11/beta/ichi/1467484789</x:t>
  </x:si>
  <x:si>
    <x:t>- - - - - Sublingual gland</x:t>
  </x:si>
  <x:si>
    <x:t>http://id.who.int/icd/entity/1180195321</x:t>
  </x:si>
  <x:si>
    <x:t>http://id.who.int/icd/release/11/beta/ichi/1180195321</x:t>
  </x:si>
  <x:si>
    <x:t>- - - - - Minor salivary gland</x:t>
  </x:si>
  <x:si>
    <x:t>http://id.who.int/icd/entity/1298481291</x:t>
  </x:si>
  <x:si>
    <x:t>http://id.who.int/icd/release/11/beta/ichi/1298481291</x:t>
  </x:si>
  <x:si>
    <x:t>- - - - - Salivary duct</x:t>
  </x:si>
  <x:si>
    <x:t>http://id.who.int/icd/entity/899820155</x:t>
  </x:si>
  <x:si>
    <x:t>http://id.who.int/icd/release/11/beta/ichi/899820155</x:t>
  </x:si>
  <x:si>
    <x:t>- - - - Pharynx</x:t>
  </x:si>
  <x:si>
    <x:t>http://id.who.int/icd/entity/2116804027</x:t>
  </x:si>
  <x:si>
    <x:t>http://id.who.int/icd/release/11/beta/ichi/2116804027</x:t>
  </x:si>
  <x:si>
    <x:t>- - - - - Oropharynx</x:t>
  </x:si>
  <x:si>
    <x:t>http://id.who.int/icd/entity/1097954495</x:t>
  </x:si>
  <x:si>
    <x:t>http://id.who.int/icd/release/11/beta/ichi/1097954495</x:t>
  </x:si>
  <x:si>
    <x:t>- - - - - - Lateral wall of oropharynx</x:t>
  </x:si>
  <x:si>
    <x:t>http://id.who.int/icd/entity/1630516979</x:t>
  </x:si>
  <x:si>
    <x:t>http://id.who.int/icd/release/11/beta/ichi/1630516979</x:t>
  </x:si>
  <x:si>
    <x:t>- - - - - - Posterior wall of oropharynx</x:t>
  </x:si>
  <x:si>
    <x:t>http://id.who.int/icd/entity/134307094</x:t>
  </x:si>
  <x:si>
    <x:t>http://id.who.int/icd/release/11/beta/ichi/134307094</x:t>
  </x:si>
  <x:si>
    <x:t>- - - - - - Vallecula</x:t>
  </x:si>
  <x:si>
    <x:t>http://id.who.int/icd/entity/1768384157</x:t>
  </x:si>
  <x:si>
    <x:t>http://id.who.int/icd/release/11/beta/ichi/1768384157</x:t>
  </x:si>
  <x:si>
    <x:t>- - - - - - Anterior surface of epiglottis</x:t>
  </x:si>
  <x:si>
    <x:t>http://id.who.int/icd/entity/1319643605</x:t>
  </x:si>
  <x:si>
    <x:t>http://id.who.int/icd/release/11/beta/ichi/1319643605</x:t>
  </x:si>
  <x:si>
    <x:t>- - - - - - Branchial cleft</x:t>
  </x:si>
  <x:si>
    <x:t>http://id.who.int/icd/entity/1781206950</x:t>
  </x:si>
  <x:si>
    <x:t>http://id.who.int/icd/release/11/beta/ichi/1781206950</x:t>
  </x:si>
  <x:si>
    <x:t>- - - - - Piriform recess</x:t>
  </x:si>
  <x:si>
    <x:t>http://id.who.int/icd/entity/72252748</x:t>
  </x:si>
  <x:si>
    <x:t>http://id.who.int/icd/release/11/beta/ichi/72252748</x:t>
  </x:si>
  <x:si>
    <x:t>- - - - Oesophagus</x:t>
  </x:si>
  <x:si>
    <x:t>http://id.who.int/icd/entity/1027002380</x:t>
  </x:si>
  <x:si>
    <x:t>http://id.who.int/icd/release/11/beta/ichi/1027002380</x:t>
  </x:si>
  <x:si>
    <x:t>- - - - - Upper third of oesophagus</x:t>
  </x:si>
  <x:si>
    <x:t>http://id.who.int/icd/entity/107997583</x:t>
  </x:si>
  <x:si>
    <x:t>http://id.who.int/icd/release/11/beta/ichi/107997583</x:t>
  </x:si>
  <x:si>
    <x:t>- - - - - Middle third of oesophagus</x:t>
  </x:si>
  <x:si>
    <x:t>http://id.who.int/icd/entity/706655436</x:t>
  </x:si>
  <x:si>
    <x:t>http://id.who.int/icd/release/11/beta/ichi/706655436</x:t>
  </x:si>
  <x:si>
    <x:t>- - - - - Lower third of oesophagus</x:t>
  </x:si>
  <x:si>
    <x:t>http://id.who.int/icd/entity/2143578283</x:t>
  </x:si>
  <x:si>
    <x:t>http://id.who.int/icd/release/11/beta/ichi/2143578283</x:t>
  </x:si>
  <x:si>
    <x:t>- - - - - Cervical oesophagus</x:t>
  </x:si>
  <x:si>
    <x:t>http://id.who.int/icd/entity/1535151273</x:t>
  </x:si>
  <x:si>
    <x:t>http://id.who.int/icd/release/11/beta/ichi/1535151273</x:t>
  </x:si>
  <x:si>
    <x:t>- - - - - Thoracic oesophagus</x:t>
  </x:si>
  <x:si>
    <x:t>http://id.who.int/icd/entity/1863250205</x:t>
  </x:si>
  <x:si>
    <x:t>http://id.who.int/icd/release/11/beta/ichi/1863250205</x:t>
  </x:si>
  <x:si>
    <x:t>- - - - - Abdominal oesophagus</x:t>
  </x:si>
  <x:si>
    <x:t>http://id.who.int/icd/entity/436563028</x:t>
  </x:si>
  <x:si>
    <x:t>http://id.who.int/icd/release/11/beta/ichi/436563028</x:t>
  </x:si>
  <x:si>
    <x:t>- - - - - Overlapping sites of oesophagus</x:t>
  </x:si>
  <x:si>
    <x:t>http://id.who.int/icd/entity/1651798887</x:t>
  </x:si>
  <x:si>
    <x:t>http://id.who.int/icd/release/11/beta/ichi/1651798887</x:t>
  </x:si>
  <x:si>
    <x:t>http://id.who.int/icd/entity/1443934016</x:t>
  </x:si>
  <x:si>
    <x:t>http://id.who.int/icd/release/11/beta/ichi/1443934016</x:t>
  </x:si>
  <x:si>
    <x:t>- - - - - Cardioesophageal junction</x:t>
  </x:si>
  <x:si>
    <x:t>http://id.who.int/icd/entity/1493524587</x:t>
  </x:si>
  <x:si>
    <x:t>http://id.who.int/icd/release/11/beta/ichi/1493524587</x:t>
  </x:si>
  <x:si>
    <x:t>http://id.who.int/icd/entity/911531868</x:t>
  </x:si>
  <x:si>
    <x:t>http://id.who.int/icd/release/11/beta/ichi/911531868</x:t>
  </x:si>
  <x:si>
    <x:t>- - - - - - Gastric cardia</x:t>
  </x:si>
  <x:si>
    <x:t>http://id.who.int/icd/entity/2053146581</x:t>
  </x:si>
  <x:si>
    <x:t>http://id.who.int/icd/release/11/beta/ichi/2053146581</x:t>
  </x:si>
  <x:si>
    <x:t>- - - - - - Gastric corpus</x:t>
  </x:si>
  <x:si>
    <x:t>http://id.who.int/icd/entity/1125657237</x:t>
  </x:si>
  <x:si>
    <x:t>http://id.who.int/icd/release/11/beta/ichi/1125657237</x:t>
  </x:si>
  <x:si>
    <x:t>- - - - - - Gastric fundus</x:t>
  </x:si>
  <x:si>
    <x:t>http://id.who.int/icd/entity/1833493269</x:t>
  </x:si>
  <x:si>
    <x:t>http://id.who.int/icd/release/11/beta/ichi/1833493269</x:t>
  </x:si>
  <x:si>
    <x:t>- - - - - - Gastric pylorus</x:t>
  </x:si>
  <x:si>
    <x:t>http://id.who.int/icd/entity/1412451925</x:t>
  </x:si>
  <x:si>
    <x:t>http://id.who.int/icd/release/11/beta/ichi/1412451925</x:t>
  </x:si>
  <x:si>
    <x:t>- - - - - - - Pyloric antrum</x:t>
  </x:si>
  <x:si>
    <x:t>http://id.who.int/icd/entity/837382165</x:t>
  </x:si>
  <x:si>
    <x:t>http://id.who.int/icd/release/11/beta/ichi/837382165</x:t>
  </x:si>
  <x:si>
    <x:t>- - - - - - Greater curvature of stomach</x:t>
  </x:si>
  <x:si>
    <x:t>http://id.who.int/icd/entity/650187989</x:t>
  </x:si>
  <x:si>
    <x:t>http://id.who.int/icd/release/11/beta/ichi/650187989</x:t>
  </x:si>
  <x:si>
    <x:t>- - - - - - Lesser curvature of stomach</x:t>
  </x:si>
  <x:si>
    <x:t>http://id.who.int/icd/entity/1928625572</x:t>
  </x:si>
  <x:si>
    <x:t>http://id.who.int/icd/release/11/beta/ichi/1928625572</x:t>
  </x:si>
  <x:si>
    <x:t>- - - - - Small intestine</x:t>
  </x:si>
  <x:si>
    <x:t>http://id.who.int/icd/entity/337700</x:t>
  </x:si>
  <x:si>
    <x:t>http://id.who.int/icd/release/11/beta/ichi/337700</x:t>
  </x:si>
  <x:si>
    <x:t>- - - - - - Duodenum</x:t>
  </x:si>
  <x:si>
    <x:t>http://id.who.int/icd/entity/18598211</x:t>
  </x:si>
  <x:si>
    <x:t>http://id.who.int/icd/release/11/beta/ichi/18598211</x:t>
  </x:si>
  <x:si>
    <x:t>- - - - - - Jejunum</x:t>
  </x:si>
  <x:si>
    <x:t>http://id.who.int/icd/entity/1708923236</x:t>
  </x:si>
  <x:si>
    <x:t>http://id.who.int/icd/release/11/beta/ichi/1708923236</x:t>
  </x:si>
  <x:si>
    <x:t>- - - - - - Ileum</x:t>
  </x:si>
  <x:si>
    <x:t>http://id.who.int/icd/entity/1741413713</x:t>
  </x:si>
  <x:si>
    <x:t>http://id.who.int/icd/release/11/beta/ichi/1741413713</x:t>
  </x:si>
  <x:si>
    <x:t>- - - - - Large intestine</x:t>
  </x:si>
  <x:si>
    <x:t>http://id.who.int/icd/entity/326645548</x:t>
  </x:si>
  <x:si>
    <x:t>http://id.who.int/icd/release/11/beta/ichi/326645548</x:t>
  </x:si>
  <x:si>
    <x:t>- - - - - - Caecum</x:t>
  </x:si>
  <x:si>
    <x:t>http://id.who.int/icd/entity/1211030054</x:t>
  </x:si>
  <x:si>
    <x:t>http://id.who.int/icd/release/11/beta/ichi/1211030054</x:t>
  </x:si>
  <x:si>
    <x:t>- - - - - - Anus</x:t>
  </x:si>
  <x:si>
    <x:t>http://id.who.int/icd/entity/1594277606</x:t>
  </x:si>
  <x:si>
    <x:t>http://id.who.int/icd/release/11/beta/ichi/1594277606</x:t>
  </x:si>
  <x:si>
    <x:t>- - - - - - Anal Canal</x:t>
  </x:si>
  <x:si>
    <x:t>http://id.who.int/icd/entity/1212282357</x:t>
  </x:si>
  <x:si>
    <x:t>http://id.who.int/icd/release/11/beta/ichi/1212282357</x:t>
  </x:si>
  <x:si>
    <x:t>- - - - - - Cloacogenic zone</x:t>
  </x:si>
  <x:si>
    <x:t>http://id.who.int/icd/entity/720455085</x:t>
  </x:si>
  <x:si>
    <x:t>http://id.who.int/icd/release/11/beta/ichi/720455085</x:t>
  </x:si>
  <x:si>
    <x:t>- - - - - - Rectosigmoid junction</x:t>
  </x:si>
  <x:si>
    <x:t>http://id.who.int/icd/entity/430404896</x:t>
  </x:si>
  <x:si>
    <x:t>http://id.who.int/icd/release/11/beta/ichi/430404896</x:t>
  </x:si>
  <x:si>
    <x:t>- - - - - Upper gastrointestinal tract, not elsewhere classified</x:t>
  </x:si>
  <x:si>
    <x:t>http://id.who.int/icd/entity/616736219</x:t>
  </x:si>
  <x:si>
    <x:t>http://id.who.int/icd/release/11/beta/ichi/616736219</x:t>
  </x:si>
  <x:si>
    <x:t>- - - - Hepatobiliary system</x:t>
  </x:si>
  <x:si>
    <x:t>http://id.who.int/icd/entity/328366540</x:t>
  </x:si>
  <x:si>
    <x:t>http://id.who.int/icd/release/11/beta/ichi/328366540</x:t>
  </x:si>
  <x:si>
    <x:t>http://id.who.int/icd/entity/1536153046</x:t>
  </x:si>
  <x:si>
    <x:t>http://id.who.int/icd/release/11/beta/ichi/1536153046</x:t>
  </x:si>
  <x:si>
    <x:t>- - - - - - Left lobe of liver</x:t>
  </x:si>
  <x:si>
    <x:t>http://id.who.int/icd/entity/1142504546</x:t>
  </x:si>
  <x:si>
    <x:t>http://id.who.int/icd/release/11/beta/ichi/1142504546</x:t>
  </x:si>
  <x:si>
    <x:t>- - - - - - Right lobe of liver</x:t>
  </x:si>
  <x:si>
    <x:t>http://id.who.int/icd/entity/641615438</x:t>
  </x:si>
  <x:si>
    <x:t>http://id.who.int/icd/release/11/beta/ichi/641615438</x:t>
  </x:si>
  <x:si>
    <x:t>- - - - - - Caudate lobe of liver</x:t>
  </x:si>
  <x:si>
    <x:t>http://id.who.int/icd/entity/791525913</x:t>
  </x:si>
  <x:si>
    <x:t>http://id.who.int/icd/release/11/beta/ichi/791525913</x:t>
  </x:si>
  <x:si>
    <x:t>- - - - - - Quadrate lobe of liver</x:t>
  </x:si>
  <x:si>
    <x:t>http://id.who.int/icd/entity/1202131133</x:t>
  </x:si>
  <x:si>
    <x:t>http://id.who.int/icd/release/11/beta/ichi/1202131133</x:t>
  </x:si>
  <x:si>
    <x:t>- - - - - Biliary tract</x:t>
  </x:si>
  <x:si>
    <x:t>http://id.who.int/icd/entity/126976415</x:t>
  </x:si>
  <x:si>
    <x:t>http://id.who.int/icd/release/11/beta/ichi/126976415</x:t>
  </x:si>
  <x:si>
    <x:t>- - - - - - Hepatic bile ducts</x:t>
  </x:si>
  <x:si>
    <x:t>http://id.who.int/icd/entity/1728431334</x:t>
  </x:si>
  <x:si>
    <x:t>http://id.who.int/icd/release/11/beta/ichi/1728431334</x:t>
  </x:si>
  <x:si>
    <x:t>- - - - - - - Left hepatic duct</x:t>
  </x:si>
  <x:si>
    <x:t>http://id.who.int/icd/entity/671943795</x:t>
  </x:si>
  <x:si>
    <x:t>http://id.who.int/icd/release/11/beta/ichi/671943795</x:t>
  </x:si>
  <x:si>
    <x:t>- - - - - - - Right hepatic duct</x:t>
  </x:si>
  <x:si>
    <x:t>http://id.who.int/icd/entity/577065871</x:t>
  </x:si>
  <x:si>
    <x:t>http://id.who.int/icd/release/11/beta/ichi/577065871</x:t>
  </x:si>
  <x:si>
    <x:t>- - - - - - - Common hepatic duct</x:t>
  </x:si>
  <x:si>
    <x:t>http://id.who.int/icd/entity/777383588</x:t>
  </x:si>
  <x:si>
    <x:t>http://id.who.int/icd/release/11/beta/ichi/777383588</x:t>
  </x:si>
  <x:si>
    <x:t>- - - - - - Ampulla of Vater</x:t>
  </x:si>
  <x:si>
    <x:t>http://id.who.int/icd/entity/1494702435</x:t>
  </x:si>
  <x:si>
    <x:t>http://id.who.int/icd/release/11/beta/ichi/1494702435</x:t>
  </x:si>
  <x:si>
    <x:t>- - - - - - Extrahepatic bile duct</x:t>
  </x:si>
  <x:si>
    <x:t>http://id.who.int/icd/entity/532265365</x:t>
  </x:si>
  <x:si>
    <x:t>http://id.who.int/icd/release/11/beta/ichi/532265365</x:t>
  </x:si>
  <x:si>
    <x:t>- - - - Pancreas</x:t>
  </x:si>
  <x:si>
    <x:t>http://id.who.int/icd/entity/668990132</x:t>
  </x:si>
  <x:si>
    <x:t>http://id.who.int/icd/release/11/beta/ichi/668990132</x:t>
  </x:si>
  <x:si>
    <x:t>- - - - - Head of pancreas</x:t>
  </x:si>
  <x:si>
    <x:t>http://id.who.int/icd/entity/1734330584</x:t>
  </x:si>
  <x:si>
    <x:t>http://id.who.int/icd/release/11/beta/ichi/1734330584</x:t>
  </x:si>
  <x:si>
    <x:t>- - - - - Neck of pancreas</x:t>
  </x:si>
  <x:si>
    <x:t>http://id.who.int/icd/entity/821534324</x:t>
  </x:si>
  <x:si>
    <x:t>http://id.who.int/icd/release/11/beta/ichi/821534324</x:t>
  </x:si>
  <x:si>
    <x:t>- - - - - Body of pancreas</x:t>
  </x:si>
  <x:si>
    <x:t>http://id.who.int/icd/entity/79305996</x:t>
  </x:si>
  <x:si>
    <x:t>http://id.who.int/icd/release/11/beta/ichi/79305996</x:t>
  </x:si>
  <x:si>
    <x:t>- - - - - Tail of pancreas</x:t>
  </x:si>
  <x:si>
    <x:t>http://id.who.int/icd/entity/372485507</x:t>
  </x:si>
  <x:si>
    <x:t>http://id.who.int/icd/release/11/beta/ichi/372485507</x:t>
  </x:si>
  <x:si>
    <x:t>- - - - - Pancreatic duct</x:t>
  </x:si>
  <x:si>
    <x:t>http://id.who.int/icd/entity/1301065208</x:t>
  </x:si>
  <x:si>
    <x:t>http://id.who.int/icd/release/11/beta/ichi/1301065208</x:t>
  </x:si>
  <x:si>
    <x:t>- - - - - - Duct of Santorini</x:t>
  </x:si>
  <x:si>
    <x:t>http://id.who.int/icd/entity/42231149</x:t>
  </x:si>
  <x:si>
    <x:t>http://id.who.int/icd/release/11/beta/ichi/42231149</x:t>
  </x:si>
  <x:si>
    <x:t>- - - - - - Duct of Wirsung</x:t>
  </x:si>
  <x:si>
    <x:t>http://id.who.int/icd/entity/555078855</x:t>
  </x:si>
  <x:si>
    <x:t>http://id.who.int/icd/release/11/beta/ichi/555078855</x:t>
  </x:si>
  <x:si>
    <x:t>- - - Integumentary system</x:t>
  </x:si>
  <x:si>
    <x:t>http://id.who.int/icd/entity/123461884</x:t>
  </x:si>
  <x:si>
    <x:t>http://id.who.int/icd/release/11/beta/ichi/123461884</x:t>
  </x:si>
  <x:si>
    <x:t>http://id.who.int/icd/entity/1001188833</x:t>
  </x:si>
  <x:si>
    <x:t>http://id.who.int/icd/release/11/beta/ichi/1001188833</x:t>
  </x:si>
  <x:si>
    <x:t>- - - - - Epidermal appendages</x:t>
  </x:si>
  <x:si>
    <x:t>http://id.who.int/icd/entity/1456430532</x:t>
  </x:si>
  <x:si>
    <x:t>http://id.who.int/icd/release/11/beta/ichi/1456430532</x:t>
  </x:si>
  <x:si>
    <x:t>- - - - - - Hair</x:t>
  </x:si>
  <x:si>
    <x:t>http://id.who.int/icd/entity/276005948</x:t>
  </x:si>
  <x:si>
    <x:t>http://id.who.int/icd/release/11/beta/ichi/276005948</x:t>
  </x:si>
  <x:si>
    <x:t>- - - - - - - Scalp hair</x:t>
  </x:si>
  <x:si>
    <x:t>http://id.who.int/icd/entity/688597372</x:t>
  </x:si>
  <x:si>
    <x:t>http://id.who.int/icd/release/11/beta/ichi/688597372</x:t>
  </x:si>
  <x:si>
    <x:t>- - - - - - - Eyebrow hairs</x:t>
  </x:si>
  <x:si>
    <x:t>http://id.who.int/icd/entity/1042501052</x:t>
  </x:si>
  <x:si>
    <x:t>http://id.who.int/icd/release/11/beta/ichi/1042501052</x:t>
  </x:si>
  <x:si>
    <x:t>- - - - - - - Eyelashes</x:t>
  </x:si>
  <x:si>
    <x:t>http://id.who.int/icd/entity/1543140348</x:t>
  </x:si>
  <x:si>
    <x:t>http://id.who.int/icd/release/11/beta/ichi/1543140348</x:t>
  </x:si>
  <x:si>
    <x:t>- - - - - - - Beard hair</x:t>
  </x:si>
  <x:si>
    <x:t>http://id.who.int/icd/entity/1974123132</x:t>
  </x:si>
  <x:si>
    <x:t>http://id.who.int/icd/release/11/beta/ichi/1974123132</x:t>
  </x:si>
  <x:si>
    <x:t>- - - - - - - Body hair</x:t>
  </x:si>
  <x:si>
    <x:t>http://id.who.int/icd/entity/1288836924</x:t>
  </x:si>
  <x:si>
    <x:t>http://id.who.int/icd/release/11/beta/ichi/1288836924</x:t>
  </x:si>
  <x:si>
    <x:t>- - - - - - - Pubic hair</x:t>
  </x:si>
  <x:si>
    <x:t>http://id.who.int/icd/entity/702671952</x:t>
  </x:si>
  <x:si>
    <x:t>http://id.who.int/icd/release/11/beta/ichi/702671952</x:t>
  </x:si>
  <x:si>
    <x:t>- - - - - - Nail apparatus</x:t>
  </x:si>
  <x:si>
    <x:t>http://id.who.int/icd/entity/1724482772</x:t>
  </x:si>
  <x:si>
    <x:t>http://id.who.int/icd/release/11/beta/ichi/1724482772</x:t>
  </x:si>
  <x:si>
    <x:t>- - - - - - - Nail</x:t>
  </x:si>
  <x:si>
    <x:t>http://id.who.int/icd/entity/1605446036</x:t>
  </x:si>
  <x:si>
    <x:t>http://id.who.int/icd/release/11/beta/ichi/1605446036</x:t>
  </x:si>
  <x:si>
    <x:t>- - - - - - - - Toenail</x:t>
  </x:si>
  <x:si>
    <x:t>http://id.who.int/icd/entity/1152552203</x:t>
  </x:si>
  <x:si>
    <x:t>http://id.who.int/icd/release/11/beta/ichi/1152552203</x:t>
  </x:si>
  <x:si>
    <x:t>- - - - - - - - - Great toenail</x:t>
  </x:si>
  <x:si>
    <x:t>http://id.who.int/icd/entity/60529779</x:t>
  </x:si>
  <x:si>
    <x:t>http://id.who.int/icd/release/11/beta/ichi/60529779</x:t>
  </x:si>
  <x:si>
    <x:t>- - - - - - - - - - Lunula of great toe</x:t>
  </x:si>
  <x:si>
    <x:t>http://id.who.int/icd/entity/1561068498</x:t>
  </x:si>
  <x:si>
    <x:t>http://id.who.int/icd/release/11/beta/ichi/1561068498</x:t>
  </x:si>
  <x:si>
    <x:t>- - - - - - - - - - Nail bed of great toe</x:t>
  </x:si>
  <x:si>
    <x:t>http://id.who.int/icd/entity/855488891</x:t>
  </x:si>
  <x:si>
    <x:t>http://id.who.int/icd/release/11/beta/ichi/855488891</x:t>
  </x:si>
  <x:si>
    <x:t>- - - - - - - - - - Nail plate of great toe</x:t>
  </x:si>
  <x:si>
    <x:t>http://id.who.int/icd/entity/1402661323</x:t>
  </x:si>
  <x:si>
    <x:t>http://id.who.int/icd/release/11/beta/ichi/1402661323</x:t>
  </x:si>
  <x:si>
    <x:t>- - - - - - - - - Second toenail</x:t>
  </x:si>
  <x:si>
    <x:t>http://id.who.int/icd/entity/33745039</x:t>
  </x:si>
  <x:si>
    <x:t>http://id.who.int/icd/release/11/beta/ichi/33745039</x:t>
  </x:si>
  <x:si>
    <x:t>- - - - - - - - - - Lunula of second toe</x:t>
  </x:si>
  <x:si>
    <x:t>http://id.who.int/icd/entity/1742292282</x:t>
  </x:si>
  <x:si>
    <x:t>http://id.who.int/icd/release/11/beta/ichi/1742292282</x:t>
  </x:si>
  <x:si>
    <x:t>- - - - - - - - - - Nail bed of second toe</x:t>
  </x:si>
  <x:si>
    <x:t>http://id.who.int/icd/entity/1667552006</x:t>
  </x:si>
  <x:si>
    <x:t>http://id.who.int/icd/release/11/beta/ichi/1667552006</x:t>
  </x:si>
  <x:si>
    <x:t>- - - - - - - - - - Nail plate of second toe</x:t>
  </x:si>
  <x:si>
    <x:t>http://id.who.int/icd/entity/1895763573</x:t>
  </x:si>
  <x:si>
    <x:t>http://id.who.int/icd/release/11/beta/ichi/1895763573</x:t>
  </x:si>
  <x:si>
    <x:t>- - - - - - - - - Third toenail</x:t>
  </x:si>
  <x:si>
    <x:t>http://id.who.int/icd/entity/1322808961</x:t>
  </x:si>
  <x:si>
    <x:t>http://id.who.int/icd/release/11/beta/ichi/1322808961</x:t>
  </x:si>
  <x:si>
    <x:t>- - - - - - - - - - Lunula of third toe</x:t>
  </x:si>
  <x:si>
    <x:t>http://id.who.int/icd/entity/1146474989</x:t>
  </x:si>
  <x:si>
    <x:t>http://id.who.int/icd/release/11/beta/ichi/1146474989</x:t>
  </x:si>
  <x:si>
    <x:t>- - - - - - - - - - Nail bed of third toe</x:t>
  </x:si>
  <x:si>
    <x:t>http://id.who.int/icd/entity/1156735389</x:t>
  </x:si>
  <x:si>
    <x:t>http://id.who.int/icd/release/11/beta/ichi/1156735389</x:t>
  </x:si>
  <x:si>
    <x:t>- - - - - - - - - - Nail plate of third toe</x:t>
  </x:si>
  <x:si>
    <x:t>http://id.who.int/icd/entity/1742170805</x:t>
  </x:si>
  <x:si>
    <x:t>http://id.who.int/icd/release/11/beta/ichi/1742170805</x:t>
  </x:si>
  <x:si>
    <x:t>- - - - - - - - - Fourth toenail</x:t>
  </x:si>
  <x:si>
    <x:t>http://id.who.int/icd/entity/1571728673</x:t>
  </x:si>
  <x:si>
    <x:t>http://id.who.int/icd/release/11/beta/ichi/1571728673</x:t>
  </x:si>
  <x:si>
    <x:t>- - - - - - - - - - Lunula of fourth toe</x:t>
  </x:si>
  <x:si>
    <x:t>http://id.who.int/icd/entity/1494432543</x:t>
  </x:si>
  <x:si>
    <x:t>http://id.who.int/icd/release/11/beta/ichi/1494432543</x:t>
  </x:si>
  <x:si>
    <x:t>- - - - - - - - - - Nail bed of fourth toe</x:t>
  </x:si>
  <x:si>
    <x:t>http://id.who.int/icd/entity/1402903667</x:t>
  </x:si>
  <x:si>
    <x:t>http://id.who.int/icd/release/11/beta/ichi/1402903667</x:t>
  </x:si>
  <x:si>
    <x:t>- - - - - - - - - - Nail plate of fourth toe</x:t>
  </x:si>
  <x:si>
    <x:t>http://id.who.int/icd/entity/1218006356</x:t>
  </x:si>
  <x:si>
    <x:t>http://id.who.int/icd/release/11/beta/ichi/1218006356</x:t>
  </x:si>
  <x:si>
    <x:t>- - - - - - - - - Fifth toenail</x:t>
  </x:si>
  <x:si>
    <x:t>http://id.who.int/icd/entity/932102376</x:t>
  </x:si>
  <x:si>
    <x:t>http://id.who.int/icd/release/11/beta/ichi/932102376</x:t>
  </x:si>
  <x:si>
    <x:t>- - - - - - - - - - Lunula of fifth toe</x:t>
  </x:si>
  <x:si>
    <x:t>http://id.who.int/icd/entity/1023633292</x:t>
  </x:si>
  <x:si>
    <x:t>http://id.who.int/icd/release/11/beta/ichi/1023633292</x:t>
  </x:si>
  <x:si>
    <x:t>- - - - - - - - - - Nail bed of fifth toe</x:t>
  </x:si>
  <x:si>
    <x:t>http://id.who.int/icd/entity/1034213370</x:t>
  </x:si>
  <x:si>
    <x:t>http://id.who.int/icd/release/11/beta/ichi/1034213370</x:t>
  </x:si>
  <x:si>
    <x:t>- - - - - - - - - - Nail plate of fifth toe</x:t>
  </x:si>
  <x:si>
    <x:t>http://id.who.int/icd/entity/2110398539</x:t>
  </x:si>
  <x:si>
    <x:t>http://id.who.int/icd/release/11/beta/ichi/2110398539</x:t>
  </x:si>
  <x:si>
    <x:t>- - - - - - - - Fingernails</x:t>
  </x:si>
  <x:si>
    <x:t>http://id.who.int/icd/entity/560706379</x:t>
  </x:si>
  <x:si>
    <x:t>http://id.who.int/icd/release/11/beta/ichi/560706379</x:t>
  </x:si>
  <x:si>
    <x:t>- - - - - - - - - Index fingernail</x:t>
  </x:si>
  <x:si>
    <x:t>http://id.who.int/icd/entity/874068863</x:t>
  </x:si>
  <x:si>
    <x:t>http://id.who.int/icd/release/11/beta/ichi/874068863</x:t>
  </x:si>
  <x:si>
    <x:t>- - - - - - - - - - Lunula of index finger</x:t>
  </x:si>
  <x:si>
    <x:t>http://id.who.int/icd/entity/2107408513</x:t>
  </x:si>
  <x:si>
    <x:t>http://id.who.int/icd/release/11/beta/ichi/2107408513</x:t>
  </x:si>
  <x:si>
    <x:t>- - - - - - - - - - Nail bed of index finger</x:t>
  </x:si>
  <x:si>
    <x:t>http://id.who.int/icd/entity/309148200</x:t>
  </x:si>
  <x:si>
    <x:t>http://id.who.int/icd/release/11/beta/ichi/309148200</x:t>
  </x:si>
  <x:si>
    <x:t>- - - - - - - - - - Nail plate of index finger</x:t>
  </x:si>
  <x:si>
    <x:t>http://id.who.int/icd/entity/403906059</x:t>
  </x:si>
  <x:si>
    <x:t>http://id.who.int/icd/release/11/beta/ichi/403906059</x:t>
  </x:si>
  <x:si>
    <x:t>- - - - - - - - - Middle fingernail</x:t>
  </x:si>
  <x:si>
    <x:t>http://id.who.int/icd/entity/395685800</x:t>
  </x:si>
  <x:si>
    <x:t>http://id.who.int/icd/release/11/beta/ichi/395685800</x:t>
  </x:si>
  <x:si>
    <x:t>- - - - - - - - - - Lunula of middle finger</x:t>
  </x:si>
  <x:si>
    <x:t>http://id.who.int/icd/entity/1917714973</x:t>
  </x:si>
  <x:si>
    <x:t>http://id.who.int/icd/release/11/beta/ichi/1917714973</x:t>
  </x:si>
  <x:si>
    <x:t>- - - - - - - - - - Nail bed of middle finger</x:t>
  </x:si>
  <x:si>
    <x:t>http://id.who.int/icd/entity/1006194238</x:t>
  </x:si>
  <x:si>
    <x:t>http://id.who.int/icd/release/11/beta/ichi/1006194238</x:t>
  </x:si>
  <x:si>
    <x:t>- - - - - - - - - - Nail plate of middle finger</x:t>
  </x:si>
  <x:si>
    <x:t>http://id.who.int/icd/entity/255556299</x:t>
  </x:si>
  <x:si>
    <x:t>http://id.who.int/icd/release/11/beta/ichi/255556299</x:t>
  </x:si>
  <x:si>
    <x:t>- - - - - - - - - Ring fingernail</x:t>
  </x:si>
  <x:si>
    <x:t>http://id.who.int/icd/entity/738160118</x:t>
  </x:si>
  <x:si>
    <x:t>http://id.who.int/icd/release/11/beta/ichi/738160118</x:t>
  </x:si>
  <x:si>
    <x:t>- - - - - - - - - - Lunula of ring finger</x:t>
  </x:si>
  <x:si>
    <x:t>http://id.who.int/icd/entity/1141823325</x:t>
  </x:si>
  <x:si>
    <x:t>http://id.who.int/icd/release/11/beta/ichi/1141823325</x:t>
  </x:si>
  <x:si>
    <x:t>- - - - - - - - - - Nail bed of ring finger</x:t>
  </x:si>
  <x:si>
    <x:t>http://id.who.int/icd/entity/567638760</x:t>
  </x:si>
  <x:si>
    <x:t>http://id.who.int/icd/release/11/beta/ichi/567638760</x:t>
  </x:si>
  <x:si>
    <x:t>- - - - - - - - - - Nail plate of ring finger</x:t>
  </x:si>
  <x:si>
    <x:t>http://id.who.int/icd/entity/1793213579</x:t>
  </x:si>
  <x:si>
    <x:t>http://id.who.int/icd/release/11/beta/ichi/1793213579</x:t>
  </x:si>
  <x:si>
    <x:t>- - - - - - - - - Little fingernail</x:t>
  </x:si>
  <x:si>
    <x:t>http://id.who.int/icd/entity/286500046</x:t>
  </x:si>
  <x:si>
    <x:t>http://id.who.int/icd/release/11/beta/ichi/286500046</x:t>
  </x:si>
  <x:si>
    <x:t>- - - - - - - - - - Lunula of little finger</x:t>
  </x:si>
  <x:si>
    <x:t>http://id.who.int/icd/entity/1963194459</x:t>
  </x:si>
  <x:si>
    <x:t>http://id.who.int/icd/release/11/beta/ichi/1963194459</x:t>
  </x:si>
  <x:si>
    <x:t>- - - - - - - - - - Nail bed of little finger</x:t>
  </x:si>
  <x:si>
    <x:t>http://id.who.int/icd/entity/2140036919</x:t>
  </x:si>
  <x:si>
    <x:t>http://id.who.int/icd/release/11/beta/ichi/2140036919</x:t>
  </x:si>
  <x:si>
    <x:t>- - - - - - - - - - Nail plate of little finger</x:t>
  </x:si>
  <x:si>
    <x:t>http://id.who.int/icd/entity/910415755</x:t>
  </x:si>
  <x:si>
    <x:t>http://id.who.int/icd/release/11/beta/ichi/910415755</x:t>
  </x:si>
  <x:si>
    <x:t>- - - - - - - - - Thumbnail</x:t>
  </x:si>
  <x:si>
    <x:t>http://id.who.int/icd/entity/610095191</x:t>
  </x:si>
  <x:si>
    <x:t>http://id.who.int/icd/release/11/beta/ichi/610095191</x:t>
  </x:si>
  <x:si>
    <x:t>- - - - - - - - - - Lunula of thumb</x:t>
  </x:si>
  <x:si>
    <x:t>http://id.who.int/icd/entity/620421159</x:t>
  </x:si>
  <x:si>
    <x:t>http://id.who.int/icd/release/11/beta/ichi/620421159</x:t>
  </x:si>
  <x:si>
    <x:t>- - - - - - - - - - Nail bed of thumb</x:t>
  </x:si>
  <x:si>
    <x:t>http://id.who.int/icd/entity/1856834884</x:t>
  </x:si>
  <x:si>
    <x:t>http://id.who.int/icd/release/11/beta/ichi/1856834884</x:t>
  </x:si>
  <x:si>
    <x:t>- - - - - - - - - - Nail plate of thumb</x:t>
  </x:si>
  <x:si>
    <x:t>http://id.who.int/icd/entity/913769980</x:t>
  </x:si>
  <x:si>
    <x:t>http://id.who.int/icd/release/11/beta/ichi/913769980</x:t>
  </x:si>
  <x:si>
    <x:t>- - - - - - - Perionychium</x:t>
  </x:si>
  <x:si>
    <x:t>http://id.who.int/icd/entity/330979384</x:t>
  </x:si>
  <x:si>
    <x:t>http://id.who.int/icd/release/11/beta/ichi/330979384</x:t>
  </x:si>
  <x:si>
    <x:t>- - - - - - - - Eponychium</x:t>
  </x:si>
  <x:si>
    <x:t>http://id.who.int/icd/entity/1986131341</x:t>
  </x:si>
  <x:si>
    <x:t>http://id.who.int/icd/release/11/beta/ichi/1986131341</x:t>
  </x:si>
  <x:si>
    <x:t>- - - - - - - - Hyponychium</x:t>
  </x:si>
  <x:si>
    <x:t>http://id.who.int/icd/entity/672515867</x:t>
  </x:si>
  <x:si>
    <x:t>http://id.who.int/icd/release/11/beta/ichi/672515867</x:t>
  </x:si>
  <x:si>
    <x:t>- - - - - - Eccrine gland</x:t>
  </x:si>
  <x:si>
    <x:t>http://id.who.int/icd/entity/2041804561</x:t>
  </x:si>
  <x:si>
    <x:t>http://id.who.int/icd/release/11/beta/ichi/2041804561</x:t>
  </x:si>
  <x:si>
    <x:t>- - - - - - - Acrosyringium</x:t>
  </x:si>
  <x:si>
    <x:t>http://id.who.int/icd/entity/373476792</x:t>
  </x:si>
  <x:si>
    <x:t>http://id.who.int/icd/release/11/beta/ichi/373476792</x:t>
  </x:si>
  <x:si>
    <x:t>- - - - - - - Eccrine sweat duct</x:t>
  </x:si>
  <x:si>
    <x:t>http://id.who.int/icd/entity/1822964169</x:t>
  </x:si>
  <x:si>
    <x:t>http://id.who.int/icd/release/11/beta/ichi/1822964169</x:t>
  </x:si>
  <x:si>
    <x:t>- - - - - - - Eccrine sweat coil</x:t>
  </x:si>
  <x:si>
    <x:t>http://id.who.int/icd/entity/903433997</x:t>
  </x:si>
  <x:si>
    <x:t>http://id.who.int/icd/release/11/beta/ichi/903433997</x:t>
  </x:si>
  <x:si>
    <x:t>- - - - - Dermis</x:t>
  </x:si>
  <x:si>
    <x:t>http://id.who.int/icd/entity/1188883609</x:t>
  </x:si>
  <x:si>
    <x:t>http://id.who.int/icd/release/11/beta/ichi/1188883609</x:t>
  </x:si>
  <x:si>
    <x:t>- - - - - - Papillary dermis</x:t>
  </x:si>
  <x:si>
    <x:t>http://id.who.int/icd/entity/121873710</x:t>
  </x:si>
  <x:si>
    <x:t>http://id.who.int/icd/release/11/beta/ichi/121873710</x:t>
  </x:si>
  <x:si>
    <x:t>- - - - - - Reticular dermis</x:t>
  </x:si>
  <x:si>
    <x:t>http://id.who.int/icd/entity/586230733</x:t>
  </x:si>
  <x:si>
    <x:t>http://id.who.int/icd/release/11/beta/ichi/586230733</x:t>
  </x:si>
  <x:si>
    <x:t>- - - - - Hypodermis</x:t>
  </x:si>
  <x:si>
    <x:t>http://id.who.int/icd/entity/979078546</x:t>
  </x:si>
  <x:si>
    <x:t>http://id.who.int/icd/release/11/beta/ichi/979078546</x:t>
  </x:si>
  <x:si>
    <x:t>- - - - - - Subcutaneous fat</x:t>
  </x:si>
  <x:si>
    <x:t>http://id.who.int/icd/entity/40907641</x:t>
  </x:si>
  <x:si>
    <x:t>http://id.who.int/icd/release/11/beta/ichi/40907641</x:t>
  </x:si>
  <x:si>
    <x:t>- - - Musculoskeletal system</x:t>
  </x:si>
  <x:si>
    <x:t>http://id.who.int/icd/entity/657365008</x:t>
  </x:si>
  <x:si>
    <x:t>http://id.who.int/icd/release/11/beta/ichi/657365008</x:t>
  </x:si>
  <x:si>
    <x:t>- - - - Bones</x:t>
  </x:si>
  <x:si>
    <x:t>http://id.who.int/icd/entity/183512318</x:t>
  </x:si>
  <x:si>
    <x:t>http://id.who.int/icd/release/11/beta/ichi/183512318</x:t>
  </x:si>
  <x:si>
    <x:t>- - - - - Axial skeleton</x:t>
  </x:si>
  <x:si>
    <x:t>http://id.who.int/icd/entity/2037389465</x:t>
  </x:si>
  <x:si>
    <x:t>http://id.who.int/icd/release/11/beta/ichi/2037389465</x:t>
  </x:si>
  <x:si>
    <x:t>- - - - - - Bones of the head</x:t>
  </x:si>
  <x:si>
    <x:t>http://id.who.int/icd/entity/703099594</x:t>
  </x:si>
  <x:si>
    <x:t>http://id.who.int/icd/release/11/beta/ichi/703099594</x:t>
  </x:si>
  <x:si>
    <x:t>- - - - - - - Cranial Bones</x:t>
  </x:si>
  <x:si>
    <x:t>http://id.who.int/icd/entity/1090806454</x:t>
  </x:si>
  <x:si>
    <x:t>http://id.who.int/icd/release/11/beta/ichi/1090806454</x:t>
  </x:si>
  <x:si>
    <x:t>- - - - - - - - Base of the skull</x:t>
  </x:si>
  <x:si>
    <x:t>http://id.who.int/icd/entity/618487030</x:t>
  </x:si>
  <x:si>
    <x:t>http://id.who.int/icd/release/11/beta/ichi/618487030</x:t>
  </x:si>
  <x:si>
    <x:t>- - - - - - - - Calvarium</x:t>
  </x:si>
  <x:si>
    <x:t>http://id.who.int/icd/entity/1052775946</x:t>
  </x:si>
  <x:si>
    <x:t>http://id.who.int/icd/release/11/beta/ichi/1052775946</x:t>
  </x:si>
  <x:si>
    <x:t>- - - - - - - - Cranial fossa</x:t>
  </x:si>
  <x:si>
    <x:t>http://id.who.int/icd/entity/871708726</x:t>
  </x:si>
  <x:si>
    <x:t>http://id.who.int/icd/release/11/beta/ichi/871708726</x:t>
  </x:si>
  <x:si>
    <x:t>- - - - - - - - - Anterior fossa</x:t>
  </x:si>
  <x:si>
    <x:t>http://id.who.int/icd/entity/497414582</x:t>
  </x:si>
  <x:si>
    <x:t>http://id.who.int/icd/release/11/beta/ichi/497414582</x:t>
  </x:si>
  <x:si>
    <x:t>- - - - - - - - - Middle fossa</x:t>
  </x:si>
  <x:si>
    <x:t>http://id.who.int/icd/entity/177050998</x:t>
  </x:si>
  <x:si>
    <x:t>http://id.who.int/icd/release/11/beta/ichi/177050998</x:t>
  </x:si>
  <x:si>
    <x:t>- - - - - - - - - Posterior fossa</x:t>
  </x:si>
  <x:si>
    <x:t>http://id.who.int/icd/entity/1445725814</x:t>
  </x:si>
  <x:si>
    <x:t>http://id.who.int/icd/release/11/beta/ichi/1445725814</x:t>
  </x:si>
  <x:si>
    <x:t>- - - - - - - - Ethmoid bone</x:t>
  </x:si>
  <x:si>
    <x:t>http://id.who.int/icd/entity/1071577199</x:t>
  </x:si>
  <x:si>
    <x:t>http://id.who.int/icd/release/11/beta/ichi/1071577199</x:t>
  </x:si>
  <x:si>
    <x:t>- - - - - - - - Frontal bone</x:t>
  </x:si>
  <x:si>
    <x:t>http://id.who.int/icd/entity/2021445622</x:t>
  </x:si>
  <x:si>
    <x:t>http://id.who.int/icd/release/11/beta/ichi/2021445622</x:t>
  </x:si>
  <x:si>
    <x:t>- - - - - - - - Occipital bone</x:t>
  </x:si>
  <x:si>
    <x:t>http://id.who.int/icd/entity/1075481809</x:t>
  </x:si>
  <x:si>
    <x:t>http://id.who.int/icd/release/11/beta/ichi/1075481809</x:t>
  </x:si>
  <x:si>
    <x:t>- - - - - - - - - Occipital condyle</x:t>
  </x:si>
  <x:si>
    <x:t>http://id.who.int/icd/entity/1462954001</x:t>
  </x:si>
  <x:si>
    <x:t>http://id.who.int/icd/release/11/beta/ichi/1462954001</x:t>
  </x:si>
  <x:si>
    <x:t>- - - - - - - - - Occiput</x:t>
  </x:si>
  <x:si>
    <x:t>http://id.who.int/icd/entity/1510458927</x:t>
  </x:si>
  <x:si>
    <x:t>http://id.who.int/icd/release/11/beta/ichi/1510458927</x:t>
  </x:si>
  <x:si>
    <x:t>- - - - - - - - Parietal bone</x:t>
  </x:si>
  <x:si>
    <x:t>http://id.who.int/icd/entity/1867819830</x:t>
  </x:si>
  <x:si>
    <x:t>http://id.who.int/icd/release/11/beta/ichi/1867819830</x:t>
  </x:si>
  <x:si>
    <x:t>- - - - - - - - Sphenoid bone</x:t>
  </x:si>
  <x:si>
    <x:t>http://id.who.int/icd/entity/24387554</x:t>
  </x:si>
  <x:si>
    <x:t>http://id.who.int/icd/release/11/beta/ichi/24387554</x:t>
  </x:si>
  <x:si>
    <x:t>- - - - - - - - - Pituitary fossa</x:t>
  </x:si>
  <x:si>
    <x:t>http://id.who.int/icd/entity/1669294959</x:t>
  </x:si>
  <x:si>
    <x:t>http://id.who.int/icd/release/11/beta/ichi/1669294959</x:t>
  </x:si>
  <x:si>
    <x:t>- - - - - - - - Temporal bone</x:t>
  </x:si>
  <x:si>
    <x:t>http://id.who.int/icd/entity/1294967535</x:t>
  </x:si>
  <x:si>
    <x:t>http://id.who.int/icd/release/11/beta/ichi/1294967535</x:t>
  </x:si>
  <x:si>
    <x:t>- - - - - - - - - Petrous bone</x:t>
  </x:si>
  <x:si>
    <x:t>http://id.who.int/icd/entity/1951862703</x:t>
  </x:si>
  <x:si>
    <x:t>http://id.who.int/icd/release/11/beta/ichi/1951862703</x:t>
  </x:si>
  <x:si>
    <x:t>- - - - - - - - - Mastoid</x:t>
  </x:si>
  <x:si>
    <x:t>http://id.who.int/icd/entity/1757281176</x:t>
  </x:si>
  <x:si>
    <x:t>http://id.who.int/icd/release/11/beta/ichi/1757281176</x:t>
  </x:si>
  <x:si>
    <x:t>- - - - - - - Facial bones</x:t>
  </x:si>
  <x:si>
    <x:t>http://id.who.int/icd/entity/1371887320</x:t>
  </x:si>
  <x:si>
    <x:t>http://id.who.int/icd/release/11/beta/ichi/1371887320</x:t>
  </x:si>
  <x:si>
    <x:t>- - - - - - - - Hyoid bone</x:t>
  </x:si>
  <x:si>
    <x:t>http://id.who.int/icd/entity/1189949976</x:t>
  </x:si>
  <x:si>
    <x:t>http://id.who.int/icd/release/11/beta/ichi/1189949976</x:t>
  </x:si>
  <x:si>
    <x:t>- - - - - - - - Inferior nasal conchae</x:t>
  </x:si>
  <x:si>
    <x:t>http://id.who.int/icd/entity/874277016</x:t>
  </x:si>
  <x:si>
    <x:t>http://id.who.int/icd/release/11/beta/ichi/874277016</x:t>
  </x:si>
  <x:si>
    <x:t>- - - - - - - - Lacrimal bone</x:t>
  </x:si>
  <x:si>
    <x:t>http://id.who.int/icd/entity/889358079</x:t>
  </x:si>
  <x:si>
    <x:t>http://id.who.int/icd/release/11/beta/ichi/889358079</x:t>
  </x:si>
  <x:si>
    <x:t>- - - - - - - - Palatine bone</x:t>
  </x:si>
  <x:si>
    <x:t>http://id.who.int/icd/entity/590613592</x:t>
  </x:si>
  <x:si>
    <x:t>http://id.who.int/icd/release/11/beta/ichi/590613592</x:t>
  </x:si>
  <x:si>
    <x:t>- - - - - - - - Vomer bone</x:t>
  </x:si>
  <x:si>
    <x:t>http://id.who.int/icd/entity/441229592</x:t>
  </x:si>
  <x:si>
    <x:t>http://id.who.int/icd/release/11/beta/ichi/441229592</x:t>
  </x:si>
  <x:si>
    <x:t>- - - - - - - - Zygomatic bone</x:t>
  </x:si>
  <x:si>
    <x:t>http://id.who.int/icd/entity/375873857</x:t>
  </x:si>
  <x:si>
    <x:t>http://id.who.int/icd/release/11/beta/ichi/375873857</x:t>
  </x:si>
  <x:si>
    <x:t>- - - - - - - - Mandible</x:t>
  </x:si>
  <x:si>
    <x:t>http://id.who.int/icd/entity/1687567297</x:t>
  </x:si>
  <x:si>
    <x:t>http://id.who.int/icd/release/11/beta/ichi/1687567297</x:t>
  </x:si>
  <x:si>
    <x:t>- - - - - - - - - Alveolar border of body of mandible</x:t>
  </x:si>
  <x:si>
    <x:t>http://id.who.int/icd/entity/1941856001</x:t>
  </x:si>
  <x:si>
    <x:t>http://id.who.int/icd/release/11/beta/ichi/1941856001</x:t>
  </x:si>
  <x:si>
    <x:t>- - - - - - - - - Angle of mandible</x:t>
  </x:si>
  <x:si>
    <x:t>http://id.who.int/icd/entity/943171777</x:t>
  </x:si>
  <x:si>
    <x:t>http://id.who.int/icd/release/11/beta/ichi/943171777</x:t>
  </x:si>
  <x:si>
    <x:t>- - - - - - - - - Condylar process of the mandible</x:t>
  </x:si>
  <x:si>
    <x:t>http://id.who.int/icd/entity/1577099199</x:t>
  </x:si>
  <x:si>
    <x:t>http://id.who.int/icd/release/11/beta/ichi/1577099199</x:t>
  </x:si>
  <x:si>
    <x:t>- - - - - - - - - - Subcondylar process of mandible</x:t>
  </x:si>
  <x:si>
    <x:t>http://id.who.int/icd/entity/790612993</x:t>
  </x:si>
  <x:si>
    <x:t>http://id.who.int/icd/release/11/beta/ichi/790612993</x:t>
  </x:si>
  <x:si>
    <x:t>- - - - - - - - - Coronoid process of the mandible</x:t>
  </x:si>
  <x:si>
    <x:t>http://id.who.int/icd/entity/1254552129</x:t>
  </x:si>
  <x:si>
    <x:t>http://id.who.int/icd/release/11/beta/ichi/1254552129</x:t>
  </x:si>
  <x:si>
    <x:t>- - - - - - - - - Ramus of mandible</x:t>
  </x:si>
  <x:si>
    <x:t>http://id.who.int/icd/entity/1100379659</x:t>
  </x:si>
  <x:si>
    <x:t>http://id.who.int/icd/release/11/beta/ichi/1100379659</x:t>
  </x:si>
  <x:si>
    <x:t>- - - - - - - - - Symphysis of mandible</x:t>
  </x:si>
  <x:si>
    <x:t>http://id.who.int/icd/entity/1214154407</x:t>
  </x:si>
  <x:si>
    <x:t>http://id.who.int/icd/release/11/beta/ichi/1214154407</x:t>
  </x:si>
  <x:si>
    <x:t>- - - - - - - - - Inferior maxilla</x:t>
  </x:si>
  <x:si>
    <x:t>http://id.who.int/icd/entity/573235775</x:t>
  </x:si>
  <x:si>
    <x:t>http://id.who.int/icd/release/11/beta/ichi/573235775</x:t>
  </x:si>
  <x:si>
    <x:t>- - - - - - - - Maxilla</x:t>
  </x:si>
  <x:si>
    <x:t>http://id.who.int/icd/entity/224708056</x:t>
  </x:si>
  <x:si>
    <x:t>http://id.who.int/icd/release/11/beta/ichi/224708056</x:t>
  </x:si>
  <x:si>
    <x:t>- - - - - - - - Nasal bone</x:t>
  </x:si>
  <x:si>
    <x:t>http://id.who.int/icd/entity/809989035</x:t>
  </x:si>
  <x:si>
    <x:t>http://id.who.int/icd/release/11/beta/ichi/809989035</x:t>
  </x:si>
  <x:si>
    <x:t>- - - - - - - - Jaw, unspecified</x:t>
  </x:si>
  <x:si>
    <x:t>http://id.who.int/icd/entity/405704375</x:t>
  </x:si>
  <x:si>
    <x:t>http://id.who.int/icd/release/11/beta/ichi/405704375</x:t>
  </x:si>
  <x:si>
    <x:t>- - - - - - Vertebral column</x:t>
  </x:si>
  <x:si>
    <x:t>http://id.who.int/icd/entity/1302669122</x:t>
  </x:si>
  <x:si>
    <x:t>http://id.who.int/icd/release/11/beta/ichi/1302669122</x:t>
  </x:si>
  <x:si>
    <x:t>- - - - - - - Vertebra</x:t>
  </x:si>
  <x:si>
    <x:t>http://id.who.int/icd/entity/53291568</x:t>
  </x:si>
  <x:si>
    <x:t>http://id.who.int/icd/release/11/beta/ichi/53291568</x:t>
  </x:si>
  <x:si>
    <x:t>- - - - - - - - Cervical vertebra</x:t>
  </x:si>
  <x:si>
    <x:t>http://id.who.int/icd/entity/763225008</x:t>
  </x:si>
  <x:si>
    <x:t>http://id.who.int/icd/release/11/beta/ichi/763225008</x:t>
  </x:si>
  <x:si>
    <x:t>- - - - - - - - - Atlas</x:t>
  </x:si>
  <x:si>
    <x:t>http://id.who.int/icd/entity/280105504</x:t>
  </x:si>
  <x:si>
    <x:t>http://id.who.int/icd/release/11/beta/ichi/280105504</x:t>
  </x:si>
  <x:si>
    <x:t>- - - - - - - - - - Posterior arch of first cervical vertebra</x:t>
  </x:si>
  <x:si>
    <x:t>http://id.who.int/icd/entity/711414984</x:t>
  </x:si>
  <x:si>
    <x:t>http://id.who.int/icd/release/11/beta/ichi/711414984</x:t>
  </x:si>
  <x:si>
    <x:t>- - - - - - - - - - Lateral mass of first cervical vertebra</x:t>
  </x:si>
  <x:si>
    <x:t>http://id.who.int/icd/entity/978683760</x:t>
  </x:si>
  <x:si>
    <x:t>http://id.who.int/icd/release/11/beta/ichi/978683760</x:t>
  </x:si>
  <x:si>
    <x:t>- - - - - - - - - Axis</x:t>
  </x:si>
  <x:si>
    <x:t>http://id.who.int/icd/entity/1110637202</x:t>
  </x:si>
  <x:si>
    <x:t>http://id.who.int/icd/release/11/beta/ichi/1110637202</x:t>
  </x:si>
  <x:si>
    <x:t>- - - - - - - - - - Odontoid process</x:t>
  </x:si>
  <x:si>
    <x:t>http://id.who.int/icd/entity/1151871725</x:t>
  </x:si>
  <x:si>
    <x:t>http://id.who.int/icd/release/11/beta/ichi/1151871725</x:t>
  </x:si>
  <x:si>
    <x:t>- - - - - - - - - Third cervical vertebra</x:t>
  </x:si>
  <x:si>
    <x:t>http://id.who.int/icd/entity/2037392834</x:t>
  </x:si>
  <x:si>
    <x:t>http://id.who.int/icd/release/11/beta/ichi/2037392834</x:t>
  </x:si>
  <x:si>
    <x:t>- - - - - - - - - - Arch of third cervical vertebra</x:t>
  </x:si>
  <x:si>
    <x:t>http://id.who.int/icd/entity/58665251</x:t>
  </x:si>
  <x:si>
    <x:t>http://id.who.int/icd/release/11/beta/ichi/58665251</x:t>
  </x:si>
  <x:si>
    <x:t>- - - - - - - - - - Body of third cervical vertebra</x:t>
  </x:si>
  <x:si>
    <x:t>http://id.who.int/icd/entity/589425519</x:t>
  </x:si>
  <x:si>
    <x:t>http://id.who.int/icd/release/11/beta/ichi/589425519</x:t>
  </x:si>
  <x:si>
    <x:t>- - - - - - - - - - Processes of third cervical vertebra</x:t>
  </x:si>
  <x:si>
    <x:t>http://id.who.int/icd/entity/1321235729</x:t>
  </x:si>
  <x:si>
    <x:t>http://id.who.int/icd/release/11/beta/ichi/1321235729</x:t>
  </x:si>
  <x:si>
    <x:t>- - - - - - - - - Fourth cervical vertebra</x:t>
  </x:si>
  <x:si>
    <x:t>http://id.who.int/icd/entity/124063597</x:t>
  </x:si>
  <x:si>
    <x:t>http://id.who.int/icd/release/11/beta/ichi/124063597</x:t>
  </x:si>
  <x:si>
    <x:t>- - - - - - - - - - Arch of fourth cervical vertebra</x:t>
  </x:si>
  <x:si>
    <x:t>http://id.who.int/icd/entity/1743866390</x:t>
  </x:si>
  <x:si>
    <x:t>http://id.who.int/icd/release/11/beta/ichi/1743866390</x:t>
  </x:si>
  <x:si>
    <x:t>- - - - - - - - - - Body of fourth cervical vertebra</x:t>
  </x:si>
  <x:si>
    <x:t>http://id.who.int/icd/entity/687440513</x:t>
  </x:si>
  <x:si>
    <x:t>http://id.who.int/icd/release/11/beta/ichi/687440513</x:t>
  </x:si>
  <x:si>
    <x:t>- - - - - - - - - - Processes of fourth cervical vertebra</x:t>
  </x:si>
  <x:si>
    <x:t>http://id.who.int/icd/entity/29932932</x:t>
  </x:si>
  <x:si>
    <x:t>http://id.who.int/icd/release/11/beta/ichi/29932932</x:t>
  </x:si>
  <x:si>
    <x:t>- - - - - - - - - Fifth cervical vertebra</x:t>
  </x:si>
  <x:si>
    <x:t>http://id.who.int/icd/entity/579984765</x:t>
  </x:si>
  <x:si>
    <x:t>http://id.who.int/icd/release/11/beta/ichi/579984765</x:t>
  </x:si>
  <x:si>
    <x:t>- - - - - - - - - - Arch of fifth cervical vertebra</x:t>
  </x:si>
  <x:si>
    <x:t>http://id.who.int/icd/entity/1838749162</x:t>
  </x:si>
  <x:si>
    <x:t>http://id.who.int/icd/release/11/beta/ichi/1838749162</x:t>
  </x:si>
  <x:si>
    <x:t>- - - - - - - - - - Body of fifth cervical vertebra</x:t>
  </x:si>
  <x:si>
    <x:t>http://id.who.int/icd/entity/218050147</x:t>
  </x:si>
  <x:si>
    <x:t>http://id.who.int/icd/release/11/beta/ichi/218050147</x:t>
  </x:si>
  <x:si>
    <x:t>- - - - - - - - - - Processes of fifth cervical vertebra</x:t>
  </x:si>
  <x:si>
    <x:t>http://id.who.int/icd/entity/1622050319</x:t>
  </x:si>
  <x:si>
    <x:t>http://id.who.int/icd/release/11/beta/ichi/1622050319</x:t>
  </x:si>
  <x:si>
    <x:t>- - - - - - - - - Sixth cervical vertebra</x:t>
  </x:si>
  <x:si>
    <x:t>http://id.who.int/icd/entity/1185465096</x:t>
  </x:si>
  <x:si>
    <x:t>http://id.who.int/icd/release/11/beta/ichi/1185465096</x:t>
  </x:si>
  <x:si>
    <x:t>- - - - - - - - - - Arch of sixth cervical vertebra</x:t>
  </x:si>
  <x:si>
    <x:t>http://id.who.int/icd/entity/1915141812</x:t>
  </x:si>
  <x:si>
    <x:t>http://id.who.int/icd/release/11/beta/ichi/1915141812</x:t>
  </x:si>
  <x:si>
    <x:t>- - - - - - - - - - Body of sixth cervical vertebra</x:t>
  </x:si>
  <x:si>
    <x:t>http://id.who.int/icd/entity/1296639290</x:t>
  </x:si>
  <x:si>
    <x:t>http://id.who.int/icd/release/11/beta/ichi/1296639290</x:t>
  </x:si>
  <x:si>
    <x:t>- - - - - - - - - - Processes of sixth cervical vertebra</x:t>
  </x:si>
  <x:si>
    <x:t>http://id.who.int/icd/entity/3851128</x:t>
  </x:si>
  <x:si>
    <x:t>http://id.who.int/icd/release/11/beta/ichi/3851128</x:t>
  </x:si>
  <x:si>
    <x:t>- - - - - - - - - Seventh cervical vertebra</x:t>
  </x:si>
  <x:si>
    <x:t>http://id.who.int/icd/entity/927345115</x:t>
  </x:si>
  <x:si>
    <x:t>http://id.who.int/icd/release/11/beta/ichi/927345115</x:t>
  </x:si>
  <x:si>
    <x:t>- - - - - - - - - - Arch of seventh cervical vertebra</x:t>
  </x:si>
  <x:si>
    <x:t>http://id.who.int/icd/entity/387509143</x:t>
  </x:si>
  <x:si>
    <x:t>http://id.who.int/icd/release/11/beta/ichi/387509143</x:t>
  </x:si>
  <x:si>
    <x:t>- - - - - - - - - - Body of seventh cervical vertebra</x:t>
  </x:si>
  <x:si>
    <x:t>http://id.who.int/icd/entity/861671317</x:t>
  </x:si>
  <x:si>
    <x:t>http://id.who.int/icd/release/11/beta/ichi/861671317</x:t>
  </x:si>
  <x:si>
    <x:t>- - - - - - - - - - Processes of seventh cervical vertebra</x:t>
  </x:si>
  <x:si>
    <x:t>http://id.who.int/icd/entity/335892208</x:t>
  </x:si>
  <x:si>
    <x:t>http://id.who.int/icd/release/11/beta/ichi/335892208</x:t>
  </x:si>
  <x:si>
    <x:t>- - - - - - - - Thoracic vertebra</x:t>
  </x:si>
  <x:si>
    <x:t>http://id.who.int/icd/entity/1533820673</x:t>
  </x:si>
  <x:si>
    <x:t>http://id.who.int/icd/release/11/beta/ichi/1533820673</x:t>
  </x:si>
  <x:si>
    <x:t>- - - - - - - - - First thoracic vertebra</x:t>
  </x:si>
  <x:si>
    <x:t>http://id.who.int/icd/entity/1155165875</x:t>
  </x:si>
  <x:si>
    <x:t>http://id.who.int/icd/release/11/beta/ichi/1155165875</x:t>
  </x:si>
  <x:si>
    <x:t>- - - - - - - - - - Arch of first thoracic vertebra</x:t>
  </x:si>
  <x:si>
    <x:t>http://id.who.int/icd/entity/198354470</x:t>
  </x:si>
  <x:si>
    <x:t>http://id.who.int/icd/release/11/beta/ichi/198354470</x:t>
  </x:si>
  <x:si>
    <x:t>- - - - - - - - - - Body of first thoracic vertebra</x:t>
  </x:si>
  <x:si>
    <x:t>http://id.who.int/icd/entity/29030874</x:t>
  </x:si>
  <x:si>
    <x:t>http://id.who.int/icd/release/11/beta/ichi/29030874</x:t>
  </x:si>
  <x:si>
    <x:t>- - - - - - - - - - Processes of first thoracic vertebra</x:t>
  </x:si>
  <x:si>
    <x:t>http://id.who.int/icd/entity/342161300</x:t>
  </x:si>
  <x:si>
    <x:t>http://id.who.int/icd/release/11/beta/ichi/342161300</x:t>
  </x:si>
  <x:si>
    <x:t>- - - - - - - - - Second thoracic vertebra</x:t>
  </x:si>
  <x:si>
    <x:t>http://id.who.int/icd/entity/1320300879</x:t>
  </x:si>
  <x:si>
    <x:t>http://id.who.int/icd/release/11/beta/ichi/1320300879</x:t>
  </x:si>
  <x:si>
    <x:t>- - - - - - - - - - Arch of second thoracic vertebra</x:t>
  </x:si>
  <x:si>
    <x:t>http://id.who.int/icd/entity/802425542</x:t>
  </x:si>
  <x:si>
    <x:t>http://id.who.int/icd/release/11/beta/ichi/802425542</x:t>
  </x:si>
  <x:si>
    <x:t>- - - - - - - - - - Body of second thoracic vertebra</x:t>
  </x:si>
  <x:si>
    <x:t>http://id.who.int/icd/entity/1535131001</x:t>
  </x:si>
  <x:si>
    <x:t>http://id.who.int/icd/release/11/beta/ichi/1535131001</x:t>
  </x:si>
  <x:si>
    <x:t>- - - - - - - - - - Processes of second thoracic vertebra</x:t>
  </x:si>
  <x:si>
    <x:t>http://id.who.int/icd/entity/1781765595</x:t>
  </x:si>
  <x:si>
    <x:t>http://id.who.int/icd/release/11/beta/ichi/1781765595</x:t>
  </x:si>
  <x:si>
    <x:t>- - - - - - - - - Third thoracic vertebra</x:t>
  </x:si>
  <x:si>
    <x:t>http://id.who.int/icd/entity/344520172</x:t>
  </x:si>
  <x:si>
    <x:t>http://id.who.int/icd/release/11/beta/ichi/344520172</x:t>
  </x:si>
  <x:si>
    <x:t>- - - - - - - - - - Arch of third thoracic vertebra</x:t>
  </x:si>
  <x:si>
    <x:t>http://id.who.int/icd/entity/518040080</x:t>
  </x:si>
  <x:si>
    <x:t>http://id.who.int/icd/release/11/beta/ichi/518040080</x:t>
  </x:si>
  <x:si>
    <x:t>- - - - - - - - - - Body of third thoracic vertebra</x:t>
  </x:si>
  <x:si>
    <x:t>http://id.who.int/icd/entity/1374184069</x:t>
  </x:si>
  <x:si>
    <x:t>http://id.who.int/icd/release/11/beta/ichi/1374184069</x:t>
  </x:si>
  <x:si>
    <x:t>- - - - - - - - - - Processes of third thoracic vertebra</x:t>
  </x:si>
  <x:si>
    <x:t>http://id.who.int/icd/entity/1589504111</x:t>
  </x:si>
  <x:si>
    <x:t>http://id.who.int/icd/release/11/beta/ichi/1589504111</x:t>
  </x:si>
  <x:si>
    <x:t>- - - - - - - - - Fourth thoracic vertebra</x:t>
  </x:si>
  <x:si>
    <x:t>http://id.who.int/icd/entity/1974240903</x:t>
  </x:si>
  <x:si>
    <x:t>http://id.who.int/icd/release/11/beta/ichi/1974240903</x:t>
  </x:si>
  <x:si>
    <x:t>- - - - - - - - - - Arch of fourth thoracic vertebra</x:t>
  </x:si>
  <x:si>
    <x:t>http://id.who.int/icd/entity/779416042</x:t>
  </x:si>
  <x:si>
    <x:t>http://id.who.int/icd/release/11/beta/ichi/779416042</x:t>
  </x:si>
  <x:si>
    <x:t>- - - - - - - - - - Body of fourth thoracic vertebra</x:t>
  </x:si>
  <x:si>
    <x:t>http://id.who.int/icd/entity/1005741964</x:t>
  </x:si>
  <x:si>
    <x:t>http://id.who.int/icd/release/11/beta/ichi/1005741964</x:t>
  </x:si>
  <x:si>
    <x:t>- - - - - - - - - - Processes of fourth thoracic vertebra</x:t>
  </x:si>
  <x:si>
    <x:t>http://id.who.int/icd/entity/2128816675</x:t>
  </x:si>
  <x:si>
    <x:t>http://id.who.int/icd/release/11/beta/ichi/2128816675</x:t>
  </x:si>
  <x:si>
    <x:t>- - - - - - - - - Fifth thoracic vertebra</x:t>
  </x:si>
  <x:si>
    <x:t>http://id.who.int/icd/entity/1107127147</x:t>
  </x:si>
  <x:si>
    <x:t>http://id.who.int/icd/release/11/beta/ichi/1107127147</x:t>
  </x:si>
  <x:si>
    <x:t>- - - - - - - - - - Arch of fifth thoracic vertebra</x:t>
  </x:si>
  <x:si>
    <x:t>http://id.who.int/icd/entity/2123559139</x:t>
  </x:si>
  <x:si>
    <x:t>http://id.who.int/icd/release/11/beta/ichi/2123559139</x:t>
  </x:si>
  <x:si>
    <x:t>- - - - - - - - - - Body of fifth thoracic vertebra</x:t>
  </x:si>
  <x:si>
    <x:t>http://id.who.int/icd/entity/1889714609</x:t>
  </x:si>
  <x:si>
    <x:t>http://id.who.int/icd/release/11/beta/ichi/1889714609</x:t>
  </x:si>
  <x:si>
    <x:t>- - - - - - - - - - Processes of fifth thoracic vertebra</x:t>
  </x:si>
  <x:si>
    <x:t>http://id.who.int/icd/entity/17041402</x:t>
  </x:si>
  <x:si>
    <x:t>http://id.who.int/icd/release/11/beta/ichi/17041402</x:t>
  </x:si>
  <x:si>
    <x:t>- - - - - - - - - Sixth thoracic vertebra</x:t>
  </x:si>
  <x:si>
    <x:t>http://id.who.int/icd/entity/729462492</x:t>
  </x:si>
  <x:si>
    <x:t>http://id.who.int/icd/release/11/beta/ichi/729462492</x:t>
  </x:si>
  <x:si>
    <x:t>- - - - - - - - - - Arch of sixth thoracic vertebra</x:t>
  </x:si>
  <x:si>
    <x:t>http://id.who.int/icd/entity/615003202</x:t>
  </x:si>
  <x:si>
    <x:t>http://id.who.int/icd/release/11/beta/ichi/615003202</x:t>
  </x:si>
  <x:si>
    <x:t>- - - - - - - - - - Body of sixth thoracic vertebra</x:t>
  </x:si>
  <x:si>
    <x:t>http://id.who.int/icd/entity/1588017313</x:t>
  </x:si>
  <x:si>
    <x:t>http://id.who.int/icd/release/11/beta/ichi/1588017313</x:t>
  </x:si>
  <x:si>
    <x:t>- - - - - - - - - - Processes of sixth thoracic vertebra</x:t>
  </x:si>
  <x:si>
    <x:t>http://id.who.int/icd/entity/1309462383</x:t>
  </x:si>
  <x:si>
    <x:t>http://id.who.int/icd/release/11/beta/ichi/1309462383</x:t>
  </x:si>
  <x:si>
    <x:t>- - - - - - - - - Seventh thoracic vertebra</x:t>
  </x:si>
  <x:si>
    <x:t>http://id.who.int/icd/entity/1640538921</x:t>
  </x:si>
  <x:si>
    <x:t>http://id.who.int/icd/release/11/beta/ichi/1640538921</x:t>
  </x:si>
  <x:si>
    <x:t>- - - - - - - - - - Arch of seventh thoracic vertebra</x:t>
  </x:si>
  <x:si>
    <x:t>http://id.who.int/icd/entity/1166821163</x:t>
  </x:si>
  <x:si>
    <x:t>http://id.who.int/icd/release/11/beta/ichi/1166821163</x:t>
  </x:si>
  <x:si>
    <x:t>- - - - - - - - - - Body of seventh thoracic vertebra</x:t>
  </x:si>
  <x:si>
    <x:t>http://id.who.int/icd/entity/1895971487</x:t>
  </x:si>
  <x:si>
    <x:t>http://id.who.int/icd/release/11/beta/ichi/1895971487</x:t>
  </x:si>
  <x:si>
    <x:t>- - - - - - - - - - Processes of seventh thoracic vertebra</x:t>
  </x:si>
  <x:si>
    <x:t>http://id.who.int/icd/entity/1783114605</x:t>
  </x:si>
  <x:si>
    <x:t>http://id.who.int/icd/release/11/beta/ichi/1783114605</x:t>
  </x:si>
  <x:si>
    <x:t>- - - - - - - - - Eighth thoracic vertebra</x:t>
  </x:si>
  <x:si>
    <x:t>http://id.who.int/icd/entity/1365047507</x:t>
  </x:si>
  <x:si>
    <x:t>http://id.who.int/icd/release/11/beta/ichi/1365047507</x:t>
  </x:si>
  <x:si>
    <x:t>- - - - - - - - - - Arch of eighth thoracic vertebra</x:t>
  </x:si>
  <x:si>
    <x:t>http://id.who.int/icd/entity/2135543039</x:t>
  </x:si>
  <x:si>
    <x:t>http://id.who.int/icd/release/11/beta/ichi/2135543039</x:t>
  </x:si>
  <x:si>
    <x:t>- - - - - - - - - - Body of eighth thoracic vertebra</x:t>
  </x:si>
  <x:si>
    <x:t>http://id.who.int/icd/entity/809567338</x:t>
  </x:si>
  <x:si>
    <x:t>http://id.who.int/icd/release/11/beta/ichi/809567338</x:t>
  </x:si>
  <x:si>
    <x:t>- - - - - - - - - - Processes of eighth thoracic vertebra</x:t>
  </x:si>
  <x:si>
    <x:t>http://id.who.int/icd/entity/782304710</x:t>
  </x:si>
  <x:si>
    <x:t>http://id.who.int/icd/release/11/beta/ichi/782304710</x:t>
  </x:si>
  <x:si>
    <x:t>- - - - - - - - - Ninth thoracic vertebra</x:t>
  </x:si>
  <x:si>
    <x:t>http://id.who.int/icd/entity/1310090789</x:t>
  </x:si>
  <x:si>
    <x:t>http://id.who.int/icd/release/11/beta/ichi/1310090789</x:t>
  </x:si>
  <x:si>
    <x:t>- - - - - - - - - - Arch of ninth thoracic vertebra</x:t>
  </x:si>
  <x:si>
    <x:t>http://id.who.int/icd/entity/2056788881</x:t>
  </x:si>
  <x:si>
    <x:t>http://id.who.int/icd/release/11/beta/ichi/2056788881</x:t>
  </x:si>
  <x:si>
    <x:t>- - - - - - - - - - Body of ninth thoracic vertebra</x:t>
  </x:si>
  <x:si>
    <x:t>http://id.who.int/icd/entity/1522981341</x:t>
  </x:si>
  <x:si>
    <x:t>http://id.who.int/icd/release/11/beta/ichi/1522981341</x:t>
  </x:si>
  <x:si>
    <x:t>- - - - - - - - - - Processes of ninth thoracic vertebra</x:t>
  </x:si>
  <x:si>
    <x:t>http://id.who.int/icd/entity/1638518097</x:t>
  </x:si>
  <x:si>
    <x:t>http://id.who.int/icd/release/11/beta/ichi/1638518097</x:t>
  </x:si>
  <x:si>
    <x:t>- - - - - - - - - Tenth thoracic vertebra</x:t>
  </x:si>
  <x:si>
    <x:t>http://id.who.int/icd/entity/1611898677</x:t>
  </x:si>
  <x:si>
    <x:t>http://id.who.int/icd/release/11/beta/ichi/1611898677</x:t>
  </x:si>
  <x:si>
    <x:t>- - - - - - - - - - Arch of tenth thoracic vertebra</x:t>
  </x:si>
  <x:si>
    <x:t>http://id.who.int/icd/entity/790321056</x:t>
  </x:si>
  <x:si>
    <x:t>http://id.who.int/icd/release/11/beta/ichi/790321056</x:t>
  </x:si>
  <x:si>
    <x:t>- - - - - - - - - - Body of tenth thoracic vertebra</x:t>
  </x:si>
  <x:si>
    <x:t>http://id.who.int/icd/entity/190821282</x:t>
  </x:si>
  <x:si>
    <x:t>http://id.who.int/icd/release/11/beta/ichi/190821282</x:t>
  </x:si>
  <x:si>
    <x:t>- - - - - - - - - - Processes of tenth thoracic vertebra</x:t>
  </x:si>
  <x:si>
    <x:t>http://id.who.int/icd/entity/1961937769</x:t>
  </x:si>
  <x:si>
    <x:t>http://id.who.int/icd/release/11/beta/ichi/1961937769</x:t>
  </x:si>
  <x:si>
    <x:t>- - - - - - - - - Eleventh thoracic vertebra</x:t>
  </x:si>
  <x:si>
    <x:t>http://id.who.int/icd/entity/1337367819</x:t>
  </x:si>
  <x:si>
    <x:t>http://id.who.int/icd/release/11/beta/ichi/1337367819</x:t>
  </x:si>
  <x:si>
    <x:t>- - - - - - - - - - Arch of eleventh thoracic vertebra</x:t>
  </x:si>
  <x:si>
    <x:t>http://id.who.int/icd/entity/12473760</x:t>
  </x:si>
  <x:si>
    <x:t>http://id.who.int/icd/release/11/beta/ichi/12473760</x:t>
  </x:si>
  <x:si>
    <x:t>- - - - - - - - - - Body of eleventh thoracic vertebra</x:t>
  </x:si>
  <x:si>
    <x:t>http://id.who.int/icd/entity/367481766</x:t>
  </x:si>
  <x:si>
    <x:t>http://id.who.int/icd/release/11/beta/ichi/367481766</x:t>
  </x:si>
  <x:si>
    <x:t>- - - - - - - - - - Processes of eleventh thoracic vertebra</x:t>
  </x:si>
  <x:si>
    <x:t>http://id.who.int/icd/entity/2065844725</x:t>
  </x:si>
  <x:si>
    <x:t>http://id.who.int/icd/release/11/beta/ichi/2065844725</x:t>
  </x:si>
  <x:si>
    <x:t>- - - - - - - - - Twelfth thoracic vertebra</x:t>
  </x:si>
  <x:si>
    <x:t>http://id.who.int/icd/entity/66830283</x:t>
  </x:si>
  <x:si>
    <x:t>http://id.who.int/icd/release/11/beta/ichi/66830283</x:t>
  </x:si>
  <x:si>
    <x:t>- - - - - - - - - - Arch of twelfth thoracic vertebra</x:t>
  </x:si>
  <x:si>
    <x:t>http://id.who.int/icd/entity/231444121</x:t>
  </x:si>
  <x:si>
    <x:t>http://id.who.int/icd/release/11/beta/ichi/231444121</x:t>
  </x:si>
  <x:si>
    <x:t>- - - - - - - - - - Body of twelfth thoracic vertebra</x:t>
  </x:si>
  <x:si>
    <x:t>http://id.who.int/icd/entity/1227006002</x:t>
  </x:si>
  <x:si>
    <x:t>http://id.who.int/icd/release/11/beta/ichi/1227006002</x:t>
  </x:si>
  <x:si>
    <x:t>- - - - - - - - - - Processes of twelfth thoracic vertebra</x:t>
  </x:si>
  <x:si>
    <x:t>http://id.who.int/icd/entity/929081680</x:t>
  </x:si>
  <x:si>
    <x:t>http://id.who.int/icd/release/11/beta/ichi/929081680</x:t>
  </x:si>
  <x:si>
    <x:t>- - - - - - - - Lumbar vertebra</x:t>
  </x:si>
  <x:si>
    <x:t>http://id.who.int/icd/entity/1849866651</x:t>
  </x:si>
  <x:si>
    <x:t>http://id.who.int/icd/release/11/beta/ichi/1849866651</x:t>
  </x:si>
  <x:si>
    <x:t>- - - - - - - - - First lumbar vertebra</x:t>
  </x:si>
  <x:si>
    <x:t>http://id.who.int/icd/entity/103442597</x:t>
  </x:si>
  <x:si>
    <x:t>http://id.who.int/icd/release/11/beta/ichi/103442597</x:t>
  </x:si>
  <x:si>
    <x:t>- - - - - - - - - - Arch of first lumbar vertebra</x:t>
  </x:si>
  <x:si>
    <x:t>http://id.who.int/icd/entity/326332061</x:t>
  </x:si>
  <x:si>
    <x:t>http://id.who.int/icd/release/11/beta/ichi/326332061</x:t>
  </x:si>
  <x:si>
    <x:t>- - - - - - - - - - Body of first lumbar vertebra</x:t>
  </x:si>
  <x:si>
    <x:t>http://id.who.int/icd/entity/480373761</x:t>
  </x:si>
  <x:si>
    <x:t>http://id.who.int/icd/release/11/beta/ichi/480373761</x:t>
  </x:si>
  <x:si>
    <x:t>- - - - - - - - - - Processes of first lumbar vertebra</x:t>
  </x:si>
  <x:si>
    <x:t>http://id.who.int/icd/entity/1361912339</x:t>
  </x:si>
  <x:si>
    <x:t>http://id.who.int/icd/release/11/beta/ichi/1361912339</x:t>
  </x:si>
  <x:si>
    <x:t>- - - - - - - - - Second lumbar vertebra</x:t>
  </x:si>
  <x:si>
    <x:t>http://id.who.int/icd/entity/954533891</x:t>
  </x:si>
  <x:si>
    <x:t>http://id.who.int/icd/release/11/beta/ichi/954533891</x:t>
  </x:si>
  <x:si>
    <x:t>- - - - - - - - - - Arch of second lumbar vertebra</x:t>
  </x:si>
  <x:si>
    <x:t>http://id.who.int/icd/entity/208369079</x:t>
  </x:si>
  <x:si>
    <x:t>http://id.who.int/icd/release/11/beta/ichi/208369079</x:t>
  </x:si>
  <x:si>
    <x:t>- - - - - - - - - - Body of second lumbar vertebra</x:t>
  </x:si>
  <x:si>
    <x:t>http://id.who.int/icd/entity/855961151</x:t>
  </x:si>
  <x:si>
    <x:t>http://id.who.int/icd/release/11/beta/ichi/855961151</x:t>
  </x:si>
  <x:si>
    <x:t>- - - - - - - - - - Processes of second lumbar vertebra</x:t>
  </x:si>
  <x:si>
    <x:t>http://id.who.int/icd/entity/1969866257</x:t>
  </x:si>
  <x:si>
    <x:t>http://id.who.int/icd/release/11/beta/ichi/1969866257</x:t>
  </x:si>
  <x:si>
    <x:t>- - - - - - - - - Third lumbar vertebra</x:t>
  </x:si>
  <x:si>
    <x:t>http://id.who.int/icd/entity/1225515744</x:t>
  </x:si>
  <x:si>
    <x:t>http://id.who.int/icd/release/11/beta/ichi/1225515744</x:t>
  </x:si>
  <x:si>
    <x:t>- - - - - - - - - - Arch of third lumbar vertebra</x:t>
  </x:si>
  <x:si>
    <x:t>http://id.who.int/icd/entity/1767186580</x:t>
  </x:si>
  <x:si>
    <x:t>http://id.who.int/icd/release/11/beta/ichi/1767186580</x:t>
  </x:si>
  <x:si>
    <x:t>- - - - - - - - - - Body of third lumbar vertebra</x:t>
  </x:si>
  <x:si>
    <x:t>http://id.who.int/icd/entity/863971597</x:t>
  </x:si>
  <x:si>
    <x:t>http://id.who.int/icd/release/11/beta/ichi/863971597</x:t>
  </x:si>
  <x:si>
    <x:t>- - - - - - - - - - Processes of third lumbar vertebra</x:t>
  </x:si>
  <x:si>
    <x:t>http://id.who.int/icd/entity/1105705893</x:t>
  </x:si>
  <x:si>
    <x:t>http://id.who.int/icd/release/11/beta/ichi/1105705893</x:t>
  </x:si>
  <x:si>
    <x:t>- - - - - - - - - Fourth lumbar vertebra</x:t>
  </x:si>
  <x:si>
    <x:t>http://id.who.int/icd/entity/133256377</x:t>
  </x:si>
  <x:si>
    <x:t>http://id.who.int/icd/release/11/beta/ichi/133256377</x:t>
  </x:si>
  <x:si>
    <x:t>- - - - - - - - - - Arch of fourth lumbar vertebra</x:t>
  </x:si>
  <x:si>
    <x:t>http://id.who.int/icd/entity/949931825</x:t>
  </x:si>
  <x:si>
    <x:t>http://id.who.int/icd/release/11/beta/ichi/949931825</x:t>
  </x:si>
  <x:si>
    <x:t>- - - - - - - - - - Body of fourth lumbar vertebra</x:t>
  </x:si>
  <x:si>
    <x:t>http://id.who.int/icd/entity/1116849104</x:t>
  </x:si>
  <x:si>
    <x:t>http://id.who.int/icd/release/11/beta/ichi/1116849104</x:t>
  </x:si>
  <x:si>
    <x:t>- - - - - - - - - - Processes of fourth lumbar vertebra</x:t>
  </x:si>
  <x:si>
    <x:t>http://id.who.int/icd/entity/1639545321</x:t>
  </x:si>
  <x:si>
    <x:t>http://id.who.int/icd/release/11/beta/ichi/1639545321</x:t>
  </x:si>
  <x:si>
    <x:t>- - - - - - - - - Fifth lumbar vertebra</x:t>
  </x:si>
  <x:si>
    <x:t>http://id.who.int/icd/entity/1657733532</x:t>
  </x:si>
  <x:si>
    <x:t>http://id.who.int/icd/release/11/beta/ichi/1657733532</x:t>
  </x:si>
  <x:si>
    <x:t>- - - - - - - - - - Arch of fifth lumbar vertebra</x:t>
  </x:si>
  <x:si>
    <x:t>http://id.who.int/icd/entity/1183573406</x:t>
  </x:si>
  <x:si>
    <x:t>http://id.who.int/icd/release/11/beta/ichi/1183573406</x:t>
  </x:si>
  <x:si>
    <x:t>- - - - - - - - - - Body of fifth lumbar vertebra</x:t>
  </x:si>
  <x:si>
    <x:t>http://id.who.int/icd/entity/853529123</x:t>
  </x:si>
  <x:si>
    <x:t>http://id.who.int/icd/release/11/beta/ichi/853529123</x:t>
  </x:si>
  <x:si>
    <x:t>- - - - - - - - - - Processes of fifth lumbar vertebra</x:t>
  </x:si>
  <x:si>
    <x:t>http://id.who.int/icd/entity/1761166931</x:t>
  </x:si>
  <x:si>
    <x:t>http://id.who.int/icd/release/11/beta/ichi/1761166931</x:t>
  </x:si>
  <x:si>
    <x:t>- - - - - - - Intervertebral disc or space</x:t>
  </x:si>
  <x:si>
    <x:t>http://id.who.int/icd/entity/793228530</x:t>
  </x:si>
  <x:si>
    <x:t>http://id.who.int/icd/release/11/beta/ichi/793228530</x:t>
  </x:si>
  <x:si>
    <x:t>- - - - - - - - Cervical discs or space</x:t>
  </x:si>
  <x:si>
    <x:t>http://id.who.int/icd/entity/318130866</x:t>
  </x:si>
  <x:si>
    <x:t>http://id.who.int/icd/release/11/beta/ichi/318130866</x:t>
  </x:si>
  <x:si>
    <x:t>- - - - - - - - - Cervical intervertebral disc or space C1-C2</x:t>
  </x:si>
  <x:si>
    <x:t>http://id.who.int/icd/entity/765055292</x:t>
  </x:si>
  <x:si>
    <x:t>http://id.who.int/icd/release/11/beta/ichi/765055292</x:t>
  </x:si>
  <x:si>
    <x:t>- - - - - - - - - Cervical intervertebral disc or space C2-C3</x:t>
  </x:si>
  <x:si>
    <x:t>http://id.who.int/icd/entity/598335592</x:t>
  </x:si>
  <x:si>
    <x:t>http://id.who.int/icd/release/11/beta/ichi/598335592</x:t>
  </x:si>
  <x:si>
    <x:t>- - - - - - - - - Cervical intervertebral disc or space C3-C4</x:t>
  </x:si>
  <x:si>
    <x:t>http://id.who.int/icd/entity/2114591943</x:t>
  </x:si>
  <x:si>
    <x:t>http://id.who.int/icd/release/11/beta/ichi/2114591943</x:t>
  </x:si>
  <x:si>
    <x:t>- - - - - - - - - Cervical intervertebral disc or space C4-C5</x:t>
  </x:si>
  <x:si>
    <x:t>http://id.who.int/icd/entity/2020710149</x:t>
  </x:si>
  <x:si>
    <x:t>http://id.who.int/icd/release/11/beta/ichi/2020710149</x:t>
  </x:si>
  <x:si>
    <x:t>- - - - - - - - - Cervical intervertebral disc or space C5-C6</x:t>
  </x:si>
  <x:si>
    <x:t>http://id.who.int/icd/entity/2007176601</x:t>
  </x:si>
  <x:si>
    <x:t>http://id.who.int/icd/release/11/beta/ichi/2007176601</x:t>
  </x:si>
  <x:si>
    <x:t>- - - - - - - - - Cervical intervertebral disc or space C6-C7</x:t>
  </x:si>
  <x:si>
    <x:t>http://id.who.int/icd/entity/229382520</x:t>
  </x:si>
  <x:si>
    <x:t>http://id.who.int/icd/release/11/beta/ichi/229382520</x:t>
  </x:si>
  <x:si>
    <x:t>- - - - - - - - - Cervicothoracic disc or space C7-T1</x:t>
  </x:si>
  <x:si>
    <x:t>http://id.who.int/icd/entity/808756694</x:t>
  </x:si>
  <x:si>
    <x:t>http://id.who.int/icd/release/11/beta/ichi/808756694</x:t>
  </x:si>
  <x:si>
    <x:t>- - - - - - - - Thoracic discs or space</x:t>
  </x:si>
  <x:si>
    <x:t>http://id.who.int/icd/entity/851673842</x:t>
  </x:si>
  <x:si>
    <x:t>http://id.who.int/icd/release/11/beta/ichi/851673842</x:t>
  </x:si>
  <x:si>
    <x:t>- - - - - - - - - Thoracic intervertebral disc or space T1-T2</x:t>
  </x:si>
  <x:si>
    <x:t>http://id.who.int/icd/entity/377972468</x:t>
  </x:si>
  <x:si>
    <x:t>http://id.who.int/icd/release/11/beta/ichi/377972468</x:t>
  </x:si>
  <x:si>
    <x:t>- - - - - - - - - Thoracic intervertebral disc or space T2-T3</x:t>
  </x:si>
  <x:si>
    <x:t>http://id.who.int/icd/entity/571022152</x:t>
  </x:si>
  <x:si>
    <x:t>http://id.who.int/icd/release/11/beta/ichi/571022152</x:t>
  </x:si>
  <x:si>
    <x:t>- - - - - - - - - Thoracic intervertebral disc or space T3-T4</x:t>
  </x:si>
  <x:si>
    <x:t>http://id.who.int/icd/entity/39311628</x:t>
  </x:si>
  <x:si>
    <x:t>http://id.who.int/icd/release/11/beta/ichi/39311628</x:t>
  </x:si>
  <x:si>
    <x:t>- - - - - - - - - Thoracic intervertebral disc or space T4-T5</x:t>
  </x:si>
  <x:si>
    <x:t>http://id.who.int/icd/entity/1796859671</x:t>
  </x:si>
  <x:si>
    <x:t>http://id.who.int/icd/release/11/beta/ichi/1796859671</x:t>
  </x:si>
  <x:si>
    <x:t>- - - - - - - - - Thoracic intervertebral disc or space T5-T6</x:t>
  </x:si>
  <x:si>
    <x:t>http://id.who.int/icd/entity/605106052</x:t>
  </x:si>
  <x:si>
    <x:t>http://id.who.int/icd/release/11/beta/ichi/605106052</x:t>
  </x:si>
  <x:si>
    <x:t>- - - - - - - - - Thoracic intervertebral disc or space T6-T7</x:t>
  </x:si>
  <x:si>
    <x:t>http://id.who.int/icd/entity/1514556877</x:t>
  </x:si>
  <x:si>
    <x:t>http://id.who.int/icd/release/11/beta/ichi/1514556877</x:t>
  </x:si>
  <x:si>
    <x:t>- - - - - - - - - Thoracic intervertebral disc or space T7-T8</x:t>
  </x:si>
  <x:si>
    <x:t>http://id.who.int/icd/entity/1858613369</x:t>
  </x:si>
  <x:si>
    <x:t>http://id.who.int/icd/release/11/beta/ichi/1858613369</x:t>
  </x:si>
  <x:si>
    <x:t>- - - - - - - - - Thoracic intervertebral disc or space T8-T9</x:t>
  </x:si>
  <x:si>
    <x:t>http://id.who.int/icd/entity/1318515253</x:t>
  </x:si>
  <x:si>
    <x:t>http://id.who.int/icd/release/11/beta/ichi/1318515253</x:t>
  </x:si>
  <x:si>
    <x:t>- - - - - - - - - Thoracic intervertebral disc or space T9-T10</x:t>
  </x:si>
  <x:si>
    <x:t>http://id.who.int/icd/entity/1950594269</x:t>
  </x:si>
  <x:si>
    <x:t>http://id.who.int/icd/release/11/beta/ichi/1950594269</x:t>
  </x:si>
  <x:si>
    <x:t>- - - - - - - - - Thoracic intervertebral disc or space T10-T11</x:t>
  </x:si>
  <x:si>
    <x:t>http://id.who.int/icd/entity/994802762</x:t>
  </x:si>
  <x:si>
    <x:t>http://id.who.int/icd/release/11/beta/ichi/994802762</x:t>
  </x:si>
  <x:si>
    <x:t>- - - - - - - - - Thoracic intervertebral disc or space T11-T12</x:t>
  </x:si>
  <x:si>
    <x:t>http://id.who.int/icd/entity/521115724</x:t>
  </x:si>
  <x:si>
    <x:t>http://id.who.int/icd/release/11/beta/ichi/521115724</x:t>
  </x:si>
  <x:si>
    <x:t>- - - - - - - - - Thoracolumbar intervertebral disc or space T12-L1</x:t>
  </x:si>
  <x:si>
    <x:t>http://id.who.int/icd/entity/1971155025</x:t>
  </x:si>
  <x:si>
    <x:t>http://id.who.int/icd/release/11/beta/ichi/1971155025</x:t>
  </x:si>
  <x:si>
    <x:t>- - - - - - - - Lumbar discs or space</x:t>
  </x:si>
  <x:si>
    <x:t>http://id.who.int/icd/entity/1541846755</x:t>
  </x:si>
  <x:si>
    <x:t>http://id.who.int/icd/release/11/beta/ichi/1541846755</x:t>
  </x:si>
  <x:si>
    <x:t>- - - - - - - - - Lumbar intervertebral disc or space L1-L2</x:t>
  </x:si>
  <x:si>
    <x:t>http://id.who.int/icd/entity/351174262</x:t>
  </x:si>
  <x:si>
    <x:t>http://id.who.int/icd/release/11/beta/ichi/351174262</x:t>
  </x:si>
  <x:si>
    <x:t>- - - - - - - - - Lumbar intervertebral disc or space L2-L3</x:t>
  </x:si>
  <x:si>
    <x:t>http://id.who.int/icd/entity/28801104</x:t>
  </x:si>
  <x:si>
    <x:t>http://id.who.int/icd/release/11/beta/ichi/28801104</x:t>
  </x:si>
  <x:si>
    <x:t>- - - - - - - - - Lumbar intervertebral disc or space L3-L4</x:t>
  </x:si>
  <x:si>
    <x:t>http://id.who.int/icd/entity/447055896</x:t>
  </x:si>
  <x:si>
    <x:t>http://id.who.int/icd/release/11/beta/ichi/447055896</x:t>
  </x:si>
  <x:si>
    <x:t>- - - - - - - - - Lumbar intervertebral disc or space L4-L5</x:t>
  </x:si>
  <x:si>
    <x:t>http://id.who.int/icd/entity/345356612</x:t>
  </x:si>
  <x:si>
    <x:t>http://id.who.int/icd/release/11/beta/ichi/345356612</x:t>
  </x:si>
  <x:si>
    <x:t>- - - - - - - - - Lumbosacral intervertebral disc or space L5-S1</x:t>
  </x:si>
  <x:si>
    <x:t>http://id.who.int/icd/entity/1185858858</x:t>
  </x:si>
  <x:si>
    <x:t>http://id.who.int/icd/release/11/beta/ichi/1185858858</x:t>
  </x:si>
  <x:si>
    <x:t>- - - - - - - - Intervertebral disc</x:t>
  </x:si>
  <x:si>
    <x:t>http://id.who.int/icd/entity/940624499</x:t>
  </x:si>
  <x:si>
    <x:t>http://id.who.int/icd/release/11/beta/ichi/940624499</x:t>
  </x:si>
  <x:si>
    <x:t>- - - - - - - - - Nucleus pulposus</x:t>
  </x:si>
  <x:si>
    <x:t>http://id.who.int/icd/entity/125784571</x:t>
  </x:si>
  <x:si>
    <x:t>http://id.who.int/icd/release/11/beta/ichi/125784571</x:t>
  </x:si>
  <x:si>
    <x:t>- - - - - - - - - Annulus fibrosus</x:t>
  </x:si>
  <x:si>
    <x:t>http://id.who.int/icd/entity/128614976</x:t>
  </x:si>
  <x:si>
    <x:t>http://id.who.int/icd/release/11/beta/ichi/128614976</x:t>
  </x:si>
  <x:si>
    <x:t>- - - - - - Bones of the thorax</x:t>
  </x:si>
  <x:si>
    <x:t>http://id.who.int/icd/entity/480847577</x:t>
  </x:si>
  <x:si>
    <x:t>http://id.who.int/icd/release/11/beta/ichi/480847577</x:t>
  </x:si>
  <x:si>
    <x:t>- - - - - - - Rib</x:t>
  </x:si>
  <x:si>
    <x:t>http://id.who.int/icd/entity/2059636601</x:t>
  </x:si>
  <x:si>
    <x:t>http://id.who.int/icd/release/11/beta/ichi/2059636601</x:t>
  </x:si>
  <x:si>
    <x:t>- - - - - - - - First rib</x:t>
  </x:si>
  <x:si>
    <x:t>http://id.who.int/icd/entity/540406182</x:t>
  </x:si>
  <x:si>
    <x:t>http://id.who.int/icd/release/11/beta/ichi/540406182</x:t>
  </x:si>
  <x:si>
    <x:t>- - - - - - - - Second rib</x:t>
  </x:si>
  <x:si>
    <x:t>http://id.who.int/icd/entity/1524565461</x:t>
  </x:si>
  <x:si>
    <x:t>http://id.who.int/icd/release/11/beta/ichi/1524565461</x:t>
  </x:si>
  <x:si>
    <x:t>- - - - - - - - Third rib</x:t>
  </x:si>
  <x:si>
    <x:t>http://id.who.int/icd/entity/892256126</x:t>
  </x:si>
  <x:si>
    <x:t>http://id.who.int/icd/release/11/beta/ichi/892256126</x:t>
  </x:si>
  <x:si>
    <x:t>- - - - - - - - Fourth rib</x:t>
  </x:si>
  <x:si>
    <x:t>http://id.who.int/icd/entity/707160428</x:t>
  </x:si>
  <x:si>
    <x:t>http://id.who.int/icd/release/11/beta/ichi/707160428</x:t>
  </x:si>
  <x:si>
    <x:t>- - - - - - - - Fifth rib</x:t>
  </x:si>
  <x:si>
    <x:t>http://id.who.int/icd/entity/548130312</x:t>
  </x:si>
  <x:si>
    <x:t>http://id.who.int/icd/release/11/beta/ichi/548130312</x:t>
  </x:si>
  <x:si>
    <x:t>- - - - - - - - Sixth rib</x:t>
  </x:si>
  <x:si>
    <x:t>http://id.who.int/icd/entity/1153143443</x:t>
  </x:si>
  <x:si>
    <x:t>http://id.who.int/icd/release/11/beta/ichi/1153143443</x:t>
  </x:si>
  <x:si>
    <x:t>- - - - - - - - Seventh rib</x:t>
  </x:si>
  <x:si>
    <x:t>http://id.who.int/icd/entity/1859078083</x:t>
  </x:si>
  <x:si>
    <x:t>http://id.who.int/icd/release/11/beta/ichi/1859078083</x:t>
  </x:si>
  <x:si>
    <x:t>- - - - - - - - Eighth rib</x:t>
  </x:si>
  <x:si>
    <x:t>http://id.who.int/icd/entity/185920118</x:t>
  </x:si>
  <x:si>
    <x:t>http://id.who.int/icd/release/11/beta/ichi/185920118</x:t>
  </x:si>
  <x:si>
    <x:t>- - - - - - - - Ninth rib</x:t>
  </x:si>
  <x:si>
    <x:t>http://id.who.int/icd/entity/608115414</x:t>
  </x:si>
  <x:si>
    <x:t>http://id.who.int/icd/release/11/beta/ichi/608115414</x:t>
  </x:si>
  <x:si>
    <x:t>- - - - - - - - Tenth rib</x:t>
  </x:si>
  <x:si>
    <x:t>http://id.who.int/icd/entity/783465914</x:t>
  </x:si>
  <x:si>
    <x:t>http://id.who.int/icd/release/11/beta/ichi/783465914</x:t>
  </x:si>
  <x:si>
    <x:t>- - - - - - - - Eleventh rib</x:t>
  </x:si>
  <x:si>
    <x:t>http://id.who.int/icd/entity/69439612</x:t>
  </x:si>
  <x:si>
    <x:t>http://id.who.int/icd/release/11/beta/ichi/69439612</x:t>
  </x:si>
  <x:si>
    <x:t>- - - - - - - - Twelfth rib</x:t>
  </x:si>
  <x:si>
    <x:t>http://id.who.int/icd/entity/634489753</x:t>
  </x:si>
  <x:si>
    <x:t>http://id.who.int/icd/release/11/beta/ichi/634489753</x:t>
  </x:si>
  <x:si>
    <x:t>- - - - - - - Sternum</x:t>
  </x:si>
  <x:si>
    <x:t>http://id.who.int/icd/entity/1074312665</x:t>
  </x:si>
  <x:si>
    <x:t>http://id.who.int/icd/release/11/beta/ichi/1074312665</x:t>
  </x:si>
  <x:si>
    <x:t>- - - - - - - - Body of sternum</x:t>
  </x:si>
  <x:si>
    <x:t>http://id.who.int/icd/entity/1461768473</x:t>
  </x:si>
  <x:si>
    <x:t>http://id.who.int/icd/release/11/beta/ichi/1461768473</x:t>
  </x:si>
  <x:si>
    <x:t>- - - - - - - - Manubrium</x:t>
  </x:si>
  <x:si>
    <x:t>http://id.who.int/icd/entity/855240537</x:t>
  </x:si>
  <x:si>
    <x:t>http://id.who.int/icd/release/11/beta/ichi/855240537</x:t>
  </x:si>
  <x:si>
    <x:t>- - - - - - - - Xiphoid</x:t>
  </x:si>
  <x:si>
    <x:t>http://id.who.int/icd/entity/1145302967</x:t>
  </x:si>
  <x:si>
    <x:t>http://id.who.int/icd/release/11/beta/ichi/1145302967</x:t>
  </x:si>
  <x:si>
    <x:t>- - - - - - Bones of the pelvis</x:t>
  </x:si>
  <x:si>
    <x:t>http://id.who.int/icd/entity/1399556983</x:t>
  </x:si>
  <x:si>
    <x:t>http://id.who.int/icd/release/11/beta/ichi/1399556983</x:t>
  </x:si>
  <x:si>
    <x:t>- - - - - - - Pelvis</x:t>
  </x:si>
  <x:si>
    <x:t>http://id.who.int/icd/entity/264902775</x:t>
  </x:si>
  <x:si>
    <x:t>http://id.who.int/icd/release/11/beta/ichi/264902775</x:t>
  </x:si>
  <x:si>
    <x:t>- - - - - - - - Ilium</x:t>
  </x:si>
  <x:si>
    <x:t>http://id.who.int/icd/entity/917681463</x:t>
  </x:si>
  <x:si>
    <x:t>http://id.who.int/icd/release/11/beta/ichi/917681463</x:t>
  </x:si>
  <x:si>
    <x:t>- - - - - - - - - Iliac crest</x:t>
  </x:si>
  <x:si>
    <x:t>http://id.who.int/icd/entity/417496247</x:t>
  </x:si>
  <x:si>
    <x:t>http://id.who.int/icd/release/11/beta/ichi/417496247</x:t>
  </x:si>
  <x:si>
    <x:t>- - - - - - - - Ischium</x:t>
  </x:si>
  <x:si>
    <x:t>http://id.who.int/icd/entity/1779639863</x:t>
  </x:si>
  <x:si>
    <x:t>http://id.who.int/icd/release/11/beta/ichi/1779639863</x:t>
  </x:si>
  <x:si>
    <x:t>- - - - - - - - Pubis</x:t>
  </x:si>
  <x:si>
    <x:t>http://id.who.int/icd/entity/458260832</x:t>
  </x:si>
  <x:si>
    <x:t>http://id.who.int/icd/release/11/beta/ichi/458260832</x:t>
  </x:si>
  <x:si>
    <x:t>- - - - - - - - - Superior pubic ramus</x:t>
  </x:si>
  <x:si>
    <x:t>http://id.who.int/icd/entity/2123050219</x:t>
  </x:si>
  <x:si>
    <x:t>http://id.who.int/icd/release/11/beta/ichi/2123050219</x:t>
  </x:si>
  <x:si>
    <x:t>- - - - - - - - - Inferior pubic ramus</x:t>
  </x:si>
  <x:si>
    <x:t>http://id.who.int/icd/entity/1375258212</x:t>
  </x:si>
  <x:si>
    <x:t>http://id.who.int/icd/release/11/beta/ichi/1375258212</x:t>
  </x:si>
  <x:si>
    <x:t>- - - - - - - - Acetabulum</x:t>
  </x:si>
  <x:si>
    <x:t>http://id.who.int/icd/entity/1415462031</x:t>
  </x:si>
  <x:si>
    <x:t>http://id.who.int/icd/release/11/beta/ichi/1415462031</x:t>
  </x:si>
  <x:si>
    <x:t>- - - - - Peripheral skeleton</x:t>
  </x:si>
  <x:si>
    <x:t>http://id.who.int/icd/entity/672187873</x:t>
  </x:si>
  <x:si>
    <x:t>http://id.who.int/icd/release/11/beta/ichi/672187873</x:t>
  </x:si>
  <x:si>
    <x:t>- - - - - - Bones of the upper extremity</x:t>
  </x:si>
  <x:si>
    <x:t>http://id.who.int/icd/entity/1091984320</x:t>
  </x:si>
  <x:si>
    <x:t>http://id.who.int/icd/release/11/beta/ichi/1091984320</x:t>
  </x:si>
  <x:si>
    <x:t>- - - - - - - Bones of the shoulder girdle</x:t>
  </x:si>
  <x:si>
    <x:t>http://id.who.int/icd/entity/1446920064</x:t>
  </x:si>
  <x:si>
    <x:t>http://id.who.int/icd/release/11/beta/ichi/1446920064</x:t>
  </x:si>
  <x:si>
    <x:t>- - - - - - - - Clavicle</x:t>
  </x:si>
  <x:si>
    <x:t>http://id.who.int/icd/entity/329311988</x:t>
  </x:si>
  <x:si>
    <x:t>http://id.who.int/icd/release/11/beta/ichi/329311988</x:t>
  </x:si>
  <x:si>
    <x:t>- - - - - - - - - Sternal end of clavicle</x:t>
  </x:si>
  <x:si>
    <x:t>http://id.who.int/icd/entity/1968953536</x:t>
  </x:si>
  <x:si>
    <x:t>http://id.who.int/icd/release/11/beta/ichi/1968953536</x:t>
  </x:si>
  <x:si>
    <x:t>- - - - - - - - - Shaft of the clavicle</x:t>
  </x:si>
  <x:si>
    <x:t>http://id.who.int/icd/entity/1512398092</x:t>
  </x:si>
  <x:si>
    <x:t>http://id.who.int/icd/release/11/beta/ichi/1512398092</x:t>
  </x:si>
  <x:si>
    <x:t>- - - - - - - - - Acromial end of clavicle</x:t>
  </x:si>
  <x:si>
    <x:t>http://id.who.int/icd/entity/1651751936</x:t>
  </x:si>
  <x:si>
    <x:t>http://id.who.int/icd/release/11/beta/ichi/1651751936</x:t>
  </x:si>
  <x:si>
    <x:t>- - - - - - - - Scapula</x:t>
  </x:si>
  <x:si>
    <x:t>http://id.who.int/icd/entity/1527451968</x:t>
  </x:si>
  <x:si>
    <x:t>http://id.who.int/icd/release/11/beta/ichi/1527451968</x:t>
  </x:si>
  <x:si>
    <x:t>- - - - - - - - - Neck of the scapula</x:t>
  </x:si>
  <x:si>
    <x:t>http://id.who.int/icd/entity/1277392256</x:t>
  </x:si>
  <x:si>
    <x:t>http://id.who.int/icd/release/11/beta/ichi/1277392256</x:t>
  </x:si>
  <x:si>
    <x:t>- - - - - - - - - Glenoid cavity of the scapula</x:t>
  </x:si>
  <x:si>
    <x:t>http://id.who.int/icd/entity/704269248</x:t>
  </x:si>
  <x:si>
    <x:t>http://id.who.int/icd/release/11/beta/ichi/704269248</x:t>
  </x:si>
  <x:si>
    <x:t>- - - - - - - - - Coracoid process of the scapula</x:t>
  </x:si>
  <x:si>
    <x:t>http://id.who.int/icd/entity/1053961984</x:t>
  </x:si>
  <x:si>
    <x:t>http://id.who.int/icd/release/11/beta/ichi/1053961984</x:t>
  </x:si>
  <x:si>
    <x:t>- - - - - - - - - Acromion</x:t>
  </x:si>
  <x:si>
    <x:t>http://id.who.int/icd/entity/759525864</x:t>
  </x:si>
  <x:si>
    <x:t>http://id.who.int/icd/release/11/beta/ichi/759525864</x:t>
  </x:si>
  <x:si>
    <x:t>- - - - - - - Humerus</x:t>
  </x:si>
  <x:si>
    <x:t>http://id.who.int/icd/entity/1319168025</x:t>
  </x:si>
  <x:si>
    <x:t>http://id.who.int/icd/release/11/beta/ichi/1319168025</x:t>
  </x:si>
  <x:si>
    <x:t>- - - - - - - - Head of the humerus</x:t>
  </x:si>
  <x:si>
    <x:t>http://id.who.int/icd/entity/1218203560</x:t>
  </x:si>
  <x:si>
    <x:t>http://id.who.int/icd/release/11/beta/ichi/1218203560</x:t>
  </x:si>
  <x:si>
    <x:t>- - - - - - - - Anatomical neck of the humerus</x:t>
  </x:si>
  <x:si>
    <x:t>http://id.who.int/icd/entity/1605643112</x:t>
  </x:si>
  <x:si>
    <x:t>http://id.who.int/icd/release/11/beta/ichi/1605643112</x:t>
  </x:si>
  <x:si>
    <x:t>- - - - - - - - Surgical neck of the humerus</x:t>
  </x:si>
  <x:si>
    <x:t>http://id.who.int/icd/entity/339598504</x:t>
  </x:si>
  <x:si>
    <x:t>http://id.who.int/icd/release/11/beta/ichi/339598504</x:t>
  </x:si>
  <x:si>
    <x:t>- - - - - - - - Greater tuberosity of the humerus</x:t>
  </x:si>
  <x:si>
    <x:t>http://id.who.int/icd/entity/51755112</x:t>
  </x:si>
  <x:si>
    <x:t>http://id.who.int/icd/release/11/beta/ichi/51755112</x:t>
  </x:si>
  <x:si>
    <x:t>- - - - - - - - Lesser tuberosity of the humerus</x:t>
  </x:si>
  <x:si>
    <x:t>http://id.who.int/icd/entity/980227368</x:t>
  </x:si>
  <x:si>
    <x:t>http://id.who.int/icd/release/11/beta/ichi/980227368</x:t>
  </x:si>
  <x:si>
    <x:t>- - - - - - - - Shaft of the humerus</x:t>
  </x:si>
  <x:si>
    <x:t>http://id.who.int/icd/entity/1724679720</x:t>
  </x:si>
  <x:si>
    <x:t>http://id.who.int/icd/release/11/beta/ichi/1724679720</x:t>
  </x:si>
  <x:si>
    <x:t>- - - - - - - - Condyle of the humerus</x:t>
  </x:si>
  <x:si>
    <x:t>http://id.who.int/icd/entity/1182253318</x:t>
  </x:si>
  <x:si>
    <x:t>http://id.who.int/icd/release/11/beta/ichi/1182253318</x:t>
  </x:si>
  <x:si>
    <x:t>- - - - - - - - - Capitulum of humerus</x:t>
  </x:si>
  <x:si>
    <x:t>http://id.who.int/icd/entity/1291478634</x:t>
  </x:si>
  <x:si>
    <x:t>http://id.who.int/icd/release/11/beta/ichi/1291478634</x:t>
  </x:si>
  <x:si>
    <x:t>- - - - - - - - - Trochlea of humerus</x:t>
  </x:si>
  <x:si>
    <x:t>http://id.who.int/icd/entity/1304389078</x:t>
  </x:si>
  <x:si>
    <x:t>http://id.who.int/icd/release/11/beta/ichi/1304389078</x:t>
  </x:si>
  <x:si>
    <x:t>- - - - - - - - Lateral epicondyle of the humerus</x:t>
  </x:si>
  <x:si>
    <x:t>http://id.who.int/icd/entity/677693537</x:t>
  </x:si>
  <x:si>
    <x:t>http://id.who.int/icd/release/11/beta/ichi/677693537</x:t>
  </x:si>
  <x:si>
    <x:t>- - - - - - - - Medial epicondyle of the humerus</x:t>
  </x:si>
  <x:si>
    <x:t>http://id.who.int/icd/entity/255752241</x:t>
  </x:si>
  <x:si>
    <x:t>http://id.who.int/icd/release/11/beta/ichi/255752241</x:t>
  </x:si>
  <x:si>
    <x:t>- - - - - - - Radius</x:t>
  </x:si>
  <x:si>
    <x:t>http://id.who.int/icd/entity/910611825</x:t>
  </x:si>
  <x:si>
    <x:t>http://id.who.int/icd/release/11/beta/ichi/910611825</x:t>
  </x:si>
  <x:si>
    <x:t>- - - - - - - - Radial head</x:t>
  </x:si>
  <x:si>
    <x:t>http://id.who.int/icd/entity/560902577</x:t>
  </x:si>
  <x:si>
    <x:t>http://id.who.int/icd/release/11/beta/ichi/560902577</x:t>
  </x:si>
  <x:si>
    <x:t>- - - - - - - - Radial neck</x:t>
  </x:si>
  <x:si>
    <x:t>http://id.who.int/icd/entity/237016664</x:t>
  </x:si>
  <x:si>
    <x:t>http://id.who.int/icd/release/11/beta/ichi/237016664</x:t>
  </x:si>
  <x:si>
    <x:t>- - - - - - - - Shaft of radius</x:t>
  </x:si>
  <x:si>
    <x:t>http://id.who.int/icd/entity/404102385</x:t>
  </x:si>
  <x:si>
    <x:t>http://id.who.int/icd/release/11/beta/ichi/404102385</x:t>
  </x:si>
  <x:si>
    <x:t>- - - - - - - - Radial groove</x:t>
  </x:si>
  <x:si>
    <x:t>http://id.who.int/icd/entity/420016792</x:t>
  </x:si>
  <x:si>
    <x:t>http://id.who.int/icd/release/11/beta/ichi/420016792</x:t>
  </x:si>
  <x:si>
    <x:t>- - - - - - - - Styloid process of radius</x:t>
  </x:si>
  <x:si>
    <x:t>http://id.who.int/icd/entity/930174412</x:t>
  </x:si>
  <x:si>
    <x:t>http://id.who.int/icd/release/11/beta/ichi/930174412</x:t>
  </x:si>
  <x:si>
    <x:t>- - - - - - - - Lower end of radius not otherwise specified</x:t>
  </x:si>
  <x:si>
    <x:t>http://id.who.int/icd/entity/1386936447</x:t>
  </x:si>
  <x:si>
    <x:t>http://id.who.int/icd/release/11/beta/ichi/1386936447</x:t>
  </x:si>
  <x:si>
    <x:t>- - - - - - - - Upper end of radius not otherwise specified</x:t>
  </x:si>
  <x:si>
    <x:t>http://id.who.int/icd/entity/1895435407</x:t>
  </x:si>
  <x:si>
    <x:t>http://id.who.int/icd/release/11/beta/ichi/1895435407</x:t>
  </x:si>
  <x:si>
    <x:t>- - - - - - - Ulna</x:t>
  </x:si>
  <x:si>
    <x:t>http://id.who.int/icd/entity/1793541745</x:t>
  </x:si>
  <x:si>
    <x:t>http://id.who.int/icd/release/11/beta/ichi/1793541745</x:t>
  </x:si>
  <x:si>
    <x:t>- - - - - - - - Coronoid process of the ulna</x:t>
  </x:si>
  <x:si>
    <x:t>http://id.who.int/icd/entity/1666376405</x:t>
  </x:si>
  <x:si>
    <x:t>http://id.who.int/icd/release/11/beta/ichi/1666376405</x:t>
  </x:si>
  <x:si>
    <x:t>- - - - - - - - Lower end of ulna not otherwise specified</x:t>
  </x:si>
  <x:si>
    <x:t>http://id.who.int/icd/entity/1402989361</x:t>
  </x:si>
  <x:si>
    <x:t>http://id.who.int/icd/release/11/beta/ichi/1402989361</x:t>
  </x:si>
  <x:si>
    <x:t>- - - - - - - - Olecranon process of the ulna</x:t>
  </x:si>
  <x:si>
    <x:t>http://id.who.int/icd/entity/2110726833</x:t>
  </x:si>
  <x:si>
    <x:t>http://id.who.int/icd/release/11/beta/ichi/2110726833</x:t>
  </x:si>
  <x:si>
    <x:t>- - - - - - - - Shaft of the ulna</x:t>
  </x:si>
  <x:si>
    <x:t>http://id.who.int/icd/entity/1152880625</x:t>
  </x:si>
  <x:si>
    <x:t>http://id.who.int/icd/release/11/beta/ichi/1152880625</x:t>
  </x:si>
  <x:si>
    <x:t>- - - - - - - - Styloid process of the ulna</x:t>
  </x:si>
  <x:si>
    <x:t>http://id.who.int/icd/entity/1484844899</x:t>
  </x:si>
  <x:si>
    <x:t>http://id.who.int/icd/release/11/beta/ichi/1484844899</x:t>
  </x:si>
  <x:si>
    <x:t>- - - - - - - - Upper end of ulna not otherwise specified</x:t>
  </x:si>
  <x:si>
    <x:t>http://id.who.int/icd/entity/2038724831</x:t>
  </x:si>
  <x:si>
    <x:t>http://id.who.int/icd/release/11/beta/ichi/2038724831</x:t>
  </x:si>
  <x:si>
    <x:t>- - - - - - - Carpal bones</x:t>
  </x:si>
  <x:si>
    <x:t>http://id.who.int/icd/entity/123658760</x:t>
  </x:si>
  <x:si>
    <x:t>http://id.who.int/icd/release/11/beta/ichi/123658760</x:t>
  </x:si>
  <x:si>
    <x:t>- - - - - - - - Scaphoid bone</x:t>
  </x:si>
  <x:si>
    <x:t>http://id.who.int/icd/entity/1741842511</x:t>
  </x:si>
  <x:si>
    <x:t>http://id.who.int/icd/release/11/beta/ichi/1741842511</x:t>
  </x:si>
  <x:si>
    <x:t>- - - - - - - - - Distal pole of scaphoid</x:t>
  </x:si>
  <x:si>
    <x:t>http://id.who.int/icd/entity/1339590094</x:t>
  </x:si>
  <x:si>
    <x:t>http://id.who.int/icd/release/11/beta/ichi/1339590094</x:t>
  </x:si>
  <x:si>
    <x:t>- - - - - - - - - Distal third of the scaphoid bone</x:t>
  </x:si>
  <x:si>
    <x:t>http://id.who.int/icd/entity/355400465</x:t>
  </x:si>
  <x:si>
    <x:t>http://id.who.int/icd/release/11/beta/ichi/355400465</x:t>
  </x:si>
  <x:si>
    <x:t>- - - - - - - - - Middle third of the scaphoid bone</x:t>
  </x:si>
  <x:si>
    <x:t>http://id.who.int/icd/entity/896547165</x:t>
  </x:si>
  <x:si>
    <x:t>http://id.who.int/icd/release/11/beta/ichi/896547165</x:t>
  </x:si>
  <x:si>
    <x:t>- - - - - - - - - Proximal third of the scaphoid bone</x:t>
  </x:si>
  <x:si>
    <x:t>http://id.who.int/icd/entity/276203208</x:t>
  </x:si>
  <x:si>
    <x:t>http://id.who.int/icd/release/11/beta/ichi/276203208</x:t>
  </x:si>
  <x:si>
    <x:t>- - - - - - - - Lunate bone</x:t>
  </x:si>
  <x:si>
    <x:t>http://id.who.int/icd/entity/688794504</x:t>
  </x:si>
  <x:si>
    <x:t>http://id.who.int/icd/release/11/beta/ichi/688794504</x:t>
  </x:si>
  <x:si>
    <x:t>- - - - - - - - Triquetrum bone</x:t>
  </x:si>
  <x:si>
    <x:t>http://id.who.int/icd/entity/1042698056</x:t>
  </x:si>
  <x:si>
    <x:t>http://id.who.int/icd/release/11/beta/ichi/1042698056</x:t>
  </x:si>
  <x:si>
    <x:t>- - - - - - - - Pisiform bone</x:t>
  </x:si>
  <x:si>
    <x:t>http://id.who.int/icd/entity/1543467272</x:t>
  </x:si>
  <x:si>
    <x:t>http://id.who.int/icd/release/11/beta/ichi/1543467272</x:t>
  </x:si>
  <x:si>
    <x:t>- - - - - - - - Trapezium bone</x:t>
  </x:si>
  <x:si>
    <x:t>http://id.who.int/icd/entity/1289164232</x:t>
  </x:si>
  <x:si>
    <x:t>http://id.who.int/icd/release/11/beta/ichi/1289164232</x:t>
  </x:si>
  <x:si>
    <x:t>- - - - - - - - Trapezoid bone</x:t>
  </x:si>
  <x:si>
    <x:t>http://id.who.int/icd/entity/1974450312</x:t>
  </x:si>
  <x:si>
    <x:t>http://id.who.int/icd/release/11/beta/ichi/1974450312</x:t>
  </x:si>
  <x:si>
    <x:t>- - - - - - - - Capitate bone</x:t>
  </x:si>
  <x:si>
    <x:t>http://id.who.int/icd/entity/1105345528</x:t>
  </x:si>
  <x:si>
    <x:t>http://id.who.int/icd/release/11/beta/ichi/1105345528</x:t>
  </x:si>
  <x:si>
    <x:t>- - - - - - - - Hamate bone</x:t>
  </x:si>
  <x:si>
    <x:t>http://id.who.int/icd/entity/1653070920</x:t>
  </x:si>
  <x:si>
    <x:t>http://id.who.int/icd/release/11/beta/ichi/1653070920</x:t>
  </x:si>
  <x:si>
    <x:t>- - - - - - - - - Hook of hamate</x:t>
  </x:si>
  <x:si>
    <x:t>http://id.who.int/icd/entity/1456103224</x:t>
  </x:si>
  <x:si>
    <x:t>http://id.who.int/icd/release/11/beta/ichi/1456103224</x:t>
  </x:si>
  <x:si>
    <x:t>- - - - - - - - Carpal tunnel</x:t>
  </x:si>
  <x:si>
    <x:t>http://id.who.int/icd/entity/288677215</x:t>
  </x:si>
  <x:si>
    <x:t>http://id.who.int/icd/release/11/beta/ichi/288677215</x:t>
  </x:si>
  <x:si>
    <x:t>- - - - - - - - Base of other carpal bone</x:t>
  </x:si>
  <x:si>
    <x:t>http://id.who.int/icd/entity/1906350120</x:t>
  </x:si>
  <x:si>
    <x:t>http://id.who.int/icd/release/11/beta/ichi/1906350120</x:t>
  </x:si>
  <x:si>
    <x:t>- - - - - - - - Neck of other carpal bone</x:t>
  </x:si>
  <x:si>
    <x:t>http://id.who.int/icd/entity/1051218099</x:t>
  </x:si>
  <x:si>
    <x:t>http://id.who.int/icd/release/11/beta/ichi/1051218099</x:t>
  </x:si>
  <x:si>
    <x:t>- - - - - - - - Shaft of other carpal bone</x:t>
  </x:si>
  <x:si>
    <x:t>http://id.who.int/icd/entity/1060675873</x:t>
  </x:si>
  <x:si>
    <x:t>http://id.who.int/icd/release/11/beta/ichi/1060675873</x:t>
  </x:si>
  <x:si>
    <x:t>- - - - - - - Metacarpal bone</x:t>
  </x:si>
  <x:si>
    <x:t>http://id.who.int/icd/entity/2083288434</x:t>
  </x:si>
  <x:si>
    <x:t>http://id.who.int/icd/release/11/beta/ichi/2083288434</x:t>
  </x:si>
  <x:si>
    <x:t>- - - - - - - - First metacarpal</x:t>
  </x:si>
  <x:si>
    <x:t>http://id.who.int/icd/entity/418946772</x:t>
  </x:si>
  <x:si>
    <x:t>http://id.who.int/icd/release/11/beta/ichi/418946772</x:t>
  </x:si>
  <x:si>
    <x:t>- - - - - - - - - Head of the first metacarpal bone</x:t>
  </x:si>
  <x:si>
    <x:t>http://id.who.int/icd/entity/192225887</x:t>
  </x:si>
  <x:si>
    <x:t>http://id.who.int/icd/release/11/beta/ichi/192225887</x:t>
  </x:si>
  <x:si>
    <x:t>- - - - - - - - - Neck of the first metacarpal bone</x:t>
  </x:si>
  <x:si>
    <x:t>http://id.who.int/icd/entity/475874975</x:t>
  </x:si>
  <x:si>
    <x:t>http://id.who.int/icd/release/11/beta/ichi/475874975</x:t>
  </x:si>
  <x:si>
    <x:t>- - - - - - - - - Shaft of the first metacarpal bone</x:t>
  </x:si>
  <x:si>
    <x:t>http://id.who.int/icd/entity/839749407</x:t>
  </x:si>
  <x:si>
    <x:t>http://id.who.int/icd/release/11/beta/ichi/839749407</x:t>
  </x:si>
  <x:si>
    <x:t>- - - - - - - - - Base of the first metacarpal bone</x:t>
  </x:si>
  <x:si>
    <x:t>http://id.who.int/icd/entity/1750825720</x:t>
  </x:si>
  <x:si>
    <x:t>http://id.who.int/icd/release/11/beta/ichi/1750825720</x:t>
  </x:si>
  <x:si>
    <x:t>- - - - - - - - Second metacarpal</x:t>
  </x:si>
  <x:si>
    <x:t>http://id.who.int/icd/entity/151309985</x:t>
  </x:si>
  <x:si>
    <x:t>http://id.who.int/icd/release/11/beta/ichi/151309985</x:t>
  </x:si>
  <x:si>
    <x:t>- - - - - - - - - Head of the second metacarpal bone</x:t>
  </x:si>
  <x:si>
    <x:t>http://id.who.int/icd/entity/1826579220</x:t>
  </x:si>
  <x:si>
    <x:t>http://id.who.int/icd/release/11/beta/ichi/1826579220</x:t>
  </x:si>
  <x:si>
    <x:t>- - - - - - - - - Neck of the second metacarpal bone</x:t>
  </x:si>
  <x:si>
    <x:t>http://id.who.int/icd/entity/1140102068</x:t>
  </x:si>
  <x:si>
    <x:t>http://id.who.int/icd/release/11/beta/ichi/1140102068</x:t>
  </x:si>
  <x:si>
    <x:t>- - - - - - - - - Shaft of the second metacarpal bone</x:t>
  </x:si>
  <x:si>
    <x:t>http://id.who.int/icd/entity/1232680152</x:t>
  </x:si>
  <x:si>
    <x:t>http://id.who.int/icd/release/11/beta/ichi/1232680152</x:t>
  </x:si>
  <x:si>
    <x:t>- - - - - - - - - Base of the second metacarpal bone</x:t>
  </x:si>
  <x:si>
    <x:t>http://id.who.int/icd/entity/226547533</x:t>
  </x:si>
  <x:si>
    <x:t>http://id.who.int/icd/release/11/beta/ichi/226547533</x:t>
  </x:si>
  <x:si>
    <x:t>- - - - - - - - Third metacarpal</x:t>
  </x:si>
  <x:si>
    <x:t>http://id.who.int/icd/entity/1676155162</x:t>
  </x:si>
  <x:si>
    <x:t>http://id.who.int/icd/release/11/beta/ichi/1676155162</x:t>
  </x:si>
  <x:si>
    <x:t>- - - - - - - - - Head of the third metacarpal bone</x:t>
  </x:si>
  <x:si>
    <x:t>http://id.who.int/icd/entity/1768275574</x:t>
  </x:si>
  <x:si>
    <x:t>http://id.who.int/icd/release/11/beta/ichi/1768275574</x:t>
  </x:si>
  <x:si>
    <x:t>- - - - - - - - - Neck of the third metacarpal bone</x:t>
  </x:si>
  <x:si>
    <x:t>http://id.who.int/icd/entity/1774325252</x:t>
  </x:si>
  <x:si>
    <x:t>http://id.who.int/icd/release/11/beta/ichi/1774325252</x:t>
  </x:si>
  <x:si>
    <x:t>- - - - - - - - - Shaft of the third metacarpal bone</x:t>
  </x:si>
  <x:si>
    <x:t>http://id.who.int/icd/entity/541570556</x:t>
  </x:si>
  <x:si>
    <x:t>http://id.who.int/icd/release/11/beta/ichi/541570556</x:t>
  </x:si>
  <x:si>
    <x:t>- - - - - - - - - Base of the third metacarpal bone</x:t>
  </x:si>
  <x:si>
    <x:t>http://id.who.int/icd/entity/913003817</x:t>
  </x:si>
  <x:si>
    <x:t>http://id.who.int/icd/release/11/beta/ichi/913003817</x:t>
  </x:si>
  <x:si>
    <x:t>- - - - - - - - Fourth metacarpal</x:t>
  </x:si>
  <x:si>
    <x:t>http://id.who.int/icd/entity/244250262</x:t>
  </x:si>
  <x:si>
    <x:t>http://id.who.int/icd/release/11/beta/ichi/244250262</x:t>
  </x:si>
  <x:si>
    <x:t>- - - - - - - - - Head of the fourth metacarpal bone</x:t>
  </x:si>
  <x:si>
    <x:t>http://id.who.int/icd/entity/1952711397</x:t>
  </x:si>
  <x:si>
    <x:t>http://id.who.int/icd/release/11/beta/ichi/1952711397</x:t>
  </x:si>
  <x:si>
    <x:t>- - - - - - - - - Neck of the fourth metacarpal bone</x:t>
  </x:si>
  <x:si>
    <x:t>http://id.who.int/icd/entity/1611861357</x:t>
  </x:si>
  <x:si>
    <x:t>http://id.who.int/icd/release/11/beta/ichi/1611861357</x:t>
  </x:si>
  <x:si>
    <x:t>- - - - - - - - - Shaft of the fourth metacarpal bone</x:t>
  </x:si>
  <x:si>
    <x:t>http://id.who.int/icd/entity/97034458</x:t>
  </x:si>
  <x:si>
    <x:t>http://id.who.int/icd/release/11/beta/ichi/97034458</x:t>
  </x:si>
  <x:si>
    <x:t>- - - - - - - - - Base of the fourth metacarpal bone</x:t>
  </x:si>
  <x:si>
    <x:t>http://id.who.int/icd/entity/1021768261</x:t>
  </x:si>
  <x:si>
    <x:t>http://id.who.int/icd/release/11/beta/ichi/1021768261</x:t>
  </x:si>
  <x:si>
    <x:t>- - - - - - - - Fifth metacarpal</x:t>
  </x:si>
  <x:si>
    <x:t>http://id.who.int/icd/entity/719540346</x:t>
  </x:si>
  <x:si>
    <x:t>http://id.who.int/icd/release/11/beta/ichi/719540346</x:t>
  </x:si>
  <x:si>
    <x:t>- - - - - - - - - Head of the fifth metacarpal bone</x:t>
  </x:si>
  <x:si>
    <x:t>http://id.who.int/icd/entity/544143126</x:t>
  </x:si>
  <x:si>
    <x:t>http://id.who.int/icd/release/11/beta/ichi/544143126</x:t>
  </x:si>
  <x:si>
    <x:t>- - - - - - - - - Neck of the fifth metacarpal bone</x:t>
  </x:si>
  <x:si>
    <x:t>http://id.who.int/icd/entity/7503288</x:t>
  </x:si>
  <x:si>
    <x:t>http://id.who.int/icd/release/11/beta/ichi/7503288</x:t>
  </x:si>
  <x:si>
    <x:t>- - - - - - - - - Shaft of the fifth metacarpal bone</x:t>
  </x:si>
  <x:si>
    <x:t>http://id.who.int/icd/entity/1568069787</x:t>
  </x:si>
  <x:si>
    <x:t>http://id.who.int/icd/release/11/beta/ichi/1568069787</x:t>
  </x:si>
  <x:si>
    <x:t>- - - - - - - - - Base of the fifth metacarpal bone</x:t>
  </x:si>
  <x:si>
    <x:t>http://id.who.int/icd/entity/623242207</x:t>
  </x:si>
  <x:si>
    <x:t>http://id.who.int/icd/release/11/beta/ichi/623242207</x:t>
  </x:si>
  <x:si>
    <x:t>- - - - - - - Phalanx of the hand</x:t>
  </x:si>
  <x:si>
    <x:t>http://id.who.int/icd/entity/1856773151</x:t>
  </x:si>
  <x:si>
    <x:t>http://id.who.int/icd/release/11/beta/ichi/1856773151</x:t>
  </x:si>
  <x:si>
    <x:t>- - - - - - - - Proximal phalanx of the hand</x:t>
  </x:si>
  <x:si>
    <x:t>http://id.who.int/icd/entity/595827502</x:t>
  </x:si>
  <x:si>
    <x:t>http://id.who.int/icd/release/11/beta/ichi/595827502</x:t>
  </x:si>
  <x:si>
    <x:t>- - - - - - - - - Proximal phalanx of index finger</x:t>
  </x:si>
  <x:si>
    <x:t>http://id.who.int/icd/entity/158099590</x:t>
  </x:si>
  <x:si>
    <x:t>http://id.who.int/icd/release/11/beta/ichi/158099590</x:t>
  </x:si>
  <x:si>
    <x:t>- - - - - - - - - Proximal phalanx of middle finger</x:t>
  </x:si>
  <x:si>
    <x:t>http://id.who.int/icd/entity/1439562630</x:t>
  </x:si>
  <x:si>
    <x:t>http://id.who.int/icd/release/11/beta/ichi/1439562630</x:t>
  </x:si>
  <x:si>
    <x:t>- - - - - - - - - Proximal phalanx of ring finger</x:t>
  </x:si>
  <x:si>
    <x:t>http://id.who.int/icd/entity/1339076986</x:t>
  </x:si>
  <x:si>
    <x:t>http://id.who.int/icd/release/11/beta/ichi/1339076986</x:t>
  </x:si>
  <x:si>
    <x:t>- - - - - - - - - Proximal phalanx of little finger</x:t>
  </x:si>
  <x:si>
    <x:t>http://id.who.int/icd/entity/1248945463</x:t>
  </x:si>
  <x:si>
    <x:t>http://id.who.int/icd/release/11/beta/ichi/1248945463</x:t>
  </x:si>
  <x:si>
    <x:t>- - - - - - - - - Proximal phalanx of thumb</x:t>
  </x:si>
  <x:si>
    <x:t>http://id.who.int/icd/entity/1996623307</x:t>
  </x:si>
  <x:si>
    <x:t>http://id.who.int/icd/release/11/beta/ichi/1996623307</x:t>
  </x:si>
  <x:si>
    <x:t>- - - - - - - - Middle phalanx of hand</x:t>
  </x:si>
  <x:si>
    <x:t>http://id.who.int/icd/entity/883687406</x:t>
  </x:si>
  <x:si>
    <x:t>http://id.who.int/icd/release/11/beta/ichi/883687406</x:t>
  </x:si>
  <x:si>
    <x:t>- - - - - - - - - Middle phalanx of index finger</x:t>
  </x:si>
  <x:si>
    <x:t>http://id.who.int/icd/entity/507776070</x:t>
  </x:si>
  <x:si>
    <x:t>http://id.who.int/icd/release/11/beta/ichi/507776070</x:t>
  </x:si>
  <x:si>
    <x:t>- - - - - - - - - Middle phalanx of middle finger</x:t>
  </x:si>
  <x:si>
    <x:t>http://id.who.int/icd/entity/1122344774</x:t>
  </x:si>
  <x:si>
    <x:t>http://id.who.int/icd/release/11/beta/ichi/1122344774</x:t>
  </x:si>
  <x:si>
    <x:t>- - - - - - - - - Middle phalanx of ring finger</x:t>
  </x:si>
  <x:si>
    <x:t>http://id.who.int/icd/entity/1492702650</x:t>
  </x:si>
  <x:si>
    <x:t>http://id.who.int/icd/release/11/beta/ichi/1492702650</x:t>
  </x:si>
  <x:si>
    <x:t>- - - - - - - - - Middle phalanx of little finger</x:t>
  </x:si>
  <x:si>
    <x:t>http://id.who.int/icd/entity/1090311583</x:t>
  </x:si>
  <x:si>
    <x:t>http://id.who.int/icd/release/11/beta/ichi/1090311583</x:t>
  </x:si>
  <x:si>
    <x:t>- - - - - - - - Distal phalanx of the hand</x:t>
  </x:si>
  <x:si>
    <x:t>http://id.who.int/icd/entity/231953070</x:t>
  </x:si>
  <x:si>
    <x:t>http://id.who.int/icd/release/11/beta/ichi/231953070</x:t>
  </x:si>
  <x:si>
    <x:t>- - - - - - - - - Distal phalanx of index finger</x:t>
  </x:si>
  <x:si>
    <x:t>http://id.who.int/icd/entity/399382610</x:t>
  </x:si>
  <x:si>
    <x:t>http://id.who.int/icd/release/11/beta/ichi/399382610</x:t>
  </x:si>
  <x:si>
    <x:t>- - - - - - - - - Distal phalanx of middle finger</x:t>
  </x:si>
  <x:si>
    <x:t>http://id.who.int/icd/entity/658284806</x:t>
  </x:si>
  <x:si>
    <x:t>http://id.who.int/icd/release/11/beta/ichi/658284806</x:t>
  </x:si>
  <x:si>
    <x:t>- - - - - - - - - Distal phalanx of ring finger</x:t>
  </x:si>
  <x:si>
    <x:t>http://id.who.int/icd/entity/2073899526</x:t>
  </x:si>
  <x:si>
    <x:t>http://id.who.int/icd/release/11/beta/ichi/2073899526</x:t>
  </x:si>
  <x:si>
    <x:t>- - - - - - - - - Distal phalanx of little finger</x:t>
  </x:si>
  <x:si>
    <x:t>http://id.who.int/icd/entity/1566114295</x:t>
  </x:si>
  <x:si>
    <x:t>http://id.who.int/icd/release/11/beta/ichi/1566114295</x:t>
  </x:si>
  <x:si>
    <x:t>- - - - - - - - - Distal phalanx of thumb</x:t>
  </x:si>
  <x:si>
    <x:t>http://id.who.int/icd/entity/1348651907</x:t>
  </x:si>
  <x:si>
    <x:t>http://id.who.int/icd/release/11/beta/ichi/1348651907</x:t>
  </x:si>
  <x:si>
    <x:t>- - - - - - - - Bone of finger, not elsewhere classified</x:t>
  </x:si>
  <x:si>
    <x:t>http://id.who.int/icd/entity/1948659585</x:t>
  </x:si>
  <x:si>
    <x:t>http://id.who.int/icd/release/11/beta/ichi/1948659585</x:t>
  </x:si>
  <x:si>
    <x:t>- - - - - - - - Bone of thumb, not elsewhere classified</x:t>
  </x:si>
  <x:si>
    <x:t>http://id.who.int/icd/entity/805764304</x:t>
  </x:si>
  <x:si>
    <x:t>http://id.who.int/icd/release/11/beta/ichi/805764304</x:t>
  </x:si>
  <x:si>
    <x:t>- - - - - - Bones of the lower extremity</x:t>
  </x:si>
  <x:si>
    <x:t>http://id.who.int/icd/entity/983135600</x:t>
  </x:si>
  <x:si>
    <x:t>http://id.who.int/icd/release/11/beta/ichi/983135600</x:t>
  </x:si>
  <x:si>
    <x:t>- - - - - - - Femur</x:t>
  </x:si>
  <x:si>
    <x:t>http://id.who.int/icd/entity/1879993545</x:t>
  </x:si>
  <x:si>
    <x:t>http://id.who.int/icd/release/11/beta/ichi/1879993545</x:t>
  </x:si>
  <x:si>
    <x:t>- - - - - - - - Femoral head</x:t>
  </x:si>
  <x:si>
    <x:t>http://id.who.int/icd/entity/1730545673</x:t>
  </x:si>
  <x:si>
    <x:t>http://id.who.int/icd/release/11/beta/ichi/1730545673</x:t>
  </x:si>
  <x:si>
    <x:t>- - - - - - - - Femoral neck</x:t>
  </x:si>
  <x:si>
    <x:t>http://id.who.int/icd/entity/766579120</x:t>
  </x:si>
  <x:si>
    <x:t>http://id.who.int/icd/release/11/beta/ichi/766579120</x:t>
  </x:si>
  <x:si>
    <x:t>- - - - - - - - Trochanter</x:t>
  </x:si>
  <x:si>
    <x:t>http://id.who.int/icd/entity/1299250003</x:t>
  </x:si>
  <x:si>
    <x:t>http://id.who.int/icd/release/11/beta/ichi/1299250003</x:t>
  </x:si>
  <x:si>
    <x:t>- - - - - - - - - Greater trochanter of femur</x:t>
  </x:si>
  <x:si>
    <x:t>http://id.who.int/icd/entity/1207786559</x:t>
  </x:si>
  <x:si>
    <x:t>http://id.who.int/icd/release/11/beta/ichi/1207786559</x:t>
  </x:si>
  <x:si>
    <x:t>- - - - - - - - - Lesser trochanter of femur</x:t>
  </x:si>
  <x:si>
    <x:t>http://id.who.int/icd/entity/1598049072</x:t>
  </x:si>
  <x:si>
    <x:t>http://id.who.int/icd/release/11/beta/ichi/1598049072</x:t>
  </x:si>
  <x:si>
    <x:t>- - - - - - - - Intertrochanteric crest of femur</x:t>
  </x:si>
  <x:si>
    <x:t>http://id.who.int/icd/entity/65132592</x:t>
  </x:si>
  <x:si>
    <x:t>http://id.who.int/icd/release/11/beta/ichi/65132592</x:t>
  </x:si>
  <x:si>
    <x:t>- - - - - - - - Femoral shaft</x:t>
  </x:si>
  <x:si>
    <x:t>http://id.who.int/icd/entity/1715005040</x:t>
  </x:si>
  <x:si>
    <x:t>http://id.who.int/icd/release/11/beta/ichi/1715005040</x:t>
  </x:si>
  <x:si>
    <x:t>- - - - - - - - Femoral condyle</x:t>
  </x:si>
  <x:si>
    <x:t>http://id.who.int/icd/entity/1896907440</x:t>
  </x:si>
  <x:si>
    <x:t>http://id.who.int/icd/release/11/beta/ichi/1896907440</x:t>
  </x:si>
  <x:si>
    <x:t>- - - - - - - - Femoral epiphysis</x:t>
  </x:si>
  <x:si>
    <x:t>http://id.who.int/icd/entity/348765424</x:t>
  </x:si>
  <x:si>
    <x:t>http://id.who.int/icd/release/11/beta/ichi/348765424</x:t>
  </x:si>
  <x:si>
    <x:t>- - - - - - - - Pertrochanter</x:t>
  </x:si>
  <x:si>
    <x:t>http://id.who.int/icd/entity/1214787568</x:t>
  </x:si>
  <x:si>
    <x:t>http://id.who.int/icd/release/11/beta/ichi/1214787568</x:t>
  </x:si>
  <x:si>
    <x:t>- - - - - - - - Subtrochanteric line of femur</x:t>
  </x:si>
  <x:si>
    <x:t>http://id.who.int/icd/entity/435983056</x:t>
  </x:si>
  <x:si>
    <x:t>http://id.who.int/icd/release/11/beta/ichi/435983056</x:t>
  </x:si>
  <x:si>
    <x:t>- - - - - - - Patella</x:t>
  </x:si>
  <x:si>
    <x:t>http://id.who.int/icd/entity/520825881</x:t>
  </x:si>
  <x:si>
    <x:t>http://id.who.int/icd/release/11/beta/ichi/520825881</x:t>
  </x:si>
  <x:si>
    <x:t>- - - - - - - Tibia</x:t>
  </x:si>
  <x:si>
    <x:t>http://id.who.int/icd/entity/248837648</x:t>
  </x:si>
  <x:si>
    <x:t>http://id.who.int/icd/release/11/beta/ichi/248837648</x:t>
  </x:si>
  <x:si>
    <x:t>- - - - - - - - Tibial condyle</x:t>
  </x:si>
  <x:si>
    <x:t>http://id.who.int/icd/entity/945934160</x:t>
  </x:si>
  <x:si>
    <x:t>http://id.who.int/icd/release/11/beta/ichi/945934160</x:t>
  </x:si>
  <x:si>
    <x:t>- - - - - - - - - Lateral condyle of tibia</x:t>
  </x:si>
  <x:si>
    <x:t>http://id.who.int/icd/entity/1175397069</x:t>
  </x:si>
  <x:si>
    <x:t>http://id.who.int/icd/release/11/beta/ichi/1175397069</x:t>
  </x:si>
  <x:si>
    <x:t>- - - - - - - - - Medial condyle of tibia</x:t>
  </x:si>
  <x:si>
    <x:t>http://id.who.int/icd/entity/1845130905</x:t>
  </x:si>
  <x:si>
    <x:t>http://id.who.int/icd/release/11/beta/ichi/1845130905</x:t>
  </x:si>
  <x:si>
    <x:t>- - - - - - - - Tibial tuberosity</x:t>
  </x:si>
  <x:si>
    <x:t>http://id.who.int/icd/entity/1135263513</x:t>
  </x:si>
  <x:si>
    <x:t>http://id.who.int/icd/release/11/beta/ichi/1135263513</x:t>
  </x:si>
  <x:si>
    <x:t>- - - - - - - - Tibial shaft</x:t>
  </x:si>
  <x:si>
    <x:t>http://id.who.int/icd/entity/1417862105</x:t>
  </x:si>
  <x:si>
    <x:t>http://id.who.int/icd/release/11/beta/ichi/1417862105</x:t>
  </x:si>
  <x:si>
    <x:t>- - - - - - - - Tibial spine</x:t>
  </x:si>
  <x:si>
    <x:t>http://id.who.int/icd/entity/2060587609</x:t>
  </x:si>
  <x:si>
    <x:t>http://id.who.int/icd/release/11/beta/ichi/2060587609</x:t>
  </x:si>
  <x:si>
    <x:t>- - - - - - - - Medial malleolus</x:t>
  </x:si>
  <x:si>
    <x:t>http://id.who.int/icd/entity/1907436090</x:t>
  </x:si>
  <x:si>
    <x:t>http://id.who.int/icd/release/11/beta/ichi/1907436090</x:t>
  </x:si>
  <x:si>
    <x:t>- - - - - - - - Posterior malleolus</x:t>
  </x:si>
  <x:si>
    <x:t>http://id.who.int/icd/entity/85354215</x:t>
  </x:si>
  <x:si>
    <x:t>http://id.who.int/icd/release/11/beta/ichi/85354215</x:t>
  </x:si>
  <x:si>
    <x:t>- - - - - - - Fibula</x:t>
  </x:si>
  <x:si>
    <x:t>http://id.who.int/icd/entity/136530137</x:t>
  </x:si>
  <x:si>
    <x:t>http://id.who.int/icd/release/11/beta/ichi/136530137</x:t>
  </x:si>
  <x:si>
    <x:t>- - - - - - - - Fibular head</x:t>
  </x:si>
  <x:si>
    <x:t>http://id.who.int/icd/entity/828106137</x:t>
  </x:si>
  <x:si>
    <x:t>http://id.who.int/icd/release/11/beta/ichi/828106137</x:t>
  </x:si>
  <x:si>
    <x:t>- - - - - - - - Fibular shaft</x:t>
  </x:si>
  <x:si>
    <x:t>http://id.who.int/icd/entity/645103961</x:t>
  </x:si>
  <x:si>
    <x:t>http://id.who.int/icd/release/11/beta/ichi/645103961</x:t>
  </x:si>
  <x:si>
    <x:t>- - - - - - - - Lateral malleolus</x:t>
  </x:si>
  <x:si>
    <x:t>http://id.who.int/icd/entity/1491791024</x:t>
  </x:si>
  <x:si>
    <x:t>http://id.who.int/icd/release/11/beta/ichi/1491791024</x:t>
  </x:si>
  <x:si>
    <x:t>- - - - - - - Tarsal bone</x:t>
  </x:si>
  <x:si>
    <x:t>http://id.who.int/icd/entity/710426882</x:t>
  </x:si>
  <x:si>
    <x:t>http://id.who.int/icd/release/11/beta/ichi/710426882</x:t>
  </x:si>
  <x:si>
    <x:t>- - - - - - - - Calcaneus</x:t>
  </x:si>
  <x:si>
    <x:t>http://id.who.int/icd/entity/306053671</x:t>
  </x:si>
  <x:si>
    <x:t>http://id.who.int/icd/release/11/beta/ichi/306053671</x:t>
  </x:si>
  <x:si>
    <x:t>- - - - - - - - - Anterior process of calcaneus</x:t>
  </x:si>
  <x:si>
    <x:t>http://id.who.int/icd/entity/1030759874</x:t>
  </x:si>
  <x:si>
    <x:t>http://id.who.int/icd/release/11/beta/ichi/1030759874</x:t>
  </x:si>
  <x:si>
    <x:t>- - - - - - - - - Tuberosity of calcaneus</x:t>
  </x:si>
  <x:si>
    <x:t>http://id.who.int/icd/entity/1996083714</x:t>
  </x:si>
  <x:si>
    <x:t>http://id.who.int/icd/release/11/beta/ichi/1996083714</x:t>
  </x:si>
  <x:si>
    <x:t>- - - - - - - - Talus</x:t>
  </x:si>
  <x:si>
    <x:t>http://id.who.int/icd/entity/320924738</x:t>
  </x:si>
  <x:si>
    <x:t>http://id.who.int/icd/release/11/beta/ichi/320924738</x:t>
  </x:si>
  <x:si>
    <x:t>- - - - - - - - - Dome of the talus</x:t>
  </x:si>
  <x:si>
    <x:t>http://id.who.int/icd/entity/1641133762</x:t>
  </x:si>
  <x:si>
    <x:t>http://id.who.int/icd/release/11/beta/ichi/1641133762</x:t>
  </x:si>
  <x:si>
    <x:t>- - - - - - - - - Neck of the talus</x:t>
  </x:si>
  <x:si>
    <x:t>http://id.who.int/icd/entity/67668098</x:t>
  </x:si>
  <x:si>
    <x:t>http://id.who.int/icd/release/11/beta/ichi/67668098</x:t>
  </x:si>
  <x:si>
    <x:t>- - - - - - - - - Posterior process of the talus</x:t>
  </x:si>
  <x:si>
    <x:t>http://id.who.int/icd/entity/1333886786</x:t>
  </x:si>
  <x:si>
    <x:t>http://id.who.int/icd/release/11/beta/ichi/1333886786</x:t>
  </x:si>
  <x:si>
    <x:t>- - - - - - - - Navicular bone</x:t>
  </x:si>
  <x:si>
    <x:t>http://id.who.int/icd/entity/1487477634</x:t>
  </x:si>
  <x:si>
    <x:t>http://id.who.int/icd/release/11/beta/ichi/1487477634</x:t>
  </x:si>
  <x:si>
    <x:t>- - - - - - - - Medial cuneiform bone</x:t>
  </x:si>
  <x:si>
    <x:t>http://id.who.int/icd/entity/2077031486</x:t>
  </x:si>
  <x:si>
    <x:t>http://id.who.int/icd/release/11/beta/ichi/2077031486</x:t>
  </x:si>
  <x:si>
    <x:t>- - - - - - - - Intermediate cuneiform bone</x:t>
  </x:si>
  <x:si>
    <x:t>http://id.who.int/icd/entity/1826920702</x:t>
  </x:si>
  <x:si>
    <x:t>http://id.who.int/icd/release/11/beta/ichi/1826920702</x:t>
  </x:si>
  <x:si>
    <x:t>- - - - - - - - Lateral cuneiform bone</x:t>
  </x:si>
  <x:si>
    <x:t>http://id.who.int/icd/entity/1991910704</x:t>
  </x:si>
  <x:si>
    <x:t>http://id.who.int/icd/release/11/beta/ichi/1991910704</x:t>
  </x:si>
  <x:si>
    <x:t>- - - - - - - - Cuboid bone</x:t>
  </x:si>
  <x:si>
    <x:t>http://id.who.int/icd/entity/2137029069</x:t>
  </x:si>
  <x:si>
    <x:t>http://id.who.int/icd/release/11/beta/ichi/2137029069</x:t>
  </x:si>
  <x:si>
    <x:t>- - - - - - - - Bone of ankle</x:t>
  </x:si>
  <x:si>
    <x:t>http://id.who.int/icd/entity/1636975088</x:t>
  </x:si>
  <x:si>
    <x:t>http://id.who.int/icd/release/11/beta/ichi/1636975088</x:t>
  </x:si>
  <x:si>
    <x:t>- - - - - - - - Tarsal canal</x:t>
  </x:si>
  <x:si>
    <x:t>http://id.who.int/icd/entity/325262192</x:t>
  </x:si>
  <x:si>
    <x:t>http://id.who.int/icd/release/11/beta/ichi/325262192</x:t>
  </x:si>
  <x:si>
    <x:t>- - - - - - - Metatarsal bone</x:t>
  </x:si>
  <x:si>
    <x:t>http://id.who.int/icd/entity/72056752</x:t>
  </x:si>
  <x:si>
    <x:t>http://id.who.int/icd/release/11/beta/ichi/72056752</x:t>
  </x:si>
  <x:si>
    <x:t>- - - - - - - Phalanx of the foot</x:t>
  </x:si>
  <x:si>
    <x:t>http://id.who.int/icd/entity/1338148976</x:t>
  </x:si>
  <x:si>
    <x:t>http://id.who.int/icd/release/11/beta/ichi/1338148976</x:t>
  </x:si>
  <x:si>
    <x:t>- - - - - - - - Proximal phalanx of the toe</x:t>
  </x:si>
  <x:si>
    <x:t>http://id.who.int/icd/entity/1562664263</x:t>
  </x:si>
  <x:si>
    <x:t>http://id.who.int/icd/release/11/beta/ichi/1562664263</x:t>
  </x:si>
  <x:si>
    <x:t>- - - - - - - - - Proximal phalanx of great toe</x:t>
  </x:si>
  <x:si>
    <x:t>http://id.who.int/icd/entity/637884440</x:t>
  </x:si>
  <x:si>
    <x:t>http://id.who.int/icd/release/11/beta/ichi/637884440</x:t>
  </x:si>
  <x:si>
    <x:t>- - - - - - - - - Proximal phalanx of second toe</x:t>
  </x:si>
  <x:si>
    <x:t>http://id.who.int/icd/entity/1817359731</x:t>
  </x:si>
  <x:si>
    <x:t>http://id.who.int/icd/release/11/beta/ichi/1817359731</x:t>
  </x:si>
  <x:si>
    <x:t>- - - - - - - - - Proximal phalanx of third toe</x:t>
  </x:si>
  <x:si>
    <x:t>http://id.who.int/icd/entity/61018076</x:t>
  </x:si>
  <x:si>
    <x:t>http://id.who.int/icd/release/11/beta/ichi/61018076</x:t>
  </x:si>
  <x:si>
    <x:t>- - - - - - - - - Proximal phalanx of fourth toe</x:t>
  </x:si>
  <x:si>
    <x:t>http://id.who.int/icd/entity/2034891691</x:t>
  </x:si>
  <x:si>
    <x:t>http://id.who.int/icd/release/11/beta/ichi/2034891691</x:t>
  </x:si>
  <x:si>
    <x:t>- - - - - - - - - Proximal phalanx of fifth toe</x:t>
  </x:si>
  <x:si>
    <x:t>http://id.who.int/icd/entity/1470757419</x:t>
  </x:si>
  <x:si>
    <x:t>http://id.who.int/icd/release/11/beta/ichi/1470757419</x:t>
  </x:si>
  <x:si>
    <x:t>- - - - - - - - Middle phalanx of toe</x:t>
  </x:si>
  <x:si>
    <x:t>http://id.who.int/icd/entity/599754102</x:t>
  </x:si>
  <x:si>
    <x:t>http://id.who.int/icd/release/11/beta/ichi/599754102</x:t>
  </x:si>
  <x:si>
    <x:t>- - - - - - - - - Middle phalanx of second toe</x:t>
  </x:si>
  <x:si>
    <x:t>http://id.who.int/icd/entity/1180969155</x:t>
  </x:si>
  <x:si>
    <x:t>http://id.who.int/icd/release/11/beta/ichi/1180969155</x:t>
  </x:si>
  <x:si>
    <x:t>- - - - - - - - - Middle phalanx of third toe</x:t>
  </x:si>
  <x:si>
    <x:t>http://id.who.int/icd/entity/1887549074</x:t>
  </x:si>
  <x:si>
    <x:t>http://id.who.int/icd/release/11/beta/ichi/1887549074</x:t>
  </x:si>
  <x:si>
    <x:t>- - - - - - - - - Middle phalanx of fourth toe</x:t>
  </x:si>
  <x:si>
    <x:t>http://id.who.int/icd/entity/2047611390</x:t>
  </x:si>
  <x:si>
    <x:t>http://id.who.int/icd/release/11/beta/ichi/2047611390</x:t>
  </x:si>
  <x:si>
    <x:t>- - - - - - - - - Middle phalanx of fifth toe</x:t>
  </x:si>
  <x:si>
    <x:t>http://id.who.int/icd/entity/1026806512</x:t>
  </x:si>
  <x:si>
    <x:t>http://id.who.int/icd/release/11/beta/ichi/1026806512</x:t>
  </x:si>
  <x:si>
    <x:t>- - - - - - - - Distal phalanx of the toe</x:t>
  </x:si>
  <x:si>
    <x:t>http://id.who.int/icd/entity/2125563842</x:t>
  </x:si>
  <x:si>
    <x:t>http://id.who.int/icd/release/11/beta/ichi/2125563842</x:t>
  </x:si>
  <x:si>
    <x:t>- - - - - - - - - Distal phalanx of great toe</x:t>
  </x:si>
  <x:si>
    <x:t>http://id.who.int/icd/entity/73102257</x:t>
  </x:si>
  <x:si>
    <x:t>http://id.who.int/icd/release/11/beta/ichi/73102257</x:t>
  </x:si>
  <x:si>
    <x:t>- - - - - - - - - Distal phalanx of second toe</x:t>
  </x:si>
  <x:si>
    <x:t>http://id.who.int/icd/entity/271350841</x:t>
  </x:si>
  <x:si>
    <x:t>http://id.who.int/icd/release/11/beta/ichi/271350841</x:t>
  </x:si>
  <x:si>
    <x:t>- - - - - - - - - Distal phalanx of third toe</x:t>
  </x:si>
  <x:si>
    <x:t>http://id.who.int/icd/entity/1979175310</x:t>
  </x:si>
  <x:si>
    <x:t>http://id.who.int/icd/release/11/beta/ichi/1979175310</x:t>
  </x:si>
  <x:si>
    <x:t>- - - - - - - - - Distal phalanx of fourth toe</x:t>
  </x:si>
  <x:si>
    <x:t>http://id.who.int/icd/entity/1524375854</x:t>
  </x:si>
  <x:si>
    <x:t>http://id.who.int/icd/release/11/beta/ichi/1524375854</x:t>
  </x:si>
  <x:si>
    <x:t>- - - - - - - - - Distal phalanx of fifth toe</x:t>
  </x:si>
  <x:si>
    <x:t>http://id.who.int/icd/entity/461235915</x:t>
  </x:si>
  <x:si>
    <x:t>http://id.who.int/icd/release/11/beta/ichi/461235915</x:t>
  </x:si>
  <x:si>
    <x:t>- - - - Joints and ligaments</x:t>
  </x:si>
  <x:si>
    <x:t>http://id.who.int/icd/entity/864772028</x:t>
  </x:si>
  <x:si>
    <x:t>http://id.who.int/icd/release/11/beta/ichi/864772028</x:t>
  </x:si>
  <x:si>
    <x:t>- - - - - Joints and ligaments of the head and neck</x:t>
  </x:si>
  <x:si>
    <x:t>http://id.who.int/icd/entity/1363003152</x:t>
  </x:si>
  <x:si>
    <x:t>http://id.who.int/icd/release/11/beta/ichi/1363003152</x:t>
  </x:si>
  <x:si>
    <x:t>- - - - - - Joints of the head</x:t>
  </x:si>
  <x:si>
    <x:t>http://id.who.int/icd/entity/183759612</x:t>
  </x:si>
  <x:si>
    <x:t>http://id.who.int/icd/release/11/beta/ichi/183759612</x:t>
  </x:si>
  <x:si>
    <x:t>- - - - - - - Atlantooccipital joint</x:t>
  </x:si>
  <x:si>
    <x:t>http://id.who.int/icd/entity/1948870691</x:t>
  </x:si>
  <x:si>
    <x:t>http://id.who.int/icd/release/11/beta/ichi/1948870691</x:t>
  </x:si>
  <x:si>
    <x:t>- - - - - - - Atlantoaxial joint</x:t>
  </x:si>
  <x:si>
    <x:t>http://id.who.int/icd/entity/439298507</x:t>
  </x:si>
  <x:si>
    <x:t>http://id.who.int/icd/release/11/beta/ichi/439298507</x:t>
  </x:si>
  <x:si>
    <x:t>- - - - - - Ligaments of the head and neck</x:t>
  </x:si>
  <x:si>
    <x:t>http://id.who.int/icd/entity/1661013219</x:t>
  </x:si>
  <x:si>
    <x:t>http://id.who.int/icd/release/11/beta/ichi/1661013219</x:t>
  </x:si>
  <x:si>
    <x:t>- - - - - - - Anterior atlantoaxial ligament</x:t>
  </x:si>
  <x:si>
    <x:t>http://id.who.int/icd/entity/1297204579</x:t>
  </x:si>
  <x:si>
    <x:t>http://id.who.int/icd/release/11/beta/ichi/1297204579</x:t>
  </x:si>
  <x:si>
    <x:t>- - - - - - - Anterior atlantooccipital ligament</x:t>
  </x:si>
  <x:si>
    <x:t>http://id.who.int/icd/entity/926180756</x:t>
  </x:si>
  <x:si>
    <x:t>http://id.who.int/icd/release/11/beta/ichi/926180756</x:t>
  </x:si>
  <x:si>
    <x:t>- - - - - - - Anterior longitudinal ligament</x:t>
  </x:si>
  <x:si>
    <x:t>http://id.who.int/icd/entity/114832035</x:t>
  </x:si>
  <x:si>
    <x:t>http://id.who.int/icd/release/11/beta/ichi/114832035</x:t>
  </x:si>
  <x:si>
    <x:t>- - - - - - - Apical odontoid ligament</x:t>
  </x:si>
  <x:si>
    <x:t>http://id.who.int/icd/entity/1740519115</x:t>
  </x:si>
  <x:si>
    <x:t>http://id.who.int/icd/release/11/beta/ichi/1740519115</x:t>
  </x:si>
  <x:si>
    <x:t>- - - - - - - Articular capsules</x:t>
  </x:si>
  <x:si>
    <x:t>http://id.who.int/icd/entity/741851403</x:t>
  </x:si>
  <x:si>
    <x:t>http://id.who.int/icd/release/11/beta/ichi/741851403</x:t>
  </x:si>
  <x:si>
    <x:t>- - - - - - - Interarticular ligament</x:t>
  </x:si>
  <x:si>
    <x:t>http://id.who.int/icd/entity/1888899595</x:t>
  </x:si>
  <x:si>
    <x:t>http://id.who.int/icd/release/11/beta/ichi/1888899595</x:t>
  </x:si>
  <x:si>
    <x:t>- - - - - - - Interspinal ligament</x:t>
  </x:si>
  <x:si>
    <x:t>http://id.who.int/icd/entity/1590074251</x:t>
  </x:si>
  <x:si>
    <x:t>http://id.who.int/icd/release/11/beta/ichi/1590074251</x:t>
  </x:si>
  <x:si>
    <x:t>- - - - - - - Intertransverse ligament</x:t>
  </x:si>
  <x:si>
    <x:t>http://id.who.int/icd/entity/58320620</x:t>
  </x:si>
  <x:si>
    <x:t>http://id.who.int/icd/release/11/beta/ichi/58320620</x:t>
  </x:si>
  <x:si>
    <x:t>- - - - - - - Intervertebral fibrocartilage ligament</x:t>
  </x:si>
  <x:si>
    <x:t>http://id.who.int/icd/entity/680065827</x:t>
  </x:si>
  <x:si>
    <x:t>http://id.who.int/icd/release/11/beta/ichi/680065827</x:t>
  </x:si>
  <x:si>
    <x:t>- - - - - - - Lateral atlantooccipital ligament</x:t>
  </x:si>
  <x:si>
    <x:t>http://id.who.int/icd/entity/991929803</x:t>
  </x:si>
  <x:si>
    <x:t>http://id.who.int/icd/release/11/beta/ichi/991929803</x:t>
  </x:si>
  <x:si>
    <x:t>- - - - - - - Ligamenta flava</x:t>
  </x:si>
  <x:si>
    <x:t>http://id.who.int/icd/entity/40306827</x:t>
  </x:si>
  <x:si>
    <x:t>http://id.who.int/icd/release/11/beta/ichi/40306827</x:t>
  </x:si>
  <x:si>
    <x:t>- - - - - - - Ligamentum nuchae</x:t>
  </x:si>
  <x:si>
    <x:t>http://id.who.int/icd/entity/1067491299</x:t>
  </x:si>
  <x:si>
    <x:t>http://id.who.int/icd/release/11/beta/ichi/1067491299</x:t>
  </x:si>
  <x:si>
    <x:t>- - - - - - - Occipitoaxial ligament</x:t>
  </x:si>
  <x:si>
    <x:t>http://id.who.int/icd/entity/2107866165</x:t>
  </x:si>
  <x:si>
    <x:t>http://id.who.int/icd/release/11/beta/ichi/2107866165</x:t>
  </x:si>
  <x:si>
    <x:t>- - - - - - - Posterior atlantoaxial ligament</x:t>
  </x:si>
  <x:si>
    <x:t>http://id.who.int/icd/entity/1517920675</x:t>
  </x:si>
  <x:si>
    <x:t>http://id.who.int/icd/release/11/beta/ichi/1517920675</x:t>
  </x:si>
  <x:si>
    <x:t>- - - - - - - Posterior atlantooccipital ligament</x:t>
  </x:si>
  <x:si>
    <x:t>http://id.who.int/icd/entity/340886060</x:t>
  </x:si>
  <x:si>
    <x:t>http://id.who.int/icd/release/11/beta/ichi/340886060</x:t>
  </x:si>
  <x:si>
    <x:t>- - - - - - - Posterior longitudinal ligament</x:t>
  </x:si>
  <x:si>
    <x:t>http://id.who.int/icd/entity/848671197</x:t>
  </x:si>
  <x:si>
    <x:t>http://id.who.int/icd/release/11/beta/ichi/848671197</x:t>
  </x:si>
  <x:si>
    <x:t>- - - - - - - Sphenomandibular ligament</x:t>
  </x:si>
  <x:si>
    <x:t>http://id.who.int/icd/entity/633197853</x:t>
  </x:si>
  <x:si>
    <x:t>http://id.who.int/icd/release/11/beta/ichi/633197853</x:t>
  </x:si>
  <x:si>
    <x:t>- - - - - - - Stylomandibular ligament</x:t>
  </x:si>
  <x:si>
    <x:t>http://id.who.int/icd/entity/357526603</x:t>
  </x:si>
  <x:si>
    <x:t>http://id.who.int/icd/release/11/beta/ichi/357526603</x:t>
  </x:si>
  <x:si>
    <x:t>- - - - - - - Supraspinal ligament</x:t>
  </x:si>
  <x:si>
    <x:t>http://id.who.int/icd/entity/300963427</x:t>
  </x:si>
  <x:si>
    <x:t>http://id.who.int/icd/release/11/beta/ichi/300963427</x:t>
  </x:si>
  <x:si>
    <x:t>- - - - - - - Temporomandibular ligament</x:t>
  </x:si>
  <x:si>
    <x:t>http://id.who.int/icd/entity/1787500789</x:t>
  </x:si>
  <x:si>
    <x:t>http://id.who.int/icd/release/11/beta/ichi/1787500789</x:t>
  </x:si>
  <x:si>
    <x:t>- - - - - - - Transverse ligament of the atlas</x:t>
  </x:si>
  <x:si>
    <x:t>http://id.who.int/icd/entity/528559059</x:t>
  </x:si>
  <x:si>
    <x:t>http://id.who.int/icd/release/11/beta/ichi/528559059</x:t>
  </x:si>
  <x:si>
    <x:t>- - - - - - - Thyrohyoid ligament</x:t>
  </x:si>
  <x:si>
    <x:t>http://id.who.int/icd/entity/2085220884</x:t>
  </x:si>
  <x:si>
    <x:t>http://id.who.int/icd/release/11/beta/ichi/2085220884</x:t>
  </x:si>
  <x:si>
    <x:t>- - - - - Joints and ligaments of the thorax</x:t>
  </x:si>
  <x:si>
    <x:t>http://id.who.int/icd/entity/1959335168</x:t>
  </x:si>
  <x:si>
    <x:t>http://id.who.int/icd/release/11/beta/ichi/1959335168</x:t>
  </x:si>
  <x:si>
    <x:t>- - - - - - Joints of the thorax</x:t>
  </x:si>
  <x:si>
    <x:t>http://id.who.int/icd/entity/1670051326</x:t>
  </x:si>
  <x:si>
    <x:t>http://id.who.int/icd/release/11/beta/ichi/1670051326</x:t>
  </x:si>
  <x:si>
    <x:t>- - - - - - - Sternocostal joint</x:t>
  </x:si>
  <x:si>
    <x:t>http://id.who.int/icd/entity/2013440124</x:t>
  </x:si>
  <x:si>
    <x:t>http://id.who.int/icd/release/11/beta/ichi/2013440124</x:t>
  </x:si>
  <x:si>
    <x:t>- - - - - - - Costochondral joint</x:t>
  </x:si>
  <x:si>
    <x:t>http://id.who.int/icd/entity/1448239612</x:t>
  </x:si>
  <x:si>
    <x:t>http://id.who.int/icd/release/11/beta/ichi/1448239612</x:t>
  </x:si>
  <x:si>
    <x:t>- - - - - - - Costovertebral joint</x:t>
  </x:si>
  <x:si>
    <x:t>http://id.who.int/icd/entity/1098515772</x:t>
  </x:si>
  <x:si>
    <x:t>http://id.who.int/icd/release/11/beta/ichi/1098515772</x:t>
  </x:si>
  <x:si>
    <x:t>- - - - - - - Costotransverse joint</x:t>
  </x:si>
  <x:si>
    <x:t>http://id.who.int/icd/entity/1377385364</x:t>
  </x:si>
  <x:si>
    <x:t>http://id.who.int/icd/release/11/beta/ichi/1377385364</x:t>
  </x:si>
  <x:si>
    <x:t>- - - - - - - Facet joint</x:t>
  </x:si>
  <x:si>
    <x:t>http://id.who.int/icd/entity/1050605669</x:t>
  </x:si>
  <x:si>
    <x:t>http://id.who.int/icd/release/11/beta/ichi/1050605669</x:t>
  </x:si>
  <x:si>
    <x:t>- - - - - - Ligaments of the thorax</x:t>
  </x:si>
  <x:si>
    <x:t>http://id.who.int/icd/entity/1732925069</x:t>
  </x:si>
  <x:si>
    <x:t>http://id.who.int/icd/release/11/beta/ichi/1732925069</x:t>
  </x:si>
  <x:si>
    <x:t>- - - - - - - Anterior costotransverse ligament</x:t>
  </x:si>
  <x:si>
    <x:t>http://id.who.int/icd/entity/1160863572</x:t>
  </x:si>
  <x:si>
    <x:t>http://id.who.int/icd/release/11/beta/ichi/1160863572</x:t>
  </x:si>
  <x:si>
    <x:t>- - - - - - - Anterior intersternal ligament</x:t>
  </x:si>
  <x:si>
    <x:t>http://id.who.int/icd/entity/1280256772</x:t>
  </x:si>
  <x:si>
    <x:t>http://id.who.int/icd/release/11/beta/ichi/1280256772</x:t>
  </x:si>
  <x:si>
    <x:t>- - - - - - - Anterior ligament of the spine</x:t>
  </x:si>
  <x:si>
    <x:t>http://id.who.int/icd/entity/1533497284</x:t>
  </x:si>
  <x:si>
    <x:t>http://id.who.int/icd/release/11/beta/ichi/1533497284</x:t>
  </x:si>
  <x:si>
    <x:t>- - - - - - - Costotransverse ligament</x:t>
  </x:si>
  <x:si>
    <x:t>http://id.who.int/icd/entity/1580399565</x:t>
  </x:si>
  <x:si>
    <x:t>http://id.who.int/icd/release/11/beta/ichi/1580399565</x:t>
  </x:si>
  <x:si>
    <x:t>- - - - - - - Costoxiphoid ligament</x:t>
  </x:si>
  <x:si>
    <x:t>http://id.who.int/icd/entity/1801557716</x:t>
  </x:si>
  <x:si>
    <x:t>http://id.who.int/icd/release/11/beta/ichi/1801557716</x:t>
  </x:si>
  <x:si>
    <x:t>- - - - - - - Iliolumbar ligament</x:t>
  </x:si>
  <x:si>
    <x:t>http://id.who.int/icd/entity/1226481421</x:t>
  </x:si>
  <x:si>
    <x:t>http://id.who.int/icd/release/11/beta/ichi/1226481421</x:t>
  </x:si>
  <x:si>
    <x:t>- - - - - - - Interarticular sternocostal ligament</x:t>
  </x:si>
  <x:si>
    <x:t>http://id.who.int/icd/entity/2102860915</x:t>
  </x:si>
  <x:si>
    <x:t>http://id.who.int/icd/release/11/beta/ichi/2102860915</x:t>
  </x:si>
  <x:si>
    <x:t>- - - - - - - Interchondral ligament</x:t>
  </x:si>
  <x:si>
    <x:t>http://id.who.int/icd/entity/751018317</x:t>
  </x:si>
  <x:si>
    <x:t>http://id.who.int/icd/release/11/beta/ichi/751018317</x:t>
  </x:si>
  <x:si>
    <x:t>- - - - - - - Ligament of the neck of the rib</x:t>
  </x:si>
  <x:si>
    <x:t>http://id.who.int/icd/entity/364579853</x:t>
  </x:si>
  <x:si>
    <x:t>http://id.who.int/icd/release/11/beta/ichi/364579853</x:t>
  </x:si>
  <x:si>
    <x:t>- - - - - - - Ligament of the tubercle of the rib</x:t>
  </x:si>
  <x:si>
    <x:t>http://id.who.int/icd/entity/1005307277</x:t>
  </x:si>
  <x:si>
    <x:t>http://id.who.int/icd/release/11/beta/ichi/1005307277</x:t>
  </x:si>
  <x:si>
    <x:t>- - - - - - - Posterior costotransverse ligament</x:t>
  </x:si>
  <x:si>
    <x:t>http://id.who.int/icd/entity/43215053</x:t>
  </x:si>
  <x:si>
    <x:t>http://id.who.int/icd/release/11/beta/ichi/43215053</x:t>
  </x:si>
  <x:si>
    <x:t>- - - - - - - Lumbocostal ligament</x:t>
  </x:si>
  <x:si>
    <x:t>http://id.who.int/icd/entity/1786738867</x:t>
  </x:si>
  <x:si>
    <x:t>http://id.who.int/icd/release/11/beta/ichi/1786738867</x:t>
  </x:si>
  <x:si>
    <x:t>- - - - - - - Posterior intersternal ligament</x:t>
  </x:si>
  <x:si>
    <x:t>http://id.who.int/icd/entity/1865075900</x:t>
  </x:si>
  <x:si>
    <x:t>http://id.who.int/icd/release/11/beta/ichi/1865075900</x:t>
  </x:si>
  <x:si>
    <x:t>- - - - - - - Radiate ligament</x:t>
  </x:si>
  <x:si>
    <x:t>http://id.who.int/icd/entity/1885483597</x:t>
  </x:si>
  <x:si>
    <x:t>http://id.who.int/icd/release/11/beta/ichi/1885483597</x:t>
  </x:si>
  <x:si>
    <x:t>- - - - - - - Radiate sternocostal ligament</x:t>
  </x:si>
  <x:si>
    <x:t>http://id.who.int/icd/entity/625587547</x:t>
  </x:si>
  <x:si>
    <x:t>http://id.who.int/icd/release/11/beta/ichi/625587547</x:t>
  </x:si>
  <x:si>
    <x:t>- - - - - Joints and ligaments of the pelvis and perineum</x:t>
  </x:si>
  <x:si>
    <x:t>http://id.who.int/icd/entity/192726145</x:t>
  </x:si>
  <x:si>
    <x:t>http://id.who.int/icd/release/11/beta/ichi/192726145</x:t>
  </x:si>
  <x:si>
    <x:t>- - - - - - Joints of the pelvis</x:t>
  </x:si>
  <x:si>
    <x:t>http://id.who.int/icd/entity/246982804</x:t>
  </x:si>
  <x:si>
    <x:t>http://id.who.int/icd/release/11/beta/ichi/246982804</x:t>
  </x:si>
  <x:si>
    <x:t>- - - - - - - Lumbosacral joint</x:t>
  </x:si>
  <x:si>
    <x:t>http://id.who.int/icd/entity/2029439036</x:t>
  </x:si>
  <x:si>
    <x:t>http://id.who.int/icd/release/11/beta/ichi/2029439036</x:t>
  </x:si>
  <x:si>
    <x:t>- - - - - - - Sacrococcygeal joint</x:t>
  </x:si>
  <x:si>
    <x:t>http://id.who.int/icd/entity/428919892</x:t>
  </x:si>
  <x:si>
    <x:t>http://id.who.int/icd/release/11/beta/ichi/428919892</x:t>
  </x:si>
  <x:si>
    <x:t>- - - - - - - Sacroiliac joint</x:t>
  </x:si>
  <x:si>
    <x:t>http://id.who.int/icd/entity/32596973</x:t>
  </x:si>
  <x:si>
    <x:t>http://id.who.int/icd/release/11/beta/ichi/32596973</x:t>
  </x:si>
  <x:si>
    <x:t>- - - - - - Ligaments of the pelvis and perineum</x:t>
  </x:si>
  <x:si>
    <x:t>http://id.who.int/icd/entity/1960642661</x:t>
  </x:si>
  <x:si>
    <x:t>http://id.who.int/icd/release/11/beta/ichi/1960642661</x:t>
  </x:si>
  <x:si>
    <x:t>- - - - - - - Anterior pubic ligament</x:t>
  </x:si>
  <x:si>
    <x:t>http://id.who.int/icd/entity/935331284</x:t>
  </x:si>
  <x:si>
    <x:t>http://id.who.int/icd/release/11/beta/ichi/935331284</x:t>
  </x:si>
  <x:si>
    <x:t>- - - - - - - Anterior sacroiliac ligament</x:t>
  </x:si>
  <x:si>
    <x:t>http://id.who.int/icd/entity/103568101</x:t>
  </x:si>
  <x:si>
    <x:t>http://id.who.int/icd/release/11/beta/ichi/103568101</x:t>
  </x:si>
  <x:si>
    <x:t>- - - - - - - Arcuate pubic ligament</x:t>
  </x:si>
  <x:si>
    <x:t>http://id.who.int/icd/entity/1536372612</x:t>
  </x:si>
  <x:si>
    <x:t>http://id.who.int/icd/release/11/beta/ichi/1536372612</x:t>
  </x:si>
  <x:si>
    <x:t>- - - - - - - Interarticular ligament of the pelvis</x:t>
  </x:si>
  <x:si>
    <x:t>http://id.who.int/icd/entity/489682556</x:t>
  </x:si>
  <x:si>
    <x:t>http://id.who.int/icd/release/11/beta/ichi/489682556</x:t>
  </x:si>
  <x:si>
    <x:t>- - - - - - - Interosseous sacroiliac ligament</x:t>
  </x:si>
  <x:si>
    <x:t>http://id.who.int/icd/entity/1677028517</x:t>
  </x:si>
  <x:si>
    <x:t>http://id.who.int/icd/release/11/beta/ichi/1677028517</x:t>
  </x:si>
  <x:si>
    <x:t>- - - - - - - Ligamentum teres of the Liver</x:t>
  </x:si>
  <x:si>
    <x:t>http://id.who.int/icd/entity/679254885</x:t>
  </x:si>
  <x:si>
    <x:t>http://id.who.int/icd/release/11/beta/ichi/679254885</x:t>
  </x:si>
  <x:si>
    <x:t>- - - - - - - Posterior pubic ligament</x:t>
  </x:si>
  <x:si>
    <x:t>http://id.who.int/icd/entity/346415724</x:t>
  </x:si>
  <x:si>
    <x:t>http://id.who.int/icd/release/11/beta/ichi/346415724</x:t>
  </x:si>
  <x:si>
    <x:t>- - - - - - - Posterior sacroiliac ligament</x:t>
  </x:si>
  <x:si>
    <x:t>http://id.who.int/icd/entity/59606700</x:t>
  </x:si>
  <x:si>
    <x:t>http://id.who.int/icd/release/11/beta/ichi/59606700</x:t>
  </x:si>
  <x:si>
    <x:t>- - - - - - - - Long posterior sacroiliac ligament</x:t>
  </x:si>
  <x:si>
    <x:t>http://id.who.int/icd/entity/552100116</x:t>
  </x:si>
  <x:si>
    <x:t>http://id.who.int/icd/release/11/beta/ichi/552100116</x:t>
  </x:si>
  <x:si>
    <x:t>- - - - - - - - Short posterior sacroiliac ligament</x:t>
  </x:si>
  <x:si>
    <x:t>http://id.who.int/icd/entity/1287342916</x:t>
  </x:si>
  <x:si>
    <x:t>http://id.who.int/icd/release/11/beta/ichi/1287342916</x:t>
  </x:si>
  <x:si>
    <x:t>- - - - - - - Pubic symphysis</x:t>
  </x:si>
  <x:si>
    <x:t>http://id.who.int/icd/entity/1876864252</x:t>
  </x:si>
  <x:si>
    <x:t>http://id.who.int/icd/release/11/beta/ichi/1876864252</x:t>
  </x:si>
  <x:si>
    <x:t>- - - - - - - Sacrococcygeal ligament</x:t>
  </x:si>
  <x:si>
    <x:t>http://id.who.int/icd/entity/609704764</x:t>
  </x:si>
  <x:si>
    <x:t>http://id.who.int/icd/release/11/beta/ichi/609704764</x:t>
  </x:si>
  <x:si>
    <x:t>- - - - - - - - Anterior sacrococcygeal ligament</x:t>
  </x:si>
  <x:si>
    <x:t>http://id.who.int/icd/entity/1453719996</x:t>
  </x:si>
  <x:si>
    <x:t>http://id.who.int/icd/release/11/beta/ichi/1453719996</x:t>
  </x:si>
  <x:si>
    <x:t>- - - - - - - - Lateral sacrococcygeal ligament</x:t>
  </x:si>
  <x:si>
    <x:t>http://id.who.int/icd/entity/1099851132</x:t>
  </x:si>
  <x:si>
    <x:t>http://id.who.int/icd/release/11/beta/ichi/1099851132</x:t>
  </x:si>
  <x:si>
    <x:t>- - - - - - - - Posterior sacrococcygeal ligament</x:t>
  </x:si>
  <x:si>
    <x:t>http://id.who.int/icd/entity/863977468</x:t>
  </x:si>
  <x:si>
    <x:t>http://id.who.int/icd/release/11/beta/ichi/863977468</x:t>
  </x:si>
  <x:si>
    <x:t>- - - - - - - Sacrospinous ligament</x:t>
  </x:si>
  <x:si>
    <x:t>http://id.who.int/icd/entity/168268476</x:t>
  </x:si>
  <x:si>
    <x:t>http://id.who.int/icd/release/11/beta/ichi/168268476</x:t>
  </x:si>
  <x:si>
    <x:t>- - - - - - - Sacrotuberous ligament</x:t>
  </x:si>
  <x:si>
    <x:t>http://id.who.int/icd/entity/285488677</x:t>
  </x:si>
  <x:si>
    <x:t>http://id.who.int/icd/release/11/beta/ichi/285488677</x:t>
  </x:si>
  <x:si>
    <x:t>- - - - - - - Superior pubic ligament</x:t>
  </x:si>
  <x:si>
    <x:t>http://id.who.int/icd/entity/1753246500</x:t>
  </x:si>
  <x:si>
    <x:t>http://id.who.int/icd/release/11/beta/ichi/1753246500</x:t>
  </x:si>
  <x:si>
    <x:t>- - - - - Joints and ligaments of the upper extremity</x:t>
  </x:si>
  <x:si>
    <x:t>http://id.who.int/icd/entity/223741850</x:t>
  </x:si>
  <x:si>
    <x:t>http://id.who.int/icd/release/11/beta/ichi/223741850</x:t>
  </x:si>
  <x:si>
    <x:t>- - - - - - Joints of the upper extremity</x:t>
  </x:si>
  <x:si>
    <x:t>http://id.who.int/icd/entity/719727487</x:t>
  </x:si>
  <x:si>
    <x:t>http://id.who.int/icd/release/11/beta/ichi/719727487</x:t>
  </x:si>
  <x:si>
    <x:t>- - - - - - - Shoulder joint</x:t>
  </x:si>
  <x:si>
    <x:t>http://id.who.int/icd/entity/1748499538</x:t>
  </x:si>
  <x:si>
    <x:t>http://id.who.int/icd/release/11/beta/ichi/1748499538</x:t>
  </x:si>
  <x:si>
    <x:t>- - - - - - - - Glenohumeral joint</x:t>
  </x:si>
  <x:si>
    <x:t>http://id.who.int/icd/entity/2132777106</x:t>
  </x:si>
  <x:si>
    <x:t>http://id.who.int/icd/release/11/beta/ichi/2132777106</x:t>
  </x:si>
  <x:si>
    <x:t>- - - - - - - - Acromioclavicular joint</x:t>
  </x:si>
  <x:si>
    <x:t>http://id.who.int/icd/entity/845271451</x:t>
  </x:si>
  <x:si>
    <x:t>http://id.who.int/icd/release/11/beta/ichi/845271451</x:t>
  </x:si>
  <x:si>
    <x:t>- - - - - - - - Sternoclavicular joint</x:t>
  </x:si>
  <x:si>
    <x:t>http://id.who.int/icd/entity/1364152594</x:t>
  </x:si>
  <x:si>
    <x:t>http://id.who.int/icd/release/11/beta/ichi/1364152594</x:t>
  </x:si>
  <x:si>
    <x:t>- - - - - - - Elbow joint</x:t>
  </x:si>
  <x:si>
    <x:t>http://id.who.int/icd/entity/599657362</x:t>
  </x:si>
  <x:si>
    <x:t>http://id.who.int/icd/release/11/beta/ichi/599657362</x:t>
  </x:si>
  <x:si>
    <x:t>- - - - - - - - Proximal radioulnar joint</x:t>
  </x:si>
  <x:si>
    <x:t>http://id.who.int/icd/entity/2102118863</x:t>
  </x:si>
  <x:si>
    <x:t>http://id.who.int/icd/release/11/beta/ichi/2102118863</x:t>
  </x:si>
  <x:si>
    <x:t>- - - - - - - - Humeroulnar joint</x:t>
  </x:si>
  <x:si>
    <x:t>http://id.who.int/icd/entity/1734868251</x:t>
  </x:si>
  <x:si>
    <x:t>http://id.who.int/icd/release/11/beta/ichi/1734868251</x:t>
  </x:si>
  <x:si>
    <x:t>- - - - - - - - Humeroradial joint</x:t>
  </x:si>
  <x:si>
    <x:t>http://id.who.int/icd/entity/1768750843</x:t>
  </x:si>
  <x:si>
    <x:t>http://id.who.int/icd/release/11/beta/ichi/1768750843</x:t>
  </x:si>
  <x:si>
    <x:t>- - - - - - - Wrist joint</x:t>
  </x:si>
  <x:si>
    <x:t>http://id.who.int/icd/entity/1181169106</x:t>
  </x:si>
  <x:si>
    <x:t>http://id.who.int/icd/release/11/beta/ichi/1181169106</x:t>
  </x:si>
  <x:si>
    <x:t>- - - - - - - - Distal radioulnar joint</x:t>
  </x:si>
  <x:si>
    <x:t>http://id.who.int/icd/entity/233751058</x:t>
  </x:si>
  <x:si>
    <x:t>http://id.who.int/icd/release/11/beta/ichi/233751058</x:t>
  </x:si>
  <x:si>
    <x:t>- - - - - - - - Radiocarpal joint</x:t>
  </x:si>
  <x:si>
    <x:t>http://id.who.int/icd/entity/1676501535</x:t>
  </x:si>
  <x:si>
    <x:t>http://id.who.int/icd/release/11/beta/ichi/1676501535</x:t>
  </x:si>
  <x:si>
    <x:t>- - - - - - - Joints of the hand</x:t>
  </x:si>
  <x:si>
    <x:t>http://id.who.int/icd/entity/908311134</x:t>
  </x:si>
  <x:si>
    <x:t>http://id.who.int/icd/release/11/beta/ichi/908311134</x:t>
  </x:si>
  <x:si>
    <x:t>- - - - - - - - Carpal joint</x:t>
  </x:si>
  <x:si>
    <x:t>http://id.who.int/icd/entity/449226450</x:t>
  </x:si>
  <x:si>
    <x:t>http://id.who.int/icd/release/11/beta/ichi/449226450</x:t>
  </x:si>
  <x:si>
    <x:t>- - - - - - - - - Intercarpal joint</x:t>
  </x:si>
  <x:si>
    <x:t>http://id.who.int/icd/entity/87674707</x:t>
  </x:si>
  <x:si>
    <x:t>http://id.who.int/icd/release/11/beta/ichi/87674707</x:t>
  </x:si>
  <x:si>
    <x:t>- - - - - - - - - Midcarpal joint</x:t>
  </x:si>
  <x:si>
    <x:t>http://id.who.int/icd/entity/967000430</x:t>
  </x:si>
  <x:si>
    <x:t>http://id.who.int/icd/release/11/beta/ichi/967000430</x:t>
  </x:si>
  <x:si>
    <x:t>- - - - - - - - - Carpometacarpal joint</x:t>
  </x:si>
  <x:si>
    <x:t>http://id.who.int/icd/entity/780871086</x:t>
  </x:si>
  <x:si>
    <x:t>http://id.who.int/icd/release/11/beta/ichi/780871086</x:t>
  </x:si>
  <x:si>
    <x:t>- - - - - - - - Intermetacarpal joint</x:t>
  </x:si>
  <x:si>
    <x:t>http://id.who.int/icd/entity/29688395</x:t>
  </x:si>
  <x:si>
    <x:t>http://id.who.int/icd/release/11/beta/ichi/29688395</x:t>
  </x:si>
  <x:si>
    <x:t>- - - - - - - - Metacarpophalangeal joint</x:t>
  </x:si>
  <x:si>
    <x:t>http://id.who.int/icd/entity/1177543503</x:t>
  </x:si>
  <x:si>
    <x:t>http://id.who.int/icd/release/11/beta/ichi/1177543503</x:t>
  </x:si>
  <x:si>
    <x:t>- - - - - - - - - First metacarpophalangeal joint</x:t>
  </x:si>
  <x:si>
    <x:t>http://id.who.int/icd/entity/1285702691</x:t>
  </x:si>
  <x:si>
    <x:t>http://id.who.int/icd/release/11/beta/ichi/1285702691</x:t>
  </x:si>
  <x:si>
    <x:t>- - - - - - - - - Second metacarpophalangeal joint</x:t>
  </x:si>
  <x:si>
    <x:t>http://id.who.int/icd/entity/931348850</x:t>
  </x:si>
  <x:si>
    <x:t>http://id.who.int/icd/release/11/beta/ichi/931348850</x:t>
  </x:si>
  <x:si>
    <x:t>- - - - - - - - - Third metacarpophalangeal joint</x:t>
  </x:si>
  <x:si>
    <x:t>http://id.who.int/icd/entity/786402768</x:t>
  </x:si>
  <x:si>
    <x:t>http://id.who.int/icd/release/11/beta/ichi/786402768</x:t>
  </x:si>
  <x:si>
    <x:t>- - - - - - - - - Fourth metacarpophalangeal joint</x:t>
  </x:si>
  <x:si>
    <x:t>http://id.who.int/icd/entity/1093547879</x:t>
  </x:si>
  <x:si>
    <x:t>http://id.who.int/icd/release/11/beta/ichi/1093547879</x:t>
  </x:si>
  <x:si>
    <x:t>- - - - - - - - - Fifth metacarpophalangeal joint</x:t>
  </x:si>
  <x:si>
    <x:t>http://id.who.int/icd/entity/951955211</x:t>
  </x:si>
  <x:si>
    <x:t>http://id.who.int/icd/release/11/beta/ichi/951955211</x:t>
  </x:si>
  <x:si>
    <x:t>- - - - - - - - Interphalangeal joint of the hand</x:t>
  </x:si>
  <x:si>
    <x:t>http://id.who.int/icd/entity/1622869003</x:t>
  </x:si>
  <x:si>
    <x:t>http://id.who.int/icd/release/11/beta/ichi/1622869003</x:t>
  </x:si>
  <x:si>
    <x:t>- - - - - - - - - Interphalangeal joint of the thumb</x:t>
  </x:si>
  <x:si>
    <x:t>http://id.who.int/icd/entity/798346187</x:t>
  </x:si>
  <x:si>
    <x:t>http://id.who.int/icd/release/11/beta/ichi/798346187</x:t>
  </x:si>
  <x:si>
    <x:t>- - - - - - - - - Proximal interphalangeal joint of finger</x:t>
  </x:si>
  <x:si>
    <x:t>http://id.who.int/icd/entity/189831406</x:t>
  </x:si>
  <x:si>
    <x:t>http://id.who.int/icd/release/11/beta/ichi/189831406</x:t>
  </x:si>
  <x:si>
    <x:t>- - - - - - - - - - Proximal interphalangeal joint of index finger</x:t>
  </x:si>
  <x:si>
    <x:t>http://id.who.int/icd/entity/267194066</x:t>
  </x:si>
  <x:si>
    <x:t>http://id.who.int/icd/release/11/beta/ichi/267194066</x:t>
  </x:si>
  <x:si>
    <x:t>- - - - - - - - - - Proximal interphalangeal joint of middle finger</x:t>
  </x:si>
  <x:si>
    <x:t>http://id.who.int/icd/entity/1169875895</x:t>
  </x:si>
  <x:si>
    <x:t>http://id.who.int/icd/release/11/beta/ichi/1169875895</x:t>
  </x:si>
  <x:si>
    <x:t>- - - - - - - - - - Proximal interphalangeal joint of ring finger</x:t>
  </x:si>
  <x:si>
    <x:t>http://id.who.int/icd/entity/1372449855</x:t>
  </x:si>
  <x:si>
    <x:t>http://id.who.int/icd/release/11/beta/ichi/1372449855</x:t>
  </x:si>
  <x:si>
    <x:t>- - - - - - - - - - Proximal interphalangeal joint of little finger</x:t>
  </x:si>
  <x:si>
    <x:t>http://id.who.int/icd/entity/384657035</x:t>
  </x:si>
  <x:si>
    <x:t>http://id.who.int/icd/release/11/beta/ichi/384657035</x:t>
  </x:si>
  <x:si>
    <x:t>- - - - - - - - - Distal interphalangeal joint of finger</x:t>
  </x:si>
  <x:si>
    <x:t>http://id.who.int/icd/entity/903721130</x:t>
  </x:si>
  <x:si>
    <x:t>http://id.who.int/icd/release/11/beta/ichi/903721130</x:t>
  </x:si>
  <x:si>
    <x:t>- - - - - - - - - - Distal interphalangeal joint of index finger</x:t>
  </x:si>
  <x:si>
    <x:t>http://id.who.int/icd/entity/531195388</x:t>
  </x:si>
  <x:si>
    <x:t>http://id.who.int/icd/release/11/beta/ichi/531195388</x:t>
  </x:si>
  <x:si>
    <x:t>- - - - - - - - - - Distal interphalangeal joint of middle finger</x:t>
  </x:si>
  <x:si>
    <x:t>http://id.who.int/icd/entity/1519106675</x:t>
  </x:si>
  <x:si>
    <x:t>http://id.who.int/icd/release/11/beta/ichi/1519106675</x:t>
  </x:si>
  <x:si>
    <x:t>- - - - - - - - - - Distal interphalangeal joint of ring finger</x:t>
  </x:si>
  <x:si>
    <x:t>http://id.who.int/icd/entity/451317048</x:t>
  </x:si>
  <x:si>
    <x:t>http://id.who.int/icd/release/11/beta/ichi/451317048</x:t>
  </x:si>
  <x:si>
    <x:t>- - - - - - - - - - Distal interphalangeal joint of little finger</x:t>
  </x:si>
  <x:si>
    <x:t>http://id.who.int/icd/entity/131834102</x:t>
  </x:si>
  <x:si>
    <x:t>http://id.who.int/icd/release/11/beta/ichi/131834102</x:t>
  </x:si>
  <x:si>
    <x:t>- - - - - - Ligaments of the upper extremity</x:t>
  </x:si>
  <x:si>
    <x:t>http://id.who.int/icd/entity/1020159779</x:t>
  </x:si>
  <x:si>
    <x:t>http://id.who.int/icd/release/11/beta/ichi/1020159779</x:t>
  </x:si>
  <x:si>
    <x:t>- - - - - - - Ligament of the shoulder</x:t>
  </x:si>
  <x:si>
    <x:t>http://id.who.int/icd/entity/1242497723</x:t>
  </x:si>
  <x:si>
    <x:t>http://id.who.int/icd/release/11/beta/ichi/1242497723</x:t>
  </x:si>
  <x:si>
    <x:t>- - - - - - - - Acromioclavicular ligament</x:t>
  </x:si>
  <x:si>
    <x:t>http://id.who.int/icd/entity/1199168437</x:t>
  </x:si>
  <x:si>
    <x:t>http://id.who.int/icd/release/11/beta/ichi/1199168437</x:t>
  </x:si>
  <x:si>
    <x:t>- - - - - - - - - Inferior acromioclavicular ligament</x:t>
  </x:si>
  <x:si>
    <x:t>http://id.who.int/icd/entity/1347534709</x:t>
  </x:si>
  <x:si>
    <x:t>http://id.who.int/icd/release/11/beta/ichi/1347534709</x:t>
  </x:si>
  <x:si>
    <x:t>- - - - - - - - - Superior acromioclavicular ligament</x:t>
  </x:si>
  <x:si>
    <x:t>http://id.who.int/icd/entity/444944868</x:t>
  </x:si>
  <x:si>
    <x:t>http://id.who.int/icd/release/11/beta/ichi/444944868</x:t>
  </x:si>
  <x:si>
    <x:t>- - - - - - - - Anterior ligament of the shoulder</x:t>
  </x:si>
  <x:si>
    <x:t>http://id.who.int/icd/entity/1566871883</x:t>
  </x:si>
  <x:si>
    <x:t>http://id.who.int/icd/release/11/beta/ichi/1566871883</x:t>
  </x:si>
  <x:si>
    <x:t>- - - - - - - - Anterior sternoclavicular ligament</x:t>
  </x:si>
  <x:si>
    <x:t>http://id.who.int/icd/entity/380539323</x:t>
  </x:si>
  <x:si>
    <x:t>http://id.who.int/icd/release/11/beta/ichi/380539323</x:t>
  </x:si>
  <x:si>
    <x:t>- - - - - - - - Coracoacromial ligament</x:t>
  </x:si>
  <x:si>
    <x:t>http://id.who.int/icd/entity/1937223675</x:t>
  </x:si>
  <x:si>
    <x:t>http://id.who.int/icd/release/11/beta/ichi/1937223675</x:t>
  </x:si>
  <x:si>
    <x:t>- - - - - - - - Coracoclavicular ligament</x:t>
  </x:si>
  <x:si>
    <x:t>http://id.who.int/icd/entity/1683999547</x:t>
  </x:si>
  <x:si>
    <x:t>http://id.who.int/icd/release/11/beta/ichi/1683999547</x:t>
  </x:si>
  <x:si>
    <x:t>- - - - - - - - - Conoid ligament</x:t>
  </x:si>
  <x:si>
    <x:t>http://id.who.int/icd/entity/1562863227</x:t>
  </x:si>
  <x:si>
    <x:t>http://id.who.int/icd/release/11/beta/ichi/1562863227</x:t>
  </x:si>
  <x:si>
    <x:t>- - - - - - - - - Trapezoid ligament</x:t>
  </x:si>
  <x:si>
    <x:t>http://id.who.int/icd/entity/213113669</x:t>
  </x:si>
  <x:si>
    <x:t>http://id.who.int/icd/release/11/beta/ichi/213113669</x:t>
  </x:si>
  <x:si>
    <x:t>- - - - - - - - Coracohumeral ligament</x:t>
  </x:si>
  <x:si>
    <x:t>http://id.who.int/icd/entity/1679571979</x:t>
  </x:si>
  <x:si>
    <x:t>http://id.who.int/icd/release/11/beta/ichi/1679571979</x:t>
  </x:si>
  <x:si>
    <x:t>- - - - - - - - Costoclavicular ligament</x:t>
  </x:si>
  <x:si>
    <x:t>http://id.who.int/icd/entity/463191941</x:t>
  </x:si>
  <x:si>
    <x:t>http://id.who.int/icd/release/11/beta/ichi/463191941</x:t>
  </x:si>
  <x:si>
    <x:t>- - - - - - - - Glenohumeral ligament</x:t>
  </x:si>
  <x:si>
    <x:t>http://id.who.int/icd/entity/603847844</x:t>
  </x:si>
  <x:si>
    <x:t>http://id.who.int/icd/release/11/beta/ichi/603847844</x:t>
  </x:si>
  <x:si>
    <x:t>- - - - - - - - Glenoidal labrum ligament</x:t>
  </x:si>
  <x:si>
    <x:t>http://id.who.int/icd/entity/1932810443</x:t>
  </x:si>
  <x:si>
    <x:t>http://id.who.int/icd/release/11/beta/ichi/1932810443</x:t>
  </x:si>
  <x:si>
    <x:t>- - - - - - - - Interclavicular ligament</x:t>
  </x:si>
  <x:si>
    <x:t>http://id.who.int/icd/entity/1246557579</x:t>
  </x:si>
  <x:si>
    <x:t>http://id.who.int/icd/release/11/beta/ichi/1246557579</x:t>
  </x:si>
  <x:si>
    <x:t>- - - - - - - - Posterior sternoclavicular ligament</x:t>
  </x:si>
  <x:si>
    <x:t>http://id.who.int/icd/entity/25621883</x:t>
  </x:si>
  <x:si>
    <x:t>http://id.who.int/icd/release/11/beta/ichi/25621883</x:t>
  </x:si>
  <x:si>
    <x:t>- - - - - - - - Rotator cuff capsule</x:t>
  </x:si>
  <x:si>
    <x:t>http://id.who.int/icd/entity/802569467</x:t>
  </x:si>
  <x:si>
    <x:t>http://id.who.int/icd/release/11/beta/ichi/802569467</x:t>
  </x:si>
  <x:si>
    <x:t>- - - - - - - - Spinoglenoid ligament</x:t>
  </x:si>
  <x:si>
    <x:t>http://id.who.int/icd/entity/956192827</x:t>
  </x:si>
  <x:si>
    <x:t>http://id.who.int/icd/release/11/beta/ichi/956192827</x:t>
  </x:si>
  <x:si>
    <x:t>- - - - - - - - Suprascapular ligament</x:t>
  </x:si>
  <x:si>
    <x:t>http://id.who.int/icd/entity/886413412</x:t>
  </x:si>
  <x:si>
    <x:t>http://id.who.int/icd/release/11/beta/ichi/886413412</x:t>
  </x:si>
  <x:si>
    <x:t>- - - - - - - - Transverse humeral ligament</x:t>
  </x:si>
  <x:si>
    <x:t>http://id.who.int/icd/entity/443625892</x:t>
  </x:si>
  <x:si>
    <x:t>http://id.who.int/icd/release/11/beta/ichi/443625892</x:t>
  </x:si>
  <x:si>
    <x:t>- - - - - - - Ligament of the elbow</x:t>
  </x:si>
  <x:si>
    <x:t>http://id.who.int/icd/entity/1176814308</x:t>
  </x:si>
  <x:si>
    <x:t>http://id.who.int/icd/release/11/beta/ichi/1176814308</x:t>
  </x:si>
  <x:si>
    <x:t>- - - - - - - - Annular ligament</x:t>
  </x:si>
  <x:si>
    <x:t>http://id.who.int/icd/entity/1752435556</x:t>
  </x:si>
  <x:si>
    <x:t>http://id.who.int/icd/release/11/beta/ichi/1752435556</x:t>
  </x:si>
  <x:si>
    <x:t>- - - - - - - - Ligament of Struthers</x:t>
  </x:si>
  <x:si>
    <x:t>http://id.who.int/icd/entity/2136764324</x:t>
  </x:si>
  <x:si>
    <x:t>http://id.who.int/icd/release/11/beta/ichi/2136764324</x:t>
  </x:si>
  <x:si>
    <x:t>- - - - - - - - Posterior ligament of elbow</x:t>
  </x:si>
  <x:si>
    <x:t>http://id.who.int/icd/entity/1359783460</x:t>
  </x:si>
  <x:si>
    <x:t>http://id.who.int/icd/release/11/beta/ichi/1359783460</x:t>
  </x:si>
  <x:si>
    <x:t>- - - - - - - - Quadrate ligament</x:t>
  </x:si>
  <x:si>
    <x:t>http://id.who.int/icd/entity/229455140</x:t>
  </x:si>
  <x:si>
    <x:t>http://id.who.int/icd/release/11/beta/ichi/229455140</x:t>
  </x:si>
  <x:si>
    <x:t>- - - - - - - - Ulnar collateral ligament</x:t>
  </x:si>
  <x:si>
    <x:t>http://id.who.int/icd/entity/1919500700</x:t>
  </x:si>
  <x:si>
    <x:t>http://id.who.int/icd/release/11/beta/ichi/1919500700</x:t>
  </x:si>
  <x:si>
    <x:t>- - - - - - - Interosseous membrane of forearm</x:t>
  </x:si>
  <x:si>
    <x:t>http://id.who.int/icd/entity/2141720548</x:t>
  </x:si>
  <x:si>
    <x:t>http://id.who.int/icd/release/11/beta/ichi/2141720548</x:t>
  </x:si>
  <x:si>
    <x:t>- - - - - - - Ligament of the wrist and hand</x:t>
  </x:si>
  <x:si>
    <x:t>http://id.who.int/icd/entity/1010917907</x:t>
  </x:si>
  <x:si>
    <x:t>http://id.who.int/icd/release/11/beta/ichi/1010917907</x:t>
  </x:si>
  <x:si>
    <x:t>- - - - - - - - Collateral carpal ligament</x:t>
  </x:si>
  <x:si>
    <x:t>http://id.who.int/icd/entity/587832548</x:t>
  </x:si>
  <x:si>
    <x:t>http://id.who.int/icd/release/11/beta/ichi/587832548</x:t>
  </x:si>
  <x:si>
    <x:t>- - - - - - - - Collateral metacarpophalangeal ligament</x:t>
  </x:si>
  <x:si>
    <x:t>http://id.who.int/icd/entity/728303315</x:t>
  </x:si>
  <x:si>
    <x:t>http://id.who.int/icd/release/11/beta/ichi/728303315</x:t>
  </x:si>
  <x:si>
    <x:t>- - - - - - - - Dorsal carpometacarpal ligament</x:t>
  </x:si>
  <x:si>
    <x:t>http://id.who.int/icd/entity/507145164</x:t>
  </x:si>
  <x:si>
    <x:t>http://id.who.int/icd/release/11/beta/ichi/507145164</x:t>
  </x:si>
  <x:si>
    <x:t>- - - - - - - - Dorsal intercarpal ligament</x:t>
  </x:si>
  <x:si>
    <x:t>http://id.who.int/icd/entity/1503157331</x:t>
  </x:si>
  <x:si>
    <x:t>http://id.who.int/icd/release/11/beta/ichi/1503157331</x:t>
  </x:si>
  <x:si>
    <x:t>- - - - - - - - Dorsal intermetacarpal ligament</x:t>
  </x:si>
  <x:si>
    <x:t>http://id.who.int/icd/entity/1132795565</x:t>
  </x:si>
  <x:si>
    <x:t>http://id.who.int/icd/release/11/beta/ichi/1132795565</x:t>
  </x:si>
  <x:si>
    <x:t>- - - - - - - - Dorsal metacarpophalangeal ligament</x:t>
  </x:si>
  <x:si>
    <x:t>http://id.who.int/icd/entity/812294732</x:t>
  </x:si>
  <x:si>
    <x:t>http://id.who.int/icd/release/11/beta/ichi/812294732</x:t>
  </x:si>
  <x:si>
    <x:t>- - - - - - - - Dorsal radiocarpal ligament</x:t>
  </x:si>
  <x:si>
    <x:t>http://id.who.int/icd/entity/712501428</x:t>
  </x:si>
  <x:si>
    <x:t>http://id.who.int/icd/release/11/beta/ichi/712501428</x:t>
  </x:si>
  <x:si>
    <x:t>- - - - - - - - Interosseous ligament</x:t>
  </x:si>
  <x:si>
    <x:t>http://id.who.int/icd/entity/874641444</x:t>
  </x:si>
  <x:si>
    <x:t>http://id.who.int/icd/release/11/beta/ichi/874641444</x:t>
  </x:si>
  <x:si>
    <x:t>- - - - - - - - Palmar aponeurosis</x:t>
  </x:si>
  <x:si>
    <x:t>http://id.who.int/icd/entity/1029672052</x:t>
  </x:si>
  <x:si>
    <x:t>http://id.who.int/icd/release/11/beta/ichi/1029672052</x:t>
  </x:si>
  <x:si>
    <x:t>- - - - - - - - Pisohamate ligament</x:t>
  </x:si>
  <x:si>
    <x:t>http://id.who.int/icd/entity/303147923</x:t>
  </x:si>
  <x:si>
    <x:t>http://id.who.int/icd/release/11/beta/ichi/303147923</x:t>
  </x:si>
  <x:si>
    <x:t>- - - - - - - - Pisometacarpal ligament</x:t>
  </x:si>
  <x:si>
    <x:t>http://id.who.int/icd/entity/2078496140</x:t>
  </x:si>
  <x:si>
    <x:t>http://id.who.int/icd/release/11/beta/ichi/2078496140</x:t>
  </x:si>
  <x:si>
    <x:t>- - - - - - - - Radioulnar ligament</x:t>
  </x:si>
  <x:si>
    <x:t>http://id.who.int/icd/entity/1825255756</x:t>
  </x:si>
  <x:si>
    <x:t>http://id.who.int/icd/release/11/beta/ichi/1825255756</x:t>
  </x:si>
  <x:si>
    <x:t>- - - - - - - - - Dorsal radioulnar ligament</x:t>
  </x:si>
  <x:si>
    <x:t>http://id.who.int/icd/entity/1698768220</x:t>
  </x:si>
  <x:si>
    <x:t>http://id.who.int/icd/release/11/beta/ichi/1698768220</x:t>
  </x:si>
  <x:si>
    <x:t>- - - - - - - - - Volar radioulnar ligament</x:t>
  </x:si>
  <x:si>
    <x:t>http://id.who.int/icd/entity/2009634259</x:t>
  </x:si>
  <x:si>
    <x:t>http://id.who.int/icd/release/11/beta/ichi/2009634259</x:t>
  </x:si>
  <x:si>
    <x:t>- - - - - - - - Transverse metacarpal ligament</x:t>
  </x:si>
  <x:si>
    <x:t>http://id.who.int/icd/entity/223958372</x:t>
  </x:si>
  <x:si>
    <x:t>http://id.who.int/icd/release/11/beta/ichi/223958372</x:t>
  </x:si>
  <x:si>
    <x:t>- - - - - - - - Ulnocarpal ligament</x:t>
  </x:si>
  <x:si>
    <x:t>http://id.who.int/icd/entity/1320171667</x:t>
  </x:si>
  <x:si>
    <x:t>http://id.who.int/icd/release/11/beta/ichi/1320171667</x:t>
  </x:si>
  <x:si>
    <x:t>- - - - - - - - Volar carpometacarpal ligament</x:t>
  </x:si>
  <x:si>
    <x:t>http://id.who.int/icd/entity/152178444</x:t>
  </x:si>
  <x:si>
    <x:t>http://id.who.int/icd/release/11/beta/ichi/152178444</x:t>
  </x:si>
  <x:si>
    <x:t>- - - - - - - - Volar intercarpal ligaments</x:t>
  </x:si>
  <x:si>
    <x:t>http://id.who.int/icd/entity/1625354515</x:t>
  </x:si>
  <x:si>
    <x:t>http://id.who.int/icd/release/11/beta/ichi/1625354515</x:t>
  </x:si>
  <x:si>
    <x:t>- - - - - - - - Volar intermetacarpal ligament</x:t>
  </x:si>
  <x:si>
    <x:t>http://id.who.int/icd/entity/1420653165</x:t>
  </x:si>
  <x:si>
    <x:t>http://id.who.int/icd/release/11/beta/ichi/1420653165</x:t>
  </x:si>
  <x:si>
    <x:t>- - - - - - - - Volar metacarpophalangeal ligament</x:t>
  </x:si>
  <x:si>
    <x:t>http://id.who.int/icd/entity/1437834252</x:t>
  </x:si>
  <x:si>
    <x:t>http://id.who.int/icd/release/11/beta/ichi/1437834252</x:t>
  </x:si>
  <x:si>
    <x:t>- - - - - - - - Volar radiocarpal ligament</x:t>
  </x:si>
  <x:si>
    <x:t>http://id.who.int/icd/entity/8274514</x:t>
  </x:si>
  <x:si>
    <x:t>http://id.who.int/icd/release/11/beta/ichi/8274514</x:t>
  </x:si>
  <x:si>
    <x:t>- - - - - Joints and ligaments of the lower extremity</x:t>
  </x:si>
  <x:si>
    <x:t>http://id.who.int/icd/entity/319259361</x:t>
  </x:si>
  <x:si>
    <x:t>http://id.who.int/icd/release/11/beta/ichi/319259361</x:t>
  </x:si>
  <x:si>
    <x:t>- - - - - - Joints of lower extremity</x:t>
  </x:si>
  <x:si>
    <x:t>http://id.who.int/icd/entity/1188078244</x:t>
  </x:si>
  <x:si>
    <x:t>http://id.who.int/icd/release/11/beta/ichi/1188078244</x:t>
  </x:si>
  <x:si>
    <x:t>- - - - - - - Hip joint</x:t>
  </x:si>
  <x:si>
    <x:t>http://id.who.int/icd/entity/1574110781</x:t>
  </x:si>
  <x:si>
    <x:t>http://id.who.int/icd/release/11/beta/ichi/1574110781</x:t>
  </x:si>
  <x:si>
    <x:t>- - - - - - - Knee joint</x:t>
  </x:si>
  <x:si>
    <x:t>http://id.who.int/icd/entity/1706378524</x:t>
  </x:si>
  <x:si>
    <x:t>http://id.who.int/icd/release/11/beta/ichi/1706378524</x:t>
  </x:si>
  <x:si>
    <x:t>- - - - - - - - Tibiofemoral joint</x:t>
  </x:si>
  <x:si>
    <x:t>http://id.who.int/icd/entity/1922900444</x:t>
  </x:si>
  <x:si>
    <x:t>http://id.who.int/icd/release/11/beta/ichi/1922900444</x:t>
  </x:si>
  <x:si>
    <x:t>- - - - - - - - Patellofemoral joint</x:t>
  </x:si>
  <x:si>
    <x:t>http://id.who.int/icd/entity/736494563</x:t>
  </x:si>
  <x:si>
    <x:t>http://id.who.int/icd/release/11/beta/ichi/736494563</x:t>
  </x:si>
  <x:si>
    <x:t>- - - - - - - - Proximal tibiofibular joint</x:t>
  </x:si>
  <x:si>
    <x:t>http://id.who.int/icd/entity/1155293432</x:t>
  </x:si>
  <x:si>
    <x:t>http://id.who.int/icd/release/11/beta/ichi/1155293432</x:t>
  </x:si>
  <x:si>
    <x:t>- - - - - - - - Semilunar cartilage</x:t>
  </x:si>
  <x:si>
    <x:t>http://id.who.int/icd/entity/2000483733</x:t>
  </x:si>
  <x:si>
    <x:t>http://id.who.int/icd/release/11/beta/ichi/2000483733</x:t>
  </x:si>
  <x:si>
    <x:t>- - - - - - - Ankle joint</x:t>
  </x:si>
  <x:si>
    <x:t>http://id.who.int/icd/entity/1938018237</x:t>
  </x:si>
  <x:si>
    <x:t>http://id.who.int/icd/release/11/beta/ichi/1938018237</x:t>
  </x:si>
  <x:si>
    <x:t>- - - - - - - - Talocrural joint</x:t>
  </x:si>
  <x:si>
    <x:t>http://id.who.int/icd/entity/1257988861</x:t>
  </x:si>
  <x:si>
    <x:t>http://id.who.int/icd/release/11/beta/ichi/1257988861</x:t>
  </x:si>
  <x:si>
    <x:t>- - - - - - - - Distal tibiofibular joint</x:t>
  </x:si>
  <x:si>
    <x:t>http://id.who.int/icd/entity/355147270</x:t>
  </x:si>
  <x:si>
    <x:t>http://id.who.int/icd/release/11/beta/ichi/355147270</x:t>
  </x:si>
  <x:si>
    <x:t>- - - - - - - Joint of the foot</x:t>
  </x:si>
  <x:si>
    <x:t>http://id.who.int/icd/entity/1611960661</x:t>
  </x:si>
  <x:si>
    <x:t>http://id.who.int/icd/release/11/beta/ichi/1611960661</x:t>
  </x:si>
  <x:si>
    <x:t>- - - - - - - - Intertarsal joint</x:t>
  </x:si>
  <x:si>
    <x:t>http://id.who.int/icd/entity/375058941</x:t>
  </x:si>
  <x:si>
    <x:t>http://id.who.int/icd/release/11/beta/ichi/375058941</x:t>
  </x:si>
  <x:si>
    <x:t>- - - - - - - - - Calcaneocuboid joint</x:t>
  </x:si>
  <x:si>
    <x:t>http://id.who.int/icd/entity/24286525</x:t>
  </x:si>
  <x:si>
    <x:t>http://id.who.int/icd/release/11/beta/ichi/24286525</x:t>
  </x:si>
  <x:si>
    <x:t>- - - - - - - - - Talocalcaneonavicular joint</x:t>
  </x:si>
  <x:si>
    <x:t>http://id.who.int/icd/entity/790781117</x:t>
  </x:si>
  <x:si>
    <x:t>http://id.who.int/icd/release/11/beta/ichi/790781117</x:t>
  </x:si>
  <x:si>
    <x:t>- - - - - - - - - Cuneonavicular joint</x:t>
  </x:si>
  <x:si>
    <x:t>http://id.who.int/icd/entity/940193917</x:t>
  </x:si>
  <x:si>
    <x:t>http://id.who.int/icd/release/11/beta/ichi/940193917</x:t>
  </x:si>
  <x:si>
    <x:t>- - - - - - - - - Cuboideonavicular joint</x:t>
  </x:si>
  <x:si>
    <x:t>http://id.who.int/icd/entity/460316611</x:t>
  </x:si>
  <x:si>
    <x:t>http://id.who.int/icd/release/11/beta/ichi/460316611</x:t>
  </x:si>
  <x:si>
    <x:t>- - - - - - - - - Intercuneiform joint</x:t>
  </x:si>
  <x:si>
    <x:t>http://id.who.int/icd/entity/206027523</x:t>
  </x:si>
  <x:si>
    <x:t>http://id.who.int/icd/release/11/beta/ichi/206027523</x:t>
  </x:si>
  <x:si>
    <x:t>- - - - - - - - - Cuneocuboid joint</x:t>
  </x:si>
  <x:si>
    <x:t>http://id.who.int/icd/entity/97365781</x:t>
  </x:si>
  <x:si>
    <x:t>http://id.who.int/icd/release/11/beta/ichi/97365781</x:t>
  </x:si>
  <x:si>
    <x:t>- - - - - - - - Tarsometatarsal joint</x:t>
  </x:si>
  <x:si>
    <x:t>http://id.who.int/icd/entity/317049813</x:t>
  </x:si>
  <x:si>
    <x:t>http://id.who.int/icd/release/11/beta/ichi/317049813</x:t>
  </x:si>
  <x:si>
    <x:t>- - - - - - - - Intermetatarsal joint</x:t>
  </x:si>
  <x:si>
    <x:t>http://id.who.int/icd/entity/731735701</x:t>
  </x:si>
  <x:si>
    <x:t>http://id.who.int/icd/release/11/beta/ichi/731735701</x:t>
  </x:si>
  <x:si>
    <x:t>- - - - - - - - Metatarsophalangeal joint</x:t>
  </x:si>
  <x:si>
    <x:t>http://id.who.int/icd/entity/207474987</x:t>
  </x:si>
  <x:si>
    <x:t>http://id.who.int/icd/release/11/beta/ichi/207474987</x:t>
  </x:si>
  <x:si>
    <x:t>- - - - - - - - - First metatarsophalangeal joint</x:t>
  </x:si>
  <x:si>
    <x:t>http://id.who.int/icd/entity/217735515</x:t>
  </x:si>
  <x:si>
    <x:t>http://id.who.int/icd/release/11/beta/ichi/217735515</x:t>
  </x:si>
  <x:si>
    <x:t>- - - - - - - - - Second metatarsophalangeal joint</x:t>
  </x:si>
  <x:si>
    <x:t>http://id.who.int/icd/entity/1922337992</x:t>
  </x:si>
  <x:si>
    <x:t>http://id.who.int/icd/release/11/beta/ichi/1922337992</x:t>
  </x:si>
  <x:si>
    <x:t>- - - - - - - - - Third metatarsophalangeal joint</x:t>
  </x:si>
  <x:si>
    <x:t>http://id.who.int/icd/entity/1491098006</x:t>
  </x:si>
  <x:si>
    <x:t>http://id.who.int/icd/release/11/beta/ichi/1491098006</x:t>
  </x:si>
  <x:si>
    <x:t>- - - - - - - - - Fourth metatarsophalangeal joint</x:t>
  </x:si>
  <x:si>
    <x:t>http://id.who.int/icd/entity/571125223</x:t>
  </x:si>
  <x:si>
    <x:t>http://id.who.int/icd/release/11/beta/ichi/571125223</x:t>
  </x:si>
  <x:si>
    <x:t>- - - - - - - - - Fifth metatarsophalangeal joint</x:t>
  </x:si>
  <x:si>
    <x:t>http://id.who.int/icd/entity/1313102037</x:t>
  </x:si>
  <x:si>
    <x:t>http://id.who.int/icd/release/11/beta/ichi/1313102037</x:t>
  </x:si>
  <x:si>
    <x:t>- - - - - - - - Interphalangeal joint of the foot</x:t>
  </x:si>
  <x:si>
    <x:t>http://id.who.int/icd/entity/679938699</x:t>
  </x:si>
  <x:si>
    <x:t>http://id.who.int/icd/release/11/beta/ichi/679938699</x:t>
  </x:si>
  <x:si>
    <x:t>- - - - - - - - - Interphalangeal joint of great toe</x:t>
  </x:si>
  <x:si>
    <x:t>http://id.who.int/icd/entity/1018495573</x:t>
  </x:si>
  <x:si>
    <x:t>http://id.who.int/icd/release/11/beta/ichi/1018495573</x:t>
  </x:si>
  <x:si>
    <x:t>- - - - - - - - - Proximal interphalangeal joint of the foot</x:t>
  </x:si>
  <x:si>
    <x:t>http://id.who.int/icd/entity/148490439</x:t>
  </x:si>
  <x:si>
    <x:t>http://id.who.int/icd/release/11/beta/ichi/148490439</x:t>
  </x:si>
  <x:si>
    <x:t>- - - - - - - - - - Proximal interphalangeal joint of second toe</x:t>
  </x:si>
  <x:si>
    <x:t>http://id.who.int/icd/entity/1116612002</x:t>
  </x:si>
  <x:si>
    <x:t>http://id.who.int/icd/release/11/beta/ichi/1116612002</x:t>
  </x:si>
  <x:si>
    <x:t>- - - - - - - - - - Proximal interphalangeal joint of third toe</x:t>
  </x:si>
  <x:si>
    <x:t>http://id.who.int/icd/entity/763338507</x:t>
  </x:si>
  <x:si>
    <x:t>http://id.who.int/icd/release/11/beta/ichi/763338507</x:t>
  </x:si>
  <x:si>
    <x:t>- - - - - - - - - - Proximal interphalangeal joint of fourth toe</x:t>
  </x:si>
  <x:si>
    <x:t>http://id.who.int/icd/entity/1469410170</x:t>
  </x:si>
  <x:si>
    <x:t>http://id.who.int/icd/release/11/beta/ichi/1469410170</x:t>
  </x:si>
  <x:si>
    <x:t>- - - - - - - - - - Proximal interphalangeal joint of fifth toe</x:t>
  </x:si>
  <x:si>
    <x:t>http://id.who.int/icd/entity/1500265493</x:t>
  </x:si>
  <x:si>
    <x:t>http://id.who.int/icd/release/11/beta/ichi/1500265493</x:t>
  </x:si>
  <x:si>
    <x:t>- - - - - - - - - Distal interphalangeal joint of the foot</x:t>
  </x:si>
  <x:si>
    <x:t>http://id.who.int/icd/entity/224597415</x:t>
  </x:si>
  <x:si>
    <x:t>http://id.who.int/icd/release/11/beta/ichi/224597415</x:t>
  </x:si>
  <x:si>
    <x:t>- - - - - - - - - - Distal interphalangeal joint of second toe</x:t>
  </x:si>
  <x:si>
    <x:t>http://id.who.int/icd/entity/1756936210</x:t>
  </x:si>
  <x:si>
    <x:t>http://id.who.int/icd/release/11/beta/ichi/1756936210</x:t>
  </x:si>
  <x:si>
    <x:t>- - - - - - - - - - Distal interphalangeal joint of third toe</x:t>
  </x:si>
  <x:si>
    <x:t>http://id.who.int/icd/entity/1145118249</x:t>
  </x:si>
  <x:si>
    <x:t>http://id.who.int/icd/release/11/beta/ichi/1145118249</x:t>
  </x:si>
  <x:si>
    <x:t>- - - - - - - - - - Distal interphalangeal joint of fourth toe</x:t>
  </x:si>
  <x:si>
    <x:t>http://id.who.int/icd/entity/1322039621</x:t>
  </x:si>
  <x:si>
    <x:t>http://id.who.int/icd/release/11/beta/ichi/1322039621</x:t>
  </x:si>
  <x:si>
    <x:t>- - - - - - - - - - Distal interphalangeal joint of fifth toe</x:t>
  </x:si>
  <x:si>
    <x:t>http://id.who.int/icd/entity/1281516466</x:t>
  </x:si>
  <x:si>
    <x:t>http://id.who.int/icd/release/11/beta/ichi/1281516466</x:t>
  </x:si>
  <x:si>
    <x:t>- - - - - - Ligaments of the lower extremity</x:t>
  </x:si>
  <x:si>
    <x:t>http://id.who.int/icd/entity/1921980626</x:t>
  </x:si>
  <x:si>
    <x:t>http://id.who.int/icd/release/11/beta/ichi/1921980626</x:t>
  </x:si>
  <x:si>
    <x:t>- - - - - - - Ligament of the hip</x:t>
  </x:si>
  <x:si>
    <x:t>http://id.who.int/icd/entity/1131509483</x:t>
  </x:si>
  <x:si>
    <x:t>http://id.who.int/icd/release/11/beta/ichi/1131509483</x:t>
  </x:si>
  <x:si>
    <x:t>- - - - - - - - Iliofemoral ligament</x:t>
  </x:si>
  <x:si>
    <x:t>http://id.who.int/icd/entity/334044346</x:t>
  </x:si>
  <x:si>
    <x:t>http://id.who.int/icd/release/11/beta/ichi/334044346</x:t>
  </x:si>
  <x:si>
    <x:t>- - - - - - - - Iliotibial ligament</x:t>
  </x:si>
  <x:si>
    <x:t>http://id.who.int/icd/entity/666281676</x:t>
  </x:si>
  <x:si>
    <x:t>http://id.who.int/icd/release/11/beta/ichi/666281676</x:t>
  </x:si>
  <x:si>
    <x:t>- - - - - - - - Iliotrochanteric ligament</x:t>
  </x:si>
  <x:si>
    <x:t>http://id.who.int/icd/entity/1415123499</x:t>
  </x:si>
  <x:si>
    <x:t>http://id.who.int/icd/release/11/beta/ichi/1415123499</x:t>
  </x:si>
  <x:si>
    <x:t>- - - - - - - - Ischiocapsular ligament</x:t>
  </x:si>
  <x:si>
    <x:t>http://id.who.int/icd/entity/1816088844</x:t>
  </x:si>
  <x:si>
    <x:t>http://id.who.int/icd/release/11/beta/ichi/1816088844</x:t>
  </x:si>
  <x:si>
    <x:t>- - - - - - - - Ligamentum teres femoris</x:t>
  </x:si>
  <x:si>
    <x:t>http://id.who.int/icd/entity/2065118668</x:t>
  </x:si>
  <x:si>
    <x:t>http://id.who.int/icd/release/11/beta/ichi/2065118668</x:t>
  </x:si>
  <x:si>
    <x:t>- - - - - - - - Pubofemoral ligament</x:t>
  </x:si>
  <x:si>
    <x:t>http://id.who.int/icd/entity/1114609804</x:t>
  </x:si>
  <x:si>
    <x:t>http://id.who.int/icd/release/11/beta/ichi/1114609804</x:t>
  </x:si>
  <x:si>
    <x:t>- - - - - - - - Transverse acetabular ligament</x:t>
  </x:si>
  <x:si>
    <x:t>http://id.who.int/icd/entity/391521938</x:t>
  </x:si>
  <x:si>
    <x:t>http://id.who.int/icd/release/11/beta/ichi/391521938</x:t>
  </x:si>
  <x:si>
    <x:t>- - - - - - - Ligament of the knee</x:t>
  </x:si>
  <x:si>
    <x:t>http://id.who.int/icd/entity/713263348</x:t>
  </x:si>
  <x:si>
    <x:t>http://id.who.int/icd/release/11/beta/ichi/713263348</x:t>
  </x:si>
  <x:si>
    <x:t>- - - - - - - - Anterior cruciate ligament</x:t>
  </x:si>
  <x:si>
    <x:t>http://id.who.int/icd/entity/1585802427</x:t>
  </x:si>
  <x:si>
    <x:t>http://id.who.int/icd/release/11/beta/ichi/1585802427</x:t>
  </x:si>
  <x:si>
    <x:t>- - - - - - - - Coronary ligament</x:t>
  </x:si>
  <x:si>
    <x:t>http://id.who.int/icd/entity/1034677300</x:t>
  </x:si>
  <x:si>
    <x:t>http://id.who.int/icd/release/11/beta/ichi/1034677300</x:t>
  </x:si>
  <x:si>
    <x:t>- - - - - - - - Fibular collateral ligament</x:t>
  </x:si>
  <x:si>
    <x:t>http://id.who.int/icd/entity/166096716</x:t>
  </x:si>
  <x:si>
    <x:t>http://id.who.int/icd/release/11/beta/ichi/166096716</x:t>
  </x:si>
  <x:si>
    <x:t>- - - - - - - - Oblique popliteal ligament</x:t>
  </x:si>
  <x:si>
    <x:t>http://id.who.int/icd/entity/815710732</x:t>
  </x:si>
  <x:si>
    <x:t>http://id.who.int/icd/release/11/beta/ichi/815710732</x:t>
  </x:si>
  <x:si>
    <x:t>- - - - - - - - Patellar ligament</x:t>
  </x:si>
  <x:si>
    <x:t>http://id.who.int/icd/entity/1744683515</x:t>
  </x:si>
  <x:si>
    <x:t>http://id.who.int/icd/release/11/beta/ichi/1744683515</x:t>
  </x:si>
  <x:si>
    <x:t>- - - - - - - - Posterior cruciate ligament</x:t>
  </x:si>
  <x:si>
    <x:t>http://id.who.int/icd/entity/516819852</x:t>
  </x:si>
  <x:si>
    <x:t>http://id.who.int/icd/release/11/beta/ichi/516819852</x:t>
  </x:si>
  <x:si>
    <x:t>- - - - - - - - Tibial collateral ligament</x:t>
  </x:si>
  <x:si>
    <x:t>http://id.who.int/icd/entity/1236076667</x:t>
  </x:si>
  <x:si>
    <x:t>http://id.who.int/icd/release/11/beta/ichi/1236076667</x:t>
  </x:si>
  <x:si>
    <x:t>- - - - - - - - Transverse ligament of the knee</x:t>
  </x:si>
  <x:si>
    <x:t>http://id.who.int/icd/entity/1705475090</x:t>
  </x:si>
  <x:si>
    <x:t>http://id.who.int/icd/release/11/beta/ichi/1705475090</x:t>
  </x:si>
  <x:si>
    <x:t>- - - - - - - Ligament of the ankle or foot</x:t>
  </x:si>
  <x:si>
    <x:t>http://id.who.int/icd/entity/353147771</x:t>
  </x:si>
  <x:si>
    <x:t>http://id.who.int/icd/release/11/beta/ichi/353147771</x:t>
  </x:si>
  <x:si>
    <x:t>- - - - - - - - Anterior inferior ligament</x:t>
  </x:si>
  <x:si>
    <x:t>http://id.who.int/icd/entity/1431684422</x:t>
  </x:si>
  <x:si>
    <x:t>http://id.who.int/icd/release/11/beta/ichi/1431684422</x:t>
  </x:si>
  <x:si>
    <x:t>- - - - - - - - Anterior talofibular ligament</x:t>
  </x:si>
  <x:si>
    <x:t>http://id.who.int/icd/entity/995906299</x:t>
  </x:si>
  <x:si>
    <x:t>http://id.who.int/icd/release/11/beta/ichi/995906299</x:t>
  </x:si>
  <x:si>
    <x:t>- - - - - - - - Anterior tibiofibular ligament</x:t>
  </x:si>
  <x:si>
    <x:t>http://id.who.int/icd/entity/2097046882</x:t>
  </x:si>
  <x:si>
    <x:t>http://id.who.int/icd/release/11/beta/ichi/2097046882</x:t>
  </x:si>
  <x:si>
    <x:t>- - - - - - - - Bifurcated ligament</x:t>
  </x:si>
  <x:si>
    <x:t>http://id.who.int/icd/entity/1274525074</x:t>
  </x:si>
  <x:si>
    <x:t>http://id.who.int/icd/release/11/beta/ichi/1274525074</x:t>
  </x:si>
  <x:si>
    <x:t>- - - - - - - - Calcaneofibular ligament</x:t>
  </x:si>
  <x:si>
    <x:t>http://id.who.int/icd/entity/1628980794</x:t>
  </x:si>
  <x:si>
    <x:t>http://id.who.int/icd/release/11/beta/ichi/1628980794</x:t>
  </x:si>
  <x:si>
    <x:t>- - - - - - - - Collateral ligament of the foot</x:t>
  </x:si>
  <x:si>
    <x:t>http://id.who.int/icd/entity/79788154</x:t>
  </x:si>
  <x:si>
    <x:t>http://id.who.int/icd/release/11/beta/ichi/79788154</x:t>
  </x:si>
  <x:si>
    <x:t>- - - - - - - - Cuneometatarsal ligament</x:t>
  </x:si>
  <x:si>
    <x:t>http://id.who.int/icd/entity/1558171986</x:t>
  </x:si>
  <x:si>
    <x:t>http://id.who.int/icd/release/11/beta/ichi/1558171986</x:t>
  </x:si>
  <x:si>
    <x:t>- - - - - - - - Deltoid ligament</x:t>
  </x:si>
  <x:si>
    <x:t>http://id.who.int/icd/entity/1809187234</x:t>
  </x:si>
  <x:si>
    <x:t>http://id.who.int/icd/release/11/beta/ichi/1809187234</x:t>
  </x:si>
  <x:si>
    <x:t>- - - - - - - - Dorsal calcaneocuboid ligament</x:t>
  </x:si>
  <x:si>
    <x:t>http://id.who.int/icd/entity/1414212387</x:t>
  </x:si>
  <x:si>
    <x:t>http://id.who.int/icd/release/11/beta/ichi/1414212387</x:t>
  </x:si>
  <x:si>
    <x:t>- - - - - - - - Dorsal cuboideonavicular ligament</x:t>
  </x:si>
  <x:si>
    <x:t>http://id.who.int/icd/entity/1035588922</x:t>
  </x:si>
  <x:si>
    <x:t>http://id.who.int/icd/release/11/beta/ichi/1035588922</x:t>
  </x:si>
  <x:si>
    <x:t>- - - - - - - - Dorsal intermetatarsal ligament</x:t>
  </x:si>
  <x:si>
    <x:t>http://id.who.int/icd/entity/2048647843</x:t>
  </x:si>
  <x:si>
    <x:t>http://id.who.int/icd/release/11/beta/ichi/2048647843</x:t>
  </x:si>
  <x:si>
    <x:t>- - - - - - - - Dorsal naviculocuneiform ligament</x:t>
  </x:si>
  <x:si>
    <x:t>http://id.who.int/icd/entity/1387179234</x:t>
  </x:si>
  <x:si>
    <x:t>http://id.who.int/icd/release/11/beta/ichi/1387179234</x:t>
  </x:si>
  <x:si>
    <x:t>- - - - - - - - Dorsal talonavicular ligament</x:t>
  </x:si>
  <x:si>
    <x:t>http://id.who.int/icd/entity/730816413</x:t>
  </x:si>
  <x:si>
    <x:t>http://id.who.int/icd/release/11/beta/ichi/730816413</x:t>
  </x:si>
  <x:si>
    <x:t>- - - - - - - - Dorsal tarsometatarsal ligament</x:t>
  </x:si>
  <x:si>
    <x:t>http://id.who.int/icd/entity/557914117</x:t>
  </x:si>
  <x:si>
    <x:t>http://id.who.int/icd/release/11/beta/ichi/557914117</x:t>
  </x:si>
  <x:si>
    <x:t>- - - - - - - - Inferior transverse ligament of ankle</x:t>
  </x:si>
  <x:si>
    <x:t>http://id.who.int/icd/entity/149600291</x:t>
  </x:si>
  <x:si>
    <x:t>http://id.who.int/icd/release/11/beta/ichi/149600291</x:t>
  </x:si>
  <x:si>
    <x:t>- - - - - - - - Intercuneiform ligament</x:t>
  </x:si>
  <x:si>
    <x:t>http://id.who.int/icd/entity/649752995</x:t>
  </x:si>
  <x:si>
    <x:t>http://id.who.int/icd/release/11/beta/ichi/649752995</x:t>
  </x:si>
  <x:si>
    <x:t>- - - - - - - - - Dorsal intercuneiform ligament</x:t>
  </x:si>
  <x:si>
    <x:t>http://id.who.int/icd/entity/532864227</x:t>
  </x:si>
  <x:si>
    <x:t>http://id.who.int/icd/release/11/beta/ichi/532864227</x:t>
  </x:si>
  <x:si>
    <x:t>- - - - - - - - - Plantar intercuneiform ligament</x:t>
  </x:si>
  <x:si>
    <x:t>http://id.who.int/icd/entity/1166460962</x:t>
  </x:si>
  <x:si>
    <x:t>http://id.who.int/icd/release/11/beta/ichi/1166460962</x:t>
  </x:si>
  <x:si>
    <x:t>- - - - - - - - Interosseous talocalcaneal ligament</x:t>
  </x:si>
  <x:si>
    <x:t>http://id.who.int/icd/entity/1604027102</x:t>
  </x:si>
  <x:si>
    <x:t>http://id.who.int/icd/release/11/beta/ichi/1604027102</x:t>
  </x:si>
  <x:si>
    <x:t>- - - - - - - - Long plantar ligament</x:t>
  </x:si>
  <x:si>
    <x:t>http://id.who.int/icd/entity/1482746746</x:t>
  </x:si>
  <x:si>
    <x:t>http://id.who.int/icd/release/11/beta/ichi/1482746746</x:t>
  </x:si>
  <x:si>
    <x:t>- - - - - - - - Plantar accessory ligament</x:t>
  </x:si>
  <x:si>
    <x:t>http://id.who.int/icd/entity/1982866170</x:t>
  </x:si>
  <x:si>
    <x:t>http://id.who.int/icd/release/11/beta/ichi/1982866170</x:t>
  </x:si>
  <x:si>
    <x:t>- - - - - - - - Plantar aponeurosis</x:t>
  </x:si>
  <x:si>
    <x:t>http://id.who.int/icd/entity/1219749406</x:t>
  </x:si>
  <x:si>
    <x:t>http://id.who.int/icd/release/11/beta/ichi/1219749406</x:t>
  </x:si>
  <x:si>
    <x:t>- - - - - - - - Plantar calcaneocuboid ligament</x:t>
  </x:si>
  <x:si>
    <x:t>http://id.who.int/icd/entity/1832093283</x:t>
  </x:si>
  <x:si>
    <x:t>http://id.who.int/icd/release/11/beta/ichi/1832093283</x:t>
  </x:si>
  <x:si>
    <x:t>- - - - - - - - Plantar calcaneonavicular ligament</x:t>
  </x:si>
  <x:si>
    <x:t>http://id.who.int/icd/entity/831657315</x:t>
  </x:si>
  <x:si>
    <x:t>http://id.who.int/icd/release/11/beta/ichi/831657315</x:t>
  </x:si>
  <x:si>
    <x:t>- - - - - - - - Plantar cuboideonavicular ligament</x:t>
  </x:si>
  <x:si>
    <x:t>http://id.who.int/icd/entity/714191354</x:t>
  </x:si>
  <x:si>
    <x:t>http://id.who.int/icd/release/11/beta/ichi/714191354</x:t>
  </x:si>
  <x:si>
    <x:t>- - - - - - - - Plantar intermetatarsal ligament</x:t>
  </x:si>
  <x:si>
    <x:t>http://id.who.int/icd/entity/1130581987</x:t>
  </x:si>
  <x:si>
    <x:t>http://id.who.int/icd/release/11/beta/ichi/1130581987</x:t>
  </x:si>
  <x:si>
    <x:t>- - - - - - - - Plantar naviculocuneiform ligament</x:t>
  </x:si>
  <x:si>
    <x:t>http://id.who.int/icd/entity/1017592669</x:t>
  </x:si>
  <x:si>
    <x:t>http://id.who.int/icd/release/11/beta/ichi/1017592669</x:t>
  </x:si>
  <x:si>
    <x:t>- - - - - - - - Plantar tarsometatarsal ligament</x:t>
  </x:si>
  <x:si>
    <x:t>http://id.who.int/icd/entity/35979195</x:t>
  </x:si>
  <x:si>
    <x:t>http://id.who.int/icd/release/11/beta/ichi/35979195</x:t>
  </x:si>
  <x:si>
    <x:t>- - - - - - - - Posterior inferior ligament</x:t>
  </x:si>
  <x:si>
    <x:t>http://id.who.int/icd/entity/1115529606</x:t>
  </x:si>
  <x:si>
    <x:t>http://id.who.int/icd/release/11/beta/ichi/1115529606</x:t>
  </x:si>
  <x:si>
    <x:t>- - - - - - - - Posterior talofibular ligament</x:t>
  </x:si>
  <x:si>
    <x:t>http://id.who.int/icd/entity/745813563</x:t>
  </x:si>
  <x:si>
    <x:t>http://id.who.int/icd/release/11/beta/ichi/745813563</x:t>
  </x:si>
  <x:si>
    <x:t>- - - - - - - - Posterior tibiofibular ligament</x:t>
  </x:si>
  <x:si>
    <x:t>http://id.who.int/icd/entity/543159906</x:t>
  </x:si>
  <x:si>
    <x:t>http://id.who.int/icd/release/11/beta/ichi/543159906</x:t>
  </x:si>
  <x:si>
    <x:t>- - - - - - - - Talocalcaneal ligament</x:t>
  </x:si>
  <x:si>
    <x:t>http://id.who.int/icd/entity/912882885</x:t>
  </x:si>
  <x:si>
    <x:t>http://id.who.int/icd/release/11/beta/ichi/912882885</x:t>
  </x:si>
  <x:si>
    <x:t>- - - - - - - - - Anterior talocalcaneal ligament</x:t>
  </x:si>
  <x:si>
    <x:t>http://id.who.int/icd/entity/235880418</x:t>
  </x:si>
  <x:si>
    <x:t>http://id.who.int/icd/release/11/beta/ichi/235880418</x:t>
  </x:si>
  <x:si>
    <x:t>- - - - - - - - - Lateral talocalcaneal ligament</x:t>
  </x:si>
  <x:si>
    <x:t>http://id.who.int/icd/entity/930583202</x:t>
  </x:si>
  <x:si>
    <x:t>http://id.who.int/icd/release/11/beta/ichi/930583202</x:t>
  </x:si>
  <x:si>
    <x:t>- - - - - - - - - Medial talocalcaneal ligament</x:t>
  </x:si>
  <x:si>
    <x:t>http://id.who.int/icd/entity/422009634</x:t>
  </x:si>
  <x:si>
    <x:t>http://id.who.int/icd/release/11/beta/ichi/422009634</x:t>
  </x:si>
  <x:si>
    <x:t>- - - - - - - - - Posterior talocalcaneal ligament</x:t>
  </x:si>
  <x:si>
    <x:t>http://id.who.int/icd/entity/1330155450</x:t>
  </x:si>
  <x:si>
    <x:t>http://id.who.int/icd/release/11/beta/ichi/1330155450</x:t>
  </x:si>
  <x:si>
    <x:t>- - - - - - - - Transverse metatarsal ligament</x:t>
  </x:si>
  <x:si>
    <x:t>http://id.who.int/icd/entity/1041587014</x:t>
  </x:si>
  <x:si>
    <x:t>http://id.who.int/icd/release/11/beta/ichi/1041587014</x:t>
  </x:si>
  <x:si>
    <x:t>- - - - - Ligaments and joints of multiple sites</x:t>
  </x:si>
  <x:si>
    <x:t>http://id.who.int/icd/entity/223046766</x:t>
  </x:si>
  <x:si>
    <x:t>http://id.who.int/icd/release/11/beta/ichi/223046766</x:t>
  </x:si>
  <x:si>
    <x:t>- - - - - Number of joints</x:t>
  </x:si>
  <x:si>
    <x:t>http://id.who.int/icd/entity/774802386</x:t>
  </x:si>
  <x:si>
    <x:t>http://id.who.int/icd/release/11/beta/ichi/774802386</x:t>
  </x:si>
  <x:si>
    <x:t>- - - - - - Multiple Joints</x:t>
  </x:si>
  <x:si>
    <x:t>http://id.who.int/icd/entity/66023439</x:t>
  </x:si>
  <x:si>
    <x:t>http://id.who.int/icd/release/11/beta/ichi/66023439</x:t>
  </x:si>
  <x:si>
    <x:t>- - - - - - - Oligoarticular</x:t>
  </x:si>
  <x:si>
    <x:t>http://id.who.int/icd/entity/598848067</x:t>
  </x:si>
  <x:si>
    <x:t>http://id.who.int/icd/release/11/beta/ichi/598848067</x:t>
  </x:si>
  <x:si>
    <x:t>- - - - - - - Polyarticular</x:t>
  </x:si>
  <x:si>
    <x:t>http://id.who.int/icd/entity/133518913</x:t>
  </x:si>
  <x:si>
    <x:t>http://id.who.int/icd/release/11/beta/ichi/133518913</x:t>
  </x:si>
  <x:si>
    <x:t>- - - - - - - - Multiple large joints only</x:t>
  </x:si>
  <x:si>
    <x:t>http://id.who.int/icd/entity/678026157</x:t>
  </x:si>
  <x:si>
    <x:t>http://id.who.int/icd/release/11/beta/ichi/678026157</x:t>
  </x:si>
  <x:si>
    <x:t>- - - - - - - - Multiple small joints only</x:t>
  </x:si>
  <x:si>
    <x:t>http://id.who.int/icd/entity/570524753</x:t>
  </x:si>
  <x:si>
    <x:t>http://id.who.int/icd/release/11/beta/ichi/570524753</x:t>
  </x:si>
  <x:si>
    <x:t>- - - - - - - - Both large and small joints</x:t>
  </x:si>
  <x:si>
    <x:t>http://id.who.int/icd/entity/1734415162</x:t>
  </x:si>
  <x:si>
    <x:t>http://id.who.int/icd/release/11/beta/ichi/1734415162</x:t>
  </x:si>
  <x:si>
    <x:t>- - - - - - - - Large joints only with cervical spine or temporomandibular involvement</x:t>
  </x:si>
  <x:si>
    <x:t>http://id.who.int/icd/entity/956755730</x:t>
  </x:si>
  <x:si>
    <x:t>http://id.who.int/icd/release/11/beta/ichi/956755730</x:t>
  </x:si>
  <x:si>
    <x:t>- - - - - - Monoarticular</x:t>
  </x:si>
  <x:si>
    <x:t>http://id.who.int/icd/entity/570772363</x:t>
  </x:si>
  <x:si>
    <x:t>http://id.who.int/icd/release/11/beta/ichi/570772363</x:t>
  </x:si>
  <x:si>
    <x:t>- - - - - Number of Ligaments</x:t>
  </x:si>
  <x:si>
    <x:t>http://id.who.int/icd/entity/892153675</x:t>
  </x:si>
  <x:si>
    <x:t>http://id.who.int/icd/release/11/beta/ichi/892153675</x:t>
  </x:si>
  <x:si>
    <x:t>- - - - - - Multiple ligaments</x:t>
  </x:si>
  <x:si>
    <x:t>http://id.who.int/icd/entity/442697902</x:t>
  </x:si>
  <x:si>
    <x:t>http://id.who.int/icd/release/11/beta/ichi/442697902</x:t>
  </x:si>
  <x:si>
    <x:t>- - - - - - Single ligament</x:t>
  </x:si>
  <x:si>
    <x:t>http://id.who.int/icd/entity/1448567552</x:t>
  </x:si>
  <x:si>
    <x:t>http://id.who.int/icd/release/11/beta/ichi/1448567552</x:t>
  </x:si>
  <x:si>
    <x:t>- - - - Muscles</x:t>
  </x:si>
  <x:si>
    <x:t>http://id.who.int/icd/entity/1922573088</x:t>
  </x:si>
  <x:si>
    <x:t>http://id.who.int/icd/release/11/beta/ichi/1922573088</x:t>
  </x:si>
  <x:si>
    <x:t>- - - - - Muscles of the head and neck</x:t>
  </x:si>
  <x:si>
    <x:t>83</x:t>
  </x:si>
  <x:si>
    <x:t>http://id.who.int/icd/entity/1647332146</x:t>
  </x:si>
  <x:si>
    <x:t>http://id.who.int/icd/release/11/beta/ichi/1647332146</x:t>
  </x:si>
  <x:si>
    <x:t>- - - - - - Alaeque nasi muscle</x:t>
  </x:si>
  <x:si>
    <x:t>http://id.who.int/icd/entity/668661832</x:t>
  </x:si>
  <x:si>
    <x:t>http://id.who.int/icd/release/11/beta/ichi/668661832</x:t>
  </x:si>
  <x:si>
    <x:t>- - - - - - Anterior auricularis muscle</x:t>
  </x:si>
  <x:si>
    <x:t>http://id.who.int/icd/entity/328694584</x:t>
  </x:si>
  <x:si>
    <x:t>http://id.who.int/icd/release/11/beta/ichi/328694584</x:t>
  </x:si>
  <x:si>
    <x:t>- - - - - - Aryepiglotticus muscle</x:t>
  </x:si>
  <x:si>
    <x:t>http://id.who.int/icd/entity/388514080</x:t>
  </x:si>
  <x:si>
    <x:t>http://id.who.int/icd/release/11/beta/ichi/388514080</x:t>
  </x:si>
  <x:si>
    <x:t>- - - - - - Buccinator muscle</x:t>
  </x:si>
  <x:si>
    <x:t>http://id.who.int/icd/entity/9696</x:t>
  </x:si>
  <x:si>
    <x:t>http://id.who.int/icd/release/11/beta/ichi/9696</x:t>
  </x:si>
  <x:si>
    <x:t>- - - - - - Constrictor of pharynx - inferior muscle</x:t>
  </x:si>
  <x:si>
    <x:t>http://id.who.int/icd/entity/1708727200</x:t>
  </x:si>
  <x:si>
    <x:t>http://id.who.int/icd/release/11/beta/ichi/1708727200</x:t>
  </x:si>
  <x:si>
    <x:t>- - - - - - Constrictor of pharynx - middle muscle</x:t>
  </x:si>
  <x:si>
    <x:t>http://id.who.int/icd/entity/1928429408</x:t>
  </x:si>
  <x:si>
    <x:t>http://id.who.int/icd/release/11/beta/ichi/1928429408</x:t>
  </x:si>
  <x:si>
    <x:t>- - - - - - Constrictor of pharynx - superior muscle</x:t>
  </x:si>
  <x:si>
    <x:t>http://id.who.int/icd/entity/1267323424</x:t>
  </x:si>
  <x:si>
    <x:t>http://id.who.int/icd/release/11/beta/ichi/1267323424</x:t>
  </x:si>
  <x:si>
    <x:t>- - - - - - Corrugator supercilii muscle</x:t>
  </x:si>
  <x:si>
    <x:t>http://id.who.int/icd/entity/1554101984</x:t>
  </x:si>
  <x:si>
    <x:t>http://id.who.int/icd/release/11/beta/ichi/1554101984</x:t>
  </x:si>
  <x:si>
    <x:t>- - - - - - Cricothyroid muscle</x:t>
  </x:si>
  <x:si>
    <x:t>http://id.who.int/icd/entity/2143572320</x:t>
  </x:si>
  <x:si>
    <x:t>http://id.who.int/icd/release/11/beta/ichi/2143572320</x:t>
  </x:si>
  <x:si>
    <x:t>- - - - - - Depressor anguli oris muscle</x:t>
  </x:si>
  <x:si>
    <x:t>http://id.who.int/icd/entity/1760310688</x:t>
  </x:si>
  <x:si>
    <x:t>http://id.who.int/icd/release/11/beta/ichi/1760310688</x:t>
  </x:si>
  <x:si>
    <x:t>- - - - - - Depressor labii inferioris muscle</x:t>
  </x:si>
  <x:si>
    <x:t>http://id.who.int/icd/entity/1201803847</x:t>
  </x:si>
  <x:si>
    <x:t>http://id.who.int/icd/release/11/beta/ichi/1201803847</x:t>
  </x:si>
  <x:si>
    <x:t>- - - - - - Digastric muscle</x:t>
  </x:si>
  <x:si>
    <x:t>http://id.who.int/icd/entity/1351251591</x:t>
  </x:si>
  <x:si>
    <x:t>http://id.who.int/icd/release/11/beta/ichi/1351251591</x:t>
  </x:si>
  <x:si>
    <x:t>- - - - - - Frontalis muscle</x:t>
  </x:si>
  <x:si>
    <x:t>http://id.who.int/icd/entity/1777523655</x:t>
  </x:si>
  <x:si>
    <x:t>http://id.who.int/icd/release/11/beta/ichi/1777523655</x:t>
  </x:si>
  <x:si>
    <x:t>- - - - - - Genioglossus muscle</x:t>
  </x:si>
  <x:si>
    <x:t>http://id.who.int/icd/entity/2128264967</x:t>
  </x:si>
  <x:si>
    <x:t>http://id.who.int/icd/release/11/beta/ichi/2128264967</x:t>
  </x:si>
  <x:si>
    <x:t>- - - - - - Geniohyoid muscle</x:t>
  </x:si>
  <x:si>
    <x:t>http://id.who.int/icd/entity/453214535</x:t>
  </x:si>
  <x:si>
    <x:t>http://id.who.int/icd/release/11/beta/ichi/453214535</x:t>
  </x:si>
  <x:si>
    <x:t>- - - - - - Hyoglossus muscle</x:t>
  </x:si>
  <x:si>
    <x:t>http://id.who.int/icd/entity/2033446825</x:t>
  </x:si>
  <x:si>
    <x:t>http://id.who.int/icd/release/11/beta/ichi/2033446825</x:t>
  </x:si>
  <x:si>
    <x:t>- - - - - - Hyoid muscle</x:t>
  </x:si>
  <x:si>
    <x:t>http://id.who.int/icd/entity/204203399</x:t>
  </x:si>
  <x:si>
    <x:t>http://id.who.int/icd/release/11/beta/ichi/204203399</x:t>
  </x:si>
  <x:si>
    <x:t>- - - - - - Inferior oblique muscle</x:t>
  </x:si>
  <x:si>
    <x:t>http://id.who.int/icd/entity/894650567</x:t>
  </x:si>
  <x:si>
    <x:t>http://id.who.int/icd/release/11/beta/ichi/894650567</x:t>
  </x:si>
  <x:si>
    <x:t>- - - - - - Inferior rectus muscle</x:t>
  </x:si>
  <x:si>
    <x:t>http://id.who.int/icd/entity/578497543</x:t>
  </x:si>
  <x:si>
    <x:t>http://id.who.int/icd/release/11/beta/ichi/578497543</x:t>
  </x:si>
  <x:si>
    <x:t>- - - - - - Intrinsic muscles of tongue</x:t>
  </x:si>
  <x:si>
    <x:t>http://id.who.int/icd/entity/18795449</x:t>
  </x:si>
  <x:si>
    <x:t>http://id.who.int/icd/release/11/beta/ichi/18795449</x:t>
  </x:si>
  <x:si>
    <x:t>- - - - - - Lateral cricoarytenoid muscle</x:t>
  </x:si>
  <x:si>
    <x:t>http://id.who.int/icd/entity/372682617</x:t>
  </x:si>
  <x:si>
    <x:t>http://id.who.int/icd/release/11/beta/ichi/372682617</x:t>
  </x:si>
  <x:si>
    <x:t>- - - - - - Lateral pterygoid muscle</x:t>
  </x:si>
  <x:si>
    <x:t>http://id.who.int/icd/entity/1531504242</x:t>
  </x:si>
  <x:si>
    <x:t>http://id.who.int/icd/release/11/beta/ichi/1531504242</x:t>
  </x:si>
  <x:si>
    <x:t>- - - - - - Lateral rectus muscle</x:t>
  </x:si>
  <x:si>
    <x:t>http://id.who.int/icd/entity/1281393330</x:t>
  </x:si>
  <x:si>
    <x:t>http://id.who.int/icd/release/11/beta/ichi/1281393330</x:t>
  </x:si>
  <x:si>
    <x:t>- - - - - - Levator anguli oris muscle</x:t>
  </x:si>
  <x:si>
    <x:t>http://id.who.int/icd/entity/1964519410</x:t>
  </x:si>
  <x:si>
    <x:t>http://id.who.int/icd/release/11/beta/ichi/1964519410</x:t>
  </x:si>
  <x:si>
    <x:t>- - - - - - Levator labii superioris muscle</x:t>
  </x:si>
  <x:si>
    <x:t>http://id.who.int/icd/entity/132740466</x:t>
  </x:si>
  <x:si>
    <x:t>http://id.who.int/icd/release/11/beta/ichi/132740466</x:t>
  </x:si>
  <x:si>
    <x:t>- - - - - - Levator palpebrae superioris muscle</x:t>
  </x:si>
  <x:si>
    <x:t>http://id.who.int/icd/entity/281088434</x:t>
  </x:si>
  <x:si>
    <x:t>http://id.who.int/icd/release/11/beta/ichi/281088434</x:t>
  </x:si>
  <x:si>
    <x:t>- - - - - - Levator veli palatini muscle</x:t>
  </x:si>
  <x:si>
    <x:t>http://id.who.int/icd/entity/700038386</x:t>
  </x:si>
  <x:si>
    <x:t>http://id.who.int/icd/release/11/beta/ichi/700038386</x:t>
  </x:si>
  <x:si>
    <x:t>- - - - - - Longus capitis muscle</x:t>
  </x:si>
  <x:si>
    <x:t>http://id.who.int/icd/entity/1049745458</x:t>
  </x:si>
  <x:si>
    <x:t>http://id.who.int/icd/release/11/beta/ichi/1049745458</x:t>
  </x:si>
  <x:si>
    <x:t>- - - - - - Longus colli muscle</x:t>
  </x:si>
  <x:si>
    <x:t>http://id.who.int/icd/entity/502546318</x:t>
  </x:si>
  <x:si>
    <x:t>http://id.who.int/icd/release/11/beta/ichi/502546318</x:t>
  </x:si>
  <x:si>
    <x:t>- - - - - - Masseter muscle</x:t>
  </x:si>
  <x:si>
    <x:t>http://id.who.int/icd/entity/182213454</x:t>
  </x:si>
  <x:si>
    <x:t>http://id.who.int/icd/release/11/beta/ichi/182213454</x:t>
  </x:si>
  <x:si>
    <x:t>- - - - - - Medial pterygoid muscle</x:t>
  </x:si>
  <x:si>
    <x:t>http://id.who.int/icd/entity/630357161</x:t>
  </x:si>
  <x:si>
    <x:t>http://id.who.int/icd/release/11/beta/ichi/630357161</x:t>
  </x:si>
  <x:si>
    <x:t>- - - - - - Medial rectus muscle</x:t>
  </x:si>
  <x:si>
    <x:t>http://id.who.int/icd/entity/851056745</x:t>
  </x:si>
  <x:si>
    <x:t>http://id.who.int/icd/release/11/beta/ichi/851056745</x:t>
  </x:si>
  <x:si>
    <x:t>- - - - - - Mentalis muscle</x:t>
  </x:si>
  <x:si>
    <x:t>http://id.who.int/icd/entity/197309737</x:t>
  </x:si>
  <x:si>
    <x:t>http://id.who.int/icd/release/11/beta/ichi/197309737</x:t>
  </x:si>
  <x:si>
    <x:t>- - - - - - Musculus uvulae muscle</x:t>
  </x:si>
  <x:si>
    <x:t>http://id.who.int/icd/entity/485151209</x:t>
  </x:si>
  <x:si>
    <x:t>http://id.who.int/icd/release/11/beta/ichi/485151209</x:t>
  </x:si>
  <x:si>
    <x:t>- - - - - - Mylohyoid muscle</x:t>
  </x:si>
  <x:si>
    <x:t>http://id.who.int/icd/entity/1847298921</x:t>
  </x:si>
  <x:si>
    <x:t>http://id.who.int/icd/release/11/beta/ichi/1847298921</x:t>
  </x:si>
  <x:si>
    <x:t>- - - - - - Nasalis muscle</x:t>
  </x:si>
  <x:si>
    <x:t>http://id.who.int/icd/entity/1375585440</x:t>
  </x:si>
  <x:si>
    <x:t>http://id.who.int/icd/release/11/beta/ichi/1375585440</x:t>
  </x:si>
  <x:si>
    <x:t>- - - - - - Oblique arytenoid muscle</x:t>
  </x:si>
  <x:si>
    <x:t>http://id.who.int/icd/entity/821206152</x:t>
  </x:si>
  <x:si>
    <x:t>http://id.who.int/icd/release/11/beta/ichi/821206152</x:t>
  </x:si>
  <x:si>
    <x:t>- - - - - - Oblique auricularis muscle</x:t>
  </x:si>
  <x:si>
    <x:t>http://id.who.int/icd/entity/1466115625</x:t>
  </x:si>
  <x:si>
    <x:t>http://id.who.int/icd/release/11/beta/ichi/1466115625</x:t>
  </x:si>
  <x:si>
    <x:t>- - - - - - Obliquus capitis inferior muscle</x:t>
  </x:si>
  <x:si>
    <x:t>http://id.who.int/icd/entity/1078674153</x:t>
  </x:si>
  <x:si>
    <x:t>http://id.who.int/icd/release/11/beta/ichi/1078674153</x:t>
  </x:si>
  <x:si>
    <x:t>- - - - - - Obliquus capitis superior muscle</x:t>
  </x:si>
  <x:si>
    <x:t>http://id.who.int/icd/entity/1664001367</x:t>
  </x:si>
  <x:si>
    <x:t>http://id.who.int/icd/release/11/beta/ichi/1664001367</x:t>
  </x:si>
  <x:si>
    <x:t>- - - - - - Omohyoid muscle</x:t>
  </x:si>
  <x:si>
    <x:t>http://id.who.int/icd/entity/1946599831</x:t>
  </x:si>
  <x:si>
    <x:t>http://id.who.int/icd/release/11/beta/ichi/1946599831</x:t>
  </x:si>
  <x:si>
    <x:t>- - - - - - Orbicularis oculi muscle</x:t>
  </x:si>
  <x:si>
    <x:t>http://id.who.int/icd/entity/2064791352</x:t>
  </x:si>
  <x:si>
    <x:t>http://id.who.int/icd/release/11/beta/ichi/2064791352</x:t>
  </x:si>
  <x:si>
    <x:t>- - - - - - Orbicularis oris muscle</x:t>
  </x:si>
  <x:si>
    <x:t>http://id.who.int/icd/entity/1815761912</x:t>
  </x:si>
  <x:si>
    <x:t>http://id.who.int/icd/release/11/beta/ichi/1815761912</x:t>
  </x:si>
  <x:si>
    <x:t>- - - - - - Palatoglossus muscle</x:t>
  </x:si>
  <x:si>
    <x:t>http://id.who.int/icd/entity/1430453944</x:t>
  </x:si>
  <x:si>
    <x:t>http://id.who.int/icd/release/11/beta/ichi/1430453944</x:t>
  </x:si>
  <x:si>
    <x:t>- - - - - - Palatopharyngeus muscle</x:t>
  </x:si>
  <x:si>
    <x:t>http://id.who.int/icd/entity/1114282616</x:t>
  </x:si>
  <x:si>
    <x:t>http://id.who.int/icd/release/11/beta/ichi/1114282616</x:t>
  </x:si>
  <x:si>
    <x:t>- - - - - - Platysma muscle</x:t>
  </x:si>
  <x:si>
    <x:t>http://id.who.int/icd/entity/964200608</x:t>
  </x:si>
  <x:si>
    <x:t>http://id.who.int/icd/release/11/beta/ichi/964200608</x:t>
  </x:si>
  <x:si>
    <x:t>- - - - - - Posterior auricularis muscle</x:t>
  </x:si>
  <x:si>
    <x:t>http://id.who.int/icd/entity/666084408</x:t>
  </x:si>
  <x:si>
    <x:t>http://id.who.int/icd/release/11/beta/ichi/666084408</x:t>
  </x:si>
  <x:si>
    <x:t>- - - - - - Posterior cricoarytenoid muscle</x:t>
  </x:si>
  <x:si>
    <x:t>http://id.who.int/icd/entity/815513848</x:t>
  </x:si>
  <x:si>
    <x:t>http://id.who.int/icd/release/11/beta/ichi/815513848</x:t>
  </x:si>
  <x:si>
    <x:t>- - - - - - Procerus muscle</x:t>
  </x:si>
  <x:si>
    <x:t>http://id.who.int/icd/entity/165899704</x:t>
  </x:si>
  <x:si>
    <x:t>http://id.who.int/icd/release/11/beta/ichi/165899704</x:t>
  </x:si>
  <x:si>
    <x:t>- - - - - - Rectus capitis anterior muscle</x:t>
  </x:si>
  <x:si>
    <x:t>http://id.who.int/icd/entity/516622712</x:t>
  </x:si>
  <x:si>
    <x:t>http://id.who.int/icd/release/11/beta/ichi/516622712</x:t>
  </x:si>
  <x:si>
    <x:t>- - - - - - Rectus capitis lateralis muscle</x:t>
  </x:si>
  <x:si>
    <x:t>http://id.who.int/icd/entity/1034874568</x:t>
  </x:si>
  <x:si>
    <x:t>http://id.who.int/icd/release/11/beta/ichi/1034874568</x:t>
  </x:si>
  <x:si>
    <x:t>- - - - - - Rectus capitis posterior major muscle</x:t>
  </x:si>
  <x:si>
    <x:t>http://id.who.int/icd/entity/713460232</x:t>
  </x:si>
  <x:si>
    <x:t>http://id.who.int/icd/release/11/beta/ichi/713460232</x:t>
  </x:si>
  <x:si>
    <x:t>- - - - - - Rectus capitis posterior minor muscle</x:t>
  </x:si>
  <x:si>
    <x:t>http://id.who.int/icd/entity/97037807</x:t>
  </x:si>
  <x:si>
    <x:t>http://id.who.int/icd/release/11/beta/ichi/97037807</x:t>
  </x:si>
  <x:si>
    <x:t>- - - - - - Risorius muscle</x:t>
  </x:si>
  <x:si>
    <x:t>http://id.who.int/icd/entity/316721455</x:t>
  </x:si>
  <x:si>
    <x:t>http://id.who.int/icd/release/11/beta/ichi/316721455</x:t>
  </x:si>
  <x:si>
    <x:t>- - - - - - Salpingopharyngeus muscle</x:t>
  </x:si>
  <x:si>
    <x:t>http://id.who.int/icd/entity/731407471</x:t>
  </x:si>
  <x:si>
    <x:t>http://id.who.int/icd/release/11/beta/ichi/731407471</x:t>
  </x:si>
  <x:si>
    <x:t>- - - - - - Scalenus anterior muscle</x:t>
  </x:si>
  <x:si>
    <x:t>http://id.who.int/icd/entity/1018167471</x:t>
  </x:si>
  <x:si>
    <x:t>http://id.who.int/icd/release/11/beta/ichi/1018167471</x:t>
  </x:si>
  <x:si>
    <x:t>- - - - - - Scalenus medius muscle</x:t>
  </x:si>
  <x:si>
    <x:t>http://id.who.int/icd/entity/1500069615</x:t>
  </x:si>
  <x:si>
    <x:t>http://id.who.int/icd/release/11/beta/ichi/1500069615</x:t>
  </x:si>
  <x:si>
    <x:t>- - - - - - Scalenus minimus muscle</x:t>
  </x:si>
  <x:si>
    <x:t>http://id.who.int/icd/entity/1312905775</x:t>
  </x:si>
  <x:si>
    <x:t>http://id.who.int/icd/release/11/beta/ichi/1312905775</x:t>
  </x:si>
  <x:si>
    <x:t>- - - - - - Scalenus posterior muscle</x:t>
  </x:si>
  <x:si>
    <x:t>http://id.who.int/icd/entity/2000287599</x:t>
  </x:si>
  <x:si>
    <x:t>http://id.who.int/icd/release/11/beta/ichi/2000287599</x:t>
  </x:si>
  <x:si>
    <x:t>- - - - - - Splenius capitis muscle</x:t>
  </x:si>
  <x:si>
    <x:t>http://id.who.int/icd/entity/1611764655</x:t>
  </x:si>
  <x:si>
    <x:t>http://id.who.int/icd/release/11/beta/ichi/1611764655</x:t>
  </x:si>
  <x:si>
    <x:t>- - - - - - Splenius cervicis muscle</x:t>
  </x:si>
  <x:si>
    <x:t>http://id.who.int/icd/entity/1131705361</x:t>
  </x:si>
  <x:si>
    <x:t>http://id.who.int/icd/release/11/beta/ichi/1131705361</x:t>
  </x:si>
  <x:si>
    <x:t>- - - - - - Stapedius muscle</x:t>
  </x:si>
  <x:si>
    <x:t>http://id.who.int/icd/entity/1415319761</x:t>
  </x:si>
  <x:si>
    <x:t>http://id.who.int/icd/release/11/beta/ichi/1415319761</x:t>
  </x:si>
  <x:si>
    <x:t>- - - - - - Sternocleidomastoid muscle</x:t>
  </x:si>
  <x:si>
    <x:t>http://id.who.int/icd/entity/1574307015</x:t>
  </x:si>
  <x:si>
    <x:t>http://id.who.int/icd/release/11/beta/ichi/1574307015</x:t>
  </x:si>
  <x:si>
    <x:t>- - - - - - Sternohyoid muscle</x:t>
  </x:si>
  <x:si>
    <x:t>http://id.who.int/icd/entity/1258184711</x:t>
  </x:si>
  <x:si>
    <x:t>http://id.who.int/icd/release/11/beta/ichi/1258184711</x:t>
  </x:si>
  <x:si>
    <x:t>- - - - - - Sternothyroid muscle</x:t>
  </x:si>
  <x:si>
    <x:t>http://id.who.int/icd/entity/1938214215</x:t>
  </x:si>
  <x:si>
    <x:t>http://id.who.int/icd/release/11/beta/ichi/1938214215</x:t>
  </x:si>
  <x:si>
    <x:t>- - - - - - Styloglossus muscle</x:t>
  </x:si>
  <x:si>
    <x:t>http://id.who.int/icd/entity/1689168263</x:t>
  </x:si>
  <x:si>
    <x:t>http://id.who.int/icd/release/11/beta/ichi/1689168263</x:t>
  </x:si>
  <x:si>
    <x:t>- - - - - - Stylohyoid muscle</x:t>
  </x:si>
  <x:si>
    <x:t>http://id.who.int/icd/entity/24614855</x:t>
  </x:si>
  <x:si>
    <x:t>http://id.who.int/icd/release/11/beta/ichi/24614855</x:t>
  </x:si>
  <x:si>
    <x:t>- - - - - - Stylopharyngeus muscle</x:t>
  </x:si>
  <x:si>
    <x:t>http://id.who.int/icd/entity/79634424</x:t>
  </x:si>
  <x:si>
    <x:t>http://id.who.int/icd/release/11/beta/ichi/79634424</x:t>
  </x:si>
  <x:si>
    <x:t>- - - - - - Superior auricularis muscle</x:t>
  </x:si>
  <x:si>
    <x:t>http://id.who.int/icd/entity/375386887</x:t>
  </x:si>
  <x:si>
    <x:t>http://id.who.int/icd/release/11/beta/ichi/375386887</x:t>
  </x:si>
  <x:si>
    <x:t>- - - - - - Superior oblique muscle</x:t>
  </x:si>
  <x:si>
    <x:t>http://id.who.int/icd/entity/791109191</x:t>
  </x:si>
  <x:si>
    <x:t>http://id.who.int/icd/release/11/beta/ichi/791109191</x:t>
  </x:si>
  <x:si>
    <x:t>- - - - - - Superior rectus muscle</x:t>
  </x:si>
  <x:si>
    <x:t>http://id.who.int/icd/entity/940522119</x:t>
  </x:si>
  <x:si>
    <x:t>http://id.who.int/icd/release/11/beta/ichi/940522119</x:t>
  </x:si>
  <x:si>
    <x:t>- - - - - - Temporalis muscle</x:t>
  </x:si>
  <x:si>
    <x:t>http://id.who.int/icd/entity/459988281</x:t>
  </x:si>
  <x:si>
    <x:t>http://id.who.int/icd/release/11/beta/ichi/459988281</x:t>
  </x:si>
  <x:si>
    <x:t>- - - - - - Temporoparietalis muscle</x:t>
  </x:si>
  <x:si>
    <x:t>http://id.who.int/icd/entity/205699577</x:t>
  </x:si>
  <x:si>
    <x:t>http://id.who.int/icd/release/11/beta/ichi/205699577</x:t>
  </x:si>
  <x:si>
    <x:t>- - - - - - Tensor tympani muscle</x:t>
  </x:si>
  <x:si>
    <x:t>http://id.who.int/icd/entity/588029472</x:t>
  </x:si>
  <x:si>
    <x:t>http://id.who.int/icd/release/11/beta/ichi/588029472</x:t>
  </x:si>
  <x:si>
    <x:t>- - - - - - Tensor veli palatini muscle</x:t>
  </x:si>
  <x:si>
    <x:t>http://id.who.int/icd/entity/874838752</x:t>
  </x:si>
  <x:si>
    <x:t>http://id.who.int/icd/release/11/beta/ichi/874838752</x:t>
  </x:si>
  <x:si>
    <x:t>- - - - - - Thyroarytenoid muscle</x:t>
  </x:si>
  <x:si>
    <x:t>http://id.who.int/icd/entity/443822944</x:t>
  </x:si>
  <x:si>
    <x:t>http://id.who.int/icd/release/11/beta/ichi/443822944</x:t>
  </x:si>
  <x:si>
    <x:t>- - - - - - Thyroepiglotticus muscle</x:t>
  </x:si>
  <x:si>
    <x:t>http://id.who.int/icd/entity/2142047520</x:t>
  </x:si>
  <x:si>
    <x:t>http://id.who.int/icd/release/11/beta/ichi/2142047520</x:t>
  </x:si>
  <x:si>
    <x:t>- - - - - - Thyrohyoid muscle</x:t>
  </x:si>
  <x:si>
    <x:t>http://id.who.int/icd/entity/1753573856</x:t>
  </x:si>
  <x:si>
    <x:t>http://id.who.int/icd/release/11/beta/ichi/1753573856</x:t>
  </x:si>
  <x:si>
    <x:t>- - - - - - Transverse arytenoid muscle</x:t>
  </x:si>
  <x:si>
    <x:t>http://id.who.int/icd/entity/777055328</x:t>
  </x:si>
  <x:si>
    <x:t>http://id.who.int/icd/release/11/beta/ichi/777055328</x:t>
  </x:si>
  <x:si>
    <x:t>- - - - - - Transverse auricularis muscle</x:t>
  </x:si>
  <x:si>
    <x:t>http://id.who.int/icd/entity/224155552</x:t>
  </x:si>
  <x:si>
    <x:t>http://id.who.int/icd/release/11/beta/ichi/224155552</x:t>
  </x:si>
  <x:si>
    <x:t>- - - - - - Vocalis muscle</x:t>
  </x:si>
  <x:si>
    <x:t>http://id.who.int/icd/entity/1188405344</x:t>
  </x:si>
  <x:si>
    <x:t>http://id.who.int/icd/release/11/beta/ichi/1188405344</x:t>
  </x:si>
  <x:si>
    <x:t>- - - - - - Zygomaticus major muscle</x:t>
  </x:si>
  <x:si>
    <x:t>http://id.who.int/icd/entity/1706051552</x:t>
  </x:si>
  <x:si>
    <x:t>http://id.who.int/icd/release/11/beta/ichi/1706051552</x:t>
  </x:si>
  <x:si>
    <x:t>- - - - - - Zygomaticus minor muscle</x:t>
  </x:si>
  <x:si>
    <x:t>http://id.who.int/icd/entity/1359586520</x:t>
  </x:si>
  <x:si>
    <x:t>http://id.who.int/icd/release/11/beta/ichi/1359586520</x:t>
  </x:si>
  <x:si>
    <x:t>- - - - - Muscle of the thorax</x:t>
  </x:si>
  <x:si>
    <x:t>http://id.who.int/icd/entity/712174160</x:t>
  </x:si>
  <x:si>
    <x:t>http://id.who.int/icd/release/11/beta/ichi/712174160</x:t>
  </x:si>
  <x:si>
    <x:t>- - - - - - External intercostal muscle</x:t>
  </x:si>
  <x:si>
    <x:t>http://id.who.int/icd/entity/1029344912</x:t>
  </x:si>
  <x:si>
    <x:t>http://id.who.int/icd/release/11/beta/ichi/1029344912</x:t>
  </x:si>
  <x:si>
    <x:t>- - - - - - Innermost intercostal muscle</x:t>
  </x:si>
  <x:si>
    <x:t>http://id.who.int/icd/entity/886086296</x:t>
  </x:si>
  <x:si>
    <x:t>http://id.who.int/icd/release/11/beta/ichi/886086296</x:t>
  </x:si>
  <x:si>
    <x:t>- - - - - - Internal intercostal muscle</x:t>
  </x:si>
  <x:si>
    <x:t>http://id.who.int/icd/entity/603520600</x:t>
  </x:si>
  <x:si>
    <x:t>http://id.who.int/icd/release/11/beta/ichi/603520600</x:t>
  </x:si>
  <x:si>
    <x:t>- - - - - - Levator costarum muscle</x:t>
  </x:si>
  <x:si>
    <x:t>http://id.who.int/icd/entity/444617496</x:t>
  </x:si>
  <x:si>
    <x:t>http://id.who.int/icd/release/11/beta/ichi/444617496</x:t>
  </x:si>
  <x:si>
    <x:t>- - - - - - Pectoralis major muscle</x:t>
  </x:si>
  <x:si>
    <x:t>http://id.who.int/icd/entity/229128152</x:t>
  </x:si>
  <x:si>
    <x:t>http://id.who.int/icd/release/11/beta/ichi/229128152</x:t>
  </x:si>
  <x:si>
    <x:t>- - - - - - Pectoralis minor muscle</x:t>
  </x:si>
  <x:si>
    <x:t>http://id.who.int/icd/entity/1752238488</x:t>
  </x:si>
  <x:si>
    <x:t>http://id.who.int/icd/release/11/beta/ichi/1752238488</x:t>
  </x:si>
  <x:si>
    <x:t>- - - - - - Serratus anterior muscle</x:t>
  </x:si>
  <x:si>
    <x:t>http://id.who.int/icd/entity/2136567128</x:t>
  </x:si>
  <x:si>
    <x:t>http://id.who.int/icd/release/11/beta/ichi/2136567128</x:t>
  </x:si>
  <x:si>
    <x:t>- - - - - - Subcostalis muscle</x:t>
  </x:si>
  <x:si>
    <x:t>http://id.who.int/icd/entity/1176616984</x:t>
  </x:si>
  <x:si>
    <x:t>http://id.who.int/icd/release/11/beta/ichi/1176616984</x:t>
  </x:si>
  <x:si>
    <x:t>- - - - - - Transversus thoracis muscle</x:t>
  </x:si>
  <x:si>
    <x:t>http://id.who.int/icd/entity/152505840</x:t>
  </x:si>
  <x:si>
    <x:t>http://id.who.int/icd/release/11/beta/ichi/152505840</x:t>
  </x:si>
  <x:si>
    <x:t>- - - - - - Diaphragm</x:t>
  </x:si>
  <x:si>
    <x:t>http://id.who.int/icd/entity/955996865</x:t>
  </x:si>
  <x:si>
    <x:t>http://id.who.int/icd/release/11/beta/ichi/955996865</x:t>
  </x:si>
  <x:si>
    <x:t>- - - - - Muscle of the abdomen</x:t>
  </x:si>
  <x:si>
    <x:t>http://id.who.int/icd/entity/1919697768</x:t>
  </x:si>
  <x:si>
    <x:t>http://id.who.int/icd/release/11/beta/ichi/1919697768</x:t>
  </x:si>
  <x:si>
    <x:t>- - - - - - External oblique abdominis muscle</x:t>
  </x:si>
  <x:si>
    <x:t>http://id.who.int/icd/entity/1698965416</x:t>
  </x:si>
  <x:si>
    <x:t>http://id.who.int/icd/release/11/beta/ichi/1698965416</x:t>
  </x:si>
  <x:si>
    <x:t>- - - - - - Internal oblique abdominis muscle</x:t>
  </x:si>
  <x:si>
    <x:t>http://id.who.int/icd/entity/1242169409</x:t>
  </x:si>
  <x:si>
    <x:t>http://id.who.int/icd/release/11/beta/ichi/1242169409</x:t>
  </x:si>
  <x:si>
    <x:t>- - - - - - Psoas major muscle</x:t>
  </x:si>
  <x:si>
    <x:t>http://id.who.int/icd/entity/1562535041</x:t>
  </x:si>
  <x:si>
    <x:t>http://id.who.int/icd/release/11/beta/ichi/1562535041</x:t>
  </x:si>
  <x:si>
    <x:t>- - - - - - Psoas minor muscle</x:t>
  </x:si>
  <x:si>
    <x:t>http://id.who.int/icd/entity/1683671489</x:t>
  </x:si>
  <x:si>
    <x:t>http://id.who.int/icd/release/11/beta/ichi/1683671489</x:t>
  </x:si>
  <x:si>
    <x:t>- - - - - - Pyramidalis muscle</x:t>
  </x:si>
  <x:si>
    <x:t>http://id.who.int/icd/entity/1936895233</x:t>
  </x:si>
  <x:si>
    <x:t>http://id.who.int/icd/release/11/beta/ichi/1936895233</x:t>
  </x:si>
  <x:si>
    <x:t>- - - - - - Quadratus lumborum muscle</x:t>
  </x:si>
  <x:si>
    <x:t>http://id.who.int/icd/entity/380343105</x:t>
  </x:si>
  <x:si>
    <x:t>http://id.who.int/icd/release/11/beta/ichi/380343105</x:t>
  </x:si>
  <x:si>
    <x:t>- - - - - - Rectus abdominis muscle</x:t>
  </x:si>
  <x:si>
    <x:t>http://id.who.int/icd/entity/25425793</x:t>
  </x:si>
  <x:si>
    <x:t>http://id.who.int/icd/release/11/beta/ichi/25425793</x:t>
  </x:si>
  <x:si>
    <x:t>- - - - - - Transversus abdominis muscle</x:t>
  </x:si>
  <x:si>
    <x:t>http://id.who.int/icd/entity/507472176</x:t>
  </x:si>
  <x:si>
    <x:t>http://id.who.int/icd/release/11/beta/ichi/507472176</x:t>
  </x:si>
  <x:si>
    <x:t>- - - - - Muscle of the back</x:t>
  </x:si>
  <x:si>
    <x:t>http://id.who.int/icd/entity/87870889</x:t>
  </x:si>
  <x:si>
    <x:t>http://id.who.int/icd/release/11/beta/ichi/87870889</x:t>
  </x:si>
  <x:si>
    <x:t>- - - - - - Iliocostalis muscle</x:t>
  </x:si>
  <x:si>
    <x:t>http://id.who.int/icd/entity/728499241</x:t>
  </x:si>
  <x:si>
    <x:t>http://id.who.int/icd/release/11/beta/ichi/728499241</x:t>
  </x:si>
  <x:si>
    <x:t>- - - - - - Interspinales muscle</x:t>
  </x:si>
  <x:si>
    <x:t>http://id.who.int/icd/entity/1320499817</x:t>
  </x:si>
  <x:si>
    <x:t>http://id.who.int/icd/release/11/beta/ichi/1320499817</x:t>
  </x:si>
  <x:si>
    <x:t>- - - - - - Intertransversarii muscle</x:t>
  </x:si>
  <x:si>
    <x:t>http://id.who.int/icd/entity/1503485609</x:t>
  </x:si>
  <x:si>
    <x:t>http://id.who.int/icd/release/11/beta/ichi/1503485609</x:t>
  </x:si>
  <x:si>
    <x:t>- - - - - - Latissimus dorsi muscle</x:t>
  </x:si>
  <x:si>
    <x:t>http://id.who.int/icd/entity/1625682921</x:t>
  </x:si>
  <x:si>
    <x:t>http://id.who.int/icd/release/11/beta/ichi/1625682921</x:t>
  </x:si>
  <x:si>
    <x:t>- - - - - - Levator scapulae muscle</x:t>
  </x:si>
  <x:si>
    <x:t>http://id.who.int/icd/entity/1011114217</x:t>
  </x:si>
  <x:si>
    <x:t>http://id.who.int/icd/release/11/beta/ichi/1011114217</x:t>
  </x:si>
  <x:si>
    <x:t>- - - - - - Longissimus muscle</x:t>
  </x:si>
  <x:si>
    <x:t>http://id.who.int/icd/entity/1117714992</x:t>
  </x:si>
  <x:si>
    <x:t>http://id.who.int/icd/release/11/beta/ichi/1117714992</x:t>
  </x:si>
  <x:si>
    <x:t>- - - - - - Multifidus muscle</x:t>
  </x:si>
  <x:si>
    <x:t>http://id.who.int/icd/entity/2009962281</x:t>
  </x:si>
  <x:si>
    <x:t>http://id.who.int/icd/release/11/beta/ichi/2009962281</x:t>
  </x:si>
  <x:si>
    <x:t>- - - - - - Rhomboid major muscle</x:t>
  </x:si>
  <x:si>
    <x:t>http://id.who.int/icd/entity/1420325015</x:t>
  </x:si>
  <x:si>
    <x:t>http://id.who.int/icd/release/11/beta/ichi/1420325015</x:t>
  </x:si>
  <x:si>
    <x:t>- - - - - - Rhomboid minor muscle</x:t>
  </x:si>
  <x:si>
    <x:t>http://id.who.int/icd/entity/1438031600</x:t>
  </x:si>
  <x:si>
    <x:t>http://id.who.int/icd/release/11/beta/ichi/1438031600</x:t>
  </x:si>
  <x:si>
    <x:t>- - - - - - Rotatores muscle</x:t>
  </x:si>
  <x:si>
    <x:t>http://id.who.int/icd/entity/812622000</x:t>
  </x:si>
  <x:si>
    <x:t>http://id.who.int/icd/release/11/beta/ichi/812622000</x:t>
  </x:si>
  <x:si>
    <x:t>- - - - - - Semispinalis muscle</x:t>
  </x:si>
  <x:si>
    <x:t>http://id.who.int/icd/entity/1132467287</x:t>
  </x:si>
  <x:si>
    <x:t>http://id.who.int/icd/release/11/beta/ichi/1132467287</x:t>
  </x:si>
  <x:si>
    <x:t>- - - - - - Serratus posterior inferior muscle</x:t>
  </x:si>
  <x:si>
    <x:t>http://id.who.int/icd/entity/1825452976</x:t>
  </x:si>
  <x:si>
    <x:t>http://id.who.int/icd/release/11/beta/ichi/1825452976</x:t>
  </x:si>
  <x:si>
    <x:t>- - - - - - Serratus posterior superior muscle</x:t>
  </x:si>
  <x:si>
    <x:t>http://id.who.int/icd/entity/303343977</x:t>
  </x:si>
  <x:si>
    <x:t>http://id.who.int/icd/release/11/beta/ichi/303343977</x:t>
  </x:si>
  <x:si>
    <x:t>- - - - - - Spinalis muscle</x:t>
  </x:si>
  <x:si>
    <x:t>http://id.who.int/icd/entity/2078693232</x:t>
  </x:si>
  <x:si>
    <x:t>http://id.who.int/icd/release/11/beta/ichi/2078693232</x:t>
  </x:si>
  <x:si>
    <x:t>- - - - - - Teres major muscle</x:t>
  </x:si>
  <x:si>
    <x:t>http://id.who.int/icd/entity/659014768</x:t>
  </x:si>
  <x:si>
    <x:t>http://id.who.int/icd/release/11/beta/ichi/659014768</x:t>
  </x:si>
  <x:si>
    <x:t>- - - - - - Trapezius muscle</x:t>
  </x:si>
  <x:si>
    <x:t>http://id.who.int/icd/entity/107652911</x:t>
  </x:si>
  <x:si>
    <x:t>http://id.who.int/icd/release/11/beta/ichi/107652911</x:t>
  </x:si>
  <x:si>
    <x:t>- - - - - Muscles of the pelvis and perineum</x:t>
  </x:si>
  <x:si>
    <x:t>http://id.who.int/icd/entity/213309887</x:t>
  </x:si>
  <x:si>
    <x:t>http://id.who.int/icd/release/11/beta/ichi/213309887</x:t>
  </x:si>
  <x:si>
    <x:t>- - - - - - Bulbospongiosus muscle</x:t>
  </x:si>
  <x:si>
    <x:t>http://id.who.int/icd/entity/463388031</x:t>
  </x:si>
  <x:si>
    <x:t>http://id.who.int/icd/release/11/beta/ichi/463388031</x:t>
  </x:si>
  <x:si>
    <x:t>- - - - - - Cremaster muscle</x:t>
  </x:si>
  <x:si>
    <x:t>http://id.who.int/icd/entity/1457583222</x:t>
  </x:si>
  <x:si>
    <x:t>http://id.who.int/icd/release/11/beta/ichi/1457583222</x:t>
  </x:si>
  <x:si>
    <x:t>- - - - - - Dartos muscle</x:t>
  </x:si>
  <x:si>
    <x:t>http://id.who.int/icd/entity/1103663286</x:t>
  </x:si>
  <x:si>
    <x:t>http://id.who.int/icd/release/11/beta/ichi/1103663286</x:t>
  </x:si>
  <x:si>
    <x:t>- - - - - - Deep transverse perinei muscle</x:t>
  </x:si>
  <x:si>
    <x:t>http://id.who.int/icd/entity/172058486</x:t>
  </x:si>
  <x:si>
    <x:t>http://id.who.int/icd/release/11/beta/ichi/172058486</x:t>
  </x:si>
  <x:si>
    <x:t>- - - - - - Iliococcygeus muscle</x:t>
  </x:si>
  <x:si>
    <x:t>http://id.who.int/icd/entity/2024816118</x:t>
  </x:si>
  <x:si>
    <x:t>http://id.who.int/icd/release/11/beta/ichi/2024816118</x:t>
  </x:si>
  <x:si>
    <x:t>- - - - - - Ischiocavernosus muscle</x:t>
  </x:si>
  <x:si>
    <x:t>http://id.who.int/icd/entity/1872255286</x:t>
  </x:si>
  <x:si>
    <x:t>http://id.who.int/icd/release/11/beta/ichi/1872255286</x:t>
  </x:si>
  <x:si>
    <x:t>- - - - - - Levator ani-coccygeus muscle</x:t>
  </x:si>
  <x:si>
    <x:t>http://id.who.int/icd/entity/493421494</x:t>
  </x:si>
  <x:si>
    <x:t>http://id.who.int/icd/release/11/beta/ichi/493421494</x:t>
  </x:si>
  <x:si>
    <x:t>- - - - - - Pubococcygeus muscle</x:t>
  </x:si>
  <x:si>
    <x:t>http://id.who.int/icd/entity/605138678</x:t>
  </x:si>
  <x:si>
    <x:t>http://id.who.int/icd/release/11/beta/ichi/605138678</x:t>
  </x:si>
  <x:si>
    <x:t>- - - - - - Puborectalis muscle</x:t>
  </x:si>
  <x:si>
    <x:t>http://id.who.int/icd/entity/859425334</x:t>
  </x:si>
  <x:si>
    <x:t>http://id.who.int/icd/release/11/beta/ichi/859425334</x:t>
  </x:si>
  <x:si>
    <x:t>- - - - - - Pubovaginalis muscle</x:t>
  </x:si>
  <x:si>
    <x:t>http://id.who.int/icd/entity/125061450</x:t>
  </x:si>
  <x:si>
    <x:t>http://id.who.int/icd/release/11/beta/ichi/125061450</x:t>
  </x:si>
  <x:si>
    <x:t>- - - - - - Sphincter urethrae muscle</x:t>
  </x:si>
  <x:si>
    <x:t>http://id.who.int/icd/entity/1058146927</x:t>
  </x:si>
  <x:si>
    <x:t>http://id.who.int/icd/release/11/beta/ichi/1058146927</x:t>
  </x:si>
  <x:si>
    <x:t>- - - - - - Superficial transverse perinei muscle</x:t>
  </x:si>
  <x:si>
    <x:t>http://id.who.int/icd/entity/720361080</x:t>
  </x:si>
  <x:si>
    <x:t>http://id.who.int/icd/release/11/beta/ichi/720361080</x:t>
  </x:si>
  <x:si>
    <x:t>- - - - - Muscles of the upper extremity</x:t>
  </x:si>
  <x:si>
    <x:t>http://id.who.int/icd/entity/140558313</x:t>
  </x:si>
  <x:si>
    <x:t>http://id.who.int/icd/release/11/beta/ichi/140558313</x:t>
  </x:si>
  <x:si>
    <x:t>- - - - - - Abductor digiti minimi muscle (hand)</x:t>
  </x:si>
  <x:si>
    <x:t>http://id.who.int/icd/entity/823661225</x:t>
  </x:si>
  <x:si>
    <x:t>http://id.who.int/icd/release/11/beta/ichi/823661225</x:t>
  </x:si>
  <x:si>
    <x:t>- - - - - - Abductor pollicis brevis muscle</x:t>
  </x:si>
  <x:si>
    <x:t>http://id.who.int/icd/entity/2056381801</x:t>
  </x:si>
  <x:si>
    <x:t>http://id.who.int/icd/release/11/beta/ichi/2056381801</x:t>
  </x:si>
  <x:si>
    <x:t>- - - - - - Abductor pollicis longus muscle</x:t>
  </x:si>
  <x:si>
    <x:t>http://id.who.int/icd/entity/1840873897</x:t>
  </x:si>
  <x:si>
    <x:t>http://id.who.int/icd/release/11/beta/ichi/1840873897</x:t>
  </x:si>
  <x:si>
    <x:t>- - - - - - Adductor pollicis muscle</x:t>
  </x:si>
  <x:si>
    <x:t>http://id.who.int/icd/entity/1323066903</x:t>
  </x:si>
  <x:si>
    <x:t>http://id.who.int/icd/release/11/beta/ichi/1323066903</x:t>
  </x:si>
  <x:si>
    <x:t>- - - - - - Anconeus muscle</x:t>
  </x:si>
  <x:si>
    <x:t>http://id.who.int/icd/entity/1509163735</x:t>
  </x:si>
  <x:si>
    <x:t>http://id.who.int/icd/release/11/beta/ichi/1509163735</x:t>
  </x:si>
  <x:si>
    <x:t>- - - - - - Articularis cubiti muscle</x:t>
  </x:si>
  <x:si>
    <x:t>http://id.who.int/icd/entity/2117001025</x:t>
  </x:si>
  <x:si>
    <x:t>http://id.who.int/icd/release/11/beta/ichi/2117001025</x:t>
  </x:si>
  <x:si>
    <x:t>- - - - - - Biceps brachii muscle</x:t>
  </x:si>
  <x:si>
    <x:t>http://id.who.int/icd/entity/1350440641</x:t>
  </x:si>
  <x:si>
    <x:t>http://id.who.int/icd/release/11/beta/ichi/1350440641</x:t>
  </x:si>
  <x:si>
    <x:t>- - - - - - - Long head of the biceps brachii muscle</x:t>
  </x:si>
  <x:si>
    <x:t>http://id.who.int/icd/entity/1196847617</x:t>
  </x:si>
  <x:si>
    <x:t>http://id.who.int/icd/release/11/beta/ichi/1196847617</x:t>
  </x:si>
  <x:si>
    <x:t>- - - - - - - Short head of the biceps brachii muscle</x:t>
  </x:si>
  <x:si>
    <x:t>http://id.who.int/icd/entity/1762048897</x:t>
  </x:si>
  <x:si>
    <x:t>http://id.who.int/icd/release/11/beta/ichi/1762048897</x:t>
  </x:si>
  <x:si>
    <x:t>- - - - - - Brachialis muscle</x:t>
  </x:si>
  <x:si>
    <x:t>http://id.who.int/icd/entity/215975361</x:t>
  </x:si>
  <x:si>
    <x:t>http://id.who.int/icd/release/11/beta/ichi/215975361</x:t>
  </x:si>
  <x:si>
    <x:t>- - - - - - Brachioradialis muscle</x:t>
  </x:si>
  <x:si>
    <x:t>http://id.who.int/icd/entity/469229825</x:t>
  </x:si>
  <x:si>
    <x:t>http://id.who.int/icd/release/11/beta/ichi/469229825</x:t>
  </x:si>
  <x:si>
    <x:t>- - - - - - Coracobrachialis muscle</x:t>
  </x:si>
  <x:si>
    <x:t>http://id.who.int/icd/entity/965535960</x:t>
  </x:si>
  <x:si>
    <x:t>http://id.who.int/icd/release/11/beta/ichi/965535960</x:t>
  </x:si>
  <x:si>
    <x:t>- - - - - - Deltoid muscle</x:t>
  </x:si>
  <x:si>
    <x:t>http://id.who.int/icd/entity/16008600</x:t>
  </x:si>
  <x:si>
    <x:t>http://id.who.int/icd/release/11/beta/ichi/16008600</x:t>
  </x:si>
  <x:si>
    <x:t>- - - - - - Extensor carpi radialis brevis</x:t>
  </x:si>
  <x:si>
    <x:t>http://id.who.int/icd/entity/400302424</x:t>
  </x:si>
  <x:si>
    <x:t>http://id.who.int/icd/release/11/beta/ichi/400302424</x:t>
  </x:si>
  <x:si>
    <x:t>- - - - - - Extensor carpi radialis longus muscle</x:t>
  </x:si>
  <x:si>
    <x:t>http://id.who.int/icd/entity/1912938264</x:t>
  </x:si>
  <x:si>
    <x:t>http://id.who.int/icd/release/11/beta/ichi/1912938264</x:t>
  </x:si>
  <x:si>
    <x:t>- - - - - - Extensor carpi ulnaris muscle</x:t>
  </x:si>
  <x:si>
    <x:t>http://id.who.int/icd/entity/1697479640</x:t>
  </x:si>
  <x:si>
    <x:t>http://id.who.int/icd/release/11/beta/ichi/1697479640</x:t>
  </x:si>
  <x:si>
    <x:t>- - - - - - Extensor digiti minimi muscle (hand)</x:t>
  </x:si>
  <x:si>
    <x:t>http://id.who.int/icd/entity/1549129368</x:t>
  </x:si>
  <x:si>
    <x:t>http://id.who.int/icd/release/11/beta/ichi/1549129368</x:t>
  </x:si>
  <x:si>
    <x:t>- - - - - - Extensor digitorum muscle (hand)</x:t>
  </x:si>
  <x:si>
    <x:t>http://id.who.int/icd/entity/1266528856</x:t>
  </x:si>
  <x:si>
    <x:t>http://id.who.int/icd/release/11/beta/ichi/1266528856</x:t>
  </x:si>
  <x:si>
    <x:t>- - - - - - Extensor indicis muscle</x:t>
  </x:si>
  <x:si>
    <x:t>http://id.who.int/icd/entity/1746425320</x:t>
  </x:si>
  <x:si>
    <x:t>http://id.who.int/icd/release/11/beta/ichi/1746425320</x:t>
  </x:si>
  <x:si>
    <x:t>- - - - - - Extensor pollicis brevis muscle</x:t>
  </x:si>
  <x:si>
    <x:t>http://id.who.int/icd/entity/2133864744</x:t>
  </x:si>
  <x:si>
    <x:t>http://id.who.int/icd/release/11/beta/ichi/2133864744</x:t>
  </x:si>
  <x:si>
    <x:t>- - - - - - Extensor pollicis longus muscle</x:t>
  </x:si>
  <x:si>
    <x:t>http://id.who.int/icd/entity/532462447</x:t>
  </x:si>
  <x:si>
    <x:t>http://id.who.int/icd/release/11/beta/ichi/532462447</x:t>
  </x:si>
  <x:si>
    <x:t>- - - - - - Flexor carpi radialis muscle</x:t>
  </x:si>
  <x:si>
    <x:t>http://id.who.int/icd/entity/143974319</x:t>
  </x:si>
  <x:si>
    <x:t>http://id.who.int/icd/release/11/beta/ichi/143974319</x:t>
  </x:si>
  <x:si>
    <x:t>- - - - - - Flexor carpi ulnaris muscle</x:t>
  </x:si>
  <x:si>
    <x:t>http://id.who.int/icd/entity/524868393</x:t>
  </x:si>
  <x:si>
    <x:t>http://id.who.int/icd/release/11/beta/ichi/524868393</x:t>
  </x:si>
  <x:si>
    <x:t>- - - - - - Flexor digiti minimi brevis muscle (hand)</x:t>
  </x:si>
  <x:si>
    <x:t>http://id.who.int/icd/entity/837579503</x:t>
  </x:si>
  <x:si>
    <x:t>http://id.who.int/icd/release/11/beta/ichi/837579503</x:t>
  </x:si>
  <x:si>
    <x:t>- - - - - - Flexor digitorum profundus muscle</x:t>
  </x:si>
  <x:si>
    <x:t>http://id.who.int/icd/entity/650384943</x:t>
  </x:si>
  <x:si>
    <x:t>http://id.who.int/icd/release/11/beta/ichi/650384943</x:t>
  </x:si>
  <x:si>
    <x:t>- - - - - - Flexor digitorum superficialis muscle</x:t>
  </x:si>
  <x:si>
    <x:t>http://id.who.int/icd/entity/1421946089</x:t>
  </x:si>
  <x:si>
    <x:t>http://id.who.int/icd/release/11/beta/ichi/1421946089</x:t>
  </x:si>
  <x:si>
    <x:t>- - - - - - Flexor pollicis brevis muscle</x:t>
  </x:si>
  <x:si>
    <x:t>http://id.who.int/icd/entity/1125984367</x:t>
  </x:si>
  <x:si>
    <x:t>http://id.who.int/icd/release/11/beta/ichi/1125984367</x:t>
  </x:si>
  <x:si>
    <x:t>- - - - - - Flexor pollicis longus muscle</x:t>
  </x:si>
  <x:si>
    <x:t>http://id.who.int/icd/entity/2053473583</x:t>
  </x:si>
  <x:si>
    <x:t>http://id.who.int/icd/release/11/beta/ichi/2053473583</x:t>
  </x:si>
  <x:si>
    <x:t>- - - - - - Interossei of the hand muscle</x:t>
  </x:si>
  <x:si>
    <x:t>http://id.who.int/icd/entity/1412779183</x:t>
  </x:si>
  <x:si>
    <x:t>http://id.who.int/icd/release/11/beta/ichi/1412779183</x:t>
  </x:si>
  <x:si>
    <x:t>- - - - - - - Dorsal interossei of the hand muscle</x:t>
  </x:si>
  <x:si>
    <x:t>http://id.who.int/icd/entity/1833820655</x:t>
  </x:si>
  <x:si>
    <x:t>http://id.who.int/icd/release/11/beta/ichi/1833820655</x:t>
  </x:si>
  <x:si>
    <x:t>- - - - - - - Palmar interossei of the hand muscle</x:t>
  </x:si>
  <x:si>
    <x:t>http://id.who.int/icd/entity/1493197457</x:t>
  </x:si>
  <x:si>
    <x:t>http://id.who.int/icd/release/11/beta/ichi/1493197457</x:t>
  </x:si>
  <x:si>
    <x:t>- - - - - - Lumbricals of hand muscle</x:t>
  </x:si>
  <x:si>
    <x:t>http://id.who.int/icd/entity/640710249</x:t>
  </x:si>
  <x:si>
    <x:t>http://id.who.int/icd/release/11/beta/ichi/640710249</x:t>
  </x:si>
  <x:si>
    <x:t>- - - - - - Opponens digiti minimi muscle (hand)</x:t>
  </x:si>
  <x:si>
    <x:t>http://id.who.int/icd/entity/1139361833</x:t>
  </x:si>
  <x:si>
    <x:t>http://id.who.int/icd/release/11/beta/ichi/1139361833</x:t>
  </x:si>
  <x:si>
    <x:t>- - - - - - Opponens pollicis muscle</x:t>
  </x:si>
  <x:si>
    <x:t>http://id.who.int/icd/entity/1311245905</x:t>
  </x:si>
  <x:si>
    <x:t>http://id.who.int/icd/release/11/beta/ichi/1311245905</x:t>
  </x:si>
  <x:si>
    <x:t>- - - - - - Palmaris brevis muscle</x:t>
  </x:si>
  <x:si>
    <x:t>http://id.who.int/icd/entity/1634083256</x:t>
  </x:si>
  <x:si>
    <x:t>http://id.who.int/icd/release/11/beta/ichi/1634083256</x:t>
  </x:si>
  <x:si>
    <x:t>- - - - - - Palmaris longus muscle</x:t>
  </x:si>
  <x:si>
    <x:t>http://id.who.int/icd/entity/1984841080</x:t>
  </x:si>
  <x:si>
    <x:t>http://id.who.int/icd/release/11/beta/ichi/1984841080</x:t>
  </x:si>
  <x:si>
    <x:t>- - - - - - Pronator quadratus muscle</x:t>
  </x:si>
  <x:si>
    <x:t>http://id.who.int/icd/entity/1328998456</x:t>
  </x:si>
  <x:si>
    <x:t>http://id.who.int/icd/release/11/beta/ichi/1328998456</x:t>
  </x:si>
  <x:si>
    <x:t>- - - - - - Pronator teres muscle</x:t>
  </x:si>
  <x:si>
    <x:t>http://id.who.int/icd/entity/782535704</x:t>
  </x:si>
  <x:si>
    <x:t>http://id.who.int/icd/release/11/beta/ichi/782535704</x:t>
  </x:si>
  <x:si>
    <x:t>- - - - - - Rotator cuff muscle</x:t>
  </x:si>
  <x:si>
    <x:t>http://id.who.int/icd/entity/900147329</x:t>
  </x:si>
  <x:si>
    <x:t>http://id.who.int/icd/release/11/beta/ichi/900147329</x:t>
  </x:si>
  <x:si>
    <x:t>- - - - - - - Infraspinatus muscle</x:t>
  </x:si>
  <x:si>
    <x:t>http://id.who.int/icd/entity/32156671</x:t>
  </x:si>
  <x:si>
    <x:t>http://id.who.int/icd/release/11/beta/ichi/32156671</x:t>
  </x:si>
  <x:si>
    <x:t>- - - - - - - Subscapularis muscle</x:t>
  </x:si>
  <x:si>
    <x:t>http://id.who.int/icd/entity/579816513</x:t>
  </x:si>
  <x:si>
    <x:t>http://id.who.int/icd/release/11/beta/ichi/579816513</x:t>
  </x:si>
  <x:si>
    <x:t>- - - - - - - Supraspinatus muscle</x:t>
  </x:si>
  <x:si>
    <x:t>http://id.who.int/icd/entity/381865791</x:t>
  </x:si>
  <x:si>
    <x:t>http://id.who.int/icd/release/11/beta/ichi/381865791</x:t>
  </x:si>
  <x:si>
    <x:t>- - - - - - - Teres minor muscle</x:t>
  </x:si>
  <x:si>
    <x:t>http://id.who.int/icd/entity/1478397176</x:t>
  </x:si>
  <x:si>
    <x:t>http://id.who.int/icd/release/11/beta/ichi/1478397176</x:t>
  </x:si>
  <x:si>
    <x:t>- - - - - - Supinator muscle</x:t>
  </x:si>
  <x:si>
    <x:t>http://id.who.int/icd/entity/1036497592</x:t>
  </x:si>
  <x:si>
    <x:t>http://id.who.int/icd/release/11/beta/ichi/1036497592</x:t>
  </x:si>
  <x:si>
    <x:t>- - - - - - Triceps brachii muscle</x:t>
  </x:si>
  <x:si>
    <x:t>http://id.who.int/icd/entity/864968000</x:t>
  </x:si>
  <x:si>
    <x:t>http://id.who.int/icd/release/11/beta/ichi/864968000</x:t>
  </x:si>
  <x:si>
    <x:t>- - - - - Muscles of the lower extremity</x:t>
  </x:si>
  <x:si>
    <x:t>50</x:t>
  </x:si>
  <x:si>
    <x:t>http://id.who.int/icd/entity/289588207</x:t>
  </x:si>
  <x:si>
    <x:t>http://id.who.int/icd/release/11/beta/ichi/289588207</x:t>
  </x:si>
  <x:si>
    <x:t>- - - - - - Abductor digiti minimi muscle (foot)</x:t>
  </x:si>
  <x:si>
    <x:t>http://id.who.int/icd/entity/1956380079</x:t>
  </x:si>
  <x:si>
    <x:t>http://id.who.int/icd/release/11/beta/ichi/1956380079</x:t>
  </x:si>
  <x:si>
    <x:t>- - - - - - Abductor hallucis muscle</x:t>
  </x:si>
  <x:si>
    <x:t>http://id.who.int/icd/entity/1672714607</x:t>
  </x:si>
  <x:si>
    <x:t>http://id.who.int/icd/release/11/beta/ichi/1672714607</x:t>
  </x:si>
  <x:si>
    <x:t>- - - - - - Adductor brevis muscle</x:t>
  </x:si>
  <x:si>
    <x:t>http://id.who.int/icd/entity/1523266607</x:t>
  </x:si>
  <x:si>
    <x:t>http://id.who.int/icd/release/11/beta/ichi/1523266607</x:t>
  </x:si>
  <x:si>
    <x:t>- - - - - - Adductor hallucis muscle</x:t>
  </x:si>
  <x:si>
    <x:t>http://id.who.int/icd/entity/1306743023</x:t>
  </x:si>
  <x:si>
    <x:t>http://id.who.int/icd/release/11/beta/ichi/1306743023</x:t>
  </x:si>
  <x:si>
    <x:t>- - - - - - Adductor longus muscle</x:t>
  </x:si>
  <x:si>
    <x:t>http://id.who.int/icd/entity/1854322513</x:t>
  </x:si>
  <x:si>
    <x:t>http://id.who.int/icd/release/11/beta/ichi/1854322513</x:t>
  </x:si>
  <x:si>
    <x:t>- - - - - - Adductor magnus muscle</x:t>
  </x:si>
  <x:si>
    <x:t>http://id.who.int/icd/entity/2041500561</x:t>
  </x:si>
  <x:si>
    <x:t>http://id.who.int/icd/release/11/beta/ichi/2041500561</x:t>
  </x:si>
  <x:si>
    <x:t>- - - - - - Articularis genu muscle</x:t>
  </x:si>
  <x:si>
    <x:t>http://id.who.int/icd/entity/1676701279</x:t>
  </x:si>
  <x:si>
    <x:t>http://id.who.int/icd/release/11/beta/ichi/1676701279</x:t>
  </x:si>
  <x:si>
    <x:t>- - - - - - Biceps femoris muscle</x:t>
  </x:si>
  <x:si>
    <x:t>http://id.who.int/icd/entity/1960315551</x:t>
  </x:si>
  <x:si>
    <x:t>http://id.who.int/icd/release/11/beta/ichi/1960315551</x:t>
  </x:si>
  <x:si>
    <x:t>- - - - - - Extensor digitorum brevis muscle (foot)</x:t>
  </x:si>
  <x:si>
    <x:t>http://id.who.int/icd/entity/1302374367</x:t>
  </x:si>
  <x:si>
    <x:t>http://id.who.int/icd/release/11/beta/ichi/1302374367</x:t>
  </x:si>
  <x:si>
    <x:t>- - - - - - Extensor digitorum longus muscle (foot)</x:t>
  </x:si>
  <x:si>
    <x:t>http://id.who.int/icd/entity/1518912287</x:t>
  </x:si>
  <x:si>
    <x:t>http://id.who.int/icd/release/11/beta/ichi/1518912287</x:t>
  </x:si>
  <x:si>
    <x:t>- - - - - - Extensor hallucis brevis muscle</x:t>
  </x:si>
  <x:si>
    <x:t>http://id.who.int/icd/entity/1062337887</x:t>
  </x:si>
  <x:si>
    <x:t>http://id.who.int/icd/release/11/beta/ichi/1062337887</x:t>
  </x:si>
  <x:si>
    <x:t>- - - - - - Extensor hallucis longus muscle</x:t>
  </x:si>
  <x:si>
    <x:t>http://id.who.int/icd/entity/679057823</x:t>
  </x:si>
  <x:si>
    <x:t>http://id.who.int/icd/release/11/beta/ichi/679057823</x:t>
  </x:si>
  <x:si>
    <x:t>- - - - - - Flexor digiti minimi brevis muscle (foot)</x:t>
  </x:si>
  <x:si>
    <x:t>http://id.who.int/icd/entity/285291743</x:t>
  </x:si>
  <x:si>
    <x:t>http://id.who.int/icd/release/11/beta/ichi/285291743</x:t>
  </x:si>
  <x:si>
    <x:t>- - - - - - Flexor digitorum brevis muscle</x:t>
  </x:si>
  <x:si>
    <x:t>http://id.who.int/icd/entity/103370783</x:t>
  </x:si>
  <x:si>
    <x:t>http://id.who.int/icd/release/11/beta/ichi/103370783</x:t>
  </x:si>
  <x:si>
    <x:t>- - - - - - Flexor digitorum longus muscle (foot)</x:t>
  </x:si>
  <x:si>
    <x:t>http://id.who.int/icd/entity/625784737</x:t>
  </x:si>
  <x:si>
    <x:t>http://id.who.int/icd/release/11/beta/ichi/625784737</x:t>
  </x:si>
  <x:si>
    <x:t>- - - - - - Flexor hallucis brevis muscle</x:t>
  </x:si>
  <x:si>
    <x:t>http://id.who.int/icd/entity/845468513</x:t>
  </x:si>
  <x:si>
    <x:t>http://id.who.int/icd/release/11/beta/ichi/845468513</x:t>
  </x:si>
  <x:si>
    <x:t>- - - - - - Flexor hallucis longus muscle</x:t>
  </x:si>
  <x:si>
    <x:t>http://id.who.int/icd/entity/489354376</x:t>
  </x:si>
  <x:si>
    <x:t>http://id.who.int/icd/release/11/beta/ichi/489354376</x:t>
  </x:si>
  <x:si>
    <x:t>- - - - - - Gastrocnemius muscle</x:t>
  </x:si>
  <x:si>
    <x:t>http://id.who.int/icd/entity/167940168</x:t>
  </x:si>
  <x:si>
    <x:t>http://id.who.int/icd/release/11/beta/ichi/167940168</x:t>
  </x:si>
  <x:si>
    <x:t>- - - - - - Gemellus inferior muscle</x:t>
  </x:si>
  <x:si>
    <x:t>http://id.who.int/icd/entity/863649032</x:t>
  </x:si>
  <x:si>
    <x:t>http://id.who.int/icd/release/11/beta/ichi/863649032</x:t>
  </x:si>
  <x:si>
    <x:t>- - - - - - Gemellus superior muscle</x:t>
  </x:si>
  <x:si>
    <x:t>http://id.who.int/icd/entity/609376712</x:t>
  </x:si>
  <x:si>
    <x:t>http://id.who.int/icd/release/11/beta/ichi/609376712</x:t>
  </x:si>
  <x:si>
    <x:t>- - - - - - Gluteus maximus muscle</x:t>
  </x:si>
  <x:si>
    <x:t>http://id.who.int/icd/entity/1099655048</x:t>
  </x:si>
  <x:si>
    <x:t>http://id.who.int/icd/release/11/beta/ichi/1099655048</x:t>
  </x:si>
  <x:si>
    <x:t>- - - - - - Gluteus medius muscle</x:t>
  </x:si>
  <x:si>
    <x:t>http://id.who.int/icd/entity/1453523784</x:t>
  </x:si>
  <x:si>
    <x:t>http://id.who.int/icd/release/11/beta/ichi/1453523784</x:t>
  </x:si>
  <x:si>
    <x:t>- - - - - - Gluteus minimus muscle</x:t>
  </x:si>
  <x:si>
    <x:t>http://id.who.int/icd/entity/1876667912</x:t>
  </x:si>
  <x:si>
    <x:t>http://id.who.int/icd/release/11/beta/ichi/1876667912</x:t>
  </x:si>
  <x:si>
    <x:t>- - - - - - Gracilis muscle</x:t>
  </x:si>
  <x:si>
    <x:t>http://id.who.int/icd/entity/2029243080</x:t>
  </x:si>
  <x:si>
    <x:t>http://id.who.int/icd/release/11/beta/ichi/2029243080</x:t>
  </x:si>
  <x:si>
    <x:t>- - - - - - Iliacus muscle</x:t>
  </x:si>
  <x:si>
    <x:t>http://id.who.int/icd/entity/1536568696</x:t>
  </x:si>
  <x:si>
    <x:t>http://id.who.int/icd/release/11/beta/ichi/1536568696</x:t>
  </x:si>
  <x:si>
    <x:t>- - - - - - Interossei - dorsal of foot muscle</x:t>
  </x:si>
  <x:si>
    <x:t>http://id.who.int/icd/entity/1287539128</x:t>
  </x:si>
  <x:si>
    <x:t>http://id.who.int/icd/release/11/beta/ichi/1287539128</x:t>
  </x:si>
  <x:si>
    <x:t>- - - - - - Interossei - plantar of foot muscle</x:t>
  </x:si>
  <x:si>
    <x:t>http://id.who.int/icd/entity/1161059760</x:t>
  </x:si>
  <x:si>
    <x:t>http://id.who.int/icd/release/11/beta/ichi/1161059760</x:t>
  </x:si>
  <x:si>
    <x:t>- - - - - - Lumbricals of foot muscle</x:t>
  </x:si>
  <x:si>
    <x:t>http://id.who.int/icd/entity/1377581424</x:t>
  </x:si>
  <x:si>
    <x:t>http://id.who.int/icd/release/11/beta/ichi/1377581424</x:t>
  </x:si>
  <x:si>
    <x:t>- - - - - - Obturator externus muscle</x:t>
  </x:si>
  <x:si>
    <x:t>http://id.who.int/icd/entity/1801753648</x:t>
  </x:si>
  <x:si>
    <x:t>http://id.who.int/icd/release/11/beta/ichi/1801753648</x:t>
  </x:si>
  <x:si>
    <x:t>- - - - - - Obturator internus muscle</x:t>
  </x:si>
  <x:si>
    <x:t>http://id.who.int/icd/entity/2085417200</x:t>
  </x:si>
  <x:si>
    <x:t>http://id.who.int/icd/release/11/beta/ichi/2085417200</x:t>
  </x:si>
  <x:si>
    <x:t>- - - - - - Pectineus muscle</x:t>
  </x:si>
  <x:si>
    <x:t>http://id.who.int/icd/entity/429248176</x:t>
  </x:si>
  <x:si>
    <x:t>http://id.who.int/icd/release/11/beta/ichi/429248176</x:t>
  </x:si>
  <x:si>
    <x:t>- - - - - - Peroneus brevis muscle</x:t>
  </x:si>
  <x:si>
    <x:t>http://id.who.int/icd/entity/247310960</x:t>
  </x:si>
  <x:si>
    <x:t>http://id.who.int/icd/release/11/beta/ichi/247310960</x:t>
  </x:si>
  <x:si>
    <x:t>- - - - - - Peroneus longus muscle</x:t>
  </x:si>
  <x:si>
    <x:t>http://id.who.int/icd/entity/935659312</x:t>
  </x:si>
  <x:si>
    <x:t>http://id.who.int/icd/release/11/beta/ichi/935659312</x:t>
  </x:si>
  <x:si>
    <x:t>- - - - - - Peroneus tertius muscle</x:t>
  </x:si>
  <x:si>
    <x:t>http://id.who.int/icd/entity/552428528</x:t>
  </x:si>
  <x:si>
    <x:t>http://id.who.int/icd/release/11/beta/ichi/552428528</x:t>
  </x:si>
  <x:si>
    <x:t>- - - - - - Piriformis muscle</x:t>
  </x:si>
  <x:si>
    <x:t>http://id.who.int/icd/entity/59278416</x:t>
  </x:si>
  <x:si>
    <x:t>http://id.who.int/icd/release/11/beta/ichi/59278416</x:t>
  </x:si>
  <x:si>
    <x:t>- - - - - - Plantaris muscle</x:t>
  </x:si>
  <x:si>
    <x:t>http://id.who.int/icd/entity/346087568</x:t>
  </x:si>
  <x:si>
    <x:t>http://id.who.int/icd/release/11/beta/ichi/346087568</x:t>
  </x:si>
  <x:si>
    <x:t>- - - - - - Popliteus muscle</x:t>
  </x:si>
  <x:si>
    <x:t>http://id.who.int/icd/entity/751215543</x:t>
  </x:si>
  <x:si>
    <x:t>http://id.who.int/icd/release/11/beta/ichi/751215543</x:t>
  </x:si>
  <x:si>
    <x:t>- - - - - - Quadratus plantae muscle</x:t>
  </x:si>
  <x:si>
    <x:t>http://id.who.int/icd/entity/1005504375</x:t>
  </x:si>
  <x:si>
    <x:t>http://id.who.int/icd/release/11/beta/ichi/1005504375</x:t>
  </x:si>
  <x:si>
    <x:t>- - - - - - Quadriceps femoris muscle</x:t>
  </x:si>
  <x:si>
    <x:t>http://id.who.int/icd/entity/364777207</x:t>
  </x:si>
  <x:si>
    <x:t>http://id.who.int/icd/release/11/beta/ichi/364777207</x:t>
  </x:si>
  <x:si>
    <x:t>- - - - - - Rectus femoris muscle</x:t>
  </x:si>
  <x:si>
    <x:t>http://id.who.int/icd/entity/43412023</x:t>
  </x:si>
  <x:si>
    <x:t>http://id.who.int/icd/release/11/beta/ichi/43412023</x:t>
  </x:si>
  <x:si>
    <x:t>- - - - - - Sartorius muscle</x:t>
  </x:si>
  <x:si>
    <x:t>http://id.who.int/icd/entity/1733252215</x:t>
  </x:si>
  <x:si>
    <x:t>http://id.who.int/icd/release/11/beta/ichi/1733252215</x:t>
  </x:si>
  <x:si>
    <x:t>- - - - - - Semimembranosus muscle</x:t>
  </x:si>
  <x:si>
    <x:t>http://id.who.int/icd/entity/1885810871</x:t>
  </x:si>
  <x:si>
    <x:t>http://id.who.int/icd/release/11/beta/ichi/1885810871</x:t>
  </x:si>
  <x:si>
    <x:t>- - - - - - Semitendinosus muscle</x:t>
  </x:si>
  <x:si>
    <x:t>http://id.who.int/icd/entity/1226808823</x:t>
  </x:si>
  <x:si>
    <x:t>http://id.who.int/icd/release/11/beta/ichi/1226808823</x:t>
  </x:si>
  <x:si>
    <x:t>- - - - - - Soleus muscle</x:t>
  </x:si>
  <x:si>
    <x:t>http://id.who.int/icd/entity/1580726583</x:t>
  </x:si>
  <x:si>
    <x:t>http://id.who.int/icd/release/11/beta/ichi/1580726583</x:t>
  </x:si>
  <x:si>
    <x:t>- - - - - - Tensor fasciae lata muscle</x:t>
  </x:si>
  <x:si>
    <x:t>http://id.who.int/icd/entity/2102533769</x:t>
  </x:si>
  <x:si>
    <x:t>http://id.who.int/icd/release/11/beta/ichi/2102533769</x:t>
  </x:si>
  <x:si>
    <x:t>- - - - - - Tibialis anterior muscle</x:t>
  </x:si>
  <x:si>
    <x:t>http://id.who.int/icd/entity/1786411593</x:t>
  </x:si>
  <x:si>
    <x:t>http://id.who.int/icd/release/11/beta/ichi/1786411593</x:t>
  </x:si>
  <x:si>
    <x:t>- - - - - - Tibialis posterior muscle</x:t>
  </x:si>
  <x:si>
    <x:t>http://id.who.int/icd/entity/183955456</x:t>
  </x:si>
  <x:si>
    <x:t>http://id.who.int/icd/release/11/beta/ichi/183955456</x:t>
  </x:si>
  <x:si>
    <x:t>- - - - - - Vastus intermedius muscle</x:t>
  </x:si>
  <x:si>
    <x:t>http://id.who.int/icd/entity/501126336</x:t>
  </x:si>
  <x:si>
    <x:t>http://id.who.int/icd/release/11/beta/ichi/501126336</x:t>
  </x:si>
  <x:si>
    <x:t>- - - - - - Vastus lateralis muscle</x:t>
  </x:si>
  <x:si>
    <x:t>http://id.who.int/icd/entity/614873472</x:t>
  </x:si>
  <x:si>
    <x:t>http://id.who.int/icd/release/11/beta/ichi/614873472</x:t>
  </x:si>
  <x:si>
    <x:t>- - - - - - Vastus medialis muscle</x:t>
  </x:si>
  <x:si>
    <x:t>http://id.who.int/icd/entity/1617949731</x:t>
  </x:si>
  <x:si>
    <x:t>http://id.who.int/icd/release/11/beta/ichi/1617949731</x:t>
  </x:si>
  <x:si>
    <x:t>- - - - Tendons</x:t>
  </x:si>
  <x:si>
    <x:t>http://id.who.int/icd/entity/1126217939</x:t>
  </x:si>
  <x:si>
    <x:t>http://id.who.int/icd/release/11/beta/ichi/1126217939</x:t>
  </x:si>
  <x:si>
    <x:t>- - - - - Tendons of the head and neck</x:t>
  </x:si>
  <x:si>
    <x:t>http://id.who.int/icd/entity/847743189</x:t>
  </x:si>
  <x:si>
    <x:t>http://id.who.int/icd/release/11/beta/ichi/847743189</x:t>
  </x:si>
  <x:si>
    <x:t>- - - - - - Alaeque nasi tendon</x:t>
  </x:si>
  <x:si>
    <x:t>http://id.who.int/icd/entity/2101683579</x:t>
  </x:si>
  <x:si>
    <x:t>http://id.who.int/icd/release/11/beta/ichi/2101683579</x:t>
  </x:si>
  <x:si>
    <x:t>- - - - - - Aryepiglotticus tendon</x:t>
  </x:si>
  <x:si>
    <x:t>http://id.who.int/icd/entity/1785545147</x:t>
  </x:si>
  <x:si>
    <x:t>http://id.who.int/icd/release/11/beta/ichi/1785545147</x:t>
  </x:si>
  <x:si>
    <x:t>- - - - - - Auricularis tendon</x:t>
  </x:si>
  <x:si>
    <x:t>http://id.who.int/icd/entity/263487483</x:t>
  </x:si>
  <x:si>
    <x:t>http://id.who.int/icd/release/11/beta/ichi/263487483</x:t>
  </x:si>
  <x:si>
    <x:t>- - - - - - Buccinator tendon</x:t>
  </x:si>
  <x:si>
    <x:t>http://id.who.int/icd/entity/412883771</x:t>
  </x:si>
  <x:si>
    <x:t>http://id.who.int/icd/release/11/beta/ichi/412883771</x:t>
  </x:si>
  <x:si>
    <x:t>- - - - - - Corrugator supercilii tendon</x:t>
  </x:si>
  <x:si>
    <x:t>http://id.who.int/icd/entity/568637051</x:t>
  </x:si>
  <x:si>
    <x:t>http://id.who.int/icd/release/11/beta/ichi/568637051</x:t>
  </x:si>
  <x:si>
    <x:t>- - - - - - Cricothyroid tendon</x:t>
  </x:si>
  <x:si>
    <x:t>http://id.who.int/icd/entity/919392955</x:t>
  </x:si>
  <x:si>
    <x:t>http://id.who.int/icd/release/11/beta/ichi/919392955</x:t>
  </x:si>
  <x:si>
    <x:t>- - - - - - Depressor anguli oris tendon</x:t>
  </x:si>
  <x:si>
    <x:t>http://id.who.int/icd/entity/363410693</x:t>
  </x:si>
  <x:si>
    <x:t>http://id.who.int/icd/release/11/beta/ichi/363410693</x:t>
  </x:si>
  <x:si>
    <x:t>- - - - - - Depressor labii inferioris tendon</x:t>
  </x:si>
  <x:si>
    <x:t>http://id.who.int/icd/entity/42029509</x:t>
  </x:si>
  <x:si>
    <x:t>http://id.who.int/icd/release/11/beta/ichi/42029509</x:t>
  </x:si>
  <x:si>
    <x:t>- - - - - - Digastric tendon</x:t>
  </x:si>
  <x:si>
    <x:t>http://id.who.int/icd/entity/768570914</x:t>
  </x:si>
  <x:si>
    <x:t>http://id.who.int/icd/release/11/beta/ichi/768570914</x:t>
  </x:si>
  <x:si>
    <x:t>- - - - - - Frontalis tendon</x:t>
  </x:si>
  <x:si>
    <x:t>http://id.who.int/icd/entity/988222178</x:t>
  </x:si>
  <x:si>
    <x:t>http://id.who.int/icd/release/11/beta/ichi/988222178</x:t>
  </x:si>
  <x:si>
    <x:t>- - - - - - Genioglossus tendon</x:t>
  </x:si>
  <x:si>
    <x:t>http://id.who.int/icd/entity/60800930</x:t>
  </x:si>
  <x:si>
    <x:t>http://id.who.int/icd/release/11/beta/ichi/60800930</x:t>
  </x:si>
  <x:si>
    <x:t>- - - - - - Geniohyoid tendon</x:t>
  </x:si>
  <x:si>
    <x:t>http://id.who.int/icd/entity/347593570</x:t>
  </x:si>
  <x:si>
    <x:t>http://id.who.int/icd/release/11/beta/ichi/347593570</x:t>
  </x:si>
  <x:si>
    <x:t>- - - - - - Hyoglossus tendon</x:t>
  </x:si>
  <x:si>
    <x:t>http://id.who.int/icd/entity/1903093026</x:t>
  </x:si>
  <x:si>
    <x:t>http://id.who.int/icd/release/11/beta/ichi/1903093026</x:t>
  </x:si>
  <x:si>
    <x:t>- - - - - - Hyoid tendon</x:t>
  </x:si>
  <x:si>
    <x:t>http://id.who.int/icd/entity/1715896802</x:t>
  </x:si>
  <x:si>
    <x:t>http://id.who.int/icd/release/11/beta/ichi/1715896802</x:t>
  </x:si>
  <x:si>
    <x:t>- - - - - - Inferior oblique tendon</x:t>
  </x:si>
  <x:si>
    <x:t>http://id.who.int/icd/entity/1597910178</x:t>
  </x:si>
  <x:si>
    <x:t>http://id.who.int/icd/release/11/beta/ichi/1597910178</x:t>
  </x:si>
  <x:si>
    <x:t>- - - - - - Inferior rectus tendon</x:t>
  </x:si>
  <x:si>
    <x:t>http://id.who.int/icd/entity/1209419874</x:t>
  </x:si>
  <x:si>
    <x:t>http://id.who.int/icd/release/11/beta/ichi/1209419874</x:t>
  </x:si>
  <x:si>
    <x:t>- - - - - - Lateral cricoarytenoid tendon</x:t>
  </x:si>
  <x:si>
    <x:t>http://id.who.int/icd/entity/1802743774</x:t>
  </x:si>
  <x:si>
    <x:t>http://id.who.int/icd/release/11/beta/ichi/1802743774</x:t>
  </x:si>
  <x:si>
    <x:t>- - - - - - Lateral pterygoid tendon</x:t>
  </x:si>
  <x:si>
    <x:t>http://id.who.int/icd/entity/2086390558</x:t>
  </x:si>
  <x:si>
    <x:t>http://id.who.int/icd/release/11/beta/ichi/2086390558</x:t>
  </x:si>
  <x:si>
    <x:t>- - - - - - Lateral rectus tendon</x:t>
  </x:si>
  <x:si>
    <x:t>http://id.who.int/icd/entity/483869013</x:t>
  </x:si>
  <x:si>
    <x:t>http://id.who.int/icd/release/11/beta/ichi/483869013</x:t>
  </x:si>
  <x:si>
    <x:t>- - - - - - Levator anguli oris tendon</x:t>
  </x:si>
  <x:si>
    <x:t>http://id.who.int/icd/entity/201270677</x:t>
  </x:si>
  <x:si>
    <x:t>http://id.who.int/icd/release/11/beta/ichi/201270677</x:t>
  </x:si>
  <x:si>
    <x:t>- - - - - - Levator labii superioris tendon</x:t>
  </x:si>
  <x:si>
    <x:t>http://id.who.int/icd/entity/632286229</x:t>
  </x:si>
  <x:si>
    <x:t>http://id.who.int/icd/release/11/beta/ichi/632286229</x:t>
  </x:si>
  <x:si>
    <x:t>- - - - - - Levator palpebrae superioris tendon</x:t>
  </x:si>
  <x:si>
    <x:t>http://id.who.int/icd/entity/1081528917</x:t>
  </x:si>
  <x:si>
    <x:t>http://id.who.int/icd/release/11/beta/ichi/1081528917</x:t>
  </x:si>
  <x:si>
    <x:t>- - - - - - Levator veli palatini tendon</x:t>
  </x:si>
  <x:si>
    <x:t>http://id.who.int/icd/entity/1465824917</x:t>
  </x:si>
  <x:si>
    <x:t>http://id.who.int/icd/release/11/beta/ichi/1465824917</x:t>
  </x:si>
  <x:si>
    <x:t>- - - - - - Longus capitis tendon</x:t>
  </x:si>
  <x:si>
    <x:t>http://id.who.int/icd/entity/1847991253</x:t>
  </x:si>
  <x:si>
    <x:t>http://id.who.int/icd/release/11/beta/ichi/1847991253</x:t>
  </x:si>
  <x:si>
    <x:t>- - - - - - Longus colli tendon</x:t>
  </x:si>
  <x:si>
    <x:t>http://id.who.int/icd/entity/2030993173</x:t>
  </x:si>
  <x:si>
    <x:t>http://id.who.int/icd/release/11/beta/ichi/2030993173</x:t>
  </x:si>
  <x:si>
    <x:t>- - - - - - Masseter tendon</x:t>
  </x:si>
  <x:si>
    <x:t>http://id.who.int/icd/entity/1517000875</x:t>
  </x:si>
  <x:si>
    <x:t>http://id.who.int/icd/release/11/beta/ichi/1517000875</x:t>
  </x:si>
  <x:si>
    <x:t>- - - - - - Medial pterygoid tendon</x:t>
  </x:si>
  <x:si>
    <x:t>http://id.who.int/icd/entity/1296301163</x:t>
  </x:si>
  <x:si>
    <x:t>http://id.who.int/icd/release/11/beta/ichi/1296301163</x:t>
  </x:si>
  <x:si>
    <x:t>- - - - - - Medial rectus tendon</x:t>
  </x:si>
  <x:si>
    <x:t>http://id.who.int/icd/entity/1645075342</x:t>
  </x:si>
  <x:si>
    <x:t>http://id.who.int/icd/release/11/beta/ichi/1645075342</x:t>
  </x:si>
  <x:si>
    <x:t>- - - - - - Mentalis tendon</x:t>
  </x:si>
  <x:si>
    <x:t>http://id.who.int/icd/entity/1965408078</x:t>
  </x:si>
  <x:si>
    <x:t>http://id.who.int/icd/release/11/beta/ichi/1965408078</x:t>
  </x:si>
  <x:si>
    <x:t>- - - - - - Mylohyoid tendon</x:t>
  </x:si>
  <x:si>
    <x:t>http://id.who.int/icd/entity/1281167886</x:t>
  </x:si>
  <x:si>
    <x:t>http://id.who.int/icd/release/11/beta/ichi/1281167886</x:t>
  </x:si>
  <x:si>
    <x:t>- - - - - - Nasalis tendon</x:t>
  </x:si>
  <x:si>
    <x:t>http://id.who.int/icd/entity/1534424782</x:t>
  </x:si>
  <x:si>
    <x:t>http://id.who.int/icd/release/11/beta/ichi/1534424782</x:t>
  </x:si>
  <x:si>
    <x:t>- - - - - - Oblique arytenoid tendon</x:t>
  </x:si>
  <x:si>
    <x:t>http://id.who.int/icd/entity/1051478158</x:t>
  </x:si>
  <x:si>
    <x:t>http://id.who.int/icd/release/11/beta/ichi/1051478158</x:t>
  </x:si>
  <x:si>
    <x:t>- - - - - - Obliquus capitis inferior tendon</x:t>
  </x:si>
  <x:si>
    <x:t>http://id.who.int/icd/entity/696527950</x:t>
  </x:si>
  <x:si>
    <x:t>http://id.who.int/icd/release/11/beta/ichi/696527950</x:t>
  </x:si>
  <x:si>
    <x:t>- - - - - - Obliquus capitis superior tendon</x:t>
  </x:si>
  <x:si>
    <x:t>http://id.who.int/icd/entity/284983566</x:t>
  </x:si>
  <x:si>
    <x:t>http://id.who.int/icd/release/11/beta/ichi/284983566</x:t>
  </x:si>
  <x:si>
    <x:t>- - - - - - Omohyoid tendon</x:t>
  </x:si>
  <x:si>
    <x:t>http://id.who.int/icd/entity/131392974</x:t>
  </x:si>
  <x:si>
    <x:t>http://id.who.int/icd/release/11/beta/ichi/131392974</x:t>
  </x:si>
  <x:si>
    <x:t>- - - - - - Orbicularis oculi tendon</x:t>
  </x:si>
  <x:si>
    <x:t>http://id.who.int/icd/entity/615580274</x:t>
  </x:si>
  <x:si>
    <x:t>http://id.who.int/icd/release/11/beta/ichi/615580274</x:t>
  </x:si>
  <x:si>
    <x:t>- - - - - - Orbicularis oris tendon</x:t>
  </x:si>
  <x:si>
    <x:t>http://id.who.int/icd/entity/865691314</x:t>
  </x:si>
  <x:si>
    <x:t>http://id.who.int/icd/release/11/beta/ichi/865691314</x:t>
  </x:si>
  <x:si>
    <x:t>- - - - - - Palatoglossus tendon</x:t>
  </x:si>
  <x:si>
    <x:t>http://id.who.int/icd/entity/974353062</x:t>
  </x:si>
  <x:si>
    <x:t>http://id.who.int/icd/release/11/beta/ichi/974353062</x:t>
  </x:si>
  <x:si>
    <x:t>- - - - - - Palatopharyngeus tendon</x:t>
  </x:si>
  <x:si>
    <x:t>http://id.who.int/icd/entity/758847078</x:t>
  </x:si>
  <x:si>
    <x:t>http://id.who.int/icd/release/11/beta/ichi/758847078</x:t>
  </x:si>
  <x:si>
    <x:t>- - - - - - Platysma tendon</x:t>
  </x:si>
  <x:si>
    <x:t>http://id.who.int/icd/entity/339983142</x:t>
  </x:si>
  <x:si>
    <x:t>http://id.who.int/icd/release/11/beta/ichi/339983142</x:t>
  </x:si>
  <x:si>
    <x:t>- - - - - - Posterior cricoarytenoid ligament</x:t>
  </x:si>
  <x:si>
    <x:t>http://id.who.int/icd/entity/57401318</x:t>
  </x:si>
  <x:si>
    <x:t>http://id.who.int/icd/release/11/beta/ichi/57401318</x:t>
  </x:si>
  <x:si>
    <x:t>- - - - - - Procerus tendon</x:t>
  </x:si>
  <x:si>
    <x:t>http://id.who.int/icd/entity/1722999206</x:t>
  </x:si>
  <x:si>
    <x:t>http://id.who.int/icd/release/11/beta/ichi/1722999206</x:t>
  </x:si>
  <x:si>
    <x:t>- - - - - - Rectus capitis anterior tendon</x:t>
  </x:si>
  <x:si>
    <x:t>http://id.who.int/icd/entity/1905952102</x:t>
  </x:si>
  <x:si>
    <x:t>http://id.who.int/icd/release/11/beta/ichi/1905952102</x:t>
  </x:si>
  <x:si>
    <x:t>- - - - - - Rectus capitis lateralis tendon</x:t>
  </x:si>
  <x:si>
    <x:t>http://id.who.int/icd/entity/1222780966</x:t>
  </x:si>
  <x:si>
    <x:t>http://id.who.int/icd/release/11/beta/ichi/1222780966</x:t>
  </x:si>
  <x:si>
    <x:t>- - - - - - Rectus capitis posterior major tendon</x:t>
  </x:si>
  <x:si>
    <x:t>http://id.who.int/icd/entity/1607093478</x:t>
  </x:si>
  <x:si>
    <x:t>http://id.who.int/icd/release/11/beta/ichi/1607093478</x:t>
  </x:si>
  <x:si>
    <x:t>- - - - - - Rectus capitis posterior minor tendon</x:t>
  </x:si>
  <x:si>
    <x:t>http://id.who.int/icd/entity/2091887450</x:t>
  </x:si>
  <x:si>
    <x:t>http://id.who.int/icd/release/11/beta/ichi/2091887450</x:t>
  </x:si>
  <x:si>
    <x:t>- - - - - - Risorius tendon</x:t>
  </x:si>
  <x:si>
    <x:t>http://id.who.int/icd/entity/1804062618</x:t>
  </x:si>
  <x:si>
    <x:t>http://id.who.int/icd/release/11/beta/ichi/1804062618</x:t>
  </x:si>
  <x:si>
    <x:t>- - - - - - Salpingopharyngeus tendon</x:t>
  </x:si>
  <x:si>
    <x:t>http://id.who.int/icd/entity/409500541</x:t>
  </x:si>
  <x:si>
    <x:t>http://id.who.int/icd/release/11/beta/ichi/409500541</x:t>
  </x:si>
  <x:si>
    <x:t>- - - - - - Scalene tendon</x:t>
  </x:si>
  <x:si>
    <x:t>http://id.who.int/icd/entity/1154082941</x:t>
  </x:si>
  <x:si>
    <x:t>http://id.who.int/icd/release/11/beta/ichi/1154082941</x:t>
  </x:si>
  <x:si>
    <x:t>- - - - - - - scalenus anterior tendon</x:t>
  </x:si>
  <x:si>
    <x:t>http://id.who.int/icd/entity/1407290557</x:t>
  </x:si>
  <x:si>
    <x:t>http://id.who.int/icd/release/11/beta/ichi/1407290557</x:t>
  </x:si>
  <x:si>
    <x:t>- - - - - - - scalenus medius tendon</x:t>
  </x:si>
  <x:si>
    <x:t>http://id.who.int/icd/entity/1788420605</x:t>
  </x:si>
  <x:si>
    <x:t>http://id.who.int/icd/release/11/beta/ichi/1788420605</x:t>
  </x:si>
  <x:si>
    <x:t>- - - - - - - scalenus minimus tendon</x:t>
  </x:si>
  <x:si>
    <x:t>http://id.who.int/icd/entity/2108769597</x:t>
  </x:si>
  <x:si>
    <x:t>http://id.who.int/icd/release/11/beta/ichi/2108769597</x:t>
  </x:si>
  <x:si>
    <x:t>- - - - - - - scalenus posterior tendon</x:t>
  </x:si>
  <x:si>
    <x:t>http://id.who.int/icd/entity/255860669</x:t>
  </x:si>
  <x:si>
    <x:t>http://id.who.int/icd/release/11/beta/ichi/255860669</x:t>
  </x:si>
  <x:si>
    <x:t>- - - - - - Splenius capitis tendon</x:t>
  </x:si>
  <x:si>
    <x:t>http://id.who.int/icd/entity/909685501</x:t>
  </x:si>
  <x:si>
    <x:t>http://id.who.int/icd/release/11/beta/ichi/909685501</x:t>
  </x:si>
  <x:si>
    <x:t>- - - - - - Splenius cervicis tendon</x:t>
  </x:si>
  <x:si>
    <x:t>http://id.who.int/icd/entity/554751549</x:t>
  </x:si>
  <x:si>
    <x:t>http://id.who.int/icd/release/11/beta/ichi/554751549</x:t>
  </x:si>
  <x:si>
    <x:t>- - - - - - Stapedius tendon</x:t>
  </x:si>
  <x:si>
    <x:t>http://id.who.int/icd/entity/41234819</x:t>
  </x:si>
  <x:si>
    <x:t>http://id.who.int/icd/release/11/beta/ichi/41234819</x:t>
  </x:si>
  <x:si>
    <x:t>- - - - - - Sternocleidomastoid tendon</x:t>
  </x:si>
  <x:si>
    <x:t>http://id.who.int/icd/entity/358438211</x:t>
  </x:si>
  <x:si>
    <x:t>http://id.who.int/icd/release/11/beta/ichi/358438211</x:t>
  </x:si>
  <x:si>
    <x:t>- - - - - - Sternohyoid tendon</x:t>
  </x:si>
  <x:si>
    <x:t>http://id.who.int/icd/entity/1478696012</x:t>
  </x:si>
  <x:si>
    <x:t>http://id.who.int/icd/release/11/beta/ichi/1478696012</x:t>
  </x:si>
  <x:si>
    <x:t>- - - - - - Sternothyroid tendon</x:t>
  </x:si>
  <x:si>
    <x:t>http://id.who.int/icd/entity/1326151820</x:t>
  </x:si>
  <x:si>
    <x:t>http://id.who.int/icd/release/11/beta/ichi/1326151820</x:t>
  </x:si>
  <x:si>
    <x:t>- - - - - - Styloglossus tendon</x:t>
  </x:si>
  <x:si>
    <x:t>http://id.who.int/icd/entity/1987302860</x:t>
  </x:si>
  <x:si>
    <x:t>http://id.who.int/icd/release/11/beta/ichi/1987302860</x:t>
  </x:si>
  <x:si>
    <x:t>- - - - - - Stylohyoid tendon</x:t>
  </x:si>
  <x:si>
    <x:t>http://id.who.int/icd/entity/1633399052</x:t>
  </x:si>
  <x:si>
    <x:t>http://id.who.int/icd/release/11/beta/ichi/1633399052</x:t>
  </x:si>
  <x:si>
    <x:t>- - - - - - Stylopharyngeus tendon</x:t>
  </x:si>
  <x:si>
    <x:t>http://id.who.int/icd/entity/75665228</x:t>
  </x:si>
  <x:si>
    <x:t>http://id.who.int/icd/release/11/beta/ichi/75665228</x:t>
  </x:si>
  <x:si>
    <x:t>- - - - - - Superior oblique tendon</x:t>
  </x:si>
  <x:si>
    <x:t>http://id.who.int/icd/entity/329968524</x:t>
  </x:si>
  <x:si>
    <x:t>http://id.who.int/icd/release/11/beta/ichi/329968524</x:t>
  </x:si>
  <x:si>
    <x:t>- - - - - - Superior rectus tendon</x:t>
  </x:si>
  <x:si>
    <x:t>http://id.who.int/icd/entity/718423756</x:t>
  </x:si>
  <x:si>
    <x:t>http://id.who.int/icd/release/11/beta/ichi/718423756</x:t>
  </x:si>
  <x:si>
    <x:t>- - - - - - Temporalis tendon</x:t>
  </x:si>
  <x:si>
    <x:t>http://id.who.int/icd/entity/1039802892</x:t>
  </x:si>
  <x:si>
    <x:t>http://id.who.int/icd/release/11/beta/ichi/1039802892</x:t>
  </x:si>
  <x:si>
    <x:t>- - - - - - Temporoparietalis tendon</x:t>
  </x:si>
  <x:si>
    <x:t>http://id.who.int/icd/entity/513787316</x:t>
  </x:si>
  <x:si>
    <x:t>http://id.who.int/icd/release/11/beta/ichi/513787316</x:t>
  </x:si>
  <x:si>
    <x:t>- - - - - - Tensor tympani tendon</x:t>
  </x:si>
  <x:si>
    <x:t>http://id.who.int/icd/entity/163029364</x:t>
  </x:si>
  <x:si>
    <x:t>http://id.who.int/icd/release/11/beta/ichi/163029364</x:t>
  </x:si>
  <x:si>
    <x:t>- - - - - - Tensor veli palatini tendon</x:t>
  </x:si>
  <x:si>
    <x:t>http://id.who.int/icd/entity/653887123</x:t>
  </x:si>
  <x:si>
    <x:t>http://id.who.int/icd/release/11/beta/ichi/653887123</x:t>
  </x:si>
  <x:si>
    <x:t>- - - - - - Thyroarytenoid tendon</x:t>
  </x:si>
  <x:si>
    <x:t>http://id.who.int/icd/entity/145313555</x:t>
  </x:si>
  <x:si>
    <x:t>http://id.who.int/icd/release/11/beta/ichi/145313555</x:t>
  </x:si>
  <x:si>
    <x:t>- - - - - - Thyroepiglotticus tendon</x:t>
  </x:si>
  <x:si>
    <x:t>http://id.who.int/icd/entity/2052593043</x:t>
  </x:si>
  <x:si>
    <x:t>http://id.who.int/icd/release/11/beta/ichi/2052593043</x:t>
  </x:si>
  <x:si>
    <x:t>- - - - - - Transverse arytenoid tendon</x:t>
  </x:si>
  <x:si>
    <x:t>http://id.who.int/icd/entity/835838547</x:t>
  </x:si>
  <x:si>
    <x:t>http://id.who.int/icd/release/11/beta/ichi/835838547</x:t>
  </x:si>
  <x:si>
    <x:t>- - - - - - Vocalis tendon</x:t>
  </x:si>
  <x:si>
    <x:t>http://id.who.int/icd/entity/1836085587</x:t>
  </x:si>
  <x:si>
    <x:t>http://id.who.int/icd/release/11/beta/ichi/1836085587</x:t>
  </x:si>
  <x:si>
    <x:t>- - - - - - Zygomaticus major tendon</x:t>
  </x:si>
  <x:si>
    <x:t>http://id.who.int/icd/entity/1409866771</x:t>
  </x:si>
  <x:si>
    <x:t>http://id.who.int/icd/release/11/beta/ichi/1409866771</x:t>
  </x:si>
  <x:si>
    <x:t>- - - - - - Zygomaticus minor tendon</x:t>
  </x:si>
  <x:si>
    <x:t>http://id.who.int/icd/entity/687054421</x:t>
  </x:si>
  <x:si>
    <x:t>http://id.who.int/icd/release/11/beta/ichi/687054421</x:t>
  </x:si>
  <x:si>
    <x:t>- - - - - Tendons of the thorax</x:t>
  </x:si>
  <x:si>
    <x:t>http://id.who.int/icd/entity/703426610</x:t>
  </x:si>
  <x:si>
    <x:t>http://id.who.int/icd/release/11/beta/ichi/703426610</x:t>
  </x:si>
  <x:si>
    <x:t>- - - - - - Chordae tendineae</x:t>
  </x:si>
  <x:si>
    <x:t>http://id.who.int/icd/entity/1615159149</x:t>
  </x:si>
  <x:si>
    <x:t>http://id.who.int/icd/release/11/beta/ichi/1615159149</x:t>
  </x:si>
  <x:si>
    <x:t>- - - - - - Diaphragm tendon</x:t>
  </x:si>
  <x:si>
    <x:t>http://id.who.int/icd/entity/2003647405</x:t>
  </x:si>
  <x:si>
    <x:t>http://id.who.int/icd/release/11/beta/ichi/2003647405</x:t>
  </x:si>
  <x:si>
    <x:t>- - - - - - Intercostals external tendon</x:t>
  </x:si>
  <x:si>
    <x:t>http://id.who.int/icd/entity/2021248270</x:t>
  </x:si>
  <x:si>
    <x:t>http://id.who.int/icd/release/11/beta/ichi/2021248270</x:t>
  </x:si>
  <x:si>
    <x:t>- - - - - - Intercostals innermost tendon</x:t>
  </x:si>
  <x:si>
    <x:t>http://id.who.int/icd/entity/1867622862</x:t>
  </x:si>
  <x:si>
    <x:t>http://id.who.int/icd/release/11/beta/ichi/1867622862</x:t>
  </x:si>
  <x:si>
    <x:t>- - - - - - Intercostals internal tendon</x:t>
  </x:si>
  <x:si>
    <x:t>http://id.who.int/icd/entity/1445528718</x:t>
  </x:si>
  <x:si>
    <x:t>http://id.who.int/icd/release/11/beta/ichi/1445528718</x:t>
  </x:si>
  <x:si>
    <x:t>- - - - - - Levatores costarum tendon</x:t>
  </x:si>
  <x:si>
    <x:t>http://id.who.int/icd/entity/1090609230</x:t>
  </x:si>
  <x:si>
    <x:t>http://id.who.int/icd/release/11/beta/ichi/1090609230</x:t>
  </x:si>
  <x:si>
    <x:t>- - - - - - Pectoralis major tendon</x:t>
  </x:si>
  <x:si>
    <x:t>http://id.who.int/icd/entity/618159630</x:t>
  </x:si>
  <x:si>
    <x:t>http://id.who.int/icd/release/11/beta/ichi/618159630</x:t>
  </x:si>
  <x:si>
    <x:t>- - - - - - Pectoralis minor tendon</x:t>
  </x:si>
  <x:si>
    <x:t>http://id.who.int/icd/entity/871381710</x:t>
  </x:si>
  <x:si>
    <x:t>http://id.who.int/icd/release/11/beta/ichi/871381710</x:t>
  </x:si>
  <x:si>
    <x:t>- - - - - - Serratus anterior tendon</x:t>
  </x:si>
  <x:si>
    <x:t>http://id.who.int/icd/entity/176723854</x:t>
  </x:si>
  <x:si>
    <x:t>http://id.who.int/icd/release/11/beta/ichi/176723854</x:t>
  </x:si>
  <x:si>
    <x:t>- - - - - - Serratus posterior inferior tendon</x:t>
  </x:si>
  <x:si>
    <x:t>http://id.who.int/icd/entity/497087310</x:t>
  </x:si>
  <x:si>
    <x:t>http://id.who.int/icd/release/11/beta/ichi/497087310</x:t>
  </x:si>
  <x:si>
    <x:t>- - - - - - Serratus posterior superior tendon</x:t>
  </x:si>
  <x:si>
    <x:t>http://id.who.int/icd/entity/1053103346</x:t>
  </x:si>
  <x:si>
    <x:t>http://id.who.int/icd/release/11/beta/ichi/1053103346</x:t>
  </x:si>
  <x:si>
    <x:t>- - - - - - Subcostalis tendon</x:t>
  </x:si>
  <x:si>
    <x:t>http://id.who.int/icd/entity/111368149</x:t>
  </x:si>
  <x:si>
    <x:t>http://id.who.int/icd/release/11/beta/ichi/111368149</x:t>
  </x:si>
  <x:si>
    <x:t>- - - - - - Tendon of Todaro</x:t>
  </x:si>
  <x:si>
    <x:t>http://id.who.int/icd/entity/294335253</x:t>
  </x:si>
  <x:si>
    <x:t>http://id.who.int/icd/release/11/beta/ichi/294335253</x:t>
  </x:si>
  <x:si>
    <x:t>- - - - - - Transversus thoracis tendon</x:t>
  </x:si>
  <x:si>
    <x:t>http://id.who.int/icd/entity/1234541117</x:t>
  </x:si>
  <x:si>
    <x:t>http://id.who.int/icd/release/11/beta/ichi/1234541117</x:t>
  </x:si>
  <x:si>
    <x:t>- - - - - Tendons of the abdomen</x:t>
  </x:si>
  <x:si>
    <x:t>http://id.who.int/icd/entity/1071381141</x:t>
  </x:si>
  <x:si>
    <x:t>http://id.who.int/icd/release/11/beta/ichi/1071381141</x:t>
  </x:si>
  <x:si>
    <x:t>- - - - - - External oblique abdominis tendon</x:t>
  </x:si>
  <x:si>
    <x:t>http://id.who.int/icd/entity/1510130901</x:t>
  </x:si>
  <x:si>
    <x:t>http://id.who.int/icd/release/11/beta/ichi/1510130901</x:t>
  </x:si>
  <x:si>
    <x:t>- - - - - - Internal oblique abdominis tendon</x:t>
  </x:si>
  <x:si>
    <x:t>http://id.who.int/icd/entity/1294639125</x:t>
  </x:si>
  <x:si>
    <x:t>http://id.who.int/icd/release/11/beta/ichi/1294639125</x:t>
  </x:si>
  <x:si>
    <x:t>- - - - - - Psoas major tendon</x:t>
  </x:si>
  <x:si>
    <x:t>http://id.who.int/icd/entity/1951534421</x:t>
  </x:si>
  <x:si>
    <x:t>http://id.who.int/icd/release/11/beta/ichi/1951534421</x:t>
  </x:si>
  <x:si>
    <x:t>- - - - - - Psoas minor tendon</x:t>
  </x:si>
  <x:si>
    <x:t>http://id.who.int/icd/entity/1668966805</x:t>
  </x:si>
  <x:si>
    <x:t>http://id.who.int/icd/release/11/beta/ichi/1668966805</x:t>
  </x:si>
  <x:si>
    <x:t>- - - - - - Pyramidalis tendon</x:t>
  </x:si>
  <x:si>
    <x:t>http://id.who.int/icd/entity/1075809835</x:t>
  </x:si>
  <x:si>
    <x:t>http://id.who.int/icd/release/11/beta/ichi/1075809835</x:t>
  </x:si>
  <x:si>
    <x:t>- - - - - - Quadratus lumborum tendon</x:t>
  </x:si>
  <x:si>
    <x:t>http://id.who.int/icd/entity/1463282411</x:t>
  </x:si>
  <x:si>
    <x:t>http://id.who.int/icd/release/11/beta/ichi/1463282411</x:t>
  </x:si>
  <x:si>
    <x:t>- - - - - - Rectus abdominis tendon</x:t>
  </x:si>
  <x:si>
    <x:t>http://id.who.int/icd/entity/1589509885</x:t>
  </x:si>
  <x:si>
    <x:t>http://id.who.int/icd/release/11/beta/ichi/1589509885</x:t>
  </x:si>
  <x:si>
    <x:t>- - - - - - Transversus abdominis tendon</x:t>
  </x:si>
  <x:si>
    <x:t>http://id.who.int/icd/entity/1170102886</x:t>
  </x:si>
  <x:si>
    <x:t>http://id.who.int/icd/release/11/beta/ichi/1170102886</x:t>
  </x:si>
  <x:si>
    <x:t>- - - - - Tendons of the back</x:t>
  </x:si>
  <x:si>
    <x:t>http://id.who.int/icd/entity/1740985277</x:t>
  </x:si>
  <x:si>
    <x:t>http://id.who.int/icd/release/11/beta/ichi/1740985277</x:t>
  </x:si>
  <x:si>
    <x:t>- - - - - - Iliocostalis tendon</x:t>
  </x:si>
  <x:si>
    <x:t>http://id.who.int/icd/entity/355731773</x:t>
  </x:si>
  <x:si>
    <x:t>http://id.who.int/icd/release/11/beta/ichi/355731773</x:t>
  </x:si>
  <x:si>
    <x:t>- - - - - - Infraspinatus tendon</x:t>
  </x:si>
  <x:si>
    <x:t>http://id.who.int/icd/entity/743220349</x:t>
  </x:si>
  <x:si>
    <x:t>http://id.who.int/icd/release/11/beta/ichi/743220349</x:t>
  </x:si>
  <x:si>
    <x:t>- - - - - - Interspinales tendon</x:t>
  </x:si>
  <x:si>
    <x:t>http://id.who.int/icd/entity/996458685</x:t>
  </x:si>
  <x:si>
    <x:t>http://id.who.int/icd/release/11/beta/ichi/996458685</x:t>
  </x:si>
  <x:si>
    <x:t>- - - - - - Intertransversarii tendon</x:t>
  </x:si>
  <x:si>
    <x:t>http://id.who.int/icd/entity/402728707</x:t>
  </x:si>
  <x:si>
    <x:t>http://id.who.int/icd/release/11/beta/ichi/402728707</x:t>
  </x:si>
  <x:si>
    <x:t>- - - - - - Latissimus dorsi tendon</x:t>
  </x:si>
  <x:si>
    <x:t>http://id.who.int/icd/entity/35417597</x:t>
  </x:si>
  <x:si>
    <x:t>http://id.who.int/icd/release/11/beta/ichi/35417597</x:t>
  </x:si>
  <x:si>
    <x:t>- - - - - - Longissimus tendon</x:t>
  </x:si>
  <x:si>
    <x:t>http://id.who.int/icd/entity/421513574</x:t>
  </x:si>
  <x:si>
    <x:t>http://id.who.int/icd/release/11/beta/ichi/421513574</x:t>
  </x:si>
  <x:si>
    <x:t>- - - - - - Multifidus tendon</x:t>
  </x:si>
  <x:si>
    <x:t>http://id.who.int/icd/entity/254362563</x:t>
  </x:si>
  <x:si>
    <x:t>http://id.who.int/icd/release/11/beta/ichi/254362563</x:t>
  </x:si>
  <x:si>
    <x:t>- - - - - - Rhomboid major tendon</x:t>
  </x:si>
  <x:si>
    <x:t>http://id.who.int/icd/entity/543646758</x:t>
  </x:si>
  <x:si>
    <x:t>http://id.who.int/icd/release/11/beta/ichi/543646758</x:t>
  </x:si>
  <x:si>
    <x:t>- - - - - - Rhomboid minor tendon</x:t>
  </x:si>
  <x:si>
    <x:t>http://id.who.int/icd/entity/2093414182</x:t>
  </x:si>
  <x:si>
    <x:t>http://id.who.int/icd/release/11/beta/ichi/2093414182</x:t>
  </x:si>
  <x:si>
    <x:t>- - - - - - Rotatores tendon</x:t>
  </x:si>
  <x:si>
    <x:t>http://id.who.int/icd/entity/1810797542</x:t>
  </x:si>
  <x:si>
    <x:t>http://id.who.int/icd/release/11/beta/ichi/1810797542</x:t>
  </x:si>
  <x:si>
    <x:t>- - - - - - Semispinalis tendon</x:t>
  </x:si>
  <x:si>
    <x:t>http://id.who.int/icd/entity/1894594429</x:t>
  </x:si>
  <x:si>
    <x:t>http://id.who.int/icd/release/11/beta/ichi/1894594429</x:t>
  </x:si>
  <x:si>
    <x:t>- - - - - - Spinalis tendon</x:t>
  </x:si>
  <x:si>
    <x:t>http://id.who.int/icd/entity/927924454</x:t>
  </x:si>
  <x:si>
    <x:t>http://id.who.int/icd/release/11/beta/ichi/927924454</x:t>
  </x:si>
  <x:si>
    <x:t>- - - - - - Teres major tendon</x:t>
  </x:si>
  <x:si>
    <x:t>http://id.who.int/icd/entity/238529958</x:t>
  </x:si>
  <x:si>
    <x:t>http://id.who.int/icd/release/11/beta/ichi/238529958</x:t>
  </x:si>
  <x:si>
    <x:t>- - - - - - Teres minor tendon</x:t>
  </x:si>
  <x:si>
    <x:t>http://id.who.int/icd/entity/1385578150</x:t>
  </x:si>
  <x:si>
    <x:t>http://id.who.int/icd/release/11/beta/ichi/1385578150</x:t>
  </x:si>
  <x:si>
    <x:t>- - - - - - Trapezius tendon</x:t>
  </x:si>
  <x:si>
    <x:t>http://id.who.int/icd/entity/1089203821</x:t>
  </x:si>
  <x:si>
    <x:t>http://id.who.int/icd/release/11/beta/ichi/1089203821</x:t>
  </x:si>
  <x:si>
    <x:t>- - - - - Tendons of the pelvis and perineum</x:t>
  </x:si>
  <x:si>
    <x:t>http://id.who.int/icd/entity/1911806234</x:t>
  </x:si>
  <x:si>
    <x:t>http://id.who.int/icd/release/11/beta/ichi/1911806234</x:t>
  </x:si>
  <x:si>
    <x:t>- - - - - - Bulbospongiosus tendon</x:t>
  </x:si>
  <x:si>
    <x:t>http://id.who.int/icd/entity/1306443859</x:t>
  </x:si>
  <x:si>
    <x:t>http://id.who.int/icd/release/11/beta/ichi/1306443859</x:t>
  </x:si>
  <x:si>
    <x:t>- - - - - - Coccygeus tendon</x:t>
  </x:si>
  <x:si>
    <x:t>http://id.who.int/icd/entity/293557075</x:t>
  </x:si>
  <x:si>
    <x:t>http://id.who.int/icd/release/11/beta/ichi/293557075</x:t>
  </x:si>
  <x:si>
    <x:t>- - - - - - Cremaster tendon</x:t>
  </x:si>
  <x:si>
    <x:t>http://id.who.int/icd/entity/106379155</x:t>
  </x:si>
  <x:si>
    <x:t>http://id.who.int/icd/release/11/beta/ichi/106379155</x:t>
  </x:si>
  <x:si>
    <x:t>- - - - - - Dartos tendon</x:t>
  </x:si>
  <x:si>
    <x:t>http://id.who.int/icd/entity/1060084435</x:t>
  </x:si>
  <x:si>
    <x:t>http://id.who.int/icd/release/11/beta/ichi/1060084435</x:t>
  </x:si>
  <x:si>
    <x:t>- - - - - - Deep transverse perinei tendon</x:t>
  </x:si>
  <x:si>
    <x:t>http://id.who.int/icd/entity/1526113427</x:t>
  </x:si>
  <x:si>
    <x:t>http://id.who.int/icd/release/11/beta/ichi/1526113427</x:t>
  </x:si>
  <x:si>
    <x:t>- - - - - - Iliococcygeus tendon</x:t>
  </x:si>
  <x:si>
    <x:t>http://id.who.int/icd/entity/671612435</x:t>
  </x:si>
  <x:si>
    <x:t>http://id.who.int/icd/release/11/beta/ichi/671612435</x:t>
  </x:si>
  <x:si>
    <x:t>- - - - - - Ischiocavernosus tendon</x:t>
  </x:si>
  <x:si>
    <x:t>http://id.who.int/icd/entity/1670253011</x:t>
  </x:si>
  <x:si>
    <x:t>http://id.who.int/icd/release/11/beta/ichi/1670253011</x:t>
  </x:si>
  <x:si>
    <x:t>- - - - - - Pubococcygeus tendon</x:t>
  </x:si>
  <x:si>
    <x:t>http://id.who.int/icd/entity/1957063955</x:t>
  </x:si>
  <x:si>
    <x:t>http://id.who.int/icd/release/11/beta/ichi/1957063955</x:t>
  </x:si>
  <x:si>
    <x:t>- - - - - - Puborectalis tendon</x:t>
  </x:si>
  <x:si>
    <x:t>http://id.who.int/icd/entity/1472432813</x:t>
  </x:si>
  <x:si>
    <x:t>http://id.who.int/icd/release/11/beta/ichi/1472432813</x:t>
  </x:si>
  <x:si>
    <x:t>- - - - - - Pubovaginalis tendon</x:t>
  </x:si>
  <x:si>
    <x:t>http://id.who.int/icd/entity/1477031686</x:t>
  </x:si>
  <x:si>
    <x:t>http://id.who.int/icd/release/11/beta/ichi/1477031686</x:t>
  </x:si>
  <x:si>
    <x:t>- - - - - Tendons of the upper extremity</x:t>
  </x:si>
  <x:si>
    <x:t>http://id.who.int/icd/entity/1508063525</x:t>
  </x:si>
  <x:si>
    <x:t>http://id.who.int/icd/release/11/beta/ichi/1508063525</x:t>
  </x:si>
  <x:si>
    <x:t>- - - - - - Abductor digiti minimi tendon</x:t>
  </x:si>
  <x:si>
    <x:t>http://id.who.int/icd/entity/1010435941</x:t>
  </x:si>
  <x:si>
    <x:t>http://id.who.int/icd/release/11/beta/ichi/1010435941</x:t>
  </x:si>
  <x:si>
    <x:t>- - - - - - Abductor pollicis brevis tendon</x:t>
  </x:si>
  <x:si>
    <x:t>http://id.who.int/icd/entity/722625445</x:t>
  </x:si>
  <x:si>
    <x:t>http://id.who.int/icd/release/11/beta/ichi/722625445</x:t>
  </x:si>
  <x:si>
    <x:t>- - - - - - Abductor pollicis longus tendon</x:t>
  </x:si>
  <x:si>
    <x:t>http://id.who.int/icd/entity/308989669</x:t>
  </x:si>
  <x:si>
    <x:t>http://id.who.int/icd/release/11/beta/ichi/308989669</x:t>
  </x:si>
  <x:si>
    <x:t>- - - - - - Adductor pollicis tendon</x:t>
  </x:si>
  <x:si>
    <x:t>http://id.who.int/icd/entity/88255013</x:t>
  </x:si>
  <x:si>
    <x:t>http://id.who.int/icd/release/11/beta/ichi/88255013</x:t>
  </x:si>
  <x:si>
    <x:t>- - - - - - Anconeus tendon</x:t>
  </x:si>
  <x:si>
    <x:t>http://id.who.int/icd/entity/507580094</x:t>
  </x:si>
  <x:si>
    <x:t>http://id.who.int/icd/release/11/beta/ichi/507580094</x:t>
  </x:si>
  <x:si>
    <x:t>- - - - - - Biceps brachii tendon</x:t>
  </x:si>
  <x:si>
    <x:t>http://id.who.int/icd/entity/640109979</x:t>
  </x:si>
  <x:si>
    <x:t>http://id.who.int/icd/release/11/beta/ichi/640109979</x:t>
  </x:si>
  <x:si>
    <x:t>- - - - - - - Long head of biceps brachii tendon</x:t>
  </x:si>
  <x:si>
    <x:t>http://id.who.int/icd/entity/823077211</x:t>
  </x:si>
  <x:si>
    <x:t>http://id.who.int/icd/release/11/beta/ichi/823077211</x:t>
  </x:si>
  <x:si>
    <x:t>- - - - - - - Short head of biceps brachii tendon</x:t>
  </x:si>
  <x:si>
    <x:t>http://id.who.int/icd/entity/157903486</x:t>
  </x:si>
  <x:si>
    <x:t>http://id.who.int/icd/release/11/beta/ichi/157903486</x:t>
  </x:si>
  <x:si>
    <x:t>- - - - - - Brachialis tendon</x:t>
  </x:si>
  <x:si>
    <x:t>http://id.who.int/icd/entity/806471486</x:t>
  </x:si>
  <x:si>
    <x:t>http://id.who.int/icd/release/11/beta/ichi/806471486</x:t>
  </x:si>
  <x:si>
    <x:t>- - - - - - Brachioradialis tendon</x:t>
  </x:si>
  <x:si>
    <x:t>http://id.who.int/icd/entity/658088958</x:t>
  </x:si>
  <x:si>
    <x:t>http://id.who.int/icd/release/11/beta/ichi/658088958</x:t>
  </x:si>
  <x:si>
    <x:t>- - - - - - Coracobrachialis tendon</x:t>
  </x:si>
  <x:si>
    <x:t>http://id.who.int/icd/entity/1122016702</x:t>
  </x:si>
  <x:si>
    <x:t>http://id.who.int/icd/release/11/beta/ichi/1122016702</x:t>
  </x:si>
  <x:si>
    <x:t>- - - - - - Deltoid tendon</x:t>
  </x:si>
  <x:si>
    <x:t>http://id.who.int/icd/entity/161286714</x:t>
  </x:si>
  <x:si>
    <x:t>http://id.who.int/icd/release/11/beta/ichi/161286714</x:t>
  </x:si>
  <x:si>
    <x:t>- - - - - - Dorsal Interosseous tendon</x:t>
  </x:si>
  <x:si>
    <x:t>http://id.who.int/icd/entity/1439234430</x:t>
  </x:si>
  <x:si>
    <x:t>http://id.who.int/icd/release/11/beta/ichi/1439234430</x:t>
  </x:si>
  <x:si>
    <x:t>- - - - - - Extensor carpi radialis brevis tendon</x:t>
  </x:si>
  <x:si>
    <x:t>http://id.who.int/icd/entity/1823495230</x:t>
  </x:si>
  <x:si>
    <x:t>http://id.who.int/icd/release/11/beta/ichi/1823495230</x:t>
  </x:si>
  <x:si>
    <x:t>- - - - - - Extensor carpi radialis longus tendon</x:t>
  </x:si>
  <x:si>
    <x:t>http://id.who.int/icd/entity/2073571582</x:t>
  </x:si>
  <x:si>
    <x:t>http://id.who.int/icd/release/11/beta/ichi/2073571582</x:t>
  </x:si>
  <x:si>
    <x:t>- - - - - - Extensor carpi ulnaris tendon</x:t>
  </x:si>
  <x:si>
    <x:t>http://id.who.int/icd/entity/1493030722</x:t>
  </x:si>
  <x:si>
    <x:t>http://id.who.int/icd/release/11/beta/ichi/1493030722</x:t>
  </x:si>
  <x:si>
    <x:t>- - - - - - Extensor digiti minimi tendon</x:t>
  </x:si>
  <x:si>
    <x:t>http://id.who.int/icd/entity/1339405186</x:t>
  </x:si>
  <x:si>
    <x:t>http://id.who.int/icd/release/11/beta/ichi/1339405186</x:t>
  </x:si>
  <x:si>
    <x:t>- - - - - - Extensor digitorum tendon</x:t>
  </x:si>
  <x:si>
    <x:t>http://id.who.int/icd/entity/1180673942</x:t>
  </x:si>
  <x:si>
    <x:t>http://id.who.int/icd/release/11/beta/ichi/1180673942</x:t>
  </x:si>
  <x:si>
    <x:t>- - - - - - Extensor indicis tendon</x:t>
  </x:si>
  <x:si>
    <x:t>http://id.who.int/icd/entity/1366803286</x:t>
  </x:si>
  <x:si>
    <x:t>http://id.who.int/icd/release/11/beta/ichi/1366803286</x:t>
  </x:si>
  <x:si>
    <x:t>- - - - - - Extensor pollicis brevis tendon</x:t>
  </x:si>
  <x:si>
    <x:t>http://id.who.int/icd/entity/1745841686</x:t>
  </x:si>
  <x:si>
    <x:t>http://id.who.int/icd/release/11/beta/ichi/1745841686</x:t>
  </x:si>
  <x:si>
    <x:t>- - - - - - Extensor pollicis longus tendon</x:t>
  </x:si>
  <x:si>
    <x:t>http://id.who.int/icd/entity/1816409210</x:t>
  </x:si>
  <x:si>
    <x:t>http://id.who.int/icd/release/11/beta/ichi/1816409210</x:t>
  </x:si>
  <x:si>
    <x:t>- - - - - - Extensor tendon</x:t>
  </x:si>
  <x:si>
    <x:t>http://id.who.int/icd/entity/2133265110</x:t>
  </x:si>
  <x:si>
    <x:t>http://id.who.int/icd/release/11/beta/ichi/2133265110</x:t>
  </x:si>
  <x:si>
    <x:t>- - - - - - Flexor carpi radialis tendon</x:t>
  </x:si>
  <x:si>
    <x:t>http://id.who.int/icd/entity/452867222</x:t>
  </x:si>
  <x:si>
    <x:t>http://id.who.int/icd/release/11/beta/ichi/452867222</x:t>
  </x:si>
  <x:si>
    <x:t>- - - - - - Flexor carpi ulnaris tendon</x:t>
  </x:si>
  <x:si>
    <x:t>http://id.who.int/icd/entity/232149078</x:t>
  </x:si>
  <x:si>
    <x:t>http://id.who.int/icd/release/11/beta/ichi/232149078</x:t>
  </x:si>
  <x:si>
    <x:t>- - - - - - Flexor digiti minimi tendon</x:t>
  </x:si>
  <x:si>
    <x:t>http://id.who.int/icd/entity/883883286</x:t>
  </x:si>
  <x:si>
    <x:t>http://id.who.int/icd/release/11/beta/ichi/883883286</x:t>
  </x:si>
  <x:si>
    <x:t>- - - - - - Flexor digitorum profundus tendon</x:t>
  </x:si>
  <x:si>
    <x:t>http://id.who.int/icd/entity/596023766</x:t>
  </x:si>
  <x:si>
    <x:t>http://id.who.int/icd/release/11/beta/ichi/596023766</x:t>
  </x:si>
  <x:si>
    <x:t>- - - - - - Flexor digitorum superficialis tendon</x:t>
  </x:si>
  <x:si>
    <x:t>http://id.who.int/icd/entity/14909034</x:t>
  </x:si>
  <x:si>
    <x:t>http://id.who.int/icd/release/11/beta/ichi/14909034</x:t>
  </x:si>
  <x:si>
    <x:t>- - - - - - Flexor digitorum tendon</x:t>
  </x:si>
  <x:si>
    <x:t>http://id.who.int/icd/entity/399186602</x:t>
  </x:si>
  <x:si>
    <x:t>http://id.who.int/icd/release/11/beta/ichi/399186602</x:t>
  </x:si>
  <x:si>
    <x:t>- - - - - - Flexor pollicis brevis tendon</x:t>
  </x:si>
  <x:si>
    <x:t>http://id.who.int/icd/entity/948256077</x:t>
  </x:si>
  <x:si>
    <x:t>http://id.who.int/icd/release/11/beta/ichi/948256077</x:t>
  </x:si>
  <x:si>
    <x:t>- - - - - - Flexor pollicis longus tendon</x:t>
  </x:si>
  <x:si>
    <x:t>http://id.who.int/icd/entity/2070696122</x:t>
  </x:si>
  <x:si>
    <x:t>http://id.who.int/icd/release/11/beta/ichi/2070696122</x:t>
  </x:si>
  <x:si>
    <x:t>- - - - - - Flexor tendon</x:t>
  </x:si>
  <x:si>
    <x:t>http://id.who.int/icd/entity/799889805</x:t>
  </x:si>
  <x:si>
    <x:t>http://id.who.int/icd/release/11/beta/ichi/799889805</x:t>
  </x:si>
  <x:si>
    <x:t>- - - - - - Interossei tendon</x:t>
  </x:si>
  <x:si>
    <x:t>http://id.who.int/icd/entity/383120589</x:t>
  </x:si>
  <x:si>
    <x:t>http://id.who.int/icd/release/11/beta/ichi/383120589</x:t>
  </x:si>
  <x:si>
    <x:t>- - - - - - Levator scapulae tendon</x:t>
  </x:si>
  <x:si>
    <x:t>http://id.who.int/icd/entity/33394701</x:t>
  </x:si>
  <x:si>
    <x:t>http://id.who.int/icd/release/11/beta/ichi/33394701</x:t>
  </x:si>
  <x:si>
    <x:t>- - - - - - Lumbrical tendon</x:t>
  </x:si>
  <x:si>
    <x:t>http://id.who.int/icd/entity/1680125517</x:t>
  </x:si>
  <x:si>
    <x:t>http://id.who.int/icd/release/11/beta/ichi/1680125517</x:t>
  </x:si>
  <x:si>
    <x:t>- - - - - - Opponens digiti minimi tendon</x:t>
  </x:si>
  <x:si>
    <x:t>http://id.who.int/icd/entity/1930218125</x:t>
  </x:si>
  <x:si>
    <x:t>http://id.who.int/icd/release/11/beta/ichi/1930218125</x:t>
  </x:si>
  <x:si>
    <x:t>- - - - - - Opponens pollicis tendon</x:t>
  </x:si>
  <x:si>
    <x:t>http://id.who.int/icd/entity/515206906</x:t>
  </x:si>
  <x:si>
    <x:t>http://id.who.int/icd/release/11/beta/ichi/515206906</x:t>
  </x:si>
  <x:si>
    <x:t>- - - - - - Palmar interosseous tendon</x:t>
  </x:si>
  <x:si>
    <x:t>http://id.who.int/icd/entity/1249142733</x:t>
  </x:si>
  <x:si>
    <x:t>http://id.who.int/icd/release/11/beta/ichi/1249142733</x:t>
  </x:si>
  <x:si>
    <x:t>- - - - - - Palmaris brevis tendon</x:t>
  </x:si>
  <x:si>
    <x:t>http://id.who.int/icd/entity/1566311181</x:t>
  </x:si>
  <x:si>
    <x:t>http://id.who.int/icd/release/11/beta/ichi/1566311181</x:t>
  </x:si>
  <x:si>
    <x:t>- - - - - - Palmaris longus tendon</x:t>
  </x:si>
  <x:si>
    <x:t>http://id.who.int/icd/entity/2117723315</x:t>
  </x:si>
  <x:si>
    <x:t>http://id.who.int/icd/release/11/beta/ichi/2117723315</x:t>
  </x:si>
  <x:si>
    <x:t>- - - - - - Pronator quadratus tendon</x:t>
  </x:si>
  <x:si>
    <x:t>http://id.who.int/icd/entity/1762754675</x:t>
  </x:si>
  <x:si>
    <x:t>http://id.who.int/icd/release/11/beta/ichi/1762754675</x:t>
  </x:si>
  <x:si>
    <x:t>- - - - - - Pronator teres tendon</x:t>
  </x:si>
  <x:si>
    <x:t>http://id.who.int/icd/entity/667796410</x:t>
  </x:si>
  <x:si>
    <x:t>http://id.who.int/icd/release/11/beta/ichi/667796410</x:t>
  </x:si>
  <x:si>
    <x:t>- - - - - - Subclavius tendon</x:t>
  </x:si>
  <x:si>
    <x:t>http://id.who.int/icd/entity/820356986</x:t>
  </x:si>
  <x:si>
    <x:t>http://id.who.int/icd/release/11/beta/ichi/820356986</x:t>
  </x:si>
  <x:si>
    <x:t>- - - - - - Subscapularis tendon</x:t>
  </x:si>
  <x:si>
    <x:t>http://id.who.int/icd/entity/1430034746</x:t>
  </x:si>
  <x:si>
    <x:t>http://id.who.int/icd/release/11/beta/ichi/1430034746</x:t>
  </x:si>
  <x:si>
    <x:t>- - - - - - Supinator tendon</x:t>
  </x:si>
  <x:si>
    <x:t>http://id.who.int/icd/entity/1108671994</x:t>
  </x:si>
  <x:si>
    <x:t>http://id.who.int/icd/release/11/beta/ichi/1108671994</x:t>
  </x:si>
  <x:si>
    <x:t>- - - - - - Supraspinatus tendon</x:t>
  </x:si>
  <x:si>
    <x:t>http://id.who.int/icd/entity/1327616966</x:t>
  </x:si>
  <x:si>
    <x:t>http://id.who.int/icd/release/11/beta/ichi/1327616966</x:t>
  </x:si>
  <x:si>
    <x:t>- - - - - - Triceps brachii tendon</x:t>
  </x:si>
  <x:si>
    <x:t>http://id.who.int/icd/entity/1321950693</x:t>
  </x:si>
  <x:si>
    <x:t>http://id.who.int/icd/release/11/beta/ichi/1321950693</x:t>
  </x:si>
  <x:si>
    <x:t>- - - - - Tendons of the lower extremity</x:t>
  </x:si>
  <x:si>
    <x:t>http://id.who.int/icd/entity/1873136010</x:t>
  </x:si>
  <x:si>
    <x:t>http://id.who.int/icd/release/11/beta/ichi/1873136010</x:t>
  </x:si>
  <x:si>
    <x:t>- - - - - - Abductor digiti minimi (foot) tendon</x:t>
  </x:si>
  <x:si>
    <x:t>http://id.who.int/icd/entity/2022550858</x:t>
  </x:si>
  <x:si>
    <x:t>http://id.who.int/icd/release/11/beta/ichi/2022550858</x:t>
  </x:si>
  <x:si>
    <x:t>- - - - - - Abductor hallucis tendon</x:t>
  </x:si>
  <x:si>
    <x:t>http://id.who.int/icd/entity/2059741611</x:t>
  </x:si>
  <x:si>
    <x:t>http://id.who.int/icd/release/11/beta/ichi/2059741611</x:t>
  </x:si>
  <x:si>
    <x:t>- - - - - - Achilles tendon</x:t>
  </x:si>
  <x:si>
    <x:t>http://id.who.int/icd/entity/1106575370</x:t>
  </x:si>
  <x:si>
    <x:t>http://id.who.int/icd/release/11/beta/ichi/1106575370</x:t>
  </x:si>
  <x:si>
    <x:t>- - - - - - Adductor brevis tendon</x:t>
  </x:si>
  <x:si>
    <x:t>http://id.who.int/icd/entity/1457349834</x:t>
  </x:si>
  <x:si>
    <x:t>http://id.who.int/icd/release/11/beta/ichi/1457349834</x:t>
  </x:si>
  <x:si>
    <x:t>- - - - - - Adductor hallucis tendon</x:t>
  </x:si>
  <x:si>
    <x:t>http://id.who.int/icd/entity/855923338</x:t>
  </x:si>
  <x:si>
    <x:t>http://id.who.int/icd/release/11/beta/ichi/855923338</x:t>
  </x:si>
  <x:si>
    <x:t>- - - - - - Adductor longus tendon</x:t>
  </x:si>
  <x:si>
    <x:t>http://id.who.int/icd/entity/606879306</x:t>
  </x:si>
  <x:si>
    <x:t>http://id.who.int/icd/release/11/beta/ichi/606879306</x:t>
  </x:si>
  <x:si>
    <x:t>- - - - - - Adductor magnus tendon</x:t>
  </x:si>
  <x:si>
    <x:t>http://id.who.int/icd/entity/726766741</x:t>
  </x:si>
  <x:si>
    <x:t>http://id.who.int/icd/release/11/beta/ichi/726766741</x:t>
  </x:si>
  <x:si>
    <x:t>- - - - - - Anterior ligament of the lower extremity</x:t>
  </x:si>
  <x:si>
    <x:t>http://id.who.int/icd/entity/492081930</x:t>
  </x:si>
  <x:si>
    <x:t>http://id.who.int/icd/release/11/beta/ichi/492081930</x:t>
  </x:si>
  <x:si>
    <x:t>- - - - - - Articularis genu tendon</x:t>
  </x:si>
  <x:si>
    <x:t>http://id.who.int/icd/entity/175962058</x:t>
  </x:si>
  <x:si>
    <x:t>http://id.who.int/icd/release/11/beta/ichi/175962058</x:t>
  </x:si>
  <x:si>
    <x:t>- - - - - - Biceps femoris tendon</x:t>
  </x:si>
  <x:si>
    <x:t>http://id.who.int/icd/entity/48762299</x:t>
  </x:si>
  <x:si>
    <x:t>http://id.who.int/icd/release/11/beta/ichi/48762299</x:t>
  </x:si>
  <x:si>
    <x:t>- - - - - - Dorsal interossei of foot tendon</x:t>
  </x:si>
  <x:si>
    <x:t>http://id.who.int/icd/entity/689508470</x:t>
  </x:si>
  <x:si>
    <x:t>http://id.who.int/icd/release/11/beta/ichi/689508470</x:t>
  </x:si>
  <x:si>
    <x:t>- - - - - - Extensor digitorum brevis (foot) tendon</x:t>
  </x:si>
  <x:si>
    <x:t>http://id.who.int/icd/entity/1043428534</x:t>
  </x:si>
  <x:si>
    <x:t>http://id.who.int/icd/release/11/beta/ichi/1043428534</x:t>
  </x:si>
  <x:si>
    <x:t>- - - - - - Extensor digitorum longus (foot) tendon</x:t>
  </x:si>
  <x:si>
    <x:t>http://id.who.int/icd/entity/935026850</x:t>
  </x:si>
  <x:si>
    <x:t>http://id.who.int/icd/release/11/beta/ichi/935026850</x:t>
  </x:si>
  <x:si>
    <x:t>- - - - - - Extensor hallucis brevis tendon</x:t>
  </x:si>
  <x:si>
    <x:t>http://id.who.int/icd/entity/546505826</x:t>
  </x:si>
  <x:si>
    <x:t>http://id.who.int/icd/release/11/beta/ichi/546505826</x:t>
  </x:si>
  <x:si>
    <x:t>- - - - - - Extensor hallucis longus tendon</x:t>
  </x:si>
  <x:si>
    <x:t>http://id.who.int/icd/entity/434874658</x:t>
  </x:si>
  <x:si>
    <x:t>http://id.who.int/icd/release/11/beta/ichi/434874658</x:t>
  </x:si>
  <x:si>
    <x:t>- - - - - - Flexor digiti minimi brevis (foot) tendon</x:t>
  </x:si>
  <x:si>
    <x:t>http://id.who.int/icd/entity/247713250</x:t>
  </x:si>
  <x:si>
    <x:t>http://id.who.int/icd/release/11/beta/ichi/247713250</x:t>
  </x:si>
  <x:si>
    <x:t>- - - - - - Flexor digitorum brevis tendon</x:t>
  </x:si>
  <x:si>
    <x:t>http://id.who.int/icd/entity/1796928418</x:t>
  </x:si>
  <x:si>
    <x:t>http://id.who.int/icd/release/11/beta/ichi/1796928418</x:t>
  </x:si>
  <x:si>
    <x:t>- - - - - - Flexor digitorum longus (foot) tendon</x:t>
  </x:si>
  <x:si>
    <x:t>http://id.who.int/icd/entity/2083690338</x:t>
  </x:si>
  <x:si>
    <x:t>http://id.who.int/icd/release/11/beta/ichi/2083690338</x:t>
  </x:si>
  <x:si>
    <x:t>- - - - - - Flexor hallucis brevis tendon</x:t>
  </x:si>
  <x:si>
    <x:t>http://id.who.int/icd/entity/1162492450</x:t>
  </x:si>
  <x:si>
    <x:t>http://id.who.int/icd/release/11/beta/ichi/1162492450</x:t>
  </x:si>
  <x:si>
    <x:t>- - - - - - Flexor hallucis longus tendon</x:t>
  </x:si>
  <x:si>
    <x:t>http://id.who.int/icd/entity/1382178530</x:t>
  </x:si>
  <x:si>
    <x:t>http://id.who.int/icd/release/11/beta/ichi/1382178530</x:t>
  </x:si>
  <x:si>
    <x:t>- - - - - - Gastrocnemius tendon</x:t>
  </x:si>
  <x:si>
    <x:t>http://id.who.int/icd/entity/1896331614</x:t>
  </x:si>
  <x:si>
    <x:t>http://id.who.int/icd/release/11/beta/ichi/1896331614</x:t>
  </x:si>
  <x:si>
    <x:t>- - - - - - Gemellus inferior tendon</x:t>
  </x:si>
  <x:si>
    <x:t>http://id.who.int/icd/entity/1714412958</x:t>
  </x:si>
  <x:si>
    <x:t>http://id.who.int/icd/release/11/beta/ichi/1714412958</x:t>
  </x:si>
  <x:si>
    <x:t>- - - - - - Gemellus superior tendon</x:t>
  </x:si>
  <x:si>
    <x:t>http://id.who.int/icd/entity/1231157883</x:t>
  </x:si>
  <x:si>
    <x:t>http://id.who.int/icd/release/11/beta/ichi/1231157883</x:t>
  </x:si>
  <x:si>
    <x:t>- - - - - - Gluteus maximus tendon</x:t>
  </x:si>
  <x:si>
    <x:t>http://id.who.int/icd/entity/1581883067</x:t>
  </x:si>
  <x:si>
    <x:t>http://id.who.int/icd/release/11/beta/ichi/1581883067</x:t>
  </x:si>
  <x:si>
    <x:t>- - - - - - Gluteus medius tendon</x:t>
  </x:si>
  <x:si>
    <x:t>http://id.who.int/icd/entity/1731277819</x:t>
  </x:si>
  <x:si>
    <x:t>http://id.who.int/icd/release/11/beta/ichi/1731277819</x:t>
  </x:si>
  <x:si>
    <x:t>- - - - - - Gluteus minimus tendon</x:t>
  </x:si>
  <x:si>
    <x:t>http://id.who.int/icd/entity/1880708923</x:t>
  </x:si>
  <x:si>
    <x:t>http://id.who.int/icd/release/11/beta/ichi/1880708923</x:t>
  </x:si>
  <x:si>
    <x:t>- - - - - - Gracilis tendon</x:t>
  </x:si>
  <x:si>
    <x:t>http://id.who.int/icd/entity/364931451</x:t>
  </x:si>
  <x:si>
    <x:t>http://id.who.int/icd/release/11/beta/ichi/364931451</x:t>
  </x:si>
  <x:si>
    <x:t>- - - - - - Iliacus tendon</x:t>
  </x:si>
  <x:si>
    <x:t>http://id.who.int/icd/entity/750306363</x:t>
  </x:si>
  <x:si>
    <x:t>http://id.who.int/icd/release/11/beta/ichi/750306363</x:t>
  </x:si>
  <x:si>
    <x:t>- - - - - - Lumbrical of foot tendon</x:t>
  </x:si>
  <x:si>
    <x:t>http://id.who.int/icd/entity/266150789</x:t>
  </x:si>
  <x:si>
    <x:t>http://id.who.int/icd/release/11/beta/ichi/266150789</x:t>
  </x:si>
  <x:si>
    <x:t>- - - - - - Obturator externus tendon</x:t>
  </x:si>
  <x:si>
    <x:t>http://id.who.int/icd/entity/418727749</x:t>
  </x:si>
  <x:si>
    <x:t>http://id.who.int/icd/release/11/beta/ichi/418727749</x:t>
  </x:si>
  <x:si>
    <x:t>- - - - - - Obturator internus tendon</x:t>
  </x:si>
  <x:si>
    <x:t>http://id.who.int/icd/entity/1435176524</x:t>
  </x:si>
  <x:si>
    <x:t>http://id.who.int/icd/release/11/beta/ichi/1435176524</x:t>
  </x:si>
  <x:si>
    <x:t>- - - - - - Pectineus tendon</x:t>
  </x:si>
  <x:si>
    <x:t>http://id.who.int/icd/entity/1118005900</x:t>
  </x:si>
  <x:si>
    <x:t>http://id.who.int/icd/release/11/beta/ichi/1118005900</x:t>
  </x:si>
  <x:si>
    <x:t>- - - - - - Peroneus brevis tendon</x:t>
  </x:si>
  <x:si>
    <x:t>http://id.who.int/icd/entity/2078001100</x:t>
  </x:si>
  <x:si>
    <x:t>http://id.who.int/icd/release/11/beta/ichi/2078001100</x:t>
  </x:si>
  <x:si>
    <x:t>- - - - - - Peroneus longus tendon</x:t>
  </x:si>
  <x:si>
    <x:t>http://id.who.int/icd/entity/1827906316</x:t>
  </x:si>
  <x:si>
    <x:t>http://id.who.int/icd/release/11/beta/ichi/1827906316</x:t>
  </x:si>
  <x:si>
    <x:t>- - - - - - Peroneus tertius tendon</x:t>
  </x:si>
  <x:si>
    <x:t>http://id.who.int/icd/entity/153787724</x:t>
  </x:si>
  <x:si>
    <x:t>http://id.who.int/icd/release/11/beta/ichi/153787724</x:t>
  </x:si>
  <x:si>
    <x:t>- - - - - - Piriformis tendon</x:t>
  </x:si>
  <x:si>
    <x:t>http://id.who.int/icd/entity/999334139</x:t>
  </x:si>
  <x:si>
    <x:t>http://id.who.int/icd/release/11/beta/ichi/999334139</x:t>
  </x:si>
  <x:si>
    <x:t>- - - - - - Plantar interossei of foot tendon</x:t>
  </x:si>
  <x:si>
    <x:t>http://id.who.int/icd/entity/503511436</x:t>
  </x:si>
  <x:si>
    <x:t>http://id.who.int/icd/release/11/beta/ichi/503511436</x:t>
  </x:si>
  <x:si>
    <x:t>- - - - - - Plantaris tendon</x:t>
  </x:si>
  <x:si>
    <x:t>http://id.who.int/icd/entity/662328524</x:t>
  </x:si>
  <x:si>
    <x:t>http://id.who.int/icd/release/11/beta/ichi/662328524</x:t>
  </x:si>
  <x:si>
    <x:t>- - - - - - Popliteus tendon</x:t>
  </x:si>
  <x:si>
    <x:t>http://id.who.int/icd/entity/322426804</x:t>
  </x:si>
  <x:si>
    <x:t>http://id.who.int/icd/release/11/beta/ichi/322426804</x:t>
  </x:si>
  <x:si>
    <x:t>- - - - - - Quadratus plantae tendon</x:t>
  </x:si>
  <x:si>
    <x:t>http://id.who.int/icd/entity/810692620</x:t>
  </x:si>
  <x:si>
    <x:t>http://id.who.int/icd/release/11/beta/ichi/810692620</x:t>
  </x:si>
  <x:si>
    <x:t>- - - - - - Quadriceps femoris tendon</x:t>
  </x:si>
  <x:si>
    <x:t>http://id.who.int/icd/entity/69186420</x:t>
  </x:si>
  <x:si>
    <x:t>http://id.who.int/icd/release/11/beta/ichi/69186420</x:t>
  </x:si>
  <x:si>
    <x:t>- - - - - - Rectus femoris tendon</x:t>
  </x:si>
  <x:si>
    <x:t>http://id.who.int/icd/entity/1014624341</x:t>
  </x:si>
  <x:si>
    <x:t>http://id.who.int/icd/release/11/beta/ichi/1014624341</x:t>
  </x:si>
  <x:si>
    <x:t>- - - - - - Sartorius tendon</x:t>
  </x:si>
  <x:si>
    <x:t>http://id.who.int/icd/entity/83975445</x:t>
  </x:si>
  <x:si>
    <x:t>http://id.who.int/icd/release/11/beta/ichi/83975445</x:t>
  </x:si>
  <x:si>
    <x:t>- - - - - - Semimembranosus tendon</x:t>
  </x:si>
  <x:si>
    <x:t>http://id.who.int/icd/entity/304691669</x:t>
  </x:si>
  <x:si>
    <x:t>http://id.who.int/icd/release/11/beta/ichi/304691669</x:t>
  </x:si>
  <x:si>
    <x:t>- - - - - - Semitendinosus tendon</x:t>
  </x:si>
  <x:si>
    <x:t>http://id.who.int/icd/entity/2012219285</x:t>
  </x:si>
  <x:si>
    <x:t>http://id.who.int/icd/release/11/beta/ichi/2012219285</x:t>
  </x:si>
  <x:si>
    <x:t>- - - - - - Soleus tendon</x:t>
  </x:si>
  <x:si>
    <x:t>http://id.who.int/icd/entity/1624793941</x:t>
  </x:si>
  <x:si>
    <x:t>http://id.who.int/icd/release/11/beta/ichi/1624793941</x:t>
  </x:si>
  <x:si>
    <x:t>- - - - - - Tensor fasciae lata tendon</x:t>
  </x:si>
  <x:si>
    <x:t>http://id.who.int/icd/entity/1503710741</x:t>
  </x:si>
  <x:si>
    <x:t>http://id.who.int/icd/release/11/beta/ichi/1503710741</x:t>
  </x:si>
  <x:si>
    <x:t>- - - - - - Tibialis anterior tendon</x:t>
  </x:si>
  <x:si>
    <x:t>http://id.who.int/icd/entity/1317579477</x:t>
  </x:si>
  <x:si>
    <x:t>http://id.who.int/icd/release/11/beta/ichi/1317579477</x:t>
  </x:si>
  <x:si>
    <x:t>- - - - - - Tibialis posterior tendon</x:t>
  </x:si>
  <x:si>
    <x:t>http://id.who.int/icd/entity/1844268395</x:t>
  </x:si>
  <x:si>
    <x:t>http://id.who.int/icd/release/11/beta/ichi/1844268395</x:t>
  </x:si>
  <x:si>
    <x:t>- - - - - - Vastus intermedius tendon</x:t>
  </x:si>
  <x:si>
    <x:t>http://id.who.int/icd/entity/1620808805</x:t>
  </x:si>
  <x:si>
    <x:t>http://id.who.int/icd/release/11/beta/ichi/1620808805</x:t>
  </x:si>
  <x:si>
    <x:t>- - - - - - Vastus lateralis tendon</x:t>
  </x:si>
  <x:si>
    <x:t>http://id.who.int/icd/entity/2008281253</x:t>
  </x:si>
  <x:si>
    <x:t>http://id.who.int/icd/release/11/beta/ichi/2008281253</x:t>
  </x:si>
  <x:si>
    <x:t>- - - - - - Vastus medialis tendon</x:t>
  </x:si>
  <x:si>
    <x:t>http://id.who.int/icd/entity/2001178851</x:t>
  </x:si>
  <x:si>
    <x:t>http://id.who.int/icd/release/11/beta/ichi/2001178851</x:t>
  </x:si>
  <x:si>
    <x:t>- - - - - Enthesis</x:t>
  </x:si>
  <x:si>
    <x:t>http://id.who.int/icd/entity/1312767395</x:t>
  </x:si>
  <x:si>
    <x:t>http://id.who.int/icd/release/11/beta/ichi/1312767395</x:t>
  </x:si>
  <x:si>
    <x:t>- - - - Bursa</x:t>
  </x:si>
  <x:si>
    <x:t>http://id.who.int/icd/entity/1023534927</x:t>
  </x:si>
  <x:si>
    <x:t>http://id.who.int/icd/release/11/beta/ichi/1023534927</x:t>
  </x:si>
  <x:si>
    <x:t>- - - - - Bursa olecrani</x:t>
  </x:si>
  <x:si>
    <x:t>http://id.who.int/icd/entity/1494334428</x:t>
  </x:si>
  <x:si>
    <x:t>http://id.who.int/icd/release/11/beta/ichi/1494334428</x:t>
  </x:si>
  <x:si>
    <x:t>- - - - - Bursa praepatellaris</x:t>
  </x:si>
  <x:si>
    <x:t>http://id.who.int/icd/entity/1803734370</x:t>
  </x:si>
  <x:si>
    <x:t>http://id.who.int/icd/release/11/beta/ichi/1803734370</x:t>
  </x:si>
  <x:si>
    <x:t>- - - Genitourinary system</x:t>
  </x:si>
  <x:si>
    <x:t>http://id.who.int/icd/entity/1223109342</x:t>
  </x:si>
  <x:si>
    <x:t>http://id.who.int/icd/release/11/beta/ichi/1223109342</x:t>
  </x:si>
  <x:si>
    <x:t>http://id.who.int/icd/entity/466270993</x:t>
  </x:si>
  <x:si>
    <x:t>http://id.who.int/icd/release/11/beta/ichi/466270993</x:t>
  </x:si>
  <x:si>
    <x:t>- - - - - Urinary tract, not elsewhere classified</x:t>
  </x:si>
  <x:si>
    <x:t>http://id.who.int/icd/entity/1906280350</x:t>
  </x:si>
  <x:si>
    <x:t>http://id.who.int/icd/release/11/beta/ichi/1906280350</x:t>
  </x:si>
  <x:si>
    <x:t>- - - - - - Lower urinary tract</x:t>
  </x:si>
  <x:si>
    <x:t>http://id.who.int/icd/entity/1723327326</x:t>
  </x:si>
  <x:si>
    <x:t>http://id.who.int/icd/release/11/beta/ichi/1723327326</x:t>
  </x:si>
  <x:si>
    <x:t>- - - - - - Upper urinary tract</x:t>
  </x:si>
  <x:si>
    <x:t>http://id.who.int/icd/entity/2091559330</x:t>
  </x:si>
  <x:si>
    <x:t>http://id.who.int/icd/release/11/beta/ichi/2091559330</x:t>
  </x:si>
  <x:si>
    <x:t>- - - - Reproductive system</x:t>
  </x:si>
  <x:si>
    <x:t>http://id.who.int/icd/entity/1678247922</x:t>
  </x:si>
  <x:si>
    <x:t>http://id.who.int/icd/release/11/beta/ichi/1678247922</x:t>
  </x:si>
  <x:si>
    <x:t>- - - - - Male genital organs</x:t>
  </x:si>
  <x:si>
    <x:t>http://id.who.int/icd/entity/413436285</x:t>
  </x:si>
  <x:si>
    <x:t>http://id.who.int/icd/release/11/beta/ichi/413436285</x:t>
  </x:si>
  <x:si>
    <x:t>- - - - - - Epididymis</x:t>
  </x:si>
  <x:si>
    <x:t>http://id.who.int/icd/entity/753469955</x:t>
  </x:si>
  <x:si>
    <x:t>http://id.who.int/icd/release/11/beta/ichi/753469955</x:t>
  </x:si>
  <x:si>
    <x:t>- - - - - - Spermatic cord</x:t>
  </x:si>
  <x:si>
    <x:t>http://id.who.int/icd/entity/260894141</x:t>
  </x:si>
  <x:si>
    <x:t>http://id.who.int/icd/release/11/beta/ichi/260894141</x:t>
  </x:si>
  <x:si>
    <x:t>- - - - - - - Vas deferens</x:t>
  </x:si>
  <x:si>
    <x:t>http://id.who.int/icd/entity/254558521</x:t>
  </x:si>
  <x:si>
    <x:t>http://id.who.int/icd/release/11/beta/ichi/254558521</x:t>
  </x:si>
  <x:si>
    <x:t>- - - - - - Seminal vesicle</x:t>
  </x:si>
  <x:si>
    <x:t>http://id.who.int/icd/entity/344632447</x:t>
  </x:si>
  <x:si>
    <x:t>http://id.who.int/icd/release/11/beta/ichi/344632447</x:t>
  </x:si>
  <x:si>
    <x:t>- - - - - Female genital organs</x:t>
  </x:si>
  <x:si>
    <x:t>http://id.who.int/icd/entity/2002162149</x:t>
  </x:si>
  <x:si>
    <x:t>http://id.who.int/icd/release/11/beta/ichi/2002162149</x:t>
  </x:si>
  <x:si>
    <x:t>- - - - - - Uterine adnexa</x:t>
  </x:si>
  <x:si>
    <x:t>http://id.who.int/icd/entity/564122381</x:t>
  </x:si>
  <x:si>
    <x:t>http://id.who.int/icd/release/11/beta/ichi/564122381</x:t>
  </x:si>
  <x:si>
    <x:t>- - - - - - - Parametrium</x:t>
  </x:si>
  <x:si>
    <x:t>http://id.who.int/icd/entity/594549745</x:t>
  </x:si>
  <x:si>
    <x:t>http://id.who.int/icd/release/11/beta/ichi/594549745</x:t>
  </x:si>
  <x:si>
    <x:t>- - - - - Embryological structures</x:t>
  </x:si>
  <x:si>
    <x:t>http://id.who.int/icd/entity/184539860</x:t>
  </x:si>
  <x:si>
    <x:t>http://id.who.int/icd/release/11/beta/ichi/184539860</x:t>
  </x:si>
  <x:si>
    <x:t>- - - - - - Embryo</x:t>
  </x:si>
  <x:si>
    <x:t>http://id.who.int/icd/entity/14011850</x:t>
  </x:si>
  <x:si>
    <x:t>http://id.who.int/icd/release/11/beta/ichi/14011850</x:t>
  </x:si>
  <x:si>
    <x:t>- - - - - - Fetus</x:t>
  </x:si>
  <x:si>
    <x:t>http://id.who.int/icd/entity/1192277156</x:t>
  </x:si>
  <x:si>
    <x:t>http://id.who.int/icd/release/11/beta/ichi/1192277156</x:t>
  </x:si>
  <x:si>
    <x:t>- - - - - - Fetal membranes</x:t>
  </x:si>
  <x:si>
    <x:t>http://id.who.int/icd/entity/1941937141</x:t>
  </x:si>
  <x:si>
    <x:t>http://id.who.int/icd/release/11/beta/ichi/1941937141</x:t>
  </x:si>
  <x:si>
    <x:t>- - - - - - - Amniotic sac</x:t>
  </x:si>
  <x:si>
    <x:t>http://id.who.int/icd/entity/1901492070</x:t>
  </x:si>
  <x:si>
    <x:t>http://id.who.int/icd/release/11/beta/ichi/1901492070</x:t>
  </x:si>
  <x:si>
    <x:t>- - - - - - - - Amnion</x:t>
  </x:si>
  <x:si>
    <x:t>http://id.who.int/icd/entity/156594054</x:t>
  </x:si>
  <x:si>
    <x:t>http://id.who.int/icd/release/11/beta/ichi/156594054</x:t>
  </x:si>
  <x:si>
    <x:t>- - - - - - - - Chorion</x:t>
  </x:si>
  <x:si>
    <x:t>http://id.who.int/icd/entity/1190795105</x:t>
  </x:si>
  <x:si>
    <x:t>http://id.who.int/icd/release/11/beta/ichi/1190795105</x:t>
  </x:si>
  <x:si>
    <x:t>- - - - - - - Allantois</x:t>
  </x:si>
  <x:si>
    <x:t>http://id.who.int/icd/entity/1693317813</x:t>
  </x:si>
  <x:si>
    <x:t>http://id.who.int/icd/release/11/beta/ichi/1693317813</x:t>
  </x:si>
  <x:si>
    <x:t>- - - - - - Thyroglossal duct</x:t>
  </x:si>
  <x:si>
    <x:t>http://id.who.int/icd/entity/688763962</x:t>
  </x:si>
  <x:si>
    <x:t>http://id.who.int/icd/release/11/beta/ichi/688763962</x:t>
  </x:si>
  <x:si>
    <x:t>- - - - - - Urachus</x:t>
  </x:si>
  <x:si>
    <x:t>http://id.who.int/icd/entity/1483073922</x:t>
  </x:si>
  <x:si>
    <x:t>http://id.who.int/icd/release/11/beta/ichi/1483073922</x:t>
  </x:si>
  <x:si>
    <x:t>- - - - - - Umbilical cord</x:t>
  </x:si>
  <x:si>
    <x:t>http://id.who.int/icd/entity/1509166126</x:t>
  </x:si>
  <x:si>
    <x:t>http://id.who.int/icd/release/11/beta/ichi/1509166126</x:t>
  </x:si>
  <x:si>
    <x:t>- - Partonomic view</x:t>
  </x:si>
  <x:si>
    <x:t>http://id.who.int/icd/entity/1144883259</x:t>
  </x:si>
  <x:si>
    <x:t>http://id.who.int/icd/release/11/beta/ichi/1144883259</x:t>
  </x:si>
  <x:si>
    <x:t>- - - Walls in the Body</x:t>
  </x:si>
  <x:si>
    <x:t>http://id.who.int/icd/entity/119571850</x:t>
  </x:si>
  <x:si>
    <x:t>http://id.who.int/icd/release/11/beta/ichi/119571850</x:t>
  </x:si>
  <x:si>
    <x:t>- - - - Abdominal wall</x:t>
  </x:si>
  <x:si>
    <x:t>http://id.who.int/icd/entity/1660533706</x:t>
  </x:si>
  <x:si>
    <x:t>http://id.who.int/icd/release/11/beta/ichi/1660533706</x:t>
  </x:si>
  <x:si>
    <x:t>- - - - - Anterior abdominal wall</x:t>
  </x:si>
  <x:si>
    <x:t>http://id.who.int/icd/entity/1286173258</x:t>
  </x:si>
  <x:si>
    <x:t>http://id.who.int/icd/release/11/beta/ichi/1286173258</x:t>
  </x:si>
  <x:si>
    <x:t>- - - - - Iliac region</x:t>
  </x:si>
  <x:si>
    <x:t>http://id.who.int/icd/entity/1045965002</x:t>
  </x:si>
  <x:si>
    <x:t>http://id.who.int/icd/release/11/beta/ichi/1045965002</x:t>
  </x:si>
  <x:si>
    <x:t>- - - - - Lateral lumbar region</x:t>
  </x:si>
  <x:si>
    <x:t>http://id.who.int/icd/entity/1535186570</x:t>
  </x:si>
  <x:si>
    <x:t>http://id.who.int/icd/release/11/beta/ichi/1535186570</x:t>
  </x:si>
  <x:si>
    <x:t>- - - - - Periumbilical region</x:t>
  </x:si>
  <x:si>
    <x:t>http://id.who.int/icd/entity/1330482498</x:t>
  </x:si>
  <x:si>
    <x:t>http://id.who.int/icd/release/11/beta/ichi/1330482498</x:t>
  </x:si>
  <x:si>
    <x:t>- - - - - - Umbilicus</x:t>
  </x:si>
  <x:si>
    <x:t>http://id.who.int/icd/entity/695225354</x:t>
  </x:si>
  <x:si>
    <x:t>http://id.who.int/icd/release/11/beta/ichi/695225354</x:t>
  </x:si>
  <x:si>
    <x:t>- - - - - Suprapubic area</x:t>
  </x:si>
  <x:si>
    <x:t>http://id.who.int/icd/entity/1871667908</x:t>
  </x:si>
  <x:si>
    <x:t>http://id.who.int/icd/release/11/beta/ichi/1871667908</x:t>
  </x:si>
  <x:si>
    <x:t>- - - - - Epigastrium</x:t>
  </x:si>
  <x:si>
    <x:t>http://id.who.int/icd/entity/1976688394</x:t>
  </x:si>
  <x:si>
    <x:t>http://id.who.int/icd/release/11/beta/ichi/1976688394</x:t>
  </x:si>
  <x:si>
    <x:t>- - - - - Hypochondrium</x:t>
  </x:si>
  <x:si>
    <x:t>http://id.who.int/icd/entity/2024211972</x:t>
  </x:si>
  <x:si>
    <x:t>http://id.who.int/icd/release/11/beta/ichi/2024211972</x:t>
  </x:si>
  <x:si>
    <x:t>- - - - Alveolar wall</x:t>
  </x:si>
  <x:si>
    <x:t>http://id.who.int/icd/entity/608526902</x:t>
  </x:si>
  <x:si>
    <x:t>http://id.who.int/icd/release/11/beta/ichi/608526902</x:t>
  </x:si>
  <x:si>
    <x:t>- - - - Bladder wall</x:t>
  </x:si>
  <x:si>
    <x:t>http://id.who.int/icd/entity/783346505</x:t>
  </x:si>
  <x:si>
    <x:t>http://id.who.int/icd/release/11/beta/ichi/783346505</x:t>
  </x:si>
  <x:si>
    <x:t>- - - - - Lateral wall of bladder</x:t>
  </x:si>
  <x:si>
    <x:t>http://id.who.int/icd/entity/1491295975</x:t>
  </x:si>
  <x:si>
    <x:t>http://id.who.int/icd/release/11/beta/ichi/1491295975</x:t>
  </x:si>
  <x:si>
    <x:t>- - - - - Anterior wall of bladder</x:t>
  </x:si>
  <x:si>
    <x:t>http://id.who.int/icd/entity/1142846482</x:t>
  </x:si>
  <x:si>
    <x:t>http://id.who.int/icd/release/11/beta/ichi/1142846482</x:t>
  </x:si>
  <x:si>
    <x:t>- - - - - Posterior wall of bladder</x:t>
  </x:si>
  <x:si>
    <x:t>http://id.who.int/icd/entity/183766859</x:t>
  </x:si>
  <x:si>
    <x:t>http://id.who.int/icd/release/11/beta/ichi/183766859</x:t>
  </x:si>
  <x:si>
    <x:t>- - - - - Superior wall of bladder</x:t>
  </x:si>
  <x:si>
    <x:t>http://id.who.int/icd/entity/355387376</x:t>
  </x:si>
  <x:si>
    <x:t>http://id.who.int/icd/release/11/beta/ichi/355387376</x:t>
  </x:si>
  <x:si>
    <x:t>- - - - - Trigone of urinary bladder - duplication</x:t>
  </x:si>
  <x:si>
    <x:t>http://id.who.int/icd/entity/508369172</x:t>
  </x:si>
  <x:si>
    <x:t>http://id.who.int/icd/release/11/beta/ichi/508369172</x:t>
  </x:si>
  <x:si>
    <x:t>- - - - - Trigone of bladder</x:t>
  </x:si>
  <x:si>
    <x:t>http://id.who.int/icd/entity/1392687323</x:t>
  </x:si>
  <x:si>
    <x:t>http://id.who.int/icd/release/11/beta/ichi/1392687323</x:t>
  </x:si>
  <x:si>
    <x:t>- - - - - - Ureteric orifice</x:t>
  </x:si>
  <x:si>
    <x:t>http://id.who.int/icd/entity/2059975565</x:t>
  </x:si>
  <x:si>
    <x:t>http://id.who.int/icd/release/11/beta/ichi/2059975565</x:t>
  </x:si>
  <x:si>
    <x:t>- - - - - - Internal urethral orifice</x:t>
  </x:si>
  <x:si>
    <x:t>http://id.who.int/icd/entity/1859287955</x:t>
  </x:si>
  <x:si>
    <x:t>http://id.who.int/icd/release/11/beta/ichi/1859287955</x:t>
  </x:si>
  <x:si>
    <x:t>- - - - Cardiac septum</x:t>
  </x:si>
  <x:si>
    <x:t>http://id.who.int/icd/entity/2046435155</x:t>
  </x:si>
  <x:si>
    <x:t>http://id.who.int/icd/release/11/beta/ichi/2046435155</x:t>
  </x:si>
  <x:si>
    <x:t>- - - - - Interatrial septum</x:t>
  </x:si>
  <x:si>
    <x:t>http://id.who.int/icd/entity/1082307091</x:t>
  </x:si>
  <x:si>
    <x:t>http://id.who.int/icd/release/11/beta/ichi/1082307091</x:t>
  </x:si>
  <x:si>
    <x:t>- - - - - Interventricular septum</x:t>
  </x:si>
  <x:si>
    <x:t>http://id.who.int/icd/entity/476108323</x:t>
  </x:si>
  <x:si>
    <x:t>http://id.who.int/icd/release/11/beta/ichi/476108323</x:t>
  </x:si>
  <x:si>
    <x:t>- - - - Cell wall</x:t>
  </x:si>
  <x:si>
    <x:t>http://id.who.int/icd/entity/1656376572</x:t>
  </x:si>
  <x:si>
    <x:t>http://id.who.int/icd/release/11/beta/ichi/1656376572</x:t>
  </x:si>
  <x:si>
    <x:t>- - - - Chest wall</x:t>
  </x:si>
  <x:si>
    <x:t>http://id.who.int/icd/entity/108895453</x:t>
  </x:si>
  <x:si>
    <x:t>http://id.who.int/icd/release/11/beta/ichi/108895453</x:t>
  </x:si>
  <x:si>
    <x:t>- - - - - Anterior thoracic region</x:t>
  </x:si>
  <x:si>
    <x:t>http://id.who.int/icd/entity/842014627</x:t>
  </x:si>
  <x:si>
    <x:t>http://id.who.int/icd/release/11/beta/ichi/842014627</x:t>
  </x:si>
  <x:si>
    <x:t>- - - - - - Upper anterior thoracic region</x:t>
  </x:si>
  <x:si>
    <x:t>http://id.who.int/icd/entity/1765843606</x:t>
  </x:si>
  <x:si>
    <x:t>http://id.who.int/icd/release/11/beta/ichi/1765843606</x:t>
  </x:si>
  <x:si>
    <x:t>- - - - - - - Clavicular region</x:t>
  </x:si>
  <x:si>
    <x:t>http://id.who.int/icd/entity/189313763</x:t>
  </x:si>
  <x:si>
    <x:t>http://id.who.int/icd/release/11/beta/ichi/189313763</x:t>
  </x:si>
  <x:si>
    <x:t>- - - - - - - Infraclavicular region</x:t>
  </x:si>
  <x:si>
    <x:t>http://id.who.int/icd/entity/1127512008</x:t>
  </x:si>
  <x:si>
    <x:t>http://id.who.int/icd/release/11/beta/ichi/1127512008</x:t>
  </x:si>
  <x:si>
    <x:t>- - - - - - - Presternal region</x:t>
  </x:si>
  <x:si>
    <x:t>http://id.who.int/icd/entity/622361443</x:t>
  </x:si>
  <x:si>
    <x:t>http://id.who.int/icd/release/11/beta/ichi/622361443</x:t>
  </x:si>
  <x:si>
    <x:t>- - - - - - Lower anterior thoracic region</x:t>
  </x:si>
  <x:si>
    <x:t>http://id.who.int/icd/entity/691256124</x:t>
  </x:si>
  <x:si>
    <x:t>http://id.who.int/icd/release/11/beta/ichi/691256124</x:t>
  </x:si>
  <x:si>
    <x:t>- - - - - Lateral thoracic region</x:t>
  </x:si>
  <x:si>
    <x:t>http://id.who.int/icd/entity/290846749</x:t>
  </x:si>
  <x:si>
    <x:t>http://id.who.int/icd/release/11/beta/ichi/290846749</x:t>
  </x:si>
  <x:si>
    <x:t>- - - - - - Upper lateral thoracic region</x:t>
  </x:si>
  <x:si>
    <x:t>http://id.who.int/icd/entity/333979143</x:t>
  </x:si>
  <x:si>
    <x:t>http://id.who.int/icd/release/11/beta/ichi/333979143</x:t>
  </x:si>
  <x:si>
    <x:t>- - - - - - - Anterolateral upper thoracic region</x:t>
  </x:si>
  <x:si>
    <x:t>http://id.who.int/icd/entity/1505751908</x:t>
  </x:si>
  <x:si>
    <x:t>http://id.who.int/icd/release/11/beta/ichi/1505751908</x:t>
  </x:si>
  <x:si>
    <x:t>- - - - - - - Posterolateral upper thoracic region</x:t>
  </x:si>
  <x:si>
    <x:t>http://id.who.int/icd/entity/1042014204</x:t>
  </x:si>
  <x:si>
    <x:t>http://id.who.int/icd/release/11/beta/ichi/1042014204</x:t>
  </x:si>
  <x:si>
    <x:t>- - - - - - Lower lateral thoracic region</x:t>
  </x:si>
  <x:si>
    <x:t>http://id.who.int/icd/entity/1942693426</x:t>
  </x:si>
  <x:si>
    <x:t>http://id.who.int/icd/release/11/beta/ichi/1942693426</x:t>
  </x:si>
  <x:si>
    <x:t>- - - - - - - Anterolateral lower thoracic region</x:t>
  </x:si>
  <x:si>
    <x:t>http://id.who.int/icd/entity/1499073524</x:t>
  </x:si>
  <x:si>
    <x:t>http://id.who.int/icd/release/11/beta/ichi/1499073524</x:t>
  </x:si>
  <x:si>
    <x:t>- - - - - - - Posterolateral lower thoracic region</x:t>
  </x:si>
  <x:si>
    <x:t>http://id.who.int/icd/entity/1393945851</x:t>
  </x:si>
  <x:si>
    <x:t>http://id.who.int/icd/release/11/beta/ichi/1393945851</x:t>
  </x:si>
  <x:si>
    <x:t>- - - - Intestinal Wall</x:t>
  </x:si>
  <x:si>
    <x:t>http://id.who.int/icd/entity/185288147</x:t>
  </x:si>
  <x:si>
    <x:t>http://id.who.int/icd/release/11/beta/ichi/185288147</x:t>
  </x:si>
  <x:si>
    <x:t>- - - - Nasal septum</x:t>
  </x:si>
  <x:si>
    <x:t>http://id.who.int/icd/entity/2042226787</x:t>
  </x:si>
  <x:si>
    <x:t>http://id.who.int/icd/release/11/beta/ichi/2042226787</x:t>
  </x:si>
  <x:si>
    <x:t>- - - - Oral floor</x:t>
  </x:si>
  <x:si>
    <x:t>http://id.who.int/icd/entity/1855032483</x:t>
  </x:si>
  <x:si>
    <x:t>http://id.who.int/icd/release/11/beta/ichi/1855032483</x:t>
  </x:si>
  <x:si>
    <x:t>- - - - Orbital roof</x:t>
  </x:si>
  <x:si>
    <x:t>http://id.who.int/icd/entity/1906679169</x:t>
  </x:si>
  <x:si>
    <x:t>http://id.who.int/icd/release/11/beta/ichi/1906679169</x:t>
  </x:si>
  <x:si>
    <x:t>- - - - Orbital floor</x:t>
  </x:si>
  <x:si>
    <x:t>http://id.who.int/icd/entity/1290438012</x:t>
  </x:si>
  <x:si>
    <x:t>http://id.who.int/icd/release/11/beta/ichi/1290438012</x:t>
  </x:si>
  <x:si>
    <x:t>- - - - Parietal wall</x:t>
  </x:si>
  <x:si>
    <x:t>http://id.who.int/icd/entity/1520433389</x:t>
  </x:si>
  <x:si>
    <x:t>http://id.who.int/icd/release/11/beta/ichi/1520433389</x:t>
  </x:si>
  <x:si>
    <x:t>- - - - Pelvic floor</x:t>
  </x:si>
  <x:si>
    <x:t>http://id.who.int/icd/entity/836634455</x:t>
  </x:si>
  <x:si>
    <x:t>http://id.who.int/icd/release/11/beta/ichi/836634455</x:t>
  </x:si>
  <x:si>
    <x:t>- - - - Rectovesical septum</x:t>
  </x:si>
  <x:si>
    <x:t>http://id.who.int/icd/entity/269017418</x:t>
  </x:si>
  <x:si>
    <x:t>http://id.who.int/icd/release/11/beta/ichi/269017418</x:t>
  </x:si>
  <x:si>
    <x:t>- - - - Uterine wall</x:t>
  </x:si>
  <x:si>
    <x:t>http://id.who.int/icd/entity/862783222</x:t>
  </x:si>
  <x:si>
    <x:t>http://id.who.int/icd/release/11/beta/ichi/862783222</x:t>
  </x:si>
  <x:si>
    <x:t>- - - - Vaginal wall</x:t>
  </x:si>
  <x:si>
    <x:t>http://id.who.int/icd/entity/1474896355</x:t>
  </x:si>
  <x:si>
    <x:t>http://id.who.int/icd/release/11/beta/ichi/1474896355</x:t>
  </x:si>
  <x:si>
    <x:t>- - - Body Tissues</x:t>
  </x:si>
  <x:si>
    <x:t>http://id.who.int/icd/entity/230624298</x:t>
  </x:si>
  <x:si>
    <x:t>http://id.who.int/icd/release/11/beta/ichi/230624298</x:t>
  </x:si>
  <x:si>
    <x:t>- - - - Body fluid</x:t>
  </x:si>
  <x:si>
    <x:t>http://id.who.int/icd/entity/786099094</x:t>
  </x:si>
  <x:si>
    <x:t>http://id.who.int/icd/release/11/beta/ichi/786099094</x:t>
  </x:si>
  <x:si>
    <x:t>- - - - - Cerebrospinal fluid</x:t>
  </x:si>
  <x:si>
    <x:t>http://id.who.int/icd/entity/396510934</x:t>
  </x:si>
  <x:si>
    <x:t>http://id.who.int/icd/release/11/beta/ichi/396510934</x:t>
  </x:si>
  <x:si>
    <x:t>- - - - - Interstitial fluid</x:t>
  </x:si>
  <x:si>
    <x:t>http://id.who.int/icd/entity/446130410</x:t>
  </x:si>
  <x:si>
    <x:t>http://id.who.int/icd/release/11/beta/ichi/446130410</x:t>
  </x:si>
  <x:si>
    <x:t>- - - - - Serous fluid</x:t>
  </x:si>
  <x:si>
    <x:t>http://id.who.int/icd/entity/972197718</x:t>
  </x:si>
  <x:si>
    <x:t>http://id.who.int/icd/release/11/beta/ichi/972197718</x:t>
  </x:si>
  <x:si>
    <x:t>- - - - - Synovial fluid</x:t>
  </x:si>
  <x:si>
    <x:t>http://id.who.int/icd/entity/1028502910</x:t>
  </x:si>
  <x:si>
    <x:t>http://id.who.int/icd/release/11/beta/ichi/1028502910</x:t>
  </x:si>
  <x:si>
    <x:t>- - - - Bone tissue</x:t>
  </x:si>
  <x:si>
    <x:t>http://id.who.int/icd/entity/1486129982</x:t>
  </x:si>
  <x:si>
    <x:t>http://id.who.int/icd/release/11/beta/ichi/1486129982</x:t>
  </x:si>
  <x:si>
    <x:t>- - - - Collagen fibres</x:t>
  </x:si>
  <x:si>
    <x:t>http://id.who.int/icd/entity/1133981605</x:t>
  </x:si>
  <x:si>
    <x:t>http://id.who.int/icd/release/11/beta/ichi/1133981605</x:t>
  </x:si>
  <x:si>
    <x:t>- - - - Connective tissue</x:t>
  </x:si>
  <x:si>
    <x:t>http://id.who.int/icd/entity/1841817125</x:t>
  </x:si>
  <x:si>
    <x:t>http://id.who.int/icd/release/11/beta/ichi/1841817125</x:t>
  </x:si>
  <x:si>
    <x:t>- - - - - Adipose tissue</x:t>
  </x:si>
  <x:si>
    <x:t>http://id.who.int/icd/entity/1258542550</x:t>
  </x:si>
  <x:si>
    <x:t>http://id.who.int/icd/release/11/beta/ichi/1258542550</x:t>
  </x:si>
  <x:si>
    <x:t>- - - - - Fascia</x:t>
  </x:si>
  <x:si>
    <x:t>http://id.who.int/icd/entity/1421822821</x:t>
  </x:si>
  <x:si>
    <x:t>http://id.who.int/icd/release/11/beta/ichi/1421822821</x:t>
  </x:si>
  <x:si>
    <x:t>- - - - - Loose connective tissue</x:t>
  </x:si>
  <x:si>
    <x:t>http://id.who.int/icd/entity/1337782270</x:t>
  </x:si>
  <x:si>
    <x:t>http://id.who.int/icd/release/11/beta/ichi/1337782270</x:t>
  </x:si>
  <x:si>
    <x:t>- - - - - Perichondrium</x:t>
  </x:si>
  <x:si>
    <x:t>http://id.who.int/icd/entity/1992573630</x:t>
  </x:si>
  <x:si>
    <x:t>http://id.who.int/icd/release/11/beta/ichi/1992573630</x:t>
  </x:si>
  <x:si>
    <x:t>- - - - - Periodontium</x:t>
  </x:si>
  <x:si>
    <x:t>http://id.who.int/icd/entity/1642866302</x:t>
  </x:si>
  <x:si>
    <x:t>http://id.who.int/icd/release/11/beta/ichi/1642866302</x:t>
  </x:si>
  <x:si>
    <x:t>- - - - - Periosteum</x:t>
  </x:si>
  <x:si>
    <x:t>http://id.who.int/icd/entity/2119219405</x:t>
  </x:si>
  <x:si>
    <x:t>http://id.who.int/icd/release/11/beta/ichi/2119219405</x:t>
  </x:si>
  <x:si>
    <x:t>- - - - - Synovium</x:t>
  </x:si>
  <x:si>
    <x:t>http://id.who.int/icd/entity/1546367254</x:t>
  </x:si>
  <x:si>
    <x:t>http://id.who.int/icd/release/11/beta/ichi/1546367254</x:t>
  </x:si>
  <x:si>
    <x:t>- - - - - Lymphatic tissue</x:t>
  </x:si>
  <x:si>
    <x:t>http://id.who.int/icd/entity/751853343</x:t>
  </x:si>
  <x:si>
    <x:t>http://id.who.int/icd/release/11/beta/ichi/751853343</x:t>
  </x:si>
  <x:si>
    <x:t>- - - - - Soft tissue, not elsewhere classified</x:t>
  </x:si>
  <x:si>
    <x:t>http://id.who.int/icd/entity/623958825</x:t>
  </x:si>
  <x:si>
    <x:t>http://id.who.int/icd/release/11/beta/ichi/623958825</x:t>
  </x:si>
  <x:si>
    <x:t>- - - - - - Soft tissue of limb, not elsewhere classified</x:t>
  </x:si>
  <x:si>
    <x:t>http://id.who.int/icd/entity/461997709</x:t>
  </x:si>
  <x:si>
    <x:t>http://id.who.int/icd/release/11/beta/ichi/461997709</x:t>
  </x:si>
  <x:si>
    <x:t>- - - - Epithelium</x:t>
  </x:si>
  <x:si>
    <x:t>http://id.who.int/icd/entity/1193809293</x:t>
  </x:si>
  <x:si>
    <x:t>http://id.who.int/icd/release/11/beta/ichi/1193809293</x:t>
  </x:si>
  <x:si>
    <x:t>- - - - - Mucosa</x:t>
  </x:si>
  <x:si>
    <x:t>http://id.who.int/icd/entity/1920694422</x:t>
  </x:si>
  <x:si>
    <x:t>http://id.who.int/icd/release/11/beta/ichi/1920694422</x:t>
  </x:si>
  <x:si>
    <x:t>- - - - - Mesothelium</x:t>
  </x:si>
  <x:si>
    <x:t>http://id.who.int/icd/entity/342190642</x:t>
  </x:si>
  <x:si>
    <x:t>http://id.who.int/icd/release/11/beta/ichi/342190642</x:t>
  </x:si>
  <x:si>
    <x:t>- - - - Gamete</x:t>
  </x:si>
  <x:si>
    <x:t>http://id.who.int/icd/entity/1641279043</x:t>
  </x:si>
  <x:si>
    <x:t>http://id.who.int/icd/release/11/beta/ichi/1641279043</x:t>
  </x:si>
  <x:si>
    <x:t>- - - - - Female gamete</x:t>
  </x:si>
  <x:si>
    <x:t>http://id.who.int/icd/entity/67650550</x:t>
  </x:si>
  <x:si>
    <x:t>http://id.who.int/icd/release/11/beta/ichi/67650550</x:t>
  </x:si>
  <x:si>
    <x:t>- - - - - Male gamete</x:t>
  </x:si>
  <x:si>
    <x:t>http://id.who.int/icd/entity/1205630411</x:t>
  </x:si>
  <x:si>
    <x:t>http://id.who.int/icd/release/11/beta/ichi/1205630411</x:t>
  </x:si>
  <x:si>
    <x:t>- - - - Muscle tissue</x:t>
  </x:si>
  <x:si>
    <x:t>http://id.who.int/icd/entity/1770830923</x:t>
  </x:si>
  <x:si>
    <x:t>http://id.who.int/icd/release/11/beta/ichi/1770830923</x:t>
  </x:si>
  <x:si>
    <x:t>- - - - - Cardiac muscle</x:t>
  </x:si>
  <x:si>
    <x:t>http://id.who.int/icd/entity/2124732555</x:t>
  </x:si>
  <x:si>
    <x:t>http://id.who.int/icd/release/11/beta/ichi/2124732555</x:t>
  </x:si>
  <x:si>
    <x:t>- - - - - Skeletal muscle</x:t>
  </x:si>
  <x:si>
    <x:t>http://id.who.int/icd/entity/206930443</x:t>
  </x:si>
  <x:si>
    <x:t>http://id.who.int/icd/release/11/beta/ichi/206930443</x:t>
  </x:si>
  <x:si>
    <x:t>- - - - - Smooth muscle</x:t>
  </x:si>
  <x:si>
    <x:t>http://id.who.int/icd/entity/729497563</x:t>
  </x:si>
  <x:si>
    <x:t>http://id.who.int/icd/release/11/beta/ichi/729497563</x:t>
  </x:si>
  <x:si>
    <x:t>- - - - Nervous Tissue</x:t>
  </x:si>
  <x:si>
    <x:t>http://id.who.int/icd/entity/1012095771</x:t>
  </x:si>
  <x:si>
    <x:t>http://id.who.int/icd/release/11/beta/ichi/1012095771</x:t>
  </x:si>
  <x:si>
    <x:t>- - - - - Neuroglia</x:t>
  </x:si>
  <x:si>
    <x:t>http://id.who.int/icd/entity/523680933</x:t>
  </x:si>
  <x:si>
    <x:t>http://id.who.int/icd/release/11/beta/ichi/523680933</x:t>
  </x:si>
  <x:si>
    <x:t>- - - - - Neuron</x:t>
  </x:si>
  <x:si>
    <x:t>http://id.who.int/icd/entity/828798245</x:t>
  </x:si>
  <x:si>
    <x:t>http://id.who.int/icd/release/11/beta/ichi/828798245</x:t>
  </x:si>
  <x:si>
    <x:t>- - - - - - Interneuron</x:t>
  </x:si>
  <x:si>
    <x:t>http://id.who.int/icd/entity/136239205</x:t>
  </x:si>
  <x:si>
    <x:t>http://id.who.int/icd/release/11/beta/ichi/136239205</x:t>
  </x:si>
  <x:si>
    <x:t>- - - - - - Motor Neuron</x:t>
  </x:si>
  <x:si>
    <x:t>http://id.who.int/icd/entity/642650597</x:t>
  </x:si>
  <x:si>
    <x:t>http://id.who.int/icd/release/11/beta/ichi/642650597</x:t>
  </x:si>
  <x:si>
    <x:t>- - - - - - Sensory Neuron</x:t>
  </x:si>
  <x:si>
    <x:t>http://id.who.int/icd/entity/1910628372</x:t>
  </x:si>
  <x:si>
    <x:t>http://id.who.int/icd/release/11/beta/ichi/1910628372</x:t>
  </x:si>
  <x:si>
    <x:t>- - - Body Organ</x:t>
  </x:si>
  <x:si>
    <x:t>http://id.who.int/icd/entity/1339663404</x:t>
  </x:si>
  <x:si>
    <x:t>http://id.who.int/icd/release/11/beta/ichi/1339663404</x:t>
  </x:si>
  <x:si>
    <x:t>- - - - Organs of the Head and Neck</x:t>
  </x:si>
  <x:si>
    <x:t>http://id.who.int/icd/entity/1647011694</x:t>
  </x:si>
  <x:si>
    <x:t>http://id.who.int/icd/release/11/beta/ichi/1647011694</x:t>
  </x:si>
  <x:si>
    <x:t>- - - - - Glands of the Head and Neck</x:t>
  </x:si>
  <x:si>
    <x:t>http://id.who.int/icd/entity/634038213</x:t>
  </x:si>
  <x:si>
    <x:t>http://id.who.int/icd/release/11/beta/ichi/634038213</x:t>
  </x:si>
  <x:si>
    <x:t>- - - - - - Thalamus</x:t>
  </x:si>
  <x:si>
    <x:t>http://id.who.int/icd/entity/657169140</x:t>
  </x:si>
  <x:si>
    <x:t>http://id.who.int/icd/release/11/beta/ichi/657169140</x:t>
  </x:si>
  <x:si>
    <x:t>- - - - Organs of the Thorax</x:t>
  </x:si>
  <x:si>
    <x:t>http://id.who.int/icd/entity/805568052</x:t>
  </x:si>
  <x:si>
    <x:t>http://id.who.int/icd/release/11/beta/ichi/805568052</x:t>
  </x:si>
  <x:si>
    <x:t>http://id.who.int/icd/entity/1087695759</x:t>
  </x:si>
  <x:si>
    <x:t>http://id.who.int/icd/release/11/beta/ichi/1087695759</x:t>
  </x:si>
  <x:si>
    <x:t>- - - - - - Visceral pleura</x:t>
  </x:si>
  <x:si>
    <x:t>http://id.who.int/icd/entity/266085146</x:t>
  </x:si>
  <x:si>
    <x:t>http://id.who.int/icd/release/11/beta/ichi/266085146</x:t>
  </x:si>
  <x:si>
    <x:t>- - - - - - Parietal pleura</x:t>
  </x:si>
  <x:si>
    <x:t>http://id.who.int/icd/entity/538706260</x:t>
  </x:si>
  <x:si>
    <x:t>http://id.who.int/icd/release/11/beta/ichi/538706260</x:t>
  </x:si>
  <x:si>
    <x:t>- - - Body Cavities</x:t>
  </x:si>
  <x:si>
    <x:t>http://id.who.int/icd/entity/1804990100</x:t>
  </x:si>
  <x:si>
    <x:t>http://id.who.int/icd/release/11/beta/ichi/1804990100</x:t>
  </x:si>
  <x:si>
    <x:t>- - - - Chamber of the heart</x:t>
  </x:si>
  <x:si>
    <x:t>http://id.who.int/icd/entity/1170554644</x:t>
  </x:si>
  <x:si>
    <x:t>http://id.who.int/icd/release/11/beta/ichi/1170554644</x:t>
  </x:si>
  <x:si>
    <x:t>- - - - - Cardiac atrium</x:t>
  </x:si>
  <x:si>
    <x:t>http://id.who.int/icd/entity/236819908</x:t>
  </x:si>
  <x:si>
    <x:t>http://id.who.int/icd/release/11/beta/ichi/236819908</x:t>
  </x:si>
  <x:si>
    <x:t>- - - - - - Left atrium</x:t>
  </x:si>
  <x:si>
    <x:t>http://id.who.int/icd/entity/15812452</x:t>
  </x:si>
  <x:si>
    <x:t>http://id.who.int/icd/release/11/beta/ichi/15812452</x:t>
  </x:si>
  <x:si>
    <x:t>- - - - - - - Mitral valve</x:t>
  </x:si>
  <x:si>
    <x:t>http://id.who.int/icd/entity/1628035069</x:t>
  </x:si>
  <x:si>
    <x:t>http://id.who.int/icd/release/11/beta/ichi/1628035069</x:t>
  </x:si>
  <x:si>
    <x:t>- - - - - - - - Cusps of mitral valve</x:t>
  </x:si>
  <x:si>
    <x:t>http://id.who.int/icd/entity/395424725</x:t>
  </x:si>
  <x:si>
    <x:t>http://id.who.int/icd/release/11/beta/ichi/395424725</x:t>
  </x:si>
  <x:si>
    <x:t>- - - - - - - - Chordae tendineae of mitral valve</x:t>
  </x:si>
  <x:si>
    <x:t>http://id.who.int/icd/entity/541780232</x:t>
  </x:si>
  <x:si>
    <x:t>http://id.who.int/icd/release/11/beta/ichi/541780232</x:t>
  </x:si>
  <x:si>
    <x:t>- - - - - - Right atrium</x:t>
  </x:si>
  <x:si>
    <x:t>http://id.who.int/icd/entity/782339812</x:t>
  </x:si>
  <x:si>
    <x:t>http://id.who.int/icd/release/11/beta/ichi/782339812</x:t>
  </x:si>
  <x:si>
    <x:t>- - - - - - - Tricuspid valve</x:t>
  </x:si>
  <x:si>
    <x:t>http://id.who.int/icd/entity/1248494799</x:t>
  </x:si>
  <x:si>
    <x:t>http://id.who.int/icd/release/11/beta/ichi/1248494799</x:t>
  </x:si>
  <x:si>
    <x:t>- - - - - - - - Cusps of tricuspid valve</x:t>
  </x:si>
  <x:si>
    <x:t>http://id.who.int/icd/entity/1088889763</x:t>
  </x:si>
  <x:si>
    <x:t>http://id.who.int/icd/release/11/beta/ichi/1088889763</x:t>
  </x:si>
  <x:si>
    <x:t>- - - - - - - - Chordae tendineae of tricuspid valve</x:t>
  </x:si>
  <x:si>
    <x:t>http://id.who.int/icd/entity/2092798548</x:t>
  </x:si>
  <x:si>
    <x:t>http://id.who.int/icd/release/11/beta/ichi/2092798548</x:t>
  </x:si>
  <x:si>
    <x:t>- - - - - Cardiac ventricle</x:t>
  </x:si>
  <x:si>
    <x:t>http://id.who.int/icd/entity/1967609767</x:t>
  </x:si>
  <x:si>
    <x:t>http://id.who.int/icd/release/11/beta/ichi/1967609767</x:t>
  </x:si>
  <x:si>
    <x:t>- - - - - - Left ventricle</x:t>
  </x:si>
  <x:si>
    <x:t>http://id.who.int/icd/entity/400106404</x:t>
  </x:si>
  <x:si>
    <x:t>http://id.who.int/icd/release/11/beta/ichi/400106404</x:t>
  </x:si>
  <x:si>
    <x:t>- - - - - - - Aortic valve</x:t>
  </x:si>
  <x:si>
    <x:t>http://id.who.int/icd/entity/2135163477</x:t>
  </x:si>
  <x:si>
    <x:t>http://id.who.int/icd/release/11/beta/ichi/2135163477</x:t>
  </x:si>
  <x:si>
    <x:t>- - - - - - - - Cusps of aortic valve</x:t>
  </x:si>
  <x:si>
    <x:t>http://id.who.int/icd/entity/1058060994</x:t>
  </x:si>
  <x:si>
    <x:t>http://id.who.int/icd/release/11/beta/ichi/1058060994</x:t>
  </x:si>
  <x:si>
    <x:t>- - - - - - - Left ventricular papillary muscles</x:t>
  </x:si>
  <x:si>
    <x:t>http://id.who.int/icd/entity/979819998</x:t>
  </x:si>
  <x:si>
    <x:t>http://id.who.int/icd/release/11/beta/ichi/979819998</x:t>
  </x:si>
  <x:si>
    <x:t>- - - - - - Right ventricle</x:t>
  </x:si>
  <x:si>
    <x:t>http://id.who.int/icd/entity/1778343496</x:t>
  </x:si>
  <x:si>
    <x:t>http://id.who.int/icd/release/11/beta/ichi/1778343496</x:t>
  </x:si>
  <x:si>
    <x:t>- - - - - - - Right ventricular papillary muscles</x:t>
  </x:si>
  <x:si>
    <x:t>http://id.who.int/icd/entity/965339684</x:t>
  </x:si>
  <x:si>
    <x:t>http://id.who.int/icd/release/11/beta/ichi/965339684</x:t>
  </x:si>
  <x:si>
    <x:t>- - - - - - - Pulmonary valve</x:t>
  </x:si>
  <x:si>
    <x:t>http://id.who.int/icd/entity/920188923</x:t>
  </x:si>
  <x:si>
    <x:t>http://id.who.int/icd/release/11/beta/ichi/920188923</x:t>
  </x:si>
  <x:si>
    <x:t>- - - - - - - - Cusps of pulmonary valve</x:t>
  </x:si>
  <x:si>
    <x:t>http://id.who.int/icd/entity/1074640675</x:t>
  </x:si>
  <x:si>
    <x:t>http://id.who.int/icd/release/11/beta/ichi/1074640675</x:t>
  </x:si>
  <x:si>
    <x:t>- - - - Cranial cavity</x:t>
  </x:si>
  <x:si>
    <x:t>http://id.who.int/icd/entity/1651949308</x:t>
  </x:si>
  <x:si>
    <x:t>http://id.who.int/icd/release/11/beta/ichi/1651949308</x:t>
  </x:si>
  <x:si>
    <x:t>- - - - - Cerebral ventricle</x:t>
  </x:si>
  <x:si>
    <x:t>http://id.who.int/icd/entity/128942268</x:t>
  </x:si>
  <x:si>
    <x:t>http://id.who.int/icd/release/11/beta/ichi/128942268</x:t>
  </x:si>
  <x:si>
    <x:t>- - - - - - Lateral ventricle of the brain</x:t>
  </x:si>
  <x:si>
    <x:t>http://id.who.int/icd/entity/1054289404</x:t>
  </x:si>
  <x:si>
    <x:t>http://id.who.int/icd/release/11/beta/ichi/1054289404</x:t>
  </x:si>
  <x:si>
    <x:t>- - - - - - Third ventricle of the brain</x:t>
  </x:si>
  <x:si>
    <x:t>http://id.who.int/icd/entity/1277589372</x:t>
  </x:si>
  <x:si>
    <x:t>http://id.who.int/icd/release/11/beta/ichi/1277589372</x:t>
  </x:si>
  <x:si>
    <x:t>- - - - - - Cerebral aqueduct</x:t>
  </x:si>
  <x:si>
    <x:t>http://id.who.int/icd/entity/704596284</x:t>
  </x:si>
  <x:si>
    <x:t>http://id.who.int/icd/release/11/beta/ichi/704596284</x:t>
  </x:si>
  <x:si>
    <x:t>- - - - - - Fourth ventricle of the brain</x:t>
  </x:si>
  <x:si>
    <x:t>http://id.who.int/icd/entity/1527649212</x:t>
  </x:si>
  <x:si>
    <x:t>http://id.who.int/icd/release/11/beta/ichi/1527649212</x:t>
  </x:si>
  <x:si>
    <x:t>- - - - - - Choroid plexus</x:t>
  </x:si>
  <x:si>
    <x:t>http://id.who.int/icd/entity/1453283118</x:t>
  </x:si>
  <x:si>
    <x:t>http://id.who.int/icd/release/11/beta/ichi/1453283118</x:t>
  </x:si>
  <x:si>
    <x:t>- - - - - - Ependyma</x:t>
  </x:si>
  <x:si>
    <x:t>http://id.who.int/icd/entity/420343916</x:t>
  </x:si>
  <x:si>
    <x:t>http://id.who.int/icd/release/11/beta/ichi/420343916</x:t>
  </x:si>
  <x:si>
    <x:t>- - - - - Subarachnoid space</x:t>
  </x:si>
  <x:si>
    <x:t>http://id.who.int/icd/entity/277341308</x:t>
  </x:si>
  <x:si>
    <x:t>http://id.who.int/icd/release/11/beta/ichi/277341308</x:t>
  </x:si>
  <x:si>
    <x:t>- - - - - Subdural space</x:t>
  </x:si>
  <x:si>
    <x:t>http://id.who.int/icd/entity/855436707</x:t>
  </x:si>
  <x:si>
    <x:t>http://id.who.int/icd/release/11/beta/ichi/855436707</x:t>
  </x:si>
  <x:si>
    <x:t>- - - - Dorsal body cavity</x:t>
  </x:si>
  <x:si>
    <x:t>http://id.who.int/icd/entity/237343916</x:t>
  </x:si>
  <x:si>
    <x:t>http://id.who.int/icd/release/11/beta/ichi/237343916</x:t>
  </x:si>
  <x:si>
    <x:t>- - - - Perineural space</x:t>
  </x:si>
  <x:si>
    <x:t>http://id.who.int/icd/entity/1576643955</x:t>
  </x:si>
  <x:si>
    <x:t>http://id.who.int/icd/release/11/beta/ichi/1576643955</x:t>
  </x:si>
  <x:si>
    <x:t>- - - - Pharyngeal recess</x:t>
  </x:si>
  <x:si>
    <x:t>http://id.who.int/icd/entity/239913172</x:t>
  </x:si>
  <x:si>
    <x:t>http://id.who.int/icd/release/11/beta/ichi/239913172</x:t>
  </x:si>
  <x:si>
    <x:t>- - - - Uterine cavity</x:t>
  </x:si>
  <x:si>
    <x:t>http://id.who.int/icd/entity/873157482</x:t>
  </x:si>
  <x:si>
    <x:t>http://id.who.int/icd/release/11/beta/ichi/873157482</x:t>
  </x:si>
  <x:si>
    <x:t>- - - - Ventral body cavity</x:t>
  </x:si>
  <x:si>
    <x:t>http://id.who.int/icd/entity/1271867350</x:t>
  </x:si>
  <x:si>
    <x:t>http://id.who.int/icd/release/11/beta/ichi/1271867350</x:t>
  </x:si>
  <x:si>
    <x:t>- - - - - Abdominopelvic cavity</x:t>
  </x:si>
  <x:si>
    <x:t>http://id.who.int/icd/entity/1704980054</x:t>
  </x:si>
  <x:si>
    <x:t>http://id.who.int/icd/release/11/beta/ichi/1704980054</x:t>
  </x:si>
  <x:si>
    <x:t>- - - - - - Abdominal cavity</x:t>
  </x:si>
  <x:si>
    <x:t>http://id.who.int/icd/entity/1558659862</x:t>
  </x:si>
  <x:si>
    <x:t>http://id.who.int/icd/release/11/beta/ichi/1558659862</x:t>
  </x:si>
  <x:si>
    <x:t>- - - - - - Pelvic cavity</x:t>
  </x:si>
  <x:si>
    <x:t>http://id.who.int/icd/entity/1847974310</x:t>
  </x:si>
  <x:si>
    <x:t>http://id.who.int/icd/release/11/beta/ichi/1847974310</x:t>
  </x:si>
  <x:si>
    <x:t>- - - - - - - Ischiorectal fossa</x:t>
  </x:si>
  <x:si>
    <x:t>http://id.who.int/icd/entity/1275704927</x:t>
  </x:si>
  <x:si>
    <x:t>http://id.who.int/icd/release/11/beta/ichi/1275704927</x:t>
  </x:si>
  <x:si>
    <x:t>- - - - - - - Presacral region</x:t>
  </x:si>
  <x:si>
    <x:t>http://id.who.int/icd/entity/50429644</x:t>
  </x:si>
  <x:si>
    <x:t>http://id.who.int/icd/release/11/beta/ichi/50429644</x:t>
  </x:si>
  <x:si>
    <x:t>- - - - - - - Perirectal region</x:t>
  </x:si>
  <x:si>
    <x:t>http://id.who.int/icd/entity/1206407267</x:t>
  </x:si>
  <x:si>
    <x:t>http://id.who.int/icd/release/11/beta/ichi/1206407267</x:t>
  </x:si>
  <x:si>
    <x:t>- - - - - - - Inguinal region</x:t>
  </x:si>
  <x:si>
    <x:t>http://id.who.int/icd/entity/393131222</x:t>
  </x:si>
  <x:si>
    <x:t>http://id.who.int/icd/release/11/beta/ichi/393131222</x:t>
  </x:si>
  <x:si>
    <x:t>- - - - - Mediastinum</x:t>
  </x:si>
  <x:si>
    <x:t>http://id.who.int/icd/entity/773200278</x:t>
  </x:si>
  <x:si>
    <x:t>http://id.who.int/icd/release/11/beta/ichi/773200278</x:t>
  </x:si>
  <x:si>
    <x:t>- - - - - - Anterior mediastinum</x:t>
  </x:si>
  <x:si>
    <x:t>http://id.who.int/icd/entity/960396630</x:t>
  </x:si>
  <x:si>
    <x:t>http://id.who.int/icd/release/11/beta/ichi/960396630</x:t>
  </x:si>
  <x:si>
    <x:t>- - - - - - Middle mediastinum</x:t>
  </x:si>
  <x:si>
    <x:t>http://id.who.int/icd/entity/4640790</x:t>
  </x:si>
  <x:si>
    <x:t>http://id.who.int/icd/release/11/beta/ichi/4640790</x:t>
  </x:si>
  <x:si>
    <x:t>- - - - - - Posterior mediastinum</x:t>
  </x:si>
  <x:si>
    <x:t>http://id.who.int/icd/entity/1142569327</x:t>
  </x:si>
  <x:si>
    <x:t>http://id.who.int/icd/release/11/beta/ichi/1142569327</x:t>
  </x:si>
  <x:si>
    <x:t>- - - - - - Connective and other soft tissues of mediastinum</x:t>
  </x:si>
  <x:si>
    <x:t>http://id.who.int/icd/entity/1462096867</x:t>
  </x:si>
  <x:si>
    <x:t>http://id.who.int/icd/release/11/beta/ichi/1462096867</x:t>
  </x:si>
  <x:si>
    <x:t>- - - - Vertebral cavity</x:t>
  </x:si>
  <x:si>
    <x:t>http://id.who.int/icd/entity/51427988</x:t>
  </x:si>
  <x:si>
    <x:t>http://id.who.int/icd/release/11/beta/ichi/51427988</x:t>
  </x:si>
  <x:si>
    <x:t>- - - - - Epidural space</x:t>
  </x:si>
  <x:si>
    <x:t>http://id.who.int/icd/entity/759198484</x:t>
  </x:si>
  <x:si>
    <x:t>http://id.who.int/icd/release/11/beta/ichi/759198484</x:t>
  </x:si>
  <x:si>
    <x:t>- - - - - Intramedullary space</x:t>
  </x:si>
  <x:si>
    <x:t>http://id.who.int/icd/entity/685877085</x:t>
  </x:si>
  <x:si>
    <x:t>http://id.who.int/icd/release/11/beta/ichi/685877085</x:t>
  </x:si>
  <x:si>
    <x:t>- - - - Thoracic cavity</x:t>
  </x:si>
  <x:si>
    <x:t>http://id.who.int/icd/entity/634685795</x:t>
  </x:si>
  <x:si>
    <x:t>http://id.who.int/icd/release/11/beta/ichi/634685795</x:t>
  </x:si>
  <x:si>
    <x:t>http://id.who.int/icd/entity/193216739</x:t>
  </x:si>
  <x:si>
    <x:t>http://id.who.int/icd/release/11/beta/ichi/193216739</x:t>
  </x:si>
  <x:si>
    <x:t>- - - - - Pericardial cavity</x:t>
  </x:si>
  <x:si>
    <x:t>http://id.who.int/icd/entity/481043491</x:t>
  </x:si>
  <x:si>
    <x:t>http://id.who.int/icd/release/11/beta/ichi/481043491</x:t>
  </x:si>
  <x:si>
    <x:t>- - - - - Precordium</x:t>
  </x:si>
  <x:si>
    <x:t>http://id.who.int/icd/entity/1413523709</x:t>
  </x:si>
  <x:si>
    <x:t>http://id.who.int/icd/release/11/beta/ichi/1413523709</x:t>
  </x:si>
  <x:si>
    <x:t>- Topology Scale Value</x:t>
  </x:si>
  <x:si>
    <x:t>http://id.who.int/icd/entity/137775722</x:t>
  </x:si>
  <x:si>
    <x:t>http://id.who.int/icd/release/11/beta/ichi/137775722</x:t>
  </x:si>
  <x:si>
    <x:t>- - Relational</x:t>
  </x:si>
  <x:si>
    <x:t>http://id.who.int/icd/entity/1190123007</x:t>
  </x:si>
  <x:si>
    <x:t>http://id.who.int/icd/release/11/beta/ichi/1190123007</x:t>
  </x:si>
  <x:si>
    <x:t>- - - Anterior</x:t>
  </x:si>
  <x:si>
    <x:t>http://id.who.int/icd/entity/648538052</x:t>
  </x:si>
  <x:si>
    <x:t>http://id.who.int/icd/release/11/beta/ichi/648538052</x:t>
  </x:si>
  <x:si>
    <x:t>- - - Posterior</x:t>
  </x:si>
  <x:si>
    <x:t>http://id.who.int/icd/entity/1145558243</x:t>
  </x:si>
  <x:si>
    <x:t>http://id.who.int/icd/release/11/beta/ichi/1145558243</x:t>
  </x:si>
  <x:si>
    <x:t>- - - Medial</x:t>
  </x:si>
  <x:si>
    <x:t>http://id.who.int/icd/entity/1928353529</x:t>
  </x:si>
  <x:si>
    <x:t>http://id.who.int/icd/release/11/beta/ichi/1928353529</x:t>
  </x:si>
  <x:si>
    <x:t>- - - Lateral</x:t>
  </x:si>
  <x:si>
    <x:t>http://id.who.int/icd/entity/1516145872</x:t>
  </x:si>
  <x:si>
    <x:t>http://id.who.int/icd/release/11/beta/ichi/1516145872</x:t>
  </x:si>
  <x:si>
    <x:t>- - - Superior</x:t>
  </x:si>
  <x:si>
    <x:t>http://id.who.int/icd/entity/548698273</x:t>
  </x:si>
  <x:si>
    <x:t>http://id.who.int/icd/release/11/beta/ichi/548698273</x:t>
  </x:si>
  <x:si>
    <x:t>- - - Inferior</x:t>
  </x:si>
  <x:si>
    <x:t>http://id.who.int/icd/entity/1172656077</x:t>
  </x:si>
  <x:si>
    <x:t>http://id.who.int/icd/release/11/beta/ichi/1172656077</x:t>
  </x:si>
  <x:si>
    <x:t>- - - Ventral</x:t>
  </x:si>
  <x:si>
    <x:t>http://id.who.int/icd/entity/487792839</x:t>
  </x:si>
  <x:si>
    <x:t>http://id.who.int/icd/release/11/beta/ichi/487792839</x:t>
  </x:si>
  <x:si>
    <x:t>- - - Dorsal</x:t>
  </x:si>
  <x:si>
    <x:t>http://id.who.int/icd/entity/687243922</x:t>
  </x:si>
  <x:si>
    <x:t>http://id.who.int/icd/release/11/beta/ichi/687243922</x:t>
  </x:si>
  <x:si>
    <x:t>- - - Proximal</x:t>
  </x:si>
  <x:si>
    <x:t>http://id.who.int/icd/entity/1294462156</x:t>
  </x:si>
  <x:si>
    <x:t>http://id.who.int/icd/release/11/beta/ichi/1294462156</x:t>
  </x:si>
  <x:si>
    <x:t>- - - Distal</x:t>
  </x:si>
  <x:si>
    <x:t>http://id.who.int/icd/entity/239911955</x:t>
  </x:si>
  <x:si>
    <x:t>http://id.who.int/icd/release/11/beta/ichi/239911955</x:t>
  </x:si>
  <x:si>
    <x:t>- - - Ipsilateral</x:t>
  </x:si>
  <x:si>
    <x:t>http://id.who.int/icd/entity/1470045894</x:t>
  </x:si>
  <x:si>
    <x:t>http://id.who.int/icd/release/11/beta/ichi/1470045894</x:t>
  </x:si>
  <x:si>
    <x:t>- - - Contralateral</x:t>
  </x:si>
  <x:si>
    <x:t>http://id.who.int/icd/entity/2036167265</x:t>
  </x:si>
  <x:si>
    <x:t>http://id.who.int/icd/release/11/beta/ichi/2036167265</x:t>
  </x:si>
  <x:si>
    <x:t>http://id.who.int/icd/entity/820615985</x:t>
  </x:si>
  <x:si>
    <x:t>http://id.who.int/icd/release/11/beta/ichi/820615985</x:t>
  </x:si>
  <x:si>
    <x:t>- - - Internal</x:t>
  </x:si>
  <x:si>
    <x:t>http://id.who.int/icd/entity/1013312453</x:t>
  </x:si>
  <x:si>
    <x:t>http://id.who.int/icd/release/11/beta/ichi/1013312453</x:t>
  </x:si>
  <x:si>
    <x:t>- - - Superficial</x:t>
  </x:si>
  <x:si>
    <x:t>http://id.who.int/icd/entity/423444880</x:t>
  </x:si>
  <x:si>
    <x:t>http://id.who.int/icd/release/11/beta/ichi/423444880</x:t>
  </x:si>
  <x:si>
    <x:t>- - - Deep</x:t>
  </x:si>
  <x:si>
    <x:t>http://id.who.int/icd/entity/169306432</x:t>
  </x:si>
  <x:si>
    <x:t>http://id.who.int/icd/release/11/beta/ichi/169306432</x:t>
  </x:si>
  <x:si>
    <x:t>- - Distribution</x:t>
  </x:si>
  <x:si>
    <x:t>http://id.who.int/icd/entity/1957947885</x:t>
  </x:si>
  <x:si>
    <x:t>http://id.who.int/icd/release/11/beta/ichi/1957947885</x:t>
  </x:si>
  <x:si>
    <x:t>- - - Complete distribution</x:t>
  </x:si>
  <x:si>
    <x:t>http://id.who.int/icd/entity/1373176927</x:t>
  </x:si>
  <x:si>
    <x:t>http://id.who.int/icd/release/11/beta/ichi/1373176927</x:t>
  </x:si>
  <x:si>
    <x:t>- - - Consolidated distribution</x:t>
  </x:si>
  <x:si>
    <x:t>http://id.who.int/icd/entity/1265853763</x:t>
  </x:si>
  <x:si>
    <x:t>http://id.who.int/icd/release/11/beta/ichi/1265853763</x:t>
  </x:si>
  <x:si>
    <x:t>- - - Diffuse distribution</x:t>
  </x:si>
  <x:si>
    <x:t>http://id.who.int/icd/entity/1486017780</x:t>
  </x:si>
  <x:si>
    <x:t>http://id.who.int/icd/release/11/beta/ichi/1486017780</x:t>
  </x:si>
  <x:si>
    <x:t>- - - Disseminated distribution</x:t>
  </x:si>
  <x:si>
    <x:t>http://id.who.int/icd/entity/639340529</x:t>
  </x:si>
  <x:si>
    <x:t>http://id.who.int/icd/release/11/beta/ichi/639340529</x:t>
  </x:si>
  <x:si>
    <x:t>- - - Focal distribution</x:t>
  </x:si>
  <x:si>
    <x:t>http://id.who.int/icd/entity/1479602347</x:t>
  </x:si>
  <x:si>
    <x:t>http://id.who.int/icd/release/11/beta/ichi/1479602347</x:t>
  </x:si>
  <x:si>
    <x:t>- - - Generalised distribution</x:t>
  </x:si>
  <x:si>
    <x:t>http://id.who.int/icd/entity/167867186</x:t>
  </x:si>
  <x:si>
    <x:t>http://id.who.int/icd/release/11/beta/ichi/167867186</x:t>
  </x:si>
  <x:si>
    <x:t>- - - Incomplete distribution</x:t>
  </x:si>
  <x:si>
    <x:t>http://id.who.int/icd/entity/1637247929</x:t>
  </x:si>
  <x:si>
    <x:t>http://id.who.int/icd/release/11/beta/ichi/1637247929</x:t>
  </x:si>
  <x:si>
    <x:t>- - - Intertriginous distribution</x:t>
  </x:si>
  <x:si>
    <x:t>http://id.who.int/icd/entity/1867832345</x:t>
  </x:si>
  <x:si>
    <x:t>http://id.who.int/icd/release/11/beta/ichi/1867832345</x:t>
  </x:si>
  <x:si>
    <x:t>- - - Linear distribution</x:t>
  </x:si>
  <x:si>
    <x:t>http://id.who.int/icd/entity/108658876</x:t>
  </x:si>
  <x:si>
    <x:t>http://id.who.int/icd/release/11/beta/ichi/108658876</x:t>
  </x:si>
  <x:si>
    <x:t>- - - Localised distribution</x:t>
  </x:si>
  <x:si>
    <x:t>http://id.who.int/icd/entity/704366208</x:t>
  </x:si>
  <x:si>
    <x:t>http://id.who.int/icd/release/11/beta/ichi/704366208</x:t>
  </x:si>
  <x:si>
    <x:t>- - - Segmental distribution</x:t>
  </x:si>
  <x:si>
    <x:t>http://id.who.int/icd/entity/266097191</x:t>
  </x:si>
  <x:si>
    <x:t>http://id.who.int/icd/release/11/beta/ichi/266097191</x:t>
  </x:si>
  <x:si>
    <x:t>- - - Systematised distribution</x:t>
  </x:si>
  <x:si>
    <x:t>http://id.who.int/icd/entity/1435602785</x:t>
  </x:si>
  <x:si>
    <x:t>http://id.who.int/icd/release/11/beta/ichi/1435602785</x:t>
  </x:si>
  <x:si>
    <x:t>- - Laterality</x:t>
  </x:si>
  <x:si>
    <x:t>http://id.who.int/icd/entity/627678743</x:t>
  </x:si>
  <x:si>
    <x:t>http://id.who.int/icd/release/11/beta/ichi/627678743</x:t>
  </x:si>
  <x:si>
    <x:t>- - - Bilateral</x:t>
  </x:si>
  <x:si>
    <x:t>http://id.who.int/icd/entity/271422288</x:t>
  </x:si>
  <x:si>
    <x:t>http://id.who.int/icd/release/11/beta/ichi/271422288</x:t>
  </x:si>
  <x:si>
    <x:t>- - - Left</x:t>
  </x:si>
  <x:si>
    <x:t>http://id.who.int/icd/entity/876572005</x:t>
  </x:si>
  <x:si>
    <x:t>http://id.who.int/icd/release/11/beta/ichi/876572005</x:t>
  </x:si>
  <x:si>
    <x:t>- - - Right</x:t>
  </x:si>
  <x:si>
    <x:t>http://id.who.int/icd/entity/1038788978</x:t>
  </x:si>
  <x:si>
    <x:t>http://id.who.int/icd/release/11/beta/ichi/1038788978</x:t>
  </x:si>
  <x:si>
    <x:t>- - - Unilateral, unspecified</x:t>
  </x:si>
  <x:si>
    <x:t>http://id.who.int/icd/entity/1529645872</x:t>
  </x:si>
  <x:si>
    <x:t>http://id.who.int/icd/release/11/beta/ichi/1529645872</x:t>
  </x:si>
  <x:si>
    <x:t>- - Regional</x:t>
  </x:si>
  <x:si>
    <x:t>http://id.who.int/icd/entity/1251606506</x:t>
  </x:si>
  <x:si>
    <x:t>http://id.who.int/icd/release/11/beta/ichi/1251606506</x:t>
  </x:si>
  <x:si>
    <x:t>- - - Brachial</x:t>
  </x:si>
  <x:si>
    <x:t>http://id.who.int/icd/entity/1646966126</x:t>
  </x:si>
  <x:si>
    <x:t>http://id.who.int/icd/release/11/beta/ichi/1646966126</x:t>
  </x:si>
  <x:si>
    <x:t>- - - Caudal</x:t>
  </x:si>
  <x:si>
    <x:t>http://id.who.int/icd/entity/419966725</x:t>
  </x:si>
  <x:si>
    <x:t>http://id.who.int/icd/release/11/beta/ichi/419966725</x:t>
  </x:si>
  <x:si>
    <x:t>- - - Cranial</x:t>
  </x:si>
  <x:si>
    <x:t>http://id.who.int/icd/entity/1250515263</x:t>
  </x:si>
  <x:si>
    <x:t>http://id.who.int/icd/release/11/beta/ichi/1250515263</x:t>
  </x:si>
  <x:si>
    <x:t>- - - Infratentorial</x:t>
  </x:si>
  <x:si>
    <x:t>http://id.who.int/icd/entity/10608722</x:t>
  </x:si>
  <x:si>
    <x:t>http://id.who.int/icd/release/11/beta/ichi/10608722</x:t>
  </x:si>
  <x:si>
    <x:t>- - - Supratentorial</x:t>
  </x:si>
  <x:si>
    <x:t>http://id.who.int/icd/entity/112199345</x:t>
  </x:si>
  <x:si>
    <x:t>http://id.who.int/icd/release/11/beta/ichi/112199345</x:t>
  </x:si>
  <x:si>
    <x:t>- - Measurement</x:t>
  </x:si>
  <x:si>
    <x:t>http://id.who.int/icd/entity/867680965</x:t>
  </x:si>
  <x:si>
    <x:t>http://id.who.int/icd/release/11/beta/ichi/867680965</x:t>
  </x:si>
  <x:si>
    <x:t>- - - Height/length</x:t>
  </x:si>
  <x:si>
    <x:t>http://id.who.int/icd/entity/1757939162</x:t>
  </x:si>
  <x:si>
    <x:t>http://id.who.int/icd/release/11/beta/ichi/1757939162</x:t>
  </x:si>
  <x:si>
    <x:t>- - - Volumetric</x:t>
  </x:si>
  <x:si>
    <x:t>http://id.who.int/icd/entity/56742367</x:t>
  </x:si>
  <x:si>
    <x:t>http://id.who.int/icd/release/11/beta/ichi/56742367</x:t>
  </x:si>
  <x:si>
    <x:t>- - - Weight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</x:si>
</x:sst>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calcChain" Target="/xl/calcChain.xml" Id="rId5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P13867"/>
  <x:sheetViews>
    <x:sheetView workbookViewId="0"/>
  </x:sheetViews>
  <x:sheetFormatPr defaultRowHeight="15"/>
  <x:sheetData>
    <x:row r="1" spans="1:1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</x:row>
    <x:row r="2" spans="1:16">
      <x:c r="A2" s="0" t="s">
        <x:v>15</x:v>
      </x:c>
      <x:c r="B2" s="0" t="s">
        <x:v>16</x:v>
      </x:c>
      <x:c r="E2" s="0" t="s">
        <x:v>17</x:v>
      </x:c>
      <x:c r="F2" s="0" t="s">
        <x:v>18</x:v>
      </x:c>
      <x:c r="G2" s="0" t="s">
        <x:v>19</x:v>
      </x:c>
      <x:c r="H2" s="0" t="s">
        <x:v>20</x:v>
      </x:c>
      <x:c r="I2" s="0" t="s">
        <x:v>21</x:v>
      </x:c>
      <x:c r="K2" s="0">
        <x:f>hyperlink("https://icd.who.int/dev11/l-ichi/en#/http%3A%2F%2Fid.who.int%2Ficd%2Fentity%2F1190112446","browser")</x:f>
      </x:c>
      <x:c r="L2" s="0">
        <x:f>hyperlink("https://icat2.azurewebsites.net/icat/?ontology=ICD&amp;tab=ClassesTab&amp;id=http%3A%2F%2Fwho.int%2Ficd%23ICHICategory","iCat")</x:f>
      </x:c>
      <x:c r="M2" s="0" t="s">
        <x:v>20</x:v>
      </x:c>
      <x:c r="N2" s="0" t="s">
        <x:v>22</x:v>
      </x:c>
    </x:row>
    <x:row r="3" spans="1:16">
      <x:c r="A3" s="0" t="s">
        <x:v>23</x:v>
      </x:c>
      <x:c r="B3" s="0" t="s">
        <x:v>24</x:v>
      </x:c>
      <x:c r="E3" s="0" t="s">
        <x:v>25</x:v>
      </x:c>
      <x:c r="F3" s="0" t="s">
        <x:v>26</x:v>
      </x:c>
      <x:c r="G3" s="0" t="s">
        <x:v>19</x:v>
      </x:c>
      <x:c r="H3" s="0" t="s">
        <x:v>20</x:v>
      </x:c>
      <x:c r="I3" s="0" t="s">
        <x:v>21</x:v>
      </x:c>
      <x:c r="K3" s="0">
        <x:f>hyperlink("https://icd.who.int/dev11/l-ichi/en#/http%3A%2F%2Fid.who.int%2Ficd%2Fentity%2F775570186","browser")</x:f>
      </x:c>
      <x:c r="L3" s="0">
        <x:f>hyperlink("https://icat2.azurewebsites.net/icat/?ontology=ICD&amp;tab=ClassesTab&amp;id=http%3A%2F%2Fwho.int%2Ficd%23Target","iCat")</x:f>
      </x:c>
      <x:c r="M3" s="0" t="s">
        <x:v>20</x:v>
      </x:c>
      <x:c r="N3" s="0" t="s">
        <x:v>22</x:v>
      </x:c>
    </x:row>
    <x:row r="4" spans="1:16">
      <x:c r="A4" s="0" t="s">
        <x:v>27</x:v>
      </x:c>
      <x:c r="B4" s="0" t="s">
        <x:v>28</x:v>
      </x:c>
      <x:c r="E4" s="0" t="s">
        <x:v>29</x:v>
      </x:c>
      <x:c r="F4" s="0" t="s">
        <x:v>26</x:v>
      </x:c>
      <x:c r="G4" s="0" t="s">
        <x:v>30</x:v>
      </x:c>
      <x:c r="H4" s="0" t="s">
        <x:v>20</x:v>
      </x:c>
      <x:c r="I4" s="0" t="s">
        <x:v>21</x:v>
      </x:c>
      <x:c r="K4" s="0">
        <x:f>hyperlink("https://icd.who.int/dev11/l-ichi/en#/http%3A%2F%2Fid.who.int%2Ficd%2Fentity%2F237648262","browser")</x:f>
      </x:c>
      <x:c r="L4" s="0">
        <x:f>hyperlink("https://icat2.azurewebsites.net/icat/?ontology=ICD&amp;tab=ClassesTab&amp;id=http%3A%2F%2Fwho.int%2Ficd%231_c1eb5896_b43e_4531_bd82_f72e7a00cdd6","iCat")</x:f>
      </x:c>
      <x:c r="M4" s="0" t="s">
        <x:v>20</x:v>
      </x:c>
      <x:c r="N4" s="0" t="s">
        <x:v>31</x:v>
      </x:c>
    </x:row>
    <x:row r="5" spans="1:16">
      <x:c r="A5" s="0" t="s">
        <x:v>32</x:v>
      </x:c>
      <x:c r="B5" s="0" t="s">
        <x:v>33</x:v>
      </x:c>
      <x:c r="E5" s="0" t="s">
        <x:v>34</x:v>
      </x:c>
      <x:c r="F5" s="0" t="s">
        <x:v>26</x:v>
      </x:c>
      <x:c r="G5" s="0" t="s">
        <x:v>35</x:v>
      </x:c>
      <x:c r="H5" s="0" t="s">
        <x:v>20</x:v>
      </x:c>
      <x:c r="I5" s="0" t="s">
        <x:v>21</x:v>
      </x:c>
      <x:c r="K5" s="0">
        <x:f>hyperlink("https://icd.who.int/dev11/l-ichi/en#/http%3A%2F%2Fid.who.int%2Ficd%2Fentity%2F1582424117","browser")</x:f>
      </x:c>
      <x:c r="L5" s="0">
        <x:f>hyperlink("https://icat2.azurewebsites.net/icat/?ontology=ICD&amp;tab=ClassesTab&amp;id=http%3A%2F%2Fwho.int%2Ficd%237_c1eb5896_b43e_4531_bd82_f72e7a00cdd6","iCat")</x:f>
      </x:c>
      <x:c r="M5" s="0" t="s">
        <x:v>20</x:v>
      </x:c>
      <x:c r="N5" s="0" t="s">
        <x:v>36</x:v>
      </x:c>
    </x:row>
    <x:row r="6" spans="1:16">
      <x:c r="A6" s="0" t="s">
        <x:v>37</x:v>
      </x:c>
      <x:c r="B6" s="0" t="s">
        <x:v>38</x:v>
      </x:c>
      <x:c r="E6" s="0" t="s">
        <x:v>39</x:v>
      </x:c>
      <x:c r="F6" s="0" t="s">
        <x:v>26</x:v>
      </x:c>
      <x:c r="G6" s="0" t="s">
        <x:v>22</x:v>
      </x:c>
      <x:c r="H6" s="0" t="s">
        <x:v>20</x:v>
      </x:c>
      <x:c r="I6" s="0" t="s">
        <x:v>21</x:v>
      </x:c>
      <x:c r="K6" s="0">
        <x:f>hyperlink("https://icd.who.int/dev11/l-ichi/en#/http%3A%2F%2Fid.who.int%2Ficd%2Fentity%2F1735522282","browser")</x:f>
      </x:c>
      <x:c r="L6" s="0">
        <x:f>hyperlink("https://icat2.azurewebsites.net/icat/?ontology=ICD&amp;tab=ClassesTab&amp;id=http%3A%2F%2Fwho.int%2Ficd%2313_c1eb5896_b43e_4531_bd82_f72e7a00cdd6","iCat")</x:f>
      </x:c>
      <x:c r="M6" s="0" t="s">
        <x:v>20</x:v>
      </x:c>
      <x:c r="N6" s="0" t="s">
        <x:v>40</x:v>
      </x:c>
    </x:row>
    <x:row r="7" spans="1:16">
      <x:c r="A7" s="0" t="s">
        <x:v>41</x:v>
      </x:c>
      <x:c r="B7" s="0" t="s">
        <x:v>42</x:v>
      </x:c>
      <x:c r="C7" s="0" t="s">
        <x:v>43</x:v>
      </x:c>
      <x:c r="E7" s="0" t="s">
        <x:v>44</x:v>
      </x:c>
      <x:c r="F7" s="0" t="s">
        <x:v>45</x:v>
      </x:c>
      <x:c r="G7" s="0" t="s">
        <x:v>19</x:v>
      </x:c>
      <x:c r="H7" s="0" t="s">
        <x:v>20</x:v>
      </x:c>
      <x:c r="I7" s="0" t="s">
        <x:v>21</x:v>
      </x:c>
      <x:c r="K7" s="0">
        <x:f>hyperlink("https://icd.who.int/dev11/l-ichi/en#/http%3A%2F%2Fid.who.int%2Ficd%2Fentity%2F785599416","browser")</x:f>
      </x:c>
      <x:c r="L7" s="0">
        <x:f>hyperlink("https://icat2.azurewebsites.net/icat/?ontology=ICD&amp;tab=ClassesTab&amp;id=http%3A%2F%2Fwho.int%2Ficd%230_c1eb5896_b43e_4531_bd82_f72e7a00cdd6","iCat")</x:f>
      </x:c>
      <x:c r="M7" s="0" t="s">
        <x:v>21</x:v>
      </x:c>
      <x:c r="N7" s="0" t="s">
        <x:v>46</x:v>
      </x:c>
    </x:row>
    <x:row r="8" spans="1:16">
      <x:c r="A8" s="0" t="s">
        <x:v>47</x:v>
      </x:c>
      <x:c r="B8" s="0" t="s">
        <x:v>48</x:v>
      </x:c>
      <x:c r="C8" s="0" t="s">
        <x:v>49</x:v>
      </x:c>
      <x:c r="E8" s="0" t="s">
        <x:v>50</x:v>
      </x:c>
      <x:c r="F8" s="0" t="s">
        <x:v>45</x:v>
      </x:c>
      <x:c r="G8" s="0" t="s">
        <x:v>19</x:v>
      </x:c>
      <x:c r="H8" s="0" t="s">
        <x:v>20</x:v>
      </x:c>
      <x:c r="I8" s="0" t="s">
        <x:v>21</x:v>
      </x:c>
      <x:c r="K8" s="0">
        <x:f>hyperlink("https://icd.who.int/dev11/l-ichi/en#/http%3A%2F%2Fid.who.int%2Ficd%2Fentity%2F842924453","browser")</x:f>
      </x:c>
      <x:c r="L8" s="0">
        <x:f>hyperlink("https://icat2.azurewebsites.net/icat/?ontology=ICD&amp;tab=ClassesTab&amp;id=http%3A%2F%2Fwho.int%2Ficd%2326_c1eb5896_b43e_4531_bd82_f72e7a00cdd6","iCat")</x:f>
      </x:c>
      <x:c r="M8" s="0" t="s">
        <x:v>21</x:v>
      </x:c>
      <x:c r="N8" s="0" t="s">
        <x:v>46</x:v>
      </x:c>
    </x:row>
    <x:row r="9" spans="1:16">
      <x:c r="A9" s="0" t="s">
        <x:v>51</x:v>
      </x:c>
      <x:c r="B9" s="0" t="s">
        <x:v>52</x:v>
      </x:c>
      <x:c r="C9" s="0" t="s">
        <x:v>53</x:v>
      </x:c>
      <x:c r="E9" s="0" t="s">
        <x:v>54</x:v>
      </x:c>
      <x:c r="F9" s="0" t="s">
        <x:v>45</x:v>
      </x:c>
      <x:c r="G9" s="0" t="s">
        <x:v>19</x:v>
      </x:c>
      <x:c r="H9" s="0" t="s">
        <x:v>20</x:v>
      </x:c>
      <x:c r="I9" s="0" t="s">
        <x:v>21</x:v>
      </x:c>
      <x:c r="K9" s="0">
        <x:f>hyperlink("https://icd.who.int/dev11/l-ichi/en#/http%3A%2F%2Fid.who.int%2Ficd%2Fentity%2F1845252230","browser")</x:f>
      </x:c>
      <x:c r="L9" s="0">
        <x:f>hyperlink("https://icat2.azurewebsites.net/icat/?ontology=ICD&amp;tab=ClassesTab&amp;id=http%3A%2F%2Fwho.int%2Ficd%2332_c1eb5896_b43e_4531_bd82_f72e7a00cdd6","iCat")</x:f>
      </x:c>
      <x:c r="M9" s="0" t="s">
        <x:v>21</x:v>
      </x:c>
      <x:c r="N9" s="0" t="s">
        <x:v>46</x:v>
      </x:c>
    </x:row>
    <x:row r="10" spans="1:16">
      <x:c r="A10" s="0" t="s">
        <x:v>55</x:v>
      </x:c>
      <x:c r="B10" s="0" t="s">
        <x:v>56</x:v>
      </x:c>
      <x:c r="C10" s="0" t="s">
        <x:v>57</x:v>
      </x:c>
      <x:c r="E10" s="0" t="s">
        <x:v>58</x:v>
      </x:c>
      <x:c r="F10" s="0" t="s">
        <x:v>45</x:v>
      </x:c>
      <x:c r="G10" s="0" t="s">
        <x:v>19</x:v>
      </x:c>
      <x:c r="H10" s="0" t="s">
        <x:v>20</x:v>
      </x:c>
      <x:c r="I10" s="0" t="s">
        <x:v>21</x:v>
      </x:c>
      <x:c r="K10" s="0">
        <x:f>hyperlink("https://icd.who.int/dev11/l-ichi/en#/http%3A%2F%2Fid.who.int%2Ficd%2Fentity%2F2013456078","browser")</x:f>
      </x:c>
      <x:c r="L10" s="0">
        <x:f>hyperlink("https://icat2.azurewebsites.net/icat/?ontology=ICD&amp;tab=ClassesTab&amp;id=http%3A%2F%2Fwho.int%2Ficd%2337_c1eb5896_b43e_4531_bd82_f72e7a00cdd6","iCat")</x:f>
      </x:c>
      <x:c r="M10" s="0" t="s">
        <x:v>21</x:v>
      </x:c>
      <x:c r="N10" s="0" t="s">
        <x:v>46</x:v>
      </x:c>
    </x:row>
    <x:row r="11" spans="1:16">
      <x:c r="A11" s="0" t="s">
        <x:v>59</x:v>
      </x:c>
      <x:c r="B11" s="0" t="s">
        <x:v>60</x:v>
      </x:c>
      <x:c r="C11" s="0" t="s">
        <x:v>61</x:v>
      </x:c>
      <x:c r="E11" s="0" t="s">
        <x:v>62</x:v>
      </x:c>
      <x:c r="F11" s="0" t="s">
        <x:v>45</x:v>
      </x:c>
      <x:c r="G11" s="0" t="s">
        <x:v>19</x:v>
      </x:c>
      <x:c r="H11" s="0" t="s">
        <x:v>20</x:v>
      </x:c>
      <x:c r="I11" s="0" t="s">
        <x:v>21</x:v>
      </x:c>
      <x:c r="K11" s="0">
        <x:f>hyperlink("https://icd.who.int/dev11/l-ichi/en#/http%3A%2F%2Fid.who.int%2Ficd%2Fentity%2F2110992800","browser")</x:f>
      </x:c>
      <x:c r="L11" s="0">
        <x:f>hyperlink("https://icat2.azurewebsites.net/icat/?ontology=ICD&amp;tab=ClassesTab&amp;id=http%3A%2F%2Fwho.int%2Ficd%2343_c1eb5896_b43e_4531_bd82_f72e7a00cdd6","iCat")</x:f>
      </x:c>
      <x:c r="M11" s="0" t="s">
        <x:v>21</x:v>
      </x:c>
      <x:c r="N11" s="0" t="s">
        <x:v>46</x:v>
      </x:c>
    </x:row>
    <x:row r="12" spans="1:16">
      <x:c r="A12" s="0" t="s">
        <x:v>63</x:v>
      </x:c>
      <x:c r="B12" s="0" t="s">
        <x:v>64</x:v>
      </x:c>
      <x:c r="E12" s="0" t="s">
        <x:v>65</x:v>
      </x:c>
      <x:c r="F12" s="0" t="s">
        <x:v>26</x:v>
      </x:c>
      <x:c r="G12" s="0" t="s">
        <x:v>22</x:v>
      </x:c>
      <x:c r="H12" s="0" t="s">
        <x:v>20</x:v>
      </x:c>
      <x:c r="I12" s="0" t="s">
        <x:v>21</x:v>
      </x:c>
      <x:c r="K12" s="0">
        <x:f>hyperlink("https://icd.who.int/dev11/l-ichi/en#/http%3A%2F%2Fid.who.int%2Ficd%2Fentity%2F1919596850","browser")</x:f>
      </x:c>
      <x:c r="L12" s="0">
        <x:f>hyperlink("https://icat2.azurewebsites.net/icat/?ontology=ICD&amp;tab=ClassesTab&amp;id=http%3A%2F%2Fwho.int%2Ficd%2351_c1eb5896_b43e_4531_bd82_f72e7a00cdd6","iCat")</x:f>
      </x:c>
      <x:c r="M12" s="0" t="s">
        <x:v>20</x:v>
      </x:c>
      <x:c r="N12" s="0" t="s">
        <x:v>22</x:v>
      </x:c>
    </x:row>
    <x:row r="13" spans="1:16">
      <x:c r="A13" s="0" t="s">
        <x:v>66</x:v>
      </x:c>
      <x:c r="B13" s="0" t="s">
        <x:v>67</x:v>
      </x:c>
      <x:c r="C13" s="0" t="s">
        <x:v>68</x:v>
      </x:c>
      <x:c r="E13" s="0" t="s">
        <x:v>69</x:v>
      </x:c>
      <x:c r="F13" s="0" t="s">
        <x:v>45</x:v>
      </x:c>
      <x:c r="G13" s="0" t="s">
        <x:v>19</x:v>
      </x:c>
      <x:c r="H13" s="0" t="s">
        <x:v>20</x:v>
      </x:c>
      <x:c r="I13" s="0" t="s">
        <x:v>21</x:v>
      </x:c>
      <x:c r="K13" s="0">
        <x:f>hyperlink("https://icd.who.int/dev11/l-ichi/en#/http%3A%2F%2Fid.who.int%2Ficd%2Fentity%2F1385417488","browser")</x:f>
      </x:c>
      <x:c r="L13" s="0">
        <x:f>hyperlink("https://icat2.azurewebsites.net/icat/?ontology=ICD&amp;tab=ClassesTab&amp;id=http%3A%2F%2Fwho.int%2Ficd%2350_c1eb5896_b43e_4531_bd82_f72e7a00cdd6","iCat")</x:f>
      </x:c>
      <x:c r="M13" s="0" t="s">
        <x:v>21</x:v>
      </x:c>
      <x:c r="N13" s="0" t="s">
        <x:v>46</x:v>
      </x:c>
    </x:row>
    <x:row r="14" spans="1:16">
      <x:c r="A14" s="0" t="s">
        <x:v>70</x:v>
      </x:c>
      <x:c r="B14" s="0" t="s">
        <x:v>71</x:v>
      </x:c>
      <x:c r="C14" s="0" t="s">
        <x:v>72</x:v>
      </x:c>
      <x:c r="E14" s="0" t="s">
        <x:v>73</x:v>
      </x:c>
      <x:c r="F14" s="0" t="s">
        <x:v>45</x:v>
      </x:c>
      <x:c r="G14" s="0" t="s">
        <x:v>19</x:v>
      </x:c>
      <x:c r="H14" s="0" t="s">
        <x:v>20</x:v>
      </x:c>
      <x:c r="I14" s="0" t="s">
        <x:v>21</x:v>
      </x:c>
      <x:c r="K14" s="0">
        <x:f>hyperlink("https://icd.who.int/dev11/l-ichi/en#/http%3A%2F%2Fid.who.int%2Ficd%2Fentity%2F304253705","browser")</x:f>
      </x:c>
      <x:c r="L14" s="0">
        <x:f>hyperlink("https://icat2.azurewebsites.net/icat/?ontology=ICD&amp;tab=ClassesTab&amp;id=http%3A%2F%2Fwho.int%2Ficd%2360_c1eb5896_b43e_4531_bd82_f72e7a00cdd6","iCat")</x:f>
      </x:c>
      <x:c r="M14" s="0" t="s">
        <x:v>21</x:v>
      </x:c>
      <x:c r="N14" s="0" t="s">
        <x:v>46</x:v>
      </x:c>
    </x:row>
    <x:row r="15" spans="1:16">
      <x:c r="A15" s="0" t="s">
        <x:v>74</x:v>
      </x:c>
      <x:c r="B15" s="0" t="s">
        <x:v>75</x:v>
      </x:c>
      <x:c r="C15" s="0" t="s">
        <x:v>76</x:v>
      </x:c>
      <x:c r="E15" s="0" t="s">
        <x:v>77</x:v>
      </x:c>
      <x:c r="F15" s="0" t="s">
        <x:v>45</x:v>
      </x:c>
      <x:c r="G15" s="0" t="s">
        <x:v>19</x:v>
      </x:c>
      <x:c r="H15" s="0" t="s">
        <x:v>20</x:v>
      </x:c>
      <x:c r="I15" s="0" t="s">
        <x:v>21</x:v>
      </x:c>
      <x:c r="K15" s="0">
        <x:f>hyperlink("https://icd.who.int/dev11/l-ichi/en#/http%3A%2F%2Fid.who.int%2Ficd%2Fentity%2F131874113","browser")</x:f>
      </x:c>
      <x:c r="L15" s="0">
        <x:f>hyperlink("https://icat2.azurewebsites.net/icat/?ontology=ICD&amp;tab=ClassesTab&amp;id=http%3A%2F%2Fwho.int%2Ficd%2365_c1eb5896_b43e_4531_bd82_f72e7a00cdd6","iCat")</x:f>
      </x:c>
      <x:c r="M15" s="0" t="s">
        <x:v>21</x:v>
      </x:c>
      <x:c r="N15" s="0" t="s">
        <x:v>46</x:v>
      </x:c>
    </x:row>
    <x:row r="16" spans="1:16">
      <x:c r="A16" s="0" t="s">
        <x:v>78</x:v>
      </x:c>
      <x:c r="B16" s="0" t="s">
        <x:v>79</x:v>
      </x:c>
      <x:c r="C16" s="0" t="s">
        <x:v>80</x:v>
      </x:c>
      <x:c r="E16" s="0" t="s">
        <x:v>81</x:v>
      </x:c>
      <x:c r="F16" s="0" t="s">
        <x:v>45</x:v>
      </x:c>
      <x:c r="G16" s="0" t="s">
        <x:v>19</x:v>
      </x:c>
      <x:c r="H16" s="0" t="s">
        <x:v>20</x:v>
      </x:c>
      <x:c r="I16" s="0" t="s">
        <x:v>21</x:v>
      </x:c>
      <x:c r="K16" s="0">
        <x:f>hyperlink("https://icd.who.int/dev11/l-ichi/en#/http%3A%2F%2Fid.who.int%2Ficd%2Fentity%2F1478388836","browser")</x:f>
      </x:c>
      <x:c r="L16" s="0">
        <x:f>hyperlink("https://icat2.azurewebsites.net/icat/?ontology=ICD&amp;tab=ClassesTab&amp;id=http%3A%2F%2Fwho.int%2Ficd%2371_c1eb5896_b43e_4531_bd82_f72e7a00cdd6","iCat")</x:f>
      </x:c>
      <x:c r="M16" s="0" t="s">
        <x:v>21</x:v>
      </x:c>
      <x:c r="N16" s="0" t="s">
        <x:v>46</x:v>
      </x:c>
    </x:row>
    <x:row r="17" spans="1:16">
      <x:c r="A17" s="0" t="s">
        <x:v>82</x:v>
      </x:c>
      <x:c r="B17" s="0" t="s">
        <x:v>83</x:v>
      </x:c>
      <x:c r="C17" s="0" t="s">
        <x:v>84</x:v>
      </x:c>
      <x:c r="E17" s="0" t="s">
        <x:v>85</x:v>
      </x:c>
      <x:c r="F17" s="0" t="s">
        <x:v>45</x:v>
      </x:c>
      <x:c r="G17" s="0" t="s">
        <x:v>19</x:v>
      </x:c>
      <x:c r="H17" s="0" t="s">
        <x:v>20</x:v>
      </x:c>
      <x:c r="I17" s="0" t="s">
        <x:v>21</x:v>
      </x:c>
      <x:c r="K17" s="0">
        <x:f>hyperlink("https://icd.who.int/dev11/l-ichi/en#/http%3A%2F%2Fid.who.int%2Ficd%2Fentity%2F1830397974","browser")</x:f>
      </x:c>
      <x:c r="L17" s="0">
        <x:f>hyperlink("https://icat2.azurewebsites.net/icat/?ontology=ICD&amp;tab=ClassesTab&amp;id=http%3A%2F%2Fwho.int%2Ficd%2375_c1eb5896_b43e_4531_bd82_f72e7a00cdd6","iCat")</x:f>
      </x:c>
      <x:c r="M17" s="0" t="s">
        <x:v>21</x:v>
      </x:c>
      <x:c r="N17" s="0" t="s">
        <x:v>46</x:v>
      </x:c>
    </x:row>
    <x:row r="18" spans="1:16">
      <x:c r="A18" s="0" t="s">
        <x:v>86</x:v>
      </x:c>
      <x:c r="B18" s="0" t="s">
        <x:v>87</x:v>
      </x:c>
      <x:c r="E18" s="0" t="s">
        <x:v>88</x:v>
      </x:c>
      <x:c r="F18" s="0" t="s">
        <x:v>26</x:v>
      </x:c>
      <x:c r="G18" s="0" t="s">
        <x:v>22</x:v>
      </x:c>
      <x:c r="H18" s="0" t="s">
        <x:v>20</x:v>
      </x:c>
      <x:c r="I18" s="0" t="s">
        <x:v>21</x:v>
      </x:c>
      <x:c r="K18" s="0">
        <x:f>hyperlink("https://icd.who.int/dev11/l-ichi/en#/http%3A%2F%2Fid.who.int%2Ficd%2Fentity%2F125537585","browser")</x:f>
      </x:c>
      <x:c r="L18" s="0">
        <x:f>hyperlink("https://icat2.azurewebsites.net/icat/?ontology=ICD&amp;tab=ClassesTab&amp;id=http%3A%2F%2Fwho.int%2Ficd%2386_c1eb5896_b43e_4531_bd82_f72e7a00cdd6","iCat")</x:f>
      </x:c>
      <x:c r="M18" s="0" t="s">
        <x:v>20</x:v>
      </x:c>
      <x:c r="N18" s="0" t="s">
        <x:v>40</x:v>
      </x:c>
    </x:row>
    <x:row r="19" spans="1:16">
      <x:c r="A19" s="0" t="s">
        <x:v>89</x:v>
      </x:c>
      <x:c r="B19" s="0" t="s">
        <x:v>90</x:v>
      </x:c>
      <x:c r="C19" s="0" t="s">
        <x:v>91</x:v>
      </x:c>
      <x:c r="E19" s="0" t="s">
        <x:v>92</x:v>
      </x:c>
      <x:c r="F19" s="0" t="s">
        <x:v>45</x:v>
      </x:c>
      <x:c r="G19" s="0" t="s">
        <x:v>19</x:v>
      </x:c>
      <x:c r="H19" s="0" t="s">
        <x:v>20</x:v>
      </x:c>
      <x:c r="I19" s="0" t="s">
        <x:v>21</x:v>
      </x:c>
      <x:c r="K19" s="0">
        <x:f>hyperlink("https://icd.who.int/dev11/l-ichi/en#/http%3A%2F%2Fid.who.int%2Ficd%2Fentity%2F1124000456","browser")</x:f>
      </x:c>
      <x:c r="L19" s="0">
        <x:f>hyperlink("https://icat2.azurewebsites.net/icat/?ontology=ICD&amp;tab=ClassesTab&amp;id=http%3A%2F%2Fwho.int%2Ficd%2385_c1eb5896_b43e_4531_bd82_f72e7a00cdd6","iCat")</x:f>
      </x:c>
      <x:c r="M19" s="0" t="s">
        <x:v>21</x:v>
      </x:c>
      <x:c r="N19" s="0" t="s">
        <x:v>46</x:v>
      </x:c>
    </x:row>
    <x:row r="20" spans="1:16">
      <x:c r="A20" s="0" t="s">
        <x:v>93</x:v>
      </x:c>
      <x:c r="B20" s="0" t="s">
        <x:v>94</x:v>
      </x:c>
      <x:c r="C20" s="0" t="s">
        <x:v>95</x:v>
      </x:c>
      <x:c r="E20" s="0" t="s">
        <x:v>96</x:v>
      </x:c>
      <x:c r="F20" s="0" t="s">
        <x:v>45</x:v>
      </x:c>
      <x:c r="G20" s="0" t="s">
        <x:v>19</x:v>
      </x:c>
      <x:c r="H20" s="0" t="s">
        <x:v>20</x:v>
      </x:c>
      <x:c r="I20" s="0" t="s">
        <x:v>21</x:v>
      </x:c>
      <x:c r="K20" s="0">
        <x:f>hyperlink("https://icd.who.int/dev11/l-ichi/en#/http%3A%2F%2Fid.who.int%2Ficd%2Fentity%2F1296525914","browser")</x:f>
      </x:c>
      <x:c r="L20" s="0">
        <x:f>hyperlink("https://icat2.azurewebsites.net/icat/?ontology=ICD&amp;tab=ClassesTab&amp;id=http%3A%2F%2Fwho.int%2Ficd%2397_c1eb5896_b43e_4531_bd82_f72e7a00cdd6","iCat")</x:f>
      </x:c>
      <x:c r="M20" s="0" t="s">
        <x:v>21</x:v>
      </x:c>
      <x:c r="N20" s="0" t="s">
        <x:v>46</x:v>
      </x:c>
    </x:row>
    <x:row r="21" spans="1:16">
      <x:c r="A21" s="0" t="s">
        <x:v>97</x:v>
      </x:c>
      <x:c r="B21" s="0" t="s">
        <x:v>98</x:v>
      </x:c>
      <x:c r="C21" s="0" t="s">
        <x:v>99</x:v>
      </x:c>
      <x:c r="E21" s="0" t="s">
        <x:v>100</x:v>
      </x:c>
      <x:c r="F21" s="0" t="s">
        <x:v>45</x:v>
      </x:c>
      <x:c r="G21" s="0" t="s">
        <x:v>19</x:v>
      </x:c>
      <x:c r="H21" s="0" t="s">
        <x:v>20</x:v>
      </x:c>
      <x:c r="I21" s="0" t="s">
        <x:v>21</x:v>
      </x:c>
      <x:c r="K21" s="0">
        <x:f>hyperlink("https://icd.who.int/dev11/l-ichi/en#/http%3A%2F%2Fid.who.int%2Ficd%2Fentity%2F1646507694","browser")</x:f>
      </x:c>
      <x:c r="L21" s="0">
        <x:f>hyperlink("https://icat2.azurewebsites.net/icat/?ontology=ICD&amp;tab=ClassesTab&amp;id=http%3A%2F%2Fwho.int%2Ficd%23101_c1eb5896_b43e_4531_bd82_f72e7a00cdd6","iCat")</x:f>
      </x:c>
      <x:c r="M21" s="0" t="s">
        <x:v>21</x:v>
      </x:c>
      <x:c r="N21" s="0" t="s">
        <x:v>46</x:v>
      </x:c>
    </x:row>
    <x:row r="22" spans="1:16">
      <x:c r="A22" s="0" t="s">
        <x:v>101</x:v>
      </x:c>
      <x:c r="B22" s="0" t="s">
        <x:v>102</x:v>
      </x:c>
      <x:c r="C22" s="0" t="s">
        <x:v>103</x:v>
      </x:c>
      <x:c r="E22" s="0" t="s">
        <x:v>104</x:v>
      </x:c>
      <x:c r="F22" s="0" t="s">
        <x:v>45</x:v>
      </x:c>
      <x:c r="G22" s="0" t="s">
        <x:v>19</x:v>
      </x:c>
      <x:c r="H22" s="0" t="s">
        <x:v>20</x:v>
      </x:c>
      <x:c r="I22" s="0" t="s">
        <x:v>21</x:v>
      </x:c>
      <x:c r="K22" s="0">
        <x:f>hyperlink("https://icd.who.int/dev11/l-ichi/en#/http%3A%2F%2Fid.who.int%2Ficd%2Fentity%2F1462006488","browser")</x:f>
      </x:c>
      <x:c r="L22" s="0">
        <x:f>hyperlink("https://icat2.azurewebsites.net/icat/?ontology=ICD&amp;tab=ClassesTab&amp;id=http%3A%2F%2Fwho.int%2Ficd%23105_c1eb5896_b43e_4531_bd82_f72e7a00cdd6","iCat")</x:f>
      </x:c>
      <x:c r="M22" s="0" t="s">
        <x:v>21</x:v>
      </x:c>
      <x:c r="N22" s="0" t="s">
        <x:v>46</x:v>
      </x:c>
    </x:row>
    <x:row r="23" spans="1:16">
      <x:c r="A23" s="0" t="s">
        <x:v>105</x:v>
      </x:c>
      <x:c r="B23" s="0" t="s">
        <x:v>106</x:v>
      </x:c>
      <x:c r="C23" s="0" t="s">
        <x:v>107</x:v>
      </x:c>
      <x:c r="E23" s="0" t="s">
        <x:v>108</x:v>
      </x:c>
      <x:c r="F23" s="0" t="s">
        <x:v>45</x:v>
      </x:c>
      <x:c r="G23" s="0" t="s">
        <x:v>19</x:v>
      </x:c>
      <x:c r="H23" s="0" t="s">
        <x:v>20</x:v>
      </x:c>
      <x:c r="I23" s="0" t="s">
        <x:v>21</x:v>
      </x:c>
      <x:c r="K23" s="0">
        <x:f>hyperlink("https://icd.who.int/dev11/l-ichi/en#/http%3A%2F%2Fid.who.int%2Ficd%2Fentity%2F748865529","browser")</x:f>
      </x:c>
      <x:c r="L23" s="0">
        <x:f>hyperlink("https://icat2.azurewebsites.net/icat/?ontology=ICD&amp;tab=ClassesTab&amp;id=http%3A%2F%2Fwho.int%2Ficd%23109_c1eb5896_b43e_4531_bd82_f72e7a00cdd6","iCat")</x:f>
      </x:c>
      <x:c r="M23" s="0" t="s">
        <x:v>21</x:v>
      </x:c>
      <x:c r="N23" s="0" t="s">
        <x:v>46</x:v>
      </x:c>
    </x:row>
    <x:row r="24" spans="1:16">
      <x:c r="A24" s="0" t="s">
        <x:v>109</x:v>
      </x:c>
      <x:c r="B24" s="0" t="s">
        <x:v>110</x:v>
      </x:c>
      <x:c r="E24" s="0" t="s">
        <x:v>111</x:v>
      </x:c>
      <x:c r="F24" s="0" t="s">
        <x:v>26</x:v>
      </x:c>
      <x:c r="G24" s="0" t="s">
        <x:v>22</x:v>
      </x:c>
      <x:c r="H24" s="0" t="s">
        <x:v>20</x:v>
      </x:c>
      <x:c r="I24" s="0" t="s">
        <x:v>21</x:v>
      </x:c>
      <x:c r="K24" s="0">
        <x:f>hyperlink("https://icd.who.int/dev11/l-ichi/en#/http%3A%2F%2Fid.who.int%2Ficd%2Fentity%2F1571411380","browser")</x:f>
      </x:c>
      <x:c r="L24" s="0">
        <x:f>hyperlink("https://icat2.azurewebsites.net/icat/?ontology=ICD&amp;tab=ClassesTab&amp;id=http%3A%2F%2Fwho.int%2Ficd%23124_c1eb5896_b43e_4531_bd82_f72e7a00cdd6","iCat")</x:f>
      </x:c>
      <x:c r="M24" s="0" t="s">
        <x:v>20</x:v>
      </x:c>
      <x:c r="N24" s="0" t="s">
        <x:v>19</x:v>
      </x:c>
    </x:row>
    <x:row r="25" spans="1:16">
      <x:c r="A25" s="0" t="s">
        <x:v>112</x:v>
      </x:c>
      <x:c r="B25" s="0" t="s">
        <x:v>113</x:v>
      </x:c>
      <x:c r="C25" s="0" t="s">
        <x:v>114</x:v>
      </x:c>
      <x:c r="E25" s="0" t="s">
        <x:v>115</x:v>
      </x:c>
      <x:c r="F25" s="0" t="s">
        <x:v>45</x:v>
      </x:c>
      <x:c r="G25" s="0" t="s">
        <x:v>19</x:v>
      </x:c>
      <x:c r="H25" s="0" t="s">
        <x:v>20</x:v>
      </x:c>
      <x:c r="I25" s="0" t="s">
        <x:v>21</x:v>
      </x:c>
      <x:c r="K25" s="0">
        <x:f>hyperlink("https://icd.who.int/dev11/l-ichi/en#/http%3A%2F%2Fid.who.int%2Ficd%2Fentity%2F757825081","browser")</x:f>
      </x:c>
      <x:c r="L25" s="0">
        <x:f>hyperlink("https://icat2.azurewebsites.net/icat/?ontology=ICD&amp;tab=ClassesTab&amp;id=http%3A%2F%2Fwho.int%2Ficd%23123_c1eb5896_b43e_4531_bd82_f72e7a00cdd6","iCat")</x:f>
      </x:c>
      <x:c r="M25" s="0" t="s">
        <x:v>21</x:v>
      </x:c>
      <x:c r="N25" s="0" t="s">
        <x:v>46</x:v>
      </x:c>
    </x:row>
    <x:row r="26" spans="1:16">
      <x:c r="A26" s="0" t="s">
        <x:v>116</x:v>
      </x:c>
      <x:c r="B26" s="0" t="s">
        <x:v>117</x:v>
      </x:c>
      <x:c r="E26" s="0" t="s">
        <x:v>118</x:v>
      </x:c>
      <x:c r="F26" s="0" t="s">
        <x:v>26</x:v>
      </x:c>
      <x:c r="G26" s="0" t="s">
        <x:v>22</x:v>
      </x:c>
      <x:c r="H26" s="0" t="s">
        <x:v>20</x:v>
      </x:c>
      <x:c r="I26" s="0" t="s">
        <x:v>21</x:v>
      </x:c>
      <x:c r="K26" s="0">
        <x:f>hyperlink("https://icd.who.int/dev11/l-ichi/en#/http%3A%2F%2Fid.who.int%2Ficd%2Fentity%2F929841379","browser")</x:f>
      </x:c>
      <x:c r="L26" s="0">
        <x:f>hyperlink("https://icat2.azurewebsites.net/icat/?ontology=ICD&amp;tab=ClassesTab&amp;id=http%3A%2F%2Fwho.int%2Ficd%23134_c1eb5896_b43e_4531_bd82_f72e7a00cdd6","iCat")</x:f>
      </x:c>
      <x:c r="M26" s="0" t="s">
        <x:v>20</x:v>
      </x:c>
      <x:c r="N26" s="0" t="s">
        <x:v>119</x:v>
      </x:c>
    </x:row>
    <x:row r="27" spans="1:16">
      <x:c r="A27" s="0" t="s">
        <x:v>120</x:v>
      </x:c>
      <x:c r="B27" s="0" t="s">
        <x:v>121</x:v>
      </x:c>
      <x:c r="C27" s="0" t="s">
        <x:v>122</x:v>
      </x:c>
      <x:c r="E27" s="0" t="s">
        <x:v>123</x:v>
      </x:c>
      <x:c r="F27" s="0" t="s">
        <x:v>45</x:v>
      </x:c>
      <x:c r="G27" s="0" t="s">
        <x:v>19</x:v>
      </x:c>
      <x:c r="H27" s="0" t="s">
        <x:v>20</x:v>
      </x:c>
      <x:c r="I27" s="0" t="s">
        <x:v>21</x:v>
      </x:c>
      <x:c r="K27" s="0">
        <x:f>hyperlink("https://icd.who.int/dev11/l-ichi/en#/http%3A%2F%2Fid.who.int%2Ficd%2Fentity%2F1206840174","browser")</x:f>
      </x:c>
      <x:c r="L27" s="0">
        <x:f>hyperlink("https://icat2.azurewebsites.net/icat/?ontology=ICD&amp;tab=ClassesTab&amp;id=http%3A%2F%2Fwho.int%2Ficd%23133_c1eb5896_b43e_4531_bd82_f72e7a00cdd6","iCat")</x:f>
      </x:c>
      <x:c r="M27" s="0" t="s">
        <x:v>21</x:v>
      </x:c>
      <x:c r="N27" s="0" t="s">
        <x:v>46</x:v>
      </x:c>
    </x:row>
    <x:row r="28" spans="1:16">
      <x:c r="A28" s="0" t="s">
        <x:v>124</x:v>
      </x:c>
      <x:c r="B28" s="0" t="s">
        <x:v>125</x:v>
      </x:c>
      <x:c r="C28" s="0" t="s">
        <x:v>126</x:v>
      </x:c>
      <x:c r="E28" s="0" t="s">
        <x:v>127</x:v>
      </x:c>
      <x:c r="F28" s="0" t="s">
        <x:v>45</x:v>
      </x:c>
      <x:c r="G28" s="0" t="s">
        <x:v>19</x:v>
      </x:c>
      <x:c r="H28" s="0" t="s">
        <x:v>20</x:v>
      </x:c>
      <x:c r="I28" s="0" t="s">
        <x:v>21</x:v>
      </x:c>
      <x:c r="K28" s="0">
        <x:f>hyperlink("https://icd.who.int/dev11/l-ichi/en#/http%3A%2F%2Fid.who.int%2Ficd%2Fentity%2F2000222326","browser")</x:f>
      </x:c>
      <x:c r="L28" s="0">
        <x:f>hyperlink("https://icat2.azurewebsites.net/icat/?ontology=ICD&amp;tab=ClassesTab&amp;id=http%3A%2F%2Fwho.int%2Ficd%23143_c1eb5896_b43e_4531_bd82_f72e7a00cdd6","iCat")</x:f>
      </x:c>
      <x:c r="M28" s="0" t="s">
        <x:v>21</x:v>
      </x:c>
      <x:c r="N28" s="0" t="s">
        <x:v>46</x:v>
      </x:c>
    </x:row>
    <x:row r="29" spans="1:16">
      <x:c r="A29" s="0" t="s">
        <x:v>128</x:v>
      </x:c>
      <x:c r="B29" s="0" t="s">
        <x:v>129</x:v>
      </x:c>
      <x:c r="C29" s="0" t="s">
        <x:v>130</x:v>
      </x:c>
      <x:c r="E29" s="0" t="s">
        <x:v>131</x:v>
      </x:c>
      <x:c r="F29" s="0" t="s">
        <x:v>45</x:v>
      </x:c>
      <x:c r="G29" s="0" t="s">
        <x:v>19</x:v>
      </x:c>
      <x:c r="H29" s="0" t="s">
        <x:v>20</x:v>
      </x:c>
      <x:c r="I29" s="0" t="s">
        <x:v>21</x:v>
      </x:c>
      <x:c r="K29" s="0">
        <x:f>hyperlink("https://icd.who.int/dev11/l-ichi/en#/http%3A%2F%2Fid.who.int%2Ficd%2Fentity%2F1111440384","browser")</x:f>
      </x:c>
      <x:c r="L29" s="0">
        <x:f>hyperlink("https://icat2.azurewebsites.net/icat/?ontology=ICD&amp;tab=ClassesTab&amp;id=http%3A%2F%2Fwho.int%2Ficd%23147_c1eb5896_b43e_4531_bd82_f72e7a00cdd6","iCat")</x:f>
      </x:c>
      <x:c r="M29" s="0" t="s">
        <x:v>21</x:v>
      </x:c>
      <x:c r="N29" s="0" t="s">
        <x:v>46</x:v>
      </x:c>
    </x:row>
    <x:row r="30" spans="1:16">
      <x:c r="A30" s="0" t="s">
        <x:v>132</x:v>
      </x:c>
      <x:c r="B30" s="0" t="s">
        <x:v>133</x:v>
      </x:c>
      <x:c r="C30" s="0" t="s">
        <x:v>134</x:v>
      </x:c>
      <x:c r="E30" s="0" t="s">
        <x:v>135</x:v>
      </x:c>
      <x:c r="F30" s="0" t="s">
        <x:v>45</x:v>
      </x:c>
      <x:c r="G30" s="0" t="s">
        <x:v>19</x:v>
      </x:c>
      <x:c r="H30" s="0" t="s">
        <x:v>20</x:v>
      </x:c>
      <x:c r="I30" s="0" t="s">
        <x:v>21</x:v>
      </x:c>
      <x:c r="K30" s="0">
        <x:f>hyperlink("https://icd.who.int/dev11/l-ichi/en#/http%3A%2F%2Fid.who.int%2Ficd%2Fentity%2F2021748968","browser")</x:f>
      </x:c>
      <x:c r="L30" s="0">
        <x:f>hyperlink("https://icat2.azurewebsites.net/icat/?ontology=ICD&amp;tab=ClassesTab&amp;id=http%3A%2F%2Fwho.int%2Ficd%23151_c1eb5896_b43e_4531_bd82_f72e7a00cdd6","iCat")</x:f>
      </x:c>
      <x:c r="M30" s="0" t="s">
        <x:v>21</x:v>
      </x:c>
      <x:c r="N30" s="0" t="s">
        <x:v>46</x:v>
      </x:c>
    </x:row>
    <x:row r="31" spans="1:16">
      <x:c r="A31" s="0" t="s">
        <x:v>136</x:v>
      </x:c>
      <x:c r="B31" s="0" t="s">
        <x:v>137</x:v>
      </x:c>
      <x:c r="C31" s="0" t="s">
        <x:v>138</x:v>
      </x:c>
      <x:c r="E31" s="0" t="s">
        <x:v>139</x:v>
      </x:c>
      <x:c r="F31" s="0" t="s">
        <x:v>45</x:v>
      </x:c>
      <x:c r="G31" s="0" t="s">
        <x:v>19</x:v>
      </x:c>
      <x:c r="H31" s="0" t="s">
        <x:v>20</x:v>
      </x:c>
      <x:c r="I31" s="0" t="s">
        <x:v>21</x:v>
      </x:c>
      <x:c r="K31" s="0">
        <x:f>hyperlink("https://icd.who.int/dev11/l-ichi/en#/http%3A%2F%2Fid.who.int%2Ficd%2Fentity%2F1300673682","browser")</x:f>
      </x:c>
      <x:c r="L31" s="0">
        <x:f>hyperlink("https://icat2.azurewebsites.net/icat/?ontology=ICD&amp;tab=ClassesTab&amp;id=http%3A%2F%2Fwho.int%2Ficd%23155_c1eb5896_b43e_4531_bd82_f72e7a00cdd6","iCat")</x:f>
      </x:c>
      <x:c r="M31" s="0" t="s">
        <x:v>21</x:v>
      </x:c>
      <x:c r="N31" s="0" t="s">
        <x:v>46</x:v>
      </x:c>
    </x:row>
    <x:row r="32" spans="1:16">
      <x:c r="A32" s="0" t="s">
        <x:v>140</x:v>
      </x:c>
      <x:c r="B32" s="0" t="s">
        <x:v>141</x:v>
      </x:c>
      <x:c r="C32" s="0" t="s">
        <x:v>142</x:v>
      </x:c>
      <x:c r="E32" s="0" t="s">
        <x:v>143</x:v>
      </x:c>
      <x:c r="F32" s="0" t="s">
        <x:v>45</x:v>
      </x:c>
      <x:c r="G32" s="0" t="s">
        <x:v>19</x:v>
      </x:c>
      <x:c r="H32" s="0" t="s">
        <x:v>20</x:v>
      </x:c>
      <x:c r="I32" s="0" t="s">
        <x:v>21</x:v>
      </x:c>
      <x:c r="K32" s="0">
        <x:f>hyperlink("https://icd.who.int/dev11/l-ichi/en#/http%3A%2F%2Fid.who.int%2Ficd%2Fentity%2F905970099","browser")</x:f>
      </x:c>
      <x:c r="L32" s="0">
        <x:f>hyperlink("https://icat2.azurewebsites.net/icat/?ontology=ICD&amp;tab=ClassesTab&amp;id=http%3A%2F%2Fwho.int%2Ficd%23159_c1eb5896_b43e_4531_bd82_f72e7a00cdd6","iCat")</x:f>
      </x:c>
      <x:c r="M32" s="0" t="s">
        <x:v>21</x:v>
      </x:c>
      <x:c r="N32" s="0" t="s">
        <x:v>46</x:v>
      </x:c>
    </x:row>
    <x:row r="33" spans="1:16">
      <x:c r="A33" s="0" t="s">
        <x:v>144</x:v>
      </x:c>
      <x:c r="B33" s="0" t="s">
        <x:v>145</x:v>
      </x:c>
      <x:c r="C33" s="0" t="s">
        <x:v>146</x:v>
      </x:c>
      <x:c r="E33" s="0" t="s">
        <x:v>147</x:v>
      </x:c>
      <x:c r="F33" s="0" t="s">
        <x:v>45</x:v>
      </x:c>
      <x:c r="G33" s="0" t="s">
        <x:v>19</x:v>
      </x:c>
      <x:c r="H33" s="0" t="s">
        <x:v>20</x:v>
      </x:c>
      <x:c r="I33" s="0" t="s">
        <x:v>21</x:v>
      </x:c>
      <x:c r="K33" s="0">
        <x:f>hyperlink("https://icd.who.int/dev11/l-ichi/en#/http%3A%2F%2Fid.who.int%2Ficd%2Fentity%2F1565273380","browser")</x:f>
      </x:c>
      <x:c r="L33" s="0">
        <x:f>hyperlink("https://icat2.azurewebsites.net/icat/?ontology=ICD&amp;tab=ClassesTab&amp;id=http%3A%2F%2Fwho.int%2Ficd%23163_c1eb5896_b43e_4531_bd82_f72e7a00cdd6","iCat")</x:f>
      </x:c>
      <x:c r="M33" s="0" t="s">
        <x:v>21</x:v>
      </x:c>
      <x:c r="N33" s="0" t="s">
        <x:v>46</x:v>
      </x:c>
    </x:row>
    <x:row r="34" spans="1:16">
      <x:c r="A34" s="0" t="s">
        <x:v>148</x:v>
      </x:c>
      <x:c r="B34" s="0" t="s">
        <x:v>149</x:v>
      </x:c>
      <x:c r="C34" s="0" t="s">
        <x:v>150</x:v>
      </x:c>
      <x:c r="E34" s="0" t="s">
        <x:v>151</x:v>
      </x:c>
      <x:c r="F34" s="0" t="s">
        <x:v>45</x:v>
      </x:c>
      <x:c r="G34" s="0" t="s">
        <x:v>19</x:v>
      </x:c>
      <x:c r="H34" s="0" t="s">
        <x:v>20</x:v>
      </x:c>
      <x:c r="I34" s="0" t="s">
        <x:v>21</x:v>
      </x:c>
      <x:c r="K34" s="0">
        <x:f>hyperlink("https://icd.who.int/dev11/l-ichi/en#/http%3A%2F%2Fid.who.int%2Ficd%2Fentity%2F1749805394","browser")</x:f>
      </x:c>
      <x:c r="L34" s="0">
        <x:f>hyperlink("https://icat2.azurewebsites.net/icat/?ontology=ICD&amp;tab=ClassesTab&amp;id=http%3A%2F%2Fwho.int%2Ficd%23167_c1eb5896_b43e_4531_bd82_f72e7a00cdd6","iCat")</x:f>
      </x:c>
      <x:c r="M34" s="0" t="s">
        <x:v>21</x:v>
      </x:c>
      <x:c r="N34" s="0" t="s">
        <x:v>46</x:v>
      </x:c>
    </x:row>
    <x:row r="35" spans="1:16">
      <x:c r="A35" s="0" t="s">
        <x:v>152</x:v>
      </x:c>
      <x:c r="B35" s="0" t="s">
        <x:v>153</x:v>
      </x:c>
      <x:c r="E35" s="0" t="s">
        <x:v>154</x:v>
      </x:c>
      <x:c r="F35" s="0" t="s">
        <x:v>26</x:v>
      </x:c>
      <x:c r="G35" s="0" t="s">
        <x:v>22</x:v>
      </x:c>
      <x:c r="H35" s="0" t="s">
        <x:v>20</x:v>
      </x:c>
      <x:c r="I35" s="0" t="s">
        <x:v>21</x:v>
      </x:c>
      <x:c r="K35" s="0">
        <x:f>hyperlink("https://icd.who.int/dev11/l-ichi/en#/http%3A%2F%2Fid.who.int%2Ficd%2Fentity%2F393267791","browser")</x:f>
      </x:c>
      <x:c r="L35" s="0">
        <x:f>hyperlink("https://icat2.azurewebsites.net/icat/?ontology=ICD&amp;tab=ClassesTab&amp;id=http%3A%2F%2Fwho.int%2Ficd%23172_c1eb5896_b43e_4531_bd82_f72e7a00cdd6","iCat")</x:f>
      </x:c>
      <x:c r="M35" s="0" t="s">
        <x:v>20</x:v>
      </x:c>
      <x:c r="N35" s="0" t="s">
        <x:v>31</x:v>
      </x:c>
    </x:row>
    <x:row r="36" spans="1:16">
      <x:c r="A36" s="0" t="s">
        <x:v>155</x:v>
      </x:c>
      <x:c r="B36" s="0" t="s">
        <x:v>156</x:v>
      </x:c>
      <x:c r="C36" s="0" t="s">
        <x:v>157</x:v>
      </x:c>
      <x:c r="E36" s="0" t="s">
        <x:v>158</x:v>
      </x:c>
      <x:c r="F36" s="0" t="s">
        <x:v>45</x:v>
      </x:c>
      <x:c r="G36" s="0" t="s">
        <x:v>19</x:v>
      </x:c>
      <x:c r="H36" s="0" t="s">
        <x:v>20</x:v>
      </x:c>
      <x:c r="I36" s="0" t="s">
        <x:v>21</x:v>
      </x:c>
      <x:c r="K36" s="0">
        <x:f>hyperlink("https://icd.who.int/dev11/l-ichi/en#/http%3A%2F%2Fid.who.int%2Ficd%2Fentity%2F1391830454","browser")</x:f>
      </x:c>
      <x:c r="L36" s="0">
        <x:f>hyperlink("https://icat2.azurewebsites.net/icat/?ontology=ICD&amp;tab=ClassesTab&amp;id=http%3A%2F%2Fwho.int%2Ficd%23171_c1eb5896_b43e_4531_bd82_f72e7a00cdd6","iCat")</x:f>
      </x:c>
      <x:c r="M36" s="0" t="s">
        <x:v>21</x:v>
      </x:c>
      <x:c r="N36" s="0" t="s">
        <x:v>46</x:v>
      </x:c>
    </x:row>
    <x:row r="37" spans="1:16">
      <x:c r="A37" s="0" t="s">
        <x:v>159</x:v>
      </x:c>
      <x:c r="B37" s="0" t="s">
        <x:v>160</x:v>
      </x:c>
      <x:c r="C37" s="0" t="s">
        <x:v>161</x:v>
      </x:c>
      <x:c r="E37" s="0" t="s">
        <x:v>162</x:v>
      </x:c>
      <x:c r="F37" s="0" t="s">
        <x:v>45</x:v>
      </x:c>
      <x:c r="G37" s="0" t="s">
        <x:v>19</x:v>
      </x:c>
      <x:c r="H37" s="0" t="s">
        <x:v>20</x:v>
      </x:c>
      <x:c r="I37" s="0" t="s">
        <x:v>21</x:v>
      </x:c>
      <x:c r="K37" s="0">
        <x:f>hyperlink("https://icd.who.int/dev11/l-ichi/en#/http%3A%2F%2Fid.who.int%2Ficd%2Fentity%2F2098392936","browser")</x:f>
      </x:c>
      <x:c r="L37" s="0">
        <x:f>hyperlink("https://icat2.azurewebsites.net/icat/?ontology=ICD&amp;tab=ClassesTab&amp;id=http%3A%2F%2Fwho.int%2Ficd%23181_c1eb5896_b43e_4531_bd82_f72e7a00cdd6","iCat")</x:f>
      </x:c>
      <x:c r="M37" s="0" t="s">
        <x:v>21</x:v>
      </x:c>
      <x:c r="N37" s="0" t="s">
        <x:v>46</x:v>
      </x:c>
    </x:row>
    <x:row r="38" spans="1:16">
      <x:c r="A38" s="0" t="s">
        <x:v>163</x:v>
      </x:c>
      <x:c r="B38" s="0" t="s">
        <x:v>164</x:v>
      </x:c>
      <x:c r="C38" s="0" t="s">
        <x:v>165</x:v>
      </x:c>
      <x:c r="E38" s="0" t="s">
        <x:v>166</x:v>
      </x:c>
      <x:c r="F38" s="0" t="s">
        <x:v>45</x:v>
      </x:c>
      <x:c r="G38" s="0" t="s">
        <x:v>19</x:v>
      </x:c>
      <x:c r="H38" s="0" t="s">
        <x:v>20</x:v>
      </x:c>
      <x:c r="I38" s="0" t="s">
        <x:v>21</x:v>
      </x:c>
      <x:c r="K38" s="0">
        <x:f>hyperlink("https://icd.who.int/dev11/l-ichi/en#/http%3A%2F%2Fid.who.int%2Ficd%2Fentity%2F1209346846","browser")</x:f>
      </x:c>
      <x:c r="L38" s="0">
        <x:f>hyperlink("https://icat2.azurewebsites.net/icat/?ontology=ICD&amp;tab=ClassesTab&amp;id=http%3A%2F%2Fwho.int%2Ficd%23185_c1eb5896_b43e_4531_bd82_f72e7a00cdd6","iCat")</x:f>
      </x:c>
      <x:c r="M38" s="0" t="s">
        <x:v>21</x:v>
      </x:c>
      <x:c r="N38" s="0" t="s">
        <x:v>46</x:v>
      </x:c>
    </x:row>
    <x:row r="39" spans="1:16">
      <x:c r="A39" s="0" t="s">
        <x:v>167</x:v>
      </x:c>
      <x:c r="B39" s="0" t="s">
        <x:v>168</x:v>
      </x:c>
      <x:c r="C39" s="0" t="s">
        <x:v>169</x:v>
      </x:c>
      <x:c r="E39" s="0" t="s">
        <x:v>170</x:v>
      </x:c>
      <x:c r="F39" s="0" t="s">
        <x:v>45</x:v>
      </x:c>
      <x:c r="G39" s="0" t="s">
        <x:v>19</x:v>
      </x:c>
      <x:c r="H39" s="0" t="s">
        <x:v>20</x:v>
      </x:c>
      <x:c r="I39" s="0" t="s">
        <x:v>21</x:v>
      </x:c>
      <x:c r="K39" s="0">
        <x:f>hyperlink("https://icd.who.int/dev11/l-ichi/en#/http%3A%2F%2Fid.who.int%2Ficd%2Fentity%2F865312317","browser")</x:f>
      </x:c>
      <x:c r="L39" s="0">
        <x:f>hyperlink("https://icat2.azurewebsites.net/icat/?ontology=ICD&amp;tab=ClassesTab&amp;id=http%3A%2F%2Fwho.int%2Ficd%23189_c1eb5896_b43e_4531_bd82_f72e7a00cdd6","iCat")</x:f>
      </x:c>
      <x:c r="M39" s="0" t="s">
        <x:v>21</x:v>
      </x:c>
      <x:c r="N39" s="0" t="s">
        <x:v>46</x:v>
      </x:c>
    </x:row>
    <x:row r="40" spans="1:16">
      <x:c r="A40" s="0" t="s">
        <x:v>171</x:v>
      </x:c>
      <x:c r="B40" s="0" t="s">
        <x:v>172</x:v>
      </x:c>
      <x:c r="C40" s="0" t="s">
        <x:v>173</x:v>
      </x:c>
      <x:c r="E40" s="0" t="s">
        <x:v>174</x:v>
      </x:c>
      <x:c r="F40" s="0" t="s">
        <x:v>45</x:v>
      </x:c>
      <x:c r="G40" s="0" t="s">
        <x:v>19</x:v>
      </x:c>
      <x:c r="H40" s="0" t="s">
        <x:v>20</x:v>
      </x:c>
      <x:c r="I40" s="0" t="s">
        <x:v>21</x:v>
      </x:c>
      <x:c r="K40" s="0">
        <x:f>hyperlink("https://icd.who.int/dev11/l-ichi/en#/http%3A%2F%2Fid.who.int%2Ficd%2Fentity%2F1923835898","browser")</x:f>
      </x:c>
      <x:c r="L40" s="0">
        <x:f>hyperlink("https://icat2.azurewebsites.net/icat/?ontology=ICD&amp;tab=ClassesTab&amp;id=http%3A%2F%2Fwho.int%2Ficd%23193_c1eb5896_b43e_4531_bd82_f72e7a00cdd6","iCat")</x:f>
      </x:c>
      <x:c r="M40" s="0" t="s">
        <x:v>21</x:v>
      </x:c>
      <x:c r="N40" s="0" t="s">
        <x:v>46</x:v>
      </x:c>
    </x:row>
    <x:row r="41" spans="1:16">
      <x:c r="A41" s="0" t="s">
        <x:v>175</x:v>
      </x:c>
      <x:c r="B41" s="0" t="s">
        <x:v>176</x:v>
      </x:c>
      <x:c r="C41" s="0" t="s">
        <x:v>177</x:v>
      </x:c>
      <x:c r="E41" s="0" t="s">
        <x:v>178</x:v>
      </x:c>
      <x:c r="F41" s="0" t="s">
        <x:v>45</x:v>
      </x:c>
      <x:c r="G41" s="0" t="s">
        <x:v>19</x:v>
      </x:c>
      <x:c r="H41" s="0" t="s">
        <x:v>20</x:v>
      </x:c>
      <x:c r="I41" s="0" t="s">
        <x:v>21</x:v>
      </x:c>
      <x:c r="K41" s="0">
        <x:f>hyperlink("https://icd.who.int/dev11/l-ichi/en#/http%3A%2F%2Fid.who.int%2Ficd%2Fentity%2F1202496400","browser")</x:f>
      </x:c>
      <x:c r="L41" s="0">
        <x:f>hyperlink("https://icat2.azurewebsites.net/icat/?ontology=ICD&amp;tab=ClassesTab&amp;id=http%3A%2F%2Fwho.int%2Ficd%23197_c1eb5896_b43e_4531_bd82_f72e7a00cdd6","iCat")</x:f>
      </x:c>
      <x:c r="M41" s="0" t="s">
        <x:v>21</x:v>
      </x:c>
      <x:c r="N41" s="0" t="s">
        <x:v>46</x:v>
      </x:c>
    </x:row>
    <x:row r="42" spans="1:16">
      <x:c r="A42" s="0" t="s">
        <x:v>179</x:v>
      </x:c>
      <x:c r="B42" s="0" t="s">
        <x:v>180</x:v>
      </x:c>
      <x:c r="C42" s="0" t="s">
        <x:v>181</x:v>
      </x:c>
      <x:c r="E42" s="0" t="s">
        <x:v>182</x:v>
      </x:c>
      <x:c r="F42" s="0" t="s">
        <x:v>45</x:v>
      </x:c>
      <x:c r="G42" s="0" t="s">
        <x:v>19</x:v>
      </x:c>
      <x:c r="H42" s="0" t="s">
        <x:v>20</x:v>
      </x:c>
      <x:c r="I42" s="0" t="s">
        <x:v>21</x:v>
      </x:c>
      <x:c r="K42" s="0">
        <x:f>hyperlink("https://icd.who.int/dev11/l-ichi/en#/http%3A%2F%2Fid.who.int%2Ficd%2Fentity%2F58458869","browser")</x:f>
      </x:c>
      <x:c r="L42" s="0">
        <x:f>hyperlink("https://icat2.azurewebsites.net/icat/?ontology=ICD&amp;tab=ClassesTab&amp;id=http%3A%2F%2Fwho.int%2Ficd%23201_c1eb5896_b43e_4531_bd82_f72e7a00cdd6","iCat")</x:f>
      </x:c>
      <x:c r="M42" s="0" t="s">
        <x:v>21</x:v>
      </x:c>
      <x:c r="N42" s="0" t="s">
        <x:v>46</x:v>
      </x:c>
    </x:row>
    <x:row r="43" spans="1:16">
      <x:c r="A43" s="0" t="s">
        <x:v>183</x:v>
      </x:c>
      <x:c r="B43" s="0" t="s">
        <x:v>184</x:v>
      </x:c>
      <x:c r="C43" s="0" t="s">
        <x:v>185</x:v>
      </x:c>
      <x:c r="E43" s="0" t="s">
        <x:v>186</x:v>
      </x:c>
      <x:c r="F43" s="0" t="s">
        <x:v>45</x:v>
      </x:c>
      <x:c r="G43" s="0" t="s">
        <x:v>19</x:v>
      </x:c>
      <x:c r="H43" s="0" t="s">
        <x:v>20</x:v>
      </x:c>
      <x:c r="I43" s="0" t="s">
        <x:v>21</x:v>
      </x:c>
      <x:c r="K43" s="0">
        <x:f>hyperlink("https://icd.who.int/dev11/l-ichi/en#/http%3A%2F%2Fid.who.int%2Ficd%2Fentity%2F914081409","browser")</x:f>
      </x:c>
      <x:c r="L43" s="0">
        <x:f>hyperlink("https://icat2.azurewebsites.net/icat/?ontology=ICD&amp;tab=ClassesTab&amp;id=http%3A%2F%2Fwho.int%2Ficd%23205_c1eb5896_b43e_4531_bd82_f72e7a00cdd6","iCat")</x:f>
      </x:c>
      <x:c r="M43" s="0" t="s">
        <x:v>21</x:v>
      </x:c>
      <x:c r="N43" s="0" t="s">
        <x:v>46</x:v>
      </x:c>
    </x:row>
    <x:row r="44" spans="1:16">
      <x:c r="A44" s="0" t="s">
        <x:v>187</x:v>
      </x:c>
      <x:c r="B44" s="0" t="s">
        <x:v>188</x:v>
      </x:c>
      <x:c r="C44" s="0" t="s">
        <x:v>189</x:v>
      </x:c>
      <x:c r="E44" s="0" t="s">
        <x:v>190</x:v>
      </x:c>
      <x:c r="F44" s="0" t="s">
        <x:v>45</x:v>
      </x:c>
      <x:c r="G44" s="0" t="s">
        <x:v>19</x:v>
      </x:c>
      <x:c r="H44" s="0" t="s">
        <x:v>20</x:v>
      </x:c>
      <x:c r="I44" s="0" t="s">
        <x:v>21</x:v>
      </x:c>
      <x:c r="K44" s="0">
        <x:f>hyperlink("https://icd.who.int/dev11/l-ichi/en#/http%3A%2F%2Fid.who.int%2Ficd%2Fentity%2F1308455840","browser")</x:f>
      </x:c>
      <x:c r="L44" s="0">
        <x:f>hyperlink("https://icat2.azurewebsites.net/icat/?ontology=ICD&amp;tab=ClassesTab&amp;id=http%3A%2F%2Fwho.int%2Ficd%23209_c1eb5896_b43e_4531_bd82_f72e7a00cdd6","iCat")</x:f>
      </x:c>
      <x:c r="M44" s="0" t="s">
        <x:v>21</x:v>
      </x:c>
      <x:c r="N44" s="0" t="s">
        <x:v>46</x:v>
      </x:c>
    </x:row>
    <x:row r="45" spans="1:16">
      <x:c r="A45" s="0" t="s">
        <x:v>191</x:v>
      </x:c>
      <x:c r="B45" s="0" t="s">
        <x:v>192</x:v>
      </x:c>
      <x:c r="C45" s="0" t="s">
        <x:v>193</x:v>
      </x:c>
      <x:c r="E45" s="0" t="s">
        <x:v>194</x:v>
      </x:c>
      <x:c r="F45" s="0" t="s">
        <x:v>45</x:v>
      </x:c>
      <x:c r="G45" s="0" t="s">
        <x:v>19</x:v>
      </x:c>
      <x:c r="H45" s="0" t="s">
        <x:v>20</x:v>
      </x:c>
      <x:c r="I45" s="0" t="s">
        <x:v>21</x:v>
      </x:c>
      <x:c r="K45" s="0">
        <x:f>hyperlink("https://icd.who.int/dev11/l-ichi/en#/http%3A%2F%2Fid.who.int%2Ficd%2Fentity%2F214272615","browser")</x:f>
      </x:c>
      <x:c r="L45" s="0">
        <x:f>hyperlink("https://icat2.azurewebsites.net/icat/?ontology=ICD&amp;tab=ClassesTab&amp;id=http%3A%2F%2Fwho.int%2Ficd%23213_c1eb5896_b43e_4531_bd82_f72e7a00cdd6","iCat")</x:f>
      </x:c>
      <x:c r="M45" s="0" t="s">
        <x:v>21</x:v>
      </x:c>
      <x:c r="N45" s="0" t="s">
        <x:v>46</x:v>
      </x:c>
    </x:row>
    <x:row r="46" spans="1:16">
      <x:c r="A46" s="0" t="s">
        <x:v>195</x:v>
      </x:c>
      <x:c r="B46" s="0" t="s">
        <x:v>196</x:v>
      </x:c>
      <x:c r="C46" s="0" t="s">
        <x:v>197</x:v>
      </x:c>
      <x:c r="E46" s="0" t="s">
        <x:v>198</x:v>
      </x:c>
      <x:c r="F46" s="0" t="s">
        <x:v>45</x:v>
      </x:c>
      <x:c r="G46" s="0" t="s">
        <x:v>19</x:v>
      </x:c>
      <x:c r="H46" s="0" t="s">
        <x:v>20</x:v>
      </x:c>
      <x:c r="I46" s="0" t="s">
        <x:v>21</x:v>
      </x:c>
      <x:c r="K46" s="0">
        <x:f>hyperlink("https://icd.who.int/dev11/l-ichi/en#/http%3A%2F%2Fid.who.int%2Ficd%2Fentity%2F969035283","browser")</x:f>
      </x:c>
      <x:c r="L46" s="0">
        <x:f>hyperlink("https://icat2.azurewebsites.net/icat/?ontology=ICD&amp;tab=ClassesTab&amp;id=http%3A%2F%2Fwho.int%2Ficd%23217_c1eb5896_b43e_4531_bd82_f72e7a00cdd6","iCat")</x:f>
      </x:c>
      <x:c r="M46" s="0" t="s">
        <x:v>21</x:v>
      </x:c>
      <x:c r="N46" s="0" t="s">
        <x:v>46</x:v>
      </x:c>
    </x:row>
    <x:row r="47" spans="1:16">
      <x:c r="A47" s="0" t="s">
        <x:v>199</x:v>
      </x:c>
      <x:c r="B47" s="0" t="s">
        <x:v>200</x:v>
      </x:c>
      <x:c r="C47" s="0" t="s">
        <x:v>201</x:v>
      </x:c>
      <x:c r="E47" s="0" t="s">
        <x:v>202</x:v>
      </x:c>
      <x:c r="F47" s="0" t="s">
        <x:v>45</x:v>
      </x:c>
      <x:c r="G47" s="0" t="s">
        <x:v>19</x:v>
      </x:c>
      <x:c r="H47" s="0" t="s">
        <x:v>20</x:v>
      </x:c>
      <x:c r="I47" s="0" t="s">
        <x:v>21</x:v>
      </x:c>
      <x:c r="K47" s="0">
        <x:f>hyperlink("https://icd.who.int/dev11/l-ichi/en#/http%3A%2F%2Fid.who.int%2Ficd%2Fentity%2F688445349","browser")</x:f>
      </x:c>
      <x:c r="L47" s="0">
        <x:f>hyperlink("https://icat2.azurewebsites.net/icat/?ontology=ICD&amp;tab=ClassesTab&amp;id=http%3A%2F%2Fwho.int%2Ficd%23221_c1eb5896_b43e_4531_bd82_f72e7a00cdd6","iCat")</x:f>
      </x:c>
      <x:c r="M47" s="0" t="s">
        <x:v>21</x:v>
      </x:c>
      <x:c r="N47" s="0" t="s">
        <x:v>46</x:v>
      </x:c>
    </x:row>
    <x:row r="48" spans="1:16">
      <x:c r="A48" s="0" t="s">
        <x:v>203</x:v>
      </x:c>
      <x:c r="B48" s="0" t="s">
        <x:v>204</x:v>
      </x:c>
      <x:c r="E48" s="0" t="s">
        <x:v>205</x:v>
      </x:c>
      <x:c r="F48" s="0" t="s">
        <x:v>26</x:v>
      </x:c>
      <x:c r="G48" s="0" t="s">
        <x:v>22</x:v>
      </x:c>
      <x:c r="H48" s="0" t="s">
        <x:v>20</x:v>
      </x:c>
      <x:c r="I48" s="0" t="s">
        <x:v>21</x:v>
      </x:c>
      <x:c r="K48" s="0">
        <x:f>hyperlink("https://icd.who.int/dev11/l-ichi/en#/http%3A%2F%2Fid.who.int%2Ficd%2Fentity%2F2037583380","browser")</x:f>
      </x:c>
      <x:c r="L48" s="0">
        <x:f>hyperlink("https://icat2.azurewebsites.net/icat/?ontology=ICD&amp;tab=ClassesTab&amp;id=http%3A%2F%2Fwho.int%2Ficd%23227_c1eb5896_b43e_4531_bd82_f72e7a00cdd6","iCat")</x:f>
      </x:c>
      <x:c r="M48" s="0" t="s">
        <x:v>20</x:v>
      </x:c>
      <x:c r="N48" s="0" t="s">
        <x:v>206</x:v>
      </x:c>
    </x:row>
    <x:row r="49" spans="1:16">
      <x:c r="A49" s="0" t="s">
        <x:v>207</x:v>
      </x:c>
      <x:c r="B49" s="0" t="s">
        <x:v>208</x:v>
      </x:c>
      <x:c r="C49" s="0" t="s">
        <x:v>209</x:v>
      </x:c>
      <x:c r="E49" s="0" t="s">
        <x:v>210</x:v>
      </x:c>
      <x:c r="F49" s="0" t="s">
        <x:v>45</x:v>
      </x:c>
      <x:c r="G49" s="0" t="s">
        <x:v>19</x:v>
      </x:c>
      <x:c r="H49" s="0" t="s">
        <x:v>20</x:v>
      </x:c>
      <x:c r="I49" s="0" t="s">
        <x:v>21</x:v>
      </x:c>
      <x:c r="K49" s="0">
        <x:f>hyperlink("https://icd.who.int/dev11/l-ichi/en#/http%3A%2F%2Fid.who.int%2Ficd%2Fentity%2F860875135","browser")</x:f>
      </x:c>
      <x:c r="L49" s="0">
        <x:f>hyperlink("https://icat2.azurewebsites.net/icat/?ontology=ICD&amp;tab=ClassesTab&amp;id=http%3A%2F%2Fwho.int%2Ficd%23236_c1eb5896_b43e_4531_bd82_f72e7a00cdd6","iCat")</x:f>
      </x:c>
      <x:c r="M49" s="0" t="s">
        <x:v>21</x:v>
      </x:c>
      <x:c r="N49" s="0" t="s">
        <x:v>46</x:v>
      </x:c>
    </x:row>
    <x:row r="50" spans="1:16">
      <x:c r="A50" s="0" t="s">
        <x:v>211</x:v>
      </x:c>
      <x:c r="B50" s="0" t="s">
        <x:v>212</x:v>
      </x:c>
      <x:c r="C50" s="0" t="s">
        <x:v>213</x:v>
      </x:c>
      <x:c r="E50" s="0" t="s">
        <x:v>214</x:v>
      </x:c>
      <x:c r="F50" s="0" t="s">
        <x:v>45</x:v>
      </x:c>
      <x:c r="G50" s="0" t="s">
        <x:v>19</x:v>
      </x:c>
      <x:c r="H50" s="0" t="s">
        <x:v>20</x:v>
      </x:c>
      <x:c r="I50" s="0" t="s">
        <x:v>21</x:v>
      </x:c>
      <x:c r="K50" s="0">
        <x:f>hyperlink("https://icd.who.int/dev11/l-ichi/en#/http%3A%2F%2Fid.who.int%2Ficd%2Fentity%2F1407329238","browser")</x:f>
      </x:c>
      <x:c r="L50" s="0">
        <x:f>hyperlink("https://icat2.azurewebsites.net/icat/?ontology=ICD&amp;tab=ClassesTab&amp;id=http%3A%2F%2Fwho.int%2Ficd%23240_c1eb5896_b43e_4531_bd82_f72e7a00cdd6","iCat")</x:f>
      </x:c>
      <x:c r="M50" s="0" t="s">
        <x:v>21</x:v>
      </x:c>
      <x:c r="N50" s="0" t="s">
        <x:v>46</x:v>
      </x:c>
    </x:row>
    <x:row r="51" spans="1:16">
      <x:c r="A51" s="0" t="s">
        <x:v>215</x:v>
      </x:c>
      <x:c r="B51" s="0" t="s">
        <x:v>216</x:v>
      </x:c>
      <x:c r="C51" s="0" t="s">
        <x:v>217</x:v>
      </x:c>
      <x:c r="E51" s="0" t="s">
        <x:v>218</x:v>
      </x:c>
      <x:c r="F51" s="0" t="s">
        <x:v>45</x:v>
      </x:c>
      <x:c r="G51" s="0" t="s">
        <x:v>19</x:v>
      </x:c>
      <x:c r="H51" s="0" t="s">
        <x:v>20</x:v>
      </x:c>
      <x:c r="I51" s="0" t="s">
        <x:v>21</x:v>
      </x:c>
      <x:c r="K51" s="0">
        <x:f>hyperlink("https://icd.who.int/dev11/l-ichi/en#/http%3A%2F%2Fid.who.int%2Ficd%2Fentity%2F1726343072","browser")</x:f>
      </x:c>
      <x:c r="L51" s="0">
        <x:f>hyperlink("https://icat2.azurewebsites.net/icat/?ontology=ICD&amp;tab=ClassesTab&amp;id=http%3A%2F%2Fwho.int%2Ficd%23244_c1eb5896_b43e_4531_bd82_f72e7a00cdd6","iCat")</x:f>
      </x:c>
      <x:c r="M51" s="0" t="s">
        <x:v>21</x:v>
      </x:c>
      <x:c r="N51" s="0" t="s">
        <x:v>46</x:v>
      </x:c>
    </x:row>
    <x:row r="52" spans="1:16">
      <x:c r="A52" s="0" t="s">
        <x:v>219</x:v>
      </x:c>
      <x:c r="B52" s="0" t="s">
        <x:v>220</x:v>
      </x:c>
      <x:c r="C52" s="0" t="s">
        <x:v>221</x:v>
      </x:c>
      <x:c r="E52" s="0" t="s">
        <x:v>222</x:v>
      </x:c>
      <x:c r="F52" s="0" t="s">
        <x:v>45</x:v>
      </x:c>
      <x:c r="G52" s="0" t="s">
        <x:v>19</x:v>
      </x:c>
      <x:c r="H52" s="0" t="s">
        <x:v>20</x:v>
      </x:c>
      <x:c r="I52" s="0" t="s">
        <x:v>21</x:v>
      </x:c>
      <x:c r="K52" s="0">
        <x:f>hyperlink("https://icd.who.int/dev11/l-ichi/en#/http%3A%2F%2Fid.who.int%2Ficd%2Fentity%2F493048449","browser")</x:f>
      </x:c>
      <x:c r="L52" s="0">
        <x:f>hyperlink("https://icat2.azurewebsites.net/icat/?ontology=ICD&amp;tab=ClassesTab&amp;id=http%3A%2F%2Fwho.int%2Ficd%23248_c1eb5896_b43e_4531_bd82_f72e7a00cdd6","iCat")</x:f>
      </x:c>
      <x:c r="M52" s="0" t="s">
        <x:v>21</x:v>
      </x:c>
      <x:c r="N52" s="0" t="s">
        <x:v>46</x:v>
      </x:c>
    </x:row>
    <x:row r="53" spans="1:16">
      <x:c r="A53" s="0" t="s">
        <x:v>223</x:v>
      </x:c>
      <x:c r="B53" s="0" t="s">
        <x:v>224</x:v>
      </x:c>
      <x:c r="C53" s="0" t="s">
        <x:v>225</x:v>
      </x:c>
      <x:c r="E53" s="0" t="s">
        <x:v>226</x:v>
      </x:c>
      <x:c r="F53" s="0" t="s">
        <x:v>45</x:v>
      </x:c>
      <x:c r="G53" s="0" t="s">
        <x:v>19</x:v>
      </x:c>
      <x:c r="H53" s="0" t="s">
        <x:v>20</x:v>
      </x:c>
      <x:c r="I53" s="0" t="s">
        <x:v>21</x:v>
      </x:c>
      <x:c r="K53" s="0">
        <x:f>hyperlink("https://icd.who.int/dev11/l-ichi/en#/http%3A%2F%2Fid.who.int%2Ficd%2Fentity%2F1549511496","browser")</x:f>
      </x:c>
      <x:c r="L53" s="0">
        <x:f>hyperlink("https://icat2.azurewebsites.net/icat/?ontology=ICD&amp;tab=ClassesTab&amp;id=http%3A%2F%2Fwho.int%2Ficd%23252_c1eb5896_b43e_4531_bd82_f72e7a00cdd6","iCat")</x:f>
      </x:c>
      <x:c r="M53" s="0" t="s">
        <x:v>21</x:v>
      </x:c>
      <x:c r="N53" s="0" t="s">
        <x:v>46</x:v>
      </x:c>
    </x:row>
    <x:row r="54" spans="1:16">
      <x:c r="A54" s="0" t="s">
        <x:v>227</x:v>
      </x:c>
      <x:c r="B54" s="0" t="s">
        <x:v>228</x:v>
      </x:c>
      <x:c r="C54" s="0" t="s">
        <x:v>229</x:v>
      </x:c>
      <x:c r="E54" s="0" t="s">
        <x:v>230</x:v>
      </x:c>
      <x:c r="F54" s="0" t="s">
        <x:v>45</x:v>
      </x:c>
      <x:c r="G54" s="0" t="s">
        <x:v>19</x:v>
      </x:c>
      <x:c r="H54" s="0" t="s">
        <x:v>20</x:v>
      </x:c>
      <x:c r="I54" s="0" t="s">
        <x:v>21</x:v>
      </x:c>
      <x:c r="K54" s="0">
        <x:f>hyperlink("https://icd.who.int/dev11/l-ichi/en#/http%3A%2F%2Fid.who.int%2Ficd%2Fentity%2F1767665458","browser")</x:f>
      </x:c>
      <x:c r="L54" s="0">
        <x:f>hyperlink("https://icat2.azurewebsites.net/icat/?ontology=ICD&amp;tab=ClassesTab&amp;id=http%3A%2F%2Fwho.int%2Ficd%23256_c1eb5896_b43e_4531_bd82_f72e7a00cdd6","iCat")</x:f>
      </x:c>
      <x:c r="M54" s="0" t="s">
        <x:v>21</x:v>
      </x:c>
      <x:c r="N54" s="0" t="s">
        <x:v>46</x:v>
      </x:c>
    </x:row>
    <x:row r="55" spans="1:16">
      <x:c r="A55" s="0" t="s">
        <x:v>231</x:v>
      </x:c>
      <x:c r="B55" s="0" t="s">
        <x:v>232</x:v>
      </x:c>
      <x:c r="E55" s="0" t="s">
        <x:v>233</x:v>
      </x:c>
      <x:c r="F55" s="0" t="s">
        <x:v>26</x:v>
      </x:c>
      <x:c r="G55" s="0" t="s">
        <x:v>22</x:v>
      </x:c>
      <x:c r="H55" s="0" t="s">
        <x:v>20</x:v>
      </x:c>
      <x:c r="I55" s="0" t="s">
        <x:v>21</x:v>
      </x:c>
      <x:c r="K55" s="0">
        <x:f>hyperlink("https://icd.who.int/dev11/l-ichi/en#/http%3A%2F%2Fid.who.int%2Ficd%2Fentity%2F1500480698","browser")</x:f>
      </x:c>
      <x:c r="L55" s="0">
        <x:f>hyperlink("https://icat2.azurewebsites.net/icat/?ontology=ICD&amp;tab=ClassesTab&amp;id=http%3A%2F%2Fwho.int%2Ficd%23261_c1eb5896_b43e_4531_bd82_f72e7a00cdd6","iCat")</x:f>
      </x:c>
      <x:c r="M55" s="0" t="s">
        <x:v>20</x:v>
      </x:c>
      <x:c r="N55" s="0" t="s">
        <x:v>19</x:v>
      </x:c>
    </x:row>
    <x:row r="56" spans="1:16">
      <x:c r="A56" s="0" t="s">
        <x:v>234</x:v>
      </x:c>
      <x:c r="B56" s="0" t="s">
        <x:v>235</x:v>
      </x:c>
      <x:c r="C56" s="0" t="s">
        <x:v>236</x:v>
      </x:c>
      <x:c r="E56" s="0" t="s">
        <x:v>237</x:v>
      </x:c>
      <x:c r="F56" s="0" t="s">
        <x:v>45</x:v>
      </x:c>
      <x:c r="G56" s="0" t="s">
        <x:v>19</x:v>
      </x:c>
      <x:c r="H56" s="0" t="s">
        <x:v>20</x:v>
      </x:c>
      <x:c r="I56" s="0" t="s">
        <x:v>21</x:v>
      </x:c>
      <x:c r="K56" s="0">
        <x:f>hyperlink("https://icd.who.int/dev11/l-ichi/en#/http%3A%2F%2Fid.who.int%2Ficd%2Fentity%2F2039936644","browser")</x:f>
      </x:c>
      <x:c r="L56" s="0">
        <x:f>hyperlink("https://icat2.azurewebsites.net/icat/?ontology=ICD&amp;tab=ClassesTab&amp;id=http%3A%2F%2Fwho.int%2Ficd%23260_c1eb5896_b43e_4531_bd82_f72e7a00cdd6","iCat")</x:f>
      </x:c>
      <x:c r="M56" s="0" t="s">
        <x:v>21</x:v>
      </x:c>
      <x:c r="N56" s="0" t="s">
        <x:v>46</x:v>
      </x:c>
    </x:row>
    <x:row r="57" spans="1:16">
      <x:c r="B57" s="0" t="s">
        <x:v>238</x:v>
      </x:c>
      <x:c r="C57" s="0" t="s">
        <x:v>239</x:v>
      </x:c>
      <x:c r="E57" s="0" t="s">
        <x:v>240</x:v>
      </x:c>
      <x:c r="F57" s="0" t="s">
        <x:v>45</x:v>
      </x:c>
      <x:c r="G57" s="0" t="s">
        <x:v>19</x:v>
      </x:c>
      <x:c r="H57" s="0" t="s">
        <x:v>21</x:v>
      </x:c>
      <x:c r="I57" s="0" t="s">
        <x:v>21</x:v>
      </x:c>
      <x:c r="K57" s="0">
        <x:f>hyperlink("https://icd.who.int/dev11/l-ichi/en#/http%3A%2F%2Fid.who.int%2Ficd%2Fentity%2F1582424117%2Fichi%2Fother","browser")</x:f>
      </x:c>
      <x:c r="L57" s="0">
        <x:f>hyperlink("","iCat")</x:f>
      </x:c>
      <x:c r="M57" s="0" t="s">
        <x:v>21</x:v>
      </x:c>
      <x:c r="N57" s="0" t="s">
        <x:v>46</x:v>
      </x:c>
    </x:row>
    <x:row r="58" spans="1:16">
      <x:c r="B58" s="0" t="s">
        <x:v>241</x:v>
      </x:c>
      <x:c r="C58" s="0" t="s">
        <x:v>242</x:v>
      </x:c>
      <x:c r="E58" s="0" t="s">
        <x:v>243</x:v>
      </x:c>
      <x:c r="F58" s="0" t="s">
        <x:v>45</x:v>
      </x:c>
      <x:c r="G58" s="0" t="s">
        <x:v>19</x:v>
      </x:c>
      <x:c r="H58" s="0" t="s">
        <x:v>21</x:v>
      </x:c>
      <x:c r="I58" s="0" t="s">
        <x:v>21</x:v>
      </x:c>
      <x:c r="K58" s="0">
        <x:f>hyperlink("https://icd.who.int/dev11/l-ichi/en#/http%3A%2F%2Fid.who.int%2Ficd%2Fentity%2F1582424117%2Fichi%2Funspecified","browser")</x:f>
      </x:c>
      <x:c r="L58" s="0">
        <x:f>hyperlink("","iCat")</x:f>
      </x:c>
      <x:c r="M58" s="0" t="s">
        <x:v>21</x:v>
      </x:c>
      <x:c r="N58" s="0" t="s">
        <x:v>46</x:v>
      </x:c>
    </x:row>
    <x:row r="59" spans="1:16">
      <x:c r="A59" s="0" t="s">
        <x:v>244</x:v>
      </x:c>
      <x:c r="B59" s="0" t="s">
        <x:v>245</x:v>
      </x:c>
      <x:c r="E59" s="0" t="s">
        <x:v>246</x:v>
      </x:c>
      <x:c r="F59" s="0" t="s">
        <x:v>26</x:v>
      </x:c>
      <x:c r="G59" s="0" t="s">
        <x:v>35</x:v>
      </x:c>
      <x:c r="H59" s="0" t="s">
        <x:v>20</x:v>
      </x:c>
      <x:c r="I59" s="0" t="s">
        <x:v>21</x:v>
      </x:c>
      <x:c r="K59" s="0">
        <x:f>hyperlink("https://icd.who.int/dev11/l-ichi/en#/http%3A%2F%2Fid.who.int%2Ficd%2Fentity%2F474831665","browser")</x:f>
      </x:c>
      <x:c r="L59" s="0">
        <x:f>hyperlink("https://icat2.azurewebsites.net/icat/?ontology=ICD&amp;tab=ClassesTab&amp;id=http%3A%2F%2Fwho.int%2Ficd%23281_c1eb5896_b43e_4531_bd82_f72e7a00cdd6","iCat")</x:f>
      </x:c>
      <x:c r="M59" s="0" t="s">
        <x:v>20</x:v>
      </x:c>
      <x:c r="N59" s="0" t="s">
        <x:v>206</x:v>
      </x:c>
    </x:row>
    <x:row r="60" spans="1:16">
      <x:c r="A60" s="0" t="s">
        <x:v>247</x:v>
      </x:c>
      <x:c r="B60" s="0" t="s">
        <x:v>248</x:v>
      </x:c>
      <x:c r="E60" s="0" t="s">
        <x:v>249</x:v>
      </x:c>
      <x:c r="F60" s="0" t="s">
        <x:v>26</x:v>
      </x:c>
      <x:c r="G60" s="0" t="s">
        <x:v>22</x:v>
      </x:c>
      <x:c r="H60" s="0" t="s">
        <x:v>20</x:v>
      </x:c>
      <x:c r="I60" s="0" t="s">
        <x:v>21</x:v>
      </x:c>
      <x:c r="K60" s="0">
        <x:f>hyperlink("https://icd.who.int/dev11/l-ichi/en#/http%3A%2F%2Fid.who.int%2Ficd%2Fentity%2F1278640768","browser")</x:f>
      </x:c>
      <x:c r="L60" s="0">
        <x:f>hyperlink("https://icat2.azurewebsites.net/icat/?ontology=ICD&amp;tab=ClassesTab&amp;id=http%3A%2F%2Fwho.int%2Ficd%23287_c1eb5896_b43e_4531_bd82_f72e7a00cdd6","iCat")</x:f>
      </x:c>
      <x:c r="M60" s="0" t="s">
        <x:v>20</x:v>
      </x:c>
      <x:c r="N60" s="0" t="s">
        <x:v>35</x:v>
      </x:c>
    </x:row>
    <x:row r="61" spans="1:16">
      <x:c r="A61" s="0" t="s">
        <x:v>250</x:v>
      </x:c>
      <x:c r="B61" s="0" t="s">
        <x:v>251</x:v>
      </x:c>
      <x:c r="C61" s="0" t="s">
        <x:v>252</x:v>
      </x:c>
      <x:c r="E61" s="0" t="s">
        <x:v>253</x:v>
      </x:c>
      <x:c r="F61" s="0" t="s">
        <x:v>45</x:v>
      </x:c>
      <x:c r="G61" s="0" t="s">
        <x:v>19</x:v>
      </x:c>
      <x:c r="H61" s="0" t="s">
        <x:v>20</x:v>
      </x:c>
      <x:c r="I61" s="0" t="s">
        <x:v>21</x:v>
      </x:c>
      <x:c r="K61" s="0">
        <x:f>hyperlink("https://icd.who.int/dev11/l-ichi/en#/http%3A%2F%2Fid.who.int%2Ficd%2Fentity%2F1018439949","browser")</x:f>
      </x:c>
      <x:c r="L61" s="0">
        <x:f>hyperlink("https://icat2.azurewebsites.net/icat/?ontology=ICD&amp;tab=ClassesTab&amp;id=http%3A%2F%2Fwho.int%2Ficd%23280_c1eb5896_b43e_4531_bd82_f72e7a00cdd6","iCat")</x:f>
      </x:c>
      <x:c r="M61" s="0" t="s">
        <x:v>21</x:v>
      </x:c>
      <x:c r="N61" s="0" t="s">
        <x:v>46</x:v>
      </x:c>
    </x:row>
    <x:row r="62" spans="1:16">
      <x:c r="A62" s="0" t="s">
        <x:v>254</x:v>
      </x:c>
      <x:c r="B62" s="0" t="s">
        <x:v>255</x:v>
      </x:c>
      <x:c r="C62" s="0" t="s">
        <x:v>256</x:v>
      </x:c>
      <x:c r="E62" s="0" t="s">
        <x:v>257</x:v>
      </x:c>
      <x:c r="F62" s="0" t="s">
        <x:v>45</x:v>
      </x:c>
      <x:c r="G62" s="0" t="s">
        <x:v>19</x:v>
      </x:c>
      <x:c r="H62" s="0" t="s">
        <x:v>20</x:v>
      </x:c>
      <x:c r="I62" s="0" t="s">
        <x:v>21</x:v>
      </x:c>
      <x:c r="K62" s="0">
        <x:f>hyperlink("https://icd.who.int/dev11/l-ichi/en#/http%3A%2F%2Fid.who.int%2Ficd%2Fentity%2F653465559","browser")</x:f>
      </x:c>
      <x:c r="L62" s="0">
        <x:f>hyperlink("https://icat2.azurewebsites.net/icat/?ontology=ICD&amp;tab=ClassesTab&amp;id=http%3A%2F%2Fwho.int%2Ficd%23297_c1eb5896_b43e_4531_bd82_f72e7a00cdd6","iCat")</x:f>
      </x:c>
      <x:c r="M62" s="0" t="s">
        <x:v>21</x:v>
      </x:c>
      <x:c r="N62" s="0" t="s">
        <x:v>46</x:v>
      </x:c>
    </x:row>
    <x:row r="63" spans="1:16">
      <x:c r="A63" s="0" t="s">
        <x:v>258</x:v>
      </x:c>
      <x:c r="B63" s="0" t="s">
        <x:v>259</x:v>
      </x:c>
      <x:c r="C63" s="0" t="s">
        <x:v>260</x:v>
      </x:c>
      <x:c r="E63" s="0" t="s">
        <x:v>261</x:v>
      </x:c>
      <x:c r="F63" s="0" t="s">
        <x:v>45</x:v>
      </x:c>
      <x:c r="G63" s="0" t="s">
        <x:v>19</x:v>
      </x:c>
      <x:c r="H63" s="0" t="s">
        <x:v>20</x:v>
      </x:c>
      <x:c r="I63" s="0" t="s">
        <x:v>21</x:v>
      </x:c>
      <x:c r="K63" s="0">
        <x:f>hyperlink("https://icd.who.int/dev11/l-ichi/en#/http%3A%2F%2Fid.who.int%2Ficd%2Fentity%2F329243053","browser")</x:f>
      </x:c>
      <x:c r="L63" s="0">
        <x:f>hyperlink("https://icat2.azurewebsites.net/icat/?ontology=ICD&amp;tab=ClassesTab&amp;id=http%3A%2F%2Fwho.int%2Ficd%23303_c1eb5896_b43e_4531_bd82_f72e7a00cdd6","iCat")</x:f>
      </x:c>
      <x:c r="M63" s="0" t="s">
        <x:v>21</x:v>
      </x:c>
      <x:c r="N63" s="0" t="s">
        <x:v>46</x:v>
      </x:c>
    </x:row>
    <x:row r="64" spans="1:16">
      <x:c r="A64" s="0" t="s">
        <x:v>262</x:v>
      </x:c>
      <x:c r="B64" s="0" t="s">
        <x:v>263</x:v>
      </x:c>
      <x:c r="E64" s="0" t="s">
        <x:v>264</x:v>
      </x:c>
      <x:c r="F64" s="0" t="s">
        <x:v>26</x:v>
      </x:c>
      <x:c r="G64" s="0" t="s">
        <x:v>22</x:v>
      </x:c>
      <x:c r="H64" s="0" t="s">
        <x:v>20</x:v>
      </x:c>
      <x:c r="I64" s="0" t="s">
        <x:v>21</x:v>
      </x:c>
      <x:c r="K64" s="0">
        <x:f>hyperlink("https://icd.who.int/dev11/l-ichi/en#/http%3A%2F%2Fid.who.int%2Ficd%2Fentity%2F412862209","browser")</x:f>
      </x:c>
      <x:c r="L64" s="0">
        <x:f>hyperlink("https://icat2.azurewebsites.net/icat/?ontology=ICD&amp;tab=ClassesTab&amp;id=http%3A%2F%2Fwho.int%2Ficd%23308_c1eb5896_b43e_4531_bd82_f72e7a00cdd6","iCat")</x:f>
      </x:c>
      <x:c r="M64" s="0" t="s">
        <x:v>20</x:v>
      </x:c>
      <x:c r="N64" s="0" t="s">
        <x:v>206</x:v>
      </x:c>
    </x:row>
    <x:row r="65" spans="1:16">
      <x:c r="A65" s="0" t="s">
        <x:v>265</x:v>
      </x:c>
      <x:c r="B65" s="0" t="s">
        <x:v>266</x:v>
      </x:c>
      <x:c r="C65" s="0" t="s">
        <x:v>267</x:v>
      </x:c>
      <x:c r="E65" s="0" t="s">
        <x:v>268</x:v>
      </x:c>
      <x:c r="F65" s="0" t="s">
        <x:v>45</x:v>
      </x:c>
      <x:c r="G65" s="0" t="s">
        <x:v>19</x:v>
      </x:c>
      <x:c r="H65" s="0" t="s">
        <x:v>20</x:v>
      </x:c>
      <x:c r="I65" s="0" t="s">
        <x:v>21</x:v>
      </x:c>
      <x:c r="K65" s="0">
        <x:f>hyperlink("https://icd.who.int/dev11/l-ichi/en#/http%3A%2F%2Fid.who.int%2Ficd%2Fentity%2F647503321","browser")</x:f>
      </x:c>
      <x:c r="L65" s="0">
        <x:f>hyperlink("https://icat2.azurewebsites.net/icat/?ontology=ICD&amp;tab=ClassesTab&amp;id=http%3A%2F%2Fwho.int%2Ficd%23307_c1eb5896_b43e_4531_bd82_f72e7a00cdd6","iCat")</x:f>
      </x:c>
      <x:c r="M65" s="0" t="s">
        <x:v>21</x:v>
      </x:c>
      <x:c r="N65" s="0" t="s">
        <x:v>46</x:v>
      </x:c>
    </x:row>
    <x:row r="66" spans="1:16">
      <x:c r="A66" s="0" t="s">
        <x:v>269</x:v>
      </x:c>
      <x:c r="B66" s="0" t="s">
        <x:v>270</x:v>
      </x:c>
      <x:c r="C66" s="0" t="s">
        <x:v>271</x:v>
      </x:c>
      <x:c r="E66" s="0" t="s">
        <x:v>272</x:v>
      </x:c>
      <x:c r="F66" s="0" t="s">
        <x:v>45</x:v>
      </x:c>
      <x:c r="G66" s="0" t="s">
        <x:v>19</x:v>
      </x:c>
      <x:c r="H66" s="0" t="s">
        <x:v>20</x:v>
      </x:c>
      <x:c r="I66" s="0" t="s">
        <x:v>21</x:v>
      </x:c>
      <x:c r="K66" s="0">
        <x:f>hyperlink("https://icd.who.int/dev11/l-ichi/en#/http%3A%2F%2Fid.who.int%2Ficd%2Fentity%2F1918784088","browser")</x:f>
      </x:c>
      <x:c r="L66" s="0">
        <x:f>hyperlink("https://icat2.azurewebsites.net/icat/?ontology=ICD&amp;tab=ClassesTab&amp;id=http%3A%2F%2Fwho.int%2Ficd%23318_c1eb5896_b43e_4531_bd82_f72e7a00cdd6","iCat")</x:f>
      </x:c>
      <x:c r="M66" s="0" t="s">
        <x:v>21</x:v>
      </x:c>
      <x:c r="N66" s="0" t="s">
        <x:v>46</x:v>
      </x:c>
    </x:row>
    <x:row r="67" spans="1:16">
      <x:c r="A67" s="0" t="s">
        <x:v>273</x:v>
      </x:c>
      <x:c r="B67" s="0" t="s">
        <x:v>274</x:v>
      </x:c>
      <x:c r="C67" s="0" t="s">
        <x:v>275</x:v>
      </x:c>
      <x:c r="E67" s="0" t="s">
        <x:v>276</x:v>
      </x:c>
      <x:c r="F67" s="0" t="s">
        <x:v>45</x:v>
      </x:c>
      <x:c r="G67" s="0" t="s">
        <x:v>19</x:v>
      </x:c>
      <x:c r="H67" s="0" t="s">
        <x:v>20</x:v>
      </x:c>
      <x:c r="I67" s="0" t="s">
        <x:v>21</x:v>
      </x:c>
      <x:c r="K67" s="0">
        <x:f>hyperlink("https://icd.who.int/dev11/l-ichi/en#/http%3A%2F%2Fid.who.int%2Ficd%2Fentity%2F420642497","browser")</x:f>
      </x:c>
      <x:c r="L67" s="0">
        <x:f>hyperlink("https://icat2.azurewebsites.net/icat/?ontology=ICD&amp;tab=ClassesTab&amp;id=http%3A%2F%2Fwho.int%2Ficd%23322_c1eb5896_b43e_4531_bd82_f72e7a00cdd6","iCat")</x:f>
      </x:c>
      <x:c r="M67" s="0" t="s">
        <x:v>21</x:v>
      </x:c>
      <x:c r="N67" s="0" t="s">
        <x:v>46</x:v>
      </x:c>
    </x:row>
    <x:row r="68" spans="1:16">
      <x:c r="A68" s="0" t="s">
        <x:v>277</x:v>
      </x:c>
      <x:c r="B68" s="0" t="s">
        <x:v>278</x:v>
      </x:c>
      <x:c r="C68" s="0" t="s">
        <x:v>279</x:v>
      </x:c>
      <x:c r="E68" s="0" t="s">
        <x:v>280</x:v>
      </x:c>
      <x:c r="F68" s="0" t="s">
        <x:v>45</x:v>
      </x:c>
      <x:c r="G68" s="0" t="s">
        <x:v>19</x:v>
      </x:c>
      <x:c r="H68" s="0" t="s">
        <x:v>20</x:v>
      </x:c>
      <x:c r="I68" s="0" t="s">
        <x:v>21</x:v>
      </x:c>
      <x:c r="K68" s="0">
        <x:f>hyperlink("https://icd.who.int/dev11/l-ichi/en#/http%3A%2F%2Fid.who.int%2Ficd%2Fentity%2F216844425","browser")</x:f>
      </x:c>
      <x:c r="L68" s="0">
        <x:f>hyperlink("https://icat2.azurewebsites.net/icat/?ontology=ICD&amp;tab=ClassesTab&amp;id=http%3A%2F%2Fwho.int%2Ficd%23327_c1eb5896_b43e_4531_bd82_f72e7a00cdd6","iCat")</x:f>
      </x:c>
      <x:c r="M68" s="0" t="s">
        <x:v>21</x:v>
      </x:c>
      <x:c r="N68" s="0" t="s">
        <x:v>46</x:v>
      </x:c>
    </x:row>
    <x:row r="69" spans="1:16">
      <x:c r="A69" s="0" t="s">
        <x:v>281</x:v>
      </x:c>
      <x:c r="B69" s="0" t="s">
        <x:v>282</x:v>
      </x:c>
      <x:c r="C69" s="0" t="s">
        <x:v>283</x:v>
      </x:c>
      <x:c r="E69" s="0" t="s">
        <x:v>284</x:v>
      </x:c>
      <x:c r="F69" s="0" t="s">
        <x:v>45</x:v>
      </x:c>
      <x:c r="G69" s="0" t="s">
        <x:v>19</x:v>
      </x:c>
      <x:c r="H69" s="0" t="s">
        <x:v>20</x:v>
      </x:c>
      <x:c r="I69" s="0" t="s">
        <x:v>21</x:v>
      </x:c>
      <x:c r="K69" s="0">
        <x:f>hyperlink("https://icd.who.int/dev11/l-ichi/en#/http%3A%2F%2Fid.who.int%2Ficd%2Fentity%2F1943530390","browser")</x:f>
      </x:c>
      <x:c r="L69" s="0">
        <x:f>hyperlink("https://icat2.azurewebsites.net/icat/?ontology=ICD&amp;tab=ClassesTab&amp;id=http%3A%2F%2Fwho.int%2Ficd%23332_c1eb5896_b43e_4531_bd82_f72e7a00cdd6","iCat")</x:f>
      </x:c>
      <x:c r="M69" s="0" t="s">
        <x:v>21</x:v>
      </x:c>
      <x:c r="N69" s="0" t="s">
        <x:v>46</x:v>
      </x:c>
    </x:row>
    <x:row r="70" spans="1:16">
      <x:c r="A70" s="0" t="s">
        <x:v>285</x:v>
      </x:c>
      <x:c r="B70" s="0" t="s">
        <x:v>286</x:v>
      </x:c>
      <x:c r="C70" s="0" t="s">
        <x:v>287</x:v>
      </x:c>
      <x:c r="E70" s="0" t="s">
        <x:v>288</x:v>
      </x:c>
      <x:c r="F70" s="0" t="s">
        <x:v>45</x:v>
      </x:c>
      <x:c r="G70" s="0" t="s">
        <x:v>19</x:v>
      </x:c>
      <x:c r="H70" s="0" t="s">
        <x:v>20</x:v>
      </x:c>
      <x:c r="I70" s="0" t="s">
        <x:v>21</x:v>
      </x:c>
      <x:c r="K70" s="0">
        <x:f>hyperlink("https://icd.who.int/dev11/l-ichi/en#/http%3A%2F%2Fid.who.int%2Ficd%2Fentity%2F1713987038","browser")</x:f>
      </x:c>
      <x:c r="L70" s="0">
        <x:f>hyperlink("https://icat2.azurewebsites.net/icat/?ontology=ICD&amp;tab=ClassesTab&amp;id=http%3A%2F%2Fwho.int%2Ficd%23337_c1eb5896_b43e_4531_bd82_f72e7a00cdd6","iCat")</x:f>
      </x:c>
      <x:c r="M70" s="0" t="s">
        <x:v>21</x:v>
      </x:c>
      <x:c r="N70" s="0" t="s">
        <x:v>46</x:v>
      </x:c>
    </x:row>
    <x:row r="71" spans="1:16">
      <x:c r="A71" s="0" t="s">
        <x:v>289</x:v>
      </x:c>
      <x:c r="B71" s="0" t="s">
        <x:v>290</x:v>
      </x:c>
      <x:c r="E71" s="0" t="s">
        <x:v>291</x:v>
      </x:c>
      <x:c r="F71" s="0" t="s">
        <x:v>26</x:v>
      </x:c>
      <x:c r="G71" s="0" t="s">
        <x:v>22</x:v>
      </x:c>
      <x:c r="H71" s="0" t="s">
        <x:v>20</x:v>
      </x:c>
      <x:c r="I71" s="0" t="s">
        <x:v>21</x:v>
      </x:c>
      <x:c r="K71" s="0">
        <x:f>hyperlink("https://icd.who.int/dev11/l-ichi/en#/http%3A%2F%2Fid.who.int%2Ficd%2Fentity%2F1124202638","browser")</x:f>
      </x:c>
      <x:c r="L71" s="0">
        <x:f>hyperlink("https://icat2.azurewebsites.net/icat/?ontology=ICD&amp;tab=ClassesTab&amp;id=http%3A%2F%2Fwho.int%2Ficd%23342_c1eb5896_b43e_4531_bd82_f72e7a00cdd6","iCat")</x:f>
      </x:c>
      <x:c r="M71" s="0" t="s">
        <x:v>20</x:v>
      </x:c>
      <x:c r="N71" s="0" t="s">
        <x:v>22</x:v>
      </x:c>
    </x:row>
    <x:row r="72" spans="1:16">
      <x:c r="A72" s="0" t="s">
        <x:v>292</x:v>
      </x:c>
      <x:c r="B72" s="0" t="s">
        <x:v>293</x:v>
      </x:c>
      <x:c r="C72" s="0" t="s">
        <x:v>294</x:v>
      </x:c>
      <x:c r="E72" s="0" t="s">
        <x:v>295</x:v>
      </x:c>
      <x:c r="F72" s="0" t="s">
        <x:v>45</x:v>
      </x:c>
      <x:c r="G72" s="0" t="s">
        <x:v>19</x:v>
      </x:c>
      <x:c r="H72" s="0" t="s">
        <x:v>20</x:v>
      </x:c>
      <x:c r="I72" s="0" t="s">
        <x:v>21</x:v>
      </x:c>
      <x:c r="K72" s="0">
        <x:f>hyperlink("https://icd.who.int/dev11/l-ichi/en#/http%3A%2F%2Fid.who.int%2Ficd%2Fentity%2F109352821","browser")</x:f>
      </x:c>
      <x:c r="L72" s="0">
        <x:f>hyperlink("https://icat2.azurewebsites.net/icat/?ontology=ICD&amp;tab=ClassesTab&amp;id=http%3A%2F%2Fwho.int%2Ficd%23341_c1eb5896_b43e_4531_bd82_f72e7a00cdd6","iCat")</x:f>
      </x:c>
      <x:c r="M72" s="0" t="s">
        <x:v>21</x:v>
      </x:c>
      <x:c r="N72" s="0" t="s">
        <x:v>46</x:v>
      </x:c>
    </x:row>
    <x:row r="73" spans="1:16">
      <x:c r="A73" s="0" t="s">
        <x:v>296</x:v>
      </x:c>
      <x:c r="B73" s="0" t="s">
        <x:v>297</x:v>
      </x:c>
      <x:c r="C73" s="0" t="s">
        <x:v>298</x:v>
      </x:c>
      <x:c r="E73" s="0" t="s">
        <x:v>299</x:v>
      </x:c>
      <x:c r="F73" s="0" t="s">
        <x:v>45</x:v>
      </x:c>
      <x:c r="G73" s="0" t="s">
        <x:v>19</x:v>
      </x:c>
      <x:c r="H73" s="0" t="s">
        <x:v>20</x:v>
      </x:c>
      <x:c r="I73" s="0" t="s">
        <x:v>21</x:v>
      </x:c>
      <x:c r="K73" s="0">
        <x:f>hyperlink("https://icd.who.int/dev11/l-ichi/en#/http%3A%2F%2Fid.who.int%2Ficd%2Fentity%2F700739035","browser")</x:f>
      </x:c>
      <x:c r="L73" s="0">
        <x:f>hyperlink("https://icat2.azurewebsites.net/icat/?ontology=ICD&amp;tab=ClassesTab&amp;id=http%3A%2F%2Fwho.int%2Ficd%23352_c1eb5896_b43e_4531_bd82_f72e7a00cdd6","iCat")</x:f>
      </x:c>
      <x:c r="M73" s="0" t="s">
        <x:v>21</x:v>
      </x:c>
      <x:c r="N73" s="0" t="s">
        <x:v>46</x:v>
      </x:c>
    </x:row>
    <x:row r="74" spans="1:16">
      <x:c r="A74" s="0" t="s">
        <x:v>300</x:v>
      </x:c>
      <x:c r="B74" s="0" t="s">
        <x:v>301</x:v>
      </x:c>
      <x:c r="C74" s="0" t="s">
        <x:v>302</x:v>
      </x:c>
      <x:c r="E74" s="0" t="s">
        <x:v>303</x:v>
      </x:c>
      <x:c r="F74" s="0" t="s">
        <x:v>45</x:v>
      </x:c>
      <x:c r="G74" s="0" t="s">
        <x:v>19</x:v>
      </x:c>
      <x:c r="H74" s="0" t="s">
        <x:v>20</x:v>
      </x:c>
      <x:c r="I74" s="0" t="s">
        <x:v>21</x:v>
      </x:c>
      <x:c r="K74" s="0">
        <x:f>hyperlink("https://icd.who.int/dev11/l-ichi/en#/http%3A%2F%2Fid.who.int%2Ficd%2Fentity%2F482585007","browser")</x:f>
      </x:c>
      <x:c r="L74" s="0">
        <x:f>hyperlink("https://icat2.azurewebsites.net/icat/?ontology=ICD&amp;tab=ClassesTab&amp;id=http%3A%2F%2Fwho.int%2Ficd%23356_c1eb5896_b43e_4531_bd82_f72e7a00cdd6","iCat")</x:f>
      </x:c>
      <x:c r="M74" s="0" t="s">
        <x:v>21</x:v>
      </x:c>
      <x:c r="N74" s="0" t="s">
        <x:v>46</x:v>
      </x:c>
    </x:row>
    <x:row r="75" spans="1:16">
      <x:c r="A75" s="0" t="s">
        <x:v>304</x:v>
      </x:c>
      <x:c r="B75" s="0" t="s">
        <x:v>305</x:v>
      </x:c>
      <x:c r="C75" s="0" t="s">
        <x:v>306</x:v>
      </x:c>
      <x:c r="E75" s="0" t="s">
        <x:v>307</x:v>
      </x:c>
      <x:c r="F75" s="0" t="s">
        <x:v>45</x:v>
      </x:c>
      <x:c r="G75" s="0" t="s">
        <x:v>19</x:v>
      </x:c>
      <x:c r="H75" s="0" t="s">
        <x:v>20</x:v>
      </x:c>
      <x:c r="I75" s="0" t="s">
        <x:v>21</x:v>
      </x:c>
      <x:c r="K75" s="0">
        <x:f>hyperlink("https://icd.who.int/dev11/l-ichi/en#/http%3A%2F%2Fid.who.int%2Ficd%2Fentity%2F957281389","browser")</x:f>
      </x:c>
      <x:c r="L75" s="0">
        <x:f>hyperlink("https://icat2.azurewebsites.net/icat/?ontology=ICD&amp;tab=ClassesTab&amp;id=http%3A%2F%2Fwho.int%2Ficd%23364_c1eb5896_b43e_4531_bd82_f72e7a00cdd6","iCat")</x:f>
      </x:c>
      <x:c r="M75" s="0" t="s">
        <x:v>21</x:v>
      </x:c>
      <x:c r="N75" s="0" t="s">
        <x:v>46</x:v>
      </x:c>
    </x:row>
    <x:row r="76" spans="1:16">
      <x:c r="A76" s="0" t="s">
        <x:v>308</x:v>
      </x:c>
      <x:c r="B76" s="0" t="s">
        <x:v>309</x:v>
      </x:c>
      <x:c r="E76" s="0" t="s">
        <x:v>310</x:v>
      </x:c>
      <x:c r="F76" s="0" t="s">
        <x:v>26</x:v>
      </x:c>
      <x:c r="G76" s="0" t="s">
        <x:v>22</x:v>
      </x:c>
      <x:c r="H76" s="0" t="s">
        <x:v>20</x:v>
      </x:c>
      <x:c r="I76" s="0" t="s">
        <x:v>21</x:v>
      </x:c>
      <x:c r="K76" s="0">
        <x:f>hyperlink("https://icd.who.int/dev11/l-ichi/en#/http%3A%2F%2Fid.who.int%2Ficd%2Fentity%2F1651585906","browser")</x:f>
      </x:c>
      <x:c r="L76" s="0">
        <x:f>hyperlink("https://icat2.azurewebsites.net/icat/?ontology=ICD&amp;tab=ClassesTab&amp;id=http%3A%2F%2Fwho.int%2Ficd%23369_c1eb5896_b43e_4531_bd82_f72e7a00cdd6","iCat")</x:f>
      </x:c>
      <x:c r="M76" s="0" t="s">
        <x:v>20</x:v>
      </x:c>
      <x:c r="N76" s="0" t="s">
        <x:v>19</x:v>
      </x:c>
    </x:row>
    <x:row r="77" spans="1:16">
      <x:c r="A77" s="0" t="s">
        <x:v>311</x:v>
      </x:c>
      <x:c r="B77" s="0" t="s">
        <x:v>312</x:v>
      </x:c>
      <x:c r="C77" s="0" t="s">
        <x:v>313</x:v>
      </x:c>
      <x:c r="E77" s="0" t="s">
        <x:v>314</x:v>
      </x:c>
      <x:c r="F77" s="0" t="s">
        <x:v>45</x:v>
      </x:c>
      <x:c r="G77" s="0" t="s">
        <x:v>19</x:v>
      </x:c>
      <x:c r="H77" s="0" t="s">
        <x:v>20</x:v>
      </x:c>
      <x:c r="I77" s="0" t="s">
        <x:v>21</x:v>
      </x:c>
      <x:c r="K77" s="0">
        <x:f>hyperlink("https://icd.who.int/dev11/l-ichi/en#/http%3A%2F%2Fid.who.int%2Ficd%2Fentity%2F1116225868","browser")</x:f>
      </x:c>
      <x:c r="L77" s="0">
        <x:f>hyperlink("https://icat2.azurewebsites.net/icat/?ontology=ICD&amp;tab=ClassesTab&amp;id=http%3A%2F%2Fwho.int%2Ficd%23368_c1eb5896_b43e_4531_bd82_f72e7a00cdd6","iCat")</x:f>
      </x:c>
      <x:c r="M77" s="0" t="s">
        <x:v>21</x:v>
      </x:c>
      <x:c r="N77" s="0" t="s">
        <x:v>46</x:v>
      </x:c>
    </x:row>
    <x:row r="78" spans="1:16">
      <x:c r="A78" s="0" t="s">
        <x:v>315</x:v>
      </x:c>
      <x:c r="B78" s="0" t="s">
        <x:v>316</x:v>
      </x:c>
      <x:c r="E78" s="0" t="s">
        <x:v>317</x:v>
      </x:c>
      <x:c r="F78" s="0" t="s">
        <x:v>26</x:v>
      </x:c>
      <x:c r="G78" s="0" t="s">
        <x:v>22</x:v>
      </x:c>
      <x:c r="H78" s="0" t="s">
        <x:v>20</x:v>
      </x:c>
      <x:c r="I78" s="0" t="s">
        <x:v>21</x:v>
      </x:c>
      <x:c r="K78" s="0">
        <x:f>hyperlink("https://icd.who.int/dev11/l-ichi/en#/http%3A%2F%2Fid.who.int%2Ficd%2Fentity%2F1227616144","browser")</x:f>
      </x:c>
      <x:c r="L78" s="0">
        <x:f>hyperlink("https://icat2.azurewebsites.net/icat/?ontology=ICD&amp;tab=ClassesTab&amp;id=http%3A%2F%2Fwho.int%2Ficd%23380_c1eb5896_b43e_4531_bd82_f72e7a00cdd6","iCat")</x:f>
      </x:c>
      <x:c r="M78" s="0" t="s">
        <x:v>20</x:v>
      </x:c>
      <x:c r="N78" s="0" t="s">
        <x:v>22</x:v>
      </x:c>
    </x:row>
    <x:row r="79" spans="1:16">
      <x:c r="A79" s="0" t="s">
        <x:v>318</x:v>
      </x:c>
      <x:c r="B79" s="0" t="s">
        <x:v>319</x:v>
      </x:c>
      <x:c r="C79" s="0" t="s">
        <x:v>320</x:v>
      </x:c>
      <x:c r="E79" s="0" t="s">
        <x:v>321</x:v>
      </x:c>
      <x:c r="F79" s="0" t="s">
        <x:v>45</x:v>
      </x:c>
      <x:c r="G79" s="0" t="s">
        <x:v>19</x:v>
      </x:c>
      <x:c r="H79" s="0" t="s">
        <x:v>20</x:v>
      </x:c>
      <x:c r="I79" s="0" t="s">
        <x:v>21</x:v>
      </x:c>
      <x:c r="K79" s="0">
        <x:f>hyperlink("https://icd.who.int/dev11/l-ichi/en#/http%3A%2F%2Fid.who.int%2Ficd%2Fentity%2F146056743","browser")</x:f>
      </x:c>
      <x:c r="L79" s="0">
        <x:f>hyperlink("https://icat2.azurewebsites.net/icat/?ontology=ICD&amp;tab=ClassesTab&amp;id=http%3A%2F%2Fwho.int%2Ficd%23379_c1eb5896_b43e_4531_bd82_f72e7a00cdd6","iCat")</x:f>
      </x:c>
      <x:c r="M79" s="0" t="s">
        <x:v>21</x:v>
      </x:c>
      <x:c r="N79" s="0" t="s">
        <x:v>46</x:v>
      </x:c>
    </x:row>
    <x:row r="80" spans="1:16">
      <x:c r="A80" s="0" t="s">
        <x:v>322</x:v>
      </x:c>
      <x:c r="B80" s="0" t="s">
        <x:v>323</x:v>
      </x:c>
      <x:c r="C80" s="0" t="s">
        <x:v>324</x:v>
      </x:c>
      <x:c r="E80" s="0" t="s">
        <x:v>325</x:v>
      </x:c>
      <x:c r="F80" s="0" t="s">
        <x:v>45</x:v>
      </x:c>
      <x:c r="G80" s="0" t="s">
        <x:v>19</x:v>
      </x:c>
      <x:c r="H80" s="0" t="s">
        <x:v>20</x:v>
      </x:c>
      <x:c r="I80" s="0" t="s">
        <x:v>21</x:v>
      </x:c>
      <x:c r="K80" s="0">
        <x:f>hyperlink("https://icd.who.int/dev11/l-ichi/en#/http%3A%2F%2Fid.who.int%2Ficd%2Fentity%2F659811577","browser")</x:f>
      </x:c>
      <x:c r="L80" s="0">
        <x:f>hyperlink("https://icat2.azurewebsites.net/icat/?ontology=ICD&amp;tab=ClassesTab&amp;id=http%3A%2F%2Fwho.int%2Ficd%23389_c1eb5896_b43e_4531_bd82_f72e7a00cdd6","iCat")</x:f>
      </x:c>
      <x:c r="M80" s="0" t="s">
        <x:v>21</x:v>
      </x:c>
      <x:c r="N80" s="0" t="s">
        <x:v>46</x:v>
      </x:c>
    </x:row>
    <x:row r="81" spans="1:16">
      <x:c r="A81" s="0" t="s">
        <x:v>326</x:v>
      </x:c>
      <x:c r="B81" s="0" t="s">
        <x:v>327</x:v>
      </x:c>
      <x:c r="C81" s="0" t="s">
        <x:v>328</x:v>
      </x:c>
      <x:c r="E81" s="0" t="s">
        <x:v>329</x:v>
      </x:c>
      <x:c r="F81" s="0" t="s">
        <x:v>45</x:v>
      </x:c>
      <x:c r="G81" s="0" t="s">
        <x:v>19</x:v>
      </x:c>
      <x:c r="H81" s="0" t="s">
        <x:v>20</x:v>
      </x:c>
      <x:c r="I81" s="0" t="s">
        <x:v>21</x:v>
      </x:c>
      <x:c r="K81" s="0">
        <x:f>hyperlink("https://icd.who.int/dev11/l-ichi/en#/http%3A%2F%2Fid.who.int%2Ficd%2Fentity%2F1718293824","browser")</x:f>
      </x:c>
      <x:c r="L81" s="0">
        <x:f>hyperlink("https://icat2.azurewebsites.net/icat/?ontology=ICD&amp;tab=ClassesTab&amp;id=http%3A%2F%2Fwho.int%2Ficd%23393_c1eb5896_b43e_4531_bd82_f72e7a00cdd6","iCat")</x:f>
      </x:c>
      <x:c r="M81" s="0" t="s">
        <x:v>21</x:v>
      </x:c>
      <x:c r="N81" s="0" t="s">
        <x:v>46</x:v>
      </x:c>
    </x:row>
    <x:row r="82" spans="1:16">
      <x:c r="A82" s="0" t="s">
        <x:v>330</x:v>
      </x:c>
      <x:c r="B82" s="0" t="s">
        <x:v>331</x:v>
      </x:c>
      <x:c r="C82" s="0" t="s">
        <x:v>332</x:v>
      </x:c>
      <x:c r="E82" s="0" t="s">
        <x:v>333</x:v>
      </x:c>
      <x:c r="F82" s="0" t="s">
        <x:v>45</x:v>
      </x:c>
      <x:c r="G82" s="0" t="s">
        <x:v>19</x:v>
      </x:c>
      <x:c r="H82" s="0" t="s">
        <x:v>20</x:v>
      </x:c>
      <x:c r="I82" s="0" t="s">
        <x:v>21</x:v>
      </x:c>
      <x:c r="K82" s="0">
        <x:f>hyperlink("https://icd.who.int/dev11/l-ichi/en#/http%3A%2F%2Fid.who.int%2Ficd%2Fentity%2F1399640394","browser")</x:f>
      </x:c>
      <x:c r="L82" s="0">
        <x:f>hyperlink("https://icat2.azurewebsites.net/icat/?ontology=ICD&amp;tab=ClassesTab&amp;id=http%3A%2F%2Fwho.int%2Ficd%23397_c1eb5896_b43e_4531_bd82_f72e7a00cdd6","iCat")</x:f>
      </x:c>
      <x:c r="M82" s="0" t="s">
        <x:v>21</x:v>
      </x:c>
      <x:c r="N82" s="0" t="s">
        <x:v>46</x:v>
      </x:c>
    </x:row>
    <x:row r="83" spans="1:16">
      <x:c r="A83" s="0" t="s">
        <x:v>334</x:v>
      </x:c>
      <x:c r="B83" s="0" t="s">
        <x:v>335</x:v>
      </x:c>
      <x:c r="E83" s="0" t="s">
        <x:v>336</x:v>
      </x:c>
      <x:c r="F83" s="0" t="s">
        <x:v>26</x:v>
      </x:c>
      <x:c r="G83" s="0" t="s">
        <x:v>22</x:v>
      </x:c>
      <x:c r="H83" s="0" t="s">
        <x:v>20</x:v>
      </x:c>
      <x:c r="I83" s="0" t="s">
        <x:v>21</x:v>
      </x:c>
      <x:c r="K83" s="0">
        <x:f>hyperlink("https://icd.who.int/dev11/l-ichi/en#/http%3A%2F%2Fid.who.int%2Ficd%2Fentity%2F1597441021","browser")</x:f>
      </x:c>
      <x:c r="L83" s="0">
        <x:f>hyperlink("https://icat2.azurewebsites.net/icat/?ontology=ICD&amp;tab=ClassesTab&amp;id=http%3A%2F%2Fwho.int%2Ficd%23402_c1eb5896_b43e_4531_bd82_f72e7a00cdd6","iCat")</x:f>
      </x:c>
      <x:c r="M83" s="0" t="s">
        <x:v>20</x:v>
      </x:c>
      <x:c r="N83" s="0" t="s">
        <x:v>19</x:v>
      </x:c>
    </x:row>
    <x:row r="84" spans="1:16">
      <x:c r="A84" s="0" t="s">
        <x:v>337</x:v>
      </x:c>
      <x:c r="B84" s="0" t="s">
        <x:v>338</x:v>
      </x:c>
      <x:c r="C84" s="0" t="s">
        <x:v>339</x:v>
      </x:c>
      <x:c r="E84" s="0" t="s">
        <x:v>340</x:v>
      </x:c>
      <x:c r="F84" s="0" t="s">
        <x:v>45</x:v>
      </x:c>
      <x:c r="G84" s="0" t="s">
        <x:v>19</x:v>
      </x:c>
      <x:c r="H84" s="0" t="s">
        <x:v>20</x:v>
      </x:c>
      <x:c r="I84" s="0" t="s">
        <x:v>21</x:v>
      </x:c>
      <x:c r="K84" s="0">
        <x:f>hyperlink("https://icd.who.int/dev11/l-ichi/en#/http%3A%2F%2Fid.who.int%2Ficd%2Fentity%2F447900678","browser")</x:f>
      </x:c>
      <x:c r="L84" s="0">
        <x:f>hyperlink("https://icat2.azurewebsites.net/icat/?ontology=ICD&amp;tab=ClassesTab&amp;id=http%3A%2F%2Fwho.int%2Ficd%23401_c1eb5896_b43e_4531_bd82_f72e7a00cdd6","iCat")</x:f>
      </x:c>
      <x:c r="M84" s="0" t="s">
        <x:v>21</x:v>
      </x:c>
      <x:c r="N84" s="0" t="s">
        <x:v>46</x:v>
      </x:c>
    </x:row>
    <x:row r="85" spans="1:16">
      <x:c r="B85" s="0" t="s">
        <x:v>341</x:v>
      </x:c>
      <x:c r="C85" s="0" t="s">
        <x:v>342</x:v>
      </x:c>
      <x:c r="E85" s="0" t="s">
        <x:v>343</x:v>
      </x:c>
      <x:c r="F85" s="0" t="s">
        <x:v>45</x:v>
      </x:c>
      <x:c r="G85" s="0" t="s">
        <x:v>19</x:v>
      </x:c>
      <x:c r="H85" s="0" t="s">
        <x:v>21</x:v>
      </x:c>
      <x:c r="I85" s="0" t="s">
        <x:v>21</x:v>
      </x:c>
      <x:c r="K85" s="0">
        <x:f>hyperlink("https://icd.who.int/dev11/l-ichi/en#/http%3A%2F%2Fid.who.int%2Ficd%2Fentity%2F474831665%2Fichi%2Fother","browser")</x:f>
      </x:c>
      <x:c r="L85" s="0">
        <x:f>hyperlink("","iCat")</x:f>
      </x:c>
      <x:c r="M85" s="0" t="s">
        <x:v>21</x:v>
      </x:c>
      <x:c r="N85" s="0" t="s">
        <x:v>46</x:v>
      </x:c>
    </x:row>
    <x:row r="86" spans="1:16">
      <x:c r="B86" s="0" t="s">
        <x:v>344</x:v>
      </x:c>
      <x:c r="C86" s="0" t="s">
        <x:v>345</x:v>
      </x:c>
      <x:c r="E86" s="0" t="s">
        <x:v>346</x:v>
      </x:c>
      <x:c r="F86" s="0" t="s">
        <x:v>45</x:v>
      </x:c>
      <x:c r="G86" s="0" t="s">
        <x:v>19</x:v>
      </x:c>
      <x:c r="H86" s="0" t="s">
        <x:v>21</x:v>
      </x:c>
      <x:c r="I86" s="0" t="s">
        <x:v>21</x:v>
      </x:c>
      <x:c r="K86" s="0">
        <x:f>hyperlink("https://icd.who.int/dev11/l-ichi/en#/http%3A%2F%2Fid.who.int%2Ficd%2Fentity%2F474831665%2Fichi%2Funspecified","browser")</x:f>
      </x:c>
      <x:c r="L86" s="0">
        <x:f>hyperlink("","iCat")</x:f>
      </x:c>
      <x:c r="M86" s="0" t="s">
        <x:v>21</x:v>
      </x:c>
      <x:c r="N86" s="0" t="s">
        <x:v>46</x:v>
      </x:c>
    </x:row>
    <x:row r="87" spans="1:16">
      <x:c r="A87" s="0" t="s">
        <x:v>347</x:v>
      </x:c>
      <x:c r="B87" s="0" t="s">
        <x:v>348</x:v>
      </x:c>
      <x:c r="E87" s="0" t="s">
        <x:v>349</x:v>
      </x:c>
      <x:c r="F87" s="0" t="s">
        <x:v>26</x:v>
      </x:c>
      <x:c r="G87" s="0" t="s">
        <x:v>35</x:v>
      </x:c>
      <x:c r="H87" s="0" t="s">
        <x:v>20</x:v>
      </x:c>
      <x:c r="I87" s="0" t="s">
        <x:v>21</x:v>
      </x:c>
      <x:c r="K87" s="0">
        <x:f>hyperlink("https://icd.who.int/dev11/l-ichi/en#/http%3A%2F%2Fid.who.int%2Ficd%2Fentity%2F504363578","browser")</x:f>
      </x:c>
      <x:c r="L87" s="0">
        <x:f>hyperlink("https://icat2.azurewebsites.net/icat/?ontology=ICD&amp;tab=ClassesTab&amp;id=http%3A%2F%2Fwho.int%2Ficd%23418_c1eb5896_b43e_4531_bd82_f72e7a00cdd6","iCat")</x:f>
      </x:c>
      <x:c r="M87" s="0" t="s">
        <x:v>20</x:v>
      </x:c>
      <x:c r="N87" s="0" t="s">
        <x:v>40</x:v>
      </x:c>
    </x:row>
    <x:row r="88" spans="1:16">
      <x:c r="A88" s="0" t="s">
        <x:v>350</x:v>
      </x:c>
      <x:c r="B88" s="0" t="s">
        <x:v>351</x:v>
      </x:c>
      <x:c r="E88" s="0" t="s">
        <x:v>352</x:v>
      </x:c>
      <x:c r="F88" s="0" t="s">
        <x:v>26</x:v>
      </x:c>
      <x:c r="G88" s="0" t="s">
        <x:v>22</x:v>
      </x:c>
      <x:c r="H88" s="0" t="s">
        <x:v>20</x:v>
      </x:c>
      <x:c r="I88" s="0" t="s">
        <x:v>21</x:v>
      </x:c>
      <x:c r="K88" s="0">
        <x:f>hyperlink("https://icd.who.int/dev11/l-ichi/en#/http%3A%2F%2Fid.who.int%2Ficd%2Fentity%2F624430876","browser")</x:f>
      </x:c>
      <x:c r="L88" s="0">
        <x:f>hyperlink("https://icat2.azurewebsites.net/icat/?ontology=ICD&amp;tab=ClassesTab&amp;id=http%3A%2F%2Fwho.int%2Ficd%23424_c1eb5896_b43e_4531_bd82_f72e7a00cdd6","iCat")</x:f>
      </x:c>
      <x:c r="M88" s="0" t="s">
        <x:v>20</x:v>
      </x:c>
      <x:c r="N88" s="0" t="s">
        <x:v>35</x:v>
      </x:c>
    </x:row>
    <x:row r="89" spans="1:16">
      <x:c r="A89" s="0" t="s">
        <x:v>353</x:v>
      </x:c>
      <x:c r="B89" s="0" t="s">
        <x:v>354</x:v>
      </x:c>
      <x:c r="C89" s="0" t="s">
        <x:v>355</x:v>
      </x:c>
      <x:c r="E89" s="0" t="s">
        <x:v>356</x:v>
      </x:c>
      <x:c r="F89" s="0" t="s">
        <x:v>45</x:v>
      </x:c>
      <x:c r="G89" s="0" t="s">
        <x:v>19</x:v>
      </x:c>
      <x:c r="H89" s="0" t="s">
        <x:v>20</x:v>
      </x:c>
      <x:c r="I89" s="0" t="s">
        <x:v>21</x:v>
      </x:c>
      <x:c r="K89" s="0">
        <x:f>hyperlink("https://icd.who.int/dev11/l-ichi/en#/http%3A%2F%2Fid.who.int%2Ficd%2Fentity%2F537665762","browser")</x:f>
      </x:c>
      <x:c r="L89" s="0">
        <x:f>hyperlink("https://icat2.azurewebsites.net/icat/?ontology=ICD&amp;tab=ClassesTab&amp;id=http%3A%2F%2Fwho.int%2Ficd%23417_c1eb5896_b43e_4531_bd82_f72e7a00cdd6","iCat")</x:f>
      </x:c>
      <x:c r="M89" s="0" t="s">
        <x:v>21</x:v>
      </x:c>
      <x:c r="N89" s="0" t="s">
        <x:v>46</x:v>
      </x:c>
    </x:row>
    <x:row r="90" spans="1:16">
      <x:c r="A90" s="0" t="s">
        <x:v>357</x:v>
      </x:c>
      <x:c r="B90" s="0" t="s">
        <x:v>358</x:v>
      </x:c>
      <x:c r="C90" s="0" t="s">
        <x:v>359</x:v>
      </x:c>
      <x:c r="E90" s="0" t="s">
        <x:v>360</x:v>
      </x:c>
      <x:c r="F90" s="0" t="s">
        <x:v>45</x:v>
      </x:c>
      <x:c r="G90" s="0" t="s">
        <x:v>19</x:v>
      </x:c>
      <x:c r="H90" s="0" t="s">
        <x:v>20</x:v>
      </x:c>
      <x:c r="I90" s="0" t="s">
        <x:v>21</x:v>
      </x:c>
      <x:c r="K90" s="0">
        <x:f>hyperlink("https://icd.who.int/dev11/l-ichi/en#/http%3A%2F%2Fid.who.int%2Ficd%2Fentity%2F1065300422","browser")</x:f>
      </x:c>
      <x:c r="L90" s="0">
        <x:f>hyperlink("https://icat2.azurewebsites.net/icat/?ontology=ICD&amp;tab=ClassesTab&amp;id=http%3A%2F%2Fwho.int%2Ficd%23433_c1eb5896_b43e_4531_bd82_f72e7a00cdd6","iCat")</x:f>
      </x:c>
      <x:c r="M90" s="0" t="s">
        <x:v>21</x:v>
      </x:c>
      <x:c r="N90" s="0" t="s">
        <x:v>46</x:v>
      </x:c>
    </x:row>
    <x:row r="91" spans="1:16">
      <x:c r="A91" s="0" t="s">
        <x:v>361</x:v>
      </x:c>
      <x:c r="B91" s="0" t="s">
        <x:v>362</x:v>
      </x:c>
      <x:c r="C91" s="0" t="s">
        <x:v>363</x:v>
      </x:c>
      <x:c r="E91" s="0" t="s">
        <x:v>364</x:v>
      </x:c>
      <x:c r="F91" s="0" t="s">
        <x:v>45</x:v>
      </x:c>
      <x:c r="G91" s="0" t="s">
        <x:v>19</x:v>
      </x:c>
      <x:c r="H91" s="0" t="s">
        <x:v>20</x:v>
      </x:c>
      <x:c r="I91" s="0" t="s">
        <x:v>21</x:v>
      </x:c>
      <x:c r="K91" s="0">
        <x:f>hyperlink("https://icd.who.int/dev11/l-ichi/en#/http%3A%2F%2Fid.who.int%2Ficd%2Fentity%2F1792360217","browser")</x:f>
      </x:c>
      <x:c r="L91" s="0">
        <x:f>hyperlink("https://icat2.azurewebsites.net/icat/?ontology=ICD&amp;tab=ClassesTab&amp;id=http%3A%2F%2Fwho.int%2Ficd%23441_c1eb5896_b43e_4531_bd82_f72e7a00cdd6","iCat")</x:f>
      </x:c>
      <x:c r="M91" s="0" t="s">
        <x:v>21</x:v>
      </x:c>
      <x:c r="N91" s="0" t="s">
        <x:v>46</x:v>
      </x:c>
    </x:row>
    <x:row r="92" spans="1:16">
      <x:c r="A92" s="0" t="s">
        <x:v>365</x:v>
      </x:c>
      <x:c r="B92" s="0" t="s">
        <x:v>366</x:v>
      </x:c>
      <x:c r="E92" s="0" t="s">
        <x:v>367</x:v>
      </x:c>
      <x:c r="F92" s="0" t="s">
        <x:v>26</x:v>
      </x:c>
      <x:c r="G92" s="0" t="s">
        <x:v>22</x:v>
      </x:c>
      <x:c r="H92" s="0" t="s">
        <x:v>20</x:v>
      </x:c>
      <x:c r="I92" s="0" t="s">
        <x:v>21</x:v>
      </x:c>
      <x:c r="K92" s="0">
        <x:f>hyperlink("https://icd.who.int/dev11/l-ichi/en#/http%3A%2F%2Fid.who.int%2Ficd%2Fentity%2F78462064","browser")</x:f>
      </x:c>
      <x:c r="L92" s="0">
        <x:f>hyperlink("https://icat2.azurewebsites.net/icat/?ontology=ICD&amp;tab=ClassesTab&amp;id=http%3A%2F%2Fwho.int%2Ficd%23448_c1eb5896_b43e_4531_bd82_f72e7a00cdd6","iCat")</x:f>
      </x:c>
      <x:c r="M92" s="0" t="s">
        <x:v>20</x:v>
      </x:c>
      <x:c r="N92" s="0" t="s">
        <x:v>40</x:v>
      </x:c>
    </x:row>
    <x:row r="93" spans="1:16">
      <x:c r="A93" s="0" t="s">
        <x:v>368</x:v>
      </x:c>
      <x:c r="B93" s="0" t="s">
        <x:v>369</x:v>
      </x:c>
      <x:c r="C93" s="0" t="s">
        <x:v>370</x:v>
      </x:c>
      <x:c r="E93" s="0" t="s">
        <x:v>371</x:v>
      </x:c>
      <x:c r="F93" s="0" t="s">
        <x:v>45</x:v>
      </x:c>
      <x:c r="G93" s="0" t="s">
        <x:v>19</x:v>
      </x:c>
      <x:c r="H93" s="0" t="s">
        <x:v>20</x:v>
      </x:c>
      <x:c r="I93" s="0" t="s">
        <x:v>21</x:v>
      </x:c>
      <x:c r="K93" s="0">
        <x:f>hyperlink("https://icd.who.int/dev11/l-ichi/en#/http%3A%2F%2Fid.who.int%2Ficd%2Fentity%2F984540840","browser")</x:f>
      </x:c>
      <x:c r="L93" s="0">
        <x:f>hyperlink("https://icat2.azurewebsites.net/icat/?ontology=ICD&amp;tab=ClassesTab&amp;id=http%3A%2F%2Fwho.int%2Ficd%23447_c1eb5896_b43e_4531_bd82_f72e7a00cdd6","iCat")</x:f>
      </x:c>
      <x:c r="M93" s="0" t="s">
        <x:v>21</x:v>
      </x:c>
      <x:c r="N93" s="0" t="s">
        <x:v>46</x:v>
      </x:c>
    </x:row>
    <x:row r="94" spans="1:16">
      <x:c r="A94" s="0" t="s">
        <x:v>372</x:v>
      </x:c>
      <x:c r="B94" s="0" t="s">
        <x:v>373</x:v>
      </x:c>
      <x:c r="C94" s="0" t="s">
        <x:v>374</x:v>
      </x:c>
      <x:c r="E94" s="0" t="s">
        <x:v>375</x:v>
      </x:c>
      <x:c r="F94" s="0" t="s">
        <x:v>45</x:v>
      </x:c>
      <x:c r="G94" s="0" t="s">
        <x:v>19</x:v>
      </x:c>
      <x:c r="H94" s="0" t="s">
        <x:v>20</x:v>
      </x:c>
      <x:c r="I94" s="0" t="s">
        <x:v>21</x:v>
      </x:c>
      <x:c r="K94" s="0">
        <x:f>hyperlink("https://icd.who.int/dev11/l-ichi/en#/http%3A%2F%2Fid.who.int%2Ficd%2Fentity%2F1349219327","browser")</x:f>
      </x:c>
      <x:c r="L94" s="0">
        <x:f>hyperlink("https://icat2.azurewebsites.net/icat/?ontology=ICD&amp;tab=ClassesTab&amp;id=http%3A%2F%2Fwho.int%2Ficd%23457_c1eb5896_b43e_4531_bd82_f72e7a00cdd6","iCat")</x:f>
      </x:c>
      <x:c r="M94" s="0" t="s">
        <x:v>21</x:v>
      </x:c>
      <x:c r="N94" s="0" t="s">
        <x:v>46</x:v>
      </x:c>
    </x:row>
    <x:row r="95" spans="1:16">
      <x:c r="A95" s="0" t="s">
        <x:v>376</x:v>
      </x:c>
      <x:c r="B95" s="0" t="s">
        <x:v>377</x:v>
      </x:c>
      <x:c r="C95" s="0" t="s">
        <x:v>378</x:v>
      </x:c>
      <x:c r="E95" s="0" t="s">
        <x:v>379</x:v>
      </x:c>
      <x:c r="F95" s="0" t="s">
        <x:v>45</x:v>
      </x:c>
      <x:c r="G95" s="0" t="s">
        <x:v>19</x:v>
      </x:c>
      <x:c r="H95" s="0" t="s">
        <x:v>20</x:v>
      </x:c>
      <x:c r="I95" s="0" t="s">
        <x:v>21</x:v>
      </x:c>
      <x:c r="K95" s="0">
        <x:f>hyperlink("https://icd.who.int/dev11/l-ichi/en#/http%3A%2F%2Fid.who.int%2Ficd%2Fentity%2F1084353097","browser")</x:f>
      </x:c>
      <x:c r="L95" s="0">
        <x:f>hyperlink("https://icat2.azurewebsites.net/icat/?ontology=ICD&amp;tab=ClassesTab&amp;id=http%3A%2F%2Fwho.int%2Ficd%23461_c1eb5896_b43e_4531_bd82_f72e7a00cdd6","iCat")</x:f>
      </x:c>
      <x:c r="M95" s="0" t="s">
        <x:v>21</x:v>
      </x:c>
      <x:c r="N95" s="0" t="s">
        <x:v>46</x:v>
      </x:c>
    </x:row>
    <x:row r="96" spans="1:16">
      <x:c r="A96" s="0" t="s">
        <x:v>380</x:v>
      </x:c>
      <x:c r="B96" s="0" t="s">
        <x:v>381</x:v>
      </x:c>
      <x:c r="C96" s="0" t="s">
        <x:v>382</x:v>
      </x:c>
      <x:c r="E96" s="0" t="s">
        <x:v>383</x:v>
      </x:c>
      <x:c r="F96" s="0" t="s">
        <x:v>45</x:v>
      </x:c>
      <x:c r="G96" s="0" t="s">
        <x:v>19</x:v>
      </x:c>
      <x:c r="H96" s="0" t="s">
        <x:v>20</x:v>
      </x:c>
      <x:c r="I96" s="0" t="s">
        <x:v>21</x:v>
      </x:c>
      <x:c r="K96" s="0">
        <x:f>hyperlink("https://icd.who.int/dev11/l-ichi/en#/http%3A%2F%2Fid.who.int%2Ficd%2Fentity%2F1973825085","browser")</x:f>
      </x:c>
      <x:c r="L96" s="0">
        <x:f>hyperlink("https://icat2.azurewebsites.net/icat/?ontology=ICD&amp;tab=ClassesTab&amp;id=http%3A%2F%2Fwho.int%2Ficd%23465_c1eb5896_b43e_4531_bd82_f72e7a00cdd6","iCat")</x:f>
      </x:c>
      <x:c r="M96" s="0" t="s">
        <x:v>21</x:v>
      </x:c>
      <x:c r="N96" s="0" t="s">
        <x:v>46</x:v>
      </x:c>
    </x:row>
    <x:row r="97" spans="1:16">
      <x:c r="A97" s="0" t="s">
        <x:v>384</x:v>
      </x:c>
      <x:c r="B97" s="0" t="s">
        <x:v>385</x:v>
      </x:c>
      <x:c r="C97" s="0" t="s">
        <x:v>386</x:v>
      </x:c>
      <x:c r="E97" s="0" t="s">
        <x:v>387</x:v>
      </x:c>
      <x:c r="F97" s="0" t="s">
        <x:v>45</x:v>
      </x:c>
      <x:c r="G97" s="0" t="s">
        <x:v>19</x:v>
      </x:c>
      <x:c r="H97" s="0" t="s">
        <x:v>20</x:v>
      </x:c>
      <x:c r="I97" s="0" t="s">
        <x:v>21</x:v>
      </x:c>
      <x:c r="K97" s="0">
        <x:f>hyperlink("https://icd.who.int/dev11/l-ichi/en#/http%3A%2F%2Fid.who.int%2Ficd%2Fentity%2F1877020903","browser")</x:f>
      </x:c>
      <x:c r="L97" s="0">
        <x:f>hyperlink("https://icat2.azurewebsites.net/icat/?ontology=ICD&amp;tab=ClassesTab&amp;id=http%3A%2F%2Fwho.int%2Ficd%23472_c1eb5896_b43e_4531_bd82_f72e7a00cdd6","iCat")</x:f>
      </x:c>
      <x:c r="M97" s="0" t="s">
        <x:v>21</x:v>
      </x:c>
      <x:c r="N97" s="0" t="s">
        <x:v>46</x:v>
      </x:c>
    </x:row>
    <x:row r="98" spans="1:16">
      <x:c r="A98" s="0" t="s">
        <x:v>388</x:v>
      </x:c>
      <x:c r="B98" s="0" t="s">
        <x:v>389</x:v>
      </x:c>
      <x:c r="E98" s="0" t="s">
        <x:v>390</x:v>
      </x:c>
      <x:c r="F98" s="0" t="s">
        <x:v>26</x:v>
      </x:c>
      <x:c r="G98" s="0" t="s">
        <x:v>22</x:v>
      </x:c>
      <x:c r="H98" s="0" t="s">
        <x:v>20</x:v>
      </x:c>
      <x:c r="I98" s="0" t="s">
        <x:v>21</x:v>
      </x:c>
      <x:c r="K98" s="0">
        <x:f>hyperlink("https://icd.who.int/dev11/l-ichi/en#/http%3A%2F%2Fid.who.int%2Ficd%2Fentity%2F2048894639","browser")</x:f>
      </x:c>
      <x:c r="L98" s="0">
        <x:f>hyperlink("https://icat2.azurewebsites.net/icat/?ontology=ICD&amp;tab=ClassesTab&amp;id=http%3A%2F%2Fwho.int%2Ficd%23477_c1eb5896_b43e_4531_bd82_f72e7a00cdd6","iCat")</x:f>
      </x:c>
      <x:c r="M98" s="0" t="s">
        <x:v>20</x:v>
      </x:c>
      <x:c r="N98" s="0" t="s">
        <x:v>30</x:v>
      </x:c>
    </x:row>
    <x:row r="99" spans="1:16">
      <x:c r="A99" s="0" t="s">
        <x:v>391</x:v>
      </x:c>
      <x:c r="B99" s="0" t="s">
        <x:v>392</x:v>
      </x:c>
      <x:c r="C99" s="0" t="s">
        <x:v>393</x:v>
      </x:c>
      <x:c r="E99" s="0" t="s">
        <x:v>394</x:v>
      </x:c>
      <x:c r="F99" s="0" t="s">
        <x:v>45</x:v>
      </x:c>
      <x:c r="G99" s="0" t="s">
        <x:v>19</x:v>
      </x:c>
      <x:c r="H99" s="0" t="s">
        <x:v>20</x:v>
      </x:c>
      <x:c r="I99" s="0" t="s">
        <x:v>21</x:v>
      </x:c>
      <x:c r="K99" s="0">
        <x:f>hyperlink("https://icd.who.int/dev11/l-ichi/en#/http%3A%2F%2Fid.who.int%2Ficd%2Fentity%2F1525077139","browser")</x:f>
      </x:c>
      <x:c r="L99" s="0">
        <x:f>hyperlink("https://icat2.azurewebsites.net/icat/?ontology=ICD&amp;tab=ClassesTab&amp;id=http%3A%2F%2Fwho.int%2Ficd%23476_c1eb5896_b43e_4531_bd82_f72e7a00cdd6","iCat")</x:f>
      </x:c>
      <x:c r="M99" s="0" t="s">
        <x:v>21</x:v>
      </x:c>
      <x:c r="N99" s="0" t="s">
        <x:v>46</x:v>
      </x:c>
    </x:row>
    <x:row r="100" spans="1:16">
      <x:c r="A100" s="0" t="s">
        <x:v>395</x:v>
      </x:c>
      <x:c r="B100" s="0" t="s">
        <x:v>396</x:v>
      </x:c>
      <x:c r="C100" s="0" t="s">
        <x:v>397</x:v>
      </x:c>
      <x:c r="E100" s="0" t="s">
        <x:v>398</x:v>
      </x:c>
      <x:c r="F100" s="0" t="s">
        <x:v>45</x:v>
      </x:c>
      <x:c r="G100" s="0" t="s">
        <x:v>19</x:v>
      </x:c>
      <x:c r="H100" s="0" t="s">
        <x:v>20</x:v>
      </x:c>
      <x:c r="I100" s="0" t="s">
        <x:v>21</x:v>
      </x:c>
      <x:c r="K100" s="0">
        <x:f>hyperlink("https://icd.who.int/dev11/l-ichi/en#/http%3A%2F%2Fid.who.int%2Ficd%2Fentity%2F1258439829","browser")</x:f>
      </x:c>
      <x:c r="L100" s="0">
        <x:f>hyperlink("https://icat2.azurewebsites.net/icat/?ontology=ICD&amp;tab=ClassesTab&amp;id=http%3A%2F%2Fwho.int%2Ficd%23489_c1eb5896_b43e_4531_bd82_f72e7a00cdd6","iCat")</x:f>
      </x:c>
      <x:c r="M100" s="0" t="s">
        <x:v>21</x:v>
      </x:c>
      <x:c r="N100" s="0" t="s">
        <x:v>46</x:v>
      </x:c>
    </x:row>
    <x:row r="101" spans="1:16">
      <x:c r="A101" s="0" t="s">
        <x:v>399</x:v>
      </x:c>
      <x:c r="B101" s="0" t="s">
        <x:v>400</x:v>
      </x:c>
      <x:c r="C101" s="0" t="s">
        <x:v>401</x:v>
      </x:c>
      <x:c r="E101" s="0" t="s">
        <x:v>402</x:v>
      </x:c>
      <x:c r="F101" s="0" t="s">
        <x:v>45</x:v>
      </x:c>
      <x:c r="G101" s="0" t="s">
        <x:v>19</x:v>
      </x:c>
      <x:c r="H101" s="0" t="s">
        <x:v>20</x:v>
      </x:c>
      <x:c r="I101" s="0" t="s">
        <x:v>21</x:v>
      </x:c>
      <x:c r="K101" s="0">
        <x:f>hyperlink("https://icd.who.int/dev11/l-ichi/en#/http%3A%2F%2Fid.who.int%2Ficd%2Fentity%2F171621714","browser")</x:f>
      </x:c>
      <x:c r="L101" s="0">
        <x:f>hyperlink("https://icat2.azurewebsites.net/icat/?ontology=ICD&amp;tab=ClassesTab&amp;id=http%3A%2F%2Fwho.int%2Ficd%23493_c1eb5896_b43e_4531_bd82_f72e7a00cdd6","iCat")</x:f>
      </x:c>
      <x:c r="M101" s="0" t="s">
        <x:v>21</x:v>
      </x:c>
      <x:c r="N101" s="0" t="s">
        <x:v>46</x:v>
      </x:c>
    </x:row>
    <x:row r="102" spans="1:16">
      <x:c r="A102" s="0" t="s">
        <x:v>403</x:v>
      </x:c>
      <x:c r="B102" s="0" t="s">
        <x:v>404</x:v>
      </x:c>
      <x:c r="E102" s="0" t="s">
        <x:v>405</x:v>
      </x:c>
      <x:c r="F102" s="0" t="s">
        <x:v>26</x:v>
      </x:c>
      <x:c r="G102" s="0" t="s">
        <x:v>22</x:v>
      </x:c>
      <x:c r="H102" s="0" t="s">
        <x:v>20</x:v>
      </x:c>
      <x:c r="I102" s="0" t="s">
        <x:v>21</x:v>
      </x:c>
      <x:c r="K102" s="0">
        <x:f>hyperlink("https://icd.who.int/dev11/l-ichi/en#/http%3A%2F%2Fid.who.int%2Ficd%2Fentity%2F2060655825","browser")</x:f>
      </x:c>
      <x:c r="L102" s="0">
        <x:f>hyperlink("https://icat2.azurewebsites.net/icat/?ontology=ICD&amp;tab=ClassesTab&amp;id=http%3A%2F%2Fwho.int%2Ficd%23504_c1eb5896_b43e_4531_bd82_f72e7a00cdd6","iCat")</x:f>
      </x:c>
      <x:c r="M102" s="0" t="s">
        <x:v>20</x:v>
      </x:c>
      <x:c r="N102" s="0" t="s">
        <x:v>22</x:v>
      </x:c>
    </x:row>
    <x:row r="103" spans="1:16">
      <x:c r="A103" s="0" t="s">
        <x:v>406</x:v>
      </x:c>
      <x:c r="B103" s="0" t="s">
        <x:v>407</x:v>
      </x:c>
      <x:c r="C103" s="0" t="s">
        <x:v>408</x:v>
      </x:c>
      <x:c r="E103" s="0" t="s">
        <x:v>409</x:v>
      </x:c>
      <x:c r="F103" s="0" t="s">
        <x:v>45</x:v>
      </x:c>
      <x:c r="G103" s="0" t="s">
        <x:v>19</x:v>
      </x:c>
      <x:c r="H103" s="0" t="s">
        <x:v>20</x:v>
      </x:c>
      <x:c r="I103" s="0" t="s">
        <x:v>21</x:v>
      </x:c>
      <x:c r="K103" s="0">
        <x:f>hyperlink("https://icd.who.int/dev11/l-ichi/en#/http%3A%2F%2Fid.who.int%2Ficd%2Fentity%2F173127518","browser")</x:f>
      </x:c>
      <x:c r="L103" s="0">
        <x:f>hyperlink("https://icat2.azurewebsites.net/icat/?ontology=ICD&amp;tab=ClassesTab&amp;id=http%3A%2F%2Fwho.int%2Ficd%23503_c1eb5896_b43e_4531_bd82_f72e7a00cdd6","iCat")</x:f>
      </x:c>
      <x:c r="M103" s="0" t="s">
        <x:v>21</x:v>
      </x:c>
      <x:c r="N103" s="0" t="s">
        <x:v>46</x:v>
      </x:c>
    </x:row>
    <x:row r="104" spans="1:16">
      <x:c r="A104" s="0" t="s">
        <x:v>410</x:v>
      </x:c>
      <x:c r="B104" s="0" t="s">
        <x:v>411</x:v>
      </x:c>
      <x:c r="C104" s="0" t="s">
        <x:v>412</x:v>
      </x:c>
      <x:c r="E104" s="0" t="s">
        <x:v>413</x:v>
      </x:c>
      <x:c r="F104" s="0" t="s">
        <x:v>45</x:v>
      </x:c>
      <x:c r="G104" s="0" t="s">
        <x:v>19</x:v>
      </x:c>
      <x:c r="H104" s="0" t="s">
        <x:v>20</x:v>
      </x:c>
      <x:c r="I104" s="0" t="s">
        <x:v>21</x:v>
      </x:c>
      <x:c r="K104" s="0">
        <x:f>hyperlink("https://icd.who.int/dev11/l-ichi/en#/http%3A%2F%2Fid.who.int%2Ficd%2Fentity%2F1620320779","browser")</x:f>
      </x:c>
      <x:c r="L104" s="0">
        <x:f>hyperlink("https://icat2.azurewebsites.net/icat/?ontology=ICD&amp;tab=ClassesTab&amp;id=http%3A%2F%2Fwho.int%2Ficd%23513_c1eb5896_b43e_4531_bd82_f72e7a00cdd6","iCat")</x:f>
      </x:c>
      <x:c r="M104" s="0" t="s">
        <x:v>21</x:v>
      </x:c>
      <x:c r="N104" s="0" t="s">
        <x:v>46</x:v>
      </x:c>
    </x:row>
    <x:row r="105" spans="1:16">
      <x:c r="A105" s="0" t="s">
        <x:v>414</x:v>
      </x:c>
      <x:c r="B105" s="0" t="s">
        <x:v>415</x:v>
      </x:c>
      <x:c r="C105" s="0" t="s">
        <x:v>416</x:v>
      </x:c>
      <x:c r="E105" s="0" t="s">
        <x:v>417</x:v>
      </x:c>
      <x:c r="F105" s="0" t="s">
        <x:v>45</x:v>
      </x:c>
      <x:c r="G105" s="0" t="s">
        <x:v>19</x:v>
      </x:c>
      <x:c r="H105" s="0" t="s">
        <x:v>20</x:v>
      </x:c>
      <x:c r="I105" s="0" t="s">
        <x:v>21</x:v>
      </x:c>
      <x:c r="K105" s="0">
        <x:f>hyperlink("https://icd.who.int/dev11/l-ichi/en#/http%3A%2F%2Fid.who.int%2Ficd%2Fentity%2F1435756159","browser")</x:f>
      </x:c>
      <x:c r="L105" s="0">
        <x:f>hyperlink("https://icat2.azurewebsites.net/icat/?ontology=ICD&amp;tab=ClassesTab&amp;id=http%3A%2F%2Fwho.int%2Ficd%23517_c1eb5896_b43e_4531_bd82_f72e7a00cdd6","iCat")</x:f>
      </x:c>
      <x:c r="M105" s="0" t="s">
        <x:v>21</x:v>
      </x:c>
      <x:c r="N105" s="0" t="s">
        <x:v>46</x:v>
      </x:c>
    </x:row>
    <x:row r="106" spans="1:16">
      <x:c r="A106" s="0" t="s">
        <x:v>418</x:v>
      </x:c>
      <x:c r="B106" s="0" t="s">
        <x:v>419</x:v>
      </x:c>
      <x:c r="C106" s="0" t="s">
        <x:v>420</x:v>
      </x:c>
      <x:c r="E106" s="0" t="s">
        <x:v>421</x:v>
      </x:c>
      <x:c r="F106" s="0" t="s">
        <x:v>45</x:v>
      </x:c>
      <x:c r="G106" s="0" t="s">
        <x:v>19</x:v>
      </x:c>
      <x:c r="H106" s="0" t="s">
        <x:v>20</x:v>
      </x:c>
      <x:c r="I106" s="0" t="s">
        <x:v>21</x:v>
      </x:c>
      <x:c r="K106" s="0">
        <x:f>hyperlink("https://icd.who.int/dev11/l-ichi/en#/http%3A%2F%2Fid.who.int%2Ficd%2Fentity%2F1163493321","browser")</x:f>
      </x:c>
      <x:c r="L106" s="0">
        <x:f>hyperlink("https://icat2.azurewebsites.net/icat/?ontology=ICD&amp;tab=ClassesTab&amp;id=http%3A%2F%2Fwho.int%2Ficd%23521_c1eb5896_b43e_4531_bd82_f72e7a00cdd6","iCat")</x:f>
      </x:c>
      <x:c r="M106" s="0" t="s">
        <x:v>21</x:v>
      </x:c>
      <x:c r="N106" s="0" t="s">
        <x:v>46</x:v>
      </x:c>
    </x:row>
    <x:row r="107" spans="1:16">
      <x:c r="B107" s="0" t="s">
        <x:v>422</x:v>
      </x:c>
      <x:c r="C107" s="0" t="s">
        <x:v>423</x:v>
      </x:c>
      <x:c r="E107" s="0" t="s">
        <x:v>424</x:v>
      </x:c>
      <x:c r="F107" s="0" t="s">
        <x:v>45</x:v>
      </x:c>
      <x:c r="G107" s="0" t="s">
        <x:v>19</x:v>
      </x:c>
      <x:c r="H107" s="0" t="s">
        <x:v>21</x:v>
      </x:c>
      <x:c r="I107" s="0" t="s">
        <x:v>21</x:v>
      </x:c>
      <x:c r="K107" s="0">
        <x:f>hyperlink("https://icd.who.int/dev11/l-ichi/en#/http%3A%2F%2Fid.who.int%2Ficd%2Fentity%2F504363578%2Fichi%2Fother","browser")</x:f>
      </x:c>
      <x:c r="L107" s="0">
        <x:f>hyperlink("","iCat")</x:f>
      </x:c>
      <x:c r="M107" s="0" t="s">
        <x:v>21</x:v>
      </x:c>
      <x:c r="N107" s="0" t="s">
        <x:v>46</x:v>
      </x:c>
    </x:row>
    <x:row r="108" spans="1:16">
      <x:c r="B108" s="0" t="s">
        <x:v>425</x:v>
      </x:c>
      <x:c r="C108" s="0" t="s">
        <x:v>426</x:v>
      </x:c>
      <x:c r="E108" s="0" t="s">
        <x:v>427</x:v>
      </x:c>
      <x:c r="F108" s="0" t="s">
        <x:v>45</x:v>
      </x:c>
      <x:c r="G108" s="0" t="s">
        <x:v>19</x:v>
      </x:c>
      <x:c r="H108" s="0" t="s">
        <x:v>21</x:v>
      </x:c>
      <x:c r="I108" s="0" t="s">
        <x:v>21</x:v>
      </x:c>
      <x:c r="K108" s="0">
        <x:f>hyperlink("https://icd.who.int/dev11/l-ichi/en#/http%3A%2F%2Fid.who.int%2Ficd%2Fentity%2F504363578%2Fichi%2Funspecified","browser")</x:f>
      </x:c>
      <x:c r="L108" s="0">
        <x:f>hyperlink("","iCat")</x:f>
      </x:c>
      <x:c r="M108" s="0" t="s">
        <x:v>21</x:v>
      </x:c>
      <x:c r="N108" s="0" t="s">
        <x:v>46</x:v>
      </x:c>
    </x:row>
    <x:row r="109" spans="1:16">
      <x:c r="A109" s="0" t="s">
        <x:v>428</x:v>
      </x:c>
      <x:c r="B109" s="0" t="s">
        <x:v>429</x:v>
      </x:c>
      <x:c r="E109" s="0" t="s">
        <x:v>430</x:v>
      </x:c>
      <x:c r="F109" s="0" t="s">
        <x:v>26</x:v>
      </x:c>
      <x:c r="G109" s="0" t="s">
        <x:v>35</x:v>
      </x:c>
      <x:c r="H109" s="0" t="s">
        <x:v>20</x:v>
      </x:c>
      <x:c r="I109" s="0" t="s">
        <x:v>21</x:v>
      </x:c>
      <x:c r="K109" s="0">
        <x:f>hyperlink("https://icd.who.int/dev11/l-ichi/en#/http%3A%2F%2Fid.who.int%2Ficd%2Fentity%2F1595818259","browser")</x:f>
      </x:c>
      <x:c r="L109" s="0">
        <x:f>hyperlink("https://icat2.azurewebsites.net/icat/?ontology=ICD&amp;tab=ClassesTab&amp;id=http%3A%2F%2Fwho.int%2Ficd%23536_c1eb5896_b43e_4531_bd82_f72e7a00cdd6","iCat")</x:f>
      </x:c>
      <x:c r="M109" s="0" t="s">
        <x:v>20</x:v>
      </x:c>
      <x:c r="N109" s="0" t="s">
        <x:v>431</x:v>
      </x:c>
    </x:row>
    <x:row r="110" spans="1:16">
      <x:c r="A110" s="0" t="s">
        <x:v>432</x:v>
      </x:c>
      <x:c r="B110" s="0" t="s">
        <x:v>433</x:v>
      </x:c>
      <x:c r="E110" s="0" t="s">
        <x:v>434</x:v>
      </x:c>
      <x:c r="F110" s="0" t="s">
        <x:v>26</x:v>
      </x:c>
      <x:c r="G110" s="0" t="s">
        <x:v>22</x:v>
      </x:c>
      <x:c r="H110" s="0" t="s">
        <x:v>20</x:v>
      </x:c>
      <x:c r="I110" s="0" t="s">
        <x:v>21</x:v>
      </x:c>
      <x:c r="K110" s="0">
        <x:f>hyperlink("https://icd.who.int/dev11/l-ichi/en#/http%3A%2F%2Fid.who.int%2Ficd%2Fentity%2F1523553917","browser")</x:f>
      </x:c>
      <x:c r="L110" s="0">
        <x:f>hyperlink("https://icat2.azurewebsites.net/icat/?ontology=ICD&amp;tab=ClassesTab&amp;id=http%3A%2F%2Fwho.int%2Ficd%23542_c1eb5896_b43e_4531_bd82_f72e7a00cdd6","iCat")</x:f>
      </x:c>
      <x:c r="M110" s="0" t="s">
        <x:v>20</x:v>
      </x:c>
      <x:c r="N110" s="0" t="s">
        <x:v>30</x:v>
      </x:c>
    </x:row>
    <x:row r="111" spans="1:16">
      <x:c r="A111" s="0" t="s">
        <x:v>435</x:v>
      </x:c>
      <x:c r="B111" s="0" t="s">
        <x:v>436</x:v>
      </x:c>
      <x:c r="C111" s="0" t="s">
        <x:v>437</x:v>
      </x:c>
      <x:c r="E111" s="0" t="s">
        <x:v>438</x:v>
      </x:c>
      <x:c r="F111" s="0" t="s">
        <x:v>45</x:v>
      </x:c>
      <x:c r="G111" s="0" t="s">
        <x:v>19</x:v>
      </x:c>
      <x:c r="H111" s="0" t="s">
        <x:v>20</x:v>
      </x:c>
      <x:c r="I111" s="0" t="s">
        <x:v>21</x:v>
      </x:c>
      <x:c r="K111" s="0">
        <x:f>hyperlink("https://icd.who.int/dev11/l-ichi/en#/http%3A%2F%2Fid.who.int%2Ficd%2Fentity%2F446377708","browser")</x:f>
      </x:c>
      <x:c r="L111" s="0">
        <x:f>hyperlink("https://icat2.azurewebsites.net/icat/?ontology=ICD&amp;tab=ClassesTab&amp;id=http%3A%2F%2Fwho.int%2Ficd%23535_c1eb5896_b43e_4531_bd82_f72e7a00cdd6","iCat")</x:f>
      </x:c>
      <x:c r="M111" s="0" t="s">
        <x:v>21</x:v>
      </x:c>
      <x:c r="N111" s="0" t="s">
        <x:v>46</x:v>
      </x:c>
    </x:row>
    <x:row r="112" spans="1:16">
      <x:c r="A112" s="0" t="s">
        <x:v>439</x:v>
      </x:c>
      <x:c r="B112" s="0" t="s">
        <x:v>440</x:v>
      </x:c>
      <x:c r="C112" s="0" t="s">
        <x:v>441</x:v>
      </x:c>
      <x:c r="E112" s="0" t="s">
        <x:v>442</x:v>
      </x:c>
      <x:c r="F112" s="0" t="s">
        <x:v>45</x:v>
      </x:c>
      <x:c r="G112" s="0" t="s">
        <x:v>19</x:v>
      </x:c>
      <x:c r="H112" s="0" t="s">
        <x:v>20</x:v>
      </x:c>
      <x:c r="I112" s="0" t="s">
        <x:v>21</x:v>
      </x:c>
      <x:c r="K112" s="0">
        <x:f>hyperlink("https://icd.who.int/dev11/l-ichi/en#/http%3A%2F%2Fid.who.int%2Ficd%2Fentity%2F805962538","browser")</x:f>
      </x:c>
      <x:c r="L112" s="0">
        <x:f>hyperlink("https://icat2.azurewebsites.net/icat/?ontology=ICD&amp;tab=ClassesTab&amp;id=http%3A%2F%2Fwho.int%2Ficd%23552_c1eb5896_b43e_4531_bd82_f72e7a00cdd6","iCat")</x:f>
      </x:c>
      <x:c r="M112" s="0" t="s">
        <x:v>21</x:v>
      </x:c>
      <x:c r="N112" s="0" t="s">
        <x:v>46</x:v>
      </x:c>
    </x:row>
    <x:row r="113" spans="1:16">
      <x:c r="A113" s="0" t="s">
        <x:v>443</x:v>
      </x:c>
      <x:c r="B113" s="0" t="s">
        <x:v>444</x:v>
      </x:c>
      <x:c r="C113" s="0" t="s">
        <x:v>445</x:v>
      </x:c>
      <x:c r="E113" s="0" t="s">
        <x:v>446</x:v>
      </x:c>
      <x:c r="F113" s="0" t="s">
        <x:v>45</x:v>
      </x:c>
      <x:c r="G113" s="0" t="s">
        <x:v>19</x:v>
      </x:c>
      <x:c r="H113" s="0" t="s">
        <x:v>20</x:v>
      </x:c>
      <x:c r="I113" s="0" t="s">
        <x:v>21</x:v>
      </x:c>
      <x:c r="K113" s="0">
        <x:f>hyperlink("https://icd.who.int/dev11/l-ichi/en#/http%3A%2F%2Fid.who.int%2Ficd%2Fentity%2F84789088","browser")</x:f>
      </x:c>
      <x:c r="L113" s="0">
        <x:f>hyperlink("https://icat2.azurewebsites.net/icat/?ontology=ICD&amp;tab=ClassesTab&amp;id=http%3A%2F%2Fwho.int%2Ficd%23556_c1eb5896_b43e_4531_bd82_f72e7a00cdd6","iCat")</x:f>
      </x:c>
      <x:c r="M113" s="0" t="s">
        <x:v>21</x:v>
      </x:c>
      <x:c r="N113" s="0" t="s">
        <x:v>46</x:v>
      </x:c>
    </x:row>
    <x:row r="114" spans="1:16">
      <x:c r="A114" s="0" t="s">
        <x:v>447</x:v>
      </x:c>
      <x:c r="B114" s="0" t="s">
        <x:v>448</x:v>
      </x:c>
      <x:c r="E114" s="0" t="s">
        <x:v>449</x:v>
      </x:c>
      <x:c r="F114" s="0" t="s">
        <x:v>26</x:v>
      </x:c>
      <x:c r="G114" s="0" t="s">
        <x:v>22</x:v>
      </x:c>
      <x:c r="H114" s="0" t="s">
        <x:v>20</x:v>
      </x:c>
      <x:c r="I114" s="0" t="s">
        <x:v>21</x:v>
      </x:c>
      <x:c r="K114" s="0">
        <x:f>hyperlink("https://icd.who.int/dev11/l-ichi/en#/http%3A%2F%2Fid.who.int%2Ficd%2Fentity%2F1699083621","browser")</x:f>
      </x:c>
      <x:c r="L114" s="0">
        <x:f>hyperlink("https://icat2.azurewebsites.net/icat/?ontology=ICD&amp;tab=ClassesTab&amp;id=http%3A%2F%2Fwho.int%2Ficd%23567_c1eb5896_b43e_4531_bd82_f72e7a00cdd6","iCat")</x:f>
      </x:c>
      <x:c r="M114" s="0" t="s">
        <x:v>20</x:v>
      </x:c>
      <x:c r="N114" s="0" t="s">
        <x:v>36</x:v>
      </x:c>
    </x:row>
    <x:row r="115" spans="1:16">
      <x:c r="A115" s="0" t="s">
        <x:v>450</x:v>
      </x:c>
      <x:c r="B115" s="0" t="s">
        <x:v>451</x:v>
      </x:c>
      <x:c r="C115" s="0" t="s">
        <x:v>452</x:v>
      </x:c>
      <x:c r="E115" s="0" t="s">
        <x:v>453</x:v>
      </x:c>
      <x:c r="F115" s="0" t="s">
        <x:v>45</x:v>
      </x:c>
      <x:c r="G115" s="0" t="s">
        <x:v>19</x:v>
      </x:c>
      <x:c r="H115" s="0" t="s">
        <x:v>20</x:v>
      </x:c>
      <x:c r="I115" s="0" t="s">
        <x:v>21</x:v>
      </x:c>
      <x:c r="K115" s="0">
        <x:f>hyperlink("https://icd.who.int/dev11/l-ichi/en#/http%3A%2F%2Fid.who.int%2Ficd%2Fentity%2F1169983321","browser")</x:f>
      </x:c>
      <x:c r="L115" s="0">
        <x:f>hyperlink("https://icat2.azurewebsites.net/icat/?ontology=ICD&amp;tab=ClassesTab&amp;id=http%3A%2F%2Fwho.int%2Ficd%23566_c1eb5896_b43e_4531_bd82_f72e7a00cdd6","iCat")</x:f>
      </x:c>
      <x:c r="M115" s="0" t="s">
        <x:v>21</x:v>
      </x:c>
      <x:c r="N115" s="0" t="s">
        <x:v>46</x:v>
      </x:c>
    </x:row>
    <x:row r="116" spans="1:16">
      <x:c r="A116" s="0" t="s">
        <x:v>454</x:v>
      </x:c>
      <x:c r="B116" s="0" t="s">
        <x:v>455</x:v>
      </x:c>
      <x:c r="C116" s="0" t="s">
        <x:v>456</x:v>
      </x:c>
      <x:c r="E116" s="0" t="s">
        <x:v>457</x:v>
      </x:c>
      <x:c r="F116" s="0" t="s">
        <x:v>45</x:v>
      </x:c>
      <x:c r="G116" s="0" t="s">
        <x:v>19</x:v>
      </x:c>
      <x:c r="H116" s="0" t="s">
        <x:v>20</x:v>
      </x:c>
      <x:c r="I116" s="0" t="s">
        <x:v>21</x:v>
      </x:c>
      <x:c r="K116" s="0">
        <x:f>hyperlink("https://icd.who.int/dev11/l-ichi/en#/http%3A%2F%2Fid.who.int%2Ficd%2Fentity%2F260071476","browser")</x:f>
      </x:c>
      <x:c r="L116" s="0">
        <x:f>hyperlink("https://icat2.azurewebsites.net/icat/?ontology=ICD&amp;tab=ClassesTab&amp;id=http%3A%2F%2Fwho.int%2Ficd%23577_c1eb5896_b43e_4531_bd82_f72e7a00cdd6","iCat")</x:f>
      </x:c>
      <x:c r="M116" s="0" t="s">
        <x:v>21</x:v>
      </x:c>
      <x:c r="N116" s="0" t="s">
        <x:v>46</x:v>
      </x:c>
    </x:row>
    <x:row r="117" spans="1:16">
      <x:c r="A117" s="0" t="s">
        <x:v>458</x:v>
      </x:c>
      <x:c r="B117" s="0" t="s">
        <x:v>459</x:v>
      </x:c>
      <x:c r="C117" s="0" t="s">
        <x:v>460</x:v>
      </x:c>
      <x:c r="E117" s="0" t="s">
        <x:v>461</x:v>
      </x:c>
      <x:c r="F117" s="0" t="s">
        <x:v>45</x:v>
      </x:c>
      <x:c r="G117" s="0" t="s">
        <x:v>19</x:v>
      </x:c>
      <x:c r="H117" s="0" t="s">
        <x:v>20</x:v>
      </x:c>
      <x:c r="I117" s="0" t="s">
        <x:v>21</x:v>
      </x:c>
      <x:c r="K117" s="0">
        <x:f>hyperlink("https://icd.who.int/dev11/l-ichi/en#/http%3A%2F%2Fid.who.int%2Ficd%2Fentity%2F1880945501","browser")</x:f>
      </x:c>
      <x:c r="L117" s="0">
        <x:f>hyperlink("https://icat2.azurewebsites.net/icat/?ontology=ICD&amp;tab=ClassesTab&amp;id=http%3A%2F%2Fwho.int%2Ficd%23581_c1eb5896_b43e_4531_bd82_f72e7a00cdd6","iCat")</x:f>
      </x:c>
      <x:c r="M117" s="0" t="s">
        <x:v>21</x:v>
      </x:c>
      <x:c r="N117" s="0" t="s">
        <x:v>46</x:v>
      </x:c>
    </x:row>
    <x:row r="118" spans="1:16">
      <x:c r="A118" s="0" t="s">
        <x:v>462</x:v>
      </x:c>
      <x:c r="B118" s="0" t="s">
        <x:v>463</x:v>
      </x:c>
      <x:c r="C118" s="0" t="s">
        <x:v>464</x:v>
      </x:c>
      <x:c r="E118" s="0" t="s">
        <x:v>465</x:v>
      </x:c>
      <x:c r="F118" s="0" t="s">
        <x:v>45</x:v>
      </x:c>
      <x:c r="G118" s="0" t="s">
        <x:v>19</x:v>
      </x:c>
      <x:c r="H118" s="0" t="s">
        <x:v>20</x:v>
      </x:c>
      <x:c r="I118" s="0" t="s">
        <x:v>21</x:v>
      </x:c>
      <x:c r="K118" s="0">
        <x:f>hyperlink("https://icd.who.int/dev11/l-ichi/en#/http%3A%2F%2Fid.who.int%2Ficd%2Fentity%2F1159411497","browser")</x:f>
      </x:c>
      <x:c r="L118" s="0">
        <x:f>hyperlink("https://icat2.azurewebsites.net/icat/?ontology=ICD&amp;tab=ClassesTab&amp;id=http%3A%2F%2Fwho.int%2Ficd%23585_c1eb5896_b43e_4531_bd82_f72e7a00cdd6","iCat")</x:f>
      </x:c>
      <x:c r="M118" s="0" t="s">
        <x:v>21</x:v>
      </x:c>
      <x:c r="N118" s="0" t="s">
        <x:v>46</x:v>
      </x:c>
    </x:row>
    <x:row r="119" spans="1:16">
      <x:c r="A119" s="0" t="s">
        <x:v>466</x:v>
      </x:c>
      <x:c r="B119" s="0" t="s">
        <x:v>467</x:v>
      </x:c>
      <x:c r="C119" s="0" t="s">
        <x:v>468</x:v>
      </x:c>
      <x:c r="E119" s="0" t="s">
        <x:v>469</x:v>
      </x:c>
      <x:c r="F119" s="0" t="s">
        <x:v>45</x:v>
      </x:c>
      <x:c r="G119" s="0" t="s">
        <x:v>19</x:v>
      </x:c>
      <x:c r="H119" s="0" t="s">
        <x:v>20</x:v>
      </x:c>
      <x:c r="I119" s="0" t="s">
        <x:v>21</x:v>
      </x:c>
      <x:c r="K119" s="0">
        <x:f>hyperlink("https://icd.who.int/dev11/l-ichi/en#/http%3A%2F%2Fid.who.int%2Ficd%2Fentity%2F2141551567","browser")</x:f>
      </x:c>
      <x:c r="L119" s="0">
        <x:f>hyperlink("https://icat2.azurewebsites.net/icat/?ontology=ICD&amp;tab=ClassesTab&amp;id=http%3A%2F%2Fwho.int%2Ficd%23593_c1eb5896_b43e_4531_bd82_f72e7a00cdd6","iCat")</x:f>
      </x:c>
      <x:c r="M119" s="0" t="s">
        <x:v>21</x:v>
      </x:c>
      <x:c r="N119" s="0" t="s">
        <x:v>46</x:v>
      </x:c>
    </x:row>
    <x:row r="120" spans="1:16">
      <x:c r="A120" s="0" t="s">
        <x:v>470</x:v>
      </x:c>
      <x:c r="B120" s="0" t="s">
        <x:v>471</x:v>
      </x:c>
      <x:c r="C120" s="0" t="s">
        <x:v>472</x:v>
      </x:c>
      <x:c r="E120" s="0" t="s">
        <x:v>473</x:v>
      </x:c>
      <x:c r="F120" s="0" t="s">
        <x:v>45</x:v>
      </x:c>
      <x:c r="G120" s="0" t="s">
        <x:v>19</x:v>
      </x:c>
      <x:c r="H120" s="0" t="s">
        <x:v>20</x:v>
      </x:c>
      <x:c r="I120" s="0" t="s">
        <x:v>21</x:v>
      </x:c>
      <x:c r="K120" s="0">
        <x:f>hyperlink("https://icd.who.int/dev11/l-ichi/en#/http%3A%2F%2Fid.who.int%2Ficd%2Fentity%2F1274507577","browser")</x:f>
      </x:c>
      <x:c r="L120" s="0">
        <x:f>hyperlink("https://icat2.azurewebsites.net/icat/?ontology=ICD&amp;tab=ClassesTab&amp;id=http%3A%2F%2Fwho.int%2Ficd%23602_c1eb5896_b43e_4531_bd82_f72e7a00cdd6","iCat")</x:f>
      </x:c>
      <x:c r="M120" s="0" t="s">
        <x:v>21</x:v>
      </x:c>
      <x:c r="N120" s="0" t="s">
        <x:v>46</x:v>
      </x:c>
    </x:row>
    <x:row r="121" spans="1:16">
      <x:c r="A121" s="0" t="s">
        <x:v>474</x:v>
      </x:c>
      <x:c r="B121" s="0" t="s">
        <x:v>475</x:v>
      </x:c>
      <x:c r="C121" s="0" t="s">
        <x:v>476</x:v>
      </x:c>
      <x:c r="E121" s="0" t="s">
        <x:v>477</x:v>
      </x:c>
      <x:c r="F121" s="0" t="s">
        <x:v>45</x:v>
      </x:c>
      <x:c r="G121" s="0" t="s">
        <x:v>19</x:v>
      </x:c>
      <x:c r="H121" s="0" t="s">
        <x:v>20</x:v>
      </x:c>
      <x:c r="I121" s="0" t="s">
        <x:v>21</x:v>
      </x:c>
      <x:c r="K121" s="0">
        <x:f>hyperlink("https://icd.who.int/dev11/l-ichi/en#/http%3A%2F%2Fid.who.int%2Ficd%2Fentity%2F2129704269","browser")</x:f>
      </x:c>
      <x:c r="L121" s="0">
        <x:f>hyperlink("https://icat2.azurewebsites.net/icat/?ontology=ICD&amp;tab=ClassesTab&amp;id=http%3A%2F%2Fwho.int%2Ficd%23606_c1eb5896_b43e_4531_bd82_f72e7a00cdd6","iCat")</x:f>
      </x:c>
      <x:c r="M121" s="0" t="s">
        <x:v>21</x:v>
      </x:c>
      <x:c r="N121" s="0" t="s">
        <x:v>46</x:v>
      </x:c>
    </x:row>
    <x:row r="122" spans="1:16">
      <x:c r="A122" s="0" t="s">
        <x:v>478</x:v>
      </x:c>
      <x:c r="B122" s="0" t="s">
        <x:v>479</x:v>
      </x:c>
      <x:c r="C122" s="0" t="s">
        <x:v>480</x:v>
      </x:c>
      <x:c r="E122" s="0" t="s">
        <x:v>481</x:v>
      </x:c>
      <x:c r="F122" s="0" t="s">
        <x:v>45</x:v>
      </x:c>
      <x:c r="G122" s="0" t="s">
        <x:v>19</x:v>
      </x:c>
      <x:c r="H122" s="0" t="s">
        <x:v>20</x:v>
      </x:c>
      <x:c r="I122" s="0" t="s">
        <x:v>21</x:v>
      </x:c>
      <x:c r="K122" s="0">
        <x:f>hyperlink("https://icd.who.int/dev11/l-ichi/en#/http%3A%2F%2Fid.who.int%2Ficd%2Fentity%2F1146026411","browser")</x:f>
      </x:c>
      <x:c r="L122" s="0">
        <x:f>hyperlink("https://icat2.azurewebsites.net/icat/?ontology=ICD&amp;tab=ClassesTab&amp;id=http%3A%2F%2Fwho.int%2Ficd%23610_c1eb5896_b43e_4531_bd82_f72e7a00cdd6","iCat")</x:f>
      </x:c>
      <x:c r="M122" s="0" t="s">
        <x:v>21</x:v>
      </x:c>
      <x:c r="N122" s="0" t="s">
        <x:v>46</x:v>
      </x:c>
    </x:row>
    <x:row r="123" spans="1:16">
      <x:c r="A123" s="0" t="s">
        <x:v>482</x:v>
      </x:c>
      <x:c r="B123" s="0" t="s">
        <x:v>483</x:v>
      </x:c>
      <x:c r="C123" s="0" t="s">
        <x:v>484</x:v>
      </x:c>
      <x:c r="E123" s="0" t="s">
        <x:v>485</x:v>
      </x:c>
      <x:c r="F123" s="0" t="s">
        <x:v>45</x:v>
      </x:c>
      <x:c r="G123" s="0" t="s">
        <x:v>19</x:v>
      </x:c>
      <x:c r="H123" s="0" t="s">
        <x:v>20</x:v>
      </x:c>
      <x:c r="I123" s="0" t="s">
        <x:v>21</x:v>
      </x:c>
      <x:c r="K123" s="0">
        <x:f>hyperlink("https://icd.who.int/dev11/l-ichi/en#/http%3A%2F%2Fid.who.int%2Ficd%2Fentity%2F1900625375","browser")</x:f>
      </x:c>
      <x:c r="L123" s="0">
        <x:f>hyperlink("https://icat2.azurewebsites.net/icat/?ontology=ICD&amp;tab=ClassesTab&amp;id=http%3A%2F%2Fwho.int%2Ficd%23614_c1eb5896_b43e_4531_bd82_f72e7a00cdd6","iCat")</x:f>
      </x:c>
      <x:c r="M123" s="0" t="s">
        <x:v>21</x:v>
      </x:c>
      <x:c r="N123" s="0" t="s">
        <x:v>46</x:v>
      </x:c>
    </x:row>
    <x:row r="124" spans="1:16">
      <x:c r="A124" s="0" t="s">
        <x:v>486</x:v>
      </x:c>
      <x:c r="B124" s="0" t="s">
        <x:v>487</x:v>
      </x:c>
      <x:c r="C124" s="0" t="s">
        <x:v>488</x:v>
      </x:c>
      <x:c r="E124" s="0" t="s">
        <x:v>489</x:v>
      </x:c>
      <x:c r="F124" s="0" t="s">
        <x:v>45</x:v>
      </x:c>
      <x:c r="G124" s="0" t="s">
        <x:v>19</x:v>
      </x:c>
      <x:c r="H124" s="0" t="s">
        <x:v>20</x:v>
      </x:c>
      <x:c r="I124" s="0" t="s">
        <x:v>21</x:v>
      </x:c>
      <x:c r="K124" s="0">
        <x:f>hyperlink("https://icd.who.int/dev11/l-ichi/en#/http%3A%2F%2Fid.who.int%2Ficd%2Fentity%2F181373184","browser")</x:f>
      </x:c>
      <x:c r="L124" s="0">
        <x:f>hyperlink("https://icat2.azurewebsites.net/icat/?ontology=ICD&amp;tab=ClassesTab&amp;id=http%3A%2F%2Fwho.int%2Ficd%23618_c1eb5896_b43e_4531_bd82_f72e7a00cdd6","iCat")</x:f>
      </x:c>
      <x:c r="M124" s="0" t="s">
        <x:v>21</x:v>
      </x:c>
      <x:c r="N124" s="0" t="s">
        <x:v>46</x:v>
      </x:c>
    </x:row>
    <x:row r="125" spans="1:16">
      <x:c r="A125" s="0" t="s">
        <x:v>490</x:v>
      </x:c>
      <x:c r="B125" s="0" t="s">
        <x:v>491</x:v>
      </x:c>
      <x:c r="C125" s="0" t="s">
        <x:v>492</x:v>
      </x:c>
      <x:c r="E125" s="0" t="s">
        <x:v>493</x:v>
      </x:c>
      <x:c r="F125" s="0" t="s">
        <x:v>45</x:v>
      </x:c>
      <x:c r="G125" s="0" t="s">
        <x:v>19</x:v>
      </x:c>
      <x:c r="H125" s="0" t="s">
        <x:v>20</x:v>
      </x:c>
      <x:c r="I125" s="0" t="s">
        <x:v>21</x:v>
      </x:c>
      <x:c r="K125" s="0">
        <x:f>hyperlink("https://icd.who.int/dev11/l-ichi/en#/http%3A%2F%2Fid.who.int%2Ficd%2Fentity%2F1249822969","browser")</x:f>
      </x:c>
      <x:c r="L125" s="0">
        <x:f>hyperlink("https://icat2.azurewebsites.net/icat/?ontology=ICD&amp;tab=ClassesTab&amp;id=http%3A%2F%2Fwho.int%2Ficd%23628_c1eb5896_b43e_4531_bd82_f72e7a00cdd6","iCat")</x:f>
      </x:c>
      <x:c r="M125" s="0" t="s">
        <x:v>21</x:v>
      </x:c>
      <x:c r="N125" s="0" t="s">
        <x:v>46</x:v>
      </x:c>
    </x:row>
    <x:row r="126" spans="1:16">
      <x:c r="A126" s="0" t="s">
        <x:v>494</x:v>
      </x:c>
      <x:c r="B126" s="0" t="s">
        <x:v>495</x:v>
      </x:c>
      <x:c r="C126" s="0" t="s">
        <x:v>496</x:v>
      </x:c>
      <x:c r="E126" s="0" t="s">
        <x:v>497</x:v>
      </x:c>
      <x:c r="F126" s="0" t="s">
        <x:v>45</x:v>
      </x:c>
      <x:c r="G126" s="0" t="s">
        <x:v>19</x:v>
      </x:c>
      <x:c r="H126" s="0" t="s">
        <x:v>20</x:v>
      </x:c>
      <x:c r="I126" s="0" t="s">
        <x:v>21</x:v>
      </x:c>
      <x:c r="K126" s="0">
        <x:f>hyperlink("https://icd.who.int/dev11/l-ichi/en#/http%3A%2F%2Fid.who.int%2Ficd%2Fentity%2F549150126","browser")</x:f>
      </x:c>
      <x:c r="L126" s="0">
        <x:f>hyperlink("https://icat2.azurewebsites.net/icat/?ontology=ICD&amp;tab=ClassesTab&amp;id=http%3A%2F%2Fwho.int%2Ficd%23638_c1eb5896_b43e_4531_bd82_f72e7a00cdd6","iCat")</x:f>
      </x:c>
      <x:c r="M126" s="0" t="s">
        <x:v>21</x:v>
      </x:c>
      <x:c r="N126" s="0" t="s">
        <x:v>46</x:v>
      </x:c>
    </x:row>
    <x:row r="127" spans="1:16">
      <x:c r="A127" s="0" t="s">
        <x:v>498</x:v>
      </x:c>
      <x:c r="B127" s="0" t="s">
        <x:v>499</x:v>
      </x:c>
      <x:c r="E127" s="0" t="s">
        <x:v>500</x:v>
      </x:c>
      <x:c r="F127" s="0" t="s">
        <x:v>26</x:v>
      </x:c>
      <x:c r="G127" s="0" t="s">
        <x:v>22</x:v>
      </x:c>
      <x:c r="H127" s="0" t="s">
        <x:v>20</x:v>
      </x:c>
      <x:c r="I127" s="0" t="s">
        <x:v>21</x:v>
      </x:c>
      <x:c r="K127" s="0">
        <x:f>hyperlink("https://icd.who.int/dev11/l-ichi/en#/http%3A%2F%2Fid.who.int%2Ficd%2Fentity%2F815021192","browser")</x:f>
      </x:c>
      <x:c r="L127" s="0">
        <x:f>hyperlink("https://icat2.azurewebsites.net/icat/?ontology=ICD&amp;tab=ClassesTab&amp;id=http%3A%2F%2Fwho.int%2Ficd%23649_c1eb5896_b43e_4531_bd82_f72e7a00cdd6","iCat")</x:f>
      </x:c>
      <x:c r="M127" s="0" t="s">
        <x:v>20</x:v>
      </x:c>
      <x:c r="N127" s="0" t="s">
        <x:v>30</x:v>
      </x:c>
    </x:row>
    <x:row r="128" spans="1:16">
      <x:c r="A128" s="0" t="s">
        <x:v>501</x:v>
      </x:c>
      <x:c r="B128" s="0" t="s">
        <x:v>502</x:v>
      </x:c>
      <x:c r="C128" s="0" t="s">
        <x:v>503</x:v>
      </x:c>
      <x:c r="E128" s="0" t="s">
        <x:v>504</x:v>
      </x:c>
      <x:c r="F128" s="0" t="s">
        <x:v>45</x:v>
      </x:c>
      <x:c r="G128" s="0" t="s">
        <x:v>19</x:v>
      </x:c>
      <x:c r="H128" s="0" t="s">
        <x:v>20</x:v>
      </x:c>
      <x:c r="I128" s="0" t="s">
        <x:v>21</x:v>
      </x:c>
      <x:c r="K128" s="0">
        <x:f>hyperlink("https://icd.who.int/dev11/l-ichi/en#/http%3A%2F%2Fid.who.int%2Ficd%2Fentity%2F275599030","browser")</x:f>
      </x:c>
      <x:c r="L128" s="0">
        <x:f>hyperlink("https://icat2.azurewebsites.net/icat/?ontology=ICD&amp;tab=ClassesTab&amp;id=http%3A%2F%2Fwho.int%2Ficd%23648_c1eb5896_b43e_4531_bd82_f72e7a00cdd6","iCat")</x:f>
      </x:c>
      <x:c r="M128" s="0" t="s">
        <x:v>21</x:v>
      </x:c>
      <x:c r="N128" s="0" t="s">
        <x:v>46</x:v>
      </x:c>
    </x:row>
    <x:row r="129" spans="1:16">
      <x:c r="A129" s="0" t="s">
        <x:v>505</x:v>
      </x:c>
      <x:c r="B129" s="0" t="s">
        <x:v>506</x:v>
      </x:c>
      <x:c r="C129" s="0" t="s">
        <x:v>507</x:v>
      </x:c>
      <x:c r="E129" s="0" t="s">
        <x:v>508</x:v>
      </x:c>
      <x:c r="F129" s="0" t="s">
        <x:v>45</x:v>
      </x:c>
      <x:c r="G129" s="0" t="s">
        <x:v>19</x:v>
      </x:c>
      <x:c r="H129" s="0" t="s">
        <x:v>20</x:v>
      </x:c>
      <x:c r="I129" s="0" t="s">
        <x:v>21</x:v>
      </x:c>
      <x:c r="K129" s="0">
        <x:f>hyperlink("https://icd.who.int/dev11/l-ichi/en#/http%3A%2F%2Fid.who.int%2Ficd%2Fentity%2F2057886691","browser")</x:f>
      </x:c>
      <x:c r="L129" s="0">
        <x:f>hyperlink("https://icat2.azurewebsites.net/icat/?ontology=ICD&amp;tab=ClassesTab&amp;id=http%3A%2F%2Fwho.int%2Ficd%23658_c1eb5896_b43e_4531_bd82_f72e7a00cdd6","iCat")</x:f>
      </x:c>
      <x:c r="M129" s="0" t="s">
        <x:v>21</x:v>
      </x:c>
      <x:c r="N129" s="0" t="s">
        <x:v>46</x:v>
      </x:c>
    </x:row>
    <x:row r="130" spans="1:16">
      <x:c r="B130" s="0" t="s">
        <x:v>509</x:v>
      </x:c>
      <x:c r="C130" s="0" t="s">
        <x:v>510</x:v>
      </x:c>
      <x:c r="E130" s="0" t="s">
        <x:v>511</x:v>
      </x:c>
      <x:c r="F130" s="0" t="s">
        <x:v>45</x:v>
      </x:c>
      <x:c r="G130" s="0" t="s">
        <x:v>19</x:v>
      </x:c>
      <x:c r="H130" s="0" t="s">
        <x:v>21</x:v>
      </x:c>
      <x:c r="I130" s="0" t="s">
        <x:v>21</x:v>
      </x:c>
      <x:c r="K130" s="0">
        <x:f>hyperlink("https://icd.who.int/dev11/l-ichi/en#/http%3A%2F%2Fid.who.int%2Ficd%2Fentity%2F1595818259%2Fichi%2Fother","browser")</x:f>
      </x:c>
      <x:c r="L130" s="0">
        <x:f>hyperlink("","iCat")</x:f>
      </x:c>
      <x:c r="M130" s="0" t="s">
        <x:v>21</x:v>
      </x:c>
      <x:c r="N130" s="0" t="s">
        <x:v>46</x:v>
      </x:c>
    </x:row>
    <x:row r="131" spans="1:16">
      <x:c r="B131" s="0" t="s">
        <x:v>512</x:v>
      </x:c>
      <x:c r="C131" s="0" t="s">
        <x:v>513</x:v>
      </x:c>
      <x:c r="E131" s="0" t="s">
        <x:v>514</x:v>
      </x:c>
      <x:c r="F131" s="0" t="s">
        <x:v>45</x:v>
      </x:c>
      <x:c r="G131" s="0" t="s">
        <x:v>19</x:v>
      </x:c>
      <x:c r="H131" s="0" t="s">
        <x:v>21</x:v>
      </x:c>
      <x:c r="I131" s="0" t="s">
        <x:v>21</x:v>
      </x:c>
      <x:c r="K131" s="0">
        <x:f>hyperlink("https://icd.who.int/dev11/l-ichi/en#/http%3A%2F%2Fid.who.int%2Ficd%2Fentity%2F1595818259%2Fichi%2Funspecified","browser")</x:f>
      </x:c>
      <x:c r="L131" s="0">
        <x:f>hyperlink("","iCat")</x:f>
      </x:c>
      <x:c r="M131" s="0" t="s">
        <x:v>21</x:v>
      </x:c>
      <x:c r="N131" s="0" t="s">
        <x:v>46</x:v>
      </x:c>
    </x:row>
    <x:row r="132" spans="1:16">
      <x:c r="A132" s="0" t="s">
        <x:v>515</x:v>
      </x:c>
      <x:c r="B132" s="0" t="s">
        <x:v>516</x:v>
      </x:c>
      <x:c r="E132" s="0" t="s">
        <x:v>517</x:v>
      </x:c>
      <x:c r="F132" s="0" t="s">
        <x:v>26</x:v>
      </x:c>
      <x:c r="G132" s="0" t="s">
        <x:v>35</x:v>
      </x:c>
      <x:c r="H132" s="0" t="s">
        <x:v>20</x:v>
      </x:c>
      <x:c r="I132" s="0" t="s">
        <x:v>21</x:v>
      </x:c>
      <x:c r="K132" s="0">
        <x:f>hyperlink("https://icd.who.int/dev11/l-ichi/en#/http%3A%2F%2Fid.who.int%2Ficd%2Fentity%2F1540886559","browser")</x:f>
      </x:c>
      <x:c r="L132" s="0">
        <x:f>hyperlink("https://icat2.azurewebsites.net/icat/?ontology=ICD&amp;tab=ClassesTab&amp;id=http%3A%2F%2Fwho.int%2Ficd%23673_c1eb5896_b43e_4531_bd82_f72e7a00cdd6","iCat")</x:f>
      </x:c>
      <x:c r="M132" s="0" t="s">
        <x:v>20</x:v>
      </x:c>
      <x:c r="N132" s="0" t="s">
        <x:v>35</x:v>
      </x:c>
    </x:row>
    <x:row r="133" spans="1:16">
      <x:c r="A133" s="0" t="s">
        <x:v>518</x:v>
      </x:c>
      <x:c r="B133" s="0" t="s">
        <x:v>519</x:v>
      </x:c>
      <x:c r="E133" s="0" t="s">
        <x:v>520</x:v>
      </x:c>
      <x:c r="F133" s="0" t="s">
        <x:v>26</x:v>
      </x:c>
      <x:c r="G133" s="0" t="s">
        <x:v>22</x:v>
      </x:c>
      <x:c r="H133" s="0" t="s">
        <x:v>20</x:v>
      </x:c>
      <x:c r="I133" s="0" t="s">
        <x:v>21</x:v>
      </x:c>
      <x:c r="K133" s="0">
        <x:f>hyperlink("https://icd.who.int/dev11/l-ichi/en#/http%3A%2F%2Fid.who.int%2Ficd%2Fentity%2F1881504911","browser")</x:f>
      </x:c>
      <x:c r="L133" s="0">
        <x:f>hyperlink("https://icat2.azurewebsites.net/icat/?ontology=ICD&amp;tab=ClassesTab&amp;id=http%3A%2F%2Fwho.int%2Ficd%23679_c1eb5896_b43e_4531_bd82_f72e7a00cdd6","iCat")</x:f>
      </x:c>
      <x:c r="M133" s="0" t="s">
        <x:v>20</x:v>
      </x:c>
      <x:c r="N133" s="0" t="s">
        <x:v>30</x:v>
      </x:c>
    </x:row>
    <x:row r="134" spans="1:16">
      <x:c r="A134" s="0" t="s">
        <x:v>521</x:v>
      </x:c>
      <x:c r="B134" s="0" t="s">
        <x:v>522</x:v>
      </x:c>
      <x:c r="C134" s="0" t="s">
        <x:v>523</x:v>
      </x:c>
      <x:c r="E134" s="0" t="s">
        <x:v>524</x:v>
      </x:c>
      <x:c r="F134" s="0" t="s">
        <x:v>45</x:v>
      </x:c>
      <x:c r="G134" s="0" t="s">
        <x:v>19</x:v>
      </x:c>
      <x:c r="H134" s="0" t="s">
        <x:v>20</x:v>
      </x:c>
      <x:c r="I134" s="0" t="s">
        <x:v>21</x:v>
      </x:c>
      <x:c r="K134" s="0">
        <x:f>hyperlink("https://icd.who.int/dev11/l-ichi/en#/http%3A%2F%2Fid.who.int%2Ficd%2Fentity%2F2065785379","browser")</x:f>
      </x:c>
      <x:c r="L134" s="0">
        <x:f>hyperlink("https://icat2.azurewebsites.net/icat/?ontology=ICD&amp;tab=ClassesTab&amp;id=http%3A%2F%2Fwho.int%2Ficd%23672_c1eb5896_b43e_4531_bd82_f72e7a00cdd6","iCat")</x:f>
      </x:c>
      <x:c r="M134" s="0" t="s">
        <x:v>21</x:v>
      </x:c>
      <x:c r="N134" s="0" t="s">
        <x:v>46</x:v>
      </x:c>
    </x:row>
    <x:row r="135" spans="1:16">
      <x:c r="A135" s="0" t="s">
        <x:v>525</x:v>
      </x:c>
      <x:c r="B135" s="0" t="s">
        <x:v>526</x:v>
      </x:c>
      <x:c r="C135" s="0" t="s">
        <x:v>527</x:v>
      </x:c>
      <x:c r="E135" s="0" t="s">
        <x:v>528</x:v>
      </x:c>
      <x:c r="F135" s="0" t="s">
        <x:v>45</x:v>
      </x:c>
      <x:c r="G135" s="0" t="s">
        <x:v>19</x:v>
      </x:c>
      <x:c r="H135" s="0" t="s">
        <x:v>20</x:v>
      </x:c>
      <x:c r="I135" s="0" t="s">
        <x:v>21</x:v>
      </x:c>
      <x:c r="K135" s="0">
        <x:f>hyperlink("https://icd.who.int/dev11/l-ichi/en#/http%3A%2F%2Fid.who.int%2Ficd%2Fentity%2F2134590573","browser")</x:f>
      </x:c>
      <x:c r="L135" s="0">
        <x:f>hyperlink("https://icat2.azurewebsites.net/icat/?ontology=ICD&amp;tab=ClassesTab&amp;id=http%3A%2F%2Fwho.int%2Ficd%23688_c1eb5896_b43e_4531_bd82_f72e7a00cdd6","iCat")</x:f>
      </x:c>
      <x:c r="M135" s="0" t="s">
        <x:v>21</x:v>
      </x:c>
      <x:c r="N135" s="0" t="s">
        <x:v>46</x:v>
      </x:c>
    </x:row>
    <x:row r="136" spans="1:16">
      <x:c r="A136" s="0" t="s">
        <x:v>529</x:v>
      </x:c>
      <x:c r="B136" s="0" t="s">
        <x:v>530</x:v>
      </x:c>
      <x:c r="E136" s="0" t="s">
        <x:v>531</x:v>
      </x:c>
      <x:c r="F136" s="0" t="s">
        <x:v>26</x:v>
      </x:c>
      <x:c r="G136" s="0" t="s">
        <x:v>22</x:v>
      </x:c>
      <x:c r="H136" s="0" t="s">
        <x:v>20</x:v>
      </x:c>
      <x:c r="I136" s="0" t="s">
        <x:v>21</x:v>
      </x:c>
      <x:c r="K136" s="0">
        <x:f>hyperlink("https://icd.who.int/dev11/l-ichi/en#/http%3A%2F%2Fid.who.int%2Ficd%2Fentity%2F519753624","browser")</x:f>
      </x:c>
      <x:c r="L136" s="0">
        <x:f>hyperlink("https://icat2.azurewebsites.net/icat/?ontology=ICD&amp;tab=ClassesTab&amp;id=http%3A%2F%2Fwho.int%2Ficd%23693_c1eb5896_b43e_4531_bd82_f72e7a00cdd6","iCat")</x:f>
      </x:c>
      <x:c r="M136" s="0" t="s">
        <x:v>20</x:v>
      </x:c>
      <x:c r="N136" s="0" t="s">
        <x:v>40</x:v>
      </x:c>
    </x:row>
    <x:row r="137" spans="1:16">
      <x:c r="A137" s="0" t="s">
        <x:v>532</x:v>
      </x:c>
      <x:c r="B137" s="0" t="s">
        <x:v>533</x:v>
      </x:c>
      <x:c r="C137" s="0" t="s">
        <x:v>534</x:v>
      </x:c>
      <x:c r="E137" s="0" t="s">
        <x:v>535</x:v>
      </x:c>
      <x:c r="F137" s="0" t="s">
        <x:v>45</x:v>
      </x:c>
      <x:c r="G137" s="0" t="s">
        <x:v>19</x:v>
      </x:c>
      <x:c r="H137" s="0" t="s">
        <x:v>20</x:v>
      </x:c>
      <x:c r="I137" s="0" t="s">
        <x:v>21</x:v>
      </x:c>
      <x:c r="K137" s="0">
        <x:f>hyperlink("https://icd.who.int/dev11/l-ichi/en#/http%3A%2F%2Fid.who.int%2Ficd%2Fentity%2F1040432554","browser")</x:f>
      </x:c>
      <x:c r="L137" s="0">
        <x:f>hyperlink("https://icat2.azurewebsites.net/icat/?ontology=ICD&amp;tab=ClassesTab&amp;id=http%3A%2F%2Fwho.int%2Ficd%23692_c1eb5896_b43e_4531_bd82_f72e7a00cdd6","iCat")</x:f>
      </x:c>
      <x:c r="M137" s="0" t="s">
        <x:v>21</x:v>
      </x:c>
      <x:c r="N137" s="0" t="s">
        <x:v>46</x:v>
      </x:c>
    </x:row>
    <x:row r="138" spans="1:16">
      <x:c r="A138" s="0" t="s">
        <x:v>536</x:v>
      </x:c>
      <x:c r="B138" s="0" t="s">
        <x:v>537</x:v>
      </x:c>
      <x:c r="C138" s="0" t="s">
        <x:v>538</x:v>
      </x:c>
      <x:c r="E138" s="0" t="s">
        <x:v>539</x:v>
      </x:c>
      <x:c r="F138" s="0" t="s">
        <x:v>45</x:v>
      </x:c>
      <x:c r="G138" s="0" t="s">
        <x:v>19</x:v>
      </x:c>
      <x:c r="H138" s="0" t="s">
        <x:v>20</x:v>
      </x:c>
      <x:c r="I138" s="0" t="s">
        <x:v>21</x:v>
      </x:c>
      <x:c r="K138" s="0">
        <x:f>hyperlink("https://icd.who.int/dev11/l-ichi/en#/http%3A%2F%2Fid.who.int%2Ficd%2Fentity%2F1047050150","browser")</x:f>
      </x:c>
      <x:c r="L138" s="0">
        <x:f>hyperlink("https://icat2.azurewebsites.net/icat/?ontology=ICD&amp;tab=ClassesTab&amp;id=http%3A%2F%2Fwho.int%2Ficd%23702_c1eb5896_b43e_4531_bd82_f72e7a00cdd6","iCat")</x:f>
      </x:c>
      <x:c r="M138" s="0" t="s">
        <x:v>21</x:v>
      </x:c>
      <x:c r="N138" s="0" t="s">
        <x:v>46</x:v>
      </x:c>
    </x:row>
    <x:row r="139" spans="1:16">
      <x:c r="A139" s="0" t="s">
        <x:v>540</x:v>
      </x:c>
      <x:c r="B139" s="0" t="s">
        <x:v>541</x:v>
      </x:c>
      <x:c r="C139" s="0" t="s">
        <x:v>542</x:v>
      </x:c>
      <x:c r="E139" s="0" t="s">
        <x:v>543</x:v>
      </x:c>
      <x:c r="F139" s="0" t="s">
        <x:v>45</x:v>
      </x:c>
      <x:c r="G139" s="0" t="s">
        <x:v>19</x:v>
      </x:c>
      <x:c r="H139" s="0" t="s">
        <x:v>20</x:v>
      </x:c>
      <x:c r="I139" s="0" t="s">
        <x:v>21</x:v>
      </x:c>
      <x:c r="K139" s="0">
        <x:f>hyperlink("https://icd.who.int/dev11/l-ichi/en#/http%3A%2F%2Fid.who.int%2Ficd%2Fentity%2F191853520","browser")</x:f>
      </x:c>
      <x:c r="L139" s="0">
        <x:f>hyperlink("https://icat2.azurewebsites.net/icat/?ontology=ICD&amp;tab=ClassesTab&amp;id=http%3A%2F%2Fwho.int%2Ficd%23706_c1eb5896_b43e_4531_bd82_f72e7a00cdd6","iCat")</x:f>
      </x:c>
      <x:c r="M139" s="0" t="s">
        <x:v>21</x:v>
      </x:c>
      <x:c r="N139" s="0" t="s">
        <x:v>46</x:v>
      </x:c>
    </x:row>
    <x:row r="140" spans="1:16">
      <x:c r="A140" s="0" t="s">
        <x:v>544</x:v>
      </x:c>
      <x:c r="B140" s="0" t="s">
        <x:v>545</x:v>
      </x:c>
      <x:c r="C140" s="0" t="s">
        <x:v>546</x:v>
      </x:c>
      <x:c r="E140" s="0" t="s">
        <x:v>547</x:v>
      </x:c>
      <x:c r="F140" s="0" t="s">
        <x:v>45</x:v>
      </x:c>
      <x:c r="G140" s="0" t="s">
        <x:v>19</x:v>
      </x:c>
      <x:c r="H140" s="0" t="s">
        <x:v>20</x:v>
      </x:c>
      <x:c r="I140" s="0" t="s">
        <x:v>21</x:v>
      </x:c>
      <x:c r="K140" s="0">
        <x:f>hyperlink("https://icd.who.int/dev11/l-ichi/en#/http%3A%2F%2Fid.who.int%2Ficd%2Fentity%2F835796792","browser")</x:f>
      </x:c>
      <x:c r="L140" s="0">
        <x:f>hyperlink("https://icat2.azurewebsites.net/icat/?ontology=ICD&amp;tab=ClassesTab&amp;id=http%3A%2F%2Fwho.int%2Ficd%23710_c1eb5896_b43e_4531_bd82_f72e7a00cdd6","iCat")</x:f>
      </x:c>
      <x:c r="M140" s="0" t="s">
        <x:v>21</x:v>
      </x:c>
      <x:c r="N140" s="0" t="s">
        <x:v>46</x:v>
      </x:c>
    </x:row>
    <x:row r="141" spans="1:16">
      <x:c r="A141" s="0" t="s">
        <x:v>548</x:v>
      </x:c>
      <x:c r="B141" s="0" t="s">
        <x:v>549</x:v>
      </x:c>
      <x:c r="C141" s="0" t="s">
        <x:v>550</x:v>
      </x:c>
      <x:c r="E141" s="0" t="s">
        <x:v>551</x:v>
      </x:c>
      <x:c r="F141" s="0" t="s">
        <x:v>45</x:v>
      </x:c>
      <x:c r="G141" s="0" t="s">
        <x:v>19</x:v>
      </x:c>
      <x:c r="H141" s="0" t="s">
        <x:v>20</x:v>
      </x:c>
      <x:c r="I141" s="0" t="s">
        <x:v>21</x:v>
      </x:c>
      <x:c r="K141" s="0">
        <x:f>hyperlink("https://icd.who.int/dev11/l-ichi/en#/http%3A%2F%2Fid.who.int%2Ficd%2Fentity%2F81197890","browser")</x:f>
      </x:c>
      <x:c r="L141" s="0">
        <x:f>hyperlink("https://icat2.azurewebsites.net/icat/?ontology=ICD&amp;tab=ClassesTab&amp;id=http%3A%2F%2Fwho.int%2Ficd%23714_c1eb5896_b43e_4531_bd82_f72e7a00cdd6","iCat")</x:f>
      </x:c>
      <x:c r="M141" s="0" t="s">
        <x:v>21</x:v>
      </x:c>
      <x:c r="N141" s="0" t="s">
        <x:v>46</x:v>
      </x:c>
    </x:row>
    <x:row r="142" spans="1:16">
      <x:c r="A142" s="0" t="s">
        <x:v>552</x:v>
      </x:c>
      <x:c r="B142" s="0" t="s">
        <x:v>553</x:v>
      </x:c>
      <x:c r="E142" s="0" t="s">
        <x:v>554</x:v>
      </x:c>
      <x:c r="F142" s="0" t="s">
        <x:v>26</x:v>
      </x:c>
      <x:c r="G142" s="0" t="s">
        <x:v>22</x:v>
      </x:c>
      <x:c r="H142" s="0" t="s">
        <x:v>20</x:v>
      </x:c>
      <x:c r="I142" s="0" t="s">
        <x:v>21</x:v>
      </x:c>
      <x:c r="K142" s="0">
        <x:f>hyperlink("https://icd.who.int/dev11/l-ichi/en#/http%3A%2F%2Fid.who.int%2Ficd%2Fentity%2F1604926559","browser")</x:f>
      </x:c>
      <x:c r="L142" s="0">
        <x:f>hyperlink("https://icat2.azurewebsites.net/icat/?ontology=ICD&amp;tab=ClassesTab&amp;id=http%3A%2F%2Fwho.int%2Ficd%23719_c1eb5896_b43e_4531_bd82_f72e7a00cdd6","iCat")</x:f>
      </x:c>
      <x:c r="M142" s="0" t="s">
        <x:v>20</x:v>
      </x:c>
      <x:c r="N142" s="0" t="s">
        <x:v>40</x:v>
      </x:c>
    </x:row>
    <x:row r="143" spans="1:16">
      <x:c r="A143" s="0" t="s">
        <x:v>555</x:v>
      </x:c>
      <x:c r="B143" s="0" t="s">
        <x:v>556</x:v>
      </x:c>
      <x:c r="C143" s="0" t="s">
        <x:v>557</x:v>
      </x:c>
      <x:c r="E143" s="0" t="s">
        <x:v>558</x:v>
      </x:c>
      <x:c r="F143" s="0" t="s">
        <x:v>45</x:v>
      </x:c>
      <x:c r="G143" s="0" t="s">
        <x:v>19</x:v>
      </x:c>
      <x:c r="H143" s="0" t="s">
        <x:v>20</x:v>
      </x:c>
      <x:c r="I143" s="0" t="s">
        <x:v>21</x:v>
      </x:c>
      <x:c r="K143" s="0">
        <x:f>hyperlink("https://icd.who.int/dev11/l-ichi/en#/http%3A%2F%2Fid.who.int%2Ficd%2Fentity%2F1071713892","browser")</x:f>
      </x:c>
      <x:c r="L143" s="0">
        <x:f>hyperlink("https://icat2.azurewebsites.net/icat/?ontology=ICD&amp;tab=ClassesTab&amp;id=http%3A%2F%2Fwho.int%2Ficd%23728_c1eb5896_b43e_4531_bd82_f72e7a00cdd6","iCat")</x:f>
      </x:c>
      <x:c r="M143" s="0" t="s">
        <x:v>21</x:v>
      </x:c>
      <x:c r="N143" s="0" t="s">
        <x:v>46</x:v>
      </x:c>
    </x:row>
    <x:row r="144" spans="1:16">
      <x:c r="A144" s="0" t="s">
        <x:v>559</x:v>
      </x:c>
      <x:c r="B144" s="0" t="s">
        <x:v>560</x:v>
      </x:c>
      <x:c r="C144" s="0" t="s">
        <x:v>561</x:v>
      </x:c>
      <x:c r="E144" s="0" t="s">
        <x:v>562</x:v>
      </x:c>
      <x:c r="F144" s="0" t="s">
        <x:v>45</x:v>
      </x:c>
      <x:c r="G144" s="0" t="s">
        <x:v>19</x:v>
      </x:c>
      <x:c r="H144" s="0" t="s">
        <x:v>20</x:v>
      </x:c>
      <x:c r="I144" s="0" t="s">
        <x:v>21</x:v>
      </x:c>
      <x:c r="K144" s="0">
        <x:f>hyperlink("https://icd.who.int/dev11/l-ichi/en#/http%3A%2F%2Fid.who.int%2Ficd%2Fentity%2F2128213923","browser")</x:f>
      </x:c>
      <x:c r="L144" s="0">
        <x:f>hyperlink("https://icat2.azurewebsites.net/icat/?ontology=ICD&amp;tab=ClassesTab&amp;id=http%3A%2F%2Fwho.int%2Ficd%23732_c1eb5896_b43e_4531_bd82_f72e7a00cdd6","iCat")</x:f>
      </x:c>
      <x:c r="M144" s="0" t="s">
        <x:v>21</x:v>
      </x:c>
      <x:c r="N144" s="0" t="s">
        <x:v>46</x:v>
      </x:c>
    </x:row>
    <x:row r="145" spans="1:16">
      <x:c r="A145" s="0" t="s">
        <x:v>563</x:v>
      </x:c>
      <x:c r="B145" s="0" t="s">
        <x:v>564</x:v>
      </x:c>
      <x:c r="C145" s="0" t="s">
        <x:v>565</x:v>
      </x:c>
      <x:c r="E145" s="0" t="s">
        <x:v>566</x:v>
      </x:c>
      <x:c r="F145" s="0" t="s">
        <x:v>45</x:v>
      </x:c>
      <x:c r="G145" s="0" t="s">
        <x:v>19</x:v>
      </x:c>
      <x:c r="H145" s="0" t="s">
        <x:v>20</x:v>
      </x:c>
      <x:c r="I145" s="0" t="s">
        <x:v>21</x:v>
      </x:c>
      <x:c r="K145" s="0">
        <x:f>hyperlink("https://icd.who.int/dev11/l-ichi/en#/http%3A%2F%2Fid.who.int%2Ficd%2Fentity%2F1272853463","browser")</x:f>
      </x:c>
      <x:c r="L145" s="0">
        <x:f>hyperlink("https://icat2.azurewebsites.net/icat/?ontology=ICD&amp;tab=ClassesTab&amp;id=http%3A%2F%2Fwho.int%2Ficd%23736_c1eb5896_b43e_4531_bd82_f72e7a00cdd6","iCat")</x:f>
      </x:c>
      <x:c r="M145" s="0" t="s">
        <x:v>21</x:v>
      </x:c>
      <x:c r="N145" s="0" t="s">
        <x:v>46</x:v>
      </x:c>
    </x:row>
    <x:row r="146" spans="1:16">
      <x:c r="A146" s="0" t="s">
        <x:v>567</x:v>
      </x:c>
      <x:c r="B146" s="0" t="s">
        <x:v>568</x:v>
      </x:c>
      <x:c r="C146" s="0" t="s">
        <x:v>569</x:v>
      </x:c>
      <x:c r="E146" s="0" t="s">
        <x:v>570</x:v>
      </x:c>
      <x:c r="F146" s="0" t="s">
        <x:v>45</x:v>
      </x:c>
      <x:c r="G146" s="0" t="s">
        <x:v>19</x:v>
      </x:c>
      <x:c r="H146" s="0" t="s">
        <x:v>20</x:v>
      </x:c>
      <x:c r="I146" s="0" t="s">
        <x:v>21</x:v>
      </x:c>
      <x:c r="K146" s="0">
        <x:f>hyperlink("https://icd.who.int/dev11/l-ichi/en#/http%3A%2F%2Fid.who.int%2Ficd%2Fentity%2F729020798","browser")</x:f>
      </x:c>
      <x:c r="L146" s="0">
        <x:f>hyperlink("https://icat2.azurewebsites.net/icat/?ontology=ICD&amp;tab=ClassesTab&amp;id=http%3A%2F%2Fwho.int%2Ficd%23740_c1eb5896_b43e_4531_bd82_f72e7a00cdd6","iCat")</x:f>
      </x:c>
      <x:c r="M146" s="0" t="s">
        <x:v>21</x:v>
      </x:c>
      <x:c r="N146" s="0" t="s">
        <x:v>46</x:v>
      </x:c>
    </x:row>
    <x:row r="147" spans="1:16">
      <x:c r="A147" s="0" t="s">
        <x:v>571</x:v>
      </x:c>
      <x:c r="B147" s="0" t="s">
        <x:v>572</x:v>
      </x:c>
      <x:c r="C147" s="0" t="s">
        <x:v>573</x:v>
      </x:c>
      <x:c r="E147" s="0" t="s">
        <x:v>574</x:v>
      </x:c>
      <x:c r="F147" s="0" t="s">
        <x:v>45</x:v>
      </x:c>
      <x:c r="G147" s="0" t="s">
        <x:v>19</x:v>
      </x:c>
      <x:c r="H147" s="0" t="s">
        <x:v>20</x:v>
      </x:c>
      <x:c r="I147" s="0" t="s">
        <x:v>21</x:v>
      </x:c>
      <x:c r="K147" s="0">
        <x:f>hyperlink("https://icd.who.int/dev11/l-ichi/en#/http%3A%2F%2Fid.who.int%2Ficd%2Fentity%2F510934280","browser")</x:f>
      </x:c>
      <x:c r="L147" s="0">
        <x:f>hyperlink("https://icat2.azurewebsites.net/icat/?ontology=ICD&amp;tab=ClassesTab&amp;id=http%3A%2F%2Fwho.int%2Ficd%23744_c1eb5896_b43e_4531_bd82_f72e7a00cdd6","iCat")</x:f>
      </x:c>
      <x:c r="M147" s="0" t="s">
        <x:v>21</x:v>
      </x:c>
      <x:c r="N147" s="0" t="s">
        <x:v>46</x:v>
      </x:c>
    </x:row>
    <x:row r="148" spans="1:16">
      <x:c r="B148" s="0" t="s">
        <x:v>575</x:v>
      </x:c>
      <x:c r="C148" s="0" t="s">
        <x:v>576</x:v>
      </x:c>
      <x:c r="E148" s="0" t="s">
        <x:v>577</x:v>
      </x:c>
      <x:c r="F148" s="0" t="s">
        <x:v>45</x:v>
      </x:c>
      <x:c r="G148" s="0" t="s">
        <x:v>19</x:v>
      </x:c>
      <x:c r="H148" s="0" t="s">
        <x:v>21</x:v>
      </x:c>
      <x:c r="I148" s="0" t="s">
        <x:v>21</x:v>
      </x:c>
      <x:c r="K148" s="0">
        <x:f>hyperlink("https://icd.who.int/dev11/l-ichi/en#/http%3A%2F%2Fid.who.int%2Ficd%2Fentity%2F1540886559%2Fichi%2Fother","browser")</x:f>
      </x:c>
      <x:c r="L148" s="0">
        <x:f>hyperlink("","iCat")</x:f>
      </x:c>
      <x:c r="M148" s="0" t="s">
        <x:v>21</x:v>
      </x:c>
      <x:c r="N148" s="0" t="s">
        <x:v>46</x:v>
      </x:c>
    </x:row>
    <x:row r="149" spans="1:16">
      <x:c r="B149" s="0" t="s">
        <x:v>578</x:v>
      </x:c>
      <x:c r="C149" s="0" t="s">
        <x:v>579</x:v>
      </x:c>
      <x:c r="E149" s="0" t="s">
        <x:v>580</x:v>
      </x:c>
      <x:c r="F149" s="0" t="s">
        <x:v>45</x:v>
      </x:c>
      <x:c r="G149" s="0" t="s">
        <x:v>19</x:v>
      </x:c>
      <x:c r="H149" s="0" t="s">
        <x:v>21</x:v>
      </x:c>
      <x:c r="I149" s="0" t="s">
        <x:v>21</x:v>
      </x:c>
      <x:c r="K149" s="0">
        <x:f>hyperlink("https://icd.who.int/dev11/l-ichi/en#/http%3A%2F%2Fid.who.int%2Ficd%2Fentity%2F1540886559%2Fichi%2Funspecified","browser")</x:f>
      </x:c>
      <x:c r="L149" s="0">
        <x:f>hyperlink("","iCat")</x:f>
      </x:c>
      <x:c r="M149" s="0" t="s">
        <x:v>21</x:v>
      </x:c>
      <x:c r="N149" s="0" t="s">
        <x:v>46</x:v>
      </x:c>
    </x:row>
    <x:row r="150" spans="1:16">
      <x:c r="A150" s="0" t="s">
        <x:v>581</x:v>
      </x:c>
      <x:c r="B150" s="0" t="s">
        <x:v>582</x:v>
      </x:c>
      <x:c r="E150" s="0" t="s">
        <x:v>583</x:v>
      </x:c>
      <x:c r="F150" s="0" t="s">
        <x:v>26</x:v>
      </x:c>
      <x:c r="G150" s="0" t="s">
        <x:v>35</x:v>
      </x:c>
      <x:c r="H150" s="0" t="s">
        <x:v>20</x:v>
      </x:c>
      <x:c r="I150" s="0" t="s">
        <x:v>21</x:v>
      </x:c>
      <x:c r="K150" s="0">
        <x:f>hyperlink("https://icd.who.int/dev11/l-ichi/en#/http%3A%2F%2Fid.who.int%2Ficd%2Fentity%2F802058050","browser")</x:f>
      </x:c>
      <x:c r="L150" s="0">
        <x:f>hyperlink("https://icat2.azurewebsites.net/icat/?ontology=ICD&amp;tab=ClassesTab&amp;id=http%3A%2F%2Fwho.int%2Ficd%23759_c1eb5896_b43e_4531_bd82_f72e7a00cdd6","iCat")</x:f>
      </x:c>
      <x:c r="M150" s="0" t="s">
        <x:v>20</x:v>
      </x:c>
      <x:c r="N150" s="0" t="s">
        <x:v>584</x:v>
      </x:c>
    </x:row>
    <x:row r="151" spans="1:16">
      <x:c r="A151" s="0" t="s">
        <x:v>585</x:v>
      </x:c>
      <x:c r="B151" s="0" t="s">
        <x:v>586</x:v>
      </x:c>
      <x:c r="E151" s="0" t="s">
        <x:v>587</x:v>
      </x:c>
      <x:c r="F151" s="0" t="s">
        <x:v>26</x:v>
      </x:c>
      <x:c r="G151" s="0" t="s">
        <x:v>22</x:v>
      </x:c>
      <x:c r="H151" s="0" t="s">
        <x:v>20</x:v>
      </x:c>
      <x:c r="I151" s="0" t="s">
        <x:v>21</x:v>
      </x:c>
      <x:c r="K151" s="0">
        <x:f>hyperlink("https://icd.who.int/dev11/l-ichi/en#/http%3A%2F%2Fid.who.int%2Ficd%2Fentity%2F351902308","browser")</x:f>
      </x:c>
      <x:c r="L151" s="0">
        <x:f>hyperlink("https://icat2.azurewebsites.net/icat/?ontology=ICD&amp;tab=ClassesTab&amp;id=http%3A%2F%2Fwho.int%2Ficd%23765_c1eb5896_b43e_4531_bd82_f72e7a00cdd6","iCat")</x:f>
      </x:c>
      <x:c r="M151" s="0" t="s">
        <x:v>20</x:v>
      </x:c>
      <x:c r="N151" s="0" t="s">
        <x:v>40</x:v>
      </x:c>
    </x:row>
    <x:row r="152" spans="1:16">
      <x:c r="A152" s="0" t="s">
        <x:v>588</x:v>
      </x:c>
      <x:c r="B152" s="0" t="s">
        <x:v>589</x:v>
      </x:c>
      <x:c r="C152" s="0" t="s">
        <x:v>590</x:v>
      </x:c>
      <x:c r="E152" s="0" t="s">
        <x:v>591</x:v>
      </x:c>
      <x:c r="F152" s="0" t="s">
        <x:v>45</x:v>
      </x:c>
      <x:c r="G152" s="0" t="s">
        <x:v>19</x:v>
      </x:c>
      <x:c r="H152" s="0" t="s">
        <x:v>20</x:v>
      </x:c>
      <x:c r="I152" s="0" t="s">
        <x:v>21</x:v>
      </x:c>
      <x:c r="K152" s="0">
        <x:f>hyperlink("https://icd.who.int/dev11/l-ichi/en#/http%3A%2F%2Fid.who.int%2Ficd%2Fentity%2F255270272","browser")</x:f>
      </x:c>
      <x:c r="L152" s="0">
        <x:f>hyperlink("https://icat2.azurewebsites.net/icat/?ontology=ICD&amp;tab=ClassesTab&amp;id=http%3A%2F%2Fwho.int%2Ficd%23758_c1eb5896_b43e_4531_bd82_f72e7a00cdd6","iCat")</x:f>
      </x:c>
      <x:c r="M152" s="0" t="s">
        <x:v>21</x:v>
      </x:c>
      <x:c r="N152" s="0" t="s">
        <x:v>46</x:v>
      </x:c>
    </x:row>
    <x:row r="153" spans="1:16">
      <x:c r="A153" s="0" t="s">
        <x:v>592</x:v>
      </x:c>
      <x:c r="B153" s="0" t="s">
        <x:v>593</x:v>
      </x:c>
      <x:c r="C153" s="0" t="s">
        <x:v>594</x:v>
      </x:c>
      <x:c r="E153" s="0" t="s">
        <x:v>595</x:v>
      </x:c>
      <x:c r="F153" s="0" t="s">
        <x:v>45</x:v>
      </x:c>
      <x:c r="G153" s="0" t="s">
        <x:v>19</x:v>
      </x:c>
      <x:c r="H153" s="0" t="s">
        <x:v>20</x:v>
      </x:c>
      <x:c r="I153" s="0" t="s">
        <x:v>21</x:v>
      </x:c>
      <x:c r="K153" s="0">
        <x:f>hyperlink("https://icd.who.int/dev11/l-ichi/en#/http%3A%2F%2Fid.who.int%2Ficd%2Fentity%2F1590000911","browser")</x:f>
      </x:c>
      <x:c r="L153" s="0">
        <x:f>hyperlink("https://icat2.azurewebsites.net/icat/?ontology=ICD&amp;tab=ClassesTab&amp;id=http%3A%2F%2Fwho.int%2Ficd%23774_c1eb5896_b43e_4531_bd82_f72e7a00cdd6","iCat")</x:f>
      </x:c>
      <x:c r="M153" s="0" t="s">
        <x:v>21</x:v>
      </x:c>
      <x:c r="N153" s="0" t="s">
        <x:v>46</x:v>
      </x:c>
    </x:row>
    <x:row r="154" spans="1:16">
      <x:c r="A154" s="0" t="s">
        <x:v>596</x:v>
      </x:c>
      <x:c r="B154" s="0" t="s">
        <x:v>597</x:v>
      </x:c>
      <x:c r="C154" s="0" t="s">
        <x:v>598</x:v>
      </x:c>
      <x:c r="E154" s="0" t="s">
        <x:v>599</x:v>
      </x:c>
      <x:c r="F154" s="0" t="s">
        <x:v>45</x:v>
      </x:c>
      <x:c r="G154" s="0" t="s">
        <x:v>19</x:v>
      </x:c>
      <x:c r="H154" s="0" t="s">
        <x:v>20</x:v>
      </x:c>
      <x:c r="I154" s="0" t="s">
        <x:v>21</x:v>
      </x:c>
      <x:c r="K154" s="0">
        <x:f>hyperlink("https://icd.who.int/dev11/l-ichi/en#/http%3A%2F%2Fid.who.int%2Ficd%2Fentity%2F625199150","browser")</x:f>
      </x:c>
      <x:c r="L154" s="0">
        <x:f>hyperlink("https://icat2.azurewebsites.net/icat/?ontology=ICD&amp;tab=ClassesTab&amp;id=http%3A%2F%2Fwho.int%2Ficd%23778_c1eb5896_b43e_4531_bd82_f72e7a00cdd6","iCat")</x:f>
      </x:c>
      <x:c r="M154" s="0" t="s">
        <x:v>21</x:v>
      </x:c>
      <x:c r="N154" s="0" t="s">
        <x:v>46</x:v>
      </x:c>
    </x:row>
    <x:row r="155" spans="1:16">
      <x:c r="A155" s="0" t="s">
        <x:v>600</x:v>
      </x:c>
      <x:c r="B155" s="0" t="s">
        <x:v>601</x:v>
      </x:c>
      <x:c r="C155" s="0" t="s">
        <x:v>602</x:v>
      </x:c>
      <x:c r="E155" s="0" t="s">
        <x:v>603</x:v>
      </x:c>
      <x:c r="F155" s="0" t="s">
        <x:v>45</x:v>
      </x:c>
      <x:c r="G155" s="0" t="s">
        <x:v>19</x:v>
      </x:c>
      <x:c r="H155" s="0" t="s">
        <x:v>20</x:v>
      </x:c>
      <x:c r="I155" s="0" t="s">
        <x:v>21</x:v>
      </x:c>
      <x:c r="K155" s="0">
        <x:f>hyperlink("https://icd.who.int/dev11/l-ichi/en#/http%3A%2F%2Fid.who.int%2Ficd%2Fentity%2F559541856","browser")</x:f>
      </x:c>
      <x:c r="L155" s="0">
        <x:f>hyperlink("https://icat2.azurewebsites.net/icat/?ontology=ICD&amp;tab=ClassesTab&amp;id=http%3A%2F%2Fwho.int%2Ficd%23782_c1eb5896_b43e_4531_bd82_f72e7a00cdd6","iCat")</x:f>
      </x:c>
      <x:c r="M155" s="0" t="s">
        <x:v>21</x:v>
      </x:c>
      <x:c r="N155" s="0" t="s">
        <x:v>46</x:v>
      </x:c>
    </x:row>
    <x:row r="156" spans="1:16">
      <x:c r="A156" s="0" t="s">
        <x:v>604</x:v>
      </x:c>
      <x:c r="B156" s="0" t="s">
        <x:v>605</x:v>
      </x:c>
      <x:c r="C156" s="0" t="s">
        <x:v>606</x:v>
      </x:c>
      <x:c r="E156" s="0" t="s">
        <x:v>607</x:v>
      </x:c>
      <x:c r="F156" s="0" t="s">
        <x:v>45</x:v>
      </x:c>
      <x:c r="G156" s="0" t="s">
        <x:v>19</x:v>
      </x:c>
      <x:c r="H156" s="0" t="s">
        <x:v>20</x:v>
      </x:c>
      <x:c r="I156" s="0" t="s">
        <x:v>21</x:v>
      </x:c>
      <x:c r="K156" s="0">
        <x:f>hyperlink("https://icd.who.int/dev11/l-ichi/en#/http%3A%2F%2Fid.who.int%2Ficd%2Fentity%2F341715478","browser")</x:f>
      </x:c>
      <x:c r="L156" s="0">
        <x:f>hyperlink("https://icat2.azurewebsites.net/icat/?ontology=ICD&amp;tab=ClassesTab&amp;id=http%3A%2F%2Fwho.int%2Ficd%23786_c1eb5896_b43e_4531_bd82_f72e7a00cdd6","iCat")</x:f>
      </x:c>
      <x:c r="M156" s="0" t="s">
        <x:v>21</x:v>
      </x:c>
      <x:c r="N156" s="0" t="s">
        <x:v>46</x:v>
      </x:c>
    </x:row>
    <x:row r="157" spans="1:16">
      <x:c r="A157" s="0" t="s">
        <x:v>608</x:v>
      </x:c>
      <x:c r="B157" s="0" t="s">
        <x:v>609</x:v>
      </x:c>
      <x:c r="E157" s="0" t="s">
        <x:v>610</x:v>
      </x:c>
      <x:c r="F157" s="0" t="s">
        <x:v>26</x:v>
      </x:c>
      <x:c r="G157" s="0" t="s">
        <x:v>22</x:v>
      </x:c>
      <x:c r="H157" s="0" t="s">
        <x:v>20</x:v>
      </x:c>
      <x:c r="I157" s="0" t="s">
        <x:v>21</x:v>
      </x:c>
      <x:c r="K157" s="0">
        <x:f>hyperlink("https://icd.who.int/dev11/l-ichi/en#/http%3A%2F%2Fid.who.int%2Ficd%2Fentity%2F236524752","browser")</x:f>
      </x:c>
      <x:c r="L157" s="0">
        <x:f>hyperlink("https://icat2.azurewebsites.net/icat/?ontology=ICD&amp;tab=ClassesTab&amp;id=http%3A%2F%2Fwho.int%2Ficd%23791_c1eb5896_b43e_4531_bd82_f72e7a00cdd6","iCat")</x:f>
      </x:c>
      <x:c r="M157" s="0" t="s">
        <x:v>20</x:v>
      </x:c>
      <x:c r="N157" s="0" t="s">
        <x:v>40</x:v>
      </x:c>
    </x:row>
    <x:row r="158" spans="1:16">
      <x:c r="A158" s="0" t="s">
        <x:v>611</x:v>
      </x:c>
      <x:c r="B158" s="0" t="s">
        <x:v>612</x:v>
      </x:c>
      <x:c r="C158" s="0" t="s">
        <x:v>613</x:v>
      </x:c>
      <x:c r="E158" s="0" t="s">
        <x:v>614</x:v>
      </x:c>
      <x:c r="F158" s="0" t="s">
        <x:v>45</x:v>
      </x:c>
      <x:c r="G158" s="0" t="s">
        <x:v>19</x:v>
      </x:c>
      <x:c r="H158" s="0" t="s">
        <x:v>20</x:v>
      </x:c>
      <x:c r="I158" s="0" t="s">
        <x:v>21</x:v>
      </x:c>
      <x:c r="K158" s="0">
        <x:f>hyperlink("https://icd.who.int/dev11/l-ichi/en#/http%3A%2F%2Fid.who.int%2Ficd%2Fentity%2F786458354","browser")</x:f>
      </x:c>
      <x:c r="L158" s="0">
        <x:f>hyperlink("https://icat2.azurewebsites.net/icat/?ontology=ICD&amp;tab=ClassesTab&amp;id=http%3A%2F%2Fwho.int%2Ficd%23790_c1eb5896_b43e_4531_bd82_f72e7a00cdd6","iCat")</x:f>
      </x:c>
      <x:c r="M158" s="0" t="s">
        <x:v>21</x:v>
      </x:c>
      <x:c r="N158" s="0" t="s">
        <x:v>46</x:v>
      </x:c>
    </x:row>
    <x:row r="159" spans="1:16">
      <x:c r="A159" s="0" t="s">
        <x:v>615</x:v>
      </x:c>
      <x:c r="B159" s="0" t="s">
        <x:v>616</x:v>
      </x:c>
      <x:c r="C159" s="0" t="s">
        <x:v>617</x:v>
      </x:c>
      <x:c r="E159" s="0" t="s">
        <x:v>618</x:v>
      </x:c>
      <x:c r="F159" s="0" t="s">
        <x:v>45</x:v>
      </x:c>
      <x:c r="G159" s="0" t="s">
        <x:v>19</x:v>
      </x:c>
      <x:c r="H159" s="0" t="s">
        <x:v>20</x:v>
      </x:c>
      <x:c r="I159" s="0" t="s">
        <x:v>21</x:v>
      </x:c>
      <x:c r="K159" s="0">
        <x:f>hyperlink("https://icd.who.int/dev11/l-ichi/en#/http%3A%2F%2Fid.who.int%2Ficd%2Fentity%2F760822375","browser")</x:f>
      </x:c>
      <x:c r="L159" s="0">
        <x:f>hyperlink("https://icat2.azurewebsites.net/icat/?ontology=ICD&amp;tab=ClassesTab&amp;id=http%3A%2F%2Fwho.int%2Ficd%23800_c1eb5896_b43e_4531_bd82_f72e7a00cdd6","iCat")</x:f>
      </x:c>
      <x:c r="M159" s="0" t="s">
        <x:v>21</x:v>
      </x:c>
      <x:c r="N159" s="0" t="s">
        <x:v>46</x:v>
      </x:c>
    </x:row>
    <x:row r="160" spans="1:16">
      <x:c r="A160" s="0" t="s">
        <x:v>619</x:v>
      </x:c>
      <x:c r="B160" s="0" t="s">
        <x:v>620</x:v>
      </x:c>
      <x:c r="C160" s="0" t="s">
        <x:v>621</x:v>
      </x:c>
      <x:c r="E160" s="0" t="s">
        <x:v>622</x:v>
      </x:c>
      <x:c r="F160" s="0" t="s">
        <x:v>45</x:v>
      </x:c>
      <x:c r="G160" s="0" t="s">
        <x:v>19</x:v>
      </x:c>
      <x:c r="H160" s="0" t="s">
        <x:v>20</x:v>
      </x:c>
      <x:c r="I160" s="0" t="s">
        <x:v>21</x:v>
      </x:c>
      <x:c r="K160" s="0">
        <x:f>hyperlink("https://icd.who.int/dev11/l-ichi/en#/http%3A%2F%2Fid.who.int%2Ficd%2Fentity%2F408878611","browser")</x:f>
      </x:c>
      <x:c r="L160" s="0">
        <x:f>hyperlink("https://icat2.azurewebsites.net/icat/?ontology=ICD&amp;tab=ClassesTab&amp;id=http%3A%2F%2Fwho.int%2Ficd%23804_c1eb5896_b43e_4531_bd82_f72e7a00cdd6","iCat")</x:f>
      </x:c>
      <x:c r="M160" s="0" t="s">
        <x:v>21</x:v>
      </x:c>
      <x:c r="N160" s="0" t="s">
        <x:v>46</x:v>
      </x:c>
    </x:row>
    <x:row r="161" spans="1:16">
      <x:c r="A161" s="0" t="s">
        <x:v>623</x:v>
      </x:c>
      <x:c r="B161" s="0" t="s">
        <x:v>624</x:v>
      </x:c>
      <x:c r="C161" s="0" t="s">
        <x:v>625</x:v>
      </x:c>
      <x:c r="E161" s="0" t="s">
        <x:v>626</x:v>
      </x:c>
      <x:c r="F161" s="0" t="s">
        <x:v>45</x:v>
      </x:c>
      <x:c r="G161" s="0" t="s">
        <x:v>19</x:v>
      </x:c>
      <x:c r="H161" s="0" t="s">
        <x:v>20</x:v>
      </x:c>
      <x:c r="I161" s="0" t="s">
        <x:v>21</x:v>
      </x:c>
      <x:c r="K161" s="0">
        <x:f>hyperlink("https://icd.who.int/dev11/l-ichi/en#/http%3A%2F%2Fid.who.int%2Ficd%2Fentity%2F1675119410","browser")</x:f>
      </x:c>
      <x:c r="L161" s="0">
        <x:f>hyperlink("https://icat2.azurewebsites.net/icat/?ontology=ICD&amp;tab=ClassesTab&amp;id=http%3A%2F%2Fwho.int%2Ficd%23808_c1eb5896_b43e_4531_bd82_f72e7a00cdd6","iCat")</x:f>
      </x:c>
      <x:c r="M161" s="0" t="s">
        <x:v>21</x:v>
      </x:c>
      <x:c r="N161" s="0" t="s">
        <x:v>46</x:v>
      </x:c>
    </x:row>
    <x:row r="162" spans="1:16">
      <x:c r="A162" s="0" t="s">
        <x:v>627</x:v>
      </x:c>
      <x:c r="B162" s="0" t="s">
        <x:v>628</x:v>
      </x:c>
      <x:c r="C162" s="0" t="s">
        <x:v>629</x:v>
      </x:c>
      <x:c r="E162" s="0" t="s">
        <x:v>630</x:v>
      </x:c>
      <x:c r="F162" s="0" t="s">
        <x:v>45</x:v>
      </x:c>
      <x:c r="G162" s="0" t="s">
        <x:v>19</x:v>
      </x:c>
      <x:c r="H162" s="0" t="s">
        <x:v>20</x:v>
      </x:c>
      <x:c r="I162" s="0" t="s">
        <x:v>21</x:v>
      </x:c>
      <x:c r="K162" s="0">
        <x:f>hyperlink("https://icd.who.int/dev11/l-ichi/en#/http%3A%2F%2Fid.who.int%2Ficd%2Fentity%2F585151221","browser")</x:f>
      </x:c>
      <x:c r="L162" s="0">
        <x:f>hyperlink("https://icat2.azurewebsites.net/icat/?ontology=ICD&amp;tab=ClassesTab&amp;id=http%3A%2F%2Fwho.int%2Ficd%23812_c1eb5896_b43e_4531_bd82_f72e7a00cdd6","iCat")</x:f>
      </x:c>
      <x:c r="M162" s="0" t="s">
        <x:v>21</x:v>
      </x:c>
      <x:c r="N162" s="0" t="s">
        <x:v>46</x:v>
      </x:c>
    </x:row>
    <x:row r="163" spans="1:16">
      <x:c r="A163" s="0" t="s">
        <x:v>631</x:v>
      </x:c>
      <x:c r="B163" s="0" t="s">
        <x:v>632</x:v>
      </x:c>
      <x:c r="E163" s="0" t="s">
        <x:v>633</x:v>
      </x:c>
      <x:c r="F163" s="0" t="s">
        <x:v>26</x:v>
      </x:c>
      <x:c r="G163" s="0" t="s">
        <x:v>22</x:v>
      </x:c>
      <x:c r="H163" s="0" t="s">
        <x:v>20</x:v>
      </x:c>
      <x:c r="I163" s="0" t="s">
        <x:v>21</x:v>
      </x:c>
      <x:c r="K163" s="0">
        <x:f>hyperlink("https://icd.who.int/dev11/l-ichi/en#/http%3A%2F%2Fid.who.int%2Ficd%2Fentity%2F924714173","browser")</x:f>
      </x:c>
      <x:c r="L163" s="0">
        <x:f>hyperlink("https://icat2.azurewebsites.net/icat/?ontology=ICD&amp;tab=ClassesTab&amp;id=http%3A%2F%2Fwho.int%2Ficd%23817_c1eb5896_b43e_4531_bd82_f72e7a00cdd6","iCat")</x:f>
      </x:c>
      <x:c r="M163" s="0" t="s">
        <x:v>20</x:v>
      </x:c>
      <x:c r="N163" s="0" t="s">
        <x:v>206</x:v>
      </x:c>
    </x:row>
    <x:row r="164" spans="1:16">
      <x:c r="A164" s="0" t="s">
        <x:v>634</x:v>
      </x:c>
      <x:c r="B164" s="0" t="s">
        <x:v>635</x:v>
      </x:c>
      <x:c r="C164" s="0" t="s">
        <x:v>636</x:v>
      </x:c>
      <x:c r="E164" s="0" t="s">
        <x:v>637</x:v>
      </x:c>
      <x:c r="F164" s="0" t="s">
        <x:v>45</x:v>
      </x:c>
      <x:c r="G164" s="0" t="s">
        <x:v>19</x:v>
      </x:c>
      <x:c r="H164" s="0" t="s">
        <x:v>20</x:v>
      </x:c>
      <x:c r="I164" s="0" t="s">
        <x:v>21</x:v>
      </x:c>
      <x:c r="K164" s="0">
        <x:f>hyperlink("https://icd.who.int/dev11/l-ichi/en#/http%3A%2F%2Fid.who.int%2Ficd%2Fentity%2F401045121","browser")</x:f>
      </x:c>
      <x:c r="L164" s="0">
        <x:f>hyperlink("https://icat2.azurewebsites.net/icat/?ontology=ICD&amp;tab=ClassesTab&amp;id=http%3A%2F%2Fwho.int%2Ficd%23816_c1eb5896_b43e_4531_bd82_f72e7a00cdd6","iCat")</x:f>
      </x:c>
      <x:c r="M164" s="0" t="s">
        <x:v>21</x:v>
      </x:c>
      <x:c r="N164" s="0" t="s">
        <x:v>46</x:v>
      </x:c>
    </x:row>
    <x:row r="165" spans="1:16">
      <x:c r="A165" s="0" t="s">
        <x:v>638</x:v>
      </x:c>
      <x:c r="B165" s="0" t="s">
        <x:v>639</x:v>
      </x:c>
      <x:c r="C165" s="0" t="s">
        <x:v>640</x:v>
      </x:c>
      <x:c r="E165" s="0" t="s">
        <x:v>641</x:v>
      </x:c>
      <x:c r="F165" s="0" t="s">
        <x:v>45</x:v>
      </x:c>
      <x:c r="G165" s="0" t="s">
        <x:v>19</x:v>
      </x:c>
      <x:c r="H165" s="0" t="s">
        <x:v>20</x:v>
      </x:c>
      <x:c r="I165" s="0" t="s">
        <x:v>21</x:v>
      </x:c>
      <x:c r="K165" s="0">
        <x:f>hyperlink("https://icd.who.int/dev11/l-ichi/en#/http%3A%2F%2Fid.who.int%2Ficd%2Fentity%2F1236049508","browser")</x:f>
      </x:c>
      <x:c r="L165" s="0">
        <x:f>hyperlink("https://icat2.azurewebsites.net/icat/?ontology=ICD&amp;tab=ClassesTab&amp;id=http%3A%2F%2Fwho.int%2Ficd%23828_c1eb5896_b43e_4531_bd82_f72e7a00cdd6","iCat")</x:f>
      </x:c>
      <x:c r="M165" s="0" t="s">
        <x:v>21</x:v>
      </x:c>
      <x:c r="N165" s="0" t="s">
        <x:v>46</x:v>
      </x:c>
    </x:row>
    <x:row r="166" spans="1:16">
      <x:c r="A166" s="0" t="s">
        <x:v>642</x:v>
      </x:c>
      <x:c r="B166" s="0" t="s">
        <x:v>643</x:v>
      </x:c>
      <x:c r="C166" s="0" t="s">
        <x:v>644</x:v>
      </x:c>
      <x:c r="E166" s="0" t="s">
        <x:v>645</x:v>
      </x:c>
      <x:c r="F166" s="0" t="s">
        <x:v>45</x:v>
      </x:c>
      <x:c r="G166" s="0" t="s">
        <x:v>19</x:v>
      </x:c>
      <x:c r="H166" s="0" t="s">
        <x:v>20</x:v>
      </x:c>
      <x:c r="I166" s="0" t="s">
        <x:v>21</x:v>
      </x:c>
      <x:c r="K166" s="0">
        <x:f>hyperlink("https://icd.who.int/dev11/l-ichi/en#/http%3A%2F%2Fid.who.int%2Ficd%2Fentity%2F678237593","browser")</x:f>
      </x:c>
      <x:c r="L166" s="0">
        <x:f>hyperlink("https://icat2.azurewebsites.net/icat/?ontology=ICD&amp;tab=ClassesTab&amp;id=http%3A%2F%2Fwho.int%2Ficd%23833_c1eb5896_b43e_4531_bd82_f72e7a00cdd6","iCat")</x:f>
      </x:c>
      <x:c r="M166" s="0" t="s">
        <x:v>21</x:v>
      </x:c>
      <x:c r="N166" s="0" t="s">
        <x:v>46</x:v>
      </x:c>
    </x:row>
    <x:row r="167" spans="1:16">
      <x:c r="A167" s="0" t="s">
        <x:v>646</x:v>
      </x:c>
      <x:c r="B167" s="0" t="s">
        <x:v>647</x:v>
      </x:c>
      <x:c r="C167" s="0" t="s">
        <x:v>648</x:v>
      </x:c>
      <x:c r="E167" s="0" t="s">
        <x:v>649</x:v>
      </x:c>
      <x:c r="F167" s="0" t="s">
        <x:v>45</x:v>
      </x:c>
      <x:c r="G167" s="0" t="s">
        <x:v>19</x:v>
      </x:c>
      <x:c r="H167" s="0" t="s">
        <x:v>20</x:v>
      </x:c>
      <x:c r="I167" s="0" t="s">
        <x:v>21</x:v>
      </x:c>
      <x:c r="K167" s="0">
        <x:f>hyperlink("https://icd.who.int/dev11/l-ichi/en#/http%3A%2F%2Fid.who.int%2Ficd%2Fentity%2F59799817","browser")</x:f>
      </x:c>
      <x:c r="L167" s="0">
        <x:f>hyperlink("https://icat2.azurewebsites.net/icat/?ontology=ICD&amp;tab=ClassesTab&amp;id=http%3A%2F%2Fwho.int%2Ficd%23839_c1eb5896_b43e_4531_bd82_f72e7a00cdd6","iCat")</x:f>
      </x:c>
      <x:c r="M167" s="0" t="s">
        <x:v>21</x:v>
      </x:c>
      <x:c r="N167" s="0" t="s">
        <x:v>46</x:v>
      </x:c>
    </x:row>
    <x:row r="168" spans="1:16">
      <x:c r="A168" s="0" t="s">
        <x:v>650</x:v>
      </x:c>
      <x:c r="B168" s="0" t="s">
        <x:v>651</x:v>
      </x:c>
      <x:c r="C168" s="0" t="s">
        <x:v>652</x:v>
      </x:c>
      <x:c r="E168" s="0" t="s">
        <x:v>653</x:v>
      </x:c>
      <x:c r="F168" s="0" t="s">
        <x:v>45</x:v>
      </x:c>
      <x:c r="G168" s="0" t="s">
        <x:v>19</x:v>
      </x:c>
      <x:c r="H168" s="0" t="s">
        <x:v>20</x:v>
      </x:c>
      <x:c r="I168" s="0" t="s">
        <x:v>21</x:v>
      </x:c>
      <x:c r="K168" s="0">
        <x:f>hyperlink("https://icd.who.int/dev11/l-ichi/en#/http%3A%2F%2Fid.who.int%2Ficd%2Fentity%2F1850829920","browser")</x:f>
      </x:c>
      <x:c r="L168" s="0">
        <x:f>hyperlink("https://icat2.azurewebsites.net/icat/?ontology=ICD&amp;tab=ClassesTab&amp;id=http%3A%2F%2Fwho.int%2Ficd%239700_4869915e_217e_423d_acb3_33c0f920ef4b","iCat")</x:f>
      </x:c>
      <x:c r="M168" s="0" t="s">
        <x:v>21</x:v>
      </x:c>
      <x:c r="N168" s="0" t="s">
        <x:v>46</x:v>
      </x:c>
    </x:row>
    <x:row r="169" spans="1:16">
      <x:c r="A169" s="0" t="s">
        <x:v>654</x:v>
      </x:c>
      <x:c r="B169" s="0" t="s">
        <x:v>655</x:v>
      </x:c>
      <x:c r="C169" s="0" t="s">
        <x:v>656</x:v>
      </x:c>
      <x:c r="E169" s="0" t="s">
        <x:v>657</x:v>
      </x:c>
      <x:c r="F169" s="0" t="s">
        <x:v>45</x:v>
      </x:c>
      <x:c r="G169" s="0" t="s">
        <x:v>19</x:v>
      </x:c>
      <x:c r="H169" s="0" t="s">
        <x:v>20</x:v>
      </x:c>
      <x:c r="I169" s="0" t="s">
        <x:v>21</x:v>
      </x:c>
      <x:c r="K169" s="0">
        <x:f>hyperlink("https://icd.who.int/dev11/l-ichi/en#/http%3A%2F%2Fid.who.int%2Ficd%2Fentity%2F1748610320","browser")</x:f>
      </x:c>
      <x:c r="L169" s="0">
        <x:f>hyperlink("https://icat2.azurewebsites.net/icat/?ontology=ICD&amp;tab=ClassesTab&amp;id=http%3A%2F%2Fwho.int%2Ficd%23844_c1eb5896_b43e_4531_bd82_f72e7a00cdd6","iCat")</x:f>
      </x:c>
      <x:c r="M169" s="0" t="s">
        <x:v>21</x:v>
      </x:c>
      <x:c r="N169" s="0" t="s">
        <x:v>46</x:v>
      </x:c>
    </x:row>
    <x:row r="170" spans="1:16">
      <x:c r="A170" s="0" t="s">
        <x:v>658</x:v>
      </x:c>
      <x:c r="B170" s="0" t="s">
        <x:v>659</x:v>
      </x:c>
      <x:c r="E170" s="0" t="s">
        <x:v>660</x:v>
      </x:c>
      <x:c r="F170" s="0" t="s">
        <x:v>26</x:v>
      </x:c>
      <x:c r="G170" s="0" t="s">
        <x:v>22</x:v>
      </x:c>
      <x:c r="H170" s="0" t="s">
        <x:v>20</x:v>
      </x:c>
      <x:c r="I170" s="0" t="s">
        <x:v>21</x:v>
      </x:c>
      <x:c r="K170" s="0">
        <x:f>hyperlink("https://icd.who.int/dev11/l-ichi/en#/http%3A%2F%2Fid.who.int%2Ficd%2Fentity%2F860252691","browser")</x:f>
      </x:c>
      <x:c r="L170" s="0">
        <x:f>hyperlink("https://icat2.azurewebsites.net/icat/?ontology=ICD&amp;tab=ClassesTab&amp;id=http%3A%2F%2Fwho.int%2Ficd%23849_c1eb5896_b43e_4531_bd82_f72e7a00cdd6","iCat")</x:f>
      </x:c>
      <x:c r="M170" s="0" t="s">
        <x:v>20</x:v>
      </x:c>
      <x:c r="N170" s="0" t="s">
        <x:v>40</x:v>
      </x:c>
    </x:row>
    <x:row r="171" spans="1:16">
      <x:c r="A171" s="0" t="s">
        <x:v>661</x:v>
      </x:c>
      <x:c r="B171" s="0" t="s">
        <x:v>662</x:v>
      </x:c>
      <x:c r="C171" s="0" t="s">
        <x:v>663</x:v>
      </x:c>
      <x:c r="E171" s="0" t="s">
        <x:v>664</x:v>
      </x:c>
      <x:c r="F171" s="0" t="s">
        <x:v>45</x:v>
      </x:c>
      <x:c r="G171" s="0" t="s">
        <x:v>19</x:v>
      </x:c>
      <x:c r="H171" s="0" t="s">
        <x:v>20</x:v>
      </x:c>
      <x:c r="I171" s="0" t="s">
        <x:v>21</x:v>
      </x:c>
      <x:c r="K171" s="0">
        <x:f>hyperlink("https://icd.who.int/dev11/l-ichi/en#/http%3A%2F%2Fid.who.int%2Ficd%2Fentity%2F331290671","browser")</x:f>
      </x:c>
      <x:c r="L171" s="0">
        <x:f>hyperlink("https://icat2.azurewebsites.net/icat/?ontology=ICD&amp;tab=ClassesTab&amp;id=http%3A%2F%2Fwho.int%2Ficd%23848_c1eb5896_b43e_4531_bd82_f72e7a00cdd6","iCat")</x:f>
      </x:c>
      <x:c r="M171" s="0" t="s">
        <x:v>21</x:v>
      </x:c>
      <x:c r="N171" s="0" t="s">
        <x:v>46</x:v>
      </x:c>
    </x:row>
    <x:row r="172" spans="1:16">
      <x:c r="A172" s="0" t="s">
        <x:v>665</x:v>
      </x:c>
      <x:c r="B172" s="0" t="s">
        <x:v>666</x:v>
      </x:c>
      <x:c r="C172" s="0" t="s">
        <x:v>667</x:v>
      </x:c>
      <x:c r="E172" s="0" t="s">
        <x:v>668</x:v>
      </x:c>
      <x:c r="F172" s="0" t="s">
        <x:v>45</x:v>
      </x:c>
      <x:c r="G172" s="0" t="s">
        <x:v>19</x:v>
      </x:c>
      <x:c r="H172" s="0" t="s">
        <x:v>20</x:v>
      </x:c>
      <x:c r="I172" s="0" t="s">
        <x:v>21</x:v>
      </x:c>
      <x:c r="K172" s="0">
        <x:f>hyperlink("https://icd.who.int/dev11/l-ichi/en#/http%3A%2F%2Fid.who.int%2Ficd%2Fentity%2F2038074744","browser")</x:f>
      </x:c>
      <x:c r="L172" s="0">
        <x:f>hyperlink("https://icat2.azurewebsites.net/icat/?ontology=ICD&amp;tab=ClassesTab&amp;id=http%3A%2F%2Fwho.int%2Ficd%23858_c1eb5896_b43e_4531_bd82_f72e7a00cdd6","iCat")</x:f>
      </x:c>
      <x:c r="M172" s="0" t="s">
        <x:v>21</x:v>
      </x:c>
      <x:c r="N172" s="0" t="s">
        <x:v>46</x:v>
      </x:c>
    </x:row>
    <x:row r="173" spans="1:16">
      <x:c r="A173" s="0" t="s">
        <x:v>669</x:v>
      </x:c>
      <x:c r="B173" s="0" t="s">
        <x:v>670</x:v>
      </x:c>
      <x:c r="C173" s="0" t="s">
        <x:v>671</x:v>
      </x:c>
      <x:c r="E173" s="0" t="s">
        <x:v>672</x:v>
      </x:c>
      <x:c r="F173" s="0" t="s">
        <x:v>45</x:v>
      </x:c>
      <x:c r="G173" s="0" t="s">
        <x:v>19</x:v>
      </x:c>
      <x:c r="H173" s="0" t="s">
        <x:v>20</x:v>
      </x:c>
      <x:c r="I173" s="0" t="s">
        <x:v>21</x:v>
      </x:c>
      <x:c r="K173" s="0">
        <x:f>hyperlink("https://icd.who.int/dev11/l-ichi/en#/http%3A%2F%2Fid.who.int%2Ficd%2Fentity%2F305570287","browser")</x:f>
      </x:c>
      <x:c r="L173" s="0">
        <x:f>hyperlink("https://icat2.azurewebsites.net/icat/?ontology=ICD&amp;tab=ClassesTab&amp;id=http%3A%2F%2Fwho.int%2Ficd%23862_c1eb5896_b43e_4531_bd82_f72e7a00cdd6","iCat")</x:f>
      </x:c>
      <x:c r="M173" s="0" t="s">
        <x:v>21</x:v>
      </x:c>
      <x:c r="N173" s="0" t="s">
        <x:v>46</x:v>
      </x:c>
    </x:row>
    <x:row r="174" spans="1:16">
      <x:c r="A174" s="0" t="s">
        <x:v>673</x:v>
      </x:c>
      <x:c r="B174" s="0" t="s">
        <x:v>674</x:v>
      </x:c>
      <x:c r="C174" s="0" t="s">
        <x:v>675</x:v>
      </x:c>
      <x:c r="E174" s="0" t="s">
        <x:v>676</x:v>
      </x:c>
      <x:c r="F174" s="0" t="s">
        <x:v>45</x:v>
      </x:c>
      <x:c r="G174" s="0" t="s">
        <x:v>19</x:v>
      </x:c>
      <x:c r="H174" s="0" t="s">
        <x:v>20</x:v>
      </x:c>
      <x:c r="I174" s="0" t="s">
        <x:v>21</x:v>
      </x:c>
      <x:c r="K174" s="0">
        <x:f>hyperlink("https://icd.who.int/dev11/l-ichi/en#/http%3A%2F%2Fid.who.int%2Ficd%2Fentity%2F657548699","browser")</x:f>
      </x:c>
      <x:c r="L174" s="0">
        <x:f>hyperlink("https://icat2.azurewebsites.net/icat/?ontology=ICD&amp;tab=ClassesTab&amp;id=http%3A%2F%2Fwho.int%2Ficd%23866_c1eb5896_b43e_4531_bd82_f72e7a00cdd6","iCat")</x:f>
      </x:c>
      <x:c r="M174" s="0" t="s">
        <x:v>21</x:v>
      </x:c>
      <x:c r="N174" s="0" t="s">
        <x:v>46</x:v>
      </x:c>
    </x:row>
    <x:row r="175" spans="1:16">
      <x:c r="A175" s="0" t="s">
        <x:v>677</x:v>
      </x:c>
      <x:c r="B175" s="0" t="s">
        <x:v>678</x:v>
      </x:c>
      <x:c r="C175" s="0" t="s">
        <x:v>679</x:v>
      </x:c>
      <x:c r="E175" s="0" t="s">
        <x:v>680</x:v>
      </x:c>
      <x:c r="F175" s="0" t="s">
        <x:v>45</x:v>
      </x:c>
      <x:c r="G175" s="0" t="s">
        <x:v>19</x:v>
      </x:c>
      <x:c r="H175" s="0" t="s">
        <x:v>20</x:v>
      </x:c>
      <x:c r="I175" s="0" t="s">
        <x:v>21</x:v>
      </x:c>
      <x:c r="K175" s="0">
        <x:f>hyperlink("https://icd.who.int/dev11/l-ichi/en#/http%3A%2F%2Fid.who.int%2Ficd%2Fentity%2F495921533","browser")</x:f>
      </x:c>
      <x:c r="L175" s="0">
        <x:f>hyperlink("https://icat2.azurewebsites.net/icat/?ontology=ICD&amp;tab=ClassesTab&amp;id=http%3A%2F%2Fwho.int%2Ficd%23870_c1eb5896_b43e_4531_bd82_f72e7a00cdd6","iCat")</x:f>
      </x:c>
      <x:c r="M175" s="0" t="s">
        <x:v>21</x:v>
      </x:c>
      <x:c r="N175" s="0" t="s">
        <x:v>46</x:v>
      </x:c>
    </x:row>
    <x:row r="176" spans="1:16">
      <x:c r="A176" s="0" t="s">
        <x:v>681</x:v>
      </x:c>
      <x:c r="B176" s="0" t="s">
        <x:v>682</x:v>
      </x:c>
      <x:c r="E176" s="0" t="s">
        <x:v>683</x:v>
      </x:c>
      <x:c r="F176" s="0" t="s">
        <x:v>26</x:v>
      </x:c>
      <x:c r="G176" s="0" t="s">
        <x:v>22</x:v>
      </x:c>
      <x:c r="H176" s="0" t="s">
        <x:v>20</x:v>
      </x:c>
      <x:c r="I176" s="0" t="s">
        <x:v>21</x:v>
      </x:c>
      <x:c r="K176" s="0">
        <x:f>hyperlink("https://icd.who.int/dev11/l-ichi/en#/http%3A%2F%2Fid.who.int%2Ficd%2Fentity%2F141664053","browser")</x:f>
      </x:c>
      <x:c r="L176" s="0">
        <x:f>hyperlink("https://icat2.azurewebsites.net/icat/?ontology=ICD&amp;tab=ClassesTab&amp;id=http%3A%2F%2Fwho.int%2Ficd%23875_c1eb5896_b43e_4531_bd82_f72e7a00cdd6","iCat")</x:f>
      </x:c>
      <x:c r="M176" s="0" t="s">
        <x:v>20</x:v>
      </x:c>
      <x:c r="N176" s="0" t="s">
        <x:v>684</x:v>
      </x:c>
    </x:row>
    <x:row r="177" spans="1:16">
      <x:c r="A177" s="0" t="s">
        <x:v>685</x:v>
      </x:c>
      <x:c r="B177" s="0" t="s">
        <x:v>686</x:v>
      </x:c>
      <x:c r="C177" s="0" t="s">
        <x:v>687</x:v>
      </x:c>
      <x:c r="E177" s="0" t="s">
        <x:v>688</x:v>
      </x:c>
      <x:c r="F177" s="0" t="s">
        <x:v>45</x:v>
      </x:c>
      <x:c r="G177" s="0" t="s">
        <x:v>19</x:v>
      </x:c>
      <x:c r="H177" s="0" t="s">
        <x:v>20</x:v>
      </x:c>
      <x:c r="I177" s="0" t="s">
        <x:v>21</x:v>
      </x:c>
      <x:c r="K177" s="0">
        <x:f>hyperlink("https://icd.who.int/dev11/l-ichi/en#/http%3A%2F%2Fid.who.int%2Ficd%2Fentity%2F680062217","browser")</x:f>
      </x:c>
      <x:c r="L177" s="0">
        <x:f>hyperlink("https://icat2.azurewebsites.net/icat/?ontology=ICD&amp;tab=ClassesTab&amp;id=http%3A%2F%2Fwho.int%2Ficd%23874_c1eb5896_b43e_4531_bd82_f72e7a00cdd6","iCat")</x:f>
      </x:c>
      <x:c r="M177" s="0" t="s">
        <x:v>21</x:v>
      </x:c>
      <x:c r="N177" s="0" t="s">
        <x:v>46</x:v>
      </x:c>
    </x:row>
    <x:row r="178" spans="1:16">
      <x:c r="A178" s="0" t="s">
        <x:v>689</x:v>
      </x:c>
      <x:c r="B178" s="0" t="s">
        <x:v>690</x:v>
      </x:c>
      <x:c r="C178" s="0" t="s">
        <x:v>691</x:v>
      </x:c>
      <x:c r="E178" s="0" t="s">
        <x:v>692</x:v>
      </x:c>
      <x:c r="F178" s="0" t="s">
        <x:v>45</x:v>
      </x:c>
      <x:c r="G178" s="0" t="s">
        <x:v>19</x:v>
      </x:c>
      <x:c r="H178" s="0" t="s">
        <x:v>20</x:v>
      </x:c>
      <x:c r="I178" s="0" t="s">
        <x:v>21</x:v>
      </x:c>
      <x:c r="K178" s="0">
        <x:f>hyperlink("https://icd.who.int/dev11/l-ichi/en#/http%3A%2F%2Fid.who.int%2Ficd%2Fentity%2F664196587","browser")</x:f>
      </x:c>
      <x:c r="L178" s="0">
        <x:f>hyperlink("https://icat2.azurewebsites.net/icat/?ontology=ICD&amp;tab=ClassesTab&amp;id=http%3A%2F%2Fwho.int%2Ficd%23885_c1eb5896_b43e_4531_bd82_f72e7a00cdd6","iCat")</x:f>
      </x:c>
      <x:c r="M178" s="0" t="s">
        <x:v>21</x:v>
      </x:c>
      <x:c r="N178" s="0" t="s">
        <x:v>46</x:v>
      </x:c>
    </x:row>
    <x:row r="179" spans="1:16">
      <x:c r="A179" s="0" t="s">
        <x:v>693</x:v>
      </x:c>
      <x:c r="B179" s="0" t="s">
        <x:v>694</x:v>
      </x:c>
      <x:c r="C179" s="0" t="s">
        <x:v>695</x:v>
      </x:c>
      <x:c r="E179" s="0" t="s">
        <x:v>696</x:v>
      </x:c>
      <x:c r="F179" s="0" t="s">
        <x:v>45</x:v>
      </x:c>
      <x:c r="G179" s="0" t="s">
        <x:v>19</x:v>
      </x:c>
      <x:c r="H179" s="0" t="s">
        <x:v>20</x:v>
      </x:c>
      <x:c r="I179" s="0" t="s">
        <x:v>21</x:v>
      </x:c>
      <x:c r="K179" s="0">
        <x:f>hyperlink("https://icd.who.int/dev11/l-ichi/en#/http%3A%2F%2Fid.who.int%2Ficd%2Fentity%2F1487795958","browser")</x:f>
      </x:c>
      <x:c r="L179" s="0">
        <x:f>hyperlink("https://icat2.azurewebsites.net/icat/?ontology=ICD&amp;tab=ClassesTab&amp;id=http%3A%2F%2Fwho.int%2Ficd%23890_c1eb5896_b43e_4531_bd82_f72e7a00cdd6","iCat")</x:f>
      </x:c>
      <x:c r="M179" s="0" t="s">
        <x:v>21</x:v>
      </x:c>
      <x:c r="N179" s="0" t="s">
        <x:v>46</x:v>
      </x:c>
    </x:row>
    <x:row r="180" spans="1:16">
      <x:c r="A180" s="0" t="s">
        <x:v>697</x:v>
      </x:c>
      <x:c r="B180" s="0" t="s">
        <x:v>698</x:v>
      </x:c>
      <x:c r="C180" s="0" t="s">
        <x:v>699</x:v>
      </x:c>
      <x:c r="E180" s="0" t="s">
        <x:v>700</x:v>
      </x:c>
      <x:c r="F180" s="0" t="s">
        <x:v>45</x:v>
      </x:c>
      <x:c r="G180" s="0" t="s">
        <x:v>19</x:v>
      </x:c>
      <x:c r="H180" s="0" t="s">
        <x:v>20</x:v>
      </x:c>
      <x:c r="I180" s="0" t="s">
        <x:v>21</x:v>
      </x:c>
      <x:c r="K180" s="0">
        <x:f>hyperlink("https://icd.who.int/dev11/l-ichi/en#/http%3A%2F%2Fid.who.int%2Ficd%2Fentity%2F1297301694","browser")</x:f>
      </x:c>
      <x:c r="L180" s="0">
        <x:f>hyperlink("https://icat2.azurewebsites.net/icat/?ontology=ICD&amp;tab=ClassesTab&amp;id=http%3A%2F%2Fwho.int%2Ficd%23895_c1eb5896_b43e_4531_bd82_f72e7a00cdd6","iCat")</x:f>
      </x:c>
      <x:c r="M180" s="0" t="s">
        <x:v>21</x:v>
      </x:c>
      <x:c r="N180" s="0" t="s">
        <x:v>46</x:v>
      </x:c>
    </x:row>
    <x:row r="181" spans="1:16">
      <x:c r="A181" s="0" t="s">
        <x:v>701</x:v>
      </x:c>
      <x:c r="B181" s="0" t="s">
        <x:v>702</x:v>
      </x:c>
      <x:c r="C181" s="0" t="s">
        <x:v>703</x:v>
      </x:c>
      <x:c r="E181" s="0" t="s">
        <x:v>704</x:v>
      </x:c>
      <x:c r="F181" s="0" t="s">
        <x:v>45</x:v>
      </x:c>
      <x:c r="G181" s="0" t="s">
        <x:v>19</x:v>
      </x:c>
      <x:c r="H181" s="0" t="s">
        <x:v>20</x:v>
      </x:c>
      <x:c r="I181" s="0" t="s">
        <x:v>21</x:v>
      </x:c>
      <x:c r="K181" s="0">
        <x:f>hyperlink("https://icd.who.int/dev11/l-ichi/en#/http%3A%2F%2Fid.who.int%2Ficd%2Fentity%2F919991709","browser")</x:f>
      </x:c>
      <x:c r="L181" s="0">
        <x:f>hyperlink("https://icat2.azurewebsites.net/icat/?ontology=ICD&amp;tab=ClassesTab&amp;id=http%3A%2F%2Fwho.int%2Ficd%23899_c1eb5896_b43e_4531_bd82_f72e7a00cdd6","iCat")</x:f>
      </x:c>
      <x:c r="M181" s="0" t="s">
        <x:v>21</x:v>
      </x:c>
      <x:c r="N181" s="0" t="s">
        <x:v>46</x:v>
      </x:c>
    </x:row>
    <x:row r="182" spans="1:16">
      <x:c r="A182" s="0" t="s">
        <x:v>705</x:v>
      </x:c>
      <x:c r="B182" s="0" t="s">
        <x:v>706</x:v>
      </x:c>
      <x:c r="C182" s="0" t="s">
        <x:v>707</x:v>
      </x:c>
      <x:c r="E182" s="0" t="s">
        <x:v>708</x:v>
      </x:c>
      <x:c r="F182" s="0" t="s">
        <x:v>45</x:v>
      </x:c>
      <x:c r="G182" s="0" t="s">
        <x:v>19</x:v>
      </x:c>
      <x:c r="H182" s="0" t="s">
        <x:v>20</x:v>
      </x:c>
      <x:c r="I182" s="0" t="s">
        <x:v>21</x:v>
      </x:c>
      <x:c r="K182" s="0">
        <x:f>hyperlink("https://icd.who.int/dev11/l-ichi/en#/http%3A%2F%2Fid.who.int%2Ficd%2Fentity%2F490967811","browser")</x:f>
      </x:c>
      <x:c r="L182" s="0">
        <x:f>hyperlink("https://icat2.azurewebsites.net/icat/?ontology=ICD&amp;tab=ClassesTab&amp;id=http%3A%2F%2Fwho.int%2Ficd%23903_c1eb5896_b43e_4531_bd82_f72e7a00cdd6","iCat")</x:f>
      </x:c>
      <x:c r="M182" s="0" t="s">
        <x:v>21</x:v>
      </x:c>
      <x:c r="N182" s="0" t="s">
        <x:v>46</x:v>
      </x:c>
    </x:row>
    <x:row r="183" spans="1:16">
      <x:c r="A183" s="0" t="s">
        <x:v>709</x:v>
      </x:c>
      <x:c r="B183" s="0" t="s">
        <x:v>710</x:v>
      </x:c>
      <x:c r="C183" s="0" t="s">
        <x:v>711</x:v>
      </x:c>
      <x:c r="E183" s="0" t="s">
        <x:v>712</x:v>
      </x:c>
      <x:c r="F183" s="0" t="s">
        <x:v>45</x:v>
      </x:c>
      <x:c r="G183" s="0" t="s">
        <x:v>19</x:v>
      </x:c>
      <x:c r="H183" s="0" t="s">
        <x:v>20</x:v>
      </x:c>
      <x:c r="I183" s="0" t="s">
        <x:v>21</x:v>
      </x:c>
      <x:c r="K183" s="0">
        <x:f>hyperlink("https://icd.who.int/dev11/l-ichi/en#/http%3A%2F%2Fid.who.int%2Ficd%2Fentity%2F675567479","browser")</x:f>
      </x:c>
      <x:c r="L183" s="0">
        <x:f>hyperlink("https://icat2.azurewebsites.net/icat/?ontology=ICD&amp;tab=ClassesTab&amp;id=http%3A%2F%2Fwho.int%2Ficd%23907_c1eb5896_b43e_4531_bd82_f72e7a00cdd6","iCat")</x:f>
      </x:c>
      <x:c r="M183" s="0" t="s">
        <x:v>21</x:v>
      </x:c>
      <x:c r="N183" s="0" t="s">
        <x:v>46</x:v>
      </x:c>
    </x:row>
    <x:row r="184" spans="1:16">
      <x:c r="A184" s="0" t="s">
        <x:v>713</x:v>
      </x:c>
      <x:c r="B184" s="0" t="s">
        <x:v>714</x:v>
      </x:c>
      <x:c r="C184" s="0" t="s">
        <x:v>715</x:v>
      </x:c>
      <x:c r="E184" s="0" t="s">
        <x:v>716</x:v>
      </x:c>
      <x:c r="F184" s="0" t="s">
        <x:v>45</x:v>
      </x:c>
      <x:c r="G184" s="0" t="s">
        <x:v>19</x:v>
      </x:c>
      <x:c r="H184" s="0" t="s">
        <x:v>20</x:v>
      </x:c>
      <x:c r="I184" s="0" t="s">
        <x:v>21</x:v>
      </x:c>
      <x:c r="K184" s="0">
        <x:f>hyperlink("https://icd.who.int/dev11/l-ichi/en#/http%3A%2F%2Fid.who.int%2Ficd%2Fentity%2F318380945","browser")</x:f>
      </x:c>
      <x:c r="L184" s="0">
        <x:f>hyperlink("https://icat2.azurewebsites.net/icat/?ontology=ICD&amp;tab=ClassesTab&amp;id=http%3A%2F%2Fwho.int%2Ficd%23911_c1eb5896_b43e_4531_bd82_f72e7a00cdd6","iCat")</x:f>
      </x:c>
      <x:c r="M184" s="0" t="s">
        <x:v>21</x:v>
      </x:c>
      <x:c r="N184" s="0" t="s">
        <x:v>46</x:v>
      </x:c>
    </x:row>
    <x:row r="185" spans="1:16">
      <x:c r="A185" s="0" t="s">
        <x:v>717</x:v>
      </x:c>
      <x:c r="B185" s="0" t="s">
        <x:v>718</x:v>
      </x:c>
      <x:c r="C185" s="0" t="s">
        <x:v>719</x:v>
      </x:c>
      <x:c r="E185" s="0" t="s">
        <x:v>720</x:v>
      </x:c>
      <x:c r="F185" s="0" t="s">
        <x:v>45</x:v>
      </x:c>
      <x:c r="G185" s="0" t="s">
        <x:v>19</x:v>
      </x:c>
      <x:c r="H185" s="0" t="s">
        <x:v>20</x:v>
      </x:c>
      <x:c r="I185" s="0" t="s">
        <x:v>21</x:v>
      </x:c>
      <x:c r="K185" s="0">
        <x:f>hyperlink("https://icd.who.int/dev11/l-ichi/en#/http%3A%2F%2Fid.who.int%2Ficd%2Fentity%2F1652076574","browser")</x:f>
      </x:c>
      <x:c r="L185" s="0">
        <x:f>hyperlink("https://icat2.azurewebsites.net/icat/?ontology=ICD&amp;tab=ClassesTab&amp;id=http%3A%2F%2Fwho.int%2Ficd%23916_c1eb5896_b43e_4531_bd82_f72e7a00cdd6","iCat")</x:f>
      </x:c>
      <x:c r="M185" s="0" t="s">
        <x:v>21</x:v>
      </x:c>
      <x:c r="N185" s="0" t="s">
        <x:v>46</x:v>
      </x:c>
    </x:row>
    <x:row r="186" spans="1:16">
      <x:c r="A186" s="0" t="s">
        <x:v>721</x:v>
      </x:c>
      <x:c r="B186" s="0" t="s">
        <x:v>722</x:v>
      </x:c>
      <x:c r="C186" s="0" t="s">
        <x:v>723</x:v>
      </x:c>
      <x:c r="E186" s="0" t="s">
        <x:v>724</x:v>
      </x:c>
      <x:c r="F186" s="0" t="s">
        <x:v>45</x:v>
      </x:c>
      <x:c r="G186" s="0" t="s">
        <x:v>19</x:v>
      </x:c>
      <x:c r="H186" s="0" t="s">
        <x:v>20</x:v>
      </x:c>
      <x:c r="I186" s="0" t="s">
        <x:v>21</x:v>
      </x:c>
      <x:c r="K186" s="0">
        <x:f>hyperlink("https://icd.who.int/dev11/l-ichi/en#/http%3A%2F%2Fid.who.int%2Ficd%2Fentity%2F1380670358","browser")</x:f>
      </x:c>
      <x:c r="L186" s="0">
        <x:f>hyperlink("https://icat2.azurewebsites.net/icat/?ontology=ICD&amp;tab=ClassesTab&amp;id=http%3A%2F%2Fwho.int%2Ficd%23921_c1eb5896_b43e_4531_bd82_f72e7a00cdd6","iCat")</x:f>
      </x:c>
      <x:c r="M186" s="0" t="s">
        <x:v>21</x:v>
      </x:c>
      <x:c r="N186" s="0" t="s">
        <x:v>46</x:v>
      </x:c>
    </x:row>
    <x:row r="187" spans="1:16">
      <x:c r="A187" s="0" t="s">
        <x:v>725</x:v>
      </x:c>
      <x:c r="B187" s="0" t="s">
        <x:v>726</x:v>
      </x:c>
      <x:c r="C187" s="0" t="s">
        <x:v>727</x:v>
      </x:c>
      <x:c r="E187" s="0" t="s">
        <x:v>728</x:v>
      </x:c>
      <x:c r="F187" s="0" t="s">
        <x:v>45</x:v>
      </x:c>
      <x:c r="G187" s="0" t="s">
        <x:v>19</x:v>
      </x:c>
      <x:c r="H187" s="0" t="s">
        <x:v>20</x:v>
      </x:c>
      <x:c r="I187" s="0" t="s">
        <x:v>21</x:v>
      </x:c>
      <x:c r="K187" s="0">
        <x:f>hyperlink("https://icd.who.int/dev11/l-ichi/en#/http%3A%2F%2Fid.who.int%2Ficd%2Fentity%2F1733074916","browser")</x:f>
      </x:c>
      <x:c r="L187" s="0">
        <x:f>hyperlink("https://icat2.azurewebsites.net/icat/?ontology=ICD&amp;tab=ClassesTab&amp;id=http%3A%2F%2Fwho.int%2Ficd%23925_c1eb5896_b43e_4531_bd82_f72e7a00cdd6","iCat")</x:f>
      </x:c>
      <x:c r="M187" s="0" t="s">
        <x:v>21</x:v>
      </x:c>
      <x:c r="N187" s="0" t="s">
        <x:v>46</x:v>
      </x:c>
    </x:row>
    <x:row r="188" spans="1:16">
      <x:c r="A188" s="0" t="s">
        <x:v>729</x:v>
      </x:c>
      <x:c r="B188" s="0" t="s">
        <x:v>730</x:v>
      </x:c>
      <x:c r="C188" s="0" t="s">
        <x:v>731</x:v>
      </x:c>
      <x:c r="E188" s="0" t="s">
        <x:v>732</x:v>
      </x:c>
      <x:c r="F188" s="0" t="s">
        <x:v>45</x:v>
      </x:c>
      <x:c r="G188" s="0" t="s">
        <x:v>19</x:v>
      </x:c>
      <x:c r="H188" s="0" t="s">
        <x:v>20</x:v>
      </x:c>
      <x:c r="I188" s="0" t="s">
        <x:v>21</x:v>
      </x:c>
      <x:c r="K188" s="0">
        <x:f>hyperlink("https://icd.who.int/dev11/l-ichi/en#/http%3A%2F%2Fid.who.int%2Ficd%2Fentity%2F483011267","browser")</x:f>
      </x:c>
      <x:c r="L188" s="0">
        <x:f>hyperlink("https://icat2.azurewebsites.net/icat/?ontology=ICD&amp;tab=ClassesTab&amp;id=http%3A%2F%2Fwho.int%2Ficd%23929_c1eb5896_b43e_4531_bd82_f72e7a00cdd6","iCat")</x:f>
      </x:c>
      <x:c r="M188" s="0" t="s">
        <x:v>21</x:v>
      </x:c>
      <x:c r="N188" s="0" t="s">
        <x:v>46</x:v>
      </x:c>
    </x:row>
    <x:row r="189" spans="1:16">
      <x:c r="A189" s="0" t="s">
        <x:v>733</x:v>
      </x:c>
      <x:c r="B189" s="0" t="s">
        <x:v>734</x:v>
      </x:c>
      <x:c r="C189" s="0" t="s">
        <x:v>735</x:v>
      </x:c>
      <x:c r="E189" s="0" t="s">
        <x:v>736</x:v>
      </x:c>
      <x:c r="F189" s="0" t="s">
        <x:v>45</x:v>
      </x:c>
      <x:c r="G189" s="0" t="s">
        <x:v>19</x:v>
      </x:c>
      <x:c r="H189" s="0" t="s">
        <x:v>20</x:v>
      </x:c>
      <x:c r="I189" s="0" t="s">
        <x:v>21</x:v>
      </x:c>
      <x:c r="K189" s="0">
        <x:f>hyperlink("https://icd.who.int/dev11/l-ichi/en#/http%3A%2F%2Fid.who.int%2Ficd%2Fentity%2F1576194820","browser")</x:f>
      </x:c>
      <x:c r="L189" s="0">
        <x:f>hyperlink("https://icat2.azurewebsites.net/icat/?ontology=ICD&amp;tab=ClassesTab&amp;id=http%3A%2F%2Fwho.int%2Ficd%23933_c1eb5896_b43e_4531_bd82_f72e7a00cdd6","iCat")</x:f>
      </x:c>
      <x:c r="M189" s="0" t="s">
        <x:v>21</x:v>
      </x:c>
      <x:c r="N189" s="0" t="s">
        <x:v>46</x:v>
      </x:c>
    </x:row>
    <x:row r="190" spans="1:16">
      <x:c r="A190" s="0" t="s">
        <x:v>737</x:v>
      </x:c>
      <x:c r="B190" s="0" t="s">
        <x:v>738</x:v>
      </x:c>
      <x:c r="E190" s="0" t="s">
        <x:v>739</x:v>
      </x:c>
      <x:c r="F190" s="0" t="s">
        <x:v>26</x:v>
      </x:c>
      <x:c r="G190" s="0" t="s">
        <x:v>22</x:v>
      </x:c>
      <x:c r="H190" s="0" t="s">
        <x:v>20</x:v>
      </x:c>
      <x:c r="I190" s="0" t="s">
        <x:v>21</x:v>
      </x:c>
      <x:c r="K190" s="0">
        <x:f>hyperlink("https://icd.who.int/dev11/l-ichi/en#/http%3A%2F%2Fid.who.int%2Ficd%2Fentity%2F1459015082","browser")</x:f>
      </x:c>
      <x:c r="L190" s="0">
        <x:f>hyperlink("https://icat2.azurewebsites.net/icat/?ontology=ICD&amp;tab=ClassesTab&amp;id=http%3A%2F%2Fwho.int%2Ficd%23938_c1eb5896_b43e_4531_bd82_f72e7a00cdd6","iCat")</x:f>
      </x:c>
      <x:c r="M190" s="0" t="s">
        <x:v>20</x:v>
      </x:c>
      <x:c r="N190" s="0" t="s">
        <x:v>431</x:v>
      </x:c>
    </x:row>
    <x:row r="191" spans="1:16">
      <x:c r="A191" s="0" t="s">
        <x:v>740</x:v>
      </x:c>
      <x:c r="B191" s="0" t="s">
        <x:v>741</x:v>
      </x:c>
      <x:c r="C191" s="0" t="s">
        <x:v>742</x:v>
      </x:c>
      <x:c r="E191" s="0" t="s">
        <x:v>743</x:v>
      </x:c>
      <x:c r="F191" s="0" t="s">
        <x:v>45</x:v>
      </x:c>
      <x:c r="G191" s="0" t="s">
        <x:v>19</x:v>
      </x:c>
      <x:c r="H191" s="0" t="s">
        <x:v>20</x:v>
      </x:c>
      <x:c r="I191" s="0" t="s">
        <x:v>21</x:v>
      </x:c>
      <x:c r="K191" s="0">
        <x:f>hyperlink("https://icd.who.int/dev11/l-ichi/en#/http%3A%2F%2Fid.who.int%2Ficd%2Fentity%2F1760892786","browser")</x:f>
      </x:c>
      <x:c r="L191" s="0">
        <x:f>hyperlink("https://icat2.azurewebsites.net/icat/?ontology=ICD&amp;tab=ClassesTab&amp;id=http%3A%2F%2Fwho.int%2Ficd%23937_c1eb5896_b43e_4531_bd82_f72e7a00cdd6","iCat")</x:f>
      </x:c>
      <x:c r="M191" s="0" t="s">
        <x:v>21</x:v>
      </x:c>
      <x:c r="N191" s="0" t="s">
        <x:v>46</x:v>
      </x:c>
    </x:row>
    <x:row r="192" spans="1:16">
      <x:c r="A192" s="0" t="s">
        <x:v>744</x:v>
      </x:c>
      <x:c r="B192" s="0" t="s">
        <x:v>745</x:v>
      </x:c>
      <x:c r="C192" s="0" t="s">
        <x:v>746</x:v>
      </x:c>
      <x:c r="E192" s="0" t="s">
        <x:v>747</x:v>
      </x:c>
      <x:c r="F192" s="0" t="s">
        <x:v>45</x:v>
      </x:c>
      <x:c r="G192" s="0" t="s">
        <x:v>19</x:v>
      </x:c>
      <x:c r="H192" s="0" t="s">
        <x:v>20</x:v>
      </x:c>
      <x:c r="I192" s="0" t="s">
        <x:v>21</x:v>
      </x:c>
      <x:c r="K192" s="0">
        <x:f>hyperlink("https://icd.who.int/dev11/l-ichi/en#/http%3A%2F%2Fid.who.int%2Ficd%2Fentity%2F1478689898","browser")</x:f>
      </x:c>
      <x:c r="L192" s="0">
        <x:f>hyperlink("https://icat2.azurewebsites.net/icat/?ontology=ICD&amp;tab=ClassesTab&amp;id=http%3A%2F%2Fwho.int%2Ficd%23947_c1eb5896_b43e_4531_bd82_f72e7a00cdd6","iCat")</x:f>
      </x:c>
      <x:c r="M192" s="0" t="s">
        <x:v>21</x:v>
      </x:c>
      <x:c r="N192" s="0" t="s">
        <x:v>46</x:v>
      </x:c>
    </x:row>
    <x:row r="193" spans="1:16">
      <x:c r="A193" s="0" t="s">
        <x:v>748</x:v>
      </x:c>
      <x:c r="B193" s="0" t="s">
        <x:v>749</x:v>
      </x:c>
      <x:c r="C193" s="0" t="s">
        <x:v>750</x:v>
      </x:c>
      <x:c r="E193" s="0" t="s">
        <x:v>751</x:v>
      </x:c>
      <x:c r="F193" s="0" t="s">
        <x:v>45</x:v>
      </x:c>
      <x:c r="G193" s="0" t="s">
        <x:v>19</x:v>
      </x:c>
      <x:c r="H193" s="0" t="s">
        <x:v>20</x:v>
      </x:c>
      <x:c r="I193" s="0" t="s">
        <x:v>21</x:v>
      </x:c>
      <x:c r="K193" s="0">
        <x:f>hyperlink("https://icd.who.int/dev11/l-ichi/en#/http%3A%2F%2Fid.who.int%2Ficd%2Fentity%2F1654474894","browser")</x:f>
      </x:c>
      <x:c r="L193" s="0">
        <x:f>hyperlink("https://icat2.azurewebsites.net/icat/?ontology=ICD&amp;tab=ClassesTab&amp;id=http%3A%2F%2Fwho.int%2Ficd%23951_c1eb5896_b43e_4531_bd82_f72e7a00cdd6","iCat")</x:f>
      </x:c>
      <x:c r="M193" s="0" t="s">
        <x:v>21</x:v>
      </x:c>
      <x:c r="N193" s="0" t="s">
        <x:v>46</x:v>
      </x:c>
    </x:row>
    <x:row r="194" spans="1:16">
      <x:c r="A194" s="0" t="s">
        <x:v>752</x:v>
      </x:c>
      <x:c r="B194" s="0" t="s">
        <x:v>753</x:v>
      </x:c>
      <x:c r="C194" s="0" t="s">
        <x:v>754</x:v>
      </x:c>
      <x:c r="E194" s="0" t="s">
        <x:v>755</x:v>
      </x:c>
      <x:c r="F194" s="0" t="s">
        <x:v>45</x:v>
      </x:c>
      <x:c r="G194" s="0" t="s">
        <x:v>19</x:v>
      </x:c>
      <x:c r="H194" s="0" t="s">
        <x:v>20</x:v>
      </x:c>
      <x:c r="I194" s="0" t="s">
        <x:v>21</x:v>
      </x:c>
      <x:c r="K194" s="0">
        <x:f>hyperlink("https://icd.who.int/dev11/l-ichi/en#/http%3A%2F%2Fid.who.int%2Ficd%2Fentity%2F1469746424","browser")</x:f>
      </x:c>
      <x:c r="L194" s="0">
        <x:f>hyperlink("https://icat2.azurewebsites.net/icat/?ontology=ICD&amp;tab=ClassesTab&amp;id=http%3A%2F%2Fwho.int%2Ficd%23955_c1eb5896_b43e_4531_bd82_f72e7a00cdd6","iCat")</x:f>
      </x:c>
      <x:c r="M194" s="0" t="s">
        <x:v>21</x:v>
      </x:c>
      <x:c r="N194" s="0" t="s">
        <x:v>46</x:v>
      </x:c>
    </x:row>
    <x:row r="195" spans="1:16">
      <x:c r="A195" s="0" t="s">
        <x:v>756</x:v>
      </x:c>
      <x:c r="B195" s="0" t="s">
        <x:v>757</x:v>
      </x:c>
      <x:c r="C195" s="0" t="s">
        <x:v>758</x:v>
      </x:c>
      <x:c r="E195" s="0" t="s">
        <x:v>759</x:v>
      </x:c>
      <x:c r="F195" s="0" t="s">
        <x:v>45</x:v>
      </x:c>
      <x:c r="G195" s="0" t="s">
        <x:v>19</x:v>
      </x:c>
      <x:c r="H195" s="0" t="s">
        <x:v>20</x:v>
      </x:c>
      <x:c r="I195" s="0" t="s">
        <x:v>21</x:v>
      </x:c>
      <x:c r="K195" s="0">
        <x:f>hyperlink("https://icd.who.int/dev11/l-ichi/en#/http%3A%2F%2Fid.who.int%2Ficd%2Fentity%2F740047321","browser")</x:f>
      </x:c>
      <x:c r="L195" s="0">
        <x:f>hyperlink("https://icat2.azurewebsites.net/icat/?ontology=ICD&amp;tab=ClassesTab&amp;id=http%3A%2F%2Fwho.int%2Ficd%23959_c1eb5896_b43e_4531_bd82_f72e7a00cdd6","iCat")</x:f>
      </x:c>
      <x:c r="M195" s="0" t="s">
        <x:v>21</x:v>
      </x:c>
      <x:c r="N195" s="0" t="s">
        <x:v>46</x:v>
      </x:c>
    </x:row>
    <x:row r="196" spans="1:16">
      <x:c r="A196" s="0" t="s">
        <x:v>760</x:v>
      </x:c>
      <x:c r="B196" s="0" t="s">
        <x:v>761</x:v>
      </x:c>
      <x:c r="C196" s="0" t="s">
        <x:v>762</x:v>
      </x:c>
      <x:c r="E196" s="0" t="s">
        <x:v>763</x:v>
      </x:c>
      <x:c r="F196" s="0" t="s">
        <x:v>45</x:v>
      </x:c>
      <x:c r="G196" s="0" t="s">
        <x:v>19</x:v>
      </x:c>
      <x:c r="H196" s="0" t="s">
        <x:v>20</x:v>
      </x:c>
      <x:c r="I196" s="0" t="s">
        <x:v>21</x:v>
      </x:c>
      <x:c r="K196" s="0">
        <x:f>hyperlink("https://icd.who.int/dev11/l-ichi/en#/http%3A%2F%2Fid.who.int%2Ficd%2Fentity%2F1196430670","browser")</x:f>
      </x:c>
      <x:c r="L196" s="0">
        <x:f>hyperlink("https://icat2.azurewebsites.net/icat/?ontology=ICD&amp;tab=ClassesTab&amp;id=http%3A%2F%2Fwho.int%2Ficd%23963_c1eb5896_b43e_4531_bd82_f72e7a00cdd6","iCat")</x:f>
      </x:c>
      <x:c r="M196" s="0" t="s">
        <x:v>21</x:v>
      </x:c>
      <x:c r="N196" s="0" t="s">
        <x:v>46</x:v>
      </x:c>
    </x:row>
    <x:row r="197" spans="1:16">
      <x:c r="A197" s="0" t="s">
        <x:v>764</x:v>
      </x:c>
      <x:c r="B197" s="0" t="s">
        <x:v>765</x:v>
      </x:c>
      <x:c r="C197" s="0" t="s">
        <x:v>766</x:v>
      </x:c>
      <x:c r="E197" s="0" t="s">
        <x:v>767</x:v>
      </x:c>
      <x:c r="F197" s="0" t="s">
        <x:v>45</x:v>
      </x:c>
      <x:c r="G197" s="0" t="s">
        <x:v>19</x:v>
      </x:c>
      <x:c r="H197" s="0" t="s">
        <x:v>20</x:v>
      </x:c>
      <x:c r="I197" s="0" t="s">
        <x:v>21</x:v>
      </x:c>
      <x:c r="K197" s="0">
        <x:f>hyperlink("https://icd.who.int/dev11/l-ichi/en#/http%3A%2F%2Fid.who.int%2Ficd%2Fentity%2F1918357820","browser")</x:f>
      </x:c>
      <x:c r="L197" s="0">
        <x:f>hyperlink("https://icat2.azurewebsites.net/icat/?ontology=ICD&amp;tab=ClassesTab&amp;id=http%3A%2F%2Fwho.int%2Ficd%23967_c1eb5896_b43e_4531_bd82_f72e7a00cdd6","iCat")</x:f>
      </x:c>
      <x:c r="M197" s="0" t="s">
        <x:v>21</x:v>
      </x:c>
      <x:c r="N197" s="0" t="s">
        <x:v>46</x:v>
      </x:c>
    </x:row>
    <x:row r="198" spans="1:16">
      <x:c r="A198" s="0" t="s">
        <x:v>768</x:v>
      </x:c>
      <x:c r="B198" s="0" t="s">
        <x:v>769</x:v>
      </x:c>
      <x:c r="E198" s="0" t="s">
        <x:v>770</x:v>
      </x:c>
      <x:c r="F198" s="0" t="s">
        <x:v>26</x:v>
      </x:c>
      <x:c r="G198" s="0" t="s">
        <x:v>22</x:v>
      </x:c>
      <x:c r="H198" s="0" t="s">
        <x:v>20</x:v>
      </x:c>
      <x:c r="I198" s="0" t="s">
        <x:v>21</x:v>
      </x:c>
      <x:c r="K198" s="0">
        <x:f>hyperlink("https://icd.who.int/dev11/l-ichi/en#/http%3A%2F%2Fid.who.int%2Ficd%2Fentity%2F225243685","browser")</x:f>
      </x:c>
      <x:c r="L198" s="0">
        <x:f>hyperlink("https://icat2.azurewebsites.net/icat/?ontology=ICD&amp;tab=ClassesTab&amp;id=http%3A%2F%2Fwho.int%2Ficd%23972_c1eb5896_b43e_4531_bd82_f72e7a00cdd6","iCat")</x:f>
      </x:c>
      <x:c r="M198" s="0" t="s">
        <x:v>20</x:v>
      </x:c>
      <x:c r="N198" s="0" t="s">
        <x:v>22</x:v>
      </x:c>
    </x:row>
    <x:row r="199" spans="1:16">
      <x:c r="A199" s="0" t="s">
        <x:v>771</x:v>
      </x:c>
      <x:c r="B199" s="0" t="s">
        <x:v>772</x:v>
      </x:c>
      <x:c r="C199" s="0" t="s">
        <x:v>773</x:v>
      </x:c>
      <x:c r="E199" s="0" t="s">
        <x:v>774</x:v>
      </x:c>
      <x:c r="F199" s="0" t="s">
        <x:v>45</x:v>
      </x:c>
      <x:c r="G199" s="0" t="s">
        <x:v>19</x:v>
      </x:c>
      <x:c r="H199" s="0" t="s">
        <x:v>20</x:v>
      </x:c>
      <x:c r="I199" s="0" t="s">
        <x:v>21</x:v>
      </x:c>
      <x:c r="K199" s="0">
        <x:f>hyperlink("https://icd.who.int/dev11/l-ichi/en#/http%3A%2F%2Fid.who.int%2Ficd%2Fentity%2F1223269852","browser")</x:f>
      </x:c>
      <x:c r="L199" s="0">
        <x:f>hyperlink("https://icat2.azurewebsites.net/icat/?ontology=ICD&amp;tab=ClassesTab&amp;id=http%3A%2F%2Fwho.int%2Ficd%23971_c1eb5896_b43e_4531_bd82_f72e7a00cdd6","iCat")</x:f>
      </x:c>
      <x:c r="M199" s="0" t="s">
        <x:v>21</x:v>
      </x:c>
      <x:c r="N199" s="0" t="s">
        <x:v>46</x:v>
      </x:c>
    </x:row>
    <x:row r="200" spans="1:16">
      <x:c r="A200" s="0" t="s">
        <x:v>775</x:v>
      </x:c>
      <x:c r="B200" s="0" t="s">
        <x:v>776</x:v>
      </x:c>
      <x:c r="C200" s="0" t="s">
        <x:v>777</x:v>
      </x:c>
      <x:c r="E200" s="0" t="s">
        <x:v>778</x:v>
      </x:c>
      <x:c r="F200" s="0" t="s">
        <x:v>45</x:v>
      </x:c>
      <x:c r="G200" s="0" t="s">
        <x:v>19</x:v>
      </x:c>
      <x:c r="H200" s="0" t="s">
        <x:v>20</x:v>
      </x:c>
      <x:c r="I200" s="0" t="s">
        <x:v>21</x:v>
      </x:c>
      <x:c r="K200" s="0">
        <x:f>hyperlink("https://icd.who.int/dev11/l-ichi/en#/http%3A%2F%2Fid.who.int%2Ficd%2Fentity%2F1729025794","browser")</x:f>
      </x:c>
      <x:c r="L200" s="0">
        <x:f>hyperlink("https://icat2.azurewebsites.net/icat/?ontology=ICD&amp;tab=ClassesTab&amp;id=http%3A%2F%2Fwho.int%2Ficd%23981_c1eb5896_b43e_4531_bd82_f72e7a00cdd6","iCat")</x:f>
      </x:c>
      <x:c r="M200" s="0" t="s">
        <x:v>21</x:v>
      </x:c>
      <x:c r="N200" s="0" t="s">
        <x:v>46</x:v>
      </x:c>
    </x:row>
    <x:row r="201" spans="1:16">
      <x:c r="A201" s="0" t="s">
        <x:v>779</x:v>
      </x:c>
      <x:c r="B201" s="0" t="s">
        <x:v>780</x:v>
      </x:c>
      <x:c r="C201" s="0" t="s">
        <x:v>781</x:v>
      </x:c>
      <x:c r="E201" s="0" t="s">
        <x:v>782</x:v>
      </x:c>
      <x:c r="F201" s="0" t="s">
        <x:v>45</x:v>
      </x:c>
      <x:c r="G201" s="0" t="s">
        <x:v>19</x:v>
      </x:c>
      <x:c r="H201" s="0" t="s">
        <x:v>20</x:v>
      </x:c>
      <x:c r="I201" s="0" t="s">
        <x:v>21</x:v>
      </x:c>
      <x:c r="K201" s="0">
        <x:f>hyperlink("https://icd.who.int/dev11/l-ichi/en#/http%3A%2F%2Fid.who.int%2Ficd%2Fentity%2F1376326520","browser")</x:f>
      </x:c>
      <x:c r="L201" s="0">
        <x:f>hyperlink("https://icat2.azurewebsites.net/icat/?ontology=ICD&amp;tab=ClassesTab&amp;id=http%3A%2F%2Fwho.int%2Ficd%23985_c1eb5896_b43e_4531_bd82_f72e7a00cdd6","iCat")</x:f>
      </x:c>
      <x:c r="M201" s="0" t="s">
        <x:v>21</x:v>
      </x:c>
      <x:c r="N201" s="0" t="s">
        <x:v>46</x:v>
      </x:c>
    </x:row>
    <x:row r="202" spans="1:16">
      <x:c r="A202" s="0" t="s">
        <x:v>783</x:v>
      </x:c>
      <x:c r="B202" s="0" t="s">
        <x:v>784</x:v>
      </x:c>
      <x:c r="C202" s="0" t="s">
        <x:v>785</x:v>
      </x:c>
      <x:c r="E202" s="0" t="s">
        <x:v>786</x:v>
      </x:c>
      <x:c r="F202" s="0" t="s">
        <x:v>45</x:v>
      </x:c>
      <x:c r="G202" s="0" t="s">
        <x:v>19</x:v>
      </x:c>
      <x:c r="H202" s="0" t="s">
        <x:v>20</x:v>
      </x:c>
      <x:c r="I202" s="0" t="s">
        <x:v>21</x:v>
      </x:c>
      <x:c r="K202" s="0">
        <x:f>hyperlink("https://icd.who.int/dev11/l-ichi/en#/http%3A%2F%2Fid.who.int%2Ficd%2Fentity%2F697280087","browser")</x:f>
      </x:c>
      <x:c r="L202" s="0">
        <x:f>hyperlink("https://icat2.azurewebsites.net/icat/?ontology=ICD&amp;tab=ClassesTab&amp;id=http%3A%2F%2Fwho.int%2Ficd%23989_c1eb5896_b43e_4531_bd82_f72e7a00cdd6","iCat")</x:f>
      </x:c>
      <x:c r="M202" s="0" t="s">
        <x:v>21</x:v>
      </x:c>
      <x:c r="N202" s="0" t="s">
        <x:v>46</x:v>
      </x:c>
    </x:row>
    <x:row r="203" spans="1:16">
      <x:c r="A203" s="0" t="s">
        <x:v>787</x:v>
      </x:c>
      <x:c r="B203" s="0" t="s">
        <x:v>788</x:v>
      </x:c>
      <x:c r="E203" s="0" t="s">
        <x:v>789</x:v>
      </x:c>
      <x:c r="F203" s="0" t="s">
        <x:v>26</x:v>
      </x:c>
      <x:c r="G203" s="0" t="s">
        <x:v>22</x:v>
      </x:c>
      <x:c r="H203" s="0" t="s">
        <x:v>20</x:v>
      </x:c>
      <x:c r="I203" s="0" t="s">
        <x:v>21</x:v>
      </x:c>
      <x:c r="K203" s="0">
        <x:f>hyperlink("https://icd.who.int/dev11/l-ichi/en#/http%3A%2F%2Fid.who.int%2Ficd%2Fentity%2F952927777","browser")</x:f>
      </x:c>
      <x:c r="L203" s="0">
        <x:f>hyperlink("https://icat2.azurewebsites.net/icat/?ontology=ICD&amp;tab=ClassesTab&amp;id=http%3A%2F%2Fwho.int%2Ficd%23995_c1eb5896_b43e_4531_bd82_f72e7a00cdd6","iCat")</x:f>
      </x:c>
      <x:c r="M203" s="0" t="s">
        <x:v>20</x:v>
      </x:c>
      <x:c r="N203" s="0" t="s">
        <x:v>30</x:v>
      </x:c>
    </x:row>
    <x:row r="204" spans="1:16">
      <x:c r="A204" s="0" t="s">
        <x:v>790</x:v>
      </x:c>
      <x:c r="B204" s="0" t="s">
        <x:v>791</x:v>
      </x:c>
      <x:c r="C204" s="0" t="s">
        <x:v>792</x:v>
      </x:c>
      <x:c r="E204" s="0" t="s">
        <x:v>793</x:v>
      </x:c>
      <x:c r="F204" s="0" t="s">
        <x:v>45</x:v>
      </x:c>
      <x:c r="G204" s="0" t="s">
        <x:v>19</x:v>
      </x:c>
      <x:c r="H204" s="0" t="s">
        <x:v>20</x:v>
      </x:c>
      <x:c r="I204" s="0" t="s">
        <x:v>21</x:v>
      </x:c>
      <x:c r="K204" s="0">
        <x:f>hyperlink("https://icd.who.int/dev11/l-ichi/en#/http%3A%2F%2Fid.who.int%2Ficd%2Fentity%2F406189085","browser")</x:f>
      </x:c>
      <x:c r="L204" s="0">
        <x:f>hyperlink("https://icat2.azurewebsites.net/icat/?ontology=ICD&amp;tab=ClassesTab&amp;id=http%3A%2F%2Fwho.int%2Ficd%23994_c1eb5896_b43e_4531_bd82_f72e7a00cdd6","iCat")</x:f>
      </x:c>
      <x:c r="M204" s="0" t="s">
        <x:v>21</x:v>
      </x:c>
      <x:c r="N204" s="0" t="s">
        <x:v>46</x:v>
      </x:c>
    </x:row>
    <x:row r="205" spans="1:16">
      <x:c r="A205" s="0" t="s">
        <x:v>794</x:v>
      </x:c>
      <x:c r="B205" s="0" t="s">
        <x:v>795</x:v>
      </x:c>
      <x:c r="C205" s="0" t="s">
        <x:v>796</x:v>
      </x:c>
      <x:c r="E205" s="0" t="s">
        <x:v>797</x:v>
      </x:c>
      <x:c r="F205" s="0" t="s">
        <x:v>45</x:v>
      </x:c>
      <x:c r="G205" s="0" t="s">
        <x:v>19</x:v>
      </x:c>
      <x:c r="H205" s="0" t="s">
        <x:v>20</x:v>
      </x:c>
      <x:c r="I205" s="0" t="s">
        <x:v>21</x:v>
      </x:c>
      <x:c r="K205" s="0">
        <x:f>hyperlink("https://icd.who.int/dev11/l-ichi/en#/http%3A%2F%2Fid.who.int%2Ficd%2Fentity%2F2106976032","browser")</x:f>
      </x:c>
      <x:c r="L205" s="0">
        <x:f>hyperlink("https://icat2.azurewebsites.net/icat/?ontology=ICD&amp;tab=ClassesTab&amp;id=http%3A%2F%2Fwho.int%2Ficd%231005_c1eb5896_b43e_4531_bd82_f72e7a00cdd6","iCat")</x:f>
      </x:c>
      <x:c r="M205" s="0" t="s">
        <x:v>21</x:v>
      </x:c>
      <x:c r="N205" s="0" t="s">
        <x:v>46</x:v>
      </x:c>
    </x:row>
    <x:row r="206" spans="1:16">
      <x:c r="A206" s="0" t="s">
        <x:v>798</x:v>
      </x:c>
      <x:c r="B206" s="0" t="s">
        <x:v>799</x:v>
      </x:c>
      <x:c r="E206" s="0" t="s">
        <x:v>800</x:v>
      </x:c>
      <x:c r="F206" s="0" t="s">
        <x:v>26</x:v>
      </x:c>
      <x:c r="G206" s="0" t="s">
        <x:v>22</x:v>
      </x:c>
      <x:c r="H206" s="0" t="s">
        <x:v>20</x:v>
      </x:c>
      <x:c r="I206" s="0" t="s">
        <x:v>21</x:v>
      </x:c>
      <x:c r="K206" s="0">
        <x:f>hyperlink("https://icd.who.int/dev11/l-ichi/en#/http%3A%2F%2Fid.who.int%2Ficd%2Fentity%2F45007873","browser")</x:f>
      </x:c>
      <x:c r="L206" s="0">
        <x:f>hyperlink("https://icat2.azurewebsites.net/icat/?ontology=ICD&amp;tab=ClassesTab&amp;id=http%3A%2F%2Fwho.int%2Ficd%231010_c1eb5896_b43e_4531_bd82_f72e7a00cdd6","iCat")</x:f>
      </x:c>
      <x:c r="M206" s="0" t="s">
        <x:v>20</x:v>
      </x:c>
      <x:c r="N206" s="0" t="s">
        <x:v>35</x:v>
      </x:c>
    </x:row>
    <x:row r="207" spans="1:16">
      <x:c r="A207" s="0" t="s">
        <x:v>801</x:v>
      </x:c>
      <x:c r="B207" s="0" t="s">
        <x:v>802</x:v>
      </x:c>
      <x:c r="C207" s="0" t="s">
        <x:v>803</x:v>
      </x:c>
      <x:c r="E207" s="0" t="s">
        <x:v>804</x:v>
      </x:c>
      <x:c r="F207" s="0" t="s">
        <x:v>45</x:v>
      </x:c>
      <x:c r="G207" s="0" t="s">
        <x:v>19</x:v>
      </x:c>
      <x:c r="H207" s="0" t="s">
        <x:v>20</x:v>
      </x:c>
      <x:c r="I207" s="0" t="s">
        <x:v>21</x:v>
      </x:c>
      <x:c r="K207" s="0">
        <x:f>hyperlink("https://icd.who.int/dev11/l-ichi/en#/http%3A%2F%2Fid.who.int%2Ficd%2Fentity%2F101929535","browser")</x:f>
      </x:c>
      <x:c r="L207" s="0">
        <x:f>hyperlink("https://icat2.azurewebsites.net/icat/?ontology=ICD&amp;tab=ClassesTab&amp;id=http%3A%2F%2Fwho.int%2Ficd%231009_c1eb5896_b43e_4531_bd82_f72e7a00cdd6","iCat")</x:f>
      </x:c>
      <x:c r="M207" s="0" t="s">
        <x:v>21</x:v>
      </x:c>
      <x:c r="N207" s="0" t="s">
        <x:v>46</x:v>
      </x:c>
    </x:row>
    <x:row r="208" spans="1:16">
      <x:c r="A208" s="0" t="s">
        <x:v>805</x:v>
      </x:c>
      <x:c r="B208" s="0" t="s">
        <x:v>806</x:v>
      </x:c>
      <x:c r="C208" s="0" t="s">
        <x:v>807</x:v>
      </x:c>
      <x:c r="E208" s="0" t="s">
        <x:v>808</x:v>
      </x:c>
      <x:c r="F208" s="0" t="s">
        <x:v>45</x:v>
      </x:c>
      <x:c r="G208" s="0" t="s">
        <x:v>19</x:v>
      </x:c>
      <x:c r="H208" s="0" t="s">
        <x:v>20</x:v>
      </x:c>
      <x:c r="I208" s="0" t="s">
        <x:v>21</x:v>
      </x:c>
      <x:c r="K208" s="0">
        <x:f>hyperlink("https://icd.who.int/dev11/l-ichi/en#/http%3A%2F%2Fid.who.int%2Ficd%2Fentity%2F1659303484","browser")</x:f>
      </x:c>
      <x:c r="L208" s="0">
        <x:f>hyperlink("https://icat2.azurewebsites.net/icat/?ontology=ICD&amp;tab=ClassesTab&amp;id=http%3A%2F%2Fwho.int%2Ficd%231021_c1eb5896_b43e_4531_bd82_f72e7a00cdd6","iCat")</x:f>
      </x:c>
      <x:c r="M208" s="0" t="s">
        <x:v>21</x:v>
      </x:c>
      <x:c r="N208" s="0" t="s">
        <x:v>46</x:v>
      </x:c>
    </x:row>
    <x:row r="209" spans="1:16">
      <x:c r="A209" s="0" t="s">
        <x:v>809</x:v>
      </x:c>
      <x:c r="B209" s="0" t="s">
        <x:v>810</x:v>
      </x:c>
      <x:c r="C209" s="0" t="s">
        <x:v>811</x:v>
      </x:c>
      <x:c r="E209" s="0" t="s">
        <x:v>812</x:v>
      </x:c>
      <x:c r="F209" s="0" t="s">
        <x:v>45</x:v>
      </x:c>
      <x:c r="G209" s="0" t="s">
        <x:v>19</x:v>
      </x:c>
      <x:c r="H209" s="0" t="s">
        <x:v>20</x:v>
      </x:c>
      <x:c r="I209" s="0" t="s">
        <x:v>21</x:v>
      </x:c>
      <x:c r="K209" s="0">
        <x:f>hyperlink("https://icd.who.int/dev11/l-ichi/en#/http%3A%2F%2Fid.who.int%2Ficd%2Fentity%2F1474376270","browser")</x:f>
      </x:c>
      <x:c r="L209" s="0">
        <x:f>hyperlink("https://icat2.azurewebsites.net/icat/?ontology=ICD&amp;tab=ClassesTab&amp;id=http%3A%2F%2Fwho.int%2Ficd%231025_c1eb5896_b43e_4531_bd82_f72e7a00cdd6","iCat")</x:f>
      </x:c>
      <x:c r="M209" s="0" t="s">
        <x:v>21</x:v>
      </x:c>
      <x:c r="N209" s="0" t="s">
        <x:v>46</x:v>
      </x:c>
    </x:row>
    <x:row r="210" spans="1:16">
      <x:c r="A210" s="0" t="s">
        <x:v>813</x:v>
      </x:c>
      <x:c r="B210" s="0" t="s">
        <x:v>814</x:v>
      </x:c>
      <x:c r="E210" s="0" t="s">
        <x:v>815</x:v>
      </x:c>
      <x:c r="F210" s="0" t="s">
        <x:v>26</x:v>
      </x:c>
      <x:c r="G210" s="0" t="s">
        <x:v>22</x:v>
      </x:c>
      <x:c r="H210" s="0" t="s">
        <x:v>20</x:v>
      </x:c>
      <x:c r="I210" s="0" t="s">
        <x:v>21</x:v>
      </x:c>
      <x:c r="K210" s="0">
        <x:f>hyperlink("https://icd.who.int/dev11/l-ichi/en#/http%3A%2F%2Fid.who.int%2Ficd%2Fentity%2F1302727828","browser")</x:f>
      </x:c>
      <x:c r="L210" s="0">
        <x:f>hyperlink("https://icat2.azurewebsites.net/icat/?ontology=ICD&amp;tab=ClassesTab&amp;id=http%3A%2F%2Fwho.int%2Ficd%231032_c1eb5896_b43e_4531_bd82_f72e7a00cdd6","iCat")</x:f>
      </x:c>
      <x:c r="M210" s="0" t="s">
        <x:v>20</x:v>
      </x:c>
      <x:c r="N210" s="0" t="s">
        <x:v>30</x:v>
      </x:c>
    </x:row>
    <x:row r="211" spans="1:16">
      <x:c r="A211" s="0" t="s">
        <x:v>816</x:v>
      </x:c>
      <x:c r="B211" s="0" t="s">
        <x:v>817</x:v>
      </x:c>
      <x:c r="C211" s="0" t="s">
        <x:v>818</x:v>
      </x:c>
      <x:c r="E211" s="0" t="s">
        <x:v>819</x:v>
      </x:c>
      <x:c r="F211" s="0" t="s">
        <x:v>45</x:v>
      </x:c>
      <x:c r="G211" s="0" t="s">
        <x:v>19</x:v>
      </x:c>
      <x:c r="H211" s="0" t="s">
        <x:v>20</x:v>
      </x:c>
      <x:c r="I211" s="0" t="s">
        <x:v>21</x:v>
      </x:c>
      <x:c r="K211" s="0">
        <x:f>hyperlink("https://icd.who.int/dev11/l-ichi/en#/http%3A%2F%2Fid.who.int%2Ficd%2Fentity%2F136536941","browser")</x:f>
      </x:c>
      <x:c r="L211" s="0">
        <x:f>hyperlink("https://icat2.azurewebsites.net/icat/?ontology=ICD&amp;tab=ClassesTab&amp;id=http%3A%2F%2Fwho.int%2Ficd%231031_c1eb5896_b43e_4531_bd82_f72e7a00cdd6","iCat")</x:f>
      </x:c>
      <x:c r="M211" s="0" t="s">
        <x:v>21</x:v>
      </x:c>
      <x:c r="N211" s="0" t="s">
        <x:v>46</x:v>
      </x:c>
    </x:row>
    <x:row r="212" spans="1:16">
      <x:c r="A212" s="0" t="s">
        <x:v>820</x:v>
      </x:c>
      <x:c r="B212" s="0" t="s">
        <x:v>821</x:v>
      </x:c>
      <x:c r="C212" s="0" t="s">
        <x:v>822</x:v>
      </x:c>
      <x:c r="E212" s="0" t="s">
        <x:v>823</x:v>
      </x:c>
      <x:c r="F212" s="0" t="s">
        <x:v>45</x:v>
      </x:c>
      <x:c r="G212" s="0" t="s">
        <x:v>19</x:v>
      </x:c>
      <x:c r="H212" s="0" t="s">
        <x:v>20</x:v>
      </x:c>
      <x:c r="I212" s="0" t="s">
        <x:v>21</x:v>
      </x:c>
      <x:c r="K212" s="0">
        <x:f>hyperlink("https://icd.who.int/dev11/l-ichi/en#/http%3A%2F%2Fid.who.int%2Ficd%2Fentity%2F1754180040","browser")</x:f>
      </x:c>
      <x:c r="L212" s="0">
        <x:f>hyperlink("https://icat2.azurewebsites.net/icat/?ontology=ICD&amp;tab=ClassesTab&amp;id=http%3A%2F%2Fwho.int%2Ficd%231047_c1eb5896_b43e_4531_bd82_f72e7a00cdd6","iCat")</x:f>
      </x:c>
      <x:c r="M212" s="0" t="s">
        <x:v>21</x:v>
      </x:c>
      <x:c r="N212" s="0" t="s">
        <x:v>46</x:v>
      </x:c>
    </x:row>
    <x:row r="213" spans="1:16">
      <x:c r="A213" s="0" t="s">
        <x:v>824</x:v>
      </x:c>
      <x:c r="B213" s="0" t="s">
        <x:v>825</x:v>
      </x:c>
      <x:c r="E213" s="0" t="s">
        <x:v>826</x:v>
      </x:c>
      <x:c r="F213" s="0" t="s">
        <x:v>26</x:v>
      </x:c>
      <x:c r="G213" s="0" t="s">
        <x:v>22</x:v>
      </x:c>
      <x:c r="H213" s="0" t="s">
        <x:v>20</x:v>
      </x:c>
      <x:c r="I213" s="0" t="s">
        <x:v>21</x:v>
      </x:c>
      <x:c r="K213" s="0">
        <x:f>hyperlink("https://icd.who.int/dev11/l-ichi/en#/http%3A%2F%2Fid.who.int%2Ficd%2Fentity%2F397773529","browser")</x:f>
      </x:c>
      <x:c r="L213" s="0">
        <x:f>hyperlink("https://icat2.azurewebsites.net/icat/?ontology=ICD&amp;tab=ClassesTab&amp;id=http%3A%2F%2Fwho.int%2Ficd%231052_c1eb5896_b43e_4531_bd82_f72e7a00cdd6","iCat")</x:f>
      </x:c>
      <x:c r="M213" s="0" t="s">
        <x:v>20</x:v>
      </x:c>
      <x:c r="N213" s="0" t="s">
        <x:v>35</x:v>
      </x:c>
    </x:row>
    <x:row r="214" spans="1:16">
      <x:c r="A214" s="0" t="s">
        <x:v>827</x:v>
      </x:c>
      <x:c r="B214" s="0" t="s">
        <x:v>828</x:v>
      </x:c>
      <x:c r="C214" s="0" t="s">
        <x:v>829</x:v>
      </x:c>
      <x:c r="E214" s="0" t="s">
        <x:v>830</x:v>
      </x:c>
      <x:c r="F214" s="0" t="s">
        <x:v>45</x:v>
      </x:c>
      <x:c r="G214" s="0" t="s">
        <x:v>19</x:v>
      </x:c>
      <x:c r="H214" s="0" t="s">
        <x:v>20</x:v>
      </x:c>
      <x:c r="I214" s="0" t="s">
        <x:v>21</x:v>
      </x:c>
      <x:c r="K214" s="0">
        <x:f>hyperlink("https://icd.who.int/dev11/l-ichi/en#/http%3A%2F%2Fid.who.int%2Ficd%2Fentity%2F1378936096","browser")</x:f>
      </x:c>
      <x:c r="L214" s="0">
        <x:f>hyperlink("https://icat2.azurewebsites.net/icat/?ontology=ICD&amp;tab=ClassesTab&amp;id=http%3A%2F%2Fwho.int%2Ficd%231051_c1eb5896_b43e_4531_bd82_f72e7a00cdd6","iCat")</x:f>
      </x:c>
      <x:c r="M214" s="0" t="s">
        <x:v>21</x:v>
      </x:c>
      <x:c r="N214" s="0" t="s">
        <x:v>46</x:v>
      </x:c>
    </x:row>
    <x:row r="215" spans="1:16">
      <x:c r="A215" s="0" t="s">
        <x:v>831</x:v>
      </x:c>
      <x:c r="B215" s="0" t="s">
        <x:v>832</x:v>
      </x:c>
      <x:c r="C215" s="0" t="s">
        <x:v>833</x:v>
      </x:c>
      <x:c r="E215" s="0" t="s">
        <x:v>834</x:v>
      </x:c>
      <x:c r="F215" s="0" t="s">
        <x:v>45</x:v>
      </x:c>
      <x:c r="G215" s="0" t="s">
        <x:v>19</x:v>
      </x:c>
      <x:c r="H215" s="0" t="s">
        <x:v>20</x:v>
      </x:c>
      <x:c r="I215" s="0" t="s">
        <x:v>21</x:v>
      </x:c>
      <x:c r="K215" s="0">
        <x:f>hyperlink("https://icd.who.int/dev11/l-ichi/en#/http%3A%2F%2Fid.who.int%2Ficd%2Fentity%2F1459931870","browser")</x:f>
      </x:c>
      <x:c r="L215" s="0">
        <x:f>hyperlink("https://icat2.azurewebsites.net/icat/?ontology=ICD&amp;tab=ClassesTab&amp;id=http%3A%2F%2Fwho.int%2Ficd%231062_c1eb5896_b43e_4531_bd82_f72e7a00cdd6","iCat")</x:f>
      </x:c>
      <x:c r="M215" s="0" t="s">
        <x:v>21</x:v>
      </x:c>
      <x:c r="N215" s="0" t="s">
        <x:v>46</x:v>
      </x:c>
    </x:row>
    <x:row r="216" spans="1:16">
      <x:c r="A216" s="0" t="s">
        <x:v>835</x:v>
      </x:c>
      <x:c r="B216" s="0" t="s">
        <x:v>836</x:v>
      </x:c>
      <x:c r="C216" s="0" t="s">
        <x:v>837</x:v>
      </x:c>
      <x:c r="E216" s="0" t="s">
        <x:v>838</x:v>
      </x:c>
      <x:c r="F216" s="0" t="s">
        <x:v>45</x:v>
      </x:c>
      <x:c r="G216" s="0" t="s">
        <x:v>19</x:v>
      </x:c>
      <x:c r="H216" s="0" t="s">
        <x:v>20</x:v>
      </x:c>
      <x:c r="I216" s="0" t="s">
        <x:v>21</x:v>
      </x:c>
      <x:c r="K216" s="0">
        <x:f>hyperlink("https://icd.who.int/dev11/l-ichi/en#/http%3A%2F%2Fid.who.int%2Ficd%2Fentity%2F1644367532","browser")</x:f>
      </x:c>
      <x:c r="L216" s="0">
        <x:f>hyperlink("https://icat2.azurewebsites.net/icat/?ontology=ICD&amp;tab=ClassesTab&amp;id=http%3A%2F%2Fwho.int%2Ficd%231066_c1eb5896_b43e_4531_bd82_f72e7a00cdd6","iCat")</x:f>
      </x:c>
      <x:c r="M216" s="0" t="s">
        <x:v>21</x:v>
      </x:c>
      <x:c r="N216" s="0" t="s">
        <x:v>46</x:v>
      </x:c>
    </x:row>
    <x:row r="217" spans="1:16">
      <x:c r="A217" s="0" t="s">
        <x:v>839</x:v>
      </x:c>
      <x:c r="B217" s="0" t="s">
        <x:v>840</x:v>
      </x:c>
      <x:c r="E217" s="0" t="s">
        <x:v>841</x:v>
      </x:c>
      <x:c r="F217" s="0" t="s">
        <x:v>26</x:v>
      </x:c>
      <x:c r="G217" s="0" t="s">
        <x:v>22</x:v>
      </x:c>
      <x:c r="H217" s="0" t="s">
        <x:v>20</x:v>
      </x:c>
      <x:c r="I217" s="0" t="s">
        <x:v>21</x:v>
      </x:c>
      <x:c r="K217" s="0">
        <x:f>hyperlink("https://icd.who.int/dev11/l-ichi/en#/http%3A%2F%2Fid.who.int%2Ficd%2Fentity%2F2017734770","browser")</x:f>
      </x:c>
      <x:c r="L217" s="0">
        <x:f>hyperlink("https://icat2.azurewebsites.net/icat/?ontology=ICD&amp;tab=ClassesTab&amp;id=http%3A%2F%2Fwho.int%2Ficd%231071_c1eb5896_b43e_4531_bd82_f72e7a00cdd6","iCat")</x:f>
      </x:c>
      <x:c r="M217" s="0" t="s">
        <x:v>20</x:v>
      </x:c>
      <x:c r="N217" s="0" t="s">
        <x:v>35</x:v>
      </x:c>
    </x:row>
    <x:row r="218" spans="1:16">
      <x:c r="A218" s="0" t="s">
        <x:v>842</x:v>
      </x:c>
      <x:c r="B218" s="0" t="s">
        <x:v>843</x:v>
      </x:c>
      <x:c r="C218" s="0" t="s">
        <x:v>844</x:v>
      </x:c>
      <x:c r="E218" s="0" t="s">
        <x:v>845</x:v>
      </x:c>
      <x:c r="F218" s="0" t="s">
        <x:v>45</x:v>
      </x:c>
      <x:c r="G218" s="0" t="s">
        <x:v>19</x:v>
      </x:c>
      <x:c r="H218" s="0" t="s">
        <x:v>20</x:v>
      </x:c>
      <x:c r="I218" s="0" t="s">
        <x:v>21</x:v>
      </x:c>
      <x:c r="K218" s="0">
        <x:f>hyperlink("https://icd.who.int/dev11/l-ichi/en#/http%3A%2F%2Fid.who.int%2Ficd%2Fentity%2F1488798284","browser")</x:f>
      </x:c>
      <x:c r="L218" s="0">
        <x:f>hyperlink("https://icat2.azurewebsites.net/icat/?ontology=ICD&amp;tab=ClassesTab&amp;id=http%3A%2F%2Fwho.int%2Ficd%231070_c1eb5896_b43e_4531_bd82_f72e7a00cdd6","iCat")</x:f>
      </x:c>
      <x:c r="M218" s="0" t="s">
        <x:v>21</x:v>
      </x:c>
      <x:c r="N218" s="0" t="s">
        <x:v>46</x:v>
      </x:c>
    </x:row>
    <x:row r="219" spans="1:16">
      <x:c r="A219" s="0" t="s">
        <x:v>846</x:v>
      </x:c>
      <x:c r="B219" s="0" t="s">
        <x:v>847</x:v>
      </x:c>
      <x:c r="C219" s="0" t="s">
        <x:v>848</x:v>
      </x:c>
      <x:c r="E219" s="0" t="s">
        <x:v>849</x:v>
      </x:c>
      <x:c r="F219" s="0" t="s">
        <x:v>45</x:v>
      </x:c>
      <x:c r="G219" s="0" t="s">
        <x:v>19</x:v>
      </x:c>
      <x:c r="H219" s="0" t="s">
        <x:v>20</x:v>
      </x:c>
      <x:c r="I219" s="0" t="s">
        <x:v>21</x:v>
      </x:c>
      <x:c r="K219" s="0">
        <x:f>hyperlink("https://icd.who.int/dev11/l-ichi/en#/http%3A%2F%2Fid.who.int%2Ficd%2Fentity%2F2002389138","browser")</x:f>
      </x:c>
      <x:c r="L219" s="0">
        <x:f>hyperlink("https://icat2.azurewebsites.net/icat/?ontology=ICD&amp;tab=ClassesTab&amp;id=http%3A%2F%2Fwho.int%2Ficd%231080_c1eb5896_b43e_4531_bd82_f72e7a00cdd6","iCat")</x:f>
      </x:c>
      <x:c r="M219" s="0" t="s">
        <x:v>21</x:v>
      </x:c>
      <x:c r="N219" s="0" t="s">
        <x:v>46</x:v>
      </x:c>
    </x:row>
    <x:row r="220" spans="1:16">
      <x:c r="A220" s="0" t="s">
        <x:v>850</x:v>
      </x:c>
      <x:c r="B220" s="0" t="s">
        <x:v>851</x:v>
      </x:c>
      <x:c r="C220" s="0" t="s">
        <x:v>852</x:v>
      </x:c>
      <x:c r="E220" s="0" t="s">
        <x:v>853</x:v>
      </x:c>
      <x:c r="F220" s="0" t="s">
        <x:v>45</x:v>
      </x:c>
      <x:c r="G220" s="0" t="s">
        <x:v>19</x:v>
      </x:c>
      <x:c r="H220" s="0" t="s">
        <x:v>20</x:v>
      </x:c>
      <x:c r="I220" s="0" t="s">
        <x:v>21</x:v>
      </x:c>
      <x:c r="K220" s="0">
        <x:f>hyperlink("https://icd.who.int/dev11/l-ichi/en#/http%3A%2F%2Fid.who.int%2Ficd%2Fentity%2F1113443560","browser")</x:f>
      </x:c>
      <x:c r="L220" s="0">
        <x:f>hyperlink("https://icat2.azurewebsites.net/icat/?ontology=ICD&amp;tab=ClassesTab&amp;id=http%3A%2F%2Fwho.int%2Ficd%231084_c1eb5896_b43e_4531_bd82_f72e7a00cdd6","iCat")</x:f>
      </x:c>
      <x:c r="M220" s="0" t="s">
        <x:v>21</x:v>
      </x:c>
      <x:c r="N220" s="0" t="s">
        <x:v>46</x:v>
      </x:c>
    </x:row>
    <x:row r="221" spans="1:16">
      <x:c r="A221" s="0" t="s">
        <x:v>854</x:v>
      </x:c>
      <x:c r="B221" s="0" t="s">
        <x:v>855</x:v>
      </x:c>
      <x:c r="E221" s="0" t="s">
        <x:v>856</x:v>
      </x:c>
      <x:c r="F221" s="0" t="s">
        <x:v>26</x:v>
      </x:c>
      <x:c r="G221" s="0" t="s">
        <x:v>22</x:v>
      </x:c>
      <x:c r="H221" s="0" t="s">
        <x:v>20</x:v>
      </x:c>
      <x:c r="I221" s="0" t="s">
        <x:v>21</x:v>
      </x:c>
      <x:c r="K221" s="0">
        <x:f>hyperlink("https://icd.who.int/dev11/l-ichi/en#/http%3A%2F%2Fid.who.int%2Ficd%2Fentity%2F421661691","browser")</x:f>
      </x:c>
      <x:c r="L221" s="0">
        <x:f>hyperlink("https://icat2.azurewebsites.net/icat/?ontology=ICD&amp;tab=ClassesTab&amp;id=http%3A%2F%2Fwho.int%2Ficd%231089_c1eb5896_b43e_4531_bd82_f72e7a00cdd6","iCat")</x:f>
      </x:c>
      <x:c r="M221" s="0" t="s">
        <x:v>20</x:v>
      </x:c>
      <x:c r="N221" s="0" t="s">
        <x:v>30</x:v>
      </x:c>
    </x:row>
    <x:row r="222" spans="1:16">
      <x:c r="A222" s="0" t="s">
        <x:v>857</x:v>
      </x:c>
      <x:c r="B222" s="0" t="s">
        <x:v>858</x:v>
      </x:c>
      <x:c r="C222" s="0" t="s">
        <x:v>859</x:v>
      </x:c>
      <x:c r="E222" s="0" t="s">
        <x:v>860</x:v>
      </x:c>
      <x:c r="F222" s="0" t="s">
        <x:v>45</x:v>
      </x:c>
      <x:c r="G222" s="0" t="s">
        <x:v>19</x:v>
      </x:c>
      <x:c r="H222" s="0" t="s">
        <x:v>20</x:v>
      </x:c>
      <x:c r="I222" s="0" t="s">
        <x:v>21</x:v>
      </x:c>
      <x:c r="K222" s="0">
        <x:f>hyperlink("https://icd.who.int/dev11/l-ichi/en#/http%3A%2F%2Fid.who.int%2Ficd%2Fentity%2F970684871","browser")</x:f>
      </x:c>
      <x:c r="L222" s="0">
        <x:f>hyperlink("https://icat2.azurewebsites.net/icat/?ontology=ICD&amp;tab=ClassesTab&amp;id=http%3A%2F%2Fwho.int%2Ficd%231088_c1eb5896_b43e_4531_bd82_f72e7a00cdd6","iCat")</x:f>
      </x:c>
      <x:c r="M222" s="0" t="s">
        <x:v>21</x:v>
      </x:c>
      <x:c r="N222" s="0" t="s">
        <x:v>46</x:v>
      </x:c>
    </x:row>
    <x:row r="223" spans="1:16">
      <x:c r="A223" s="0" t="s">
        <x:v>861</x:v>
      </x:c>
      <x:c r="B223" s="0" t="s">
        <x:v>862</x:v>
      </x:c>
      <x:c r="C223" s="0" t="s">
        <x:v>863</x:v>
      </x:c>
      <x:c r="E223" s="0" t="s">
        <x:v>864</x:v>
      </x:c>
      <x:c r="F223" s="0" t="s">
        <x:v>45</x:v>
      </x:c>
      <x:c r="G223" s="0" t="s">
        <x:v>19</x:v>
      </x:c>
      <x:c r="H223" s="0" t="s">
        <x:v>20</x:v>
      </x:c>
      <x:c r="I223" s="0" t="s">
        <x:v>21</x:v>
      </x:c>
      <x:c r="K223" s="0">
        <x:f>hyperlink("https://icd.who.int/dev11/l-ichi/en#/http%3A%2F%2Fid.who.int%2Ficd%2Fentity%2F1483864114","browser")</x:f>
      </x:c>
      <x:c r="L223" s="0">
        <x:f>hyperlink("https://icat2.azurewebsites.net/icat/?ontology=ICD&amp;tab=ClassesTab&amp;id=http%3A%2F%2Fwho.int%2Ficd%231103_c1eb5896_b43e_4531_bd82_f72e7a00cdd6","iCat")</x:f>
      </x:c>
      <x:c r="M223" s="0" t="s">
        <x:v>21</x:v>
      </x:c>
      <x:c r="N223" s="0" t="s">
        <x:v>46</x:v>
      </x:c>
    </x:row>
    <x:row r="224" spans="1:16">
      <x:c r="A224" s="0" t="s">
        <x:v>865</x:v>
      </x:c>
      <x:c r="B224" s="0" t="s">
        <x:v>866</x:v>
      </x:c>
      <x:c r="E224" s="0" t="s">
        <x:v>867</x:v>
      </x:c>
      <x:c r="F224" s="0" t="s">
        <x:v>26</x:v>
      </x:c>
      <x:c r="G224" s="0" t="s">
        <x:v>22</x:v>
      </x:c>
      <x:c r="H224" s="0" t="s">
        <x:v>20</x:v>
      </x:c>
      <x:c r="I224" s="0" t="s">
        <x:v>21</x:v>
      </x:c>
      <x:c r="K224" s="0">
        <x:f>hyperlink("https://icd.who.int/dev11/l-ichi/en#/http%3A%2F%2Fid.who.int%2Ficd%2Fentity%2F1400235680","browser")</x:f>
      </x:c>
      <x:c r="L224" s="0">
        <x:f>hyperlink("https://icat2.azurewebsites.net/icat/?ontology=ICD&amp;tab=ClassesTab&amp;id=http%3A%2F%2Fwho.int%2Ficd%231108_c1eb5896_b43e_4531_bd82_f72e7a00cdd6","iCat")</x:f>
      </x:c>
      <x:c r="M224" s="0" t="s">
        <x:v>20</x:v>
      </x:c>
      <x:c r="N224" s="0" t="s">
        <x:v>30</x:v>
      </x:c>
    </x:row>
    <x:row r="225" spans="1:16">
      <x:c r="A225" s="0" t="s">
        <x:v>868</x:v>
      </x:c>
      <x:c r="B225" s="0" t="s">
        <x:v>869</x:v>
      </x:c>
      <x:c r="C225" s="0" t="s">
        <x:v>870</x:v>
      </x:c>
      <x:c r="E225" s="0" t="s">
        <x:v>871</x:v>
      </x:c>
      <x:c r="F225" s="0" t="s">
        <x:v>45</x:v>
      </x:c>
      <x:c r="G225" s="0" t="s">
        <x:v>19</x:v>
      </x:c>
      <x:c r="H225" s="0" t="s">
        <x:v>20</x:v>
      </x:c>
      <x:c r="I225" s="0" t="s">
        <x:v>21</x:v>
      </x:c>
      <x:c r="K225" s="0">
        <x:f>hyperlink("https://icd.who.int/dev11/l-ichi/en#/http%3A%2F%2Fid.who.int%2Ficd%2Fentity%2F1836465224","browser")</x:f>
      </x:c>
      <x:c r="L225" s="0">
        <x:f>hyperlink("https://icat2.azurewebsites.net/icat/?ontology=ICD&amp;tab=ClassesTab&amp;id=http%3A%2F%2Fwho.int%2Ficd%231107_c1eb5896_b43e_4531_bd82_f72e7a00cdd6","iCat")</x:f>
      </x:c>
      <x:c r="M225" s="0" t="s">
        <x:v>21</x:v>
      </x:c>
      <x:c r="N225" s="0" t="s">
        <x:v>46</x:v>
      </x:c>
    </x:row>
    <x:row r="226" spans="1:16">
      <x:c r="A226" s="0" t="s">
        <x:v>872</x:v>
      </x:c>
      <x:c r="B226" s="0" t="s">
        <x:v>873</x:v>
      </x:c>
      <x:c r="C226" s="0" t="s">
        <x:v>874</x:v>
      </x:c>
      <x:c r="E226" s="0" t="s">
        <x:v>875</x:v>
      </x:c>
      <x:c r="F226" s="0" t="s">
        <x:v>45</x:v>
      </x:c>
      <x:c r="G226" s="0" t="s">
        <x:v>19</x:v>
      </x:c>
      <x:c r="H226" s="0" t="s">
        <x:v>20</x:v>
      </x:c>
      <x:c r="I226" s="0" t="s">
        <x:v>21</x:v>
      </x:c>
      <x:c r="K226" s="0">
        <x:f>hyperlink("https://icd.who.int/dev11/l-ichi/en#/http%3A%2F%2Fid.who.int%2Ficd%2Fentity%2F129214737","browser")</x:f>
      </x:c>
      <x:c r="L226" s="0">
        <x:f>hyperlink("https://icat2.azurewebsites.net/icat/?ontology=ICD&amp;tab=ClassesTab&amp;id=http%3A%2F%2Fwho.int%2Ficd%231117_c1eb5896_b43e_4531_bd82_f72e7a00cdd6","iCat")</x:f>
      </x:c>
      <x:c r="M226" s="0" t="s">
        <x:v>21</x:v>
      </x:c>
      <x:c r="N226" s="0" t="s">
        <x:v>46</x:v>
      </x:c>
    </x:row>
    <x:row r="227" spans="1:16">
      <x:c r="A227" s="0" t="s">
        <x:v>876</x:v>
      </x:c>
      <x:c r="B227" s="0" t="s">
        <x:v>877</x:v>
      </x:c>
      <x:c r="E227" s="0" t="s">
        <x:v>878</x:v>
      </x:c>
      <x:c r="F227" s="0" t="s">
        <x:v>26</x:v>
      </x:c>
      <x:c r="G227" s="0" t="s">
        <x:v>22</x:v>
      </x:c>
      <x:c r="H227" s="0" t="s">
        <x:v>20</x:v>
      </x:c>
      <x:c r="I227" s="0" t="s">
        <x:v>21</x:v>
      </x:c>
      <x:c r="K227" s="0">
        <x:f>hyperlink("https://icd.who.int/dev11/l-ichi/en#/http%3A%2F%2Fid.who.int%2Ficd%2Fentity%2F1392271198","browser")</x:f>
      </x:c>
      <x:c r="L227" s="0">
        <x:f>hyperlink("https://icat2.azurewebsites.net/icat/?ontology=ICD&amp;tab=ClassesTab&amp;id=http%3A%2F%2Fwho.int%2Ficd%231122_c1eb5896_b43e_4531_bd82_f72e7a00cdd6","iCat")</x:f>
      </x:c>
      <x:c r="M227" s="0" t="s">
        <x:v>20</x:v>
      </x:c>
      <x:c r="N227" s="0" t="s">
        <x:v>35</x:v>
      </x:c>
    </x:row>
    <x:row r="228" spans="1:16">
      <x:c r="A228" s="0" t="s">
        <x:v>879</x:v>
      </x:c>
      <x:c r="B228" s="0" t="s">
        <x:v>880</x:v>
      </x:c>
      <x:c r="C228" s="0" t="s">
        <x:v>881</x:v>
      </x:c>
      <x:c r="E228" s="0" t="s">
        <x:v>882</x:v>
      </x:c>
      <x:c r="F228" s="0" t="s">
        <x:v>45</x:v>
      </x:c>
      <x:c r="G228" s="0" t="s">
        <x:v>19</x:v>
      </x:c>
      <x:c r="H228" s="0" t="s">
        <x:v>20</x:v>
      </x:c>
      <x:c r="I228" s="0" t="s">
        <x:v>21</x:v>
      </x:c>
      <x:c r="K228" s="0">
        <x:f>hyperlink("https://icd.who.int/dev11/l-ichi/en#/http%3A%2F%2Fid.who.int%2Ficd%2Fentity%2F393818279","browser")</x:f>
      </x:c>
      <x:c r="L228" s="0">
        <x:f>hyperlink("https://icat2.azurewebsites.net/icat/?ontology=ICD&amp;tab=ClassesTab&amp;id=http%3A%2F%2Fwho.int%2Ficd%231121_c1eb5896_b43e_4531_bd82_f72e7a00cdd6","iCat")</x:f>
      </x:c>
      <x:c r="M228" s="0" t="s">
        <x:v>21</x:v>
      </x:c>
      <x:c r="N228" s="0" t="s">
        <x:v>46</x:v>
      </x:c>
    </x:row>
    <x:row r="229" spans="1:16">
      <x:c r="A229" s="0" t="s">
        <x:v>883</x:v>
      </x:c>
      <x:c r="B229" s="0" t="s">
        <x:v>884</x:v>
      </x:c>
      <x:c r="C229" s="0" t="s">
        <x:v>885</x:v>
      </x:c>
      <x:c r="E229" s="0" t="s">
        <x:v>886</x:v>
      </x:c>
      <x:c r="F229" s="0" t="s">
        <x:v>45</x:v>
      </x:c>
      <x:c r="G229" s="0" t="s">
        <x:v>19</x:v>
      </x:c>
      <x:c r="H229" s="0" t="s">
        <x:v>20</x:v>
      </x:c>
      <x:c r="I229" s="0" t="s">
        <x:v>21</x:v>
      </x:c>
      <x:c r="K229" s="0">
        <x:f>hyperlink("https://icd.who.int/dev11/l-ichi/en#/http%3A%2F%2Fid.who.int%2Ficd%2Fentity%2F2109515250","browser")</x:f>
      </x:c>
      <x:c r="L229" s="0">
        <x:f>hyperlink("https://icat2.azurewebsites.net/icat/?ontology=ICD&amp;tab=ClassesTab&amp;id=http%3A%2F%2Fwho.int%2Ficd%231131_c1eb5896_b43e_4531_bd82_f72e7a00cdd6","iCat")</x:f>
      </x:c>
      <x:c r="M229" s="0" t="s">
        <x:v>21</x:v>
      </x:c>
      <x:c r="N229" s="0" t="s">
        <x:v>46</x:v>
      </x:c>
    </x:row>
    <x:row r="230" spans="1:16">
      <x:c r="A230" s="0" t="s">
        <x:v>887</x:v>
      </x:c>
      <x:c r="B230" s="0" t="s">
        <x:v>888</x:v>
      </x:c>
      <x:c r="C230" s="0" t="s">
        <x:v>889</x:v>
      </x:c>
      <x:c r="E230" s="0" t="s">
        <x:v>890</x:v>
      </x:c>
      <x:c r="F230" s="0" t="s">
        <x:v>45</x:v>
      </x:c>
      <x:c r="G230" s="0" t="s">
        <x:v>19</x:v>
      </x:c>
      <x:c r="H230" s="0" t="s">
        <x:v>20</x:v>
      </x:c>
      <x:c r="I230" s="0" t="s">
        <x:v>21</x:v>
      </x:c>
      <x:c r="K230" s="0">
        <x:f>hyperlink("https://icd.who.int/dev11/l-ichi/en#/http%3A%2F%2Fid.who.int%2Ficd%2Fentity%2F801024522","browser")</x:f>
      </x:c>
      <x:c r="L230" s="0">
        <x:f>hyperlink("https://icat2.azurewebsites.net/icat/?ontology=ICD&amp;tab=ClassesTab&amp;id=http%3A%2F%2Fwho.int%2Ficd%2329_d85a204c_d00a_4566_a3b7_2d137a1891cf","iCat")</x:f>
      </x:c>
      <x:c r="M230" s="0" t="s">
        <x:v>21</x:v>
      </x:c>
      <x:c r="N230" s="0" t="s">
        <x:v>46</x:v>
      </x:c>
    </x:row>
    <x:row r="231" spans="1:16">
      <x:c r="B231" s="0" t="s">
        <x:v>891</x:v>
      </x:c>
      <x:c r="C231" s="0" t="s">
        <x:v>892</x:v>
      </x:c>
      <x:c r="E231" s="0" t="s">
        <x:v>893</x:v>
      </x:c>
      <x:c r="F231" s="0" t="s">
        <x:v>45</x:v>
      </x:c>
      <x:c r="G231" s="0" t="s">
        <x:v>19</x:v>
      </x:c>
      <x:c r="H231" s="0" t="s">
        <x:v>21</x:v>
      </x:c>
      <x:c r="I231" s="0" t="s">
        <x:v>21</x:v>
      </x:c>
      <x:c r="K231" s="0">
        <x:f>hyperlink("https://icd.who.int/dev11/l-ichi/en#/http%3A%2F%2Fid.who.int%2Ficd%2Fentity%2F802058050%2Fichi%2Fother","browser")</x:f>
      </x:c>
      <x:c r="L231" s="0">
        <x:f>hyperlink("","iCat")</x:f>
      </x:c>
      <x:c r="M231" s="0" t="s">
        <x:v>21</x:v>
      </x:c>
      <x:c r="N231" s="0" t="s">
        <x:v>46</x:v>
      </x:c>
    </x:row>
    <x:row r="232" spans="1:16">
      <x:c r="B232" s="0" t="s">
        <x:v>894</x:v>
      </x:c>
      <x:c r="C232" s="0" t="s">
        <x:v>895</x:v>
      </x:c>
      <x:c r="E232" s="0" t="s">
        <x:v>896</x:v>
      </x:c>
      <x:c r="F232" s="0" t="s">
        <x:v>45</x:v>
      </x:c>
      <x:c r="G232" s="0" t="s">
        <x:v>19</x:v>
      </x:c>
      <x:c r="H232" s="0" t="s">
        <x:v>21</x:v>
      </x:c>
      <x:c r="I232" s="0" t="s">
        <x:v>21</x:v>
      </x:c>
      <x:c r="K232" s="0">
        <x:f>hyperlink("https://icd.who.int/dev11/l-ichi/en#/http%3A%2F%2Fid.who.int%2Ficd%2Fentity%2F802058050%2Fichi%2Funspecified","browser")</x:f>
      </x:c>
      <x:c r="L232" s="0">
        <x:f>hyperlink("","iCat")</x:f>
      </x:c>
      <x:c r="M232" s="0" t="s">
        <x:v>21</x:v>
      </x:c>
      <x:c r="N232" s="0" t="s">
        <x:v>46</x:v>
      </x:c>
    </x:row>
    <x:row r="233" spans="1:16">
      <x:c r="A233" s="0" t="s">
        <x:v>897</x:v>
      </x:c>
      <x:c r="B233" s="0" t="s">
        <x:v>898</x:v>
      </x:c>
      <x:c r="E233" s="0" t="s">
        <x:v>899</x:v>
      </x:c>
      <x:c r="F233" s="0" t="s">
        <x:v>26</x:v>
      </x:c>
      <x:c r="G233" s="0" t="s">
        <x:v>35</x:v>
      </x:c>
      <x:c r="H233" s="0" t="s">
        <x:v>20</x:v>
      </x:c>
      <x:c r="I233" s="0" t="s">
        <x:v>21</x:v>
      </x:c>
      <x:c r="K233" s="0">
        <x:f>hyperlink("https://icd.who.int/dev11/l-ichi/en#/http%3A%2F%2Fid.who.int%2Ficd%2Fentity%2F1838400728","browser")</x:f>
      </x:c>
      <x:c r="L233" s="0">
        <x:f>hyperlink("https://icat2.azurewebsites.net/icat/?ontology=ICD&amp;tab=ClassesTab&amp;id=http%3A%2F%2Fwho.int%2Ficd%231140_c1eb5896_b43e_4531_bd82_f72e7a00cdd6","iCat")</x:f>
      </x:c>
      <x:c r="M233" s="0" t="s">
        <x:v>20</x:v>
      </x:c>
      <x:c r="N233" s="0" t="s">
        <x:v>40</x:v>
      </x:c>
    </x:row>
    <x:row r="234" spans="1:16">
      <x:c r="A234" s="0" t="s">
        <x:v>900</x:v>
      </x:c>
      <x:c r="B234" s="0" t="s">
        <x:v>901</x:v>
      </x:c>
      <x:c r="E234" s="0" t="s">
        <x:v>902</x:v>
      </x:c>
      <x:c r="F234" s="0" t="s">
        <x:v>26</x:v>
      </x:c>
      <x:c r="G234" s="0" t="s">
        <x:v>22</x:v>
      </x:c>
      <x:c r="H234" s="0" t="s">
        <x:v>20</x:v>
      </x:c>
      <x:c r="I234" s="0" t="s">
        <x:v>21</x:v>
      </x:c>
      <x:c r="K234" s="0">
        <x:f>hyperlink("https://icd.who.int/dev11/l-ichi/en#/http%3A%2F%2Fid.who.int%2Ficd%2Fentity%2F1038622055","browser")</x:f>
      </x:c>
      <x:c r="L234" s="0">
        <x:f>hyperlink("https://icat2.azurewebsites.net/icat/?ontology=ICD&amp;tab=ClassesTab&amp;id=http%3A%2F%2Fwho.int%2Ficd%231146_c1eb5896_b43e_4531_bd82_f72e7a00cdd6","iCat")</x:f>
      </x:c>
      <x:c r="M234" s="0" t="s">
        <x:v>20</x:v>
      </x:c>
      <x:c r="N234" s="0" t="s">
        <x:v>903</x:v>
      </x:c>
    </x:row>
    <x:row r="235" spans="1:16">
      <x:c r="A235" s="0" t="s">
        <x:v>904</x:v>
      </x:c>
      <x:c r="B235" s="0" t="s">
        <x:v>905</x:v>
      </x:c>
      <x:c r="C235" s="0" t="s">
        <x:v>906</x:v>
      </x:c>
      <x:c r="E235" s="0" t="s">
        <x:v>907</x:v>
      </x:c>
      <x:c r="F235" s="0" t="s">
        <x:v>45</x:v>
      </x:c>
      <x:c r="G235" s="0" t="s">
        <x:v>19</x:v>
      </x:c>
      <x:c r="H235" s="0" t="s">
        <x:v>20</x:v>
      </x:c>
      <x:c r="I235" s="0" t="s">
        <x:v>21</x:v>
      </x:c>
      <x:c r="K235" s="0">
        <x:f>hyperlink("https://icd.who.int/dev11/l-ichi/en#/http%3A%2F%2Fid.who.int%2Ficd%2Fentity%2F859690149","browser")</x:f>
      </x:c>
      <x:c r="L235" s="0">
        <x:f>hyperlink("https://icat2.azurewebsites.net/icat/?ontology=ICD&amp;tab=ClassesTab&amp;id=http%3A%2F%2Fwho.int%2Ficd%231139_c1eb5896_b43e_4531_bd82_f72e7a00cdd6","iCat")</x:f>
      </x:c>
      <x:c r="M235" s="0" t="s">
        <x:v>21</x:v>
      </x:c>
      <x:c r="N235" s="0" t="s">
        <x:v>46</x:v>
      </x:c>
    </x:row>
    <x:row r="236" spans="1:16">
      <x:c r="A236" s="0" t="s">
        <x:v>908</x:v>
      </x:c>
      <x:c r="B236" s="0" t="s">
        <x:v>909</x:v>
      </x:c>
      <x:c r="C236" s="0" t="s">
        <x:v>910</x:v>
      </x:c>
      <x:c r="E236" s="0" t="s">
        <x:v>911</x:v>
      </x:c>
      <x:c r="F236" s="0" t="s">
        <x:v>45</x:v>
      </x:c>
      <x:c r="G236" s="0" t="s">
        <x:v>19</x:v>
      </x:c>
      <x:c r="H236" s="0" t="s">
        <x:v>20</x:v>
      </x:c>
      <x:c r="I236" s="0" t="s">
        <x:v>21</x:v>
      </x:c>
      <x:c r="K236" s="0">
        <x:f>hyperlink("https://icd.who.int/dev11/l-ichi/en#/http%3A%2F%2Fid.who.int%2Ficd%2Fentity%2F313059273","browser")</x:f>
      </x:c>
      <x:c r="L236" s="0">
        <x:f>hyperlink("https://icat2.azurewebsites.net/icat/?ontology=ICD&amp;tab=ClassesTab&amp;id=http%3A%2F%2Fwho.int%2Ficd%231155_c1eb5896_b43e_4531_bd82_f72e7a00cdd6","iCat")</x:f>
      </x:c>
      <x:c r="M236" s="0" t="s">
        <x:v>21</x:v>
      </x:c>
      <x:c r="N236" s="0" t="s">
        <x:v>46</x:v>
      </x:c>
    </x:row>
    <x:row r="237" spans="1:16">
      <x:c r="A237" s="0" t="s">
        <x:v>912</x:v>
      </x:c>
      <x:c r="B237" s="0" t="s">
        <x:v>913</x:v>
      </x:c>
      <x:c r="C237" s="0" t="s">
        <x:v>914</x:v>
      </x:c>
      <x:c r="E237" s="0" t="s">
        <x:v>915</x:v>
      </x:c>
      <x:c r="F237" s="0" t="s">
        <x:v>45</x:v>
      </x:c>
      <x:c r="G237" s="0" t="s">
        <x:v>19</x:v>
      </x:c>
      <x:c r="H237" s="0" t="s">
        <x:v>20</x:v>
      </x:c>
      <x:c r="I237" s="0" t="s">
        <x:v>21</x:v>
      </x:c>
      <x:c r="K237" s="0">
        <x:f>hyperlink("https://icd.who.int/dev11/l-ichi/en#/http%3A%2F%2Fid.who.int%2Ficd%2Fentity%2F1764643560","browser")</x:f>
      </x:c>
      <x:c r="L237" s="0">
        <x:f>hyperlink("https://icat2.azurewebsites.net/icat/?ontology=ICD&amp;tab=ClassesTab&amp;id=http%3A%2F%2Fwho.int%2Ficd%231159_c1eb5896_b43e_4531_bd82_f72e7a00cdd6","iCat")</x:f>
      </x:c>
      <x:c r="M237" s="0" t="s">
        <x:v>21</x:v>
      </x:c>
      <x:c r="N237" s="0" t="s">
        <x:v>46</x:v>
      </x:c>
    </x:row>
    <x:row r="238" spans="1:16">
      <x:c r="A238" s="0" t="s">
        <x:v>916</x:v>
      </x:c>
      <x:c r="B238" s="0" t="s">
        <x:v>917</x:v>
      </x:c>
      <x:c r="C238" s="0" t="s">
        <x:v>918</x:v>
      </x:c>
      <x:c r="E238" s="0" t="s">
        <x:v>919</x:v>
      </x:c>
      <x:c r="F238" s="0" t="s">
        <x:v>45</x:v>
      </x:c>
      <x:c r="G238" s="0" t="s">
        <x:v>19</x:v>
      </x:c>
      <x:c r="H238" s="0" t="s">
        <x:v>20</x:v>
      </x:c>
      <x:c r="I238" s="0" t="s">
        <x:v>21</x:v>
      </x:c>
      <x:c r="K238" s="0">
        <x:f>hyperlink("https://icd.who.int/dev11/l-ichi/en#/http%3A%2F%2Fid.who.int%2Ficd%2Fentity%2F40009343","browser")</x:f>
      </x:c>
      <x:c r="L238" s="0">
        <x:f>hyperlink("https://icat2.azurewebsites.net/icat/?ontology=ICD&amp;tab=ClassesTab&amp;id=http%3A%2F%2Fwho.int%2Ficd%231163_c1eb5896_b43e_4531_bd82_f72e7a00cdd6","iCat")</x:f>
      </x:c>
      <x:c r="M238" s="0" t="s">
        <x:v>21</x:v>
      </x:c>
      <x:c r="N238" s="0" t="s">
        <x:v>46</x:v>
      </x:c>
    </x:row>
    <x:row r="239" spans="1:16">
      <x:c r="A239" s="0" t="s">
        <x:v>920</x:v>
      </x:c>
      <x:c r="B239" s="0" t="s">
        <x:v>921</x:v>
      </x:c>
      <x:c r="C239" s="0" t="s">
        <x:v>922</x:v>
      </x:c>
      <x:c r="E239" s="0" t="s">
        <x:v>923</x:v>
      </x:c>
      <x:c r="F239" s="0" t="s">
        <x:v>45</x:v>
      </x:c>
      <x:c r="G239" s="0" t="s">
        <x:v>19</x:v>
      </x:c>
      <x:c r="H239" s="0" t="s">
        <x:v>20</x:v>
      </x:c>
      <x:c r="I239" s="0" t="s">
        <x:v>21</x:v>
      </x:c>
      <x:c r="K239" s="0">
        <x:f>hyperlink("https://icd.who.int/dev11/l-ichi/en#/http%3A%2F%2Fid.who.int%2Ficd%2Fentity%2F929413643","browser")</x:f>
      </x:c>
      <x:c r="L239" s="0">
        <x:f>hyperlink("https://icat2.azurewebsites.net/icat/?ontology=ICD&amp;tab=ClassesTab&amp;id=http%3A%2F%2Fwho.int%2Ficd%231167_c1eb5896_b43e_4531_bd82_f72e7a00cdd6","iCat")</x:f>
      </x:c>
      <x:c r="M239" s="0" t="s">
        <x:v>21</x:v>
      </x:c>
      <x:c r="N239" s="0" t="s">
        <x:v>46</x:v>
      </x:c>
    </x:row>
    <x:row r="240" spans="1:16">
      <x:c r="A240" s="0" t="s">
        <x:v>924</x:v>
      </x:c>
      <x:c r="B240" s="0" t="s">
        <x:v>925</x:v>
      </x:c>
      <x:c r="C240" s="0" t="s">
        <x:v>926</x:v>
      </x:c>
      <x:c r="E240" s="0" t="s">
        <x:v>927</x:v>
      </x:c>
      <x:c r="F240" s="0" t="s">
        <x:v>45</x:v>
      </x:c>
      <x:c r="G240" s="0" t="s">
        <x:v>19</x:v>
      </x:c>
      <x:c r="H240" s="0" t="s">
        <x:v>20</x:v>
      </x:c>
      <x:c r="I240" s="0" t="s">
        <x:v>21</x:v>
      </x:c>
      <x:c r="K240" s="0">
        <x:f>hyperlink("https://icd.who.int/dev11/l-ichi/en#/http%3A%2F%2Fid.who.int%2Ficd%2Fentity%2F232519405","browser")</x:f>
      </x:c>
      <x:c r="L240" s="0">
        <x:f>hyperlink("https://icat2.azurewebsites.net/icat/?ontology=ICD&amp;tab=ClassesTab&amp;id=http%3A%2F%2Fwho.int%2Ficd%231171_c1eb5896_b43e_4531_bd82_f72e7a00cdd6","iCat")</x:f>
      </x:c>
      <x:c r="M240" s="0" t="s">
        <x:v>21</x:v>
      </x:c>
      <x:c r="N240" s="0" t="s">
        <x:v>46</x:v>
      </x:c>
    </x:row>
    <x:row r="241" spans="1:16">
      <x:c r="A241" s="0" t="s">
        <x:v>928</x:v>
      </x:c>
      <x:c r="B241" s="0" t="s">
        <x:v>929</x:v>
      </x:c>
      <x:c r="C241" s="0" t="s">
        <x:v>930</x:v>
      </x:c>
      <x:c r="E241" s="0" t="s">
        <x:v>931</x:v>
      </x:c>
      <x:c r="F241" s="0" t="s">
        <x:v>45</x:v>
      </x:c>
      <x:c r="G241" s="0" t="s">
        <x:v>19</x:v>
      </x:c>
      <x:c r="H241" s="0" t="s">
        <x:v>20</x:v>
      </x:c>
      <x:c r="I241" s="0" t="s">
        <x:v>21</x:v>
      </x:c>
      <x:c r="K241" s="0">
        <x:f>hyperlink("https://icd.who.int/dev11/l-ichi/en#/http%3A%2F%2Fid.who.int%2Ficd%2Fentity%2F953954969","browser")</x:f>
      </x:c>
      <x:c r="L241" s="0">
        <x:f>hyperlink("https://icat2.azurewebsites.net/icat/?ontology=ICD&amp;tab=ClassesTab&amp;id=http%3A%2F%2Fwho.int%2Ficd%231175_c1eb5896_b43e_4531_bd82_f72e7a00cdd6","iCat")</x:f>
      </x:c>
      <x:c r="M241" s="0" t="s">
        <x:v>21</x:v>
      </x:c>
      <x:c r="N241" s="0" t="s">
        <x:v>46</x:v>
      </x:c>
    </x:row>
    <x:row r="242" spans="1:16">
      <x:c r="A242" s="0" t="s">
        <x:v>932</x:v>
      </x:c>
      <x:c r="B242" s="0" t="s">
        <x:v>933</x:v>
      </x:c>
      <x:c r="C242" s="0" t="s">
        <x:v>934</x:v>
      </x:c>
      <x:c r="E242" s="0" t="s">
        <x:v>935</x:v>
      </x:c>
      <x:c r="F242" s="0" t="s">
        <x:v>45</x:v>
      </x:c>
      <x:c r="G242" s="0" t="s">
        <x:v>19</x:v>
      </x:c>
      <x:c r="H242" s="0" t="s">
        <x:v>20</x:v>
      </x:c>
      <x:c r="I242" s="0" t="s">
        <x:v>21</x:v>
      </x:c>
      <x:c r="K242" s="0">
        <x:f>hyperlink("https://icd.who.int/dev11/l-ichi/en#/http%3A%2F%2Fid.who.int%2Ficd%2Fentity%2F1130006458","browser")</x:f>
      </x:c>
      <x:c r="L242" s="0">
        <x:f>hyperlink("https://icat2.azurewebsites.net/icat/?ontology=ICD&amp;tab=ClassesTab&amp;id=http%3A%2F%2Fwho.int%2Ficd%231179_c1eb5896_b43e_4531_bd82_f72e7a00cdd6","iCat")</x:f>
      </x:c>
      <x:c r="M242" s="0" t="s">
        <x:v>21</x:v>
      </x:c>
      <x:c r="N242" s="0" t="s">
        <x:v>46</x:v>
      </x:c>
    </x:row>
    <x:row r="243" spans="1:16">
      <x:c r="A243" s="0" t="s">
        <x:v>936</x:v>
      </x:c>
      <x:c r="B243" s="0" t="s">
        <x:v>937</x:v>
      </x:c>
      <x:c r="C243" s="0" t="s">
        <x:v>938</x:v>
      </x:c>
      <x:c r="E243" s="0" t="s">
        <x:v>939</x:v>
      </x:c>
      <x:c r="F243" s="0" t="s">
        <x:v>45</x:v>
      </x:c>
      <x:c r="G243" s="0" t="s">
        <x:v>19</x:v>
      </x:c>
      <x:c r="H243" s="0" t="s">
        <x:v>20</x:v>
      </x:c>
      <x:c r="I243" s="0" t="s">
        <x:v>21</x:v>
      </x:c>
      <x:c r="K243" s="0">
        <x:f>hyperlink("https://icd.who.int/dev11/l-ichi/en#/http%3A%2F%2Fid.who.int%2Ficd%2Fentity%2F1195418104","browser")</x:f>
      </x:c>
      <x:c r="L243" s="0">
        <x:f>hyperlink("https://icat2.azurewebsites.net/icat/?ontology=ICD&amp;tab=ClassesTab&amp;id=http%3A%2F%2Fwho.int%2Ficd%231183_c1eb5896_b43e_4531_bd82_f72e7a00cdd6","iCat")</x:f>
      </x:c>
      <x:c r="M243" s="0" t="s">
        <x:v>21</x:v>
      </x:c>
      <x:c r="N243" s="0" t="s">
        <x:v>46</x:v>
      </x:c>
    </x:row>
    <x:row r="244" spans="1:16">
      <x:c r="A244" s="0" t="s">
        <x:v>940</x:v>
      </x:c>
      <x:c r="B244" s="0" t="s">
        <x:v>941</x:v>
      </x:c>
      <x:c r="C244" s="0" t="s">
        <x:v>942</x:v>
      </x:c>
      <x:c r="E244" s="0" t="s">
        <x:v>943</x:v>
      </x:c>
      <x:c r="F244" s="0" t="s">
        <x:v>45</x:v>
      </x:c>
      <x:c r="G244" s="0" t="s">
        <x:v>19</x:v>
      </x:c>
      <x:c r="H244" s="0" t="s">
        <x:v>20</x:v>
      </x:c>
      <x:c r="I244" s="0" t="s">
        <x:v>21</x:v>
      </x:c>
      <x:c r="K244" s="0">
        <x:f>hyperlink("https://icd.who.int/dev11/l-ichi/en#/http%3A%2F%2Fid.who.int%2Ficd%2Fentity%2F1917281666","browser")</x:f>
      </x:c>
      <x:c r="L244" s="0">
        <x:f>hyperlink("https://icat2.azurewebsites.net/icat/?ontology=ICD&amp;tab=ClassesTab&amp;id=http%3A%2F%2Fwho.int%2Ficd%231187_c1eb5896_b43e_4531_bd82_f72e7a00cdd6","iCat")</x:f>
      </x:c>
      <x:c r="M244" s="0" t="s">
        <x:v>21</x:v>
      </x:c>
      <x:c r="N244" s="0" t="s">
        <x:v>46</x:v>
      </x:c>
    </x:row>
    <x:row r="245" spans="1:16">
      <x:c r="A245" s="0" t="s">
        <x:v>944</x:v>
      </x:c>
      <x:c r="B245" s="0" t="s">
        <x:v>945</x:v>
      </x:c>
      <x:c r="E245" s="0" t="s">
        <x:v>946</x:v>
      </x:c>
      <x:c r="F245" s="0" t="s">
        <x:v>26</x:v>
      </x:c>
      <x:c r="G245" s="0" t="s">
        <x:v>22</x:v>
      </x:c>
      <x:c r="H245" s="0" t="s">
        <x:v>20</x:v>
      </x:c>
      <x:c r="I245" s="0" t="s">
        <x:v>21</x:v>
      </x:c>
      <x:c r="K245" s="0">
        <x:f>hyperlink("https://icd.who.int/dev11/l-ichi/en#/http%3A%2F%2Fid.who.int%2Ficd%2Fentity%2F763704481","browser")</x:f>
      </x:c>
      <x:c r="L245" s="0">
        <x:f>hyperlink("https://icat2.azurewebsites.net/icat/?ontology=ICD&amp;tab=ClassesTab&amp;id=http%3A%2F%2Fwho.int%2Ficd%231193_c1eb5896_b43e_4531_bd82_f72e7a00cdd6","iCat")</x:f>
      </x:c>
      <x:c r="M245" s="0" t="s">
        <x:v>20</x:v>
      </x:c>
      <x:c r="N245" s="0" t="s">
        <x:v>35</x:v>
      </x:c>
    </x:row>
    <x:row r="246" spans="1:16">
      <x:c r="A246" s="0" t="s">
        <x:v>947</x:v>
      </x:c>
      <x:c r="B246" s="0" t="s">
        <x:v>948</x:v>
      </x:c>
      <x:c r="C246" s="0" t="s">
        <x:v>949</x:v>
      </x:c>
      <x:c r="E246" s="0" t="s">
        <x:v>950</x:v>
      </x:c>
      <x:c r="F246" s="0" t="s">
        <x:v>45</x:v>
      </x:c>
      <x:c r="G246" s="0" t="s">
        <x:v>19</x:v>
      </x:c>
      <x:c r="H246" s="0" t="s">
        <x:v>20</x:v>
      </x:c>
      <x:c r="I246" s="0" t="s">
        <x:v>21</x:v>
      </x:c>
      <x:c r="K246" s="0">
        <x:f>hyperlink("https://icd.who.int/dev11/l-ichi/en#/http%3A%2F%2Fid.who.int%2Ficd%2Fentity%2F226248349","browser")</x:f>
      </x:c>
      <x:c r="L246" s="0">
        <x:f>hyperlink("https://icat2.azurewebsites.net/icat/?ontology=ICD&amp;tab=ClassesTab&amp;id=http%3A%2F%2Fwho.int%2Ficd%231192_c1eb5896_b43e_4531_bd82_f72e7a00cdd6","iCat")</x:f>
      </x:c>
      <x:c r="M246" s="0" t="s">
        <x:v>21</x:v>
      </x:c>
      <x:c r="N246" s="0" t="s">
        <x:v>46</x:v>
      </x:c>
    </x:row>
    <x:row r="247" spans="1:16">
      <x:c r="A247" s="0" t="s">
        <x:v>951</x:v>
      </x:c>
      <x:c r="B247" s="0" t="s">
        <x:v>952</x:v>
      </x:c>
      <x:c r="C247" s="0" t="s">
        <x:v>953</x:v>
      </x:c>
      <x:c r="E247" s="0" t="s">
        <x:v>954</x:v>
      </x:c>
      <x:c r="F247" s="0" t="s">
        <x:v>45</x:v>
      </x:c>
      <x:c r="G247" s="0" t="s">
        <x:v>19</x:v>
      </x:c>
      <x:c r="H247" s="0" t="s">
        <x:v>20</x:v>
      </x:c>
      <x:c r="I247" s="0" t="s">
        <x:v>21</x:v>
      </x:c>
      <x:c r="K247" s="0">
        <x:f>hyperlink("https://icd.who.int/dev11/l-ichi/en#/http%3A%2F%2Fid.who.int%2Ficd%2Fentity%2F433536599","browser")</x:f>
      </x:c>
      <x:c r="L247" s="0">
        <x:f>hyperlink("https://icat2.azurewebsites.net/icat/?ontology=ICD&amp;tab=ClassesTab&amp;id=http%3A%2F%2Fwho.int%2Ficd%231202_c1eb5896_b43e_4531_bd82_f72e7a00cdd6","iCat")</x:f>
      </x:c>
      <x:c r="M247" s="0" t="s">
        <x:v>21</x:v>
      </x:c>
      <x:c r="N247" s="0" t="s">
        <x:v>46</x:v>
      </x:c>
    </x:row>
    <x:row r="248" spans="1:16">
      <x:c r="A248" s="0" t="s">
        <x:v>955</x:v>
      </x:c>
      <x:c r="B248" s="0" t="s">
        <x:v>956</x:v>
      </x:c>
      <x:c r="C248" s="0" t="s">
        <x:v>957</x:v>
      </x:c>
      <x:c r="E248" s="0" t="s">
        <x:v>958</x:v>
      </x:c>
      <x:c r="F248" s="0" t="s">
        <x:v>45</x:v>
      </x:c>
      <x:c r="G248" s="0" t="s">
        <x:v>19</x:v>
      </x:c>
      <x:c r="H248" s="0" t="s">
        <x:v>20</x:v>
      </x:c>
      <x:c r="I248" s="0" t="s">
        <x:v>21</x:v>
      </x:c>
      <x:c r="K248" s="0">
        <x:f>hyperlink("https://icd.who.int/dev11/l-ichi/en#/http%3A%2F%2Fid.who.int%2Ficd%2Fentity%2F204048415","browser")</x:f>
      </x:c>
      <x:c r="L248" s="0">
        <x:f>hyperlink("https://icat2.azurewebsites.net/icat/?ontology=ICD&amp;tab=ClassesTab&amp;id=http%3A%2F%2Fwho.int%2Ficd%231207_c1eb5896_b43e_4531_bd82_f72e7a00cdd6","iCat")</x:f>
      </x:c>
      <x:c r="M248" s="0" t="s">
        <x:v>21</x:v>
      </x:c>
      <x:c r="N248" s="0" t="s">
        <x:v>46</x:v>
      </x:c>
    </x:row>
    <x:row r="249" spans="1:16">
      <x:c r="A249" s="0" t="s">
        <x:v>959</x:v>
      </x:c>
      <x:c r="B249" s="0" t="s">
        <x:v>960</x:v>
      </x:c>
      <x:c r="E249" s="0" t="s">
        <x:v>961</x:v>
      </x:c>
      <x:c r="F249" s="0" t="s">
        <x:v>26</x:v>
      </x:c>
      <x:c r="G249" s="0" t="s">
        <x:v>22</x:v>
      </x:c>
      <x:c r="H249" s="0" t="s">
        <x:v>20</x:v>
      </x:c>
      <x:c r="I249" s="0" t="s">
        <x:v>21</x:v>
      </x:c>
      <x:c r="K249" s="0">
        <x:f>hyperlink("https://icd.who.int/dev11/l-ichi/en#/http%3A%2F%2Fid.who.int%2Ficd%2Fentity%2F1930603264","browser")</x:f>
      </x:c>
      <x:c r="L249" s="0">
        <x:f>hyperlink("https://icat2.azurewebsites.net/icat/?ontology=ICD&amp;tab=ClassesTab&amp;id=http%3A%2F%2Fwho.int%2Ficd%231212_c1eb5896_b43e_4531_bd82_f72e7a00cdd6","iCat")</x:f>
      </x:c>
      <x:c r="M249" s="0" t="s">
        <x:v>20</x:v>
      </x:c>
      <x:c r="N249" s="0" t="s">
        <x:v>22</x:v>
      </x:c>
    </x:row>
    <x:row r="250" spans="1:16">
      <x:c r="A250" s="0" t="s">
        <x:v>962</x:v>
      </x:c>
      <x:c r="B250" s="0" t="s">
        <x:v>963</x:v>
      </x:c>
      <x:c r="C250" s="0" t="s">
        <x:v>964</x:v>
      </x:c>
      <x:c r="E250" s="0" t="s">
        <x:v>965</x:v>
      </x:c>
      <x:c r="F250" s="0" t="s">
        <x:v>45</x:v>
      </x:c>
      <x:c r="G250" s="0" t="s">
        <x:v>19</x:v>
      </x:c>
      <x:c r="H250" s="0" t="s">
        <x:v>20</x:v>
      </x:c>
      <x:c r="I250" s="0" t="s">
        <x:v>21</x:v>
      </x:c>
      <x:c r="K250" s="0">
        <x:f>hyperlink("https://icd.who.int/dev11/l-ichi/en#/http%3A%2F%2Fid.who.int%2Ficd%2Fentity%2F915916025","browser")</x:f>
      </x:c>
      <x:c r="L250" s="0">
        <x:f>hyperlink("https://icat2.azurewebsites.net/icat/?ontology=ICD&amp;tab=ClassesTab&amp;id=http%3A%2F%2Fwho.int%2Ficd%231211_c1eb5896_b43e_4531_bd82_f72e7a00cdd6","iCat")</x:f>
      </x:c>
      <x:c r="M250" s="0" t="s">
        <x:v>21</x:v>
      </x:c>
      <x:c r="N250" s="0" t="s">
        <x:v>46</x:v>
      </x:c>
    </x:row>
    <x:row r="251" spans="1:16">
      <x:c r="A251" s="0" t="s">
        <x:v>966</x:v>
      </x:c>
      <x:c r="B251" s="0" t="s">
        <x:v>967</x:v>
      </x:c>
      <x:c r="C251" s="0" t="s">
        <x:v>968</x:v>
      </x:c>
      <x:c r="E251" s="0" t="s">
        <x:v>969</x:v>
      </x:c>
      <x:c r="F251" s="0" t="s">
        <x:v>45</x:v>
      </x:c>
      <x:c r="G251" s="0" t="s">
        <x:v>19</x:v>
      </x:c>
      <x:c r="H251" s="0" t="s">
        <x:v>20</x:v>
      </x:c>
      <x:c r="I251" s="0" t="s">
        <x:v>21</x:v>
      </x:c>
      <x:c r="K251" s="0">
        <x:f>hyperlink("https://icd.who.int/dev11/l-ichi/en#/http%3A%2F%2Fid.who.int%2Ficd%2Fentity%2F1982235902","browser")</x:f>
      </x:c>
      <x:c r="L251" s="0">
        <x:f>hyperlink("https://icat2.azurewebsites.net/icat/?ontology=ICD&amp;tab=ClassesTab&amp;id=http%3A%2F%2Fwho.int%2Ficd%231221_c1eb5896_b43e_4531_bd82_f72e7a00cdd6","iCat")</x:f>
      </x:c>
      <x:c r="M251" s="0" t="s">
        <x:v>21</x:v>
      </x:c>
      <x:c r="N251" s="0" t="s">
        <x:v>46</x:v>
      </x:c>
    </x:row>
    <x:row r="252" spans="1:16">
      <x:c r="A252" s="0" t="s">
        <x:v>970</x:v>
      </x:c>
      <x:c r="B252" s="0" t="s">
        <x:v>971</x:v>
      </x:c>
      <x:c r="C252" s="0" t="s">
        <x:v>972</x:v>
      </x:c>
      <x:c r="E252" s="0" t="s">
        <x:v>973</x:v>
      </x:c>
      <x:c r="F252" s="0" t="s">
        <x:v>45</x:v>
      </x:c>
      <x:c r="G252" s="0" t="s">
        <x:v>19</x:v>
      </x:c>
      <x:c r="H252" s="0" t="s">
        <x:v>20</x:v>
      </x:c>
      <x:c r="I252" s="0" t="s">
        <x:v>21</x:v>
      </x:c>
      <x:c r="K252" s="0">
        <x:f>hyperlink("https://icd.who.int/dev11/l-ichi/en#/http%3A%2F%2Fid.who.int%2Ficd%2Fentity%2F1126252684","browser")</x:f>
      </x:c>
      <x:c r="L252" s="0">
        <x:f>hyperlink("https://icat2.azurewebsites.net/icat/?ontology=ICD&amp;tab=ClassesTab&amp;id=http%3A%2F%2Fwho.int%2Ficd%231225_c1eb5896_b43e_4531_bd82_f72e7a00cdd6","iCat")</x:f>
      </x:c>
      <x:c r="M252" s="0" t="s">
        <x:v>21</x:v>
      </x:c>
      <x:c r="N252" s="0" t="s">
        <x:v>46</x:v>
      </x:c>
    </x:row>
    <x:row r="253" spans="1:16">
      <x:c r="A253" s="0" t="s">
        <x:v>974</x:v>
      </x:c>
      <x:c r="B253" s="0" t="s">
        <x:v>975</x:v>
      </x:c>
      <x:c r="C253" s="0" t="s">
        <x:v>976</x:v>
      </x:c>
      <x:c r="E253" s="0" t="s">
        <x:v>977</x:v>
      </x:c>
      <x:c r="F253" s="0" t="s">
        <x:v>45</x:v>
      </x:c>
      <x:c r="G253" s="0" t="s">
        <x:v>19</x:v>
      </x:c>
      <x:c r="H253" s="0" t="s">
        <x:v>20</x:v>
      </x:c>
      <x:c r="I253" s="0" t="s">
        <x:v>21</x:v>
      </x:c>
      <x:c r="K253" s="0">
        <x:f>hyperlink("https://icd.who.int/dev11/l-ichi/en#/http%3A%2F%2Fid.who.int%2Ficd%2Fentity%2F950531499","browser")</x:f>
      </x:c>
      <x:c r="L253" s="0">
        <x:f>hyperlink("https://icat2.azurewebsites.net/icat/?ontology=ICD&amp;tab=ClassesTab&amp;id=http%3A%2F%2Fwho.int%2Ficd%231229_c1eb5896_b43e_4531_bd82_f72e7a00cdd6","iCat")</x:f>
      </x:c>
      <x:c r="M253" s="0" t="s">
        <x:v>21</x:v>
      </x:c>
      <x:c r="N253" s="0" t="s">
        <x:v>46</x:v>
      </x:c>
    </x:row>
    <x:row r="254" spans="1:16">
      <x:c r="A254" s="0" t="s">
        <x:v>978</x:v>
      </x:c>
      <x:c r="B254" s="0" t="s">
        <x:v>979</x:v>
      </x:c>
      <x:c r="E254" s="0" t="s">
        <x:v>980</x:v>
      </x:c>
      <x:c r="F254" s="0" t="s">
        <x:v>26</x:v>
      </x:c>
      <x:c r="G254" s="0" t="s">
        <x:v>22</x:v>
      </x:c>
      <x:c r="H254" s="0" t="s">
        <x:v>20</x:v>
      </x:c>
      <x:c r="I254" s="0" t="s">
        <x:v>21</x:v>
      </x:c>
      <x:c r="K254" s="0">
        <x:f>hyperlink("https://icd.who.int/dev11/l-ichi/en#/http%3A%2F%2Fid.who.int%2Ficd%2Fentity%2F152938465","browser")</x:f>
      </x:c>
      <x:c r="L254" s="0">
        <x:f>hyperlink("https://icat2.azurewebsites.net/icat/?ontology=ICD&amp;tab=ClassesTab&amp;id=http%3A%2F%2Fwho.int%2Ficd%231234_c1eb5896_b43e_4531_bd82_f72e7a00cdd6","iCat")</x:f>
      </x:c>
      <x:c r="M254" s="0" t="s">
        <x:v>20</x:v>
      </x:c>
      <x:c r="N254" s="0" t="s">
        <x:v>22</x:v>
      </x:c>
    </x:row>
    <x:row r="255" spans="1:16">
      <x:c r="A255" s="0" t="s">
        <x:v>981</x:v>
      </x:c>
      <x:c r="B255" s="0" t="s">
        <x:v>982</x:v>
      </x:c>
      <x:c r="C255" s="0" t="s">
        <x:v>983</x:v>
      </x:c>
      <x:c r="E255" s="0" t="s">
        <x:v>984</x:v>
      </x:c>
      <x:c r="F255" s="0" t="s">
        <x:v>45</x:v>
      </x:c>
      <x:c r="G255" s="0" t="s">
        <x:v>19</x:v>
      </x:c>
      <x:c r="H255" s="0" t="s">
        <x:v>20</x:v>
      </x:c>
      <x:c r="I255" s="0" t="s">
        <x:v>21</x:v>
      </x:c>
      <x:c r="K255" s="0">
        <x:f>hyperlink("https://icd.who.int/dev11/l-ichi/en#/http%3A%2F%2Fid.who.int%2Ficd%2Fentity%2F2040466540","browser")</x:f>
      </x:c>
      <x:c r="L255" s="0">
        <x:f>hyperlink("https://icat2.azurewebsites.net/icat/?ontology=ICD&amp;tab=ClassesTab&amp;id=http%3A%2F%2Fwho.int%2Ficd%231233_c1eb5896_b43e_4531_bd82_f72e7a00cdd6","iCat")</x:f>
      </x:c>
      <x:c r="M255" s="0" t="s">
        <x:v>21</x:v>
      </x:c>
      <x:c r="N255" s="0" t="s">
        <x:v>46</x:v>
      </x:c>
    </x:row>
    <x:row r="256" spans="1:16">
      <x:c r="A256" s="0" t="s">
        <x:v>985</x:v>
      </x:c>
      <x:c r="B256" s="0" t="s">
        <x:v>986</x:v>
      </x:c>
      <x:c r="C256" s="0" t="s">
        <x:v>987</x:v>
      </x:c>
      <x:c r="E256" s="0" t="s">
        <x:v>988</x:v>
      </x:c>
      <x:c r="F256" s="0" t="s">
        <x:v>45</x:v>
      </x:c>
      <x:c r="G256" s="0" t="s">
        <x:v>19</x:v>
      </x:c>
      <x:c r="H256" s="0" t="s">
        <x:v>20</x:v>
      </x:c>
      <x:c r="I256" s="0" t="s">
        <x:v>21</x:v>
      </x:c>
      <x:c r="K256" s="0">
        <x:f>hyperlink("https://icd.who.int/dev11/l-ichi/en#/http%3A%2F%2Fid.who.int%2Ficd%2Fentity%2F1229528952","browser")</x:f>
      </x:c>
      <x:c r="L256" s="0">
        <x:f>hyperlink("https://icat2.azurewebsites.net/icat/?ontology=ICD&amp;tab=ClassesTab&amp;id=http%3A%2F%2Fwho.int%2Ficd%231243_c1eb5896_b43e_4531_bd82_f72e7a00cdd6","iCat")</x:f>
      </x:c>
      <x:c r="M256" s="0" t="s">
        <x:v>21</x:v>
      </x:c>
      <x:c r="N256" s="0" t="s">
        <x:v>46</x:v>
      </x:c>
    </x:row>
    <x:row r="257" spans="1:16">
      <x:c r="A257" s="0" t="s">
        <x:v>989</x:v>
      </x:c>
      <x:c r="B257" s="0" t="s">
        <x:v>990</x:v>
      </x:c>
      <x:c r="C257" s="0" t="s">
        <x:v>991</x:v>
      </x:c>
      <x:c r="E257" s="0" t="s">
        <x:v>992</x:v>
      </x:c>
      <x:c r="F257" s="0" t="s">
        <x:v>45</x:v>
      </x:c>
      <x:c r="G257" s="0" t="s">
        <x:v>19</x:v>
      </x:c>
      <x:c r="H257" s="0" t="s">
        <x:v>20</x:v>
      </x:c>
      <x:c r="I257" s="0" t="s">
        <x:v>21</x:v>
      </x:c>
      <x:c r="K257" s="0">
        <x:f>hyperlink("https://icd.who.int/dev11/l-ichi/en#/http%3A%2F%2Fid.who.int%2Ficd%2Fentity%2F2085542658","browser")</x:f>
      </x:c>
      <x:c r="L257" s="0">
        <x:f>hyperlink("https://icat2.azurewebsites.net/icat/?ontology=ICD&amp;tab=ClassesTab&amp;id=http%3A%2F%2Fwho.int%2Ficd%231247_c1eb5896_b43e_4531_bd82_f72e7a00cdd6","iCat")</x:f>
      </x:c>
      <x:c r="M257" s="0" t="s">
        <x:v>21</x:v>
      </x:c>
      <x:c r="N257" s="0" t="s">
        <x:v>46</x:v>
      </x:c>
    </x:row>
    <x:row r="258" spans="1:16">
      <x:c r="A258" s="0" t="s">
        <x:v>993</x:v>
      </x:c>
      <x:c r="B258" s="0" t="s">
        <x:v>994</x:v>
      </x:c>
      <x:c r="C258" s="0" t="s">
        <x:v>995</x:v>
      </x:c>
      <x:c r="E258" s="0" t="s">
        <x:v>996</x:v>
      </x:c>
      <x:c r="F258" s="0" t="s">
        <x:v>45</x:v>
      </x:c>
      <x:c r="G258" s="0" t="s">
        <x:v>19</x:v>
      </x:c>
      <x:c r="H258" s="0" t="s">
        <x:v>20</x:v>
      </x:c>
      <x:c r="I258" s="0" t="s">
        <x:v>21</x:v>
      </x:c>
      <x:c r="K258" s="0">
        <x:f>hyperlink("https://icd.who.int/dev11/l-ichi/en#/http%3A%2F%2Fid.who.int%2Ficd%2Fentity%2F1190172646","browser")</x:f>
      </x:c>
      <x:c r="L258" s="0">
        <x:f>hyperlink("https://icat2.azurewebsites.net/icat/?ontology=ICD&amp;tab=ClassesTab&amp;id=http%3A%2F%2Fwho.int%2Ficd%231251_c1eb5896_b43e_4531_bd82_f72e7a00cdd6","iCat")</x:f>
      </x:c>
      <x:c r="M258" s="0" t="s">
        <x:v>21</x:v>
      </x:c>
      <x:c r="N258" s="0" t="s">
        <x:v>46</x:v>
      </x:c>
    </x:row>
    <x:row r="259" spans="1:16">
      <x:c r="A259" s="0" t="s">
        <x:v>997</x:v>
      </x:c>
      <x:c r="B259" s="0" t="s">
        <x:v>998</x:v>
      </x:c>
      <x:c r="E259" s="0" t="s">
        <x:v>999</x:v>
      </x:c>
      <x:c r="F259" s="0" t="s">
        <x:v>26</x:v>
      </x:c>
      <x:c r="G259" s="0" t="s">
        <x:v>22</x:v>
      </x:c>
      <x:c r="H259" s="0" t="s">
        <x:v>20</x:v>
      </x:c>
      <x:c r="I259" s="0" t="s">
        <x:v>21</x:v>
      </x:c>
      <x:c r="K259" s="0">
        <x:f>hyperlink("https://icd.who.int/dev11/l-ichi/en#/http%3A%2F%2Fid.who.int%2Ficd%2Fentity%2F1136965660","browser")</x:f>
      </x:c>
      <x:c r="L259" s="0">
        <x:f>hyperlink("https://icat2.azurewebsites.net/icat/?ontology=ICD&amp;tab=ClassesTab&amp;id=http%3A%2F%2Fwho.int%2Ficd%231262_c1eb5896_b43e_4531_bd82_f72e7a00cdd6","iCat")</x:f>
      </x:c>
      <x:c r="M259" s="0" t="s">
        <x:v>20</x:v>
      </x:c>
      <x:c r="N259" s="0" t="s">
        <x:v>206</x:v>
      </x:c>
    </x:row>
    <x:row r="260" spans="1:16">
      <x:c r="A260" s="0" t="s">
        <x:v>1000</x:v>
      </x:c>
      <x:c r="B260" s="0" t="s">
        <x:v>1001</x:v>
      </x:c>
      <x:c r="C260" s="0" t="s">
        <x:v>1002</x:v>
      </x:c>
      <x:c r="E260" s="0" t="s">
        <x:v>1003</x:v>
      </x:c>
      <x:c r="F260" s="0" t="s">
        <x:v>45</x:v>
      </x:c>
      <x:c r="G260" s="0" t="s">
        <x:v>19</x:v>
      </x:c>
      <x:c r="H260" s="0" t="s">
        <x:v>20</x:v>
      </x:c>
      <x:c r="I260" s="0" t="s">
        <x:v>21</x:v>
      </x:c>
      <x:c r="K260" s="0">
        <x:f>hyperlink("https://icd.who.int/dev11/l-ichi/en#/http%3A%2F%2Fid.who.int%2Ficd%2Fentity%2F104978403","browser")</x:f>
      </x:c>
      <x:c r="L260" s="0">
        <x:f>hyperlink("https://icat2.azurewebsites.net/icat/?ontology=ICD&amp;tab=ClassesTab&amp;id=http%3A%2F%2Fwho.int%2Ficd%231261_c1eb5896_b43e_4531_bd82_f72e7a00cdd6","iCat")</x:f>
      </x:c>
      <x:c r="M260" s="0" t="s">
        <x:v>21</x:v>
      </x:c>
      <x:c r="N260" s="0" t="s">
        <x:v>46</x:v>
      </x:c>
    </x:row>
    <x:row r="261" spans="1:16">
      <x:c r="A261" s="0" t="s">
        <x:v>1004</x:v>
      </x:c>
      <x:c r="B261" s="0" t="s">
        <x:v>1005</x:v>
      </x:c>
      <x:c r="C261" s="0" t="s">
        <x:v>1006</x:v>
      </x:c>
      <x:c r="E261" s="0" t="s">
        <x:v>1007</x:v>
      </x:c>
      <x:c r="F261" s="0" t="s">
        <x:v>45</x:v>
      </x:c>
      <x:c r="G261" s="0" t="s">
        <x:v>19</x:v>
      </x:c>
      <x:c r="H261" s="0" t="s">
        <x:v>20</x:v>
      </x:c>
      <x:c r="I261" s="0" t="s">
        <x:v>21</x:v>
      </x:c>
      <x:c r="K261" s="0">
        <x:f>hyperlink("https://icd.who.int/dev11/l-ichi/en#/http%3A%2F%2Fid.who.int%2Ficd%2Fentity%2F1820607156","browser")</x:f>
      </x:c>
      <x:c r="L261" s="0">
        <x:f>hyperlink("https://icat2.azurewebsites.net/icat/?ontology=ICD&amp;tab=ClassesTab&amp;id=http%3A%2F%2Fwho.int%2Ficd%231271_c1eb5896_b43e_4531_bd82_f72e7a00cdd6","iCat")</x:f>
      </x:c>
      <x:c r="M261" s="0" t="s">
        <x:v>21</x:v>
      </x:c>
      <x:c r="N261" s="0" t="s">
        <x:v>46</x:v>
      </x:c>
    </x:row>
    <x:row r="262" spans="1:16">
      <x:c r="A262" s="0" t="s">
        <x:v>1008</x:v>
      </x:c>
      <x:c r="B262" s="0" t="s">
        <x:v>1009</x:v>
      </x:c>
      <x:c r="C262" s="0" t="s">
        <x:v>1010</x:v>
      </x:c>
      <x:c r="E262" s="0" t="s">
        <x:v>1011</x:v>
      </x:c>
      <x:c r="F262" s="0" t="s">
        <x:v>45</x:v>
      </x:c>
      <x:c r="G262" s="0" t="s">
        <x:v>19</x:v>
      </x:c>
      <x:c r="H262" s="0" t="s">
        <x:v>20</x:v>
      </x:c>
      <x:c r="I262" s="0" t="s">
        <x:v>21</x:v>
      </x:c>
      <x:c r="K262" s="0">
        <x:f>hyperlink("https://icd.who.int/dev11/l-ichi/en#/http%3A%2F%2Fid.who.int%2Ficd%2Fentity%2F1501791938","browser")</x:f>
      </x:c>
      <x:c r="L262" s="0">
        <x:f>hyperlink("https://icat2.azurewebsites.net/icat/?ontology=ICD&amp;tab=ClassesTab&amp;id=http%3A%2F%2Fwho.int%2Ficd%231275_c1eb5896_b43e_4531_bd82_f72e7a00cdd6","iCat")</x:f>
      </x:c>
      <x:c r="M262" s="0" t="s">
        <x:v>21</x:v>
      </x:c>
      <x:c r="N262" s="0" t="s">
        <x:v>46</x:v>
      </x:c>
    </x:row>
    <x:row r="263" spans="1:16">
      <x:c r="A263" s="0" t="s">
        <x:v>1012</x:v>
      </x:c>
      <x:c r="B263" s="0" t="s">
        <x:v>1013</x:v>
      </x:c>
      <x:c r="C263" s="0" t="s">
        <x:v>1014</x:v>
      </x:c>
      <x:c r="E263" s="0" t="s">
        <x:v>1015</x:v>
      </x:c>
      <x:c r="F263" s="0" t="s">
        <x:v>45</x:v>
      </x:c>
      <x:c r="G263" s="0" t="s">
        <x:v>19</x:v>
      </x:c>
      <x:c r="H263" s="0" t="s">
        <x:v>20</x:v>
      </x:c>
      <x:c r="I263" s="0" t="s">
        <x:v>21</x:v>
      </x:c>
      <x:c r="K263" s="0">
        <x:f>hyperlink("https://icd.who.int/dev11/l-ichi/en#/http%3A%2F%2Fid.who.int%2Ficd%2Fentity%2F570766305","browser")</x:f>
      </x:c>
      <x:c r="L263" s="0">
        <x:f>hyperlink("https://icat2.azurewebsites.net/icat/?ontology=ICD&amp;tab=ClassesTab&amp;id=http%3A%2F%2Fwho.int%2Ficd%231279_c1eb5896_b43e_4531_bd82_f72e7a00cdd6","iCat")</x:f>
      </x:c>
      <x:c r="M263" s="0" t="s">
        <x:v>21</x:v>
      </x:c>
      <x:c r="N263" s="0" t="s">
        <x:v>46</x:v>
      </x:c>
    </x:row>
    <x:row r="264" spans="1:16">
      <x:c r="A264" s="0" t="s">
        <x:v>1016</x:v>
      </x:c>
      <x:c r="B264" s="0" t="s">
        <x:v>1017</x:v>
      </x:c>
      <x:c r="C264" s="0" t="s">
        <x:v>1018</x:v>
      </x:c>
      <x:c r="E264" s="0" t="s">
        <x:v>1019</x:v>
      </x:c>
      <x:c r="F264" s="0" t="s">
        <x:v>45</x:v>
      </x:c>
      <x:c r="G264" s="0" t="s">
        <x:v>19</x:v>
      </x:c>
      <x:c r="H264" s="0" t="s">
        <x:v>20</x:v>
      </x:c>
      <x:c r="I264" s="0" t="s">
        <x:v>21</x:v>
      </x:c>
      <x:c r="K264" s="0">
        <x:f>hyperlink("https://icd.who.int/dev11/l-ichi/en#/http%3A%2F%2Fid.who.int%2Ficd%2Fentity%2F639571375","browser")</x:f>
      </x:c>
      <x:c r="L264" s="0">
        <x:f>hyperlink("https://icat2.azurewebsites.net/icat/?ontology=ICD&amp;tab=ClassesTab&amp;id=http%3A%2F%2Fwho.int%2Ficd%231283_c1eb5896_b43e_4531_bd82_f72e7a00cdd6","iCat")</x:f>
      </x:c>
      <x:c r="M264" s="0" t="s">
        <x:v>21</x:v>
      </x:c>
      <x:c r="N264" s="0" t="s">
        <x:v>46</x:v>
      </x:c>
    </x:row>
    <x:row r="265" spans="1:16">
      <x:c r="A265" s="0" t="s">
        <x:v>1020</x:v>
      </x:c>
      <x:c r="B265" s="0" t="s">
        <x:v>1021</x:v>
      </x:c>
      <x:c r="C265" s="0" t="s">
        <x:v>1022</x:v>
      </x:c>
      <x:c r="E265" s="0" t="s">
        <x:v>1023</x:v>
      </x:c>
      <x:c r="F265" s="0" t="s">
        <x:v>45</x:v>
      </x:c>
      <x:c r="G265" s="0" t="s">
        <x:v>19</x:v>
      </x:c>
      <x:c r="H265" s="0" t="s">
        <x:v>20</x:v>
      </x:c>
      <x:c r="I265" s="0" t="s">
        <x:v>21</x:v>
      </x:c>
      <x:c r="K265" s="0">
        <x:f>hyperlink("https://icd.who.int/dev11/l-ichi/en#/http%3A%2F%2Fid.who.int%2Ficd%2Fentity%2F157282049","browser")</x:f>
      </x:c>
      <x:c r="L265" s="0">
        <x:f>hyperlink("https://icat2.azurewebsites.net/icat/?ontology=ICD&amp;tab=ClassesTab&amp;id=http%3A%2F%2Fwho.int%2Ficd%231290_c1eb5896_b43e_4531_bd82_f72e7a00cdd6","iCat")</x:f>
      </x:c>
      <x:c r="M265" s="0" t="s">
        <x:v>21</x:v>
      </x:c>
      <x:c r="N265" s="0" t="s">
        <x:v>46</x:v>
      </x:c>
    </x:row>
    <x:row r="266" spans="1:16">
      <x:c r="B266" s="0" t="s">
        <x:v>1024</x:v>
      </x:c>
      <x:c r="C266" s="0" t="s">
        <x:v>1025</x:v>
      </x:c>
      <x:c r="E266" s="0" t="s">
        <x:v>1026</x:v>
      </x:c>
      <x:c r="F266" s="0" t="s">
        <x:v>45</x:v>
      </x:c>
      <x:c r="G266" s="0" t="s">
        <x:v>19</x:v>
      </x:c>
      <x:c r="H266" s="0" t="s">
        <x:v>21</x:v>
      </x:c>
      <x:c r="I266" s="0" t="s">
        <x:v>21</x:v>
      </x:c>
      <x:c r="K266" s="0">
        <x:f>hyperlink("https://icd.who.int/dev11/l-ichi/en#/http%3A%2F%2Fid.who.int%2Ficd%2Fentity%2F1838400728%2Fichi%2Fother","browser")</x:f>
      </x:c>
      <x:c r="L266" s="0">
        <x:f>hyperlink("","iCat")</x:f>
      </x:c>
      <x:c r="M266" s="0" t="s">
        <x:v>21</x:v>
      </x:c>
      <x:c r="N266" s="0" t="s">
        <x:v>46</x:v>
      </x:c>
    </x:row>
    <x:row r="267" spans="1:16">
      <x:c r="B267" s="0" t="s">
        <x:v>1027</x:v>
      </x:c>
      <x:c r="C267" s="0" t="s">
        <x:v>1028</x:v>
      </x:c>
      <x:c r="E267" s="0" t="s">
        <x:v>1029</x:v>
      </x:c>
      <x:c r="F267" s="0" t="s">
        <x:v>45</x:v>
      </x:c>
      <x:c r="G267" s="0" t="s">
        <x:v>19</x:v>
      </x:c>
      <x:c r="H267" s="0" t="s">
        <x:v>21</x:v>
      </x:c>
      <x:c r="I267" s="0" t="s">
        <x:v>21</x:v>
      </x:c>
      <x:c r="K267" s="0">
        <x:f>hyperlink("https://icd.who.int/dev11/l-ichi/en#/http%3A%2F%2Fid.who.int%2Ficd%2Fentity%2F1838400728%2Fichi%2Funspecified","browser")</x:f>
      </x:c>
      <x:c r="L267" s="0">
        <x:f>hyperlink("","iCat")</x:f>
      </x:c>
      <x:c r="M267" s="0" t="s">
        <x:v>21</x:v>
      </x:c>
      <x:c r="N267" s="0" t="s">
        <x:v>46</x:v>
      </x:c>
    </x:row>
    <x:row r="268" spans="1:16">
      <x:c r="A268" s="0" t="s">
        <x:v>1030</x:v>
      </x:c>
      <x:c r="B268" s="0" t="s">
        <x:v>1031</x:v>
      </x:c>
      <x:c r="E268" s="0" t="s">
        <x:v>1032</x:v>
      </x:c>
      <x:c r="F268" s="0" t="s">
        <x:v>26</x:v>
      </x:c>
      <x:c r="G268" s="0" t="s">
        <x:v>35</x:v>
      </x:c>
      <x:c r="H268" s="0" t="s">
        <x:v>20</x:v>
      </x:c>
      <x:c r="I268" s="0" t="s">
        <x:v>21</x:v>
      </x:c>
      <x:c r="K268" s="0">
        <x:f>hyperlink("https://icd.who.int/dev11/l-ichi/en#/http%3A%2F%2Fid.who.int%2Ficd%2Fentity%2F483021639","browser")</x:f>
      </x:c>
      <x:c r="L268" s="0">
        <x:f>hyperlink("https://icat2.azurewebsites.net/icat/?ontology=ICD&amp;tab=ClassesTab&amp;id=http%3A%2F%2Fwho.int%2Ficd%231305_c1eb5896_b43e_4531_bd82_f72e7a00cdd6","iCat")</x:f>
      </x:c>
      <x:c r="M268" s="0" t="s">
        <x:v>20</x:v>
      </x:c>
      <x:c r="N268" s="0" t="s">
        <x:v>40</x:v>
      </x:c>
    </x:row>
    <x:row r="269" spans="1:16">
      <x:c r="A269" s="0" t="s">
        <x:v>1033</x:v>
      </x:c>
      <x:c r="B269" s="0" t="s">
        <x:v>1034</x:v>
      </x:c>
      <x:c r="E269" s="0" t="s">
        <x:v>1035</x:v>
      </x:c>
      <x:c r="F269" s="0" t="s">
        <x:v>26</x:v>
      </x:c>
      <x:c r="G269" s="0" t="s">
        <x:v>22</x:v>
      </x:c>
      <x:c r="H269" s="0" t="s">
        <x:v>20</x:v>
      </x:c>
      <x:c r="I269" s="0" t="s">
        <x:v>21</x:v>
      </x:c>
      <x:c r="K269" s="0">
        <x:f>hyperlink("https://icd.who.int/dev11/l-ichi/en#/http%3A%2F%2Fid.who.int%2Ficd%2Fentity%2F1124598374","browser")</x:f>
      </x:c>
      <x:c r="L269" s="0">
        <x:f>hyperlink("https://icat2.azurewebsites.net/icat/?ontology=ICD&amp;tab=ClassesTab&amp;id=http%3A%2F%2Fwho.int%2Ficd%231311_c1eb5896_b43e_4531_bd82_f72e7a00cdd6","iCat")</x:f>
      </x:c>
      <x:c r="M269" s="0" t="s">
        <x:v>20</x:v>
      </x:c>
      <x:c r="N269" s="0" t="s">
        <x:v>903</x:v>
      </x:c>
    </x:row>
    <x:row r="270" spans="1:16">
      <x:c r="A270" s="0" t="s">
        <x:v>1036</x:v>
      </x:c>
      <x:c r="B270" s="0" t="s">
        <x:v>1037</x:v>
      </x:c>
      <x:c r="C270" s="0" t="s">
        <x:v>1038</x:v>
      </x:c>
      <x:c r="E270" s="0" t="s">
        <x:v>1039</x:v>
      </x:c>
      <x:c r="F270" s="0" t="s">
        <x:v>45</x:v>
      </x:c>
      <x:c r="G270" s="0" t="s">
        <x:v>19</x:v>
      </x:c>
      <x:c r="H270" s="0" t="s">
        <x:v>20</x:v>
      </x:c>
      <x:c r="I270" s="0" t="s">
        <x:v>21</x:v>
      </x:c>
      <x:c r="K270" s="0">
        <x:f>hyperlink("https://icd.who.int/dev11/l-ichi/en#/http%3A%2F%2Fid.who.int%2Ficd%2Fentity%2F1009983867","browser")</x:f>
      </x:c>
      <x:c r="L270" s="0">
        <x:f>hyperlink("https://icat2.azurewebsites.net/icat/?ontology=ICD&amp;tab=ClassesTab&amp;id=http%3A%2F%2Fwho.int%2Ficd%231304_c1eb5896_b43e_4531_bd82_f72e7a00cdd6","iCat")</x:f>
      </x:c>
      <x:c r="M270" s="0" t="s">
        <x:v>21</x:v>
      </x:c>
      <x:c r="N270" s="0" t="s">
        <x:v>46</x:v>
      </x:c>
    </x:row>
    <x:row r="271" spans="1:16">
      <x:c r="A271" s="0" t="s">
        <x:v>1040</x:v>
      </x:c>
      <x:c r="B271" s="0" t="s">
        <x:v>1041</x:v>
      </x:c>
      <x:c r="C271" s="0" t="s">
        <x:v>1042</x:v>
      </x:c>
      <x:c r="E271" s="0" t="s">
        <x:v>1043</x:v>
      </x:c>
      <x:c r="F271" s="0" t="s">
        <x:v>45</x:v>
      </x:c>
      <x:c r="G271" s="0" t="s">
        <x:v>19</x:v>
      </x:c>
      <x:c r="H271" s="0" t="s">
        <x:v>20</x:v>
      </x:c>
      <x:c r="I271" s="0" t="s">
        <x:v>21</x:v>
      </x:c>
      <x:c r="K271" s="0">
        <x:f>hyperlink("https://icd.who.int/dev11/l-ichi/en#/http%3A%2F%2Fid.who.int%2Ficd%2Fentity%2F591409247","browser")</x:f>
      </x:c>
      <x:c r="L271" s="0">
        <x:f>hyperlink("https://icat2.azurewebsites.net/icat/?ontology=ICD&amp;tab=ClassesTab&amp;id=http%3A%2F%2Fwho.int%2Ficd%231320_c1eb5896_b43e_4531_bd82_f72e7a00cdd6","iCat")</x:f>
      </x:c>
      <x:c r="M271" s="0" t="s">
        <x:v>21</x:v>
      </x:c>
      <x:c r="N271" s="0" t="s">
        <x:v>46</x:v>
      </x:c>
    </x:row>
    <x:row r="272" spans="1:16">
      <x:c r="A272" s="0" t="s">
        <x:v>1044</x:v>
      </x:c>
      <x:c r="B272" s="0" t="s">
        <x:v>1045</x:v>
      </x:c>
      <x:c r="C272" s="0" t="s">
        <x:v>1046</x:v>
      </x:c>
      <x:c r="E272" s="0" t="s">
        <x:v>1047</x:v>
      </x:c>
      <x:c r="F272" s="0" t="s">
        <x:v>45</x:v>
      </x:c>
      <x:c r="G272" s="0" t="s">
        <x:v>19</x:v>
      </x:c>
      <x:c r="H272" s="0" t="s">
        <x:v>20</x:v>
      </x:c>
      <x:c r="I272" s="0" t="s">
        <x:v>21</x:v>
      </x:c>
      <x:c r="K272" s="0">
        <x:f>hyperlink("https://icd.who.int/dev11/l-ichi/en#/http%3A%2F%2Fid.who.int%2Ficd%2Fentity%2F373814315","browser")</x:f>
      </x:c>
      <x:c r="L272" s="0">
        <x:f>hyperlink("https://icat2.azurewebsites.net/icat/?ontology=ICD&amp;tab=ClassesTab&amp;id=http%3A%2F%2Fwho.int%2Ficd%231324_c1eb5896_b43e_4531_bd82_f72e7a00cdd6","iCat")</x:f>
      </x:c>
      <x:c r="M272" s="0" t="s">
        <x:v>21</x:v>
      </x:c>
      <x:c r="N272" s="0" t="s">
        <x:v>46</x:v>
      </x:c>
    </x:row>
    <x:row r="273" spans="1:16">
      <x:c r="A273" s="0" t="s">
        <x:v>1048</x:v>
      </x:c>
      <x:c r="B273" s="0" t="s">
        <x:v>1049</x:v>
      </x:c>
      <x:c r="C273" s="0" t="s">
        <x:v>1050</x:v>
      </x:c>
      <x:c r="E273" s="0" t="s">
        <x:v>1051</x:v>
      </x:c>
      <x:c r="F273" s="0" t="s">
        <x:v>45</x:v>
      </x:c>
      <x:c r="G273" s="0" t="s">
        <x:v>19</x:v>
      </x:c>
      <x:c r="H273" s="0" t="s">
        <x:v>20</x:v>
      </x:c>
      <x:c r="I273" s="0" t="s">
        <x:v>21</x:v>
      </x:c>
      <x:c r="K273" s="0">
        <x:f>hyperlink("https://icd.who.int/dev11/l-ichi/en#/http%3A%2F%2Fid.who.int%2Ficd%2Fentity%2F1233495306","browser")</x:f>
      </x:c>
      <x:c r="L273" s="0">
        <x:f>hyperlink("https://icat2.azurewebsites.net/icat/?ontology=ICD&amp;tab=ClassesTab&amp;id=http%3A%2F%2Fwho.int%2Ficd%231330_c1eb5896_b43e_4531_bd82_f72e7a00cdd6","iCat")</x:f>
      </x:c>
      <x:c r="M273" s="0" t="s">
        <x:v>21</x:v>
      </x:c>
      <x:c r="N273" s="0" t="s">
        <x:v>46</x:v>
      </x:c>
    </x:row>
    <x:row r="274" spans="1:16">
      <x:c r="A274" s="0" t="s">
        <x:v>1052</x:v>
      </x:c>
      <x:c r="B274" s="0" t="s">
        <x:v>1053</x:v>
      </x:c>
      <x:c r="C274" s="0" t="s">
        <x:v>1054</x:v>
      </x:c>
      <x:c r="E274" s="0" t="s">
        <x:v>1055</x:v>
      </x:c>
      <x:c r="F274" s="0" t="s">
        <x:v>45</x:v>
      </x:c>
      <x:c r="G274" s="0" t="s">
        <x:v>19</x:v>
      </x:c>
      <x:c r="H274" s="0" t="s">
        <x:v>20</x:v>
      </x:c>
      <x:c r="I274" s="0" t="s">
        <x:v>21</x:v>
      </x:c>
      <x:c r="K274" s="0">
        <x:f>hyperlink("https://icd.who.int/dev11/l-ichi/en#/http%3A%2F%2Fid.who.int%2Ficd%2Fentity%2F436108473","browser")</x:f>
      </x:c>
      <x:c r="L274" s="0">
        <x:f>hyperlink("https://icat2.azurewebsites.net/icat/?ontology=ICD&amp;tab=ClassesTab&amp;id=http%3A%2F%2Fwho.int%2Ficd%231336_c1eb5896_b43e_4531_bd82_f72e7a00cdd6","iCat")</x:f>
      </x:c>
      <x:c r="M274" s="0" t="s">
        <x:v>21</x:v>
      </x:c>
      <x:c r="N274" s="0" t="s">
        <x:v>46</x:v>
      </x:c>
    </x:row>
    <x:row r="275" spans="1:16">
      <x:c r="A275" s="0" t="s">
        <x:v>1056</x:v>
      </x:c>
      <x:c r="B275" s="0" t="s">
        <x:v>1057</x:v>
      </x:c>
      <x:c r="C275" s="0" t="s">
        <x:v>1058</x:v>
      </x:c>
      <x:c r="E275" s="0" t="s">
        <x:v>1059</x:v>
      </x:c>
      <x:c r="F275" s="0" t="s">
        <x:v>45</x:v>
      </x:c>
      <x:c r="G275" s="0" t="s">
        <x:v>19</x:v>
      </x:c>
      <x:c r="H275" s="0" t="s">
        <x:v>20</x:v>
      </x:c>
      <x:c r="I275" s="0" t="s">
        <x:v>21</x:v>
      </x:c>
      <x:c r="K275" s="0">
        <x:f>hyperlink("https://icd.who.int/dev11/l-ichi/en#/http%3A%2F%2Fid.who.int%2Ficd%2Fentity%2F2035529234","browser")</x:f>
      </x:c>
      <x:c r="L275" s="0">
        <x:f>hyperlink("https://icat2.azurewebsites.net/icat/?ontology=ICD&amp;tab=ClassesTab&amp;id=http%3A%2F%2Fwho.int%2Ficd%231340_c1eb5896_b43e_4531_bd82_f72e7a00cdd6","iCat")</x:f>
      </x:c>
      <x:c r="M275" s="0" t="s">
        <x:v>21</x:v>
      </x:c>
      <x:c r="N275" s="0" t="s">
        <x:v>46</x:v>
      </x:c>
    </x:row>
    <x:row r="276" spans="1:16">
      <x:c r="A276" s="0" t="s">
        <x:v>1060</x:v>
      </x:c>
      <x:c r="B276" s="0" t="s">
        <x:v>1061</x:v>
      </x:c>
      <x:c r="C276" s="0" t="s">
        <x:v>1062</x:v>
      </x:c>
      <x:c r="E276" s="0" t="s">
        <x:v>1063</x:v>
      </x:c>
      <x:c r="F276" s="0" t="s">
        <x:v>45</x:v>
      </x:c>
      <x:c r="G276" s="0" t="s">
        <x:v>19</x:v>
      </x:c>
      <x:c r="H276" s="0" t="s">
        <x:v>20</x:v>
      </x:c>
      <x:c r="I276" s="0" t="s">
        <x:v>21</x:v>
      </x:c>
      <x:c r="K276" s="0">
        <x:f>hyperlink("https://icd.who.int/dev11/l-ichi/en#/http%3A%2F%2Fid.who.int%2Ficd%2Fentity%2F936560455","browser")</x:f>
      </x:c>
      <x:c r="L276" s="0">
        <x:f>hyperlink("https://icat2.azurewebsites.net/icat/?ontology=ICD&amp;tab=ClassesTab&amp;id=http%3A%2F%2Fwho.int%2Ficd%231348_c1eb5896_b43e_4531_bd82_f72e7a00cdd6","iCat")</x:f>
      </x:c>
      <x:c r="M276" s="0" t="s">
        <x:v>21</x:v>
      </x:c>
      <x:c r="N276" s="0" t="s">
        <x:v>46</x:v>
      </x:c>
    </x:row>
    <x:row r="277" spans="1:16">
      <x:c r="A277" s="0" t="s">
        <x:v>1064</x:v>
      </x:c>
      <x:c r="B277" s="0" t="s">
        <x:v>1065</x:v>
      </x:c>
      <x:c r="C277" s="0" t="s">
        <x:v>1066</x:v>
      </x:c>
      <x:c r="E277" s="0" t="s">
        <x:v>1067</x:v>
      </x:c>
      <x:c r="F277" s="0" t="s">
        <x:v>45</x:v>
      </x:c>
      <x:c r="G277" s="0" t="s">
        <x:v>19</x:v>
      </x:c>
      <x:c r="H277" s="0" t="s">
        <x:v>20</x:v>
      </x:c>
      <x:c r="I277" s="0" t="s">
        <x:v>21</x:v>
      </x:c>
      <x:c r="K277" s="0">
        <x:f>hyperlink("https://icd.who.int/dev11/l-ichi/en#/http%3A%2F%2Fid.who.int%2Ficd%2Fentity%2F647096113","browser")</x:f>
      </x:c>
      <x:c r="L277" s="0">
        <x:f>hyperlink("https://icat2.azurewebsites.net/icat/?ontology=ICD&amp;tab=ClassesTab&amp;id=http%3A%2F%2Fwho.int%2Ficd%231354_c1eb5896_b43e_4531_bd82_f72e7a00cdd6","iCat")</x:f>
      </x:c>
      <x:c r="M277" s="0" t="s">
        <x:v>21</x:v>
      </x:c>
      <x:c r="N277" s="0" t="s">
        <x:v>46</x:v>
      </x:c>
    </x:row>
    <x:row r="278" spans="1:16">
      <x:c r="A278" s="0" t="s">
        <x:v>1068</x:v>
      </x:c>
      <x:c r="B278" s="0" t="s">
        <x:v>1069</x:v>
      </x:c>
      <x:c r="C278" s="0" t="s">
        <x:v>1070</x:v>
      </x:c>
      <x:c r="E278" s="0" t="s">
        <x:v>1071</x:v>
      </x:c>
      <x:c r="F278" s="0" t="s">
        <x:v>45</x:v>
      </x:c>
      <x:c r="G278" s="0" t="s">
        <x:v>19</x:v>
      </x:c>
      <x:c r="H278" s="0" t="s">
        <x:v>20</x:v>
      </x:c>
      <x:c r="I278" s="0" t="s">
        <x:v>21</x:v>
      </x:c>
      <x:c r="K278" s="0">
        <x:f>hyperlink("https://icd.who.int/dev11/l-ichi/en#/http%3A%2F%2Fid.who.int%2Ficd%2Fentity%2F2112757806","browser")</x:f>
      </x:c>
      <x:c r="L278" s="0">
        <x:f>hyperlink("https://icat2.azurewebsites.net/icat/?ontology=ICD&amp;tab=ClassesTab&amp;id=http%3A%2F%2Fwho.int%2Ficd%231359_c1eb5896_b43e_4531_bd82_f72e7a00cdd6","iCat")</x:f>
      </x:c>
      <x:c r="M278" s="0" t="s">
        <x:v>21</x:v>
      </x:c>
      <x:c r="N278" s="0" t="s">
        <x:v>46</x:v>
      </x:c>
    </x:row>
    <x:row r="279" spans="1:16">
      <x:c r="A279" s="0" t="s">
        <x:v>1072</x:v>
      </x:c>
      <x:c r="B279" s="0" t="s">
        <x:v>1073</x:v>
      </x:c>
      <x:c r="C279" s="0" t="s">
        <x:v>1074</x:v>
      </x:c>
      <x:c r="E279" s="0" t="s">
        <x:v>1075</x:v>
      </x:c>
      <x:c r="F279" s="0" t="s">
        <x:v>45</x:v>
      </x:c>
      <x:c r="G279" s="0" t="s">
        <x:v>19</x:v>
      </x:c>
      <x:c r="H279" s="0" t="s">
        <x:v>20</x:v>
      </x:c>
      <x:c r="I279" s="0" t="s">
        <x:v>21</x:v>
      </x:c>
      <x:c r="K279" s="0">
        <x:f>hyperlink("https://icd.who.int/dev11/l-ichi/en#/http%3A%2F%2Fid.who.int%2Ficd%2Fentity%2F379718843","browser")</x:f>
      </x:c>
      <x:c r="L279" s="0">
        <x:f>hyperlink("https://icat2.azurewebsites.net/icat/?ontology=ICD&amp;tab=ClassesTab&amp;id=http%3A%2F%2Fwho.int%2Ficd%231363_c1eb5896_b43e_4531_bd82_f72e7a00cdd6","iCat")</x:f>
      </x:c>
      <x:c r="M279" s="0" t="s">
        <x:v>21</x:v>
      </x:c>
      <x:c r="N279" s="0" t="s">
        <x:v>46</x:v>
      </x:c>
    </x:row>
    <x:row r="280" spans="1:16">
      <x:c r="A280" s="0" t="s">
        <x:v>1076</x:v>
      </x:c>
      <x:c r="B280" s="0" t="s">
        <x:v>1077</x:v>
      </x:c>
      <x:c r="E280" s="0" t="s">
        <x:v>1078</x:v>
      </x:c>
      <x:c r="F280" s="0" t="s">
        <x:v>26</x:v>
      </x:c>
      <x:c r="G280" s="0" t="s">
        <x:v>22</x:v>
      </x:c>
      <x:c r="H280" s="0" t="s">
        <x:v>20</x:v>
      </x:c>
      <x:c r="I280" s="0" t="s">
        <x:v>21</x:v>
      </x:c>
      <x:c r="K280" s="0">
        <x:f>hyperlink("https://icd.who.int/dev11/l-ichi/en#/http%3A%2F%2Fid.who.int%2Ficd%2Fentity%2F971175445","browser")</x:f>
      </x:c>
      <x:c r="L280" s="0">
        <x:f>hyperlink("https://icat2.azurewebsites.net/icat/?ontology=ICD&amp;tab=ClassesTab&amp;id=http%3A%2F%2Fwho.int%2Ficd%231370_c1eb5896_b43e_4531_bd82_f72e7a00cdd6","iCat")</x:f>
      </x:c>
      <x:c r="M280" s="0" t="s">
        <x:v>20</x:v>
      </x:c>
      <x:c r="N280" s="0" t="s">
        <x:v>1079</x:v>
      </x:c>
    </x:row>
    <x:row r="281" spans="1:16">
      <x:c r="A281" s="0" t="s">
        <x:v>1080</x:v>
      </x:c>
      <x:c r="B281" s="0" t="s">
        <x:v>1081</x:v>
      </x:c>
      <x:c r="C281" s="0" t="s">
        <x:v>1082</x:v>
      </x:c>
      <x:c r="E281" s="0" t="s">
        <x:v>1083</x:v>
      </x:c>
      <x:c r="F281" s="0" t="s">
        <x:v>45</x:v>
      </x:c>
      <x:c r="G281" s="0" t="s">
        <x:v>19</x:v>
      </x:c>
      <x:c r="H281" s="0" t="s">
        <x:v>20</x:v>
      </x:c>
      <x:c r="I281" s="0" t="s">
        <x:v>21</x:v>
      </x:c>
      <x:c r="K281" s="0">
        <x:f>hyperlink("https://icd.who.int/dev11/l-ichi/en#/http%3A%2F%2Fid.who.int%2Ficd%2Fentity%2F1029660715","browser")</x:f>
      </x:c>
      <x:c r="L281" s="0">
        <x:f>hyperlink("https://icat2.azurewebsites.net/icat/?ontology=ICD&amp;tab=ClassesTab&amp;id=http%3A%2F%2Fwho.int%2Ficd%231369_c1eb5896_b43e_4531_bd82_f72e7a00cdd6","iCat")</x:f>
      </x:c>
      <x:c r="M281" s="0" t="s">
        <x:v>21</x:v>
      </x:c>
      <x:c r="N281" s="0" t="s">
        <x:v>46</x:v>
      </x:c>
    </x:row>
    <x:row r="282" spans="1:16">
      <x:c r="A282" s="0" t="s">
        <x:v>1084</x:v>
      </x:c>
      <x:c r="B282" s="0" t="s">
        <x:v>1085</x:v>
      </x:c>
      <x:c r="C282" s="0" t="s">
        <x:v>1086</x:v>
      </x:c>
      <x:c r="E282" s="0" t="s">
        <x:v>1087</x:v>
      </x:c>
      <x:c r="F282" s="0" t="s">
        <x:v>45</x:v>
      </x:c>
      <x:c r="G282" s="0" t="s">
        <x:v>19</x:v>
      </x:c>
      <x:c r="H282" s="0" t="s">
        <x:v>20</x:v>
      </x:c>
      <x:c r="I282" s="0" t="s">
        <x:v>21</x:v>
      </x:c>
      <x:c r="K282" s="0">
        <x:f>hyperlink("https://icd.who.int/dev11/l-ichi/en#/http%3A%2F%2Fid.who.int%2Ficd%2Fentity%2F1469773180","browser")</x:f>
      </x:c>
      <x:c r="L282" s="0">
        <x:f>hyperlink("https://icat2.azurewebsites.net/icat/?ontology=ICD&amp;tab=ClassesTab&amp;id=http%3A%2F%2Fwho.int%2Ficd%231379_c1eb5896_b43e_4531_bd82_f72e7a00cdd6","iCat")</x:f>
      </x:c>
      <x:c r="M282" s="0" t="s">
        <x:v>21</x:v>
      </x:c>
      <x:c r="N282" s="0" t="s">
        <x:v>46</x:v>
      </x:c>
    </x:row>
    <x:row r="283" spans="1:16">
      <x:c r="A283" s="0" t="s">
        <x:v>1088</x:v>
      </x:c>
      <x:c r="B283" s="0" t="s">
        <x:v>1089</x:v>
      </x:c>
      <x:c r="C283" s="0" t="s">
        <x:v>1090</x:v>
      </x:c>
      <x:c r="E283" s="0" t="s">
        <x:v>1091</x:v>
      </x:c>
      <x:c r="F283" s="0" t="s">
        <x:v>45</x:v>
      </x:c>
      <x:c r="G283" s="0" t="s">
        <x:v>19</x:v>
      </x:c>
      <x:c r="H283" s="0" t="s">
        <x:v>20</x:v>
      </x:c>
      <x:c r="I283" s="0" t="s">
        <x:v>21</x:v>
      </x:c>
      <x:c r="K283" s="0">
        <x:f>hyperlink("https://icd.who.int/dev11/l-ichi/en#/http%3A%2F%2Fid.who.int%2Ficd%2Fentity%2F1400951602","browser")</x:f>
      </x:c>
      <x:c r="L283" s="0">
        <x:f>hyperlink("https://icat2.azurewebsites.net/icat/?ontology=ICD&amp;tab=ClassesTab&amp;id=http%3A%2F%2Fwho.int%2Ficd%231383_c1eb5896_b43e_4531_bd82_f72e7a00cdd6","iCat")</x:f>
      </x:c>
      <x:c r="M283" s="0" t="s">
        <x:v>21</x:v>
      </x:c>
      <x:c r="N283" s="0" t="s">
        <x:v>46</x:v>
      </x:c>
    </x:row>
    <x:row r="284" spans="1:16">
      <x:c r="A284" s="0" t="s">
        <x:v>1092</x:v>
      </x:c>
      <x:c r="B284" s="0" t="s">
        <x:v>1093</x:v>
      </x:c>
      <x:c r="C284" s="0" t="s">
        <x:v>1094</x:v>
      </x:c>
      <x:c r="E284" s="0" t="s">
        <x:v>1095</x:v>
      </x:c>
      <x:c r="F284" s="0" t="s">
        <x:v>45</x:v>
      </x:c>
      <x:c r="G284" s="0" t="s">
        <x:v>19</x:v>
      </x:c>
      <x:c r="H284" s="0" t="s">
        <x:v>20</x:v>
      </x:c>
      <x:c r="I284" s="0" t="s">
        <x:v>21</x:v>
      </x:c>
      <x:c r="K284" s="0">
        <x:f>hyperlink("https://icd.who.int/dev11/l-ichi/en#/http%3A%2F%2Fid.who.int%2Ficd%2Fentity%2F2021506978","browser")</x:f>
      </x:c>
      <x:c r="L284" s="0">
        <x:f>hyperlink("https://icat2.azurewebsites.net/icat/?ontology=ICD&amp;tab=ClassesTab&amp;id=http%3A%2F%2Fwho.int%2Ficd%231389_c1eb5896_b43e_4531_bd82_f72e7a00cdd6","iCat")</x:f>
      </x:c>
      <x:c r="M284" s="0" t="s">
        <x:v>21</x:v>
      </x:c>
      <x:c r="N284" s="0" t="s">
        <x:v>46</x:v>
      </x:c>
    </x:row>
    <x:row r="285" spans="1:16">
      <x:c r="A285" s="0" t="s">
        <x:v>1096</x:v>
      </x:c>
      <x:c r="B285" s="0" t="s">
        <x:v>1097</x:v>
      </x:c>
      <x:c r="C285" s="0" t="s">
        <x:v>1098</x:v>
      </x:c>
      <x:c r="E285" s="0" t="s">
        <x:v>1099</x:v>
      </x:c>
      <x:c r="F285" s="0" t="s">
        <x:v>45</x:v>
      </x:c>
      <x:c r="G285" s="0" t="s">
        <x:v>19</x:v>
      </x:c>
      <x:c r="H285" s="0" t="s">
        <x:v>20</x:v>
      </x:c>
      <x:c r="I285" s="0" t="s">
        <x:v>21</x:v>
      </x:c>
      <x:c r="K285" s="0">
        <x:f>hyperlink("https://icd.who.int/dev11/l-ichi/en#/http%3A%2F%2Fid.who.int%2Ficd%2Fentity%2F960841317","browser")</x:f>
      </x:c>
      <x:c r="L285" s="0">
        <x:f>hyperlink("https://icat2.azurewebsites.net/icat/?ontology=ICD&amp;tab=ClassesTab&amp;id=http%3A%2F%2Fwho.int%2Ficd%231393_c1eb5896_b43e_4531_bd82_f72e7a00cdd6","iCat")</x:f>
      </x:c>
      <x:c r="M285" s="0" t="s">
        <x:v>21</x:v>
      </x:c>
      <x:c r="N285" s="0" t="s">
        <x:v>46</x:v>
      </x:c>
    </x:row>
    <x:row r="286" spans="1:16">
      <x:c r="A286" s="0" t="s">
        <x:v>1100</x:v>
      </x:c>
      <x:c r="B286" s="0" t="s">
        <x:v>1101</x:v>
      </x:c>
      <x:c r="C286" s="0" t="s">
        <x:v>1102</x:v>
      </x:c>
      <x:c r="E286" s="0" t="s">
        <x:v>1103</x:v>
      </x:c>
      <x:c r="F286" s="0" t="s">
        <x:v>45</x:v>
      </x:c>
      <x:c r="G286" s="0" t="s">
        <x:v>19</x:v>
      </x:c>
      <x:c r="H286" s="0" t="s">
        <x:v>20</x:v>
      </x:c>
      <x:c r="I286" s="0" t="s">
        <x:v>21</x:v>
      </x:c>
      <x:c r="K286" s="0">
        <x:f>hyperlink("https://icd.who.int/dev11/l-ichi/en#/http%3A%2F%2Fid.who.int%2Ficd%2Fentity%2F314059509","browser")</x:f>
      </x:c>
      <x:c r="L286" s="0">
        <x:f>hyperlink("https://icat2.azurewebsites.net/icat/?ontology=ICD&amp;tab=ClassesTab&amp;id=http%3A%2F%2Fwho.int%2Ficd%231399_c1eb5896_b43e_4531_bd82_f72e7a00cdd6","iCat")</x:f>
      </x:c>
      <x:c r="M286" s="0" t="s">
        <x:v>21</x:v>
      </x:c>
      <x:c r="N286" s="0" t="s">
        <x:v>46</x:v>
      </x:c>
    </x:row>
    <x:row r="287" spans="1:16">
      <x:c r="A287" s="0" t="s">
        <x:v>1104</x:v>
      </x:c>
      <x:c r="B287" s="0" t="s">
        <x:v>1105</x:v>
      </x:c>
      <x:c r="C287" s="0" t="s">
        <x:v>1106</x:v>
      </x:c>
      <x:c r="E287" s="0" t="s">
        <x:v>1107</x:v>
      </x:c>
      <x:c r="F287" s="0" t="s">
        <x:v>45</x:v>
      </x:c>
      <x:c r="G287" s="0" t="s">
        <x:v>19</x:v>
      </x:c>
      <x:c r="H287" s="0" t="s">
        <x:v>20</x:v>
      </x:c>
      <x:c r="I287" s="0" t="s">
        <x:v>21</x:v>
      </x:c>
      <x:c r="K287" s="0">
        <x:f>hyperlink("https://icd.who.int/dev11/l-ichi/en#/http%3A%2F%2Fid.who.int%2Ficd%2Fentity%2F551559834","browser")</x:f>
      </x:c>
      <x:c r="L287" s="0">
        <x:f>hyperlink("https://icat2.azurewebsites.net/icat/?ontology=ICD&amp;tab=ClassesTab&amp;id=http%3A%2F%2Fwho.int%2Ficd%231403_c1eb5896_b43e_4531_bd82_f72e7a00cdd6","iCat")</x:f>
      </x:c>
      <x:c r="M287" s="0" t="s">
        <x:v>21</x:v>
      </x:c>
      <x:c r="N287" s="0" t="s">
        <x:v>46</x:v>
      </x:c>
    </x:row>
    <x:row r="288" spans="1:16">
      <x:c r="A288" s="0" t="s">
        <x:v>1108</x:v>
      </x:c>
      <x:c r="B288" s="0" t="s">
        <x:v>1109</x:v>
      </x:c>
      <x:c r="C288" s="0" t="s">
        <x:v>1110</x:v>
      </x:c>
      <x:c r="E288" s="0" t="s">
        <x:v>1111</x:v>
      </x:c>
      <x:c r="F288" s="0" t="s">
        <x:v>45</x:v>
      </x:c>
      <x:c r="G288" s="0" t="s">
        <x:v>19</x:v>
      </x:c>
      <x:c r="H288" s="0" t="s">
        <x:v>20</x:v>
      </x:c>
      <x:c r="I288" s="0" t="s">
        <x:v>21</x:v>
      </x:c>
      <x:c r="K288" s="0">
        <x:f>hyperlink("https://icd.who.int/dev11/l-ichi/en#/http%3A%2F%2Fid.who.int%2Ficd%2Fentity%2F1243985869","browser")</x:f>
      </x:c>
      <x:c r="L288" s="0">
        <x:f>hyperlink("https://icat2.azurewebsites.net/icat/?ontology=ICD&amp;tab=ClassesTab&amp;id=http%3A%2F%2Fwho.int%2Ficd%231413_c1eb5896_b43e_4531_bd82_f72e7a00cdd6","iCat")</x:f>
      </x:c>
      <x:c r="M288" s="0" t="s">
        <x:v>21</x:v>
      </x:c>
      <x:c r="N288" s="0" t="s">
        <x:v>46</x:v>
      </x:c>
    </x:row>
    <x:row r="289" spans="1:16">
      <x:c r="A289" s="0" t="s">
        <x:v>1112</x:v>
      </x:c>
      <x:c r="B289" s="0" t="s">
        <x:v>1113</x:v>
      </x:c>
      <x:c r="C289" s="0" t="s">
        <x:v>1114</x:v>
      </x:c>
      <x:c r="E289" s="0" t="s">
        <x:v>1115</x:v>
      </x:c>
      <x:c r="F289" s="0" t="s">
        <x:v>45</x:v>
      </x:c>
      <x:c r="G289" s="0" t="s">
        <x:v>19</x:v>
      </x:c>
      <x:c r="H289" s="0" t="s">
        <x:v>20</x:v>
      </x:c>
      <x:c r="I289" s="0" t="s">
        <x:v>21</x:v>
      </x:c>
      <x:c r="K289" s="0">
        <x:f>hyperlink("https://icd.who.int/dev11/l-ichi/en#/http%3A%2F%2Fid.who.int%2Ficd%2Fentity%2F2132964281","browser")</x:f>
      </x:c>
      <x:c r="L289" s="0">
        <x:f>hyperlink("https://icat2.azurewebsites.net/icat/?ontology=ICD&amp;tab=ClassesTab&amp;id=http%3A%2F%2Fwho.int%2Ficd%231417_c1eb5896_b43e_4531_bd82_f72e7a00cdd6","iCat")</x:f>
      </x:c>
      <x:c r="M289" s="0" t="s">
        <x:v>21</x:v>
      </x:c>
      <x:c r="N289" s="0" t="s">
        <x:v>46</x:v>
      </x:c>
    </x:row>
    <x:row r="290" spans="1:16">
      <x:c r="A290" s="0" t="s">
        <x:v>1116</x:v>
      </x:c>
      <x:c r="B290" s="0" t="s">
        <x:v>1117</x:v>
      </x:c>
      <x:c r="C290" s="0" t="s">
        <x:v>1118</x:v>
      </x:c>
      <x:c r="E290" s="0" t="s">
        <x:v>1119</x:v>
      </x:c>
      <x:c r="F290" s="0" t="s">
        <x:v>45</x:v>
      </x:c>
      <x:c r="G290" s="0" t="s">
        <x:v>19</x:v>
      </x:c>
      <x:c r="H290" s="0" t="s">
        <x:v>20</x:v>
      </x:c>
      <x:c r="I290" s="0" t="s">
        <x:v>21</x:v>
      </x:c>
      <x:c r="K290" s="0">
        <x:f>hyperlink("https://icd.who.int/dev11/l-ichi/en#/http%3A%2F%2Fid.who.int%2Ficd%2Fentity%2F711820790","browser")</x:f>
      </x:c>
      <x:c r="L290" s="0">
        <x:f>hyperlink("https://icat2.azurewebsites.net/icat/?ontology=ICD&amp;tab=ClassesTab&amp;id=http%3A%2F%2Fwho.int%2Ficd%231422_c1eb5896_b43e_4531_bd82_f72e7a00cdd6","iCat")</x:f>
      </x:c>
      <x:c r="M290" s="0" t="s">
        <x:v>21</x:v>
      </x:c>
      <x:c r="N290" s="0" t="s">
        <x:v>46</x:v>
      </x:c>
    </x:row>
    <x:row r="291" spans="1:16">
      <x:c r="A291" s="0" t="s">
        <x:v>1120</x:v>
      </x:c>
      <x:c r="B291" s="0" t="s">
        <x:v>1121</x:v>
      </x:c>
      <x:c r="C291" s="0" t="s">
        <x:v>1122</x:v>
      </x:c>
      <x:c r="E291" s="0" t="s">
        <x:v>1123</x:v>
      </x:c>
      <x:c r="F291" s="0" t="s">
        <x:v>45</x:v>
      </x:c>
      <x:c r="G291" s="0" t="s">
        <x:v>19</x:v>
      </x:c>
      <x:c r="H291" s="0" t="s">
        <x:v>20</x:v>
      </x:c>
      <x:c r="I291" s="0" t="s">
        <x:v>21</x:v>
      </x:c>
      <x:c r="K291" s="0">
        <x:f>hyperlink("https://icd.who.int/dev11/l-ichi/en#/http%3A%2F%2Fid.who.int%2Ficd%2Fentity%2F1066611646","browser")</x:f>
      </x:c>
      <x:c r="L291" s="0">
        <x:f>hyperlink("https://icat2.azurewebsites.net/icat/?ontology=ICD&amp;tab=ClassesTab&amp;id=http%3A%2F%2Fwho.int%2Ficd%231427_c1eb5896_b43e_4531_bd82_f72e7a00cdd6","iCat")</x:f>
      </x:c>
      <x:c r="M291" s="0" t="s">
        <x:v>21</x:v>
      </x:c>
      <x:c r="N291" s="0" t="s">
        <x:v>46</x:v>
      </x:c>
    </x:row>
    <x:row r="292" spans="1:16">
      <x:c r="A292" s="0" t="s">
        <x:v>1124</x:v>
      </x:c>
      <x:c r="B292" s="0" t="s">
        <x:v>1125</x:v>
      </x:c>
      <x:c r="E292" s="0" t="s">
        <x:v>1126</x:v>
      </x:c>
      <x:c r="F292" s="0" t="s">
        <x:v>26</x:v>
      </x:c>
      <x:c r="G292" s="0" t="s">
        <x:v>22</x:v>
      </x:c>
      <x:c r="H292" s="0" t="s">
        <x:v>20</x:v>
      </x:c>
      <x:c r="I292" s="0" t="s">
        <x:v>21</x:v>
      </x:c>
      <x:c r="K292" s="0">
        <x:f>hyperlink("https://icd.who.int/dev11/l-ichi/en#/http%3A%2F%2Fid.who.int%2Ficd%2Fentity%2F1615946397","browser")</x:f>
      </x:c>
      <x:c r="L292" s="0">
        <x:f>hyperlink("https://icat2.azurewebsites.net/icat/?ontology=ICD&amp;tab=ClassesTab&amp;id=http%3A%2F%2Fwho.int%2Ficd%231433_c1eb5896_b43e_4531_bd82_f72e7a00cdd6","iCat")</x:f>
      </x:c>
      <x:c r="M292" s="0" t="s">
        <x:v>20</x:v>
      </x:c>
      <x:c r="N292" s="0" t="s">
        <x:v>22</x:v>
      </x:c>
    </x:row>
    <x:row r="293" spans="1:16">
      <x:c r="A293" s="0" t="s">
        <x:v>1127</x:v>
      </x:c>
      <x:c r="B293" s="0" t="s">
        <x:v>1128</x:v>
      </x:c>
      <x:c r="C293" s="0" t="s">
        <x:v>1129</x:v>
      </x:c>
      <x:c r="E293" s="0" t="s">
        <x:v>1130</x:v>
      </x:c>
      <x:c r="F293" s="0" t="s">
        <x:v>45</x:v>
      </x:c>
      <x:c r="G293" s="0" t="s">
        <x:v>19</x:v>
      </x:c>
      <x:c r="H293" s="0" t="s">
        <x:v>20</x:v>
      </x:c>
      <x:c r="I293" s="0" t="s">
        <x:v>21</x:v>
      </x:c>
      <x:c r="K293" s="0">
        <x:f>hyperlink("https://icd.who.int/dev11/l-ichi/en#/http%3A%2F%2Fid.who.int%2Ficd%2Fentity%2F1084756129","browser")</x:f>
      </x:c>
      <x:c r="L293" s="0">
        <x:f>hyperlink("https://icat2.azurewebsites.net/icat/?ontology=ICD&amp;tab=ClassesTab&amp;id=http%3A%2F%2Fwho.int%2Ficd%231432_c1eb5896_b43e_4531_bd82_f72e7a00cdd6","iCat")</x:f>
      </x:c>
      <x:c r="M293" s="0" t="s">
        <x:v>21</x:v>
      </x:c>
      <x:c r="N293" s="0" t="s">
        <x:v>46</x:v>
      </x:c>
    </x:row>
    <x:row r="294" spans="1:16">
      <x:c r="A294" s="0" t="s">
        <x:v>1131</x:v>
      </x:c>
      <x:c r="B294" s="0" t="s">
        <x:v>1132</x:v>
      </x:c>
      <x:c r="C294" s="0" t="s">
        <x:v>1133</x:v>
      </x:c>
      <x:c r="E294" s="0" t="s">
        <x:v>1134</x:v>
      </x:c>
      <x:c r="F294" s="0" t="s">
        <x:v>45</x:v>
      </x:c>
      <x:c r="G294" s="0" t="s">
        <x:v>19</x:v>
      </x:c>
      <x:c r="H294" s="0" t="s">
        <x:v>20</x:v>
      </x:c>
      <x:c r="I294" s="0" t="s">
        <x:v>21</x:v>
      </x:c>
      <x:c r="K294" s="0">
        <x:f>hyperlink("https://icd.who.int/dev11/l-ichi/en#/http%3A%2F%2Fid.who.int%2Ficd%2Fentity%2F1887306683","browser")</x:f>
      </x:c>
      <x:c r="L294" s="0">
        <x:f>hyperlink("https://icat2.azurewebsites.net/icat/?ontology=ICD&amp;tab=ClassesTab&amp;id=http%3A%2F%2Fwho.int%2Ficd%231442_c1eb5896_b43e_4531_bd82_f72e7a00cdd6","iCat")</x:f>
      </x:c>
      <x:c r="M294" s="0" t="s">
        <x:v>21</x:v>
      </x:c>
      <x:c r="N294" s="0" t="s">
        <x:v>46</x:v>
      </x:c>
    </x:row>
    <x:row r="295" spans="1:16">
      <x:c r="A295" s="0" t="s">
        <x:v>1135</x:v>
      </x:c>
      <x:c r="B295" s="0" t="s">
        <x:v>1136</x:v>
      </x:c>
      <x:c r="C295" s="0" t="s">
        <x:v>1137</x:v>
      </x:c>
      <x:c r="E295" s="0" t="s">
        <x:v>1138</x:v>
      </x:c>
      <x:c r="F295" s="0" t="s">
        <x:v>45</x:v>
      </x:c>
      <x:c r="G295" s="0" t="s">
        <x:v>19</x:v>
      </x:c>
      <x:c r="H295" s="0" t="s">
        <x:v>20</x:v>
      </x:c>
      <x:c r="I295" s="0" t="s">
        <x:v>21</x:v>
      </x:c>
      <x:c r="K295" s="0">
        <x:f>hyperlink("https://icd.who.int/dev11/l-ichi/en#/http%3A%2F%2Fid.who.int%2Ficd%2Fentity%2F1165608911","browser")</x:f>
      </x:c>
      <x:c r="L295" s="0">
        <x:f>hyperlink("https://icat2.azurewebsites.net/icat/?ontology=ICD&amp;tab=ClassesTab&amp;id=http%3A%2F%2Fwho.int%2Ficd%231446_c1eb5896_b43e_4531_bd82_f72e7a00cdd6","iCat")</x:f>
      </x:c>
      <x:c r="M295" s="0" t="s">
        <x:v>21</x:v>
      </x:c>
      <x:c r="N295" s="0" t="s">
        <x:v>46</x:v>
      </x:c>
    </x:row>
    <x:row r="296" spans="1:16">
      <x:c r="A296" s="0" t="s">
        <x:v>1139</x:v>
      </x:c>
      <x:c r="B296" s="0" t="s">
        <x:v>1140</x:v>
      </x:c>
      <x:c r="C296" s="0" t="s">
        <x:v>1141</x:v>
      </x:c>
      <x:c r="E296" s="0" t="s">
        <x:v>1142</x:v>
      </x:c>
      <x:c r="F296" s="0" t="s">
        <x:v>45</x:v>
      </x:c>
      <x:c r="G296" s="0" t="s">
        <x:v>19</x:v>
      </x:c>
      <x:c r="H296" s="0" t="s">
        <x:v>20</x:v>
      </x:c>
      <x:c r="I296" s="0" t="s">
        <x:v>21</x:v>
      </x:c>
      <x:c r="K296" s="0">
        <x:f>hyperlink("https://icd.who.int/dev11/l-ichi/en#/http%3A%2F%2Fid.who.int%2Ficd%2Fentity%2F1254117213","browser")</x:f>
      </x:c>
      <x:c r="L296" s="0">
        <x:f>hyperlink("https://icat2.azurewebsites.net/icat/?ontology=ICD&amp;tab=ClassesTab&amp;id=http%3A%2F%2Fwho.int%2Ficd%231454_c1eb5896_b43e_4531_bd82_f72e7a00cdd6","iCat")</x:f>
      </x:c>
      <x:c r="M296" s="0" t="s">
        <x:v>21</x:v>
      </x:c>
      <x:c r="N296" s="0" t="s">
        <x:v>46</x:v>
      </x:c>
    </x:row>
    <x:row r="297" spans="1:16">
      <x:c r="A297" s="0" t="s">
        <x:v>1143</x:v>
      </x:c>
      <x:c r="B297" s="0" t="s">
        <x:v>1144</x:v>
      </x:c>
      <x:c r="E297" s="0" t="s">
        <x:v>1145</x:v>
      </x:c>
      <x:c r="F297" s="0" t="s">
        <x:v>26</x:v>
      </x:c>
      <x:c r="G297" s="0" t="s">
        <x:v>22</x:v>
      </x:c>
      <x:c r="H297" s="0" t="s">
        <x:v>20</x:v>
      </x:c>
      <x:c r="I297" s="0" t="s">
        <x:v>21</x:v>
      </x:c>
      <x:c r="K297" s="0">
        <x:f>hyperlink("https://icd.who.int/dev11/l-ichi/en#/http%3A%2F%2Fid.who.int%2Ficd%2Fentity%2F297764928","browser")</x:f>
      </x:c>
      <x:c r="L297" s="0">
        <x:f>hyperlink("https://icat2.azurewebsites.net/icat/?ontology=ICD&amp;tab=ClassesTab&amp;id=http%3A%2F%2Fwho.int%2Ficd%231459_c1eb5896_b43e_4531_bd82_f72e7a00cdd6","iCat")</x:f>
      </x:c>
      <x:c r="M297" s="0" t="s">
        <x:v>20</x:v>
      </x:c>
      <x:c r="N297" s="0" t="s">
        <x:v>19</x:v>
      </x:c>
    </x:row>
    <x:row r="298" spans="1:16">
      <x:c r="A298" s="0" t="s">
        <x:v>1146</x:v>
      </x:c>
      <x:c r="B298" s="0" t="s">
        <x:v>1147</x:v>
      </x:c>
      <x:c r="C298" s="0" t="s">
        <x:v>1148</x:v>
      </x:c>
      <x:c r="E298" s="0" t="s">
        <x:v>1149</x:v>
      </x:c>
      <x:c r="F298" s="0" t="s">
        <x:v>45</x:v>
      </x:c>
      <x:c r="G298" s="0" t="s">
        <x:v>19</x:v>
      </x:c>
      <x:c r="H298" s="0" t="s">
        <x:v>20</x:v>
      </x:c>
      <x:c r="I298" s="0" t="s">
        <x:v>21</x:v>
      </x:c>
      <x:c r="K298" s="0">
        <x:f>hyperlink("https://icd.who.int/dev11/l-ichi/en#/http%3A%2F%2Fid.who.int%2Ficd%2Fentity%2F826735230","browser")</x:f>
      </x:c>
      <x:c r="L298" s="0">
        <x:f>hyperlink("https://icat2.azurewebsites.net/icat/?ontology=ICD&amp;tab=ClassesTab&amp;id=http%3A%2F%2Fwho.int%2Ficd%231458_c1eb5896_b43e_4531_bd82_f72e7a00cdd6","iCat")</x:f>
      </x:c>
      <x:c r="M298" s="0" t="s">
        <x:v>21</x:v>
      </x:c>
      <x:c r="N298" s="0" t="s">
        <x:v>46</x:v>
      </x:c>
    </x:row>
    <x:row r="299" spans="1:16">
      <x:c r="A299" s="0" t="s">
        <x:v>1150</x:v>
      </x:c>
      <x:c r="B299" s="0" t="s">
        <x:v>1151</x:v>
      </x:c>
      <x:c r="E299" s="0" t="s">
        <x:v>1152</x:v>
      </x:c>
      <x:c r="F299" s="0" t="s">
        <x:v>26</x:v>
      </x:c>
      <x:c r="G299" s="0" t="s">
        <x:v>22</x:v>
      </x:c>
      <x:c r="H299" s="0" t="s">
        <x:v>20</x:v>
      </x:c>
      <x:c r="I299" s="0" t="s">
        <x:v>21</x:v>
      </x:c>
      <x:c r="K299" s="0">
        <x:f>hyperlink("https://icd.who.int/dev11/l-ichi/en#/http%3A%2F%2Fid.who.int%2Ficd%2Fentity%2F1078847537","browser")</x:f>
      </x:c>
      <x:c r="L299" s="0">
        <x:f>hyperlink("https://icat2.azurewebsites.net/icat/?ontology=ICD&amp;tab=ClassesTab&amp;id=http%3A%2F%2Fwho.int%2Ficd%231475_c1eb5896_b43e_4531_bd82_f72e7a00cdd6","iCat")</x:f>
      </x:c>
      <x:c r="M299" s="0" t="s">
        <x:v>20</x:v>
      </x:c>
      <x:c r="N299" s="0" t="s">
        <x:v>119</x:v>
      </x:c>
    </x:row>
    <x:row r="300" spans="1:16">
      <x:c r="A300" s="0" t="s">
        <x:v>1153</x:v>
      </x:c>
      <x:c r="B300" s="0" t="s">
        <x:v>1154</x:v>
      </x:c>
      <x:c r="C300" s="0" t="s">
        <x:v>1155</x:v>
      </x:c>
      <x:c r="E300" s="0" t="s">
        <x:v>1156</x:v>
      </x:c>
      <x:c r="F300" s="0" t="s">
        <x:v>45</x:v>
      </x:c>
      <x:c r="G300" s="0" t="s">
        <x:v>19</x:v>
      </x:c>
      <x:c r="H300" s="0" t="s">
        <x:v>20</x:v>
      </x:c>
      <x:c r="I300" s="0" t="s">
        <x:v>21</x:v>
      </x:c>
      <x:c r="K300" s="0">
        <x:f>hyperlink("https://icd.who.int/dev11/l-ichi/en#/http%3A%2F%2Fid.who.int%2Ficd%2Fentity%2F1622448653","browser")</x:f>
      </x:c>
      <x:c r="L300" s="0">
        <x:f>hyperlink("https://icat2.azurewebsites.net/icat/?ontology=ICD&amp;tab=ClassesTab&amp;id=http%3A%2F%2Fwho.int%2Ficd%231474_c1eb5896_b43e_4531_bd82_f72e7a00cdd6","iCat")</x:f>
      </x:c>
      <x:c r="M300" s="0" t="s">
        <x:v>21</x:v>
      </x:c>
      <x:c r="N300" s="0" t="s">
        <x:v>46</x:v>
      </x:c>
    </x:row>
    <x:row r="301" spans="1:16">
      <x:c r="A301" s="0" t="s">
        <x:v>1157</x:v>
      </x:c>
      <x:c r="B301" s="0" t="s">
        <x:v>1158</x:v>
      </x:c>
      <x:c r="C301" s="0" t="s">
        <x:v>1159</x:v>
      </x:c>
      <x:c r="E301" s="0" t="s">
        <x:v>1160</x:v>
      </x:c>
      <x:c r="F301" s="0" t="s">
        <x:v>45</x:v>
      </x:c>
      <x:c r="G301" s="0" t="s">
        <x:v>19</x:v>
      </x:c>
      <x:c r="H301" s="0" t="s">
        <x:v>20</x:v>
      </x:c>
      <x:c r="I301" s="0" t="s">
        <x:v>21</x:v>
      </x:c>
      <x:c r="K301" s="0">
        <x:f>hyperlink("https://icd.who.int/dev11/l-ichi/en#/http%3A%2F%2Fid.who.int%2Ficd%2Fentity%2F1330893011","browser")</x:f>
      </x:c>
      <x:c r="L301" s="0">
        <x:f>hyperlink("https://icat2.azurewebsites.net/icat/?ontology=ICD&amp;tab=ClassesTab&amp;id=http%3A%2F%2Fwho.int%2Ficd%231484_c1eb5896_b43e_4531_bd82_f72e7a00cdd6","iCat")</x:f>
      </x:c>
      <x:c r="M301" s="0" t="s">
        <x:v>21</x:v>
      </x:c>
      <x:c r="N301" s="0" t="s">
        <x:v>46</x:v>
      </x:c>
    </x:row>
    <x:row r="302" spans="1:16">
      <x:c r="A302" s="0" t="s">
        <x:v>1161</x:v>
      </x:c>
      <x:c r="B302" s="0" t="s">
        <x:v>1162</x:v>
      </x:c>
      <x:c r="C302" s="0" t="s">
        <x:v>1163</x:v>
      </x:c>
      <x:c r="E302" s="0" t="s">
        <x:v>1164</x:v>
      </x:c>
      <x:c r="F302" s="0" t="s">
        <x:v>45</x:v>
      </x:c>
      <x:c r="G302" s="0" t="s">
        <x:v>19</x:v>
      </x:c>
      <x:c r="H302" s="0" t="s">
        <x:v>20</x:v>
      </x:c>
      <x:c r="I302" s="0" t="s">
        <x:v>21</x:v>
      </x:c>
      <x:c r="K302" s="0">
        <x:f>hyperlink("https://icd.who.int/dev11/l-ichi/en#/http%3A%2F%2Fid.who.int%2Ficd%2Fentity%2F886400498","browser")</x:f>
      </x:c>
      <x:c r="L302" s="0">
        <x:f>hyperlink("https://icat2.azurewebsites.net/icat/?ontology=ICD&amp;tab=ClassesTab&amp;id=http%3A%2F%2Fwho.int%2Ficd%231488_c1eb5896_b43e_4531_bd82_f72e7a00cdd6","iCat")</x:f>
      </x:c>
      <x:c r="M302" s="0" t="s">
        <x:v>21</x:v>
      </x:c>
      <x:c r="N302" s="0" t="s">
        <x:v>46</x:v>
      </x:c>
    </x:row>
    <x:row r="303" spans="1:16">
      <x:c r="A303" s="0" t="s">
        <x:v>1165</x:v>
      </x:c>
      <x:c r="B303" s="0" t="s">
        <x:v>1166</x:v>
      </x:c>
      <x:c r="C303" s="0" t="s">
        <x:v>1167</x:v>
      </x:c>
      <x:c r="E303" s="0" t="s">
        <x:v>1168</x:v>
      </x:c>
      <x:c r="F303" s="0" t="s">
        <x:v>45</x:v>
      </x:c>
      <x:c r="G303" s="0" t="s">
        <x:v>19</x:v>
      </x:c>
      <x:c r="H303" s="0" t="s">
        <x:v>20</x:v>
      </x:c>
      <x:c r="I303" s="0" t="s">
        <x:v>21</x:v>
      </x:c>
      <x:c r="K303" s="0">
        <x:f>hyperlink("https://icd.who.int/dev11/l-ichi/en#/http%3A%2F%2Fid.who.int%2Ficd%2Fentity%2F1978506293","browser")</x:f>
      </x:c>
      <x:c r="L303" s="0">
        <x:f>hyperlink("https://icat2.azurewebsites.net/icat/?ontology=ICD&amp;tab=ClassesTab&amp;id=http%3A%2F%2Fwho.int%2Ficd%231492_c1eb5896_b43e_4531_bd82_f72e7a00cdd6","iCat")</x:f>
      </x:c>
      <x:c r="M303" s="0" t="s">
        <x:v>21</x:v>
      </x:c>
      <x:c r="N303" s="0" t="s">
        <x:v>46</x:v>
      </x:c>
    </x:row>
    <x:row r="304" spans="1:16">
      <x:c r="A304" s="0" t="s">
        <x:v>1169</x:v>
      </x:c>
      <x:c r="B304" s="0" t="s">
        <x:v>1170</x:v>
      </x:c>
      <x:c r="C304" s="0" t="s">
        <x:v>1171</x:v>
      </x:c>
      <x:c r="E304" s="0" t="s">
        <x:v>1172</x:v>
      </x:c>
      <x:c r="F304" s="0" t="s">
        <x:v>45</x:v>
      </x:c>
      <x:c r="G304" s="0" t="s">
        <x:v>19</x:v>
      </x:c>
      <x:c r="H304" s="0" t="s">
        <x:v>20</x:v>
      </x:c>
      <x:c r="I304" s="0" t="s">
        <x:v>21</x:v>
      </x:c>
      <x:c r="K304" s="0">
        <x:f>hyperlink("https://icd.who.int/dev11/l-ichi/en#/http%3A%2F%2Fid.who.int%2Ficd%2Fentity%2F1089099841","browser")</x:f>
      </x:c>
      <x:c r="L304" s="0">
        <x:f>hyperlink("https://icat2.azurewebsites.net/icat/?ontology=ICD&amp;tab=ClassesTab&amp;id=http%3A%2F%2Fwho.int%2Ficd%231496_c1eb5896_b43e_4531_bd82_f72e7a00cdd6","iCat")</x:f>
      </x:c>
      <x:c r="M304" s="0" t="s">
        <x:v>21</x:v>
      </x:c>
      <x:c r="N304" s="0" t="s">
        <x:v>46</x:v>
      </x:c>
    </x:row>
    <x:row r="305" spans="1:16">
      <x:c r="A305" s="0" t="s">
        <x:v>1173</x:v>
      </x:c>
      <x:c r="B305" s="0" t="s">
        <x:v>1174</x:v>
      </x:c>
      <x:c r="C305" s="0" t="s">
        <x:v>1175</x:v>
      </x:c>
      <x:c r="E305" s="0" t="s">
        <x:v>1176</x:v>
      </x:c>
      <x:c r="F305" s="0" t="s">
        <x:v>45</x:v>
      </x:c>
      <x:c r="G305" s="0" t="s">
        <x:v>19</x:v>
      </x:c>
      <x:c r="H305" s="0" t="s">
        <x:v>20</x:v>
      </x:c>
      <x:c r="I305" s="0" t="s">
        <x:v>21</x:v>
      </x:c>
      <x:c r="K305" s="0">
        <x:f>hyperlink("https://icd.who.int/dev11/l-ichi/en#/http%3A%2F%2Fid.who.int%2Ficd%2Fentity%2F284855296","browser")</x:f>
      </x:c>
      <x:c r="L305" s="0">
        <x:f>hyperlink("https://icat2.azurewebsites.net/icat/?ontology=ICD&amp;tab=ClassesTab&amp;id=http%3A%2F%2Fwho.int%2Ficd%231500_c1eb5896_b43e_4531_bd82_f72e7a00cdd6","iCat")</x:f>
      </x:c>
      <x:c r="M305" s="0" t="s">
        <x:v>21</x:v>
      </x:c>
      <x:c r="N305" s="0" t="s">
        <x:v>46</x:v>
      </x:c>
    </x:row>
    <x:row r="306" spans="1:16">
      <x:c r="A306" s="0" t="s">
        <x:v>1177</x:v>
      </x:c>
      <x:c r="B306" s="0" t="s">
        <x:v>1178</x:v>
      </x:c>
      <x:c r="C306" s="0" t="s">
        <x:v>1179</x:v>
      </x:c>
      <x:c r="E306" s="0" t="s">
        <x:v>1180</x:v>
      </x:c>
      <x:c r="F306" s="0" t="s">
        <x:v>45</x:v>
      </x:c>
      <x:c r="G306" s="0" t="s">
        <x:v>19</x:v>
      </x:c>
      <x:c r="H306" s="0" t="s">
        <x:v>20</x:v>
      </x:c>
      <x:c r="I306" s="0" t="s">
        <x:v>21</x:v>
      </x:c>
      <x:c r="K306" s="0">
        <x:f>hyperlink("https://icd.who.int/dev11/l-ichi/en#/http%3A%2F%2Fid.who.int%2Ficd%2Fentity%2F637357962","browser")</x:f>
      </x:c>
      <x:c r="L306" s="0">
        <x:f>hyperlink("https://icat2.azurewebsites.net/icat/?ontology=ICD&amp;tab=ClassesTab&amp;id=http%3A%2F%2Fwho.int%2Ficd%231504_c1eb5896_b43e_4531_bd82_f72e7a00cdd6","iCat")</x:f>
      </x:c>
      <x:c r="M306" s="0" t="s">
        <x:v>21</x:v>
      </x:c>
      <x:c r="N306" s="0" t="s">
        <x:v>46</x:v>
      </x:c>
    </x:row>
    <x:row r="307" spans="1:16">
      <x:c r="A307" s="0" t="s">
        <x:v>1181</x:v>
      </x:c>
      <x:c r="B307" s="0" t="s">
        <x:v>1182</x:v>
      </x:c>
      <x:c r="C307" s="0" t="s">
        <x:v>1183</x:v>
      </x:c>
      <x:c r="E307" s="0" t="s">
        <x:v>1184</x:v>
      </x:c>
      <x:c r="F307" s="0" t="s">
        <x:v>45</x:v>
      </x:c>
      <x:c r="G307" s="0" t="s">
        <x:v>19</x:v>
      </x:c>
      <x:c r="H307" s="0" t="s">
        <x:v>20</x:v>
      </x:c>
      <x:c r="I307" s="0" t="s">
        <x:v>21</x:v>
      </x:c>
      <x:c r="K307" s="0">
        <x:f>hyperlink("https://icd.who.int/dev11/l-ichi/en#/http%3A%2F%2Fid.who.int%2Ficd%2Fentity%2F1585183403","browser")</x:f>
      </x:c>
      <x:c r="L307" s="0">
        <x:f>hyperlink("https://icat2.azurewebsites.net/icat/?ontology=ICD&amp;tab=ClassesTab&amp;id=http%3A%2F%2Fwho.int%2Ficd%231508_c1eb5896_b43e_4531_bd82_f72e7a00cdd6","iCat")</x:f>
      </x:c>
      <x:c r="M307" s="0" t="s">
        <x:v>21</x:v>
      </x:c>
      <x:c r="N307" s="0" t="s">
        <x:v>46</x:v>
      </x:c>
    </x:row>
    <x:row r="308" spans="1:16">
      <x:c r="B308" s="0" t="s">
        <x:v>1185</x:v>
      </x:c>
      <x:c r="C308" s="0" t="s">
        <x:v>1186</x:v>
      </x:c>
      <x:c r="E308" s="0" t="s">
        <x:v>1187</x:v>
      </x:c>
      <x:c r="F308" s="0" t="s">
        <x:v>45</x:v>
      </x:c>
      <x:c r="G308" s="0" t="s">
        <x:v>19</x:v>
      </x:c>
      <x:c r="H308" s="0" t="s">
        <x:v>21</x:v>
      </x:c>
      <x:c r="I308" s="0" t="s">
        <x:v>21</x:v>
      </x:c>
      <x:c r="K308" s="0">
        <x:f>hyperlink("https://icd.who.int/dev11/l-ichi/en#/http%3A%2F%2Fid.who.int%2Ficd%2Fentity%2F483021639%2Fichi%2Fother","browser")</x:f>
      </x:c>
      <x:c r="L308" s="0">
        <x:f>hyperlink("","iCat")</x:f>
      </x:c>
      <x:c r="M308" s="0" t="s">
        <x:v>21</x:v>
      </x:c>
      <x:c r="N308" s="0" t="s">
        <x:v>46</x:v>
      </x:c>
    </x:row>
    <x:row r="309" spans="1:16">
      <x:c r="B309" s="0" t="s">
        <x:v>1188</x:v>
      </x:c>
      <x:c r="C309" s="0" t="s">
        <x:v>1189</x:v>
      </x:c>
      <x:c r="E309" s="0" t="s">
        <x:v>1190</x:v>
      </x:c>
      <x:c r="F309" s="0" t="s">
        <x:v>45</x:v>
      </x:c>
      <x:c r="G309" s="0" t="s">
        <x:v>19</x:v>
      </x:c>
      <x:c r="H309" s="0" t="s">
        <x:v>21</x:v>
      </x:c>
      <x:c r="I309" s="0" t="s">
        <x:v>21</x:v>
      </x:c>
      <x:c r="K309" s="0">
        <x:f>hyperlink("https://icd.who.int/dev11/l-ichi/en#/http%3A%2F%2Fid.who.int%2Ficd%2Fentity%2F483021639%2Fichi%2Funspecified","browser")</x:f>
      </x:c>
      <x:c r="L309" s="0">
        <x:f>hyperlink("","iCat")</x:f>
      </x:c>
      <x:c r="M309" s="0" t="s">
        <x:v>21</x:v>
      </x:c>
      <x:c r="N309" s="0" t="s">
        <x:v>46</x:v>
      </x:c>
    </x:row>
    <x:row r="310" spans="1:16">
      <x:c r="A310" s="0" t="s">
        <x:v>1191</x:v>
      </x:c>
      <x:c r="B310" s="0" t="s">
        <x:v>1192</x:v>
      </x:c>
      <x:c r="E310" s="0" t="s">
        <x:v>1193</x:v>
      </x:c>
      <x:c r="F310" s="0" t="s">
        <x:v>26</x:v>
      </x:c>
      <x:c r="G310" s="0" t="s">
        <x:v>35</x:v>
      </x:c>
      <x:c r="H310" s="0" t="s">
        <x:v>20</x:v>
      </x:c>
      <x:c r="I310" s="0" t="s">
        <x:v>21</x:v>
      </x:c>
      <x:c r="K310" s="0">
        <x:f>hyperlink("https://icd.who.int/dev11/l-ichi/en#/http%3A%2F%2Fid.who.int%2Ficd%2Fentity%2F2131439959","browser")</x:f>
      </x:c>
      <x:c r="L310" s="0">
        <x:f>hyperlink("https://icat2.azurewebsites.net/icat/?ontology=ICD&amp;tab=ClassesTab&amp;id=http%3A%2F%2Fwho.int%2Ficd%231523_c1eb5896_b43e_4531_bd82_f72e7a00cdd6","iCat")</x:f>
      </x:c>
      <x:c r="M310" s="0" t="s">
        <x:v>20</x:v>
      </x:c>
      <x:c r="N310" s="0" t="s">
        <x:v>40</x:v>
      </x:c>
    </x:row>
    <x:row r="311" spans="1:16">
      <x:c r="A311" s="0" t="s">
        <x:v>1194</x:v>
      </x:c>
      <x:c r="B311" s="0" t="s">
        <x:v>1195</x:v>
      </x:c>
      <x:c r="E311" s="0" t="s">
        <x:v>1196</x:v>
      </x:c>
      <x:c r="F311" s="0" t="s">
        <x:v>26</x:v>
      </x:c>
      <x:c r="G311" s="0" t="s">
        <x:v>22</x:v>
      </x:c>
      <x:c r="H311" s="0" t="s">
        <x:v>20</x:v>
      </x:c>
      <x:c r="I311" s="0" t="s">
        <x:v>21</x:v>
      </x:c>
      <x:c r="K311" s="0">
        <x:f>hyperlink("https://icd.who.int/dev11/l-ichi/en#/http%3A%2F%2Fid.who.int%2Ficd%2Fentity%2F1425432007","browser")</x:f>
      </x:c>
      <x:c r="L311" s="0">
        <x:f>hyperlink("https://icat2.azurewebsites.net/icat/?ontology=ICD&amp;tab=ClassesTab&amp;id=http%3A%2F%2Fwho.int%2Ficd%231529_c1eb5896_b43e_4531_bd82_f72e7a00cdd6","iCat")</x:f>
      </x:c>
      <x:c r="M311" s="0" t="s">
        <x:v>20</x:v>
      </x:c>
      <x:c r="N311" s="0" t="s">
        <x:v>22</x:v>
      </x:c>
    </x:row>
    <x:row r="312" spans="1:16">
      <x:c r="A312" s="0" t="s">
        <x:v>1197</x:v>
      </x:c>
      <x:c r="B312" s="0" t="s">
        <x:v>1198</x:v>
      </x:c>
      <x:c r="C312" s="0" t="s">
        <x:v>1199</x:v>
      </x:c>
      <x:c r="E312" s="0" t="s">
        <x:v>1200</x:v>
      </x:c>
      <x:c r="F312" s="0" t="s">
        <x:v>45</x:v>
      </x:c>
      <x:c r="G312" s="0" t="s">
        <x:v>19</x:v>
      </x:c>
      <x:c r="H312" s="0" t="s">
        <x:v>20</x:v>
      </x:c>
      <x:c r="I312" s="0" t="s">
        <x:v>21</x:v>
      </x:c>
      <x:c r="K312" s="0">
        <x:f>hyperlink("https://icd.who.int/dev11/l-ichi/en#/http%3A%2F%2Fid.who.int%2Ficd%2Fentity%2F1609712491","browser")</x:f>
      </x:c>
      <x:c r="L312" s="0">
        <x:f>hyperlink("https://icat2.azurewebsites.net/icat/?ontology=ICD&amp;tab=ClassesTab&amp;id=http%3A%2F%2Fwho.int%2Ficd%231522_c1eb5896_b43e_4531_bd82_f72e7a00cdd6","iCat")</x:f>
      </x:c>
      <x:c r="M312" s="0" t="s">
        <x:v>21</x:v>
      </x:c>
      <x:c r="N312" s="0" t="s">
        <x:v>46</x:v>
      </x:c>
    </x:row>
    <x:row r="313" spans="1:16">
      <x:c r="A313" s="0" t="s">
        <x:v>1201</x:v>
      </x:c>
      <x:c r="B313" s="0" t="s">
        <x:v>1202</x:v>
      </x:c>
      <x:c r="C313" s="0" t="s">
        <x:v>1203</x:v>
      </x:c>
      <x:c r="E313" s="0" t="s">
        <x:v>1204</x:v>
      </x:c>
      <x:c r="F313" s="0" t="s">
        <x:v>45</x:v>
      </x:c>
      <x:c r="G313" s="0" t="s">
        <x:v>19</x:v>
      </x:c>
      <x:c r="H313" s="0" t="s">
        <x:v>20</x:v>
      </x:c>
      <x:c r="I313" s="0" t="s">
        <x:v>21</x:v>
      </x:c>
      <x:c r="K313" s="0">
        <x:f>hyperlink("https://icd.who.int/dev11/l-ichi/en#/http%3A%2F%2Fid.who.int%2Ficd%2Fentity%2F1043581074","browser")</x:f>
      </x:c>
      <x:c r="L313" s="0">
        <x:f>hyperlink("https://icat2.azurewebsites.net/icat/?ontology=ICD&amp;tab=ClassesTab&amp;id=http%3A%2F%2Fwho.int%2Ficd%231539_c1eb5896_b43e_4531_bd82_f72e7a00cdd6","iCat")</x:f>
      </x:c>
      <x:c r="M313" s="0" t="s">
        <x:v>21</x:v>
      </x:c>
      <x:c r="N313" s="0" t="s">
        <x:v>46</x:v>
      </x:c>
    </x:row>
    <x:row r="314" spans="1:16">
      <x:c r="A314" s="0" t="s">
        <x:v>1205</x:v>
      </x:c>
      <x:c r="B314" s="0" t="s">
        <x:v>1206</x:v>
      </x:c>
      <x:c r="C314" s="0" t="s">
        <x:v>1207</x:v>
      </x:c>
      <x:c r="E314" s="0" t="s">
        <x:v>1208</x:v>
      </x:c>
      <x:c r="F314" s="0" t="s">
        <x:v>45</x:v>
      </x:c>
      <x:c r="G314" s="0" t="s">
        <x:v>19</x:v>
      </x:c>
      <x:c r="H314" s="0" t="s">
        <x:v>20</x:v>
      </x:c>
      <x:c r="I314" s="0" t="s">
        <x:v>21</x:v>
      </x:c>
      <x:c r="K314" s="0">
        <x:f>hyperlink("https://icd.who.int/dev11/l-ichi/en#/http%3A%2F%2Fid.who.int%2Ficd%2Fentity%2F622376730","browser")</x:f>
      </x:c>
      <x:c r="L314" s="0">
        <x:f>hyperlink("https://icat2.azurewebsites.net/icat/?ontology=ICD&amp;tab=ClassesTab&amp;id=http%3A%2F%2Fwho.int%2Ficd%231543_c1eb5896_b43e_4531_bd82_f72e7a00cdd6","iCat")</x:f>
      </x:c>
      <x:c r="M314" s="0" t="s">
        <x:v>21</x:v>
      </x:c>
      <x:c r="N314" s="0" t="s">
        <x:v>46</x:v>
      </x:c>
    </x:row>
    <x:row r="315" spans="1:16">
      <x:c r="A315" s="0" t="s">
        <x:v>1209</x:v>
      </x:c>
      <x:c r="B315" s="0" t="s">
        <x:v>1210</x:v>
      </x:c>
      <x:c r="C315" s="0" t="s">
        <x:v>1211</x:v>
      </x:c>
      <x:c r="E315" s="0" t="s">
        <x:v>1212</x:v>
      </x:c>
      <x:c r="F315" s="0" t="s">
        <x:v>45</x:v>
      </x:c>
      <x:c r="G315" s="0" t="s">
        <x:v>19</x:v>
      </x:c>
      <x:c r="H315" s="0" t="s">
        <x:v>20</x:v>
      </x:c>
      <x:c r="I315" s="0" t="s">
        <x:v>21</x:v>
      </x:c>
      <x:c r="K315" s="0">
        <x:f>hyperlink("https://icd.who.int/dev11/l-ichi/en#/http%3A%2F%2Fid.who.int%2Ficd%2Fentity%2F270496624","browser")</x:f>
      </x:c>
      <x:c r="L315" s="0">
        <x:f>hyperlink("https://icat2.azurewebsites.net/icat/?ontology=ICD&amp;tab=ClassesTab&amp;id=http%3A%2F%2Fwho.int%2Ficd%231547_c1eb5896_b43e_4531_bd82_f72e7a00cdd6","iCat")</x:f>
      </x:c>
      <x:c r="M315" s="0" t="s">
        <x:v>21</x:v>
      </x:c>
      <x:c r="N315" s="0" t="s">
        <x:v>46</x:v>
      </x:c>
    </x:row>
    <x:row r="316" spans="1:16">
      <x:c r="A316" s="0" t="s">
        <x:v>1213</x:v>
      </x:c>
      <x:c r="B316" s="0" t="s">
        <x:v>1214</x:v>
      </x:c>
      <x:c r="E316" s="0" t="s">
        <x:v>1215</x:v>
      </x:c>
      <x:c r="F316" s="0" t="s">
        <x:v>26</x:v>
      </x:c>
      <x:c r="G316" s="0" t="s">
        <x:v>22</x:v>
      </x:c>
      <x:c r="H316" s="0" t="s">
        <x:v>20</x:v>
      </x:c>
      <x:c r="I316" s="0" t="s">
        <x:v>21</x:v>
      </x:c>
      <x:c r="K316" s="0">
        <x:f>hyperlink("https://icd.who.int/dev11/l-ichi/en#/http%3A%2F%2Fid.who.int%2Ficd%2Fentity%2F1864650865","browser")</x:f>
      </x:c>
      <x:c r="L316" s="0">
        <x:f>hyperlink("https://icat2.azurewebsites.net/icat/?ontology=ICD&amp;tab=ClassesTab&amp;id=http%3A%2F%2Fwho.int%2Ficd%231552_c1eb5896_b43e_4531_bd82_f72e7a00cdd6","iCat")</x:f>
      </x:c>
      <x:c r="M316" s="0" t="s">
        <x:v>20</x:v>
      </x:c>
      <x:c r="N316" s="0" t="s">
        <x:v>206</x:v>
      </x:c>
    </x:row>
    <x:row r="317" spans="1:16">
      <x:c r="A317" s="0" t="s">
        <x:v>1216</x:v>
      </x:c>
      <x:c r="B317" s="0" t="s">
        <x:v>1217</x:v>
      </x:c>
      <x:c r="C317" s="0" t="s">
        <x:v>1218</x:v>
      </x:c>
      <x:c r="E317" s="0" t="s">
        <x:v>1219</x:v>
      </x:c>
      <x:c r="F317" s="0" t="s">
        <x:v>45</x:v>
      </x:c>
      <x:c r="G317" s="0" t="s">
        <x:v>19</x:v>
      </x:c>
      <x:c r="H317" s="0" t="s">
        <x:v>20</x:v>
      </x:c>
      <x:c r="I317" s="0" t="s">
        <x:v>21</x:v>
      </x:c>
      <x:c r="K317" s="0">
        <x:f>hyperlink("https://icd.who.int/dev11/l-ichi/en#/http%3A%2F%2Fid.who.int%2Ficd%2Fentity%2F715210632","browser")</x:f>
      </x:c>
      <x:c r="L317" s="0">
        <x:f>hyperlink("https://icat2.azurewebsites.net/icat/?ontology=ICD&amp;tab=ClassesTab&amp;id=http%3A%2F%2Fwho.int%2Ficd%231551_c1eb5896_b43e_4531_bd82_f72e7a00cdd6","iCat")</x:f>
      </x:c>
      <x:c r="M317" s="0" t="s">
        <x:v>21</x:v>
      </x:c>
      <x:c r="N317" s="0" t="s">
        <x:v>46</x:v>
      </x:c>
    </x:row>
    <x:row r="318" spans="1:16">
      <x:c r="A318" s="0" t="s">
        <x:v>1220</x:v>
      </x:c>
      <x:c r="B318" s="0" t="s">
        <x:v>1221</x:v>
      </x:c>
      <x:c r="C318" s="0" t="s">
        <x:v>1222</x:v>
      </x:c>
      <x:c r="E318" s="0" t="s">
        <x:v>1223</x:v>
      </x:c>
      <x:c r="F318" s="0" t="s">
        <x:v>45</x:v>
      </x:c>
      <x:c r="G318" s="0" t="s">
        <x:v>19</x:v>
      </x:c>
      <x:c r="H318" s="0" t="s">
        <x:v>20</x:v>
      </x:c>
      <x:c r="I318" s="0" t="s">
        <x:v>21</x:v>
      </x:c>
      <x:c r="K318" s="0">
        <x:f>hyperlink("https://icd.who.int/dev11/l-ichi/en#/http%3A%2F%2Fid.who.int%2Ficd%2Fentity%2F798298230","browser")</x:f>
      </x:c>
      <x:c r="L318" s="0">
        <x:f>hyperlink("https://icat2.azurewebsites.net/icat/?ontology=ICD&amp;tab=ClassesTab&amp;id=http%3A%2F%2Fwho.int%2Ficd%231562_c1eb5896_b43e_4531_bd82_f72e7a00cdd6","iCat")</x:f>
      </x:c>
      <x:c r="M318" s="0" t="s">
        <x:v>21</x:v>
      </x:c>
      <x:c r="N318" s="0" t="s">
        <x:v>46</x:v>
      </x:c>
    </x:row>
    <x:row r="319" spans="1:16">
      <x:c r="A319" s="0" t="s">
        <x:v>1224</x:v>
      </x:c>
      <x:c r="B319" s="0" t="s">
        <x:v>1225</x:v>
      </x:c>
      <x:c r="C319" s="0" t="s">
        <x:v>1226</x:v>
      </x:c>
      <x:c r="E319" s="0" t="s">
        <x:v>1227</x:v>
      </x:c>
      <x:c r="F319" s="0" t="s">
        <x:v>45</x:v>
      </x:c>
      <x:c r="G319" s="0" t="s">
        <x:v>19</x:v>
      </x:c>
      <x:c r="H319" s="0" t="s">
        <x:v>20</x:v>
      </x:c>
      <x:c r="I319" s="0" t="s">
        <x:v>21</x:v>
      </x:c>
      <x:c r="K319" s="0">
        <x:f>hyperlink("https://icd.who.int/dev11/l-ichi/en#/http%3A%2F%2Fid.who.int%2Ficd%2Fentity%2F980133438","browser")</x:f>
      </x:c>
      <x:c r="L319" s="0">
        <x:f>hyperlink("https://icat2.azurewebsites.net/icat/?ontology=ICD&amp;tab=ClassesTab&amp;id=http%3A%2F%2Fwho.int%2Ficd%231567_c1eb5896_b43e_4531_bd82_f72e7a00cdd6","iCat")</x:f>
      </x:c>
      <x:c r="M319" s="0" t="s">
        <x:v>21</x:v>
      </x:c>
      <x:c r="N319" s="0" t="s">
        <x:v>46</x:v>
      </x:c>
    </x:row>
    <x:row r="320" spans="1:16">
      <x:c r="A320" s="0" t="s">
        <x:v>1228</x:v>
      </x:c>
      <x:c r="B320" s="0" t="s">
        <x:v>1229</x:v>
      </x:c>
      <x:c r="C320" s="0" t="s">
        <x:v>1230</x:v>
      </x:c>
      <x:c r="E320" s="0" t="s">
        <x:v>1231</x:v>
      </x:c>
      <x:c r="F320" s="0" t="s">
        <x:v>45</x:v>
      </x:c>
      <x:c r="G320" s="0" t="s">
        <x:v>19</x:v>
      </x:c>
      <x:c r="H320" s="0" t="s">
        <x:v>20</x:v>
      </x:c>
      <x:c r="I320" s="0" t="s">
        <x:v>21</x:v>
      </x:c>
      <x:c r="K320" s="0">
        <x:f>hyperlink("https://icd.who.int/dev11/l-ichi/en#/http%3A%2F%2Fid.who.int%2Ficd%2Fentity%2F14019290","browser")</x:f>
      </x:c>
      <x:c r="L320" s="0">
        <x:f>hyperlink("https://icat2.azurewebsites.net/icat/?ontology=ICD&amp;tab=ClassesTab&amp;id=http%3A%2F%2Fwho.int%2Ficd%231571_c1eb5896_b43e_4531_bd82_f72e7a00cdd6","iCat")</x:f>
      </x:c>
      <x:c r="M320" s="0" t="s">
        <x:v>21</x:v>
      </x:c>
      <x:c r="N320" s="0" t="s">
        <x:v>46</x:v>
      </x:c>
    </x:row>
    <x:row r="321" spans="1:16">
      <x:c r="A321" s="0" t="s">
        <x:v>1232</x:v>
      </x:c>
      <x:c r="B321" s="0" t="s">
        <x:v>1233</x:v>
      </x:c>
      <x:c r="C321" s="0" t="s">
        <x:v>1234</x:v>
      </x:c>
      <x:c r="E321" s="0" t="s">
        <x:v>1235</x:v>
      </x:c>
      <x:c r="F321" s="0" t="s">
        <x:v>45</x:v>
      </x:c>
      <x:c r="G321" s="0" t="s">
        <x:v>19</x:v>
      </x:c>
      <x:c r="H321" s="0" t="s">
        <x:v>20</x:v>
      </x:c>
      <x:c r="I321" s="0" t="s">
        <x:v>21</x:v>
      </x:c>
      <x:c r="K321" s="0">
        <x:f>hyperlink("https://icd.who.int/dev11/l-ichi/en#/http%3A%2F%2Fid.who.int%2Ficd%2Fentity%2F1884766549","browser")</x:f>
      </x:c>
      <x:c r="L321" s="0">
        <x:f>hyperlink("https://icat2.azurewebsites.net/icat/?ontology=ICD&amp;tab=ClassesTab&amp;id=http%3A%2F%2Fwho.int%2Ficd%231576_c1eb5896_b43e_4531_bd82_f72e7a00cdd6","iCat")</x:f>
      </x:c>
      <x:c r="M321" s="0" t="s">
        <x:v>21</x:v>
      </x:c>
      <x:c r="N321" s="0" t="s">
        <x:v>46</x:v>
      </x:c>
    </x:row>
    <x:row r="322" spans="1:16">
      <x:c r="A322" s="0" t="s">
        <x:v>1236</x:v>
      </x:c>
      <x:c r="B322" s="0" t="s">
        <x:v>1237</x:v>
      </x:c>
      <x:c r="C322" s="0" t="s">
        <x:v>1238</x:v>
      </x:c>
      <x:c r="E322" s="0" t="s">
        <x:v>1239</x:v>
      </x:c>
      <x:c r="F322" s="0" t="s">
        <x:v>45</x:v>
      </x:c>
      <x:c r="G322" s="0" t="s">
        <x:v>19</x:v>
      </x:c>
      <x:c r="H322" s="0" t="s">
        <x:v>20</x:v>
      </x:c>
      <x:c r="I322" s="0" t="s">
        <x:v>21</x:v>
      </x:c>
      <x:c r="K322" s="0">
        <x:f>hyperlink("https://icd.who.int/dev11/l-ichi/en#/http%3A%2F%2Fid.who.int%2Ficd%2Fentity%2F265015866","browser")</x:f>
      </x:c>
      <x:c r="L322" s="0">
        <x:f>hyperlink("https://icat2.azurewebsites.net/icat/?ontology=ICD&amp;tab=ClassesTab&amp;id=http%3A%2F%2Fwho.int%2Ficd%231580_c1eb5896_b43e_4531_bd82_f72e7a00cdd6","iCat")</x:f>
      </x:c>
      <x:c r="M322" s="0" t="s">
        <x:v>21</x:v>
      </x:c>
      <x:c r="N322" s="0" t="s">
        <x:v>46</x:v>
      </x:c>
    </x:row>
    <x:row r="323" spans="1:16">
      <x:c r="A323" s="0" t="s">
        <x:v>1240</x:v>
      </x:c>
      <x:c r="B323" s="0" t="s">
        <x:v>1241</x:v>
      </x:c>
      <x:c r="E323" s="0" t="s">
        <x:v>1242</x:v>
      </x:c>
      <x:c r="F323" s="0" t="s">
        <x:v>26</x:v>
      </x:c>
      <x:c r="G323" s="0" t="s">
        <x:v>22</x:v>
      </x:c>
      <x:c r="H323" s="0" t="s">
        <x:v>20</x:v>
      </x:c>
      <x:c r="I323" s="0" t="s">
        <x:v>21</x:v>
      </x:c>
      <x:c r="K323" s="0">
        <x:f>hyperlink("https://icd.who.int/dev11/l-ichi/en#/http%3A%2F%2Fid.who.int%2Ficd%2Fentity%2F1605372811","browser")</x:f>
      </x:c>
      <x:c r="L323" s="0">
        <x:f>hyperlink("https://icat2.azurewebsites.net/icat/?ontology=ICD&amp;tab=ClassesTab&amp;id=http%3A%2F%2Fwho.int%2Ficd%231586_c1eb5896_b43e_4531_bd82_f72e7a00cdd6","iCat")</x:f>
      </x:c>
      <x:c r="M323" s="0" t="s">
        <x:v>20</x:v>
      </x:c>
      <x:c r="N323" s="0" t="s">
        <x:v>19</x:v>
      </x:c>
    </x:row>
    <x:row r="324" spans="1:16">
      <x:c r="A324" s="0" t="s">
        <x:v>1243</x:v>
      </x:c>
      <x:c r="B324" s="0" t="s">
        <x:v>1244</x:v>
      </x:c>
      <x:c r="C324" s="0" t="s">
        <x:v>1245</x:v>
      </x:c>
      <x:c r="E324" s="0" t="s">
        <x:v>1246</x:v>
      </x:c>
      <x:c r="F324" s="0" t="s">
        <x:v>45</x:v>
      </x:c>
      <x:c r="G324" s="0" t="s">
        <x:v>19</x:v>
      </x:c>
      <x:c r="H324" s="0" t="s">
        <x:v>20</x:v>
      </x:c>
      <x:c r="I324" s="0" t="s">
        <x:v>21</x:v>
      </x:c>
      <x:c r="K324" s="0">
        <x:f>hyperlink("https://icd.who.int/dev11/l-ichi/en#/http%3A%2F%2Fid.who.int%2Ficd%2Fentity%2F439706738","browser")</x:f>
      </x:c>
      <x:c r="L324" s="0">
        <x:f>hyperlink("https://icat2.azurewebsites.net/icat/?ontology=ICD&amp;tab=ClassesTab&amp;id=http%3A%2F%2Fwho.int%2Ficd%231585_c1eb5896_b43e_4531_bd82_f72e7a00cdd6","iCat")</x:f>
      </x:c>
      <x:c r="M324" s="0" t="s">
        <x:v>21</x:v>
      </x:c>
      <x:c r="N324" s="0" t="s">
        <x:v>46</x:v>
      </x:c>
    </x:row>
    <x:row r="325" spans="1:16">
      <x:c r="A325" s="0" t="s">
        <x:v>1247</x:v>
      </x:c>
      <x:c r="B325" s="0" t="s">
        <x:v>1248</x:v>
      </x:c>
      <x:c r="E325" s="0" t="s">
        <x:v>1249</x:v>
      </x:c>
      <x:c r="F325" s="0" t="s">
        <x:v>26</x:v>
      </x:c>
      <x:c r="G325" s="0" t="s">
        <x:v>22</x:v>
      </x:c>
      <x:c r="H325" s="0" t="s">
        <x:v>20</x:v>
      </x:c>
      <x:c r="I325" s="0" t="s">
        <x:v>21</x:v>
      </x:c>
      <x:c r="K325" s="0">
        <x:f>hyperlink("https://icd.who.int/dev11/l-ichi/en#/http%3A%2F%2Fid.who.int%2Ficd%2Fentity%2F730805816","browser")</x:f>
      </x:c>
      <x:c r="L325" s="0">
        <x:f>hyperlink("https://icat2.azurewebsites.net/icat/?ontology=ICD&amp;tab=ClassesTab&amp;id=http%3A%2F%2Fwho.int%2Ficd%231598_c1eb5896_b43e_4531_bd82_f72e7a00cdd6","iCat")</x:f>
      </x:c>
      <x:c r="M325" s="0" t="s">
        <x:v>20</x:v>
      </x:c>
      <x:c r="N325" s="0" t="s">
        <x:v>40</x:v>
      </x:c>
    </x:row>
    <x:row r="326" spans="1:16">
      <x:c r="A326" s="0" t="s">
        <x:v>1250</x:v>
      </x:c>
      <x:c r="B326" s="0" t="s">
        <x:v>1251</x:v>
      </x:c>
      <x:c r="C326" s="0" t="s">
        <x:v>1252</x:v>
      </x:c>
      <x:c r="E326" s="0" t="s">
        <x:v>1253</x:v>
      </x:c>
      <x:c r="F326" s="0" t="s">
        <x:v>45</x:v>
      </x:c>
      <x:c r="G326" s="0" t="s">
        <x:v>19</x:v>
      </x:c>
      <x:c r="H326" s="0" t="s">
        <x:v>20</x:v>
      </x:c>
      <x:c r="I326" s="0" t="s">
        <x:v>21</x:v>
      </x:c>
      <x:c r="K326" s="0">
        <x:f>hyperlink("https://icd.who.int/dev11/l-ichi/en#/http%3A%2F%2Fid.who.int%2Ficd%2Fentity%2F361557216","browser")</x:f>
      </x:c>
      <x:c r="L326" s="0">
        <x:f>hyperlink("https://icat2.azurewebsites.net/icat/?ontology=ICD&amp;tab=ClassesTab&amp;id=http%3A%2F%2Fwho.int%2Ficd%231597_c1eb5896_b43e_4531_bd82_f72e7a00cdd6","iCat")</x:f>
      </x:c>
      <x:c r="M326" s="0" t="s">
        <x:v>21</x:v>
      </x:c>
      <x:c r="N326" s="0" t="s">
        <x:v>46</x:v>
      </x:c>
    </x:row>
    <x:row r="327" spans="1:16">
      <x:c r="A327" s="0" t="s">
        <x:v>1254</x:v>
      </x:c>
      <x:c r="B327" s="0" t="s">
        <x:v>1255</x:v>
      </x:c>
      <x:c r="C327" s="0" t="s">
        <x:v>1256</x:v>
      </x:c>
      <x:c r="E327" s="0" t="s">
        <x:v>1257</x:v>
      </x:c>
      <x:c r="F327" s="0" t="s">
        <x:v>45</x:v>
      </x:c>
      <x:c r="G327" s="0" t="s">
        <x:v>19</x:v>
      </x:c>
      <x:c r="H327" s="0" t="s">
        <x:v>20</x:v>
      </x:c>
      <x:c r="I327" s="0" t="s">
        <x:v>21</x:v>
      </x:c>
      <x:c r="K327" s="0">
        <x:f>hyperlink("https://icd.who.int/dev11/l-ichi/en#/http%3A%2F%2Fid.who.int%2Ficd%2Fentity%2F19371050","browser")</x:f>
      </x:c>
      <x:c r="L327" s="0">
        <x:f>hyperlink("https://icat2.azurewebsites.net/icat/?ontology=ICD&amp;tab=ClassesTab&amp;id=http%3A%2F%2Fwho.int%2Ficd%231607_c1eb5896_b43e_4531_bd82_f72e7a00cdd6","iCat")</x:f>
      </x:c>
      <x:c r="M327" s="0" t="s">
        <x:v>21</x:v>
      </x:c>
      <x:c r="N327" s="0" t="s">
        <x:v>46</x:v>
      </x:c>
    </x:row>
    <x:row r="328" spans="1:16">
      <x:c r="A328" s="0" t="s">
        <x:v>1258</x:v>
      </x:c>
      <x:c r="B328" s="0" t="s">
        <x:v>1259</x:v>
      </x:c>
      <x:c r="C328" s="0" t="s">
        <x:v>1260</x:v>
      </x:c>
      <x:c r="E328" s="0" t="s">
        <x:v>1261</x:v>
      </x:c>
      <x:c r="F328" s="0" t="s">
        <x:v>45</x:v>
      </x:c>
      <x:c r="G328" s="0" t="s">
        <x:v>19</x:v>
      </x:c>
      <x:c r="H328" s="0" t="s">
        <x:v>20</x:v>
      </x:c>
      <x:c r="I328" s="0" t="s">
        <x:v>21</x:v>
      </x:c>
      <x:c r="K328" s="0">
        <x:f>hyperlink("https://icd.who.int/dev11/l-ichi/en#/http%3A%2F%2Fid.who.int%2Ficd%2Fentity%2F999938254","browser")</x:f>
      </x:c>
      <x:c r="L328" s="0">
        <x:f>hyperlink("https://icat2.azurewebsites.net/icat/?ontology=ICD&amp;tab=ClassesTab&amp;id=http%3A%2F%2Fwho.int%2Ficd%231611_c1eb5896_b43e_4531_bd82_f72e7a00cdd6","iCat")</x:f>
      </x:c>
      <x:c r="M328" s="0" t="s">
        <x:v>21</x:v>
      </x:c>
      <x:c r="N328" s="0" t="s">
        <x:v>46</x:v>
      </x:c>
    </x:row>
    <x:row r="329" spans="1:16">
      <x:c r="A329" s="0" t="s">
        <x:v>1262</x:v>
      </x:c>
      <x:c r="B329" s="0" t="s">
        <x:v>1263</x:v>
      </x:c>
      <x:c r="C329" s="0" t="s">
        <x:v>1264</x:v>
      </x:c>
      <x:c r="E329" s="0" t="s">
        <x:v>1265</x:v>
      </x:c>
      <x:c r="F329" s="0" t="s">
        <x:v>45</x:v>
      </x:c>
      <x:c r="G329" s="0" t="s">
        <x:v>19</x:v>
      </x:c>
      <x:c r="H329" s="0" t="s">
        <x:v>20</x:v>
      </x:c>
      <x:c r="I329" s="0" t="s">
        <x:v>21</x:v>
      </x:c>
      <x:c r="K329" s="0">
        <x:f>hyperlink("https://icd.who.int/dev11/l-ichi/en#/http%3A%2F%2Fid.who.int%2Ficd%2Fentity%2F245243064","browser")</x:f>
      </x:c>
      <x:c r="L329" s="0">
        <x:f>hyperlink("https://icat2.azurewebsites.net/icat/?ontology=ICD&amp;tab=ClassesTab&amp;id=http%3A%2F%2Fwho.int%2Ficd%231615_c1eb5896_b43e_4531_bd82_f72e7a00cdd6","iCat")</x:f>
      </x:c>
      <x:c r="M329" s="0" t="s">
        <x:v>21</x:v>
      </x:c>
      <x:c r="N329" s="0" t="s">
        <x:v>46</x:v>
      </x:c>
    </x:row>
    <x:row r="330" spans="1:16">
      <x:c r="A330" s="0" t="s">
        <x:v>1266</x:v>
      </x:c>
      <x:c r="B330" s="0" t="s">
        <x:v>1267</x:v>
      </x:c>
      <x:c r="C330" s="0" t="s">
        <x:v>1268</x:v>
      </x:c>
      <x:c r="E330" s="0" t="s">
        <x:v>1269</x:v>
      </x:c>
      <x:c r="F330" s="0" t="s">
        <x:v>45</x:v>
      </x:c>
      <x:c r="G330" s="0" t="s">
        <x:v>19</x:v>
      </x:c>
      <x:c r="H330" s="0" t="s">
        <x:v>20</x:v>
      </x:c>
      <x:c r="I330" s="0" t="s">
        <x:v>21</x:v>
      </x:c>
      <x:c r="K330" s="0">
        <x:f>hyperlink("https://icd.who.int/dev11/l-ichi/en#/http%3A%2F%2Fid.who.int%2Ficd%2Fentity%2F1964550553","browser")</x:f>
      </x:c>
      <x:c r="L330" s="0">
        <x:f>hyperlink("https://icat2.azurewebsites.net/icat/?ontology=ICD&amp;tab=ClassesTab&amp;id=http%3A%2F%2Fwho.int%2Ficd%231619_c1eb5896_b43e_4531_bd82_f72e7a00cdd6","iCat")</x:f>
      </x:c>
      <x:c r="M330" s="0" t="s">
        <x:v>21</x:v>
      </x:c>
      <x:c r="N330" s="0" t="s">
        <x:v>46</x:v>
      </x:c>
    </x:row>
    <x:row r="331" spans="1:16">
      <x:c r="A331" s="0" t="s">
        <x:v>1270</x:v>
      </x:c>
      <x:c r="B331" s="0" t="s">
        <x:v>1271</x:v>
      </x:c>
      <x:c r="E331" s="0" t="s">
        <x:v>1272</x:v>
      </x:c>
      <x:c r="F331" s="0" t="s">
        <x:v>26</x:v>
      </x:c>
      <x:c r="G331" s="0" t="s">
        <x:v>22</x:v>
      </x:c>
      <x:c r="H331" s="0" t="s">
        <x:v>20</x:v>
      </x:c>
      <x:c r="I331" s="0" t="s">
        <x:v>21</x:v>
      </x:c>
      <x:c r="K331" s="0">
        <x:f>hyperlink("https://icd.who.int/dev11/l-ichi/en#/http%3A%2F%2Fid.who.int%2Ficd%2Fentity%2F1859530371","browser")</x:f>
      </x:c>
      <x:c r="L331" s="0">
        <x:f>hyperlink("https://icat2.azurewebsites.net/icat/?ontology=ICD&amp;tab=ClassesTab&amp;id=http%3A%2F%2Fwho.int%2Ficd%231624_c1eb5896_b43e_4531_bd82_f72e7a00cdd6","iCat")</x:f>
      </x:c>
      <x:c r="M331" s="0" t="s">
        <x:v>20</x:v>
      </x:c>
      <x:c r="N331" s="0" t="s">
        <x:v>35</x:v>
      </x:c>
    </x:row>
    <x:row r="332" spans="1:16">
      <x:c r="A332" s="0" t="s">
        <x:v>1273</x:v>
      </x:c>
      <x:c r="B332" s="0" t="s">
        <x:v>1274</x:v>
      </x:c>
      <x:c r="C332" s="0" t="s">
        <x:v>1275</x:v>
      </x:c>
      <x:c r="E332" s="0" t="s">
        <x:v>1276</x:v>
      </x:c>
      <x:c r="F332" s="0" t="s">
        <x:v>45</x:v>
      </x:c>
      <x:c r="G332" s="0" t="s">
        <x:v>19</x:v>
      </x:c>
      <x:c r="H332" s="0" t="s">
        <x:v>20</x:v>
      </x:c>
      <x:c r="I332" s="0" t="s">
        <x:v>21</x:v>
      </x:c>
      <x:c r="K332" s="0">
        <x:f>hyperlink("https://icd.who.int/dev11/l-ichi/en#/http%3A%2F%2Fid.who.int%2Ficd%2Fentity%2F508855566","browser")</x:f>
      </x:c>
      <x:c r="L332" s="0">
        <x:f>hyperlink("https://icat2.azurewebsites.net/icat/?ontology=ICD&amp;tab=ClassesTab&amp;id=http%3A%2F%2Fwho.int%2Ficd%231623_c1eb5896_b43e_4531_bd82_f72e7a00cdd6","iCat")</x:f>
      </x:c>
      <x:c r="M332" s="0" t="s">
        <x:v>21</x:v>
      </x:c>
      <x:c r="N332" s="0" t="s">
        <x:v>46</x:v>
      </x:c>
    </x:row>
    <x:row r="333" spans="1:16">
      <x:c r="A333" s="0" t="s">
        <x:v>1277</x:v>
      </x:c>
      <x:c r="B333" s="0" t="s">
        <x:v>1278</x:v>
      </x:c>
      <x:c r="C333" s="0" t="s">
        <x:v>1279</x:v>
      </x:c>
      <x:c r="E333" s="0" t="s">
        <x:v>1280</x:v>
      </x:c>
      <x:c r="F333" s="0" t="s">
        <x:v>45</x:v>
      </x:c>
      <x:c r="G333" s="0" t="s">
        <x:v>19</x:v>
      </x:c>
      <x:c r="H333" s="0" t="s">
        <x:v>20</x:v>
      </x:c>
      <x:c r="I333" s="0" t="s">
        <x:v>21</x:v>
      </x:c>
      <x:c r="K333" s="0">
        <x:f>hyperlink("https://icd.who.int/dev11/l-ichi/en#/http%3A%2F%2Fid.who.int%2Ficd%2Fentity%2F1955663961","browser")</x:f>
      </x:c>
      <x:c r="L333" s="0">
        <x:f>hyperlink("https://icat2.azurewebsites.net/icat/?ontology=ICD&amp;tab=ClassesTab&amp;id=http%3A%2F%2Fwho.int%2Ficd%231633_c1eb5896_b43e_4531_bd82_f72e7a00cdd6","iCat")</x:f>
      </x:c>
      <x:c r="M333" s="0" t="s">
        <x:v>21</x:v>
      </x:c>
      <x:c r="N333" s="0" t="s">
        <x:v>46</x:v>
      </x:c>
    </x:row>
    <x:row r="334" spans="1:16">
      <x:c r="A334" s="0" t="s">
        <x:v>1281</x:v>
      </x:c>
      <x:c r="B334" s="0" t="s">
        <x:v>1282</x:v>
      </x:c>
      <x:c r="C334" s="0" t="s">
        <x:v>1283</x:v>
      </x:c>
      <x:c r="E334" s="0" t="s">
        <x:v>1284</x:v>
      </x:c>
      <x:c r="F334" s="0" t="s">
        <x:v>45</x:v>
      </x:c>
      <x:c r="G334" s="0" t="s">
        <x:v>19</x:v>
      </x:c>
      <x:c r="H334" s="0" t="s">
        <x:v>20</x:v>
      </x:c>
      <x:c r="I334" s="0" t="s">
        <x:v>21</x:v>
      </x:c>
      <x:c r="K334" s="0">
        <x:f>hyperlink("https://icd.who.int/dev11/l-ichi/en#/http%3A%2F%2Fid.who.int%2Ficd%2Fentity%2F1100403757","browser")</x:f>
      </x:c>
      <x:c r="L334" s="0">
        <x:f>hyperlink("https://icat2.azurewebsites.net/icat/?ontology=ICD&amp;tab=ClassesTab&amp;id=http%3A%2F%2Fwho.int%2Ficd%231637_c1eb5896_b43e_4531_bd82_f72e7a00cdd6","iCat")</x:f>
      </x:c>
      <x:c r="M334" s="0" t="s">
        <x:v>21</x:v>
      </x:c>
      <x:c r="N334" s="0" t="s">
        <x:v>46</x:v>
      </x:c>
    </x:row>
    <x:row r="335" spans="1:16">
      <x:c r="B335" s="0" t="s">
        <x:v>1285</x:v>
      </x:c>
      <x:c r="C335" s="0" t="s">
        <x:v>1286</x:v>
      </x:c>
      <x:c r="E335" s="0" t="s">
        <x:v>1287</x:v>
      </x:c>
      <x:c r="F335" s="0" t="s">
        <x:v>45</x:v>
      </x:c>
      <x:c r="G335" s="0" t="s">
        <x:v>19</x:v>
      </x:c>
      <x:c r="H335" s="0" t="s">
        <x:v>21</x:v>
      </x:c>
      <x:c r="I335" s="0" t="s">
        <x:v>21</x:v>
      </x:c>
      <x:c r="K335" s="0">
        <x:f>hyperlink("https://icd.who.int/dev11/l-ichi/en#/http%3A%2F%2Fid.who.int%2Ficd%2Fentity%2F2131439959%2Fichi%2Fother","browser")</x:f>
      </x:c>
      <x:c r="L335" s="0">
        <x:f>hyperlink("","iCat")</x:f>
      </x:c>
      <x:c r="M335" s="0" t="s">
        <x:v>21</x:v>
      </x:c>
      <x:c r="N335" s="0" t="s">
        <x:v>46</x:v>
      </x:c>
    </x:row>
    <x:row r="336" spans="1:16">
      <x:c r="B336" s="0" t="s">
        <x:v>1288</x:v>
      </x:c>
      <x:c r="C336" s="0" t="s">
        <x:v>1289</x:v>
      </x:c>
      <x:c r="E336" s="0" t="s">
        <x:v>1290</x:v>
      </x:c>
      <x:c r="F336" s="0" t="s">
        <x:v>45</x:v>
      </x:c>
      <x:c r="G336" s="0" t="s">
        <x:v>19</x:v>
      </x:c>
      <x:c r="H336" s="0" t="s">
        <x:v>21</x:v>
      </x:c>
      <x:c r="I336" s="0" t="s">
        <x:v>21</x:v>
      </x:c>
      <x:c r="K336" s="0">
        <x:f>hyperlink("https://icd.who.int/dev11/l-ichi/en#/http%3A%2F%2Fid.who.int%2Ficd%2Fentity%2F2131439959%2Fichi%2Funspecified","browser")</x:f>
      </x:c>
      <x:c r="L336" s="0">
        <x:f>hyperlink("","iCat")</x:f>
      </x:c>
      <x:c r="M336" s="0" t="s">
        <x:v>21</x:v>
      </x:c>
      <x:c r="N336" s="0" t="s">
        <x:v>46</x:v>
      </x:c>
    </x:row>
    <x:row r="337" spans="1:16">
      <x:c r="A337" s="0" t="s">
        <x:v>1291</x:v>
      </x:c>
      <x:c r="B337" s="0" t="s">
        <x:v>1292</x:v>
      </x:c>
      <x:c r="E337" s="0" t="s">
        <x:v>1293</x:v>
      </x:c>
      <x:c r="F337" s="0" t="s">
        <x:v>26</x:v>
      </x:c>
      <x:c r="G337" s="0" t="s">
        <x:v>35</x:v>
      </x:c>
      <x:c r="H337" s="0" t="s">
        <x:v>20</x:v>
      </x:c>
      <x:c r="I337" s="0" t="s">
        <x:v>21</x:v>
      </x:c>
      <x:c r="K337" s="0">
        <x:f>hyperlink("https://icd.who.int/dev11/l-ichi/en#/http%3A%2F%2Fid.who.int%2Ficd%2Fentity%2F2130268069","browser")</x:f>
      </x:c>
      <x:c r="L337" s="0">
        <x:f>hyperlink("https://icat2.azurewebsites.net/icat/?ontology=ICD&amp;tab=ClassesTab&amp;id=http%3A%2F%2Fwho.int%2Ficd%231655_c1eb5896_b43e_4531_bd82_f72e7a00cdd6","iCat")</x:f>
      </x:c>
      <x:c r="M337" s="0" t="s">
        <x:v>20</x:v>
      </x:c>
      <x:c r="N337" s="0" t="s">
        <x:v>1294</x:v>
      </x:c>
    </x:row>
    <x:row r="338" spans="1:16">
      <x:c r="A338" s="0" t="s">
        <x:v>1295</x:v>
      </x:c>
      <x:c r="B338" s="0" t="s">
        <x:v>1296</x:v>
      </x:c>
      <x:c r="E338" s="0" t="s">
        <x:v>1297</x:v>
      </x:c>
      <x:c r="F338" s="0" t="s">
        <x:v>26</x:v>
      </x:c>
      <x:c r="G338" s="0" t="s">
        <x:v>22</x:v>
      </x:c>
      <x:c r="H338" s="0" t="s">
        <x:v>20</x:v>
      </x:c>
      <x:c r="I338" s="0" t="s">
        <x:v>21</x:v>
      </x:c>
      <x:c r="K338" s="0">
        <x:f>hyperlink("https://icd.who.int/dev11/l-ichi/en#/http%3A%2F%2Fid.who.int%2Ficd%2Fentity%2F189778902","browser")</x:f>
      </x:c>
      <x:c r="L338" s="0">
        <x:f>hyperlink("https://icat2.azurewebsites.net/icat/?ontology=ICD&amp;tab=ClassesTab&amp;id=http%3A%2F%2Fwho.int%2Ficd%231661_c1eb5896_b43e_4531_bd82_f72e7a00cdd6","iCat")</x:f>
      </x:c>
      <x:c r="M338" s="0" t="s">
        <x:v>20</x:v>
      </x:c>
      <x:c r="N338" s="0" t="s">
        <x:v>1298</x:v>
      </x:c>
    </x:row>
    <x:row r="339" spans="1:16">
      <x:c r="A339" s="0" t="s">
        <x:v>1299</x:v>
      </x:c>
      <x:c r="B339" s="0" t="s">
        <x:v>1300</x:v>
      </x:c>
      <x:c r="C339" s="0" t="s">
        <x:v>1301</x:v>
      </x:c>
      <x:c r="E339" s="0" t="s">
        <x:v>1302</x:v>
      </x:c>
      <x:c r="F339" s="0" t="s">
        <x:v>45</x:v>
      </x:c>
      <x:c r="G339" s="0" t="s">
        <x:v>19</x:v>
      </x:c>
      <x:c r="H339" s="0" t="s">
        <x:v>20</x:v>
      </x:c>
      <x:c r="I339" s="0" t="s">
        <x:v>21</x:v>
      </x:c>
      <x:c r="K339" s="0">
        <x:f>hyperlink("https://icd.who.int/dev11/l-ichi/en#/http%3A%2F%2Fid.who.int%2Ficd%2Fentity%2F1577074073","browser")</x:f>
      </x:c>
      <x:c r="L339" s="0">
        <x:f>hyperlink("https://icat2.azurewebsites.net/icat/?ontology=ICD&amp;tab=ClassesTab&amp;id=http%3A%2F%2Fwho.int%2Ficd%231654_c1eb5896_b43e_4531_bd82_f72e7a00cdd6","iCat")</x:f>
      </x:c>
      <x:c r="M339" s="0" t="s">
        <x:v>21</x:v>
      </x:c>
      <x:c r="N339" s="0" t="s">
        <x:v>46</x:v>
      </x:c>
    </x:row>
    <x:row r="340" spans="1:16">
      <x:c r="A340" s="0" t="s">
        <x:v>1303</x:v>
      </x:c>
      <x:c r="B340" s="0" t="s">
        <x:v>1304</x:v>
      </x:c>
      <x:c r="C340" s="0" t="s">
        <x:v>1305</x:v>
      </x:c>
      <x:c r="E340" s="0" t="s">
        <x:v>1306</x:v>
      </x:c>
      <x:c r="F340" s="0" t="s">
        <x:v>45</x:v>
      </x:c>
      <x:c r="G340" s="0" t="s">
        <x:v>19</x:v>
      </x:c>
      <x:c r="H340" s="0" t="s">
        <x:v>20</x:v>
      </x:c>
      <x:c r="I340" s="0" t="s">
        <x:v>21</x:v>
      </x:c>
      <x:c r="K340" s="0">
        <x:f>hyperlink("https://icd.who.int/dev11/l-ichi/en#/http%3A%2F%2Fid.who.int%2Ficd%2Fentity%2F1953818825","browser")</x:f>
      </x:c>
      <x:c r="L340" s="0">
        <x:f>hyperlink("https://icat2.azurewebsites.net/icat/?ontology=ICD&amp;tab=ClassesTab&amp;id=http%3A%2F%2Fwho.int%2Ficd%231674_c1eb5896_b43e_4531_bd82_f72e7a00cdd6","iCat")</x:f>
      </x:c>
      <x:c r="M340" s="0" t="s">
        <x:v>21</x:v>
      </x:c>
      <x:c r="N340" s="0" t="s">
        <x:v>46</x:v>
      </x:c>
    </x:row>
    <x:row r="341" spans="1:16">
      <x:c r="A341" s="0" t="s">
        <x:v>1307</x:v>
      </x:c>
      <x:c r="B341" s="0" t="s">
        <x:v>1308</x:v>
      </x:c>
      <x:c r="C341" s="0" t="s">
        <x:v>1309</x:v>
      </x:c>
      <x:c r="E341" s="0" t="s">
        <x:v>1310</x:v>
      </x:c>
      <x:c r="F341" s="0" t="s">
        <x:v>45</x:v>
      </x:c>
      <x:c r="G341" s="0" t="s">
        <x:v>19</x:v>
      </x:c>
      <x:c r="H341" s="0" t="s">
        <x:v>20</x:v>
      </x:c>
      <x:c r="I341" s="0" t="s">
        <x:v>21</x:v>
      </x:c>
      <x:c r="K341" s="0">
        <x:f>hyperlink("https://icd.who.int/dev11/l-ichi/en#/http%3A%2F%2Fid.who.int%2Ficd%2Fentity%2F267541994","browser")</x:f>
      </x:c>
      <x:c r="L341" s="0">
        <x:f>hyperlink("https://icat2.azurewebsites.net/icat/?ontology=ICD&amp;tab=ClassesTab&amp;id=http%3A%2F%2Fwho.int%2Ficd%231678_c1eb5896_b43e_4531_bd82_f72e7a00cdd6","iCat")</x:f>
      </x:c>
      <x:c r="M341" s="0" t="s">
        <x:v>21</x:v>
      </x:c>
      <x:c r="N341" s="0" t="s">
        <x:v>46</x:v>
      </x:c>
    </x:row>
    <x:row r="342" spans="1:16">
      <x:c r="A342" s="0" t="s">
        <x:v>1311</x:v>
      </x:c>
      <x:c r="B342" s="0" t="s">
        <x:v>1312</x:v>
      </x:c>
      <x:c r="C342" s="0" t="s">
        <x:v>1313</x:v>
      </x:c>
      <x:c r="E342" s="0" t="s">
        <x:v>1314</x:v>
      </x:c>
      <x:c r="F342" s="0" t="s">
        <x:v>45</x:v>
      </x:c>
      <x:c r="G342" s="0" t="s">
        <x:v>19</x:v>
      </x:c>
      <x:c r="H342" s="0" t="s">
        <x:v>20</x:v>
      </x:c>
      <x:c r="I342" s="0" t="s">
        <x:v>21</x:v>
      </x:c>
      <x:c r="K342" s="0">
        <x:f>hyperlink("https://icd.who.int/dev11/l-ichi/en#/http%3A%2F%2Fid.who.int%2Ficd%2Fentity%2F199785384","browser")</x:f>
      </x:c>
      <x:c r="L342" s="0">
        <x:f>hyperlink("https://icat2.azurewebsites.net/icat/?ontology=ICD&amp;tab=ClassesTab&amp;id=http%3A%2F%2Fwho.int%2Ficd%231682_c1eb5896_b43e_4531_bd82_f72e7a00cdd6","iCat")</x:f>
      </x:c>
      <x:c r="M342" s="0" t="s">
        <x:v>21</x:v>
      </x:c>
      <x:c r="N342" s="0" t="s">
        <x:v>46</x:v>
      </x:c>
    </x:row>
    <x:row r="343" spans="1:16">
      <x:c r="A343" s="0" t="s">
        <x:v>1315</x:v>
      </x:c>
      <x:c r="B343" s="0" t="s">
        <x:v>1316</x:v>
      </x:c>
      <x:c r="C343" s="0" t="s">
        <x:v>1317</x:v>
      </x:c>
      <x:c r="E343" s="0" t="s">
        <x:v>1318</x:v>
      </x:c>
      <x:c r="F343" s="0" t="s">
        <x:v>45</x:v>
      </x:c>
      <x:c r="G343" s="0" t="s">
        <x:v>19</x:v>
      </x:c>
      <x:c r="H343" s="0" t="s">
        <x:v>20</x:v>
      </x:c>
      <x:c r="I343" s="0" t="s">
        <x:v>21</x:v>
      </x:c>
      <x:c r="K343" s="0">
        <x:f>hyperlink("https://icd.who.int/dev11/l-ichi/en#/http%3A%2F%2Fid.who.int%2Ficd%2Fentity%2F1055899602","browser")</x:f>
      </x:c>
      <x:c r="L343" s="0">
        <x:f>hyperlink("https://icat2.azurewebsites.net/icat/?ontology=ICD&amp;tab=ClassesTab&amp;id=http%3A%2F%2Fwho.int%2Ficd%231686_c1eb5896_b43e_4531_bd82_f72e7a00cdd6","iCat")</x:f>
      </x:c>
      <x:c r="M343" s="0" t="s">
        <x:v>21</x:v>
      </x:c>
      <x:c r="N343" s="0" t="s">
        <x:v>46</x:v>
      </x:c>
    </x:row>
    <x:row r="344" spans="1:16">
      <x:c r="A344" s="0" t="s">
        <x:v>1319</x:v>
      </x:c>
      <x:c r="B344" s="0" t="s">
        <x:v>1320</x:v>
      </x:c>
      <x:c r="C344" s="0" t="s">
        <x:v>1321</x:v>
      </x:c>
      <x:c r="E344" s="0" t="s">
        <x:v>1322</x:v>
      </x:c>
      <x:c r="F344" s="0" t="s">
        <x:v>45</x:v>
      </x:c>
      <x:c r="G344" s="0" t="s">
        <x:v>19</x:v>
      </x:c>
      <x:c r="H344" s="0" t="s">
        <x:v>20</x:v>
      </x:c>
      <x:c r="I344" s="0" t="s">
        <x:v>21</x:v>
      </x:c>
      <x:c r="K344" s="0">
        <x:f>hyperlink("https://icd.who.int/dev11/l-ichi/en#/http%3A%2F%2Fid.who.int%2Ficd%2Fentity%2F72479542","browser")</x:f>
      </x:c>
      <x:c r="L344" s="0">
        <x:f>hyperlink("https://icat2.azurewebsites.net/icat/?ontology=ICD&amp;tab=ClassesTab&amp;id=http%3A%2F%2Fwho.int%2Ficd%231690_c1eb5896_b43e_4531_bd82_f72e7a00cdd6","iCat")</x:f>
      </x:c>
      <x:c r="M344" s="0" t="s">
        <x:v>21</x:v>
      </x:c>
      <x:c r="N344" s="0" t="s">
        <x:v>46</x:v>
      </x:c>
    </x:row>
    <x:row r="345" spans="1:16">
      <x:c r="A345" s="0" t="s">
        <x:v>1323</x:v>
      </x:c>
      <x:c r="B345" s="0" t="s">
        <x:v>1324</x:v>
      </x:c>
      <x:c r="C345" s="0" t="s">
        <x:v>1325</x:v>
      </x:c>
      <x:c r="E345" s="0" t="s">
        <x:v>1326</x:v>
      </x:c>
      <x:c r="F345" s="0" t="s">
        <x:v>45</x:v>
      </x:c>
      <x:c r="G345" s="0" t="s">
        <x:v>19</x:v>
      </x:c>
      <x:c r="H345" s="0" t="s">
        <x:v>20</x:v>
      </x:c>
      <x:c r="I345" s="0" t="s">
        <x:v>21</x:v>
      </x:c>
      <x:c r="K345" s="0">
        <x:f>hyperlink("https://icd.who.int/dev11/l-ichi/en#/http%3A%2F%2Fid.who.int%2Ficd%2Fentity%2F827733824","browser")</x:f>
      </x:c>
      <x:c r="L345" s="0">
        <x:f>hyperlink("https://icat2.azurewebsites.net/icat/?ontology=ICD&amp;tab=ClassesTab&amp;id=http%3A%2F%2Fwho.int%2Ficd%231694_c1eb5896_b43e_4531_bd82_f72e7a00cdd6","iCat")</x:f>
      </x:c>
      <x:c r="M345" s="0" t="s">
        <x:v>21</x:v>
      </x:c>
      <x:c r="N345" s="0" t="s">
        <x:v>46</x:v>
      </x:c>
    </x:row>
    <x:row r="346" spans="1:16">
      <x:c r="A346" s="0" t="s">
        <x:v>1327</x:v>
      </x:c>
      <x:c r="B346" s="0" t="s">
        <x:v>1328</x:v>
      </x:c>
      <x:c r="C346" s="0" t="s">
        <x:v>1329</x:v>
      </x:c>
      <x:c r="E346" s="0" t="s">
        <x:v>1330</x:v>
      </x:c>
      <x:c r="F346" s="0" t="s">
        <x:v>45</x:v>
      </x:c>
      <x:c r="G346" s="0" t="s">
        <x:v>19</x:v>
      </x:c>
      <x:c r="H346" s="0" t="s">
        <x:v>20</x:v>
      </x:c>
      <x:c r="I346" s="0" t="s">
        <x:v>21</x:v>
      </x:c>
      <x:c r="K346" s="0">
        <x:f>hyperlink("https://icd.who.int/dev11/l-ichi/en#/http%3A%2F%2Fid.who.int%2Ficd%2Fentity%2F1255178849","browser")</x:f>
      </x:c>
      <x:c r="L346" s="0">
        <x:f>hyperlink("https://icat2.azurewebsites.net/icat/?ontology=ICD&amp;tab=ClassesTab&amp;id=http%3A%2F%2Fwho.int%2Ficd%231698_c1eb5896_b43e_4531_bd82_f72e7a00cdd6","iCat")</x:f>
      </x:c>
      <x:c r="M346" s="0" t="s">
        <x:v>21</x:v>
      </x:c>
      <x:c r="N346" s="0" t="s">
        <x:v>46</x:v>
      </x:c>
    </x:row>
    <x:row r="347" spans="1:16">
      <x:c r="A347" s="0" t="s">
        <x:v>1331</x:v>
      </x:c>
      <x:c r="B347" s="0" t="s">
        <x:v>1332</x:v>
      </x:c>
      <x:c r="C347" s="0" t="s">
        <x:v>1333</x:v>
      </x:c>
      <x:c r="E347" s="0" t="s">
        <x:v>1334</x:v>
      </x:c>
      <x:c r="F347" s="0" t="s">
        <x:v>45</x:v>
      </x:c>
      <x:c r="G347" s="0" t="s">
        <x:v>19</x:v>
      </x:c>
      <x:c r="H347" s="0" t="s">
        <x:v>20</x:v>
      </x:c>
      <x:c r="I347" s="0" t="s">
        <x:v>21</x:v>
      </x:c>
      <x:c r="K347" s="0">
        <x:f>hyperlink("https://icd.who.int/dev11/l-ichi/en#/http%3A%2F%2Fid.who.int%2Ficd%2Fentity%2F1632036095","browser")</x:f>
      </x:c>
      <x:c r="L347" s="0">
        <x:f>hyperlink("https://icat2.azurewebsites.net/icat/?ontology=ICD&amp;tab=ClassesTab&amp;id=http%3A%2F%2Fwho.int%2Ficd%231702_c1eb5896_b43e_4531_bd82_f72e7a00cdd6","iCat")</x:f>
      </x:c>
      <x:c r="M347" s="0" t="s">
        <x:v>21</x:v>
      </x:c>
      <x:c r="N347" s="0" t="s">
        <x:v>46</x:v>
      </x:c>
    </x:row>
    <x:row r="348" spans="1:16">
      <x:c r="A348" s="0" t="s">
        <x:v>1335</x:v>
      </x:c>
      <x:c r="B348" s="0" t="s">
        <x:v>1336</x:v>
      </x:c>
      <x:c r="C348" s="0" t="s">
        <x:v>1337</x:v>
      </x:c>
      <x:c r="E348" s="0" t="s">
        <x:v>1338</x:v>
      </x:c>
      <x:c r="F348" s="0" t="s">
        <x:v>45</x:v>
      </x:c>
      <x:c r="G348" s="0" t="s">
        <x:v>19</x:v>
      </x:c>
      <x:c r="H348" s="0" t="s">
        <x:v>20</x:v>
      </x:c>
      <x:c r="I348" s="0" t="s">
        <x:v>21</x:v>
      </x:c>
      <x:c r="K348" s="0">
        <x:f>hyperlink("https://icd.who.int/dev11/l-ichi/en#/http%3A%2F%2Fid.who.int%2Ficd%2Fentity%2F1958236855","browser")</x:f>
      </x:c>
      <x:c r="L348" s="0">
        <x:f>hyperlink("https://icat2.azurewebsites.net/icat/?ontology=ICD&amp;tab=ClassesTab&amp;id=http%3A%2F%2Fwho.int%2Ficd%231707_c1eb5896_b43e_4531_bd82_f72e7a00cdd6","iCat")</x:f>
      </x:c>
      <x:c r="M348" s="0" t="s">
        <x:v>21</x:v>
      </x:c>
      <x:c r="N348" s="0" t="s">
        <x:v>46</x:v>
      </x:c>
    </x:row>
    <x:row r="349" spans="1:16">
      <x:c r="A349" s="0" t="s">
        <x:v>1339</x:v>
      </x:c>
      <x:c r="B349" s="0" t="s">
        <x:v>1340</x:v>
      </x:c>
      <x:c r="C349" s="0" t="s">
        <x:v>1341</x:v>
      </x:c>
      <x:c r="E349" s="0" t="s">
        <x:v>1342</x:v>
      </x:c>
      <x:c r="F349" s="0" t="s">
        <x:v>45</x:v>
      </x:c>
      <x:c r="G349" s="0" t="s">
        <x:v>19</x:v>
      </x:c>
      <x:c r="H349" s="0" t="s">
        <x:v>20</x:v>
      </x:c>
      <x:c r="I349" s="0" t="s">
        <x:v>21</x:v>
      </x:c>
      <x:c r="K349" s="0">
        <x:f>hyperlink("https://icd.who.int/dev11/l-ichi/en#/http%3A%2F%2Fid.who.int%2Ficd%2Fentity%2F1309023825","browser")</x:f>
      </x:c>
      <x:c r="L349" s="0">
        <x:f>hyperlink("https://icat2.azurewebsites.net/icat/?ontology=ICD&amp;tab=ClassesTab&amp;id=http%3A%2F%2Fwho.int%2Ficd%231711_c1eb5896_b43e_4531_bd82_f72e7a00cdd6","iCat")</x:f>
      </x:c>
      <x:c r="M349" s="0" t="s">
        <x:v>21</x:v>
      </x:c>
      <x:c r="N349" s="0" t="s">
        <x:v>46</x:v>
      </x:c>
    </x:row>
    <x:row r="350" spans="1:16">
      <x:c r="A350" s="0" t="s">
        <x:v>1343</x:v>
      </x:c>
      <x:c r="B350" s="0" t="s">
        <x:v>1344</x:v>
      </x:c>
      <x:c r="C350" s="0" t="s">
        <x:v>1345</x:v>
      </x:c>
      <x:c r="E350" s="0" t="s">
        <x:v>1346</x:v>
      </x:c>
      <x:c r="F350" s="0" t="s">
        <x:v>45</x:v>
      </x:c>
      <x:c r="G350" s="0" t="s">
        <x:v>19</x:v>
      </x:c>
      <x:c r="H350" s="0" t="s">
        <x:v>20</x:v>
      </x:c>
      <x:c r="I350" s="0" t="s">
        <x:v>21</x:v>
      </x:c>
      <x:c r="K350" s="0">
        <x:f>hyperlink("https://icd.who.int/dev11/l-ichi/en#/http%3A%2F%2Fid.who.int%2Ficd%2Fentity%2F2063718949","browser")</x:f>
      </x:c>
      <x:c r="L350" s="0">
        <x:f>hyperlink("https://icat2.azurewebsites.net/icat/?ontology=ICD&amp;tab=ClassesTab&amp;id=http%3A%2F%2Fwho.int%2Ficd%231715_c1eb5896_b43e_4531_bd82_f72e7a00cdd6","iCat")</x:f>
      </x:c>
      <x:c r="M350" s="0" t="s">
        <x:v>21</x:v>
      </x:c>
      <x:c r="N350" s="0" t="s">
        <x:v>46</x:v>
      </x:c>
    </x:row>
    <x:row r="351" spans="1:16">
      <x:c r="A351" s="0" t="s">
        <x:v>1347</x:v>
      </x:c>
      <x:c r="B351" s="0" t="s">
        <x:v>1348</x:v>
      </x:c>
      <x:c r="C351" s="0" t="s">
        <x:v>1349</x:v>
      </x:c>
      <x:c r="E351" s="0" t="s">
        <x:v>1350</x:v>
      </x:c>
      <x:c r="F351" s="0" t="s">
        <x:v>45</x:v>
      </x:c>
      <x:c r="G351" s="0" t="s">
        <x:v>19</x:v>
      </x:c>
      <x:c r="H351" s="0" t="s">
        <x:v>20</x:v>
      </x:c>
      <x:c r="I351" s="0" t="s">
        <x:v>21</x:v>
      </x:c>
      <x:c r="K351" s="0">
        <x:f>hyperlink("https://icd.who.int/dev11/l-ichi/en#/http%3A%2F%2Fid.who.int%2Ficd%2Fentity%2F8875782","browser")</x:f>
      </x:c>
      <x:c r="L351" s="0">
        <x:f>hyperlink("https://icat2.azurewebsites.net/icat/?ontology=ICD&amp;tab=ClassesTab&amp;id=http%3A%2F%2Fwho.int%2Ficd%231719_c1eb5896_b43e_4531_bd82_f72e7a00cdd6","iCat")</x:f>
      </x:c>
      <x:c r="M351" s="0" t="s">
        <x:v>21</x:v>
      </x:c>
      <x:c r="N351" s="0" t="s">
        <x:v>46</x:v>
      </x:c>
    </x:row>
    <x:row r="352" spans="1:16">
      <x:c r="A352" s="0" t="s">
        <x:v>1351</x:v>
      </x:c>
      <x:c r="B352" s="0" t="s">
        <x:v>1352</x:v>
      </x:c>
      <x:c r="C352" s="0" t="s">
        <x:v>1353</x:v>
      </x:c>
      <x:c r="E352" s="0" t="s">
        <x:v>1354</x:v>
      </x:c>
      <x:c r="F352" s="0" t="s">
        <x:v>45</x:v>
      </x:c>
      <x:c r="G352" s="0" t="s">
        <x:v>19</x:v>
      </x:c>
      <x:c r="H352" s="0" t="s">
        <x:v>20</x:v>
      </x:c>
      <x:c r="I352" s="0" t="s">
        <x:v>21</x:v>
      </x:c>
      <x:c r="K352" s="0">
        <x:f>hyperlink("https://icd.who.int/dev11/l-ichi/en#/http%3A%2F%2Fid.who.int%2Ficd%2Fentity%2F457828382","browser")</x:f>
      </x:c>
      <x:c r="L352" s="0">
        <x:f>hyperlink("https://icat2.azurewebsites.net/icat/?ontology=ICD&amp;tab=ClassesTab&amp;id=http%3A%2F%2Fwho.int%2Ficd%231724_c1eb5896_b43e_4531_bd82_f72e7a00cdd6","iCat")</x:f>
      </x:c>
      <x:c r="M352" s="0" t="s">
        <x:v>21</x:v>
      </x:c>
      <x:c r="N352" s="0" t="s">
        <x:v>46</x:v>
      </x:c>
    </x:row>
    <x:row r="353" spans="1:16">
      <x:c r="A353" s="0" t="s">
        <x:v>1355</x:v>
      </x:c>
      <x:c r="B353" s="0" t="s">
        <x:v>1356</x:v>
      </x:c>
      <x:c r="E353" s="0" t="s">
        <x:v>1357</x:v>
      </x:c>
      <x:c r="F353" s="0" t="s">
        <x:v>26</x:v>
      </x:c>
      <x:c r="G353" s="0" t="s">
        <x:v>22</x:v>
      </x:c>
      <x:c r="H353" s="0" t="s">
        <x:v>20</x:v>
      </x:c>
      <x:c r="I353" s="0" t="s">
        <x:v>21</x:v>
      </x:c>
      <x:c r="K353" s="0">
        <x:f>hyperlink("https://icd.who.int/dev11/l-ichi/en#/http%3A%2F%2Fid.who.int%2Ficd%2Fentity%2F17749700","browser")</x:f>
      </x:c>
      <x:c r="L353" s="0">
        <x:f>hyperlink("https://icat2.azurewebsites.net/icat/?ontology=ICD&amp;tab=ClassesTab&amp;id=http%3A%2F%2Fwho.int%2Ficd%231733_c1eb5896_b43e_4531_bd82_f72e7a00cdd6","iCat")</x:f>
      </x:c>
      <x:c r="M353" s="0" t="s">
        <x:v>20</x:v>
      </x:c>
      <x:c r="N353" s="0" t="s">
        <x:v>684</x:v>
      </x:c>
    </x:row>
    <x:row r="354" spans="1:16">
      <x:c r="A354" s="0" t="s">
        <x:v>1358</x:v>
      </x:c>
      <x:c r="B354" s="0" t="s">
        <x:v>1359</x:v>
      </x:c>
      <x:c r="C354" s="0" t="s">
        <x:v>1360</x:v>
      </x:c>
      <x:c r="E354" s="0" t="s">
        <x:v>1361</x:v>
      </x:c>
      <x:c r="F354" s="0" t="s">
        <x:v>45</x:v>
      </x:c>
      <x:c r="G354" s="0" t="s">
        <x:v>19</x:v>
      </x:c>
      <x:c r="H354" s="0" t="s">
        <x:v>20</x:v>
      </x:c>
      <x:c r="I354" s="0" t="s">
        <x:v>21</x:v>
      </x:c>
      <x:c r="K354" s="0">
        <x:f>hyperlink("https://icd.who.int/dev11/l-ichi/en#/http%3A%2F%2Fid.who.int%2Ficd%2Fentity%2F569877754","browser")</x:f>
      </x:c>
      <x:c r="L354" s="0">
        <x:f>hyperlink("https://icat2.azurewebsites.net/icat/?ontology=ICD&amp;tab=ClassesTab&amp;id=http%3A%2F%2Fwho.int%2Ficd%231732_c1eb5896_b43e_4531_bd82_f72e7a00cdd6","iCat")</x:f>
      </x:c>
      <x:c r="M354" s="0" t="s">
        <x:v>21</x:v>
      </x:c>
      <x:c r="N354" s="0" t="s">
        <x:v>46</x:v>
      </x:c>
    </x:row>
    <x:row r="355" spans="1:16">
      <x:c r="A355" s="0" t="s">
        <x:v>1362</x:v>
      </x:c>
      <x:c r="B355" s="0" t="s">
        <x:v>1363</x:v>
      </x:c>
      <x:c r="C355" s="0" t="s">
        <x:v>1364</x:v>
      </x:c>
      <x:c r="E355" s="0" t="s">
        <x:v>1365</x:v>
      </x:c>
      <x:c r="F355" s="0" t="s">
        <x:v>45</x:v>
      </x:c>
      <x:c r="G355" s="0" t="s">
        <x:v>19</x:v>
      </x:c>
      <x:c r="H355" s="0" t="s">
        <x:v>20</x:v>
      </x:c>
      <x:c r="I355" s="0" t="s">
        <x:v>21</x:v>
      </x:c>
      <x:c r="K355" s="0">
        <x:f>hyperlink("https://icd.who.int/dev11/l-ichi/en#/http%3A%2F%2Fid.who.int%2Ficd%2Fentity%2F287422434","browser")</x:f>
      </x:c>
      <x:c r="L355" s="0">
        <x:f>hyperlink("https://icat2.azurewebsites.net/icat/?ontology=ICD&amp;tab=ClassesTab&amp;id=http%3A%2F%2Fwho.int%2Ficd%231742_c1eb5896_b43e_4531_bd82_f72e7a00cdd6","iCat")</x:f>
      </x:c>
      <x:c r="M355" s="0" t="s">
        <x:v>21</x:v>
      </x:c>
      <x:c r="N355" s="0" t="s">
        <x:v>46</x:v>
      </x:c>
    </x:row>
    <x:row r="356" spans="1:16">
      <x:c r="A356" s="0" t="s">
        <x:v>1366</x:v>
      </x:c>
      <x:c r="B356" s="0" t="s">
        <x:v>1367</x:v>
      </x:c>
      <x:c r="C356" s="0" t="s">
        <x:v>1368</x:v>
      </x:c>
      <x:c r="E356" s="0" t="s">
        <x:v>1369</x:v>
      </x:c>
      <x:c r="F356" s="0" t="s">
        <x:v>45</x:v>
      </x:c>
      <x:c r="G356" s="0" t="s">
        <x:v>19</x:v>
      </x:c>
      <x:c r="H356" s="0" t="s">
        <x:v>20</x:v>
      </x:c>
      <x:c r="I356" s="0" t="s">
        <x:v>21</x:v>
      </x:c>
      <x:c r="K356" s="0">
        <x:f>hyperlink("https://icd.who.int/dev11/l-ichi/en#/http%3A%2F%2Fid.who.int%2Ficd%2Fentity%2F606499736","browser")</x:f>
      </x:c>
      <x:c r="L356" s="0">
        <x:f>hyperlink("https://icat2.azurewebsites.net/icat/?ontology=ICD&amp;tab=ClassesTab&amp;id=http%3A%2F%2Fwho.int%2Ficd%231746_c1eb5896_b43e_4531_bd82_f72e7a00cdd6","iCat")</x:f>
      </x:c>
      <x:c r="M356" s="0" t="s">
        <x:v>21</x:v>
      </x:c>
      <x:c r="N356" s="0" t="s">
        <x:v>46</x:v>
      </x:c>
    </x:row>
    <x:row r="357" spans="1:16">
      <x:c r="A357" s="0" t="s">
        <x:v>1370</x:v>
      </x:c>
      <x:c r="B357" s="0" t="s">
        <x:v>1371</x:v>
      </x:c>
      <x:c r="C357" s="0" t="s">
        <x:v>1372</x:v>
      </x:c>
      <x:c r="E357" s="0" t="s">
        <x:v>1373</x:v>
      </x:c>
      <x:c r="F357" s="0" t="s">
        <x:v>45</x:v>
      </x:c>
      <x:c r="G357" s="0" t="s">
        <x:v>19</x:v>
      </x:c>
      <x:c r="H357" s="0" t="s">
        <x:v>20</x:v>
      </x:c>
      <x:c r="I357" s="0" t="s">
        <x:v>21</x:v>
      </x:c>
      <x:c r="K357" s="0">
        <x:f>hyperlink("https://icd.who.int/dev11/l-ichi/en#/http%3A%2F%2Fid.who.int%2Ficd%2Fentity%2F1046564174","browser")</x:f>
      </x:c>
      <x:c r="L357" s="0">
        <x:f>hyperlink("https://icat2.azurewebsites.net/icat/?ontology=ICD&amp;tab=ClassesTab&amp;id=http%3A%2F%2Fwho.int%2Ficd%231751_c1eb5896_b43e_4531_bd82_f72e7a00cdd6","iCat")</x:f>
      </x:c>
      <x:c r="M357" s="0" t="s">
        <x:v>21</x:v>
      </x:c>
      <x:c r="N357" s="0" t="s">
        <x:v>46</x:v>
      </x:c>
    </x:row>
    <x:row r="358" spans="1:16">
      <x:c r="A358" s="0" t="s">
        <x:v>1374</x:v>
      </x:c>
      <x:c r="B358" s="0" t="s">
        <x:v>1375</x:v>
      </x:c>
      <x:c r="C358" s="0" t="s">
        <x:v>1376</x:v>
      </x:c>
      <x:c r="E358" s="0" t="s">
        <x:v>1377</x:v>
      </x:c>
      <x:c r="F358" s="0" t="s">
        <x:v>45</x:v>
      </x:c>
      <x:c r="G358" s="0" t="s">
        <x:v>19</x:v>
      </x:c>
      <x:c r="H358" s="0" t="s">
        <x:v>20</x:v>
      </x:c>
      <x:c r="I358" s="0" t="s">
        <x:v>21</x:v>
      </x:c>
      <x:c r="K358" s="0">
        <x:f>hyperlink("https://icd.who.int/dev11/l-ichi/en#/http%3A%2F%2Fid.who.int%2Ficd%2Fentity%2F191269176","browser")</x:f>
      </x:c>
      <x:c r="L358" s="0">
        <x:f>hyperlink("https://icat2.azurewebsites.net/icat/?ontology=ICD&amp;tab=ClassesTab&amp;id=http%3A%2F%2Fwho.int%2Ficd%231755_c1eb5896_b43e_4531_bd82_f72e7a00cdd6","iCat")</x:f>
      </x:c>
      <x:c r="M358" s="0" t="s">
        <x:v>21</x:v>
      </x:c>
      <x:c r="N358" s="0" t="s">
        <x:v>46</x:v>
      </x:c>
    </x:row>
    <x:row r="359" spans="1:16">
      <x:c r="A359" s="0" t="s">
        <x:v>1378</x:v>
      </x:c>
      <x:c r="B359" s="0" t="s">
        <x:v>1379</x:v>
      </x:c>
      <x:c r="C359" s="0" t="s">
        <x:v>1380</x:v>
      </x:c>
      <x:c r="E359" s="0" t="s">
        <x:v>1381</x:v>
      </x:c>
      <x:c r="F359" s="0" t="s">
        <x:v>45</x:v>
      </x:c>
      <x:c r="G359" s="0" t="s">
        <x:v>19</x:v>
      </x:c>
      <x:c r="H359" s="0" t="s">
        <x:v>20</x:v>
      </x:c>
      <x:c r="I359" s="0" t="s">
        <x:v>21</x:v>
      </x:c>
      <x:c r="K359" s="0">
        <x:f>hyperlink("https://icd.who.int/dev11/l-ichi/en#/http%3A%2F%2Fid.who.int%2Ficd%2Fentity%2F1893743641","browser")</x:f>
      </x:c>
      <x:c r="L359" s="0">
        <x:f>hyperlink("https://icat2.azurewebsites.net/icat/?ontology=ICD&amp;tab=ClassesTab&amp;id=http%3A%2F%2Fwho.int%2Ficd%231759_c1eb5896_b43e_4531_bd82_f72e7a00cdd6","iCat")</x:f>
      </x:c>
      <x:c r="M359" s="0" t="s">
        <x:v>21</x:v>
      </x:c>
      <x:c r="N359" s="0" t="s">
        <x:v>46</x:v>
      </x:c>
    </x:row>
    <x:row r="360" spans="1:16">
      <x:c r="A360" s="0" t="s">
        <x:v>1382</x:v>
      </x:c>
      <x:c r="B360" s="0" t="s">
        <x:v>1383</x:v>
      </x:c>
      <x:c r="C360" s="0" t="s">
        <x:v>1384</x:v>
      </x:c>
      <x:c r="E360" s="0" t="s">
        <x:v>1385</x:v>
      </x:c>
      <x:c r="F360" s="0" t="s">
        <x:v>45</x:v>
      </x:c>
      <x:c r="G360" s="0" t="s">
        <x:v>19</x:v>
      </x:c>
      <x:c r="H360" s="0" t="s">
        <x:v>20</x:v>
      </x:c>
      <x:c r="I360" s="0" t="s">
        <x:v>21</x:v>
      </x:c>
      <x:c r="K360" s="0">
        <x:f>hyperlink("https://icd.who.int/dev11/l-ichi/en#/http%3A%2F%2Fid.who.int%2Ficd%2Fentity%2F1798224643","browser")</x:f>
      </x:c>
      <x:c r="L360" s="0">
        <x:f>hyperlink("https://icat2.azurewebsites.net/icat/?ontology=ICD&amp;tab=ClassesTab&amp;id=http%3A%2F%2Fwho.int%2Ficd%231764_c1eb5896_b43e_4531_bd82_f72e7a00cdd6","iCat")</x:f>
      </x:c>
      <x:c r="M360" s="0" t="s">
        <x:v>21</x:v>
      </x:c>
      <x:c r="N360" s="0" t="s">
        <x:v>46</x:v>
      </x:c>
    </x:row>
    <x:row r="361" spans="1:16">
      <x:c r="A361" s="0" t="s">
        <x:v>1386</x:v>
      </x:c>
      <x:c r="B361" s="0" t="s">
        <x:v>1387</x:v>
      </x:c>
      <x:c r="C361" s="0" t="s">
        <x:v>1388</x:v>
      </x:c>
      <x:c r="E361" s="0" t="s">
        <x:v>1389</x:v>
      </x:c>
      <x:c r="F361" s="0" t="s">
        <x:v>45</x:v>
      </x:c>
      <x:c r="G361" s="0" t="s">
        <x:v>19</x:v>
      </x:c>
      <x:c r="H361" s="0" t="s">
        <x:v>20</x:v>
      </x:c>
      <x:c r="I361" s="0" t="s">
        <x:v>21</x:v>
      </x:c>
      <x:c r="K361" s="0">
        <x:f>hyperlink("https://icd.who.int/dev11/l-ichi/en#/http%3A%2F%2Fid.who.int%2Ficd%2Fentity%2F279449124","browser")</x:f>
      </x:c>
      <x:c r="L361" s="0">
        <x:f>hyperlink("https://icat2.azurewebsites.net/icat/?ontology=ICD&amp;tab=ClassesTab&amp;id=http%3A%2F%2Fwho.int%2Ficd%231768_c1eb5896_b43e_4531_bd82_f72e7a00cdd6","iCat")</x:f>
      </x:c>
      <x:c r="M361" s="0" t="s">
        <x:v>21</x:v>
      </x:c>
      <x:c r="N361" s="0" t="s">
        <x:v>46</x:v>
      </x:c>
    </x:row>
    <x:row r="362" spans="1:16">
      <x:c r="A362" s="0" t="s">
        <x:v>1390</x:v>
      </x:c>
      <x:c r="B362" s="0" t="s">
        <x:v>1391</x:v>
      </x:c>
      <x:c r="C362" s="0" t="s">
        <x:v>1392</x:v>
      </x:c>
      <x:c r="E362" s="0" t="s">
        <x:v>1393</x:v>
      </x:c>
      <x:c r="F362" s="0" t="s">
        <x:v>45</x:v>
      </x:c>
      <x:c r="G362" s="0" t="s">
        <x:v>19</x:v>
      </x:c>
      <x:c r="H362" s="0" t="s">
        <x:v>20</x:v>
      </x:c>
      <x:c r="I362" s="0" t="s">
        <x:v>21</x:v>
      </x:c>
      <x:c r="K362" s="0">
        <x:f>hyperlink("https://icd.who.int/dev11/l-ichi/en#/http%3A%2F%2Fid.who.int%2Ficd%2Fentity%2F1368455141","browser")</x:f>
      </x:c>
      <x:c r="L362" s="0">
        <x:f>hyperlink("https://icat2.azurewebsites.net/icat/?ontology=ICD&amp;tab=ClassesTab&amp;id=http%3A%2F%2Fwho.int%2Ficd%231772_c1eb5896_b43e_4531_bd82_f72e7a00cdd6","iCat")</x:f>
      </x:c>
      <x:c r="M362" s="0" t="s">
        <x:v>21</x:v>
      </x:c>
      <x:c r="N362" s="0" t="s">
        <x:v>46</x:v>
      </x:c>
    </x:row>
    <x:row r="363" spans="1:16">
      <x:c r="A363" s="0" t="s">
        <x:v>1394</x:v>
      </x:c>
      <x:c r="B363" s="0" t="s">
        <x:v>1395</x:v>
      </x:c>
      <x:c r="C363" s="0" t="s">
        <x:v>1396</x:v>
      </x:c>
      <x:c r="E363" s="0" t="s">
        <x:v>1397</x:v>
      </x:c>
      <x:c r="F363" s="0" t="s">
        <x:v>45</x:v>
      </x:c>
      <x:c r="G363" s="0" t="s">
        <x:v>19</x:v>
      </x:c>
      <x:c r="H363" s="0" t="s">
        <x:v>20</x:v>
      </x:c>
      <x:c r="I363" s="0" t="s">
        <x:v>21</x:v>
      </x:c>
      <x:c r="K363" s="0">
        <x:f>hyperlink("https://icd.who.int/dev11/l-ichi/en#/http%3A%2F%2Fid.who.int%2Ficd%2Fentity%2F1148076461","browser")</x:f>
      </x:c>
      <x:c r="L363" s="0">
        <x:f>hyperlink("https://icat2.azurewebsites.net/icat/?ontology=ICD&amp;tab=ClassesTab&amp;id=http%3A%2F%2Fwho.int%2Ficd%231777_c1eb5896_b43e_4531_bd82_f72e7a00cdd6","iCat")</x:f>
      </x:c>
      <x:c r="M363" s="0" t="s">
        <x:v>21</x:v>
      </x:c>
      <x:c r="N363" s="0" t="s">
        <x:v>46</x:v>
      </x:c>
    </x:row>
    <x:row r="364" spans="1:16">
      <x:c r="A364" s="0" t="s">
        <x:v>1398</x:v>
      </x:c>
      <x:c r="B364" s="0" t="s">
        <x:v>1399</x:v>
      </x:c>
      <x:c r="C364" s="0" t="s">
        <x:v>1400</x:v>
      </x:c>
      <x:c r="E364" s="0" t="s">
        <x:v>1401</x:v>
      </x:c>
      <x:c r="F364" s="0" t="s">
        <x:v>45</x:v>
      </x:c>
      <x:c r="G364" s="0" t="s">
        <x:v>19</x:v>
      </x:c>
      <x:c r="H364" s="0" t="s">
        <x:v>20</x:v>
      </x:c>
      <x:c r="I364" s="0" t="s">
        <x:v>21</x:v>
      </x:c>
      <x:c r="K364" s="0">
        <x:f>hyperlink("https://icd.who.int/dev11/l-ichi/en#/http%3A%2F%2Fid.who.int%2Ficd%2Fentity%2F1005769410","browser")</x:f>
      </x:c>
      <x:c r="L364" s="0">
        <x:f>hyperlink("https://icat2.azurewebsites.net/icat/?ontology=ICD&amp;tab=ClassesTab&amp;id=http%3A%2F%2Fwho.int%2Ficd%231781_c1eb5896_b43e_4531_bd82_f72e7a00cdd6","iCat")</x:f>
      </x:c>
      <x:c r="M364" s="0" t="s">
        <x:v>21</x:v>
      </x:c>
      <x:c r="N364" s="0" t="s">
        <x:v>46</x:v>
      </x:c>
    </x:row>
    <x:row r="365" spans="1:16">
      <x:c r="A365" s="0" t="s">
        <x:v>1402</x:v>
      </x:c>
      <x:c r="B365" s="0" t="s">
        <x:v>1403</x:v>
      </x:c>
      <x:c r="C365" s="0" t="s">
        <x:v>1404</x:v>
      </x:c>
      <x:c r="E365" s="0" t="s">
        <x:v>1405</x:v>
      </x:c>
      <x:c r="F365" s="0" t="s">
        <x:v>45</x:v>
      </x:c>
      <x:c r="G365" s="0" t="s">
        <x:v>19</x:v>
      </x:c>
      <x:c r="H365" s="0" t="s">
        <x:v>20</x:v>
      </x:c>
      <x:c r="I365" s="0" t="s">
        <x:v>21</x:v>
      </x:c>
      <x:c r="K365" s="0">
        <x:f>hyperlink("https://icd.who.int/dev11/l-ichi/en#/http%3A%2F%2Fid.who.int%2Ficd%2Fentity%2F1948554629","browser")</x:f>
      </x:c>
      <x:c r="L365" s="0">
        <x:f>hyperlink("https://icat2.azurewebsites.net/icat/?ontology=ICD&amp;tab=ClassesTab&amp;id=http%3A%2F%2Fwho.int%2Ficd%2363_d85a204c_d00a_4566_a3b7_2d137a1891cf","iCat")</x:f>
      </x:c>
      <x:c r="M365" s="0" t="s">
        <x:v>21</x:v>
      </x:c>
      <x:c r="N365" s="0" t="s">
        <x:v>46</x:v>
      </x:c>
    </x:row>
    <x:row r="366" spans="1:16">
      <x:c r="A366" s="0" t="s">
        <x:v>1406</x:v>
      </x:c>
      <x:c r="B366" s="0" t="s">
        <x:v>1407</x:v>
      </x:c>
      <x:c r="C366" s="0" t="s">
        <x:v>1408</x:v>
      </x:c>
      <x:c r="E366" s="0" t="s">
        <x:v>1409</x:v>
      </x:c>
      <x:c r="F366" s="0" t="s">
        <x:v>45</x:v>
      </x:c>
      <x:c r="G366" s="0" t="s">
        <x:v>19</x:v>
      </x:c>
      <x:c r="H366" s="0" t="s">
        <x:v>20</x:v>
      </x:c>
      <x:c r="I366" s="0" t="s">
        <x:v>21</x:v>
      </x:c>
      <x:c r="K366" s="0">
        <x:f>hyperlink("https://icd.who.int/dev11/l-ichi/en#/http%3A%2F%2Fid.who.int%2Ficd%2Fentity%2F250943160","browser")</x:f>
      </x:c>
      <x:c r="L366" s="0">
        <x:f>hyperlink("https://icat2.azurewebsites.net/icat/?ontology=ICD&amp;tab=ClassesTab&amp;id=http%3A%2F%2Fwho.int%2Ficd%231785_c1eb5896_b43e_4531_bd82_f72e7a00cdd6","iCat")</x:f>
      </x:c>
      <x:c r="M366" s="0" t="s">
        <x:v>21</x:v>
      </x:c>
      <x:c r="N366" s="0" t="s">
        <x:v>46</x:v>
      </x:c>
    </x:row>
    <x:row r="367" spans="1:16">
      <x:c r="A367" s="0" t="s">
        <x:v>1410</x:v>
      </x:c>
      <x:c r="B367" s="0" t="s">
        <x:v>1411</x:v>
      </x:c>
      <x:c r="E367" s="0" t="s">
        <x:v>1412</x:v>
      </x:c>
      <x:c r="F367" s="0" t="s">
        <x:v>26</x:v>
      </x:c>
      <x:c r="G367" s="0" t="s">
        <x:v>22</x:v>
      </x:c>
      <x:c r="H367" s="0" t="s">
        <x:v>20</x:v>
      </x:c>
      <x:c r="I367" s="0" t="s">
        <x:v>21</x:v>
      </x:c>
      <x:c r="K367" s="0">
        <x:f>hyperlink("https://icd.who.int/dev11/l-ichi/en#/http%3A%2F%2Fid.who.int%2Ficd%2Fentity%2F1154085341","browser")</x:f>
      </x:c>
      <x:c r="L367" s="0">
        <x:f>hyperlink("https://icat2.azurewebsites.net/icat/?ontology=ICD&amp;tab=ClassesTab&amp;id=http%3A%2F%2Fwho.int%2Ficd%231794_c1eb5896_b43e_4531_bd82_f72e7a00cdd6","iCat")</x:f>
      </x:c>
      <x:c r="M367" s="0" t="s">
        <x:v>20</x:v>
      </x:c>
      <x:c r="N367" s="0" t="s">
        <x:v>206</x:v>
      </x:c>
    </x:row>
    <x:row r="368" spans="1:16">
      <x:c r="A368" s="0" t="s">
        <x:v>1413</x:v>
      </x:c>
      <x:c r="B368" s="0" t="s">
        <x:v>1414</x:v>
      </x:c>
      <x:c r="C368" s="0" t="s">
        <x:v>1415</x:v>
      </x:c>
      <x:c r="E368" s="0" t="s">
        <x:v>1416</x:v>
      </x:c>
      <x:c r="F368" s="0" t="s">
        <x:v>45</x:v>
      </x:c>
      <x:c r="G368" s="0" t="s">
        <x:v>19</x:v>
      </x:c>
      <x:c r="H368" s="0" t="s">
        <x:v>20</x:v>
      </x:c>
      <x:c r="I368" s="0" t="s">
        <x:v>21</x:v>
      </x:c>
      <x:c r="K368" s="0">
        <x:f>hyperlink("https://icd.who.int/dev11/l-ichi/en#/http%3A%2F%2Fid.who.int%2Ficd%2Fentity%2F877353552","browser")</x:f>
      </x:c>
      <x:c r="L368" s="0">
        <x:f>hyperlink("https://icat2.azurewebsites.net/icat/?ontology=ICD&amp;tab=ClassesTab&amp;id=http%3A%2F%2Fwho.int%2Ficd%231793_c1eb5896_b43e_4531_bd82_f72e7a00cdd6","iCat")</x:f>
      </x:c>
      <x:c r="M368" s="0" t="s">
        <x:v>21</x:v>
      </x:c>
      <x:c r="N368" s="0" t="s">
        <x:v>46</x:v>
      </x:c>
    </x:row>
    <x:row r="369" spans="1:16">
      <x:c r="A369" s="0" t="s">
        <x:v>1417</x:v>
      </x:c>
      <x:c r="B369" s="0" t="s">
        <x:v>1418</x:v>
      </x:c>
      <x:c r="C369" s="0" t="s">
        <x:v>1419</x:v>
      </x:c>
      <x:c r="E369" s="0" t="s">
        <x:v>1420</x:v>
      </x:c>
      <x:c r="F369" s="0" t="s">
        <x:v>45</x:v>
      </x:c>
      <x:c r="G369" s="0" t="s">
        <x:v>19</x:v>
      </x:c>
      <x:c r="H369" s="0" t="s">
        <x:v>20</x:v>
      </x:c>
      <x:c r="I369" s="0" t="s">
        <x:v>21</x:v>
      </x:c>
      <x:c r="K369" s="0">
        <x:f>hyperlink("https://icd.who.int/dev11/l-ichi/en#/http%3A%2F%2Fid.who.int%2Ficd%2Fentity%2F1737088886","browser")</x:f>
      </x:c>
      <x:c r="L369" s="0">
        <x:f>hyperlink("https://icat2.azurewebsites.net/icat/?ontology=ICD&amp;tab=ClassesTab&amp;id=http%3A%2F%2Fwho.int%2Ficd%231805_c1eb5896_b43e_4531_bd82_f72e7a00cdd6","iCat")</x:f>
      </x:c>
      <x:c r="M369" s="0" t="s">
        <x:v>21</x:v>
      </x:c>
      <x:c r="N369" s="0" t="s">
        <x:v>46</x:v>
      </x:c>
    </x:row>
    <x:row r="370" spans="1:16">
      <x:c r="A370" s="0" t="s">
        <x:v>1421</x:v>
      </x:c>
      <x:c r="B370" s="0" t="s">
        <x:v>1422</x:v>
      </x:c>
      <x:c r="C370" s="0" t="s">
        <x:v>1423</x:v>
      </x:c>
      <x:c r="E370" s="0" t="s">
        <x:v>1424</x:v>
      </x:c>
      <x:c r="F370" s="0" t="s">
        <x:v>45</x:v>
      </x:c>
      <x:c r="G370" s="0" t="s">
        <x:v>19</x:v>
      </x:c>
      <x:c r="H370" s="0" t="s">
        <x:v>20</x:v>
      </x:c>
      <x:c r="I370" s="0" t="s">
        <x:v>21</x:v>
      </x:c>
      <x:c r="K370" s="0">
        <x:f>hyperlink("https://icd.who.int/dev11/l-ichi/en#/http%3A%2F%2Fid.who.int%2Ficd%2Fentity%2F470772309","browser")</x:f>
      </x:c>
      <x:c r="L370" s="0">
        <x:f>hyperlink("https://icat2.azurewebsites.net/icat/?ontology=ICD&amp;tab=ClassesTab&amp;id=http%3A%2F%2Fwho.int%2Ficd%231809_c1eb5896_b43e_4531_bd82_f72e7a00cdd6","iCat")</x:f>
      </x:c>
      <x:c r="M370" s="0" t="s">
        <x:v>21</x:v>
      </x:c>
      <x:c r="N370" s="0" t="s">
        <x:v>46</x:v>
      </x:c>
    </x:row>
    <x:row r="371" spans="1:16">
      <x:c r="A371" s="0" t="s">
        <x:v>1425</x:v>
      </x:c>
      <x:c r="B371" s="0" t="s">
        <x:v>1426</x:v>
      </x:c>
      <x:c r="C371" s="0" t="s">
        <x:v>1427</x:v>
      </x:c>
      <x:c r="E371" s="0" t="s">
        <x:v>1428</x:v>
      </x:c>
      <x:c r="F371" s="0" t="s">
        <x:v>45</x:v>
      </x:c>
      <x:c r="G371" s="0" t="s">
        <x:v>19</x:v>
      </x:c>
      <x:c r="H371" s="0" t="s">
        <x:v>20</x:v>
      </x:c>
      <x:c r="I371" s="0" t="s">
        <x:v>21</x:v>
      </x:c>
      <x:c r="K371" s="0">
        <x:f>hyperlink("https://icd.who.int/dev11/l-ichi/en#/http%3A%2F%2Fid.who.int%2Ficd%2Fentity%2F1563923346","browser")</x:f>
      </x:c>
      <x:c r="L371" s="0">
        <x:f>hyperlink("https://icat2.azurewebsites.net/icat/?ontology=ICD&amp;tab=ClassesTab&amp;id=http%3A%2F%2Fwho.int%2Ficd%231813_c1eb5896_b43e_4531_bd82_f72e7a00cdd6","iCat")</x:f>
      </x:c>
      <x:c r="M371" s="0" t="s">
        <x:v>21</x:v>
      </x:c>
      <x:c r="N371" s="0" t="s">
        <x:v>46</x:v>
      </x:c>
    </x:row>
    <x:row r="372" spans="1:16">
      <x:c r="A372" s="0" t="s">
        <x:v>1429</x:v>
      </x:c>
      <x:c r="B372" s="0" t="s">
        <x:v>1430</x:v>
      </x:c>
      <x:c r="C372" s="0" t="s">
        <x:v>1431</x:v>
      </x:c>
      <x:c r="E372" s="0" t="s">
        <x:v>1432</x:v>
      </x:c>
      <x:c r="F372" s="0" t="s">
        <x:v>45</x:v>
      </x:c>
      <x:c r="G372" s="0" t="s">
        <x:v>19</x:v>
      </x:c>
      <x:c r="H372" s="0" t="s">
        <x:v>20</x:v>
      </x:c>
      <x:c r="I372" s="0" t="s">
        <x:v>21</x:v>
      </x:c>
      <x:c r="K372" s="0">
        <x:f>hyperlink("https://icd.who.int/dev11/l-ichi/en#/http%3A%2F%2Fid.who.int%2Ficd%2Fentity%2F1446219072","browser")</x:f>
      </x:c>
      <x:c r="L372" s="0">
        <x:f>hyperlink("https://icat2.azurewebsites.net/icat/?ontology=ICD&amp;tab=ClassesTab&amp;id=http%3A%2F%2Fwho.int%2Ficd%231818_c1eb5896_b43e_4531_bd82_f72e7a00cdd6","iCat")</x:f>
      </x:c>
      <x:c r="M372" s="0" t="s">
        <x:v>21</x:v>
      </x:c>
      <x:c r="N372" s="0" t="s">
        <x:v>46</x:v>
      </x:c>
    </x:row>
    <x:row r="373" spans="1:16">
      <x:c r="A373" s="0" t="s">
        <x:v>1433</x:v>
      </x:c>
      <x:c r="B373" s="0" t="s">
        <x:v>1434</x:v>
      </x:c>
      <x:c r="C373" s="0" t="s">
        <x:v>1435</x:v>
      </x:c>
      <x:c r="E373" s="0" t="s">
        <x:v>1436</x:v>
      </x:c>
      <x:c r="F373" s="0" t="s">
        <x:v>45</x:v>
      </x:c>
      <x:c r="G373" s="0" t="s">
        <x:v>19</x:v>
      </x:c>
      <x:c r="H373" s="0" t="s">
        <x:v>20</x:v>
      </x:c>
      <x:c r="I373" s="0" t="s">
        <x:v>21</x:v>
      </x:c>
      <x:c r="K373" s="0">
        <x:f>hyperlink("https://icd.who.int/dev11/l-ichi/en#/http%3A%2F%2Fid.who.int%2Ficd%2Fentity%2F1031774633","browser")</x:f>
      </x:c>
      <x:c r="L373" s="0">
        <x:f>hyperlink("https://icat2.azurewebsites.net/icat/?ontology=ICD&amp;tab=ClassesTab&amp;id=http%3A%2F%2Fwho.int%2Ficd%231822_c1eb5896_b43e_4531_bd82_f72e7a00cdd6","iCat")</x:f>
      </x:c>
      <x:c r="M373" s="0" t="s">
        <x:v>21</x:v>
      </x:c>
      <x:c r="N373" s="0" t="s">
        <x:v>46</x:v>
      </x:c>
    </x:row>
    <x:row r="374" spans="1:16">
      <x:c r="A374" s="0" t="s">
        <x:v>1437</x:v>
      </x:c>
      <x:c r="B374" s="0" t="s">
        <x:v>1438</x:v>
      </x:c>
      <x:c r="E374" s="0" t="s">
        <x:v>1439</x:v>
      </x:c>
      <x:c r="F374" s="0" t="s">
        <x:v>26</x:v>
      </x:c>
      <x:c r="G374" s="0" t="s">
        <x:v>22</x:v>
      </x:c>
      <x:c r="H374" s="0" t="s">
        <x:v>20</x:v>
      </x:c>
      <x:c r="I374" s="0" t="s">
        <x:v>21</x:v>
      </x:c>
      <x:c r="K374" s="0">
        <x:f>hyperlink("https://icd.who.int/dev11/l-ichi/en#/http%3A%2F%2Fid.who.int%2Ficd%2Fentity%2F679548897","browser")</x:f>
      </x:c>
      <x:c r="L374" s="0">
        <x:f>hyperlink("https://icat2.azurewebsites.net/icat/?ontology=ICD&amp;tab=ClassesTab&amp;id=http%3A%2F%2Fwho.int%2Ficd%231827_c1eb5896_b43e_4531_bd82_f72e7a00cdd6","iCat")</x:f>
      </x:c>
      <x:c r="M374" s="0" t="s">
        <x:v>20</x:v>
      </x:c>
      <x:c r="N374" s="0" t="s">
        <x:v>206</x:v>
      </x:c>
    </x:row>
    <x:row r="375" spans="1:16">
      <x:c r="A375" s="0" t="s">
        <x:v>1440</x:v>
      </x:c>
      <x:c r="B375" s="0" t="s">
        <x:v>1441</x:v>
      </x:c>
      <x:c r="C375" s="0" t="s">
        <x:v>1442</x:v>
      </x:c>
      <x:c r="E375" s="0" t="s">
        <x:v>1443</x:v>
      </x:c>
      <x:c r="F375" s="0" t="s">
        <x:v>45</x:v>
      </x:c>
      <x:c r="G375" s="0" t="s">
        <x:v>19</x:v>
      </x:c>
      <x:c r="H375" s="0" t="s">
        <x:v>20</x:v>
      </x:c>
      <x:c r="I375" s="0" t="s">
        <x:v>21</x:v>
      </x:c>
      <x:c r="K375" s="0">
        <x:f>hyperlink("https://icd.who.int/dev11/l-ichi/en#/http%3A%2F%2Fid.who.int%2Ficd%2Fentity%2F142108125","browser")</x:f>
      </x:c>
      <x:c r="L375" s="0">
        <x:f>hyperlink("https://icat2.azurewebsites.net/icat/?ontology=ICD&amp;tab=ClassesTab&amp;id=http%3A%2F%2Fwho.int%2Ficd%231826_c1eb5896_b43e_4531_bd82_f72e7a00cdd6","iCat")</x:f>
      </x:c>
      <x:c r="M375" s="0" t="s">
        <x:v>21</x:v>
      </x:c>
      <x:c r="N375" s="0" t="s">
        <x:v>46</x:v>
      </x:c>
    </x:row>
    <x:row r="376" spans="1:16">
      <x:c r="A376" s="0" t="s">
        <x:v>1444</x:v>
      </x:c>
      <x:c r="B376" s="0" t="s">
        <x:v>1445</x:v>
      </x:c>
      <x:c r="C376" s="0" t="s">
        <x:v>1446</x:v>
      </x:c>
      <x:c r="E376" s="0" t="s">
        <x:v>1447</x:v>
      </x:c>
      <x:c r="F376" s="0" t="s">
        <x:v>45</x:v>
      </x:c>
      <x:c r="G376" s="0" t="s">
        <x:v>19</x:v>
      </x:c>
      <x:c r="H376" s="0" t="s">
        <x:v>20</x:v>
      </x:c>
      <x:c r="I376" s="0" t="s">
        <x:v>21</x:v>
      </x:c>
      <x:c r="K376" s="0">
        <x:f>hyperlink("https://icd.who.int/dev11/l-ichi/en#/http%3A%2F%2Fid.who.int%2Ficd%2Fentity%2F2085050478","browser")</x:f>
      </x:c>
      <x:c r="L376" s="0">
        <x:f>hyperlink("https://icat2.azurewebsites.net/icat/?ontology=ICD&amp;tab=ClassesTab&amp;id=http%3A%2F%2Fwho.int%2Ficd%231838_c1eb5896_b43e_4531_bd82_f72e7a00cdd6","iCat")</x:f>
      </x:c>
      <x:c r="M376" s="0" t="s">
        <x:v>21</x:v>
      </x:c>
      <x:c r="N376" s="0" t="s">
        <x:v>46</x:v>
      </x:c>
    </x:row>
    <x:row r="377" spans="1:16">
      <x:c r="A377" s="0" t="s">
        <x:v>1448</x:v>
      </x:c>
      <x:c r="B377" s="0" t="s">
        <x:v>1449</x:v>
      </x:c>
      <x:c r="C377" s="0" t="s">
        <x:v>1450</x:v>
      </x:c>
      <x:c r="E377" s="0" t="s">
        <x:v>1451</x:v>
      </x:c>
      <x:c r="F377" s="0" t="s">
        <x:v>45</x:v>
      </x:c>
      <x:c r="G377" s="0" t="s">
        <x:v>19</x:v>
      </x:c>
      <x:c r="H377" s="0" t="s">
        <x:v>20</x:v>
      </x:c>
      <x:c r="I377" s="0" t="s">
        <x:v>21</x:v>
      </x:c>
      <x:c r="K377" s="0">
        <x:f>hyperlink("https://icd.who.int/dev11/l-ichi/en#/http%3A%2F%2Fid.who.int%2Ficd%2Fentity%2F1735141350","browser")</x:f>
      </x:c>
      <x:c r="L377" s="0">
        <x:f>hyperlink("https://icat2.azurewebsites.net/icat/?ontology=ICD&amp;tab=ClassesTab&amp;id=http%3A%2F%2Fwho.int%2Ficd%231842_c1eb5896_b43e_4531_bd82_f72e7a00cdd6","iCat")</x:f>
      </x:c>
      <x:c r="M377" s="0" t="s">
        <x:v>21</x:v>
      </x:c>
      <x:c r="N377" s="0" t="s">
        <x:v>46</x:v>
      </x:c>
    </x:row>
    <x:row r="378" spans="1:16">
      <x:c r="A378" s="0" t="s">
        <x:v>1452</x:v>
      </x:c>
      <x:c r="B378" s="0" t="s">
        <x:v>1453</x:v>
      </x:c>
      <x:c r="C378" s="0" t="s">
        <x:v>1454</x:v>
      </x:c>
      <x:c r="E378" s="0" t="s">
        <x:v>1455</x:v>
      </x:c>
      <x:c r="F378" s="0" t="s">
        <x:v>45</x:v>
      </x:c>
      <x:c r="G378" s="0" t="s">
        <x:v>19</x:v>
      </x:c>
      <x:c r="H378" s="0" t="s">
        <x:v>20</x:v>
      </x:c>
      <x:c r="I378" s="0" t="s">
        <x:v>21</x:v>
      </x:c>
      <x:c r="K378" s="0">
        <x:f>hyperlink("https://icd.who.int/dev11/l-ichi/en#/http%3A%2F%2Fid.who.int%2Ficd%2Fentity%2F1818769736","browser")</x:f>
      </x:c>
      <x:c r="L378" s="0">
        <x:f>hyperlink("https://icat2.azurewebsites.net/icat/?ontology=ICD&amp;tab=ClassesTab&amp;id=http%3A%2F%2Fwho.int%2Ficd%231849_c1eb5896_b43e_4531_bd82_f72e7a00cdd6","iCat")</x:f>
      </x:c>
      <x:c r="M378" s="0" t="s">
        <x:v>21</x:v>
      </x:c>
      <x:c r="N378" s="0" t="s">
        <x:v>46</x:v>
      </x:c>
    </x:row>
    <x:row r="379" spans="1:16">
      <x:c r="A379" s="0" t="s">
        <x:v>1456</x:v>
      </x:c>
      <x:c r="B379" s="0" t="s">
        <x:v>1457</x:v>
      </x:c>
      <x:c r="C379" s="0" t="s">
        <x:v>1458</x:v>
      </x:c>
      <x:c r="E379" s="0" t="s">
        <x:v>1459</x:v>
      </x:c>
      <x:c r="F379" s="0" t="s">
        <x:v>45</x:v>
      </x:c>
      <x:c r="G379" s="0" t="s">
        <x:v>19</x:v>
      </x:c>
      <x:c r="H379" s="0" t="s">
        <x:v>20</x:v>
      </x:c>
      <x:c r="I379" s="0" t="s">
        <x:v>21</x:v>
      </x:c>
      <x:c r="K379" s="0">
        <x:f>hyperlink("https://icd.who.int/dev11/l-ichi/en#/http%3A%2F%2Fid.who.int%2Ficd%2Fentity%2F760266895","browser")</x:f>
      </x:c>
      <x:c r="L379" s="0">
        <x:f>hyperlink("https://icat2.azurewebsites.net/icat/?ontology=ICD&amp;tab=ClassesTab&amp;id=http%3A%2F%2Fwho.int%2Ficd%231853_c1eb5896_b43e_4531_bd82_f72e7a00cdd6","iCat")</x:f>
      </x:c>
      <x:c r="M379" s="0" t="s">
        <x:v>21</x:v>
      </x:c>
      <x:c r="N379" s="0" t="s">
        <x:v>46</x:v>
      </x:c>
    </x:row>
    <x:row r="380" spans="1:16">
      <x:c r="A380" s="0" t="s">
        <x:v>1460</x:v>
      </x:c>
      <x:c r="B380" s="0" t="s">
        <x:v>1461</x:v>
      </x:c>
      <x:c r="C380" s="0" t="s">
        <x:v>1462</x:v>
      </x:c>
      <x:c r="E380" s="0" t="s">
        <x:v>1463</x:v>
      </x:c>
      <x:c r="F380" s="0" t="s">
        <x:v>45</x:v>
      </x:c>
      <x:c r="G380" s="0" t="s">
        <x:v>19</x:v>
      </x:c>
      <x:c r="H380" s="0" t="s">
        <x:v>20</x:v>
      </x:c>
      <x:c r="I380" s="0" t="s">
        <x:v>21</x:v>
      </x:c>
      <x:c r="K380" s="0">
        <x:f>hyperlink("https://icd.who.int/dev11/l-ichi/en#/http%3A%2F%2Fid.who.int%2Ficd%2Fentity%2F408356091","browser")</x:f>
      </x:c>
      <x:c r="L380" s="0">
        <x:f>hyperlink("https://icat2.azurewebsites.net/icat/?ontology=ICD&amp;tab=ClassesTab&amp;id=http%3A%2F%2Fwho.int%2Ficd%231857_c1eb5896_b43e_4531_bd82_f72e7a00cdd6","iCat")</x:f>
      </x:c>
      <x:c r="M380" s="0" t="s">
        <x:v>21</x:v>
      </x:c>
      <x:c r="N380" s="0" t="s">
        <x:v>46</x:v>
      </x:c>
    </x:row>
    <x:row r="381" spans="1:16">
      <x:c r="A381" s="0" t="s">
        <x:v>1464</x:v>
      </x:c>
      <x:c r="B381" s="0" t="s">
        <x:v>1465</x:v>
      </x:c>
      <x:c r="E381" s="0" t="s">
        <x:v>1466</x:v>
      </x:c>
      <x:c r="F381" s="0" t="s">
        <x:v>26</x:v>
      </x:c>
      <x:c r="G381" s="0" t="s">
        <x:v>22</x:v>
      </x:c>
      <x:c r="H381" s="0" t="s">
        <x:v>20</x:v>
      </x:c>
      <x:c r="I381" s="0" t="s">
        <x:v>21</x:v>
      </x:c>
      <x:c r="K381" s="0">
        <x:f>hyperlink("https://icd.who.int/dev11/l-ichi/en#/http%3A%2F%2Fid.who.int%2Ficd%2Fentity%2F1293480628","browser")</x:f>
      </x:c>
      <x:c r="L381" s="0">
        <x:f>hyperlink("https://icat2.azurewebsites.net/icat/?ontology=ICD&amp;tab=ClassesTab&amp;id=http%3A%2F%2Fwho.int%2Ficd%231862_c1eb5896_b43e_4531_bd82_f72e7a00cdd6","iCat")</x:f>
      </x:c>
      <x:c r="M381" s="0" t="s">
        <x:v>20</x:v>
      </x:c>
      <x:c r="N381" s="0" t="s">
        <x:v>206</x:v>
      </x:c>
    </x:row>
    <x:row r="382" spans="1:16">
      <x:c r="A382" s="0" t="s">
        <x:v>1467</x:v>
      </x:c>
      <x:c r="B382" s="0" t="s">
        <x:v>1468</x:v>
      </x:c>
      <x:c r="C382" s="0" t="s">
        <x:v>1469</x:v>
      </x:c>
      <x:c r="E382" s="0" t="s">
        <x:v>1470</x:v>
      </x:c>
      <x:c r="F382" s="0" t="s">
        <x:v>45</x:v>
      </x:c>
      <x:c r="G382" s="0" t="s">
        <x:v>19</x:v>
      </x:c>
      <x:c r="H382" s="0" t="s">
        <x:v>20</x:v>
      </x:c>
      <x:c r="I382" s="0" t="s">
        <x:v>21</x:v>
      </x:c>
      <x:c r="K382" s="0">
        <x:f>hyperlink("https://icd.who.int/dev11/l-ichi/en#/http%3A%2F%2Fid.who.int%2Ficd%2Fentity%2F144547149","browser")</x:f>
      </x:c>
      <x:c r="L382" s="0">
        <x:f>hyperlink("https://icat2.azurewebsites.net/icat/?ontology=ICD&amp;tab=ClassesTab&amp;id=http%3A%2F%2Fwho.int%2Ficd%231861_c1eb5896_b43e_4531_bd82_f72e7a00cdd6","iCat")</x:f>
      </x:c>
      <x:c r="M382" s="0" t="s">
        <x:v>21</x:v>
      </x:c>
      <x:c r="N382" s="0" t="s">
        <x:v>46</x:v>
      </x:c>
    </x:row>
    <x:row r="383" spans="1:16">
      <x:c r="A383" s="0" t="s">
        <x:v>1471</x:v>
      </x:c>
      <x:c r="B383" s="0" t="s">
        <x:v>1472</x:v>
      </x:c>
      <x:c r="C383" s="0" t="s">
        <x:v>1473</x:v>
      </x:c>
      <x:c r="E383" s="0" t="s">
        <x:v>1474</x:v>
      </x:c>
      <x:c r="F383" s="0" t="s">
        <x:v>45</x:v>
      </x:c>
      <x:c r="G383" s="0" t="s">
        <x:v>19</x:v>
      </x:c>
      <x:c r="H383" s="0" t="s">
        <x:v>20</x:v>
      </x:c>
      <x:c r="I383" s="0" t="s">
        <x:v>21</x:v>
      </x:c>
      <x:c r="K383" s="0">
        <x:f>hyperlink("https://icd.who.int/dev11/l-ichi/en#/http%3A%2F%2Fid.who.int%2Ficd%2Fentity%2F668821475","browser")</x:f>
      </x:c>
      <x:c r="L383" s="0">
        <x:f>hyperlink("https://icat2.azurewebsites.net/icat/?ontology=ICD&amp;tab=ClassesTab&amp;id=http%3A%2F%2Fwho.int%2Ficd%231872_c1eb5896_b43e_4531_bd82_f72e7a00cdd6","iCat")</x:f>
      </x:c>
      <x:c r="M383" s="0" t="s">
        <x:v>21</x:v>
      </x:c>
      <x:c r="N383" s="0" t="s">
        <x:v>46</x:v>
      </x:c>
    </x:row>
    <x:row r="384" spans="1:16">
      <x:c r="A384" s="0" t="s">
        <x:v>1475</x:v>
      </x:c>
      <x:c r="B384" s="0" t="s">
        <x:v>1476</x:v>
      </x:c>
      <x:c r="C384" s="0" t="s">
        <x:v>1477</x:v>
      </x:c>
      <x:c r="E384" s="0" t="s">
        <x:v>1478</x:v>
      </x:c>
      <x:c r="F384" s="0" t="s">
        <x:v>45</x:v>
      </x:c>
      <x:c r="G384" s="0" t="s">
        <x:v>19</x:v>
      </x:c>
      <x:c r="H384" s="0" t="s">
        <x:v>20</x:v>
      </x:c>
      <x:c r="I384" s="0" t="s">
        <x:v>21</x:v>
      </x:c>
      <x:c r="K384" s="0">
        <x:f>hyperlink("https://icd.who.int/dev11/l-ichi/en#/http%3A%2F%2Fid.who.int%2Ficd%2Fentity%2F316318615","browser")</x:f>
      </x:c>
      <x:c r="L384" s="0">
        <x:f>hyperlink("https://icat2.azurewebsites.net/icat/?ontology=ICD&amp;tab=ClassesTab&amp;id=http%3A%2F%2Fwho.int%2Ficd%231876_c1eb5896_b43e_4531_bd82_f72e7a00cdd6","iCat")</x:f>
      </x:c>
      <x:c r="M384" s="0" t="s">
        <x:v>21</x:v>
      </x:c>
      <x:c r="N384" s="0" t="s">
        <x:v>46</x:v>
      </x:c>
    </x:row>
    <x:row r="385" spans="1:16">
      <x:c r="A385" s="0" t="s">
        <x:v>1479</x:v>
      </x:c>
      <x:c r="B385" s="0" t="s">
        <x:v>1480</x:v>
      </x:c>
      <x:c r="C385" s="0" t="s">
        <x:v>1481</x:v>
      </x:c>
      <x:c r="E385" s="0" t="s">
        <x:v>1482</x:v>
      </x:c>
      <x:c r="F385" s="0" t="s">
        <x:v>45</x:v>
      </x:c>
      <x:c r="G385" s="0" t="s">
        <x:v>19</x:v>
      </x:c>
      <x:c r="H385" s="0" t="s">
        <x:v>20</x:v>
      </x:c>
      <x:c r="I385" s="0" t="s">
        <x:v>21</x:v>
      </x:c>
      <x:c r="K385" s="0">
        <x:f>hyperlink("https://icd.who.int/dev11/l-ichi/en#/http%3A%2F%2Fid.who.int%2Ficd%2Fentity%2F1833316600","browser")</x:f>
      </x:c>
      <x:c r="L385" s="0">
        <x:f>hyperlink("https://icat2.azurewebsites.net/icat/?ontology=ICD&amp;tab=ClassesTab&amp;id=http%3A%2F%2Fwho.int%2Ficd%231880_c1eb5896_b43e_4531_bd82_f72e7a00cdd6","iCat")</x:f>
      </x:c>
      <x:c r="M385" s="0" t="s">
        <x:v>21</x:v>
      </x:c>
      <x:c r="N385" s="0" t="s">
        <x:v>46</x:v>
      </x:c>
    </x:row>
    <x:row r="386" spans="1:16">
      <x:c r="A386" s="0" t="s">
        <x:v>1483</x:v>
      </x:c>
      <x:c r="B386" s="0" t="s">
        <x:v>1484</x:v>
      </x:c>
      <x:c r="C386" s="0" t="s">
        <x:v>1485</x:v>
      </x:c>
      <x:c r="E386" s="0" t="s">
        <x:v>1486</x:v>
      </x:c>
      <x:c r="F386" s="0" t="s">
        <x:v>45</x:v>
      </x:c>
      <x:c r="G386" s="0" t="s">
        <x:v>19</x:v>
      </x:c>
      <x:c r="H386" s="0" t="s">
        <x:v>20</x:v>
      </x:c>
      <x:c r="I386" s="0" t="s">
        <x:v>21</x:v>
      </x:c>
      <x:c r="K386" s="0">
        <x:f>hyperlink("https://icd.who.int/dev11/l-ichi/en#/http%3A%2F%2Fid.who.int%2Ficd%2Fentity%2F1480717454","browser")</x:f>
      </x:c>
      <x:c r="L386" s="0">
        <x:f>hyperlink("https://icat2.azurewebsites.net/icat/?ontology=ICD&amp;tab=ClassesTab&amp;id=http%3A%2F%2Fwho.int%2Ficd%231884_c1eb5896_b43e_4531_bd82_f72e7a00cdd6","iCat")</x:f>
      </x:c>
      <x:c r="M386" s="0" t="s">
        <x:v>21</x:v>
      </x:c>
      <x:c r="N386" s="0" t="s">
        <x:v>46</x:v>
      </x:c>
    </x:row>
    <x:row r="387" spans="1:16">
      <x:c r="A387" s="0" t="s">
        <x:v>1487</x:v>
      </x:c>
      <x:c r="B387" s="0" t="s">
        <x:v>1488</x:v>
      </x:c>
      <x:c r="C387" s="0" t="s">
        <x:v>1489</x:v>
      </x:c>
      <x:c r="E387" s="0" t="s">
        <x:v>1490</x:v>
      </x:c>
      <x:c r="F387" s="0" t="s">
        <x:v>45</x:v>
      </x:c>
      <x:c r="G387" s="0" t="s">
        <x:v>19</x:v>
      </x:c>
      <x:c r="H387" s="0" t="s">
        <x:v>20</x:v>
      </x:c>
      <x:c r="I387" s="0" t="s">
        <x:v>21</x:v>
      </x:c>
      <x:c r="K387" s="0">
        <x:f>hyperlink("https://icd.who.int/dev11/l-ichi/en#/http%3A%2F%2Fid.who.int%2Ficd%2Fentity%2F600261037","browser")</x:f>
      </x:c>
      <x:c r="L387" s="0">
        <x:f>hyperlink("https://icat2.azurewebsites.net/icat/?ontology=ICD&amp;tab=ClassesTab&amp;id=http%3A%2F%2Fwho.int%2Ficd%231888_c1eb5896_b43e_4531_bd82_f72e7a00cdd6","iCat")</x:f>
      </x:c>
      <x:c r="M387" s="0" t="s">
        <x:v>21</x:v>
      </x:c>
      <x:c r="N387" s="0" t="s">
        <x:v>46</x:v>
      </x:c>
    </x:row>
    <x:row r="388" spans="1:16">
      <x:c r="A388" s="0" t="s">
        <x:v>1491</x:v>
      </x:c>
      <x:c r="B388" s="0" t="s">
        <x:v>1492</x:v>
      </x:c>
      <x:c r="E388" s="0" t="s">
        <x:v>1493</x:v>
      </x:c>
      <x:c r="F388" s="0" t="s">
        <x:v>26</x:v>
      </x:c>
      <x:c r="G388" s="0" t="s">
        <x:v>22</x:v>
      </x:c>
      <x:c r="H388" s="0" t="s">
        <x:v>20</x:v>
      </x:c>
      <x:c r="I388" s="0" t="s">
        <x:v>21</x:v>
      </x:c>
      <x:c r="K388" s="0">
        <x:f>hyperlink("https://icd.who.int/dev11/l-ichi/en#/http%3A%2F%2Fid.who.int%2Ficd%2Fentity%2F1107741272","browser")</x:f>
      </x:c>
      <x:c r="L388" s="0">
        <x:f>hyperlink("https://icat2.azurewebsites.net/icat/?ontology=ICD&amp;tab=ClassesTab&amp;id=http%3A%2F%2Fwho.int%2Ficd%231893_c1eb5896_b43e_4531_bd82_f72e7a00cdd6","iCat")</x:f>
      </x:c>
      <x:c r="M388" s="0" t="s">
        <x:v>20</x:v>
      </x:c>
      <x:c r="N388" s="0" t="s">
        <x:v>206</x:v>
      </x:c>
    </x:row>
    <x:row r="389" spans="1:16">
      <x:c r="A389" s="0" t="s">
        <x:v>1494</x:v>
      </x:c>
      <x:c r="B389" s="0" t="s">
        <x:v>1495</x:v>
      </x:c>
      <x:c r="C389" s="0" t="s">
        <x:v>1496</x:v>
      </x:c>
      <x:c r="E389" s="0" t="s">
        <x:v>1497</x:v>
      </x:c>
      <x:c r="F389" s="0" t="s">
        <x:v>45</x:v>
      </x:c>
      <x:c r="G389" s="0" t="s">
        <x:v>19</x:v>
      </x:c>
      <x:c r="H389" s="0" t="s">
        <x:v>20</x:v>
      </x:c>
      <x:c r="I389" s="0" t="s">
        <x:v>21</x:v>
      </x:c>
      <x:c r="K389" s="0">
        <x:f>hyperlink("https://icd.who.int/dev11/l-ichi/en#/http%3A%2F%2Fid.who.int%2Ficd%2Fentity%2F1660926058","browser")</x:f>
      </x:c>
      <x:c r="L389" s="0">
        <x:f>hyperlink("https://icat2.azurewebsites.net/icat/?ontology=ICD&amp;tab=ClassesTab&amp;id=http%3A%2F%2Fwho.int%2Ficd%231892_c1eb5896_b43e_4531_bd82_f72e7a00cdd6","iCat")</x:f>
      </x:c>
      <x:c r="M389" s="0" t="s">
        <x:v>21</x:v>
      </x:c>
      <x:c r="N389" s="0" t="s">
        <x:v>46</x:v>
      </x:c>
    </x:row>
    <x:row r="390" spans="1:16">
      <x:c r="A390" s="0" t="s">
        <x:v>1498</x:v>
      </x:c>
      <x:c r="B390" s="0" t="s">
        <x:v>1499</x:v>
      </x:c>
      <x:c r="C390" s="0" t="s">
        <x:v>1500</x:v>
      </x:c>
      <x:c r="E390" s="0" t="s">
        <x:v>1501</x:v>
      </x:c>
      <x:c r="F390" s="0" t="s">
        <x:v>45</x:v>
      </x:c>
      <x:c r="G390" s="0" t="s">
        <x:v>19</x:v>
      </x:c>
      <x:c r="H390" s="0" t="s">
        <x:v>20</x:v>
      </x:c>
      <x:c r="I390" s="0" t="s">
        <x:v>21</x:v>
      </x:c>
      <x:c r="K390" s="0">
        <x:f>hyperlink("https://icd.who.int/dev11/l-ichi/en#/http%3A%2F%2Fid.who.int%2Ficd%2Fentity%2F2003436590","browser")</x:f>
      </x:c>
      <x:c r="L390" s="0">
        <x:f>hyperlink("https://icat2.azurewebsites.net/icat/?ontology=ICD&amp;tab=ClassesTab&amp;id=http%3A%2F%2Fwho.int%2Ficd%231907_c1eb5896_b43e_4531_bd82_f72e7a00cdd6","iCat")</x:f>
      </x:c>
      <x:c r="M390" s="0" t="s">
        <x:v>21</x:v>
      </x:c>
      <x:c r="N390" s="0" t="s">
        <x:v>46</x:v>
      </x:c>
    </x:row>
    <x:row r="391" spans="1:16">
      <x:c r="A391" s="0" t="s">
        <x:v>1502</x:v>
      </x:c>
      <x:c r="B391" s="0" t="s">
        <x:v>1503</x:v>
      </x:c>
      <x:c r="C391" s="0" t="s">
        <x:v>1504</x:v>
      </x:c>
      <x:c r="E391" s="0" t="s">
        <x:v>1505</x:v>
      </x:c>
      <x:c r="F391" s="0" t="s">
        <x:v>45</x:v>
      </x:c>
      <x:c r="G391" s="0" t="s">
        <x:v>19</x:v>
      </x:c>
      <x:c r="H391" s="0" t="s">
        <x:v>20</x:v>
      </x:c>
      <x:c r="I391" s="0" t="s">
        <x:v>21</x:v>
      </x:c>
      <x:c r="K391" s="0">
        <x:f>hyperlink("https://icd.who.int/dev11/l-ichi/en#/http%3A%2F%2Fid.who.int%2Ficd%2Fentity%2F1305757898","browser")</x:f>
      </x:c>
      <x:c r="L391" s="0">
        <x:f>hyperlink("https://icat2.azurewebsites.net/icat/?ontology=ICD&amp;tab=ClassesTab&amp;id=http%3A%2F%2Fwho.int%2Ficd%231911_c1eb5896_b43e_4531_bd82_f72e7a00cdd6","iCat")</x:f>
      </x:c>
      <x:c r="M391" s="0" t="s">
        <x:v>21</x:v>
      </x:c>
      <x:c r="N391" s="0" t="s">
        <x:v>46</x:v>
      </x:c>
    </x:row>
    <x:row r="392" spans="1:16">
      <x:c r="A392" s="0" t="s">
        <x:v>1506</x:v>
      </x:c>
      <x:c r="B392" s="0" t="s">
        <x:v>1507</x:v>
      </x:c>
      <x:c r="C392" s="0" t="s">
        <x:v>1508</x:v>
      </x:c>
      <x:c r="E392" s="0" t="s">
        <x:v>1509</x:v>
      </x:c>
      <x:c r="F392" s="0" t="s">
        <x:v>45</x:v>
      </x:c>
      <x:c r="G392" s="0" t="s">
        <x:v>19</x:v>
      </x:c>
      <x:c r="H392" s="0" t="s">
        <x:v>20</x:v>
      </x:c>
      <x:c r="I392" s="0" t="s">
        <x:v>21</x:v>
      </x:c>
      <x:c r="K392" s="0">
        <x:f>hyperlink("https://icd.who.int/dev11/l-ichi/en#/http%3A%2F%2Fid.who.int%2Ficd%2Fentity%2F2027130048","browser")</x:f>
      </x:c>
      <x:c r="L392" s="0">
        <x:f>hyperlink("https://icat2.azurewebsites.net/icat/?ontology=ICD&amp;tab=ClassesTab&amp;id=http%3A%2F%2Fwho.int%2Ficd%231915_c1eb5896_b43e_4531_bd82_f72e7a00cdd6","iCat")</x:f>
      </x:c>
      <x:c r="M392" s="0" t="s">
        <x:v>21</x:v>
      </x:c>
      <x:c r="N392" s="0" t="s">
        <x:v>46</x:v>
      </x:c>
    </x:row>
    <x:row r="393" spans="1:16">
      <x:c r="A393" s="0" t="s">
        <x:v>1510</x:v>
      </x:c>
      <x:c r="B393" s="0" t="s">
        <x:v>1511</x:v>
      </x:c>
      <x:c r="C393" s="0" t="s">
        <x:v>1512</x:v>
      </x:c>
      <x:c r="E393" s="0" t="s">
        <x:v>1513</x:v>
      </x:c>
      <x:c r="F393" s="0" t="s">
        <x:v>45</x:v>
      </x:c>
      <x:c r="G393" s="0" t="s">
        <x:v>19</x:v>
      </x:c>
      <x:c r="H393" s="0" t="s">
        <x:v>20</x:v>
      </x:c>
      <x:c r="I393" s="0" t="s">
        <x:v>21</x:v>
      </x:c>
      <x:c r="K393" s="0">
        <x:f>hyperlink("https://icd.who.int/dev11/l-ichi/en#/http%3A%2F%2Fid.who.int%2Ficd%2Fentity%2F55916959","browser")</x:f>
      </x:c>
      <x:c r="L393" s="0">
        <x:f>hyperlink("https://icat2.azurewebsites.net/icat/?ontology=ICD&amp;tab=ClassesTab&amp;id=http%3A%2F%2Fwho.int%2Ficd%231919_c1eb5896_b43e_4531_bd82_f72e7a00cdd6","iCat")</x:f>
      </x:c>
      <x:c r="M393" s="0" t="s">
        <x:v>21</x:v>
      </x:c>
      <x:c r="N393" s="0" t="s">
        <x:v>46</x:v>
      </x:c>
    </x:row>
    <x:row r="394" spans="1:16">
      <x:c r="A394" s="0" t="s">
        <x:v>1514</x:v>
      </x:c>
      <x:c r="B394" s="0" t="s">
        <x:v>1515</x:v>
      </x:c>
      <x:c r="C394" s="0" t="s">
        <x:v>1516</x:v>
      </x:c>
      <x:c r="E394" s="0" t="s">
        <x:v>1517</x:v>
      </x:c>
      <x:c r="F394" s="0" t="s">
        <x:v>45</x:v>
      </x:c>
      <x:c r="G394" s="0" t="s">
        <x:v>19</x:v>
      </x:c>
      <x:c r="H394" s="0" t="s">
        <x:v>20</x:v>
      </x:c>
      <x:c r="I394" s="0" t="s">
        <x:v>21</x:v>
      </x:c>
      <x:c r="K394" s="0">
        <x:f>hyperlink("https://icd.who.int/dev11/l-ichi/en#/http%3A%2F%2Fid.who.int%2Ficd%2Fentity%2F1746474250","browser")</x:f>
      </x:c>
      <x:c r="L394" s="0">
        <x:f>hyperlink("https://icat2.azurewebsites.net/icat/?ontology=ICD&amp;tab=ClassesTab&amp;id=http%3A%2F%2Fwho.int%2Ficd%231923_c1eb5896_b43e_4531_bd82_f72e7a00cdd6","iCat")</x:f>
      </x:c>
      <x:c r="M394" s="0" t="s">
        <x:v>21</x:v>
      </x:c>
      <x:c r="N394" s="0" t="s">
        <x:v>46</x:v>
      </x:c>
    </x:row>
    <x:row r="395" spans="1:16">
      <x:c r="A395" s="0" t="s">
        <x:v>1518</x:v>
      </x:c>
      <x:c r="B395" s="0" t="s">
        <x:v>1519</x:v>
      </x:c>
      <x:c r="E395" s="0" t="s">
        <x:v>1520</x:v>
      </x:c>
      <x:c r="F395" s="0" t="s">
        <x:v>26</x:v>
      </x:c>
      <x:c r="G395" s="0" t="s">
        <x:v>22</x:v>
      </x:c>
      <x:c r="H395" s="0" t="s">
        <x:v>20</x:v>
      </x:c>
      <x:c r="I395" s="0" t="s">
        <x:v>21</x:v>
      </x:c>
      <x:c r="K395" s="0">
        <x:f>hyperlink("https://icd.who.int/dev11/l-ichi/en#/http%3A%2F%2Fid.who.int%2Ficd%2Fentity%2F1662847908","browser")</x:f>
      </x:c>
      <x:c r="L395" s="0">
        <x:f>hyperlink("https://icat2.azurewebsites.net/icat/?ontology=ICD&amp;tab=ClassesTab&amp;id=http%3A%2F%2Fwho.int%2Ficd%231928_c1eb5896_b43e_4531_bd82_f72e7a00cdd6","iCat")</x:f>
      </x:c>
      <x:c r="M395" s="0" t="s">
        <x:v>20</x:v>
      </x:c>
      <x:c r="N395" s="0" t="s">
        <x:v>40</x:v>
      </x:c>
    </x:row>
    <x:row r="396" spans="1:16">
      <x:c r="A396" s="0" t="s">
        <x:v>1521</x:v>
      </x:c>
      <x:c r="B396" s="0" t="s">
        <x:v>1522</x:v>
      </x:c>
      <x:c r="C396" s="0" t="s">
        <x:v>1523</x:v>
      </x:c>
      <x:c r="E396" s="0" t="s">
        <x:v>1524</x:v>
      </x:c>
      <x:c r="F396" s="0" t="s">
        <x:v>45</x:v>
      </x:c>
      <x:c r="G396" s="0" t="s">
        <x:v>19</x:v>
      </x:c>
      <x:c r="H396" s="0" t="s">
        <x:v>20</x:v>
      </x:c>
      <x:c r="I396" s="0" t="s">
        <x:v>21</x:v>
      </x:c>
      <x:c r="K396" s="0">
        <x:f>hyperlink("https://icd.who.int/dev11/l-ichi/en#/http%3A%2F%2Fid.who.int%2Ficd%2Fentity%2F1562300796","browser")</x:f>
      </x:c>
      <x:c r="L396" s="0">
        <x:f>hyperlink("https://icat2.azurewebsites.net/icat/?ontology=ICD&amp;tab=ClassesTab&amp;id=http%3A%2F%2Fwho.int%2Ficd%231927_c1eb5896_b43e_4531_bd82_f72e7a00cdd6","iCat")</x:f>
      </x:c>
      <x:c r="M396" s="0" t="s">
        <x:v>21</x:v>
      </x:c>
      <x:c r="N396" s="0" t="s">
        <x:v>46</x:v>
      </x:c>
    </x:row>
    <x:row r="397" spans="1:16">
      <x:c r="A397" s="0" t="s">
        <x:v>1525</x:v>
      </x:c>
      <x:c r="B397" s="0" t="s">
        <x:v>1526</x:v>
      </x:c>
      <x:c r="C397" s="0" t="s">
        <x:v>1527</x:v>
      </x:c>
      <x:c r="E397" s="0" t="s">
        <x:v>1528</x:v>
      </x:c>
      <x:c r="F397" s="0" t="s">
        <x:v>45</x:v>
      </x:c>
      <x:c r="G397" s="0" t="s">
        <x:v>19</x:v>
      </x:c>
      <x:c r="H397" s="0" t="s">
        <x:v>20</x:v>
      </x:c>
      <x:c r="I397" s="0" t="s">
        <x:v>21</x:v>
      </x:c>
      <x:c r="K397" s="0">
        <x:f>hyperlink("https://icd.who.int/dev11/l-ichi/en#/http%3A%2F%2Fid.who.int%2Ficd%2Fentity%2F1467387520","browser")</x:f>
      </x:c>
      <x:c r="L397" s="0">
        <x:f>hyperlink("https://icat2.azurewebsites.net/icat/?ontology=ICD&amp;tab=ClassesTab&amp;id=http%3A%2F%2Fwho.int%2Ficd%231941_c1eb5896_b43e_4531_bd82_f72e7a00cdd6","iCat")</x:f>
      </x:c>
      <x:c r="M397" s="0" t="s">
        <x:v>21</x:v>
      </x:c>
      <x:c r="N397" s="0" t="s">
        <x:v>46</x:v>
      </x:c>
    </x:row>
    <x:row r="398" spans="1:16">
      <x:c r="A398" s="0" t="s">
        <x:v>1529</x:v>
      </x:c>
      <x:c r="B398" s="0" t="s">
        <x:v>1530</x:v>
      </x:c>
      <x:c r="C398" s="0" t="s">
        <x:v>1531</x:v>
      </x:c>
      <x:c r="E398" s="0" t="s">
        <x:v>1532</x:v>
      </x:c>
      <x:c r="F398" s="0" t="s">
        <x:v>45</x:v>
      </x:c>
      <x:c r="G398" s="0" t="s">
        <x:v>19</x:v>
      </x:c>
      <x:c r="H398" s="0" t="s">
        <x:v>20</x:v>
      </x:c>
      <x:c r="I398" s="0" t="s">
        <x:v>21</x:v>
      </x:c>
      <x:c r="K398" s="0">
        <x:f>hyperlink("https://icd.who.int/dev11/l-ichi/en#/http%3A%2F%2Fid.who.int%2Ficd%2Fentity%2F1651591926","browser")</x:f>
      </x:c>
      <x:c r="L398" s="0">
        <x:f>hyperlink("https://icat2.azurewebsites.net/icat/?ontology=ICD&amp;tab=ClassesTab&amp;id=http%3A%2F%2Fwho.int%2Ficd%231945_c1eb5896_b43e_4531_bd82_f72e7a00cdd6","iCat")</x:f>
      </x:c>
      <x:c r="M398" s="0" t="s">
        <x:v>21</x:v>
      </x:c>
      <x:c r="N398" s="0" t="s">
        <x:v>46</x:v>
      </x:c>
    </x:row>
    <x:row r="399" spans="1:16">
      <x:c r="A399" s="0" t="s">
        <x:v>1533</x:v>
      </x:c>
      <x:c r="B399" s="0" t="s">
        <x:v>1534</x:v>
      </x:c>
      <x:c r="C399" s="0" t="s">
        <x:v>1535</x:v>
      </x:c>
      <x:c r="E399" s="0" t="s">
        <x:v>1536</x:v>
      </x:c>
      <x:c r="F399" s="0" t="s">
        <x:v>45</x:v>
      </x:c>
      <x:c r="G399" s="0" t="s">
        <x:v>19</x:v>
      </x:c>
      <x:c r="H399" s="0" t="s">
        <x:v>20</x:v>
      </x:c>
      <x:c r="I399" s="0" t="s">
        <x:v>21</x:v>
      </x:c>
      <x:c r="K399" s="0">
        <x:f>hyperlink("https://icd.who.int/dev11/l-ichi/en#/http%3A%2F%2Fid.who.int%2Ficd%2Fentity%2F435683285","browser")</x:f>
      </x:c>
      <x:c r="L399" s="0">
        <x:f>hyperlink("https://icat2.azurewebsites.net/icat/?ontology=ICD&amp;tab=ClassesTab&amp;id=http%3A%2F%2Fwho.int%2Ficd%231949_c1eb5896_b43e_4531_bd82_f72e7a00cdd6","iCat")</x:f>
      </x:c>
      <x:c r="M399" s="0" t="s">
        <x:v>21</x:v>
      </x:c>
      <x:c r="N399" s="0" t="s">
        <x:v>46</x:v>
      </x:c>
    </x:row>
    <x:row r="400" spans="1:16">
      <x:c r="A400" s="0" t="s">
        <x:v>1537</x:v>
      </x:c>
      <x:c r="B400" s="0" t="s">
        <x:v>1538</x:v>
      </x:c>
      <x:c r="C400" s="0" t="s">
        <x:v>1539</x:v>
      </x:c>
      <x:c r="E400" s="0" t="s">
        <x:v>1540</x:v>
      </x:c>
      <x:c r="F400" s="0" t="s">
        <x:v>45</x:v>
      </x:c>
      <x:c r="G400" s="0" t="s">
        <x:v>19</x:v>
      </x:c>
      <x:c r="H400" s="0" t="s">
        <x:v>20</x:v>
      </x:c>
      <x:c r="I400" s="0" t="s">
        <x:v>21</x:v>
      </x:c>
      <x:c r="K400" s="0">
        <x:f>hyperlink("https://icd.who.int/dev11/l-ichi/en#/http%3A%2F%2Fid.who.int%2Ficd%2Fentity%2F1489962514","browser")</x:f>
      </x:c>
      <x:c r="L400" s="0">
        <x:f>hyperlink("https://icat2.azurewebsites.net/icat/?ontology=ICD&amp;tab=ClassesTab&amp;id=http%3A%2F%2Fwho.int%2Ficd%231953_c1eb5896_b43e_4531_bd82_f72e7a00cdd6","iCat")</x:f>
      </x:c>
      <x:c r="M400" s="0" t="s">
        <x:v>21</x:v>
      </x:c>
      <x:c r="N400" s="0" t="s">
        <x:v>46</x:v>
      </x:c>
    </x:row>
    <x:row r="401" spans="1:16">
      <x:c r="A401" s="0" t="s">
        <x:v>1541</x:v>
      </x:c>
      <x:c r="B401" s="0" t="s">
        <x:v>1542</x:v>
      </x:c>
      <x:c r="E401" s="0" t="s">
        <x:v>1543</x:v>
      </x:c>
      <x:c r="F401" s="0" t="s">
        <x:v>26</x:v>
      </x:c>
      <x:c r="G401" s="0" t="s">
        <x:v>22</x:v>
      </x:c>
      <x:c r="H401" s="0" t="s">
        <x:v>20</x:v>
      </x:c>
      <x:c r="I401" s="0" t="s">
        <x:v>21</x:v>
      </x:c>
      <x:c r="K401" s="0">
        <x:f>hyperlink("https://icd.who.int/dev11/l-ichi/en#/http%3A%2F%2Fid.who.int%2Ficd%2Fentity%2F1405819072","browser")</x:f>
      </x:c>
      <x:c r="L401" s="0">
        <x:f>hyperlink("https://icat2.azurewebsites.net/icat/?ontology=ICD&amp;tab=ClassesTab&amp;id=http%3A%2F%2Fwho.int%2Ficd%231958_c1eb5896_b43e_4531_bd82_f72e7a00cdd6","iCat")</x:f>
      </x:c>
      <x:c r="M401" s="0" t="s">
        <x:v>20</x:v>
      </x:c>
      <x:c r="N401" s="0" t="s">
        <x:v>19</x:v>
      </x:c>
    </x:row>
    <x:row r="402" spans="1:16">
      <x:c r="A402" s="0" t="s">
        <x:v>1544</x:v>
      </x:c>
      <x:c r="B402" s="0" t="s">
        <x:v>1545</x:v>
      </x:c>
      <x:c r="C402" s="0" t="s">
        <x:v>1546</x:v>
      </x:c>
      <x:c r="E402" s="0" t="s">
        <x:v>1547</x:v>
      </x:c>
      <x:c r="F402" s="0" t="s">
        <x:v>45</x:v>
      </x:c>
      <x:c r="G402" s="0" t="s">
        <x:v>19</x:v>
      </x:c>
      <x:c r="H402" s="0" t="s">
        <x:v>20</x:v>
      </x:c>
      <x:c r="I402" s="0" t="s">
        <x:v>21</x:v>
      </x:c>
      <x:c r="K402" s="0">
        <x:f>hyperlink("https://icd.who.int/dev11/l-ichi/en#/http%3A%2F%2Fid.who.int%2Ficd%2Fentity%2F1841873512","browser")</x:f>
      </x:c>
      <x:c r="L402" s="0">
        <x:f>hyperlink("https://icat2.azurewebsites.net/icat/?ontology=ICD&amp;tab=ClassesTab&amp;id=http%3A%2F%2Fwho.int%2Ficd%231957_c1eb5896_b43e_4531_bd82_f72e7a00cdd6","iCat")</x:f>
      </x:c>
      <x:c r="M402" s="0" t="s">
        <x:v>21</x:v>
      </x:c>
      <x:c r="N402" s="0" t="s">
        <x:v>46</x:v>
      </x:c>
    </x:row>
    <x:row r="403" spans="1:16">
      <x:c r="A403" s="0" t="s">
        <x:v>1548</x:v>
      </x:c>
      <x:c r="B403" s="0" t="s">
        <x:v>1549</x:v>
      </x:c>
      <x:c r="E403" s="0" t="s">
        <x:v>1550</x:v>
      </x:c>
      <x:c r="F403" s="0" t="s">
        <x:v>26</x:v>
      </x:c>
      <x:c r="G403" s="0" t="s">
        <x:v>22</x:v>
      </x:c>
      <x:c r="H403" s="0" t="s">
        <x:v>20</x:v>
      </x:c>
      <x:c r="I403" s="0" t="s">
        <x:v>21</x:v>
      </x:c>
      <x:c r="K403" s="0">
        <x:f>hyperlink("https://icd.who.int/dev11/l-ichi/en#/http%3A%2F%2Fid.who.int%2Ficd%2Fentity%2F1924911940","browser")</x:f>
      </x:c>
      <x:c r="L403" s="0">
        <x:f>hyperlink("https://icat2.azurewebsites.net/icat/?ontology=ICD&amp;tab=ClassesTab&amp;id=http%3A%2F%2Fwho.int%2Ficd%231973_c1eb5896_b43e_4531_bd82_f72e7a00cdd6","iCat")</x:f>
      </x:c>
      <x:c r="M403" s="0" t="s">
        <x:v>20</x:v>
      </x:c>
      <x:c r="N403" s="0" t="s">
        <x:v>40</x:v>
      </x:c>
    </x:row>
    <x:row r="404" spans="1:16">
      <x:c r="A404" s="0" t="s">
        <x:v>1551</x:v>
      </x:c>
      <x:c r="B404" s="0" t="s">
        <x:v>1552</x:v>
      </x:c>
      <x:c r="C404" s="0" t="s">
        <x:v>1553</x:v>
      </x:c>
      <x:c r="E404" s="0" t="s">
        <x:v>1554</x:v>
      </x:c>
      <x:c r="F404" s="0" t="s">
        <x:v>45</x:v>
      </x:c>
      <x:c r="G404" s="0" t="s">
        <x:v>19</x:v>
      </x:c>
      <x:c r="H404" s="0" t="s">
        <x:v>20</x:v>
      </x:c>
      <x:c r="I404" s="0" t="s">
        <x:v>21</x:v>
      </x:c>
      <x:c r="K404" s="0">
        <x:f>hyperlink("https://icd.who.int/dev11/l-ichi/en#/http%3A%2F%2Fid.who.int%2Ficd%2Fentity%2F1380098430","browser")</x:f>
      </x:c>
      <x:c r="L404" s="0">
        <x:f>hyperlink("https://icat2.azurewebsites.net/icat/?ontology=ICD&amp;tab=ClassesTab&amp;id=http%3A%2F%2Fwho.int%2Ficd%231972_c1eb5896_b43e_4531_bd82_f72e7a00cdd6","iCat")</x:f>
      </x:c>
      <x:c r="M404" s="0" t="s">
        <x:v>21</x:v>
      </x:c>
      <x:c r="N404" s="0" t="s">
        <x:v>46</x:v>
      </x:c>
    </x:row>
    <x:row r="405" spans="1:16">
      <x:c r="A405" s="0" t="s">
        <x:v>1555</x:v>
      </x:c>
      <x:c r="B405" s="0" t="s">
        <x:v>1556</x:v>
      </x:c>
      <x:c r="C405" s="0" t="s">
        <x:v>1557</x:v>
      </x:c>
      <x:c r="E405" s="0" t="s">
        <x:v>1558</x:v>
      </x:c>
      <x:c r="F405" s="0" t="s">
        <x:v>45</x:v>
      </x:c>
      <x:c r="G405" s="0" t="s">
        <x:v>19</x:v>
      </x:c>
      <x:c r="H405" s="0" t="s">
        <x:v>20</x:v>
      </x:c>
      <x:c r="I405" s="0" t="s">
        <x:v>21</x:v>
      </x:c>
      <x:c r="K405" s="0">
        <x:f>hyperlink("https://icd.who.int/dev11/l-ichi/en#/http%3A%2F%2Fid.who.int%2Ficd%2Fentity%2F1566349726","browser")</x:f>
      </x:c>
      <x:c r="L405" s="0">
        <x:f>hyperlink("https://icat2.azurewebsites.net/icat/?ontology=ICD&amp;tab=ClassesTab&amp;id=http%3A%2F%2Fwho.int%2Ficd%231983_c1eb5896_b43e_4531_bd82_f72e7a00cdd6","iCat")</x:f>
      </x:c>
      <x:c r="M405" s="0" t="s">
        <x:v>21</x:v>
      </x:c>
      <x:c r="N405" s="0" t="s">
        <x:v>46</x:v>
      </x:c>
    </x:row>
    <x:row r="406" spans="1:16">
      <x:c r="A406" s="0" t="s">
        <x:v>1559</x:v>
      </x:c>
      <x:c r="B406" s="0" t="s">
        <x:v>1560</x:v>
      </x:c>
      <x:c r="C406" s="0" t="s">
        <x:v>1561</x:v>
      </x:c>
      <x:c r="E406" s="0" t="s">
        <x:v>1562</x:v>
      </x:c>
      <x:c r="F406" s="0" t="s">
        <x:v>45</x:v>
      </x:c>
      <x:c r="G406" s="0" t="s">
        <x:v>19</x:v>
      </x:c>
      <x:c r="H406" s="0" t="s">
        <x:v>20</x:v>
      </x:c>
      <x:c r="I406" s="0" t="s">
        <x:v>21</x:v>
      </x:c>
      <x:c r="K406" s="0">
        <x:f>hyperlink("https://icd.who.int/dev11/l-ichi/en#/http%3A%2F%2Fid.who.int%2Ficd%2Fentity%2F1990325518","browser")</x:f>
      </x:c>
      <x:c r="L406" s="0">
        <x:f>hyperlink("https://icat2.azurewebsites.net/icat/?ontology=ICD&amp;tab=ClassesTab&amp;id=http%3A%2F%2Fwho.int%2Ficd%231989_c1eb5896_b43e_4531_bd82_f72e7a00cdd6","iCat")</x:f>
      </x:c>
      <x:c r="M406" s="0" t="s">
        <x:v>21</x:v>
      </x:c>
      <x:c r="N406" s="0" t="s">
        <x:v>46</x:v>
      </x:c>
    </x:row>
    <x:row r="407" spans="1:16">
      <x:c r="A407" s="0" t="s">
        <x:v>1563</x:v>
      </x:c>
      <x:c r="B407" s="0" t="s">
        <x:v>1564</x:v>
      </x:c>
      <x:c r="C407" s="0" t="s">
        <x:v>1565</x:v>
      </x:c>
      <x:c r="E407" s="0" t="s">
        <x:v>1566</x:v>
      </x:c>
      <x:c r="F407" s="0" t="s">
        <x:v>45</x:v>
      </x:c>
      <x:c r="G407" s="0" t="s">
        <x:v>19</x:v>
      </x:c>
      <x:c r="H407" s="0" t="s">
        <x:v>20</x:v>
      </x:c>
      <x:c r="I407" s="0" t="s">
        <x:v>21</x:v>
      </x:c>
      <x:c r="K407" s="0">
        <x:f>hyperlink("https://icd.who.int/dev11/l-ichi/en#/http%3A%2F%2Fid.who.int%2Ficd%2Fentity%2F932777163","browser")</x:f>
      </x:c>
      <x:c r="L407" s="0">
        <x:f>hyperlink("https://icat2.azurewebsites.net/icat/?ontology=ICD&amp;tab=ClassesTab&amp;id=http%3A%2F%2Fwho.int%2Ficd%231993_c1eb5896_b43e_4531_bd82_f72e7a00cdd6","iCat")</x:f>
      </x:c>
      <x:c r="M407" s="0" t="s">
        <x:v>21</x:v>
      </x:c>
      <x:c r="N407" s="0" t="s">
        <x:v>46</x:v>
      </x:c>
    </x:row>
    <x:row r="408" spans="1:16">
      <x:c r="A408" s="0" t="s">
        <x:v>1567</x:v>
      </x:c>
      <x:c r="B408" s="0" t="s">
        <x:v>1568</x:v>
      </x:c>
      <x:c r="C408" s="0" t="s">
        <x:v>1569</x:v>
      </x:c>
      <x:c r="E408" s="0" t="s">
        <x:v>1570</x:v>
      </x:c>
      <x:c r="F408" s="0" t="s">
        <x:v>45</x:v>
      </x:c>
      <x:c r="G408" s="0" t="s">
        <x:v>19</x:v>
      </x:c>
      <x:c r="H408" s="0" t="s">
        <x:v>20</x:v>
      </x:c>
      <x:c r="I408" s="0" t="s">
        <x:v>21</x:v>
      </x:c>
      <x:c r="K408" s="0">
        <x:f>hyperlink("https://icd.who.int/dev11/l-ichi/en#/http%3A%2F%2Fid.who.int%2Ficd%2Fentity%2F948656764","browser")</x:f>
      </x:c>
      <x:c r="L408" s="0">
        <x:f>hyperlink("https://icat2.azurewebsites.net/icat/?ontology=ICD&amp;tab=ClassesTab&amp;id=http%3A%2F%2Fwho.int%2Ficd%234239_25b89c54_3344_49a0_8ee9_6b728a90dcf8","iCat")</x:f>
      </x:c>
      <x:c r="M408" s="0" t="s">
        <x:v>21</x:v>
      </x:c>
      <x:c r="N408" s="0" t="s">
        <x:v>46</x:v>
      </x:c>
    </x:row>
    <x:row r="409" spans="1:16">
      <x:c r="A409" s="0" t="s">
        <x:v>1571</x:v>
      </x:c>
      <x:c r="B409" s="0" t="s">
        <x:v>1572</x:v>
      </x:c>
      <x:c r="E409" s="0" t="s">
        <x:v>1573</x:v>
      </x:c>
      <x:c r="F409" s="0" t="s">
        <x:v>26</x:v>
      </x:c>
      <x:c r="G409" s="0" t="s">
        <x:v>22</x:v>
      </x:c>
      <x:c r="H409" s="0" t="s">
        <x:v>20</x:v>
      </x:c>
      <x:c r="I409" s="0" t="s">
        <x:v>21</x:v>
      </x:c>
      <x:c r="K409" s="0">
        <x:f>hyperlink("https://icd.who.int/dev11/l-ichi/en#/http%3A%2F%2Fid.who.int%2Ficd%2Fentity%2F1747156418","browser")</x:f>
      </x:c>
      <x:c r="L409" s="0">
        <x:f>hyperlink("https://icat2.azurewebsites.net/icat/?ontology=ICD&amp;tab=ClassesTab&amp;id=http%3A%2F%2Fwho.int%2Ficd%232000_c1eb5896_b43e_4531_bd82_f72e7a00cdd6","iCat")</x:f>
      </x:c>
      <x:c r="M409" s="0" t="s">
        <x:v>20</x:v>
      </x:c>
      <x:c r="N409" s="0" t="s">
        <x:v>206</x:v>
      </x:c>
    </x:row>
    <x:row r="410" spans="1:16">
      <x:c r="A410" s="0" t="s">
        <x:v>1574</x:v>
      </x:c>
      <x:c r="B410" s="0" t="s">
        <x:v>1575</x:v>
      </x:c>
      <x:c r="C410" s="0" t="s">
        <x:v>1576</x:v>
      </x:c>
      <x:c r="E410" s="0" t="s">
        <x:v>1577</x:v>
      </x:c>
      <x:c r="F410" s="0" t="s">
        <x:v>45</x:v>
      </x:c>
      <x:c r="G410" s="0" t="s">
        <x:v>19</x:v>
      </x:c>
      <x:c r="H410" s="0" t="s">
        <x:v>20</x:v>
      </x:c>
      <x:c r="I410" s="0" t="s">
        <x:v>21</x:v>
      </x:c>
      <x:c r="K410" s="0">
        <x:f>hyperlink("https://icd.who.int/dev11/l-ichi/en#/http%3A%2F%2Fid.who.int%2Ficd%2Fentity%2F476340315","browser")</x:f>
      </x:c>
      <x:c r="L410" s="0">
        <x:f>hyperlink("https://icat2.azurewebsites.net/icat/?ontology=ICD&amp;tab=ClassesTab&amp;id=http%3A%2F%2Fwho.int%2Ficd%231999_c1eb5896_b43e_4531_bd82_f72e7a00cdd6","iCat")</x:f>
      </x:c>
      <x:c r="M410" s="0" t="s">
        <x:v>21</x:v>
      </x:c>
      <x:c r="N410" s="0" t="s">
        <x:v>46</x:v>
      </x:c>
    </x:row>
    <x:row r="411" spans="1:16">
      <x:c r="A411" s="0" t="s">
        <x:v>1578</x:v>
      </x:c>
      <x:c r="B411" s="0" t="s">
        <x:v>1579</x:v>
      </x:c>
      <x:c r="C411" s="0" t="s">
        <x:v>1580</x:v>
      </x:c>
      <x:c r="E411" s="0" t="s">
        <x:v>1581</x:v>
      </x:c>
      <x:c r="F411" s="0" t="s">
        <x:v>45</x:v>
      </x:c>
      <x:c r="G411" s="0" t="s">
        <x:v>19</x:v>
      </x:c>
      <x:c r="H411" s="0" t="s">
        <x:v>20</x:v>
      </x:c>
      <x:c r="I411" s="0" t="s">
        <x:v>21</x:v>
      </x:c>
      <x:c r="K411" s="0">
        <x:f>hyperlink("https://icd.who.int/dev11/l-ichi/en#/http%3A%2F%2Fid.who.int%2Ficd%2Fentity%2F1093092436","browser")</x:f>
      </x:c>
      <x:c r="L411" s="0">
        <x:f>hyperlink("https://icat2.azurewebsites.net/icat/?ontology=ICD&amp;tab=ClassesTab&amp;id=http%3A%2F%2Fwho.int%2Ficd%23313_e02c2df3_77b6_419a_b43f_c4531334dd70","iCat")</x:f>
      </x:c>
      <x:c r="M411" s="0" t="s">
        <x:v>21</x:v>
      </x:c>
      <x:c r="N411" s="0" t="s">
        <x:v>46</x:v>
      </x:c>
    </x:row>
    <x:row r="412" spans="1:16">
      <x:c r="A412" s="0" t="s">
        <x:v>1582</x:v>
      </x:c>
      <x:c r="B412" s="0" t="s">
        <x:v>1583</x:v>
      </x:c>
      <x:c r="C412" s="0" t="s">
        <x:v>1584</x:v>
      </x:c>
      <x:c r="E412" s="0" t="s">
        <x:v>1585</x:v>
      </x:c>
      <x:c r="F412" s="0" t="s">
        <x:v>45</x:v>
      </x:c>
      <x:c r="G412" s="0" t="s">
        <x:v>19</x:v>
      </x:c>
      <x:c r="H412" s="0" t="s">
        <x:v>20</x:v>
      </x:c>
      <x:c r="I412" s="0" t="s">
        <x:v>21</x:v>
      </x:c>
      <x:c r="K412" s="0">
        <x:f>hyperlink("https://icd.who.int/dev11/l-ichi/en#/http%3A%2F%2Fid.who.int%2Ficd%2Fentity%2F48687255","browser")</x:f>
      </x:c>
      <x:c r="L412" s="0">
        <x:f>hyperlink("https://icat2.azurewebsites.net/icat/?ontology=ICD&amp;tab=ClassesTab&amp;id=http%3A%2F%2Fwho.int%2Ficd%232010_c1eb5896_b43e_4531_bd82_f72e7a00cdd6","iCat")</x:f>
      </x:c>
      <x:c r="M412" s="0" t="s">
        <x:v>21</x:v>
      </x:c>
      <x:c r="N412" s="0" t="s">
        <x:v>46</x:v>
      </x:c>
    </x:row>
    <x:row r="413" spans="1:16">
      <x:c r="A413" s="0" t="s">
        <x:v>1586</x:v>
      </x:c>
      <x:c r="B413" s="0" t="s">
        <x:v>1587</x:v>
      </x:c>
      <x:c r="C413" s="0" t="s">
        <x:v>1588</x:v>
      </x:c>
      <x:c r="E413" s="0" t="s">
        <x:v>1589</x:v>
      </x:c>
      <x:c r="F413" s="0" t="s">
        <x:v>45</x:v>
      </x:c>
      <x:c r="G413" s="0" t="s">
        <x:v>19</x:v>
      </x:c>
      <x:c r="H413" s="0" t="s">
        <x:v>20</x:v>
      </x:c>
      <x:c r="I413" s="0" t="s">
        <x:v>21</x:v>
      </x:c>
      <x:c r="K413" s="0">
        <x:f>hyperlink("https://icd.who.int/dev11/l-ichi/en#/http%3A%2F%2Fid.who.int%2Ficd%2Fentity%2F937503971","browser")</x:f>
      </x:c>
      <x:c r="L413" s="0">
        <x:f>hyperlink("https://icat2.azurewebsites.net/icat/?ontology=ICD&amp;tab=ClassesTab&amp;id=http%3A%2F%2Fwho.int%2Ficd%232014_c1eb5896_b43e_4531_bd82_f72e7a00cdd6","iCat")</x:f>
      </x:c>
      <x:c r="M413" s="0" t="s">
        <x:v>21</x:v>
      </x:c>
      <x:c r="N413" s="0" t="s">
        <x:v>46</x:v>
      </x:c>
    </x:row>
    <x:row r="414" spans="1:16">
      <x:c r="A414" s="0" t="s">
        <x:v>1590</x:v>
      </x:c>
      <x:c r="B414" s="0" t="s">
        <x:v>1591</x:v>
      </x:c>
      <x:c r="C414" s="0" t="s">
        <x:v>1592</x:v>
      </x:c>
      <x:c r="E414" s="0" t="s">
        <x:v>1593</x:v>
      </x:c>
      <x:c r="F414" s="0" t="s">
        <x:v>45</x:v>
      </x:c>
      <x:c r="G414" s="0" t="s">
        <x:v>19</x:v>
      </x:c>
      <x:c r="H414" s="0" t="s">
        <x:v>20</x:v>
      </x:c>
      <x:c r="I414" s="0" t="s">
        <x:v>21</x:v>
      </x:c>
      <x:c r="K414" s="0">
        <x:f>hyperlink("https://icd.who.int/dev11/l-ichi/en#/http%3A%2F%2Fid.who.int%2Ficd%2Fentity%2F1281857988","browser")</x:f>
      </x:c>
      <x:c r="L414" s="0">
        <x:f>hyperlink("https://icat2.azurewebsites.net/icat/?ontology=ICD&amp;tab=ClassesTab&amp;id=http%3A%2F%2Fwho.int%2Ficd%232018_c1eb5896_b43e_4531_bd82_f72e7a00cdd6","iCat")</x:f>
      </x:c>
      <x:c r="M414" s="0" t="s">
        <x:v>21</x:v>
      </x:c>
      <x:c r="N414" s="0" t="s">
        <x:v>46</x:v>
      </x:c>
    </x:row>
    <x:row r="415" spans="1:16">
      <x:c r="A415" s="0" t="s">
        <x:v>1594</x:v>
      </x:c>
      <x:c r="B415" s="0" t="s">
        <x:v>1595</x:v>
      </x:c>
      <x:c r="C415" s="0" t="s">
        <x:v>1596</x:v>
      </x:c>
      <x:c r="E415" s="0" t="s">
        <x:v>1597</x:v>
      </x:c>
      <x:c r="F415" s="0" t="s">
        <x:v>45</x:v>
      </x:c>
      <x:c r="G415" s="0" t="s">
        <x:v>19</x:v>
      </x:c>
      <x:c r="H415" s="0" t="s">
        <x:v>20</x:v>
      </x:c>
      <x:c r="I415" s="0" t="s">
        <x:v>21</x:v>
      </x:c>
      <x:c r="K415" s="0">
        <x:f>hyperlink("https://icd.who.int/dev11/l-ichi/en#/http%3A%2F%2Fid.who.int%2Ficd%2Fentity%2F131254121","browser")</x:f>
      </x:c>
      <x:c r="L415" s="0">
        <x:f>hyperlink("https://icat2.azurewebsites.net/icat/?ontology=ICD&amp;tab=ClassesTab&amp;id=http%3A%2F%2Fwho.int%2Ficd%232023_c1eb5896_b43e_4531_bd82_f72e7a00cdd6","iCat")</x:f>
      </x:c>
      <x:c r="M415" s="0" t="s">
        <x:v>21</x:v>
      </x:c>
      <x:c r="N415" s="0" t="s">
        <x:v>46</x:v>
      </x:c>
    </x:row>
    <x:row r="416" spans="1:16">
      <x:c r="A416" s="0" t="s">
        <x:v>1598</x:v>
      </x:c>
      <x:c r="B416" s="0" t="s">
        <x:v>1599</x:v>
      </x:c>
      <x:c r="E416" s="0" t="s">
        <x:v>1600</x:v>
      </x:c>
      <x:c r="F416" s="0" t="s">
        <x:v>26</x:v>
      </x:c>
      <x:c r="G416" s="0" t="s">
        <x:v>22</x:v>
      </x:c>
      <x:c r="H416" s="0" t="s">
        <x:v>20</x:v>
      </x:c>
      <x:c r="I416" s="0" t="s">
        <x:v>21</x:v>
      </x:c>
      <x:c r="K416" s="0">
        <x:f>hyperlink("https://icd.who.int/dev11/l-ichi/en#/http%3A%2F%2Fid.who.int%2Ficd%2Fentity%2F215407045","browser")</x:f>
      </x:c>
      <x:c r="L416" s="0">
        <x:f>hyperlink("https://icat2.azurewebsites.net/icat/?ontology=ICD&amp;tab=ClassesTab&amp;id=http%3A%2F%2Fwho.int%2Ficd%232028_c1eb5896_b43e_4531_bd82_f72e7a00cdd6","iCat")</x:f>
      </x:c>
      <x:c r="M416" s="0" t="s">
        <x:v>20</x:v>
      </x:c>
      <x:c r="N416" s="0" t="s">
        <x:v>206</x:v>
      </x:c>
    </x:row>
    <x:row r="417" spans="1:16">
      <x:c r="A417" s="0" t="s">
        <x:v>1601</x:v>
      </x:c>
      <x:c r="B417" s="0" t="s">
        <x:v>1602</x:v>
      </x:c>
      <x:c r="C417" s="0" t="s">
        <x:v>1603</x:v>
      </x:c>
      <x:c r="E417" s="0" t="s">
        <x:v>1604</x:v>
      </x:c>
      <x:c r="F417" s="0" t="s">
        <x:v>45</x:v>
      </x:c>
      <x:c r="G417" s="0" t="s">
        <x:v>19</x:v>
      </x:c>
      <x:c r="H417" s="0" t="s">
        <x:v>20</x:v>
      </x:c>
      <x:c r="I417" s="0" t="s">
        <x:v>21</x:v>
      </x:c>
      <x:c r="K417" s="0">
        <x:f>hyperlink("https://icd.who.int/dev11/l-ichi/en#/http%3A%2F%2Fid.who.int%2Ficd%2Fentity%2F852820765","browser")</x:f>
      </x:c>
      <x:c r="L417" s="0">
        <x:f>hyperlink("https://icat2.azurewebsites.net/icat/?ontology=ICD&amp;tab=ClassesTab&amp;id=http%3A%2F%2Fwho.int%2Ficd%232027_c1eb5896_b43e_4531_bd82_f72e7a00cdd6","iCat")</x:f>
      </x:c>
      <x:c r="M417" s="0" t="s">
        <x:v>21</x:v>
      </x:c>
      <x:c r="N417" s="0" t="s">
        <x:v>46</x:v>
      </x:c>
    </x:row>
    <x:row r="418" spans="1:16">
      <x:c r="A418" s="0" t="s">
        <x:v>1605</x:v>
      </x:c>
      <x:c r="B418" s="0" t="s">
        <x:v>1606</x:v>
      </x:c>
      <x:c r="C418" s="0" t="s">
        <x:v>1607</x:v>
      </x:c>
      <x:c r="E418" s="0" t="s">
        <x:v>1608</x:v>
      </x:c>
      <x:c r="F418" s="0" t="s">
        <x:v>45</x:v>
      </x:c>
      <x:c r="G418" s="0" t="s">
        <x:v>19</x:v>
      </x:c>
      <x:c r="H418" s="0" t="s">
        <x:v>20</x:v>
      </x:c>
      <x:c r="I418" s="0" t="s">
        <x:v>21</x:v>
      </x:c>
      <x:c r="K418" s="0">
        <x:f>hyperlink("https://icd.who.int/dev11/l-ichi/en#/http%3A%2F%2Fid.who.int%2Ficd%2Fentity%2F1477482058","browser")</x:f>
      </x:c>
      <x:c r="L418" s="0">
        <x:f>hyperlink("https://icat2.azurewebsites.net/icat/?ontology=ICD&amp;tab=ClassesTab&amp;id=http%3A%2F%2Fwho.int%2Ficd%232037_c1eb5896_b43e_4531_bd82_f72e7a00cdd6","iCat")</x:f>
      </x:c>
      <x:c r="M418" s="0" t="s">
        <x:v>21</x:v>
      </x:c>
      <x:c r="N418" s="0" t="s">
        <x:v>46</x:v>
      </x:c>
    </x:row>
    <x:row r="419" spans="1:16">
      <x:c r="A419" s="0" t="s">
        <x:v>1609</x:v>
      </x:c>
      <x:c r="B419" s="0" t="s">
        <x:v>1610</x:v>
      </x:c>
      <x:c r="C419" s="0" t="s">
        <x:v>1611</x:v>
      </x:c>
      <x:c r="E419" s="0" t="s">
        <x:v>1612</x:v>
      </x:c>
      <x:c r="F419" s="0" t="s">
        <x:v>45</x:v>
      </x:c>
      <x:c r="G419" s="0" t="s">
        <x:v>19</x:v>
      </x:c>
      <x:c r="H419" s="0" t="s">
        <x:v>20</x:v>
      </x:c>
      <x:c r="I419" s="0" t="s">
        <x:v>21</x:v>
      </x:c>
      <x:c r="K419" s="0">
        <x:f>hyperlink("https://icd.who.int/dev11/l-ichi/en#/http%3A%2F%2Fid.who.int%2Ficd%2Fentity%2F1572946212","browser")</x:f>
      </x:c>
      <x:c r="L419" s="0">
        <x:f>hyperlink("https://icat2.azurewebsites.net/icat/?ontology=ICD&amp;tab=ClassesTab&amp;id=http%3A%2F%2Fwho.int%2Ficd%232043_c1eb5896_b43e_4531_bd82_f72e7a00cdd6","iCat")</x:f>
      </x:c>
      <x:c r="M419" s="0" t="s">
        <x:v>21</x:v>
      </x:c>
      <x:c r="N419" s="0" t="s">
        <x:v>46</x:v>
      </x:c>
    </x:row>
    <x:row r="420" spans="1:16">
      <x:c r="A420" s="0" t="s">
        <x:v>1613</x:v>
      </x:c>
      <x:c r="B420" s="0" t="s">
        <x:v>1614</x:v>
      </x:c>
      <x:c r="C420" s="0" t="s">
        <x:v>1615</x:v>
      </x:c>
      <x:c r="E420" s="0" t="s">
        <x:v>1616</x:v>
      </x:c>
      <x:c r="F420" s="0" t="s">
        <x:v>45</x:v>
      </x:c>
      <x:c r="G420" s="0" t="s">
        <x:v>19</x:v>
      </x:c>
      <x:c r="H420" s="0" t="s">
        <x:v>20</x:v>
      </x:c>
      <x:c r="I420" s="0" t="s">
        <x:v>21</x:v>
      </x:c>
      <x:c r="K420" s="0">
        <x:f>hyperlink("https://icd.who.int/dev11/l-ichi/en#/http%3A%2F%2Fid.who.int%2Ficd%2Fentity%2F1757840722","browser")</x:f>
      </x:c>
      <x:c r="L420" s="0">
        <x:f>hyperlink("https://icat2.azurewebsites.net/icat/?ontology=ICD&amp;tab=ClassesTab&amp;id=http%3A%2F%2Fwho.int%2Ficd%232047_c1eb5896_b43e_4531_bd82_f72e7a00cdd6","iCat")</x:f>
      </x:c>
      <x:c r="M420" s="0" t="s">
        <x:v>21</x:v>
      </x:c>
      <x:c r="N420" s="0" t="s">
        <x:v>46</x:v>
      </x:c>
    </x:row>
    <x:row r="421" spans="1:16">
      <x:c r="A421" s="0" t="s">
        <x:v>1617</x:v>
      </x:c>
      <x:c r="B421" s="0" t="s">
        <x:v>1618</x:v>
      </x:c>
      <x:c r="C421" s="0" t="s">
        <x:v>1619</x:v>
      </x:c>
      <x:c r="E421" s="0" t="s">
        <x:v>1620</x:v>
      </x:c>
      <x:c r="F421" s="0" t="s">
        <x:v>45</x:v>
      </x:c>
      <x:c r="G421" s="0" t="s">
        <x:v>19</x:v>
      </x:c>
      <x:c r="H421" s="0" t="s">
        <x:v>20</x:v>
      </x:c>
      <x:c r="I421" s="0" t="s">
        <x:v>21</x:v>
      </x:c>
      <x:c r="K421" s="0">
        <x:f>hyperlink("https://icd.who.int/dev11/l-ichi/en#/http%3A%2F%2Fid.who.int%2Ficd%2Fentity%2F1383647670","browser")</x:f>
      </x:c>
      <x:c r="L421" s="0">
        <x:f>hyperlink("https://icat2.azurewebsites.net/icat/?ontology=ICD&amp;tab=ClassesTab&amp;id=http%3A%2F%2Fwho.int%2Ficd%232051_c1eb5896_b43e_4531_bd82_f72e7a00cdd6","iCat")</x:f>
      </x:c>
      <x:c r="M421" s="0" t="s">
        <x:v>21</x:v>
      </x:c>
      <x:c r="N421" s="0" t="s">
        <x:v>46</x:v>
      </x:c>
    </x:row>
    <x:row r="422" spans="1:16">
      <x:c r="A422" s="0" t="s">
        <x:v>1621</x:v>
      </x:c>
      <x:c r="B422" s="0" t="s">
        <x:v>1622</x:v>
      </x:c>
      <x:c r="C422" s="0" t="s">
        <x:v>1623</x:v>
      </x:c>
      <x:c r="E422" s="0" t="s">
        <x:v>1624</x:v>
      </x:c>
      <x:c r="F422" s="0" t="s">
        <x:v>45</x:v>
      </x:c>
      <x:c r="G422" s="0" t="s">
        <x:v>19</x:v>
      </x:c>
      <x:c r="H422" s="0" t="s">
        <x:v>20</x:v>
      </x:c>
      <x:c r="I422" s="0" t="s">
        <x:v>21</x:v>
      </x:c>
      <x:c r="K422" s="0">
        <x:f>hyperlink("https://icd.who.int/dev11/l-ichi/en#/http%3A%2F%2Fid.who.int%2Ficd%2Fentity%2F1736379844","browser")</x:f>
      </x:c>
      <x:c r="L422" s="0">
        <x:f>hyperlink("https://icat2.azurewebsites.net/icat/?ontology=ICD&amp;tab=ClassesTab&amp;id=http%3A%2F%2Fwho.int%2Ficd%232055_c1eb5896_b43e_4531_bd82_f72e7a00cdd6","iCat")</x:f>
      </x:c>
      <x:c r="M422" s="0" t="s">
        <x:v>21</x:v>
      </x:c>
      <x:c r="N422" s="0" t="s">
        <x:v>46</x:v>
      </x:c>
    </x:row>
    <x:row r="423" spans="1:16">
      <x:c r="A423" s="0" t="s">
        <x:v>1625</x:v>
      </x:c>
      <x:c r="B423" s="0" t="s">
        <x:v>1626</x:v>
      </x:c>
      <x:c r="E423" s="0" t="s">
        <x:v>1627</x:v>
      </x:c>
      <x:c r="F423" s="0" t="s">
        <x:v>26</x:v>
      </x:c>
      <x:c r="G423" s="0" t="s">
        <x:v>22</x:v>
      </x:c>
      <x:c r="H423" s="0" t="s">
        <x:v>20</x:v>
      </x:c>
      <x:c r="I423" s="0" t="s">
        <x:v>21</x:v>
      </x:c>
      <x:c r="K423" s="0">
        <x:f>hyperlink("https://icd.who.int/dev11/l-ichi/en#/http%3A%2F%2Fid.who.int%2Ficd%2Fentity%2F842070925","browser")</x:f>
      </x:c>
      <x:c r="L423" s="0">
        <x:f>hyperlink("https://icat2.azurewebsites.net/icat/?ontology=ICD&amp;tab=ClassesTab&amp;id=http%3A%2F%2Fwho.int%2Ficd%232060_c1eb5896_b43e_4531_bd82_f72e7a00cdd6","iCat")</x:f>
      </x:c>
      <x:c r="M423" s="0" t="s">
        <x:v>20</x:v>
      </x:c>
      <x:c r="N423" s="0" t="s">
        <x:v>206</x:v>
      </x:c>
    </x:row>
    <x:row r="424" spans="1:16">
      <x:c r="A424" s="0" t="s">
        <x:v>1628</x:v>
      </x:c>
      <x:c r="B424" s="0" t="s">
        <x:v>1629</x:v>
      </x:c>
      <x:c r="C424" s="0" t="s">
        <x:v>1630</x:v>
      </x:c>
      <x:c r="E424" s="0" t="s">
        <x:v>1631</x:v>
      </x:c>
      <x:c r="F424" s="0" t="s">
        <x:v>45</x:v>
      </x:c>
      <x:c r="G424" s="0" t="s">
        <x:v>19</x:v>
      </x:c>
      <x:c r="H424" s="0" t="s">
        <x:v>20</x:v>
      </x:c>
      <x:c r="I424" s="0" t="s">
        <x:v>21</x:v>
      </x:c>
      <x:c r="K424" s="0">
        <x:f>hyperlink("https://icd.who.int/dev11/l-ichi/en#/http%3A%2F%2Fid.who.int%2Ficd%2Fentity%2F486127843","browser")</x:f>
      </x:c>
      <x:c r="L424" s="0">
        <x:f>hyperlink("https://icat2.azurewebsites.net/icat/?ontology=ICD&amp;tab=ClassesTab&amp;id=http%3A%2F%2Fwho.int%2Ficd%232059_c1eb5896_b43e_4531_bd82_f72e7a00cdd6","iCat")</x:f>
      </x:c>
      <x:c r="M424" s="0" t="s">
        <x:v>21</x:v>
      </x:c>
      <x:c r="N424" s="0" t="s">
        <x:v>46</x:v>
      </x:c>
    </x:row>
    <x:row r="425" spans="1:16">
      <x:c r="A425" s="0" t="s">
        <x:v>1632</x:v>
      </x:c>
      <x:c r="B425" s="0" t="s">
        <x:v>1633</x:v>
      </x:c>
      <x:c r="C425" s="0" t="s">
        <x:v>1634</x:v>
      </x:c>
      <x:c r="E425" s="0" t="s">
        <x:v>1635</x:v>
      </x:c>
      <x:c r="F425" s="0" t="s">
        <x:v>45</x:v>
      </x:c>
      <x:c r="G425" s="0" t="s">
        <x:v>19</x:v>
      </x:c>
      <x:c r="H425" s="0" t="s">
        <x:v>20</x:v>
      </x:c>
      <x:c r="I425" s="0" t="s">
        <x:v>21</x:v>
      </x:c>
      <x:c r="K425" s="0">
        <x:f>hyperlink("https://icd.who.int/dev11/l-ichi/en#/http%3A%2F%2Fid.who.int%2Ficd%2Fentity%2F493879587","browser")</x:f>
      </x:c>
      <x:c r="L425" s="0">
        <x:f>hyperlink("https://icat2.azurewebsites.net/icat/?ontology=ICD&amp;tab=ClassesTab&amp;id=http%3A%2F%2Fwho.int%2Ficd%232073_c1eb5896_b43e_4531_bd82_f72e7a00cdd6","iCat")</x:f>
      </x:c>
      <x:c r="M425" s="0" t="s">
        <x:v>21</x:v>
      </x:c>
      <x:c r="N425" s="0" t="s">
        <x:v>46</x:v>
      </x:c>
    </x:row>
    <x:row r="426" spans="1:16">
      <x:c r="A426" s="0" t="s">
        <x:v>1636</x:v>
      </x:c>
      <x:c r="B426" s="0" t="s">
        <x:v>1637</x:v>
      </x:c>
      <x:c r="C426" s="0" t="s">
        <x:v>1638</x:v>
      </x:c>
      <x:c r="E426" s="0" t="s">
        <x:v>1639</x:v>
      </x:c>
      <x:c r="F426" s="0" t="s">
        <x:v>45</x:v>
      </x:c>
      <x:c r="G426" s="0" t="s">
        <x:v>19</x:v>
      </x:c>
      <x:c r="H426" s="0" t="s">
        <x:v>20</x:v>
      </x:c>
      <x:c r="I426" s="0" t="s">
        <x:v>21</x:v>
      </x:c>
      <x:c r="K426" s="0">
        <x:f>hyperlink("https://icd.who.int/dev11/l-ichi/en#/http%3A%2F%2Fid.who.int%2Ficd%2Fentity%2F678937943","browser")</x:f>
      </x:c>
      <x:c r="L426" s="0">
        <x:f>hyperlink("https://icat2.azurewebsites.net/icat/?ontology=ICD&amp;tab=ClassesTab&amp;id=http%3A%2F%2Fwho.int%2Ficd%232077_c1eb5896_b43e_4531_bd82_f72e7a00cdd6","iCat")</x:f>
      </x:c>
      <x:c r="M426" s="0" t="s">
        <x:v>21</x:v>
      </x:c>
      <x:c r="N426" s="0" t="s">
        <x:v>46</x:v>
      </x:c>
    </x:row>
    <x:row r="427" spans="1:16">
      <x:c r="A427" s="0" t="s">
        <x:v>1640</x:v>
      </x:c>
      <x:c r="B427" s="0" t="s">
        <x:v>1641</x:v>
      </x:c>
      <x:c r="C427" s="0" t="s">
        <x:v>1642</x:v>
      </x:c>
      <x:c r="E427" s="0" t="s">
        <x:v>1643</x:v>
      </x:c>
      <x:c r="F427" s="0" t="s">
        <x:v>45</x:v>
      </x:c>
      <x:c r="G427" s="0" t="s">
        <x:v>19</x:v>
      </x:c>
      <x:c r="H427" s="0" t="s">
        <x:v>20</x:v>
      </x:c>
      <x:c r="I427" s="0" t="s">
        <x:v>21</x:v>
      </x:c>
      <x:c r="K427" s="0">
        <x:f>hyperlink("https://icd.who.int/dev11/l-ichi/en#/http%3A%2F%2Fid.who.int%2Ficd%2Fentity%2F848776189","browser")</x:f>
      </x:c>
      <x:c r="L427" s="0">
        <x:f>hyperlink("https://icat2.azurewebsites.net/icat/?ontology=ICD&amp;tab=ClassesTab&amp;id=http%3A%2F%2Fwho.int%2Ficd%232083_c1eb5896_b43e_4531_bd82_f72e7a00cdd6","iCat")</x:f>
      </x:c>
      <x:c r="M427" s="0" t="s">
        <x:v>21</x:v>
      </x:c>
      <x:c r="N427" s="0" t="s">
        <x:v>46</x:v>
      </x:c>
    </x:row>
    <x:row r="428" spans="1:16">
      <x:c r="A428" s="0" t="s">
        <x:v>1644</x:v>
      </x:c>
      <x:c r="B428" s="0" t="s">
        <x:v>1645</x:v>
      </x:c>
      <x:c r="C428" s="0" t="s">
        <x:v>1646</x:v>
      </x:c>
      <x:c r="E428" s="0" t="s">
        <x:v>1647</x:v>
      </x:c>
      <x:c r="F428" s="0" t="s">
        <x:v>45</x:v>
      </x:c>
      <x:c r="G428" s="0" t="s">
        <x:v>19</x:v>
      </x:c>
      <x:c r="H428" s="0" t="s">
        <x:v>20</x:v>
      </x:c>
      <x:c r="I428" s="0" t="s">
        <x:v>21</x:v>
      </x:c>
      <x:c r="K428" s="0">
        <x:f>hyperlink("https://icd.who.int/dev11/l-ichi/en#/http%3A%2F%2Fid.who.int%2Ficd%2Fentity%2F126914441","browser")</x:f>
      </x:c>
      <x:c r="L428" s="0">
        <x:f>hyperlink("https://icat2.azurewebsites.net/icat/?ontology=ICD&amp;tab=ClassesTab&amp;id=http%3A%2F%2Fwho.int%2Ficd%232087_c1eb5896_b43e_4531_bd82_f72e7a00cdd6","iCat")</x:f>
      </x:c>
      <x:c r="M428" s="0" t="s">
        <x:v>21</x:v>
      </x:c>
      <x:c r="N428" s="0" t="s">
        <x:v>46</x:v>
      </x:c>
    </x:row>
    <x:row r="429" spans="1:16">
      <x:c r="A429" s="0" t="s">
        <x:v>1648</x:v>
      </x:c>
      <x:c r="B429" s="0" t="s">
        <x:v>1649</x:v>
      </x:c>
      <x:c r="C429" s="0" t="s">
        <x:v>1650</x:v>
      </x:c>
      <x:c r="E429" s="0" t="s">
        <x:v>1651</x:v>
      </x:c>
      <x:c r="F429" s="0" t="s">
        <x:v>45</x:v>
      </x:c>
      <x:c r="G429" s="0" t="s">
        <x:v>19</x:v>
      </x:c>
      <x:c r="H429" s="0" t="s">
        <x:v>20</x:v>
      </x:c>
      <x:c r="I429" s="0" t="s">
        <x:v>21</x:v>
      </x:c>
      <x:c r="K429" s="0">
        <x:f>hyperlink("https://icd.who.int/dev11/l-ichi/en#/http%3A%2F%2Fid.who.int%2Ficd%2Fentity%2F2024516758","browser")</x:f>
      </x:c>
      <x:c r="L429" s="0">
        <x:f>hyperlink("https://icat2.azurewebsites.net/icat/?ontology=ICD&amp;tab=ClassesTab&amp;id=http%3A%2F%2Fwho.int%2Ficd%232092_c1eb5896_b43e_4531_bd82_f72e7a00cdd6","iCat")</x:f>
      </x:c>
      <x:c r="M429" s="0" t="s">
        <x:v>21</x:v>
      </x:c>
      <x:c r="N429" s="0" t="s">
        <x:v>46</x:v>
      </x:c>
    </x:row>
    <x:row r="430" spans="1:16">
      <x:c r="A430" s="0" t="s">
        <x:v>1652</x:v>
      </x:c>
      <x:c r="B430" s="0" t="s">
        <x:v>1653</x:v>
      </x:c>
      <x:c r="E430" s="0" t="s">
        <x:v>1654</x:v>
      </x:c>
      <x:c r="F430" s="0" t="s">
        <x:v>26</x:v>
      </x:c>
      <x:c r="G430" s="0" t="s">
        <x:v>22</x:v>
      </x:c>
      <x:c r="H430" s="0" t="s">
        <x:v>20</x:v>
      </x:c>
      <x:c r="I430" s="0" t="s">
        <x:v>21</x:v>
      </x:c>
      <x:c r="K430" s="0">
        <x:f>hyperlink("https://icd.who.int/dev11/l-ichi/en#/http%3A%2F%2Fid.who.int%2Ficd%2Fentity%2F1834293982","browser")</x:f>
      </x:c>
      <x:c r="L430" s="0">
        <x:f>hyperlink("https://icat2.azurewebsites.net/icat/?ontology=ICD&amp;tab=ClassesTab&amp;id=http%3A%2F%2Fwho.int%2Ficd%232097_c1eb5896_b43e_4531_bd82_f72e7a00cdd6","iCat")</x:f>
      </x:c>
      <x:c r="M430" s="0" t="s">
        <x:v>20</x:v>
      </x:c>
      <x:c r="N430" s="0" t="s">
        <x:v>40</x:v>
      </x:c>
    </x:row>
    <x:row r="431" spans="1:16">
      <x:c r="A431" s="0" t="s">
        <x:v>1655</x:v>
      </x:c>
      <x:c r="B431" s="0" t="s">
        <x:v>1656</x:v>
      </x:c>
      <x:c r="C431" s="0" t="s">
        <x:v>1657</x:v>
      </x:c>
      <x:c r="E431" s="0" t="s">
        <x:v>1658</x:v>
      </x:c>
      <x:c r="F431" s="0" t="s">
        <x:v>45</x:v>
      </x:c>
      <x:c r="G431" s="0" t="s">
        <x:v>19</x:v>
      </x:c>
      <x:c r="H431" s="0" t="s">
        <x:v>20</x:v>
      </x:c>
      <x:c r="I431" s="0" t="s">
        <x:v>21</x:v>
      </x:c>
      <x:c r="K431" s="0">
        <x:f>hyperlink("https://icd.who.int/dev11/l-ichi/en#/http%3A%2F%2Fid.who.int%2Ficd%2Fentity%2F1303144676","browser")</x:f>
      </x:c>
      <x:c r="L431" s="0">
        <x:f>hyperlink("https://icat2.azurewebsites.net/icat/?ontology=ICD&amp;tab=ClassesTab&amp;id=http%3A%2F%2Fwho.int%2Ficd%232096_c1eb5896_b43e_4531_bd82_f72e7a00cdd6","iCat")</x:f>
      </x:c>
      <x:c r="M431" s="0" t="s">
        <x:v>21</x:v>
      </x:c>
      <x:c r="N431" s="0" t="s">
        <x:v>46</x:v>
      </x:c>
    </x:row>
    <x:row r="432" spans="1:16">
      <x:c r="A432" s="0" t="s">
        <x:v>1659</x:v>
      </x:c>
      <x:c r="B432" s="0" t="s">
        <x:v>1660</x:v>
      </x:c>
      <x:c r="C432" s="0" t="s">
        <x:v>1661</x:v>
      </x:c>
      <x:c r="E432" s="0" t="s">
        <x:v>1662</x:v>
      </x:c>
      <x:c r="F432" s="0" t="s">
        <x:v>45</x:v>
      </x:c>
      <x:c r="G432" s="0" t="s">
        <x:v>19</x:v>
      </x:c>
      <x:c r="H432" s="0" t="s">
        <x:v>20</x:v>
      </x:c>
      <x:c r="I432" s="0" t="s">
        <x:v>21</x:v>
      </x:c>
      <x:c r="K432" s="0">
        <x:f>hyperlink("https://icd.who.int/dev11/l-ichi/en#/http%3A%2F%2Fid.who.int%2Ficd%2Fentity%2F1653053508","browser")</x:f>
      </x:c>
      <x:c r="L432" s="0">
        <x:f>hyperlink("https://icat2.azurewebsites.net/icat/?ontology=ICD&amp;tab=ClassesTab&amp;id=http%3A%2F%2Fwho.int%2Ficd%232115_c1eb5896_b43e_4531_bd82_f72e7a00cdd6","iCat")</x:f>
      </x:c>
      <x:c r="M432" s="0" t="s">
        <x:v>21</x:v>
      </x:c>
      <x:c r="N432" s="0" t="s">
        <x:v>46</x:v>
      </x:c>
    </x:row>
    <x:row r="433" spans="1:16">
      <x:c r="A433" s="0" t="s">
        <x:v>1663</x:v>
      </x:c>
      <x:c r="B433" s="0" t="s">
        <x:v>1664</x:v>
      </x:c>
      <x:c r="C433" s="0" t="s">
        <x:v>1665</x:v>
      </x:c>
      <x:c r="E433" s="0" t="s">
        <x:v>1666</x:v>
      </x:c>
      <x:c r="F433" s="0" t="s">
        <x:v>45</x:v>
      </x:c>
      <x:c r="G433" s="0" t="s">
        <x:v>19</x:v>
      </x:c>
      <x:c r="H433" s="0" t="s">
        <x:v>20</x:v>
      </x:c>
      <x:c r="I433" s="0" t="s">
        <x:v>21</x:v>
      </x:c>
      <x:c r="K433" s="0">
        <x:f>hyperlink("https://icd.who.int/dev11/l-ichi/en#/http%3A%2F%2Fid.who.int%2Ficd%2Fentity%2F47164025","browser")</x:f>
      </x:c>
      <x:c r="L433" s="0">
        <x:f>hyperlink("https://icat2.azurewebsites.net/icat/?ontology=ICD&amp;tab=ClassesTab&amp;id=http%3A%2F%2Fwho.int%2Ficd%232124_c1eb5896_b43e_4531_bd82_f72e7a00cdd6","iCat")</x:f>
      </x:c>
      <x:c r="M433" s="0" t="s">
        <x:v>21</x:v>
      </x:c>
      <x:c r="N433" s="0" t="s">
        <x:v>46</x:v>
      </x:c>
    </x:row>
    <x:row r="434" spans="1:16">
      <x:c r="A434" s="0" t="s">
        <x:v>1667</x:v>
      </x:c>
      <x:c r="B434" s="0" t="s">
        <x:v>1668</x:v>
      </x:c>
      <x:c r="C434" s="0" t="s">
        <x:v>1669</x:v>
      </x:c>
      <x:c r="E434" s="0" t="s">
        <x:v>1670</x:v>
      </x:c>
      <x:c r="F434" s="0" t="s">
        <x:v>45</x:v>
      </x:c>
      <x:c r="G434" s="0" t="s">
        <x:v>19</x:v>
      </x:c>
      <x:c r="H434" s="0" t="s">
        <x:v>20</x:v>
      </x:c>
      <x:c r="I434" s="0" t="s">
        <x:v>21</x:v>
      </x:c>
      <x:c r="K434" s="0">
        <x:f>hyperlink("https://icd.who.int/dev11/l-ichi/en#/http%3A%2F%2Fid.who.int%2Ficd%2Fentity%2F2034835288","browser")</x:f>
      </x:c>
      <x:c r="L434" s="0">
        <x:f>hyperlink("https://icat2.azurewebsites.net/icat/?ontology=ICD&amp;tab=ClassesTab&amp;id=http%3A%2F%2Fwho.int%2Ficd%232128_c1eb5896_b43e_4531_bd82_f72e7a00cdd6","iCat")</x:f>
      </x:c>
      <x:c r="M434" s="0" t="s">
        <x:v>21</x:v>
      </x:c>
      <x:c r="N434" s="0" t="s">
        <x:v>46</x:v>
      </x:c>
    </x:row>
    <x:row r="435" spans="1:16">
      <x:c r="A435" s="0" t="s">
        <x:v>1671</x:v>
      </x:c>
      <x:c r="B435" s="0" t="s">
        <x:v>1672</x:v>
      </x:c>
      <x:c r="C435" s="0" t="s">
        <x:v>1673</x:v>
      </x:c>
      <x:c r="E435" s="0" t="s">
        <x:v>1674</x:v>
      </x:c>
      <x:c r="F435" s="0" t="s">
        <x:v>45</x:v>
      </x:c>
      <x:c r="G435" s="0" t="s">
        <x:v>19</x:v>
      </x:c>
      <x:c r="H435" s="0" t="s">
        <x:v>20</x:v>
      </x:c>
      <x:c r="I435" s="0" t="s">
        <x:v>21</x:v>
      </x:c>
      <x:c r="K435" s="0">
        <x:f>hyperlink("https://icd.who.int/dev11/l-ichi/en#/http%3A%2F%2Fid.who.int%2Ficd%2Fentity%2F411604131","browser")</x:f>
      </x:c>
      <x:c r="L435" s="0">
        <x:f>hyperlink("https://icat2.azurewebsites.net/icat/?ontology=ICD&amp;tab=ClassesTab&amp;id=http%3A%2F%2Fwho.int%2Ficd%232133_c1eb5896_b43e_4531_bd82_f72e7a00cdd6","iCat")</x:f>
      </x:c>
      <x:c r="M435" s="0" t="s">
        <x:v>21</x:v>
      </x:c>
      <x:c r="N435" s="0" t="s">
        <x:v>46</x:v>
      </x:c>
    </x:row>
    <x:row r="436" spans="1:16">
      <x:c r="A436" s="0" t="s">
        <x:v>1675</x:v>
      </x:c>
      <x:c r="B436" s="0" t="s">
        <x:v>1676</x:v>
      </x:c>
      <x:c r="E436" s="0" t="s">
        <x:v>1677</x:v>
      </x:c>
      <x:c r="F436" s="0" t="s">
        <x:v>26</x:v>
      </x:c>
      <x:c r="G436" s="0" t="s">
        <x:v>22</x:v>
      </x:c>
      <x:c r="H436" s="0" t="s">
        <x:v>20</x:v>
      </x:c>
      <x:c r="I436" s="0" t="s">
        <x:v>21</x:v>
      </x:c>
      <x:c r="K436" s="0">
        <x:f>hyperlink("https://icd.who.int/dev11/l-ichi/en#/http%3A%2F%2Fid.who.int%2Ficd%2Fentity%2F327977487","browser")</x:f>
      </x:c>
      <x:c r="L436" s="0">
        <x:f>hyperlink("https://icat2.azurewebsites.net/icat/?ontology=ICD&amp;tab=ClassesTab&amp;id=http%3A%2F%2Fwho.int%2Ficd%232138_c1eb5896_b43e_4531_bd82_f72e7a00cdd6","iCat")</x:f>
      </x:c>
      <x:c r="M436" s="0" t="s">
        <x:v>20</x:v>
      </x:c>
      <x:c r="N436" s="0" t="s">
        <x:v>19</x:v>
      </x:c>
    </x:row>
    <x:row r="437" spans="1:16">
      <x:c r="A437" s="0" t="s">
        <x:v>1678</x:v>
      </x:c>
      <x:c r="B437" s="0" t="s">
        <x:v>1679</x:v>
      </x:c>
      <x:c r="C437" s="0" t="s">
        <x:v>1680</x:v>
      </x:c>
      <x:c r="E437" s="0" t="s">
        <x:v>1681</x:v>
      </x:c>
      <x:c r="F437" s="0" t="s">
        <x:v>45</x:v>
      </x:c>
      <x:c r="G437" s="0" t="s">
        <x:v>19</x:v>
      </x:c>
      <x:c r="H437" s="0" t="s">
        <x:v>20</x:v>
      </x:c>
      <x:c r="I437" s="0" t="s">
        <x:v>21</x:v>
      </x:c>
      <x:c r="K437" s="0">
        <x:f>hyperlink("https://icd.who.int/dev11/l-ichi/en#/http%3A%2F%2Fid.who.int%2Ficd%2Fentity%2F764367063","browser")</x:f>
      </x:c>
      <x:c r="L437" s="0">
        <x:f>hyperlink("https://icat2.azurewebsites.net/icat/?ontology=ICD&amp;tab=ClassesTab&amp;id=http%3A%2F%2Fwho.int%2Ficd%232137_c1eb5896_b43e_4531_bd82_f72e7a00cdd6","iCat")</x:f>
      </x:c>
      <x:c r="M437" s="0" t="s">
        <x:v>21</x:v>
      </x:c>
      <x:c r="N437" s="0" t="s">
        <x:v>46</x:v>
      </x:c>
    </x:row>
    <x:row r="438" spans="1:16">
      <x:c r="A438" s="0" t="s">
        <x:v>1682</x:v>
      </x:c>
      <x:c r="B438" s="0" t="s">
        <x:v>1683</x:v>
      </x:c>
      <x:c r="E438" s="0" t="s">
        <x:v>1684</x:v>
      </x:c>
      <x:c r="F438" s="0" t="s">
        <x:v>26</x:v>
      </x:c>
      <x:c r="G438" s="0" t="s">
        <x:v>22</x:v>
      </x:c>
      <x:c r="H438" s="0" t="s">
        <x:v>20</x:v>
      </x:c>
      <x:c r="I438" s="0" t="s">
        <x:v>21</x:v>
      </x:c>
      <x:c r="K438" s="0">
        <x:f>hyperlink("https://icd.who.int/dev11/l-ichi/en#/http%3A%2F%2Fid.who.int%2Ficd%2Fentity%2F1650614484","browser")</x:f>
      </x:c>
      <x:c r="L438" s="0">
        <x:f>hyperlink("https://icat2.azurewebsites.net/icat/?ontology=ICD&amp;tab=ClassesTab&amp;id=http%3A%2F%2Fwho.int%2Ficd%232152_c1eb5896_b43e_4531_bd82_f72e7a00cdd6","iCat")</x:f>
      </x:c>
      <x:c r="M438" s="0" t="s">
        <x:v>20</x:v>
      </x:c>
      <x:c r="N438" s="0" t="s">
        <x:v>40</x:v>
      </x:c>
    </x:row>
    <x:row r="439" spans="1:16">
      <x:c r="A439" s="0" t="s">
        <x:v>1685</x:v>
      </x:c>
      <x:c r="B439" s="0" t="s">
        <x:v>1686</x:v>
      </x:c>
      <x:c r="C439" s="0" t="s">
        <x:v>1687</x:v>
      </x:c>
      <x:c r="E439" s="0" t="s">
        <x:v>1688</x:v>
      </x:c>
      <x:c r="F439" s="0" t="s">
        <x:v>45</x:v>
      </x:c>
      <x:c r="G439" s="0" t="s">
        <x:v>19</x:v>
      </x:c>
      <x:c r="H439" s="0" t="s">
        <x:v>20</x:v>
      </x:c>
      <x:c r="I439" s="0" t="s">
        <x:v>21</x:v>
      </x:c>
      <x:c r="K439" s="0">
        <x:f>hyperlink("https://icd.who.int/dev11/l-ichi/en#/http%3A%2F%2Fid.who.int%2Ficd%2Fentity%2F669454123","browser")</x:f>
      </x:c>
      <x:c r="L439" s="0">
        <x:f>hyperlink("https://icat2.azurewebsites.net/icat/?ontology=ICD&amp;tab=ClassesTab&amp;id=http%3A%2F%2Fwho.int%2Ficd%232151_c1eb5896_b43e_4531_bd82_f72e7a00cdd6","iCat")</x:f>
      </x:c>
      <x:c r="M439" s="0" t="s">
        <x:v>21</x:v>
      </x:c>
      <x:c r="N439" s="0" t="s">
        <x:v>46</x:v>
      </x:c>
    </x:row>
    <x:row r="440" spans="1:16">
      <x:c r="A440" s="0" t="s">
        <x:v>1689</x:v>
      </x:c>
      <x:c r="B440" s="0" t="s">
        <x:v>1690</x:v>
      </x:c>
      <x:c r="C440" s="0" t="s">
        <x:v>1691</x:v>
      </x:c>
      <x:c r="E440" s="0" t="s">
        <x:v>1692</x:v>
      </x:c>
      <x:c r="F440" s="0" t="s">
        <x:v>45</x:v>
      </x:c>
      <x:c r="G440" s="0" t="s">
        <x:v>19</x:v>
      </x:c>
      <x:c r="H440" s="0" t="s">
        <x:v>20</x:v>
      </x:c>
      <x:c r="I440" s="0" t="s">
        <x:v>21</x:v>
      </x:c>
      <x:c r="K440" s="0">
        <x:f>hyperlink("https://icd.who.int/dev11/l-ichi/en#/http%3A%2F%2Fid.who.int%2Ficd%2Fentity%2F1733709614","browser")</x:f>
      </x:c>
      <x:c r="L440" s="0">
        <x:f>hyperlink("https://icat2.azurewebsites.net/icat/?ontology=ICD&amp;tab=ClassesTab&amp;id=http%3A%2F%2Fwho.int%2Ficd%232161_c1eb5896_b43e_4531_bd82_f72e7a00cdd6","iCat")</x:f>
      </x:c>
      <x:c r="M440" s="0" t="s">
        <x:v>21</x:v>
      </x:c>
      <x:c r="N440" s="0" t="s">
        <x:v>46</x:v>
      </x:c>
    </x:row>
    <x:row r="441" spans="1:16">
      <x:c r="A441" s="0" t="s">
        <x:v>1693</x:v>
      </x:c>
      <x:c r="B441" s="0" t="s">
        <x:v>1694</x:v>
      </x:c>
      <x:c r="C441" s="0" t="s">
        <x:v>1695</x:v>
      </x:c>
      <x:c r="E441" s="0" t="s">
        <x:v>1696</x:v>
      </x:c>
      <x:c r="F441" s="0" t="s">
        <x:v>45</x:v>
      </x:c>
      <x:c r="G441" s="0" t="s">
        <x:v>19</x:v>
      </x:c>
      <x:c r="H441" s="0" t="s">
        <x:v>20</x:v>
      </x:c>
      <x:c r="I441" s="0" t="s">
        <x:v>21</x:v>
      </x:c>
      <x:c r="K441" s="0">
        <x:f>hyperlink("https://icd.who.int/dev11/l-ichi/en#/http%3A%2F%2Fid.who.int%2Ficd%2Fentity%2F1381075800","browser")</x:f>
      </x:c>
      <x:c r="L441" s="0">
        <x:f>hyperlink("https://icat2.azurewebsites.net/icat/?ontology=ICD&amp;tab=ClassesTab&amp;id=http%3A%2F%2Fwho.int%2Ficd%232165_c1eb5896_b43e_4531_bd82_f72e7a00cdd6","iCat")</x:f>
      </x:c>
      <x:c r="M441" s="0" t="s">
        <x:v>21</x:v>
      </x:c>
      <x:c r="N441" s="0" t="s">
        <x:v>46</x:v>
      </x:c>
    </x:row>
    <x:row r="442" spans="1:16">
      <x:c r="A442" s="0" t="s">
        <x:v>1697</x:v>
      </x:c>
      <x:c r="B442" s="0" t="s">
        <x:v>1698</x:v>
      </x:c>
      <x:c r="C442" s="0" t="s">
        <x:v>1699</x:v>
      </x:c>
      <x:c r="E442" s="0" t="s">
        <x:v>1700</x:v>
      </x:c>
      <x:c r="F442" s="0" t="s">
        <x:v>45</x:v>
      </x:c>
      <x:c r="G442" s="0" t="s">
        <x:v>19</x:v>
      </x:c>
      <x:c r="H442" s="0" t="s">
        <x:v>20</x:v>
      </x:c>
      <x:c r="I442" s="0" t="s">
        <x:v>21</x:v>
      </x:c>
      <x:c r="K442" s="0">
        <x:f>hyperlink("https://icd.who.int/dev11/l-ichi/en#/http%3A%2F%2Fid.who.int%2Ficd%2Fentity%2F701972089","browser")</x:f>
      </x:c>
      <x:c r="L442" s="0">
        <x:f>hyperlink("https://icat2.azurewebsites.net/icat/?ontology=ICD&amp;tab=ClassesTab&amp;id=http%3A%2F%2Fwho.int%2Ficd%232169_c1eb5896_b43e_4531_bd82_f72e7a00cdd6","iCat")</x:f>
      </x:c>
      <x:c r="M442" s="0" t="s">
        <x:v>21</x:v>
      </x:c>
      <x:c r="N442" s="0" t="s">
        <x:v>46</x:v>
      </x:c>
    </x:row>
    <x:row r="443" spans="1:16">
      <x:c r="A443" s="0" t="s">
        <x:v>1701</x:v>
      </x:c>
      <x:c r="B443" s="0" t="s">
        <x:v>1702</x:v>
      </x:c>
      <x:c r="C443" s="0" t="s">
        <x:v>1703</x:v>
      </x:c>
      <x:c r="E443" s="0" t="s">
        <x:v>1704</x:v>
      </x:c>
      <x:c r="F443" s="0" t="s">
        <x:v>45</x:v>
      </x:c>
      <x:c r="G443" s="0" t="s">
        <x:v>19</x:v>
      </x:c>
      <x:c r="H443" s="0" t="s">
        <x:v>20</x:v>
      </x:c>
      <x:c r="I443" s="0" t="s">
        <x:v>21</x:v>
      </x:c>
      <x:c r="K443" s="0">
        <x:f>hyperlink("https://icd.who.int/dev11/l-ichi/en#/http%3A%2F%2Fid.who.int%2Ficd%2Fentity%2F409824307","browser")</x:f>
      </x:c>
      <x:c r="L443" s="0">
        <x:f>hyperlink("https://icat2.azurewebsites.net/icat/?ontology=ICD&amp;tab=ClassesTab&amp;id=http%3A%2F%2Fwho.int%2Ficd%232174_c1eb5896_b43e_4531_bd82_f72e7a00cdd6","iCat")</x:f>
      </x:c>
      <x:c r="M443" s="0" t="s">
        <x:v>21</x:v>
      </x:c>
      <x:c r="N443" s="0" t="s">
        <x:v>46</x:v>
      </x:c>
    </x:row>
    <x:row r="444" spans="1:16">
      <x:c r="A444" s="0" t="s">
        <x:v>1705</x:v>
      </x:c>
      <x:c r="B444" s="0" t="s">
        <x:v>1706</x:v>
      </x:c>
      <x:c r="E444" s="0" t="s">
        <x:v>1707</x:v>
      </x:c>
      <x:c r="F444" s="0" t="s">
        <x:v>26</x:v>
      </x:c>
      <x:c r="G444" s="0" t="s">
        <x:v>22</x:v>
      </x:c>
      <x:c r="H444" s="0" t="s">
        <x:v>20</x:v>
      </x:c>
      <x:c r="I444" s="0" t="s">
        <x:v>21</x:v>
      </x:c>
      <x:c r="K444" s="0">
        <x:f>hyperlink("https://icd.who.int/dev11/l-ichi/en#/http%3A%2F%2Fid.who.int%2Ficd%2Fentity%2F1125296944","browser")</x:f>
      </x:c>
      <x:c r="L444" s="0">
        <x:f>hyperlink("https://icat2.azurewebsites.net/icat/?ontology=ICD&amp;tab=ClassesTab&amp;id=http%3A%2F%2Fwho.int%2Ficd%232179_c1eb5896_b43e_4531_bd82_f72e7a00cdd6","iCat")</x:f>
      </x:c>
      <x:c r="M444" s="0" t="s">
        <x:v>20</x:v>
      </x:c>
      <x:c r="N444" s="0" t="s">
        <x:v>22</x:v>
      </x:c>
    </x:row>
    <x:row r="445" spans="1:16">
      <x:c r="A445" s="0" t="s">
        <x:v>1708</x:v>
      </x:c>
      <x:c r="B445" s="0" t="s">
        <x:v>1709</x:v>
      </x:c>
      <x:c r="C445" s="0" t="s">
        <x:v>1710</x:v>
      </x:c>
      <x:c r="E445" s="0" t="s">
        <x:v>1711</x:v>
      </x:c>
      <x:c r="F445" s="0" t="s">
        <x:v>45</x:v>
      </x:c>
      <x:c r="G445" s="0" t="s">
        <x:v>19</x:v>
      </x:c>
      <x:c r="H445" s="0" t="s">
        <x:v>20</x:v>
      </x:c>
      <x:c r="I445" s="0" t="s">
        <x:v>21</x:v>
      </x:c>
      <x:c r="K445" s="0">
        <x:f>hyperlink("https://icd.who.int/dev11/l-ichi/en#/http%3A%2F%2Fid.who.int%2Ficd%2Fentity%2F1275892684","browser")</x:f>
      </x:c>
      <x:c r="L445" s="0">
        <x:f>hyperlink("https://icat2.azurewebsites.net/icat/?ontology=ICD&amp;tab=ClassesTab&amp;id=http%3A%2F%2Fwho.int%2Ficd%232188_c1eb5896_b43e_4531_bd82_f72e7a00cdd6","iCat")</x:f>
      </x:c>
      <x:c r="M445" s="0" t="s">
        <x:v>21</x:v>
      </x:c>
      <x:c r="N445" s="0" t="s">
        <x:v>46</x:v>
      </x:c>
    </x:row>
    <x:row r="446" spans="1:16">
      <x:c r="A446" s="0" t="s">
        <x:v>1712</x:v>
      </x:c>
      <x:c r="B446" s="0" t="s">
        <x:v>1713</x:v>
      </x:c>
      <x:c r="C446" s="0" t="s">
        <x:v>1714</x:v>
      </x:c>
      <x:c r="E446" s="0" t="s">
        <x:v>1715</x:v>
      </x:c>
      <x:c r="F446" s="0" t="s">
        <x:v>45</x:v>
      </x:c>
      <x:c r="G446" s="0" t="s">
        <x:v>19</x:v>
      </x:c>
      <x:c r="H446" s="0" t="s">
        <x:v>20</x:v>
      </x:c>
      <x:c r="I446" s="0" t="s">
        <x:v>21</x:v>
      </x:c>
      <x:c r="K446" s="0">
        <x:f>hyperlink("https://icd.who.int/dev11/l-ichi/en#/http%3A%2F%2Fid.who.int%2Ficd%2Fentity%2F221538827","browser")</x:f>
      </x:c>
      <x:c r="L446" s="0">
        <x:f>hyperlink("https://icat2.azurewebsites.net/icat/?ontology=ICD&amp;tab=ClassesTab&amp;id=http%3A%2F%2Fwho.int%2Ficd%232192_c1eb5896_b43e_4531_bd82_f72e7a00cdd6","iCat")</x:f>
      </x:c>
      <x:c r="M446" s="0" t="s">
        <x:v>21</x:v>
      </x:c>
      <x:c r="N446" s="0" t="s">
        <x:v>46</x:v>
      </x:c>
    </x:row>
    <x:row r="447" spans="1:16">
      <x:c r="A447" s="0" t="s">
        <x:v>1716</x:v>
      </x:c>
      <x:c r="B447" s="0" t="s">
        <x:v>1717</x:v>
      </x:c>
      <x:c r="C447" s="0" t="s">
        <x:v>1718</x:v>
      </x:c>
      <x:c r="E447" s="0" t="s">
        <x:v>1719</x:v>
      </x:c>
      <x:c r="F447" s="0" t="s">
        <x:v>45</x:v>
      </x:c>
      <x:c r="G447" s="0" t="s">
        <x:v>19</x:v>
      </x:c>
      <x:c r="H447" s="0" t="s">
        <x:v>20</x:v>
      </x:c>
      <x:c r="I447" s="0" t="s">
        <x:v>21</x:v>
      </x:c>
      <x:c r="K447" s="0">
        <x:f>hyperlink("https://icd.who.int/dev11/l-ichi/en#/http%3A%2F%2Fid.who.int%2Ficd%2Fentity%2F942911103","browser")</x:f>
      </x:c>
      <x:c r="L447" s="0">
        <x:f>hyperlink("https://icat2.azurewebsites.net/icat/?ontology=ICD&amp;tab=ClassesTab&amp;id=http%3A%2F%2Fwho.int%2Ficd%232196_c1eb5896_b43e_4531_bd82_f72e7a00cdd6","iCat")</x:f>
      </x:c>
      <x:c r="M447" s="0" t="s">
        <x:v>21</x:v>
      </x:c>
      <x:c r="N447" s="0" t="s">
        <x:v>46</x:v>
      </x:c>
    </x:row>
    <x:row r="448" spans="1:16">
      <x:c r="A448" s="0" t="s">
        <x:v>1720</x:v>
      </x:c>
      <x:c r="B448" s="0" t="s">
        <x:v>1721</x:v>
      </x:c>
      <x:c r="C448" s="0" t="s">
        <x:v>1722</x:v>
      </x:c>
      <x:c r="E448" s="0" t="s">
        <x:v>1723</x:v>
      </x:c>
      <x:c r="F448" s="0" t="s">
        <x:v>45</x:v>
      </x:c>
      <x:c r="G448" s="0" t="s">
        <x:v>19</x:v>
      </x:c>
      <x:c r="H448" s="0" t="s">
        <x:v>20</x:v>
      </x:c>
      <x:c r="I448" s="0" t="s">
        <x:v>21</x:v>
      </x:c>
      <x:c r="K448" s="0">
        <x:f>hyperlink("https://icd.who.int/dev11/l-ichi/en#/http%3A%2F%2Fid.who.int%2Ficd%2Fentity%2F2095255300","browser")</x:f>
      </x:c>
      <x:c r="L448" s="0">
        <x:f>hyperlink("https://icat2.azurewebsites.net/icat/?ontology=ICD&amp;tab=ClassesTab&amp;id=http%3A%2F%2Fwho.int%2Ficd%232200_c1eb5896_b43e_4531_bd82_f72e7a00cdd6","iCat")</x:f>
      </x:c>
      <x:c r="M448" s="0" t="s">
        <x:v>21</x:v>
      </x:c>
      <x:c r="N448" s="0" t="s">
        <x:v>46</x:v>
      </x:c>
    </x:row>
    <x:row r="449" spans="1:16">
      <x:c r="A449" s="0" t="s">
        <x:v>1724</x:v>
      </x:c>
      <x:c r="B449" s="0" t="s">
        <x:v>1725</x:v>
      </x:c>
      <x:c r="E449" s="0" t="s">
        <x:v>1726</x:v>
      </x:c>
      <x:c r="F449" s="0" t="s">
        <x:v>26</x:v>
      </x:c>
      <x:c r="G449" s="0" t="s">
        <x:v>22</x:v>
      </x:c>
      <x:c r="H449" s="0" t="s">
        <x:v>20</x:v>
      </x:c>
      <x:c r="I449" s="0" t="s">
        <x:v>21</x:v>
      </x:c>
      <x:c r="K449" s="0">
        <x:f>hyperlink("https://icd.who.int/dev11/l-ichi/en#/http%3A%2F%2Fid.who.int%2Ficd%2Fentity%2F1763555660","browser")</x:f>
      </x:c>
      <x:c r="L449" s="0">
        <x:f>hyperlink("https://icat2.azurewebsites.net/icat/?ontology=ICD&amp;tab=ClassesTab&amp;id=http%3A%2F%2Fwho.int%2Ficd%232205_c1eb5896_b43e_4531_bd82_f72e7a00cdd6","iCat")</x:f>
      </x:c>
      <x:c r="M449" s="0" t="s">
        <x:v>20</x:v>
      </x:c>
      <x:c r="N449" s="0" t="s">
        <x:v>22</x:v>
      </x:c>
    </x:row>
    <x:row r="450" spans="1:16">
      <x:c r="A450" s="0" t="s">
        <x:v>1727</x:v>
      </x:c>
      <x:c r="B450" s="0" t="s">
        <x:v>1728</x:v>
      </x:c>
      <x:c r="C450" s="0" t="s">
        <x:v>1729</x:v>
      </x:c>
      <x:c r="E450" s="0" t="s">
        <x:v>1730</x:v>
      </x:c>
      <x:c r="F450" s="0" t="s">
        <x:v>45</x:v>
      </x:c>
      <x:c r="G450" s="0" t="s">
        <x:v>19</x:v>
      </x:c>
      <x:c r="H450" s="0" t="s">
        <x:v>20</x:v>
      </x:c>
      <x:c r="I450" s="0" t="s">
        <x:v>21</x:v>
      </x:c>
      <x:c r="K450" s="0">
        <x:f>hyperlink("https://icd.who.int/dev11/l-ichi/en#/http%3A%2F%2Fid.who.int%2Ficd%2Fentity%2F1239731058","browser")</x:f>
      </x:c>
      <x:c r="L450" s="0">
        <x:f>hyperlink("https://icat2.azurewebsites.net/icat/?ontology=ICD&amp;tab=ClassesTab&amp;id=http%3A%2F%2Fwho.int%2Ficd%232204_c1eb5896_b43e_4531_bd82_f72e7a00cdd6","iCat")</x:f>
      </x:c>
      <x:c r="M450" s="0" t="s">
        <x:v>21</x:v>
      </x:c>
      <x:c r="N450" s="0" t="s">
        <x:v>46</x:v>
      </x:c>
    </x:row>
    <x:row r="451" spans="1:16">
      <x:c r="A451" s="0" t="s">
        <x:v>1731</x:v>
      </x:c>
      <x:c r="B451" s="0" t="s">
        <x:v>1732</x:v>
      </x:c>
      <x:c r="C451" s="0" t="s">
        <x:v>1733</x:v>
      </x:c>
      <x:c r="E451" s="0" t="s">
        <x:v>1734</x:v>
      </x:c>
      <x:c r="F451" s="0" t="s">
        <x:v>45</x:v>
      </x:c>
      <x:c r="G451" s="0" t="s">
        <x:v>19</x:v>
      </x:c>
      <x:c r="H451" s="0" t="s">
        <x:v>20</x:v>
      </x:c>
      <x:c r="I451" s="0" t="s">
        <x:v>21</x:v>
      </x:c>
      <x:c r="K451" s="0">
        <x:f>hyperlink("https://icd.who.int/dev11/l-ichi/en#/http%3A%2F%2Fid.who.int%2Ficd%2Fentity%2F589389351","browser")</x:f>
      </x:c>
      <x:c r="L451" s="0">
        <x:f>hyperlink("https://icat2.azurewebsites.net/icat/?ontology=ICD&amp;tab=ClassesTab&amp;id=http%3A%2F%2Fwho.int%2Ficd%232214_c1eb5896_b43e_4531_bd82_f72e7a00cdd6","iCat")</x:f>
      </x:c>
      <x:c r="M451" s="0" t="s">
        <x:v>21</x:v>
      </x:c>
      <x:c r="N451" s="0" t="s">
        <x:v>46</x:v>
      </x:c>
    </x:row>
    <x:row r="452" spans="1:16">
      <x:c r="A452" s="0" t="s">
        <x:v>1735</x:v>
      </x:c>
      <x:c r="B452" s="0" t="s">
        <x:v>1736</x:v>
      </x:c>
      <x:c r="C452" s="0" t="s">
        <x:v>1737</x:v>
      </x:c>
      <x:c r="E452" s="0" t="s">
        <x:v>1738</x:v>
      </x:c>
      <x:c r="F452" s="0" t="s">
        <x:v>45</x:v>
      </x:c>
      <x:c r="G452" s="0" t="s">
        <x:v>19</x:v>
      </x:c>
      <x:c r="H452" s="0" t="s">
        <x:v>20</x:v>
      </x:c>
      <x:c r="I452" s="0" t="s">
        <x:v>21</x:v>
      </x:c>
      <x:c r="K452" s="0">
        <x:f>hyperlink("https://icd.who.int/dev11/l-ichi/en#/http%3A%2F%2Fid.who.int%2Ficd%2Fentity%2F1487399686","browser")</x:f>
      </x:c>
      <x:c r="L452" s="0">
        <x:f>hyperlink("https://icat2.azurewebsites.net/icat/?ontology=ICD&amp;tab=ClassesTab&amp;id=http%3A%2F%2Fwho.int%2Ficd%232218_c1eb5896_b43e_4531_bd82_f72e7a00cdd6","iCat")</x:f>
      </x:c>
      <x:c r="M452" s="0" t="s">
        <x:v>21</x:v>
      </x:c>
      <x:c r="N452" s="0" t="s">
        <x:v>46</x:v>
      </x:c>
    </x:row>
    <x:row r="453" spans="1:16">
      <x:c r="A453" s="0" t="s">
        <x:v>1739</x:v>
      </x:c>
      <x:c r="B453" s="0" t="s">
        <x:v>1740</x:v>
      </x:c>
      <x:c r="C453" s="0" t="s">
        <x:v>1741</x:v>
      </x:c>
      <x:c r="E453" s="0" t="s">
        <x:v>1742</x:v>
      </x:c>
      <x:c r="F453" s="0" t="s">
        <x:v>45</x:v>
      </x:c>
      <x:c r="G453" s="0" t="s">
        <x:v>19</x:v>
      </x:c>
      <x:c r="H453" s="0" t="s">
        <x:v>20</x:v>
      </x:c>
      <x:c r="I453" s="0" t="s">
        <x:v>21</x:v>
      </x:c>
      <x:c r="K453" s="0">
        <x:f>hyperlink("https://icd.who.int/dev11/l-ichi/en#/http%3A%2F%2Fid.who.int%2Ficd%2Fentity%2F871090065","browser")</x:f>
      </x:c>
      <x:c r="L453" s="0">
        <x:f>hyperlink("https://icat2.azurewebsites.net/icat/?ontology=ICD&amp;tab=ClassesTab&amp;id=http%3A%2F%2Fwho.int%2Ficd%232222_c1eb5896_b43e_4531_bd82_f72e7a00cdd6","iCat")</x:f>
      </x:c>
      <x:c r="M453" s="0" t="s">
        <x:v>21</x:v>
      </x:c>
      <x:c r="N453" s="0" t="s">
        <x:v>46</x:v>
      </x:c>
    </x:row>
    <x:row r="454" spans="1:16">
      <x:c r="A454" s="0" t="s">
        <x:v>1743</x:v>
      </x:c>
      <x:c r="B454" s="0" t="s">
        <x:v>1744</x:v>
      </x:c>
      <x:c r="E454" s="0" t="s">
        <x:v>1745</x:v>
      </x:c>
      <x:c r="F454" s="0" t="s">
        <x:v>26</x:v>
      </x:c>
      <x:c r="G454" s="0" t="s">
        <x:v>22</x:v>
      </x:c>
      <x:c r="H454" s="0" t="s">
        <x:v>20</x:v>
      </x:c>
      <x:c r="I454" s="0" t="s">
        <x:v>21</x:v>
      </x:c>
      <x:c r="K454" s="0">
        <x:f>hyperlink("https://icd.who.int/dev11/l-ichi/en#/http%3A%2F%2Fid.who.int%2Ficd%2Fentity%2F638939609","browser")</x:f>
      </x:c>
      <x:c r="L454" s="0">
        <x:f>hyperlink("https://icat2.azurewebsites.net/icat/?ontology=ICD&amp;tab=ClassesTab&amp;id=http%3A%2F%2Fwho.int%2Ficd%232227_c1eb5896_b43e_4531_bd82_f72e7a00cdd6","iCat")</x:f>
      </x:c>
      <x:c r="M454" s="0" t="s">
        <x:v>20</x:v>
      </x:c>
      <x:c r="N454" s="0" t="s">
        <x:v>119</x:v>
      </x:c>
    </x:row>
    <x:row r="455" spans="1:16">
      <x:c r="A455" s="0" t="s">
        <x:v>1746</x:v>
      </x:c>
      <x:c r="B455" s="0" t="s">
        <x:v>1747</x:v>
      </x:c>
      <x:c r="C455" s="0" t="s">
        <x:v>1748</x:v>
      </x:c>
      <x:c r="E455" s="0" t="s">
        <x:v>1749</x:v>
      </x:c>
      <x:c r="F455" s="0" t="s">
        <x:v>45</x:v>
      </x:c>
      <x:c r="G455" s="0" t="s">
        <x:v>19</x:v>
      </x:c>
      <x:c r="H455" s="0" t="s">
        <x:v>20</x:v>
      </x:c>
      <x:c r="I455" s="0" t="s">
        <x:v>21</x:v>
      </x:c>
      <x:c r="K455" s="0">
        <x:f>hyperlink("https://icd.who.int/dev11/l-ichi/en#/http%3A%2F%2Fid.who.int%2Ficd%2Fentity%2F116130789","browser")</x:f>
      </x:c>
      <x:c r="L455" s="0">
        <x:f>hyperlink("https://icat2.azurewebsites.net/icat/?ontology=ICD&amp;tab=ClassesTab&amp;id=http%3A%2F%2Fwho.int%2Ficd%232226_c1eb5896_b43e_4531_bd82_f72e7a00cdd6","iCat")</x:f>
      </x:c>
      <x:c r="M455" s="0" t="s">
        <x:v>21</x:v>
      </x:c>
      <x:c r="N455" s="0" t="s">
        <x:v>46</x:v>
      </x:c>
    </x:row>
    <x:row r="456" spans="1:16">
      <x:c r="A456" s="0" t="s">
        <x:v>1750</x:v>
      </x:c>
      <x:c r="B456" s="0" t="s">
        <x:v>1751</x:v>
      </x:c>
      <x:c r="C456" s="0" t="s">
        <x:v>1752</x:v>
      </x:c>
      <x:c r="E456" s="0" t="s">
        <x:v>1753</x:v>
      </x:c>
      <x:c r="F456" s="0" t="s">
        <x:v>45</x:v>
      </x:c>
      <x:c r="G456" s="0" t="s">
        <x:v>19</x:v>
      </x:c>
      <x:c r="H456" s="0" t="s">
        <x:v>20</x:v>
      </x:c>
      <x:c r="I456" s="0" t="s">
        <x:v>21</x:v>
      </x:c>
      <x:c r="K456" s="0">
        <x:f>hyperlink("https://icd.who.int/dev11/l-ichi/en#/http%3A%2F%2Fid.who.int%2Ficd%2Fentity%2F1814664882","browser")</x:f>
      </x:c>
      <x:c r="L456" s="0">
        <x:f>hyperlink("https://icat2.azurewebsites.net/icat/?ontology=ICD&amp;tab=ClassesTab&amp;id=http%3A%2F%2Fwho.int%2Ficd%232236_c1eb5896_b43e_4531_bd82_f72e7a00cdd6","iCat")</x:f>
      </x:c>
      <x:c r="M456" s="0" t="s">
        <x:v>21</x:v>
      </x:c>
      <x:c r="N456" s="0" t="s">
        <x:v>46</x:v>
      </x:c>
    </x:row>
    <x:row r="457" spans="1:16">
      <x:c r="A457" s="0" t="s">
        <x:v>1754</x:v>
      </x:c>
      <x:c r="B457" s="0" t="s">
        <x:v>1755</x:v>
      </x:c>
      <x:c r="C457" s="0" t="s">
        <x:v>1756</x:v>
      </x:c>
      <x:c r="E457" s="0" t="s">
        <x:v>1757</x:v>
      </x:c>
      <x:c r="F457" s="0" t="s">
        <x:v>45</x:v>
      </x:c>
      <x:c r="G457" s="0" t="s">
        <x:v>19</x:v>
      </x:c>
      <x:c r="H457" s="0" t="s">
        <x:v>20</x:v>
      </x:c>
      <x:c r="I457" s="0" t="s">
        <x:v>21</x:v>
      </x:c>
      <x:c r="K457" s="0">
        <x:f>hyperlink("https://icd.who.int/dev11/l-ichi/en#/http%3A%2F%2Fid.who.int%2Ficd%2Fentity%2F210000921","browser")</x:f>
      </x:c>
      <x:c r="L457" s="0">
        <x:f>hyperlink("https://icat2.azurewebsites.net/icat/?ontology=ICD&amp;tab=ClassesTab&amp;id=http%3A%2F%2Fwho.int%2Ficd%232240_c1eb5896_b43e_4531_bd82_f72e7a00cdd6","iCat")</x:f>
      </x:c>
      <x:c r="M457" s="0" t="s">
        <x:v>21</x:v>
      </x:c>
      <x:c r="N457" s="0" t="s">
        <x:v>46</x:v>
      </x:c>
    </x:row>
    <x:row r="458" spans="1:16">
      <x:c r="A458" s="0" t="s">
        <x:v>1758</x:v>
      </x:c>
      <x:c r="B458" s="0" t="s">
        <x:v>1759</x:v>
      </x:c>
      <x:c r="C458" s="0" t="s">
        <x:v>1760</x:v>
      </x:c>
      <x:c r="E458" s="0" t="s">
        <x:v>1761</x:v>
      </x:c>
      <x:c r="F458" s="0" t="s">
        <x:v>45</x:v>
      </x:c>
      <x:c r="G458" s="0" t="s">
        <x:v>19</x:v>
      </x:c>
      <x:c r="H458" s="0" t="s">
        <x:v>20</x:v>
      </x:c>
      <x:c r="I458" s="0" t="s">
        <x:v>21</x:v>
      </x:c>
      <x:c r="K458" s="0">
        <x:f>hyperlink("https://icd.who.int/dev11/l-ichi/en#/http%3A%2F%2Fid.who.int%2Ficd%2Fentity%2F964925549","browser")</x:f>
      </x:c>
      <x:c r="L458" s="0">
        <x:f>hyperlink("https://icat2.azurewebsites.net/icat/?ontology=ICD&amp;tab=ClassesTab&amp;id=http%3A%2F%2Fwho.int%2Ficd%232244_c1eb5896_b43e_4531_bd82_f72e7a00cdd6","iCat")</x:f>
      </x:c>
      <x:c r="M458" s="0" t="s">
        <x:v>21</x:v>
      </x:c>
      <x:c r="N458" s="0" t="s">
        <x:v>46</x:v>
      </x:c>
    </x:row>
    <x:row r="459" spans="1:16">
      <x:c r="A459" s="0" t="s">
        <x:v>1762</x:v>
      </x:c>
      <x:c r="B459" s="0" t="s">
        <x:v>1763</x:v>
      </x:c>
      <x:c r="C459" s="0" t="s">
        <x:v>1764</x:v>
      </x:c>
      <x:c r="E459" s="0" t="s">
        <x:v>1765</x:v>
      </x:c>
      <x:c r="F459" s="0" t="s">
        <x:v>45</x:v>
      </x:c>
      <x:c r="G459" s="0" t="s">
        <x:v>19</x:v>
      </x:c>
      <x:c r="H459" s="0" t="s">
        <x:v>20</x:v>
      </x:c>
      <x:c r="I459" s="0" t="s">
        <x:v>21</x:v>
      </x:c>
      <x:c r="K459" s="0">
        <x:f>hyperlink("https://icd.who.int/dev11/l-ichi/en#/http%3A%2F%2Fid.who.int%2Ficd%2Fentity%2F1107635532","browser")</x:f>
      </x:c>
      <x:c r="L459" s="0">
        <x:f>hyperlink("https://icat2.azurewebsites.net/icat/?ontology=ICD&amp;tab=ClassesTab&amp;id=http%3A%2F%2Fwho.int%2Ficd%232248_c1eb5896_b43e_4531_bd82_f72e7a00cdd6","iCat")</x:f>
      </x:c>
      <x:c r="M459" s="0" t="s">
        <x:v>21</x:v>
      </x:c>
      <x:c r="N459" s="0" t="s">
        <x:v>46</x:v>
      </x:c>
    </x:row>
    <x:row r="460" spans="1:16">
      <x:c r="A460" s="0" t="s">
        <x:v>1766</x:v>
      </x:c>
      <x:c r="B460" s="0" t="s">
        <x:v>1767</x:v>
      </x:c>
      <x:c r="C460" s="0" t="s">
        <x:v>1768</x:v>
      </x:c>
      <x:c r="E460" s="0" t="s">
        <x:v>1769</x:v>
      </x:c>
      <x:c r="F460" s="0" t="s">
        <x:v>45</x:v>
      </x:c>
      <x:c r="G460" s="0" t="s">
        <x:v>19</x:v>
      </x:c>
      <x:c r="H460" s="0" t="s">
        <x:v>20</x:v>
      </x:c>
      <x:c r="I460" s="0" t="s">
        <x:v>21</x:v>
      </x:c>
      <x:c r="K460" s="0">
        <x:f>hyperlink("https://icd.who.int/dev11/l-ichi/en#/http%3A%2F%2Fid.who.int%2Ficd%2Fentity%2F54383755","browser")</x:f>
      </x:c>
      <x:c r="L460" s="0">
        <x:f>hyperlink("https://icat2.azurewebsites.net/icat/?ontology=ICD&amp;tab=ClassesTab&amp;id=http%3A%2F%2Fwho.int%2Ficd%232252_c1eb5896_b43e_4531_bd82_f72e7a00cdd6","iCat")</x:f>
      </x:c>
      <x:c r="M460" s="0" t="s">
        <x:v>21</x:v>
      </x:c>
      <x:c r="N460" s="0" t="s">
        <x:v>46</x:v>
      </x:c>
    </x:row>
    <x:row r="461" spans="1:16">
      <x:c r="A461" s="0" t="s">
        <x:v>1770</x:v>
      </x:c>
      <x:c r="B461" s="0" t="s">
        <x:v>1771</x:v>
      </x:c>
      <x:c r="C461" s="0" t="s">
        <x:v>1772</x:v>
      </x:c>
      <x:c r="E461" s="0" t="s">
        <x:v>1773</x:v>
      </x:c>
      <x:c r="F461" s="0" t="s">
        <x:v>45</x:v>
      </x:c>
      <x:c r="G461" s="0" t="s">
        <x:v>19</x:v>
      </x:c>
      <x:c r="H461" s="0" t="s">
        <x:v>20</x:v>
      </x:c>
      <x:c r="I461" s="0" t="s">
        <x:v>21</x:v>
      </x:c>
      <x:c r="K461" s="0">
        <x:f>hyperlink("https://icd.who.int/dev11/l-ichi/en#/http%3A%2F%2Fid.who.int%2Ficd%2Fentity%2F909775103","browser")</x:f>
      </x:c>
      <x:c r="L461" s="0">
        <x:f>hyperlink("https://icat2.azurewebsites.net/icat/?ontology=ICD&amp;tab=ClassesTab&amp;id=http%3A%2F%2Fwho.int%2Ficd%232256_c1eb5896_b43e_4531_bd82_f72e7a00cdd6","iCat")</x:f>
      </x:c>
      <x:c r="M461" s="0" t="s">
        <x:v>21</x:v>
      </x:c>
      <x:c r="N461" s="0" t="s">
        <x:v>46</x:v>
      </x:c>
    </x:row>
    <x:row r="462" spans="1:16">
      <x:c r="A462" s="0" t="s">
        <x:v>1774</x:v>
      </x:c>
      <x:c r="B462" s="0" t="s">
        <x:v>1775</x:v>
      </x:c>
      <x:c r="C462" s="0" t="s">
        <x:v>1776</x:v>
      </x:c>
      <x:c r="E462" s="0" t="s">
        <x:v>1777</x:v>
      </x:c>
      <x:c r="F462" s="0" t="s">
        <x:v>45</x:v>
      </x:c>
      <x:c r="G462" s="0" t="s">
        <x:v>19</x:v>
      </x:c>
      <x:c r="H462" s="0" t="s">
        <x:v>20</x:v>
      </x:c>
      <x:c r="I462" s="0" t="s">
        <x:v>21</x:v>
      </x:c>
      <x:c r="K462" s="0">
        <x:f>hyperlink("https://icd.who.int/dev11/l-ichi/en#/http%3A%2F%2Fid.who.int%2Ficd%2Fentity%2F101317493","browser")</x:f>
      </x:c>
      <x:c r="L462" s="0">
        <x:f>hyperlink("https://icat2.azurewebsites.net/icat/?ontology=ICD&amp;tab=ClassesTab&amp;id=http%3A%2F%2Fwho.int%2Ficd%232261_c1eb5896_b43e_4531_bd82_f72e7a00cdd6","iCat")</x:f>
      </x:c>
      <x:c r="M462" s="0" t="s">
        <x:v>21</x:v>
      </x:c>
      <x:c r="N462" s="0" t="s">
        <x:v>46</x:v>
      </x:c>
    </x:row>
    <x:row r="463" spans="1:16">
      <x:c r="B463" s="0" t="s">
        <x:v>1778</x:v>
      </x:c>
      <x:c r="C463" s="0" t="s">
        <x:v>1779</x:v>
      </x:c>
      <x:c r="E463" s="0" t="s">
        <x:v>1780</x:v>
      </x:c>
      <x:c r="F463" s="0" t="s">
        <x:v>45</x:v>
      </x:c>
      <x:c r="G463" s="0" t="s">
        <x:v>19</x:v>
      </x:c>
      <x:c r="H463" s="0" t="s">
        <x:v>21</x:v>
      </x:c>
      <x:c r="I463" s="0" t="s">
        <x:v>21</x:v>
      </x:c>
      <x:c r="K463" s="0">
        <x:f>hyperlink("https://icd.who.int/dev11/l-ichi/en#/http%3A%2F%2Fid.who.int%2Ficd%2Fentity%2F2130268069%2Fichi%2Fother","browser")</x:f>
      </x:c>
      <x:c r="L463" s="0">
        <x:f>hyperlink("","iCat")</x:f>
      </x:c>
      <x:c r="M463" s="0" t="s">
        <x:v>21</x:v>
      </x:c>
      <x:c r="N463" s="0" t="s">
        <x:v>46</x:v>
      </x:c>
    </x:row>
    <x:row r="464" spans="1:16">
      <x:c r="B464" s="0" t="s">
        <x:v>1781</x:v>
      </x:c>
      <x:c r="C464" s="0" t="s">
        <x:v>1782</x:v>
      </x:c>
      <x:c r="E464" s="0" t="s">
        <x:v>1783</x:v>
      </x:c>
      <x:c r="F464" s="0" t="s">
        <x:v>45</x:v>
      </x:c>
      <x:c r="G464" s="0" t="s">
        <x:v>19</x:v>
      </x:c>
      <x:c r="H464" s="0" t="s">
        <x:v>21</x:v>
      </x:c>
      <x:c r="I464" s="0" t="s">
        <x:v>21</x:v>
      </x:c>
      <x:c r="K464" s="0">
        <x:f>hyperlink("https://icd.who.int/dev11/l-ichi/en#/http%3A%2F%2Fid.who.int%2Ficd%2Fentity%2F2130268069%2Fichi%2Funspecified","browser")</x:f>
      </x:c>
      <x:c r="L464" s="0">
        <x:f>hyperlink("","iCat")</x:f>
      </x:c>
      <x:c r="M464" s="0" t="s">
        <x:v>21</x:v>
      </x:c>
      <x:c r="N464" s="0" t="s">
        <x:v>46</x:v>
      </x:c>
    </x:row>
    <x:row r="465" spans="1:16">
      <x:c r="A465" s="0" t="s">
        <x:v>1784</x:v>
      </x:c>
      <x:c r="B465" s="0" t="s">
        <x:v>1785</x:v>
      </x:c>
      <x:c r="E465" s="0" t="s">
        <x:v>1786</x:v>
      </x:c>
      <x:c r="F465" s="0" t="s">
        <x:v>26</x:v>
      </x:c>
      <x:c r="G465" s="0" t="s">
        <x:v>35</x:v>
      </x:c>
      <x:c r="H465" s="0" t="s">
        <x:v>20</x:v>
      </x:c>
      <x:c r="I465" s="0" t="s">
        <x:v>21</x:v>
      </x:c>
      <x:c r="K465" s="0">
        <x:f>hyperlink("https://icd.who.int/dev11/l-ichi/en#/http%3A%2F%2Fid.who.int%2Ficd%2Fentity%2F474924463","browser")</x:f>
      </x:c>
      <x:c r="L465" s="0">
        <x:f>hyperlink("https://icat2.azurewebsites.net/icat/?ontology=ICD&amp;tab=ClassesTab&amp;id=http%3A%2F%2Fwho.int%2Ficd%232276_c1eb5896_b43e_4531_bd82_f72e7a00cdd6","iCat")</x:f>
      </x:c>
      <x:c r="M465" s="0" t="s">
        <x:v>20</x:v>
      </x:c>
      <x:c r="N465" s="0" t="s">
        <x:v>40</x:v>
      </x:c>
    </x:row>
    <x:row r="466" spans="1:16">
      <x:c r="A466" s="0" t="s">
        <x:v>1787</x:v>
      </x:c>
      <x:c r="B466" s="0" t="s">
        <x:v>1788</x:v>
      </x:c>
      <x:c r="E466" s="0" t="s">
        <x:v>1789</x:v>
      </x:c>
      <x:c r="F466" s="0" t="s">
        <x:v>26</x:v>
      </x:c>
      <x:c r="G466" s="0" t="s">
        <x:v>22</x:v>
      </x:c>
      <x:c r="H466" s="0" t="s">
        <x:v>20</x:v>
      </x:c>
      <x:c r="I466" s="0" t="s">
        <x:v>21</x:v>
      </x:c>
      <x:c r="K466" s="0">
        <x:f>hyperlink("https://icd.who.int/dev11/l-ichi/en#/http%3A%2F%2Fid.who.int%2Ficd%2Fentity%2F112085765","browser")</x:f>
      </x:c>
      <x:c r="L466" s="0">
        <x:f>hyperlink("https://icat2.azurewebsites.net/icat/?ontology=ICD&amp;tab=ClassesTab&amp;id=http%3A%2F%2Fwho.int%2Ficd%232282_c1eb5896_b43e_4531_bd82_f72e7a00cdd6","iCat")</x:f>
      </x:c>
      <x:c r="M466" s="0" t="s">
        <x:v>20</x:v>
      </x:c>
      <x:c r="N466" s="0" t="s">
        <x:v>431</x:v>
      </x:c>
    </x:row>
    <x:row r="467" spans="1:16">
      <x:c r="A467" s="0" t="s">
        <x:v>1790</x:v>
      </x:c>
      <x:c r="B467" s="0" t="s">
        <x:v>1791</x:v>
      </x:c>
      <x:c r="C467" s="0" t="s">
        <x:v>1792</x:v>
      </x:c>
      <x:c r="E467" s="0" t="s">
        <x:v>1793</x:v>
      </x:c>
      <x:c r="F467" s="0" t="s">
        <x:v>45</x:v>
      </x:c>
      <x:c r="G467" s="0" t="s">
        <x:v>19</x:v>
      </x:c>
      <x:c r="H467" s="0" t="s">
        <x:v>20</x:v>
      </x:c>
      <x:c r="I467" s="0" t="s">
        <x:v>21</x:v>
      </x:c>
      <x:c r="K467" s="0">
        <x:f>hyperlink("https://icd.who.int/dev11/l-ichi/en#/http%3A%2F%2Fid.who.int%2Ficd%2Fentity%2F1506519640","browser")</x:f>
      </x:c>
      <x:c r="L467" s="0">
        <x:f>hyperlink("https://icat2.azurewebsites.net/icat/?ontology=ICD&amp;tab=ClassesTab&amp;id=http%3A%2F%2Fwho.int%2Ficd%232275_c1eb5896_b43e_4531_bd82_f72e7a00cdd6","iCat")</x:f>
      </x:c>
      <x:c r="M467" s="0" t="s">
        <x:v>21</x:v>
      </x:c>
      <x:c r="N467" s="0" t="s">
        <x:v>46</x:v>
      </x:c>
    </x:row>
    <x:row r="468" spans="1:16">
      <x:c r="A468" s="0" t="s">
        <x:v>1794</x:v>
      </x:c>
      <x:c r="B468" s="0" t="s">
        <x:v>1795</x:v>
      </x:c>
      <x:c r="C468" s="0" t="s">
        <x:v>1796</x:v>
      </x:c>
      <x:c r="E468" s="0" t="s">
        <x:v>1797</x:v>
      </x:c>
      <x:c r="F468" s="0" t="s">
        <x:v>45</x:v>
      </x:c>
      <x:c r="G468" s="0" t="s">
        <x:v>19</x:v>
      </x:c>
      <x:c r="H468" s="0" t="s">
        <x:v>20</x:v>
      </x:c>
      <x:c r="I468" s="0" t="s">
        <x:v>21</x:v>
      </x:c>
      <x:c r="K468" s="0">
        <x:f>hyperlink("https://icd.who.int/dev11/l-ichi/en#/http%3A%2F%2Fid.who.int%2Ficd%2Fentity%2F1819008596","browser")</x:f>
      </x:c>
      <x:c r="L468" s="0">
        <x:f>hyperlink("https://icat2.azurewebsites.net/icat/?ontology=ICD&amp;tab=ClassesTab&amp;id=http%3A%2F%2Fwho.int%2Ficd%232292_c1eb5896_b43e_4531_bd82_f72e7a00cdd6","iCat")</x:f>
      </x:c>
      <x:c r="M468" s="0" t="s">
        <x:v>21</x:v>
      </x:c>
      <x:c r="N468" s="0" t="s">
        <x:v>46</x:v>
      </x:c>
    </x:row>
    <x:row r="469" spans="1:16">
      <x:c r="A469" s="0" t="s">
        <x:v>1798</x:v>
      </x:c>
      <x:c r="B469" s="0" t="s">
        <x:v>1799</x:v>
      </x:c>
      <x:c r="C469" s="0" t="s">
        <x:v>1800</x:v>
      </x:c>
      <x:c r="E469" s="0" t="s">
        <x:v>1801</x:v>
      </x:c>
      <x:c r="F469" s="0" t="s">
        <x:v>45</x:v>
      </x:c>
      <x:c r="G469" s="0" t="s">
        <x:v>19</x:v>
      </x:c>
      <x:c r="H469" s="0" t="s">
        <x:v>20</x:v>
      </x:c>
      <x:c r="I469" s="0" t="s">
        <x:v>21</x:v>
      </x:c>
      <x:c r="K469" s="0">
        <x:f>hyperlink("https://icd.who.int/dev11/l-ichi/en#/http%3A%2F%2Fid.who.int%2Ficd%2Fentity%2F1500256806","browser")</x:f>
      </x:c>
      <x:c r="L469" s="0">
        <x:f>hyperlink("https://icat2.azurewebsites.net/icat/?ontology=ICD&amp;tab=ClassesTab&amp;id=http%3A%2F%2Fwho.int%2Ficd%232296_c1eb5896_b43e_4531_bd82_f72e7a00cdd6","iCat")</x:f>
      </x:c>
      <x:c r="M469" s="0" t="s">
        <x:v>21</x:v>
      </x:c>
      <x:c r="N469" s="0" t="s">
        <x:v>46</x:v>
      </x:c>
    </x:row>
    <x:row r="470" spans="1:16">
      <x:c r="A470" s="0" t="s">
        <x:v>1802</x:v>
      </x:c>
      <x:c r="B470" s="0" t="s">
        <x:v>1803</x:v>
      </x:c>
      <x:c r="C470" s="0" t="s">
        <x:v>1804</x:v>
      </x:c>
      <x:c r="E470" s="0" t="s">
        <x:v>1805</x:v>
      </x:c>
      <x:c r="F470" s="0" t="s">
        <x:v>45</x:v>
      </x:c>
      <x:c r="G470" s="0" t="s">
        <x:v>19</x:v>
      </x:c>
      <x:c r="H470" s="0" t="s">
        <x:v>20</x:v>
      </x:c>
      <x:c r="I470" s="0" t="s">
        <x:v>21</x:v>
      </x:c>
      <x:c r="K470" s="0">
        <x:f>hyperlink("https://icd.who.int/dev11/l-ichi/en#/http%3A%2F%2Fid.who.int%2Ficd%2Fentity%2F159173017","browser")</x:f>
      </x:c>
      <x:c r="L470" s="0">
        <x:f>hyperlink("https://icat2.azurewebsites.net/icat/?ontology=ICD&amp;tab=ClassesTab&amp;id=http%3A%2F%2Fwho.int%2Ficd%232300_c1eb5896_b43e_4531_bd82_f72e7a00cdd6","iCat")</x:f>
      </x:c>
      <x:c r="M470" s="0" t="s">
        <x:v>21</x:v>
      </x:c>
      <x:c r="N470" s="0" t="s">
        <x:v>46</x:v>
      </x:c>
    </x:row>
    <x:row r="471" spans="1:16">
      <x:c r="A471" s="0" t="s">
        <x:v>1806</x:v>
      </x:c>
      <x:c r="B471" s="0" t="s">
        <x:v>1807</x:v>
      </x:c>
      <x:c r="C471" s="0" t="s">
        <x:v>1808</x:v>
      </x:c>
      <x:c r="E471" s="0" t="s">
        <x:v>1809</x:v>
      </x:c>
      <x:c r="F471" s="0" t="s">
        <x:v>45</x:v>
      </x:c>
      <x:c r="G471" s="0" t="s">
        <x:v>19</x:v>
      </x:c>
      <x:c r="H471" s="0" t="s">
        <x:v>20</x:v>
      </x:c>
      <x:c r="I471" s="0" t="s">
        <x:v>21</x:v>
      </x:c>
      <x:c r="K471" s="0">
        <x:f>hyperlink("https://icd.who.int/dev11/l-ichi/en#/http%3A%2F%2Fid.who.int%2Ficd%2Fentity%2F478314449","browser")</x:f>
      </x:c>
      <x:c r="L471" s="0">
        <x:f>hyperlink("https://icat2.azurewebsites.net/icat/?ontology=ICD&amp;tab=ClassesTab&amp;id=http%3A%2F%2Fwho.int%2Ficd%232305_c1eb5896_b43e_4531_bd82_f72e7a00cdd6","iCat")</x:f>
      </x:c>
      <x:c r="M471" s="0" t="s">
        <x:v>21</x:v>
      </x:c>
      <x:c r="N471" s="0" t="s">
        <x:v>46</x:v>
      </x:c>
    </x:row>
    <x:row r="472" spans="1:16">
      <x:c r="A472" s="0" t="s">
        <x:v>1810</x:v>
      </x:c>
      <x:c r="B472" s="0" t="s">
        <x:v>1811</x:v>
      </x:c>
      <x:c r="C472" s="0" t="s">
        <x:v>1812</x:v>
      </x:c>
      <x:c r="E472" s="0" t="s">
        <x:v>1813</x:v>
      </x:c>
      <x:c r="F472" s="0" t="s">
        <x:v>45</x:v>
      </x:c>
      <x:c r="G472" s="0" t="s">
        <x:v>19</x:v>
      </x:c>
      <x:c r="H472" s="0" t="s">
        <x:v>20</x:v>
      </x:c>
      <x:c r="I472" s="0" t="s">
        <x:v>21</x:v>
      </x:c>
      <x:c r="K472" s="0">
        <x:f>hyperlink("https://icd.who.int/dev11/l-ichi/en#/http%3A%2F%2Fid.who.int%2Ficd%2Fentity%2F1673092302","browser")</x:f>
      </x:c>
      <x:c r="L472" s="0">
        <x:f>hyperlink("https://icat2.azurewebsites.net/icat/?ontology=ICD&amp;tab=ClassesTab&amp;id=http%3A%2F%2Fwho.int%2Ficd%232310_c1eb5896_b43e_4531_bd82_f72e7a00cdd6","iCat")</x:f>
      </x:c>
      <x:c r="M472" s="0" t="s">
        <x:v>21</x:v>
      </x:c>
      <x:c r="N472" s="0" t="s">
        <x:v>46</x:v>
      </x:c>
    </x:row>
    <x:row r="473" spans="1:16">
      <x:c r="A473" s="0" t="s">
        <x:v>1814</x:v>
      </x:c>
      <x:c r="B473" s="0" t="s">
        <x:v>1815</x:v>
      </x:c>
      <x:c r="C473" s="0" t="s">
        <x:v>1816</x:v>
      </x:c>
      <x:c r="E473" s="0" t="s">
        <x:v>1817</x:v>
      </x:c>
      <x:c r="F473" s="0" t="s">
        <x:v>45</x:v>
      </x:c>
      <x:c r="G473" s="0" t="s">
        <x:v>19</x:v>
      </x:c>
      <x:c r="H473" s="0" t="s">
        <x:v>20</x:v>
      </x:c>
      <x:c r="I473" s="0" t="s">
        <x:v>21</x:v>
      </x:c>
      <x:c r="K473" s="0">
        <x:f>hyperlink("https://icd.who.int/dev11/l-ichi/en#/http%3A%2F%2Fid.who.int%2Ficd%2Fentity%2F2132839209","browser")</x:f>
      </x:c>
      <x:c r="L473" s="0">
        <x:f>hyperlink("https://icat2.azurewebsites.net/icat/?ontology=ICD&amp;tab=ClassesTab&amp;id=http%3A%2F%2Fwho.int%2Ficd%2368_d85a204c_d00a_4566_a3b7_2d137a1891cf","iCat")</x:f>
      </x:c>
      <x:c r="M473" s="0" t="s">
        <x:v>21</x:v>
      </x:c>
      <x:c r="N473" s="0" t="s">
        <x:v>46</x:v>
      </x:c>
    </x:row>
    <x:row r="474" spans="1:16">
      <x:c r="A474" s="0" t="s">
        <x:v>1818</x:v>
      </x:c>
      <x:c r="B474" s="0" t="s">
        <x:v>1819</x:v>
      </x:c>
      <x:c r="E474" s="0" t="s">
        <x:v>1820</x:v>
      </x:c>
      <x:c r="F474" s="0" t="s">
        <x:v>26</x:v>
      </x:c>
      <x:c r="G474" s="0" t="s">
        <x:v>22</x:v>
      </x:c>
      <x:c r="H474" s="0" t="s">
        <x:v>20</x:v>
      </x:c>
      <x:c r="I474" s="0" t="s">
        <x:v>21</x:v>
      </x:c>
      <x:c r="K474" s="0">
        <x:f>hyperlink("https://icd.who.int/dev11/l-ichi/en#/http%3A%2F%2Fid.who.int%2Ficd%2Fentity%2F66154229","browser")</x:f>
      </x:c>
      <x:c r="L474" s="0">
        <x:f>hyperlink("https://icat2.azurewebsites.net/icat/?ontology=ICD&amp;tab=ClassesTab&amp;id=http%3A%2F%2Fwho.int%2Ficd%232321_c1eb5896_b43e_4531_bd82_f72e7a00cdd6","iCat")</x:f>
      </x:c>
      <x:c r="M474" s="0" t="s">
        <x:v>20</x:v>
      </x:c>
      <x:c r="N474" s="0" t="s">
        <x:v>206</x:v>
      </x:c>
    </x:row>
    <x:row r="475" spans="1:16">
      <x:c r="A475" s="0" t="s">
        <x:v>1821</x:v>
      </x:c>
      <x:c r="B475" s="0" t="s">
        <x:v>1822</x:v>
      </x:c>
      <x:c r="C475" s="0" t="s">
        <x:v>1823</x:v>
      </x:c>
      <x:c r="E475" s="0" t="s">
        <x:v>1824</x:v>
      </x:c>
      <x:c r="F475" s="0" t="s">
        <x:v>45</x:v>
      </x:c>
      <x:c r="G475" s="0" t="s">
        <x:v>19</x:v>
      </x:c>
      <x:c r="H475" s="0" t="s">
        <x:v>20</x:v>
      </x:c>
      <x:c r="I475" s="0" t="s">
        <x:v>21</x:v>
      </x:c>
      <x:c r="K475" s="0">
        <x:f>hyperlink("https://icd.who.int/dev11/l-ichi/en#/http%3A%2F%2Fid.who.int%2Ficd%2Fentity%2F587734217","browser")</x:f>
      </x:c>
      <x:c r="L475" s="0">
        <x:f>hyperlink("https://icat2.azurewebsites.net/icat/?ontology=ICD&amp;tab=ClassesTab&amp;id=http%3A%2F%2Fwho.int%2Ficd%232320_c1eb5896_b43e_4531_bd82_f72e7a00cdd6","iCat")</x:f>
      </x:c>
      <x:c r="M475" s="0" t="s">
        <x:v>21</x:v>
      </x:c>
      <x:c r="N475" s="0" t="s">
        <x:v>46</x:v>
      </x:c>
    </x:row>
    <x:row r="476" spans="1:16">
      <x:c r="A476" s="0" t="s">
        <x:v>1825</x:v>
      </x:c>
      <x:c r="B476" s="0" t="s">
        <x:v>1826</x:v>
      </x:c>
      <x:c r="C476" s="0" t="s">
        <x:v>1827</x:v>
      </x:c>
      <x:c r="E476" s="0" t="s">
        <x:v>1828</x:v>
      </x:c>
      <x:c r="F476" s="0" t="s">
        <x:v>45</x:v>
      </x:c>
      <x:c r="G476" s="0" t="s">
        <x:v>19</x:v>
      </x:c>
      <x:c r="H476" s="0" t="s">
        <x:v>20</x:v>
      </x:c>
      <x:c r="I476" s="0" t="s">
        <x:v>21</x:v>
      </x:c>
      <x:c r="K476" s="0">
        <x:f>hyperlink("https://icd.who.int/dev11/l-ichi/en#/http%3A%2F%2Fid.who.int%2Ficd%2Fentity%2F1765079970","browser")</x:f>
      </x:c>
      <x:c r="L476" s="0">
        <x:f>hyperlink("https://icat2.azurewebsites.net/icat/?ontology=ICD&amp;tab=ClassesTab&amp;id=http%3A%2F%2Fwho.int%2Ficd%232331_c1eb5896_b43e_4531_bd82_f72e7a00cdd6","iCat")</x:f>
      </x:c>
      <x:c r="M476" s="0" t="s">
        <x:v>21</x:v>
      </x:c>
      <x:c r="N476" s="0" t="s">
        <x:v>46</x:v>
      </x:c>
    </x:row>
    <x:row r="477" spans="1:16">
      <x:c r="A477" s="0" t="s">
        <x:v>1829</x:v>
      </x:c>
      <x:c r="B477" s="0" t="s">
        <x:v>1830</x:v>
      </x:c>
      <x:c r="C477" s="0" t="s">
        <x:v>1831</x:v>
      </x:c>
      <x:c r="E477" s="0" t="s">
        <x:v>1832</x:v>
      </x:c>
      <x:c r="F477" s="0" t="s">
        <x:v>45</x:v>
      </x:c>
      <x:c r="G477" s="0" t="s">
        <x:v>19</x:v>
      </x:c>
      <x:c r="H477" s="0" t="s">
        <x:v>20</x:v>
      </x:c>
      <x:c r="I477" s="0" t="s">
        <x:v>21</x:v>
      </x:c>
      <x:c r="K477" s="0">
        <x:f>hyperlink("https://icd.who.int/dev11/l-ichi/en#/http%3A%2F%2Fid.who.int%2Ficd%2Fentity%2F122484939","browser")</x:f>
      </x:c>
      <x:c r="L477" s="0">
        <x:f>hyperlink("https://icat2.azurewebsites.net/icat/?ontology=ICD&amp;tab=ClassesTab&amp;id=http%3A%2F%2Fwho.int%2Ficd%232338_c1eb5896_b43e_4531_bd82_f72e7a00cdd6","iCat")</x:f>
      </x:c>
      <x:c r="M477" s="0" t="s">
        <x:v>21</x:v>
      </x:c>
      <x:c r="N477" s="0" t="s">
        <x:v>46</x:v>
      </x:c>
    </x:row>
    <x:row r="478" spans="1:16">
      <x:c r="A478" s="0" t="s">
        <x:v>1833</x:v>
      </x:c>
      <x:c r="B478" s="0" t="s">
        <x:v>1834</x:v>
      </x:c>
      <x:c r="C478" s="0" t="s">
        <x:v>1835</x:v>
      </x:c>
      <x:c r="E478" s="0" t="s">
        <x:v>1836</x:v>
      </x:c>
      <x:c r="F478" s="0" t="s">
        <x:v>45</x:v>
      </x:c>
      <x:c r="G478" s="0" t="s">
        <x:v>19</x:v>
      </x:c>
      <x:c r="H478" s="0" t="s">
        <x:v>20</x:v>
      </x:c>
      <x:c r="I478" s="0" t="s">
        <x:v>21</x:v>
      </x:c>
      <x:c r="K478" s="0">
        <x:f>hyperlink("https://icd.who.int/dev11/l-ichi/en#/http%3A%2F%2Fid.who.int%2Ficd%2Fentity%2F476546881","browser")</x:f>
      </x:c>
      <x:c r="L478" s="0">
        <x:f>hyperlink("https://icat2.azurewebsites.net/icat/?ontology=ICD&amp;tab=ClassesTab&amp;id=http%3A%2F%2Fwho.int%2Ficd%232342_c1eb5896_b43e_4531_bd82_f72e7a00cdd6","iCat")</x:f>
      </x:c>
      <x:c r="M478" s="0" t="s">
        <x:v>21</x:v>
      </x:c>
      <x:c r="N478" s="0" t="s">
        <x:v>46</x:v>
      </x:c>
    </x:row>
    <x:row r="479" spans="1:16">
      <x:c r="A479" s="0" t="s">
        <x:v>1837</x:v>
      </x:c>
      <x:c r="B479" s="0" t="s">
        <x:v>1838</x:v>
      </x:c>
      <x:c r="C479" s="0" t="s">
        <x:v>1839</x:v>
      </x:c>
      <x:c r="E479" s="0" t="s">
        <x:v>1840</x:v>
      </x:c>
      <x:c r="F479" s="0" t="s">
        <x:v>45</x:v>
      </x:c>
      <x:c r="G479" s="0" t="s">
        <x:v>19</x:v>
      </x:c>
      <x:c r="H479" s="0" t="s">
        <x:v>20</x:v>
      </x:c>
      <x:c r="I479" s="0" t="s">
        <x:v>21</x:v>
      </x:c>
      <x:c r="K479" s="0">
        <x:f>hyperlink("https://icd.who.int/dev11/l-ichi/en#/http%3A%2F%2Fid.who.int%2Ficd%2Fentity%2F161034505","browser")</x:f>
      </x:c>
      <x:c r="L479" s="0">
        <x:f>hyperlink("https://icat2.azurewebsites.net/icat/?ontology=ICD&amp;tab=ClassesTab&amp;id=http%3A%2F%2Fwho.int%2Ficd%232347_c1eb5896_b43e_4531_bd82_f72e7a00cdd6","iCat")</x:f>
      </x:c>
      <x:c r="M479" s="0" t="s">
        <x:v>21</x:v>
      </x:c>
      <x:c r="N479" s="0" t="s">
        <x:v>46</x:v>
      </x:c>
    </x:row>
    <x:row r="480" spans="1:16">
      <x:c r="A480" s="0" t="s">
        <x:v>1841</x:v>
      </x:c>
      <x:c r="B480" s="0" t="s">
        <x:v>1842</x:v>
      </x:c>
      <x:c r="C480" s="0" t="s">
        <x:v>1843</x:v>
      </x:c>
      <x:c r="E480" s="0" t="s">
        <x:v>1844</x:v>
      </x:c>
      <x:c r="F480" s="0" t="s">
        <x:v>45</x:v>
      </x:c>
      <x:c r="G480" s="0" t="s">
        <x:v>19</x:v>
      </x:c>
      <x:c r="H480" s="0" t="s">
        <x:v>20</x:v>
      </x:c>
      <x:c r="I480" s="0" t="s">
        <x:v>21</x:v>
      </x:c>
      <x:c r="K480" s="0">
        <x:f>hyperlink("https://icd.who.int/dev11/l-ichi/en#/http%3A%2F%2Fid.who.int%2Ficd%2Fentity%2F1041789678","browser")</x:f>
      </x:c>
      <x:c r="L480" s="0">
        <x:f>hyperlink("https://icat2.azurewebsites.net/icat/?ontology=ICD&amp;tab=ClassesTab&amp;id=http%3A%2F%2Fwho.int%2Ficd%2372_d85a204c_d00a_4566_a3b7_2d137a1891cf","iCat")</x:f>
      </x:c>
      <x:c r="M480" s="0" t="s">
        <x:v>21</x:v>
      </x:c>
      <x:c r="N480" s="0" t="s">
        <x:v>46</x:v>
      </x:c>
    </x:row>
    <x:row r="481" spans="1:16">
      <x:c r="A481" s="0" t="s">
        <x:v>1845</x:v>
      </x:c>
      <x:c r="B481" s="0" t="s">
        <x:v>1846</x:v>
      </x:c>
      <x:c r="E481" s="0" t="s">
        <x:v>1847</x:v>
      </x:c>
      <x:c r="F481" s="0" t="s">
        <x:v>26</x:v>
      </x:c>
      <x:c r="G481" s="0" t="s">
        <x:v>22</x:v>
      </x:c>
      <x:c r="H481" s="0" t="s">
        <x:v>20</x:v>
      </x:c>
      <x:c r="I481" s="0" t="s">
        <x:v>21</x:v>
      </x:c>
      <x:c r="K481" s="0">
        <x:f>hyperlink("https://icd.who.int/dev11/l-ichi/en#/http%3A%2F%2Fid.who.int%2Ficd%2Fentity%2F1667015774","browser")</x:f>
      </x:c>
      <x:c r="L481" s="0">
        <x:f>hyperlink("https://icat2.azurewebsites.net/icat/?ontology=ICD&amp;tab=ClassesTab&amp;id=http%3A%2F%2Fwho.int%2Ficd%232357_c1eb5896_b43e_4531_bd82_f72e7a00cdd6","iCat")</x:f>
      </x:c>
      <x:c r="M481" s="0" t="s">
        <x:v>20</x:v>
      </x:c>
      <x:c r="N481" s="0" t="s">
        <x:v>36</x:v>
      </x:c>
    </x:row>
    <x:row r="482" spans="1:16">
      <x:c r="A482" s="0" t="s">
        <x:v>1848</x:v>
      </x:c>
      <x:c r="B482" s="0" t="s">
        <x:v>1849</x:v>
      </x:c>
      <x:c r="C482" s="0" t="s">
        <x:v>1850</x:v>
      </x:c>
      <x:c r="E482" s="0" t="s">
        <x:v>1851</x:v>
      </x:c>
      <x:c r="F482" s="0" t="s">
        <x:v>45</x:v>
      </x:c>
      <x:c r="G482" s="0" t="s">
        <x:v>19</x:v>
      </x:c>
      <x:c r="H482" s="0" t="s">
        <x:v>20</x:v>
      </x:c>
      <x:c r="I482" s="0" t="s">
        <x:v>21</x:v>
      </x:c>
      <x:c r="K482" s="0">
        <x:f>hyperlink("https://icd.who.int/dev11/l-ichi/en#/http%3A%2F%2Fid.who.int%2Ficd%2Fentity%2F1134941796","browser")</x:f>
      </x:c>
      <x:c r="L482" s="0">
        <x:f>hyperlink("https://icat2.azurewebsites.net/icat/?ontology=ICD&amp;tab=ClassesTab&amp;id=http%3A%2F%2Fwho.int%2Ficd%232356_c1eb5896_b43e_4531_bd82_f72e7a00cdd6","iCat")</x:f>
      </x:c>
      <x:c r="M482" s="0" t="s">
        <x:v>21</x:v>
      </x:c>
      <x:c r="N482" s="0" t="s">
        <x:v>46</x:v>
      </x:c>
    </x:row>
    <x:row r="483" spans="1:16">
      <x:c r="A483" s="0" t="s">
        <x:v>1852</x:v>
      </x:c>
      <x:c r="B483" s="0" t="s">
        <x:v>1853</x:v>
      </x:c>
      <x:c r="C483" s="0" t="s">
        <x:v>1854</x:v>
      </x:c>
      <x:c r="E483" s="0" t="s">
        <x:v>1855</x:v>
      </x:c>
      <x:c r="F483" s="0" t="s">
        <x:v>45</x:v>
      </x:c>
      <x:c r="G483" s="0" t="s">
        <x:v>19</x:v>
      </x:c>
      <x:c r="H483" s="0" t="s">
        <x:v>20</x:v>
      </x:c>
      <x:c r="I483" s="0" t="s">
        <x:v>21</x:v>
      </x:c>
      <x:c r="K483" s="0">
        <x:f>hyperlink("https://icd.who.int/dev11/l-ichi/en#/http%3A%2F%2Fid.who.int%2Ficd%2Fentity%2F51680869","browser")</x:f>
      </x:c>
      <x:c r="L483" s="0">
        <x:f>hyperlink("https://icat2.azurewebsites.net/icat/?ontology=ICD&amp;tab=ClassesTab&amp;id=http%3A%2F%2Fwho.int%2Ficd%232366_c1eb5896_b43e_4531_bd82_f72e7a00cdd6","iCat")</x:f>
      </x:c>
      <x:c r="M483" s="0" t="s">
        <x:v>21</x:v>
      </x:c>
      <x:c r="N483" s="0" t="s">
        <x:v>46</x:v>
      </x:c>
    </x:row>
    <x:row r="484" spans="1:16">
      <x:c r="A484" s="0" t="s">
        <x:v>1856</x:v>
      </x:c>
      <x:c r="B484" s="0" t="s">
        <x:v>1857</x:v>
      </x:c>
      <x:c r="C484" s="0" t="s">
        <x:v>1858</x:v>
      </x:c>
      <x:c r="E484" s="0" t="s">
        <x:v>1859</x:v>
      </x:c>
      <x:c r="F484" s="0" t="s">
        <x:v>45</x:v>
      </x:c>
      <x:c r="G484" s="0" t="s">
        <x:v>19</x:v>
      </x:c>
      <x:c r="H484" s="0" t="s">
        <x:v>20</x:v>
      </x:c>
      <x:c r="I484" s="0" t="s">
        <x:v>21</x:v>
      </x:c>
      <x:c r="K484" s="0">
        <x:f>hyperlink("https://icd.who.int/dev11/l-ichi/en#/http%3A%2F%2Fid.who.int%2Ficd%2Fentity%2F967498371","browser")</x:f>
      </x:c>
      <x:c r="L484" s="0">
        <x:f>hyperlink("https://icat2.azurewebsites.net/icat/?ontology=ICD&amp;tab=ClassesTab&amp;id=http%3A%2F%2Fwho.int%2Ficd%232370_c1eb5896_b43e_4531_bd82_f72e7a00cdd6","iCat")</x:f>
      </x:c>
      <x:c r="M484" s="0" t="s">
        <x:v>21</x:v>
      </x:c>
      <x:c r="N484" s="0" t="s">
        <x:v>46</x:v>
      </x:c>
    </x:row>
    <x:row r="485" spans="1:16">
      <x:c r="A485" s="0" t="s">
        <x:v>1860</x:v>
      </x:c>
      <x:c r="B485" s="0" t="s">
        <x:v>1861</x:v>
      </x:c>
      <x:c r="C485" s="0" t="s">
        <x:v>1862</x:v>
      </x:c>
      <x:c r="E485" s="0" t="s">
        <x:v>1863</x:v>
      </x:c>
      <x:c r="F485" s="0" t="s">
        <x:v>45</x:v>
      </x:c>
      <x:c r="G485" s="0" t="s">
        <x:v>19</x:v>
      </x:c>
      <x:c r="H485" s="0" t="s">
        <x:v>20</x:v>
      </x:c>
      <x:c r="I485" s="0" t="s">
        <x:v>21</x:v>
      </x:c>
      <x:c r="K485" s="0">
        <x:f>hyperlink("https://icd.who.int/dev11/l-ichi/en#/http%3A%2F%2Fid.who.int%2Ficd%2Fentity%2F212672247","browser")</x:f>
      </x:c>
      <x:c r="L485" s="0">
        <x:f>hyperlink("https://icat2.azurewebsites.net/icat/?ontology=ICD&amp;tab=ClassesTab&amp;id=http%3A%2F%2Fwho.int%2Ficd%232374_c1eb5896_b43e_4531_bd82_f72e7a00cdd6","iCat")</x:f>
      </x:c>
      <x:c r="M485" s="0" t="s">
        <x:v>21</x:v>
      </x:c>
      <x:c r="N485" s="0" t="s">
        <x:v>46</x:v>
      </x:c>
    </x:row>
    <x:row r="486" spans="1:16">
      <x:c r="A486" s="0" t="s">
        <x:v>1864</x:v>
      </x:c>
      <x:c r="B486" s="0" t="s">
        <x:v>1865</x:v>
      </x:c>
      <x:c r="C486" s="0" t="s">
        <x:v>1866</x:v>
      </x:c>
      <x:c r="E486" s="0" t="s">
        <x:v>1867</x:v>
      </x:c>
      <x:c r="F486" s="0" t="s">
        <x:v>45</x:v>
      </x:c>
      <x:c r="G486" s="0" t="s">
        <x:v>19</x:v>
      </x:c>
      <x:c r="H486" s="0" t="s">
        <x:v>20</x:v>
      </x:c>
      <x:c r="I486" s="0" t="s">
        <x:v>21</x:v>
      </x:c>
      <x:c r="K486" s="0">
        <x:f>hyperlink("https://icd.who.int/dev11/l-ichi/en#/http%3A%2F%2Fid.who.int%2Ficd%2Fentity%2F1999350744","browser")</x:f>
      </x:c>
      <x:c r="L486" s="0">
        <x:f>hyperlink("https://icat2.azurewebsites.net/icat/?ontology=ICD&amp;tab=ClassesTab&amp;id=http%3A%2F%2Fwho.int%2Ficd%232378_c1eb5896_b43e_4531_bd82_f72e7a00cdd6","iCat")</x:f>
      </x:c>
      <x:c r="M486" s="0" t="s">
        <x:v>21</x:v>
      </x:c>
      <x:c r="N486" s="0" t="s">
        <x:v>46</x:v>
      </x:c>
    </x:row>
    <x:row r="487" spans="1:16">
      <x:c r="A487" s="0" t="s">
        <x:v>1868</x:v>
      </x:c>
      <x:c r="B487" s="0" t="s">
        <x:v>1869</x:v>
      </x:c>
      <x:c r="C487" s="0" t="s">
        <x:v>1870</x:v>
      </x:c>
      <x:c r="E487" s="0" t="s">
        <x:v>1871</x:v>
      </x:c>
      <x:c r="F487" s="0" t="s">
        <x:v>45</x:v>
      </x:c>
      <x:c r="G487" s="0" t="s">
        <x:v>19</x:v>
      </x:c>
      <x:c r="H487" s="0" t="s">
        <x:v>20</x:v>
      </x:c>
      <x:c r="I487" s="0" t="s">
        <x:v>21</x:v>
      </x:c>
      <x:c r="K487" s="0">
        <x:f>hyperlink("https://icd.who.int/dev11/l-ichi/en#/http%3A%2F%2Fid.who.int%2Ficd%2Fentity%2F592073769","browser")</x:f>
      </x:c>
      <x:c r="L487" s="0">
        <x:f>hyperlink("https://icat2.azurewebsites.net/icat/?ontology=ICD&amp;tab=ClassesTab&amp;id=http%3A%2F%2Fwho.int%2Ficd%232384_c1eb5896_b43e_4531_bd82_f72e7a00cdd6","iCat")</x:f>
      </x:c>
      <x:c r="M487" s="0" t="s">
        <x:v>21</x:v>
      </x:c>
      <x:c r="N487" s="0" t="s">
        <x:v>46</x:v>
      </x:c>
    </x:row>
    <x:row r="488" spans="1:16">
      <x:c r="A488" s="0" t="s">
        <x:v>1872</x:v>
      </x:c>
      <x:c r="B488" s="0" t="s">
        <x:v>1873</x:v>
      </x:c>
      <x:c r="C488" s="0" t="s">
        <x:v>1874</x:v>
      </x:c>
      <x:c r="E488" s="0" t="s">
        <x:v>1875</x:v>
      </x:c>
      <x:c r="F488" s="0" t="s">
        <x:v>45</x:v>
      </x:c>
      <x:c r="G488" s="0" t="s">
        <x:v>19</x:v>
      </x:c>
      <x:c r="H488" s="0" t="s">
        <x:v>20</x:v>
      </x:c>
      <x:c r="I488" s="0" t="s">
        <x:v>21</x:v>
      </x:c>
      <x:c r="K488" s="0">
        <x:f>hyperlink("https://icd.who.int/dev11/l-ichi/en#/http%3A%2F%2Fid.who.int%2Ficd%2Fentity%2F2089288972","browser")</x:f>
      </x:c>
      <x:c r="L488" s="0">
        <x:f>hyperlink("https://icat2.azurewebsites.net/icat/?ontology=ICD&amp;tab=ClassesTab&amp;id=http%3A%2F%2Fwho.int%2Ficd%232390_c1eb5896_b43e_4531_bd82_f72e7a00cdd6","iCat")</x:f>
      </x:c>
      <x:c r="M488" s="0" t="s">
        <x:v>21</x:v>
      </x:c>
      <x:c r="N488" s="0" t="s">
        <x:v>46</x:v>
      </x:c>
    </x:row>
    <x:row r="489" spans="1:16">
      <x:c r="A489" s="0" t="s">
        <x:v>1876</x:v>
      </x:c>
      <x:c r="B489" s="0" t="s">
        <x:v>1877</x:v>
      </x:c>
      <x:c r="C489" s="0" t="s">
        <x:v>1878</x:v>
      </x:c>
      <x:c r="E489" s="0" t="s">
        <x:v>1879</x:v>
      </x:c>
      <x:c r="F489" s="0" t="s">
        <x:v>45</x:v>
      </x:c>
      <x:c r="G489" s="0" t="s">
        <x:v>19</x:v>
      </x:c>
      <x:c r="H489" s="0" t="s">
        <x:v>20</x:v>
      </x:c>
      <x:c r="I489" s="0" t="s">
        <x:v>21</x:v>
      </x:c>
      <x:c r="K489" s="0">
        <x:f>hyperlink("https://icd.who.int/dev11/l-ichi/en#/http%3A%2F%2Fid.who.int%2Ficd%2Fentity%2F1234157950","browser")</x:f>
      </x:c>
      <x:c r="L489" s="0">
        <x:f>hyperlink("https://icat2.azurewebsites.net/icat/?ontology=ICD&amp;tab=ClassesTab&amp;id=http%3A%2F%2Fwho.int%2Ficd%232394_c1eb5896_b43e_4531_bd82_f72e7a00cdd6","iCat")</x:f>
      </x:c>
      <x:c r="M489" s="0" t="s">
        <x:v>21</x:v>
      </x:c>
      <x:c r="N489" s="0" t="s">
        <x:v>46</x:v>
      </x:c>
    </x:row>
    <x:row r="490" spans="1:16">
      <x:c r="A490" s="0" t="s">
        <x:v>1880</x:v>
      </x:c>
      <x:c r="B490" s="0" t="s">
        <x:v>1881</x:v>
      </x:c>
      <x:c r="C490" s="0" t="s">
        <x:v>1882</x:v>
      </x:c>
      <x:c r="E490" s="0" t="s">
        <x:v>1883</x:v>
      </x:c>
      <x:c r="F490" s="0" t="s">
        <x:v>45</x:v>
      </x:c>
      <x:c r="G490" s="0" t="s">
        <x:v>19</x:v>
      </x:c>
      <x:c r="H490" s="0" t="s">
        <x:v>20</x:v>
      </x:c>
      <x:c r="I490" s="0" t="s">
        <x:v>21</x:v>
      </x:c>
      <x:c r="K490" s="0">
        <x:f>hyperlink("https://icd.who.int/dev11/l-ichi/en#/http%3A%2F%2Fid.who.int%2Ficd%2Fentity%2F186627740","browser")</x:f>
      </x:c>
      <x:c r="L490" s="0">
        <x:f>hyperlink("https://icat2.azurewebsites.net/icat/?ontology=ICD&amp;tab=ClassesTab&amp;id=http%3A%2F%2Fwho.int%2Ficd%2376_d85a204c_d00a_4566_a3b7_2d137a1891cf","iCat")</x:f>
      </x:c>
      <x:c r="M490" s="0" t="s">
        <x:v>21</x:v>
      </x:c>
      <x:c r="N490" s="0" t="s">
        <x:v>46</x:v>
      </x:c>
    </x:row>
    <x:row r="491" spans="1:16">
      <x:c r="A491" s="0" t="s">
        <x:v>1884</x:v>
      </x:c>
      <x:c r="B491" s="0" t="s">
        <x:v>1885</x:v>
      </x:c>
      <x:c r="E491" s="0" t="s">
        <x:v>1886</x:v>
      </x:c>
      <x:c r="F491" s="0" t="s">
        <x:v>26</x:v>
      </x:c>
      <x:c r="G491" s="0" t="s">
        <x:v>22</x:v>
      </x:c>
      <x:c r="H491" s="0" t="s">
        <x:v>20</x:v>
      </x:c>
      <x:c r="I491" s="0" t="s">
        <x:v>21</x:v>
      </x:c>
      <x:c r="K491" s="0">
        <x:f>hyperlink("https://icd.who.int/dev11/l-ichi/en#/http%3A%2F%2Fid.who.int%2Ficd%2Fentity%2F547884556","browser")</x:f>
      </x:c>
      <x:c r="L491" s="0">
        <x:f>hyperlink("https://icat2.azurewebsites.net/icat/?ontology=ICD&amp;tab=ClassesTab&amp;id=http%3A%2F%2Fwho.int%2Ficd%232403_c1eb5896_b43e_4531_bd82_f72e7a00cdd6","iCat")</x:f>
      </x:c>
      <x:c r="M491" s="0" t="s">
        <x:v>20</x:v>
      </x:c>
      <x:c r="N491" s="0" t="s">
        <x:v>22</x:v>
      </x:c>
    </x:row>
    <x:row r="492" spans="1:16">
      <x:c r="A492" s="0" t="s">
        <x:v>1887</x:v>
      </x:c>
      <x:c r="B492" s="0" t="s">
        <x:v>1888</x:v>
      </x:c>
      <x:c r="C492" s="0" t="s">
        <x:v>1889</x:v>
      </x:c>
      <x:c r="E492" s="0" t="s">
        <x:v>1890</x:v>
      </x:c>
      <x:c r="F492" s="0" t="s">
        <x:v>45</x:v>
      </x:c>
      <x:c r="G492" s="0" t="s">
        <x:v>19</x:v>
      </x:c>
      <x:c r="H492" s="0" t="s">
        <x:v>20</x:v>
      </x:c>
      <x:c r="I492" s="0" t="s">
        <x:v>21</x:v>
      </x:c>
      <x:c r="K492" s="0">
        <x:f>hyperlink("https://icd.who.int/dev11/l-ichi/en#/http%3A%2F%2Fid.who.int%2Ficd%2Fentity%2F1788143975","browser")</x:f>
      </x:c>
      <x:c r="L492" s="0">
        <x:f>hyperlink("https://icat2.azurewebsites.net/icat/?ontology=ICD&amp;tab=ClassesTab&amp;id=http%3A%2F%2Fwho.int%2Ficd%232412_c1eb5896_b43e_4531_bd82_f72e7a00cdd6","iCat")</x:f>
      </x:c>
      <x:c r="M492" s="0" t="s">
        <x:v>21</x:v>
      </x:c>
      <x:c r="N492" s="0" t="s">
        <x:v>46</x:v>
      </x:c>
    </x:row>
    <x:row r="493" spans="1:16">
      <x:c r="A493" s="0" t="s">
        <x:v>1891</x:v>
      </x:c>
      <x:c r="B493" s="0" t="s">
        <x:v>1892</x:v>
      </x:c>
      <x:c r="C493" s="0" t="s">
        <x:v>1893</x:v>
      </x:c>
      <x:c r="E493" s="0" t="s">
        <x:v>1894</x:v>
      </x:c>
      <x:c r="F493" s="0" t="s">
        <x:v>45</x:v>
      </x:c>
      <x:c r="G493" s="0" t="s">
        <x:v>19</x:v>
      </x:c>
      <x:c r="H493" s="0" t="s">
        <x:v>20</x:v>
      </x:c>
      <x:c r="I493" s="0" t="s">
        <x:v>21</x:v>
      </x:c>
      <x:c r="K493" s="0">
        <x:f>hyperlink("https://icd.who.int/dev11/l-ichi/en#/http%3A%2F%2Fid.who.int%2Ficd%2Fentity%2F1603480851","browser")</x:f>
      </x:c>
      <x:c r="L493" s="0">
        <x:f>hyperlink("https://icat2.azurewebsites.net/icat/?ontology=ICD&amp;tab=ClassesTab&amp;id=http%3A%2F%2Fwho.int%2Ficd%232416_c1eb5896_b43e_4531_bd82_f72e7a00cdd6","iCat")</x:f>
      </x:c>
      <x:c r="M493" s="0" t="s">
        <x:v>21</x:v>
      </x:c>
      <x:c r="N493" s="0" t="s">
        <x:v>46</x:v>
      </x:c>
    </x:row>
    <x:row r="494" spans="1:16">
      <x:c r="A494" s="0" t="s">
        <x:v>1895</x:v>
      </x:c>
      <x:c r="B494" s="0" t="s">
        <x:v>1896</x:v>
      </x:c>
      <x:c r="C494" s="0" t="s">
        <x:v>1897</x:v>
      </x:c>
      <x:c r="E494" s="0" t="s">
        <x:v>1898</x:v>
      </x:c>
      <x:c r="F494" s="0" t="s">
        <x:v>45</x:v>
      </x:c>
      <x:c r="G494" s="0" t="s">
        <x:v>19</x:v>
      </x:c>
      <x:c r="H494" s="0" t="s">
        <x:v>20</x:v>
      </x:c>
      <x:c r="I494" s="0" t="s">
        <x:v>21</x:v>
      </x:c>
      <x:c r="K494" s="0">
        <x:f>hyperlink("https://icd.who.int/dev11/l-ichi/en#/http%3A%2F%2Fid.who.int%2Ficd%2Fentity%2F1331279013","browser")</x:f>
      </x:c>
      <x:c r="L494" s="0">
        <x:f>hyperlink("https://icat2.azurewebsites.net/icat/?ontology=ICD&amp;tab=ClassesTab&amp;id=http%3A%2F%2Fwho.int%2Ficd%232420_c1eb5896_b43e_4531_bd82_f72e7a00cdd6","iCat")</x:f>
      </x:c>
      <x:c r="M494" s="0" t="s">
        <x:v>21</x:v>
      </x:c>
      <x:c r="N494" s="0" t="s">
        <x:v>46</x:v>
      </x:c>
    </x:row>
    <x:row r="495" spans="1:16">
      <x:c r="A495" s="0" t="s">
        <x:v>1899</x:v>
      </x:c>
      <x:c r="B495" s="0" t="s">
        <x:v>1900</x:v>
      </x:c>
      <x:c r="C495" s="0" t="s">
        <x:v>1901</x:v>
      </x:c>
      <x:c r="E495" s="0" t="s">
        <x:v>1902</x:v>
      </x:c>
      <x:c r="F495" s="0" t="s">
        <x:v>45</x:v>
      </x:c>
      <x:c r="G495" s="0" t="s">
        <x:v>19</x:v>
      </x:c>
      <x:c r="H495" s="0" t="s">
        <x:v>20</x:v>
      </x:c>
      <x:c r="I495" s="0" t="s">
        <x:v>21</x:v>
      </x:c>
      <x:c r="K495" s="0">
        <x:f>hyperlink("https://icd.who.int/dev11/l-ichi/en#/http%3A%2F%2Fid.who.int%2Ficd%2Fentity%2F2053009617","browser")</x:f>
      </x:c>
      <x:c r="L495" s="0">
        <x:f>hyperlink("https://icat2.azurewebsites.net/icat/?ontology=ICD&amp;tab=ClassesTab&amp;id=http%3A%2F%2Fwho.int%2Ficd%232424_c1eb5896_b43e_4531_bd82_f72e7a00cdd6","iCat")</x:f>
      </x:c>
      <x:c r="M495" s="0" t="s">
        <x:v>21</x:v>
      </x:c>
      <x:c r="N495" s="0" t="s">
        <x:v>46</x:v>
      </x:c>
    </x:row>
    <x:row r="496" spans="1:16">
      <x:c r="A496" s="0" t="s">
        <x:v>1903</x:v>
      </x:c>
      <x:c r="B496" s="0" t="s">
        <x:v>1904</x:v>
      </x:c>
      <x:c r="E496" s="0" t="s">
        <x:v>1905</x:v>
      </x:c>
      <x:c r="F496" s="0" t="s">
        <x:v>26</x:v>
      </x:c>
      <x:c r="G496" s="0" t="s">
        <x:v>22</x:v>
      </x:c>
      <x:c r="H496" s="0" t="s">
        <x:v>20</x:v>
      </x:c>
      <x:c r="I496" s="0" t="s">
        <x:v>21</x:v>
      </x:c>
      <x:c r="K496" s="0">
        <x:f>hyperlink("https://icd.who.int/dev11/l-ichi/en#/http%3A%2F%2Fid.who.int%2Ficd%2Fentity%2F555857870","browser")</x:f>
      </x:c>
      <x:c r="L496" s="0">
        <x:f>hyperlink("https://icat2.azurewebsites.net/icat/?ontology=ICD&amp;tab=ClassesTab&amp;id=http%3A%2F%2Fwho.int%2Ficd%232429_c1eb5896_b43e_4531_bd82_f72e7a00cdd6","iCat")</x:f>
      </x:c>
      <x:c r="M496" s="0" t="s">
        <x:v>20</x:v>
      </x:c>
      <x:c r="N496" s="0" t="s">
        <x:v>119</x:v>
      </x:c>
    </x:row>
    <x:row r="497" spans="1:16">
      <x:c r="A497" s="0" t="s">
        <x:v>1906</x:v>
      </x:c>
      <x:c r="B497" s="0" t="s">
        <x:v>1907</x:v>
      </x:c>
      <x:c r="C497" s="0" t="s">
        <x:v>1908</x:v>
      </x:c>
      <x:c r="E497" s="0" t="s">
        <x:v>1909</x:v>
      </x:c>
      <x:c r="F497" s="0" t="s">
        <x:v>45</x:v>
      </x:c>
      <x:c r="G497" s="0" t="s">
        <x:v>19</x:v>
      </x:c>
      <x:c r="H497" s="0" t="s">
        <x:v>20</x:v>
      </x:c>
      <x:c r="I497" s="0" t="s">
        <x:v>21</x:v>
      </x:c>
      <x:c r="K497" s="0">
        <x:f>hyperlink("https://icd.who.int/dev11/l-ichi/en#/http%3A%2F%2Fid.who.int%2Ficd%2Fentity%2F30983664","browser")</x:f>
      </x:c>
      <x:c r="L497" s="0">
        <x:f>hyperlink("https://icat2.azurewebsites.net/icat/?ontology=ICD&amp;tab=ClassesTab&amp;id=http%3A%2F%2Fwho.int%2Ficd%232428_c1eb5896_b43e_4531_bd82_f72e7a00cdd6","iCat")</x:f>
      </x:c>
      <x:c r="M497" s="0" t="s">
        <x:v>21</x:v>
      </x:c>
      <x:c r="N497" s="0" t="s">
        <x:v>46</x:v>
      </x:c>
    </x:row>
    <x:row r="498" spans="1:16">
      <x:c r="A498" s="0" t="s">
        <x:v>1910</x:v>
      </x:c>
      <x:c r="B498" s="0" t="s">
        <x:v>1911</x:v>
      </x:c>
      <x:c r="C498" s="0" t="s">
        <x:v>1912</x:v>
      </x:c>
      <x:c r="E498" s="0" t="s">
        <x:v>1913</x:v>
      </x:c>
      <x:c r="F498" s="0" t="s">
        <x:v>45</x:v>
      </x:c>
      <x:c r="G498" s="0" t="s">
        <x:v>19</x:v>
      </x:c>
      <x:c r="H498" s="0" t="s">
        <x:v>20</x:v>
      </x:c>
      <x:c r="I498" s="0" t="s">
        <x:v>21</x:v>
      </x:c>
      <x:c r="K498" s="0">
        <x:f>hyperlink("https://icd.who.int/dev11/l-ichi/en#/http%3A%2F%2Fid.who.int%2Ficd%2Fentity%2F1797083303","browser")</x:f>
      </x:c>
      <x:c r="L498" s="0">
        <x:f>hyperlink("https://icat2.azurewebsites.net/icat/?ontology=ICD&amp;tab=ClassesTab&amp;id=http%3A%2F%2Fwho.int%2Ficd%232438_c1eb5896_b43e_4531_bd82_f72e7a00cdd6","iCat")</x:f>
      </x:c>
      <x:c r="M498" s="0" t="s">
        <x:v>21</x:v>
      </x:c>
      <x:c r="N498" s="0" t="s">
        <x:v>46</x:v>
      </x:c>
    </x:row>
    <x:row r="499" spans="1:16">
      <x:c r="A499" s="0" t="s">
        <x:v>1914</x:v>
      </x:c>
      <x:c r="B499" s="0" t="s">
        <x:v>1915</x:v>
      </x:c>
      <x:c r="C499" s="0" t="s">
        <x:v>1916</x:v>
      </x:c>
      <x:c r="E499" s="0" t="s">
        <x:v>1917</x:v>
      </x:c>
      <x:c r="F499" s="0" t="s">
        <x:v>45</x:v>
      </x:c>
      <x:c r="G499" s="0" t="s">
        <x:v>19</x:v>
      </x:c>
      <x:c r="H499" s="0" t="s">
        <x:v>20</x:v>
      </x:c>
      <x:c r="I499" s="0" t="s">
        <x:v>21</x:v>
      </x:c>
      <x:c r="K499" s="0">
        <x:f>hyperlink("https://icd.who.int/dev11/l-ichi/en#/http%3A%2F%2Fid.who.int%2Ficd%2Fentity%2F1882599213","browser")</x:f>
      </x:c>
      <x:c r="L499" s="0">
        <x:f>hyperlink("https://icat2.azurewebsites.net/icat/?ontology=ICD&amp;tab=ClassesTab&amp;id=http%3A%2F%2Fwho.int%2Ficd%232442_c1eb5896_b43e_4531_bd82_f72e7a00cdd6","iCat")</x:f>
      </x:c>
      <x:c r="M499" s="0" t="s">
        <x:v>21</x:v>
      </x:c>
      <x:c r="N499" s="0" t="s">
        <x:v>46</x:v>
      </x:c>
    </x:row>
    <x:row r="500" spans="1:16">
      <x:c r="A500" s="0" t="s">
        <x:v>1918</x:v>
      </x:c>
      <x:c r="B500" s="0" t="s">
        <x:v>1919</x:v>
      </x:c>
      <x:c r="C500" s="0" t="s">
        <x:v>1920</x:v>
      </x:c>
      <x:c r="E500" s="0" t="s">
        <x:v>1921</x:v>
      </x:c>
      <x:c r="F500" s="0" t="s">
        <x:v>45</x:v>
      </x:c>
      <x:c r="G500" s="0" t="s">
        <x:v>19</x:v>
      </x:c>
      <x:c r="H500" s="0" t="s">
        <x:v>20</x:v>
      </x:c>
      <x:c r="I500" s="0" t="s">
        <x:v>21</x:v>
      </x:c>
      <x:c r="K500" s="0">
        <x:f>hyperlink("https://icd.who.int/dev11/l-ichi/en#/http%3A%2F%2Fid.who.int%2Ficd%2Fentity%2F2140121023","browser")</x:f>
      </x:c>
      <x:c r="L500" s="0">
        <x:f>hyperlink("https://icat2.azurewebsites.net/icat/?ontology=ICD&amp;tab=ClassesTab&amp;id=http%3A%2F%2Fwho.int%2Ficd%232450_c1eb5896_b43e_4531_bd82_f72e7a00cdd6","iCat")</x:f>
      </x:c>
      <x:c r="M500" s="0" t="s">
        <x:v>21</x:v>
      </x:c>
      <x:c r="N500" s="0" t="s">
        <x:v>46</x:v>
      </x:c>
    </x:row>
    <x:row r="501" spans="1:16">
      <x:c r="A501" s="0" t="s">
        <x:v>1922</x:v>
      </x:c>
      <x:c r="B501" s="0" t="s">
        <x:v>1923</x:v>
      </x:c>
      <x:c r="C501" s="0" t="s">
        <x:v>1924</x:v>
      </x:c>
      <x:c r="E501" s="0" t="s">
        <x:v>1925</x:v>
      </x:c>
      <x:c r="F501" s="0" t="s">
        <x:v>45</x:v>
      </x:c>
      <x:c r="G501" s="0" t="s">
        <x:v>19</x:v>
      </x:c>
      <x:c r="H501" s="0" t="s">
        <x:v>20</x:v>
      </x:c>
      <x:c r="I501" s="0" t="s">
        <x:v>21</x:v>
      </x:c>
      <x:c r="K501" s="0">
        <x:f>hyperlink("https://icd.who.int/dev11/l-ichi/en#/http%3A%2F%2Fid.who.int%2Ficd%2Fentity%2F1250452427","browser")</x:f>
      </x:c>
      <x:c r="L501" s="0">
        <x:f>hyperlink("https://icat2.azurewebsites.net/icat/?ontology=ICD&amp;tab=ClassesTab&amp;id=http%3A%2F%2Fwho.int%2Ficd%232454_c1eb5896_b43e_4531_bd82_f72e7a00cdd6","iCat")</x:f>
      </x:c>
      <x:c r="M501" s="0" t="s">
        <x:v>21</x:v>
      </x:c>
      <x:c r="N501" s="0" t="s">
        <x:v>46</x:v>
      </x:c>
    </x:row>
    <x:row r="502" spans="1:16">
      <x:c r="A502" s="0" t="s">
        <x:v>1926</x:v>
      </x:c>
      <x:c r="B502" s="0" t="s">
        <x:v>1927</x:v>
      </x:c>
      <x:c r="C502" s="0" t="s">
        <x:v>1928</x:v>
      </x:c>
      <x:c r="E502" s="0" t="s">
        <x:v>1929</x:v>
      </x:c>
      <x:c r="F502" s="0" t="s">
        <x:v>45</x:v>
      </x:c>
      <x:c r="G502" s="0" t="s">
        <x:v>19</x:v>
      </x:c>
      <x:c r="H502" s="0" t="s">
        <x:v>20</x:v>
      </x:c>
      <x:c r="I502" s="0" t="s">
        <x:v>21</x:v>
      </x:c>
      <x:c r="K502" s="0">
        <x:f>hyperlink("https://icd.who.int/dev11/l-ichi/en#/http%3A%2F%2Fid.who.int%2Ficd%2Fentity%2F823056108","browser")</x:f>
      </x:c>
      <x:c r="L502" s="0">
        <x:f>hyperlink("https://icat2.azurewebsites.net/icat/?ontology=ICD&amp;tab=ClassesTab&amp;id=http%3A%2F%2Fwho.int%2Ficd%232458_c1eb5896_b43e_4531_bd82_f72e7a00cdd6","iCat")</x:f>
      </x:c>
      <x:c r="M502" s="0" t="s">
        <x:v>21</x:v>
      </x:c>
      <x:c r="N502" s="0" t="s">
        <x:v>46</x:v>
      </x:c>
    </x:row>
    <x:row r="503" spans="1:16">
      <x:c r="A503" s="0" t="s">
        <x:v>1930</x:v>
      </x:c>
      <x:c r="B503" s="0" t="s">
        <x:v>1931</x:v>
      </x:c>
      <x:c r="C503" s="0" t="s">
        <x:v>1932</x:v>
      </x:c>
      <x:c r="E503" s="0" t="s">
        <x:v>1933</x:v>
      </x:c>
      <x:c r="F503" s="0" t="s">
        <x:v>45</x:v>
      </x:c>
      <x:c r="G503" s="0" t="s">
        <x:v>19</x:v>
      </x:c>
      <x:c r="H503" s="0" t="s">
        <x:v>20</x:v>
      </x:c>
      <x:c r="I503" s="0" t="s">
        <x:v>21</x:v>
      </x:c>
      <x:c r="K503" s="0">
        <x:f>hyperlink("https://icd.who.int/dev11/l-ichi/en#/http%3A%2F%2Fid.who.int%2Ficd%2Fentity%2F1514338941","browser")</x:f>
      </x:c>
      <x:c r="L503" s="0">
        <x:f>hyperlink("https://icat2.azurewebsites.net/icat/?ontology=ICD&amp;tab=ClassesTab&amp;id=http%3A%2F%2Fwho.int%2Ficd%232462_c1eb5896_b43e_4531_bd82_f72e7a00cdd6","iCat")</x:f>
      </x:c>
      <x:c r="M503" s="0" t="s">
        <x:v>21</x:v>
      </x:c>
      <x:c r="N503" s="0" t="s">
        <x:v>46</x:v>
      </x:c>
    </x:row>
    <x:row r="504" spans="1:16">
      <x:c r="A504" s="0" t="s">
        <x:v>1934</x:v>
      </x:c>
      <x:c r="B504" s="0" t="s">
        <x:v>1935</x:v>
      </x:c>
      <x:c r="C504" s="0" t="s">
        <x:v>1936</x:v>
      </x:c>
      <x:c r="E504" s="0" t="s">
        <x:v>1937</x:v>
      </x:c>
      <x:c r="F504" s="0" t="s">
        <x:v>45</x:v>
      </x:c>
      <x:c r="G504" s="0" t="s">
        <x:v>19</x:v>
      </x:c>
      <x:c r="H504" s="0" t="s">
        <x:v>20</x:v>
      </x:c>
      <x:c r="I504" s="0" t="s">
        <x:v>21</x:v>
      </x:c>
      <x:c r="K504" s="0">
        <x:f>hyperlink("https://icd.who.int/dev11/l-ichi/en#/http%3A%2F%2Fid.who.int%2Ficd%2Fentity%2F1866808841","browser")</x:f>
      </x:c>
      <x:c r="L504" s="0">
        <x:f>hyperlink("https://icat2.azurewebsites.net/icat/?ontology=ICD&amp;tab=ClassesTab&amp;id=http%3A%2F%2Fwho.int%2Ficd%232466_c1eb5896_b43e_4531_bd82_f72e7a00cdd6","iCat")</x:f>
      </x:c>
      <x:c r="M504" s="0" t="s">
        <x:v>21</x:v>
      </x:c>
      <x:c r="N504" s="0" t="s">
        <x:v>46</x:v>
      </x:c>
    </x:row>
    <x:row r="505" spans="1:16">
      <x:c r="B505" s="0" t="s">
        <x:v>1938</x:v>
      </x:c>
      <x:c r="C505" s="0" t="s">
        <x:v>1939</x:v>
      </x:c>
      <x:c r="E505" s="0" t="s">
        <x:v>1940</x:v>
      </x:c>
      <x:c r="F505" s="0" t="s">
        <x:v>45</x:v>
      </x:c>
      <x:c r="G505" s="0" t="s">
        <x:v>19</x:v>
      </x:c>
      <x:c r="H505" s="0" t="s">
        <x:v>21</x:v>
      </x:c>
      <x:c r="I505" s="0" t="s">
        <x:v>21</x:v>
      </x:c>
      <x:c r="K505" s="0">
        <x:f>hyperlink("https://icd.who.int/dev11/l-ichi/en#/http%3A%2F%2Fid.who.int%2Ficd%2Fentity%2F474924463%2Fichi%2Fother","browser")</x:f>
      </x:c>
      <x:c r="L505" s="0">
        <x:f>hyperlink("","iCat")</x:f>
      </x:c>
      <x:c r="M505" s="0" t="s">
        <x:v>21</x:v>
      </x:c>
      <x:c r="N505" s="0" t="s">
        <x:v>46</x:v>
      </x:c>
    </x:row>
    <x:row r="506" spans="1:16">
      <x:c r="B506" s="0" t="s">
        <x:v>1941</x:v>
      </x:c>
      <x:c r="C506" s="0" t="s">
        <x:v>1942</x:v>
      </x:c>
      <x:c r="E506" s="0" t="s">
        <x:v>1943</x:v>
      </x:c>
      <x:c r="F506" s="0" t="s">
        <x:v>45</x:v>
      </x:c>
      <x:c r="G506" s="0" t="s">
        <x:v>19</x:v>
      </x:c>
      <x:c r="H506" s="0" t="s">
        <x:v>21</x:v>
      </x:c>
      <x:c r="I506" s="0" t="s">
        <x:v>21</x:v>
      </x:c>
      <x:c r="K506" s="0">
        <x:f>hyperlink("https://icd.who.int/dev11/l-ichi/en#/http%3A%2F%2Fid.who.int%2Ficd%2Fentity%2F474924463%2Fichi%2Funspecified","browser")</x:f>
      </x:c>
      <x:c r="L506" s="0">
        <x:f>hyperlink("","iCat")</x:f>
      </x:c>
      <x:c r="M506" s="0" t="s">
        <x:v>21</x:v>
      </x:c>
      <x:c r="N506" s="0" t="s">
        <x:v>46</x:v>
      </x:c>
    </x:row>
    <x:row r="507" spans="1:16">
      <x:c r="A507" s="0" t="s">
        <x:v>1944</x:v>
      </x:c>
      <x:c r="B507" s="0" t="s">
        <x:v>1945</x:v>
      </x:c>
      <x:c r="E507" s="0" t="s">
        <x:v>1946</x:v>
      </x:c>
      <x:c r="F507" s="0" t="s">
        <x:v>26</x:v>
      </x:c>
      <x:c r="G507" s="0" t="s">
        <x:v>35</x:v>
      </x:c>
      <x:c r="H507" s="0" t="s">
        <x:v>20</x:v>
      </x:c>
      <x:c r="I507" s="0" t="s">
        <x:v>21</x:v>
      </x:c>
      <x:c r="K507" s="0">
        <x:f>hyperlink("https://icd.who.int/dev11/l-ichi/en#/http%3A%2F%2Fid.who.int%2Ficd%2Fentity%2F1524976141","browser")</x:f>
      </x:c>
      <x:c r="L507" s="0">
        <x:f>hyperlink("https://icat2.azurewebsites.net/icat/?ontology=ICD&amp;tab=ClassesTab&amp;id=http%3A%2F%2Fwho.int%2Ficd%232481_c1eb5896_b43e_4531_bd82_f72e7a00cdd6","iCat")</x:f>
      </x:c>
      <x:c r="M507" s="0" t="s">
        <x:v>20</x:v>
      </x:c>
      <x:c r="N507" s="0" t="s">
        <x:v>431</x:v>
      </x:c>
    </x:row>
    <x:row r="508" spans="1:16">
      <x:c r="A508" s="0" t="s">
        <x:v>1947</x:v>
      </x:c>
      <x:c r="B508" s="0" t="s">
        <x:v>1948</x:v>
      </x:c>
      <x:c r="E508" s="0" t="s">
        <x:v>1949</x:v>
      </x:c>
      <x:c r="F508" s="0" t="s">
        <x:v>26</x:v>
      </x:c>
      <x:c r="G508" s="0" t="s">
        <x:v>22</x:v>
      </x:c>
      <x:c r="H508" s="0" t="s">
        <x:v>20</x:v>
      </x:c>
      <x:c r="I508" s="0" t="s">
        <x:v>21</x:v>
      </x:c>
      <x:c r="K508" s="0">
        <x:f>hyperlink("https://icd.who.int/dev11/l-ichi/en#/http%3A%2F%2Fid.who.int%2Ficd%2Fentity%2F178164668","browser")</x:f>
      </x:c>
      <x:c r="L508" s="0">
        <x:f>hyperlink("https://icat2.azurewebsites.net/icat/?ontology=ICD&amp;tab=ClassesTab&amp;id=http%3A%2F%2Fwho.int%2Ficd%232487_c1eb5896_b43e_4531_bd82_f72e7a00cdd6","iCat")</x:f>
      </x:c>
      <x:c r="M508" s="0" t="s">
        <x:v>20</x:v>
      </x:c>
      <x:c r="N508" s="0" t="s">
        <x:v>903</x:v>
      </x:c>
    </x:row>
    <x:row r="509" spans="1:16">
      <x:c r="A509" s="0" t="s">
        <x:v>1950</x:v>
      </x:c>
      <x:c r="B509" s="0" t="s">
        <x:v>1951</x:v>
      </x:c>
      <x:c r="C509" s="0" t="s">
        <x:v>1952</x:v>
      </x:c>
      <x:c r="E509" s="0" t="s">
        <x:v>1953</x:v>
      </x:c>
      <x:c r="F509" s="0" t="s">
        <x:v>45</x:v>
      </x:c>
      <x:c r="G509" s="0" t="s">
        <x:v>19</x:v>
      </x:c>
      <x:c r="H509" s="0" t="s">
        <x:v>20</x:v>
      </x:c>
      <x:c r="I509" s="0" t="s">
        <x:v>21</x:v>
      </x:c>
      <x:c r="K509" s="0">
        <x:f>hyperlink("https://icd.who.int/dev11/l-ichi/en#/http%3A%2F%2Fid.who.int%2Ficd%2Fentity%2F2048669745","browser")</x:f>
      </x:c>
      <x:c r="L509" s="0">
        <x:f>hyperlink("https://icat2.azurewebsites.net/icat/?ontology=ICD&amp;tab=ClassesTab&amp;id=http%3A%2F%2Fwho.int%2Ficd%232480_c1eb5896_b43e_4531_bd82_f72e7a00cdd6","iCat")</x:f>
      </x:c>
      <x:c r="M509" s="0" t="s">
        <x:v>21</x:v>
      </x:c>
      <x:c r="N509" s="0" t="s">
        <x:v>46</x:v>
      </x:c>
    </x:row>
    <x:row r="510" spans="1:16">
      <x:c r="A510" s="0" t="s">
        <x:v>1954</x:v>
      </x:c>
      <x:c r="B510" s="0" t="s">
        <x:v>1955</x:v>
      </x:c>
      <x:c r="C510" s="0" t="s">
        <x:v>1956</x:v>
      </x:c>
      <x:c r="E510" s="0" t="s">
        <x:v>1957</x:v>
      </x:c>
      <x:c r="F510" s="0" t="s">
        <x:v>45</x:v>
      </x:c>
      <x:c r="G510" s="0" t="s">
        <x:v>19</x:v>
      </x:c>
      <x:c r="H510" s="0" t="s">
        <x:v>20</x:v>
      </x:c>
      <x:c r="I510" s="0" t="s">
        <x:v>21</x:v>
      </x:c>
      <x:c r="K510" s="0">
        <x:f>hyperlink("https://icd.who.int/dev11/l-ichi/en#/http%3A%2F%2Fid.who.int%2Ficd%2Fentity%2F1084388567","browser")</x:f>
      </x:c>
      <x:c r="L510" s="0">
        <x:f>hyperlink("https://icat2.azurewebsites.net/icat/?ontology=ICD&amp;tab=ClassesTab&amp;id=http%3A%2F%2Fwho.int%2Ficd%232496_c1eb5896_b43e_4531_bd82_f72e7a00cdd6","iCat")</x:f>
      </x:c>
      <x:c r="M510" s="0" t="s">
        <x:v>21</x:v>
      </x:c>
      <x:c r="N510" s="0" t="s">
        <x:v>46</x:v>
      </x:c>
    </x:row>
    <x:row r="511" spans="1:16">
      <x:c r="A511" s="0" t="s">
        <x:v>1958</x:v>
      </x:c>
      <x:c r="B511" s="0" t="s">
        <x:v>1959</x:v>
      </x:c>
      <x:c r="C511" s="0" t="s">
        <x:v>1960</x:v>
      </x:c>
      <x:c r="E511" s="0" t="s">
        <x:v>1961</x:v>
      </x:c>
      <x:c r="F511" s="0" t="s">
        <x:v>45</x:v>
      </x:c>
      <x:c r="G511" s="0" t="s">
        <x:v>19</x:v>
      </x:c>
      <x:c r="H511" s="0" t="s">
        <x:v>20</x:v>
      </x:c>
      <x:c r="I511" s="0" t="s">
        <x:v>21</x:v>
      </x:c>
      <x:c r="K511" s="0">
        <x:f>hyperlink("https://icd.who.int/dev11/l-ichi/en#/http%3A%2F%2Fid.who.int%2Ficd%2Fentity%2F280143722","browser")</x:f>
      </x:c>
      <x:c r="L511" s="0">
        <x:f>hyperlink("https://icat2.azurewebsites.net/icat/?ontology=ICD&amp;tab=ClassesTab&amp;id=http%3A%2F%2Fwho.int%2Ficd%232500_c1eb5896_b43e_4531_bd82_f72e7a00cdd6","iCat")</x:f>
      </x:c>
      <x:c r="M511" s="0" t="s">
        <x:v>21</x:v>
      </x:c>
      <x:c r="N511" s="0" t="s">
        <x:v>46</x:v>
      </x:c>
    </x:row>
    <x:row r="512" spans="1:16">
      <x:c r="A512" s="0" t="s">
        <x:v>1962</x:v>
      </x:c>
      <x:c r="B512" s="0" t="s">
        <x:v>1963</x:v>
      </x:c>
      <x:c r="C512" s="0" t="s">
        <x:v>1964</x:v>
      </x:c>
      <x:c r="E512" s="0" t="s">
        <x:v>1965</x:v>
      </x:c>
      <x:c r="F512" s="0" t="s">
        <x:v>45</x:v>
      </x:c>
      <x:c r="G512" s="0" t="s">
        <x:v>19</x:v>
      </x:c>
      <x:c r="H512" s="0" t="s">
        <x:v>20</x:v>
      </x:c>
      <x:c r="I512" s="0" t="s">
        <x:v>21</x:v>
      </x:c>
      <x:c r="K512" s="0">
        <x:f>hyperlink("https://icd.who.int/dev11/l-ichi/en#/http%3A%2F%2Fid.who.int%2Ficd%2Fentity%2F632644380","browser")</x:f>
      </x:c>
      <x:c r="L512" s="0">
        <x:f>hyperlink("https://icat2.azurewebsites.net/icat/?ontology=ICD&amp;tab=ClassesTab&amp;id=http%3A%2F%2Fwho.int%2Ficd%232504_c1eb5896_b43e_4531_bd82_f72e7a00cdd6","iCat")</x:f>
      </x:c>
      <x:c r="M512" s="0" t="s">
        <x:v>21</x:v>
      </x:c>
      <x:c r="N512" s="0" t="s">
        <x:v>46</x:v>
      </x:c>
    </x:row>
    <x:row r="513" spans="1:16">
      <x:c r="A513" s="0" t="s">
        <x:v>1966</x:v>
      </x:c>
      <x:c r="B513" s="0" t="s">
        <x:v>1967</x:v>
      </x:c>
      <x:c r="C513" s="0" t="s">
        <x:v>1968</x:v>
      </x:c>
      <x:c r="E513" s="0" t="s">
        <x:v>1969</x:v>
      </x:c>
      <x:c r="F513" s="0" t="s">
        <x:v>45</x:v>
      </x:c>
      <x:c r="G513" s="0" t="s">
        <x:v>19</x:v>
      </x:c>
      <x:c r="H513" s="0" t="s">
        <x:v>20</x:v>
      </x:c>
      <x:c r="I513" s="0" t="s">
        <x:v>21</x:v>
      </x:c>
      <x:c r="K513" s="0">
        <x:f>hyperlink("https://icd.who.int/dev11/l-ichi/en#/http%3A%2F%2Fid.who.int%2Ficd%2Fentity%2F1580455485","browser")</x:f>
      </x:c>
      <x:c r="L513" s="0">
        <x:f>hyperlink("https://icat2.azurewebsites.net/icat/?ontology=ICD&amp;tab=ClassesTab&amp;id=http%3A%2F%2Fwho.int%2Ficd%232508_c1eb5896_b43e_4531_bd82_f72e7a00cdd6","iCat")</x:f>
      </x:c>
      <x:c r="M513" s="0" t="s">
        <x:v>21</x:v>
      </x:c>
      <x:c r="N513" s="0" t="s">
        <x:v>46</x:v>
      </x:c>
    </x:row>
    <x:row r="514" spans="1:16">
      <x:c r="A514" s="0" t="s">
        <x:v>1970</x:v>
      </x:c>
      <x:c r="B514" s="0" t="s">
        <x:v>1971</x:v>
      </x:c>
      <x:c r="C514" s="0" t="s">
        <x:v>1972</x:v>
      </x:c>
      <x:c r="E514" s="0" t="s">
        <x:v>1973</x:v>
      </x:c>
      <x:c r="F514" s="0" t="s">
        <x:v>45</x:v>
      </x:c>
      <x:c r="G514" s="0" t="s">
        <x:v>19</x:v>
      </x:c>
      <x:c r="H514" s="0" t="s">
        <x:v>20</x:v>
      </x:c>
      <x:c r="I514" s="0" t="s">
        <x:v>21</x:v>
      </x:c>
      <x:c r="K514" s="0">
        <x:f>hyperlink("https://icd.who.int/dev11/l-ichi/en#/http%3A%2F%2Fid.who.int%2Ficd%2Fentity%2F1332803147","browser")</x:f>
      </x:c>
      <x:c r="L514" s="0">
        <x:f>hyperlink("https://icat2.azurewebsites.net/icat/?ontology=ICD&amp;tab=ClassesTab&amp;id=http%3A%2F%2Fwho.int%2Ficd%232514_c1eb5896_b43e_4531_bd82_f72e7a00cdd6","iCat")</x:f>
      </x:c>
      <x:c r="M514" s="0" t="s">
        <x:v>21</x:v>
      </x:c>
      <x:c r="N514" s="0" t="s">
        <x:v>46</x:v>
      </x:c>
    </x:row>
    <x:row r="515" spans="1:16">
      <x:c r="A515" s="0" t="s">
        <x:v>1974</x:v>
      </x:c>
      <x:c r="B515" s="0" t="s">
        <x:v>1975</x:v>
      </x:c>
      <x:c r="C515" s="0" t="s">
        <x:v>1976</x:v>
      </x:c>
      <x:c r="E515" s="0" t="s">
        <x:v>1977</x:v>
      </x:c>
      <x:c r="F515" s="0" t="s">
        <x:v>45</x:v>
      </x:c>
      <x:c r="G515" s="0" t="s">
        <x:v>19</x:v>
      </x:c>
      <x:c r="H515" s="0" t="s">
        <x:v>20</x:v>
      </x:c>
      <x:c r="I515" s="0" t="s">
        <x:v>21</x:v>
      </x:c>
      <x:c r="K515" s="0">
        <x:f>hyperlink("https://icd.who.int/dev11/l-ichi/en#/http%3A%2F%2Fid.who.int%2Ficd%2Fentity%2F888554348","browser")</x:f>
      </x:c>
      <x:c r="L515" s="0">
        <x:f>hyperlink("https://icat2.azurewebsites.net/icat/?ontology=ICD&amp;tab=ClassesTab&amp;id=http%3A%2F%2Fwho.int%2Ficd%232518_c1eb5896_b43e_4531_bd82_f72e7a00cdd6","iCat")</x:f>
      </x:c>
      <x:c r="M515" s="0" t="s">
        <x:v>21</x:v>
      </x:c>
      <x:c r="N515" s="0" t="s">
        <x:v>46</x:v>
      </x:c>
    </x:row>
    <x:row r="516" spans="1:16">
      <x:c r="A516" s="0" t="s">
        <x:v>1978</x:v>
      </x:c>
      <x:c r="B516" s="0" t="s">
        <x:v>1979</x:v>
      </x:c>
      <x:c r="C516" s="0" t="s">
        <x:v>1980</x:v>
      </x:c>
      <x:c r="E516" s="0" t="s">
        <x:v>1981</x:v>
      </x:c>
      <x:c r="F516" s="0" t="s">
        <x:v>45</x:v>
      </x:c>
      <x:c r="G516" s="0" t="s">
        <x:v>19</x:v>
      </x:c>
      <x:c r="H516" s="0" t="s">
        <x:v>20</x:v>
      </x:c>
      <x:c r="I516" s="0" t="s">
        <x:v>21</x:v>
      </x:c>
      <x:c r="K516" s="0">
        <x:f>hyperlink("https://icd.who.int/dev11/l-ichi/en#/http%3A%2F%2Fid.who.int%2Ficd%2Fentity%2F1606053885","browser")</x:f>
      </x:c>
      <x:c r="L516" s="0">
        <x:f>hyperlink("https://icat2.azurewebsites.net/icat/?ontology=ICD&amp;tab=ClassesTab&amp;id=http%3A%2F%2Fwho.int%2Ficd%232522_c1eb5896_b43e_4531_bd82_f72e7a00cdd6","iCat")</x:f>
      </x:c>
      <x:c r="M516" s="0" t="s">
        <x:v>21</x:v>
      </x:c>
      <x:c r="N516" s="0" t="s">
        <x:v>46</x:v>
      </x:c>
    </x:row>
    <x:row r="517" spans="1:16">
      <x:c r="A517" s="0" t="s">
        <x:v>1982</x:v>
      </x:c>
      <x:c r="B517" s="0" t="s">
        <x:v>1983</x:v>
      </x:c>
      <x:c r="C517" s="0" t="s">
        <x:v>1984</x:v>
      </x:c>
      <x:c r="E517" s="0" t="s">
        <x:v>1985</x:v>
      </x:c>
      <x:c r="F517" s="0" t="s">
        <x:v>45</x:v>
      </x:c>
      <x:c r="G517" s="0" t="s">
        <x:v>19</x:v>
      </x:c>
      <x:c r="H517" s="0" t="s">
        <x:v>20</x:v>
      </x:c>
      <x:c r="I517" s="0" t="s">
        <x:v>21</x:v>
      </x:c>
      <x:c r="K517" s="0">
        <x:f>hyperlink("https://icd.who.int/dev11/l-ichi/en#/http%3A%2F%2Fid.who.int%2Ficd%2Fentity%2F1790815113","browser")</x:f>
      </x:c>
      <x:c r="L517" s="0">
        <x:f>hyperlink("https://icat2.azurewebsites.net/icat/?ontology=ICD&amp;tab=ClassesTab&amp;id=http%3A%2F%2Fwho.int%2Ficd%232526_c1eb5896_b43e_4531_bd82_f72e7a00cdd6","iCat")</x:f>
      </x:c>
      <x:c r="M517" s="0" t="s">
        <x:v>21</x:v>
      </x:c>
      <x:c r="N517" s="0" t="s">
        <x:v>46</x:v>
      </x:c>
    </x:row>
    <x:row r="518" spans="1:16">
      <x:c r="A518" s="0" t="s">
        <x:v>1986</x:v>
      </x:c>
      <x:c r="B518" s="0" t="s">
        <x:v>1987</x:v>
      </x:c>
      <x:c r="C518" s="0" t="s">
        <x:v>1988</x:v>
      </x:c>
      <x:c r="E518" s="0" t="s">
        <x:v>1989</x:v>
      </x:c>
      <x:c r="F518" s="0" t="s">
        <x:v>45</x:v>
      </x:c>
      <x:c r="G518" s="0" t="s">
        <x:v>19</x:v>
      </x:c>
      <x:c r="H518" s="0" t="s">
        <x:v>20</x:v>
      </x:c>
      <x:c r="I518" s="0" t="s">
        <x:v>21</x:v>
      </x:c>
      <x:c r="K518" s="0">
        <x:f>hyperlink("https://icd.who.int/dev11/l-ichi/en#/http%3A%2F%2Fid.who.int%2Ficd%2Fentity%2F1342433135","browser")</x:f>
      </x:c>
      <x:c r="L518" s="0">
        <x:f>hyperlink("https://icat2.azurewebsites.net/icat/?ontology=ICD&amp;tab=ClassesTab&amp;id=http%3A%2F%2Fwho.int%2Ficd%232530_c1eb5896_b43e_4531_bd82_f72e7a00cdd6","iCat")</x:f>
      </x:c>
      <x:c r="M518" s="0" t="s">
        <x:v>21</x:v>
      </x:c>
      <x:c r="N518" s="0" t="s">
        <x:v>46</x:v>
      </x:c>
    </x:row>
    <x:row r="519" spans="1:16">
      <x:c r="A519" s="0" t="s">
        <x:v>1990</x:v>
      </x:c>
      <x:c r="B519" s="0" t="s">
        <x:v>1991</x:v>
      </x:c>
      <x:c r="E519" s="0" t="s">
        <x:v>1992</x:v>
      </x:c>
      <x:c r="F519" s="0" t="s">
        <x:v>26</x:v>
      </x:c>
      <x:c r="G519" s="0" t="s">
        <x:v>22</x:v>
      </x:c>
      <x:c r="H519" s="0" t="s">
        <x:v>20</x:v>
      </x:c>
      <x:c r="I519" s="0" t="s">
        <x:v>21</x:v>
      </x:c>
      <x:c r="K519" s="0">
        <x:f>hyperlink("https://icd.who.int/dev11/l-ichi/en#/http%3A%2F%2Fid.who.int%2Ficd%2Fentity%2F1174229287","browser")</x:f>
      </x:c>
      <x:c r="L519" s="0">
        <x:f>hyperlink("https://icat2.azurewebsites.net/icat/?ontology=ICD&amp;tab=ClassesTab&amp;id=http%3A%2F%2Fwho.int%2Ficd%232535_c1eb5896_b43e_4531_bd82_f72e7a00cdd6","iCat")</x:f>
      </x:c>
      <x:c r="M519" s="0" t="s">
        <x:v>20</x:v>
      </x:c>
      <x:c r="N519" s="0" t="s">
        <x:v>40</x:v>
      </x:c>
    </x:row>
    <x:row r="520" spans="1:16">
      <x:c r="A520" s="0" t="s">
        <x:v>1993</x:v>
      </x:c>
      <x:c r="B520" s="0" t="s">
        <x:v>1994</x:v>
      </x:c>
      <x:c r="C520" s="0" t="s">
        <x:v>1995</x:v>
      </x:c>
      <x:c r="E520" s="0" t="s">
        <x:v>1996</x:v>
      </x:c>
      <x:c r="F520" s="0" t="s">
        <x:v>45</x:v>
      </x:c>
      <x:c r="G520" s="0" t="s">
        <x:v>19</x:v>
      </x:c>
      <x:c r="H520" s="0" t="s">
        <x:v>20</x:v>
      </x:c>
      <x:c r="I520" s="0" t="s">
        <x:v>21</x:v>
      </x:c>
      <x:c r="K520" s="0">
        <x:f>hyperlink("https://icd.who.int/dev11/l-ichi/en#/http%3A%2F%2Fid.who.int%2Ficd%2Fentity%2F1694769947","browser")</x:f>
      </x:c>
      <x:c r="L520" s="0">
        <x:f>hyperlink("https://icat2.azurewebsites.net/icat/?ontology=ICD&amp;tab=ClassesTab&amp;id=http%3A%2F%2Fwho.int%2Ficd%232534_c1eb5896_b43e_4531_bd82_f72e7a00cdd6","iCat")</x:f>
      </x:c>
      <x:c r="M520" s="0" t="s">
        <x:v>21</x:v>
      </x:c>
      <x:c r="N520" s="0" t="s">
        <x:v>46</x:v>
      </x:c>
    </x:row>
    <x:row r="521" spans="1:16">
      <x:c r="A521" s="0" t="s">
        <x:v>1997</x:v>
      </x:c>
      <x:c r="B521" s="0" t="s">
        <x:v>1998</x:v>
      </x:c>
      <x:c r="C521" s="0" t="s">
        <x:v>1999</x:v>
      </x:c>
      <x:c r="E521" s="0" t="s">
        <x:v>2000</x:v>
      </x:c>
      <x:c r="F521" s="0" t="s">
        <x:v>45</x:v>
      </x:c>
      <x:c r="G521" s="0" t="s">
        <x:v>19</x:v>
      </x:c>
      <x:c r="H521" s="0" t="s">
        <x:v>20</x:v>
      </x:c>
      <x:c r="I521" s="0" t="s">
        <x:v>21</x:v>
      </x:c>
      <x:c r="K521" s="0">
        <x:f>hyperlink("https://icd.who.int/dev11/l-ichi/en#/http%3A%2F%2Fid.who.int%2Ficd%2Fentity%2F1439838209","browser")</x:f>
      </x:c>
      <x:c r="L521" s="0">
        <x:f>hyperlink("https://icat2.azurewebsites.net/icat/?ontology=ICD&amp;tab=ClassesTab&amp;id=http%3A%2F%2Fwho.int%2Ficd%232544_c1eb5896_b43e_4531_bd82_f72e7a00cdd6","iCat")</x:f>
      </x:c>
      <x:c r="M521" s="0" t="s">
        <x:v>21</x:v>
      </x:c>
      <x:c r="N521" s="0" t="s">
        <x:v>46</x:v>
      </x:c>
    </x:row>
    <x:row r="522" spans="1:16">
      <x:c r="A522" s="0" t="s">
        <x:v>2001</x:v>
      </x:c>
      <x:c r="B522" s="0" t="s">
        <x:v>2002</x:v>
      </x:c>
      <x:c r="C522" s="0" t="s">
        <x:v>2003</x:v>
      </x:c>
      <x:c r="E522" s="0" t="s">
        <x:v>2004</x:v>
      </x:c>
      <x:c r="F522" s="0" t="s">
        <x:v>45</x:v>
      </x:c>
      <x:c r="G522" s="0" t="s">
        <x:v>19</x:v>
      </x:c>
      <x:c r="H522" s="0" t="s">
        <x:v>20</x:v>
      </x:c>
      <x:c r="I522" s="0" t="s">
        <x:v>21</x:v>
      </x:c>
      <x:c r="K522" s="0">
        <x:f>hyperlink("https://icd.who.int/dev11/l-ichi/en#/http%3A%2F%2Fid.who.int%2Ficd%2Fentity%2F777291042","browser")</x:f>
      </x:c>
      <x:c r="L522" s="0">
        <x:f>hyperlink("https://icat2.azurewebsites.net/icat/?ontology=ICD&amp;tab=ClassesTab&amp;id=http%3A%2F%2Fwho.int%2Ficd%232548_c1eb5896_b43e_4531_bd82_f72e7a00cdd6","iCat")</x:f>
      </x:c>
      <x:c r="M522" s="0" t="s">
        <x:v>21</x:v>
      </x:c>
      <x:c r="N522" s="0" t="s">
        <x:v>46</x:v>
      </x:c>
    </x:row>
    <x:row r="523" spans="1:16">
      <x:c r="A523" s="0" t="s">
        <x:v>2005</x:v>
      </x:c>
      <x:c r="B523" s="0" t="s">
        <x:v>2006</x:v>
      </x:c>
      <x:c r="C523" s="0" t="s">
        <x:v>2007</x:v>
      </x:c>
      <x:c r="E523" s="0" t="s">
        <x:v>2008</x:v>
      </x:c>
      <x:c r="F523" s="0" t="s">
        <x:v>45</x:v>
      </x:c>
      <x:c r="G523" s="0" t="s">
        <x:v>19</x:v>
      </x:c>
      <x:c r="H523" s="0" t="s">
        <x:v>20</x:v>
      </x:c>
      <x:c r="I523" s="0" t="s">
        <x:v>21</x:v>
      </x:c>
      <x:c r="K523" s="0">
        <x:f>hyperlink("https://icd.who.int/dev11/l-ichi/en#/http%3A%2F%2Fid.who.int%2Ficd%2Fentity%2F1869380839","browser")</x:f>
      </x:c>
      <x:c r="L523" s="0">
        <x:f>hyperlink("https://icat2.azurewebsites.net/icat/?ontology=ICD&amp;tab=ClassesTab&amp;id=http%3A%2F%2Fwho.int%2Ficd%232552_c1eb5896_b43e_4531_bd82_f72e7a00cdd6","iCat")</x:f>
      </x:c>
      <x:c r="M523" s="0" t="s">
        <x:v>21</x:v>
      </x:c>
      <x:c r="N523" s="0" t="s">
        <x:v>46</x:v>
      </x:c>
    </x:row>
    <x:row r="524" spans="1:16">
      <x:c r="A524" s="0" t="s">
        <x:v>2009</x:v>
      </x:c>
      <x:c r="B524" s="0" t="s">
        <x:v>2010</x:v>
      </x:c>
      <x:c r="C524" s="0" t="s">
        <x:v>2011</x:v>
      </x:c>
      <x:c r="E524" s="0" t="s">
        <x:v>2012</x:v>
      </x:c>
      <x:c r="F524" s="0" t="s">
        <x:v>45</x:v>
      </x:c>
      <x:c r="G524" s="0" t="s">
        <x:v>19</x:v>
      </x:c>
      <x:c r="H524" s="0" t="s">
        <x:v>20</x:v>
      </x:c>
      <x:c r="I524" s="0" t="s">
        <x:v>21</x:v>
      </x:c>
      <x:c r="K524" s="0">
        <x:f>hyperlink("https://icd.who.int/dev11/l-ichi/en#/http%3A%2F%2Fid.who.int%2Ficd%2Fentity%2F1517009043","browser")</x:f>
      </x:c>
      <x:c r="L524" s="0">
        <x:f>hyperlink("https://icat2.azurewebsites.net/icat/?ontology=ICD&amp;tab=ClassesTab&amp;id=http%3A%2F%2Fwho.int%2Ficd%232556_c1eb5896_b43e_4531_bd82_f72e7a00cdd6","iCat")</x:f>
      </x:c>
      <x:c r="M524" s="0" t="s">
        <x:v>21</x:v>
      </x:c>
      <x:c r="N524" s="0" t="s">
        <x:v>46</x:v>
      </x:c>
    </x:row>
    <x:row r="525" spans="1:16">
      <x:c r="A525" s="0" t="s">
        <x:v>2013</x:v>
      </x:c>
      <x:c r="B525" s="0" t="s">
        <x:v>2014</x:v>
      </x:c>
      <x:c r="E525" s="0" t="s">
        <x:v>2015</x:v>
      </x:c>
      <x:c r="F525" s="0" t="s">
        <x:v>26</x:v>
      </x:c>
      <x:c r="G525" s="0" t="s">
        <x:v>22</x:v>
      </x:c>
      <x:c r="H525" s="0" t="s">
        <x:v>20</x:v>
      </x:c>
      <x:c r="I525" s="0" t="s">
        <x:v>21</x:v>
      </x:c>
      <x:c r="K525" s="0">
        <x:f>hyperlink("https://icd.who.int/dev11/l-ichi/en#/http%3A%2F%2Fid.who.int%2Ficd%2Fentity%2F1784173337","browser")</x:f>
      </x:c>
      <x:c r="L525" s="0">
        <x:f>hyperlink("https://icat2.azurewebsites.net/icat/?ontology=ICD&amp;tab=ClassesTab&amp;id=http%3A%2F%2Fwho.int%2Ficd%232561_c1eb5896_b43e_4531_bd82_f72e7a00cdd6","iCat")</x:f>
      </x:c>
      <x:c r="M525" s="0" t="s">
        <x:v>20</x:v>
      </x:c>
      <x:c r="N525" s="0" t="s">
        <x:v>40</x:v>
      </x:c>
    </x:row>
    <x:row r="526" spans="1:16">
      <x:c r="A526" s="0" t="s">
        <x:v>2016</x:v>
      </x:c>
      <x:c r="B526" s="0" t="s">
        <x:v>2017</x:v>
      </x:c>
      <x:c r="C526" s="0" t="s">
        <x:v>2018</x:v>
      </x:c>
      <x:c r="E526" s="0" t="s">
        <x:v>2019</x:v>
      </x:c>
      <x:c r="F526" s="0" t="s">
        <x:v>45</x:v>
      </x:c>
      <x:c r="G526" s="0" t="s">
        <x:v>19</x:v>
      </x:c>
      <x:c r="H526" s="0" t="s">
        <x:v>20</x:v>
      </x:c>
      <x:c r="I526" s="0" t="s">
        <x:v>21</x:v>
      </x:c>
      <x:c r="K526" s="0">
        <x:f>hyperlink("https://icd.who.int/dev11/l-ichi/en#/http%3A%2F%2Fid.who.int%2Ficd%2Fentity%2F1252073765","browser")</x:f>
      </x:c>
      <x:c r="L526" s="0">
        <x:f>hyperlink("https://icat2.azurewebsites.net/icat/?ontology=ICD&amp;tab=ClassesTab&amp;id=http%3A%2F%2Fwho.int%2Ficd%232560_c1eb5896_b43e_4531_bd82_f72e7a00cdd6","iCat")</x:f>
      </x:c>
      <x:c r="M526" s="0" t="s">
        <x:v>21</x:v>
      </x:c>
      <x:c r="N526" s="0" t="s">
        <x:v>46</x:v>
      </x:c>
    </x:row>
    <x:row r="527" spans="1:16">
      <x:c r="A527" s="0" t="s">
        <x:v>2020</x:v>
      </x:c>
      <x:c r="B527" s="0" t="s">
        <x:v>2021</x:v>
      </x:c>
      <x:c r="C527" s="0" t="s">
        <x:v>2022</x:v>
      </x:c>
      <x:c r="E527" s="0" t="s">
        <x:v>2023</x:v>
      </x:c>
      <x:c r="F527" s="0" t="s">
        <x:v>45</x:v>
      </x:c>
      <x:c r="G527" s="0" t="s">
        <x:v>19</x:v>
      </x:c>
      <x:c r="H527" s="0" t="s">
        <x:v>20</x:v>
      </x:c>
      <x:c r="I527" s="0" t="s">
        <x:v>21</x:v>
      </x:c>
      <x:c r="K527" s="0">
        <x:f>hyperlink("https://icd.who.int/dev11/l-ichi/en#/http%3A%2F%2Fid.who.int%2Ficd%2Fentity%2F543470706","browser")</x:f>
      </x:c>
      <x:c r="L527" s="0">
        <x:f>hyperlink("https://icat2.azurewebsites.net/icat/?ontology=ICD&amp;tab=ClassesTab&amp;id=http%3A%2F%2Fwho.int%2Ficd%232570_c1eb5896_b43e_4531_bd82_f72e7a00cdd6","iCat")</x:f>
      </x:c>
      <x:c r="M527" s="0" t="s">
        <x:v>21</x:v>
      </x:c>
      <x:c r="N527" s="0" t="s">
        <x:v>46</x:v>
      </x:c>
    </x:row>
    <x:row r="528" spans="1:16">
      <x:c r="A528" s="0" t="s">
        <x:v>2024</x:v>
      </x:c>
      <x:c r="B528" s="0" t="s">
        <x:v>2025</x:v>
      </x:c>
      <x:c r="C528" s="0" t="s">
        <x:v>2026</x:v>
      </x:c>
      <x:c r="E528" s="0" t="s">
        <x:v>2027</x:v>
      </x:c>
      <x:c r="F528" s="0" t="s">
        <x:v>45</x:v>
      </x:c>
      <x:c r="G528" s="0" t="s">
        <x:v>19</x:v>
      </x:c>
      <x:c r="H528" s="0" t="s">
        <x:v>20</x:v>
      </x:c>
      <x:c r="I528" s="0" t="s">
        <x:v>21</x:v>
      </x:c>
      <x:c r="K528" s="0">
        <x:f>hyperlink("https://icd.who.int/dev11/l-ichi/en#/http%3A%2F%2Fid.who.int%2Ficd%2Fentity%2F358838280","browser")</x:f>
      </x:c>
      <x:c r="L528" s="0">
        <x:f>hyperlink("https://icat2.azurewebsites.net/icat/?ontology=ICD&amp;tab=ClassesTab&amp;id=http%3A%2F%2Fwho.int%2Ficd%232574_c1eb5896_b43e_4531_bd82_f72e7a00cdd6","iCat")</x:f>
      </x:c>
      <x:c r="M528" s="0" t="s">
        <x:v>21</x:v>
      </x:c>
      <x:c r="N528" s="0" t="s">
        <x:v>46</x:v>
      </x:c>
    </x:row>
    <x:row r="529" spans="1:16">
      <x:c r="A529" s="0" t="s">
        <x:v>2028</x:v>
      </x:c>
      <x:c r="B529" s="0" t="s">
        <x:v>2029</x:v>
      </x:c>
      <x:c r="C529" s="0" t="s">
        <x:v>2030</x:v>
      </x:c>
      <x:c r="E529" s="0" t="s">
        <x:v>2031</x:v>
      </x:c>
      <x:c r="F529" s="0" t="s">
        <x:v>45</x:v>
      </x:c>
      <x:c r="G529" s="0" t="s">
        <x:v>19</x:v>
      </x:c>
      <x:c r="H529" s="0" t="s">
        <x:v>20</x:v>
      </x:c>
      <x:c r="I529" s="0" t="s">
        <x:v>21</x:v>
      </x:c>
      <x:c r="K529" s="0">
        <x:f>hyperlink("https://icd.who.int/dev11/l-ichi/en#/http%3A%2F%2Fid.who.int%2Ficd%2Fentity%2F1860551975","browser")</x:f>
      </x:c>
      <x:c r="L529" s="0">
        <x:f>hyperlink("https://icat2.azurewebsites.net/icat/?ontology=ICD&amp;tab=ClassesTab&amp;id=http%3A%2F%2Fwho.int%2Ficd%232578_c1eb5896_b43e_4531_bd82_f72e7a00cdd6","iCat")</x:f>
      </x:c>
      <x:c r="M529" s="0" t="s">
        <x:v>21</x:v>
      </x:c>
      <x:c r="N529" s="0" t="s">
        <x:v>46</x:v>
      </x:c>
    </x:row>
    <x:row r="530" spans="1:16">
      <x:c r="A530" s="0" t="s">
        <x:v>2032</x:v>
      </x:c>
      <x:c r="B530" s="0" t="s">
        <x:v>2033</x:v>
      </x:c>
      <x:c r="C530" s="0" t="s">
        <x:v>2034</x:v>
      </x:c>
      <x:c r="E530" s="0" t="s">
        <x:v>2035</x:v>
      </x:c>
      <x:c r="F530" s="0" t="s">
        <x:v>45</x:v>
      </x:c>
      <x:c r="G530" s="0" t="s">
        <x:v>19</x:v>
      </x:c>
      <x:c r="H530" s="0" t="s">
        <x:v>20</x:v>
      </x:c>
      <x:c r="I530" s="0" t="s">
        <x:v>21</x:v>
      </x:c>
      <x:c r="K530" s="0">
        <x:f>hyperlink("https://icd.who.int/dev11/l-ichi/en#/http%3A%2F%2Fid.who.int%2Ficd%2Fentity%2F1795154793","browser")</x:f>
      </x:c>
      <x:c r="L530" s="0">
        <x:f>hyperlink("https://icat2.azurewebsites.net/icat/?ontology=ICD&amp;tab=ClassesTab&amp;id=http%3A%2F%2Fwho.int%2Ficd%232582_c1eb5896_b43e_4531_bd82_f72e7a00cdd6","iCat")</x:f>
      </x:c>
      <x:c r="M530" s="0" t="s">
        <x:v>21</x:v>
      </x:c>
      <x:c r="N530" s="0" t="s">
        <x:v>46</x:v>
      </x:c>
    </x:row>
    <x:row r="531" spans="1:16">
      <x:c r="A531" s="0" t="s">
        <x:v>2036</x:v>
      </x:c>
      <x:c r="B531" s="0" t="s">
        <x:v>2037</x:v>
      </x:c>
      <x:c r="E531" s="0" t="s">
        <x:v>2038</x:v>
      </x:c>
      <x:c r="F531" s="0" t="s">
        <x:v>26</x:v>
      </x:c>
      <x:c r="G531" s="0" t="s">
        <x:v>22</x:v>
      </x:c>
      <x:c r="H531" s="0" t="s">
        <x:v>20</x:v>
      </x:c>
      <x:c r="I531" s="0" t="s">
        <x:v>21</x:v>
      </x:c>
      <x:c r="K531" s="0">
        <x:f>hyperlink("https://icd.who.int/dev11/l-ichi/en#/http%3A%2F%2Fid.who.int%2Ficd%2Fentity%2F2130793761","browser")</x:f>
      </x:c>
      <x:c r="L531" s="0">
        <x:f>hyperlink("https://icat2.azurewebsites.net/icat/?ontology=ICD&amp;tab=ClassesTab&amp;id=http%3A%2F%2Fwho.int%2Ficd%232587_c1eb5896_b43e_4531_bd82_f72e7a00cdd6","iCat")</x:f>
      </x:c>
      <x:c r="M531" s="0" t="s">
        <x:v>20</x:v>
      </x:c>
      <x:c r="N531" s="0" t="s">
        <x:v>35</x:v>
      </x:c>
    </x:row>
    <x:row r="532" spans="1:16">
      <x:c r="A532" s="0" t="s">
        <x:v>2039</x:v>
      </x:c>
      <x:c r="B532" s="0" t="s">
        <x:v>2040</x:v>
      </x:c>
      <x:c r="C532" s="0" t="s">
        <x:v>2041</x:v>
      </x:c>
      <x:c r="E532" s="0" t="s">
        <x:v>2042</x:v>
      </x:c>
      <x:c r="F532" s="0" t="s">
        <x:v>45</x:v>
      </x:c>
      <x:c r="G532" s="0" t="s">
        <x:v>19</x:v>
      </x:c>
      <x:c r="H532" s="0" t="s">
        <x:v>20</x:v>
      </x:c>
      <x:c r="I532" s="0" t="s">
        <x:v>21</x:v>
      </x:c>
      <x:c r="K532" s="0">
        <x:f>hyperlink("https://icd.who.int/dev11/l-ichi/en#/http%3A%2F%2Fid.who.int%2Ficd%2Fentity%2F1610098461","browser")</x:f>
      </x:c>
      <x:c r="L532" s="0">
        <x:f>hyperlink("https://icat2.azurewebsites.net/icat/?ontology=ICD&amp;tab=ClassesTab&amp;id=http%3A%2F%2Fwho.int%2Ficd%232586_c1eb5896_b43e_4531_bd82_f72e7a00cdd6","iCat")</x:f>
      </x:c>
      <x:c r="M532" s="0" t="s">
        <x:v>21</x:v>
      </x:c>
      <x:c r="N532" s="0" t="s">
        <x:v>46</x:v>
      </x:c>
    </x:row>
    <x:row r="533" spans="1:16">
      <x:c r="A533" s="0" t="s">
        <x:v>2043</x:v>
      </x:c>
      <x:c r="B533" s="0" t="s">
        <x:v>2044</x:v>
      </x:c>
      <x:c r="C533" s="0" t="s">
        <x:v>2045</x:v>
      </x:c>
      <x:c r="E533" s="0" t="s">
        <x:v>2046</x:v>
      </x:c>
      <x:c r="F533" s="0" t="s">
        <x:v>45</x:v>
      </x:c>
      <x:c r="G533" s="0" t="s">
        <x:v>19</x:v>
      </x:c>
      <x:c r="H533" s="0" t="s">
        <x:v>20</x:v>
      </x:c>
      <x:c r="I533" s="0" t="s">
        <x:v>21</x:v>
      </x:c>
      <x:c r="K533" s="0">
        <x:f>hyperlink("https://icd.who.int/dev11/l-ichi/en#/http%3A%2F%2Fid.who.int%2Ficd%2Fentity%2F365215862","browser")</x:f>
      </x:c>
      <x:c r="L533" s="0">
        <x:f>hyperlink("https://icat2.azurewebsites.net/icat/?ontology=ICD&amp;tab=ClassesTab&amp;id=http%3A%2F%2Fwho.int%2Ficd%232597_c1eb5896_b43e_4531_bd82_f72e7a00cdd6","iCat")</x:f>
      </x:c>
      <x:c r="M533" s="0" t="s">
        <x:v>21</x:v>
      </x:c>
      <x:c r="N533" s="0" t="s">
        <x:v>46</x:v>
      </x:c>
    </x:row>
    <x:row r="534" spans="1:16">
      <x:c r="A534" s="0" t="s">
        <x:v>2047</x:v>
      </x:c>
      <x:c r="B534" s="0" t="s">
        <x:v>2048</x:v>
      </x:c>
      <x:c r="C534" s="0" t="s">
        <x:v>2049</x:v>
      </x:c>
      <x:c r="E534" s="0" t="s">
        <x:v>2050</x:v>
      </x:c>
      <x:c r="F534" s="0" t="s">
        <x:v>45</x:v>
      </x:c>
      <x:c r="G534" s="0" t="s">
        <x:v>19</x:v>
      </x:c>
      <x:c r="H534" s="0" t="s">
        <x:v>20</x:v>
      </x:c>
      <x:c r="I534" s="0" t="s">
        <x:v>21</x:v>
      </x:c>
      <x:c r="K534" s="0">
        <x:f>hyperlink("https://icd.who.int/dev11/l-ichi/en#/http%3A%2F%2Fid.who.int%2Ficd%2Fentity%2F563530370","browser")</x:f>
      </x:c>
      <x:c r="L534" s="0">
        <x:f>hyperlink("https://icat2.azurewebsites.net/icat/?ontology=ICD&amp;tab=ClassesTab&amp;id=http%3A%2F%2Fwho.int%2Ficd%232606_c1eb5896_b43e_4531_bd82_f72e7a00cdd6","iCat")</x:f>
      </x:c>
      <x:c r="M534" s="0" t="s">
        <x:v>21</x:v>
      </x:c>
      <x:c r="N534" s="0" t="s">
        <x:v>46</x:v>
      </x:c>
    </x:row>
    <x:row r="535" spans="1:16">
      <x:c r="A535" s="0" t="s">
        <x:v>2051</x:v>
      </x:c>
      <x:c r="B535" s="0" t="s">
        <x:v>2052</x:v>
      </x:c>
      <x:c r="E535" s="0" t="s">
        <x:v>2053</x:v>
      </x:c>
      <x:c r="F535" s="0" t="s">
        <x:v>26</x:v>
      </x:c>
      <x:c r="G535" s="0" t="s">
        <x:v>22</x:v>
      </x:c>
      <x:c r="H535" s="0" t="s">
        <x:v>20</x:v>
      </x:c>
      <x:c r="I535" s="0" t="s">
        <x:v>21</x:v>
      </x:c>
      <x:c r="K535" s="0">
        <x:f>hyperlink("https://icd.who.int/dev11/l-ichi/en#/http%3A%2F%2Fid.who.int%2Ficd%2Fentity%2F1588455839","browser")</x:f>
      </x:c>
      <x:c r="L535" s="0">
        <x:f>hyperlink("https://icat2.azurewebsites.net/icat/?ontology=ICD&amp;tab=ClassesTab&amp;id=http%3A%2F%2Fwho.int%2Ficd%232613_c1eb5896_b43e_4531_bd82_f72e7a00cdd6","iCat")</x:f>
      </x:c>
      <x:c r="M535" s="0" t="s">
        <x:v>20</x:v>
      </x:c>
      <x:c r="N535" s="0" t="s">
        <x:v>22</x:v>
      </x:c>
    </x:row>
    <x:row r="536" spans="1:16">
      <x:c r="A536" s="0" t="s">
        <x:v>2054</x:v>
      </x:c>
      <x:c r="B536" s="0" t="s">
        <x:v>2055</x:v>
      </x:c>
      <x:c r="C536" s="0" t="s">
        <x:v>2056</x:v>
      </x:c>
      <x:c r="E536" s="0" t="s">
        <x:v>2057</x:v>
      </x:c>
      <x:c r="F536" s="0" t="s">
        <x:v>45</x:v>
      </x:c>
      <x:c r="G536" s="0" t="s">
        <x:v>19</x:v>
      </x:c>
      <x:c r="H536" s="0" t="s">
        <x:v>20</x:v>
      </x:c>
      <x:c r="I536" s="0" t="s">
        <x:v>21</x:v>
      </x:c>
      <x:c r="K536" s="0">
        <x:f>hyperlink("https://icd.who.int/dev11/l-ichi/en#/http%3A%2F%2Fid.who.int%2Ficd%2Fentity%2F2119474083","browser")</x:f>
      </x:c>
      <x:c r="L536" s="0">
        <x:f>hyperlink("https://icat2.azurewebsites.net/icat/?ontology=ICD&amp;tab=ClassesTab&amp;id=http%3A%2F%2Fwho.int%2Ficd%232612_c1eb5896_b43e_4531_bd82_f72e7a00cdd6","iCat")</x:f>
      </x:c>
      <x:c r="M536" s="0" t="s">
        <x:v>21</x:v>
      </x:c>
      <x:c r="N536" s="0" t="s">
        <x:v>46</x:v>
      </x:c>
    </x:row>
    <x:row r="537" spans="1:16">
      <x:c r="A537" s="0" t="s">
        <x:v>2058</x:v>
      </x:c>
      <x:c r="B537" s="0" t="s">
        <x:v>2059</x:v>
      </x:c>
      <x:c r="C537" s="0" t="s">
        <x:v>2060</x:v>
      </x:c>
      <x:c r="E537" s="0" t="s">
        <x:v>2061</x:v>
      </x:c>
      <x:c r="F537" s="0" t="s">
        <x:v>45</x:v>
      </x:c>
      <x:c r="G537" s="0" t="s">
        <x:v>19</x:v>
      </x:c>
      <x:c r="H537" s="0" t="s">
        <x:v>20</x:v>
      </x:c>
      <x:c r="I537" s="0" t="s">
        <x:v>21</x:v>
      </x:c>
      <x:c r="K537" s="0">
        <x:f>hyperlink("https://icd.who.int/dev11/l-ichi/en#/http%3A%2F%2Fid.who.int%2Ficd%2Fentity%2F505194904","browser")</x:f>
      </x:c>
      <x:c r="L537" s="0">
        <x:f>hyperlink("https://icat2.azurewebsites.net/icat/?ontology=ICD&amp;tab=ClassesTab&amp;id=http%3A%2F%2Fwho.int%2Ficd%232623_c1eb5896_b43e_4531_bd82_f72e7a00cdd6","iCat")</x:f>
      </x:c>
      <x:c r="M537" s="0" t="s">
        <x:v>21</x:v>
      </x:c>
      <x:c r="N537" s="0" t="s">
        <x:v>46</x:v>
      </x:c>
    </x:row>
    <x:row r="538" spans="1:16">
      <x:c r="A538" s="0" t="s">
        <x:v>2062</x:v>
      </x:c>
      <x:c r="B538" s="0" t="s">
        <x:v>2063</x:v>
      </x:c>
      <x:c r="C538" s="0" t="s">
        <x:v>2064</x:v>
      </x:c>
      <x:c r="E538" s="0" t="s">
        <x:v>2065</x:v>
      </x:c>
      <x:c r="F538" s="0" t="s">
        <x:v>45</x:v>
      </x:c>
      <x:c r="G538" s="0" t="s">
        <x:v>19</x:v>
      </x:c>
      <x:c r="H538" s="0" t="s">
        <x:v>20</x:v>
      </x:c>
      <x:c r="I538" s="0" t="s">
        <x:v>21</x:v>
      </x:c>
      <x:c r="K538" s="0">
        <x:f>hyperlink("https://icd.who.int/dev11/l-ichi/en#/http%3A%2F%2Fid.who.int%2Ficd%2Fentity%2F828134200","browser")</x:f>
      </x:c>
      <x:c r="L538" s="0">
        <x:f>hyperlink("https://icat2.azurewebsites.net/icat/?ontology=ICD&amp;tab=ClassesTab&amp;id=http%3A%2F%2Fwho.int%2Ficd%232630_c1eb5896_b43e_4531_bd82_f72e7a00cdd6","iCat")</x:f>
      </x:c>
      <x:c r="M538" s="0" t="s">
        <x:v>21</x:v>
      </x:c>
      <x:c r="N538" s="0" t="s">
        <x:v>46</x:v>
      </x:c>
    </x:row>
    <x:row r="539" spans="1:16">
      <x:c r="A539" s="0" t="s">
        <x:v>2066</x:v>
      </x:c>
      <x:c r="B539" s="0" t="s">
        <x:v>2067</x:v>
      </x:c>
      <x:c r="C539" s="0" t="s">
        <x:v>2068</x:v>
      </x:c>
      <x:c r="E539" s="0" t="s">
        <x:v>2069</x:v>
      </x:c>
      <x:c r="F539" s="0" t="s">
        <x:v>45</x:v>
      </x:c>
      <x:c r="G539" s="0" t="s">
        <x:v>19</x:v>
      </x:c>
      <x:c r="H539" s="0" t="s">
        <x:v>20</x:v>
      </x:c>
      <x:c r="I539" s="0" t="s">
        <x:v>21</x:v>
      </x:c>
      <x:c r="K539" s="0">
        <x:f>hyperlink("https://icd.who.int/dev11/l-ichi/en#/http%3A%2F%2Fid.who.int%2Ficd%2Fentity%2F73111362","browser")</x:f>
      </x:c>
      <x:c r="L539" s="0">
        <x:f>hyperlink("https://icat2.azurewebsites.net/icat/?ontology=ICD&amp;tab=ClassesTab&amp;id=http%3A%2F%2Fwho.int%2Ficd%232634_c1eb5896_b43e_4531_bd82_f72e7a00cdd6","iCat")</x:f>
      </x:c>
      <x:c r="M539" s="0" t="s">
        <x:v>21</x:v>
      </x:c>
      <x:c r="N539" s="0" t="s">
        <x:v>46</x:v>
      </x:c>
    </x:row>
    <x:row r="540" spans="1:16">
      <x:c r="A540" s="0" t="s">
        <x:v>2070</x:v>
      </x:c>
      <x:c r="B540" s="0" t="s">
        <x:v>2071</x:v>
      </x:c>
      <x:c r="E540" s="0" t="s">
        <x:v>2072</x:v>
      </x:c>
      <x:c r="F540" s="0" t="s">
        <x:v>26</x:v>
      </x:c>
      <x:c r="G540" s="0" t="s">
        <x:v>22</x:v>
      </x:c>
      <x:c r="H540" s="0" t="s">
        <x:v>20</x:v>
      </x:c>
      <x:c r="I540" s="0" t="s">
        <x:v>21</x:v>
      </x:c>
      <x:c r="K540" s="0">
        <x:f>hyperlink("https://icd.who.int/dev11/l-ichi/en#/http%3A%2F%2Fid.who.int%2Ficd%2Fentity%2F1141845973","browser")</x:f>
      </x:c>
      <x:c r="L540" s="0">
        <x:f>hyperlink("https://icat2.azurewebsites.net/icat/?ontology=ICD&amp;tab=ClassesTab&amp;id=http%3A%2F%2Fwho.int%2Ficd%232643_c1eb5896_b43e_4531_bd82_f72e7a00cdd6","iCat")</x:f>
      </x:c>
      <x:c r="M540" s="0" t="s">
        <x:v>20</x:v>
      </x:c>
      <x:c r="N540" s="0" t="s">
        <x:v>19</x:v>
      </x:c>
    </x:row>
    <x:row r="541" spans="1:16">
      <x:c r="A541" s="0" t="s">
        <x:v>2073</x:v>
      </x:c>
      <x:c r="B541" s="0" t="s">
        <x:v>2074</x:v>
      </x:c>
      <x:c r="C541" s="0" t="s">
        <x:v>2075</x:v>
      </x:c>
      <x:c r="E541" s="0" t="s">
        <x:v>2076</x:v>
      </x:c>
      <x:c r="F541" s="0" t="s">
        <x:v>45</x:v>
      </x:c>
      <x:c r="G541" s="0" t="s">
        <x:v>19</x:v>
      </x:c>
      <x:c r="H541" s="0" t="s">
        <x:v>20</x:v>
      </x:c>
      <x:c r="I541" s="0" t="s">
        <x:v>21</x:v>
      </x:c>
      <x:c r="K541" s="0">
        <x:f>hyperlink("https://icd.who.int/dev11/l-ichi/en#/http%3A%2F%2Fid.who.int%2Ficd%2Fentity%2F1693867497","browser")</x:f>
      </x:c>
      <x:c r="L541" s="0">
        <x:f>hyperlink("https://icat2.azurewebsites.net/icat/?ontology=ICD&amp;tab=ClassesTab&amp;id=http%3A%2F%2Fwho.int%2Ficd%232642_c1eb5896_b43e_4531_bd82_f72e7a00cdd6","iCat")</x:f>
      </x:c>
      <x:c r="M541" s="0" t="s">
        <x:v>21</x:v>
      </x:c>
      <x:c r="N541" s="0" t="s">
        <x:v>46</x:v>
      </x:c>
    </x:row>
    <x:row r="542" spans="1:16">
      <x:c r="A542" s="0" t="s">
        <x:v>2077</x:v>
      </x:c>
      <x:c r="B542" s="0" t="s">
        <x:v>2078</x:v>
      </x:c>
      <x:c r="E542" s="0" t="s">
        <x:v>2079</x:v>
      </x:c>
      <x:c r="F542" s="0" t="s">
        <x:v>26</x:v>
      </x:c>
      <x:c r="G542" s="0" t="s">
        <x:v>22</x:v>
      </x:c>
      <x:c r="H542" s="0" t="s">
        <x:v>20</x:v>
      </x:c>
      <x:c r="I542" s="0" t="s">
        <x:v>21</x:v>
      </x:c>
      <x:c r="K542" s="0">
        <x:f>hyperlink("https://icd.who.int/dev11/l-ichi/en#/http%3A%2F%2Fid.who.int%2Ficd%2Fentity%2F785037956","browser")</x:f>
      </x:c>
      <x:c r="L542" s="0">
        <x:f>hyperlink("https://icat2.azurewebsites.net/icat/?ontology=ICD&amp;tab=ClassesTab&amp;id=http%3A%2F%2Fwho.int%2Ficd%232653_c1eb5896_b43e_4531_bd82_f72e7a00cdd6","iCat")</x:f>
      </x:c>
      <x:c r="M542" s="0" t="s">
        <x:v>20</x:v>
      </x:c>
      <x:c r="N542" s="0" t="s">
        <x:v>35</x:v>
      </x:c>
    </x:row>
    <x:row r="543" spans="1:16">
      <x:c r="A543" s="0" t="s">
        <x:v>2080</x:v>
      </x:c>
      <x:c r="B543" s="0" t="s">
        <x:v>2081</x:v>
      </x:c>
      <x:c r="C543" s="0" t="s">
        <x:v>2082</x:v>
      </x:c>
      <x:c r="E543" s="0" t="s">
        <x:v>2083</x:v>
      </x:c>
      <x:c r="F543" s="0" t="s">
        <x:v>45</x:v>
      </x:c>
      <x:c r="G543" s="0" t="s">
        <x:v>19</x:v>
      </x:c>
      <x:c r="H543" s="0" t="s">
        <x:v>20</x:v>
      </x:c>
      <x:c r="I543" s="0" t="s">
        <x:v>21</x:v>
      </x:c>
      <x:c r="K543" s="0">
        <x:f>hyperlink("https://icd.who.int/dev11/l-ichi/en#/http%3A%2F%2Fid.who.int%2Ficd%2Fentity%2F238274750","browser")</x:f>
      </x:c>
      <x:c r="L543" s="0">
        <x:f>hyperlink("https://icat2.azurewebsites.net/icat/?ontology=ICD&amp;tab=ClassesTab&amp;id=http%3A%2F%2Fwho.int%2Ficd%232652_c1eb5896_b43e_4531_bd82_f72e7a00cdd6","iCat")</x:f>
      </x:c>
      <x:c r="M543" s="0" t="s">
        <x:v>21</x:v>
      </x:c>
      <x:c r="N543" s="0" t="s">
        <x:v>46</x:v>
      </x:c>
    </x:row>
    <x:row r="544" spans="1:16">
      <x:c r="A544" s="0" t="s">
        <x:v>2084</x:v>
      </x:c>
      <x:c r="B544" s="0" t="s">
        <x:v>2085</x:v>
      </x:c>
      <x:c r="C544" s="0" t="s">
        <x:v>2086</x:v>
      </x:c>
      <x:c r="E544" s="0" t="s">
        <x:v>2087</x:v>
      </x:c>
      <x:c r="F544" s="0" t="s">
        <x:v>45</x:v>
      </x:c>
      <x:c r="G544" s="0" t="s">
        <x:v>19</x:v>
      </x:c>
      <x:c r="H544" s="0" t="s">
        <x:v>20</x:v>
      </x:c>
      <x:c r="I544" s="0" t="s">
        <x:v>21</x:v>
      </x:c>
      <x:c r="K544" s="0">
        <x:f>hyperlink("https://icd.who.int/dev11/l-ichi/en#/http%3A%2F%2Fid.who.int%2Ficd%2Fentity%2F1317177529","browser")</x:f>
      </x:c>
      <x:c r="L544" s="0">
        <x:f>hyperlink("https://icat2.azurewebsites.net/icat/?ontology=ICD&amp;tab=ClassesTab&amp;id=http%3A%2F%2Fwho.int%2Ficd%232662_c1eb5896_b43e_4531_bd82_f72e7a00cdd6","iCat")</x:f>
      </x:c>
      <x:c r="M544" s="0" t="s">
        <x:v>21</x:v>
      </x:c>
      <x:c r="N544" s="0" t="s">
        <x:v>46</x:v>
      </x:c>
    </x:row>
    <x:row r="545" spans="1:16">
      <x:c r="A545" s="0" t="s">
        <x:v>2088</x:v>
      </x:c>
      <x:c r="B545" s="0" t="s">
        <x:v>2089</x:v>
      </x:c>
      <x:c r="C545" s="0" t="s">
        <x:v>2090</x:v>
      </x:c>
      <x:c r="E545" s="0" t="s">
        <x:v>2091</x:v>
      </x:c>
      <x:c r="F545" s="0" t="s">
        <x:v>45</x:v>
      </x:c>
      <x:c r="G545" s="0" t="s">
        <x:v>19</x:v>
      </x:c>
      <x:c r="H545" s="0" t="s">
        <x:v>20</x:v>
      </x:c>
      <x:c r="I545" s="0" t="s">
        <x:v>21</x:v>
      </x:c>
      <x:c r="K545" s="0">
        <x:f>hyperlink("https://icd.who.int/dev11/l-ichi/en#/http%3A%2F%2Fid.who.int%2Ficd%2Fentity%2F2072333517","browser")</x:f>
      </x:c>
      <x:c r="L545" s="0">
        <x:f>hyperlink("https://icat2.azurewebsites.net/icat/?ontology=ICD&amp;tab=ClassesTab&amp;id=http%3A%2F%2Fwho.int%2Ficd%232666_c1eb5896_b43e_4531_bd82_f72e7a00cdd6","iCat")</x:f>
      </x:c>
      <x:c r="M545" s="0" t="s">
        <x:v>21</x:v>
      </x:c>
      <x:c r="N545" s="0" t="s">
        <x:v>46</x:v>
      </x:c>
    </x:row>
    <x:row r="546" spans="1:16">
      <x:c r="B546" s="0" t="s">
        <x:v>2092</x:v>
      </x:c>
      <x:c r="C546" s="0" t="s">
        <x:v>2093</x:v>
      </x:c>
      <x:c r="E546" s="0" t="s">
        <x:v>2094</x:v>
      </x:c>
      <x:c r="F546" s="0" t="s">
        <x:v>45</x:v>
      </x:c>
      <x:c r="G546" s="0" t="s">
        <x:v>19</x:v>
      </x:c>
      <x:c r="H546" s="0" t="s">
        <x:v>21</x:v>
      </x:c>
      <x:c r="I546" s="0" t="s">
        <x:v>21</x:v>
      </x:c>
      <x:c r="K546" s="0">
        <x:f>hyperlink("https://icd.who.int/dev11/l-ichi/en#/http%3A%2F%2Fid.who.int%2Ficd%2Fentity%2F785037956%2Fichi%2Funspecified","browser")</x:f>
      </x:c>
      <x:c r="L546" s="0">
        <x:f>hyperlink("","iCat")</x:f>
      </x:c>
      <x:c r="M546" s="0" t="s">
        <x:v>21</x:v>
      </x:c>
      <x:c r="N546" s="0" t="s">
        <x:v>46</x:v>
      </x:c>
    </x:row>
    <x:row r="547" spans="1:16">
      <x:c r="A547" s="0" t="s">
        <x:v>2095</x:v>
      </x:c>
      <x:c r="B547" s="0" t="s">
        <x:v>2096</x:v>
      </x:c>
      <x:c r="E547" s="0" t="s">
        <x:v>2097</x:v>
      </x:c>
      <x:c r="F547" s="0" t="s">
        <x:v>26</x:v>
      </x:c>
      <x:c r="G547" s="0" t="s">
        <x:v>30</x:v>
      </x:c>
      <x:c r="H547" s="0" t="s">
        <x:v>20</x:v>
      </x:c>
      <x:c r="I547" s="0" t="s">
        <x:v>21</x:v>
      </x:c>
      <x:c r="K547" s="0">
        <x:f>hyperlink("https://icd.who.int/dev11/l-ichi/en#/http%3A%2F%2Fid.who.int%2Ficd%2Fentity%2F1422243427","browser")</x:f>
      </x:c>
      <x:c r="L547" s="0">
        <x:f>hyperlink("https://icat2.azurewebsites.net/icat/?ontology=ICD&amp;tab=ClassesTab&amp;id=http%3A%2F%2Fwho.int%2Ficd%232675_c1eb5896_b43e_4531_bd82_f72e7a00cdd6","iCat")</x:f>
      </x:c>
      <x:c r="M547" s="0" t="s">
        <x:v>20</x:v>
      </x:c>
      <x:c r="N547" s="0" t="s">
        <x:v>36</x:v>
      </x:c>
    </x:row>
    <x:row r="548" spans="1:16">
      <x:c r="A548" s="0" t="s">
        <x:v>2098</x:v>
      </x:c>
      <x:c r="B548" s="0" t="s">
        <x:v>2099</x:v>
      </x:c>
      <x:c r="E548" s="0" t="s">
        <x:v>2100</x:v>
      </x:c>
      <x:c r="F548" s="0" t="s">
        <x:v>26</x:v>
      </x:c>
      <x:c r="G548" s="0" t="s">
        <x:v>35</x:v>
      </x:c>
      <x:c r="H548" s="0" t="s">
        <x:v>20</x:v>
      </x:c>
      <x:c r="I548" s="0" t="s">
        <x:v>21</x:v>
      </x:c>
      <x:c r="K548" s="0">
        <x:f>hyperlink("https://icd.who.int/dev11/l-ichi/en#/http%3A%2F%2Fid.who.int%2Ficd%2Fentity%2F1311062217","browser")</x:f>
      </x:c>
      <x:c r="L548" s="0">
        <x:f>hyperlink("https://icat2.azurewebsites.net/icat/?ontology=ICD&amp;tab=ClassesTab&amp;id=http%3A%2F%2Fwho.int%2Ficd%232681_c1eb5896_b43e_4531_bd82_f72e7a00cdd6","iCat")</x:f>
      </x:c>
      <x:c r="M548" s="0" t="s">
        <x:v>20</x:v>
      </x:c>
      <x:c r="N548" s="0" t="s">
        <x:v>22</x:v>
      </x:c>
    </x:row>
    <x:row r="549" spans="1:16">
      <x:c r="A549" s="0" t="s">
        <x:v>2101</x:v>
      </x:c>
      <x:c r="B549" s="0" t="s">
        <x:v>2102</x:v>
      </x:c>
      <x:c r="C549" s="0" t="s">
        <x:v>2103</x:v>
      </x:c>
      <x:c r="E549" s="0" t="s">
        <x:v>2104</x:v>
      </x:c>
      <x:c r="F549" s="0" t="s">
        <x:v>45</x:v>
      </x:c>
      <x:c r="G549" s="0" t="s">
        <x:v>19</x:v>
      </x:c>
      <x:c r="H549" s="0" t="s">
        <x:v>20</x:v>
      </x:c>
      <x:c r="I549" s="0" t="s">
        <x:v>21</x:v>
      </x:c>
      <x:c r="K549" s="0">
        <x:f>hyperlink("https://icd.who.int/dev11/l-ichi/en#/http%3A%2F%2Fid.who.int%2Ficd%2Fentity%2F1950139487","browser")</x:f>
      </x:c>
      <x:c r="L549" s="0">
        <x:f>hyperlink("https://icat2.azurewebsites.net/icat/?ontology=ICD&amp;tab=ClassesTab&amp;id=http%3A%2F%2Fwho.int%2Ficd%232674_c1eb5896_b43e_4531_bd82_f72e7a00cdd6","iCat")</x:f>
      </x:c>
      <x:c r="M549" s="0" t="s">
        <x:v>21</x:v>
      </x:c>
      <x:c r="N549" s="0" t="s">
        <x:v>46</x:v>
      </x:c>
    </x:row>
    <x:row r="550" spans="1:16">
      <x:c r="A550" s="0" t="s">
        <x:v>2105</x:v>
      </x:c>
      <x:c r="B550" s="0" t="s">
        <x:v>2106</x:v>
      </x:c>
      <x:c r="E550" s="0" t="s">
        <x:v>2107</x:v>
      </x:c>
      <x:c r="F550" s="0" t="s">
        <x:v>26</x:v>
      </x:c>
      <x:c r="G550" s="0" t="s">
        <x:v>22</x:v>
      </x:c>
      <x:c r="H550" s="0" t="s">
        <x:v>20</x:v>
      </x:c>
      <x:c r="I550" s="0" t="s">
        <x:v>21</x:v>
      </x:c>
      <x:c r="K550" s="0">
        <x:f>hyperlink("https://icd.who.int/dev11/l-ichi/en#/http%3A%2F%2Fid.who.int%2Ficd%2Fentity%2F509534586","browser")</x:f>
      </x:c>
      <x:c r="L550" s="0">
        <x:f>hyperlink("https://icat2.azurewebsites.net/icat/?ontology=ICD&amp;tab=ClassesTab&amp;id=http%3A%2F%2Fwho.int%2Ficd%232687_c1eb5896_b43e_4531_bd82_f72e7a00cdd6","iCat")</x:f>
      </x:c>
      <x:c r="M550" s="0" t="s">
        <x:v>20</x:v>
      </x:c>
      <x:c r="N550" s="0" t="s">
        <x:v>22</x:v>
      </x:c>
    </x:row>
    <x:row r="551" spans="1:16">
      <x:c r="A551" s="0" t="s">
        <x:v>2108</x:v>
      </x:c>
      <x:c r="B551" s="0" t="s">
        <x:v>2109</x:v>
      </x:c>
      <x:c r="C551" s="0" t="s">
        <x:v>2110</x:v>
      </x:c>
      <x:c r="E551" s="0" t="s">
        <x:v>2111</x:v>
      </x:c>
      <x:c r="F551" s="0" t="s">
        <x:v>45</x:v>
      </x:c>
      <x:c r="G551" s="0" t="s">
        <x:v>19</x:v>
      </x:c>
      <x:c r="H551" s="0" t="s">
        <x:v>20</x:v>
      </x:c>
      <x:c r="I551" s="0" t="s">
        <x:v>21</x:v>
      </x:c>
      <x:c r="K551" s="0">
        <x:f>hyperlink("https://icd.who.int/dev11/l-ichi/en#/http%3A%2F%2Fid.who.int%2Ficd%2Fentity%2F1415710227","browser")</x:f>
      </x:c>
      <x:c r="L551" s="0">
        <x:f>hyperlink("https://icat2.azurewebsites.net/icat/?ontology=ICD&amp;tab=ClassesTab&amp;id=http%3A%2F%2Fwho.int%2Ficd%232696_c1eb5896_b43e_4531_bd82_f72e7a00cdd6","iCat")</x:f>
      </x:c>
      <x:c r="M551" s="0" t="s">
        <x:v>21</x:v>
      </x:c>
      <x:c r="N551" s="0" t="s">
        <x:v>46</x:v>
      </x:c>
    </x:row>
    <x:row r="552" spans="1:16">
      <x:c r="A552" s="0" t="s">
        <x:v>2112</x:v>
      </x:c>
      <x:c r="B552" s="0" t="s">
        <x:v>2113</x:v>
      </x:c>
      <x:c r="C552" s="0" t="s">
        <x:v>2114</x:v>
      </x:c>
      <x:c r="E552" s="0" t="s">
        <x:v>2115</x:v>
      </x:c>
      <x:c r="F552" s="0" t="s">
        <x:v>45</x:v>
      </x:c>
      <x:c r="G552" s="0" t="s">
        <x:v>19</x:v>
      </x:c>
      <x:c r="H552" s="0" t="s">
        <x:v>20</x:v>
      </x:c>
      <x:c r="I552" s="0" t="s">
        <x:v>21</x:v>
      </x:c>
      <x:c r="K552" s="0">
        <x:f>hyperlink("https://icd.who.int/dev11/l-ichi/en#/http%3A%2F%2Fid.who.int%2Ficd%2Fentity%2F74634668","browser")</x:f>
      </x:c>
      <x:c r="L552" s="0">
        <x:f>hyperlink("https://icat2.azurewebsites.net/icat/?ontology=ICD&amp;tab=ClassesTab&amp;id=http%3A%2F%2Fwho.int%2Ficd%232700_c1eb5896_b43e_4531_bd82_f72e7a00cdd6","iCat")</x:f>
      </x:c>
      <x:c r="M552" s="0" t="s">
        <x:v>21</x:v>
      </x:c>
      <x:c r="N552" s="0" t="s">
        <x:v>46</x:v>
      </x:c>
    </x:row>
    <x:row r="553" spans="1:16">
      <x:c r="A553" s="0" t="s">
        <x:v>2116</x:v>
      </x:c>
      <x:c r="B553" s="0" t="s">
        <x:v>2117</x:v>
      </x:c>
      <x:c r="C553" s="0" t="s">
        <x:v>2118</x:v>
      </x:c>
      <x:c r="E553" s="0" t="s">
        <x:v>2119</x:v>
      </x:c>
      <x:c r="F553" s="0" t="s">
        <x:v>45</x:v>
      </x:c>
      <x:c r="G553" s="0" t="s">
        <x:v>19</x:v>
      </x:c>
      <x:c r="H553" s="0" t="s">
        <x:v>20</x:v>
      </x:c>
      <x:c r="I553" s="0" t="s">
        <x:v>21</x:v>
      </x:c>
      <x:c r="K553" s="0">
        <x:f>hyperlink("https://icd.who.int/dev11/l-ichi/en#/http%3A%2F%2Fid.who.int%2Ficd%2Fentity%2F829755866","browser")</x:f>
      </x:c>
      <x:c r="L553" s="0">
        <x:f>hyperlink("https://icat2.azurewebsites.net/icat/?ontology=ICD&amp;tab=ClassesTab&amp;id=http%3A%2F%2Fwho.int%2Ficd%232704_c1eb5896_b43e_4531_bd82_f72e7a00cdd6","iCat")</x:f>
      </x:c>
      <x:c r="M553" s="0" t="s">
        <x:v>21</x:v>
      </x:c>
      <x:c r="N553" s="0" t="s">
        <x:v>46</x:v>
      </x:c>
    </x:row>
    <x:row r="554" spans="1:16">
      <x:c r="A554" s="0" t="s">
        <x:v>2120</x:v>
      </x:c>
      <x:c r="B554" s="0" t="s">
        <x:v>2121</x:v>
      </x:c>
      <x:c r="C554" s="0" t="s">
        <x:v>2122</x:v>
      </x:c>
      <x:c r="E554" s="0" t="s">
        <x:v>2123</x:v>
      </x:c>
      <x:c r="F554" s="0" t="s">
        <x:v>45</x:v>
      </x:c>
      <x:c r="G554" s="0" t="s">
        <x:v>19</x:v>
      </x:c>
      <x:c r="H554" s="0" t="s">
        <x:v>20</x:v>
      </x:c>
      <x:c r="I554" s="0" t="s">
        <x:v>21</x:v>
      </x:c>
      <x:c r="K554" s="0">
        <x:f>hyperlink("https://icd.who.int/dev11/l-ichi/en#/http%3A%2F%2Fid.who.int%2Ficd%2Fentity%2F1257481465","browser")</x:f>
      </x:c>
      <x:c r="L554" s="0">
        <x:f>hyperlink("https://icat2.azurewebsites.net/icat/?ontology=ICD&amp;tab=ClassesTab&amp;id=http%3A%2F%2Fwho.int%2Ficd%232708_c1eb5896_b43e_4531_bd82_f72e7a00cdd6","iCat")</x:f>
      </x:c>
      <x:c r="M554" s="0" t="s">
        <x:v>21</x:v>
      </x:c>
      <x:c r="N554" s="0" t="s">
        <x:v>46</x:v>
      </x:c>
    </x:row>
    <x:row r="555" spans="1:16">
      <x:c r="A555" s="0" t="s">
        <x:v>2124</x:v>
      </x:c>
      <x:c r="B555" s="0" t="s">
        <x:v>2125</x:v>
      </x:c>
      <x:c r="E555" s="0" t="s">
        <x:v>2126</x:v>
      </x:c>
      <x:c r="F555" s="0" t="s">
        <x:v>26</x:v>
      </x:c>
      <x:c r="G555" s="0" t="s">
        <x:v>22</x:v>
      </x:c>
      <x:c r="H555" s="0" t="s">
        <x:v>20</x:v>
      </x:c>
      <x:c r="I555" s="0" t="s">
        <x:v>21</x:v>
      </x:c>
      <x:c r="K555" s="0">
        <x:f>hyperlink("https://icd.who.int/dev11/l-ichi/en#/http%3A%2F%2Fid.who.int%2Ficd%2Fentity%2F724709124","browser")</x:f>
      </x:c>
      <x:c r="L555" s="0">
        <x:f>hyperlink("https://icat2.azurewebsites.net/icat/?ontology=ICD&amp;tab=ClassesTab&amp;id=http%3A%2F%2Fwho.int%2Ficd%232713_c1eb5896_b43e_4531_bd82_f72e7a00cdd6","iCat")</x:f>
      </x:c>
      <x:c r="M555" s="0" t="s">
        <x:v>20</x:v>
      </x:c>
      <x:c r="N555" s="0" t="s">
        <x:v>31</x:v>
      </x:c>
    </x:row>
    <x:row r="556" spans="1:16">
      <x:c r="A556" s="0" t="s">
        <x:v>2127</x:v>
      </x:c>
      <x:c r="B556" s="0" t="s">
        <x:v>2128</x:v>
      </x:c>
      <x:c r="C556" s="0" t="s">
        <x:v>2129</x:v>
      </x:c>
      <x:c r="E556" s="0" t="s">
        <x:v>2130</x:v>
      </x:c>
      <x:c r="F556" s="0" t="s">
        <x:v>45</x:v>
      </x:c>
      <x:c r="G556" s="0" t="s">
        <x:v>19</x:v>
      </x:c>
      <x:c r="H556" s="0" t="s">
        <x:v>20</x:v>
      </x:c>
      <x:c r="I556" s="0" t="s">
        <x:v>21</x:v>
      </x:c>
      <x:c r="K556" s="0">
        <x:f>hyperlink("https://icd.who.int/dev11/l-ichi/en#/http%3A%2F%2Fid.who.int%2Ficd%2Fentity%2F197877054","browser")</x:f>
      </x:c>
      <x:c r="L556" s="0">
        <x:f>hyperlink("https://icat2.azurewebsites.net/icat/?ontology=ICD&amp;tab=ClassesTab&amp;id=http%3A%2F%2Fwho.int%2Ficd%232712_c1eb5896_b43e_4531_bd82_f72e7a00cdd6","iCat")</x:f>
      </x:c>
      <x:c r="M556" s="0" t="s">
        <x:v>21</x:v>
      </x:c>
      <x:c r="N556" s="0" t="s">
        <x:v>46</x:v>
      </x:c>
    </x:row>
    <x:row r="557" spans="1:16">
      <x:c r="A557" s="0" t="s">
        <x:v>2131</x:v>
      </x:c>
      <x:c r="B557" s="0" t="s">
        <x:v>2132</x:v>
      </x:c>
      <x:c r="C557" s="0" t="s">
        <x:v>2133</x:v>
      </x:c>
      <x:c r="E557" s="0" t="s">
        <x:v>2134</x:v>
      </x:c>
      <x:c r="F557" s="0" t="s">
        <x:v>45</x:v>
      </x:c>
      <x:c r="G557" s="0" t="s">
        <x:v>19</x:v>
      </x:c>
      <x:c r="H557" s="0" t="s">
        <x:v>20</x:v>
      </x:c>
      <x:c r="I557" s="0" t="s">
        <x:v>21</x:v>
      </x:c>
      <x:c r="K557" s="0">
        <x:f>hyperlink("https://icd.who.int/dev11/l-ichi/en#/http%3A%2F%2Fid.who.int%2Ficd%2Fentity%2F1266294073","browser")</x:f>
      </x:c>
      <x:c r="L557" s="0">
        <x:f>hyperlink("https://icat2.azurewebsites.net/icat/?ontology=ICD&amp;tab=ClassesTab&amp;id=http%3A%2F%2Fwho.int%2Ficd%232722_c1eb5896_b43e_4531_bd82_f72e7a00cdd6","iCat")</x:f>
      </x:c>
      <x:c r="M557" s="0" t="s">
        <x:v>21</x:v>
      </x:c>
      <x:c r="N557" s="0" t="s">
        <x:v>46</x:v>
      </x:c>
    </x:row>
    <x:row r="558" spans="1:16">
      <x:c r="A558" s="0" t="s">
        <x:v>2135</x:v>
      </x:c>
      <x:c r="B558" s="0" t="s">
        <x:v>2136</x:v>
      </x:c>
      <x:c r="C558" s="0" t="s">
        <x:v>2137</x:v>
      </x:c>
      <x:c r="E558" s="0" t="s">
        <x:v>2138</x:v>
      </x:c>
      <x:c r="F558" s="0" t="s">
        <x:v>45</x:v>
      </x:c>
      <x:c r="G558" s="0" t="s">
        <x:v>19</x:v>
      </x:c>
      <x:c r="H558" s="0" t="s">
        <x:v>20</x:v>
      </x:c>
      <x:c r="I558" s="0" t="s">
        <x:v>21</x:v>
      </x:c>
      <x:c r="K558" s="0">
        <x:f>hyperlink("https://icd.who.int/dev11/l-ichi/en#/http%3A%2F%2Fid.who.int%2Ficd%2Fentity%2F2122176845","browser")</x:f>
      </x:c>
      <x:c r="L558" s="0">
        <x:f>hyperlink("https://icat2.azurewebsites.net/icat/?ontology=ICD&amp;tab=ClassesTab&amp;id=http%3A%2F%2Fwho.int%2Ficd%232726_c1eb5896_b43e_4531_bd82_f72e7a00cdd6","iCat")</x:f>
      </x:c>
      <x:c r="M558" s="0" t="s">
        <x:v>21</x:v>
      </x:c>
      <x:c r="N558" s="0" t="s">
        <x:v>46</x:v>
      </x:c>
    </x:row>
    <x:row r="559" spans="1:16">
      <x:c r="A559" s="0" t="s">
        <x:v>2139</x:v>
      </x:c>
      <x:c r="B559" s="0" t="s">
        <x:v>2140</x:v>
      </x:c>
      <x:c r="C559" s="0" t="s">
        <x:v>2141</x:v>
      </x:c>
      <x:c r="E559" s="0" t="s">
        <x:v>2142</x:v>
      </x:c>
      <x:c r="F559" s="0" t="s">
        <x:v>45</x:v>
      </x:c>
      <x:c r="G559" s="0" t="s">
        <x:v>19</x:v>
      </x:c>
      <x:c r="H559" s="0" t="s">
        <x:v>20</x:v>
      </x:c>
      <x:c r="I559" s="0" t="s">
        <x:v>21</x:v>
      </x:c>
      <x:c r="K559" s="0">
        <x:f>hyperlink("https://icd.who.int/dev11/l-ichi/en#/http%3A%2F%2Fid.who.int%2Ficd%2Fentity%2F1681581975","browser")</x:f>
      </x:c>
      <x:c r="L559" s="0">
        <x:f>hyperlink("https://icat2.azurewebsites.net/icat/?ontology=ICD&amp;tab=ClassesTab&amp;id=http%3A%2F%2Fwho.int%2Ficd%232731_c1eb5896_b43e_4531_bd82_f72e7a00cdd6","iCat")</x:f>
      </x:c>
      <x:c r="M559" s="0" t="s">
        <x:v>21</x:v>
      </x:c>
      <x:c r="N559" s="0" t="s">
        <x:v>46</x:v>
      </x:c>
    </x:row>
    <x:row r="560" spans="1:16">
      <x:c r="A560" s="0" t="s">
        <x:v>2143</x:v>
      </x:c>
      <x:c r="B560" s="0" t="s">
        <x:v>2144</x:v>
      </x:c>
      <x:c r="C560" s="0" t="s">
        <x:v>2145</x:v>
      </x:c>
      <x:c r="E560" s="0" t="s">
        <x:v>2146</x:v>
      </x:c>
      <x:c r="F560" s="0" t="s">
        <x:v>45</x:v>
      </x:c>
      <x:c r="G560" s="0" t="s">
        <x:v>19</x:v>
      </x:c>
      <x:c r="H560" s="0" t="s">
        <x:v>20</x:v>
      </x:c>
      <x:c r="I560" s="0" t="s">
        <x:v>21</x:v>
      </x:c>
      <x:c r="K560" s="0">
        <x:f>hyperlink("https://icd.who.int/dev11/l-ichi/en#/http%3A%2F%2Fid.who.int%2Ficd%2Fentity%2F347622426","browser")</x:f>
      </x:c>
      <x:c r="L560" s="0">
        <x:f>hyperlink("https://icat2.azurewebsites.net/icat/?ontology=ICD&amp;tab=ClassesTab&amp;id=http%3A%2F%2Fwho.int%2Ficd%232736_c1eb5896_b43e_4531_bd82_f72e7a00cdd6","iCat")</x:f>
      </x:c>
      <x:c r="M560" s="0" t="s">
        <x:v>21</x:v>
      </x:c>
      <x:c r="N560" s="0" t="s">
        <x:v>46</x:v>
      </x:c>
    </x:row>
    <x:row r="561" spans="1:16">
      <x:c r="A561" s="0" t="s">
        <x:v>2147</x:v>
      </x:c>
      <x:c r="B561" s="0" t="s">
        <x:v>2148</x:v>
      </x:c>
      <x:c r="C561" s="0" t="s">
        <x:v>2149</x:v>
      </x:c>
      <x:c r="E561" s="0" t="s">
        <x:v>2150</x:v>
      </x:c>
      <x:c r="F561" s="0" t="s">
        <x:v>45</x:v>
      </x:c>
      <x:c r="G561" s="0" t="s">
        <x:v>19</x:v>
      </x:c>
      <x:c r="H561" s="0" t="s">
        <x:v>20</x:v>
      </x:c>
      <x:c r="I561" s="0" t="s">
        <x:v>21</x:v>
      </x:c>
      <x:c r="K561" s="0">
        <x:f>hyperlink("https://icd.who.int/dev11/l-ichi/en#/http%3A%2F%2Fid.who.int%2Ficd%2Fentity%2F1424815245","browser")</x:f>
      </x:c>
      <x:c r="L561" s="0">
        <x:f>hyperlink("https://icat2.azurewebsites.net/icat/?ontology=ICD&amp;tab=ClassesTab&amp;id=http%3A%2F%2Fwho.int%2Ficd%232741_c1eb5896_b43e_4531_bd82_f72e7a00cdd6","iCat")</x:f>
      </x:c>
      <x:c r="M561" s="0" t="s">
        <x:v>21</x:v>
      </x:c>
      <x:c r="N561" s="0" t="s">
        <x:v>46</x:v>
      </x:c>
    </x:row>
    <x:row r="562" spans="1:16">
      <x:c r="A562" s="0" t="s">
        <x:v>2151</x:v>
      </x:c>
      <x:c r="B562" s="0" t="s">
        <x:v>2152</x:v>
      </x:c>
      <x:c r="C562" s="0" t="s">
        <x:v>2153</x:v>
      </x:c>
      <x:c r="E562" s="0" t="s">
        <x:v>2154</x:v>
      </x:c>
      <x:c r="F562" s="0" t="s">
        <x:v>45</x:v>
      </x:c>
      <x:c r="G562" s="0" t="s">
        <x:v>19</x:v>
      </x:c>
      <x:c r="H562" s="0" t="s">
        <x:v>20</x:v>
      </x:c>
      <x:c r="I562" s="0" t="s">
        <x:v>21</x:v>
      </x:c>
      <x:c r="K562" s="0">
        <x:f>hyperlink("https://icd.who.int/dev11/l-ichi/en#/http%3A%2F%2Fid.who.int%2Ficd%2Fentity%2F1642803449","browser")</x:f>
      </x:c>
      <x:c r="L562" s="0">
        <x:f>hyperlink("https://icat2.azurewebsites.net/icat/?ontology=ICD&amp;tab=ClassesTab&amp;id=http%3A%2F%2Fwho.int%2Ficd%232745_c1eb5896_b43e_4531_bd82_f72e7a00cdd6","iCat")</x:f>
      </x:c>
      <x:c r="M562" s="0" t="s">
        <x:v>21</x:v>
      </x:c>
      <x:c r="N562" s="0" t="s">
        <x:v>46</x:v>
      </x:c>
    </x:row>
    <x:row r="563" spans="1:16">
      <x:c r="A563" s="0" t="s">
        <x:v>2155</x:v>
      </x:c>
      <x:c r="B563" s="0" t="s">
        <x:v>2156</x:v>
      </x:c>
      <x:c r="C563" s="0" t="s">
        <x:v>2157</x:v>
      </x:c>
      <x:c r="E563" s="0" t="s">
        <x:v>2158</x:v>
      </x:c>
      <x:c r="F563" s="0" t="s">
        <x:v>45</x:v>
      </x:c>
      <x:c r="G563" s="0" t="s">
        <x:v>19</x:v>
      </x:c>
      <x:c r="H563" s="0" t="s">
        <x:v>20</x:v>
      </x:c>
      <x:c r="I563" s="0" t="s">
        <x:v>21</x:v>
      </x:c>
      <x:c r="K563" s="0">
        <x:f>hyperlink("https://icd.who.int/dev11/l-ichi/en#/http%3A%2F%2Fid.who.int%2Ficd%2Fentity%2F516953062","browser")</x:f>
      </x:c>
      <x:c r="L563" s="0">
        <x:f>hyperlink("https://icat2.azurewebsites.net/icat/?ontology=ICD&amp;tab=ClassesTab&amp;id=http%3A%2F%2Fwho.int%2Ficd%232750_c1eb5896_b43e_4531_bd82_f72e7a00cdd6","iCat")</x:f>
      </x:c>
      <x:c r="M563" s="0" t="s">
        <x:v>21</x:v>
      </x:c>
      <x:c r="N563" s="0" t="s">
        <x:v>46</x:v>
      </x:c>
    </x:row>
    <x:row r="564" spans="1:16">
      <x:c r="A564" s="0" t="s">
        <x:v>2159</x:v>
      </x:c>
      <x:c r="B564" s="0" t="s">
        <x:v>2160</x:v>
      </x:c>
      <x:c r="C564" s="0" t="s">
        <x:v>2161</x:v>
      </x:c>
      <x:c r="E564" s="0" t="s">
        <x:v>2162</x:v>
      </x:c>
      <x:c r="F564" s="0" t="s">
        <x:v>45</x:v>
      </x:c>
      <x:c r="G564" s="0" t="s">
        <x:v>19</x:v>
      </x:c>
      <x:c r="H564" s="0" t="s">
        <x:v>20</x:v>
      </x:c>
      <x:c r="I564" s="0" t="s">
        <x:v>21</x:v>
      </x:c>
      <x:c r="K564" s="0">
        <x:f>hyperlink("https://icd.who.int/dev11/l-ichi/en#/http%3A%2F%2Fid.who.int%2Ficd%2Fentity%2F187606446","browser")</x:f>
      </x:c>
      <x:c r="L564" s="0">
        <x:f>hyperlink("https://icat2.azurewebsites.net/icat/?ontology=ICD&amp;tab=ClassesTab&amp;id=http%3A%2F%2Fwho.int%2Ficd%232755_c1eb5896_b43e_4531_bd82_f72e7a00cdd6","iCat")</x:f>
      </x:c>
      <x:c r="M564" s="0" t="s">
        <x:v>21</x:v>
      </x:c>
      <x:c r="N564" s="0" t="s">
        <x:v>46</x:v>
      </x:c>
    </x:row>
    <x:row r="565" spans="1:16">
      <x:c r="A565" s="0" t="s">
        <x:v>2163</x:v>
      </x:c>
      <x:c r="B565" s="0" t="s">
        <x:v>2164</x:v>
      </x:c>
      <x:c r="C565" s="0" t="s">
        <x:v>2165</x:v>
      </x:c>
      <x:c r="E565" s="0" t="s">
        <x:v>2166</x:v>
      </x:c>
      <x:c r="F565" s="0" t="s">
        <x:v>45</x:v>
      </x:c>
      <x:c r="G565" s="0" t="s">
        <x:v>19</x:v>
      </x:c>
      <x:c r="H565" s="0" t="s">
        <x:v>20</x:v>
      </x:c>
      <x:c r="I565" s="0" t="s">
        <x:v>21</x:v>
      </x:c>
      <x:c r="K565" s="0">
        <x:f>hyperlink("https://icd.who.int/dev11/l-ichi/en#/http%3A%2F%2Fid.who.int%2Ficd%2Fentity%2F1890062479","browser")</x:f>
      </x:c>
      <x:c r="L565" s="0">
        <x:f>hyperlink("https://icat2.azurewebsites.net/icat/?ontology=ICD&amp;tab=ClassesTab&amp;id=http%3A%2F%2Fwho.int%2Ficd%232759_c1eb5896_b43e_4531_bd82_f72e7a00cdd6","iCat")</x:f>
      </x:c>
      <x:c r="M565" s="0" t="s">
        <x:v>21</x:v>
      </x:c>
      <x:c r="N565" s="0" t="s">
        <x:v>46</x:v>
      </x:c>
    </x:row>
    <x:row r="566" spans="1:16">
      <x:c r="A566" s="0" t="s">
        <x:v>2167</x:v>
      </x:c>
      <x:c r="B566" s="0" t="s">
        <x:v>2168</x:v>
      </x:c>
      <x:c r="C566" s="0" t="s">
        <x:v>2169</x:v>
      </x:c>
      <x:c r="E566" s="0" t="s">
        <x:v>2170</x:v>
      </x:c>
      <x:c r="F566" s="0" t="s">
        <x:v>45</x:v>
      </x:c>
      <x:c r="G566" s="0" t="s">
        <x:v>19</x:v>
      </x:c>
      <x:c r="H566" s="0" t="s">
        <x:v>20</x:v>
      </x:c>
      <x:c r="I566" s="0" t="s">
        <x:v>21</x:v>
      </x:c>
      <x:c r="K566" s="0">
        <x:f>hyperlink("https://icd.who.int/dev11/l-ichi/en#/http%3A%2F%2Fid.who.int%2Ficd%2Fentity%2F467942424","browser")</x:f>
      </x:c>
      <x:c r="L566" s="0">
        <x:f>hyperlink("https://icat2.azurewebsites.net/icat/?ontology=ICD&amp;tab=ClassesTab&amp;id=http%3A%2F%2Fwho.int%2Ficd%232763_c1eb5896_b43e_4531_bd82_f72e7a00cdd6","iCat")</x:f>
      </x:c>
      <x:c r="M566" s="0" t="s">
        <x:v>21</x:v>
      </x:c>
      <x:c r="N566" s="0" t="s">
        <x:v>46</x:v>
      </x:c>
    </x:row>
    <x:row r="567" spans="1:16">
      <x:c r="A567" s="0" t="s">
        <x:v>2171</x:v>
      </x:c>
      <x:c r="B567" s="0" t="s">
        <x:v>2172</x:v>
      </x:c>
      <x:c r="C567" s="0" t="s">
        <x:v>2173</x:v>
      </x:c>
      <x:c r="E567" s="0" t="s">
        <x:v>2174</x:v>
      </x:c>
      <x:c r="F567" s="0" t="s">
        <x:v>45</x:v>
      </x:c>
      <x:c r="G567" s="0" t="s">
        <x:v>19</x:v>
      </x:c>
      <x:c r="H567" s="0" t="s">
        <x:v>20</x:v>
      </x:c>
      <x:c r="I567" s="0" t="s">
        <x:v>21</x:v>
      </x:c>
      <x:c r="K567" s="0">
        <x:f>hyperlink("https://icd.who.int/dev11/l-ichi/en#/http%3A%2F%2Fid.who.int%2Ficd%2Fentity%2F786692206","browser")</x:f>
      </x:c>
      <x:c r="L567" s="0">
        <x:f>hyperlink("https://icat2.azurewebsites.net/icat/?ontology=ICD&amp;tab=ClassesTab&amp;id=http%3A%2F%2Fwho.int%2Ficd%232767_c1eb5896_b43e_4531_bd82_f72e7a00cdd6","iCat")</x:f>
      </x:c>
      <x:c r="M567" s="0" t="s">
        <x:v>21</x:v>
      </x:c>
      <x:c r="N567" s="0" t="s">
        <x:v>46</x:v>
      </x:c>
    </x:row>
    <x:row r="568" spans="1:16">
      <x:c r="A568" s="0" t="s">
        <x:v>2175</x:v>
      </x:c>
      <x:c r="B568" s="0" t="s">
        <x:v>2176</x:v>
      </x:c>
      <x:c r="E568" s="0" t="s">
        <x:v>2177</x:v>
      </x:c>
      <x:c r="F568" s="0" t="s">
        <x:v>26</x:v>
      </x:c>
      <x:c r="G568" s="0" t="s">
        <x:v>22</x:v>
      </x:c>
      <x:c r="H568" s="0" t="s">
        <x:v>20</x:v>
      </x:c>
      <x:c r="I568" s="0" t="s">
        <x:v>21</x:v>
      </x:c>
      <x:c r="K568" s="0">
        <x:f>hyperlink("https://icd.who.int/dev11/l-ichi/en#/http%3A%2F%2Fid.who.int%2Ficd%2Fentity%2F1373166451","browser")</x:f>
      </x:c>
      <x:c r="L568" s="0">
        <x:f>hyperlink("https://icat2.azurewebsites.net/icat/?ontology=ICD&amp;tab=ClassesTab&amp;id=http%3A%2F%2Fwho.int%2Ficd%232772_c1eb5896_b43e_4531_bd82_f72e7a00cdd6","iCat")</x:f>
      </x:c>
      <x:c r="M568" s="0" t="s">
        <x:v>20</x:v>
      </x:c>
      <x:c r="N568" s="0" t="s">
        <x:v>119</x:v>
      </x:c>
    </x:row>
    <x:row r="569" spans="1:16">
      <x:c r="A569" s="0" t="s">
        <x:v>2178</x:v>
      </x:c>
      <x:c r="B569" s="0" t="s">
        <x:v>2179</x:v>
      </x:c>
      <x:c r="C569" s="0" t="s">
        <x:v>2180</x:v>
      </x:c>
      <x:c r="E569" s="0" t="s">
        <x:v>2181</x:v>
      </x:c>
      <x:c r="F569" s="0" t="s">
        <x:v>45</x:v>
      </x:c>
      <x:c r="G569" s="0" t="s">
        <x:v>19</x:v>
      </x:c>
      <x:c r="H569" s="0" t="s">
        <x:v>20</x:v>
      </x:c>
      <x:c r="I569" s="0" t="s">
        <x:v>21</x:v>
      </x:c>
      <x:c r="K569" s="0">
        <x:f>hyperlink("https://icd.who.int/dev11/l-ichi/en#/http%3A%2F%2Fid.who.int%2Ficd%2Fentity%2F341685386","browser")</x:f>
      </x:c>
      <x:c r="L569" s="0">
        <x:f>hyperlink("https://icat2.azurewebsites.net/icat/?ontology=ICD&amp;tab=ClassesTab&amp;id=http%3A%2F%2Fwho.int%2Ficd%232771_c1eb5896_b43e_4531_bd82_f72e7a00cdd6","iCat")</x:f>
      </x:c>
      <x:c r="M569" s="0" t="s">
        <x:v>21</x:v>
      </x:c>
      <x:c r="N569" s="0" t="s">
        <x:v>46</x:v>
      </x:c>
    </x:row>
    <x:row r="570" spans="1:16">
      <x:c r="A570" s="0" t="s">
        <x:v>2182</x:v>
      </x:c>
      <x:c r="B570" s="0" t="s">
        <x:v>2183</x:v>
      </x:c>
      <x:c r="C570" s="0" t="s">
        <x:v>2184</x:v>
      </x:c>
      <x:c r="E570" s="0" t="s">
        <x:v>2185</x:v>
      </x:c>
      <x:c r="F570" s="0" t="s">
        <x:v>45</x:v>
      </x:c>
      <x:c r="G570" s="0" t="s">
        <x:v>19</x:v>
      </x:c>
      <x:c r="H570" s="0" t="s">
        <x:v>20</x:v>
      </x:c>
      <x:c r="I570" s="0" t="s">
        <x:v>21</x:v>
      </x:c>
      <x:c r="K570" s="0">
        <x:f>hyperlink("https://icd.who.int/dev11/l-ichi/en#/http%3A%2F%2Fid.who.int%2Ficd%2Fentity%2F1002110548","browser")</x:f>
      </x:c>
      <x:c r="L570" s="0">
        <x:f>hyperlink("https://icat2.azurewebsites.net/icat/?ontology=ICD&amp;tab=ClassesTab&amp;id=http%3A%2F%2Fwho.int%2Ficd%232781_c1eb5896_b43e_4531_bd82_f72e7a00cdd6","iCat")</x:f>
      </x:c>
      <x:c r="M570" s="0" t="s">
        <x:v>21</x:v>
      </x:c>
      <x:c r="N570" s="0" t="s">
        <x:v>46</x:v>
      </x:c>
    </x:row>
    <x:row r="571" spans="1:16">
      <x:c r="A571" s="0" t="s">
        <x:v>2186</x:v>
      </x:c>
      <x:c r="B571" s="0" t="s">
        <x:v>2187</x:v>
      </x:c>
      <x:c r="C571" s="0" t="s">
        <x:v>2188</x:v>
      </x:c>
      <x:c r="E571" s="0" t="s">
        <x:v>2189</x:v>
      </x:c>
      <x:c r="F571" s="0" t="s">
        <x:v>45</x:v>
      </x:c>
      <x:c r="G571" s="0" t="s">
        <x:v>19</x:v>
      </x:c>
      <x:c r="H571" s="0" t="s">
        <x:v>20</x:v>
      </x:c>
      <x:c r="I571" s="0" t="s">
        <x:v>21</x:v>
      </x:c>
      <x:c r="K571" s="0">
        <x:f>hyperlink("https://icd.who.int/dev11/l-ichi/en#/http%3A%2F%2Fid.who.int%2Ficd%2Fentity%2F247282210","browser")</x:f>
      </x:c>
      <x:c r="L571" s="0">
        <x:f>hyperlink("https://icat2.azurewebsites.net/icat/?ontology=ICD&amp;tab=ClassesTab&amp;id=http%3A%2F%2Fwho.int%2Ficd%232785_c1eb5896_b43e_4531_bd82_f72e7a00cdd6","iCat")</x:f>
      </x:c>
      <x:c r="M571" s="0" t="s">
        <x:v>21</x:v>
      </x:c>
      <x:c r="N571" s="0" t="s">
        <x:v>46</x:v>
      </x:c>
    </x:row>
    <x:row r="572" spans="1:16">
      <x:c r="A572" s="0" t="s">
        <x:v>2190</x:v>
      </x:c>
      <x:c r="B572" s="0" t="s">
        <x:v>2191</x:v>
      </x:c>
      <x:c r="C572" s="0" t="s">
        <x:v>2192</x:v>
      </x:c>
      <x:c r="E572" s="0" t="s">
        <x:v>2193</x:v>
      </x:c>
      <x:c r="F572" s="0" t="s">
        <x:v>45</x:v>
      </x:c>
      <x:c r="G572" s="0" t="s">
        <x:v>19</x:v>
      </x:c>
      <x:c r="H572" s="0" t="s">
        <x:v>20</x:v>
      </x:c>
      <x:c r="I572" s="0" t="s">
        <x:v>21</x:v>
      </x:c>
      <x:c r="K572" s="0">
        <x:f>hyperlink("https://icd.who.int/dev11/l-ichi/en#/http%3A%2F%2Fid.who.int%2Ficd%2Fentity%2F1966837505","browser")</x:f>
      </x:c>
      <x:c r="L572" s="0">
        <x:f>hyperlink("https://icat2.azurewebsites.net/icat/?ontology=ICD&amp;tab=ClassesTab&amp;id=http%3A%2F%2Fwho.int%2Ficd%232789_c1eb5896_b43e_4531_bd82_f72e7a00cdd6","iCat")</x:f>
      </x:c>
      <x:c r="M572" s="0" t="s">
        <x:v>21</x:v>
      </x:c>
      <x:c r="N572" s="0" t="s">
        <x:v>46</x:v>
      </x:c>
    </x:row>
    <x:row r="573" spans="1:16">
      <x:c r="A573" s="0" t="s">
        <x:v>2194</x:v>
      </x:c>
      <x:c r="B573" s="0" t="s">
        <x:v>2195</x:v>
      </x:c>
      <x:c r="C573" s="0" t="s">
        <x:v>2196</x:v>
      </x:c>
      <x:c r="E573" s="0" t="s">
        <x:v>2197</x:v>
      </x:c>
      <x:c r="F573" s="0" t="s">
        <x:v>45</x:v>
      </x:c>
      <x:c r="G573" s="0" t="s">
        <x:v>19</x:v>
      </x:c>
      <x:c r="H573" s="0" t="s">
        <x:v>20</x:v>
      </x:c>
      <x:c r="I573" s="0" t="s">
        <x:v>21</x:v>
      </x:c>
      <x:c r="K573" s="0">
        <x:f>hyperlink("https://icd.who.int/dev11/l-ichi/en#/http%3A%2F%2Fid.who.int%2Ficd%2Fentity%2F872642246","browser")</x:f>
      </x:c>
      <x:c r="L573" s="0">
        <x:f>hyperlink("https://icat2.azurewebsites.net/icat/?ontology=ICD&amp;tab=ClassesTab&amp;id=http%3A%2F%2Fwho.int%2Ficd%232793_c1eb5896_b43e_4531_bd82_f72e7a00cdd6","iCat")</x:f>
      </x:c>
      <x:c r="M573" s="0" t="s">
        <x:v>21</x:v>
      </x:c>
      <x:c r="N573" s="0" t="s">
        <x:v>46</x:v>
      </x:c>
    </x:row>
    <x:row r="574" spans="1:16">
      <x:c r="A574" s="0" t="s">
        <x:v>2198</x:v>
      </x:c>
      <x:c r="B574" s="0" t="s">
        <x:v>2199</x:v>
      </x:c>
      <x:c r="C574" s="0" t="s">
        <x:v>2200</x:v>
      </x:c>
      <x:c r="E574" s="0" t="s">
        <x:v>2201</x:v>
      </x:c>
      <x:c r="F574" s="0" t="s">
        <x:v>45</x:v>
      </x:c>
      <x:c r="G574" s="0" t="s">
        <x:v>19</x:v>
      </x:c>
      <x:c r="H574" s="0" t="s">
        <x:v>20</x:v>
      </x:c>
      <x:c r="I574" s="0" t="s">
        <x:v>21</x:v>
      </x:c>
      <x:c r="K574" s="0">
        <x:f>hyperlink("https://icd.who.int/dev11/l-ichi/en#/http%3A%2F%2Fid.who.int%2Ficd%2Fentity%2F17085108","browser")</x:f>
      </x:c>
      <x:c r="L574" s="0">
        <x:f>hyperlink("https://icat2.azurewebsites.net/icat/?ontology=ICD&amp;tab=ClassesTab&amp;id=http%3A%2F%2Fwho.int%2Ficd%232797_c1eb5896_b43e_4531_bd82_f72e7a00cdd6","iCat")</x:f>
      </x:c>
      <x:c r="M574" s="0" t="s">
        <x:v>21</x:v>
      </x:c>
      <x:c r="N574" s="0" t="s">
        <x:v>46</x:v>
      </x:c>
    </x:row>
    <x:row r="575" spans="1:16">
      <x:c r="A575" s="0" t="s">
        <x:v>2202</x:v>
      </x:c>
      <x:c r="B575" s="0" t="s">
        <x:v>2203</x:v>
      </x:c>
      <x:c r="C575" s="0" t="s">
        <x:v>2204</x:v>
      </x:c>
      <x:c r="E575" s="0" t="s">
        <x:v>2205</x:v>
      </x:c>
      <x:c r="F575" s="0" t="s">
        <x:v>45</x:v>
      </x:c>
      <x:c r="G575" s="0" t="s">
        <x:v>19</x:v>
      </x:c>
      <x:c r="H575" s="0" t="s">
        <x:v>20</x:v>
      </x:c>
      <x:c r="I575" s="0" t="s">
        <x:v>21</x:v>
      </x:c>
      <x:c r="K575" s="0">
        <x:f>hyperlink("https://icd.who.int/dev11/l-ichi/en#/http%3A%2F%2Fid.who.int%2Ficd%2Fentity%2F1388722070","browser")</x:f>
      </x:c>
      <x:c r="L575" s="0">
        <x:f>hyperlink("https://icat2.azurewebsites.net/icat/?ontology=ICD&amp;tab=ClassesTab&amp;id=http%3A%2F%2Fwho.int%2Ficd%232801_c1eb5896_b43e_4531_bd82_f72e7a00cdd6","iCat")</x:f>
      </x:c>
      <x:c r="M575" s="0" t="s">
        <x:v>21</x:v>
      </x:c>
      <x:c r="N575" s="0" t="s">
        <x:v>46</x:v>
      </x:c>
    </x:row>
    <x:row r="576" spans="1:16">
      <x:c r="A576" s="0" t="s">
        <x:v>2206</x:v>
      </x:c>
      <x:c r="B576" s="0" t="s">
        <x:v>2207</x:v>
      </x:c>
      <x:c r="C576" s="0" t="s">
        <x:v>2208</x:v>
      </x:c>
      <x:c r="E576" s="0" t="s">
        <x:v>2209</x:v>
      </x:c>
      <x:c r="F576" s="0" t="s">
        <x:v>45</x:v>
      </x:c>
      <x:c r="G576" s="0" t="s">
        <x:v>19</x:v>
      </x:c>
      <x:c r="H576" s="0" t="s">
        <x:v>20</x:v>
      </x:c>
      <x:c r="I576" s="0" t="s">
        <x:v>21</x:v>
      </x:c>
      <x:c r="K576" s="0">
        <x:f>hyperlink("https://icd.who.int/dev11/l-ichi/en#/http%3A%2F%2Fid.who.int%2Ficd%2Fentity%2F1740764132","browser")</x:f>
      </x:c>
      <x:c r="L576" s="0">
        <x:f>hyperlink("https://icat2.azurewebsites.net/icat/?ontology=ICD&amp;tab=ClassesTab&amp;id=http%3A%2F%2Fwho.int%2Ficd%232805_c1eb5896_b43e_4531_bd82_f72e7a00cdd6","iCat")</x:f>
      </x:c>
      <x:c r="M576" s="0" t="s">
        <x:v>21</x:v>
      </x:c>
      <x:c r="N576" s="0" t="s">
        <x:v>46</x:v>
      </x:c>
    </x:row>
    <x:row r="577" spans="1:16">
      <x:c r="A577" s="0" t="s">
        <x:v>2210</x:v>
      </x:c>
      <x:c r="B577" s="0" t="s">
        <x:v>2211</x:v>
      </x:c>
      <x:c r="E577" s="0" t="s">
        <x:v>2212</x:v>
      </x:c>
      <x:c r="F577" s="0" t="s">
        <x:v>26</x:v>
      </x:c>
      <x:c r="G577" s="0" t="s">
        <x:v>35</x:v>
      </x:c>
      <x:c r="H577" s="0" t="s">
        <x:v>20</x:v>
      </x:c>
      <x:c r="I577" s="0" t="s">
        <x:v>21</x:v>
      </x:c>
      <x:c r="K577" s="0">
        <x:f>hyperlink("https://icd.who.int/dev11/l-ichi/en#/http%3A%2F%2Fid.who.int%2Ficd%2Fentity%2F419090685","browser")</x:f>
      </x:c>
      <x:c r="L577" s="0">
        <x:f>hyperlink("https://icat2.azurewebsites.net/icat/?ontology=ICD&amp;tab=ClassesTab&amp;id=http%3A%2F%2Fwho.int%2Ficd%232810_c1eb5896_b43e_4531_bd82_f72e7a00cdd6","iCat")</x:f>
      </x:c>
      <x:c r="M577" s="0" t="s">
        <x:v>20</x:v>
      </x:c>
      <x:c r="N577" s="0" t="s">
        <x:v>22</x:v>
      </x:c>
    </x:row>
    <x:row r="578" spans="1:16">
      <x:c r="A578" s="0" t="s">
        <x:v>2213</x:v>
      </x:c>
      <x:c r="B578" s="0" t="s">
        <x:v>2214</x:v>
      </x:c>
      <x:c r="C578" s="0" t="s">
        <x:v>2215</x:v>
      </x:c>
      <x:c r="E578" s="0" t="s">
        <x:v>2216</x:v>
      </x:c>
      <x:c r="F578" s="0" t="s">
        <x:v>45</x:v>
      </x:c>
      <x:c r="G578" s="0" t="s">
        <x:v>19</x:v>
      </x:c>
      <x:c r="H578" s="0" t="s">
        <x:v>20</x:v>
      </x:c>
      <x:c r="I578" s="0" t="s">
        <x:v>21</x:v>
      </x:c>
      <x:c r="K578" s="0">
        <x:f>hyperlink("https://icd.who.int/dev11/l-ichi/en#/http%3A%2F%2Fid.who.int%2Ficd%2Fentity%2F474433219","browser")</x:f>
      </x:c>
      <x:c r="L578" s="0">
        <x:f>hyperlink("https://icat2.azurewebsites.net/icat/?ontology=ICD&amp;tab=ClassesTab&amp;id=http%3A%2F%2Fwho.int%2Ficd%232809_c1eb5896_b43e_4531_bd82_f72e7a00cdd6","iCat")</x:f>
      </x:c>
      <x:c r="M578" s="0" t="s">
        <x:v>21</x:v>
      </x:c>
      <x:c r="N578" s="0" t="s">
        <x:v>46</x:v>
      </x:c>
    </x:row>
    <x:row r="579" spans="1:16">
      <x:c r="A579" s="0" t="s">
        <x:v>2217</x:v>
      </x:c>
      <x:c r="B579" s="0" t="s">
        <x:v>2218</x:v>
      </x:c>
      <x:c r="C579" s="0" t="s">
        <x:v>2219</x:v>
      </x:c>
      <x:c r="E579" s="0" t="s">
        <x:v>2220</x:v>
      </x:c>
      <x:c r="F579" s="0" t="s">
        <x:v>45</x:v>
      </x:c>
      <x:c r="G579" s="0" t="s">
        <x:v>19</x:v>
      </x:c>
      <x:c r="H579" s="0" t="s">
        <x:v>20</x:v>
      </x:c>
      <x:c r="I579" s="0" t="s">
        <x:v>21</x:v>
      </x:c>
      <x:c r="K579" s="0">
        <x:f>hyperlink("https://icd.who.int/dev11/l-ichi/en#/http%3A%2F%2Fid.who.int%2Ficd%2Fentity%2F1303717554","browser")</x:f>
      </x:c>
      <x:c r="L579" s="0">
        <x:f>hyperlink("https://icat2.azurewebsites.net/icat/?ontology=ICD&amp;tab=ClassesTab&amp;id=http%3A%2F%2Fwho.int%2Ficd%232825_c1eb5896_b43e_4531_bd82_f72e7a00cdd6","iCat")</x:f>
      </x:c>
      <x:c r="M579" s="0" t="s">
        <x:v>21</x:v>
      </x:c>
      <x:c r="N579" s="0" t="s">
        <x:v>46</x:v>
      </x:c>
    </x:row>
    <x:row r="580" spans="1:16">
      <x:c r="A580" s="0" t="s">
        <x:v>2221</x:v>
      </x:c>
      <x:c r="B580" s="0" t="s">
        <x:v>2222</x:v>
      </x:c>
      <x:c r="C580" s="0" t="s">
        <x:v>2223</x:v>
      </x:c>
      <x:c r="E580" s="0" t="s">
        <x:v>2224</x:v>
      </x:c>
      <x:c r="F580" s="0" t="s">
        <x:v>45</x:v>
      </x:c>
      <x:c r="G580" s="0" t="s">
        <x:v>19</x:v>
      </x:c>
      <x:c r="H580" s="0" t="s">
        <x:v>20</x:v>
      </x:c>
      <x:c r="I580" s="0" t="s">
        <x:v>21</x:v>
      </x:c>
      <x:c r="K580" s="0">
        <x:f>hyperlink("https://icd.who.int/dev11/l-ichi/en#/http%3A%2F%2Fid.who.int%2Ficd%2Fentity%2F909349779","browser")</x:f>
      </x:c>
      <x:c r="L580" s="0">
        <x:f>hyperlink("https://icat2.azurewebsites.net/icat/?ontology=ICD&amp;tab=ClassesTab&amp;id=http%3A%2F%2Fwho.int%2Ficd%232829_c1eb5896_b43e_4531_bd82_f72e7a00cdd6","iCat")</x:f>
      </x:c>
      <x:c r="M580" s="0" t="s">
        <x:v>21</x:v>
      </x:c>
      <x:c r="N580" s="0" t="s">
        <x:v>46</x:v>
      </x:c>
    </x:row>
    <x:row r="581" spans="1:16">
      <x:c r="A581" s="0" t="s">
        <x:v>2225</x:v>
      </x:c>
      <x:c r="B581" s="0" t="s">
        <x:v>2226</x:v>
      </x:c>
      <x:c r="C581" s="0" t="s">
        <x:v>2227</x:v>
      </x:c>
      <x:c r="E581" s="0" t="s">
        <x:v>2228</x:v>
      </x:c>
      <x:c r="F581" s="0" t="s">
        <x:v>45</x:v>
      </x:c>
      <x:c r="G581" s="0" t="s">
        <x:v>19</x:v>
      </x:c>
      <x:c r="H581" s="0" t="s">
        <x:v>20</x:v>
      </x:c>
      <x:c r="I581" s="0" t="s">
        <x:v>21</x:v>
      </x:c>
      <x:c r="K581" s="0">
        <x:f>hyperlink("https://icd.who.int/dev11/l-ichi/en#/http%3A%2F%2Fid.who.int%2Ficd%2Fentity%2F1997236822","browser")</x:f>
      </x:c>
      <x:c r="L581" s="0">
        <x:f>hyperlink("https://icat2.azurewebsites.net/icat/?ontology=ICD&amp;tab=ClassesTab&amp;id=http%3A%2F%2Fwho.int%2Ficd%232833_c1eb5896_b43e_4531_bd82_f72e7a00cdd6","iCat")</x:f>
      </x:c>
      <x:c r="M581" s="0" t="s">
        <x:v>21</x:v>
      </x:c>
      <x:c r="N581" s="0" t="s">
        <x:v>46</x:v>
      </x:c>
    </x:row>
    <x:row r="582" spans="1:16">
      <x:c r="A582" s="0" t="s">
        <x:v>2229</x:v>
      </x:c>
      <x:c r="B582" s="0" t="s">
        <x:v>2230</x:v>
      </x:c>
      <x:c r="E582" s="0" t="s">
        <x:v>2231</x:v>
      </x:c>
      <x:c r="F582" s="0" t="s">
        <x:v>26</x:v>
      </x:c>
      <x:c r="G582" s="0" t="s">
        <x:v>35</x:v>
      </x:c>
      <x:c r="H582" s="0" t="s">
        <x:v>20</x:v>
      </x:c>
      <x:c r="I582" s="0" t="s">
        <x:v>21</x:v>
      </x:c>
      <x:c r="K582" s="0">
        <x:f>hyperlink("https://icd.who.int/dev11/l-ichi/en#/http%3A%2F%2Fid.who.int%2Ficd%2Fentity%2F39327415","browser")</x:f>
      </x:c>
      <x:c r="L582" s="0">
        <x:f>hyperlink("https://icat2.azurewebsites.net/icat/?ontology=ICD&amp;tab=ClassesTab&amp;id=http%3A%2F%2Fwho.int%2Ficd%232840_c1eb5896_b43e_4531_bd82_f72e7a00cdd6","iCat")</x:f>
      </x:c>
      <x:c r="M582" s="0" t="s">
        <x:v>20</x:v>
      </x:c>
      <x:c r="N582" s="0" t="s">
        <x:v>35</x:v>
      </x:c>
    </x:row>
    <x:row r="583" spans="1:16">
      <x:c r="A583" s="0" t="s">
        <x:v>2232</x:v>
      </x:c>
      <x:c r="B583" s="0" t="s">
        <x:v>2233</x:v>
      </x:c>
      <x:c r="E583" s="0" t="s">
        <x:v>2234</x:v>
      </x:c>
      <x:c r="F583" s="0" t="s">
        <x:v>26</x:v>
      </x:c>
      <x:c r="G583" s="0" t="s">
        <x:v>22</x:v>
      </x:c>
      <x:c r="H583" s="0" t="s">
        <x:v>20</x:v>
      </x:c>
      <x:c r="I583" s="0" t="s">
        <x:v>21</x:v>
      </x:c>
      <x:c r="K583" s="0">
        <x:f>hyperlink("https://icd.who.int/dev11/l-ichi/en#/http%3A%2F%2Fid.who.int%2Ficd%2Fentity%2F1378078470","browser")</x:f>
      </x:c>
      <x:c r="L583" s="0">
        <x:f>hyperlink("https://icat2.azurewebsites.net/icat/?ontology=ICD&amp;tab=ClassesTab&amp;id=http%3A%2F%2Fwho.int%2Ficd%232846_c1eb5896_b43e_4531_bd82_f72e7a00cdd6","iCat")</x:f>
      </x:c>
      <x:c r="M583" s="0" t="s">
        <x:v>20</x:v>
      </x:c>
      <x:c r="N583" s="0" t="s">
        <x:v>206</x:v>
      </x:c>
    </x:row>
    <x:row r="584" spans="1:16">
      <x:c r="A584" s="0" t="s">
        <x:v>2235</x:v>
      </x:c>
      <x:c r="B584" s="0" t="s">
        <x:v>2236</x:v>
      </x:c>
      <x:c r="C584" s="0" t="s">
        <x:v>2237</x:v>
      </x:c>
      <x:c r="E584" s="0" t="s">
        <x:v>2238</x:v>
      </x:c>
      <x:c r="F584" s="0" t="s">
        <x:v>45</x:v>
      </x:c>
      <x:c r="G584" s="0" t="s">
        <x:v>19</x:v>
      </x:c>
      <x:c r="H584" s="0" t="s">
        <x:v>20</x:v>
      </x:c>
      <x:c r="I584" s="0" t="s">
        <x:v>21</x:v>
      </x:c>
      <x:c r="K584" s="0">
        <x:f>hyperlink("https://icd.who.int/dev11/l-ichi/en#/http%3A%2F%2Fid.who.int%2Ficd%2Fentity%2F1559627462","browser")</x:f>
      </x:c>
      <x:c r="L584" s="0">
        <x:f>hyperlink("https://icat2.azurewebsites.net/icat/?ontology=ICD&amp;tab=ClassesTab&amp;id=http%3A%2F%2Fwho.int%2Ficd%232839_c1eb5896_b43e_4531_bd82_f72e7a00cdd6","iCat")</x:f>
      </x:c>
      <x:c r="M584" s="0" t="s">
        <x:v>21</x:v>
      </x:c>
      <x:c r="N584" s="0" t="s">
        <x:v>46</x:v>
      </x:c>
    </x:row>
    <x:row r="585" spans="1:16">
      <x:c r="A585" s="0" t="s">
        <x:v>2239</x:v>
      </x:c>
      <x:c r="B585" s="0" t="s">
        <x:v>2240</x:v>
      </x:c>
      <x:c r="C585" s="0" t="s">
        <x:v>2241</x:v>
      </x:c>
      <x:c r="E585" s="0" t="s">
        <x:v>2242</x:v>
      </x:c>
      <x:c r="F585" s="0" t="s">
        <x:v>45</x:v>
      </x:c>
      <x:c r="G585" s="0" t="s">
        <x:v>19</x:v>
      </x:c>
      <x:c r="H585" s="0" t="s">
        <x:v>20</x:v>
      </x:c>
      <x:c r="I585" s="0" t="s">
        <x:v>21</x:v>
      </x:c>
      <x:c r="K585" s="0">
        <x:f>hyperlink("https://icd.who.int/dev11/l-ichi/en#/http%3A%2F%2Fid.who.int%2Ficd%2Fentity%2F2103653802","browser")</x:f>
      </x:c>
      <x:c r="L585" s="0">
        <x:f>hyperlink("https://icat2.azurewebsites.net/icat/?ontology=ICD&amp;tab=ClassesTab&amp;id=http%3A%2F%2Fwho.int%2Ficd%232855_c1eb5896_b43e_4531_bd82_f72e7a00cdd6","iCat")</x:f>
      </x:c>
      <x:c r="M585" s="0" t="s">
        <x:v>21</x:v>
      </x:c>
      <x:c r="N585" s="0" t="s">
        <x:v>46</x:v>
      </x:c>
    </x:row>
    <x:row r="586" spans="1:16">
      <x:c r="A586" s="0" t="s">
        <x:v>2243</x:v>
      </x:c>
      <x:c r="B586" s="0" t="s">
        <x:v>2244</x:v>
      </x:c>
      <x:c r="C586" s="0" t="s">
        <x:v>2245</x:v>
      </x:c>
      <x:c r="E586" s="0" t="s">
        <x:v>2246</x:v>
      </x:c>
      <x:c r="F586" s="0" t="s">
        <x:v>45</x:v>
      </x:c>
      <x:c r="G586" s="0" t="s">
        <x:v>19</x:v>
      </x:c>
      <x:c r="H586" s="0" t="s">
        <x:v>20</x:v>
      </x:c>
      <x:c r="I586" s="0" t="s">
        <x:v>21</x:v>
      </x:c>
      <x:c r="K586" s="0">
        <x:f>hyperlink("https://icd.who.int/dev11/l-ichi/en#/http%3A%2F%2Fid.who.int%2Ficd%2Fentity%2F115703945","browser")</x:f>
      </x:c>
      <x:c r="L586" s="0">
        <x:f>hyperlink("https://icat2.azurewebsites.net/icat/?ontology=ICD&amp;tab=ClassesTab&amp;id=http%3A%2F%2Fwho.int%2Ficd%232859_c1eb5896_b43e_4531_bd82_f72e7a00cdd6","iCat")</x:f>
      </x:c>
      <x:c r="M586" s="0" t="s">
        <x:v>21</x:v>
      </x:c>
      <x:c r="N586" s="0" t="s">
        <x:v>46</x:v>
      </x:c>
    </x:row>
    <x:row r="587" spans="1:16">
      <x:c r="A587" s="0" t="s">
        <x:v>2247</x:v>
      </x:c>
      <x:c r="B587" s="0" t="s">
        <x:v>2248</x:v>
      </x:c>
      <x:c r="C587" s="0" t="s">
        <x:v>2249</x:v>
      </x:c>
      <x:c r="E587" s="0" t="s">
        <x:v>2250</x:v>
      </x:c>
      <x:c r="F587" s="0" t="s">
        <x:v>45</x:v>
      </x:c>
      <x:c r="G587" s="0" t="s">
        <x:v>19</x:v>
      </x:c>
      <x:c r="H587" s="0" t="s">
        <x:v>20</x:v>
      </x:c>
      <x:c r="I587" s="0" t="s">
        <x:v>21</x:v>
      </x:c>
      <x:c r="K587" s="0">
        <x:f>hyperlink("https://icd.who.int/dev11/l-ichi/en#/http%3A%2F%2Fid.who.int%2Ficd%2Fentity%2F124533065","browser")</x:f>
      </x:c>
      <x:c r="L587" s="0">
        <x:f>hyperlink("https://icat2.azurewebsites.net/icat/?ontology=ICD&amp;tab=ClassesTab&amp;id=http%3A%2F%2Fwho.int%2Ficd%232873_c1eb5896_b43e_4531_bd82_f72e7a00cdd6","iCat")</x:f>
      </x:c>
      <x:c r="M587" s="0" t="s">
        <x:v>21</x:v>
      </x:c>
      <x:c r="N587" s="0" t="s">
        <x:v>46</x:v>
      </x:c>
    </x:row>
    <x:row r="588" spans="1:16">
      <x:c r="A588" s="0" t="s">
        <x:v>2251</x:v>
      </x:c>
      <x:c r="B588" s="0" t="s">
        <x:v>2252</x:v>
      </x:c>
      <x:c r="C588" s="0" t="s">
        <x:v>2253</x:v>
      </x:c>
      <x:c r="E588" s="0" t="s">
        <x:v>2254</x:v>
      </x:c>
      <x:c r="F588" s="0" t="s">
        <x:v>45</x:v>
      </x:c>
      <x:c r="G588" s="0" t="s">
        <x:v>19</x:v>
      </x:c>
      <x:c r="H588" s="0" t="s">
        <x:v>20</x:v>
      </x:c>
      <x:c r="I588" s="0" t="s">
        <x:v>21</x:v>
      </x:c>
      <x:c r="K588" s="0">
        <x:f>hyperlink("https://icd.who.int/dev11/l-ichi/en#/http%3A%2F%2Fid.who.int%2Ficd%2Fentity%2F845937981","browser")</x:f>
      </x:c>
      <x:c r="L588" s="0">
        <x:f>hyperlink("https://icat2.azurewebsites.net/icat/?ontology=ICD&amp;tab=ClassesTab&amp;id=http%3A%2F%2Fwho.int%2Ficd%232877_c1eb5896_b43e_4531_bd82_f72e7a00cdd6","iCat")</x:f>
      </x:c>
      <x:c r="M588" s="0" t="s">
        <x:v>21</x:v>
      </x:c>
      <x:c r="N588" s="0" t="s">
        <x:v>46</x:v>
      </x:c>
    </x:row>
    <x:row r="589" spans="1:16">
      <x:c r="A589" s="0" t="s">
        <x:v>2255</x:v>
      </x:c>
      <x:c r="B589" s="0" t="s">
        <x:v>2256</x:v>
      </x:c>
      <x:c r="C589" s="0" t="s">
        <x:v>2257</x:v>
      </x:c>
      <x:c r="E589" s="0" t="s">
        <x:v>2258</x:v>
      </x:c>
      <x:c r="F589" s="0" t="s">
        <x:v>45</x:v>
      </x:c>
      <x:c r="G589" s="0" t="s">
        <x:v>19</x:v>
      </x:c>
      <x:c r="H589" s="0" t="s">
        <x:v>20</x:v>
      </x:c>
      <x:c r="I589" s="0" t="s">
        <x:v>21</x:v>
      </x:c>
      <x:c r="K589" s="0">
        <x:f>hyperlink("https://icd.who.int/dev11/l-ichi/en#/http%3A%2F%2Fid.who.int%2Ficd%2Fentity%2F1308061268","browser")</x:f>
      </x:c>
      <x:c r="L589" s="0">
        <x:f>hyperlink("https://icat2.azurewebsites.net/icat/?ontology=ICD&amp;tab=ClassesTab&amp;id=http%3A%2F%2Fwho.int%2Ficd%232881_c1eb5896_b43e_4531_bd82_f72e7a00cdd6","iCat")</x:f>
      </x:c>
      <x:c r="M589" s="0" t="s">
        <x:v>21</x:v>
      </x:c>
      <x:c r="N589" s="0" t="s">
        <x:v>46</x:v>
      </x:c>
    </x:row>
    <x:row r="590" spans="1:16">
      <x:c r="A590" s="0" t="s">
        <x:v>2259</x:v>
      </x:c>
      <x:c r="B590" s="0" t="s">
        <x:v>2260</x:v>
      </x:c>
      <x:c r="E590" s="0" t="s">
        <x:v>2261</x:v>
      </x:c>
      <x:c r="F590" s="0" t="s">
        <x:v>26</x:v>
      </x:c>
      <x:c r="G590" s="0" t="s">
        <x:v>22</x:v>
      </x:c>
      <x:c r="H590" s="0" t="s">
        <x:v>20</x:v>
      </x:c>
      <x:c r="I590" s="0" t="s">
        <x:v>21</x:v>
      </x:c>
      <x:c r="K590" s="0">
        <x:f>hyperlink("https://icd.who.int/dev11/l-ichi/en#/http%3A%2F%2Fid.who.int%2Ficd%2Fentity%2F1031128543","browser")</x:f>
      </x:c>
      <x:c r="L590" s="0">
        <x:f>hyperlink("https://icat2.azurewebsites.net/icat/?ontology=ICD&amp;tab=ClassesTab&amp;id=http%3A%2F%2Fwho.int%2Ficd%232886_c1eb5896_b43e_4531_bd82_f72e7a00cdd6","iCat")</x:f>
      </x:c>
      <x:c r="M590" s="0" t="s">
        <x:v>20</x:v>
      </x:c>
      <x:c r="N590" s="0" t="s">
        <x:v>431</x:v>
      </x:c>
    </x:row>
    <x:row r="591" spans="1:16">
      <x:c r="A591" s="0" t="s">
        <x:v>2262</x:v>
      </x:c>
      <x:c r="B591" s="0" t="s">
        <x:v>2263</x:v>
      </x:c>
      <x:c r="C591" s="0" t="s">
        <x:v>2264</x:v>
      </x:c>
      <x:c r="E591" s="0" t="s">
        <x:v>2265</x:v>
      </x:c>
      <x:c r="F591" s="0" t="s">
        <x:v>45</x:v>
      </x:c>
      <x:c r="G591" s="0" t="s">
        <x:v>19</x:v>
      </x:c>
      <x:c r="H591" s="0" t="s">
        <x:v>20</x:v>
      </x:c>
      <x:c r="I591" s="0" t="s">
        <x:v>21</x:v>
      </x:c>
      <x:c r="K591" s="0">
        <x:f>hyperlink("https://icd.who.int/dev11/l-ichi/en#/http%3A%2F%2Fid.who.int%2Ficd%2Fentity%2F2029038118","browser")</x:f>
      </x:c>
      <x:c r="L591" s="0">
        <x:f>hyperlink("https://icat2.azurewebsites.net/icat/?ontology=ICD&amp;tab=ClassesTab&amp;id=http%3A%2F%2Fwho.int%2Ficd%232885_c1eb5896_b43e_4531_bd82_f72e7a00cdd6","iCat")</x:f>
      </x:c>
      <x:c r="M591" s="0" t="s">
        <x:v>21</x:v>
      </x:c>
      <x:c r="N591" s="0" t="s">
        <x:v>46</x:v>
      </x:c>
    </x:row>
    <x:row r="592" spans="1:16">
      <x:c r="A592" s="0" t="s">
        <x:v>2266</x:v>
      </x:c>
      <x:c r="B592" s="0" t="s">
        <x:v>2267</x:v>
      </x:c>
      <x:c r="C592" s="0" t="s">
        <x:v>2268</x:v>
      </x:c>
      <x:c r="E592" s="0" t="s">
        <x:v>2269</x:v>
      </x:c>
      <x:c r="F592" s="0" t="s">
        <x:v>45</x:v>
      </x:c>
      <x:c r="G592" s="0" t="s">
        <x:v>19</x:v>
      </x:c>
      <x:c r="H592" s="0" t="s">
        <x:v>20</x:v>
      </x:c>
      <x:c r="I592" s="0" t="s">
        <x:v>21</x:v>
      </x:c>
      <x:c r="K592" s="0">
        <x:f>hyperlink("https://icd.who.int/dev11/l-ichi/en#/http%3A%2F%2Fid.who.int%2Ficd%2Fentity%2F305479537","browser")</x:f>
      </x:c>
      <x:c r="L592" s="0">
        <x:f>hyperlink("https://icat2.azurewebsites.net/icat/?ontology=ICD&amp;tab=ClassesTab&amp;id=http%3A%2F%2Fwho.int%2Ficd%232895_c1eb5896_b43e_4531_bd82_f72e7a00cdd6","iCat")</x:f>
      </x:c>
      <x:c r="M592" s="0" t="s">
        <x:v>21</x:v>
      </x:c>
      <x:c r="N592" s="0" t="s">
        <x:v>46</x:v>
      </x:c>
    </x:row>
    <x:row r="593" spans="1:16">
      <x:c r="A593" s="0" t="s">
        <x:v>2270</x:v>
      </x:c>
      <x:c r="B593" s="0" t="s">
        <x:v>2271</x:v>
      </x:c>
      <x:c r="C593" s="0" t="s">
        <x:v>2272</x:v>
      </x:c>
      <x:c r="E593" s="0" t="s">
        <x:v>2273</x:v>
      </x:c>
      <x:c r="F593" s="0" t="s">
        <x:v>45</x:v>
      </x:c>
      <x:c r="G593" s="0" t="s">
        <x:v>19</x:v>
      </x:c>
      <x:c r="H593" s="0" t="s">
        <x:v>20</x:v>
      </x:c>
      <x:c r="I593" s="0" t="s">
        <x:v>21</x:v>
      </x:c>
      <x:c r="K593" s="0">
        <x:f>hyperlink("https://icd.who.int/dev11/l-ichi/en#/http%3A%2F%2Fid.who.int%2Ficd%2Fentity%2F1957102509","browser")</x:f>
      </x:c>
      <x:c r="L593" s="0">
        <x:f>hyperlink("https://icat2.azurewebsites.net/icat/?ontology=ICD&amp;tab=ClassesTab&amp;id=http%3A%2F%2Fwho.int%2Ficd%23105_d85a204c_d00a_4566_a3b7_2d137a1891cf","iCat")</x:f>
      </x:c>
      <x:c r="M593" s="0" t="s">
        <x:v>21</x:v>
      </x:c>
      <x:c r="N593" s="0" t="s">
        <x:v>46</x:v>
      </x:c>
    </x:row>
    <x:row r="594" spans="1:16">
      <x:c r="A594" s="0" t="s">
        <x:v>2274</x:v>
      </x:c>
      <x:c r="B594" s="0" t="s">
        <x:v>2275</x:v>
      </x:c>
      <x:c r="C594" s="0" t="s">
        <x:v>2276</x:v>
      </x:c>
      <x:c r="E594" s="0" t="s">
        <x:v>2277</x:v>
      </x:c>
      <x:c r="F594" s="0" t="s">
        <x:v>45</x:v>
      </x:c>
      <x:c r="G594" s="0" t="s">
        <x:v>19</x:v>
      </x:c>
      <x:c r="H594" s="0" t="s">
        <x:v>20</x:v>
      </x:c>
      <x:c r="I594" s="0" t="s">
        <x:v>21</x:v>
      </x:c>
      <x:c r="K594" s="0">
        <x:f>hyperlink("https://icd.who.int/dev11/l-ichi/en#/http%3A%2F%2Fid.who.int%2Ficd%2Fentity%2F253867662","browser")</x:f>
      </x:c>
      <x:c r="L594" s="0">
        <x:f>hyperlink("https://icat2.azurewebsites.net/icat/?ontology=ICD&amp;tab=ClassesTab&amp;id=http%3A%2F%2Fwho.int%2Ficd%23109_d85a204c_d00a_4566_a3b7_2d137a1891cf","iCat")</x:f>
      </x:c>
      <x:c r="M594" s="0" t="s">
        <x:v>21</x:v>
      </x:c>
      <x:c r="N594" s="0" t="s">
        <x:v>46</x:v>
      </x:c>
    </x:row>
    <x:row r="595" spans="1:16">
      <x:c r="A595" s="0" t="s">
        <x:v>2278</x:v>
      </x:c>
      <x:c r="B595" s="0" t="s">
        <x:v>2279</x:v>
      </x:c>
      <x:c r="C595" s="0" t="s">
        <x:v>2280</x:v>
      </x:c>
      <x:c r="E595" s="0" t="s">
        <x:v>2281</x:v>
      </x:c>
      <x:c r="F595" s="0" t="s">
        <x:v>45</x:v>
      </x:c>
      <x:c r="G595" s="0" t="s">
        <x:v>19</x:v>
      </x:c>
      <x:c r="H595" s="0" t="s">
        <x:v>20</x:v>
      </x:c>
      <x:c r="I595" s="0" t="s">
        <x:v>21</x:v>
      </x:c>
      <x:c r="K595" s="0">
        <x:f>hyperlink("https://icd.who.int/dev11/l-ichi/en#/http%3A%2F%2Fid.who.int%2Ficd%2Fentity%2F1773374034","browser")</x:f>
      </x:c>
      <x:c r="L595" s="0">
        <x:f>hyperlink("https://icat2.azurewebsites.net/icat/?ontology=ICD&amp;tab=ClassesTab&amp;id=http%3A%2F%2Fwho.int%2Ficd%232899_c1eb5896_b43e_4531_bd82_f72e7a00cdd6","iCat")</x:f>
      </x:c>
      <x:c r="M595" s="0" t="s">
        <x:v>21</x:v>
      </x:c>
      <x:c r="N595" s="0" t="s">
        <x:v>46</x:v>
      </x:c>
    </x:row>
    <x:row r="596" spans="1:16">
      <x:c r="A596" s="0" t="s">
        <x:v>2282</x:v>
      </x:c>
      <x:c r="B596" s="0" t="s">
        <x:v>2283</x:v>
      </x:c>
      <x:c r="C596" s="0" t="s">
        <x:v>2284</x:v>
      </x:c>
      <x:c r="E596" s="0" t="s">
        <x:v>2285</x:v>
      </x:c>
      <x:c r="F596" s="0" t="s">
        <x:v>45</x:v>
      </x:c>
      <x:c r="G596" s="0" t="s">
        <x:v>19</x:v>
      </x:c>
      <x:c r="H596" s="0" t="s">
        <x:v>20</x:v>
      </x:c>
      <x:c r="I596" s="0" t="s">
        <x:v>21</x:v>
      </x:c>
      <x:c r="K596" s="0">
        <x:f>hyperlink("https://icd.who.int/dev11/l-ichi/en#/http%3A%2F%2Fid.who.int%2Ficd%2Fentity%2F1109781710","browser")</x:f>
      </x:c>
      <x:c r="L596" s="0">
        <x:f>hyperlink("https://icat2.azurewebsites.net/icat/?ontology=ICD&amp;tab=ClassesTab&amp;id=http%3A%2F%2Fwho.int%2Ficd%232903_c1eb5896_b43e_4531_bd82_f72e7a00cdd6","iCat")</x:f>
      </x:c>
      <x:c r="M596" s="0" t="s">
        <x:v>21</x:v>
      </x:c>
      <x:c r="N596" s="0" t="s">
        <x:v>46</x:v>
      </x:c>
    </x:row>
    <x:row r="597" spans="1:16">
      <x:c r="A597" s="0" t="s">
        <x:v>2286</x:v>
      </x:c>
      <x:c r="B597" s="0" t="s">
        <x:v>2287</x:v>
      </x:c>
      <x:c r="C597" s="0" t="s">
        <x:v>2288</x:v>
      </x:c>
      <x:c r="E597" s="0" t="s">
        <x:v>2289</x:v>
      </x:c>
      <x:c r="F597" s="0" t="s">
        <x:v>45</x:v>
      </x:c>
      <x:c r="G597" s="0" t="s">
        <x:v>19</x:v>
      </x:c>
      <x:c r="H597" s="0" t="s">
        <x:v>20</x:v>
      </x:c>
      <x:c r="I597" s="0" t="s">
        <x:v>21</x:v>
      </x:c>
      <x:c r="K597" s="0">
        <x:f>hyperlink("https://icd.who.int/dev11/l-ichi/en#/http%3A%2F%2Fid.who.int%2Ficd%2Fentity%2F1998727356","browser")</x:f>
      </x:c>
      <x:c r="L597" s="0">
        <x:f>hyperlink("https://icat2.azurewebsites.net/icat/?ontology=ICD&amp;tab=ClassesTab&amp;id=http%3A%2F%2Fwho.int%2Ficd%232907_c1eb5896_b43e_4531_bd82_f72e7a00cdd6","iCat")</x:f>
      </x:c>
      <x:c r="M597" s="0" t="s">
        <x:v>21</x:v>
      </x:c>
      <x:c r="N597" s="0" t="s">
        <x:v>46</x:v>
      </x:c>
    </x:row>
    <x:row r="598" spans="1:16">
      <x:c r="A598" s="0" t="s">
        <x:v>2290</x:v>
      </x:c>
      <x:c r="B598" s="0" t="s">
        <x:v>2291</x:v>
      </x:c>
      <x:c r="E598" s="0" t="s">
        <x:v>2292</x:v>
      </x:c>
      <x:c r="F598" s="0" t="s">
        <x:v>26</x:v>
      </x:c>
      <x:c r="G598" s="0" t="s">
        <x:v>22</x:v>
      </x:c>
      <x:c r="H598" s="0" t="s">
        <x:v>20</x:v>
      </x:c>
      <x:c r="I598" s="0" t="s">
        <x:v>21</x:v>
      </x:c>
      <x:c r="K598" s="0">
        <x:f>hyperlink("https://icd.who.int/dev11/l-ichi/en#/http%3A%2F%2Fid.who.int%2Ficd%2Fentity%2F135859109","browser")</x:f>
      </x:c>
      <x:c r="L598" s="0">
        <x:f>hyperlink("https://icat2.azurewebsites.net/icat/?ontology=ICD&amp;tab=ClassesTab&amp;id=http%3A%2F%2Fwho.int%2Ficd%232912_c1eb5896_b43e_4531_bd82_f72e7a00cdd6","iCat")</x:f>
      </x:c>
      <x:c r="M598" s="0" t="s">
        <x:v>20</x:v>
      </x:c>
      <x:c r="N598" s="0" t="s">
        <x:v>22</x:v>
      </x:c>
    </x:row>
    <x:row r="599" spans="1:16">
      <x:c r="A599" s="0" t="s">
        <x:v>2293</x:v>
      </x:c>
      <x:c r="B599" s="0" t="s">
        <x:v>2294</x:v>
      </x:c>
      <x:c r="C599" s="0" t="s">
        <x:v>2295</x:v>
      </x:c>
      <x:c r="E599" s="0" t="s">
        <x:v>2296</x:v>
      </x:c>
      <x:c r="F599" s="0" t="s">
        <x:v>45</x:v>
      </x:c>
      <x:c r="G599" s="0" t="s">
        <x:v>19</x:v>
      </x:c>
      <x:c r="H599" s="0" t="s">
        <x:v>20</x:v>
      </x:c>
      <x:c r="I599" s="0" t="s">
        <x:v>21</x:v>
      </x:c>
      <x:c r="K599" s="0">
        <x:f>hyperlink("https://icd.who.int/dev11/l-ichi/en#/http%3A%2F%2Fid.who.int%2Ficd%2Fentity%2F1302094940","browser")</x:f>
      </x:c>
      <x:c r="L599" s="0">
        <x:f>hyperlink("https://icat2.azurewebsites.net/icat/?ontology=ICD&amp;tab=ClassesTab&amp;id=http%3A%2F%2Fwho.int%2Ficd%232911_c1eb5896_b43e_4531_bd82_f72e7a00cdd6","iCat")</x:f>
      </x:c>
      <x:c r="M599" s="0" t="s">
        <x:v>21</x:v>
      </x:c>
      <x:c r="N599" s="0" t="s">
        <x:v>46</x:v>
      </x:c>
    </x:row>
    <x:row r="600" spans="1:16">
      <x:c r="A600" s="0" t="s">
        <x:v>2297</x:v>
      </x:c>
      <x:c r="B600" s="0" t="s">
        <x:v>2298</x:v>
      </x:c>
      <x:c r="C600" s="0" t="s">
        <x:v>2299</x:v>
      </x:c>
      <x:c r="E600" s="0" t="s">
        <x:v>2300</x:v>
      </x:c>
      <x:c r="F600" s="0" t="s">
        <x:v>45</x:v>
      </x:c>
      <x:c r="G600" s="0" t="s">
        <x:v>19</x:v>
      </x:c>
      <x:c r="H600" s="0" t="s">
        <x:v>20</x:v>
      </x:c>
      <x:c r="I600" s="0" t="s">
        <x:v>21</x:v>
      </x:c>
      <x:c r="K600" s="0">
        <x:f>hyperlink("https://icd.who.int/dev11/l-ichi/en#/http%3A%2F%2Fid.who.int%2Ficd%2Fentity%2F221062235","browser")</x:f>
      </x:c>
      <x:c r="L600" s="0">
        <x:f>hyperlink("https://icat2.azurewebsites.net/icat/?ontology=ICD&amp;tab=ClassesTab&amp;id=http%3A%2F%2Fwho.int%2Ficd%232921_c1eb5896_b43e_4531_bd82_f72e7a00cdd6","iCat")</x:f>
      </x:c>
      <x:c r="M600" s="0" t="s">
        <x:v>21</x:v>
      </x:c>
      <x:c r="N600" s="0" t="s">
        <x:v>46</x:v>
      </x:c>
    </x:row>
    <x:row r="601" spans="1:16">
      <x:c r="A601" s="0" t="s">
        <x:v>2301</x:v>
      </x:c>
      <x:c r="B601" s="0" t="s">
        <x:v>2302</x:v>
      </x:c>
      <x:c r="C601" s="0" t="s">
        <x:v>2303</x:v>
      </x:c>
      <x:c r="E601" s="0" t="s">
        <x:v>2304</x:v>
      </x:c>
      <x:c r="F601" s="0" t="s">
        <x:v>45</x:v>
      </x:c>
      <x:c r="G601" s="0" t="s">
        <x:v>19</x:v>
      </x:c>
      <x:c r="H601" s="0" t="s">
        <x:v>20</x:v>
      </x:c>
      <x:c r="I601" s="0" t="s">
        <x:v>21</x:v>
      </x:c>
      <x:c r="K601" s="0">
        <x:f>hyperlink("https://icd.who.int/dev11/l-ichi/en#/http%3A%2F%2Fid.who.int%2Ficd%2Fentity%2F942333999","browser")</x:f>
      </x:c>
      <x:c r="L601" s="0">
        <x:f>hyperlink("https://icat2.azurewebsites.net/icat/?ontology=ICD&amp;tab=ClassesTab&amp;id=http%3A%2F%2Fwho.int%2Ficd%232925_c1eb5896_b43e_4531_bd82_f72e7a00cdd6","iCat")</x:f>
      </x:c>
      <x:c r="M601" s="0" t="s">
        <x:v>21</x:v>
      </x:c>
      <x:c r="N601" s="0" t="s">
        <x:v>46</x:v>
      </x:c>
    </x:row>
    <x:row r="602" spans="1:16">
      <x:c r="A602" s="0" t="s">
        <x:v>2305</x:v>
      </x:c>
      <x:c r="B602" s="0" t="s">
        <x:v>2306</x:v>
      </x:c>
      <x:c r="C602" s="0" t="s">
        <x:v>2307</x:v>
      </x:c>
      <x:c r="E602" s="0" t="s">
        <x:v>2308</x:v>
      </x:c>
      <x:c r="F602" s="0" t="s">
        <x:v>45</x:v>
      </x:c>
      <x:c r="G602" s="0" t="s">
        <x:v>19</x:v>
      </x:c>
      <x:c r="H602" s="0" t="s">
        <x:v>20</x:v>
      </x:c>
      <x:c r="I602" s="0" t="s">
        <x:v>21</x:v>
      </x:c>
      <x:c r="K602" s="0">
        <x:f>hyperlink("https://icd.who.int/dev11/l-ichi/en#/http%3A%2F%2Fid.who.int%2Ficd%2Fentity%2F1135367440","browser")</x:f>
      </x:c>
      <x:c r="L602" s="0">
        <x:f>hyperlink("https://icat2.azurewebsites.net/icat/?ontology=ICD&amp;tab=ClassesTab&amp;id=http%3A%2F%2Fwho.int%2Ficd%232929_c1eb5896_b43e_4531_bd82_f72e7a00cdd6","iCat")</x:f>
      </x:c>
      <x:c r="M602" s="0" t="s">
        <x:v>21</x:v>
      </x:c>
      <x:c r="N602" s="0" t="s">
        <x:v>46</x:v>
      </x:c>
    </x:row>
    <x:row r="603" spans="1:16">
      <x:c r="A603" s="0" t="s">
        <x:v>2309</x:v>
      </x:c>
      <x:c r="B603" s="0" t="s">
        <x:v>2310</x:v>
      </x:c>
      <x:c r="E603" s="0" t="s">
        <x:v>2311</x:v>
      </x:c>
      <x:c r="F603" s="0" t="s">
        <x:v>26</x:v>
      </x:c>
      <x:c r="G603" s="0" t="s">
        <x:v>35</x:v>
      </x:c>
      <x:c r="H603" s="0" t="s">
        <x:v>20</x:v>
      </x:c>
      <x:c r="I603" s="0" t="s">
        <x:v>21</x:v>
      </x:c>
      <x:c r="K603" s="0">
        <x:f>hyperlink("https://icd.who.int/dev11/l-ichi/en#/http%3A%2F%2Fid.who.int%2Ficd%2Fentity%2F1914046278","browser")</x:f>
      </x:c>
      <x:c r="L603" s="0">
        <x:f>hyperlink("https://icat2.azurewebsites.net/icat/?ontology=ICD&amp;tab=ClassesTab&amp;id=http%3A%2F%2Fwho.int%2Ficd%232934_c1eb5896_b43e_4531_bd82_f72e7a00cdd6","iCat")</x:f>
      </x:c>
      <x:c r="M603" s="0" t="s">
        <x:v>20</x:v>
      </x:c>
      <x:c r="N603" s="0" t="s">
        <x:v>22</x:v>
      </x:c>
    </x:row>
    <x:row r="604" spans="1:16">
      <x:c r="A604" s="0" t="s">
        <x:v>2312</x:v>
      </x:c>
      <x:c r="B604" s="0" t="s">
        <x:v>2313</x:v>
      </x:c>
      <x:c r="E604" s="0" t="s">
        <x:v>2314</x:v>
      </x:c>
      <x:c r="F604" s="0" t="s">
        <x:v>26</x:v>
      </x:c>
      <x:c r="G604" s="0" t="s">
        <x:v>22</x:v>
      </x:c>
      <x:c r="H604" s="0" t="s">
        <x:v>20</x:v>
      </x:c>
      <x:c r="I604" s="0" t="s">
        <x:v>21</x:v>
      </x:c>
      <x:c r="K604" s="0">
        <x:f>hyperlink("https://icd.who.int/dev11/l-ichi/en#/http%3A%2F%2Fid.who.int%2Ficd%2Fentity%2F2009583660","browser")</x:f>
      </x:c>
      <x:c r="L604" s="0">
        <x:f>hyperlink("https://icat2.azurewebsites.net/icat/?ontology=ICD&amp;tab=ClassesTab&amp;id=http%3A%2F%2Fwho.int%2Ficd%232940_c1eb5896_b43e_4531_bd82_f72e7a00cdd6","iCat")</x:f>
      </x:c>
      <x:c r="M604" s="0" t="s">
        <x:v>20</x:v>
      </x:c>
      <x:c r="N604" s="0" t="s">
        <x:v>40</x:v>
      </x:c>
    </x:row>
    <x:row r="605" spans="1:16">
      <x:c r="A605" s="0" t="s">
        <x:v>2315</x:v>
      </x:c>
      <x:c r="B605" s="0" t="s">
        <x:v>2316</x:v>
      </x:c>
      <x:c r="C605" s="0" t="s">
        <x:v>2317</x:v>
      </x:c>
      <x:c r="E605" s="0" t="s">
        <x:v>2318</x:v>
      </x:c>
      <x:c r="F605" s="0" t="s">
        <x:v>45</x:v>
      </x:c>
      <x:c r="G605" s="0" t="s">
        <x:v>19</x:v>
      </x:c>
      <x:c r="H605" s="0" t="s">
        <x:v>20</x:v>
      </x:c>
      <x:c r="I605" s="0" t="s">
        <x:v>21</x:v>
      </x:c>
      <x:c r="K605" s="0">
        <x:f>hyperlink("https://icd.who.int/dev11/l-ichi/en#/http%3A%2F%2Fid.who.int%2Ficd%2Fentity%2F43297993","browser")</x:f>
      </x:c>
      <x:c r="L605" s="0">
        <x:f>hyperlink("https://icat2.azurewebsites.net/icat/?ontology=ICD&amp;tab=ClassesTab&amp;id=http%3A%2F%2Fwho.int%2Ficd%232933_c1eb5896_b43e_4531_bd82_f72e7a00cdd6","iCat")</x:f>
      </x:c>
      <x:c r="M605" s="0" t="s">
        <x:v>21</x:v>
      </x:c>
      <x:c r="N605" s="0" t="s">
        <x:v>46</x:v>
      </x:c>
    </x:row>
    <x:row r="606" spans="1:16">
      <x:c r="A606" s="0" t="s">
        <x:v>2319</x:v>
      </x:c>
      <x:c r="B606" s="0" t="s">
        <x:v>2320</x:v>
      </x:c>
      <x:c r="C606" s="0" t="s">
        <x:v>2321</x:v>
      </x:c>
      <x:c r="E606" s="0" t="s">
        <x:v>2322</x:v>
      </x:c>
      <x:c r="F606" s="0" t="s">
        <x:v>45</x:v>
      </x:c>
      <x:c r="G606" s="0" t="s">
        <x:v>19</x:v>
      </x:c>
      <x:c r="H606" s="0" t="s">
        <x:v>20</x:v>
      </x:c>
      <x:c r="I606" s="0" t="s">
        <x:v>21</x:v>
      </x:c>
      <x:c r="K606" s="0">
        <x:f>hyperlink("https://icd.who.int/dev11/l-ichi/en#/http%3A%2F%2Fid.who.int%2Ficd%2Fentity%2F432001859","browser")</x:f>
      </x:c>
      <x:c r="L606" s="0">
        <x:f>hyperlink("https://icat2.azurewebsites.net/icat/?ontology=ICD&amp;tab=ClassesTab&amp;id=http%3A%2F%2Fwho.int%2Ficd%232949_c1eb5896_b43e_4531_bd82_f72e7a00cdd6","iCat")</x:f>
      </x:c>
      <x:c r="M606" s="0" t="s">
        <x:v>21</x:v>
      </x:c>
      <x:c r="N606" s="0" t="s">
        <x:v>46</x:v>
      </x:c>
    </x:row>
    <x:row r="607" spans="1:16">
      <x:c r="A607" s="0" t="s">
        <x:v>2323</x:v>
      </x:c>
      <x:c r="B607" s="0" t="s">
        <x:v>2324</x:v>
      </x:c>
      <x:c r="C607" s="0" t="s">
        <x:v>2325</x:v>
      </x:c>
      <x:c r="E607" s="0" t="s">
        <x:v>2326</x:v>
      </x:c>
      <x:c r="F607" s="0" t="s">
        <x:v>45</x:v>
      </x:c>
      <x:c r="G607" s="0" t="s">
        <x:v>19</x:v>
      </x:c>
      <x:c r="H607" s="0" t="s">
        <x:v>20</x:v>
      </x:c>
      <x:c r="I607" s="0" t="s">
        <x:v>21</x:v>
      </x:c>
      <x:c r="K607" s="0">
        <x:f>hyperlink("https://icd.who.int/dev11/l-ichi/en#/http%3A%2F%2Fid.who.int%2Ficd%2Fentity%2F1485253252","browser")</x:f>
      </x:c>
      <x:c r="L607" s="0">
        <x:f>hyperlink("https://icat2.azurewebsites.net/icat/?ontology=ICD&amp;tab=ClassesTab&amp;id=http%3A%2F%2Fwho.int%2Ficd%232953_c1eb5896_b43e_4531_bd82_f72e7a00cdd6","iCat")</x:f>
      </x:c>
      <x:c r="M607" s="0" t="s">
        <x:v>21</x:v>
      </x:c>
      <x:c r="N607" s="0" t="s">
        <x:v>46</x:v>
      </x:c>
    </x:row>
    <x:row r="608" spans="1:16">
      <x:c r="A608" s="0" t="s">
        <x:v>2327</x:v>
      </x:c>
      <x:c r="B608" s="0" t="s">
        <x:v>2328</x:v>
      </x:c>
      <x:c r="C608" s="0" t="s">
        <x:v>2329</x:v>
      </x:c>
      <x:c r="E608" s="0" t="s">
        <x:v>2330</x:v>
      </x:c>
      <x:c r="F608" s="0" t="s">
        <x:v>45</x:v>
      </x:c>
      <x:c r="G608" s="0" t="s">
        <x:v>19</x:v>
      </x:c>
      <x:c r="H608" s="0" t="s">
        <x:v>20</x:v>
      </x:c>
      <x:c r="I608" s="0" t="s">
        <x:v>21</x:v>
      </x:c>
      <x:c r="K608" s="0">
        <x:f>hyperlink("https://icd.who.int/dev11/l-ichi/en#/http%3A%2F%2Fid.who.int%2Ficd%2Fentity%2F1837166322","browser")</x:f>
      </x:c>
      <x:c r="L608" s="0">
        <x:f>hyperlink("https://icat2.azurewebsites.net/icat/?ontology=ICD&amp;tab=ClassesTab&amp;id=http%3A%2F%2Fwho.int%2Ficd%232957_c1eb5896_b43e_4531_bd82_f72e7a00cdd6","iCat")</x:f>
      </x:c>
      <x:c r="M608" s="0" t="s">
        <x:v>21</x:v>
      </x:c>
      <x:c r="N608" s="0" t="s">
        <x:v>46</x:v>
      </x:c>
    </x:row>
    <x:row r="609" spans="1:16">
      <x:c r="A609" s="0" t="s">
        <x:v>2331</x:v>
      </x:c>
      <x:c r="B609" s="0" t="s">
        <x:v>2332</x:v>
      </x:c>
      <x:c r="C609" s="0" t="s">
        <x:v>2333</x:v>
      </x:c>
      <x:c r="E609" s="0" t="s">
        <x:v>2334</x:v>
      </x:c>
      <x:c r="F609" s="0" t="s">
        <x:v>45</x:v>
      </x:c>
      <x:c r="G609" s="0" t="s">
        <x:v>19</x:v>
      </x:c>
      <x:c r="H609" s="0" t="s">
        <x:v>20</x:v>
      </x:c>
      <x:c r="I609" s="0" t="s">
        <x:v>21</x:v>
      </x:c>
      <x:c r="K609" s="0">
        <x:f>hyperlink("https://icd.who.int/dev11/l-ichi/en#/http%3A%2F%2Fid.who.int%2Ficd%2Fentity%2F2102032200","browser")</x:f>
      </x:c>
      <x:c r="L609" s="0">
        <x:f>hyperlink("https://icat2.azurewebsites.net/icat/?ontology=ICD&amp;tab=ClassesTab&amp;id=http%3A%2F%2Fwho.int%2Ficd%232961_c1eb5896_b43e_4531_bd82_f72e7a00cdd6","iCat")</x:f>
      </x:c>
      <x:c r="M609" s="0" t="s">
        <x:v>21</x:v>
      </x:c>
      <x:c r="N609" s="0" t="s">
        <x:v>46</x:v>
      </x:c>
    </x:row>
    <x:row r="610" spans="1:16">
      <x:c r="A610" s="0" t="s">
        <x:v>2335</x:v>
      </x:c>
      <x:c r="B610" s="0" t="s">
        <x:v>2336</x:v>
      </x:c>
      <x:c r="E610" s="0" t="s">
        <x:v>2337</x:v>
      </x:c>
      <x:c r="F610" s="0" t="s">
        <x:v>26</x:v>
      </x:c>
      <x:c r="G610" s="0" t="s">
        <x:v>22</x:v>
      </x:c>
      <x:c r="H610" s="0" t="s">
        <x:v>20</x:v>
      </x:c>
      <x:c r="I610" s="0" t="s">
        <x:v>21</x:v>
      </x:c>
      <x:c r="K610" s="0">
        <x:f>hyperlink("https://icd.who.int/dev11/l-ichi/en#/http%3A%2F%2Fid.who.int%2Ficd%2Fentity%2F758230775","browser")</x:f>
      </x:c>
      <x:c r="L610" s="0">
        <x:f>hyperlink("https://icat2.azurewebsites.net/icat/?ontology=ICD&amp;tab=ClassesTab&amp;id=http%3A%2F%2Fwho.int%2Ficd%232967_c1eb5896_b43e_4531_bd82_f72e7a00cdd6","iCat")</x:f>
      </x:c>
      <x:c r="M610" s="0" t="s">
        <x:v>20</x:v>
      </x:c>
      <x:c r="N610" s="0" t="s">
        <x:v>206</x:v>
      </x:c>
    </x:row>
    <x:row r="611" spans="1:16">
      <x:c r="A611" s="0" t="s">
        <x:v>2338</x:v>
      </x:c>
      <x:c r="B611" s="0" t="s">
        <x:v>2339</x:v>
      </x:c>
      <x:c r="C611" s="0" t="s">
        <x:v>2340</x:v>
      </x:c>
      <x:c r="E611" s="0" t="s">
        <x:v>2341</x:v>
      </x:c>
      <x:c r="F611" s="0" t="s">
        <x:v>45</x:v>
      </x:c>
      <x:c r="G611" s="0" t="s">
        <x:v>19</x:v>
      </x:c>
      <x:c r="H611" s="0" t="s">
        <x:v>20</x:v>
      </x:c>
      <x:c r="I611" s="0" t="s">
        <x:v>21</x:v>
      </x:c>
      <x:c r="K611" s="0">
        <x:f>hyperlink("https://icd.who.int/dev11/l-ichi/en#/http%3A%2F%2Fid.who.int%2Ficd%2Fentity%2F231267531","browser")</x:f>
      </x:c>
      <x:c r="L611" s="0">
        <x:f>hyperlink("https://icat2.azurewebsites.net/icat/?ontology=ICD&amp;tab=ClassesTab&amp;id=http%3A%2F%2Fwho.int%2Ficd%232966_c1eb5896_b43e_4531_bd82_f72e7a00cdd6","iCat")</x:f>
      </x:c>
      <x:c r="M611" s="0" t="s">
        <x:v>21</x:v>
      </x:c>
      <x:c r="N611" s="0" t="s">
        <x:v>46</x:v>
      </x:c>
    </x:row>
    <x:row r="612" spans="1:16">
      <x:c r="A612" s="0" t="s">
        <x:v>2342</x:v>
      </x:c>
      <x:c r="B612" s="0" t="s">
        <x:v>2343</x:v>
      </x:c>
      <x:c r="C612" s="0" t="s">
        <x:v>2344</x:v>
      </x:c>
      <x:c r="E612" s="0" t="s">
        <x:v>2345</x:v>
      </x:c>
      <x:c r="F612" s="0" t="s">
        <x:v>45</x:v>
      </x:c>
      <x:c r="G612" s="0" t="s">
        <x:v>19</x:v>
      </x:c>
      <x:c r="H612" s="0" t="s">
        <x:v>20</x:v>
      </x:c>
      <x:c r="I612" s="0" t="s">
        <x:v>21</x:v>
      </x:c>
      <x:c r="K612" s="0">
        <x:f>hyperlink("https://icd.who.int/dev11/l-ichi/en#/http%3A%2F%2Fid.who.int%2Ficd%2Fentity%2F1728924062","browser")</x:f>
      </x:c>
      <x:c r="L612" s="0">
        <x:f>hyperlink("https://icat2.azurewebsites.net/icat/?ontology=ICD&amp;tab=ClassesTab&amp;id=http%3A%2F%2Fwho.int%2Ficd%232976_c1eb5896_b43e_4531_bd82_f72e7a00cdd6","iCat")</x:f>
      </x:c>
      <x:c r="M612" s="0" t="s">
        <x:v>21</x:v>
      </x:c>
      <x:c r="N612" s="0" t="s">
        <x:v>46</x:v>
      </x:c>
    </x:row>
    <x:row r="613" spans="1:16">
      <x:c r="A613" s="0" t="s">
        <x:v>2346</x:v>
      </x:c>
      <x:c r="B613" s="0" t="s">
        <x:v>2347</x:v>
      </x:c>
      <x:c r="C613" s="0" t="s">
        <x:v>2348</x:v>
      </x:c>
      <x:c r="E613" s="0" t="s">
        <x:v>2349</x:v>
      </x:c>
      <x:c r="F613" s="0" t="s">
        <x:v>45</x:v>
      </x:c>
      <x:c r="G613" s="0" t="s">
        <x:v>19</x:v>
      </x:c>
      <x:c r="H613" s="0" t="s">
        <x:v>20</x:v>
      </x:c>
      <x:c r="I613" s="0" t="s">
        <x:v>21</x:v>
      </x:c>
      <x:c r="K613" s="0">
        <x:f>hyperlink("https://icd.who.int/dev11/l-ichi/en#/http%3A%2F%2Fid.who.int%2Ficd%2Fentity%2F412211955","browser")</x:f>
      </x:c>
      <x:c r="L613" s="0">
        <x:f>hyperlink("https://icat2.azurewebsites.net/icat/?ontology=ICD&amp;tab=ClassesTab&amp;id=http%3A%2F%2Fwho.int%2Ficd%232980_c1eb5896_b43e_4531_bd82_f72e7a00cdd6","iCat")</x:f>
      </x:c>
      <x:c r="M613" s="0" t="s">
        <x:v>21</x:v>
      </x:c>
      <x:c r="N613" s="0" t="s">
        <x:v>46</x:v>
      </x:c>
    </x:row>
    <x:row r="614" spans="1:16">
      <x:c r="A614" s="0" t="s">
        <x:v>2350</x:v>
      </x:c>
      <x:c r="B614" s="0" t="s">
        <x:v>2351</x:v>
      </x:c>
      <x:c r="C614" s="0" t="s">
        <x:v>2352</x:v>
      </x:c>
      <x:c r="E614" s="0" t="s">
        <x:v>2353</x:v>
      </x:c>
      <x:c r="F614" s="0" t="s">
        <x:v>45</x:v>
      </x:c>
      <x:c r="G614" s="0" t="s">
        <x:v>19</x:v>
      </x:c>
      <x:c r="H614" s="0" t="s">
        <x:v>20</x:v>
      </x:c>
      <x:c r="I614" s="0" t="s">
        <x:v>21</x:v>
      </x:c>
      <x:c r="K614" s="0">
        <x:f>hyperlink("https://icd.who.int/dev11/l-ichi/en#/http%3A%2F%2Fid.who.int%2Ficd%2Fentity%2F1223295812","browser")</x:f>
      </x:c>
      <x:c r="L614" s="0">
        <x:f>hyperlink("https://icat2.azurewebsites.net/icat/?ontology=ICD&amp;tab=ClassesTab&amp;id=http%3A%2F%2Fwho.int%2Ficd%232986_c1eb5896_b43e_4531_bd82_f72e7a00cdd6","iCat")</x:f>
      </x:c>
      <x:c r="M614" s="0" t="s">
        <x:v>21</x:v>
      </x:c>
      <x:c r="N614" s="0" t="s">
        <x:v>46</x:v>
      </x:c>
    </x:row>
    <x:row r="615" spans="1:16">
      <x:c r="A615" s="0" t="s">
        <x:v>2354</x:v>
      </x:c>
      <x:c r="B615" s="0" t="s">
        <x:v>2355</x:v>
      </x:c>
      <x:c r="C615" s="0" t="s">
        <x:v>2356</x:v>
      </x:c>
      <x:c r="E615" s="0" t="s">
        <x:v>2357</x:v>
      </x:c>
      <x:c r="F615" s="0" t="s">
        <x:v>45</x:v>
      </x:c>
      <x:c r="G615" s="0" t="s">
        <x:v>19</x:v>
      </x:c>
      <x:c r="H615" s="0" t="s">
        <x:v>20</x:v>
      </x:c>
      <x:c r="I615" s="0" t="s">
        <x:v>21</x:v>
      </x:c>
      <x:c r="K615" s="0">
        <x:f>hyperlink("https://icd.who.int/dev11/l-ichi/en#/http%3A%2F%2Fid.who.int%2Ficd%2Fentity%2F1918128036","browser")</x:f>
      </x:c>
      <x:c r="L615" s="0">
        <x:f>hyperlink("https://icat2.azurewebsites.net/icat/?ontology=ICD&amp;tab=ClassesTab&amp;id=http%3A%2F%2Fwho.int%2Ficd%232990_c1eb5896_b43e_4531_bd82_f72e7a00cdd6","iCat")</x:f>
      </x:c>
      <x:c r="M615" s="0" t="s">
        <x:v>21</x:v>
      </x:c>
      <x:c r="N615" s="0" t="s">
        <x:v>46</x:v>
      </x:c>
    </x:row>
    <x:row r="616" spans="1:16">
      <x:c r="A616" s="0" t="s">
        <x:v>2358</x:v>
      </x:c>
      <x:c r="B616" s="0" t="s">
        <x:v>2359</x:v>
      </x:c>
      <x:c r="C616" s="0" t="s">
        <x:v>2360</x:v>
      </x:c>
      <x:c r="E616" s="0" t="s">
        <x:v>2361</x:v>
      </x:c>
      <x:c r="F616" s="0" t="s">
        <x:v>45</x:v>
      </x:c>
      <x:c r="G616" s="0" t="s">
        <x:v>19</x:v>
      </x:c>
      <x:c r="H616" s="0" t="s">
        <x:v>20</x:v>
      </x:c>
      <x:c r="I616" s="0" t="s">
        <x:v>21</x:v>
      </x:c>
      <x:c r="K616" s="0">
        <x:f>hyperlink("https://icd.who.int/dev11/l-ichi/en#/http%3A%2F%2Fid.who.int%2Ficd%2Fentity%2F1196657618","browser")</x:f>
      </x:c>
      <x:c r="L616" s="0">
        <x:f>hyperlink("https://icat2.azurewebsites.net/icat/?ontology=ICD&amp;tab=ClassesTab&amp;id=http%3A%2F%2Fwho.int%2Ficd%232994_c1eb5896_b43e_4531_bd82_f72e7a00cdd6","iCat")</x:f>
      </x:c>
      <x:c r="M616" s="0" t="s">
        <x:v>21</x:v>
      </x:c>
      <x:c r="N616" s="0" t="s">
        <x:v>46</x:v>
      </x:c>
    </x:row>
    <x:row r="617" spans="1:16">
      <x:c r="A617" s="0" t="s">
        <x:v>2362</x:v>
      </x:c>
      <x:c r="B617" s="0" t="s">
        <x:v>2363</x:v>
      </x:c>
      <x:c r="E617" s="0" t="s">
        <x:v>2364</x:v>
      </x:c>
      <x:c r="F617" s="0" t="s">
        <x:v>26</x:v>
      </x:c>
      <x:c r="G617" s="0" t="s">
        <x:v>22</x:v>
      </x:c>
      <x:c r="H617" s="0" t="s">
        <x:v>20</x:v>
      </x:c>
      <x:c r="I617" s="0" t="s">
        <x:v>21</x:v>
      </x:c>
      <x:c r="K617" s="0">
        <x:f>hyperlink("https://icd.who.int/dev11/l-ichi/en#/http%3A%2F%2Fid.who.int%2Ficd%2Fentity%2F557081715","browser")</x:f>
      </x:c>
      <x:c r="L617" s="0">
        <x:f>hyperlink("https://icat2.azurewebsites.net/icat/?ontology=ICD&amp;tab=ClassesTab&amp;id=http%3A%2F%2Fwho.int%2Ficd%233000_c1eb5896_b43e_4531_bd82_f72e7a00cdd6","iCat")</x:f>
      </x:c>
      <x:c r="M617" s="0" t="s">
        <x:v>20</x:v>
      </x:c>
      <x:c r="N617" s="0" t="s">
        <x:v>206</x:v>
      </x:c>
    </x:row>
    <x:row r="618" spans="1:16">
      <x:c r="A618" s="0" t="s">
        <x:v>2365</x:v>
      </x:c>
      <x:c r="B618" s="0" t="s">
        <x:v>2366</x:v>
      </x:c>
      <x:c r="C618" s="0" t="s">
        <x:v>2367</x:v>
      </x:c>
      <x:c r="E618" s="0" t="s">
        <x:v>2368</x:v>
      </x:c>
      <x:c r="F618" s="0" t="s">
        <x:v>45</x:v>
      </x:c>
      <x:c r="G618" s="0" t="s">
        <x:v>19</x:v>
      </x:c>
      <x:c r="H618" s="0" t="s">
        <x:v>20</x:v>
      </x:c>
      <x:c r="I618" s="0" t="s">
        <x:v>21</x:v>
      </x:c>
      <x:c r="K618" s="0">
        <x:f>hyperlink("https://icd.who.int/dev11/l-ichi/en#/http%3A%2F%2Fid.who.int%2Ficd%2Fentity%2F472665293","browser")</x:f>
      </x:c>
      <x:c r="L618" s="0">
        <x:f>hyperlink("https://icat2.azurewebsites.net/icat/?ontology=ICD&amp;tab=ClassesTab&amp;id=http%3A%2F%2Fwho.int%2Ficd%232999_c1eb5896_b43e_4531_bd82_f72e7a00cdd6","iCat")</x:f>
      </x:c>
      <x:c r="M618" s="0" t="s">
        <x:v>21</x:v>
      </x:c>
      <x:c r="N618" s="0" t="s">
        <x:v>46</x:v>
      </x:c>
    </x:row>
    <x:row r="619" spans="1:16">
      <x:c r="A619" s="0" t="s">
        <x:v>2369</x:v>
      </x:c>
      <x:c r="B619" s="0" t="s">
        <x:v>2370</x:v>
      </x:c>
      <x:c r="C619" s="0" t="s">
        <x:v>2371</x:v>
      </x:c>
      <x:c r="E619" s="0" t="s">
        <x:v>2372</x:v>
      </x:c>
      <x:c r="F619" s="0" t="s">
        <x:v>45</x:v>
      </x:c>
      <x:c r="G619" s="0" t="s">
        <x:v>19</x:v>
      </x:c>
      <x:c r="H619" s="0" t="s">
        <x:v>20</x:v>
      </x:c>
      <x:c r="I619" s="0" t="s">
        <x:v>21</x:v>
      </x:c>
      <x:c r="K619" s="0">
        <x:f>hyperlink("https://icd.who.int/dev11/l-ichi/en#/http%3A%2F%2Fid.who.int%2Ficd%2Fentity%2F1330407196","browser")</x:f>
      </x:c>
      <x:c r="L619" s="0">
        <x:f>hyperlink("https://icat2.azurewebsites.net/icat/?ontology=ICD&amp;tab=ClassesTab&amp;id=http%3A%2F%2Fwho.int%2Ficd%233009_c1eb5896_b43e_4531_bd82_f72e7a00cdd6","iCat")</x:f>
      </x:c>
      <x:c r="M619" s="0" t="s">
        <x:v>21</x:v>
      </x:c>
      <x:c r="N619" s="0" t="s">
        <x:v>46</x:v>
      </x:c>
    </x:row>
    <x:row r="620" spans="1:16">
      <x:c r="A620" s="0" t="s">
        <x:v>2373</x:v>
      </x:c>
      <x:c r="B620" s="0" t="s">
        <x:v>2374</x:v>
      </x:c>
      <x:c r="C620" s="0" t="s">
        <x:v>2375</x:v>
      </x:c>
      <x:c r="E620" s="0" t="s">
        <x:v>2376</x:v>
      </x:c>
      <x:c r="F620" s="0" t="s">
        <x:v>45</x:v>
      </x:c>
      <x:c r="G620" s="0" t="s">
        <x:v>19</x:v>
      </x:c>
      <x:c r="H620" s="0" t="s">
        <x:v>20</x:v>
      </x:c>
      <x:c r="I620" s="0" t="s">
        <x:v>21</x:v>
      </x:c>
      <x:c r="K620" s="0">
        <x:f>hyperlink("https://icd.who.int/dev11/l-ichi/en#/http%3A%2F%2Fid.who.int%2Ficd%2Fentity%2F242523869","browser")</x:f>
      </x:c>
      <x:c r="L620" s="0">
        <x:f>hyperlink("https://icat2.azurewebsites.net/icat/?ontology=ICD&amp;tab=ClassesTab&amp;id=http%3A%2F%2Fwho.int%2Ficd%233013_c1eb5896_b43e_4531_bd82_f72e7a00cdd6","iCat")</x:f>
      </x:c>
      <x:c r="M620" s="0" t="s">
        <x:v>21</x:v>
      </x:c>
      <x:c r="N620" s="0" t="s">
        <x:v>46</x:v>
      </x:c>
    </x:row>
    <x:row r="621" spans="1:16">
      <x:c r="A621" s="0" t="s">
        <x:v>2377</x:v>
      </x:c>
      <x:c r="B621" s="0" t="s">
        <x:v>2378</x:v>
      </x:c>
      <x:c r="C621" s="0" t="s">
        <x:v>2379</x:v>
      </x:c>
      <x:c r="E621" s="0" t="s">
        <x:v>2380</x:v>
      </x:c>
      <x:c r="F621" s="0" t="s">
        <x:v>45</x:v>
      </x:c>
      <x:c r="G621" s="0" t="s">
        <x:v>19</x:v>
      </x:c>
      <x:c r="H621" s="0" t="s">
        <x:v>20</x:v>
      </x:c>
      <x:c r="I621" s="0" t="s">
        <x:v>21</x:v>
      </x:c>
      <x:c r="K621" s="0">
        <x:f>hyperlink("https://icd.who.int/dev11/l-ichi/en#/http%3A%2F%2Fid.who.int%2Ficd%2Fentity%2F997415593","browser")</x:f>
      </x:c>
      <x:c r="L621" s="0">
        <x:f>hyperlink("https://icat2.azurewebsites.net/icat/?ontology=ICD&amp;tab=ClassesTab&amp;id=http%3A%2F%2Fwho.int%2Ficd%233017_c1eb5896_b43e_4531_bd82_f72e7a00cdd6","iCat")</x:f>
      </x:c>
      <x:c r="M621" s="0" t="s">
        <x:v>21</x:v>
      </x:c>
      <x:c r="N621" s="0" t="s">
        <x:v>46</x:v>
      </x:c>
    </x:row>
    <x:row r="622" spans="1:16">
      <x:c r="A622" s="0" t="s">
        <x:v>2381</x:v>
      </x:c>
      <x:c r="B622" s="0" t="s">
        <x:v>2382</x:v>
      </x:c>
      <x:c r="C622" s="0" t="s">
        <x:v>2383</x:v>
      </x:c>
      <x:c r="E622" s="0" t="s">
        <x:v>2384</x:v>
      </x:c>
      <x:c r="F622" s="0" t="s">
        <x:v>45</x:v>
      </x:c>
      <x:c r="G622" s="0" t="s">
        <x:v>19</x:v>
      </x:c>
      <x:c r="H622" s="0" t="s">
        <x:v>20</x:v>
      </x:c>
      <x:c r="I622" s="0" t="s">
        <x:v>21</x:v>
      </x:c>
      <x:c r="K622" s="0">
        <x:f>hyperlink("https://icd.who.int/dev11/l-ichi/en#/http%3A%2F%2Fid.who.int%2Ficd%2Fentity%2F2076318384","browser")</x:f>
      </x:c>
      <x:c r="L622" s="0">
        <x:f>hyperlink("https://icat2.azurewebsites.net/icat/?ontology=ICD&amp;tab=ClassesTab&amp;id=http%3A%2F%2Fwho.int%2Ficd%233027_c1eb5896_b43e_4531_bd82_f72e7a00cdd6","iCat")</x:f>
      </x:c>
      <x:c r="M622" s="0" t="s">
        <x:v>21</x:v>
      </x:c>
      <x:c r="N622" s="0" t="s">
        <x:v>46</x:v>
      </x:c>
    </x:row>
    <x:row r="623" spans="1:16">
      <x:c r="A623" s="0" t="s">
        <x:v>2385</x:v>
      </x:c>
      <x:c r="B623" s="0" t="s">
        <x:v>2386</x:v>
      </x:c>
      <x:c r="C623" s="0" t="s">
        <x:v>2387</x:v>
      </x:c>
      <x:c r="E623" s="0" t="s">
        <x:v>2388</x:v>
      </x:c>
      <x:c r="F623" s="0" t="s">
        <x:v>45</x:v>
      </x:c>
      <x:c r="G623" s="0" t="s">
        <x:v>19</x:v>
      </x:c>
      <x:c r="H623" s="0" t="s">
        <x:v>20</x:v>
      </x:c>
      <x:c r="I623" s="0" t="s">
        <x:v>21</x:v>
      </x:c>
      <x:c r="K623" s="0">
        <x:f>hyperlink("https://icd.who.int/dev11/l-ichi/en#/http%3A%2F%2Fid.who.int%2Ficd%2Fentity%2F1098667592","browser")</x:f>
      </x:c>
      <x:c r="L623" s="0">
        <x:f>hyperlink("https://icat2.azurewebsites.net/icat/?ontology=ICD&amp;tab=ClassesTab&amp;id=http%3A%2F%2Fwho.int%2Ficd%233031_c1eb5896_b43e_4531_bd82_f72e7a00cdd6","iCat")</x:f>
      </x:c>
      <x:c r="M623" s="0" t="s">
        <x:v>21</x:v>
      </x:c>
      <x:c r="N623" s="0" t="s">
        <x:v>46</x:v>
      </x:c>
    </x:row>
    <x:row r="624" spans="1:16">
      <x:c r="A624" s="0" t="s">
        <x:v>2389</x:v>
      </x:c>
      <x:c r="B624" s="0" t="s">
        <x:v>2390</x:v>
      </x:c>
      <x:c r="E624" s="0" t="s">
        <x:v>2391</x:v>
      </x:c>
      <x:c r="F624" s="0" t="s">
        <x:v>26</x:v>
      </x:c>
      <x:c r="G624" s="0" t="s">
        <x:v>22</x:v>
      </x:c>
      <x:c r="H624" s="0" t="s">
        <x:v>20</x:v>
      </x:c>
      <x:c r="I624" s="0" t="s">
        <x:v>21</x:v>
      </x:c>
      <x:c r="K624" s="0">
        <x:f>hyperlink("https://icd.who.int/dev11/l-ichi/en#/http%3A%2F%2Fid.who.int%2Ficd%2Fentity%2F838794693","browser")</x:f>
      </x:c>
      <x:c r="L624" s="0">
        <x:f>hyperlink("https://icat2.azurewebsites.net/icat/?ontology=ICD&amp;tab=ClassesTab&amp;id=http%3A%2F%2Fwho.int%2Ficd%233036_c1eb5896_b43e_4531_bd82_f72e7a00cdd6","iCat")</x:f>
      </x:c>
      <x:c r="M624" s="0" t="s">
        <x:v>20</x:v>
      </x:c>
      <x:c r="N624" s="0" t="s">
        <x:v>22</x:v>
      </x:c>
    </x:row>
    <x:row r="625" spans="1:16">
      <x:c r="A625" s="0" t="s">
        <x:v>2392</x:v>
      </x:c>
      <x:c r="B625" s="0" t="s">
        <x:v>2393</x:v>
      </x:c>
      <x:c r="C625" s="0" t="s">
        <x:v>2394</x:v>
      </x:c>
      <x:c r="E625" s="0" t="s">
        <x:v>2395</x:v>
      </x:c>
      <x:c r="F625" s="0" t="s">
        <x:v>45</x:v>
      </x:c>
      <x:c r="G625" s="0" t="s">
        <x:v>19</x:v>
      </x:c>
      <x:c r="H625" s="0" t="s">
        <x:v>20</x:v>
      </x:c>
      <x:c r="I625" s="0" t="s">
        <x:v>21</x:v>
      </x:c>
      <x:c r="K625" s="0">
        <x:f>hyperlink("https://icd.who.int/dev11/l-ichi/en#/http%3A%2F%2Fid.who.int%2Ficd%2Fentity%2F1954255422","browser")</x:f>
      </x:c>
      <x:c r="L625" s="0">
        <x:f>hyperlink("https://icat2.azurewebsites.net/icat/?ontology=ICD&amp;tab=ClassesTab&amp;id=http%3A%2F%2Fwho.int%2Ficd%233035_c1eb5896_b43e_4531_bd82_f72e7a00cdd6","iCat")</x:f>
      </x:c>
      <x:c r="M625" s="0" t="s">
        <x:v>21</x:v>
      </x:c>
      <x:c r="N625" s="0" t="s">
        <x:v>46</x:v>
      </x:c>
    </x:row>
    <x:row r="626" spans="1:16">
      <x:c r="A626" s="0" t="s">
        <x:v>2396</x:v>
      </x:c>
      <x:c r="B626" s="0" t="s">
        <x:v>2397</x:v>
      </x:c>
      <x:c r="C626" s="0" t="s">
        <x:v>2398</x:v>
      </x:c>
      <x:c r="E626" s="0" t="s">
        <x:v>2399</x:v>
      </x:c>
      <x:c r="F626" s="0" t="s">
        <x:v>45</x:v>
      </x:c>
      <x:c r="G626" s="0" t="s">
        <x:v>19</x:v>
      </x:c>
      <x:c r="H626" s="0" t="s">
        <x:v>20</x:v>
      </x:c>
      <x:c r="I626" s="0" t="s">
        <x:v>21</x:v>
      </x:c>
      <x:c r="K626" s="0">
        <x:f>hyperlink("https://icd.who.int/dev11/l-ichi/en#/http%3A%2F%2Fid.who.int%2Ficd%2Fentity%2F1152221478","browser")</x:f>
      </x:c>
      <x:c r="L626" s="0">
        <x:f>hyperlink("https://icat2.azurewebsites.net/icat/?ontology=ICD&amp;tab=ClassesTab&amp;id=http%3A%2F%2Fwho.int%2Ficd%233045_c1eb5896_b43e_4531_bd82_f72e7a00cdd6","iCat")</x:f>
      </x:c>
      <x:c r="M626" s="0" t="s">
        <x:v>21</x:v>
      </x:c>
      <x:c r="N626" s="0" t="s">
        <x:v>46</x:v>
      </x:c>
    </x:row>
    <x:row r="627" spans="1:16">
      <x:c r="A627" s="0" t="s">
        <x:v>2400</x:v>
      </x:c>
      <x:c r="B627" s="0" t="s">
        <x:v>2401</x:v>
      </x:c>
      <x:c r="C627" s="0" t="s">
        <x:v>2402</x:v>
      </x:c>
      <x:c r="E627" s="0" t="s">
        <x:v>2403</x:v>
      </x:c>
      <x:c r="F627" s="0" t="s">
        <x:v>45</x:v>
      </x:c>
      <x:c r="G627" s="0" t="s">
        <x:v>19</x:v>
      </x:c>
      <x:c r="H627" s="0" t="s">
        <x:v>20</x:v>
      </x:c>
      <x:c r="I627" s="0" t="s">
        <x:v>21</x:v>
      </x:c>
      <x:c r="K627" s="0">
        <x:f>hyperlink("https://icd.who.int/dev11/l-ichi/en#/http%3A%2F%2Fid.who.int%2Ficd%2Fentity%2F1059795975","browser")</x:f>
      </x:c>
      <x:c r="L627" s="0">
        <x:f>hyperlink("https://icat2.azurewebsites.net/icat/?ontology=ICD&amp;tab=ClassesTab&amp;id=http%3A%2F%2Fwho.int%2Ficd%233049_c1eb5896_b43e_4531_bd82_f72e7a00cdd6","iCat")</x:f>
      </x:c>
      <x:c r="M627" s="0" t="s">
        <x:v>21</x:v>
      </x:c>
      <x:c r="N627" s="0" t="s">
        <x:v>46</x:v>
      </x:c>
    </x:row>
    <x:row r="628" spans="1:16">
      <x:c r="A628" s="0" t="s">
        <x:v>2404</x:v>
      </x:c>
      <x:c r="B628" s="0" t="s">
        <x:v>2405</x:v>
      </x:c>
      <x:c r="C628" s="0" t="s">
        <x:v>2406</x:v>
      </x:c>
      <x:c r="E628" s="0" t="s">
        <x:v>2407</x:v>
      </x:c>
      <x:c r="F628" s="0" t="s">
        <x:v>45</x:v>
      </x:c>
      <x:c r="G628" s="0" t="s">
        <x:v>19</x:v>
      </x:c>
      <x:c r="H628" s="0" t="s">
        <x:v>20</x:v>
      </x:c>
      <x:c r="I628" s="0" t="s">
        <x:v>21</x:v>
      </x:c>
      <x:c r="K628" s="0">
        <x:f>hyperlink("https://icd.who.int/dev11/l-ichi/en#/http%3A%2F%2Fid.who.int%2Ficd%2Fentity%2F2115227074","browser")</x:f>
      </x:c>
      <x:c r="L628" s="0">
        <x:f>hyperlink("https://icat2.azurewebsites.net/icat/?ontology=ICD&amp;tab=ClassesTab&amp;id=http%3A%2F%2Fwho.int%2Ficd%233053_c1eb5896_b43e_4531_bd82_f72e7a00cdd6","iCat")</x:f>
      </x:c>
      <x:c r="M628" s="0" t="s">
        <x:v>21</x:v>
      </x:c>
      <x:c r="N628" s="0" t="s">
        <x:v>46</x:v>
      </x:c>
    </x:row>
    <x:row r="629" spans="1:16">
      <x:c r="A629" s="0" t="s">
        <x:v>2408</x:v>
      </x:c>
      <x:c r="B629" s="0" t="s">
        <x:v>2409</x:v>
      </x:c>
      <x:c r="E629" s="0" t="s">
        <x:v>2410</x:v>
      </x:c>
      <x:c r="F629" s="0" t="s">
        <x:v>26</x:v>
      </x:c>
      <x:c r="G629" s="0" t="s">
        <x:v>35</x:v>
      </x:c>
      <x:c r="H629" s="0" t="s">
        <x:v>20</x:v>
      </x:c>
      <x:c r="I629" s="0" t="s">
        <x:v>21</x:v>
      </x:c>
      <x:c r="K629" s="0">
        <x:f>hyperlink("https://icd.who.int/dev11/l-ichi/en#/http%3A%2F%2Fid.who.int%2Ficd%2Fentity%2F1964495724","browser")</x:f>
      </x:c>
      <x:c r="L629" s="0">
        <x:f>hyperlink("https://icat2.azurewebsites.net/icat/?ontology=ICD&amp;tab=ClassesTab&amp;id=http%3A%2F%2Fwho.int%2Ficd%233058_c1eb5896_b43e_4531_bd82_f72e7a00cdd6","iCat")</x:f>
      </x:c>
      <x:c r="M629" s="0" t="s">
        <x:v>20</x:v>
      </x:c>
      <x:c r="N629" s="0" t="s">
        <x:v>119</x:v>
      </x:c>
    </x:row>
    <x:row r="630" spans="1:16">
      <x:c r="A630" s="0" t="s">
        <x:v>2411</x:v>
      </x:c>
      <x:c r="B630" s="0" t="s">
        <x:v>2412</x:v>
      </x:c>
      <x:c r="C630" s="0" t="s">
        <x:v>2413</x:v>
      </x:c>
      <x:c r="E630" s="0" t="s">
        <x:v>2414</x:v>
      </x:c>
      <x:c r="F630" s="0" t="s">
        <x:v>45</x:v>
      </x:c>
      <x:c r="G630" s="0" t="s">
        <x:v>19</x:v>
      </x:c>
      <x:c r="H630" s="0" t="s">
        <x:v>20</x:v>
      </x:c>
      <x:c r="I630" s="0" t="s">
        <x:v>21</x:v>
      </x:c>
      <x:c r="K630" s="0">
        <x:f>hyperlink("https://icd.who.int/dev11/l-ichi/en#/http%3A%2F%2Fid.who.int%2Ficd%2Fentity%2F1259604404","browser")</x:f>
      </x:c>
      <x:c r="L630" s="0">
        <x:f>hyperlink("https://icat2.azurewebsites.net/icat/?ontology=ICD&amp;tab=ClassesTab&amp;id=http%3A%2F%2Fwho.int%2Ficd%233057_c1eb5896_b43e_4531_bd82_f72e7a00cdd6","iCat")</x:f>
      </x:c>
      <x:c r="M630" s="0" t="s">
        <x:v>21</x:v>
      </x:c>
      <x:c r="N630" s="0" t="s">
        <x:v>46</x:v>
      </x:c>
    </x:row>
    <x:row r="631" spans="1:16">
      <x:c r="A631" s="0" t="s">
        <x:v>2415</x:v>
      </x:c>
      <x:c r="B631" s="0" t="s">
        <x:v>2416</x:v>
      </x:c>
      <x:c r="C631" s="0" t="s">
        <x:v>2417</x:v>
      </x:c>
      <x:c r="E631" s="0" t="s">
        <x:v>2418</x:v>
      </x:c>
      <x:c r="F631" s="0" t="s">
        <x:v>45</x:v>
      </x:c>
      <x:c r="G631" s="0" t="s">
        <x:v>19</x:v>
      </x:c>
      <x:c r="H631" s="0" t="s">
        <x:v>20</x:v>
      </x:c>
      <x:c r="I631" s="0" t="s">
        <x:v>21</x:v>
      </x:c>
      <x:c r="K631" s="0">
        <x:f>hyperlink("https://icd.who.int/dev11/l-ichi/en#/http%3A%2F%2Fid.who.int%2Ficd%2Fentity%2F1416042640","browser")</x:f>
      </x:c>
      <x:c r="L631" s="0">
        <x:f>hyperlink("https://icat2.azurewebsites.net/icat/?ontology=ICD&amp;tab=ClassesTab&amp;id=http%3A%2F%2Fwho.int%2Ficd%233073_c1eb5896_b43e_4531_bd82_f72e7a00cdd6","iCat")</x:f>
      </x:c>
      <x:c r="M631" s="0" t="s">
        <x:v>21</x:v>
      </x:c>
      <x:c r="N631" s="0" t="s">
        <x:v>46</x:v>
      </x:c>
    </x:row>
    <x:row r="632" spans="1:16">
      <x:c r="A632" s="0" t="s">
        <x:v>2419</x:v>
      </x:c>
      <x:c r="B632" s="0" t="s">
        <x:v>2420</x:v>
      </x:c>
      <x:c r="C632" s="0" t="s">
        <x:v>2421</x:v>
      </x:c>
      <x:c r="E632" s="0" t="s">
        <x:v>2422</x:v>
      </x:c>
      <x:c r="F632" s="0" t="s">
        <x:v>45</x:v>
      </x:c>
      <x:c r="G632" s="0" t="s">
        <x:v>19</x:v>
      </x:c>
      <x:c r="H632" s="0" t="s">
        <x:v>20</x:v>
      </x:c>
      <x:c r="I632" s="0" t="s">
        <x:v>21</x:v>
      </x:c>
      <x:c r="K632" s="0">
        <x:f>hyperlink("https://icd.who.int/dev11/l-ichi/en#/http%3A%2F%2Fid.who.int%2Ficd%2Fentity%2F1633737958","browser")</x:f>
      </x:c>
      <x:c r="L632" s="0">
        <x:f>hyperlink("https://icat2.azurewebsites.net/icat/?ontology=ICD&amp;tab=ClassesTab&amp;id=http%3A%2F%2Fwho.int%2Ficd%233077_c1eb5896_b43e_4531_bd82_f72e7a00cdd6","iCat")</x:f>
      </x:c>
      <x:c r="M632" s="0" t="s">
        <x:v>21</x:v>
      </x:c>
      <x:c r="N632" s="0" t="s">
        <x:v>46</x:v>
      </x:c>
    </x:row>
    <x:row r="633" spans="1:16">
      <x:c r="A633" s="0" t="s">
        <x:v>2423</x:v>
      </x:c>
      <x:c r="B633" s="0" t="s">
        <x:v>2424</x:v>
      </x:c>
      <x:c r="C633" s="0" t="s">
        <x:v>2425</x:v>
      </x:c>
      <x:c r="E633" s="0" t="s">
        <x:v>2426</x:v>
      </x:c>
      <x:c r="F633" s="0" t="s">
        <x:v>45</x:v>
      </x:c>
      <x:c r="G633" s="0" t="s">
        <x:v>19</x:v>
      </x:c>
      <x:c r="H633" s="0" t="s">
        <x:v>20</x:v>
      </x:c>
      <x:c r="I633" s="0" t="s">
        <x:v>21</x:v>
      </x:c>
      <x:c r="K633" s="0">
        <x:f>hyperlink("https://icd.who.int/dev11/l-ichi/en#/http%3A%2F%2Fid.who.int%2Ficd%2Fentity%2F519851915","browser")</x:f>
      </x:c>
      <x:c r="L633" s="0">
        <x:f>hyperlink("https://icat2.azurewebsites.net/icat/?ontology=ICD&amp;tab=ClassesTab&amp;id=http%3A%2F%2Fwho.int%2Ficd%233081_c1eb5896_b43e_4531_bd82_f72e7a00cdd6","iCat")</x:f>
      </x:c>
      <x:c r="M633" s="0" t="s">
        <x:v>21</x:v>
      </x:c>
      <x:c r="N633" s="0" t="s">
        <x:v>46</x:v>
      </x:c>
    </x:row>
    <x:row r="634" spans="1:16">
      <x:c r="A634" s="0" t="s">
        <x:v>2427</x:v>
      </x:c>
      <x:c r="B634" s="0" t="s">
        <x:v>2428</x:v>
      </x:c>
      <x:c r="C634" s="0" t="s">
        <x:v>2429</x:v>
      </x:c>
      <x:c r="E634" s="0" t="s">
        <x:v>2430</x:v>
      </x:c>
      <x:c r="F634" s="0" t="s">
        <x:v>45</x:v>
      </x:c>
      <x:c r="G634" s="0" t="s">
        <x:v>19</x:v>
      </x:c>
      <x:c r="H634" s="0" t="s">
        <x:v>20</x:v>
      </x:c>
      <x:c r="I634" s="0" t="s">
        <x:v>21</x:v>
      </x:c>
      <x:c r="K634" s="0">
        <x:f>hyperlink("https://icd.who.int/dev11/l-ichi/en#/http%3A%2F%2Fid.who.int%2Ficd%2Fentity%2F737905663","browser")</x:f>
      </x:c>
      <x:c r="L634" s="0">
        <x:f>hyperlink("https://icat2.azurewebsites.net/icat/?ontology=ICD&amp;tab=ClassesTab&amp;id=http%3A%2F%2Fwho.int%2Ficd%233085_c1eb5896_b43e_4531_bd82_f72e7a00cdd6","iCat")</x:f>
      </x:c>
      <x:c r="M634" s="0" t="s">
        <x:v>21</x:v>
      </x:c>
      <x:c r="N634" s="0" t="s">
        <x:v>46</x:v>
      </x:c>
    </x:row>
    <x:row r="635" spans="1:16">
      <x:c r="A635" s="0" t="s">
        <x:v>2431</x:v>
      </x:c>
      <x:c r="B635" s="0" t="s">
        <x:v>2432</x:v>
      </x:c>
      <x:c r="C635" s="0" t="s">
        <x:v>2433</x:v>
      </x:c>
      <x:c r="E635" s="0" t="s">
        <x:v>2434</x:v>
      </x:c>
      <x:c r="F635" s="0" t="s">
        <x:v>45</x:v>
      </x:c>
      <x:c r="G635" s="0" t="s">
        <x:v>19</x:v>
      </x:c>
      <x:c r="H635" s="0" t="s">
        <x:v>20</x:v>
      </x:c>
      <x:c r="I635" s="0" t="s">
        <x:v>21</x:v>
      </x:c>
      <x:c r="K635" s="0">
        <x:f>hyperlink("https://icd.who.int/dev11/l-ichi/en#/http%3A%2F%2Fid.who.int%2Ficd%2Fentity%2F1350385374","browser")</x:f>
      </x:c>
      <x:c r="L635" s="0">
        <x:f>hyperlink("https://icat2.azurewebsites.net/icat/?ontology=ICD&amp;tab=ClassesTab&amp;id=http%3A%2F%2Fwho.int%2Ficd%233089_c1eb5896_b43e_4531_bd82_f72e7a00cdd6","iCat")</x:f>
      </x:c>
      <x:c r="M635" s="0" t="s">
        <x:v>21</x:v>
      </x:c>
      <x:c r="N635" s="0" t="s">
        <x:v>46</x:v>
      </x:c>
    </x:row>
    <x:row r="636" spans="1:16">
      <x:c r="A636" s="0" t="s">
        <x:v>2435</x:v>
      </x:c>
      <x:c r="B636" s="0" t="s">
        <x:v>2436</x:v>
      </x:c>
      <x:c r="C636" s="0" t="s">
        <x:v>2437</x:v>
      </x:c>
      <x:c r="E636" s="0" t="s">
        <x:v>2438</x:v>
      </x:c>
      <x:c r="F636" s="0" t="s">
        <x:v>45</x:v>
      </x:c>
      <x:c r="G636" s="0" t="s">
        <x:v>19</x:v>
      </x:c>
      <x:c r="H636" s="0" t="s">
        <x:v>20</x:v>
      </x:c>
      <x:c r="I636" s="0" t="s">
        <x:v>21</x:v>
      </x:c>
      <x:c r="K636" s="0">
        <x:f>hyperlink("https://icd.who.int/dev11/l-ichi/en#/http%3A%2F%2Fid.who.int%2Ficd%2Fentity%2F289785625","browser")</x:f>
      </x:c>
      <x:c r="L636" s="0">
        <x:f>hyperlink("https://icat2.azurewebsites.net/icat/?ontology=ICD&amp;tab=ClassesTab&amp;id=http%3A%2F%2Fwho.int%2Ficd%233093_c1eb5896_b43e_4531_bd82_f72e7a00cdd6","iCat")</x:f>
      </x:c>
      <x:c r="M636" s="0" t="s">
        <x:v>21</x:v>
      </x:c>
      <x:c r="N636" s="0" t="s">
        <x:v>46</x:v>
      </x:c>
    </x:row>
    <x:row r="637" spans="1:16">
      <x:c r="A637" s="0" t="s">
        <x:v>2439</x:v>
      </x:c>
      <x:c r="B637" s="0" t="s">
        <x:v>2440</x:v>
      </x:c>
      <x:c r="C637" s="0" t="s">
        <x:v>2441</x:v>
      </x:c>
      <x:c r="E637" s="0" t="s">
        <x:v>2442</x:v>
      </x:c>
      <x:c r="F637" s="0" t="s">
        <x:v>45</x:v>
      </x:c>
      <x:c r="G637" s="0" t="s">
        <x:v>19</x:v>
      </x:c>
      <x:c r="H637" s="0" t="s">
        <x:v>20</x:v>
      </x:c>
      <x:c r="I637" s="0" t="s">
        <x:v>21</x:v>
      </x:c>
      <x:c r="K637" s="0">
        <x:f>hyperlink("https://icd.who.int/dev11/l-ichi/en#/http%3A%2F%2Fid.who.int%2Ficd%2Fentity%2F608306029","browser")</x:f>
      </x:c>
      <x:c r="L637" s="0">
        <x:f>hyperlink("https://icat2.azurewebsites.net/icat/?ontology=ICD&amp;tab=ClassesTab&amp;id=http%3A%2F%2Fwho.int%2Ficd%233097_c1eb5896_b43e_4531_bd82_f72e7a00cdd6","iCat")</x:f>
      </x:c>
      <x:c r="M637" s="0" t="s">
        <x:v>21</x:v>
      </x:c>
      <x:c r="N637" s="0" t="s">
        <x:v>46</x:v>
      </x:c>
    </x:row>
    <x:row r="638" spans="1:16">
      <x:c r="A638" s="0" t="s">
        <x:v>2443</x:v>
      </x:c>
      <x:c r="B638" s="0" t="s">
        <x:v>2444</x:v>
      </x:c>
      <x:c r="E638" s="0" t="s">
        <x:v>2445</x:v>
      </x:c>
      <x:c r="F638" s="0" t="s">
        <x:v>26</x:v>
      </x:c>
      <x:c r="G638" s="0" t="s">
        <x:v>35</x:v>
      </x:c>
      <x:c r="H638" s="0" t="s">
        <x:v>20</x:v>
      </x:c>
      <x:c r="I638" s="0" t="s">
        <x:v>21</x:v>
      </x:c>
      <x:c r="K638" s="0">
        <x:f>hyperlink("https://icd.who.int/dev11/l-ichi/en#/http%3A%2F%2Fid.who.int%2Ficd%2Fentity%2F1638688412","browser")</x:f>
      </x:c>
      <x:c r="L638" s="0">
        <x:f>hyperlink("https://icat2.azurewebsites.net/icat/?ontology=ICD&amp;tab=ClassesTab&amp;id=http%3A%2F%2Fwho.int%2Ficd%233104_c1eb5896_b43e_4531_bd82_f72e7a00cdd6","iCat")</x:f>
      </x:c>
      <x:c r="M638" s="0" t="s">
        <x:v>20</x:v>
      </x:c>
      <x:c r="N638" s="0" t="s">
        <x:v>35</x:v>
      </x:c>
    </x:row>
    <x:row r="639" spans="1:16">
      <x:c r="A639" s="0" t="s">
        <x:v>2446</x:v>
      </x:c>
      <x:c r="B639" s="0" t="s">
        <x:v>2447</x:v>
      </x:c>
      <x:c r="E639" s="0" t="s">
        <x:v>2448</x:v>
      </x:c>
      <x:c r="F639" s="0" t="s">
        <x:v>26</x:v>
      </x:c>
      <x:c r="G639" s="0" t="s">
        <x:v>22</x:v>
      </x:c>
      <x:c r="H639" s="0" t="s">
        <x:v>20</x:v>
      </x:c>
      <x:c r="I639" s="0" t="s">
        <x:v>21</x:v>
      </x:c>
      <x:c r="K639" s="0">
        <x:f>hyperlink("https://icd.who.int/dev11/l-ichi/en#/http%3A%2F%2Fid.who.int%2Ficd%2Fentity%2F1047410617","browser")</x:f>
      </x:c>
      <x:c r="L639" s="0">
        <x:f>hyperlink("https://icat2.azurewebsites.net/icat/?ontology=ICD&amp;tab=ClassesTab&amp;id=http%3A%2F%2Fwho.int%2Ficd%233110_c1eb5896_b43e_4531_bd82_f72e7a00cdd6","iCat")</x:f>
      </x:c>
      <x:c r="M639" s="0" t="s">
        <x:v>20</x:v>
      </x:c>
      <x:c r="N639" s="0" t="s">
        <x:v>22</x:v>
      </x:c>
    </x:row>
    <x:row r="640" spans="1:16">
      <x:c r="A640" s="0" t="s">
        <x:v>2449</x:v>
      </x:c>
      <x:c r="B640" s="0" t="s">
        <x:v>2450</x:v>
      </x:c>
      <x:c r="C640" s="0" t="s">
        <x:v>2451</x:v>
      </x:c>
      <x:c r="E640" s="0" t="s">
        <x:v>2452</x:v>
      </x:c>
      <x:c r="F640" s="0" t="s">
        <x:v>45</x:v>
      </x:c>
      <x:c r="G640" s="0" t="s">
        <x:v>19</x:v>
      </x:c>
      <x:c r="H640" s="0" t="s">
        <x:v>20</x:v>
      </x:c>
      <x:c r="I640" s="0" t="s">
        <x:v>21</x:v>
      </x:c>
      <x:c r="K640" s="0">
        <x:f>hyperlink("https://icd.who.int/dev11/l-ichi/en#/http%3A%2F%2Fid.who.int%2Ficd%2Fentity%2F288279831","browser")</x:f>
      </x:c>
      <x:c r="L640" s="0">
        <x:f>hyperlink("https://icat2.azurewebsites.net/icat/?ontology=ICD&amp;tab=ClassesTab&amp;id=http%3A%2F%2Fwho.int%2Ficd%233103_c1eb5896_b43e_4531_bd82_f72e7a00cdd6","iCat")</x:f>
      </x:c>
      <x:c r="M640" s="0" t="s">
        <x:v>21</x:v>
      </x:c>
      <x:c r="N640" s="0" t="s">
        <x:v>46</x:v>
      </x:c>
    </x:row>
    <x:row r="641" spans="1:16">
      <x:c r="A641" s="0" t="s">
        <x:v>2453</x:v>
      </x:c>
      <x:c r="B641" s="0" t="s">
        <x:v>2454</x:v>
      </x:c>
      <x:c r="C641" s="0" t="s">
        <x:v>2455</x:v>
      </x:c>
      <x:c r="E641" s="0" t="s">
        <x:v>2456</x:v>
      </x:c>
      <x:c r="F641" s="0" t="s">
        <x:v>45</x:v>
      </x:c>
      <x:c r="G641" s="0" t="s">
        <x:v>19</x:v>
      </x:c>
      <x:c r="H641" s="0" t="s">
        <x:v>20</x:v>
      </x:c>
      <x:c r="I641" s="0" t="s">
        <x:v>21</x:v>
      </x:c>
      <x:c r="K641" s="0">
        <x:f>hyperlink("https://icd.who.int/dev11/l-ichi/en#/http%3A%2F%2Fid.who.int%2Ficd%2Fentity%2F1343632594","browser")</x:f>
      </x:c>
      <x:c r="L641" s="0">
        <x:f>hyperlink("https://icat2.azurewebsites.net/icat/?ontology=ICD&amp;tab=ClassesTab&amp;id=http%3A%2F%2Fwho.int%2Ficd%233119_c1eb5896_b43e_4531_bd82_f72e7a00cdd6","iCat")</x:f>
      </x:c>
      <x:c r="M641" s="0" t="s">
        <x:v>21</x:v>
      </x:c>
      <x:c r="N641" s="0" t="s">
        <x:v>46</x:v>
      </x:c>
    </x:row>
    <x:row r="642" spans="1:16">
      <x:c r="A642" s="0" t="s">
        <x:v>2457</x:v>
      </x:c>
      <x:c r="B642" s="0" t="s">
        <x:v>2458</x:v>
      </x:c>
      <x:c r="C642" s="0" t="s">
        <x:v>2459</x:v>
      </x:c>
      <x:c r="E642" s="0" t="s">
        <x:v>2460</x:v>
      </x:c>
      <x:c r="F642" s="0" t="s">
        <x:v>45</x:v>
      </x:c>
      <x:c r="G642" s="0" t="s">
        <x:v>19</x:v>
      </x:c>
      <x:c r="H642" s="0" t="s">
        <x:v>20</x:v>
      </x:c>
      <x:c r="I642" s="0" t="s">
        <x:v>21</x:v>
      </x:c>
      <x:c r="K642" s="0">
        <x:f>hyperlink("https://icd.who.int/dev11/l-ichi/en#/http%3A%2F%2Fid.who.int%2Ficd%2Fentity%2F995760199","browser")</x:f>
      </x:c>
      <x:c r="L642" s="0">
        <x:f>hyperlink("https://icat2.azurewebsites.net/icat/?ontology=ICD&amp;tab=ClassesTab&amp;id=http%3A%2F%2Fwho.int%2Ficd%233123_c1eb5896_b43e_4531_bd82_f72e7a00cdd6","iCat")</x:f>
      </x:c>
      <x:c r="M642" s="0" t="s">
        <x:v>21</x:v>
      </x:c>
      <x:c r="N642" s="0" t="s">
        <x:v>46</x:v>
      </x:c>
    </x:row>
    <x:row r="643" spans="1:16">
      <x:c r="A643" s="0" t="s">
        <x:v>2461</x:v>
      </x:c>
      <x:c r="B643" s="0" t="s">
        <x:v>2462</x:v>
      </x:c>
      <x:c r="C643" s="0" t="s">
        <x:v>2463</x:v>
      </x:c>
      <x:c r="E643" s="0" t="s">
        <x:v>2464</x:v>
      </x:c>
      <x:c r="F643" s="0" t="s">
        <x:v>45</x:v>
      </x:c>
      <x:c r="G643" s="0" t="s">
        <x:v>19</x:v>
      </x:c>
      <x:c r="H643" s="0" t="s">
        <x:v>20</x:v>
      </x:c>
      <x:c r="I643" s="0" t="s">
        <x:v>21</x:v>
      </x:c>
      <x:c r="K643" s="0">
        <x:f>hyperlink("https://icd.who.int/dev11/l-ichi/en#/http%3A%2F%2Fid.who.int%2Ficd%2Fentity%2F241032243","browser")</x:f>
      </x:c>
      <x:c r="L643" s="0">
        <x:f>hyperlink("https://icat2.azurewebsites.net/icat/?ontology=ICD&amp;tab=ClassesTab&amp;id=http%3A%2F%2Fwho.int%2Ficd%233127_c1eb5896_b43e_4531_bd82_f72e7a00cdd6","iCat")</x:f>
      </x:c>
      <x:c r="M643" s="0" t="s">
        <x:v>21</x:v>
      </x:c>
      <x:c r="N643" s="0" t="s">
        <x:v>46</x:v>
      </x:c>
    </x:row>
    <x:row r="644" spans="1:16">
      <x:c r="A644" s="0" t="s">
        <x:v>2465</x:v>
      </x:c>
      <x:c r="B644" s="0" t="s">
        <x:v>2466</x:v>
      </x:c>
      <x:c r="E644" s="0" t="s">
        <x:v>2467</x:v>
      </x:c>
      <x:c r="F644" s="0" t="s">
        <x:v>26</x:v>
      </x:c>
      <x:c r="G644" s="0" t="s">
        <x:v>22</x:v>
      </x:c>
      <x:c r="H644" s="0" t="s">
        <x:v>20</x:v>
      </x:c>
      <x:c r="I644" s="0" t="s">
        <x:v>21</x:v>
      </x:c>
      <x:c r="K644" s="0">
        <x:f>hyperlink("https://icd.who.int/dev11/l-ichi/en#/http%3A%2F%2Fid.who.int%2Ficd%2Fentity%2F1902575406","browser")</x:f>
      </x:c>
      <x:c r="L644" s="0">
        <x:f>hyperlink("https://icat2.azurewebsites.net/icat/?ontology=ICD&amp;tab=ClassesTab&amp;id=http%3A%2F%2Fwho.int%2Ficd%233132_c1eb5896_b43e_4531_bd82_f72e7a00cdd6","iCat")</x:f>
      </x:c>
      <x:c r="M644" s="0" t="s">
        <x:v>20</x:v>
      </x:c>
      <x:c r="N644" s="0" t="s">
        <x:v>35</x:v>
      </x:c>
    </x:row>
    <x:row r="645" spans="1:16">
      <x:c r="A645" s="0" t="s">
        <x:v>2468</x:v>
      </x:c>
      <x:c r="B645" s="0" t="s">
        <x:v>2469</x:v>
      </x:c>
      <x:c r="C645" s="0" t="s">
        <x:v>2470</x:v>
      </x:c>
      <x:c r="E645" s="0" t="s">
        <x:v>2471</x:v>
      </x:c>
      <x:c r="F645" s="0" t="s">
        <x:v>45</x:v>
      </x:c>
      <x:c r="G645" s="0" t="s">
        <x:v>19</x:v>
      </x:c>
      <x:c r="H645" s="0" t="s">
        <x:v>20</x:v>
      </x:c>
      <x:c r="I645" s="0" t="s">
        <x:v>21</x:v>
      </x:c>
      <x:c r="K645" s="0">
        <x:f>hyperlink("https://icd.who.int/dev11/l-ichi/en#/http%3A%2F%2Fid.who.int%2Ficd%2Fentity%2F887328981","browser")</x:f>
      </x:c>
      <x:c r="L645" s="0">
        <x:f>hyperlink("https://icat2.azurewebsites.net/icat/?ontology=ICD&amp;tab=ClassesTab&amp;id=http%3A%2F%2Fwho.int%2Ficd%233131_c1eb5896_b43e_4531_bd82_f72e7a00cdd6","iCat")</x:f>
      </x:c>
      <x:c r="M645" s="0" t="s">
        <x:v>21</x:v>
      </x:c>
      <x:c r="N645" s="0" t="s">
        <x:v>46</x:v>
      </x:c>
    </x:row>
    <x:row r="646" spans="1:16">
      <x:c r="A646" s="0" t="s">
        <x:v>2472</x:v>
      </x:c>
      <x:c r="B646" s="0" t="s">
        <x:v>2473</x:v>
      </x:c>
      <x:c r="C646" s="0" t="s">
        <x:v>2474</x:v>
      </x:c>
      <x:c r="E646" s="0" t="s">
        <x:v>2475</x:v>
      </x:c>
      <x:c r="F646" s="0" t="s">
        <x:v>45</x:v>
      </x:c>
      <x:c r="G646" s="0" t="s">
        <x:v>19</x:v>
      </x:c>
      <x:c r="H646" s="0" t="s">
        <x:v>20</x:v>
      </x:c>
      <x:c r="I646" s="0" t="s">
        <x:v>21</x:v>
      </x:c>
      <x:c r="K646" s="0">
        <x:f>hyperlink("https://icd.who.int/dev11/l-ichi/en#/http%3A%2F%2Fid.who.int%2Ficd%2Fentity%2F70616015","browser")</x:f>
      </x:c>
      <x:c r="L646" s="0">
        <x:f>hyperlink("https://icat2.azurewebsites.net/icat/?ontology=ICD&amp;tab=ClassesTab&amp;id=http%3A%2F%2Fwho.int%2Ficd%233141_c1eb5896_b43e_4531_bd82_f72e7a00cdd6","iCat")</x:f>
      </x:c>
      <x:c r="M646" s="0" t="s">
        <x:v>21</x:v>
      </x:c>
      <x:c r="N646" s="0" t="s">
        <x:v>46</x:v>
      </x:c>
    </x:row>
    <x:row r="647" spans="1:16">
      <x:c r="A647" s="0" t="s">
        <x:v>2476</x:v>
      </x:c>
      <x:c r="B647" s="0" t="s">
        <x:v>2477</x:v>
      </x:c>
      <x:c r="C647" s="0" t="s">
        <x:v>2478</x:v>
      </x:c>
      <x:c r="E647" s="0" t="s">
        <x:v>2479</x:v>
      </x:c>
      <x:c r="F647" s="0" t="s">
        <x:v>45</x:v>
      </x:c>
      <x:c r="G647" s="0" t="s">
        <x:v>19</x:v>
      </x:c>
      <x:c r="H647" s="0" t="s">
        <x:v>20</x:v>
      </x:c>
      <x:c r="I647" s="0" t="s">
        <x:v>21</x:v>
      </x:c>
      <x:c r="K647" s="0">
        <x:f>hyperlink("https://icd.who.int/dev11/l-ichi/en#/http%3A%2F%2Fid.who.int%2Ficd%2Fentity%2F825378747","browser")</x:f>
      </x:c>
      <x:c r="L647" s="0">
        <x:f>hyperlink("https://icat2.azurewebsites.net/icat/?ontology=ICD&amp;tab=ClassesTab&amp;id=http%3A%2F%2Fwho.int%2Ficd%233145_c1eb5896_b43e_4531_bd82_f72e7a00cdd6","iCat")</x:f>
      </x:c>
      <x:c r="M647" s="0" t="s">
        <x:v>21</x:v>
      </x:c>
      <x:c r="N647" s="0" t="s">
        <x:v>46</x:v>
      </x:c>
    </x:row>
    <x:row r="648" spans="1:16">
      <x:c r="A648" s="0" t="s">
        <x:v>2480</x:v>
      </x:c>
      <x:c r="B648" s="0" t="s">
        <x:v>2481</x:v>
      </x:c>
      <x:c r="E648" s="0" t="s">
        <x:v>2482</x:v>
      </x:c>
      <x:c r="F648" s="0" t="s">
        <x:v>26</x:v>
      </x:c>
      <x:c r="G648" s="0" t="s">
        <x:v>22</x:v>
      </x:c>
      <x:c r="H648" s="0" t="s">
        <x:v>20</x:v>
      </x:c>
      <x:c r="I648" s="0" t="s">
        <x:v>21</x:v>
      </x:c>
      <x:c r="K648" s="0">
        <x:f>hyperlink("https://icd.who.int/dev11/l-ichi/en#/http%3A%2F%2Fid.who.int%2Ficd%2Fentity%2F1309238436","browser")</x:f>
      </x:c>
      <x:c r="L648" s="0">
        <x:f>hyperlink("https://icat2.azurewebsites.net/icat/?ontology=ICD&amp;tab=ClassesTab&amp;id=http%3A%2F%2Fwho.int%2Ficd%233150_c1eb5896_b43e_4531_bd82_f72e7a00cdd6","iCat")</x:f>
      </x:c>
      <x:c r="M648" s="0" t="s">
        <x:v>20</x:v>
      </x:c>
      <x:c r="N648" s="0" t="s">
        <x:v>35</x:v>
      </x:c>
    </x:row>
    <x:row r="649" spans="1:16">
      <x:c r="A649" s="0" t="s">
        <x:v>2483</x:v>
      </x:c>
      <x:c r="B649" s="0" t="s">
        <x:v>2484</x:v>
      </x:c>
      <x:c r="C649" s="0" t="s">
        <x:v>2485</x:v>
      </x:c>
      <x:c r="E649" s="0" t="s">
        <x:v>2486</x:v>
      </x:c>
      <x:c r="F649" s="0" t="s">
        <x:v>45</x:v>
      </x:c>
      <x:c r="G649" s="0" t="s">
        <x:v>19</x:v>
      </x:c>
      <x:c r="H649" s="0" t="s">
        <x:v>20</x:v>
      </x:c>
      <x:c r="I649" s="0" t="s">
        <x:v>21</x:v>
      </x:c>
      <x:c r="K649" s="0">
        <x:f>hyperlink("https://icd.who.int/dev11/l-ichi/en#/http%3A%2F%2Fid.who.int%2Ficd%2Fentity%2F1253372572","browser")</x:f>
      </x:c>
      <x:c r="L649" s="0">
        <x:f>hyperlink("https://icat2.azurewebsites.net/icat/?ontology=ICD&amp;tab=ClassesTab&amp;id=http%3A%2F%2Fwho.int%2Ficd%233149_c1eb5896_b43e_4531_bd82_f72e7a00cdd6","iCat")</x:f>
      </x:c>
      <x:c r="M649" s="0" t="s">
        <x:v>21</x:v>
      </x:c>
      <x:c r="N649" s="0" t="s">
        <x:v>46</x:v>
      </x:c>
    </x:row>
    <x:row r="650" spans="1:16">
      <x:c r="A650" s="0" t="s">
        <x:v>2487</x:v>
      </x:c>
      <x:c r="B650" s="0" t="s">
        <x:v>2488</x:v>
      </x:c>
      <x:c r="C650" s="0" t="s">
        <x:v>2489</x:v>
      </x:c>
      <x:c r="E650" s="0" t="s">
        <x:v>2490</x:v>
      </x:c>
      <x:c r="F650" s="0" t="s">
        <x:v>45</x:v>
      </x:c>
      <x:c r="G650" s="0" t="s">
        <x:v>19</x:v>
      </x:c>
      <x:c r="H650" s="0" t="s">
        <x:v>20</x:v>
      </x:c>
      <x:c r="I650" s="0" t="s">
        <x:v>21</x:v>
      </x:c>
      <x:c r="K650" s="0">
        <x:f>hyperlink("https://icd.who.int/dev11/l-ichi/en#/http%3A%2F%2Fid.who.int%2Ficd%2Fentity%2F544303053","browser")</x:f>
      </x:c>
      <x:c r="L650" s="0">
        <x:f>hyperlink("https://icat2.azurewebsites.net/icat/?ontology=ICD&amp;tab=ClassesTab&amp;id=http%3A%2F%2Fwho.int%2Ficd%233159_c1eb5896_b43e_4531_bd82_f72e7a00cdd6","iCat")</x:f>
      </x:c>
      <x:c r="M650" s="0" t="s">
        <x:v>21</x:v>
      </x:c>
      <x:c r="N650" s="0" t="s">
        <x:v>46</x:v>
      </x:c>
    </x:row>
    <x:row r="651" spans="1:16">
      <x:c r="A651" s="0" t="s">
        <x:v>2491</x:v>
      </x:c>
      <x:c r="B651" s="0" t="s">
        <x:v>2492</x:v>
      </x:c>
      <x:c r="C651" s="0" t="s">
        <x:v>2493</x:v>
      </x:c>
      <x:c r="E651" s="0" t="s">
        <x:v>2494</x:v>
      </x:c>
      <x:c r="F651" s="0" t="s">
        <x:v>45</x:v>
      </x:c>
      <x:c r="G651" s="0" t="s">
        <x:v>19</x:v>
      </x:c>
      <x:c r="H651" s="0" t="s">
        <x:v>20</x:v>
      </x:c>
      <x:c r="I651" s="0" t="s">
        <x:v>21</x:v>
      </x:c>
      <x:c r="K651" s="0">
        <x:f>hyperlink("https://icd.who.int/dev11/l-ichi/en#/http%3A%2F%2Fid.who.int%2Ficd%2Fentity%2F1262308186","browser")</x:f>
      </x:c>
      <x:c r="L651" s="0">
        <x:f>hyperlink("https://icat2.azurewebsites.net/icat/?ontology=ICD&amp;tab=ClassesTab&amp;id=http%3A%2F%2Fwho.int%2Ficd%233163_c1eb5896_b43e_4531_bd82_f72e7a00cdd6","iCat")</x:f>
      </x:c>
      <x:c r="M651" s="0" t="s">
        <x:v>21</x:v>
      </x:c>
      <x:c r="N651" s="0" t="s">
        <x:v>46</x:v>
      </x:c>
    </x:row>
    <x:row r="652" spans="1:16">
      <x:c r="A652" s="0" t="s">
        <x:v>2495</x:v>
      </x:c>
      <x:c r="B652" s="0" t="s">
        <x:v>2496</x:v>
      </x:c>
      <x:c r="E652" s="0" t="s">
        <x:v>2497</x:v>
      </x:c>
      <x:c r="F652" s="0" t="s">
        <x:v>26</x:v>
      </x:c>
      <x:c r="G652" s="0" t="s">
        <x:v>35</x:v>
      </x:c>
      <x:c r="H652" s="0" t="s">
        <x:v>20</x:v>
      </x:c>
      <x:c r="I652" s="0" t="s">
        <x:v>21</x:v>
      </x:c>
      <x:c r="K652" s="0">
        <x:f>hyperlink("https://icd.who.int/dev11/l-ichi/en#/http%3A%2F%2Fid.who.int%2Ficd%2Fentity%2F1077499384","browser")</x:f>
      </x:c>
      <x:c r="L652" s="0">
        <x:f>hyperlink("https://icat2.azurewebsites.net/icat/?ontology=ICD&amp;tab=ClassesTab&amp;id=http%3A%2F%2Fwho.int%2Ficd%233168_c1eb5896_b43e_4531_bd82_f72e7a00cdd6","iCat")</x:f>
      </x:c>
      <x:c r="M652" s="0" t="s">
        <x:v>20</x:v>
      </x:c>
      <x:c r="N652" s="0" t="s">
        <x:v>30</x:v>
      </x:c>
    </x:row>
    <x:row r="653" spans="1:16">
      <x:c r="A653" s="0" t="s">
        <x:v>2498</x:v>
      </x:c>
      <x:c r="B653" s="0" t="s">
        <x:v>2499</x:v>
      </x:c>
      <x:c r="E653" s="0" t="s">
        <x:v>2500</x:v>
      </x:c>
      <x:c r="F653" s="0" t="s">
        <x:v>26</x:v>
      </x:c>
      <x:c r="G653" s="0" t="s">
        <x:v>22</x:v>
      </x:c>
      <x:c r="H653" s="0" t="s">
        <x:v>20</x:v>
      </x:c>
      <x:c r="I653" s="0" t="s">
        <x:v>21</x:v>
      </x:c>
      <x:c r="K653" s="0">
        <x:f>hyperlink("https://icd.who.int/dev11/l-ichi/en#/http%3A%2F%2Fid.who.int%2Ficd%2Fentity%2F1366979968","browser")</x:f>
      </x:c>
      <x:c r="L653" s="0">
        <x:f>hyperlink("https://icat2.azurewebsites.net/icat/?ontology=ICD&amp;tab=ClassesTab&amp;id=http%3A%2F%2Fwho.int%2Ficd%233174_c1eb5896_b43e_4531_bd82_f72e7a00cdd6","iCat")</x:f>
      </x:c>
      <x:c r="M653" s="0" t="s">
        <x:v>20</x:v>
      </x:c>
      <x:c r="N653" s="0" t="s">
        <x:v>22</x:v>
      </x:c>
    </x:row>
    <x:row r="654" spans="1:16">
      <x:c r="A654" s="0" t="s">
        <x:v>2501</x:v>
      </x:c>
      <x:c r="B654" s="0" t="s">
        <x:v>2502</x:v>
      </x:c>
      <x:c r="C654" s="0" t="s">
        <x:v>2503</x:v>
      </x:c>
      <x:c r="E654" s="0" t="s">
        <x:v>2504</x:v>
      </x:c>
      <x:c r="F654" s="0" t="s">
        <x:v>45</x:v>
      </x:c>
      <x:c r="G654" s="0" t="s">
        <x:v>19</x:v>
      </x:c>
      <x:c r="H654" s="0" t="s">
        <x:v>20</x:v>
      </x:c>
      <x:c r="I654" s="0" t="s">
        <x:v>21</x:v>
      </x:c>
      <x:c r="K654" s="0">
        <x:f>hyperlink("https://icd.who.int/dev11/l-ichi/en#/http%3A%2F%2Fid.who.int%2Ficd%2Fentity%2F2117766960","browser")</x:f>
      </x:c>
      <x:c r="L654" s="0">
        <x:f>hyperlink("https://icat2.azurewebsites.net/icat/?ontology=ICD&amp;tab=ClassesTab&amp;id=http%3A%2F%2Fwho.int%2Ficd%233167_c1eb5896_b43e_4531_bd82_f72e7a00cdd6","iCat")</x:f>
      </x:c>
      <x:c r="M654" s="0" t="s">
        <x:v>21</x:v>
      </x:c>
      <x:c r="N654" s="0" t="s">
        <x:v>46</x:v>
      </x:c>
    </x:row>
    <x:row r="655" spans="1:16">
      <x:c r="A655" s="0" t="s">
        <x:v>2505</x:v>
      </x:c>
      <x:c r="B655" s="0" t="s">
        <x:v>2506</x:v>
      </x:c>
      <x:c r="C655" s="0" t="s">
        <x:v>2507</x:v>
      </x:c>
      <x:c r="E655" s="0" t="s">
        <x:v>2508</x:v>
      </x:c>
      <x:c r="F655" s="0" t="s">
        <x:v>45</x:v>
      </x:c>
      <x:c r="G655" s="0" t="s">
        <x:v>19</x:v>
      </x:c>
      <x:c r="H655" s="0" t="s">
        <x:v>20</x:v>
      </x:c>
      <x:c r="I655" s="0" t="s">
        <x:v>21</x:v>
      </x:c>
      <x:c r="K655" s="0">
        <x:f>hyperlink("https://icd.who.int/dev11/l-ichi/en#/http%3A%2F%2Fid.who.int%2Ficd%2Fentity%2F236950739","browser")</x:f>
      </x:c>
      <x:c r="L655" s="0">
        <x:f>hyperlink("https://icat2.azurewebsites.net/icat/?ontology=ICD&amp;tab=ClassesTab&amp;id=http%3A%2F%2Fwho.int%2Ficd%233183_c1eb5896_b43e_4531_bd82_f72e7a00cdd6","iCat")</x:f>
      </x:c>
      <x:c r="M655" s="0" t="s">
        <x:v>21</x:v>
      </x:c>
      <x:c r="N655" s="0" t="s">
        <x:v>46</x:v>
      </x:c>
    </x:row>
    <x:row r="656" spans="1:16">
      <x:c r="A656" s="0" t="s">
        <x:v>2509</x:v>
      </x:c>
      <x:c r="B656" s="0" t="s">
        <x:v>2510</x:v>
      </x:c>
      <x:c r="C656" s="0" t="s">
        <x:v>2511</x:v>
      </x:c>
      <x:c r="E656" s="0" t="s">
        <x:v>2512</x:v>
      </x:c>
      <x:c r="F656" s="0" t="s">
        <x:v>45</x:v>
      </x:c>
      <x:c r="G656" s="0" t="s">
        <x:v>19</x:v>
      </x:c>
      <x:c r="H656" s="0" t="s">
        <x:v>20</x:v>
      </x:c>
      <x:c r="I656" s="0" t="s">
        <x:v>21</x:v>
      </x:c>
      <x:c r="K656" s="0">
        <x:f>hyperlink("https://icd.who.int/dev11/l-ichi/en#/http%3A%2F%2Fid.who.int%2Ficd%2Fentity%2F991449255","browser")</x:f>
      </x:c>
      <x:c r="L656" s="0">
        <x:f>hyperlink("https://icat2.azurewebsites.net/icat/?ontology=ICD&amp;tab=ClassesTab&amp;id=http%3A%2F%2Fwho.int%2Ficd%233187_c1eb5896_b43e_4531_bd82_f72e7a00cdd6","iCat")</x:f>
      </x:c>
      <x:c r="M656" s="0" t="s">
        <x:v>21</x:v>
      </x:c>
      <x:c r="N656" s="0" t="s">
        <x:v>46</x:v>
      </x:c>
    </x:row>
    <x:row r="657" spans="1:16">
      <x:c r="A657" s="0" t="s">
        <x:v>2513</x:v>
      </x:c>
      <x:c r="B657" s="0" t="s">
        <x:v>2514</x:v>
      </x:c>
      <x:c r="C657" s="0" t="s">
        <x:v>2515</x:v>
      </x:c>
      <x:c r="E657" s="0" t="s">
        <x:v>2516</x:v>
      </x:c>
      <x:c r="F657" s="0" t="s">
        <x:v>45</x:v>
      </x:c>
      <x:c r="G657" s="0" t="s">
        <x:v>19</x:v>
      </x:c>
      <x:c r="H657" s="0" t="s">
        <x:v>20</x:v>
      </x:c>
      <x:c r="I657" s="0" t="s">
        <x:v>21</x:v>
      </x:c>
      <x:c r="K657" s="0">
        <x:f>hyperlink("https://icd.who.int/dev11/l-ichi/en#/http%3A%2F%2Fid.who.int%2Ficd%2Fentity%2F27663425","browser")</x:f>
      </x:c>
      <x:c r="L657" s="0">
        <x:f>hyperlink("https://icat2.azurewebsites.net/icat/?ontology=ICD&amp;tab=ClassesTab&amp;id=http%3A%2F%2Fwho.int%2Ficd%233191_c1eb5896_b43e_4531_bd82_f72e7a00cdd6","iCat")</x:f>
      </x:c>
      <x:c r="M657" s="0" t="s">
        <x:v>21</x:v>
      </x:c>
      <x:c r="N657" s="0" t="s">
        <x:v>46</x:v>
      </x:c>
    </x:row>
    <x:row r="658" spans="1:16">
      <x:c r="A658" s="0" t="s">
        <x:v>2517</x:v>
      </x:c>
      <x:c r="B658" s="0" t="s">
        <x:v>2518</x:v>
      </x:c>
      <x:c r="E658" s="0" t="s">
        <x:v>2519</x:v>
      </x:c>
      <x:c r="F658" s="0" t="s">
        <x:v>26</x:v>
      </x:c>
      <x:c r="G658" s="0" t="s">
        <x:v>22</x:v>
      </x:c>
      <x:c r="H658" s="0" t="s">
        <x:v>20</x:v>
      </x:c>
      <x:c r="I658" s="0" t="s">
        <x:v>21</x:v>
      </x:c>
      <x:c r="K658" s="0">
        <x:f>hyperlink("https://icd.who.int/dev11/l-ichi/en#/http%3A%2F%2Fid.who.int%2Ficd%2Fentity%2F1898231756","browser")</x:f>
      </x:c>
      <x:c r="L658" s="0">
        <x:f>hyperlink("https://icat2.azurewebsites.net/icat/?ontology=ICD&amp;tab=ClassesTab&amp;id=http%3A%2F%2Fwho.int%2Ficd%233196_c1eb5896_b43e_4531_bd82_f72e7a00cdd6","iCat")</x:f>
      </x:c>
      <x:c r="M658" s="0" t="s">
        <x:v>20</x:v>
      </x:c>
      <x:c r="N658" s="0" t="s">
        <x:v>431</x:v>
      </x:c>
    </x:row>
    <x:row r="659" spans="1:16">
      <x:c r="A659" s="0" t="s">
        <x:v>2520</x:v>
      </x:c>
      <x:c r="B659" s="0" t="s">
        <x:v>2521</x:v>
      </x:c>
      <x:c r="C659" s="0" t="s">
        <x:v>2522</x:v>
      </x:c>
      <x:c r="E659" s="0" t="s">
        <x:v>2523</x:v>
      </x:c>
      <x:c r="F659" s="0" t="s">
        <x:v>45</x:v>
      </x:c>
      <x:c r="G659" s="0" t="s">
        <x:v>19</x:v>
      </x:c>
      <x:c r="H659" s="0" t="s">
        <x:v>20</x:v>
      </x:c>
      <x:c r="I659" s="0" t="s">
        <x:v>21</x:v>
      </x:c>
      <x:c r="K659" s="0">
        <x:f>hyperlink("https://icd.who.int/dev11/l-ichi/en#/http%3A%2F%2Fid.who.int%2Ficd%2Fentity%2F883021877","browser")</x:f>
      </x:c>
      <x:c r="L659" s="0">
        <x:f>hyperlink("https://icat2.azurewebsites.net/icat/?ontology=ICD&amp;tab=ClassesTab&amp;id=http%3A%2F%2Fwho.int%2Ficd%233195_c1eb5896_b43e_4531_bd82_f72e7a00cdd6","iCat")</x:f>
      </x:c>
      <x:c r="M659" s="0" t="s">
        <x:v>21</x:v>
      </x:c>
      <x:c r="N659" s="0" t="s">
        <x:v>46</x:v>
      </x:c>
    </x:row>
    <x:row r="660" spans="1:16">
      <x:c r="A660" s="0" t="s">
        <x:v>2524</x:v>
      </x:c>
      <x:c r="B660" s="0" t="s">
        <x:v>2525</x:v>
      </x:c>
      <x:c r="C660" s="0" t="s">
        <x:v>2526</x:v>
      </x:c>
      <x:c r="E660" s="0" t="s">
        <x:v>2527</x:v>
      </x:c>
      <x:c r="F660" s="0" t="s">
        <x:v>45</x:v>
      </x:c>
      <x:c r="G660" s="0" t="s">
        <x:v>19</x:v>
      </x:c>
      <x:c r="H660" s="0" t="s">
        <x:v>20</x:v>
      </x:c>
      <x:c r="I660" s="0" t="s">
        <x:v>21</x:v>
      </x:c>
      <x:c r="K660" s="0">
        <x:f>hyperlink("https://icd.who.int/dev11/l-ichi/en#/http%3A%2F%2Fid.who.int%2Ficd%2Fentity%2F537567487","browser")</x:f>
      </x:c>
      <x:c r="L660" s="0">
        <x:f>hyperlink("https://icat2.azurewebsites.net/icat/?ontology=ICD&amp;tab=ClassesTab&amp;id=http%3A%2F%2Fwho.int%2Ficd%233205_c1eb5896_b43e_4531_bd82_f72e7a00cdd6","iCat")</x:f>
      </x:c>
      <x:c r="M660" s="0" t="s">
        <x:v>21</x:v>
      </x:c>
      <x:c r="N660" s="0" t="s">
        <x:v>46</x:v>
      </x:c>
    </x:row>
    <x:row r="661" spans="1:16">
      <x:c r="A661" s="0" t="s">
        <x:v>2528</x:v>
      </x:c>
      <x:c r="B661" s="0" t="s">
        <x:v>2529</x:v>
      </x:c>
      <x:c r="C661" s="0" t="s">
        <x:v>2530</x:v>
      </x:c>
      <x:c r="E661" s="0" t="s">
        <x:v>2531</x:v>
      </x:c>
      <x:c r="F661" s="0" t="s">
        <x:v>45</x:v>
      </x:c>
      <x:c r="G661" s="0" t="s">
        <x:v>19</x:v>
      </x:c>
      <x:c r="H661" s="0" t="s">
        <x:v>20</x:v>
      </x:c>
      <x:c r="I661" s="0" t="s">
        <x:v>21</x:v>
      </x:c>
      <x:c r="K661" s="0">
        <x:f>hyperlink("https://icd.who.int/dev11/l-ichi/en#/http%3A%2F%2Fid.who.int%2Ficd%2Fentity%2F1535907294","browser")</x:f>
      </x:c>
      <x:c r="L661" s="0">
        <x:f>hyperlink("https://icat2.azurewebsites.net/icat/?ontology=ICD&amp;tab=ClassesTab&amp;id=http%3A%2F%2Fwho.int%2Ficd%233209_c1eb5896_b43e_4531_bd82_f72e7a00cdd6","iCat")</x:f>
      </x:c>
      <x:c r="M661" s="0" t="s">
        <x:v>21</x:v>
      </x:c>
      <x:c r="N661" s="0" t="s">
        <x:v>46</x:v>
      </x:c>
    </x:row>
    <x:row r="662" spans="1:16">
      <x:c r="A662" s="0" t="s">
        <x:v>2532</x:v>
      </x:c>
      <x:c r="B662" s="0" t="s">
        <x:v>2533</x:v>
      </x:c>
      <x:c r="C662" s="0" t="s">
        <x:v>2534</x:v>
      </x:c>
      <x:c r="E662" s="0" t="s">
        <x:v>2535</x:v>
      </x:c>
      <x:c r="F662" s="0" t="s">
        <x:v>45</x:v>
      </x:c>
      <x:c r="G662" s="0" t="s">
        <x:v>19</x:v>
      </x:c>
      <x:c r="H662" s="0" t="s">
        <x:v>20</x:v>
      </x:c>
      <x:c r="I662" s="0" t="s">
        <x:v>21</x:v>
      </x:c>
      <x:c r="K662" s="0">
        <x:f>hyperlink("https://icd.who.int/dev11/l-ichi/en#/http%3A%2F%2Fid.who.int%2Ficd%2Fentity%2F448064537","browser")</x:f>
      </x:c>
      <x:c r="L662" s="0">
        <x:f>hyperlink("https://icat2.azurewebsites.net/icat/?ontology=ICD&amp;tab=ClassesTab&amp;id=http%3A%2F%2Fwho.int%2Ficd%233213_c1eb5896_b43e_4531_bd82_f72e7a00cdd6","iCat")</x:f>
      </x:c>
      <x:c r="M662" s="0" t="s">
        <x:v>21</x:v>
      </x:c>
      <x:c r="N662" s="0" t="s">
        <x:v>46</x:v>
      </x:c>
    </x:row>
    <x:row r="663" spans="1:16">
      <x:c r="A663" s="0" t="s">
        <x:v>2536</x:v>
      </x:c>
      <x:c r="B663" s="0" t="s">
        <x:v>2537</x:v>
      </x:c>
      <x:c r="C663" s="0" t="s">
        <x:v>2538</x:v>
      </x:c>
      <x:c r="E663" s="0" t="s">
        <x:v>2539</x:v>
      </x:c>
      <x:c r="F663" s="0" t="s">
        <x:v>45</x:v>
      </x:c>
      <x:c r="G663" s="0" t="s">
        <x:v>19</x:v>
      </x:c>
      <x:c r="H663" s="0" t="s">
        <x:v>20</x:v>
      </x:c>
      <x:c r="I663" s="0" t="s">
        <x:v>21</x:v>
      </x:c>
      <x:c r="K663" s="0">
        <x:f>hyperlink("https://icd.who.int/dev11/l-ichi/en#/http%3A%2F%2Fid.who.int%2Ficd%2Fentity%2F800270445","browser")</x:f>
      </x:c>
      <x:c r="L663" s="0">
        <x:f>hyperlink("https://icat2.azurewebsites.net/icat/?ontology=ICD&amp;tab=ClassesTab&amp;id=http%3A%2F%2Fwho.int%2Ficd%233217_c1eb5896_b43e_4531_bd82_f72e7a00cdd6","iCat")</x:f>
      </x:c>
      <x:c r="M663" s="0" t="s">
        <x:v>21</x:v>
      </x:c>
      <x:c r="N663" s="0" t="s">
        <x:v>46</x:v>
      </x:c>
    </x:row>
    <x:row r="664" spans="1:16">
      <x:c r="A664" s="0" t="s">
        <x:v>2540</x:v>
      </x:c>
      <x:c r="B664" s="0" t="s">
        <x:v>2541</x:v>
      </x:c>
      <x:c r="C664" s="0" t="s">
        <x:v>2542</x:v>
      </x:c>
      <x:c r="E664" s="0" t="s">
        <x:v>2543</x:v>
      </x:c>
      <x:c r="F664" s="0" t="s">
        <x:v>45</x:v>
      </x:c>
      <x:c r="G664" s="0" t="s">
        <x:v>19</x:v>
      </x:c>
      <x:c r="H664" s="0" t="s">
        <x:v>20</x:v>
      </x:c>
      <x:c r="I664" s="0" t="s">
        <x:v>21</x:v>
      </x:c>
      <x:c r="K664" s="0">
        <x:f>hyperlink("https://icd.who.int/dev11/l-ichi/en#/http%3A%2F%2Fid.who.int%2Ficd%2Fentity%2F1064939995","browser")</x:f>
      </x:c>
      <x:c r="L664" s="0">
        <x:f>hyperlink("https://icat2.azurewebsites.net/icat/?ontology=ICD&amp;tab=ClassesTab&amp;id=http%3A%2F%2Fwho.int%2Ficd%233221_c1eb5896_b43e_4531_bd82_f72e7a00cdd6","iCat")</x:f>
      </x:c>
      <x:c r="M664" s="0" t="s">
        <x:v>21</x:v>
      </x:c>
      <x:c r="N664" s="0" t="s">
        <x:v>46</x:v>
      </x:c>
    </x:row>
    <x:row r="665" spans="1:16">
      <x:c r="A665" s="0" t="s">
        <x:v>2544</x:v>
      </x:c>
      <x:c r="B665" s="0" t="s">
        <x:v>2545</x:v>
      </x:c>
      <x:c r="C665" s="0" t="s">
        <x:v>2546</x:v>
      </x:c>
      <x:c r="E665" s="0" t="s">
        <x:v>2547</x:v>
      </x:c>
      <x:c r="F665" s="0" t="s">
        <x:v>45</x:v>
      </x:c>
      <x:c r="G665" s="0" t="s">
        <x:v>19</x:v>
      </x:c>
      <x:c r="H665" s="0" t="s">
        <x:v>20</x:v>
      </x:c>
      <x:c r="I665" s="0" t="s">
        <x:v>21</x:v>
      </x:c>
      <x:c r="K665" s="0">
        <x:f>hyperlink("https://icd.who.int/dev11/l-ichi/en#/http%3A%2F%2Fid.who.int%2Ficd%2Fentity%2F176059823","browser")</x:f>
      </x:c>
      <x:c r="L665" s="0">
        <x:f>hyperlink("https://icat2.azurewebsites.net/icat/?ontology=ICD&amp;tab=ClassesTab&amp;id=http%3A%2F%2Fwho.int%2Ficd%233225_c1eb5896_b43e_4531_bd82_f72e7a00cdd6","iCat")</x:f>
      </x:c>
      <x:c r="M665" s="0" t="s">
        <x:v>21</x:v>
      </x:c>
      <x:c r="N665" s="0" t="s">
        <x:v>46</x:v>
      </x:c>
    </x:row>
    <x:row r="666" spans="1:16">
      <x:c r="A666" s="0" t="s">
        <x:v>2548</x:v>
      </x:c>
      <x:c r="B666" s="0" t="s">
        <x:v>2549</x:v>
      </x:c>
      <x:c r="E666" s="0" t="s">
        <x:v>2550</x:v>
      </x:c>
      <x:c r="F666" s="0" t="s">
        <x:v>26</x:v>
      </x:c>
      <x:c r="G666" s="0" t="s">
        <x:v>35</x:v>
      </x:c>
      <x:c r="H666" s="0" t="s">
        <x:v>20</x:v>
      </x:c>
      <x:c r="I666" s="0" t="s">
        <x:v>21</x:v>
      </x:c>
      <x:c r="K666" s="0">
        <x:f>hyperlink("https://icd.who.int/dev11/l-ichi/en#/http%3A%2F%2Fid.who.int%2Ficd%2Fentity%2F1967478448","browser")</x:f>
      </x:c>
      <x:c r="L666" s="0">
        <x:f>hyperlink("https://icat2.azurewebsites.net/icat/?ontology=ICD&amp;tab=ClassesTab&amp;id=http%3A%2F%2Fwho.int%2Ficd%233230_c1eb5896_b43e_4531_bd82_f72e7a00cdd6","iCat")</x:f>
      </x:c>
      <x:c r="M666" s="0" t="s">
        <x:v>20</x:v>
      </x:c>
      <x:c r="N666" s="0" t="s">
        <x:v>35</x:v>
      </x:c>
    </x:row>
    <x:row r="667" spans="1:16">
      <x:c r="A667" s="0" t="s">
        <x:v>2551</x:v>
      </x:c>
      <x:c r="B667" s="0" t="s">
        <x:v>2552</x:v>
      </x:c>
      <x:c r="E667" s="0" t="s">
        <x:v>2553</x:v>
      </x:c>
      <x:c r="F667" s="0" t="s">
        <x:v>26</x:v>
      </x:c>
      <x:c r="G667" s="0" t="s">
        <x:v>22</x:v>
      </x:c>
      <x:c r="H667" s="0" t="s">
        <x:v>20</x:v>
      </x:c>
      <x:c r="I667" s="0" t="s">
        <x:v>21</x:v>
      </x:c>
      <x:c r="K667" s="0">
        <x:f>hyperlink("https://icd.who.int/dev11/l-ichi/en#/http%3A%2F%2Fid.who.int%2Ficd%2Fentity%2F624856833","browser")</x:f>
      </x:c>
      <x:c r="L667" s="0">
        <x:f>hyperlink("https://icat2.azurewebsites.net/icat/?ontology=ICD&amp;tab=ClassesTab&amp;id=http%3A%2F%2Fwho.int%2Ficd%233236_c1eb5896_b43e_4531_bd82_f72e7a00cdd6","iCat")</x:f>
      </x:c>
      <x:c r="M667" s="0" t="s">
        <x:v>20</x:v>
      </x:c>
      <x:c r="N667" s="0" t="s">
        <x:v>119</x:v>
      </x:c>
    </x:row>
    <x:row r="668" spans="1:16">
      <x:c r="A668" s="0" t="s">
        <x:v>2554</x:v>
      </x:c>
      <x:c r="B668" s="0" t="s">
        <x:v>2555</x:v>
      </x:c>
      <x:c r="C668" s="0" t="s">
        <x:v>2556</x:v>
      </x:c>
      <x:c r="E668" s="0" t="s">
        <x:v>2557</x:v>
      </x:c>
      <x:c r="F668" s="0" t="s">
        <x:v>45</x:v>
      </x:c>
      <x:c r="G668" s="0" t="s">
        <x:v>19</x:v>
      </x:c>
      <x:c r="H668" s="0" t="s">
        <x:v>20</x:v>
      </x:c>
      <x:c r="I668" s="0" t="s">
        <x:v>21</x:v>
      </x:c>
      <x:c r="K668" s="0">
        <x:f>hyperlink("https://icd.who.int/dev11/l-ichi/en#/http%3A%2F%2Fid.who.int%2Ficd%2Fentity%2F1912127632","browser")</x:f>
      </x:c>
      <x:c r="L668" s="0">
        <x:f>hyperlink("https://icat2.azurewebsites.net/icat/?ontology=ICD&amp;tab=ClassesTab&amp;id=http%3A%2F%2Fwho.int%2Ficd%233229_c1eb5896_b43e_4531_bd82_f72e7a00cdd6","iCat")</x:f>
      </x:c>
      <x:c r="M668" s="0" t="s">
        <x:v>21</x:v>
      </x:c>
      <x:c r="N668" s="0" t="s">
        <x:v>46</x:v>
      </x:c>
    </x:row>
    <x:row r="669" spans="1:16">
      <x:c r="A669" s="0" t="s">
        <x:v>2558</x:v>
      </x:c>
      <x:c r="B669" s="0" t="s">
        <x:v>2559</x:v>
      </x:c>
      <x:c r="C669" s="0" t="s">
        <x:v>2560</x:v>
      </x:c>
      <x:c r="E669" s="0" t="s">
        <x:v>2561</x:v>
      </x:c>
      <x:c r="F669" s="0" t="s">
        <x:v>45</x:v>
      </x:c>
      <x:c r="G669" s="0" t="s">
        <x:v>19</x:v>
      </x:c>
      <x:c r="H669" s="0" t="s">
        <x:v>20</x:v>
      </x:c>
      <x:c r="I669" s="0" t="s">
        <x:v>21</x:v>
      </x:c>
      <x:c r="K669" s="0">
        <x:f>hyperlink("https://icd.who.int/dev11/l-ichi/en#/http%3A%2F%2Fid.who.int%2Ficd%2Fentity%2F1349383140","browser")</x:f>
      </x:c>
      <x:c r="L669" s="0">
        <x:f>hyperlink("https://icat2.azurewebsites.net/icat/?ontology=ICD&amp;tab=ClassesTab&amp;id=http%3A%2F%2Fwho.int%2Ficd%233245_c1eb5896_b43e_4531_bd82_f72e7a00cdd6","iCat")</x:f>
      </x:c>
      <x:c r="M669" s="0" t="s">
        <x:v>21</x:v>
      </x:c>
      <x:c r="N669" s="0" t="s">
        <x:v>46</x:v>
      </x:c>
    </x:row>
    <x:row r="670" spans="1:16">
      <x:c r="A670" s="0" t="s">
        <x:v>2562</x:v>
      </x:c>
      <x:c r="B670" s="0" t="s">
        <x:v>2563</x:v>
      </x:c>
      <x:c r="C670" s="0" t="s">
        <x:v>2564</x:v>
      </x:c>
      <x:c r="E670" s="0" t="s">
        <x:v>2565</x:v>
      </x:c>
      <x:c r="F670" s="0" t="s">
        <x:v>45</x:v>
      </x:c>
      <x:c r="G670" s="0" t="s">
        <x:v>19</x:v>
      </x:c>
      <x:c r="H670" s="0" t="s">
        <x:v>20</x:v>
      </x:c>
      <x:c r="I670" s="0" t="s">
        <x:v>21</x:v>
      </x:c>
      <x:c r="K670" s="0">
        <x:f>hyperlink("https://icd.who.int/dev11/l-ichi/en#/http%3A%2F%2Fid.who.int%2Ficd%2Fentity%2F736839363","browser")</x:f>
      </x:c>
      <x:c r="L670" s="0">
        <x:f>hyperlink("https://icat2.azurewebsites.net/icat/?ontology=ICD&amp;tab=ClassesTab&amp;id=http%3A%2F%2Fwho.int%2Ficd%233249_c1eb5896_b43e_4531_bd82_f72e7a00cdd6","iCat")</x:f>
      </x:c>
      <x:c r="M670" s="0" t="s">
        <x:v>21</x:v>
      </x:c>
      <x:c r="N670" s="0" t="s">
        <x:v>46</x:v>
      </x:c>
    </x:row>
    <x:row r="671" spans="1:16">
      <x:c r="A671" s="0" t="s">
        <x:v>2566</x:v>
      </x:c>
      <x:c r="B671" s="0" t="s">
        <x:v>2567</x:v>
      </x:c>
      <x:c r="C671" s="0" t="s">
        <x:v>2568</x:v>
      </x:c>
      <x:c r="E671" s="0" t="s">
        <x:v>2569</x:v>
      </x:c>
      <x:c r="F671" s="0" t="s">
        <x:v>45</x:v>
      </x:c>
      <x:c r="G671" s="0" t="s">
        <x:v>19</x:v>
      </x:c>
      <x:c r="H671" s="0" t="s">
        <x:v>20</x:v>
      </x:c>
      <x:c r="I671" s="0" t="s">
        <x:v>21</x:v>
      </x:c>
      <x:c r="K671" s="0">
        <x:f>hyperlink("https://icd.who.int/dev11/l-ichi/en#/http%3A%2F%2Fid.who.int%2Ficd%2Fentity%2F1792261892","browser")</x:f>
      </x:c>
      <x:c r="L671" s="0">
        <x:f>hyperlink("https://icat2.azurewebsites.net/icat/?ontology=ICD&amp;tab=ClassesTab&amp;id=http%3A%2F%2Fwho.int%2Ficd%233253_c1eb5896_b43e_4531_bd82_f72e7a00cdd6","iCat")</x:f>
      </x:c>
      <x:c r="M671" s="0" t="s">
        <x:v>21</x:v>
      </x:c>
      <x:c r="N671" s="0" t="s">
        <x:v>46</x:v>
      </x:c>
    </x:row>
    <x:row r="672" spans="1:16">
      <x:c r="A672" s="0" t="s">
        <x:v>2570</x:v>
      </x:c>
      <x:c r="B672" s="0" t="s">
        <x:v>2571</x:v>
      </x:c>
      <x:c r="C672" s="0" t="s">
        <x:v>2572</x:v>
      </x:c>
      <x:c r="E672" s="0" t="s">
        <x:v>2573</x:v>
      </x:c>
      <x:c r="F672" s="0" t="s">
        <x:v>45</x:v>
      </x:c>
      <x:c r="G672" s="0" t="s">
        <x:v>19</x:v>
      </x:c>
      <x:c r="H672" s="0" t="s">
        <x:v>20</x:v>
      </x:c>
      <x:c r="I672" s="0" t="s">
        <x:v>21</x:v>
      </x:c>
      <x:c r="K672" s="0">
        <x:f>hyperlink("https://icd.who.int/dev11/l-ichi/en#/http%3A%2F%2Fid.who.int%2Ficd%2Fentity%2F1607760754","browser")</x:f>
      </x:c>
      <x:c r="L672" s="0">
        <x:f>hyperlink("https://icat2.azurewebsites.net/icat/?ontology=ICD&amp;tab=ClassesTab&amp;id=http%3A%2F%2Fwho.int%2Ficd%233257_c1eb5896_b43e_4531_bd82_f72e7a00cdd6","iCat")</x:f>
      </x:c>
      <x:c r="M672" s="0" t="s">
        <x:v>21</x:v>
      </x:c>
      <x:c r="N672" s="0" t="s">
        <x:v>46</x:v>
      </x:c>
    </x:row>
    <x:row r="673" spans="1:16">
      <x:c r="A673" s="0" t="s">
        <x:v>2574</x:v>
      </x:c>
      <x:c r="B673" s="0" t="s">
        <x:v>2575</x:v>
      </x:c>
      <x:c r="C673" s="0" t="s">
        <x:v>2576</x:v>
      </x:c>
      <x:c r="E673" s="0" t="s">
        <x:v>2577</x:v>
      </x:c>
      <x:c r="F673" s="0" t="s">
        <x:v>45</x:v>
      </x:c>
      <x:c r="G673" s="0" t="s">
        <x:v>19</x:v>
      </x:c>
      <x:c r="H673" s="0" t="s">
        <x:v>20</x:v>
      </x:c>
      <x:c r="I673" s="0" t="s">
        <x:v>21</x:v>
      </x:c>
      <x:c r="K673" s="0">
        <x:f>hyperlink("https://icd.who.int/dev11/l-ichi/en#/http%3A%2F%2Fid.who.int%2Ficd%2Fentity%2F1327424200","browser")</x:f>
      </x:c>
      <x:c r="L673" s="0">
        <x:f>hyperlink("https://icat2.azurewebsites.net/icat/?ontology=ICD&amp;tab=ClassesTab&amp;id=http%3A%2F%2Fwho.int%2Ficd%233261_c1eb5896_b43e_4531_bd82_f72e7a00cdd6","iCat")</x:f>
      </x:c>
      <x:c r="M673" s="0" t="s">
        <x:v>21</x:v>
      </x:c>
      <x:c r="N673" s="0" t="s">
        <x:v>46</x:v>
      </x:c>
    </x:row>
    <x:row r="674" spans="1:16">
      <x:c r="A674" s="0" t="s">
        <x:v>2578</x:v>
      </x:c>
      <x:c r="B674" s="0" t="s">
        <x:v>2579</x:v>
      </x:c>
      <x:c r="C674" s="0" t="s">
        <x:v>2580</x:v>
      </x:c>
      <x:c r="E674" s="0" t="s">
        <x:v>2581</x:v>
      </x:c>
      <x:c r="F674" s="0" t="s">
        <x:v>45</x:v>
      </x:c>
      <x:c r="G674" s="0" t="s">
        <x:v>19</x:v>
      </x:c>
      <x:c r="H674" s="0" t="s">
        <x:v>20</x:v>
      </x:c>
      <x:c r="I674" s="0" t="s">
        <x:v>21</x:v>
      </x:c>
      <x:c r="K674" s="0">
        <x:f>hyperlink("https://icd.who.int/dev11/l-ichi/en#/http%3A%2F%2Fid.who.int%2Ficd%2Fentity%2F2048468658","browser")</x:f>
      </x:c>
      <x:c r="L674" s="0">
        <x:f>hyperlink("https://icat2.azurewebsites.net/icat/?ontology=ICD&amp;tab=ClassesTab&amp;id=http%3A%2F%2Fwho.int%2Ficd%233265_c1eb5896_b43e_4531_bd82_f72e7a00cdd6","iCat")</x:f>
      </x:c>
      <x:c r="M674" s="0" t="s">
        <x:v>21</x:v>
      </x:c>
      <x:c r="N674" s="0" t="s">
        <x:v>46</x:v>
      </x:c>
    </x:row>
    <x:row r="675" spans="1:16">
      <x:c r="A675" s="0" t="s">
        <x:v>2582</x:v>
      </x:c>
      <x:c r="B675" s="0" t="s">
        <x:v>2583</x:v>
      </x:c>
      <x:c r="C675" s="0" t="s">
        <x:v>2584</x:v>
      </x:c>
      <x:c r="E675" s="0" t="s">
        <x:v>2585</x:v>
      </x:c>
      <x:c r="F675" s="0" t="s">
        <x:v>45</x:v>
      </x:c>
      <x:c r="G675" s="0" t="s">
        <x:v>19</x:v>
      </x:c>
      <x:c r="H675" s="0" t="s">
        <x:v>20</x:v>
      </x:c>
      <x:c r="I675" s="0" t="s">
        <x:v>21</x:v>
      </x:c>
      <x:c r="K675" s="0">
        <x:f>hyperlink("https://icd.who.int/dev11/l-ichi/en#/http%3A%2F%2Fid.who.int%2Ficd%2Fentity%2F27235219","browser")</x:f>
      </x:c>
      <x:c r="L675" s="0">
        <x:f>hyperlink("https://icat2.azurewebsites.net/icat/?ontology=ICD&amp;tab=ClassesTab&amp;id=http%3A%2F%2Fwho.int%2Ficd%233269_c1eb5896_b43e_4531_bd82_f72e7a00cdd6","iCat")</x:f>
      </x:c>
      <x:c r="M675" s="0" t="s">
        <x:v>21</x:v>
      </x:c>
      <x:c r="N675" s="0" t="s">
        <x:v>46</x:v>
      </x:c>
    </x:row>
    <x:row r="676" spans="1:16">
      <x:c r="A676" s="0" t="s">
        <x:v>2586</x:v>
      </x:c>
      <x:c r="B676" s="0" t="s">
        <x:v>2587</x:v>
      </x:c>
      <x:c r="E676" s="0" t="s">
        <x:v>2588</x:v>
      </x:c>
      <x:c r="F676" s="0" t="s">
        <x:v>26</x:v>
      </x:c>
      <x:c r="G676" s="0" t="s">
        <x:v>22</x:v>
      </x:c>
      <x:c r="H676" s="0" t="s">
        <x:v>20</x:v>
      </x:c>
      <x:c r="I676" s="0" t="s">
        <x:v>21</x:v>
      </x:c>
      <x:c r="K676" s="0">
        <x:f>hyperlink("https://icd.who.int/dev11/l-ichi/en#/http%3A%2F%2Fid.who.int%2Ficd%2Fentity%2F282899429","browser")</x:f>
      </x:c>
      <x:c r="L676" s="0">
        <x:f>hyperlink("https://icat2.azurewebsites.net/icat/?ontology=ICD&amp;tab=ClassesTab&amp;id=http%3A%2F%2Fwho.int%2Ficd%233275_c1eb5896_b43e_4531_bd82_f72e7a00cdd6","iCat")</x:f>
      </x:c>
      <x:c r="M676" s="0" t="s">
        <x:v>20</x:v>
      </x:c>
      <x:c r="N676" s="0" t="s">
        <x:v>40</x:v>
      </x:c>
    </x:row>
    <x:row r="677" spans="1:16">
      <x:c r="A677" s="0" t="s">
        <x:v>2589</x:v>
      </x:c>
      <x:c r="B677" s="0" t="s">
        <x:v>2590</x:v>
      </x:c>
      <x:c r="C677" s="0" t="s">
        <x:v>2591</x:v>
      </x:c>
      <x:c r="E677" s="0" t="s">
        <x:v>2592</x:v>
      </x:c>
      <x:c r="F677" s="0" t="s">
        <x:v>45</x:v>
      </x:c>
      <x:c r="G677" s="0" t="s">
        <x:v>19</x:v>
      </x:c>
      <x:c r="H677" s="0" t="s">
        <x:v>20</x:v>
      </x:c>
      <x:c r="I677" s="0" t="s">
        <x:v>21</x:v>
      </x:c>
      <x:c r="K677" s="0">
        <x:f>hyperlink("https://icd.who.int/dev11/l-ichi/en#/http%3A%2F%2Fid.who.int%2Ficd%2Fentity%2F807780825","browser")</x:f>
      </x:c>
      <x:c r="L677" s="0">
        <x:f>hyperlink("https://icat2.azurewebsites.net/icat/?ontology=ICD&amp;tab=ClassesTab&amp;id=http%3A%2F%2Fwho.int%2Ficd%233274_c1eb5896_b43e_4531_bd82_f72e7a00cdd6","iCat")</x:f>
      </x:c>
      <x:c r="M677" s="0" t="s">
        <x:v>21</x:v>
      </x:c>
      <x:c r="N677" s="0" t="s">
        <x:v>46</x:v>
      </x:c>
    </x:row>
    <x:row r="678" spans="1:16">
      <x:c r="A678" s="0" t="s">
        <x:v>2593</x:v>
      </x:c>
      <x:c r="B678" s="0" t="s">
        <x:v>2594</x:v>
      </x:c>
      <x:c r="C678" s="0" t="s">
        <x:v>2595</x:v>
      </x:c>
      <x:c r="E678" s="0" t="s">
        <x:v>2596</x:v>
      </x:c>
      <x:c r="F678" s="0" t="s">
        <x:v>45</x:v>
      </x:c>
      <x:c r="G678" s="0" t="s">
        <x:v>19</x:v>
      </x:c>
      <x:c r="H678" s="0" t="s">
        <x:v>20</x:v>
      </x:c>
      <x:c r="I678" s="0" t="s">
        <x:v>21</x:v>
      </x:c>
      <x:c r="K678" s="0">
        <x:f>hyperlink("https://icd.who.int/dev11/l-ichi/en#/http%3A%2F%2Fid.who.int%2Ficd%2Fentity%2F532843271","browser")</x:f>
      </x:c>
      <x:c r="L678" s="0">
        <x:f>hyperlink("https://icat2.azurewebsites.net/icat/?ontology=ICD&amp;tab=ClassesTab&amp;id=http%3A%2F%2Fwho.int%2Ficd%233284_c1eb5896_b43e_4531_bd82_f72e7a00cdd6","iCat")</x:f>
      </x:c>
      <x:c r="M678" s="0" t="s">
        <x:v>21</x:v>
      </x:c>
      <x:c r="N678" s="0" t="s">
        <x:v>46</x:v>
      </x:c>
    </x:row>
    <x:row r="679" spans="1:16">
      <x:c r="A679" s="0" t="s">
        <x:v>2597</x:v>
      </x:c>
      <x:c r="B679" s="0" t="s">
        <x:v>2598</x:v>
      </x:c>
      <x:c r="C679" s="0" t="s">
        <x:v>2599</x:v>
      </x:c>
      <x:c r="E679" s="0" t="s">
        <x:v>2600</x:v>
      </x:c>
      <x:c r="F679" s="0" t="s">
        <x:v>45</x:v>
      </x:c>
      <x:c r="G679" s="0" t="s">
        <x:v>19</x:v>
      </x:c>
      <x:c r="H679" s="0" t="s">
        <x:v>20</x:v>
      </x:c>
      <x:c r="I679" s="0" t="s">
        <x:v>21</x:v>
      </x:c>
      <x:c r="K679" s="0">
        <x:f>hyperlink("https://icd.who.int/dev11/l-ichi/en#/http%3A%2F%2Fid.who.int%2Ficd%2Fentity%2F1682193958","browser")</x:f>
      </x:c>
      <x:c r="L679" s="0">
        <x:f>hyperlink("https://icat2.azurewebsites.net/icat/?ontology=ICD&amp;tab=ClassesTab&amp;id=http%3A%2F%2Fwho.int%2Ficd%233288_c1eb5896_b43e_4531_bd82_f72e7a00cdd6","iCat")</x:f>
      </x:c>
      <x:c r="M679" s="0" t="s">
        <x:v>21</x:v>
      </x:c>
      <x:c r="N679" s="0" t="s">
        <x:v>46</x:v>
      </x:c>
    </x:row>
    <x:row r="680" spans="1:16">
      <x:c r="A680" s="0" t="s">
        <x:v>2601</x:v>
      </x:c>
      <x:c r="B680" s="0" t="s">
        <x:v>2602</x:v>
      </x:c>
      <x:c r="C680" s="0" t="s">
        <x:v>2603</x:v>
      </x:c>
      <x:c r="E680" s="0" t="s">
        <x:v>2604</x:v>
      </x:c>
      <x:c r="F680" s="0" t="s">
        <x:v>45</x:v>
      </x:c>
      <x:c r="G680" s="0" t="s">
        <x:v>19</x:v>
      </x:c>
      <x:c r="H680" s="0" t="s">
        <x:v>20</x:v>
      </x:c>
      <x:c r="I680" s="0" t="s">
        <x:v>21</x:v>
      </x:c>
      <x:c r="K680" s="0">
        <x:f>hyperlink("https://icd.who.int/dev11/l-ichi/en#/http%3A%2F%2Fid.who.int%2Ficd%2Fentity%2F628934625","browser")</x:f>
      </x:c>
      <x:c r="L680" s="0">
        <x:f>hyperlink("https://icat2.azurewebsites.net/icat/?ontology=ICD&amp;tab=ClassesTab&amp;id=http%3A%2F%2Fwho.int%2Ficd%233292_c1eb5896_b43e_4531_bd82_f72e7a00cdd6","iCat")</x:f>
      </x:c>
      <x:c r="M680" s="0" t="s">
        <x:v>21</x:v>
      </x:c>
      <x:c r="N680" s="0" t="s">
        <x:v>46</x:v>
      </x:c>
    </x:row>
    <x:row r="681" spans="1:16">
      <x:c r="A681" s="0" t="s">
        <x:v>2605</x:v>
      </x:c>
      <x:c r="B681" s="0" t="s">
        <x:v>2606</x:v>
      </x:c>
      <x:c r="C681" s="0" t="s">
        <x:v>2607</x:v>
      </x:c>
      <x:c r="E681" s="0" t="s">
        <x:v>2608</x:v>
      </x:c>
      <x:c r="F681" s="0" t="s">
        <x:v>45</x:v>
      </x:c>
      <x:c r="G681" s="0" t="s">
        <x:v>19</x:v>
      </x:c>
      <x:c r="H681" s="0" t="s">
        <x:v>20</x:v>
      </x:c>
      <x:c r="I681" s="0" t="s">
        <x:v>21</x:v>
      </x:c>
      <x:c r="K681" s="0">
        <x:f>hyperlink("https://icd.who.int/dev11/l-ichi/en#/http%3A%2F%2Fid.who.int%2Ficd%2Fentity%2F276497301","browser")</x:f>
      </x:c>
      <x:c r="L681" s="0">
        <x:f>hyperlink("https://icat2.azurewebsites.net/icat/?ontology=ICD&amp;tab=ClassesTab&amp;id=http%3A%2F%2Fwho.int%2Ficd%233296_c1eb5896_b43e_4531_bd82_f72e7a00cdd6","iCat")</x:f>
      </x:c>
      <x:c r="M681" s="0" t="s">
        <x:v>21</x:v>
      </x:c>
      <x:c r="N681" s="0" t="s">
        <x:v>46</x:v>
      </x:c>
    </x:row>
    <x:row r="682" spans="1:16">
      <x:c r="A682" s="0" t="s">
        <x:v>2609</x:v>
      </x:c>
      <x:c r="B682" s="0" t="s">
        <x:v>2610</x:v>
      </x:c>
      <x:c r="E682" s="0" t="s">
        <x:v>2611</x:v>
      </x:c>
      <x:c r="F682" s="0" t="s">
        <x:v>26</x:v>
      </x:c>
      <x:c r="G682" s="0" t="s">
        <x:v>22</x:v>
      </x:c>
      <x:c r="H682" s="0" t="s">
        <x:v>20</x:v>
      </x:c>
      <x:c r="I682" s="0" t="s">
        <x:v>21</x:v>
      </x:c>
      <x:c r="K682" s="0">
        <x:f>hyperlink("https://icd.who.int/dev11/l-ichi/en#/http%3A%2F%2Fid.who.int%2Ficd%2Fentity%2F1620222486","browser")</x:f>
      </x:c>
      <x:c r="L682" s="0">
        <x:f>hyperlink("https://icat2.azurewebsites.net/icat/?ontology=ICD&amp;tab=ClassesTab&amp;id=http%3A%2F%2Fwho.int%2Ficd%233301_c1eb5896_b43e_4531_bd82_f72e7a00cdd6","iCat")</x:f>
      </x:c>
      <x:c r="M682" s="0" t="s">
        <x:v>20</x:v>
      </x:c>
      <x:c r="N682" s="0" t="s">
        <x:v>22</x:v>
      </x:c>
    </x:row>
    <x:row r="683" spans="1:16">
      <x:c r="A683" s="0" t="s">
        <x:v>2612</x:v>
      </x:c>
      <x:c r="B683" s="0" t="s">
        <x:v>2613</x:v>
      </x:c>
      <x:c r="C683" s="0" t="s">
        <x:v>2614</x:v>
      </x:c>
      <x:c r="E683" s="0" t="s">
        <x:v>2615</x:v>
      </x:c>
      <x:c r="F683" s="0" t="s">
        <x:v>45</x:v>
      </x:c>
      <x:c r="G683" s="0" t="s">
        <x:v>19</x:v>
      </x:c>
      <x:c r="H683" s="0" t="s">
        <x:v>20</x:v>
      </x:c>
      <x:c r="I683" s="0" t="s">
        <x:v>21</x:v>
      </x:c>
      <x:c r="K683" s="0">
        <x:f>hyperlink("https://icd.who.int/dev11/l-ichi/en#/http%3A%2F%2Fid.who.int%2Ficd%2Fentity%2F1080807468","browser")</x:f>
      </x:c>
      <x:c r="L683" s="0">
        <x:f>hyperlink("https://icat2.azurewebsites.net/icat/?ontology=ICD&amp;tab=ClassesTab&amp;id=http%3A%2F%2Fwho.int%2Ficd%233300_c1eb5896_b43e_4531_bd82_f72e7a00cdd6","iCat")</x:f>
      </x:c>
      <x:c r="M683" s="0" t="s">
        <x:v>21</x:v>
      </x:c>
      <x:c r="N683" s="0" t="s">
        <x:v>46</x:v>
      </x:c>
    </x:row>
    <x:row r="684" spans="1:16">
      <x:c r="A684" s="0" t="s">
        <x:v>2616</x:v>
      </x:c>
      <x:c r="B684" s="0" t="s">
        <x:v>2617</x:v>
      </x:c>
      <x:c r="C684" s="0" t="s">
        <x:v>2618</x:v>
      </x:c>
      <x:c r="E684" s="0" t="s">
        <x:v>2619</x:v>
      </x:c>
      <x:c r="F684" s="0" t="s">
        <x:v>45</x:v>
      </x:c>
      <x:c r="G684" s="0" t="s">
        <x:v>19</x:v>
      </x:c>
      <x:c r="H684" s="0" t="s">
        <x:v>20</x:v>
      </x:c>
      <x:c r="I684" s="0" t="s">
        <x:v>21</x:v>
      </x:c>
      <x:c r="K684" s="0">
        <x:f>hyperlink("https://icd.who.int/dev11/l-ichi/en#/http%3A%2F%2Fid.who.int%2Ficd%2Fentity%2F716064125","browser")</x:f>
      </x:c>
      <x:c r="L684" s="0">
        <x:f>hyperlink("https://icat2.azurewebsites.net/icat/?ontology=ICD&amp;tab=ClassesTab&amp;id=http%3A%2F%2Fwho.int%2Ficd%233310_c1eb5896_b43e_4531_bd82_f72e7a00cdd6","iCat")</x:f>
      </x:c>
      <x:c r="M684" s="0" t="s">
        <x:v>21</x:v>
      </x:c>
      <x:c r="N684" s="0" t="s">
        <x:v>46</x:v>
      </x:c>
    </x:row>
    <x:row r="685" spans="1:16">
      <x:c r="A685" s="0" t="s">
        <x:v>2620</x:v>
      </x:c>
      <x:c r="B685" s="0" t="s">
        <x:v>2621</x:v>
      </x:c>
      <x:c r="C685" s="0" t="s">
        <x:v>2622</x:v>
      </x:c>
      <x:c r="E685" s="0" t="s">
        <x:v>2623</x:v>
      </x:c>
      <x:c r="F685" s="0" t="s">
        <x:v>45</x:v>
      </x:c>
      <x:c r="G685" s="0" t="s">
        <x:v>19</x:v>
      </x:c>
      <x:c r="H685" s="0" t="s">
        <x:v>20</x:v>
      </x:c>
      <x:c r="I685" s="0" t="s">
        <x:v>21</x:v>
      </x:c>
      <x:c r="K685" s="0">
        <x:f>hyperlink("https://icd.who.int/dev11/l-ichi/en#/http%3A%2F%2Fid.who.int%2Ficd%2Fentity%2F531202313","browser")</x:f>
      </x:c>
      <x:c r="L685" s="0">
        <x:f>hyperlink("https://icat2.azurewebsites.net/icat/?ontology=ICD&amp;tab=ClassesTab&amp;id=http%3A%2F%2Fwho.int%2Ficd%233314_c1eb5896_b43e_4531_bd82_f72e7a00cdd6","iCat")</x:f>
      </x:c>
      <x:c r="M685" s="0" t="s">
        <x:v>21</x:v>
      </x:c>
      <x:c r="N685" s="0" t="s">
        <x:v>46</x:v>
      </x:c>
    </x:row>
    <x:row r="686" spans="1:16">
      <x:c r="A686" s="0" t="s">
        <x:v>2624</x:v>
      </x:c>
      <x:c r="B686" s="0" t="s">
        <x:v>2625</x:v>
      </x:c>
      <x:c r="C686" s="0" t="s">
        <x:v>2626</x:v>
      </x:c>
      <x:c r="E686" s="0" t="s">
        <x:v>2627</x:v>
      </x:c>
      <x:c r="F686" s="0" t="s">
        <x:v>45</x:v>
      </x:c>
      <x:c r="G686" s="0" t="s">
        <x:v>19</x:v>
      </x:c>
      <x:c r="H686" s="0" t="s">
        <x:v>20</x:v>
      </x:c>
      <x:c r="I686" s="0" t="s">
        <x:v>21</x:v>
      </x:c>
      <x:c r="K686" s="0">
        <x:f>hyperlink("https://icd.who.int/dev11/l-ichi/en#/http%3A%2F%2Fid.who.int%2Ficd%2Fentity%2F1680815146","browser")</x:f>
      </x:c>
      <x:c r="L686" s="0">
        <x:f>hyperlink("https://icat2.azurewebsites.net/icat/?ontology=ICD&amp;tab=ClassesTab&amp;id=http%3A%2F%2Fwho.int%2Ficd%233318_c1eb5896_b43e_4531_bd82_f72e7a00cdd6","iCat")</x:f>
      </x:c>
      <x:c r="M686" s="0" t="s">
        <x:v>21</x:v>
      </x:c>
      <x:c r="N686" s="0" t="s">
        <x:v>46</x:v>
      </x:c>
    </x:row>
    <x:row r="687" spans="1:16">
      <x:c r="A687" s="0" t="s">
        <x:v>2628</x:v>
      </x:c>
      <x:c r="B687" s="0" t="s">
        <x:v>2629</x:v>
      </x:c>
      <x:c r="E687" s="0" t="s">
        <x:v>2630</x:v>
      </x:c>
      <x:c r="F687" s="0" t="s">
        <x:v>26</x:v>
      </x:c>
      <x:c r="G687" s="0" t="s">
        <x:v>35</x:v>
      </x:c>
      <x:c r="H687" s="0" t="s">
        <x:v>20</x:v>
      </x:c>
      <x:c r="I687" s="0" t="s">
        <x:v>21</x:v>
      </x:c>
      <x:c r="K687" s="0">
        <x:f>hyperlink("https://icd.who.int/dev11/l-ichi/en#/http%3A%2F%2Fid.who.int%2Ficd%2Fentity%2F798648963","browser")</x:f>
      </x:c>
      <x:c r="L687" s="0">
        <x:f>hyperlink("https://icat2.azurewebsites.net/icat/?ontology=ICD&amp;tab=ClassesTab&amp;id=http%3A%2F%2Fwho.int%2Ficd%233323_c1eb5896_b43e_4531_bd82_f72e7a00cdd6","iCat")</x:f>
      </x:c>
      <x:c r="M687" s="0" t="s">
        <x:v>20</x:v>
      </x:c>
      <x:c r="N687" s="0" t="s">
        <x:v>19</x:v>
      </x:c>
    </x:row>
    <x:row r="688" spans="1:16">
      <x:c r="A688" s="0" t="s">
        <x:v>2631</x:v>
      </x:c>
      <x:c r="B688" s="0" t="s">
        <x:v>2632</x:v>
      </x:c>
      <x:c r="E688" s="0" t="s">
        <x:v>2633</x:v>
      </x:c>
      <x:c r="F688" s="0" t="s">
        <x:v>26</x:v>
      </x:c>
      <x:c r="G688" s="0" t="s">
        <x:v>22</x:v>
      </x:c>
      <x:c r="H688" s="0" t="s">
        <x:v>20</x:v>
      </x:c>
      <x:c r="I688" s="0" t="s">
        <x:v>21</x:v>
      </x:c>
      <x:c r="K688" s="0">
        <x:f>hyperlink("https://icd.who.int/dev11/l-ichi/en#/http%3A%2F%2Fid.who.int%2Ficd%2Fentity%2F73860627","browser")</x:f>
      </x:c>
      <x:c r="L688" s="0">
        <x:f>hyperlink("https://icat2.azurewebsites.net/icat/?ontology=ICD&amp;tab=ClassesTab&amp;id=http%3A%2F%2Fwho.int%2Ficd%233329_c1eb5896_b43e_4531_bd82_f72e7a00cdd6","iCat")</x:f>
      </x:c>
      <x:c r="M688" s="0" t="s">
        <x:v>20</x:v>
      </x:c>
      <x:c r="N688" s="0" t="s">
        <x:v>431</x:v>
      </x:c>
    </x:row>
    <x:row r="689" spans="1:16">
      <x:c r="A689" s="0" t="s">
        <x:v>2634</x:v>
      </x:c>
      <x:c r="B689" s="0" t="s">
        <x:v>2635</x:v>
      </x:c>
      <x:c r="C689" s="0" t="s">
        <x:v>2636</x:v>
      </x:c>
      <x:c r="E689" s="0" t="s">
        <x:v>2637</x:v>
      </x:c>
      <x:c r="F689" s="0" t="s">
        <x:v>45</x:v>
      </x:c>
      <x:c r="G689" s="0" t="s">
        <x:v>19</x:v>
      </x:c>
      <x:c r="H689" s="0" t="s">
        <x:v>20</x:v>
      </x:c>
      <x:c r="I689" s="0" t="s">
        <x:v>21</x:v>
      </x:c>
      <x:c r="K689" s="0">
        <x:f>hyperlink("https://icd.who.int/dev11/l-ichi/en#/http%3A%2F%2Fid.who.int%2Ficd%2Fentity%2F258152639","browser")</x:f>
      </x:c>
      <x:c r="L689" s="0">
        <x:f>hyperlink("https://icat2.azurewebsites.net/icat/?ontology=ICD&amp;tab=ClassesTab&amp;id=http%3A%2F%2Fwho.int%2Ficd%233322_c1eb5896_b43e_4531_bd82_f72e7a00cdd6","iCat")</x:f>
      </x:c>
      <x:c r="M689" s="0" t="s">
        <x:v>21</x:v>
      </x:c>
      <x:c r="N689" s="0" t="s">
        <x:v>46</x:v>
      </x:c>
    </x:row>
    <x:row r="690" spans="1:16">
      <x:c r="A690" s="0" t="s">
        <x:v>2638</x:v>
      </x:c>
      <x:c r="B690" s="0" t="s">
        <x:v>2639</x:v>
      </x:c>
      <x:c r="C690" s="0" t="s">
        <x:v>2640</x:v>
      </x:c>
      <x:c r="E690" s="0" t="s">
        <x:v>2641</x:v>
      </x:c>
      <x:c r="F690" s="0" t="s">
        <x:v>45</x:v>
      </x:c>
      <x:c r="G690" s="0" t="s">
        <x:v>19</x:v>
      </x:c>
      <x:c r="H690" s="0" t="s">
        <x:v>20</x:v>
      </x:c>
      <x:c r="I690" s="0" t="s">
        <x:v>21</x:v>
      </x:c>
      <x:c r="K690" s="0">
        <x:f>hyperlink("https://icd.who.int/dev11/l-ichi/en#/http%3A%2F%2Fid.who.int%2Ficd%2Fentity%2F1314644344","browser")</x:f>
      </x:c>
      <x:c r="L690" s="0">
        <x:f>hyperlink("https://icat2.azurewebsites.net/icat/?ontology=ICD&amp;tab=ClassesTab&amp;id=http%3A%2F%2Fwho.int%2Ficd%233338_c1eb5896_b43e_4531_bd82_f72e7a00cdd6","iCat")</x:f>
      </x:c>
      <x:c r="M690" s="0" t="s">
        <x:v>21</x:v>
      </x:c>
      <x:c r="N690" s="0" t="s">
        <x:v>46</x:v>
      </x:c>
    </x:row>
    <x:row r="691" spans="1:16">
      <x:c r="A691" s="0" t="s">
        <x:v>2642</x:v>
      </x:c>
      <x:c r="B691" s="0" t="s">
        <x:v>2643</x:v>
      </x:c>
      <x:c r="C691" s="0" t="s">
        <x:v>2644</x:v>
      </x:c>
      <x:c r="E691" s="0" t="s">
        <x:v>2645</x:v>
      </x:c>
      <x:c r="F691" s="0" t="s">
        <x:v>45</x:v>
      </x:c>
      <x:c r="G691" s="0" t="s">
        <x:v>19</x:v>
      </x:c>
      <x:c r="H691" s="0" t="s">
        <x:v>20</x:v>
      </x:c>
      <x:c r="I691" s="0" t="s">
        <x:v>21</x:v>
      </x:c>
      <x:c r="K691" s="0">
        <x:f>hyperlink("https://icd.who.int/dev11/l-ichi/en#/http%3A%2F%2Fid.who.int%2Ficd%2Fentity%2F1433444084","browser")</x:f>
      </x:c>
      <x:c r="L691" s="0">
        <x:f>hyperlink("https://icat2.azurewebsites.net/icat/?ontology=ICD&amp;tab=ClassesTab&amp;id=http%3A%2F%2Fwho.int%2Ficd%233342_c1eb5896_b43e_4531_bd82_f72e7a00cdd6","iCat")</x:f>
      </x:c>
      <x:c r="M691" s="0" t="s">
        <x:v>21</x:v>
      </x:c>
      <x:c r="N691" s="0" t="s">
        <x:v>46</x:v>
      </x:c>
    </x:row>
    <x:row r="692" spans="1:16">
      <x:c r="A692" s="0" t="s">
        <x:v>2646</x:v>
      </x:c>
      <x:c r="B692" s="0" t="s">
        <x:v>2647</x:v>
      </x:c>
      <x:c r="C692" s="0" t="s">
        <x:v>2648</x:v>
      </x:c>
      <x:c r="E692" s="0" t="s">
        <x:v>2649</x:v>
      </x:c>
      <x:c r="F692" s="0" t="s">
        <x:v>45</x:v>
      </x:c>
      <x:c r="G692" s="0" t="s">
        <x:v>19</x:v>
      </x:c>
      <x:c r="H692" s="0" t="s">
        <x:v>20</x:v>
      </x:c>
      <x:c r="I692" s="0" t="s">
        <x:v>21</x:v>
      </x:c>
      <x:c r="K692" s="0">
        <x:f>hyperlink("https://icd.who.int/dev11/l-ichi/en#/http%3A%2F%2Fid.who.int%2Ficd%2Fentity%2F1618434694","browser")</x:f>
      </x:c>
      <x:c r="L692" s="0">
        <x:f>hyperlink("https://icat2.azurewebsites.net/icat/?ontology=ICD&amp;tab=ClassesTab&amp;id=http%3A%2F%2Fwho.int%2Ficd%233346_c1eb5896_b43e_4531_bd82_f72e7a00cdd6","iCat")</x:f>
      </x:c>
      <x:c r="M692" s="0" t="s">
        <x:v>21</x:v>
      </x:c>
      <x:c r="N692" s="0" t="s">
        <x:v>46</x:v>
      </x:c>
    </x:row>
    <x:row r="693" spans="1:16">
      <x:c r="A693" s="0" t="s">
        <x:v>2650</x:v>
      </x:c>
      <x:c r="B693" s="0" t="s">
        <x:v>2651</x:v>
      </x:c>
      <x:c r="C693" s="0" t="s">
        <x:v>2652</x:v>
      </x:c>
      <x:c r="E693" s="0" t="s">
        <x:v>2653</x:v>
      </x:c>
      <x:c r="F693" s="0" t="s">
        <x:v>45</x:v>
      </x:c>
      <x:c r="G693" s="0" t="s">
        <x:v>19</x:v>
      </x:c>
      <x:c r="H693" s="0" t="s">
        <x:v>20</x:v>
      </x:c>
      <x:c r="I693" s="0" t="s">
        <x:v>21</x:v>
      </x:c>
      <x:c r="K693" s="0">
        <x:f>hyperlink("https://icd.who.int/dev11/l-ichi/en#/http%3A%2F%2Fid.who.int%2Ficd%2Fentity%2F1523127906","browser")</x:f>
      </x:c>
      <x:c r="L693" s="0">
        <x:f>hyperlink("https://icat2.azurewebsites.net/icat/?ontology=ICD&amp;tab=ClassesTab&amp;id=http%3A%2F%2Fwho.int%2Ficd%233350_c1eb5896_b43e_4531_bd82_f72e7a00cdd6","iCat")</x:f>
      </x:c>
      <x:c r="M693" s="0" t="s">
        <x:v>21</x:v>
      </x:c>
      <x:c r="N693" s="0" t="s">
        <x:v>46</x:v>
      </x:c>
    </x:row>
    <x:row r="694" spans="1:16">
      <x:c r="A694" s="0" t="s">
        <x:v>2654</x:v>
      </x:c>
      <x:c r="B694" s="0" t="s">
        <x:v>2655</x:v>
      </x:c>
      <x:c r="C694" s="0" t="s">
        <x:v>2656</x:v>
      </x:c>
      <x:c r="E694" s="0" t="s">
        <x:v>2657</x:v>
      </x:c>
      <x:c r="F694" s="0" t="s">
        <x:v>45</x:v>
      </x:c>
      <x:c r="G694" s="0" t="s">
        <x:v>19</x:v>
      </x:c>
      <x:c r="H694" s="0" t="s">
        <x:v>20</x:v>
      </x:c>
      <x:c r="I694" s="0" t="s">
        <x:v>21</x:v>
      </x:c>
      <x:c r="K694" s="0">
        <x:f>hyperlink("https://icd.who.int/dev11/l-ichi/en#/http%3A%2F%2Fid.who.int%2Ficd%2Fentity%2F1875825172","browser")</x:f>
      </x:c>
      <x:c r="L694" s="0">
        <x:f>hyperlink("https://icat2.azurewebsites.net/icat/?ontology=ICD&amp;tab=ClassesTab&amp;id=http%3A%2F%2Fwho.int%2Ficd%233354_c1eb5896_b43e_4531_bd82_f72e7a00cdd6","iCat")</x:f>
      </x:c>
      <x:c r="M694" s="0" t="s">
        <x:v>21</x:v>
      </x:c>
      <x:c r="N694" s="0" t="s">
        <x:v>46</x:v>
      </x:c>
    </x:row>
    <x:row r="695" spans="1:16">
      <x:c r="A695" s="0" t="s">
        <x:v>2658</x:v>
      </x:c>
      <x:c r="B695" s="0" t="s">
        <x:v>2659</x:v>
      </x:c>
      <x:c r="C695" s="0" t="s">
        <x:v>2660</x:v>
      </x:c>
      <x:c r="E695" s="0" t="s">
        <x:v>2661</x:v>
      </x:c>
      <x:c r="F695" s="0" t="s">
        <x:v>45</x:v>
      </x:c>
      <x:c r="G695" s="0" t="s">
        <x:v>19</x:v>
      </x:c>
      <x:c r="H695" s="0" t="s">
        <x:v>20</x:v>
      </x:c>
      <x:c r="I695" s="0" t="s">
        <x:v>21</x:v>
      </x:c>
      <x:c r="K695" s="0">
        <x:f>hyperlink("https://icd.who.int/dev11/l-ichi/en#/http%3A%2F%2Fid.who.int%2Ficd%2Fentity%2F340289333","browser")</x:f>
      </x:c>
      <x:c r="L695" s="0">
        <x:f>hyperlink("https://icat2.azurewebsites.net/icat/?ontology=ICD&amp;tab=ClassesTab&amp;id=http%3A%2F%2Fwho.int%2Ficd%233358_c1eb5896_b43e_4531_bd82_f72e7a00cdd6","iCat")</x:f>
      </x:c>
      <x:c r="M695" s="0" t="s">
        <x:v>21</x:v>
      </x:c>
      <x:c r="N695" s="0" t="s">
        <x:v>46</x:v>
      </x:c>
    </x:row>
    <x:row r="696" spans="1:16">
      <x:c r="B696" s="0" t="s">
        <x:v>2662</x:v>
      </x:c>
      <x:c r="C696" s="0" t="s">
        <x:v>2663</x:v>
      </x:c>
      <x:c r="E696" s="0" t="s">
        <x:v>2664</x:v>
      </x:c>
      <x:c r="F696" s="0" t="s">
        <x:v>45</x:v>
      </x:c>
      <x:c r="G696" s="0" t="s">
        <x:v>19</x:v>
      </x:c>
      <x:c r="H696" s="0" t="s">
        <x:v>21</x:v>
      </x:c>
      <x:c r="I696" s="0" t="s">
        <x:v>21</x:v>
      </x:c>
      <x:c r="K696" s="0">
        <x:f>hyperlink("https://icd.who.int/dev11/l-ichi/en#/http%3A%2F%2Fid.who.int%2Ficd%2Fentity%2F1422243427%2Fichi%2Fother","browser")</x:f>
      </x:c>
      <x:c r="L696" s="0">
        <x:f>hyperlink("","iCat")</x:f>
      </x:c>
      <x:c r="M696" s="0" t="s">
        <x:v>21</x:v>
      </x:c>
      <x:c r="N696" s="0" t="s">
        <x:v>46</x:v>
      </x:c>
    </x:row>
    <x:row r="697" spans="1:16">
      <x:c r="B697" s="0" t="s">
        <x:v>2665</x:v>
      </x:c>
      <x:c r="C697" s="0" t="s">
        <x:v>2666</x:v>
      </x:c>
      <x:c r="E697" s="0" t="s">
        <x:v>2667</x:v>
      </x:c>
      <x:c r="F697" s="0" t="s">
        <x:v>45</x:v>
      </x:c>
      <x:c r="G697" s="0" t="s">
        <x:v>19</x:v>
      </x:c>
      <x:c r="H697" s="0" t="s">
        <x:v>21</x:v>
      </x:c>
      <x:c r="I697" s="0" t="s">
        <x:v>21</x:v>
      </x:c>
      <x:c r="K697" s="0">
        <x:f>hyperlink("https://icd.who.int/dev11/l-ichi/en#/http%3A%2F%2Fid.who.int%2Ficd%2Fentity%2F1422243427%2Fichi%2Funspecified","browser")</x:f>
      </x:c>
      <x:c r="L697" s="0">
        <x:f>hyperlink("","iCat")</x:f>
      </x:c>
      <x:c r="M697" s="0" t="s">
        <x:v>21</x:v>
      </x:c>
      <x:c r="N697" s="0" t="s">
        <x:v>46</x:v>
      </x:c>
    </x:row>
    <x:row r="698" spans="1:16">
      <x:c r="A698" s="0" t="s">
        <x:v>2668</x:v>
      </x:c>
      <x:c r="B698" s="0" t="s">
        <x:v>2669</x:v>
      </x:c>
      <x:c r="E698" s="0" t="s">
        <x:v>2670</x:v>
      </x:c>
      <x:c r="F698" s="0" t="s">
        <x:v>26</x:v>
      </x:c>
      <x:c r="G698" s="0" t="s">
        <x:v>30</x:v>
      </x:c>
      <x:c r="H698" s="0" t="s">
        <x:v>20</x:v>
      </x:c>
      <x:c r="I698" s="0" t="s">
        <x:v>21</x:v>
      </x:c>
      <x:c r="K698" s="0">
        <x:f>hyperlink("https://icd.who.int/dev11/l-ichi/en#/http%3A%2F%2Fid.who.int%2Ficd%2Fentity%2F1610430880","browser")</x:f>
      </x:c>
      <x:c r="L698" s="0">
        <x:f>hyperlink("https://icat2.azurewebsites.net/icat/?ontology=ICD&amp;tab=ClassesTab&amp;id=http%3A%2F%2Fwho.int%2Ficd%233363_c1eb5896_b43e_4531_bd82_f72e7a00cdd6","iCat")</x:f>
      </x:c>
      <x:c r="M698" s="0" t="s">
        <x:v>20</x:v>
      </x:c>
      <x:c r="N698" s="0" t="s">
        <x:v>206</x:v>
      </x:c>
    </x:row>
    <x:row r="699" spans="1:16">
      <x:c r="A699" s="0" t="s">
        <x:v>2671</x:v>
      </x:c>
      <x:c r="B699" s="0" t="s">
        <x:v>2672</x:v>
      </x:c>
      <x:c r="E699" s="0" t="s">
        <x:v>2673</x:v>
      </x:c>
      <x:c r="F699" s="0" t="s">
        <x:v>26</x:v>
      </x:c>
      <x:c r="G699" s="0" t="s">
        <x:v>35</x:v>
      </x:c>
      <x:c r="H699" s="0" t="s">
        <x:v>20</x:v>
      </x:c>
      <x:c r="I699" s="0" t="s">
        <x:v>21</x:v>
      </x:c>
      <x:c r="K699" s="0">
        <x:f>hyperlink("https://icd.who.int/dev11/l-ichi/en#/http%3A%2F%2Fid.who.int%2Ficd%2Fentity%2F1946178832","browser")</x:f>
      </x:c>
      <x:c r="L699" s="0">
        <x:f>hyperlink("https://icat2.azurewebsites.net/icat/?ontology=ICD&amp;tab=ClassesTab&amp;id=http%3A%2F%2Fwho.int%2Ficd%233369_c1eb5896_b43e_4531_bd82_f72e7a00cdd6","iCat")</x:f>
      </x:c>
      <x:c r="M699" s="0" t="s">
        <x:v>20</x:v>
      </x:c>
      <x:c r="N699" s="0" t="s">
        <x:v>19</x:v>
      </x:c>
    </x:row>
    <x:row r="700" spans="1:16">
      <x:c r="A700" s="0" t="s">
        <x:v>2674</x:v>
      </x:c>
      <x:c r="B700" s="0" t="s">
        <x:v>2675</x:v>
      </x:c>
      <x:c r="E700" s="0" t="s">
        <x:v>2676</x:v>
      </x:c>
      <x:c r="F700" s="0" t="s">
        <x:v>26</x:v>
      </x:c>
      <x:c r="G700" s="0" t="s">
        <x:v>22</x:v>
      </x:c>
      <x:c r="H700" s="0" t="s">
        <x:v>20</x:v>
      </x:c>
      <x:c r="I700" s="0" t="s">
        <x:v>21</x:v>
      </x:c>
      <x:c r="K700" s="0">
        <x:f>hyperlink("https://icd.who.int/dev11/l-ichi/en#/http%3A%2F%2Fid.who.int%2Ficd%2Fentity%2F1698919800","browser")</x:f>
      </x:c>
      <x:c r="L700" s="0">
        <x:f>hyperlink("https://icat2.azurewebsites.net/icat/?ontology=ICD&amp;tab=ClassesTab&amp;id=http%3A%2F%2Fwho.int%2Ficd%233375_c1eb5896_b43e_4531_bd82_f72e7a00cdd6","iCat")</x:f>
      </x:c>
      <x:c r="M700" s="0" t="s">
        <x:v>20</x:v>
      </x:c>
      <x:c r="N700" s="0" t="s">
        <x:v>2677</x:v>
      </x:c>
    </x:row>
    <x:row r="701" spans="1:16">
      <x:c r="A701" s="0" t="s">
        <x:v>2678</x:v>
      </x:c>
      <x:c r="B701" s="0" t="s">
        <x:v>2679</x:v>
      </x:c>
      <x:c r="C701" s="0" t="s">
        <x:v>2680</x:v>
      </x:c>
      <x:c r="E701" s="0" t="s">
        <x:v>2681</x:v>
      </x:c>
      <x:c r="F701" s="0" t="s">
        <x:v>45</x:v>
      </x:c>
      <x:c r="G701" s="0" t="s">
        <x:v>19</x:v>
      </x:c>
      <x:c r="H701" s="0" t="s">
        <x:v>20</x:v>
      </x:c>
      <x:c r="I701" s="0" t="s">
        <x:v>21</x:v>
      </x:c>
      <x:c r="K701" s="0">
        <x:f>hyperlink("https://icd.who.int/dev11/l-ichi/en#/http%3A%2F%2Fid.who.int%2Ficd%2Fentity%2F2130987938","browser")</x:f>
      </x:c>
      <x:c r="L701" s="0">
        <x:f>hyperlink("https://icat2.azurewebsites.net/icat/?ontology=ICD&amp;tab=ClassesTab&amp;id=http%3A%2F%2Fwho.int%2Ficd%233362_c1eb5896_b43e_4531_bd82_f72e7a00cdd6","iCat")</x:f>
      </x:c>
      <x:c r="M701" s="0" t="s">
        <x:v>21</x:v>
      </x:c>
      <x:c r="N701" s="0" t="s">
        <x:v>46</x:v>
      </x:c>
    </x:row>
    <x:row r="702" spans="1:16">
      <x:c r="A702" s="0" t="s">
        <x:v>2682</x:v>
      </x:c>
      <x:c r="B702" s="0" t="s">
        <x:v>2683</x:v>
      </x:c>
      <x:c r="C702" s="0" t="s">
        <x:v>2684</x:v>
      </x:c>
      <x:c r="E702" s="0" t="s">
        <x:v>2685</x:v>
      </x:c>
      <x:c r="F702" s="0" t="s">
        <x:v>45</x:v>
      </x:c>
      <x:c r="G702" s="0" t="s">
        <x:v>19</x:v>
      </x:c>
      <x:c r="H702" s="0" t="s">
        <x:v>20</x:v>
      </x:c>
      <x:c r="I702" s="0" t="s">
        <x:v>21</x:v>
      </x:c>
      <x:c r="K702" s="0">
        <x:f>hyperlink("https://icd.who.int/dev11/l-ichi/en#/http%3A%2F%2Fid.who.int%2Ficd%2Fentity%2F1784499612","browser")</x:f>
      </x:c>
      <x:c r="L702" s="0">
        <x:f>hyperlink("https://icat2.azurewebsites.net/icat/?ontology=ICD&amp;tab=ClassesTab&amp;id=http%3A%2F%2Fwho.int%2Ficd%233384_c1eb5896_b43e_4531_bd82_f72e7a00cdd6","iCat")</x:f>
      </x:c>
      <x:c r="M702" s="0" t="s">
        <x:v>21</x:v>
      </x:c>
      <x:c r="N702" s="0" t="s">
        <x:v>46</x:v>
      </x:c>
    </x:row>
    <x:row r="703" spans="1:16">
      <x:c r="A703" s="0" t="s">
        <x:v>2686</x:v>
      </x:c>
      <x:c r="B703" s="0" t="s">
        <x:v>2687</x:v>
      </x:c>
      <x:c r="C703" s="0" t="s">
        <x:v>2688</x:v>
      </x:c>
      <x:c r="E703" s="0" t="s">
        <x:v>2689</x:v>
      </x:c>
      <x:c r="F703" s="0" t="s">
        <x:v>45</x:v>
      </x:c>
      <x:c r="G703" s="0" t="s">
        <x:v>19</x:v>
      </x:c>
      <x:c r="H703" s="0" t="s">
        <x:v>20</x:v>
      </x:c>
      <x:c r="I703" s="0" t="s">
        <x:v>21</x:v>
      </x:c>
      <x:c r="K703" s="0">
        <x:f>hyperlink("https://icd.who.int/dev11/l-ichi/en#/http%3A%2F%2Fid.who.int%2Ficd%2Fentity%2F299628731","browser")</x:f>
      </x:c>
      <x:c r="L703" s="0">
        <x:f>hyperlink("https://icat2.azurewebsites.net/icat/?ontology=ICD&amp;tab=ClassesTab&amp;id=http%3A%2F%2Fwho.int%2Ficd%233388_c1eb5896_b43e_4531_bd82_f72e7a00cdd6","iCat")</x:f>
      </x:c>
      <x:c r="M703" s="0" t="s">
        <x:v>21</x:v>
      </x:c>
      <x:c r="N703" s="0" t="s">
        <x:v>46</x:v>
      </x:c>
    </x:row>
    <x:row r="704" spans="1:16">
      <x:c r="A704" s="0" t="s">
        <x:v>2690</x:v>
      </x:c>
      <x:c r="B704" s="0" t="s">
        <x:v>2691</x:v>
      </x:c>
      <x:c r="C704" s="0" t="s">
        <x:v>2692</x:v>
      </x:c>
      <x:c r="E704" s="0" t="s">
        <x:v>2693</x:v>
      </x:c>
      <x:c r="F704" s="0" t="s">
        <x:v>45</x:v>
      </x:c>
      <x:c r="G704" s="0" t="s">
        <x:v>19</x:v>
      </x:c>
      <x:c r="H704" s="0" t="s">
        <x:v>20</x:v>
      </x:c>
      <x:c r="I704" s="0" t="s">
        <x:v>21</x:v>
      </x:c>
      <x:c r="K704" s="0">
        <x:f>hyperlink("https://icd.who.int/dev11/l-ichi/en#/http%3A%2F%2Fid.who.int%2Ficd%2Fentity%2F1880781634","browser")</x:f>
      </x:c>
      <x:c r="L704" s="0">
        <x:f>hyperlink("https://icat2.azurewebsites.net/icat/?ontology=ICD&amp;tab=ClassesTab&amp;id=http%3A%2F%2Fwho.int%2Ficd%233393_c1eb5896_b43e_4531_bd82_f72e7a00cdd6","iCat")</x:f>
      </x:c>
      <x:c r="M704" s="0" t="s">
        <x:v>21</x:v>
      </x:c>
      <x:c r="N704" s="0" t="s">
        <x:v>46</x:v>
      </x:c>
    </x:row>
    <x:row r="705" spans="1:16">
      <x:c r="A705" s="0" t="s">
        <x:v>2694</x:v>
      </x:c>
      <x:c r="B705" s="0" t="s">
        <x:v>2695</x:v>
      </x:c>
      <x:c r="C705" s="0" t="s">
        <x:v>2696</x:v>
      </x:c>
      <x:c r="E705" s="0" t="s">
        <x:v>2697</x:v>
      </x:c>
      <x:c r="F705" s="0" t="s">
        <x:v>45</x:v>
      </x:c>
      <x:c r="G705" s="0" t="s">
        <x:v>19</x:v>
      </x:c>
      <x:c r="H705" s="0" t="s">
        <x:v>20</x:v>
      </x:c>
      <x:c r="I705" s="0" t="s">
        <x:v>21</x:v>
      </x:c>
      <x:c r="K705" s="0">
        <x:f>hyperlink("https://icd.who.int/dev11/l-ichi/en#/http%3A%2F%2Fid.who.int%2Ficd%2Fentity%2F1159575348","browser")</x:f>
      </x:c>
      <x:c r="L705" s="0">
        <x:f>hyperlink("https://icat2.azurewebsites.net/icat/?ontology=ICD&amp;tab=ClassesTab&amp;id=http%3A%2F%2Fwho.int%2Ficd%233397_c1eb5896_b43e_4531_bd82_f72e7a00cdd6","iCat")</x:f>
      </x:c>
      <x:c r="M705" s="0" t="s">
        <x:v>21</x:v>
      </x:c>
      <x:c r="N705" s="0" t="s">
        <x:v>46</x:v>
      </x:c>
    </x:row>
    <x:row r="706" spans="1:16">
      <x:c r="A706" s="0" t="s">
        <x:v>2698</x:v>
      </x:c>
      <x:c r="B706" s="0" t="s">
        <x:v>2699</x:v>
      </x:c>
      <x:c r="C706" s="0" t="s">
        <x:v>2700</x:v>
      </x:c>
      <x:c r="E706" s="0" t="s">
        <x:v>2701</x:v>
      </x:c>
      <x:c r="F706" s="0" t="s">
        <x:v>45</x:v>
      </x:c>
      <x:c r="G706" s="0" t="s">
        <x:v>19</x:v>
      </x:c>
      <x:c r="H706" s="0" t="s">
        <x:v>20</x:v>
      </x:c>
      <x:c r="I706" s="0" t="s">
        <x:v>21</x:v>
      </x:c>
      <x:c r="K706" s="0">
        <x:f>hyperlink("https://icd.who.int/dev11/l-ichi/en#/http%3A%2F%2Fid.who.int%2Ficd%2Fentity%2F969199118","browser")</x:f>
      </x:c>
      <x:c r="L706" s="0">
        <x:f>hyperlink("https://icat2.azurewebsites.net/icat/?ontology=ICD&amp;tab=ClassesTab&amp;id=http%3A%2F%2Fwho.int%2Ficd%233405_c1eb5896_b43e_4531_bd82_f72e7a00cdd6","iCat")</x:f>
      </x:c>
      <x:c r="M706" s="0" t="s">
        <x:v>21</x:v>
      </x:c>
      <x:c r="N706" s="0" t="s">
        <x:v>46</x:v>
      </x:c>
    </x:row>
    <x:row r="707" spans="1:16">
      <x:c r="A707" s="0" t="s">
        <x:v>2702</x:v>
      </x:c>
      <x:c r="B707" s="0" t="s">
        <x:v>2703</x:v>
      </x:c>
      <x:c r="C707" s="0" t="s">
        <x:v>2704</x:v>
      </x:c>
      <x:c r="E707" s="0" t="s">
        <x:v>2705</x:v>
      </x:c>
      <x:c r="F707" s="0" t="s">
        <x:v>45</x:v>
      </x:c>
      <x:c r="G707" s="0" t="s">
        <x:v>19</x:v>
      </x:c>
      <x:c r="H707" s="0" t="s">
        <x:v>20</x:v>
      </x:c>
      <x:c r="I707" s="0" t="s">
        <x:v>21</x:v>
      </x:c>
      <x:c r="K707" s="0">
        <x:f>hyperlink("https://icd.who.int/dev11/l-ichi/en#/http%3A%2F%2Fid.who.int%2Ficd%2Fentity%2F1111653167","browser")</x:f>
      </x:c>
      <x:c r="L707" s="0">
        <x:f>hyperlink("https://icat2.azurewebsites.net/icat/?ontology=ICD&amp;tab=ClassesTab&amp;id=http%3A%2F%2Fwho.int%2Ficd%233409_c1eb5896_b43e_4531_bd82_f72e7a00cdd6","iCat")</x:f>
      </x:c>
      <x:c r="M707" s="0" t="s">
        <x:v>21</x:v>
      </x:c>
      <x:c r="N707" s="0" t="s">
        <x:v>46</x:v>
      </x:c>
    </x:row>
    <x:row r="708" spans="1:16">
      <x:c r="A708" s="0" t="s">
        <x:v>2706</x:v>
      </x:c>
      <x:c r="B708" s="0" t="s">
        <x:v>2707</x:v>
      </x:c>
      <x:c r="C708" s="0" t="s">
        <x:v>2708</x:v>
      </x:c>
      <x:c r="E708" s="0" t="s">
        <x:v>2709</x:v>
      </x:c>
      <x:c r="F708" s="0" t="s">
        <x:v>45</x:v>
      </x:c>
      <x:c r="G708" s="0" t="s">
        <x:v>19</x:v>
      </x:c>
      <x:c r="H708" s="0" t="s">
        <x:v>20</x:v>
      </x:c>
      <x:c r="I708" s="0" t="s">
        <x:v>21</x:v>
      </x:c>
      <x:c r="K708" s="0">
        <x:f>hyperlink("https://icd.who.int/dev11/l-ichi/en#/http%3A%2F%2Fid.who.int%2Ficd%2Fentity%2F1945643365","browser")</x:f>
      </x:c>
      <x:c r="L708" s="0">
        <x:f>hyperlink("https://icat2.azurewebsites.net/icat/?ontology=ICD&amp;tab=ClassesTab&amp;id=http%3A%2F%2Fwho.int%2Ficd%233414_c1eb5896_b43e_4531_bd82_f72e7a00cdd6","iCat")</x:f>
      </x:c>
      <x:c r="M708" s="0" t="s">
        <x:v>21</x:v>
      </x:c>
      <x:c r="N708" s="0" t="s">
        <x:v>46</x:v>
      </x:c>
    </x:row>
    <x:row r="709" spans="1:16">
      <x:c r="A709" s="0" t="s">
        <x:v>2710</x:v>
      </x:c>
      <x:c r="B709" s="0" t="s">
        <x:v>2711</x:v>
      </x:c>
      <x:c r="C709" s="0" t="s">
        <x:v>2712</x:v>
      </x:c>
      <x:c r="E709" s="0" t="s">
        <x:v>2713</x:v>
      </x:c>
      <x:c r="F709" s="0" t="s">
        <x:v>45</x:v>
      </x:c>
      <x:c r="G709" s="0" t="s">
        <x:v>19</x:v>
      </x:c>
      <x:c r="H709" s="0" t="s">
        <x:v>20</x:v>
      </x:c>
      <x:c r="I709" s="0" t="s">
        <x:v>21</x:v>
      </x:c>
      <x:c r="K709" s="0">
        <x:f>hyperlink("https://icd.who.int/dev11/l-ichi/en#/http%3A%2F%2Fid.who.int%2Ficd%2Fentity%2F142515268","browser")</x:f>
      </x:c>
      <x:c r="L709" s="0">
        <x:f>hyperlink("https://icat2.azurewebsites.net/icat/?ontology=ICD&amp;tab=ClassesTab&amp;id=http%3A%2F%2Fwho.int%2Ficd%233418_c1eb5896_b43e_4531_bd82_f72e7a00cdd6","iCat")</x:f>
      </x:c>
      <x:c r="M709" s="0" t="s">
        <x:v>21</x:v>
      </x:c>
      <x:c r="N709" s="0" t="s">
        <x:v>46</x:v>
      </x:c>
    </x:row>
    <x:row r="710" spans="1:16">
      <x:c r="A710" s="0" t="s">
        <x:v>2714</x:v>
      </x:c>
      <x:c r="B710" s="0" t="s">
        <x:v>2715</x:v>
      </x:c>
      <x:c r="C710" s="0" t="s">
        <x:v>2716</x:v>
      </x:c>
      <x:c r="E710" s="0" t="s">
        <x:v>2717</x:v>
      </x:c>
      <x:c r="F710" s="0" t="s">
        <x:v>45</x:v>
      </x:c>
      <x:c r="G710" s="0" t="s">
        <x:v>19</x:v>
      </x:c>
      <x:c r="H710" s="0" t="s">
        <x:v>20</x:v>
      </x:c>
      <x:c r="I710" s="0" t="s">
        <x:v>21</x:v>
      </x:c>
      <x:c r="K710" s="0">
        <x:f>hyperlink("https://icd.who.int/dev11/l-ichi/en#/http%3A%2F%2Fid.who.int%2Ficd%2Fentity%2F330308448","browser")</x:f>
      </x:c>
      <x:c r="L710" s="0">
        <x:f>hyperlink("https://icat2.azurewebsites.net/icat/?ontology=ICD&amp;tab=ClassesTab&amp;id=http%3A%2F%2Fwho.int%2Ficd%233425_c1eb5896_b43e_4531_bd82_f72e7a00cdd6","iCat")</x:f>
      </x:c>
      <x:c r="M710" s="0" t="s">
        <x:v>21</x:v>
      </x:c>
      <x:c r="N710" s="0" t="s">
        <x:v>46</x:v>
      </x:c>
    </x:row>
    <x:row r="711" spans="1:16">
      <x:c r="A711" s="0" t="s">
        <x:v>2718</x:v>
      </x:c>
      <x:c r="B711" s="0" t="s">
        <x:v>2719</x:v>
      </x:c>
      <x:c r="C711" s="0" t="s">
        <x:v>2720</x:v>
      </x:c>
      <x:c r="E711" s="0" t="s">
        <x:v>2721</x:v>
      </x:c>
      <x:c r="F711" s="0" t="s">
        <x:v>45</x:v>
      </x:c>
      <x:c r="G711" s="0" t="s">
        <x:v>19</x:v>
      </x:c>
      <x:c r="H711" s="0" t="s">
        <x:v>20</x:v>
      </x:c>
      <x:c r="I711" s="0" t="s">
        <x:v>21</x:v>
      </x:c>
      <x:c r="K711" s="0">
        <x:f>hyperlink("https://icd.who.int/dev11/l-ichi/en#/http%3A%2F%2Fid.who.int%2Ficd%2Fentity%2F1748414079","browser")</x:f>
      </x:c>
      <x:c r="L711" s="0">
        <x:f>hyperlink("https://icat2.azurewebsites.net/icat/?ontology=ICD&amp;tab=ClassesTab&amp;id=http%3A%2F%2Fwho.int%2Ficd%233429_c1eb5896_b43e_4531_bd82_f72e7a00cdd6","iCat")</x:f>
      </x:c>
      <x:c r="M711" s="0" t="s">
        <x:v>21</x:v>
      </x:c>
      <x:c r="N711" s="0" t="s">
        <x:v>46</x:v>
      </x:c>
    </x:row>
    <x:row r="712" spans="1:16">
      <x:c r="A712" s="0" t="s">
        <x:v>2722</x:v>
      </x:c>
      <x:c r="B712" s="0" t="s">
        <x:v>2723</x:v>
      </x:c>
      <x:c r="C712" s="0" t="s">
        <x:v>2724</x:v>
      </x:c>
      <x:c r="E712" s="0" t="s">
        <x:v>2725</x:v>
      </x:c>
      <x:c r="F712" s="0" t="s">
        <x:v>45</x:v>
      </x:c>
      <x:c r="G712" s="0" t="s">
        <x:v>19</x:v>
      </x:c>
      <x:c r="H712" s="0" t="s">
        <x:v>20</x:v>
      </x:c>
      <x:c r="I712" s="0" t="s">
        <x:v>21</x:v>
      </x:c>
      <x:c r="K712" s="0">
        <x:f>hyperlink("https://icd.who.int/dev11/l-ichi/en#/http%3A%2F%2Fid.who.int%2Ficd%2Fentity%2F688805816","browser")</x:f>
      </x:c>
      <x:c r="L712" s="0">
        <x:f>hyperlink("https://icat2.azurewebsites.net/icat/?ontology=ICD&amp;tab=ClassesTab&amp;id=http%3A%2F%2Fwho.int%2Ficd%233433_c1eb5896_b43e_4531_bd82_f72e7a00cdd6","iCat")</x:f>
      </x:c>
      <x:c r="M712" s="0" t="s">
        <x:v>21</x:v>
      </x:c>
      <x:c r="N712" s="0" t="s">
        <x:v>46</x:v>
      </x:c>
    </x:row>
    <x:row r="713" spans="1:16">
      <x:c r="A713" s="0" t="s">
        <x:v>2726</x:v>
      </x:c>
      <x:c r="B713" s="0" t="s">
        <x:v>2727</x:v>
      </x:c>
      <x:c r="C713" s="0" t="s">
        <x:v>2728</x:v>
      </x:c>
      <x:c r="E713" s="0" t="s">
        <x:v>2729</x:v>
      </x:c>
      <x:c r="F713" s="0" t="s">
        <x:v>45</x:v>
      </x:c>
      <x:c r="G713" s="0" t="s">
        <x:v>19</x:v>
      </x:c>
      <x:c r="H713" s="0" t="s">
        <x:v>20</x:v>
      </x:c>
      <x:c r="I713" s="0" t="s">
        <x:v>21</x:v>
      </x:c>
      <x:c r="K713" s="0">
        <x:f>hyperlink("https://icd.who.int/dev11/l-ichi/en#/http%3A%2F%2Fid.who.int%2Ficd%2Fentity%2F470389710","browser")</x:f>
      </x:c>
      <x:c r="L713" s="0">
        <x:f>hyperlink("https://icat2.azurewebsites.net/icat/?ontology=ICD&amp;tab=ClassesTab&amp;id=http%3A%2F%2Fwho.int%2Ficd%233437_c1eb5896_b43e_4531_bd82_f72e7a00cdd6","iCat")</x:f>
      </x:c>
      <x:c r="M713" s="0" t="s">
        <x:v>21</x:v>
      </x:c>
      <x:c r="N713" s="0" t="s">
        <x:v>46</x:v>
      </x:c>
    </x:row>
    <x:row r="714" spans="1:16">
      <x:c r="A714" s="0" t="s">
        <x:v>2730</x:v>
      </x:c>
      <x:c r="B714" s="0" t="s">
        <x:v>2731</x:v>
      </x:c>
      <x:c r="C714" s="0" t="s">
        <x:v>2732</x:v>
      </x:c>
      <x:c r="E714" s="0" t="s">
        <x:v>2733</x:v>
      </x:c>
      <x:c r="F714" s="0" t="s">
        <x:v>45</x:v>
      </x:c>
      <x:c r="G714" s="0" t="s">
        <x:v>19</x:v>
      </x:c>
      <x:c r="H714" s="0" t="s">
        <x:v>20</x:v>
      </x:c>
      <x:c r="I714" s="0" t="s">
        <x:v>21</x:v>
      </x:c>
      <x:c r="K714" s="0">
        <x:f>hyperlink("https://icd.who.int/dev11/l-ichi/en#/http%3A%2F%2Fid.who.int%2Ficd%2Fentity%2F2091145575","browser")</x:f>
      </x:c>
      <x:c r="L714" s="0">
        <x:f>hyperlink("https://icat2.azurewebsites.net/icat/?ontology=ICD&amp;tab=ClassesTab&amp;id=http%3A%2F%2Fwho.int%2Ficd%233441_c1eb5896_b43e_4531_bd82_f72e7a00cdd6","iCat")</x:f>
      </x:c>
      <x:c r="M714" s="0" t="s">
        <x:v>21</x:v>
      </x:c>
      <x:c r="N714" s="0" t="s">
        <x:v>46</x:v>
      </x:c>
    </x:row>
    <x:row r="715" spans="1:16">
      <x:c r="A715" s="0" t="s">
        <x:v>2734</x:v>
      </x:c>
      <x:c r="B715" s="0" t="s">
        <x:v>2735</x:v>
      </x:c>
      <x:c r="C715" s="0" t="s">
        <x:v>2736</x:v>
      </x:c>
      <x:c r="E715" s="0" t="s">
        <x:v>2737</x:v>
      </x:c>
      <x:c r="F715" s="0" t="s">
        <x:v>45</x:v>
      </x:c>
      <x:c r="G715" s="0" t="s">
        <x:v>19</x:v>
      </x:c>
      <x:c r="H715" s="0" t="s">
        <x:v>20</x:v>
      </x:c>
      <x:c r="I715" s="0" t="s">
        <x:v>21</x:v>
      </x:c>
      <x:c r="K715" s="0">
        <x:f>hyperlink("https://icd.who.int/dev11/l-ichi/en#/http%3A%2F%2Fid.who.int%2Ficd%2Fentity%2F1235459347","browser")</x:f>
      </x:c>
      <x:c r="L715" s="0">
        <x:f>hyperlink("https://icat2.azurewebsites.net/icat/?ontology=ICD&amp;tab=ClassesTab&amp;id=http%3A%2F%2Fwho.int%2Ficd%233445_c1eb5896_b43e_4531_bd82_f72e7a00cdd6","iCat")</x:f>
      </x:c>
      <x:c r="M715" s="0" t="s">
        <x:v>21</x:v>
      </x:c>
      <x:c r="N715" s="0" t="s">
        <x:v>46</x:v>
      </x:c>
    </x:row>
    <x:row r="716" spans="1:16">
      <x:c r="A716" s="0" t="s">
        <x:v>2738</x:v>
      </x:c>
      <x:c r="B716" s="0" t="s">
        <x:v>2739</x:v>
      </x:c>
      <x:c r="C716" s="0" t="s">
        <x:v>2740</x:v>
      </x:c>
      <x:c r="E716" s="0" t="s">
        <x:v>2741</x:v>
      </x:c>
      <x:c r="F716" s="0" t="s">
        <x:v>45</x:v>
      </x:c>
      <x:c r="G716" s="0" t="s">
        <x:v>19</x:v>
      </x:c>
      <x:c r="H716" s="0" t="s">
        <x:v>20</x:v>
      </x:c>
      <x:c r="I716" s="0" t="s">
        <x:v>21</x:v>
      </x:c>
      <x:c r="K716" s="0">
        <x:f>hyperlink("https://icd.who.int/dev11/l-ichi/en#/http%3A%2F%2Fid.who.int%2Ficd%2Fentity%2F841295924","browser")</x:f>
      </x:c>
      <x:c r="L716" s="0">
        <x:f>hyperlink("https://icat2.azurewebsites.net/icat/?ontology=ICD&amp;tab=ClassesTab&amp;id=http%3A%2F%2Fwho.int%2Ficd%233449_c1eb5896_b43e_4531_bd82_f72e7a00cdd6","iCat")</x:f>
      </x:c>
      <x:c r="M716" s="0" t="s">
        <x:v>21</x:v>
      </x:c>
      <x:c r="N716" s="0" t="s">
        <x:v>46</x:v>
      </x:c>
    </x:row>
    <x:row r="717" spans="1:16">
      <x:c r="A717" s="0" t="s">
        <x:v>2742</x:v>
      </x:c>
      <x:c r="B717" s="0" t="s">
        <x:v>2743</x:v>
      </x:c>
      <x:c r="E717" s="0" t="s">
        <x:v>2744</x:v>
      </x:c>
      <x:c r="F717" s="0" t="s">
        <x:v>26</x:v>
      </x:c>
      <x:c r="G717" s="0" t="s">
        <x:v>35</x:v>
      </x:c>
      <x:c r="H717" s="0" t="s">
        <x:v>20</x:v>
      </x:c>
      <x:c r="I717" s="0" t="s">
        <x:v>21</x:v>
      </x:c>
      <x:c r="K717" s="0">
        <x:f>hyperlink("https://icd.who.int/dev11/l-ichi/en#/http%3A%2F%2Fid.who.int%2Ficd%2Fentity%2F60783226","browser")</x:f>
      </x:c>
      <x:c r="L717" s="0">
        <x:f>hyperlink("https://icat2.azurewebsites.net/icat/?ontology=ICD&amp;tab=ClassesTab&amp;id=http%3A%2F%2Fwho.int%2Ficd%233454_c1eb5896_b43e_4531_bd82_f72e7a00cdd6","iCat")</x:f>
      </x:c>
      <x:c r="M717" s="0" t="s">
        <x:v>20</x:v>
      </x:c>
      <x:c r="N717" s="0" t="s">
        <x:v>19</x:v>
      </x:c>
    </x:row>
    <x:row r="718" spans="1:16">
      <x:c r="A718" s="0" t="s">
        <x:v>2745</x:v>
      </x:c>
      <x:c r="B718" s="0" t="s">
        <x:v>2746</x:v>
      </x:c>
      <x:c r="E718" s="0" t="s">
        <x:v>2747</x:v>
      </x:c>
      <x:c r="F718" s="0" t="s">
        <x:v>26</x:v>
      </x:c>
      <x:c r="G718" s="0" t="s">
        <x:v>22</x:v>
      </x:c>
      <x:c r="H718" s="0" t="s">
        <x:v>20</x:v>
      </x:c>
      <x:c r="I718" s="0" t="s">
        <x:v>21</x:v>
      </x:c>
      <x:c r="K718" s="0">
        <x:f>hyperlink("https://icd.who.int/dev11/l-ichi/en#/http%3A%2F%2Fid.who.int%2Ficd%2Fentity%2F1982463499","browser")</x:f>
      </x:c>
      <x:c r="L718" s="0">
        <x:f>hyperlink("https://icat2.azurewebsites.net/icat/?ontology=ICD&amp;tab=ClassesTab&amp;id=http%3A%2F%2Fwho.int%2Ficd%233460_c1eb5896_b43e_4531_bd82_f72e7a00cdd6","iCat")</x:f>
      </x:c>
      <x:c r="M718" s="0" t="s">
        <x:v>20</x:v>
      </x:c>
      <x:c r="N718" s="0" t="s">
        <x:v>2748</x:v>
      </x:c>
    </x:row>
    <x:row r="719" spans="1:16">
      <x:c r="A719" s="0" t="s">
        <x:v>2749</x:v>
      </x:c>
      <x:c r="B719" s="0" t="s">
        <x:v>2750</x:v>
      </x:c>
      <x:c r="C719" s="0" t="s">
        <x:v>2751</x:v>
      </x:c>
      <x:c r="E719" s="0" t="s">
        <x:v>2752</x:v>
      </x:c>
      <x:c r="F719" s="0" t="s">
        <x:v>45</x:v>
      </x:c>
      <x:c r="G719" s="0" t="s">
        <x:v>19</x:v>
      </x:c>
      <x:c r="H719" s="0" t="s">
        <x:v>20</x:v>
      </x:c>
      <x:c r="I719" s="0" t="s">
        <x:v>21</x:v>
      </x:c>
      <x:c r="K719" s="0">
        <x:f>hyperlink("https://icd.who.int/dev11/l-ichi/en#/http%3A%2F%2Fid.who.int%2Ficd%2Fentity%2F1931334133","browser")</x:f>
      </x:c>
      <x:c r="L719" s="0">
        <x:f>hyperlink("https://icat2.azurewebsites.net/icat/?ontology=ICD&amp;tab=ClassesTab&amp;id=http%3A%2F%2Fwho.int%2Ficd%233453_c1eb5896_b43e_4531_bd82_f72e7a00cdd6","iCat")</x:f>
      </x:c>
      <x:c r="M719" s="0" t="s">
        <x:v>21</x:v>
      </x:c>
      <x:c r="N719" s="0" t="s">
        <x:v>46</x:v>
      </x:c>
    </x:row>
    <x:row r="720" spans="1:16">
      <x:c r="A720" s="0" t="s">
        <x:v>2753</x:v>
      </x:c>
      <x:c r="B720" s="0" t="s">
        <x:v>2754</x:v>
      </x:c>
      <x:c r="C720" s="0" t="s">
        <x:v>2755</x:v>
      </x:c>
      <x:c r="E720" s="0" t="s">
        <x:v>2756</x:v>
      </x:c>
      <x:c r="F720" s="0" t="s">
        <x:v>45</x:v>
      </x:c>
      <x:c r="G720" s="0" t="s">
        <x:v>19</x:v>
      </x:c>
      <x:c r="H720" s="0" t="s">
        <x:v>20</x:v>
      </x:c>
      <x:c r="I720" s="0" t="s">
        <x:v>21</x:v>
      </x:c>
      <x:c r="K720" s="0">
        <x:f>hyperlink("https://icd.who.int/dev11/l-ichi/en#/http%3A%2F%2Fid.who.int%2Ficd%2Fentity%2F66845263","browser")</x:f>
      </x:c>
      <x:c r="L720" s="0">
        <x:f>hyperlink("https://icat2.azurewebsites.net/icat/?ontology=ICD&amp;tab=ClassesTab&amp;id=http%3A%2F%2Fwho.int%2Ficd%2313795_4869915e_217e_423d_acb3_33c0f920ef4b","iCat")</x:f>
      </x:c>
      <x:c r="M720" s="0" t="s">
        <x:v>21</x:v>
      </x:c>
      <x:c r="N720" s="0" t="s">
        <x:v>46</x:v>
      </x:c>
    </x:row>
    <x:row r="721" spans="1:16">
      <x:c r="A721" s="0" t="s">
        <x:v>2757</x:v>
      </x:c>
      <x:c r="B721" s="0" t="s">
        <x:v>2758</x:v>
      </x:c>
      <x:c r="C721" s="0" t="s">
        <x:v>2759</x:v>
      </x:c>
      <x:c r="E721" s="0" t="s">
        <x:v>2760</x:v>
      </x:c>
      <x:c r="F721" s="0" t="s">
        <x:v>45</x:v>
      </x:c>
      <x:c r="G721" s="0" t="s">
        <x:v>19</x:v>
      </x:c>
      <x:c r="H721" s="0" t="s">
        <x:v>20</x:v>
      </x:c>
      <x:c r="I721" s="0" t="s">
        <x:v>21</x:v>
      </x:c>
      <x:c r="K721" s="0">
        <x:f>hyperlink("https://icd.who.int/dev11/l-ichi/en#/http%3A%2F%2Fid.who.int%2Ficd%2Fentity%2F408026466","browser")</x:f>
      </x:c>
      <x:c r="L721" s="0">
        <x:f>hyperlink("https://icat2.azurewebsites.net/icat/?ontology=ICD&amp;tab=ClassesTab&amp;id=http%3A%2F%2Fwho.int%2Ficd%233469_c1eb5896_b43e_4531_bd82_f72e7a00cdd6","iCat")</x:f>
      </x:c>
      <x:c r="M721" s="0" t="s">
        <x:v>21</x:v>
      </x:c>
      <x:c r="N721" s="0" t="s">
        <x:v>46</x:v>
      </x:c>
    </x:row>
    <x:row r="722" spans="1:16">
      <x:c r="A722" s="0" t="s">
        <x:v>2761</x:v>
      </x:c>
      <x:c r="B722" s="0" t="s">
        <x:v>2762</x:v>
      </x:c>
      <x:c r="C722" s="0" t="s">
        <x:v>2763</x:v>
      </x:c>
      <x:c r="E722" s="0" t="s">
        <x:v>2764</x:v>
      </x:c>
      <x:c r="F722" s="0" t="s">
        <x:v>45</x:v>
      </x:c>
      <x:c r="G722" s="0" t="s">
        <x:v>19</x:v>
      </x:c>
      <x:c r="H722" s="0" t="s">
        <x:v>20</x:v>
      </x:c>
      <x:c r="I722" s="0" t="s">
        <x:v>21</x:v>
      </x:c>
      <x:c r="K722" s="0">
        <x:f>hyperlink("https://icd.who.int/dev11/l-ichi/en#/http%3A%2F%2Fid.who.int%2Ficd%2Fentity%2F1500054693","browser")</x:f>
      </x:c>
      <x:c r="L722" s="0">
        <x:f>hyperlink("https://icat2.azurewebsites.net/icat/?ontology=ICD&amp;tab=ClassesTab&amp;id=http%3A%2F%2Fwho.int%2Ficd%233473_c1eb5896_b43e_4531_bd82_f72e7a00cdd6","iCat")</x:f>
      </x:c>
      <x:c r="M722" s="0" t="s">
        <x:v>21</x:v>
      </x:c>
      <x:c r="N722" s="0" t="s">
        <x:v>46</x:v>
      </x:c>
    </x:row>
    <x:row r="723" spans="1:16">
      <x:c r="A723" s="0" t="s">
        <x:v>2765</x:v>
      </x:c>
      <x:c r="B723" s="0" t="s">
        <x:v>2766</x:v>
      </x:c>
      <x:c r="C723" s="0" t="s">
        <x:v>2767</x:v>
      </x:c>
      <x:c r="E723" s="0" t="s">
        <x:v>2768</x:v>
      </x:c>
      <x:c r="F723" s="0" t="s">
        <x:v>45</x:v>
      </x:c>
      <x:c r="G723" s="0" t="s">
        <x:v>19</x:v>
      </x:c>
      <x:c r="H723" s="0" t="s">
        <x:v>20</x:v>
      </x:c>
      <x:c r="I723" s="0" t="s">
        <x:v>21</x:v>
      </x:c>
      <x:c r="K723" s="0">
        <x:f>hyperlink("https://icd.who.int/dev11/l-ichi/en#/http%3A%2F%2Fid.who.int%2Ficd%2Fentity%2F1819197649","browser")</x:f>
      </x:c>
      <x:c r="L723" s="0">
        <x:f>hyperlink("https://icat2.azurewebsites.net/icat/?ontology=ICD&amp;tab=ClassesTab&amp;id=http%3A%2F%2Fwho.int%2Ficd%233477_c1eb5896_b43e_4531_bd82_f72e7a00cdd6","iCat")</x:f>
      </x:c>
      <x:c r="M723" s="0" t="s">
        <x:v>21</x:v>
      </x:c>
      <x:c r="N723" s="0" t="s">
        <x:v>46</x:v>
      </x:c>
    </x:row>
    <x:row r="724" spans="1:16">
      <x:c r="A724" s="0" t="s">
        <x:v>2769</x:v>
      </x:c>
      <x:c r="B724" s="0" t="s">
        <x:v>2770</x:v>
      </x:c>
      <x:c r="C724" s="0" t="s">
        <x:v>2771</x:v>
      </x:c>
      <x:c r="E724" s="0" t="s">
        <x:v>2772</x:v>
      </x:c>
      <x:c r="F724" s="0" t="s">
        <x:v>45</x:v>
      </x:c>
      <x:c r="G724" s="0" t="s">
        <x:v>19</x:v>
      </x:c>
      <x:c r="H724" s="0" t="s">
        <x:v>20</x:v>
      </x:c>
      <x:c r="I724" s="0" t="s">
        <x:v>21</x:v>
      </x:c>
      <x:c r="K724" s="0">
        <x:f>hyperlink("https://icd.who.int/dev11/l-ichi/en#/http%3A%2F%2Fid.who.int%2Ficd%2Fentity%2F334648254","browser")</x:f>
      </x:c>
      <x:c r="L724" s="0">
        <x:f>hyperlink("https://icat2.azurewebsites.net/icat/?ontology=ICD&amp;tab=ClassesTab&amp;id=http%3A%2F%2Fwho.int%2Ficd%233481_c1eb5896_b43e_4531_bd82_f72e7a00cdd6","iCat")</x:f>
      </x:c>
      <x:c r="M724" s="0" t="s">
        <x:v>21</x:v>
      </x:c>
      <x:c r="N724" s="0" t="s">
        <x:v>46</x:v>
      </x:c>
    </x:row>
    <x:row r="725" spans="1:16">
      <x:c r="A725" s="0" t="s">
        <x:v>2773</x:v>
      </x:c>
      <x:c r="B725" s="0" t="s">
        <x:v>2774</x:v>
      </x:c>
      <x:c r="C725" s="0" t="s">
        <x:v>2775</x:v>
      </x:c>
      <x:c r="E725" s="0" t="s">
        <x:v>2776</x:v>
      </x:c>
      <x:c r="F725" s="0" t="s">
        <x:v>45</x:v>
      </x:c>
      <x:c r="G725" s="0" t="s">
        <x:v>19</x:v>
      </x:c>
      <x:c r="H725" s="0" t="s">
        <x:v>20</x:v>
      </x:c>
      <x:c r="I725" s="0" t="s">
        <x:v>21</x:v>
      </x:c>
      <x:c r="K725" s="0">
        <x:f>hyperlink("https://icd.who.int/dev11/l-ichi/en#/http%3A%2F%2Fid.who.int%2Ficd%2Fentity%2F653629388","browser")</x:f>
      </x:c>
      <x:c r="L725" s="0">
        <x:f>hyperlink("https://icat2.azurewebsites.net/icat/?ontology=ICD&amp;tab=ClassesTab&amp;id=http%3A%2F%2Fwho.int%2Ficd%233485_c1eb5896_b43e_4531_bd82_f72e7a00cdd6","iCat")</x:f>
      </x:c>
      <x:c r="M725" s="0" t="s">
        <x:v>21</x:v>
      </x:c>
      <x:c r="N725" s="0" t="s">
        <x:v>46</x:v>
      </x:c>
    </x:row>
    <x:row r="726" spans="1:16">
      <x:c r="A726" s="0" t="s">
        <x:v>2777</x:v>
      </x:c>
      <x:c r="B726" s="0" t="s">
        <x:v>2778</x:v>
      </x:c>
      <x:c r="C726" s="0" t="s">
        <x:v>2779</x:v>
      </x:c>
      <x:c r="E726" s="0" t="s">
        <x:v>2780</x:v>
      </x:c>
      <x:c r="F726" s="0" t="s">
        <x:v>45</x:v>
      </x:c>
      <x:c r="G726" s="0" t="s">
        <x:v>19</x:v>
      </x:c>
      <x:c r="H726" s="0" t="s">
        <x:v>20</x:v>
      </x:c>
      <x:c r="I726" s="0" t="s">
        <x:v>21</x:v>
      </x:c>
      <x:c r="K726" s="0">
        <x:f>hyperlink("https://icd.who.int/dev11/l-ichi/en#/http%3A%2F%2Fid.who.int%2Ficd%2Fentity%2F1567826667","browser")</x:f>
      </x:c>
      <x:c r="L726" s="0">
        <x:f>hyperlink("https://icat2.azurewebsites.net/icat/?ontology=ICD&amp;tab=ClassesTab&amp;id=http%3A%2F%2Fwho.int%2Ficd%233489_c1eb5896_b43e_4531_bd82_f72e7a00cdd6","iCat")</x:f>
      </x:c>
      <x:c r="M726" s="0" t="s">
        <x:v>21</x:v>
      </x:c>
      <x:c r="N726" s="0" t="s">
        <x:v>46</x:v>
      </x:c>
    </x:row>
    <x:row r="727" spans="1:16">
      <x:c r="A727" s="0" t="s">
        <x:v>2781</x:v>
      </x:c>
      <x:c r="B727" s="0" t="s">
        <x:v>2782</x:v>
      </x:c>
      <x:c r="C727" s="0" t="s">
        <x:v>2783</x:v>
      </x:c>
      <x:c r="E727" s="0" t="s">
        <x:v>2784</x:v>
      </x:c>
      <x:c r="F727" s="0" t="s">
        <x:v>45</x:v>
      </x:c>
      <x:c r="G727" s="0" t="s">
        <x:v>19</x:v>
      </x:c>
      <x:c r="H727" s="0" t="s">
        <x:v>20</x:v>
      </x:c>
      <x:c r="I727" s="0" t="s">
        <x:v>21</x:v>
      </x:c>
      <x:c r="K727" s="0">
        <x:f>hyperlink("https://icd.who.int/dev11/l-ichi/en#/http%3A%2F%2Fid.who.int%2Ficd%2Fentity%2F474733356","browser")</x:f>
      </x:c>
      <x:c r="L727" s="0">
        <x:f>hyperlink("https://icat2.azurewebsites.net/icat/?ontology=ICD&amp;tab=ClassesTab&amp;id=http%3A%2F%2Fwho.int%2Ficd%233493_c1eb5896_b43e_4531_bd82_f72e7a00cdd6","iCat")</x:f>
      </x:c>
      <x:c r="M727" s="0" t="s">
        <x:v>21</x:v>
      </x:c>
      <x:c r="N727" s="0" t="s">
        <x:v>46</x:v>
      </x:c>
    </x:row>
    <x:row r="728" spans="1:16">
      <x:c r="A728" s="0" t="s">
        <x:v>2785</x:v>
      </x:c>
      <x:c r="B728" s="0" t="s">
        <x:v>2786</x:v>
      </x:c>
      <x:c r="C728" s="0" t="s">
        <x:v>2787</x:v>
      </x:c>
      <x:c r="E728" s="0" t="s">
        <x:v>2788</x:v>
      </x:c>
      <x:c r="F728" s="0" t="s">
        <x:v>45</x:v>
      </x:c>
      <x:c r="G728" s="0" t="s">
        <x:v>19</x:v>
      </x:c>
      <x:c r="H728" s="0" t="s">
        <x:v>20</x:v>
      </x:c>
      <x:c r="I728" s="0" t="s">
        <x:v>21</x:v>
      </x:c>
      <x:c r="K728" s="0">
        <x:f>hyperlink("https://icd.who.int/dev11/l-ichi/en#/http%3A%2F%2Fid.who.int%2Ficd%2Fentity%2F692854618","browser")</x:f>
      </x:c>
      <x:c r="L728" s="0">
        <x:f>hyperlink("https://icat2.azurewebsites.net/icat/?ontology=ICD&amp;tab=ClassesTab&amp;id=http%3A%2F%2Fwho.int%2Ficd%233497_c1eb5896_b43e_4531_bd82_f72e7a00cdd6","iCat")</x:f>
      </x:c>
      <x:c r="M728" s="0" t="s">
        <x:v>21</x:v>
      </x:c>
      <x:c r="N728" s="0" t="s">
        <x:v>46</x:v>
      </x:c>
    </x:row>
    <x:row r="729" spans="1:16">
      <x:c r="A729" s="0" t="s">
        <x:v>2789</x:v>
      </x:c>
      <x:c r="B729" s="0" t="s">
        <x:v>2790</x:v>
      </x:c>
      <x:c r="C729" s="0" t="s">
        <x:v>2791</x:v>
      </x:c>
      <x:c r="E729" s="0" t="s">
        <x:v>2792</x:v>
      </x:c>
      <x:c r="F729" s="0" t="s">
        <x:v>45</x:v>
      </x:c>
      <x:c r="G729" s="0" t="s">
        <x:v>19</x:v>
      </x:c>
      <x:c r="H729" s="0" t="s">
        <x:v>20</x:v>
      </x:c>
      <x:c r="I729" s="0" t="s">
        <x:v>21</x:v>
      </x:c>
      <x:c r="K729" s="0">
        <x:f>hyperlink("https://icd.who.int/dev11/l-ichi/en#/http%3A%2F%2Fid.who.int%2Ficd%2Fentity%2F2036124903","browser")</x:f>
      </x:c>
      <x:c r="L729" s="0">
        <x:f>hyperlink("https://icat2.azurewebsites.net/icat/?ontology=ICD&amp;tab=ClassesTab&amp;id=http%3A%2F%2Fwho.int%2Ficd%233501_c1eb5896_b43e_4531_bd82_f72e7a00cdd6","iCat")</x:f>
      </x:c>
      <x:c r="M729" s="0" t="s">
        <x:v>21</x:v>
      </x:c>
      <x:c r="N729" s="0" t="s">
        <x:v>46</x:v>
      </x:c>
    </x:row>
    <x:row r="730" spans="1:16">
      <x:c r="A730" s="0" t="s">
        <x:v>2793</x:v>
      </x:c>
      <x:c r="B730" s="0" t="s">
        <x:v>2794</x:v>
      </x:c>
      <x:c r="C730" s="0" t="s">
        <x:v>2795</x:v>
      </x:c>
      <x:c r="E730" s="0" t="s">
        <x:v>2796</x:v>
      </x:c>
      <x:c r="F730" s="0" t="s">
        <x:v>45</x:v>
      </x:c>
      <x:c r="G730" s="0" t="s">
        <x:v>19</x:v>
      </x:c>
      <x:c r="H730" s="0" t="s">
        <x:v>20</x:v>
      </x:c>
      <x:c r="I730" s="0" t="s">
        <x:v>21</x:v>
      </x:c>
      <x:c r="K730" s="0">
        <x:f>hyperlink("https://icd.who.int/dev11/l-ichi/en#/http%3A%2F%2Fid.who.int%2Ficd%2Fentity%2F1281034387","browser")</x:f>
      </x:c>
      <x:c r="L730" s="0">
        <x:f>hyperlink("https://icat2.azurewebsites.net/icat/?ontology=ICD&amp;tab=ClassesTab&amp;id=http%3A%2F%2Fwho.int%2Ficd%233505_c1eb5896_b43e_4531_bd82_f72e7a00cdd6","iCat")</x:f>
      </x:c>
      <x:c r="M730" s="0" t="s">
        <x:v>21</x:v>
      </x:c>
      <x:c r="N730" s="0" t="s">
        <x:v>46</x:v>
      </x:c>
    </x:row>
    <x:row r="731" spans="1:16">
      <x:c r="A731" s="0" t="s">
        <x:v>2797</x:v>
      </x:c>
      <x:c r="B731" s="0" t="s">
        <x:v>2798</x:v>
      </x:c>
      <x:c r="C731" s="0" t="s">
        <x:v>2799</x:v>
      </x:c>
      <x:c r="E731" s="0" t="s">
        <x:v>2800</x:v>
      </x:c>
      <x:c r="F731" s="0" t="s">
        <x:v>45</x:v>
      </x:c>
      <x:c r="G731" s="0" t="s">
        <x:v>19</x:v>
      </x:c>
      <x:c r="H731" s="0" t="s">
        <x:v>20</x:v>
      </x:c>
      <x:c r="I731" s="0" t="s">
        <x:v>21</x:v>
      </x:c>
      <x:c r="K731" s="0">
        <x:f>hyperlink("https://icd.who.int/dev11/l-ichi/en#/http%3A%2F%2Fid.who.int%2Ficd%2Fentity%2F937278900","browser")</x:f>
      </x:c>
      <x:c r="L731" s="0">
        <x:f>hyperlink("https://icat2.azurewebsites.net/icat/?ontology=ICD&amp;tab=ClassesTab&amp;id=http%3A%2F%2Fwho.int%2Ficd%233509_c1eb5896_b43e_4531_bd82_f72e7a00cdd6","iCat")</x:f>
      </x:c>
      <x:c r="M731" s="0" t="s">
        <x:v>21</x:v>
      </x:c>
      <x:c r="N731" s="0" t="s">
        <x:v>46</x:v>
      </x:c>
    </x:row>
    <x:row r="732" spans="1:16">
      <x:c r="A732" s="0" t="s">
        <x:v>2801</x:v>
      </x:c>
      <x:c r="B732" s="0" t="s">
        <x:v>2802</x:v>
      </x:c>
      <x:c r="C732" s="0" t="s">
        <x:v>2803</x:v>
      </x:c>
      <x:c r="E732" s="0" t="s">
        <x:v>2804</x:v>
      </x:c>
      <x:c r="F732" s="0" t="s">
        <x:v>45</x:v>
      </x:c>
      <x:c r="G732" s="0" t="s">
        <x:v>19</x:v>
      </x:c>
      <x:c r="H732" s="0" t="s">
        <x:v>20</x:v>
      </x:c>
      <x:c r="I732" s="0" t="s">
        <x:v>21</x:v>
      </x:c>
      <x:c r="K732" s="0">
        <x:f>hyperlink("https://icd.who.int/dev11/l-ichi/en#/http%3A%2F%2Fid.who.int%2Ficd%2Fentity%2F107474938","browser")</x:f>
      </x:c>
      <x:c r="L732" s="0">
        <x:f>hyperlink("https://icat2.azurewebsites.net/icat/?ontology=ICD&amp;tab=ClassesTab&amp;id=http%3A%2F%2Fwho.int%2Ficd%233514_c1eb5896_b43e_4531_bd82_f72e7a00cdd6","iCat")</x:f>
      </x:c>
      <x:c r="M732" s="0" t="s">
        <x:v>21</x:v>
      </x:c>
      <x:c r="N732" s="0" t="s">
        <x:v>46</x:v>
      </x:c>
    </x:row>
    <x:row r="733" spans="1:16">
      <x:c r="A733" s="0" t="s">
        <x:v>2805</x:v>
      </x:c>
      <x:c r="B733" s="0" t="s">
        <x:v>2806</x:v>
      </x:c>
      <x:c r="C733" s="0" t="s">
        <x:v>2807</x:v>
      </x:c>
      <x:c r="E733" s="0" t="s">
        <x:v>2808</x:v>
      </x:c>
      <x:c r="F733" s="0" t="s">
        <x:v>45</x:v>
      </x:c>
      <x:c r="G733" s="0" t="s">
        <x:v>19</x:v>
      </x:c>
      <x:c r="H733" s="0" t="s">
        <x:v>20</x:v>
      </x:c>
      <x:c r="I733" s="0" t="s">
        <x:v>21</x:v>
      </x:c>
      <x:c r="K733" s="0">
        <x:f>hyperlink("https://icd.who.int/dev11/l-ichi/en#/http%3A%2F%2Fid.who.int%2Ficd%2Fentity%2F1561864421","browser")</x:f>
      </x:c>
      <x:c r="L733" s="0">
        <x:f>hyperlink("https://icat2.azurewebsites.net/icat/?ontology=ICD&amp;tab=ClassesTab&amp;id=http%3A%2F%2Fwho.int%2Ficd%233519_c1eb5896_b43e_4531_bd82_f72e7a00cdd6","iCat")</x:f>
      </x:c>
      <x:c r="M733" s="0" t="s">
        <x:v>21</x:v>
      </x:c>
      <x:c r="N733" s="0" t="s">
        <x:v>46</x:v>
      </x:c>
    </x:row>
    <x:row r="734" spans="1:16">
      <x:c r="A734" s="0" t="s">
        <x:v>2809</x:v>
      </x:c>
      <x:c r="B734" s="0" t="s">
        <x:v>2810</x:v>
      </x:c>
      <x:c r="C734" s="0" t="s">
        <x:v>2811</x:v>
      </x:c>
      <x:c r="E734" s="0" t="s">
        <x:v>2812</x:v>
      </x:c>
      <x:c r="F734" s="0" t="s">
        <x:v>45</x:v>
      </x:c>
      <x:c r="G734" s="0" t="s">
        <x:v>19</x:v>
      </x:c>
      <x:c r="H734" s="0" t="s">
        <x:v>20</x:v>
      </x:c>
      <x:c r="I734" s="0" t="s">
        <x:v>21</x:v>
      </x:c>
      <x:c r="K734" s="0">
        <x:f>hyperlink("https://icd.who.int/dev11/l-ichi/en#/http%3A%2F%2Fid.who.int%2Ficd%2Fentity%2F1188474879","browser")</x:f>
      </x:c>
      <x:c r="L734" s="0">
        <x:f>hyperlink("https://icat2.azurewebsites.net/icat/?ontology=ICD&amp;tab=ClassesTab&amp;id=http%3A%2F%2Fwho.int%2Ficd%233524_c1eb5896_b43e_4531_bd82_f72e7a00cdd6","iCat")</x:f>
      </x:c>
      <x:c r="M734" s="0" t="s">
        <x:v>21</x:v>
      </x:c>
      <x:c r="N734" s="0" t="s">
        <x:v>46</x:v>
      </x:c>
    </x:row>
    <x:row r="735" spans="1:16">
      <x:c r="A735" s="0" t="s">
        <x:v>2813</x:v>
      </x:c>
      <x:c r="B735" s="0" t="s">
        <x:v>2814</x:v>
      </x:c>
      <x:c r="C735" s="0" t="s">
        <x:v>2815</x:v>
      </x:c>
      <x:c r="E735" s="0" t="s">
        <x:v>2816</x:v>
      </x:c>
      <x:c r="F735" s="0" t="s">
        <x:v>45</x:v>
      </x:c>
      <x:c r="G735" s="0" t="s">
        <x:v>19</x:v>
      </x:c>
      <x:c r="H735" s="0" t="s">
        <x:v>20</x:v>
      </x:c>
      <x:c r="I735" s="0" t="s">
        <x:v>21</x:v>
      </x:c>
      <x:c r="K735" s="0">
        <x:f>hyperlink("https://icd.who.int/dev11/l-ichi/en#/http%3A%2F%2Fid.who.int%2Ficd%2Fentity%2F245173781","browser")</x:f>
      </x:c>
      <x:c r="L735" s="0">
        <x:f>hyperlink("https://icat2.azurewebsites.net/icat/?ontology=ICD&amp;tab=ClassesTab&amp;id=http%3A%2F%2Fwho.int%2Ficd%231142_94acc4f6_b696_4796_914a_62879ddd4f65","iCat")</x:f>
      </x:c>
      <x:c r="M735" s="0" t="s">
        <x:v>21</x:v>
      </x:c>
      <x:c r="N735" s="0" t="s">
        <x:v>46</x:v>
      </x:c>
    </x:row>
    <x:row r="736" spans="1:16">
      <x:c r="A736" s="0" t="s">
        <x:v>2817</x:v>
      </x:c>
      <x:c r="B736" s="0" t="s">
        <x:v>2818</x:v>
      </x:c>
      <x:c r="C736" s="0" t="s">
        <x:v>2819</x:v>
      </x:c>
      <x:c r="E736" s="0" t="s">
        <x:v>2820</x:v>
      </x:c>
      <x:c r="F736" s="0" t="s">
        <x:v>45</x:v>
      </x:c>
      <x:c r="G736" s="0" t="s">
        <x:v>19</x:v>
      </x:c>
      <x:c r="H736" s="0" t="s">
        <x:v>20</x:v>
      </x:c>
      <x:c r="I736" s="0" t="s">
        <x:v>21</x:v>
      </x:c>
      <x:c r="K736" s="0">
        <x:f>hyperlink("https://icd.who.int/dev11/l-ichi/en#/http%3A%2F%2Fid.who.int%2Ficd%2Fentity%2F497641698","browser")</x:f>
      </x:c>
      <x:c r="L736" s="0">
        <x:f>hyperlink("https://icat2.azurewebsites.net/icat/?ontology=ICD&amp;tab=ClassesTab&amp;id=http%3A%2F%2Fwho.int%2Ficd%233529_c1eb5896_b43e_4531_bd82_f72e7a00cdd6","iCat")</x:f>
      </x:c>
      <x:c r="M736" s="0" t="s">
        <x:v>21</x:v>
      </x:c>
      <x:c r="N736" s="0" t="s">
        <x:v>46</x:v>
      </x:c>
    </x:row>
    <x:row r="737" spans="1:16">
      <x:c r="A737" s="0" t="s">
        <x:v>2821</x:v>
      </x:c>
      <x:c r="B737" s="0" t="s">
        <x:v>2822</x:v>
      </x:c>
      <x:c r="C737" s="0" t="s">
        <x:v>2823</x:v>
      </x:c>
      <x:c r="E737" s="0" t="s">
        <x:v>2824</x:v>
      </x:c>
      <x:c r="F737" s="0" t="s">
        <x:v>45</x:v>
      </x:c>
      <x:c r="G737" s="0" t="s">
        <x:v>19</x:v>
      </x:c>
      <x:c r="H737" s="0" t="s">
        <x:v>20</x:v>
      </x:c>
      <x:c r="I737" s="0" t="s">
        <x:v>21</x:v>
      </x:c>
      <x:c r="K737" s="0">
        <x:f>hyperlink("https://icd.who.int/dev11/l-ichi/en#/http%3A%2F%2Fid.who.int%2Ficd%2Fentity%2F2104553282","browser")</x:f>
      </x:c>
      <x:c r="L737" s="0">
        <x:f>hyperlink("https://icat2.azurewebsites.net/icat/?ontology=ICD&amp;tab=ClassesTab&amp;id=http%3A%2F%2Fwho.int%2Ficd%2313452_4869915e_217e_423d_acb3_33c0f920ef4b","iCat")</x:f>
      </x:c>
      <x:c r="M737" s="0" t="s">
        <x:v>21</x:v>
      </x:c>
      <x:c r="N737" s="0" t="s">
        <x:v>46</x:v>
      </x:c>
    </x:row>
    <x:row r="738" spans="1:16">
      <x:c r="A738" s="0" t="s">
        <x:v>2825</x:v>
      </x:c>
      <x:c r="B738" s="0" t="s">
        <x:v>2826</x:v>
      </x:c>
      <x:c r="C738" s="0" t="s">
        <x:v>2827</x:v>
      </x:c>
      <x:c r="E738" s="0" t="s">
        <x:v>2828</x:v>
      </x:c>
      <x:c r="F738" s="0" t="s">
        <x:v>45</x:v>
      </x:c>
      <x:c r="G738" s="0" t="s">
        <x:v>19</x:v>
      </x:c>
      <x:c r="H738" s="0" t="s">
        <x:v>20</x:v>
      </x:c>
      <x:c r="I738" s="0" t="s">
        <x:v>21</x:v>
      </x:c>
      <x:c r="K738" s="0">
        <x:f>hyperlink("https://icd.who.int/dev11/l-ichi/en#/http%3A%2F%2Fid.who.int%2Ficd%2Fentity%2F1215769400","browser")</x:f>
      </x:c>
      <x:c r="L738" s="0">
        <x:f>hyperlink("https://icat2.azurewebsites.net/icat/?ontology=ICD&amp;tab=ClassesTab&amp;id=http%3A%2F%2Fwho.int%2Ficd%2313456_4869915e_217e_423d_acb3_33c0f920ef4b","iCat")</x:f>
      </x:c>
      <x:c r="M738" s="0" t="s">
        <x:v>21</x:v>
      </x:c>
      <x:c r="N738" s="0" t="s">
        <x:v>46</x:v>
      </x:c>
    </x:row>
    <x:row r="739" spans="1:16">
      <x:c r="A739" s="0" t="s">
        <x:v>2829</x:v>
      </x:c>
      <x:c r="B739" s="0" t="s">
        <x:v>2830</x:v>
      </x:c>
      <x:c r="C739" s="0" t="s">
        <x:v>2831</x:v>
      </x:c>
      <x:c r="E739" s="0" t="s">
        <x:v>2832</x:v>
      </x:c>
      <x:c r="F739" s="0" t="s">
        <x:v>45</x:v>
      </x:c>
      <x:c r="G739" s="0" t="s">
        <x:v>19</x:v>
      </x:c>
      <x:c r="H739" s="0" t="s">
        <x:v>20</x:v>
      </x:c>
      <x:c r="I739" s="0" t="s">
        <x:v>21</x:v>
      </x:c>
      <x:c r="K739" s="0">
        <x:f>hyperlink("https://icd.who.int/dev11/l-ichi/en#/http%3A%2F%2Fid.who.int%2Ficd%2Fentity%2F1154984611","browser")</x:f>
      </x:c>
      <x:c r="L739" s="0">
        <x:f>hyperlink("https://icat2.azurewebsites.net/icat/?ontology=ICD&amp;tab=ClassesTab&amp;id=http%3A%2F%2Fwho.int%2Ficd%2315253_4869915e_217e_423d_acb3_33c0f920ef4b","iCat")</x:f>
      </x:c>
      <x:c r="M739" s="0" t="s">
        <x:v>21</x:v>
      </x:c>
      <x:c r="N739" s="0" t="s">
        <x:v>46</x:v>
      </x:c>
    </x:row>
    <x:row r="740" spans="1:16">
      <x:c r="A740" s="0" t="s">
        <x:v>2833</x:v>
      </x:c>
      <x:c r="B740" s="0" t="s">
        <x:v>2834</x:v>
      </x:c>
      <x:c r="C740" s="0" t="s">
        <x:v>2835</x:v>
      </x:c>
      <x:c r="E740" s="0" t="s">
        <x:v>2836</x:v>
      </x:c>
      <x:c r="F740" s="0" t="s">
        <x:v>45</x:v>
      </x:c>
      <x:c r="G740" s="0" t="s">
        <x:v>19</x:v>
      </x:c>
      <x:c r="H740" s="0" t="s">
        <x:v>20</x:v>
      </x:c>
      <x:c r="I740" s="0" t="s">
        <x:v>21</x:v>
      </x:c>
      <x:c r="K740" s="0">
        <x:f>hyperlink("https://icd.who.int/dev11/l-ichi/en#/http%3A%2F%2Fid.who.int%2Ficd%2Fentity%2F1909485271","browser")</x:f>
      </x:c>
      <x:c r="L740" s="0">
        <x:f>hyperlink("https://icat2.azurewebsites.net/icat/?ontology=ICD&amp;tab=ClassesTab&amp;id=http%3A%2F%2Fwho.int%2Ficd%2315257_4869915e_217e_423d_acb3_33c0f920ef4b","iCat")</x:f>
      </x:c>
      <x:c r="M740" s="0" t="s">
        <x:v>21</x:v>
      </x:c>
      <x:c r="N740" s="0" t="s">
        <x:v>46</x:v>
      </x:c>
    </x:row>
    <x:row r="741" spans="1:16">
      <x:c r="A741" s="0" t="s">
        <x:v>2837</x:v>
      </x:c>
      <x:c r="B741" s="0" t="s">
        <x:v>2838</x:v>
      </x:c>
      <x:c r="E741" s="0" t="s">
        <x:v>2839</x:v>
      </x:c>
      <x:c r="F741" s="0" t="s">
        <x:v>26</x:v>
      </x:c>
      <x:c r="G741" s="0" t="s">
        <x:v>35</x:v>
      </x:c>
      <x:c r="H741" s="0" t="s">
        <x:v>20</x:v>
      </x:c>
      <x:c r="I741" s="0" t="s">
        <x:v>21</x:v>
      </x:c>
      <x:c r="K741" s="0">
        <x:f>hyperlink("https://icd.who.int/dev11/l-ichi/en#/http%3A%2F%2Fid.who.int%2Ficd%2Fentity%2F2003631541","browser")</x:f>
      </x:c>
      <x:c r="L741" s="0">
        <x:f>hyperlink("https://icat2.azurewebsites.net/icat/?ontology=ICD&amp;tab=ClassesTab&amp;id=http%3A%2F%2Fwho.int%2Ficd%233539_c1eb5896_b43e_4531_bd82_f72e7a00cdd6","iCat")</x:f>
      </x:c>
      <x:c r="M741" s="0" t="s">
        <x:v>20</x:v>
      </x:c>
      <x:c r="N741" s="0" t="s">
        <x:v>19</x:v>
      </x:c>
    </x:row>
    <x:row r="742" spans="1:16">
      <x:c r="A742" s="0" t="s">
        <x:v>2840</x:v>
      </x:c>
      <x:c r="B742" s="0" t="s">
        <x:v>2841</x:v>
      </x:c>
      <x:c r="E742" s="0" t="s">
        <x:v>2842</x:v>
      </x:c>
      <x:c r="F742" s="0" t="s">
        <x:v>26</x:v>
      </x:c>
      <x:c r="G742" s="0" t="s">
        <x:v>22</x:v>
      </x:c>
      <x:c r="H742" s="0" t="s">
        <x:v>20</x:v>
      </x:c>
      <x:c r="I742" s="0" t="s">
        <x:v>21</x:v>
      </x:c>
      <x:c r="K742" s="0">
        <x:f>hyperlink("https://icd.who.int/dev11/l-ichi/en#/http%3A%2F%2Fid.who.int%2Ficd%2Fentity%2F1010588558","browser")</x:f>
      </x:c>
      <x:c r="L742" s="0">
        <x:f>hyperlink("https://icat2.azurewebsites.net/icat/?ontology=ICD&amp;tab=ClassesTab&amp;id=http%3A%2F%2Fwho.int%2Ficd%233545_c1eb5896_b43e_4531_bd82_f72e7a00cdd6","iCat")</x:f>
      </x:c>
      <x:c r="M742" s="0" t="s">
        <x:v>20</x:v>
      </x:c>
      <x:c r="N742" s="0" t="s">
        <x:v>31</x:v>
      </x:c>
    </x:row>
    <x:row r="743" spans="1:16">
      <x:c r="A743" s="0" t="s">
        <x:v>2843</x:v>
      </x:c>
      <x:c r="B743" s="0" t="s">
        <x:v>2844</x:v>
      </x:c>
      <x:c r="C743" s="0" t="s">
        <x:v>2845</x:v>
      </x:c>
      <x:c r="E743" s="0" t="s">
        <x:v>2846</x:v>
      </x:c>
      <x:c r="F743" s="0" t="s">
        <x:v>45</x:v>
      </x:c>
      <x:c r="G743" s="0" t="s">
        <x:v>19</x:v>
      </x:c>
      <x:c r="H743" s="0" t="s">
        <x:v>20</x:v>
      </x:c>
      <x:c r="I743" s="0" t="s">
        <x:v>21</x:v>
      </x:c>
      <x:c r="K743" s="0">
        <x:f>hyperlink("https://icd.who.int/dev11/l-ichi/en#/http%3A%2F%2Fid.who.int%2Ficd%2Fentity%2F1469419401","browser")</x:f>
      </x:c>
      <x:c r="L743" s="0">
        <x:f>hyperlink("https://icat2.azurewebsites.net/icat/?ontology=ICD&amp;tab=ClassesTab&amp;id=http%3A%2F%2Fwho.int%2Ficd%233538_c1eb5896_b43e_4531_bd82_f72e7a00cdd6","iCat")</x:f>
      </x:c>
      <x:c r="M743" s="0" t="s">
        <x:v>21</x:v>
      </x:c>
      <x:c r="N743" s="0" t="s">
        <x:v>46</x:v>
      </x:c>
    </x:row>
    <x:row r="744" spans="1:16">
      <x:c r="A744" s="0" t="s">
        <x:v>2847</x:v>
      </x:c>
      <x:c r="B744" s="0" t="s">
        <x:v>2848</x:v>
      </x:c>
      <x:c r="C744" s="0" t="s">
        <x:v>2849</x:v>
      </x:c>
      <x:c r="E744" s="0" t="s">
        <x:v>2850</x:v>
      </x:c>
      <x:c r="F744" s="0" t="s">
        <x:v>45</x:v>
      </x:c>
      <x:c r="G744" s="0" t="s">
        <x:v>19</x:v>
      </x:c>
      <x:c r="H744" s="0" t="s">
        <x:v>20</x:v>
      </x:c>
      <x:c r="I744" s="0" t="s">
        <x:v>21</x:v>
      </x:c>
      <x:c r="K744" s="0">
        <x:f>hyperlink("https://icd.who.int/dev11/l-ichi/en#/http%3A%2F%2Fid.who.int%2Ficd%2Fentity%2F1979759845","browser")</x:f>
      </x:c>
      <x:c r="L744" s="0">
        <x:f>hyperlink("https://icat2.azurewebsites.net/icat/?ontology=ICD&amp;tab=ClassesTab&amp;id=http%3A%2F%2Fwho.int%2Ficd%233554_c1eb5896_b43e_4531_bd82_f72e7a00cdd6","iCat")</x:f>
      </x:c>
      <x:c r="M744" s="0" t="s">
        <x:v>21</x:v>
      </x:c>
      <x:c r="N744" s="0" t="s">
        <x:v>46</x:v>
      </x:c>
    </x:row>
    <x:row r="745" spans="1:16">
      <x:c r="A745" s="0" t="s">
        <x:v>2851</x:v>
      </x:c>
      <x:c r="B745" s="0" t="s">
        <x:v>2852</x:v>
      </x:c>
      <x:c r="C745" s="0" t="s">
        <x:v>2853</x:v>
      </x:c>
      <x:c r="E745" s="0" t="s">
        <x:v>2854</x:v>
      </x:c>
      <x:c r="F745" s="0" t="s">
        <x:v>45</x:v>
      </x:c>
      <x:c r="G745" s="0" t="s">
        <x:v>19</x:v>
      </x:c>
      <x:c r="H745" s="0" t="s">
        <x:v>20</x:v>
      </x:c>
      <x:c r="I745" s="0" t="s">
        <x:v>21</x:v>
      </x:c>
      <x:c r="K745" s="0">
        <x:f>hyperlink("https://icd.who.int/dev11/l-ichi/en#/http%3A%2F%2Fid.who.int%2Ficd%2Fentity%2F226888132","browser")</x:f>
      </x:c>
      <x:c r="L745" s="0">
        <x:f>hyperlink("https://icat2.azurewebsites.net/icat/?ontology=ICD&amp;tab=ClassesTab&amp;id=http%3A%2F%2Fwho.int%2Ficd%233558_c1eb5896_b43e_4531_bd82_f72e7a00cdd6","iCat")</x:f>
      </x:c>
      <x:c r="M745" s="0" t="s">
        <x:v>21</x:v>
      </x:c>
      <x:c r="N745" s="0" t="s">
        <x:v>46</x:v>
      </x:c>
    </x:row>
    <x:row r="746" spans="1:16">
      <x:c r="A746" s="0" t="s">
        <x:v>2855</x:v>
      </x:c>
      <x:c r="B746" s="0" t="s">
        <x:v>2856</x:v>
      </x:c>
      <x:c r="C746" s="0" t="s">
        <x:v>2857</x:v>
      </x:c>
      <x:c r="E746" s="0" t="s">
        <x:v>2858</x:v>
      </x:c>
      <x:c r="F746" s="0" t="s">
        <x:v>45</x:v>
      </x:c>
      <x:c r="G746" s="0" t="s">
        <x:v>19</x:v>
      </x:c>
      <x:c r="H746" s="0" t="s">
        <x:v>20</x:v>
      </x:c>
      <x:c r="I746" s="0" t="s">
        <x:v>21</x:v>
      </x:c>
      <x:c r="K746" s="0">
        <x:f>hyperlink("https://icd.who.int/dev11/l-ichi/en#/http%3A%2F%2Fid.who.int%2Ficd%2Fentity%2F1724523859","browser")</x:f>
      </x:c>
      <x:c r="L746" s="0">
        <x:f>hyperlink("https://icat2.azurewebsites.net/icat/?ontology=ICD&amp;tab=ClassesTab&amp;id=http%3A%2F%2Fwho.int%2Ficd%233562_c1eb5896_b43e_4531_bd82_f72e7a00cdd6","iCat")</x:f>
      </x:c>
      <x:c r="M746" s="0" t="s">
        <x:v>21</x:v>
      </x:c>
      <x:c r="N746" s="0" t="s">
        <x:v>46</x:v>
      </x:c>
    </x:row>
    <x:row r="747" spans="1:16">
      <x:c r="A747" s="0" t="s">
        <x:v>2859</x:v>
      </x:c>
      <x:c r="B747" s="0" t="s">
        <x:v>2860</x:v>
      </x:c>
      <x:c r="C747" s="0" t="s">
        <x:v>2861</x:v>
      </x:c>
      <x:c r="E747" s="0" t="s">
        <x:v>2862</x:v>
      </x:c>
      <x:c r="F747" s="0" t="s">
        <x:v>45</x:v>
      </x:c>
      <x:c r="G747" s="0" t="s">
        <x:v>19</x:v>
      </x:c>
      <x:c r="H747" s="0" t="s">
        <x:v>20</x:v>
      </x:c>
      <x:c r="I747" s="0" t="s">
        <x:v>21</x:v>
      </x:c>
      <x:c r="K747" s="0">
        <x:f>hyperlink("https://icd.who.int/dev11/l-ichi/en#/http%3A%2F%2Fid.who.int%2Ficd%2Fentity%2F1406001447","browser")</x:f>
      </x:c>
      <x:c r="L747" s="0">
        <x:f>hyperlink("https://icat2.azurewebsites.net/icat/?ontology=ICD&amp;tab=ClassesTab&amp;id=http%3A%2F%2Fwho.int%2Ficd%233566_c1eb5896_b43e_4531_bd82_f72e7a00cdd6","iCat")</x:f>
      </x:c>
      <x:c r="M747" s="0" t="s">
        <x:v>21</x:v>
      </x:c>
      <x:c r="N747" s="0" t="s">
        <x:v>46</x:v>
      </x:c>
    </x:row>
    <x:row r="748" spans="1:16">
      <x:c r="A748" s="0" t="s">
        <x:v>2863</x:v>
      </x:c>
      <x:c r="B748" s="0" t="s">
        <x:v>2864</x:v>
      </x:c>
      <x:c r="C748" s="0" t="s">
        <x:v>2865</x:v>
      </x:c>
      <x:c r="E748" s="0" t="s">
        <x:v>2866</x:v>
      </x:c>
      <x:c r="F748" s="0" t="s">
        <x:v>45</x:v>
      </x:c>
      <x:c r="G748" s="0" t="s">
        <x:v>19</x:v>
      </x:c>
      <x:c r="H748" s="0" t="s">
        <x:v>20</x:v>
      </x:c>
      <x:c r="I748" s="0" t="s">
        <x:v>21</x:v>
      </x:c>
      <x:c r="K748" s="0">
        <x:f>hyperlink("https://icd.who.int/dev11/l-ichi/en#/http%3A%2F%2Fid.who.int%2Ficd%2Fentity%2F1769188801","browser")</x:f>
      </x:c>
      <x:c r="L748" s="0">
        <x:f>hyperlink("https://icat2.azurewebsites.net/icat/?ontology=ICD&amp;tab=ClassesTab&amp;id=http%3A%2F%2Fwho.int%2Ficd%233570_c1eb5896_b43e_4531_bd82_f72e7a00cdd6","iCat")</x:f>
      </x:c>
      <x:c r="M748" s="0" t="s">
        <x:v>21</x:v>
      </x:c>
      <x:c r="N748" s="0" t="s">
        <x:v>46</x:v>
      </x:c>
    </x:row>
    <x:row r="749" spans="1:16">
      <x:c r="A749" s="0" t="s">
        <x:v>2867</x:v>
      </x:c>
      <x:c r="B749" s="0" t="s">
        <x:v>2868</x:v>
      </x:c>
      <x:c r="C749" s="0" t="s">
        <x:v>2869</x:v>
      </x:c>
      <x:c r="E749" s="0" t="s">
        <x:v>2870</x:v>
      </x:c>
      <x:c r="F749" s="0" t="s">
        <x:v>45</x:v>
      </x:c>
      <x:c r="G749" s="0" t="s">
        <x:v>19</x:v>
      </x:c>
      <x:c r="H749" s="0" t="s">
        <x:v>20</x:v>
      </x:c>
      <x:c r="I749" s="0" t="s">
        <x:v>21</x:v>
      </x:c>
      <x:c r="K749" s="0">
        <x:f>hyperlink("https://icd.who.int/dev11/l-ichi/en#/http%3A%2F%2Fid.who.int%2Ficd%2Fentity%2F1551133109","browser")</x:f>
      </x:c>
      <x:c r="L749" s="0">
        <x:f>hyperlink("https://icat2.azurewebsites.net/icat/?ontology=ICD&amp;tab=ClassesTab&amp;id=http%3A%2F%2Fwho.int%2Ficd%233574_c1eb5896_b43e_4531_bd82_f72e7a00cdd6","iCat")</x:f>
      </x:c>
      <x:c r="M749" s="0" t="s">
        <x:v>21</x:v>
      </x:c>
      <x:c r="N749" s="0" t="s">
        <x:v>46</x:v>
      </x:c>
    </x:row>
    <x:row r="750" spans="1:16">
      <x:c r="A750" s="0" t="s">
        <x:v>2871</x:v>
      </x:c>
      <x:c r="B750" s="0" t="s">
        <x:v>2872</x:v>
      </x:c>
      <x:c r="C750" s="0" t="s">
        <x:v>2873</x:v>
      </x:c>
      <x:c r="E750" s="0" t="s">
        <x:v>2874</x:v>
      </x:c>
      <x:c r="F750" s="0" t="s">
        <x:v>45</x:v>
      </x:c>
      <x:c r="G750" s="0" t="s">
        <x:v>19</x:v>
      </x:c>
      <x:c r="H750" s="0" t="s">
        <x:v>20</x:v>
      </x:c>
      <x:c r="I750" s="0" t="s">
        <x:v>21</x:v>
      </x:c>
      <x:c r="K750" s="0">
        <x:f>hyperlink("https://icd.who.int/dev11/l-ichi/en#/http%3A%2F%2Fid.who.int%2Ficd%2Fentity%2F670227606","browser")</x:f>
      </x:c>
      <x:c r="L750" s="0">
        <x:f>hyperlink("https://icat2.azurewebsites.net/icat/?ontology=ICD&amp;tab=ClassesTab&amp;id=http%3A%2F%2Fwho.int%2Ficd%233578_c1eb5896_b43e_4531_bd82_f72e7a00cdd6","iCat")</x:f>
      </x:c>
      <x:c r="M750" s="0" t="s">
        <x:v>21</x:v>
      </x:c>
      <x:c r="N750" s="0" t="s">
        <x:v>46</x:v>
      </x:c>
    </x:row>
    <x:row r="751" spans="1:16">
      <x:c r="A751" s="0" t="s">
        <x:v>2875</x:v>
      </x:c>
      <x:c r="B751" s="0" t="s">
        <x:v>2876</x:v>
      </x:c>
      <x:c r="C751" s="0" t="s">
        <x:v>2877</x:v>
      </x:c>
      <x:c r="E751" s="0" t="s">
        <x:v>2878</x:v>
      </x:c>
      <x:c r="F751" s="0" t="s">
        <x:v>45</x:v>
      </x:c>
      <x:c r="G751" s="0" t="s">
        <x:v>19</x:v>
      </x:c>
      <x:c r="H751" s="0" t="s">
        <x:v>20</x:v>
      </x:c>
      <x:c r="I751" s="0" t="s">
        <x:v>21</x:v>
      </x:c>
      <x:c r="K751" s="0">
        <x:f>hyperlink("https://icd.who.int/dev11/l-ichi/en#/http%3A%2F%2Fid.who.int%2Ficd%2Fentity%2F602471132","browser")</x:f>
      </x:c>
      <x:c r="L751" s="0">
        <x:f>hyperlink("https://icat2.azurewebsites.net/icat/?ontology=ICD&amp;tab=ClassesTab&amp;id=http%3A%2F%2Fwho.int%2Ficd%233582_c1eb5896_b43e_4531_bd82_f72e7a00cdd6","iCat")</x:f>
      </x:c>
      <x:c r="M751" s="0" t="s">
        <x:v>21</x:v>
      </x:c>
      <x:c r="N751" s="0" t="s">
        <x:v>46</x:v>
      </x:c>
    </x:row>
    <x:row r="752" spans="1:16">
      <x:c r="A752" s="0" t="s">
        <x:v>2879</x:v>
      </x:c>
      <x:c r="B752" s="0" t="s">
        <x:v>2880</x:v>
      </x:c>
      <x:c r="C752" s="0" t="s">
        <x:v>2881</x:v>
      </x:c>
      <x:c r="E752" s="0" t="s">
        <x:v>2882</x:v>
      </x:c>
      <x:c r="F752" s="0" t="s">
        <x:v>45</x:v>
      </x:c>
      <x:c r="G752" s="0" t="s">
        <x:v>19</x:v>
      </x:c>
      <x:c r="H752" s="0" t="s">
        <x:v>20</x:v>
      </x:c>
      <x:c r="I752" s="0" t="s">
        <x:v>21</x:v>
      </x:c>
      <x:c r="K752" s="0">
        <x:f>hyperlink("https://icd.who.int/dev11/l-ichi/en#/http%3A%2F%2Fid.who.int%2Ficd%2Fentity%2F384777902","browser")</x:f>
      </x:c>
      <x:c r="L752" s="0">
        <x:f>hyperlink("https://icat2.azurewebsites.net/icat/?ontology=ICD&amp;tab=ClassesTab&amp;id=http%3A%2F%2Fwho.int%2Ficd%233586_c1eb5896_b43e_4531_bd82_f72e7a00cdd6","iCat")</x:f>
      </x:c>
      <x:c r="M752" s="0" t="s">
        <x:v>21</x:v>
      </x:c>
      <x:c r="N752" s="0" t="s">
        <x:v>46</x:v>
      </x:c>
    </x:row>
    <x:row r="753" spans="1:16">
      <x:c r="A753" s="0" t="s">
        <x:v>2883</x:v>
      </x:c>
      <x:c r="B753" s="0" t="s">
        <x:v>2884</x:v>
      </x:c>
      <x:c r="C753" s="0" t="s">
        <x:v>2885</x:v>
      </x:c>
      <x:c r="E753" s="0" t="s">
        <x:v>2886</x:v>
      </x:c>
      <x:c r="F753" s="0" t="s">
        <x:v>45</x:v>
      </x:c>
      <x:c r="G753" s="0" t="s">
        <x:v>19</x:v>
      </x:c>
      <x:c r="H753" s="0" t="s">
        <x:v>20</x:v>
      </x:c>
      <x:c r="I753" s="0" t="s">
        <x:v>21</x:v>
      </x:c>
      <x:c r="K753" s="0">
        <x:f>hyperlink("https://icd.who.int/dev11/l-ichi/en#/http%3A%2F%2Fid.who.int%2Ficd%2Fentity%2F743535178","browser")</x:f>
      </x:c>
      <x:c r="L753" s="0">
        <x:f>hyperlink("https://icat2.azurewebsites.net/icat/?ontology=ICD&amp;tab=ClassesTab&amp;id=http%3A%2F%2Fwho.int%2Ficd%233590_c1eb5896_b43e_4531_bd82_f72e7a00cdd6","iCat")</x:f>
      </x:c>
      <x:c r="M753" s="0" t="s">
        <x:v>21</x:v>
      </x:c>
      <x:c r="N753" s="0" t="s">
        <x:v>46</x:v>
      </x:c>
    </x:row>
    <x:row r="754" spans="1:16">
      <x:c r="A754" s="0" t="s">
        <x:v>2887</x:v>
      </x:c>
      <x:c r="B754" s="0" t="s">
        <x:v>2888</x:v>
      </x:c>
      <x:c r="C754" s="0" t="s">
        <x:v>2889</x:v>
      </x:c>
      <x:c r="E754" s="0" t="s">
        <x:v>2890</x:v>
      </x:c>
      <x:c r="F754" s="0" t="s">
        <x:v>45</x:v>
      </x:c>
      <x:c r="G754" s="0" t="s">
        <x:v>19</x:v>
      </x:c>
      <x:c r="H754" s="0" t="s">
        <x:v>20</x:v>
      </x:c>
      <x:c r="I754" s="0" t="s">
        <x:v>21</x:v>
      </x:c>
      <x:c r="K754" s="0">
        <x:f>hyperlink("https://icd.who.int/dev11/l-ichi/en#/http%3A%2F%2Fid.who.int%2Ficd%2Fentity%2F425113148","browser")</x:f>
      </x:c>
      <x:c r="L754" s="0">
        <x:f>hyperlink("https://icat2.azurewebsites.net/icat/?ontology=ICD&amp;tab=ClassesTab&amp;id=http%3A%2F%2Fwho.int%2Ficd%233594_c1eb5896_b43e_4531_bd82_f72e7a00cdd6","iCat")</x:f>
      </x:c>
      <x:c r="M754" s="0" t="s">
        <x:v>21</x:v>
      </x:c>
      <x:c r="N754" s="0" t="s">
        <x:v>46</x:v>
      </x:c>
    </x:row>
    <x:row r="755" spans="1:16">
      <x:c r="A755" s="0" t="s">
        <x:v>2891</x:v>
      </x:c>
      <x:c r="B755" s="0" t="s">
        <x:v>2892</x:v>
      </x:c>
      <x:c r="E755" s="0" t="s">
        <x:v>2893</x:v>
      </x:c>
      <x:c r="F755" s="0" t="s">
        <x:v>26</x:v>
      </x:c>
      <x:c r="G755" s="0" t="s">
        <x:v>35</x:v>
      </x:c>
      <x:c r="H755" s="0" t="s">
        <x:v>20</x:v>
      </x:c>
      <x:c r="I755" s="0" t="s">
        <x:v>21</x:v>
      </x:c>
      <x:c r="K755" s="0">
        <x:f>hyperlink("https://icd.who.int/dev11/l-ichi/en#/http%3A%2F%2Fid.who.int%2Ficd%2Fentity%2F1110012193","browser")</x:f>
      </x:c>
      <x:c r="L755" s="0">
        <x:f>hyperlink("https://icat2.azurewebsites.net/icat/?ontology=ICD&amp;tab=ClassesTab&amp;id=http%3A%2F%2Fwho.int%2Ficd%233599_c1eb5896_b43e_4531_bd82_f72e7a00cdd6","iCat")</x:f>
      </x:c>
      <x:c r="M755" s="0" t="s">
        <x:v>20</x:v>
      </x:c>
      <x:c r="N755" s="0" t="s">
        <x:v>19</x:v>
      </x:c>
    </x:row>
    <x:row r="756" spans="1:16">
      <x:c r="A756" s="0" t="s">
        <x:v>2894</x:v>
      </x:c>
      <x:c r="B756" s="0" t="s">
        <x:v>2895</x:v>
      </x:c>
      <x:c r="E756" s="0" t="s">
        <x:v>2896</x:v>
      </x:c>
      <x:c r="F756" s="0" t="s">
        <x:v>26</x:v>
      </x:c>
      <x:c r="G756" s="0" t="s">
        <x:v>22</x:v>
      </x:c>
      <x:c r="H756" s="0" t="s">
        <x:v>20</x:v>
      </x:c>
      <x:c r="I756" s="0" t="s">
        <x:v>21</x:v>
      </x:c>
      <x:c r="K756" s="0">
        <x:f>hyperlink("https://icd.who.int/dev11/l-ichi/en#/http%3A%2F%2Fid.who.int%2Ficd%2Fentity%2F755285196","browser")</x:f>
      </x:c>
      <x:c r="L756" s="0">
        <x:f>hyperlink("https://icat2.azurewebsites.net/icat/?ontology=ICD&amp;tab=ClassesTab&amp;id=http%3A%2F%2Fwho.int%2Ficd%233605_c1eb5896_b43e_4531_bd82_f72e7a00cdd6","iCat")</x:f>
      </x:c>
      <x:c r="M756" s="0" t="s">
        <x:v>20</x:v>
      </x:c>
      <x:c r="N756" s="0" t="s">
        <x:v>684</x:v>
      </x:c>
    </x:row>
    <x:row r="757" spans="1:16">
      <x:c r="A757" s="0" t="s">
        <x:v>2897</x:v>
      </x:c>
      <x:c r="B757" s="0" t="s">
        <x:v>2898</x:v>
      </x:c>
      <x:c r="C757" s="0" t="s">
        <x:v>2899</x:v>
      </x:c>
      <x:c r="E757" s="0" t="s">
        <x:v>2900</x:v>
      </x:c>
      <x:c r="F757" s="0" t="s">
        <x:v>45</x:v>
      </x:c>
      <x:c r="G757" s="0" t="s">
        <x:v>19</x:v>
      </x:c>
      <x:c r="H757" s="0" t="s">
        <x:v>20</x:v>
      </x:c>
      <x:c r="I757" s="0" t="s">
        <x:v>21</x:v>
      </x:c>
      <x:c r="K757" s="0">
        <x:f>hyperlink("https://icd.who.int/dev11/l-ichi/en#/http%3A%2F%2Fid.who.int%2Ficd%2Fentity%2F1657799453","browser")</x:f>
      </x:c>
      <x:c r="L757" s="0">
        <x:f>hyperlink("https://icat2.azurewebsites.net/icat/?ontology=ICD&amp;tab=ClassesTab&amp;id=http%3A%2F%2Fwho.int%2Ficd%233598_c1eb5896_b43e_4531_bd82_f72e7a00cdd6","iCat")</x:f>
      </x:c>
      <x:c r="M757" s="0" t="s">
        <x:v>21</x:v>
      </x:c>
      <x:c r="N757" s="0" t="s">
        <x:v>46</x:v>
      </x:c>
    </x:row>
    <x:row r="758" spans="1:16">
      <x:c r="A758" s="0" t="s">
        <x:v>2901</x:v>
      </x:c>
      <x:c r="B758" s="0" t="s">
        <x:v>2902</x:v>
      </x:c>
      <x:c r="C758" s="0" t="s">
        <x:v>2903</x:v>
      </x:c>
      <x:c r="E758" s="0" t="s">
        <x:v>2904</x:v>
      </x:c>
      <x:c r="F758" s="0" t="s">
        <x:v>45</x:v>
      </x:c>
      <x:c r="G758" s="0" t="s">
        <x:v>19</x:v>
      </x:c>
      <x:c r="H758" s="0" t="s">
        <x:v>20</x:v>
      </x:c>
      <x:c r="I758" s="0" t="s">
        <x:v>21</x:v>
      </x:c>
      <x:c r="K758" s="0">
        <x:f>hyperlink("https://icd.who.int/dev11/l-ichi/en#/http%3A%2F%2Fid.who.int%2Ficd%2Fentity%2F1731746721","browser")</x:f>
      </x:c>
      <x:c r="L758" s="0">
        <x:f>hyperlink("https://icat2.azurewebsites.net/icat/?ontology=ICD&amp;tab=ClassesTab&amp;id=http%3A%2F%2Fwho.int%2Ficd%233614_c1eb5896_b43e_4531_bd82_f72e7a00cdd6","iCat")</x:f>
      </x:c>
      <x:c r="M758" s="0" t="s">
        <x:v>21</x:v>
      </x:c>
      <x:c r="N758" s="0" t="s">
        <x:v>46</x:v>
      </x:c>
    </x:row>
    <x:row r="759" spans="1:16">
      <x:c r="A759" s="0" t="s">
        <x:v>2905</x:v>
      </x:c>
      <x:c r="B759" s="0" t="s">
        <x:v>2906</x:v>
      </x:c>
      <x:c r="C759" s="0" t="s">
        <x:v>2907</x:v>
      </x:c>
      <x:c r="E759" s="0" t="s">
        <x:v>2908</x:v>
      </x:c>
      <x:c r="F759" s="0" t="s">
        <x:v>45</x:v>
      </x:c>
      <x:c r="G759" s="0" t="s">
        <x:v>19</x:v>
      </x:c>
      <x:c r="H759" s="0" t="s">
        <x:v>20</x:v>
      </x:c>
      <x:c r="I759" s="0" t="s">
        <x:v>21</x:v>
      </x:c>
      <x:c r="K759" s="0">
        <x:f>hyperlink("https://icd.who.int/dev11/l-ichi/en#/http%3A%2F%2Fid.who.int%2Ficd%2Fentity%2F482274946","browser")</x:f>
      </x:c>
      <x:c r="L759" s="0">
        <x:f>hyperlink("https://icat2.azurewebsites.net/icat/?ontology=ICD&amp;tab=ClassesTab&amp;id=http%3A%2F%2Fwho.int%2Ficd%233618_c1eb5896_b43e_4531_bd82_f72e7a00cdd6","iCat")</x:f>
      </x:c>
      <x:c r="M759" s="0" t="s">
        <x:v>21</x:v>
      </x:c>
      <x:c r="N759" s="0" t="s">
        <x:v>46</x:v>
      </x:c>
    </x:row>
    <x:row r="760" spans="1:16">
      <x:c r="A760" s="0" t="s">
        <x:v>2909</x:v>
      </x:c>
      <x:c r="B760" s="0" t="s">
        <x:v>2910</x:v>
      </x:c>
      <x:c r="C760" s="0" t="s">
        <x:v>2911</x:v>
      </x:c>
      <x:c r="E760" s="0" t="s">
        <x:v>2912</x:v>
      </x:c>
      <x:c r="F760" s="0" t="s">
        <x:v>45</x:v>
      </x:c>
      <x:c r="G760" s="0" t="s">
        <x:v>19</x:v>
      </x:c>
      <x:c r="H760" s="0" t="s">
        <x:v>20</x:v>
      </x:c>
      <x:c r="I760" s="0" t="s">
        <x:v>21</x:v>
      </x:c>
      <x:c r="K760" s="0">
        <x:f>hyperlink("https://icd.who.int/dev11/l-ichi/en#/http%3A%2F%2Fid.who.int%2Ficd%2Fentity%2F2012398103","browser")</x:f>
      </x:c>
      <x:c r="L760" s="0">
        <x:f>hyperlink("https://icat2.azurewebsites.net/icat/?ontology=ICD&amp;tab=ClassesTab&amp;id=http%3A%2F%2Fwho.int%2Ficd%233622_c1eb5896_b43e_4531_bd82_f72e7a00cdd6","iCat")</x:f>
      </x:c>
      <x:c r="M760" s="0" t="s">
        <x:v>21</x:v>
      </x:c>
      <x:c r="N760" s="0" t="s">
        <x:v>46</x:v>
      </x:c>
    </x:row>
    <x:row r="761" spans="1:16">
      <x:c r="A761" s="0" t="s">
        <x:v>2913</x:v>
      </x:c>
      <x:c r="B761" s="0" t="s">
        <x:v>2914</x:v>
      </x:c>
      <x:c r="C761" s="0" t="s">
        <x:v>2915</x:v>
      </x:c>
      <x:c r="E761" s="0" t="s">
        <x:v>2916</x:v>
      </x:c>
      <x:c r="F761" s="0" t="s">
        <x:v>45</x:v>
      </x:c>
      <x:c r="G761" s="0" t="s">
        <x:v>19</x:v>
      </x:c>
      <x:c r="H761" s="0" t="s">
        <x:v>20</x:v>
      </x:c>
      <x:c r="I761" s="0" t="s">
        <x:v>21</x:v>
      </x:c>
      <x:c r="K761" s="0">
        <x:f>hyperlink("https://icd.who.int/dev11/l-ichi/en#/http%3A%2F%2Fid.who.int%2Ficd%2Fentity%2F1123354211","browser")</x:f>
      </x:c>
      <x:c r="L761" s="0">
        <x:f>hyperlink("https://icat2.azurewebsites.net/icat/?ontology=ICD&amp;tab=ClassesTab&amp;id=http%3A%2F%2Fwho.int%2Ficd%233626_c1eb5896_b43e_4531_bd82_f72e7a00cdd6","iCat")</x:f>
      </x:c>
      <x:c r="M761" s="0" t="s">
        <x:v>21</x:v>
      </x:c>
      <x:c r="N761" s="0" t="s">
        <x:v>46</x:v>
      </x:c>
    </x:row>
    <x:row r="762" spans="1:16">
      <x:c r="A762" s="0" t="s">
        <x:v>2917</x:v>
      </x:c>
      <x:c r="B762" s="0" t="s">
        <x:v>2918</x:v>
      </x:c>
      <x:c r="C762" s="0" t="s">
        <x:v>2919</x:v>
      </x:c>
      <x:c r="E762" s="0" t="s">
        <x:v>2920</x:v>
      </x:c>
      <x:c r="F762" s="0" t="s">
        <x:v>45</x:v>
      </x:c>
      <x:c r="G762" s="0" t="s">
        <x:v>19</x:v>
      </x:c>
      <x:c r="H762" s="0" t="s">
        <x:v>20</x:v>
      </x:c>
      <x:c r="I762" s="0" t="s">
        <x:v>21</x:v>
      </x:c>
      <x:c r="K762" s="0">
        <x:f>hyperlink("https://icd.who.int/dev11/l-ichi/en#/http%3A%2F%2Fid.who.int%2Ficd%2Fentity%2F2018200197","browser")</x:f>
      </x:c>
      <x:c r="L762" s="0">
        <x:f>hyperlink("https://icat2.azurewebsites.net/icat/?ontology=ICD&amp;tab=ClassesTab&amp;id=http%3A%2F%2Fwho.int%2Ficd%233630_c1eb5896_b43e_4531_bd82_f72e7a00cdd6","iCat")</x:f>
      </x:c>
      <x:c r="M762" s="0" t="s">
        <x:v>21</x:v>
      </x:c>
      <x:c r="N762" s="0" t="s">
        <x:v>46</x:v>
      </x:c>
    </x:row>
    <x:row r="763" spans="1:16">
      <x:c r="A763" s="0" t="s">
        <x:v>2921</x:v>
      </x:c>
      <x:c r="B763" s="0" t="s">
        <x:v>2922</x:v>
      </x:c>
      <x:c r="C763" s="0" t="s">
        <x:v>2923</x:v>
      </x:c>
      <x:c r="E763" s="0" t="s">
        <x:v>2924</x:v>
      </x:c>
      <x:c r="F763" s="0" t="s">
        <x:v>45</x:v>
      </x:c>
      <x:c r="G763" s="0" t="s">
        <x:v>19</x:v>
      </x:c>
      <x:c r="H763" s="0" t="s">
        <x:v>20</x:v>
      </x:c>
      <x:c r="I763" s="0" t="s">
        <x:v>21</x:v>
      </x:c>
      <x:c r="K763" s="0">
        <x:f>hyperlink("https://icd.who.int/dev11/l-ichi/en#/http%3A%2F%2Fid.who.int%2Ficd%2Fentity%2F1296862961","browser")</x:f>
      </x:c>
      <x:c r="L763" s="0">
        <x:f>hyperlink("https://icat2.azurewebsites.net/icat/?ontology=ICD&amp;tab=ClassesTab&amp;id=http%3A%2F%2Fwho.int%2Ficd%233634_c1eb5896_b43e_4531_bd82_f72e7a00cdd6","iCat")</x:f>
      </x:c>
      <x:c r="M763" s="0" t="s">
        <x:v>21</x:v>
      </x:c>
      <x:c r="N763" s="0" t="s">
        <x:v>46</x:v>
      </x:c>
    </x:row>
    <x:row r="764" spans="1:16">
      <x:c r="A764" s="0" t="s">
        <x:v>2925</x:v>
      </x:c>
      <x:c r="B764" s="0" t="s">
        <x:v>2926</x:v>
      </x:c>
      <x:c r="C764" s="0" t="s">
        <x:v>2927</x:v>
      </x:c>
      <x:c r="E764" s="0" t="s">
        <x:v>2928</x:v>
      </x:c>
      <x:c r="F764" s="0" t="s">
        <x:v>45</x:v>
      </x:c>
      <x:c r="G764" s="0" t="s">
        <x:v>19</x:v>
      </x:c>
      <x:c r="H764" s="0" t="s">
        <x:v>20</x:v>
      </x:c>
      <x:c r="I764" s="0" t="s">
        <x:v>21</x:v>
      </x:c>
      <x:c r="K764" s="0">
        <x:f>hyperlink("https://icd.who.int/dev11/l-ichi/en#/http%3A%2F%2Fid.who.int%2Ficd%2Fentity%2F919223248","browser")</x:f>
      </x:c>
      <x:c r="L764" s="0">
        <x:f>hyperlink("https://icat2.azurewebsites.net/icat/?ontology=ICD&amp;tab=ClassesTab&amp;id=http%3A%2F%2Fwho.int%2Ficd%233638_c1eb5896_b43e_4531_bd82_f72e7a00cdd6","iCat")</x:f>
      </x:c>
      <x:c r="M764" s="0" t="s">
        <x:v>21</x:v>
      </x:c>
      <x:c r="N764" s="0" t="s">
        <x:v>46</x:v>
      </x:c>
    </x:row>
    <x:row r="765" spans="1:16">
      <x:c r="A765" s="0" t="s">
        <x:v>2929</x:v>
      </x:c>
      <x:c r="B765" s="0" t="s">
        <x:v>2930</x:v>
      </x:c>
      <x:c r="C765" s="0" t="s">
        <x:v>2931</x:v>
      </x:c>
      <x:c r="E765" s="0" t="s">
        <x:v>2932</x:v>
      </x:c>
      <x:c r="F765" s="0" t="s">
        <x:v>45</x:v>
      </x:c>
      <x:c r="G765" s="0" t="s">
        <x:v>19</x:v>
      </x:c>
      <x:c r="H765" s="0" t="s">
        <x:v>20</x:v>
      </x:c>
      <x:c r="I765" s="0" t="s">
        <x:v>21</x:v>
      </x:c>
      <x:c r="K765" s="0">
        <x:f>hyperlink("https://icd.who.int/dev11/l-ichi/en#/http%3A%2F%2Fid.who.int%2Ficd%2Fentity%2F769737820","browser")</x:f>
      </x:c>
      <x:c r="L765" s="0">
        <x:f>hyperlink("https://icat2.azurewebsites.net/icat/?ontology=ICD&amp;tab=ClassesTab&amp;id=http%3A%2F%2Fwho.int%2Ficd%233642_c1eb5896_b43e_4531_bd82_f72e7a00cdd6","iCat")</x:f>
      </x:c>
      <x:c r="M765" s="0" t="s">
        <x:v>21</x:v>
      </x:c>
      <x:c r="N765" s="0" t="s">
        <x:v>46</x:v>
      </x:c>
    </x:row>
    <x:row r="766" spans="1:16">
      <x:c r="A766" s="0" t="s">
        <x:v>2933</x:v>
      </x:c>
      <x:c r="B766" s="0" t="s">
        <x:v>2934</x:v>
      </x:c>
      <x:c r="C766" s="0" t="s">
        <x:v>2935</x:v>
      </x:c>
      <x:c r="E766" s="0" t="s">
        <x:v>2936</x:v>
      </x:c>
      <x:c r="F766" s="0" t="s">
        <x:v>45</x:v>
      </x:c>
      <x:c r="G766" s="0" t="s">
        <x:v>19</x:v>
      </x:c>
      <x:c r="H766" s="0" t="s">
        <x:v>20</x:v>
      </x:c>
      <x:c r="I766" s="0" t="s">
        <x:v>21</x:v>
      </x:c>
      <x:c r="K766" s="0">
        <x:f>hyperlink("https://icd.who.int/dev11/l-ichi/en#/http%3A%2F%2Fid.who.int%2Ficd%2Fentity%2F417759278","browser")</x:f>
      </x:c>
      <x:c r="L766" s="0">
        <x:f>hyperlink("https://icat2.azurewebsites.net/icat/?ontology=ICD&amp;tab=ClassesTab&amp;id=http%3A%2F%2Fwho.int%2Ficd%233646_c1eb5896_b43e_4531_bd82_f72e7a00cdd6","iCat")</x:f>
      </x:c>
      <x:c r="M766" s="0" t="s">
        <x:v>21</x:v>
      </x:c>
      <x:c r="N766" s="0" t="s">
        <x:v>46</x:v>
      </x:c>
    </x:row>
    <x:row r="767" spans="1:16">
      <x:c r="A767" s="0" t="s">
        <x:v>2937</x:v>
      </x:c>
      <x:c r="B767" s="0" t="s">
        <x:v>2938</x:v>
      </x:c>
      <x:c r="C767" s="0" t="s">
        <x:v>2939</x:v>
      </x:c>
      <x:c r="E767" s="0" t="s">
        <x:v>2940</x:v>
      </x:c>
      <x:c r="F767" s="0" t="s">
        <x:v>45</x:v>
      </x:c>
      <x:c r="G767" s="0" t="s">
        <x:v>19</x:v>
      </x:c>
      <x:c r="H767" s="0" t="s">
        <x:v>20</x:v>
      </x:c>
      <x:c r="I767" s="0" t="s">
        <x:v>21</x:v>
      </x:c>
      <x:c r="K767" s="0">
        <x:f>hyperlink("https://icd.who.int/dev11/l-ichi/en#/http%3A%2F%2Fid.who.int%2Ficd%2Fentity%2F576244938","browser")</x:f>
      </x:c>
      <x:c r="L767" s="0">
        <x:f>hyperlink("https://icat2.azurewebsites.net/icat/?ontology=ICD&amp;tab=ClassesTab&amp;id=http%3A%2F%2Fwho.int%2Ficd%233650_c1eb5896_b43e_4531_bd82_f72e7a00cdd6","iCat")</x:f>
      </x:c>
      <x:c r="M767" s="0" t="s">
        <x:v>21</x:v>
      </x:c>
      <x:c r="N767" s="0" t="s">
        <x:v>46</x:v>
      </x:c>
    </x:row>
    <x:row r="768" spans="1:16">
      <x:c r="A768" s="0" t="s">
        <x:v>2941</x:v>
      </x:c>
      <x:c r="B768" s="0" t="s">
        <x:v>2942</x:v>
      </x:c>
      <x:c r="C768" s="0" t="s">
        <x:v>2943</x:v>
      </x:c>
      <x:c r="E768" s="0" t="s">
        <x:v>2944</x:v>
      </x:c>
      <x:c r="F768" s="0" t="s">
        <x:v>45</x:v>
      </x:c>
      <x:c r="G768" s="0" t="s">
        <x:v>19</x:v>
      </x:c>
      <x:c r="H768" s="0" t="s">
        <x:v>20</x:v>
      </x:c>
      <x:c r="I768" s="0" t="s">
        <x:v>21</x:v>
      </x:c>
      <x:c r="K768" s="0">
        <x:f>hyperlink("https://icd.who.int/dev11/l-ichi/en#/http%3A%2F%2Fid.who.int%2Ficd%2Fentity%2F392104124","browser")</x:f>
      </x:c>
      <x:c r="L768" s="0">
        <x:f>hyperlink("https://icat2.azurewebsites.net/icat/?ontology=ICD&amp;tab=ClassesTab&amp;id=http%3A%2F%2Fwho.int%2Ficd%233654_c1eb5896_b43e_4531_bd82_f72e7a00cdd6","iCat")</x:f>
      </x:c>
      <x:c r="M768" s="0" t="s">
        <x:v>21</x:v>
      </x:c>
      <x:c r="N768" s="0" t="s">
        <x:v>46</x:v>
      </x:c>
    </x:row>
    <x:row r="769" spans="1:16">
      <x:c r="A769" s="0" t="s">
        <x:v>2945</x:v>
      </x:c>
      <x:c r="B769" s="0" t="s">
        <x:v>2946</x:v>
      </x:c>
      <x:c r="C769" s="0" t="s">
        <x:v>2947</x:v>
      </x:c>
      <x:c r="E769" s="0" t="s">
        <x:v>2948</x:v>
      </x:c>
      <x:c r="F769" s="0" t="s">
        <x:v>45</x:v>
      </x:c>
      <x:c r="G769" s="0" t="s">
        <x:v>19</x:v>
      </x:c>
      <x:c r="H769" s="0" t="s">
        <x:v>20</x:v>
      </x:c>
      <x:c r="I769" s="0" t="s">
        <x:v>21</x:v>
      </x:c>
      <x:c r="K769" s="0">
        <x:f>hyperlink("https://icd.who.int/dev11/l-ichi/en#/http%3A%2F%2Fid.who.int%2Ficd%2Fentity%2F1826209181","browser")</x:f>
      </x:c>
      <x:c r="L769" s="0">
        <x:f>hyperlink("https://icat2.azurewebsites.net/icat/?ontology=ICD&amp;tab=ClassesTab&amp;id=http%3A%2F%2Fwho.int%2Ficd%233658_c1eb5896_b43e_4531_bd82_f72e7a00cdd6","iCat")</x:f>
      </x:c>
      <x:c r="M769" s="0" t="s">
        <x:v>21</x:v>
      </x:c>
      <x:c r="N769" s="0" t="s">
        <x:v>46</x:v>
      </x:c>
    </x:row>
    <x:row r="770" spans="1:16">
      <x:c r="A770" s="0" t="s">
        <x:v>2949</x:v>
      </x:c>
      <x:c r="B770" s="0" t="s">
        <x:v>2950</x:v>
      </x:c>
      <x:c r="E770" s="0" t="s">
        <x:v>2951</x:v>
      </x:c>
      <x:c r="F770" s="0" t="s">
        <x:v>26</x:v>
      </x:c>
      <x:c r="G770" s="0" t="s">
        <x:v>35</x:v>
      </x:c>
      <x:c r="H770" s="0" t="s">
        <x:v>20</x:v>
      </x:c>
      <x:c r="I770" s="0" t="s">
        <x:v>21</x:v>
      </x:c>
      <x:c r="K770" s="0">
        <x:f>hyperlink("https://icd.who.int/dev11/l-ichi/en#/http%3A%2F%2Fid.who.int%2Ficd%2Fentity%2F661447480","browser")</x:f>
      </x:c>
      <x:c r="L770" s="0">
        <x:f>hyperlink("https://icat2.azurewebsites.net/icat/?ontology=ICD&amp;tab=ClassesTab&amp;id=http%3A%2F%2Fwho.int%2Ficd%233663_c1eb5896_b43e_4531_bd82_f72e7a00cdd6","iCat")</x:f>
      </x:c>
      <x:c r="M770" s="0" t="s">
        <x:v>20</x:v>
      </x:c>
      <x:c r="N770" s="0" t="s">
        <x:v>19</x:v>
      </x:c>
    </x:row>
    <x:row r="771" spans="1:16">
      <x:c r="A771" s="0" t="s">
        <x:v>2952</x:v>
      </x:c>
      <x:c r="B771" s="0" t="s">
        <x:v>2953</x:v>
      </x:c>
      <x:c r="E771" s="0" t="s">
        <x:v>2954</x:v>
      </x:c>
      <x:c r="F771" s="0" t="s">
        <x:v>26</x:v>
      </x:c>
      <x:c r="G771" s="0" t="s">
        <x:v>22</x:v>
      </x:c>
      <x:c r="H771" s="0" t="s">
        <x:v>20</x:v>
      </x:c>
      <x:c r="I771" s="0" t="s">
        <x:v>21</x:v>
      </x:c>
      <x:c r="K771" s="0">
        <x:f>hyperlink("https://icd.who.int/dev11/l-ichi/en#/http%3A%2F%2Fid.who.int%2Ficd%2Fentity%2F210866088","browser")</x:f>
      </x:c>
      <x:c r="L771" s="0">
        <x:f>hyperlink("https://icat2.azurewebsites.net/icat/?ontology=ICD&amp;tab=ClassesTab&amp;id=http%3A%2F%2Fwho.int%2Ficd%233669_c1eb5896_b43e_4531_bd82_f72e7a00cdd6","iCat")</x:f>
      </x:c>
      <x:c r="M771" s="0" t="s">
        <x:v>20</x:v>
      </x:c>
      <x:c r="N771" s="0" t="s">
        <x:v>2748</x:v>
      </x:c>
    </x:row>
    <x:row r="772" spans="1:16">
      <x:c r="A772" s="0" t="s">
        <x:v>2955</x:v>
      </x:c>
      <x:c r="B772" s="0" t="s">
        <x:v>2956</x:v>
      </x:c>
      <x:c r="C772" s="0" t="s">
        <x:v>2957</x:v>
      </x:c>
      <x:c r="E772" s="0" t="s">
        <x:v>2958</x:v>
      </x:c>
      <x:c r="F772" s="0" t="s">
        <x:v>45</x:v>
      </x:c>
      <x:c r="G772" s="0" t="s">
        <x:v>19</x:v>
      </x:c>
      <x:c r="H772" s="0" t="s">
        <x:v>20</x:v>
      </x:c>
      <x:c r="I772" s="0" t="s">
        <x:v>21</x:v>
      </x:c>
      <x:c r="K772" s="0">
        <x:f>hyperlink("https://icd.who.int/dev11/l-ichi/en#/http%3A%2F%2Fid.who.int%2Ficd%2Fentity%2F127242506","browser")</x:f>
      </x:c>
      <x:c r="L772" s="0">
        <x:f>hyperlink("https://icat2.azurewebsites.net/icat/?ontology=ICD&amp;tab=ClassesTab&amp;id=http%3A%2F%2Fwho.int%2Ficd%233662_c1eb5896_b43e_4531_bd82_f72e7a00cdd6","iCat")</x:f>
      </x:c>
      <x:c r="M772" s="0" t="s">
        <x:v>21</x:v>
      </x:c>
      <x:c r="N772" s="0" t="s">
        <x:v>46</x:v>
      </x:c>
    </x:row>
    <x:row r="773" spans="1:16">
      <x:c r="A773" s="0" t="s">
        <x:v>2959</x:v>
      </x:c>
      <x:c r="B773" s="0" t="s">
        <x:v>2960</x:v>
      </x:c>
      <x:c r="C773" s="0" t="s">
        <x:v>2961</x:v>
      </x:c>
      <x:c r="E773" s="0" t="s">
        <x:v>2962</x:v>
      </x:c>
      <x:c r="F773" s="0" t="s">
        <x:v>45</x:v>
      </x:c>
      <x:c r="G773" s="0" t="s">
        <x:v>19</x:v>
      </x:c>
      <x:c r="H773" s="0" t="s">
        <x:v>20</x:v>
      </x:c>
      <x:c r="I773" s="0" t="s">
        <x:v>21</x:v>
      </x:c>
      <x:c r="K773" s="0">
        <x:f>hyperlink("https://icd.who.int/dev11/l-ichi/en#/http%3A%2F%2Fid.who.int%2Ficd%2Fentity%2F1185769677","browser")</x:f>
      </x:c>
      <x:c r="L773" s="0">
        <x:f>hyperlink("https://icat2.azurewebsites.net/icat/?ontology=ICD&amp;tab=ClassesTab&amp;id=http%3A%2F%2Fwho.int%2Ficd%233678_c1eb5896_b43e_4531_bd82_f72e7a00cdd6","iCat")</x:f>
      </x:c>
      <x:c r="M773" s="0" t="s">
        <x:v>21</x:v>
      </x:c>
      <x:c r="N773" s="0" t="s">
        <x:v>46</x:v>
      </x:c>
    </x:row>
    <x:row r="774" spans="1:16">
      <x:c r="A774" s="0" t="s">
        <x:v>2963</x:v>
      </x:c>
      <x:c r="B774" s="0" t="s">
        <x:v>2964</x:v>
      </x:c>
      <x:c r="C774" s="0" t="s">
        <x:v>2965</x:v>
      </x:c>
      <x:c r="E774" s="0" t="s">
        <x:v>2966</x:v>
      </x:c>
      <x:c r="F774" s="0" t="s">
        <x:v>45</x:v>
      </x:c>
      <x:c r="G774" s="0" t="s">
        <x:v>19</x:v>
      </x:c>
      <x:c r="H774" s="0" t="s">
        <x:v>20</x:v>
      </x:c>
      <x:c r="I774" s="0" t="s">
        <x:v>21</x:v>
      </x:c>
      <x:c r="K774" s="0">
        <x:f>hyperlink("https://icd.who.int/dev11/l-ichi/en#/http%3A%2F%2Fid.who.int%2Ficd%2Fentity%2F1119309443","browser")</x:f>
      </x:c>
      <x:c r="L774" s="0">
        <x:f>hyperlink("https://icat2.azurewebsites.net/icat/?ontology=ICD&amp;tab=ClassesTab&amp;id=http%3A%2F%2Fwho.int%2Ficd%233682_c1eb5896_b43e_4531_bd82_f72e7a00cdd6","iCat")</x:f>
      </x:c>
      <x:c r="M774" s="0" t="s">
        <x:v>21</x:v>
      </x:c>
      <x:c r="N774" s="0" t="s">
        <x:v>46</x:v>
      </x:c>
    </x:row>
    <x:row r="775" spans="1:16">
      <x:c r="A775" s="0" t="s">
        <x:v>2967</x:v>
      </x:c>
      <x:c r="B775" s="0" t="s">
        <x:v>2968</x:v>
      </x:c>
      <x:c r="C775" s="0" t="s">
        <x:v>2969</x:v>
      </x:c>
      <x:c r="E775" s="0" t="s">
        <x:v>2970</x:v>
      </x:c>
      <x:c r="F775" s="0" t="s">
        <x:v>45</x:v>
      </x:c>
      <x:c r="G775" s="0" t="s">
        <x:v>19</x:v>
      </x:c>
      <x:c r="H775" s="0" t="s">
        <x:v>20</x:v>
      </x:c>
      <x:c r="I775" s="0" t="s">
        <x:v>21</x:v>
      </x:c>
      <x:c r="K775" s="0">
        <x:f>hyperlink("https://icd.who.int/dev11/l-ichi/en#/http%3A%2F%2Fid.who.int%2Ficd%2Fentity%2F2008058615","browser")</x:f>
      </x:c>
      <x:c r="L775" s="0">
        <x:f>hyperlink("https://icat2.azurewebsites.net/icat/?ontology=ICD&amp;tab=ClassesTab&amp;id=http%3A%2F%2Fwho.int%2Ficd%233686_c1eb5896_b43e_4531_bd82_f72e7a00cdd6","iCat")</x:f>
      </x:c>
      <x:c r="M775" s="0" t="s">
        <x:v>21</x:v>
      </x:c>
      <x:c r="N775" s="0" t="s">
        <x:v>46</x:v>
      </x:c>
    </x:row>
    <x:row r="776" spans="1:16">
      <x:c r="A776" s="0" t="s">
        <x:v>2971</x:v>
      </x:c>
      <x:c r="B776" s="0" t="s">
        <x:v>2972</x:v>
      </x:c>
      <x:c r="C776" s="0" t="s">
        <x:v>2973</x:v>
      </x:c>
      <x:c r="E776" s="0" t="s">
        <x:v>2974</x:v>
      </x:c>
      <x:c r="F776" s="0" t="s">
        <x:v>45</x:v>
      </x:c>
      <x:c r="G776" s="0" t="s">
        <x:v>19</x:v>
      </x:c>
      <x:c r="H776" s="0" t="s">
        <x:v>20</x:v>
      </x:c>
      <x:c r="I776" s="0" t="s">
        <x:v>21</x:v>
      </x:c>
      <x:c r="K776" s="0">
        <x:f>hyperlink("https://icd.who.int/dev11/l-ichi/en#/http%3A%2F%2Fid.who.int%2Ficd%2Fentity%2F1292813841","browser")</x:f>
      </x:c>
      <x:c r="L776" s="0">
        <x:f>hyperlink("https://icat2.azurewebsites.net/icat/?ontology=ICD&amp;tab=ClassesTab&amp;id=http%3A%2F%2Fwho.int%2Ficd%233690_c1eb5896_b43e_4531_bd82_f72e7a00cdd6","iCat")</x:f>
      </x:c>
      <x:c r="M776" s="0" t="s">
        <x:v>21</x:v>
      </x:c>
      <x:c r="N776" s="0" t="s">
        <x:v>46</x:v>
      </x:c>
    </x:row>
    <x:row r="777" spans="1:16">
      <x:c r="A777" s="0" t="s">
        <x:v>2975</x:v>
      </x:c>
      <x:c r="B777" s="0" t="s">
        <x:v>2976</x:v>
      </x:c>
      <x:c r="C777" s="0" t="s">
        <x:v>2977</x:v>
      </x:c>
      <x:c r="E777" s="0" t="s">
        <x:v>2978</x:v>
      </x:c>
      <x:c r="F777" s="0" t="s">
        <x:v>45</x:v>
      </x:c>
      <x:c r="G777" s="0" t="s">
        <x:v>19</x:v>
      </x:c>
      <x:c r="H777" s="0" t="s">
        <x:v>20</x:v>
      </x:c>
      <x:c r="I777" s="0" t="s">
        <x:v>21</x:v>
      </x:c>
      <x:c r="K777" s="0">
        <x:f>hyperlink("https://icd.who.int/dev11/l-ichi/en#/http%3A%2F%2Fid.who.int%2Ficd%2Fentity%2F59750212","browser")</x:f>
      </x:c>
      <x:c r="L777" s="0">
        <x:f>hyperlink("https://icat2.azurewebsites.net/icat/?ontology=ICD&amp;tab=ClassesTab&amp;id=http%3A%2F%2Fwho.int%2Ficd%233698_c1eb5896_b43e_4531_bd82_f72e7a00cdd6","iCat")</x:f>
      </x:c>
      <x:c r="M777" s="0" t="s">
        <x:v>21</x:v>
      </x:c>
      <x:c r="N777" s="0" t="s">
        <x:v>46</x:v>
      </x:c>
    </x:row>
    <x:row r="778" spans="1:16">
      <x:c r="A778" s="0" t="s">
        <x:v>2979</x:v>
      </x:c>
      <x:c r="B778" s="0" t="s">
        <x:v>2980</x:v>
      </x:c>
      <x:c r="C778" s="0" t="s">
        <x:v>2981</x:v>
      </x:c>
      <x:c r="E778" s="0" t="s">
        <x:v>2982</x:v>
      </x:c>
      <x:c r="F778" s="0" t="s">
        <x:v>45</x:v>
      </x:c>
      <x:c r="G778" s="0" t="s">
        <x:v>19</x:v>
      </x:c>
      <x:c r="H778" s="0" t="s">
        <x:v>20</x:v>
      </x:c>
      <x:c r="I778" s="0" t="s">
        <x:v>21</x:v>
      </x:c>
      <x:c r="K778" s="0">
        <x:f>hyperlink("https://icd.who.int/dev11/l-ichi/en#/http%3A%2F%2Fid.who.int%2Ficd%2Fentity%2F672780764","browser")</x:f>
      </x:c>
      <x:c r="L778" s="0">
        <x:f>hyperlink("https://icat2.azurewebsites.net/icat/?ontology=ICD&amp;tab=ClassesTab&amp;id=http%3A%2F%2Fwho.int%2Ficd%233702_c1eb5896_b43e_4531_bd82_f72e7a00cdd6","iCat")</x:f>
      </x:c>
      <x:c r="M778" s="0" t="s">
        <x:v>21</x:v>
      </x:c>
      <x:c r="N778" s="0" t="s">
        <x:v>46</x:v>
      </x:c>
    </x:row>
    <x:row r="779" spans="1:16">
      <x:c r="A779" s="0" t="s">
        <x:v>2983</x:v>
      </x:c>
      <x:c r="B779" s="0" t="s">
        <x:v>2984</x:v>
      </x:c>
      <x:c r="C779" s="0" t="s">
        <x:v>2985</x:v>
      </x:c>
      <x:c r="E779" s="0" t="s">
        <x:v>2986</x:v>
      </x:c>
      <x:c r="F779" s="0" t="s">
        <x:v>45</x:v>
      </x:c>
      <x:c r="G779" s="0" t="s">
        <x:v>19</x:v>
      </x:c>
      <x:c r="H779" s="0" t="s">
        <x:v>20</x:v>
      </x:c>
      <x:c r="I779" s="0" t="s">
        <x:v>21</x:v>
      </x:c>
      <x:c r="K779" s="0">
        <x:f>hyperlink("https://icd.who.int/dev11/l-ichi/en#/http%3A%2F%2Fid.who.int%2Ficd%2Fentity%2F488510894","browser")</x:f>
      </x:c>
      <x:c r="L779" s="0">
        <x:f>hyperlink("https://icat2.azurewebsites.net/icat/?ontology=ICD&amp;tab=ClassesTab&amp;id=http%3A%2F%2Fwho.int%2Ficd%233706_c1eb5896_b43e_4531_bd82_f72e7a00cdd6","iCat")</x:f>
      </x:c>
      <x:c r="M779" s="0" t="s">
        <x:v>21</x:v>
      </x:c>
      <x:c r="N779" s="0" t="s">
        <x:v>46</x:v>
      </x:c>
    </x:row>
    <x:row r="780" spans="1:16">
      <x:c r="A780" s="0" t="s">
        <x:v>2987</x:v>
      </x:c>
      <x:c r="B780" s="0" t="s">
        <x:v>2988</x:v>
      </x:c>
      <x:c r="C780" s="0" t="s">
        <x:v>2989</x:v>
      </x:c>
      <x:c r="E780" s="0" t="s">
        <x:v>2990</x:v>
      </x:c>
      <x:c r="F780" s="0" t="s">
        <x:v>45</x:v>
      </x:c>
      <x:c r="G780" s="0" t="s">
        <x:v>19</x:v>
      </x:c>
      <x:c r="H780" s="0" t="s">
        <x:v>20</x:v>
      </x:c>
      <x:c r="I780" s="0" t="s">
        <x:v>21</x:v>
      </x:c>
      <x:c r="K780" s="0">
        <x:f>hyperlink("https://icd.who.int/dev11/l-ichi/en#/http%3A%2F%2Fid.who.int%2Ficd%2Fentity%2F664820042","browser")</x:f>
      </x:c>
      <x:c r="L780" s="0">
        <x:f>hyperlink("https://icat2.azurewebsites.net/icat/?ontology=ICD&amp;tab=ClassesTab&amp;id=http%3A%2F%2Fwho.int%2Ficd%233710_c1eb5896_b43e_4531_bd82_f72e7a00cdd6","iCat")</x:f>
      </x:c>
      <x:c r="M780" s="0" t="s">
        <x:v>21</x:v>
      </x:c>
      <x:c r="N780" s="0" t="s">
        <x:v>46</x:v>
      </x:c>
    </x:row>
    <x:row r="781" spans="1:16">
      <x:c r="A781" s="0" t="s">
        <x:v>2991</x:v>
      </x:c>
      <x:c r="B781" s="0" t="s">
        <x:v>2992</x:v>
      </x:c>
      <x:c r="C781" s="0" t="s">
        <x:v>2993</x:v>
      </x:c>
      <x:c r="E781" s="0" t="s">
        <x:v>2994</x:v>
      </x:c>
      <x:c r="F781" s="0" t="s">
        <x:v>45</x:v>
      </x:c>
      <x:c r="G781" s="0" t="s">
        <x:v>19</x:v>
      </x:c>
      <x:c r="H781" s="0" t="s">
        <x:v>20</x:v>
      </x:c>
      <x:c r="I781" s="0" t="s">
        <x:v>21</x:v>
      </x:c>
      <x:c r="K781" s="0">
        <x:f>hyperlink("https://icd.who.int/dev11/l-ichi/en#/http%3A%2F%2Fid.who.int%2Ficd%2Fentity%2F312974652","browser")</x:f>
      </x:c>
      <x:c r="L781" s="0">
        <x:f>hyperlink("https://icat2.azurewebsites.net/icat/?ontology=ICD&amp;tab=ClassesTab&amp;id=http%3A%2F%2Fwho.int%2Ficd%233714_c1eb5896_b43e_4531_bd82_f72e7a00cdd6","iCat")</x:f>
      </x:c>
      <x:c r="M781" s="0" t="s">
        <x:v>21</x:v>
      </x:c>
      <x:c r="N781" s="0" t="s">
        <x:v>46</x:v>
      </x:c>
    </x:row>
    <x:row r="782" spans="1:16">
      <x:c r="A782" s="0" t="s">
        <x:v>2995</x:v>
      </x:c>
      <x:c r="B782" s="0" t="s">
        <x:v>2996</x:v>
      </x:c>
      <x:c r="C782" s="0" t="s">
        <x:v>2997</x:v>
      </x:c>
      <x:c r="E782" s="0" t="s">
        <x:v>2998</x:v>
      </x:c>
      <x:c r="F782" s="0" t="s">
        <x:v>45</x:v>
      </x:c>
      <x:c r="G782" s="0" t="s">
        <x:v>19</x:v>
      </x:c>
      <x:c r="H782" s="0" t="s">
        <x:v>20</x:v>
      </x:c>
      <x:c r="I782" s="0" t="s">
        <x:v>21</x:v>
      </x:c>
      <x:c r="K782" s="0">
        <x:f>hyperlink("https://icd.who.int/dev11/l-ichi/en#/http%3A%2F%2Fid.who.int%2Ficd%2Fentity%2F1763780637","browser")</x:f>
      </x:c>
      <x:c r="L782" s="0">
        <x:f>hyperlink("https://icat2.azurewebsites.net/icat/?ontology=ICD&amp;tab=ClassesTab&amp;id=http%3A%2F%2Fwho.int%2Ficd%233718_c1eb5896_b43e_4531_bd82_f72e7a00cdd6","iCat")</x:f>
      </x:c>
      <x:c r="M782" s="0" t="s">
        <x:v>21</x:v>
      </x:c>
      <x:c r="N782" s="0" t="s">
        <x:v>46</x:v>
      </x:c>
    </x:row>
    <x:row r="783" spans="1:16">
      <x:c r="A783" s="0" t="s">
        <x:v>2999</x:v>
      </x:c>
      <x:c r="B783" s="0" t="s">
        <x:v>3000</x:v>
      </x:c>
      <x:c r="C783" s="0" t="s">
        <x:v>3001</x:v>
      </x:c>
      <x:c r="E783" s="0" t="s">
        <x:v>3002</x:v>
      </x:c>
      <x:c r="F783" s="0" t="s">
        <x:v>45</x:v>
      </x:c>
      <x:c r="G783" s="0" t="s">
        <x:v>19</x:v>
      </x:c>
      <x:c r="H783" s="0" t="s">
        <x:v>20</x:v>
      </x:c>
      <x:c r="I783" s="0" t="s">
        <x:v>21</x:v>
      </x:c>
      <x:c r="K783" s="0">
        <x:f>hyperlink("https://icd.who.int/dev11/l-ichi/en#/http%3A%2F%2Fid.who.int%2Ficd%2Fentity%2F40699018","browser")</x:f>
      </x:c>
      <x:c r="L783" s="0">
        <x:f>hyperlink("https://icat2.azurewebsites.net/icat/?ontology=ICD&amp;tab=ClassesTab&amp;id=http%3A%2F%2Fwho.int%2Ficd%233722_c1eb5896_b43e_4531_bd82_f72e7a00cdd6","iCat")</x:f>
      </x:c>
      <x:c r="M783" s="0" t="s">
        <x:v>21</x:v>
      </x:c>
      <x:c r="N783" s="0" t="s">
        <x:v>46</x:v>
      </x:c>
    </x:row>
    <x:row r="784" spans="1:16">
      <x:c r="A784" s="0" t="s">
        <x:v>3003</x:v>
      </x:c>
      <x:c r="B784" s="0" t="s">
        <x:v>3004</x:v>
      </x:c>
      <x:c r="C784" s="0" t="s">
        <x:v>3005</x:v>
      </x:c>
      <x:c r="E784" s="0" t="s">
        <x:v>3006</x:v>
      </x:c>
      <x:c r="F784" s="0" t="s">
        <x:v>45</x:v>
      </x:c>
      <x:c r="G784" s="0" t="s">
        <x:v>19</x:v>
      </x:c>
      <x:c r="H784" s="0" t="s">
        <x:v>20</x:v>
      </x:c>
      <x:c r="I784" s="0" t="s">
        <x:v>21</x:v>
      </x:c>
      <x:c r="K784" s="0">
        <x:f>hyperlink("https://icd.who.int/dev11/l-ichi/en#/http%3A%2F%2Fid.who.int%2Ficd%2Fentity%2F929743104","browser")</x:f>
      </x:c>
      <x:c r="L784" s="0">
        <x:f>hyperlink("https://icat2.azurewebsites.net/icat/?ontology=ICD&amp;tab=ClassesTab&amp;id=http%3A%2F%2Fwho.int%2Ficd%233726_c1eb5896_b43e_4531_bd82_f72e7a00cdd6","iCat")</x:f>
      </x:c>
      <x:c r="M784" s="0" t="s">
        <x:v>21</x:v>
      </x:c>
      <x:c r="N784" s="0" t="s">
        <x:v>46</x:v>
      </x:c>
    </x:row>
    <x:row r="785" spans="1:16">
      <x:c r="A785" s="0" t="s">
        <x:v>3007</x:v>
      </x:c>
      <x:c r="B785" s="0" t="s">
        <x:v>3008</x:v>
      </x:c>
      <x:c r="C785" s="0" t="s">
        <x:v>3009</x:v>
      </x:c>
      <x:c r="E785" s="0" t="s">
        <x:v>3010</x:v>
      </x:c>
      <x:c r="F785" s="0" t="s">
        <x:v>45</x:v>
      </x:c>
      <x:c r="G785" s="0" t="s">
        <x:v>19</x:v>
      </x:c>
      <x:c r="H785" s="0" t="s">
        <x:v>20</x:v>
      </x:c>
      <x:c r="I785" s="0" t="s">
        <x:v>21</x:v>
      </x:c>
      <x:c r="K785" s="0">
        <x:f>hyperlink("https://icd.who.int/dev11/l-ichi/en#/http%3A%2F%2Fid.who.int%2Ficd%2Fentity%2F232033304","browser")</x:f>
      </x:c>
      <x:c r="L785" s="0">
        <x:f>hyperlink("https://icat2.azurewebsites.net/icat/?ontology=ICD&amp;tab=ClassesTab&amp;id=http%3A%2F%2Fwho.int%2Ficd%233730_c1eb5896_b43e_4531_bd82_f72e7a00cdd6","iCat")</x:f>
      </x:c>
      <x:c r="M785" s="0" t="s">
        <x:v>21</x:v>
      </x:c>
      <x:c r="N785" s="0" t="s">
        <x:v>46</x:v>
      </x:c>
    </x:row>
    <x:row r="786" spans="1:16">
      <x:c r="A786" s="0" t="s">
        <x:v>3011</x:v>
      </x:c>
      <x:c r="B786" s="0" t="s">
        <x:v>3012</x:v>
      </x:c>
      <x:c r="C786" s="0" t="s">
        <x:v>3013</x:v>
      </x:c>
      <x:c r="E786" s="0" t="s">
        <x:v>3014</x:v>
      </x:c>
      <x:c r="F786" s="0" t="s">
        <x:v>45</x:v>
      </x:c>
      <x:c r="G786" s="0" t="s">
        <x:v>19</x:v>
      </x:c>
      <x:c r="H786" s="0" t="s">
        <x:v>20</x:v>
      </x:c>
      <x:c r="I786" s="0" t="s">
        <x:v>21</x:v>
      </x:c>
      <x:c r="K786" s="0">
        <x:f>hyperlink("https://icd.who.int/dev11/l-ichi/en#/http%3A%2F%2Fid.who.int%2Ficd%2Fentity%2F953370734","browser")</x:f>
      </x:c>
      <x:c r="L786" s="0">
        <x:f>hyperlink("https://icat2.azurewebsites.net/icat/?ontology=ICD&amp;tab=ClassesTab&amp;id=http%3A%2F%2Fwho.int%2Ficd%233734_c1eb5896_b43e_4531_bd82_f72e7a00cdd6","iCat")</x:f>
      </x:c>
      <x:c r="M786" s="0" t="s">
        <x:v>21</x:v>
      </x:c>
      <x:c r="N786" s="0" t="s">
        <x:v>46</x:v>
      </x:c>
    </x:row>
    <x:row r="787" spans="1:16">
      <x:c r="A787" s="0" t="s">
        <x:v>3015</x:v>
      </x:c>
      <x:c r="B787" s="0" t="s">
        <x:v>3016</x:v>
      </x:c>
      <x:c r="C787" s="0" t="s">
        <x:v>3017</x:v>
      </x:c>
      <x:c r="E787" s="0" t="s">
        <x:v>3018</x:v>
      </x:c>
      <x:c r="F787" s="0" t="s">
        <x:v>45</x:v>
      </x:c>
      <x:c r="G787" s="0" t="s">
        <x:v>19</x:v>
      </x:c>
      <x:c r="H787" s="0" t="s">
        <x:v>20</x:v>
      </x:c>
      <x:c r="I787" s="0" t="s">
        <x:v>21</x:v>
      </x:c>
      <x:c r="K787" s="0">
        <x:f>hyperlink("https://icd.who.int/dev11/l-ichi/en#/http%3A%2F%2Fid.who.int%2Ficd%2Fentity%2F1129708877","browser")</x:f>
      </x:c>
      <x:c r="L787" s="0">
        <x:f>hyperlink("https://icat2.azurewebsites.net/icat/?ontology=ICD&amp;tab=ClassesTab&amp;id=http%3A%2F%2Fwho.int%2Ficd%233738_c1eb5896_b43e_4531_bd82_f72e7a00cdd6","iCat")</x:f>
      </x:c>
      <x:c r="M787" s="0" t="s">
        <x:v>21</x:v>
      </x:c>
      <x:c r="N787" s="0" t="s">
        <x:v>46</x:v>
      </x:c>
    </x:row>
    <x:row r="788" spans="1:16">
      <x:c r="A788" s="0" t="s">
        <x:v>3019</x:v>
      </x:c>
      <x:c r="B788" s="0" t="s">
        <x:v>3020</x:v>
      </x:c>
      <x:c r="C788" s="0" t="s">
        <x:v>3021</x:v>
      </x:c>
      <x:c r="E788" s="0" t="s">
        <x:v>3022</x:v>
      </x:c>
      <x:c r="F788" s="0" t="s">
        <x:v>45</x:v>
      </x:c>
      <x:c r="G788" s="0" t="s">
        <x:v>19</x:v>
      </x:c>
      <x:c r="H788" s="0" t="s">
        <x:v>20</x:v>
      </x:c>
      <x:c r="I788" s="0" t="s">
        <x:v>21</x:v>
      </x:c>
      <x:c r="K788" s="0">
        <x:f>hyperlink("https://icd.who.int/dev11/l-ichi/en#/http%3A%2F%2Fid.who.int%2Ficd%2Fentity%2F1484686023","browser")</x:f>
      </x:c>
      <x:c r="L788" s="0">
        <x:f>hyperlink("https://icat2.azurewebsites.net/icat/?ontology=ICD&amp;tab=ClassesTab&amp;id=http%3A%2F%2Fwho.int%2Ficd%233742_c1eb5896_b43e_4531_bd82_f72e7a00cdd6","iCat")</x:f>
      </x:c>
      <x:c r="M788" s="0" t="s">
        <x:v>21</x:v>
      </x:c>
      <x:c r="N788" s="0" t="s">
        <x:v>46</x:v>
      </x:c>
    </x:row>
    <x:row r="789" spans="1:16">
      <x:c r="A789" s="0" t="s">
        <x:v>3023</x:v>
      </x:c>
      <x:c r="B789" s="0" t="s">
        <x:v>3024</x:v>
      </x:c>
      <x:c r="C789" s="0" t="s">
        <x:v>3025</x:v>
      </x:c>
      <x:c r="E789" s="0" t="s">
        <x:v>3026</x:v>
      </x:c>
      <x:c r="F789" s="0" t="s">
        <x:v>45</x:v>
      </x:c>
      <x:c r="G789" s="0" t="s">
        <x:v>19</x:v>
      </x:c>
      <x:c r="H789" s="0" t="s">
        <x:v>20</x:v>
      </x:c>
      <x:c r="I789" s="0" t="s">
        <x:v>21</x:v>
      </x:c>
      <x:c r="K789" s="0">
        <x:f>hyperlink("https://icd.who.int/dev11/l-ichi/en#/http%3A%2F%2Fid.who.int%2Ficd%2Fentity%2F1836664499","browser")</x:f>
      </x:c>
      <x:c r="L789" s="0">
        <x:f>hyperlink("https://icat2.azurewebsites.net/icat/?ontology=ICD&amp;tab=ClassesTab&amp;id=http%3A%2F%2Fwho.int%2Ficd%233746_c1eb5896_b43e_4531_bd82_f72e7a00cdd6","iCat")</x:f>
      </x:c>
      <x:c r="M789" s="0" t="s">
        <x:v>21</x:v>
      </x:c>
      <x:c r="N789" s="0" t="s">
        <x:v>46</x:v>
      </x:c>
    </x:row>
    <x:row r="790" spans="1:16">
      <x:c r="A790" s="0" t="s">
        <x:v>3027</x:v>
      </x:c>
      <x:c r="B790" s="0" t="s">
        <x:v>3028</x:v>
      </x:c>
      <x:c r="C790" s="0" t="s">
        <x:v>3029</x:v>
      </x:c>
      <x:c r="E790" s="0" t="s">
        <x:v>3030</x:v>
      </x:c>
      <x:c r="F790" s="0" t="s">
        <x:v>45</x:v>
      </x:c>
      <x:c r="G790" s="0" t="s">
        <x:v>19</x:v>
      </x:c>
      <x:c r="H790" s="0" t="s">
        <x:v>20</x:v>
      </x:c>
      <x:c r="I790" s="0" t="s">
        <x:v>21</x:v>
      </x:c>
      <x:c r="K790" s="0">
        <x:f>hyperlink("https://icd.who.int/dev11/l-ichi/en#/http%3A%2F%2Fid.who.int%2Ficd%2Fentity%2F1448774813","browser")</x:f>
      </x:c>
      <x:c r="L790" s="0">
        <x:f>hyperlink("https://icat2.azurewebsites.net/icat/?ontology=ICD&amp;tab=ClassesTab&amp;id=http%3A%2F%2Fwho.int%2Ficd%2314219_4869915e_217e_423d_acb3_33c0f920ef4b","iCat")</x:f>
      </x:c>
      <x:c r="M790" s="0" t="s">
        <x:v>21</x:v>
      </x:c>
      <x:c r="N790" s="0" t="s">
        <x:v>46</x:v>
      </x:c>
    </x:row>
    <x:row r="791" spans="1:16">
      <x:c r="A791" s="0" t="s">
        <x:v>3031</x:v>
      </x:c>
      <x:c r="B791" s="0" t="s">
        <x:v>3032</x:v>
      </x:c>
      <x:c r="C791" s="0" t="s">
        <x:v>3033</x:v>
      </x:c>
      <x:c r="E791" s="0" t="s">
        <x:v>3034</x:v>
      </x:c>
      <x:c r="F791" s="0" t="s">
        <x:v>45</x:v>
      </x:c>
      <x:c r="G791" s="0" t="s">
        <x:v>19</x:v>
      </x:c>
      <x:c r="H791" s="0" t="s">
        <x:v>20</x:v>
      </x:c>
      <x:c r="I791" s="0" t="s">
        <x:v>21</x:v>
      </x:c>
      <x:c r="K791" s="0">
        <x:f>hyperlink("https://icd.who.int/dev11/l-ichi/en#/http%3A%2F%2Fid.who.int%2Ficd%2Fentity%2F346913144","browser")</x:f>
      </x:c>
      <x:c r="L791" s="0">
        <x:f>hyperlink("https://icat2.azurewebsites.net/icat/?ontology=ICD&amp;tab=ClassesTab&amp;id=http%3A%2F%2Fwho.int%2Ficd%23190_d85a204c_d00a_4566_a3b7_2d137a1891cf","iCat")</x:f>
      </x:c>
      <x:c r="M791" s="0" t="s">
        <x:v>21</x:v>
      </x:c>
      <x:c r="N791" s="0" t="s">
        <x:v>46</x:v>
      </x:c>
    </x:row>
    <x:row r="792" spans="1:16">
      <x:c r="A792" s="0" t="s">
        <x:v>3035</x:v>
      </x:c>
      <x:c r="B792" s="0" t="s">
        <x:v>3036</x:v>
      </x:c>
      <x:c r="C792" s="0" t="s">
        <x:v>3037</x:v>
      </x:c>
      <x:c r="E792" s="0" t="s">
        <x:v>3038</x:v>
      </x:c>
      <x:c r="F792" s="0" t="s">
        <x:v>45</x:v>
      </x:c>
      <x:c r="G792" s="0" t="s">
        <x:v>19</x:v>
      </x:c>
      <x:c r="H792" s="0" t="s">
        <x:v>20</x:v>
      </x:c>
      <x:c r="I792" s="0" t="s">
        <x:v>21</x:v>
      </x:c>
      <x:c r="K792" s="0">
        <x:f>hyperlink("https://icd.who.int/dev11/l-ichi/en#/http%3A%2F%2Fid.who.int%2Ficd%2Fentity%2F1024892938","browser")</x:f>
      </x:c>
      <x:c r="L792" s="0">
        <x:f>hyperlink("https://icat2.azurewebsites.net/icat/?ontology=ICD&amp;tab=ClassesTab&amp;id=http%3A%2F%2Fwho.int%2Ficd%2314223_4869915e_217e_423d_acb3_33c0f920ef4b","iCat")</x:f>
      </x:c>
      <x:c r="M792" s="0" t="s">
        <x:v>21</x:v>
      </x:c>
      <x:c r="N792" s="0" t="s">
        <x:v>46</x:v>
      </x:c>
    </x:row>
    <x:row r="793" spans="1:16">
      <x:c r="A793" s="0" t="s">
        <x:v>3039</x:v>
      </x:c>
      <x:c r="B793" s="0" t="s">
        <x:v>3040</x:v>
      </x:c>
      <x:c r="C793" s="0" t="s">
        <x:v>3041</x:v>
      </x:c>
      <x:c r="E793" s="0" t="s">
        <x:v>3042</x:v>
      </x:c>
      <x:c r="F793" s="0" t="s">
        <x:v>45</x:v>
      </x:c>
      <x:c r="G793" s="0" t="s">
        <x:v>19</x:v>
      </x:c>
      <x:c r="H793" s="0" t="s">
        <x:v>20</x:v>
      </x:c>
      <x:c r="I793" s="0" t="s">
        <x:v>21</x:v>
      </x:c>
      <x:c r="K793" s="0">
        <x:f>hyperlink("https://icd.who.int/dev11/l-ichi/en#/http%3A%2F%2Fid.who.int%2Ficd%2Fentity%2F135357568","browser")</x:f>
      </x:c>
      <x:c r="L793" s="0">
        <x:f>hyperlink("https://icat2.azurewebsites.net/icat/?ontology=ICD&amp;tab=ClassesTab&amp;id=http%3A%2F%2Fwho.int%2Ficd%2314227_4869915e_217e_423d_acb3_33c0f920ef4b","iCat")</x:f>
      </x:c>
      <x:c r="M793" s="0" t="s">
        <x:v>21</x:v>
      </x:c>
      <x:c r="N793" s="0" t="s">
        <x:v>46</x:v>
      </x:c>
    </x:row>
    <x:row r="794" spans="1:16">
      <x:c r="A794" s="0" t="s">
        <x:v>3043</x:v>
      </x:c>
      <x:c r="B794" s="0" t="s">
        <x:v>3044</x:v>
      </x:c>
      <x:c r="E794" s="0" t="s">
        <x:v>3045</x:v>
      </x:c>
      <x:c r="F794" s="0" t="s">
        <x:v>26</x:v>
      </x:c>
      <x:c r="G794" s="0" t="s">
        <x:v>35</x:v>
      </x:c>
      <x:c r="H794" s="0" t="s">
        <x:v>20</x:v>
      </x:c>
      <x:c r="I794" s="0" t="s">
        <x:v>21</x:v>
      </x:c>
      <x:c r="K794" s="0">
        <x:f>hyperlink("https://icd.who.int/dev11/l-ichi/en#/http%3A%2F%2Fid.who.int%2Ficd%2Fentity%2F162635600","browser")</x:f>
      </x:c>
      <x:c r="L794" s="0">
        <x:f>hyperlink("https://icat2.azurewebsites.net/icat/?ontology=ICD&amp;tab=ClassesTab&amp;id=http%3A%2F%2Fwho.int%2Ficd%2314339_4869915e_217e_423d_acb3_33c0f920ef4b","iCat")</x:f>
      </x:c>
      <x:c r="M794" s="0" t="s">
        <x:v>20</x:v>
      </x:c>
      <x:c r="N794" s="0" t="s">
        <x:v>3046</x:v>
      </x:c>
    </x:row>
    <x:row r="795" spans="1:16">
      <x:c r="A795" s="0" t="s">
        <x:v>3047</x:v>
      </x:c>
      <x:c r="B795" s="0" t="s">
        <x:v>3048</x:v>
      </x:c>
      <x:c r="C795" s="0" t="s">
        <x:v>3049</x:v>
      </x:c>
      <x:c r="E795" s="0" t="s">
        <x:v>3050</x:v>
      </x:c>
      <x:c r="F795" s="0" t="s">
        <x:v>45</x:v>
      </x:c>
      <x:c r="G795" s="0" t="s">
        <x:v>19</x:v>
      </x:c>
      <x:c r="H795" s="0" t="s">
        <x:v>20</x:v>
      </x:c>
      <x:c r="I795" s="0" t="s">
        <x:v>21</x:v>
      </x:c>
      <x:c r="K795" s="0">
        <x:f>hyperlink("https://icd.who.int/dev11/l-ichi/en#/http%3A%2F%2Fid.who.int%2Ficd%2Fentity%2F2115395442","browser")</x:f>
      </x:c>
      <x:c r="L795" s="0">
        <x:f>hyperlink("https://icat2.azurewebsites.net/icat/?ontology=ICD&amp;tab=ClassesTab&amp;id=http%3A%2F%2Fwho.int%2Ficd%23116_94acc4f6_b696_4796_914a_62879ddd4f65","iCat")</x:f>
      </x:c>
      <x:c r="M795" s="0" t="s">
        <x:v>21</x:v>
      </x:c>
      <x:c r="N795" s="0" t="s">
        <x:v>46</x:v>
      </x:c>
    </x:row>
    <x:row r="796" spans="1:16">
      <x:c r="A796" s="0" t="s">
        <x:v>3051</x:v>
      </x:c>
      <x:c r="B796" s="0" t="s">
        <x:v>3052</x:v>
      </x:c>
      <x:c r="C796" s="0" t="s">
        <x:v>3053</x:v>
      </x:c>
      <x:c r="E796" s="0" t="s">
        <x:v>3054</x:v>
      </x:c>
      <x:c r="F796" s="0" t="s">
        <x:v>45</x:v>
      </x:c>
      <x:c r="G796" s="0" t="s">
        <x:v>19</x:v>
      </x:c>
      <x:c r="H796" s="0" t="s">
        <x:v>20</x:v>
      </x:c>
      <x:c r="I796" s="0" t="s">
        <x:v>21</x:v>
      </x:c>
      <x:c r="K796" s="0">
        <x:f>hyperlink("https://icd.who.int/dev11/l-ichi/en#/http%3A%2F%2Fid.who.int%2Ficd%2Fentity%2F664609966","browser")</x:f>
      </x:c>
      <x:c r="L796" s="0">
        <x:f>hyperlink("https://icat2.azurewebsites.net/icat/?ontology=ICD&amp;tab=ClassesTab&amp;id=http%3A%2F%2Fwho.int%2Ficd%2314347_4869915e_217e_423d_acb3_33c0f920ef4b","iCat")</x:f>
      </x:c>
      <x:c r="M796" s="0" t="s">
        <x:v>21</x:v>
      </x:c>
      <x:c r="N796" s="0" t="s">
        <x:v>46</x:v>
      </x:c>
    </x:row>
    <x:row r="797" spans="1:16">
      <x:c r="A797" s="0" t="s">
        <x:v>3055</x:v>
      </x:c>
      <x:c r="B797" s="0" t="s">
        <x:v>3056</x:v>
      </x:c>
      <x:c r="C797" s="0" t="s">
        <x:v>3057</x:v>
      </x:c>
      <x:c r="E797" s="0" t="s">
        <x:v>3058</x:v>
      </x:c>
      <x:c r="F797" s="0" t="s">
        <x:v>45</x:v>
      </x:c>
      <x:c r="G797" s="0" t="s">
        <x:v>19</x:v>
      </x:c>
      <x:c r="H797" s="0" t="s">
        <x:v>20</x:v>
      </x:c>
      <x:c r="I797" s="0" t="s">
        <x:v>21</x:v>
      </x:c>
      <x:c r="K797" s="0">
        <x:f>hyperlink("https://icd.who.int/dev11/l-ichi/en#/http%3A%2F%2Fid.who.int%2Ficd%2Fentity%2F488859722","browser")</x:f>
      </x:c>
      <x:c r="L797" s="0">
        <x:f>hyperlink("https://icat2.azurewebsites.net/icat/?ontology=ICD&amp;tab=ClassesTab&amp;id=http%3A%2F%2Fwho.int%2Ficd%2314351_4869915e_217e_423d_acb3_33c0f920ef4b","iCat")</x:f>
      </x:c>
      <x:c r="M797" s="0" t="s">
        <x:v>21</x:v>
      </x:c>
      <x:c r="N797" s="0" t="s">
        <x:v>46</x:v>
      </x:c>
    </x:row>
    <x:row r="798" spans="1:16">
      <x:c r="A798" s="0" t="s">
        <x:v>3059</x:v>
      </x:c>
      <x:c r="B798" s="0" t="s">
        <x:v>3060</x:v>
      </x:c>
      <x:c r="C798" s="0" t="s">
        <x:v>3061</x:v>
      </x:c>
      <x:c r="E798" s="0" t="s">
        <x:v>3062</x:v>
      </x:c>
      <x:c r="F798" s="0" t="s">
        <x:v>45</x:v>
      </x:c>
      <x:c r="G798" s="0" t="s">
        <x:v>19</x:v>
      </x:c>
      <x:c r="H798" s="0" t="s">
        <x:v>20</x:v>
      </x:c>
      <x:c r="I798" s="0" t="s">
        <x:v>21</x:v>
      </x:c>
      <x:c r="K798" s="0">
        <x:f>hyperlink("https://icd.who.int/dev11/l-ichi/en#/http%3A%2F%2Fid.who.int%2Ficd%2Fentity%2F673492028","browser")</x:f>
      </x:c>
      <x:c r="L798" s="0">
        <x:f>hyperlink("https://icat2.azurewebsites.net/icat/?ontology=ICD&amp;tab=ClassesTab&amp;id=http%3A%2F%2Fwho.int%2Ficd%2314355_4869915e_217e_423d_acb3_33c0f920ef4b","iCat")</x:f>
      </x:c>
      <x:c r="M798" s="0" t="s">
        <x:v>21</x:v>
      </x:c>
      <x:c r="N798" s="0" t="s">
        <x:v>46</x:v>
      </x:c>
    </x:row>
    <x:row r="799" spans="1:16">
      <x:c r="A799" s="0" t="s">
        <x:v>3063</x:v>
      </x:c>
      <x:c r="B799" s="0" t="s">
        <x:v>3064</x:v>
      </x:c>
      <x:c r="C799" s="0" t="s">
        <x:v>3065</x:v>
      </x:c>
      <x:c r="E799" s="0" t="s">
        <x:v>3066</x:v>
      </x:c>
      <x:c r="F799" s="0" t="s">
        <x:v>45</x:v>
      </x:c>
      <x:c r="G799" s="0" t="s">
        <x:v>19</x:v>
      </x:c>
      <x:c r="H799" s="0" t="s">
        <x:v>20</x:v>
      </x:c>
      <x:c r="I799" s="0" t="s">
        <x:v>21</x:v>
      </x:c>
      <x:c r="K799" s="0">
        <x:f>hyperlink("https://icd.who.int/dev11/l-ichi/en#/http%3A%2F%2Fid.who.int%2Ficd%2Fentity%2F1403132189","browser")</x:f>
      </x:c>
      <x:c r="L799" s="0">
        <x:f>hyperlink("https://icat2.azurewebsites.net/icat/?ontology=ICD&amp;tab=ClassesTab&amp;id=http%3A%2F%2Fwho.int%2Ficd%2314359_4869915e_217e_423d_acb3_33c0f920ef4b","iCat")</x:f>
      </x:c>
      <x:c r="M799" s="0" t="s">
        <x:v>21</x:v>
      </x:c>
      <x:c r="N799" s="0" t="s">
        <x:v>46</x:v>
      </x:c>
    </x:row>
    <x:row r="800" spans="1:16">
      <x:c r="A800" s="0" t="s">
        <x:v>3067</x:v>
      </x:c>
      <x:c r="B800" s="0" t="s">
        <x:v>3068</x:v>
      </x:c>
      <x:c r="C800" s="0" t="s">
        <x:v>3069</x:v>
      </x:c>
      <x:c r="E800" s="0" t="s">
        <x:v>3070</x:v>
      </x:c>
      <x:c r="F800" s="0" t="s">
        <x:v>45</x:v>
      </x:c>
      <x:c r="G800" s="0" t="s">
        <x:v>19</x:v>
      </x:c>
      <x:c r="H800" s="0" t="s">
        <x:v>20</x:v>
      </x:c>
      <x:c r="I800" s="0" t="s">
        <x:v>21</x:v>
      </x:c>
      <x:c r="K800" s="0">
        <x:f>hyperlink("https://icd.who.int/dev11/l-ichi/en#/http%3A%2F%2Fid.who.int%2Ficd%2Fentity%2F955135370","browser")</x:f>
      </x:c>
      <x:c r="L800" s="0">
        <x:f>hyperlink("https://icat2.azurewebsites.net/icat/?ontology=ICD&amp;tab=ClassesTab&amp;id=http%3A%2F%2Fwho.int%2Ficd%2314363_4869915e_217e_423d_acb3_33c0f920ef4b","iCat")</x:f>
      </x:c>
      <x:c r="M800" s="0" t="s">
        <x:v>21</x:v>
      </x:c>
      <x:c r="N800" s="0" t="s">
        <x:v>46</x:v>
      </x:c>
    </x:row>
    <x:row r="801" spans="1:16">
      <x:c r="A801" s="0" t="s">
        <x:v>3071</x:v>
      </x:c>
      <x:c r="B801" s="0" t="s">
        <x:v>3072</x:v>
      </x:c>
      <x:c r="C801" s="0" t="s">
        <x:v>3073</x:v>
      </x:c>
      <x:c r="E801" s="0" t="s">
        <x:v>3074</x:v>
      </x:c>
      <x:c r="F801" s="0" t="s">
        <x:v>45</x:v>
      </x:c>
      <x:c r="G801" s="0" t="s">
        <x:v>19</x:v>
      </x:c>
      <x:c r="H801" s="0" t="s">
        <x:v>20</x:v>
      </x:c>
      <x:c r="I801" s="0" t="s">
        <x:v>21</x:v>
      </x:c>
      <x:c r="K801" s="0">
        <x:f>hyperlink("https://icd.who.int/dev11/l-ichi/en#/http%3A%2F%2Fid.who.int%2Ficd%2Fentity%2F233435648","browser")</x:f>
      </x:c>
      <x:c r="L801" s="0">
        <x:f>hyperlink("https://icat2.azurewebsites.net/icat/?ontology=ICD&amp;tab=ClassesTab&amp;id=http%3A%2F%2Fwho.int%2Ficd%2314367_4869915e_217e_423d_acb3_33c0f920ef4b","iCat")</x:f>
      </x:c>
      <x:c r="M801" s="0" t="s">
        <x:v>21</x:v>
      </x:c>
      <x:c r="N801" s="0" t="s">
        <x:v>46</x:v>
      </x:c>
    </x:row>
    <x:row r="802" spans="1:16">
      <x:c r="A802" s="0" t="s">
        <x:v>3075</x:v>
      </x:c>
      <x:c r="B802" s="0" t="s">
        <x:v>3076</x:v>
      </x:c>
      <x:c r="C802" s="0" t="s">
        <x:v>3077</x:v>
      </x:c>
      <x:c r="E802" s="0" t="s">
        <x:v>3078</x:v>
      </x:c>
      <x:c r="F802" s="0" t="s">
        <x:v>45</x:v>
      </x:c>
      <x:c r="G802" s="0" t="s">
        <x:v>19</x:v>
      </x:c>
      <x:c r="H802" s="0" t="s">
        <x:v>20</x:v>
      </x:c>
      <x:c r="I802" s="0" t="s">
        <x:v>21</x:v>
      </x:c>
      <x:c r="K802" s="0">
        <x:f>hyperlink("https://icd.who.int/dev11/l-ichi/en#/http%3A%2F%2Fid.who.int%2Ficd%2Fentity%2F99570532","browser")</x:f>
      </x:c>
      <x:c r="L802" s="0">
        <x:f>hyperlink("https://icat2.azurewebsites.net/icat/?ontology=ICD&amp;tab=ClassesTab&amp;id=http%3A%2F%2Fwho.int%2Ficd%2315249_4869915e_217e_423d_acb3_33c0f920ef4b","iCat")</x:f>
      </x:c>
      <x:c r="M802" s="0" t="s">
        <x:v>21</x:v>
      </x:c>
      <x:c r="N802" s="0" t="s">
        <x:v>46</x:v>
      </x:c>
    </x:row>
    <x:row r="803" spans="1:16">
      <x:c r="A803" s="0" t="s">
        <x:v>3079</x:v>
      </x:c>
      <x:c r="B803" s="0" t="s">
        <x:v>3080</x:v>
      </x:c>
      <x:c r="C803" s="0" t="s">
        <x:v>3081</x:v>
      </x:c>
      <x:c r="E803" s="0" t="s">
        <x:v>3082</x:v>
      </x:c>
      <x:c r="F803" s="0" t="s">
        <x:v>45</x:v>
      </x:c>
      <x:c r="G803" s="0" t="s">
        <x:v>19</x:v>
      </x:c>
      <x:c r="H803" s="0" t="s">
        <x:v>20</x:v>
      </x:c>
      <x:c r="I803" s="0" t="s">
        <x:v>21</x:v>
      </x:c>
      <x:c r="K803" s="0">
        <x:f>hyperlink("https://icd.who.int/dev11/l-ichi/en#/http%3A%2F%2Fid.who.int%2Ficd%2Fentity%2F928496920","browser")</x:f>
      </x:c>
      <x:c r="L803" s="0">
        <x:f>hyperlink("https://icat2.azurewebsites.net/icat/?ontology=ICD&amp;tab=ClassesTab&amp;id=http%3A%2F%2Fwho.int%2Ficd%2314371_4869915e_217e_423d_acb3_33c0f920ef4b","iCat")</x:f>
      </x:c>
      <x:c r="M803" s="0" t="s">
        <x:v>21</x:v>
      </x:c>
      <x:c r="N803" s="0" t="s">
        <x:v>46</x:v>
      </x:c>
    </x:row>
    <x:row r="804" spans="1:16">
      <x:c r="A804" s="0" t="s">
        <x:v>3083</x:v>
      </x:c>
      <x:c r="B804" s="0" t="s">
        <x:v>3084</x:v>
      </x:c>
      <x:c r="C804" s="0" t="s">
        <x:v>3085</x:v>
      </x:c>
      <x:c r="E804" s="0" t="s">
        <x:v>3086</x:v>
      </x:c>
      <x:c r="F804" s="0" t="s">
        <x:v>45</x:v>
      </x:c>
      <x:c r="G804" s="0" t="s">
        <x:v>19</x:v>
      </x:c>
      <x:c r="H804" s="0" t="s">
        <x:v>20</x:v>
      </x:c>
      <x:c r="I804" s="0" t="s">
        <x:v>21</x:v>
      </x:c>
      <x:c r="K804" s="0">
        <x:f>hyperlink("https://icd.who.int/dev11/l-ichi/en#/http%3A%2F%2Fid.who.int%2Ficd%2Fentity%2F38828398","browser")</x:f>
      </x:c>
      <x:c r="L804" s="0">
        <x:f>hyperlink("https://icat2.azurewebsites.net/icat/?ontology=ICD&amp;tab=ClassesTab&amp;id=http%3A%2F%2Fwho.int%2Ficd%2314375_4869915e_217e_423d_acb3_33c0f920ef4b","iCat")</x:f>
      </x:c>
      <x:c r="M804" s="0" t="s">
        <x:v>21</x:v>
      </x:c>
      <x:c r="N804" s="0" t="s">
        <x:v>46</x:v>
      </x:c>
    </x:row>
    <x:row r="805" spans="1:16">
      <x:c r="A805" s="0" t="s">
        <x:v>3087</x:v>
      </x:c>
      <x:c r="B805" s="0" t="s">
        <x:v>3088</x:v>
      </x:c>
      <x:c r="C805" s="0" t="s">
        <x:v>3089</x:v>
      </x:c>
      <x:c r="E805" s="0" t="s">
        <x:v>3090</x:v>
      </x:c>
      <x:c r="F805" s="0" t="s">
        <x:v>45</x:v>
      </x:c>
      <x:c r="G805" s="0" t="s">
        <x:v>19</x:v>
      </x:c>
      <x:c r="H805" s="0" t="s">
        <x:v>20</x:v>
      </x:c>
      <x:c r="I805" s="0" t="s">
        <x:v>21</x:v>
      </x:c>
      <x:c r="K805" s="0">
        <x:f>hyperlink("https://icd.who.int/dev11/l-ichi/en#/http%3A%2F%2Fid.who.int%2Ficd%2Fentity%2F2044120141","browser")</x:f>
      </x:c>
      <x:c r="L805" s="0">
        <x:f>hyperlink("https://icat2.azurewebsites.net/icat/?ontology=ICD&amp;tab=ClassesTab&amp;id=http%3A%2F%2Fwho.int%2Ficd%2314379_4869915e_217e_423d_acb3_33c0f920ef4b","iCat")</x:f>
      </x:c>
      <x:c r="M805" s="0" t="s">
        <x:v>21</x:v>
      </x:c>
      <x:c r="N805" s="0" t="s">
        <x:v>46</x:v>
      </x:c>
    </x:row>
    <x:row r="806" spans="1:16">
      <x:c r="A806" s="0" t="s">
        <x:v>3091</x:v>
      </x:c>
      <x:c r="B806" s="0" t="s">
        <x:v>3092</x:v>
      </x:c>
      <x:c r="C806" s="0" t="s">
        <x:v>3093</x:v>
      </x:c>
      <x:c r="E806" s="0" t="s">
        <x:v>3094</x:v>
      </x:c>
      <x:c r="F806" s="0" t="s">
        <x:v>45</x:v>
      </x:c>
      <x:c r="G806" s="0" t="s">
        <x:v>19</x:v>
      </x:c>
      <x:c r="H806" s="0" t="s">
        <x:v>20</x:v>
      </x:c>
      <x:c r="I806" s="0" t="s">
        <x:v>21</x:v>
      </x:c>
      <x:c r="K806" s="0">
        <x:f>hyperlink("https://icd.who.int/dev11/l-ichi/en#/http%3A%2F%2Fid.who.int%2Ficd%2Fentity%2F1002818386","browser")</x:f>
      </x:c>
      <x:c r="L806" s="0">
        <x:f>hyperlink("https://icat2.azurewebsites.net/icat/?ontology=ICD&amp;tab=ClassesTab&amp;id=http%3A%2F%2Fwho.int%2Ficd%2315372_4869915e_217e_423d_acb3_33c0f920ef4b","iCat")</x:f>
      </x:c>
      <x:c r="M806" s="0" t="s">
        <x:v>21</x:v>
      </x:c>
      <x:c r="N806" s="0" t="s">
        <x:v>46</x:v>
      </x:c>
    </x:row>
    <x:row r="807" spans="1:16">
      <x:c r="A807" s="0" t="s">
        <x:v>3095</x:v>
      </x:c>
      <x:c r="B807" s="0" t="s">
        <x:v>3096</x:v>
      </x:c>
      <x:c r="C807" s="0" t="s">
        <x:v>3097</x:v>
      </x:c>
      <x:c r="E807" s="0" t="s">
        <x:v>3098</x:v>
      </x:c>
      <x:c r="F807" s="0" t="s">
        <x:v>45</x:v>
      </x:c>
      <x:c r="G807" s="0" t="s">
        <x:v>19</x:v>
      </x:c>
      <x:c r="H807" s="0" t="s">
        <x:v>20</x:v>
      </x:c>
      <x:c r="I807" s="0" t="s">
        <x:v>21</x:v>
      </x:c>
      <x:c r="K807" s="0">
        <x:f>hyperlink("https://icd.who.int/dev11/l-ichi/en#/http%3A%2F%2Fid.who.int%2Ficd%2Fentity%2F2110581251","browser")</x:f>
      </x:c>
      <x:c r="L807" s="0">
        <x:f>hyperlink("https://icat2.azurewebsites.net/icat/?ontology=ICD&amp;tab=ClassesTab&amp;id=http%3A%2F%2Fwho.int%2Ficd%2314383_4869915e_217e_423d_acb3_33c0f920ef4b","iCat")</x:f>
      </x:c>
      <x:c r="M807" s="0" t="s">
        <x:v>21</x:v>
      </x:c>
      <x:c r="N807" s="0" t="s">
        <x:v>46</x:v>
      </x:c>
    </x:row>
    <x:row r="808" spans="1:16">
      <x:c r="A808" s="0" t="s">
        <x:v>3099</x:v>
      </x:c>
      <x:c r="B808" s="0" t="s">
        <x:v>3100</x:v>
      </x:c>
      <x:c r="C808" s="0" t="s">
        <x:v>3101</x:v>
      </x:c>
      <x:c r="E808" s="0" t="s">
        <x:v>3102</x:v>
      </x:c>
      <x:c r="F808" s="0" t="s">
        <x:v>45</x:v>
      </x:c>
      <x:c r="G808" s="0" t="s">
        <x:v>19</x:v>
      </x:c>
      <x:c r="H808" s="0" t="s">
        <x:v>20</x:v>
      </x:c>
      <x:c r="I808" s="0" t="s">
        <x:v>21</x:v>
      </x:c>
      <x:c r="K808" s="0">
        <x:f>hyperlink("https://icd.who.int/dev11/l-ichi/en#/http%3A%2F%2Fid.who.int%2Ficd%2Fentity%2F247598888","browser")</x:f>
      </x:c>
      <x:c r="L808" s="0">
        <x:f>hyperlink("https://icat2.azurewebsites.net/icat/?ontology=ICD&amp;tab=ClassesTab&amp;id=http%3A%2F%2Fwho.int%2Ficd%2315376_4869915e_217e_423d_acb3_33c0f920ef4b","iCat")</x:f>
      </x:c>
      <x:c r="M808" s="0" t="s">
        <x:v>21</x:v>
      </x:c>
      <x:c r="N808" s="0" t="s">
        <x:v>46</x:v>
      </x:c>
    </x:row>
    <x:row r="809" spans="1:16">
      <x:c r="A809" s="0" t="s">
        <x:v>3103</x:v>
      </x:c>
      <x:c r="B809" s="0" t="s">
        <x:v>3104</x:v>
      </x:c>
      <x:c r="C809" s="0" t="s">
        <x:v>3105</x:v>
      </x:c>
      <x:c r="E809" s="0" t="s">
        <x:v>3106</x:v>
      </x:c>
      <x:c r="F809" s="0" t="s">
        <x:v>45</x:v>
      </x:c>
      <x:c r="G809" s="0" t="s">
        <x:v>19</x:v>
      </x:c>
      <x:c r="H809" s="0" t="s">
        <x:v>20</x:v>
      </x:c>
      <x:c r="I809" s="0" t="s">
        <x:v>21</x:v>
      </x:c>
      <x:c r="K809" s="0">
        <x:f>hyperlink("https://icd.who.int/dev11/l-ichi/en#/http%3A%2F%2Fid.who.int%2Ficd%2Fentity%2F1902025801","browser")</x:f>
      </x:c>
      <x:c r="L809" s="0">
        <x:f>hyperlink("https://icat2.azurewebsites.net/icat/?ontology=ICD&amp;tab=ClassesTab&amp;id=http%3A%2F%2Fwho.int%2Ficd%2315380_4869915e_217e_423d_acb3_33c0f920ef4b","iCat")</x:f>
      </x:c>
      <x:c r="M809" s="0" t="s">
        <x:v>21</x:v>
      </x:c>
      <x:c r="N809" s="0" t="s">
        <x:v>46</x:v>
      </x:c>
    </x:row>
    <x:row r="810" spans="1:16">
      <x:c r="A810" s="0" t="s">
        <x:v>3107</x:v>
      </x:c>
      <x:c r="B810" s="0" t="s">
        <x:v>3108</x:v>
      </x:c>
      <x:c r="C810" s="0" t="s">
        <x:v>3109</x:v>
      </x:c>
      <x:c r="E810" s="0" t="s">
        <x:v>3110</x:v>
      </x:c>
      <x:c r="F810" s="0" t="s">
        <x:v>45</x:v>
      </x:c>
      <x:c r="G810" s="0" t="s">
        <x:v>19</x:v>
      </x:c>
      <x:c r="H810" s="0" t="s">
        <x:v>20</x:v>
      </x:c>
      <x:c r="I810" s="0" t="s">
        <x:v>21</x:v>
      </x:c>
      <x:c r="K810" s="0">
        <x:f>hyperlink("https://icd.who.int/dev11/l-ichi/en#/http%3A%2F%2Fid.who.int%2Ficd%2Fentity%2F1146705981","browser")</x:f>
      </x:c>
      <x:c r="L810" s="0">
        <x:f>hyperlink("https://icat2.azurewebsites.net/icat/?ontology=ICD&amp;tab=ClassesTab&amp;id=http%3A%2F%2Fwho.int%2Ficd%2315384_4869915e_217e_423d_acb3_33c0f920ef4b","iCat")</x:f>
      </x:c>
      <x:c r="M810" s="0" t="s">
        <x:v>21</x:v>
      </x:c>
      <x:c r="N810" s="0" t="s">
        <x:v>46</x:v>
      </x:c>
    </x:row>
    <x:row r="811" spans="1:16">
      <x:c r="A811" s="0" t="s">
        <x:v>3111</x:v>
      </x:c>
      <x:c r="B811" s="0" t="s">
        <x:v>3112</x:v>
      </x:c>
      <x:c r="C811" s="0" t="s">
        <x:v>3113</x:v>
      </x:c>
      <x:c r="E811" s="0" t="s">
        <x:v>3114</x:v>
      </x:c>
      <x:c r="F811" s="0" t="s">
        <x:v>45</x:v>
      </x:c>
      <x:c r="G811" s="0" t="s">
        <x:v>19</x:v>
      </x:c>
      <x:c r="H811" s="0" t="s">
        <x:v>20</x:v>
      </x:c>
      <x:c r="I811" s="0" t="s">
        <x:v>21</x:v>
      </x:c>
      <x:c r="K811" s="0">
        <x:f>hyperlink("https://icd.who.int/dev11/l-ichi/en#/http%3A%2F%2Fid.who.int%2Ficd%2Fentity%2F1221275255","browser")</x:f>
      </x:c>
      <x:c r="L811" s="0">
        <x:f>hyperlink("https://icat2.azurewebsites.net/icat/?ontology=ICD&amp;tab=ClassesTab&amp;id=http%3A%2F%2Fwho.int%2Ficd%2314387_4869915e_217e_423d_acb3_33c0f920ef4b","iCat")</x:f>
      </x:c>
      <x:c r="M811" s="0" t="s">
        <x:v>21</x:v>
      </x:c>
      <x:c r="N811" s="0" t="s">
        <x:v>46</x:v>
      </x:c>
    </x:row>
    <x:row r="812" spans="1:16">
      <x:c r="A812" s="0" t="s">
        <x:v>3115</x:v>
      </x:c>
      <x:c r="B812" s="0" t="s">
        <x:v>3116</x:v>
      </x:c>
      <x:c r="C812" s="0" t="s">
        <x:v>3117</x:v>
      </x:c>
      <x:c r="E812" s="0" t="s">
        <x:v>3118</x:v>
      </x:c>
      <x:c r="F812" s="0" t="s">
        <x:v>45</x:v>
      </x:c>
      <x:c r="G812" s="0" t="s">
        <x:v>19</x:v>
      </x:c>
      <x:c r="H812" s="0" t="s">
        <x:v>20</x:v>
      </x:c>
      <x:c r="I812" s="0" t="s">
        <x:v>21</x:v>
      </x:c>
      <x:c r="K812" s="0">
        <x:f>hyperlink("https://icd.who.int/dev11/l-ichi/en#/http%3A%2F%2Fid.who.int%2Ficd%2Fentity%2F1920295569","browser")</x:f>
      </x:c>
      <x:c r="L812" s="0">
        <x:f>hyperlink("https://icat2.azurewebsites.net/icat/?ontology=ICD&amp;tab=ClassesTab&amp;id=http%3A%2F%2Fwho.int%2Ficd%2314391_4869915e_217e_423d_acb3_33c0f920ef4b","iCat")</x:f>
      </x:c>
      <x:c r="M812" s="0" t="s">
        <x:v>21</x:v>
      </x:c>
      <x:c r="N812" s="0" t="s">
        <x:v>46</x:v>
      </x:c>
    </x:row>
    <x:row r="813" spans="1:16">
      <x:c r="A813" s="0" t="s">
        <x:v>3119</x:v>
      </x:c>
      <x:c r="B813" s="0" t="s">
        <x:v>3120</x:v>
      </x:c>
      <x:c r="C813" s="0" t="s">
        <x:v>3121</x:v>
      </x:c>
      <x:c r="E813" s="0" t="s">
        <x:v>3122</x:v>
      </x:c>
      <x:c r="F813" s="0" t="s">
        <x:v>45</x:v>
      </x:c>
      <x:c r="G813" s="0" t="s">
        <x:v>19</x:v>
      </x:c>
      <x:c r="H813" s="0" t="s">
        <x:v>20</x:v>
      </x:c>
      <x:c r="I813" s="0" t="s">
        <x:v>21</x:v>
      </x:c>
      <x:c r="K813" s="0">
        <x:f>hyperlink("https://icd.who.int/dev11/l-ichi/en#/http%3A%2F%2Fid.who.int%2Ficd%2Fentity%2F1198696165","browser")</x:f>
      </x:c>
      <x:c r="L813" s="0">
        <x:f>hyperlink("https://icat2.azurewebsites.net/icat/?ontology=ICD&amp;tab=ClassesTab&amp;id=http%3A%2F%2Fwho.int%2Ficd%2314395_4869915e_217e_423d_acb3_33c0f920ef4b","iCat")</x:f>
      </x:c>
      <x:c r="M813" s="0" t="s">
        <x:v>21</x:v>
      </x:c>
      <x:c r="N813" s="0" t="s">
        <x:v>46</x:v>
      </x:c>
    </x:row>
    <x:row r="814" spans="1:16">
      <x:c r="A814" s="0" t="s">
        <x:v>3123</x:v>
      </x:c>
      <x:c r="B814" s="0" t="s">
        <x:v>3124</x:v>
      </x:c>
      <x:c r="C814" s="0" t="s">
        <x:v>3125</x:v>
      </x:c>
      <x:c r="E814" s="0" t="s">
        <x:v>3126</x:v>
      </x:c>
      <x:c r="F814" s="0" t="s">
        <x:v>45</x:v>
      </x:c>
      <x:c r="G814" s="0" t="s">
        <x:v>19</x:v>
      </x:c>
      <x:c r="H814" s="0" t="s">
        <x:v>20</x:v>
      </x:c>
      <x:c r="I814" s="0" t="s">
        <x:v>21</x:v>
      </x:c>
      <x:c r="K814" s="0">
        <x:f>hyperlink("https://icd.who.int/dev11/l-ichi/en#/http%3A%2F%2Fid.who.int%2Ficd%2Fentity%2F1022628804","browser")</x:f>
      </x:c>
      <x:c r="L814" s="0">
        <x:f>hyperlink("https://icat2.azurewebsites.net/icat/?ontology=ICD&amp;tab=ClassesTab&amp;id=http%3A%2F%2Fwho.int%2Ficd%2314399_4869915e_217e_423d_acb3_33c0f920ef4b","iCat")</x:f>
      </x:c>
      <x:c r="M814" s="0" t="s">
        <x:v>21</x:v>
      </x:c>
      <x:c r="N814" s="0" t="s">
        <x:v>46</x:v>
      </x:c>
    </x:row>
    <x:row r="815" spans="1:16">
      <x:c r="B815" s="0" t="s">
        <x:v>3127</x:v>
      </x:c>
      <x:c r="C815" s="0" t="s">
        <x:v>3128</x:v>
      </x:c>
      <x:c r="E815" s="0" t="s">
        <x:v>3129</x:v>
      </x:c>
      <x:c r="F815" s="0" t="s">
        <x:v>45</x:v>
      </x:c>
      <x:c r="G815" s="0" t="s">
        <x:v>19</x:v>
      </x:c>
      <x:c r="H815" s="0" t="s">
        <x:v>21</x:v>
      </x:c>
      <x:c r="I815" s="0" t="s">
        <x:v>21</x:v>
      </x:c>
      <x:c r="K815" s="0">
        <x:f>hyperlink("https://icd.who.int/dev11/l-ichi/en#/http%3A%2F%2Fid.who.int%2Ficd%2Fentity%2F1610430880%2Fichi%2Fother","browser")</x:f>
      </x:c>
      <x:c r="L815" s="0">
        <x:f>hyperlink("","iCat")</x:f>
      </x:c>
      <x:c r="M815" s="0" t="s">
        <x:v>21</x:v>
      </x:c>
      <x:c r="N815" s="0" t="s">
        <x:v>46</x:v>
      </x:c>
    </x:row>
    <x:row r="816" spans="1:16">
      <x:c r="B816" s="0" t="s">
        <x:v>3130</x:v>
      </x:c>
      <x:c r="C816" s="0" t="s">
        <x:v>3131</x:v>
      </x:c>
      <x:c r="E816" s="0" t="s">
        <x:v>3132</x:v>
      </x:c>
      <x:c r="F816" s="0" t="s">
        <x:v>45</x:v>
      </x:c>
      <x:c r="G816" s="0" t="s">
        <x:v>19</x:v>
      </x:c>
      <x:c r="H816" s="0" t="s">
        <x:v>21</x:v>
      </x:c>
      <x:c r="I816" s="0" t="s">
        <x:v>21</x:v>
      </x:c>
      <x:c r="K816" s="0">
        <x:f>hyperlink("https://icd.who.int/dev11/l-ichi/en#/http%3A%2F%2Fid.who.int%2Ficd%2Fentity%2F1610430880%2Fichi%2Funspecified","browser")</x:f>
      </x:c>
      <x:c r="L816" s="0">
        <x:f>hyperlink("","iCat")</x:f>
      </x:c>
      <x:c r="M816" s="0" t="s">
        <x:v>21</x:v>
      </x:c>
      <x:c r="N816" s="0" t="s">
        <x:v>46</x:v>
      </x:c>
    </x:row>
    <x:row r="817" spans="1:16">
      <x:c r="A817" s="0" t="s">
        <x:v>3133</x:v>
      </x:c>
      <x:c r="B817" s="0" t="s">
        <x:v>3134</x:v>
      </x:c>
      <x:c r="E817" s="0" t="s">
        <x:v>3135</x:v>
      </x:c>
      <x:c r="F817" s="0" t="s">
        <x:v>26</x:v>
      </x:c>
      <x:c r="G817" s="0" t="s">
        <x:v>30</x:v>
      </x:c>
      <x:c r="H817" s="0" t="s">
        <x:v>20</x:v>
      </x:c>
      <x:c r="I817" s="0" t="s">
        <x:v>21</x:v>
      </x:c>
      <x:c r="K817" s="0">
        <x:f>hyperlink("https://icd.who.int/dev11/l-ichi/en#/http%3A%2F%2Fid.who.int%2Ficd%2Fentity%2F2000582761","browser")</x:f>
      </x:c>
      <x:c r="L817" s="0">
        <x:f>hyperlink("https://icat2.azurewebsites.net/icat/?ontology=ICD&amp;tab=ClassesTab&amp;id=http%3A%2F%2Fwho.int%2Ficd%233751_c1eb5896_b43e_4531_bd82_f72e7a00cdd6","iCat")</x:f>
      </x:c>
      <x:c r="M817" s="0" t="s">
        <x:v>20</x:v>
      </x:c>
      <x:c r="N817" s="0" t="s">
        <x:v>19</x:v>
      </x:c>
    </x:row>
    <x:row r="818" spans="1:16">
      <x:c r="A818" s="0" t="s">
        <x:v>3136</x:v>
      </x:c>
      <x:c r="B818" s="0" t="s">
        <x:v>3137</x:v>
      </x:c>
      <x:c r="E818" s="0" t="s">
        <x:v>3138</x:v>
      </x:c>
      <x:c r="F818" s="0" t="s">
        <x:v>26</x:v>
      </x:c>
      <x:c r="G818" s="0" t="s">
        <x:v>35</x:v>
      </x:c>
      <x:c r="H818" s="0" t="s">
        <x:v>20</x:v>
      </x:c>
      <x:c r="I818" s="0" t="s">
        <x:v>21</x:v>
      </x:c>
      <x:c r="K818" s="0">
        <x:f>hyperlink("https://icd.who.int/dev11/l-ichi/en#/http%3A%2F%2Fid.who.int%2Ficd%2Fentity%2F658874842","browser")</x:f>
      </x:c>
      <x:c r="L818" s="0">
        <x:f>hyperlink("https://icat2.azurewebsites.net/icat/?ontology=ICD&amp;tab=ClassesTab&amp;id=http%3A%2F%2Fwho.int%2Ficd%233757_c1eb5896_b43e_4531_bd82_f72e7a00cdd6","iCat")</x:f>
      </x:c>
      <x:c r="M818" s="0" t="s">
        <x:v>20</x:v>
      </x:c>
      <x:c r="N818" s="0" t="s">
        <x:v>206</x:v>
      </x:c>
    </x:row>
    <x:row r="819" spans="1:16">
      <x:c r="A819" s="0" t="s">
        <x:v>3139</x:v>
      </x:c>
      <x:c r="B819" s="0" t="s">
        <x:v>3140</x:v>
      </x:c>
      <x:c r="E819" s="0" t="s">
        <x:v>3141</x:v>
      </x:c>
      <x:c r="F819" s="0" t="s">
        <x:v>26</x:v>
      </x:c>
      <x:c r="G819" s="0" t="s">
        <x:v>22</x:v>
      </x:c>
      <x:c r="H819" s="0" t="s">
        <x:v>20</x:v>
      </x:c>
      <x:c r="I819" s="0" t="s">
        <x:v>21</x:v>
      </x:c>
      <x:c r="K819" s="0">
        <x:f>hyperlink("https://icd.who.int/dev11/l-ichi/en#/http%3A%2F%2Fid.who.int%2Ficd%2Fentity%2F1391666603","browser")</x:f>
      </x:c>
      <x:c r="L819" s="0">
        <x:f>hyperlink("https://icat2.azurewebsites.net/icat/?ontology=ICD&amp;tab=ClassesTab&amp;id=http%3A%2F%2Fwho.int%2Ficd%233763_c1eb5896_b43e_4531_bd82_f72e7a00cdd6","iCat")</x:f>
      </x:c>
      <x:c r="M819" s="0" t="s">
        <x:v>20</x:v>
      </x:c>
      <x:c r="N819" s="0" t="s">
        <x:v>431</x:v>
      </x:c>
    </x:row>
    <x:row r="820" spans="1:16">
      <x:c r="A820" s="0" t="s">
        <x:v>3142</x:v>
      </x:c>
      <x:c r="B820" s="0" t="s">
        <x:v>3143</x:v>
      </x:c>
      <x:c r="C820" s="0" t="s">
        <x:v>3144</x:v>
      </x:c>
      <x:c r="E820" s="0" t="s">
        <x:v>3145</x:v>
      </x:c>
      <x:c r="F820" s="0" t="s">
        <x:v>45</x:v>
      </x:c>
      <x:c r="G820" s="0" t="s">
        <x:v>19</x:v>
      </x:c>
      <x:c r="H820" s="0" t="s">
        <x:v>20</x:v>
      </x:c>
      <x:c r="I820" s="0" t="s">
        <x:v>21</x:v>
      </x:c>
      <x:c r="K820" s="0">
        <x:f>hyperlink("https://icd.who.int/dev11/l-ichi/en#/http%3A%2F%2Fid.who.int%2Ficd%2Fentity%2F1472662101","browser")</x:f>
      </x:c>
      <x:c r="L820" s="0">
        <x:f>hyperlink("https://icat2.azurewebsites.net/icat/?ontology=ICD&amp;tab=ClassesTab&amp;id=http%3A%2F%2Fwho.int%2Ficd%233750_c1eb5896_b43e_4531_bd82_f72e7a00cdd6","iCat")</x:f>
      </x:c>
      <x:c r="M820" s="0" t="s">
        <x:v>21</x:v>
      </x:c>
      <x:c r="N820" s="0" t="s">
        <x:v>46</x:v>
      </x:c>
    </x:row>
    <x:row r="821" spans="1:16">
      <x:c r="A821" s="0" t="s">
        <x:v>3146</x:v>
      </x:c>
      <x:c r="B821" s="0" t="s">
        <x:v>3147</x:v>
      </x:c>
      <x:c r="C821" s="0" t="s">
        <x:v>3148</x:v>
      </x:c>
      <x:c r="E821" s="0" t="s">
        <x:v>3149</x:v>
      </x:c>
      <x:c r="F821" s="0" t="s">
        <x:v>45</x:v>
      </x:c>
      <x:c r="G821" s="0" t="s">
        <x:v>19</x:v>
      </x:c>
      <x:c r="H821" s="0" t="s">
        <x:v>20</x:v>
      </x:c>
      <x:c r="I821" s="0" t="s">
        <x:v>21</x:v>
      </x:c>
      <x:c r="K821" s="0">
        <x:f>hyperlink("https://icd.who.int/dev11/l-ichi/en#/http%3A%2F%2Fid.who.int%2Ficd%2Fentity%2F943108350","browser")</x:f>
      </x:c>
      <x:c r="L821" s="0">
        <x:f>hyperlink("https://icat2.azurewebsites.net/icat/?ontology=ICD&amp;tab=ClassesTab&amp;id=http%3A%2F%2Fwho.int%2Ficd%233773_c1eb5896_b43e_4531_bd82_f72e7a00cdd6","iCat")</x:f>
      </x:c>
      <x:c r="M821" s="0" t="s">
        <x:v>21</x:v>
      </x:c>
      <x:c r="N821" s="0" t="s">
        <x:v>46</x:v>
      </x:c>
    </x:row>
    <x:row r="822" spans="1:16">
      <x:c r="A822" s="0" t="s">
        <x:v>3150</x:v>
      </x:c>
      <x:c r="B822" s="0" t="s">
        <x:v>3151</x:v>
      </x:c>
      <x:c r="C822" s="0" t="s">
        <x:v>3152</x:v>
      </x:c>
      <x:c r="E822" s="0" t="s">
        <x:v>3153</x:v>
      </x:c>
      <x:c r="F822" s="0" t="s">
        <x:v>45</x:v>
      </x:c>
      <x:c r="G822" s="0" t="s">
        <x:v>19</x:v>
      </x:c>
      <x:c r="H822" s="0" t="s">
        <x:v>20</x:v>
      </x:c>
      <x:c r="I822" s="0" t="s">
        <x:v>21</x:v>
      </x:c>
      <x:c r="K822" s="0">
        <x:f>hyperlink("https://icd.who.int/dev11/l-ichi/en#/http%3A%2F%2Fid.who.int%2Ficd%2Fentity%2F858959440","browser")</x:f>
      </x:c>
      <x:c r="L822" s="0">
        <x:f>hyperlink("https://icat2.azurewebsites.net/icat/?ontology=ICD&amp;tab=ClassesTab&amp;id=http%3A%2F%2Fwho.int%2Ficd%233778_c1eb5896_b43e_4531_bd82_f72e7a00cdd6","iCat")</x:f>
      </x:c>
      <x:c r="M822" s="0" t="s">
        <x:v>21</x:v>
      </x:c>
      <x:c r="N822" s="0" t="s">
        <x:v>46</x:v>
      </x:c>
    </x:row>
    <x:row r="823" spans="1:16">
      <x:c r="A823" s="0" t="s">
        <x:v>3154</x:v>
      </x:c>
      <x:c r="B823" s="0" t="s">
        <x:v>3155</x:v>
      </x:c>
      <x:c r="C823" s="0" t="s">
        <x:v>3156</x:v>
      </x:c>
      <x:c r="E823" s="0" t="s">
        <x:v>3157</x:v>
      </x:c>
      <x:c r="F823" s="0" t="s">
        <x:v>45</x:v>
      </x:c>
      <x:c r="G823" s="0" t="s">
        <x:v>19</x:v>
      </x:c>
      <x:c r="H823" s="0" t="s">
        <x:v>20</x:v>
      </x:c>
      <x:c r="I823" s="0" t="s">
        <x:v>21</x:v>
      </x:c>
      <x:c r="K823" s="0">
        <x:f>hyperlink("https://icd.who.int/dev11/l-ichi/en#/http%3A%2F%2Fid.who.int%2Ficd%2Fentity%2F1202332563","browser")</x:f>
      </x:c>
      <x:c r="L823" s="0">
        <x:f>hyperlink("https://icat2.azurewebsites.net/icat/?ontology=ICD&amp;tab=ClassesTab&amp;id=http%3A%2F%2Fwho.int%2Ficd%233785_c1eb5896_b43e_4531_bd82_f72e7a00cdd6","iCat")</x:f>
      </x:c>
      <x:c r="M823" s="0" t="s">
        <x:v>21</x:v>
      </x:c>
      <x:c r="N823" s="0" t="s">
        <x:v>46</x:v>
      </x:c>
    </x:row>
    <x:row r="824" spans="1:16">
      <x:c r="A824" s="0" t="s">
        <x:v>3158</x:v>
      </x:c>
      <x:c r="B824" s="0" t="s">
        <x:v>3159</x:v>
      </x:c>
      <x:c r="C824" s="0" t="s">
        <x:v>3160</x:v>
      </x:c>
      <x:c r="E824" s="0" t="s">
        <x:v>3161</x:v>
      </x:c>
      <x:c r="F824" s="0" t="s">
        <x:v>45</x:v>
      </x:c>
      <x:c r="G824" s="0" t="s">
        <x:v>19</x:v>
      </x:c>
      <x:c r="H824" s="0" t="s">
        <x:v>20</x:v>
      </x:c>
      <x:c r="I824" s="0" t="s">
        <x:v>21</x:v>
      </x:c>
      <x:c r="K824" s="0">
        <x:f>hyperlink("https://icd.who.int/dev11/l-ichi/en#/http%3A%2F%2Fid.who.int%2Ficd%2Fentity%2F409498290","browser")</x:f>
      </x:c>
      <x:c r="L824" s="0">
        <x:f>hyperlink("https://icat2.azurewebsites.net/icat/?ontology=ICD&amp;tab=ClassesTab&amp;id=http%3A%2F%2Fwho.int%2Ficd%233791_c1eb5896_b43e_4531_bd82_f72e7a00cdd6","iCat")</x:f>
      </x:c>
      <x:c r="M824" s="0" t="s">
        <x:v>21</x:v>
      </x:c>
      <x:c r="N824" s="0" t="s">
        <x:v>46</x:v>
      </x:c>
    </x:row>
    <x:row r="825" spans="1:16">
      <x:c r="A825" s="0" t="s">
        <x:v>3162</x:v>
      </x:c>
      <x:c r="B825" s="0" t="s">
        <x:v>3163</x:v>
      </x:c>
      <x:c r="C825" s="0" t="s">
        <x:v>3164</x:v>
      </x:c>
      <x:c r="E825" s="0" t="s">
        <x:v>3165</x:v>
      </x:c>
      <x:c r="F825" s="0" t="s">
        <x:v>45</x:v>
      </x:c>
      <x:c r="G825" s="0" t="s">
        <x:v>19</x:v>
      </x:c>
      <x:c r="H825" s="0" t="s">
        <x:v>20</x:v>
      </x:c>
      <x:c r="I825" s="0" t="s">
        <x:v>21</x:v>
      </x:c>
      <x:c r="K825" s="0">
        <x:f>hyperlink("https://icd.who.int/dev11/l-ichi/en#/http%3A%2F%2Fid.who.int%2Ficd%2Fentity%2F1980789209","browser")</x:f>
      </x:c>
      <x:c r="L825" s="0">
        <x:f>hyperlink("https://icat2.azurewebsites.net/icat/?ontology=ICD&amp;tab=ClassesTab&amp;id=http%3A%2F%2Fwho.int%2Ficd%233798_c1eb5896_b43e_4531_bd82_f72e7a00cdd6","iCat")</x:f>
      </x:c>
      <x:c r="M825" s="0" t="s">
        <x:v>21</x:v>
      </x:c>
      <x:c r="N825" s="0" t="s">
        <x:v>46</x:v>
      </x:c>
    </x:row>
    <x:row r="826" spans="1:16">
      <x:c r="A826" s="0" t="s">
        <x:v>3166</x:v>
      </x:c>
      <x:c r="B826" s="0" t="s">
        <x:v>3167</x:v>
      </x:c>
      <x:c r="C826" s="0" t="s">
        <x:v>3168</x:v>
      </x:c>
      <x:c r="E826" s="0" t="s">
        <x:v>3169</x:v>
      </x:c>
      <x:c r="F826" s="0" t="s">
        <x:v>45</x:v>
      </x:c>
      <x:c r="G826" s="0" t="s">
        <x:v>19</x:v>
      </x:c>
      <x:c r="H826" s="0" t="s">
        <x:v>20</x:v>
      </x:c>
      <x:c r="I826" s="0" t="s">
        <x:v>21</x:v>
      </x:c>
      <x:c r="K826" s="0">
        <x:f>hyperlink("https://icd.who.int/dev11/l-ichi/en#/http%3A%2F%2Fid.who.int%2Ficd%2Fentity%2F238000237","browser")</x:f>
      </x:c>
      <x:c r="L826" s="0">
        <x:f>hyperlink("https://icat2.azurewebsites.net/icat/?ontology=ICD&amp;tab=ClassesTab&amp;id=http%3A%2F%2Fwho.int%2Ficd%233804_c1eb5896_b43e_4531_bd82_f72e7a00cdd6","iCat")</x:f>
      </x:c>
      <x:c r="M826" s="0" t="s">
        <x:v>21</x:v>
      </x:c>
      <x:c r="N826" s="0" t="s">
        <x:v>46</x:v>
      </x:c>
    </x:row>
    <x:row r="827" spans="1:16">
      <x:c r="A827" s="0" t="s">
        <x:v>3170</x:v>
      </x:c>
      <x:c r="B827" s="0" t="s">
        <x:v>3171</x:v>
      </x:c>
      <x:c r="E827" s="0" t="s">
        <x:v>3172</x:v>
      </x:c>
      <x:c r="F827" s="0" t="s">
        <x:v>26</x:v>
      </x:c>
      <x:c r="G827" s="0" t="s">
        <x:v>22</x:v>
      </x:c>
      <x:c r="H827" s="0" t="s">
        <x:v>20</x:v>
      </x:c>
      <x:c r="I827" s="0" t="s">
        <x:v>21</x:v>
      </x:c>
      <x:c r="K827" s="0">
        <x:f>hyperlink("https://icd.who.int/dev11/l-ichi/en#/http%3A%2F%2Fid.who.int%2Ficd%2Fentity%2F1693060412","browser")</x:f>
      </x:c>
      <x:c r="L827" s="0">
        <x:f>hyperlink("https://icat2.azurewebsites.net/icat/?ontology=ICD&amp;tab=ClassesTab&amp;id=http%3A%2F%2Fwho.int%2Ficd%233814_c1eb5896_b43e_4531_bd82_f72e7a00cdd6","iCat")</x:f>
      </x:c>
      <x:c r="M827" s="0" t="s">
        <x:v>20</x:v>
      </x:c>
      <x:c r="N827" s="0" t="s">
        <x:v>22</x:v>
      </x:c>
    </x:row>
    <x:row r="828" spans="1:16">
      <x:c r="A828" s="0" t="s">
        <x:v>3173</x:v>
      </x:c>
      <x:c r="B828" s="0" t="s">
        <x:v>3174</x:v>
      </x:c>
      <x:c r="C828" s="0" t="s">
        <x:v>3175</x:v>
      </x:c>
      <x:c r="E828" s="0" t="s">
        <x:v>3176</x:v>
      </x:c>
      <x:c r="F828" s="0" t="s">
        <x:v>45</x:v>
      </x:c>
      <x:c r="G828" s="0" t="s">
        <x:v>19</x:v>
      </x:c>
      <x:c r="H828" s="0" t="s">
        <x:v>20</x:v>
      </x:c>
      <x:c r="I828" s="0" t="s">
        <x:v>21</x:v>
      </x:c>
      <x:c r="K828" s="0">
        <x:f>hyperlink("https://icd.who.int/dev11/l-ichi/en#/http%3A%2F%2Fid.who.int%2Ficd%2Fentity%2F342402743","browser")</x:f>
      </x:c>
      <x:c r="L828" s="0">
        <x:f>hyperlink("https://icat2.azurewebsites.net/icat/?ontology=ICD&amp;tab=ClassesTab&amp;id=http%3A%2F%2Fwho.int%2Ficd%233813_c1eb5896_b43e_4531_bd82_f72e7a00cdd6","iCat")</x:f>
      </x:c>
      <x:c r="M828" s="0" t="s">
        <x:v>21</x:v>
      </x:c>
      <x:c r="N828" s="0" t="s">
        <x:v>46</x:v>
      </x:c>
    </x:row>
    <x:row r="829" spans="1:16">
      <x:c r="A829" s="0" t="s">
        <x:v>3177</x:v>
      </x:c>
      <x:c r="B829" s="0" t="s">
        <x:v>3178</x:v>
      </x:c>
      <x:c r="C829" s="0" t="s">
        <x:v>3179</x:v>
      </x:c>
      <x:c r="E829" s="0" t="s">
        <x:v>3180</x:v>
      </x:c>
      <x:c r="F829" s="0" t="s">
        <x:v>45</x:v>
      </x:c>
      <x:c r="G829" s="0" t="s">
        <x:v>19</x:v>
      </x:c>
      <x:c r="H829" s="0" t="s">
        <x:v>20</x:v>
      </x:c>
      <x:c r="I829" s="0" t="s">
        <x:v>21</x:v>
      </x:c>
      <x:c r="K829" s="0">
        <x:f>hyperlink("https://icd.who.int/dev11/l-ichi/en#/http%3A%2F%2Fid.who.int%2Ficd%2Fentity%2F609963325","browser")</x:f>
      </x:c>
      <x:c r="L829" s="0">
        <x:f>hyperlink("https://icat2.azurewebsites.net/icat/?ontology=ICD&amp;tab=ClassesTab&amp;id=http%3A%2F%2Fwho.int%2Ficd%233824_c1eb5896_b43e_4531_bd82_f72e7a00cdd6","iCat")</x:f>
      </x:c>
      <x:c r="M829" s="0" t="s">
        <x:v>21</x:v>
      </x:c>
      <x:c r="N829" s="0" t="s">
        <x:v>46</x:v>
      </x:c>
    </x:row>
    <x:row r="830" spans="1:16">
      <x:c r="A830" s="0" t="s">
        <x:v>3181</x:v>
      </x:c>
      <x:c r="B830" s="0" t="s">
        <x:v>3182</x:v>
      </x:c>
      <x:c r="C830" s="0" t="s">
        <x:v>3183</x:v>
      </x:c>
      <x:c r="E830" s="0" t="s">
        <x:v>3184</x:v>
      </x:c>
      <x:c r="F830" s="0" t="s">
        <x:v>45</x:v>
      </x:c>
      <x:c r="G830" s="0" t="s">
        <x:v>19</x:v>
      </x:c>
      <x:c r="H830" s="0" t="s">
        <x:v>20</x:v>
      </x:c>
      <x:c r="I830" s="0" t="s">
        <x:v>21</x:v>
      </x:c>
      <x:c r="K830" s="0">
        <x:f>hyperlink("https://icd.who.int/dev11/l-ichi/en#/http%3A%2F%2Fid.who.int%2Ficd%2Fentity%2F2133101088","browser")</x:f>
      </x:c>
      <x:c r="L830" s="0">
        <x:f>hyperlink("https://icat2.azurewebsites.net/icat/?ontology=ICD&amp;tab=ClassesTab&amp;id=http%3A%2F%2Fwho.int%2Ficd%233829_c1eb5896_b43e_4531_bd82_f72e7a00cdd6","iCat")</x:f>
      </x:c>
      <x:c r="M830" s="0" t="s">
        <x:v>21</x:v>
      </x:c>
      <x:c r="N830" s="0" t="s">
        <x:v>46</x:v>
      </x:c>
    </x:row>
    <x:row r="831" spans="1:16">
      <x:c r="A831" s="0" t="s">
        <x:v>3185</x:v>
      </x:c>
      <x:c r="B831" s="0" t="s">
        <x:v>3186</x:v>
      </x:c>
      <x:c r="C831" s="0" t="s">
        <x:v>3187</x:v>
      </x:c>
      <x:c r="E831" s="0" t="s">
        <x:v>3188</x:v>
      </x:c>
      <x:c r="F831" s="0" t="s">
        <x:v>45</x:v>
      </x:c>
      <x:c r="G831" s="0" t="s">
        <x:v>19</x:v>
      </x:c>
      <x:c r="H831" s="0" t="s">
        <x:v>20</x:v>
      </x:c>
      <x:c r="I831" s="0" t="s">
        <x:v>21</x:v>
      </x:c>
      <x:c r="K831" s="0">
        <x:f>hyperlink("https://icd.who.int/dev11/l-ichi/en#/http%3A%2F%2Fid.who.int%2Ficd%2Fentity%2F1852287576","browser")</x:f>
      </x:c>
      <x:c r="L831" s="0">
        <x:f>hyperlink("https://icat2.azurewebsites.net/icat/?ontology=ICD&amp;tab=ClassesTab&amp;id=http%3A%2F%2Fwho.int%2Ficd%233835_c1eb5896_b43e_4531_bd82_f72e7a00cdd6","iCat")</x:f>
      </x:c>
      <x:c r="M831" s="0" t="s">
        <x:v>21</x:v>
      </x:c>
      <x:c r="N831" s="0" t="s">
        <x:v>46</x:v>
      </x:c>
    </x:row>
    <x:row r="832" spans="1:16">
      <x:c r="A832" s="0" t="s">
        <x:v>3189</x:v>
      </x:c>
      <x:c r="B832" s="0" t="s">
        <x:v>3190</x:v>
      </x:c>
      <x:c r="E832" s="0" t="s">
        <x:v>3191</x:v>
      </x:c>
      <x:c r="F832" s="0" t="s">
        <x:v>26</x:v>
      </x:c>
      <x:c r="G832" s="0" t="s">
        <x:v>22</x:v>
      </x:c>
      <x:c r="H832" s="0" t="s">
        <x:v>20</x:v>
      </x:c>
      <x:c r="I832" s="0" t="s">
        <x:v>21</x:v>
      </x:c>
      <x:c r="K832" s="0">
        <x:f>hyperlink("https://icd.who.int/dev11/l-ichi/en#/http%3A%2F%2Fid.who.int%2Ficd%2Fentity%2F775099073","browser")</x:f>
      </x:c>
      <x:c r="L832" s="0">
        <x:f>hyperlink("https://icat2.azurewebsites.net/icat/?ontology=ICD&amp;tab=ClassesTab&amp;id=http%3A%2F%2Fwho.int%2Ficd%233842_c1eb5896_b43e_4531_bd82_f72e7a00cdd6","iCat")</x:f>
      </x:c>
      <x:c r="M832" s="0" t="s">
        <x:v>20</x:v>
      </x:c>
      <x:c r="N832" s="0" t="s">
        <x:v>40</x:v>
      </x:c>
    </x:row>
    <x:row r="833" spans="1:16">
      <x:c r="A833" s="0" t="s">
        <x:v>3192</x:v>
      </x:c>
      <x:c r="B833" s="0" t="s">
        <x:v>3193</x:v>
      </x:c>
      <x:c r="C833" s="0" t="s">
        <x:v>3194</x:v>
      </x:c>
      <x:c r="E833" s="0" t="s">
        <x:v>3195</x:v>
      </x:c>
      <x:c r="F833" s="0" t="s">
        <x:v>45</x:v>
      </x:c>
      <x:c r="G833" s="0" t="s">
        <x:v>19</x:v>
      </x:c>
      <x:c r="H833" s="0" t="s">
        <x:v>20</x:v>
      </x:c>
      <x:c r="I833" s="0" t="s">
        <x:v>21</x:v>
      </x:c>
      <x:c r="K833" s="0">
        <x:f>hyperlink("https://icd.who.int/dev11/l-ichi/en#/http%3A%2F%2Fid.who.int%2Ficd%2Fentity%2F1807121722","browser")</x:f>
      </x:c>
      <x:c r="L833" s="0">
        <x:f>hyperlink("https://icat2.azurewebsites.net/icat/?ontology=ICD&amp;tab=ClassesTab&amp;id=http%3A%2F%2Fwho.int%2Ficd%233841_c1eb5896_b43e_4531_bd82_f72e7a00cdd6","iCat")</x:f>
      </x:c>
      <x:c r="M833" s="0" t="s">
        <x:v>21</x:v>
      </x:c>
      <x:c r="N833" s="0" t="s">
        <x:v>46</x:v>
      </x:c>
    </x:row>
    <x:row r="834" spans="1:16">
      <x:c r="A834" s="0" t="s">
        <x:v>3196</x:v>
      </x:c>
      <x:c r="B834" s="0" t="s">
        <x:v>3197</x:v>
      </x:c>
      <x:c r="C834" s="0" t="s">
        <x:v>3198</x:v>
      </x:c>
      <x:c r="E834" s="0" t="s">
        <x:v>3199</x:v>
      </x:c>
      <x:c r="F834" s="0" t="s">
        <x:v>45</x:v>
      </x:c>
      <x:c r="G834" s="0" t="s">
        <x:v>19</x:v>
      </x:c>
      <x:c r="H834" s="0" t="s">
        <x:v>20</x:v>
      </x:c>
      <x:c r="I834" s="0" t="s">
        <x:v>21</x:v>
      </x:c>
      <x:c r="K834" s="0">
        <x:f>hyperlink("https://icd.who.int/dev11/l-ichi/en#/http%3A%2F%2Fid.who.int%2Ficd%2Fentity%2F1157007254","browser")</x:f>
      </x:c>
      <x:c r="L834" s="0">
        <x:f>hyperlink("https://icat2.azurewebsites.net/icat/?ontology=ICD&amp;tab=ClassesTab&amp;id=http%3A%2F%2Fwho.int%2Ficd%233852_c1eb5896_b43e_4531_bd82_f72e7a00cdd6","iCat")</x:f>
      </x:c>
      <x:c r="M834" s="0" t="s">
        <x:v>21</x:v>
      </x:c>
      <x:c r="N834" s="0" t="s">
        <x:v>46</x:v>
      </x:c>
    </x:row>
    <x:row r="835" spans="1:16">
      <x:c r="A835" s="0" t="s">
        <x:v>3200</x:v>
      </x:c>
      <x:c r="B835" s="0" t="s">
        <x:v>3201</x:v>
      </x:c>
      <x:c r="C835" s="0" t="s">
        <x:v>3202</x:v>
      </x:c>
      <x:c r="E835" s="0" t="s">
        <x:v>3203</x:v>
      </x:c>
      <x:c r="F835" s="0" t="s">
        <x:v>45</x:v>
      </x:c>
      <x:c r="G835" s="0" t="s">
        <x:v>19</x:v>
      </x:c>
      <x:c r="H835" s="0" t="s">
        <x:v>20</x:v>
      </x:c>
      <x:c r="I835" s="0" t="s">
        <x:v>21</x:v>
      </x:c>
      <x:c r="K835" s="0">
        <x:f>hyperlink("https://icd.who.int/dev11/l-ichi/en#/http%3A%2F%2Fid.who.int%2Ficd%2Fentity%2F1359491550","browser")</x:f>
      </x:c>
      <x:c r="L835" s="0">
        <x:f>hyperlink("https://icat2.azurewebsites.net/icat/?ontology=ICD&amp;tab=ClassesTab&amp;id=http%3A%2F%2Fwho.int%2Ficd%233857_c1eb5896_b43e_4531_bd82_f72e7a00cdd6","iCat")</x:f>
      </x:c>
      <x:c r="M835" s="0" t="s">
        <x:v>21</x:v>
      </x:c>
      <x:c r="N835" s="0" t="s">
        <x:v>46</x:v>
      </x:c>
    </x:row>
    <x:row r="836" spans="1:16">
      <x:c r="A836" s="0" t="s">
        <x:v>3204</x:v>
      </x:c>
      <x:c r="B836" s="0" t="s">
        <x:v>3205</x:v>
      </x:c>
      <x:c r="C836" s="0" t="s">
        <x:v>3206</x:v>
      </x:c>
      <x:c r="E836" s="0" t="s">
        <x:v>3207</x:v>
      </x:c>
      <x:c r="F836" s="0" t="s">
        <x:v>45</x:v>
      </x:c>
      <x:c r="G836" s="0" t="s">
        <x:v>19</x:v>
      </x:c>
      <x:c r="H836" s="0" t="s">
        <x:v>20</x:v>
      </x:c>
      <x:c r="I836" s="0" t="s">
        <x:v>21</x:v>
      </x:c>
      <x:c r="K836" s="0">
        <x:f>hyperlink("https://icd.who.int/dev11/l-ichi/en#/http%3A%2F%2Fid.who.int%2Ficd%2Fentity%2F71813009","browser")</x:f>
      </x:c>
      <x:c r="L836" s="0">
        <x:f>hyperlink("https://icat2.azurewebsites.net/icat/?ontology=ICD&amp;tab=ClassesTab&amp;id=http%3A%2F%2Fwho.int%2Ficd%233862_c1eb5896_b43e_4531_bd82_f72e7a00cdd6","iCat")</x:f>
      </x:c>
      <x:c r="M836" s="0" t="s">
        <x:v>21</x:v>
      </x:c>
      <x:c r="N836" s="0" t="s">
        <x:v>46</x:v>
      </x:c>
    </x:row>
    <x:row r="837" spans="1:16">
      <x:c r="A837" s="0" t="s">
        <x:v>3208</x:v>
      </x:c>
      <x:c r="B837" s="0" t="s">
        <x:v>3209</x:v>
      </x:c>
      <x:c r="C837" s="0" t="s">
        <x:v>3210</x:v>
      </x:c>
      <x:c r="E837" s="0" t="s">
        <x:v>3211</x:v>
      </x:c>
      <x:c r="F837" s="0" t="s">
        <x:v>45</x:v>
      </x:c>
      <x:c r="G837" s="0" t="s">
        <x:v>19</x:v>
      </x:c>
      <x:c r="H837" s="0" t="s">
        <x:v>20</x:v>
      </x:c>
      <x:c r="I837" s="0" t="s">
        <x:v>21</x:v>
      </x:c>
      <x:c r="K837" s="0">
        <x:f>hyperlink("https://icd.who.int/dev11/l-ichi/en#/http%3A%2F%2Fid.who.int%2Ficd%2Fentity%2F490265977","browser")</x:f>
      </x:c>
      <x:c r="L837" s="0">
        <x:f>hyperlink("https://icat2.azurewebsites.net/icat/?ontology=ICD&amp;tab=ClassesTab&amp;id=http%3A%2F%2Fwho.int%2Ficd%2313463_4869915e_217e_423d_acb3_33c0f920ef4b","iCat")</x:f>
      </x:c>
      <x:c r="M837" s="0" t="s">
        <x:v>21</x:v>
      </x:c>
      <x:c r="N837" s="0" t="s">
        <x:v>46</x:v>
      </x:c>
    </x:row>
    <x:row r="838" spans="1:16">
      <x:c r="A838" s="0" t="s">
        <x:v>3212</x:v>
      </x:c>
      <x:c r="B838" s="0" t="s">
        <x:v>3213</x:v>
      </x:c>
      <x:c r="E838" s="0" t="s">
        <x:v>3214</x:v>
      </x:c>
      <x:c r="F838" s="0" t="s">
        <x:v>26</x:v>
      </x:c>
      <x:c r="G838" s="0" t="s">
        <x:v>22</x:v>
      </x:c>
      <x:c r="H838" s="0" t="s">
        <x:v>20</x:v>
      </x:c>
      <x:c r="I838" s="0" t="s">
        <x:v>21</x:v>
      </x:c>
      <x:c r="K838" s="0">
        <x:f>hyperlink("https://icd.who.int/dev11/l-ichi/en#/http%3A%2F%2Fid.who.int%2Ficd%2Fentity%2F800762625","browser")</x:f>
      </x:c>
      <x:c r="L838" s="0">
        <x:f>hyperlink("https://icat2.azurewebsites.net/icat/?ontology=ICD&amp;tab=ClassesTab&amp;id=http%3A%2F%2Fwho.int%2Ficd%233868_c1eb5896_b43e_4531_bd82_f72e7a00cdd6","iCat")</x:f>
      </x:c>
      <x:c r="M838" s="0" t="s">
        <x:v>20</x:v>
      </x:c>
      <x:c r="N838" s="0" t="s">
        <x:v>35</x:v>
      </x:c>
    </x:row>
    <x:row r="839" spans="1:16">
      <x:c r="A839" s="0" t="s">
        <x:v>3215</x:v>
      </x:c>
      <x:c r="B839" s="0" t="s">
        <x:v>3216</x:v>
      </x:c>
      <x:c r="C839" s="0" t="s">
        <x:v>3217</x:v>
      </x:c>
      <x:c r="E839" s="0" t="s">
        <x:v>3218</x:v>
      </x:c>
      <x:c r="F839" s="0" t="s">
        <x:v>45</x:v>
      </x:c>
      <x:c r="G839" s="0" t="s">
        <x:v>19</x:v>
      </x:c>
      <x:c r="H839" s="0" t="s">
        <x:v>20</x:v>
      </x:c>
      <x:c r="I839" s="0" t="s">
        <x:v>21</x:v>
      </x:c>
      <x:c r="K839" s="0">
        <x:f>hyperlink("https://icd.who.int/dev11/l-ichi/en#/http%3A%2F%2Fid.who.int%2Ficd%2Fentity%2F297365977","browser")</x:f>
      </x:c>
      <x:c r="L839" s="0">
        <x:f>hyperlink("https://icat2.azurewebsites.net/icat/?ontology=ICD&amp;tab=ClassesTab&amp;id=http%3A%2F%2Fwho.int%2Ficd%233867_c1eb5896_b43e_4531_bd82_f72e7a00cdd6","iCat")</x:f>
      </x:c>
      <x:c r="M839" s="0" t="s">
        <x:v>21</x:v>
      </x:c>
      <x:c r="N839" s="0" t="s">
        <x:v>46</x:v>
      </x:c>
    </x:row>
    <x:row r="840" spans="1:16">
      <x:c r="A840" s="0" t="s">
        <x:v>3219</x:v>
      </x:c>
      <x:c r="B840" s="0" t="s">
        <x:v>3220</x:v>
      </x:c>
      <x:c r="C840" s="0" t="s">
        <x:v>3221</x:v>
      </x:c>
      <x:c r="E840" s="0" t="s">
        <x:v>3222</x:v>
      </x:c>
      <x:c r="F840" s="0" t="s">
        <x:v>45</x:v>
      </x:c>
      <x:c r="G840" s="0" t="s">
        <x:v>19</x:v>
      </x:c>
      <x:c r="H840" s="0" t="s">
        <x:v>20</x:v>
      </x:c>
      <x:c r="I840" s="0" t="s">
        <x:v>21</x:v>
      </x:c>
      <x:c r="K840" s="0">
        <x:f>hyperlink("https://icd.who.int/dev11/l-ichi/en#/http%3A%2F%2Fid.who.int%2Ficd%2Fentity%2F1165966936","browser")</x:f>
      </x:c>
      <x:c r="L840" s="0">
        <x:f>hyperlink("https://icat2.azurewebsites.net/icat/?ontology=ICD&amp;tab=ClassesTab&amp;id=http%3A%2F%2Fwho.int%2Ficd%233878_c1eb5896_b43e_4531_bd82_f72e7a00cdd6","iCat")</x:f>
      </x:c>
      <x:c r="M840" s="0" t="s">
        <x:v>21</x:v>
      </x:c>
      <x:c r="N840" s="0" t="s">
        <x:v>46</x:v>
      </x:c>
    </x:row>
    <x:row r="841" spans="1:16">
      <x:c r="A841" s="0" t="s">
        <x:v>3223</x:v>
      </x:c>
      <x:c r="B841" s="0" t="s">
        <x:v>3224</x:v>
      </x:c>
      <x:c r="C841" s="0" t="s">
        <x:v>3225</x:v>
      </x:c>
      <x:c r="E841" s="0" t="s">
        <x:v>3226</x:v>
      </x:c>
      <x:c r="F841" s="0" t="s">
        <x:v>45</x:v>
      </x:c>
      <x:c r="G841" s="0" t="s">
        <x:v>19</x:v>
      </x:c>
      <x:c r="H841" s="0" t="s">
        <x:v>20</x:v>
      </x:c>
      <x:c r="I841" s="0" t="s">
        <x:v>21</x:v>
      </x:c>
      <x:c r="K841" s="0">
        <x:f>hyperlink("https://icd.who.int/dev11/l-ichi/en#/http%3A%2F%2Fid.who.int%2Ficd%2Fentity%2F287228329","browser")</x:f>
      </x:c>
      <x:c r="L841" s="0">
        <x:f>hyperlink("https://icat2.azurewebsites.net/icat/?ontology=ICD&amp;tab=ClassesTab&amp;id=http%3A%2F%2Fwho.int%2Ficd%233884_c1eb5896_b43e_4531_bd82_f72e7a00cdd6","iCat")</x:f>
      </x:c>
      <x:c r="M841" s="0" t="s">
        <x:v>21</x:v>
      </x:c>
      <x:c r="N841" s="0" t="s">
        <x:v>46</x:v>
      </x:c>
    </x:row>
    <x:row r="842" spans="1:16">
      <x:c r="A842" s="0" t="s">
        <x:v>3227</x:v>
      </x:c>
      <x:c r="B842" s="0" t="s">
        <x:v>3228</x:v>
      </x:c>
      <x:c r="E842" s="0" t="s">
        <x:v>3229</x:v>
      </x:c>
      <x:c r="F842" s="0" t="s">
        <x:v>26</x:v>
      </x:c>
      <x:c r="G842" s="0" t="s">
        <x:v>22</x:v>
      </x:c>
      <x:c r="H842" s="0" t="s">
        <x:v>20</x:v>
      </x:c>
      <x:c r="I842" s="0" t="s">
        <x:v>21</x:v>
      </x:c>
      <x:c r="K842" s="0">
        <x:f>hyperlink("https://icd.who.int/dev11/l-ichi/en#/http%3A%2F%2Fid.who.int%2Ficd%2Fentity%2F1323077772","browser")</x:f>
      </x:c>
      <x:c r="L842" s="0">
        <x:f>hyperlink("https://icat2.azurewebsites.net/icat/?ontology=ICD&amp;tab=ClassesTab&amp;id=http%3A%2F%2Fwho.int%2Ficd%233890_c1eb5896_b43e_4531_bd82_f72e7a00cdd6","iCat")</x:f>
      </x:c>
      <x:c r="M842" s="0" t="s">
        <x:v>20</x:v>
      </x:c>
      <x:c r="N842" s="0" t="s">
        <x:v>31</x:v>
      </x:c>
    </x:row>
    <x:row r="843" spans="1:16">
      <x:c r="A843" s="0" t="s">
        <x:v>3230</x:v>
      </x:c>
      <x:c r="B843" s="0" t="s">
        <x:v>3231</x:v>
      </x:c>
      <x:c r="C843" s="0" t="s">
        <x:v>3232</x:v>
      </x:c>
      <x:c r="E843" s="0" t="s">
        <x:v>3233</x:v>
      </x:c>
      <x:c r="F843" s="0" t="s">
        <x:v>45</x:v>
      </x:c>
      <x:c r="G843" s="0" t="s">
        <x:v>19</x:v>
      </x:c>
      <x:c r="H843" s="0" t="s">
        <x:v>20</x:v>
      </x:c>
      <x:c r="I843" s="0" t="s">
        <x:v>21</x:v>
      </x:c>
      <x:c r="K843" s="0">
        <x:f>hyperlink("https://icd.who.int/dev11/l-ichi/en#/http%3A%2F%2Fid.who.int%2Ficd%2Fentity%2F1247872692","browser")</x:f>
      </x:c>
      <x:c r="L843" s="0">
        <x:f>hyperlink("https://icat2.azurewebsites.net/icat/?ontology=ICD&amp;tab=ClassesTab&amp;id=http%3A%2F%2Fwho.int%2Ficd%233889_c1eb5896_b43e_4531_bd82_f72e7a00cdd6","iCat")</x:f>
      </x:c>
      <x:c r="M843" s="0" t="s">
        <x:v>21</x:v>
      </x:c>
      <x:c r="N843" s="0" t="s">
        <x:v>46</x:v>
      </x:c>
    </x:row>
    <x:row r="844" spans="1:16">
      <x:c r="A844" s="0" t="s">
        <x:v>3234</x:v>
      </x:c>
      <x:c r="B844" s="0" t="s">
        <x:v>3235</x:v>
      </x:c>
      <x:c r="C844" s="0" t="s">
        <x:v>3236</x:v>
      </x:c>
      <x:c r="E844" s="0" t="s">
        <x:v>3237</x:v>
      </x:c>
      <x:c r="F844" s="0" t="s">
        <x:v>45</x:v>
      </x:c>
      <x:c r="G844" s="0" t="s">
        <x:v>19</x:v>
      </x:c>
      <x:c r="H844" s="0" t="s">
        <x:v>20</x:v>
      </x:c>
      <x:c r="I844" s="0" t="s">
        <x:v>21</x:v>
      </x:c>
      <x:c r="K844" s="0">
        <x:f>hyperlink("https://icd.who.int/dev11/l-ichi/en#/http%3A%2F%2Fid.who.int%2Ficd%2Fentity%2F1320655492","browser")</x:f>
      </x:c>
      <x:c r="L844" s="0">
        <x:f>hyperlink("https://icat2.azurewebsites.net/icat/?ontology=ICD&amp;tab=ClassesTab&amp;id=http%3A%2F%2Fwho.int%2Ficd%233900_c1eb5896_b43e_4531_bd82_f72e7a00cdd6","iCat")</x:f>
      </x:c>
      <x:c r="M844" s="0" t="s">
        <x:v>21</x:v>
      </x:c>
      <x:c r="N844" s="0" t="s">
        <x:v>46</x:v>
      </x:c>
    </x:row>
    <x:row r="845" spans="1:16">
      <x:c r="A845" s="0" t="s">
        <x:v>3238</x:v>
      </x:c>
      <x:c r="B845" s="0" t="s">
        <x:v>3239</x:v>
      </x:c>
      <x:c r="C845" s="0" t="s">
        <x:v>3240</x:v>
      </x:c>
      <x:c r="E845" s="0" t="s">
        <x:v>3241</x:v>
      </x:c>
      <x:c r="F845" s="0" t="s">
        <x:v>45</x:v>
      </x:c>
      <x:c r="G845" s="0" t="s">
        <x:v>19</x:v>
      </x:c>
      <x:c r="H845" s="0" t="s">
        <x:v>20</x:v>
      </x:c>
      <x:c r="I845" s="0" t="s">
        <x:v>21</x:v>
      </x:c>
      <x:c r="K845" s="0">
        <x:f>hyperlink("https://icd.who.int/dev11/l-ichi/en#/http%3A%2F%2Fid.who.int%2Ficd%2Fentity%2F1043673353","browser")</x:f>
      </x:c>
      <x:c r="L845" s="0">
        <x:f>hyperlink("https://icat2.azurewebsites.net/icat/?ontology=ICD&amp;tab=ClassesTab&amp;id=http%3A%2F%2Fwho.int%2Ficd%233907_c1eb5896_b43e_4531_bd82_f72e7a00cdd6","iCat")</x:f>
      </x:c>
      <x:c r="M845" s="0" t="s">
        <x:v>21</x:v>
      </x:c>
      <x:c r="N845" s="0" t="s">
        <x:v>46</x:v>
      </x:c>
    </x:row>
    <x:row r="846" spans="1:16">
      <x:c r="A846" s="0" t="s">
        <x:v>3242</x:v>
      </x:c>
      <x:c r="B846" s="0" t="s">
        <x:v>3243</x:v>
      </x:c>
      <x:c r="C846" s="0" t="s">
        <x:v>3244</x:v>
      </x:c>
      <x:c r="E846" s="0" t="s">
        <x:v>3245</x:v>
      </x:c>
      <x:c r="F846" s="0" t="s">
        <x:v>45</x:v>
      </x:c>
      <x:c r="G846" s="0" t="s">
        <x:v>19</x:v>
      </x:c>
      <x:c r="H846" s="0" t="s">
        <x:v>20</x:v>
      </x:c>
      <x:c r="I846" s="0" t="s">
        <x:v>21</x:v>
      </x:c>
      <x:c r="K846" s="0">
        <x:f>hyperlink("https://icd.who.int/dev11/l-ichi/en#/http%3A%2F%2Fid.who.int%2Ficd%2Fentity%2F1643601964","browser")</x:f>
      </x:c>
      <x:c r="L846" s="0">
        <x:f>hyperlink("https://icat2.azurewebsites.net/icat/?ontology=ICD&amp;tab=ClassesTab&amp;id=http%3A%2F%2Fwho.int%2Ficd%233913_c1eb5896_b43e_4531_bd82_f72e7a00cdd6","iCat")</x:f>
      </x:c>
      <x:c r="M846" s="0" t="s">
        <x:v>21</x:v>
      </x:c>
      <x:c r="N846" s="0" t="s">
        <x:v>46</x:v>
      </x:c>
    </x:row>
    <x:row r="847" spans="1:16">
      <x:c r="A847" s="0" t="s">
        <x:v>3246</x:v>
      </x:c>
      <x:c r="B847" s="0" t="s">
        <x:v>3247</x:v>
      </x:c>
      <x:c r="C847" s="0" t="s">
        <x:v>3248</x:v>
      </x:c>
      <x:c r="E847" s="0" t="s">
        <x:v>3249</x:v>
      </x:c>
      <x:c r="F847" s="0" t="s">
        <x:v>45</x:v>
      </x:c>
      <x:c r="G847" s="0" t="s">
        <x:v>19</x:v>
      </x:c>
      <x:c r="H847" s="0" t="s">
        <x:v>20</x:v>
      </x:c>
      <x:c r="I847" s="0" t="s">
        <x:v>21</x:v>
      </x:c>
      <x:c r="K847" s="0">
        <x:f>hyperlink("https://icd.who.int/dev11/l-ichi/en#/http%3A%2F%2Fid.who.int%2Ficd%2Fentity%2F1794342534","browser")</x:f>
      </x:c>
      <x:c r="L847" s="0">
        <x:f>hyperlink("https://icat2.azurewebsites.net/icat/?ontology=ICD&amp;tab=ClassesTab&amp;id=http%3A%2F%2Fwho.int%2Ficd%233918_c1eb5896_b43e_4531_bd82_f72e7a00cdd6","iCat")</x:f>
      </x:c>
      <x:c r="M847" s="0" t="s">
        <x:v>21</x:v>
      </x:c>
      <x:c r="N847" s="0" t="s">
        <x:v>46</x:v>
      </x:c>
    </x:row>
    <x:row r="848" spans="1:16">
      <x:c r="A848" s="0" t="s">
        <x:v>3250</x:v>
      </x:c>
      <x:c r="B848" s="0" t="s">
        <x:v>3251</x:v>
      </x:c>
      <x:c r="C848" s="0" t="s">
        <x:v>3252</x:v>
      </x:c>
      <x:c r="E848" s="0" t="s">
        <x:v>3253</x:v>
      </x:c>
      <x:c r="F848" s="0" t="s">
        <x:v>45</x:v>
      </x:c>
      <x:c r="G848" s="0" t="s">
        <x:v>19</x:v>
      </x:c>
      <x:c r="H848" s="0" t="s">
        <x:v>20</x:v>
      </x:c>
      <x:c r="I848" s="0" t="s">
        <x:v>21</x:v>
      </x:c>
      <x:c r="K848" s="0">
        <x:f>hyperlink("https://icd.who.int/dev11/l-ichi/en#/http%3A%2F%2Fid.who.int%2Ficd%2Fentity%2F339862617","browser")</x:f>
      </x:c>
      <x:c r="L848" s="0">
        <x:f>hyperlink("https://icat2.azurewebsites.net/icat/?ontology=ICD&amp;tab=ClassesTab&amp;id=http%3A%2F%2Fwho.int%2Ficd%233927_c1eb5896_b43e_4531_bd82_f72e7a00cdd6","iCat")</x:f>
      </x:c>
      <x:c r="M848" s="0" t="s">
        <x:v>21</x:v>
      </x:c>
      <x:c r="N848" s="0" t="s">
        <x:v>46</x:v>
      </x:c>
    </x:row>
    <x:row r="849" spans="1:16">
      <x:c r="A849" s="0" t="s">
        <x:v>3254</x:v>
      </x:c>
      <x:c r="B849" s="0" t="s">
        <x:v>3255</x:v>
      </x:c>
      <x:c r="C849" s="0" t="s">
        <x:v>3256</x:v>
      </x:c>
      <x:c r="E849" s="0" t="s">
        <x:v>3257</x:v>
      </x:c>
      <x:c r="F849" s="0" t="s">
        <x:v>45</x:v>
      </x:c>
      <x:c r="G849" s="0" t="s">
        <x:v>19</x:v>
      </x:c>
      <x:c r="H849" s="0" t="s">
        <x:v>20</x:v>
      </x:c>
      <x:c r="I849" s="0" t="s">
        <x:v>21</x:v>
      </x:c>
      <x:c r="K849" s="0">
        <x:f>hyperlink("https://icd.who.int/dev11/l-ichi/en#/http%3A%2F%2Fid.who.int%2Ficd%2Fentity%2F1803208520","browser")</x:f>
      </x:c>
      <x:c r="L849" s="0">
        <x:f>hyperlink("https://icat2.azurewebsites.net/icat/?ontology=ICD&amp;tab=ClassesTab&amp;id=http%3A%2F%2Fwho.int%2Ficd%233932_c1eb5896_b43e_4531_bd82_f72e7a00cdd6","iCat")</x:f>
      </x:c>
      <x:c r="M849" s="0" t="s">
        <x:v>21</x:v>
      </x:c>
      <x:c r="N849" s="0" t="s">
        <x:v>46</x:v>
      </x:c>
    </x:row>
    <x:row r="850" spans="1:16">
      <x:c r="A850" s="0" t="s">
        <x:v>3258</x:v>
      </x:c>
      <x:c r="B850" s="0" t="s">
        <x:v>3259</x:v>
      </x:c>
      <x:c r="C850" s="0" t="s">
        <x:v>3260</x:v>
      </x:c>
      <x:c r="E850" s="0" t="s">
        <x:v>3261</x:v>
      </x:c>
      <x:c r="F850" s="0" t="s">
        <x:v>45</x:v>
      </x:c>
      <x:c r="G850" s="0" t="s">
        <x:v>19</x:v>
      </x:c>
      <x:c r="H850" s="0" t="s">
        <x:v>20</x:v>
      </x:c>
      <x:c r="I850" s="0" t="s">
        <x:v>21</x:v>
      </x:c>
      <x:c r="K850" s="0">
        <x:f>hyperlink("https://icd.who.int/dev11/l-ichi/en#/http%3A%2F%2Fid.who.int%2Ficd%2Fentity%2F1618926058","browser")</x:f>
      </x:c>
      <x:c r="L850" s="0">
        <x:f>hyperlink("https://icat2.azurewebsites.net/icat/?ontology=ICD&amp;tab=ClassesTab&amp;id=http%3A%2F%2Fwho.int%2Ficd%233939_c1eb5896_b43e_4531_bd82_f72e7a00cdd6","iCat")</x:f>
      </x:c>
      <x:c r="M850" s="0" t="s">
        <x:v>21</x:v>
      </x:c>
      <x:c r="N850" s="0" t="s">
        <x:v>46</x:v>
      </x:c>
    </x:row>
    <x:row r="851" spans="1:16">
      <x:c r="A851" s="0" t="s">
        <x:v>3262</x:v>
      </x:c>
      <x:c r="B851" s="0" t="s">
        <x:v>3263</x:v>
      </x:c>
      <x:c r="C851" s="0" t="s">
        <x:v>3264</x:v>
      </x:c>
      <x:c r="E851" s="0" t="s">
        <x:v>3265</x:v>
      </x:c>
      <x:c r="F851" s="0" t="s">
        <x:v>45</x:v>
      </x:c>
      <x:c r="G851" s="0" t="s">
        <x:v>19</x:v>
      </x:c>
      <x:c r="H851" s="0" t="s">
        <x:v>20</x:v>
      </x:c>
      <x:c r="I851" s="0" t="s">
        <x:v>21</x:v>
      </x:c>
      <x:c r="K851" s="0">
        <x:f>hyperlink("https://icd.who.int/dev11/l-ichi/en#/http%3A%2F%2Fid.who.int%2Ficd%2Fentity%2F724467665","browser")</x:f>
      </x:c>
      <x:c r="L851" s="0">
        <x:f>hyperlink("https://icat2.azurewebsites.net/icat/?ontology=ICD&amp;tab=ClassesTab&amp;id=http%3A%2F%2Fwho.int%2Ficd%233945_c1eb5896_b43e_4531_bd82_f72e7a00cdd6","iCat")</x:f>
      </x:c>
      <x:c r="M851" s="0" t="s">
        <x:v>21</x:v>
      </x:c>
      <x:c r="N851" s="0" t="s">
        <x:v>46</x:v>
      </x:c>
    </x:row>
    <x:row r="852" spans="1:16">
      <x:c r="A852" s="0" t="s">
        <x:v>3266</x:v>
      </x:c>
      <x:c r="B852" s="0" t="s">
        <x:v>3267</x:v>
      </x:c>
      <x:c r="C852" s="0" t="s">
        <x:v>3268</x:v>
      </x:c>
      <x:c r="E852" s="0" t="s">
        <x:v>3269</x:v>
      </x:c>
      <x:c r="F852" s="0" t="s">
        <x:v>45</x:v>
      </x:c>
      <x:c r="G852" s="0" t="s">
        <x:v>19</x:v>
      </x:c>
      <x:c r="H852" s="0" t="s">
        <x:v>20</x:v>
      </x:c>
      <x:c r="I852" s="0" t="s">
        <x:v>21</x:v>
      </x:c>
      <x:c r="K852" s="0">
        <x:f>hyperlink("https://icd.who.int/dev11/l-ichi/en#/http%3A%2F%2Fid.who.int%2Ficd%2Fentity%2F1628608700","browser")</x:f>
      </x:c>
      <x:c r="L852" s="0">
        <x:f>hyperlink("https://icat2.azurewebsites.net/icat/?ontology=ICD&amp;tab=ClassesTab&amp;id=http%3A%2F%2Fwho.int%2Ficd%233954_c1eb5896_b43e_4531_bd82_f72e7a00cdd6","iCat")</x:f>
      </x:c>
      <x:c r="M852" s="0" t="s">
        <x:v>21</x:v>
      </x:c>
      <x:c r="N852" s="0" t="s">
        <x:v>46</x:v>
      </x:c>
    </x:row>
    <x:row r="853" spans="1:16">
      <x:c r="A853" s="0" t="s">
        <x:v>3270</x:v>
      </x:c>
      <x:c r="B853" s="0" t="s">
        <x:v>3271</x:v>
      </x:c>
      <x:c r="C853" s="0" t="s">
        <x:v>3272</x:v>
      </x:c>
      <x:c r="E853" s="0" t="s">
        <x:v>3273</x:v>
      </x:c>
      <x:c r="F853" s="0" t="s">
        <x:v>45</x:v>
      </x:c>
      <x:c r="G853" s="0" t="s">
        <x:v>19</x:v>
      </x:c>
      <x:c r="H853" s="0" t="s">
        <x:v>20</x:v>
      </x:c>
      <x:c r="I853" s="0" t="s">
        <x:v>21</x:v>
      </x:c>
      <x:c r="K853" s="0">
        <x:f>hyperlink("https://icd.who.int/dev11/l-ichi/en#/http%3A%2F%2Fid.who.int%2Ficd%2Fentity%2F346299593","browser")</x:f>
      </x:c>
      <x:c r="L853" s="0">
        <x:f>hyperlink("https://icat2.azurewebsites.net/icat/?ontology=ICD&amp;tab=ClassesTab&amp;id=http%3A%2F%2Fwho.int%2Ficd%233960_c1eb5896_b43e_4531_bd82_f72e7a00cdd6","iCat")</x:f>
      </x:c>
      <x:c r="M853" s="0" t="s">
        <x:v>21</x:v>
      </x:c>
      <x:c r="N853" s="0" t="s">
        <x:v>46</x:v>
      </x:c>
    </x:row>
    <x:row r="854" spans="1:16">
      <x:c r="A854" s="0" t="s">
        <x:v>3274</x:v>
      </x:c>
      <x:c r="B854" s="0" t="s">
        <x:v>3275</x:v>
      </x:c>
      <x:c r="C854" s="0" t="s">
        <x:v>3276</x:v>
      </x:c>
      <x:c r="E854" s="0" t="s">
        <x:v>3277</x:v>
      </x:c>
      <x:c r="F854" s="0" t="s">
        <x:v>45</x:v>
      </x:c>
      <x:c r="G854" s="0" t="s">
        <x:v>19</x:v>
      </x:c>
      <x:c r="H854" s="0" t="s">
        <x:v>20</x:v>
      </x:c>
      <x:c r="I854" s="0" t="s">
        <x:v>21</x:v>
      </x:c>
      <x:c r="K854" s="0">
        <x:f>hyperlink("https://icd.who.int/dev11/l-ichi/en#/http%3A%2F%2Fid.who.int%2Ficd%2Fentity%2F1680258886","browser")</x:f>
      </x:c>
      <x:c r="L854" s="0">
        <x:f>hyperlink("https://icat2.azurewebsites.net/icat/?ontology=ICD&amp;tab=ClassesTab&amp;id=http%3A%2F%2Fwho.int%2Ficd%233967_c1eb5896_b43e_4531_bd82_f72e7a00cdd6","iCat")</x:f>
      </x:c>
      <x:c r="M854" s="0" t="s">
        <x:v>21</x:v>
      </x:c>
      <x:c r="N854" s="0" t="s">
        <x:v>46</x:v>
      </x:c>
    </x:row>
    <x:row r="855" spans="1:16">
      <x:c r="A855" s="0" t="s">
        <x:v>3278</x:v>
      </x:c>
      <x:c r="B855" s="0" t="s">
        <x:v>3279</x:v>
      </x:c>
      <x:c r="E855" s="0" t="s">
        <x:v>3280</x:v>
      </x:c>
      <x:c r="F855" s="0" t="s">
        <x:v>26</x:v>
      </x:c>
      <x:c r="G855" s="0" t="s">
        <x:v>22</x:v>
      </x:c>
      <x:c r="H855" s="0" t="s">
        <x:v>20</x:v>
      </x:c>
      <x:c r="I855" s="0" t="s">
        <x:v>21</x:v>
      </x:c>
      <x:c r="K855" s="0">
        <x:f>hyperlink("https://icd.who.int/dev11/l-ichi/en#/http%3A%2F%2Fid.who.int%2Ficd%2Fentity%2F1004856935","browser")</x:f>
      </x:c>
      <x:c r="L855" s="0">
        <x:f>hyperlink("https://icat2.azurewebsites.net/icat/?ontology=ICD&amp;tab=ClassesTab&amp;id=http%3A%2F%2Fwho.int%2Ficd%233973_c1eb5896_b43e_4531_bd82_f72e7a00cdd6","iCat")</x:f>
      </x:c>
      <x:c r="M855" s="0" t="s">
        <x:v>20</x:v>
      </x:c>
      <x:c r="N855" s="0" t="s">
        <x:v>30</x:v>
      </x:c>
    </x:row>
    <x:row r="856" spans="1:16">
      <x:c r="A856" s="0" t="s">
        <x:v>3281</x:v>
      </x:c>
      <x:c r="B856" s="0" t="s">
        <x:v>3282</x:v>
      </x:c>
      <x:c r="C856" s="0" t="s">
        <x:v>3283</x:v>
      </x:c>
      <x:c r="E856" s="0" t="s">
        <x:v>3284</x:v>
      </x:c>
      <x:c r="F856" s="0" t="s">
        <x:v>45</x:v>
      </x:c>
      <x:c r="G856" s="0" t="s">
        <x:v>19</x:v>
      </x:c>
      <x:c r="H856" s="0" t="s">
        <x:v>20</x:v>
      </x:c>
      <x:c r="I856" s="0" t="s">
        <x:v>21</x:v>
      </x:c>
      <x:c r="K856" s="0">
        <x:f>hyperlink("https://icd.who.int/dev11/l-ichi/en#/http%3A%2F%2Fid.who.int%2Ficd%2Fentity%2F454923355","browser")</x:f>
      </x:c>
      <x:c r="L856" s="0">
        <x:f>hyperlink("https://icat2.azurewebsites.net/icat/?ontology=ICD&amp;tab=ClassesTab&amp;id=http%3A%2F%2Fwho.int%2Ficd%233972_c1eb5896_b43e_4531_bd82_f72e7a00cdd6","iCat")</x:f>
      </x:c>
      <x:c r="M856" s="0" t="s">
        <x:v>21</x:v>
      </x:c>
      <x:c r="N856" s="0" t="s">
        <x:v>46</x:v>
      </x:c>
    </x:row>
    <x:row r="857" spans="1:16">
      <x:c r="A857" s="0" t="s">
        <x:v>3285</x:v>
      </x:c>
      <x:c r="B857" s="0" t="s">
        <x:v>3286</x:v>
      </x:c>
      <x:c r="C857" s="0" t="s">
        <x:v>3287</x:v>
      </x:c>
      <x:c r="E857" s="0" t="s">
        <x:v>3288</x:v>
      </x:c>
      <x:c r="F857" s="0" t="s">
        <x:v>45</x:v>
      </x:c>
      <x:c r="G857" s="0" t="s">
        <x:v>19</x:v>
      </x:c>
      <x:c r="H857" s="0" t="s">
        <x:v>20</x:v>
      </x:c>
      <x:c r="I857" s="0" t="s">
        <x:v>21</x:v>
      </x:c>
      <x:c r="K857" s="0">
        <x:f>hyperlink("https://icd.who.int/dev11/l-ichi/en#/http%3A%2F%2Fid.who.int%2Ficd%2Fentity%2F335785145","browser")</x:f>
      </x:c>
      <x:c r="L857" s="0">
        <x:f>hyperlink("https://icat2.azurewebsites.net/icat/?ontology=ICD&amp;tab=ClassesTab&amp;id=http%3A%2F%2Fwho.int%2Ficd%233983_c1eb5896_b43e_4531_bd82_f72e7a00cdd6","iCat")</x:f>
      </x:c>
      <x:c r="M857" s="0" t="s">
        <x:v>21</x:v>
      </x:c>
      <x:c r="N857" s="0" t="s">
        <x:v>46</x:v>
      </x:c>
    </x:row>
    <x:row r="858" spans="1:16">
      <x:c r="B858" s="0" t="s">
        <x:v>3289</x:v>
      </x:c>
      <x:c r="C858" s="0" t="s">
        <x:v>3290</x:v>
      </x:c>
      <x:c r="E858" s="0" t="s">
        <x:v>3291</x:v>
      </x:c>
      <x:c r="F858" s="0" t="s">
        <x:v>45</x:v>
      </x:c>
      <x:c r="G858" s="0" t="s">
        <x:v>19</x:v>
      </x:c>
      <x:c r="H858" s="0" t="s">
        <x:v>21</x:v>
      </x:c>
      <x:c r="I858" s="0" t="s">
        <x:v>21</x:v>
      </x:c>
      <x:c r="K858" s="0">
        <x:f>hyperlink("https://icd.who.int/dev11/l-ichi/en#/http%3A%2F%2Fid.who.int%2Ficd%2Fentity%2F2000582761%2Fichi%2Fother","browser")</x:f>
      </x:c>
      <x:c r="L858" s="0">
        <x:f>hyperlink("","iCat")</x:f>
      </x:c>
      <x:c r="M858" s="0" t="s">
        <x:v>21</x:v>
      </x:c>
      <x:c r="N858" s="0" t="s">
        <x:v>46</x:v>
      </x:c>
    </x:row>
    <x:row r="859" spans="1:16">
      <x:c r="B859" s="0" t="s">
        <x:v>3292</x:v>
      </x:c>
      <x:c r="C859" s="0" t="s">
        <x:v>3293</x:v>
      </x:c>
      <x:c r="E859" s="0" t="s">
        <x:v>3294</x:v>
      </x:c>
      <x:c r="F859" s="0" t="s">
        <x:v>45</x:v>
      </x:c>
      <x:c r="G859" s="0" t="s">
        <x:v>19</x:v>
      </x:c>
      <x:c r="H859" s="0" t="s">
        <x:v>21</x:v>
      </x:c>
      <x:c r="I859" s="0" t="s">
        <x:v>21</x:v>
      </x:c>
      <x:c r="K859" s="0">
        <x:f>hyperlink("https://icd.who.int/dev11/l-ichi/en#/http%3A%2F%2Fid.who.int%2Ficd%2Fentity%2F2000582761%2Fichi%2Funspecified","browser")</x:f>
      </x:c>
      <x:c r="L859" s="0">
        <x:f>hyperlink("","iCat")</x:f>
      </x:c>
      <x:c r="M859" s="0" t="s">
        <x:v>21</x:v>
      </x:c>
      <x:c r="N859" s="0" t="s">
        <x:v>46</x:v>
      </x:c>
    </x:row>
    <x:row r="860" spans="1:16">
      <x:c r="B860" s="0" t="s">
        <x:v>3295</x:v>
      </x:c>
      <x:c r="C860" s="0" t="s">
        <x:v>3296</x:v>
      </x:c>
      <x:c r="E860" s="0" t="s">
        <x:v>3297</x:v>
      </x:c>
      <x:c r="F860" s="0" t="s">
        <x:v>45</x:v>
      </x:c>
      <x:c r="G860" s="0" t="s">
        <x:v>19</x:v>
      </x:c>
      <x:c r="H860" s="0" t="s">
        <x:v>21</x:v>
      </x:c>
      <x:c r="I860" s="0" t="s">
        <x:v>21</x:v>
      </x:c>
      <x:c r="K860" s="0">
        <x:f>hyperlink("https://icd.who.int/dev11/l-ichi/en#/http%3A%2F%2Fid.who.int%2Ficd%2Fentity%2F775570186%2Fichi%2Fother","browser")</x:f>
      </x:c>
      <x:c r="L860" s="0">
        <x:f>hyperlink("","iCat")</x:f>
      </x:c>
      <x:c r="M860" s="0" t="s">
        <x:v>21</x:v>
      </x:c>
      <x:c r="N860" s="0" t="s">
        <x:v>46</x:v>
      </x:c>
    </x:row>
    <x:row r="861" spans="1:16">
      <x:c r="B861" s="0" t="s">
        <x:v>3298</x:v>
      </x:c>
      <x:c r="C861" s="0" t="s">
        <x:v>3299</x:v>
      </x:c>
      <x:c r="E861" s="0" t="s">
        <x:v>3300</x:v>
      </x:c>
      <x:c r="F861" s="0" t="s">
        <x:v>45</x:v>
      </x:c>
      <x:c r="G861" s="0" t="s">
        <x:v>19</x:v>
      </x:c>
      <x:c r="H861" s="0" t="s">
        <x:v>21</x:v>
      </x:c>
      <x:c r="I861" s="0" t="s">
        <x:v>21</x:v>
      </x:c>
      <x:c r="K861" s="0">
        <x:f>hyperlink("https://icd.who.int/dev11/l-ichi/en#/http%3A%2F%2Fid.who.int%2Ficd%2Fentity%2F775570186%2Fichi%2Funspecified","browser")</x:f>
      </x:c>
      <x:c r="L861" s="0">
        <x:f>hyperlink("","iCat")</x:f>
      </x:c>
      <x:c r="M861" s="0" t="s">
        <x:v>21</x:v>
      </x:c>
      <x:c r="N861" s="0" t="s">
        <x:v>46</x:v>
      </x:c>
    </x:row>
    <x:row r="862" spans="1:16">
      <x:c r="A862" s="0" t="s">
        <x:v>3301</x:v>
      </x:c>
      <x:c r="B862" s="0" t="s">
        <x:v>3302</x:v>
      </x:c>
      <x:c r="E862" s="0" t="s">
        <x:v>3303</x:v>
      </x:c>
      <x:c r="F862" s="0" t="s">
        <x:v>26</x:v>
      </x:c>
      <x:c r="G862" s="0" t="s">
        <x:v>19</x:v>
      </x:c>
      <x:c r="H862" s="0" t="s">
        <x:v>20</x:v>
      </x:c>
      <x:c r="I862" s="0" t="s">
        <x:v>21</x:v>
      </x:c>
      <x:c r="K862" s="0">
        <x:f>hyperlink("https://icd.who.int/dev11/l-ichi/en#/http%3A%2F%2Fid.who.int%2Ficd%2Fentity%2F1855234240","browser")</x:f>
      </x:c>
      <x:c r="L862" s="0">
        <x:f>hyperlink("https://icat2.azurewebsites.net/icat/?ontology=ICD&amp;tab=ClassesTab&amp;id=http%3A%2F%2Fwho.int%2Ficd%23Action","iCat")</x:f>
      </x:c>
      <x:c r="M862" s="0" t="s">
        <x:v>20</x:v>
      </x:c>
      <x:c r="N862" s="0" t="s">
        <x:v>22</x:v>
      </x:c>
    </x:row>
    <x:row r="863" spans="1:16">
      <x:c r="A863" s="0" t="s">
        <x:v>3304</x:v>
      </x:c>
      <x:c r="B863" s="0" t="s">
        <x:v>3305</x:v>
      </x:c>
      <x:c r="E863" s="0" t="s">
        <x:v>3306</x:v>
      </x:c>
      <x:c r="F863" s="0" t="s">
        <x:v>26</x:v>
      </x:c>
      <x:c r="G863" s="0" t="s">
        <x:v>30</x:v>
      </x:c>
      <x:c r="H863" s="0" t="s">
        <x:v>20</x:v>
      </x:c>
      <x:c r="I863" s="0" t="s">
        <x:v>21</x:v>
      </x:c>
      <x:c r="K863" s="0">
        <x:f>hyperlink("https://icd.who.int/dev11/l-ichi/en#/http%3A%2F%2Fid.who.int%2Ficd%2Fentity%2F1183950562","browser")</x:f>
      </x:c>
      <x:c r="L863" s="0">
        <x:f>hyperlink("https://icat2.azurewebsites.net/icat/?ontology=ICD&amp;tab=ClassesTab&amp;id=http%3A%2F%2Fwho.int%2Ficd%231_802b4dce_3444_418f_b0f7_3a2ab8b0daf4","iCat")</x:f>
      </x:c>
      <x:c r="M863" s="0" t="s">
        <x:v>20</x:v>
      </x:c>
      <x:c r="N863" s="0" t="s">
        <x:v>1079</x:v>
      </x:c>
    </x:row>
    <x:row r="864" spans="1:16">
      <x:c r="A864" s="0" t="s">
        <x:v>3307</x:v>
      </x:c>
      <x:c r="B864" s="0" t="s">
        <x:v>3308</x:v>
      </x:c>
      <x:c r="C864" s="0" t="s">
        <x:v>3309</x:v>
      </x:c>
      <x:c r="E864" s="0" t="s">
        <x:v>3310</x:v>
      </x:c>
      <x:c r="F864" s="0" t="s">
        <x:v>45</x:v>
      </x:c>
      <x:c r="G864" s="0" t="s">
        <x:v>19</x:v>
      </x:c>
      <x:c r="H864" s="0" t="s">
        <x:v>20</x:v>
      </x:c>
      <x:c r="I864" s="0" t="s">
        <x:v>21</x:v>
      </x:c>
      <x:c r="K864" s="0">
        <x:f>hyperlink("https://icd.who.int/dev11/l-ichi/en#/http%3A%2F%2Fid.who.int%2Ficd%2Fentity%2F1718146268","browser")</x:f>
      </x:c>
      <x:c r="L864" s="0">
        <x:f>hyperlink("https://icat2.azurewebsites.net/icat/?ontology=ICD&amp;tab=ClassesTab&amp;id=http%3A%2F%2Fwho.int%2Ficd%230_802b4dce_3444_418f_b0f7_3a2ab8b0daf4","iCat")</x:f>
      </x:c>
      <x:c r="M864" s="0" t="s">
        <x:v>21</x:v>
      </x:c>
      <x:c r="N864" s="0" t="s">
        <x:v>46</x:v>
      </x:c>
    </x:row>
    <x:row r="865" spans="1:16">
      <x:c r="A865" s="0" t="s">
        <x:v>3311</x:v>
      </x:c>
      <x:c r="B865" s="0" t="s">
        <x:v>3312</x:v>
      </x:c>
      <x:c r="C865" s="0" t="s">
        <x:v>3313</x:v>
      </x:c>
      <x:c r="E865" s="0" t="s">
        <x:v>3314</x:v>
      </x:c>
      <x:c r="F865" s="0" t="s">
        <x:v>45</x:v>
      </x:c>
      <x:c r="G865" s="0" t="s">
        <x:v>19</x:v>
      </x:c>
      <x:c r="H865" s="0" t="s">
        <x:v>20</x:v>
      </x:c>
      <x:c r="I865" s="0" t="s">
        <x:v>21</x:v>
      </x:c>
      <x:c r="K865" s="0">
        <x:f>hyperlink("https://icd.who.int/dev11/l-ichi/en#/http%3A%2F%2Fid.who.int%2Ficd%2Fentity%2F1598604035","browser")</x:f>
      </x:c>
      <x:c r="L865" s="0">
        <x:f>hyperlink("https://icat2.azurewebsites.net/icat/?ontology=ICD&amp;tab=ClassesTab&amp;id=http%3A%2F%2Fwho.int%2Ficd%2314_802b4dce_3444_418f_b0f7_3a2ab8b0daf4","iCat")</x:f>
      </x:c>
      <x:c r="M865" s="0" t="s">
        <x:v>21</x:v>
      </x:c>
      <x:c r="N865" s="0" t="s">
        <x:v>46</x:v>
      </x:c>
    </x:row>
    <x:row r="866" spans="1:16">
      <x:c r="A866" s="0" t="s">
        <x:v>3315</x:v>
      </x:c>
      <x:c r="B866" s="0" t="s">
        <x:v>3316</x:v>
      </x:c>
      <x:c r="C866" s="0" t="s">
        <x:v>3317</x:v>
      </x:c>
      <x:c r="E866" s="0" t="s">
        <x:v>3318</x:v>
      </x:c>
      <x:c r="F866" s="0" t="s">
        <x:v>45</x:v>
      </x:c>
      <x:c r="G866" s="0" t="s">
        <x:v>19</x:v>
      </x:c>
      <x:c r="H866" s="0" t="s">
        <x:v>20</x:v>
      </x:c>
      <x:c r="I866" s="0" t="s">
        <x:v>21</x:v>
      </x:c>
      <x:c r="K866" s="0">
        <x:f>hyperlink("https://icd.who.int/dev11/l-ichi/en#/http%3A%2F%2Fid.who.int%2Ficd%2Fentity%2F721307504","browser")</x:f>
      </x:c>
      <x:c r="L866" s="0">
        <x:f>hyperlink("https://icat2.azurewebsites.net/icat/?ontology=ICD&amp;tab=ClassesTab&amp;id=http%3A%2F%2Fwho.int%2Ficd%2320_802b4dce_3444_418f_b0f7_3a2ab8b0daf4","iCat")</x:f>
      </x:c>
      <x:c r="M866" s="0" t="s">
        <x:v>21</x:v>
      </x:c>
      <x:c r="N866" s="0" t="s">
        <x:v>46</x:v>
      </x:c>
    </x:row>
    <x:row r="867" spans="1:16">
      <x:c r="A867" s="0" t="s">
        <x:v>3319</x:v>
      </x:c>
      <x:c r="B867" s="0" t="s">
        <x:v>3320</x:v>
      </x:c>
      <x:c r="C867" s="0" t="s">
        <x:v>3321</x:v>
      </x:c>
      <x:c r="E867" s="0" t="s">
        <x:v>3322</x:v>
      </x:c>
      <x:c r="F867" s="0" t="s">
        <x:v>45</x:v>
      </x:c>
      <x:c r="G867" s="0" t="s">
        <x:v>19</x:v>
      </x:c>
      <x:c r="H867" s="0" t="s">
        <x:v>20</x:v>
      </x:c>
      <x:c r="I867" s="0" t="s">
        <x:v>21</x:v>
      </x:c>
      <x:c r="K867" s="0">
        <x:f>hyperlink("https://icd.who.int/dev11/l-ichi/en#/http%3A%2F%2Fid.who.int%2Ficd%2Fentity%2F1518136573","browser")</x:f>
      </x:c>
      <x:c r="L867" s="0">
        <x:f>hyperlink("https://icat2.azurewebsites.net/icat/?ontology=ICD&amp;tab=ClassesTab&amp;id=http%3A%2F%2Fwho.int%2Ficd%2327_802b4dce_3444_418f_b0f7_3a2ab8b0daf4","iCat")</x:f>
      </x:c>
      <x:c r="M867" s="0" t="s">
        <x:v>21</x:v>
      </x:c>
      <x:c r="N867" s="0" t="s">
        <x:v>46</x:v>
      </x:c>
    </x:row>
    <x:row r="868" spans="1:16">
      <x:c r="A868" s="0" t="s">
        <x:v>3323</x:v>
      </x:c>
      <x:c r="B868" s="0" t="s">
        <x:v>3324</x:v>
      </x:c>
      <x:c r="C868" s="0" t="s">
        <x:v>3325</x:v>
      </x:c>
      <x:c r="E868" s="0" t="s">
        <x:v>3326</x:v>
      </x:c>
      <x:c r="F868" s="0" t="s">
        <x:v>45</x:v>
      </x:c>
      <x:c r="G868" s="0" t="s">
        <x:v>19</x:v>
      </x:c>
      <x:c r="H868" s="0" t="s">
        <x:v>20</x:v>
      </x:c>
      <x:c r="I868" s="0" t="s">
        <x:v>21</x:v>
      </x:c>
      <x:c r="K868" s="0">
        <x:f>hyperlink("https://icd.who.int/dev11/l-ichi/en#/http%3A%2F%2Fid.who.int%2Ficd%2Fentity%2F247112562","browser")</x:f>
      </x:c>
      <x:c r="L868" s="0">
        <x:f>hyperlink("https://icat2.azurewebsites.net/icat/?ontology=ICD&amp;tab=ClassesTab&amp;id=http%3A%2F%2Fwho.int%2Ficd%2338_802b4dce_3444_418f_b0f7_3a2ab8b0daf4","iCat")</x:f>
      </x:c>
      <x:c r="M868" s="0" t="s">
        <x:v>21</x:v>
      </x:c>
      <x:c r="N868" s="0" t="s">
        <x:v>46</x:v>
      </x:c>
    </x:row>
    <x:row r="869" spans="1:16">
      <x:c r="A869" s="0" t="s">
        <x:v>3327</x:v>
      </x:c>
      <x:c r="B869" s="0" t="s">
        <x:v>3328</x:v>
      </x:c>
      <x:c r="C869" s="0" t="s">
        <x:v>3329</x:v>
      </x:c>
      <x:c r="E869" s="0" t="s">
        <x:v>3330</x:v>
      </x:c>
      <x:c r="F869" s="0" t="s">
        <x:v>45</x:v>
      </x:c>
      <x:c r="G869" s="0" t="s">
        <x:v>19</x:v>
      </x:c>
      <x:c r="H869" s="0" t="s">
        <x:v>20</x:v>
      </x:c>
      <x:c r="I869" s="0" t="s">
        <x:v>21</x:v>
      </x:c>
      <x:c r="K869" s="0">
        <x:f>hyperlink("https://icd.who.int/dev11/l-ichi/en#/http%3A%2F%2Fid.who.int%2Ficd%2Fentity%2F986785366","browser")</x:f>
      </x:c>
      <x:c r="L869" s="0">
        <x:f>hyperlink("https://icat2.azurewebsites.net/icat/?ontology=ICD&amp;tab=ClassesTab&amp;id=http%3A%2F%2Fwho.int%2Ficd%2351_802b4dce_3444_418f_b0f7_3a2ab8b0daf4","iCat")</x:f>
      </x:c>
      <x:c r="M869" s="0" t="s">
        <x:v>21</x:v>
      </x:c>
      <x:c r="N869" s="0" t="s">
        <x:v>46</x:v>
      </x:c>
    </x:row>
    <x:row r="870" spans="1:16">
      <x:c r="A870" s="0" t="s">
        <x:v>3331</x:v>
      </x:c>
      <x:c r="B870" s="0" t="s">
        <x:v>3332</x:v>
      </x:c>
      <x:c r="C870" s="0" t="s">
        <x:v>3333</x:v>
      </x:c>
      <x:c r="E870" s="0" t="s">
        <x:v>3334</x:v>
      </x:c>
      <x:c r="F870" s="0" t="s">
        <x:v>45</x:v>
      </x:c>
      <x:c r="G870" s="0" t="s">
        <x:v>19</x:v>
      </x:c>
      <x:c r="H870" s="0" t="s">
        <x:v>20</x:v>
      </x:c>
      <x:c r="I870" s="0" t="s">
        <x:v>21</x:v>
      </x:c>
      <x:c r="K870" s="0">
        <x:f>hyperlink("https://icd.who.int/dev11/l-ichi/en#/http%3A%2F%2Fid.who.int%2Ficd%2Fentity%2F1789591527","browser")</x:f>
      </x:c>
      <x:c r="L870" s="0">
        <x:f>hyperlink("https://icat2.azurewebsites.net/icat/?ontology=ICD&amp;tab=ClassesTab&amp;id=http%3A%2F%2Fwho.int%2Ficd%2357_802b4dce_3444_418f_b0f7_3a2ab8b0daf4","iCat")</x:f>
      </x:c>
      <x:c r="M870" s="0" t="s">
        <x:v>21</x:v>
      </x:c>
      <x:c r="N870" s="0" t="s">
        <x:v>46</x:v>
      </x:c>
    </x:row>
    <x:row r="871" spans="1:16">
      <x:c r="A871" s="0" t="s">
        <x:v>3335</x:v>
      </x:c>
      <x:c r="B871" s="0" t="s">
        <x:v>3336</x:v>
      </x:c>
      <x:c r="C871" s="0" t="s">
        <x:v>3337</x:v>
      </x:c>
      <x:c r="E871" s="0" t="s">
        <x:v>3338</x:v>
      </x:c>
      <x:c r="F871" s="0" t="s">
        <x:v>45</x:v>
      </x:c>
      <x:c r="G871" s="0" t="s">
        <x:v>19</x:v>
      </x:c>
      <x:c r="H871" s="0" t="s">
        <x:v>20</x:v>
      </x:c>
      <x:c r="I871" s="0" t="s">
        <x:v>21</x:v>
      </x:c>
      <x:c r="K871" s="0">
        <x:f>hyperlink("https://icd.who.int/dev11/l-ichi/en#/http%3A%2F%2Fid.who.int%2Ficd%2Fentity%2F1071974824","browser")</x:f>
      </x:c>
      <x:c r="L871" s="0">
        <x:f>hyperlink("https://icat2.azurewebsites.net/icat/?ontology=ICD&amp;tab=ClassesTab&amp;id=http%3A%2F%2Fwho.int%2Ficd%2362_802b4dce_3444_418f_b0f7_3a2ab8b0daf4","iCat")</x:f>
      </x:c>
      <x:c r="M871" s="0" t="s">
        <x:v>21</x:v>
      </x:c>
      <x:c r="N871" s="0" t="s">
        <x:v>46</x:v>
      </x:c>
    </x:row>
    <x:row r="872" spans="1:16">
      <x:c r="A872" s="0" t="s">
        <x:v>3339</x:v>
      </x:c>
      <x:c r="B872" s="0" t="s">
        <x:v>3340</x:v>
      </x:c>
      <x:c r="C872" s="0" t="s">
        <x:v>3341</x:v>
      </x:c>
      <x:c r="E872" s="0" t="s">
        <x:v>3342</x:v>
      </x:c>
      <x:c r="F872" s="0" t="s">
        <x:v>45</x:v>
      </x:c>
      <x:c r="G872" s="0" t="s">
        <x:v>19</x:v>
      </x:c>
      <x:c r="H872" s="0" t="s">
        <x:v>20</x:v>
      </x:c>
      <x:c r="I872" s="0" t="s">
        <x:v>21</x:v>
      </x:c>
      <x:c r="K872" s="0">
        <x:f>hyperlink("https://icd.who.int/dev11/l-ichi/en#/http%3A%2F%2Fid.who.int%2Ficd%2Fentity%2F811368762","browser")</x:f>
      </x:c>
      <x:c r="L872" s="0">
        <x:f>hyperlink("https://icat2.azurewebsites.net/icat/?ontology=ICD&amp;tab=ClassesTab&amp;id=http%3A%2F%2Fwho.int%2Ficd%2370_802b4dce_3444_418f_b0f7_3a2ab8b0daf4","iCat")</x:f>
      </x:c>
      <x:c r="M872" s="0" t="s">
        <x:v>21</x:v>
      </x:c>
      <x:c r="N872" s="0" t="s">
        <x:v>46</x:v>
      </x:c>
    </x:row>
    <x:row r="873" spans="1:16">
      <x:c r="A873" s="0" t="s">
        <x:v>3343</x:v>
      </x:c>
      <x:c r="B873" s="0" t="s">
        <x:v>3344</x:v>
      </x:c>
      <x:c r="C873" s="0" t="s">
        <x:v>3345</x:v>
      </x:c>
      <x:c r="E873" s="0" t="s">
        <x:v>3346</x:v>
      </x:c>
      <x:c r="F873" s="0" t="s">
        <x:v>45</x:v>
      </x:c>
      <x:c r="G873" s="0" t="s">
        <x:v>19</x:v>
      </x:c>
      <x:c r="H873" s="0" t="s">
        <x:v>20</x:v>
      </x:c>
      <x:c r="I873" s="0" t="s">
        <x:v>21</x:v>
      </x:c>
      <x:c r="K873" s="0">
        <x:f>hyperlink("https://icd.who.int/dev11/l-ichi/en#/http%3A%2F%2Fid.who.int%2Ficd%2Fentity%2F1613191307","browser")</x:f>
      </x:c>
      <x:c r="L873" s="0">
        <x:f>hyperlink("https://icat2.azurewebsites.net/icat/?ontology=ICD&amp;tab=ClassesTab&amp;id=http%3A%2F%2Fwho.int%2Ficd%2376_802b4dce_3444_418f_b0f7_3a2ab8b0daf4","iCat")</x:f>
      </x:c>
      <x:c r="M873" s="0" t="s">
        <x:v>21</x:v>
      </x:c>
      <x:c r="N873" s="0" t="s">
        <x:v>46</x:v>
      </x:c>
    </x:row>
    <x:row r="874" spans="1:16">
      <x:c r="A874" s="0" t="s">
        <x:v>3347</x:v>
      </x:c>
      <x:c r="B874" s="0" t="s">
        <x:v>3348</x:v>
      </x:c>
      <x:c r="C874" s="0" t="s">
        <x:v>3349</x:v>
      </x:c>
      <x:c r="E874" s="0" t="s">
        <x:v>3350</x:v>
      </x:c>
      <x:c r="F874" s="0" t="s">
        <x:v>45</x:v>
      </x:c>
      <x:c r="G874" s="0" t="s">
        <x:v>19</x:v>
      </x:c>
      <x:c r="H874" s="0" t="s">
        <x:v>20</x:v>
      </x:c>
      <x:c r="I874" s="0" t="s">
        <x:v>21</x:v>
      </x:c>
      <x:c r="K874" s="0">
        <x:f>hyperlink("https://icd.who.int/dev11/l-ichi/en#/http%3A%2F%2Fid.who.int%2Ficd%2Fentity%2F1061337562","browser")</x:f>
      </x:c>
      <x:c r="L874" s="0">
        <x:f>hyperlink("https://icat2.azurewebsites.net/icat/?ontology=ICD&amp;tab=ClassesTab&amp;id=http%3A%2F%2Fwho.int%2Ficd%2381_802b4dce_3444_418f_b0f7_3a2ab8b0daf4","iCat")</x:f>
      </x:c>
      <x:c r="M874" s="0" t="s">
        <x:v>21</x:v>
      </x:c>
      <x:c r="N874" s="0" t="s">
        <x:v>46</x:v>
      </x:c>
    </x:row>
    <x:row r="875" spans="1:16">
      <x:c r="B875" s="0" t="s">
        <x:v>3351</x:v>
      </x:c>
      <x:c r="C875" s="0" t="s">
        <x:v>3352</x:v>
      </x:c>
      <x:c r="E875" s="0" t="s">
        <x:v>3353</x:v>
      </x:c>
      <x:c r="F875" s="0" t="s">
        <x:v>45</x:v>
      </x:c>
      <x:c r="G875" s="0" t="s">
        <x:v>19</x:v>
      </x:c>
      <x:c r="H875" s="0" t="s">
        <x:v>21</x:v>
      </x:c>
      <x:c r="I875" s="0" t="s">
        <x:v>21</x:v>
      </x:c>
      <x:c r="K875" s="0">
        <x:f>hyperlink("https://icd.who.int/dev11/l-ichi/en#/http%3A%2F%2Fid.who.int%2Ficd%2Fentity%2F1183950562%2Fichi%2Fother","browser")</x:f>
      </x:c>
      <x:c r="L875" s="0">
        <x:f>hyperlink("","iCat")</x:f>
      </x:c>
      <x:c r="M875" s="0" t="s">
        <x:v>21</x:v>
      </x:c>
      <x:c r="N875" s="0" t="s">
        <x:v>46</x:v>
      </x:c>
    </x:row>
    <x:row r="876" spans="1:16">
      <x:c r="A876" s="0" t="s">
        <x:v>3354</x:v>
      </x:c>
      <x:c r="B876" s="0" t="s">
        <x:v>3355</x:v>
      </x:c>
      <x:c r="E876" s="0" t="s">
        <x:v>3356</x:v>
      </x:c>
      <x:c r="F876" s="0" t="s">
        <x:v>26</x:v>
      </x:c>
      <x:c r="G876" s="0" t="s">
        <x:v>30</x:v>
      </x:c>
      <x:c r="H876" s="0" t="s">
        <x:v>20</x:v>
      </x:c>
      <x:c r="I876" s="0" t="s">
        <x:v>21</x:v>
      </x:c>
      <x:c r="K876" s="0">
        <x:f>hyperlink("https://icd.who.int/dev11/l-ichi/en#/http%3A%2F%2Fid.who.int%2Ficd%2Fentity%2F1866031209","browser")</x:f>
      </x:c>
      <x:c r="L876" s="0">
        <x:f>hyperlink("https://icat2.azurewebsites.net/icat/?ontology=ICD&amp;tab=ClassesTab&amp;id=http%3A%2F%2Fwho.int%2Ficd%2387_802b4dce_3444_418f_b0f7_3a2ab8b0daf4","iCat")</x:f>
      </x:c>
      <x:c r="M876" s="0" t="s">
        <x:v>20</x:v>
      </x:c>
      <x:c r="N876" s="0" t="s">
        <x:v>3357</x:v>
      </x:c>
    </x:row>
    <x:row r="877" spans="1:16">
      <x:c r="A877" s="0" t="s">
        <x:v>3358</x:v>
      </x:c>
      <x:c r="B877" s="0" t="s">
        <x:v>3359</x:v>
      </x:c>
      <x:c r="C877" s="0" t="s">
        <x:v>3360</x:v>
      </x:c>
      <x:c r="E877" s="0" t="s">
        <x:v>3361</x:v>
      </x:c>
      <x:c r="F877" s="0" t="s">
        <x:v>45</x:v>
      </x:c>
      <x:c r="G877" s="0" t="s">
        <x:v>19</x:v>
      </x:c>
      <x:c r="H877" s="0" t="s">
        <x:v>20</x:v>
      </x:c>
      <x:c r="I877" s="0" t="s">
        <x:v>21</x:v>
      </x:c>
      <x:c r="K877" s="0">
        <x:f>hyperlink("https://icd.who.int/dev11/l-ichi/en#/http%3A%2F%2Fid.who.int%2Ficd%2Fentity%2F1337987669","browser")</x:f>
      </x:c>
      <x:c r="L877" s="0">
        <x:f>hyperlink("https://icat2.azurewebsites.net/icat/?ontology=ICD&amp;tab=ClassesTab&amp;id=http%3A%2F%2Fwho.int%2Ficd%2386_802b4dce_3444_418f_b0f7_3a2ab8b0daf4","iCat")</x:f>
      </x:c>
      <x:c r="M877" s="0" t="s">
        <x:v>21</x:v>
      </x:c>
      <x:c r="N877" s="0" t="s">
        <x:v>46</x:v>
      </x:c>
    </x:row>
    <x:row r="878" spans="1:16">
      <x:c r="A878" s="0" t="s">
        <x:v>3362</x:v>
      </x:c>
      <x:c r="B878" s="0" t="s">
        <x:v>3363</x:v>
      </x:c>
      <x:c r="C878" s="0" t="s">
        <x:v>3364</x:v>
      </x:c>
      <x:c r="E878" s="0" t="s">
        <x:v>3365</x:v>
      </x:c>
      <x:c r="F878" s="0" t="s">
        <x:v>45</x:v>
      </x:c>
      <x:c r="G878" s="0" t="s">
        <x:v>19</x:v>
      </x:c>
      <x:c r="H878" s="0" t="s">
        <x:v>20</x:v>
      </x:c>
      <x:c r="I878" s="0" t="s">
        <x:v>21</x:v>
      </x:c>
      <x:c r="K878" s="0">
        <x:f>hyperlink("https://icd.who.int/dev11/l-ichi/en#/http%3A%2F%2Fid.who.int%2Ficd%2Fentity%2F100463934","browser")</x:f>
      </x:c>
      <x:c r="L878" s="0">
        <x:f>hyperlink("https://icat2.azurewebsites.net/icat/?ontology=ICD&amp;tab=ClassesTab&amp;id=http%3A%2F%2Fwho.int%2Ficd%2397_802b4dce_3444_418f_b0f7_3a2ab8b0daf4","iCat")</x:f>
      </x:c>
      <x:c r="M878" s="0" t="s">
        <x:v>21</x:v>
      </x:c>
      <x:c r="N878" s="0" t="s">
        <x:v>46</x:v>
      </x:c>
    </x:row>
    <x:row r="879" spans="1:16">
      <x:c r="A879" s="0" t="s">
        <x:v>3366</x:v>
      </x:c>
      <x:c r="B879" s="0" t="s">
        <x:v>3367</x:v>
      </x:c>
      <x:c r="C879" s="0" t="s">
        <x:v>3368</x:v>
      </x:c>
      <x:c r="E879" s="0" t="s">
        <x:v>3369</x:v>
      </x:c>
      <x:c r="F879" s="0" t="s">
        <x:v>45</x:v>
      </x:c>
      <x:c r="G879" s="0" t="s">
        <x:v>19</x:v>
      </x:c>
      <x:c r="H879" s="0" t="s">
        <x:v>20</x:v>
      </x:c>
      <x:c r="I879" s="0" t="s">
        <x:v>21</x:v>
      </x:c>
      <x:c r="K879" s="0">
        <x:f>hyperlink("https://icd.who.int/dev11/l-ichi/en#/http%3A%2F%2Fid.who.int%2Ficd%2Fentity%2F2061758585","browser")</x:f>
      </x:c>
      <x:c r="L879" s="0">
        <x:f>hyperlink("https://icat2.azurewebsites.net/icat/?ontology=ICD&amp;tab=ClassesTab&amp;id=http%3A%2F%2Fwho.int%2Ficd%23107_802b4dce_3444_418f_b0f7_3a2ab8b0daf4","iCat")</x:f>
      </x:c>
      <x:c r="M879" s="0" t="s">
        <x:v>21</x:v>
      </x:c>
      <x:c r="N879" s="0" t="s">
        <x:v>46</x:v>
      </x:c>
    </x:row>
    <x:row r="880" spans="1:16">
      <x:c r="A880" s="0" t="s">
        <x:v>3370</x:v>
      </x:c>
      <x:c r="B880" s="0" t="s">
        <x:v>3371</x:v>
      </x:c>
      <x:c r="C880" s="0" t="s">
        <x:v>3372</x:v>
      </x:c>
      <x:c r="E880" s="0" t="s">
        <x:v>3373</x:v>
      </x:c>
      <x:c r="F880" s="0" t="s">
        <x:v>45</x:v>
      </x:c>
      <x:c r="G880" s="0" t="s">
        <x:v>19</x:v>
      </x:c>
      <x:c r="H880" s="0" t="s">
        <x:v>20</x:v>
      </x:c>
      <x:c r="I880" s="0" t="s">
        <x:v>21</x:v>
      </x:c>
      <x:c r="K880" s="0">
        <x:f>hyperlink("https://icd.who.int/dev11/l-ichi/en#/http%3A%2F%2Fid.who.int%2Ficd%2Fentity%2F98095974","browser")</x:f>
      </x:c>
      <x:c r="L880" s="0">
        <x:f>hyperlink("https://icat2.azurewebsites.net/icat/?ontology=ICD&amp;tab=ClassesTab&amp;id=http%3A%2F%2Fwho.int%2Ficd%23112_802b4dce_3444_418f_b0f7_3a2ab8b0daf4","iCat")</x:f>
      </x:c>
      <x:c r="M880" s="0" t="s">
        <x:v>21</x:v>
      </x:c>
      <x:c r="N880" s="0" t="s">
        <x:v>46</x:v>
      </x:c>
    </x:row>
    <x:row r="881" spans="1:16">
      <x:c r="A881" s="0" t="s">
        <x:v>3374</x:v>
      </x:c>
      <x:c r="B881" s="0" t="s">
        <x:v>3375</x:v>
      </x:c>
      <x:c r="C881" s="0" t="s">
        <x:v>3376</x:v>
      </x:c>
      <x:c r="E881" s="0" t="s">
        <x:v>3377</x:v>
      </x:c>
      <x:c r="F881" s="0" t="s">
        <x:v>45</x:v>
      </x:c>
      <x:c r="G881" s="0" t="s">
        <x:v>19</x:v>
      </x:c>
      <x:c r="H881" s="0" t="s">
        <x:v>20</x:v>
      </x:c>
      <x:c r="I881" s="0" t="s">
        <x:v>21</x:v>
      </x:c>
      <x:c r="K881" s="0">
        <x:f>hyperlink("https://icd.who.int/dev11/l-ichi/en#/http%3A%2F%2Fid.who.int%2Ficd%2Fentity%2F774225910","browser")</x:f>
      </x:c>
      <x:c r="L881" s="0">
        <x:f>hyperlink("https://icat2.azurewebsites.net/icat/?ontology=ICD&amp;tab=ClassesTab&amp;id=http%3A%2F%2Fwho.int%2Ficd%23118_802b4dce_3444_418f_b0f7_3a2ab8b0daf4","iCat")</x:f>
      </x:c>
      <x:c r="M881" s="0" t="s">
        <x:v>21</x:v>
      </x:c>
      <x:c r="N881" s="0" t="s">
        <x:v>46</x:v>
      </x:c>
    </x:row>
    <x:row r="882" spans="1:16">
      <x:c r="A882" s="0" t="s">
        <x:v>3378</x:v>
      </x:c>
      <x:c r="B882" s="0" t="s">
        <x:v>3379</x:v>
      </x:c>
      <x:c r="C882" s="0" t="s">
        <x:v>3380</x:v>
      </x:c>
      <x:c r="E882" s="0" t="s">
        <x:v>3381</x:v>
      </x:c>
      <x:c r="F882" s="0" t="s">
        <x:v>45</x:v>
      </x:c>
      <x:c r="G882" s="0" t="s">
        <x:v>19</x:v>
      </x:c>
      <x:c r="H882" s="0" t="s">
        <x:v>20</x:v>
      </x:c>
      <x:c r="I882" s="0" t="s">
        <x:v>21</x:v>
      </x:c>
      <x:c r="K882" s="0">
        <x:f>hyperlink("https://icd.who.int/dev11/l-ichi/en#/http%3A%2F%2Fid.who.int%2Ficd%2Fentity%2F1855258609","browser")</x:f>
      </x:c>
      <x:c r="L882" s="0">
        <x:f>hyperlink("https://icat2.azurewebsites.net/icat/?ontology=ICD&amp;tab=ClassesTab&amp;id=http%3A%2F%2Fwho.int%2Ficd%23128_802b4dce_3444_418f_b0f7_3a2ab8b0daf4","iCat")</x:f>
      </x:c>
      <x:c r="M882" s="0" t="s">
        <x:v>21</x:v>
      </x:c>
      <x:c r="N882" s="0" t="s">
        <x:v>46</x:v>
      </x:c>
    </x:row>
    <x:row r="883" spans="1:16">
      <x:c r="A883" s="0" t="s">
        <x:v>3382</x:v>
      </x:c>
      <x:c r="B883" s="0" t="s">
        <x:v>3383</x:v>
      </x:c>
      <x:c r="C883" s="0" t="s">
        <x:v>3384</x:v>
      </x:c>
      <x:c r="E883" s="0" t="s">
        <x:v>3385</x:v>
      </x:c>
      <x:c r="F883" s="0" t="s">
        <x:v>45</x:v>
      </x:c>
      <x:c r="G883" s="0" t="s">
        <x:v>19</x:v>
      </x:c>
      <x:c r="H883" s="0" t="s">
        <x:v>20</x:v>
      </x:c>
      <x:c r="I883" s="0" t="s">
        <x:v>21</x:v>
      </x:c>
      <x:c r="K883" s="0">
        <x:f>hyperlink("https://icd.who.int/dev11/l-ichi/en#/http%3A%2F%2Fid.who.int%2Ficd%2Fentity%2F257258506","browser")</x:f>
      </x:c>
      <x:c r="L883" s="0">
        <x:f>hyperlink("https://icat2.azurewebsites.net/icat/?ontology=ICD&amp;tab=ClassesTab&amp;id=http%3A%2F%2Fwho.int%2Ficd%23133_802b4dce_3444_418f_b0f7_3a2ab8b0daf4","iCat")</x:f>
      </x:c>
      <x:c r="M883" s="0" t="s">
        <x:v>21</x:v>
      </x:c>
      <x:c r="N883" s="0" t="s">
        <x:v>46</x:v>
      </x:c>
    </x:row>
    <x:row r="884" spans="1:16">
      <x:c r="A884" s="0" t="s">
        <x:v>3386</x:v>
      </x:c>
      <x:c r="B884" s="0" t="s">
        <x:v>3387</x:v>
      </x:c>
      <x:c r="C884" s="0" t="s">
        <x:v>3388</x:v>
      </x:c>
      <x:c r="E884" s="0" t="s">
        <x:v>3389</x:v>
      </x:c>
      <x:c r="F884" s="0" t="s">
        <x:v>45</x:v>
      </x:c>
      <x:c r="G884" s="0" t="s">
        <x:v>19</x:v>
      </x:c>
      <x:c r="H884" s="0" t="s">
        <x:v>20</x:v>
      </x:c>
      <x:c r="I884" s="0" t="s">
        <x:v>21</x:v>
      </x:c>
      <x:c r="K884" s="0">
        <x:f>hyperlink("https://icd.who.int/dev11/l-ichi/en#/http%3A%2F%2Fid.who.int%2Ficd%2Fentity%2F2047215849","browser")</x:f>
      </x:c>
      <x:c r="L884" s="0">
        <x:f>hyperlink("https://icat2.azurewebsites.net/icat/?ontology=ICD&amp;tab=ClassesTab&amp;id=http%3A%2F%2Fwho.int%2Ficd%23140_802b4dce_3444_418f_b0f7_3a2ab8b0daf4","iCat")</x:f>
      </x:c>
      <x:c r="M884" s="0" t="s">
        <x:v>21</x:v>
      </x:c>
      <x:c r="N884" s="0" t="s">
        <x:v>46</x:v>
      </x:c>
    </x:row>
    <x:row r="885" spans="1:16">
      <x:c r="A885" s="0" t="s">
        <x:v>3390</x:v>
      </x:c>
      <x:c r="B885" s="0" t="s">
        <x:v>3391</x:v>
      </x:c>
      <x:c r="C885" s="0" t="s">
        <x:v>3392</x:v>
      </x:c>
      <x:c r="E885" s="0" t="s">
        <x:v>3393</x:v>
      </x:c>
      <x:c r="F885" s="0" t="s">
        <x:v>45</x:v>
      </x:c>
      <x:c r="G885" s="0" t="s">
        <x:v>19</x:v>
      </x:c>
      <x:c r="H885" s="0" t="s">
        <x:v>20</x:v>
      </x:c>
      <x:c r="I885" s="0" t="s">
        <x:v>21</x:v>
      </x:c>
      <x:c r="K885" s="0">
        <x:f>hyperlink("https://icd.who.int/dev11/l-ichi/en#/http%3A%2F%2Fid.who.int%2Ficd%2Fentity%2F881293756","browser")</x:f>
      </x:c>
      <x:c r="L885" s="0">
        <x:f>hyperlink("https://icat2.azurewebsites.net/icat/?ontology=ICD&amp;tab=ClassesTab&amp;id=http%3A%2F%2Fwho.int%2Ficd%23148_802b4dce_3444_418f_b0f7_3a2ab8b0daf4","iCat")</x:f>
      </x:c>
      <x:c r="M885" s="0" t="s">
        <x:v>21</x:v>
      </x:c>
      <x:c r="N885" s="0" t="s">
        <x:v>46</x:v>
      </x:c>
    </x:row>
    <x:row r="886" spans="1:16">
      <x:c r="A886" s="0" t="s">
        <x:v>3394</x:v>
      </x:c>
      <x:c r="B886" s="0" t="s">
        <x:v>3395</x:v>
      </x:c>
      <x:c r="C886" s="0" t="s">
        <x:v>3396</x:v>
      </x:c>
      <x:c r="E886" s="0" t="s">
        <x:v>3397</x:v>
      </x:c>
      <x:c r="F886" s="0" t="s">
        <x:v>45</x:v>
      </x:c>
      <x:c r="G886" s="0" t="s">
        <x:v>19</x:v>
      </x:c>
      <x:c r="H886" s="0" t="s">
        <x:v>20</x:v>
      </x:c>
      <x:c r="I886" s="0" t="s">
        <x:v>21</x:v>
      </x:c>
      <x:c r="K886" s="0">
        <x:f>hyperlink("https://icd.who.int/dev11/l-ichi/en#/http%3A%2F%2Fid.who.int%2Ficd%2Fentity%2F1085817871","browser")</x:f>
      </x:c>
      <x:c r="L886" s="0">
        <x:f>hyperlink("https://icat2.azurewebsites.net/icat/?ontology=ICD&amp;tab=ClassesTab&amp;id=http%3A%2F%2Fwho.int%2Ficd%23156_802b4dce_3444_418f_b0f7_3a2ab8b0daf4","iCat")</x:f>
      </x:c>
      <x:c r="M886" s="0" t="s">
        <x:v>21</x:v>
      </x:c>
      <x:c r="N886" s="0" t="s">
        <x:v>46</x:v>
      </x:c>
    </x:row>
    <x:row r="887" spans="1:16">
      <x:c r="A887" s="0" t="s">
        <x:v>3398</x:v>
      </x:c>
      <x:c r="B887" s="0" t="s">
        <x:v>3399</x:v>
      </x:c>
      <x:c r="C887" s="0" t="s">
        <x:v>3400</x:v>
      </x:c>
      <x:c r="E887" s="0" t="s">
        <x:v>3401</x:v>
      </x:c>
      <x:c r="F887" s="0" t="s">
        <x:v>45</x:v>
      </x:c>
      <x:c r="G887" s="0" t="s">
        <x:v>19</x:v>
      </x:c>
      <x:c r="H887" s="0" t="s">
        <x:v>20</x:v>
      </x:c>
      <x:c r="I887" s="0" t="s">
        <x:v>21</x:v>
      </x:c>
      <x:c r="K887" s="0">
        <x:f>hyperlink("https://icd.who.int/dev11/l-ichi/en#/http%3A%2F%2Fid.who.int%2Ficd%2Fentity%2F590856","browser")</x:f>
      </x:c>
      <x:c r="L887" s="0">
        <x:f>hyperlink("https://icat2.azurewebsites.net/icat/?ontology=ICD&amp;tab=ClassesTab&amp;id=http%3A%2F%2Fwho.int%2Ficd%23166_802b4dce_3444_418f_b0f7_3a2ab8b0daf4","iCat")</x:f>
      </x:c>
      <x:c r="M887" s="0" t="s">
        <x:v>21</x:v>
      </x:c>
      <x:c r="N887" s="0" t="s">
        <x:v>46</x:v>
      </x:c>
    </x:row>
    <x:row r="888" spans="1:16">
      <x:c r="A888" s="0" t="s">
        <x:v>3402</x:v>
      </x:c>
      <x:c r="B888" s="0" t="s">
        <x:v>3403</x:v>
      </x:c>
      <x:c r="C888" s="0" t="s">
        <x:v>3404</x:v>
      </x:c>
      <x:c r="E888" s="0" t="s">
        <x:v>3405</x:v>
      </x:c>
      <x:c r="F888" s="0" t="s">
        <x:v>45</x:v>
      </x:c>
      <x:c r="G888" s="0" t="s">
        <x:v>19</x:v>
      </x:c>
      <x:c r="H888" s="0" t="s">
        <x:v>20</x:v>
      </x:c>
      <x:c r="I888" s="0" t="s">
        <x:v>21</x:v>
      </x:c>
      <x:c r="K888" s="0">
        <x:f>hyperlink("https://icd.who.int/dev11/l-ichi/en#/http%3A%2F%2Fid.who.int%2Ficd%2Fentity%2F1949710779","browser")</x:f>
      </x:c>
      <x:c r="L888" s="0">
        <x:f>hyperlink("https://icat2.azurewebsites.net/icat/?ontology=ICD&amp;tab=ClassesTab&amp;id=http%3A%2F%2Fwho.int%2Ficd%23178_802b4dce_3444_418f_b0f7_3a2ab8b0daf4","iCat")</x:f>
      </x:c>
      <x:c r="M888" s="0" t="s">
        <x:v>21</x:v>
      </x:c>
      <x:c r="N888" s="0" t="s">
        <x:v>46</x:v>
      </x:c>
    </x:row>
    <x:row r="889" spans="1:16">
      <x:c r="A889" s="0" t="s">
        <x:v>3406</x:v>
      </x:c>
      <x:c r="B889" s="0" t="s">
        <x:v>3407</x:v>
      </x:c>
      <x:c r="C889" s="0" t="s">
        <x:v>3408</x:v>
      </x:c>
      <x:c r="E889" s="0" t="s">
        <x:v>3409</x:v>
      </x:c>
      <x:c r="F889" s="0" t="s">
        <x:v>45</x:v>
      </x:c>
      <x:c r="G889" s="0" t="s">
        <x:v>19</x:v>
      </x:c>
      <x:c r="H889" s="0" t="s">
        <x:v>20</x:v>
      </x:c>
      <x:c r="I889" s="0" t="s">
        <x:v>21</x:v>
      </x:c>
      <x:c r="K889" s="0">
        <x:f>hyperlink("https://icd.who.int/dev11/l-ichi/en#/http%3A%2F%2Fid.who.int%2Ficd%2Fentity%2F11449466","browser")</x:f>
      </x:c>
      <x:c r="L889" s="0">
        <x:f>hyperlink("https://icat2.azurewebsites.net/icat/?ontology=ICD&amp;tab=ClassesTab&amp;id=http%3A%2F%2Fwho.int%2Ficd%23185_802b4dce_3444_418f_b0f7_3a2ab8b0daf4","iCat")</x:f>
      </x:c>
      <x:c r="M889" s="0" t="s">
        <x:v>21</x:v>
      </x:c>
      <x:c r="N889" s="0" t="s">
        <x:v>46</x:v>
      </x:c>
    </x:row>
    <x:row r="890" spans="1:16">
      <x:c r="A890" s="0" t="s">
        <x:v>3410</x:v>
      </x:c>
      <x:c r="B890" s="0" t="s">
        <x:v>3411</x:v>
      </x:c>
      <x:c r="C890" s="0" t="s">
        <x:v>3412</x:v>
      </x:c>
      <x:c r="E890" s="0" t="s">
        <x:v>3413</x:v>
      </x:c>
      <x:c r="F890" s="0" t="s">
        <x:v>45</x:v>
      </x:c>
      <x:c r="G890" s="0" t="s">
        <x:v>19</x:v>
      </x:c>
      <x:c r="H890" s="0" t="s">
        <x:v>20</x:v>
      </x:c>
      <x:c r="I890" s="0" t="s">
        <x:v>21</x:v>
      </x:c>
      <x:c r="K890" s="0">
        <x:f>hyperlink("https://icd.who.int/dev11/l-ichi/en#/http%3A%2F%2Fid.who.int%2Ficd%2Fentity%2F451512996","browser")</x:f>
      </x:c>
      <x:c r="L890" s="0">
        <x:f>hyperlink("https://icat2.azurewebsites.net/icat/?ontology=ICD&amp;tab=ClassesTab&amp;id=http%3A%2F%2Fwho.int%2Ficd%23192_802b4dce_3444_418f_b0f7_3a2ab8b0daf4","iCat")</x:f>
      </x:c>
      <x:c r="M890" s="0" t="s">
        <x:v>21</x:v>
      </x:c>
      <x:c r="N890" s="0" t="s">
        <x:v>46</x:v>
      </x:c>
    </x:row>
    <x:row r="891" spans="1:16">
      <x:c r="A891" s="0" t="s">
        <x:v>3414</x:v>
      </x:c>
      <x:c r="B891" s="0" t="s">
        <x:v>3415</x:v>
      </x:c>
      <x:c r="C891" s="0" t="s">
        <x:v>3416</x:v>
      </x:c>
      <x:c r="E891" s="0" t="s">
        <x:v>3417</x:v>
      </x:c>
      <x:c r="F891" s="0" t="s">
        <x:v>45</x:v>
      </x:c>
      <x:c r="G891" s="0" t="s">
        <x:v>19</x:v>
      </x:c>
      <x:c r="H891" s="0" t="s">
        <x:v>20</x:v>
      </x:c>
      <x:c r="I891" s="0" t="s">
        <x:v>21</x:v>
      </x:c>
      <x:c r="K891" s="0">
        <x:f>hyperlink("https://icd.who.int/dev11/l-ichi/en#/http%3A%2F%2Fid.who.int%2Ficd%2Fentity%2F239268458","browser")</x:f>
      </x:c>
      <x:c r="L891" s="0">
        <x:f>hyperlink("https://icat2.azurewebsites.net/icat/?ontology=ICD&amp;tab=ClassesTab&amp;id=http%3A%2F%2Fwho.int%2Ficd%23202_802b4dce_3444_418f_b0f7_3a2ab8b0daf4","iCat")</x:f>
      </x:c>
      <x:c r="M891" s="0" t="s">
        <x:v>21</x:v>
      </x:c>
      <x:c r="N891" s="0" t="s">
        <x:v>46</x:v>
      </x:c>
    </x:row>
    <x:row r="892" spans="1:16">
      <x:c r="A892" s="0" t="s">
        <x:v>3418</x:v>
      </x:c>
      <x:c r="B892" s="0" t="s">
        <x:v>3419</x:v>
      </x:c>
      <x:c r="C892" s="0" t="s">
        <x:v>3420</x:v>
      </x:c>
      <x:c r="E892" s="0" t="s">
        <x:v>3421</x:v>
      </x:c>
      <x:c r="F892" s="0" t="s">
        <x:v>45</x:v>
      </x:c>
      <x:c r="G892" s="0" t="s">
        <x:v>19</x:v>
      </x:c>
      <x:c r="H892" s="0" t="s">
        <x:v>20</x:v>
      </x:c>
      <x:c r="I892" s="0" t="s">
        <x:v>21</x:v>
      </x:c>
      <x:c r="K892" s="0">
        <x:f>hyperlink("https://icd.who.int/dev11/l-ichi/en#/http%3A%2F%2Fid.who.int%2Ficd%2Fentity%2F288482126","browser")</x:f>
      </x:c>
      <x:c r="L892" s="0">
        <x:f>hyperlink("https://icat2.azurewebsites.net/icat/?ontology=ICD&amp;tab=ClassesTab&amp;id=http%3A%2F%2Fwho.int%2Ficd%23226_802b4dce_3444_418f_b0f7_3a2ab8b0daf4","iCat")</x:f>
      </x:c>
      <x:c r="M892" s="0" t="s">
        <x:v>21</x:v>
      </x:c>
      <x:c r="N892" s="0" t="s">
        <x:v>46</x:v>
      </x:c>
    </x:row>
    <x:row r="893" spans="1:16">
      <x:c r="A893" s="0" t="s">
        <x:v>3422</x:v>
      </x:c>
      <x:c r="B893" s="0" t="s">
        <x:v>3423</x:v>
      </x:c>
      <x:c r="C893" s="0" t="s">
        <x:v>3424</x:v>
      </x:c>
      <x:c r="E893" s="0" t="s">
        <x:v>3425</x:v>
      </x:c>
      <x:c r="F893" s="0" t="s">
        <x:v>45</x:v>
      </x:c>
      <x:c r="G893" s="0" t="s">
        <x:v>19</x:v>
      </x:c>
      <x:c r="H893" s="0" t="s">
        <x:v>20</x:v>
      </x:c>
      <x:c r="I893" s="0" t="s">
        <x:v>21</x:v>
      </x:c>
      <x:c r="K893" s="0">
        <x:f>hyperlink("https://icd.who.int/dev11/l-ichi/en#/http%3A%2F%2Fid.who.int%2Ficd%2Fentity%2F1324593775","browser")</x:f>
      </x:c>
      <x:c r="L893" s="0">
        <x:f>hyperlink("https://icat2.azurewebsites.net/icat/?ontology=ICD&amp;tab=ClassesTab&amp;id=http%3A%2F%2Fwho.int%2Ficd%23232_802b4dce_3444_418f_b0f7_3a2ab8b0daf4","iCat")</x:f>
      </x:c>
      <x:c r="M893" s="0" t="s">
        <x:v>21</x:v>
      </x:c>
      <x:c r="N893" s="0" t="s">
        <x:v>46</x:v>
      </x:c>
    </x:row>
    <x:row r="894" spans="1:16">
      <x:c r="A894" s="0" t="s">
        <x:v>3426</x:v>
      </x:c>
      <x:c r="B894" s="0" t="s">
        <x:v>3427</x:v>
      </x:c>
      <x:c r="C894" s="0" t="s">
        <x:v>3428</x:v>
      </x:c>
      <x:c r="E894" s="0" t="s">
        <x:v>3429</x:v>
      </x:c>
      <x:c r="F894" s="0" t="s">
        <x:v>45</x:v>
      </x:c>
      <x:c r="G894" s="0" t="s">
        <x:v>19</x:v>
      </x:c>
      <x:c r="H894" s="0" t="s">
        <x:v>20</x:v>
      </x:c>
      <x:c r="I894" s="0" t="s">
        <x:v>21</x:v>
      </x:c>
      <x:c r="K894" s="0">
        <x:f>hyperlink("https://icd.who.int/dev11/l-ichi/en#/http%3A%2F%2Fid.who.int%2Ficd%2Fentity%2F1591530313","browser")</x:f>
      </x:c>
      <x:c r="L894" s="0">
        <x:f>hyperlink("https://icat2.azurewebsites.net/icat/?ontology=ICD&amp;tab=ClassesTab&amp;id=http%3A%2F%2Fwho.int%2Ficd%23243_802b4dce_3444_418f_b0f7_3a2ab8b0daf4","iCat")</x:f>
      </x:c>
      <x:c r="M894" s="0" t="s">
        <x:v>21</x:v>
      </x:c>
      <x:c r="N894" s="0" t="s">
        <x:v>46</x:v>
      </x:c>
    </x:row>
    <x:row r="895" spans="1:16">
      <x:c r="A895" s="0" t="s">
        <x:v>3430</x:v>
      </x:c>
      <x:c r="B895" s="0" t="s">
        <x:v>3431</x:v>
      </x:c>
      <x:c r="C895" s="0" t="s">
        <x:v>3432</x:v>
      </x:c>
      <x:c r="E895" s="0" t="s">
        <x:v>3433</x:v>
      </x:c>
      <x:c r="F895" s="0" t="s">
        <x:v>45</x:v>
      </x:c>
      <x:c r="G895" s="0" t="s">
        <x:v>19</x:v>
      </x:c>
      <x:c r="H895" s="0" t="s">
        <x:v>20</x:v>
      </x:c>
      <x:c r="I895" s="0" t="s">
        <x:v>21</x:v>
      </x:c>
      <x:c r="K895" s="0">
        <x:f>hyperlink("https://icd.who.int/dev11/l-ichi/en#/http%3A%2F%2Fid.who.int%2Ficd%2Fentity%2F350237732","browser")</x:f>
      </x:c>
      <x:c r="L895" s="0">
        <x:f>hyperlink("https://icat2.azurewebsites.net/icat/?ontology=ICD&amp;tab=ClassesTab&amp;id=http%3A%2F%2Fwho.int%2Ficd%23252_802b4dce_3444_418f_b0f7_3a2ab8b0daf4","iCat")</x:f>
      </x:c>
      <x:c r="M895" s="0" t="s">
        <x:v>21</x:v>
      </x:c>
      <x:c r="N895" s="0" t="s">
        <x:v>46</x:v>
      </x:c>
    </x:row>
    <x:row r="896" spans="1:16">
      <x:c r="A896" s="0" t="s">
        <x:v>3434</x:v>
      </x:c>
      <x:c r="B896" s="0" t="s">
        <x:v>3435</x:v>
      </x:c>
      <x:c r="C896" s="0" t="s">
        <x:v>3436</x:v>
      </x:c>
      <x:c r="E896" s="0" t="s">
        <x:v>3437</x:v>
      </x:c>
      <x:c r="F896" s="0" t="s">
        <x:v>45</x:v>
      </x:c>
      <x:c r="G896" s="0" t="s">
        <x:v>19</x:v>
      </x:c>
      <x:c r="H896" s="0" t="s">
        <x:v>20</x:v>
      </x:c>
      <x:c r="I896" s="0" t="s">
        <x:v>21</x:v>
      </x:c>
      <x:c r="K896" s="0">
        <x:f>hyperlink("https://icd.who.int/dev11/l-ichi/en#/http%3A%2F%2Fid.who.int%2Ficd%2Fentity%2F535046798","browser")</x:f>
      </x:c>
      <x:c r="L896" s="0">
        <x:f>hyperlink("https://icat2.azurewebsites.net/icat/?ontology=ICD&amp;tab=ClassesTab&amp;id=http%3A%2F%2Fwho.int%2Ficd%23259_802b4dce_3444_418f_b0f7_3a2ab8b0daf4","iCat")</x:f>
      </x:c>
      <x:c r="M896" s="0" t="s">
        <x:v>21</x:v>
      </x:c>
      <x:c r="N896" s="0" t="s">
        <x:v>46</x:v>
      </x:c>
    </x:row>
    <x:row r="897" spans="1:16">
      <x:c r="A897" s="0" t="s">
        <x:v>3438</x:v>
      </x:c>
      <x:c r="B897" s="0" t="s">
        <x:v>3439</x:v>
      </x:c>
      <x:c r="C897" s="0" t="s">
        <x:v>3440</x:v>
      </x:c>
      <x:c r="E897" s="0" t="s">
        <x:v>3441</x:v>
      </x:c>
      <x:c r="F897" s="0" t="s">
        <x:v>45</x:v>
      </x:c>
      <x:c r="G897" s="0" t="s">
        <x:v>19</x:v>
      </x:c>
      <x:c r="H897" s="0" t="s">
        <x:v>20</x:v>
      </x:c>
      <x:c r="I897" s="0" t="s">
        <x:v>21</x:v>
      </x:c>
      <x:c r="K897" s="0">
        <x:f>hyperlink("https://icd.who.int/dev11/l-ichi/en#/http%3A%2F%2Fid.who.int%2Ficd%2Fentity%2F2141984949","browser")</x:f>
      </x:c>
      <x:c r="L897" s="0">
        <x:f>hyperlink("https://icat2.azurewebsites.net/icat/?ontology=ICD&amp;tab=ClassesTab&amp;id=http%3A%2F%2Fwho.int%2Ficd%23268_802b4dce_3444_418f_b0f7_3a2ab8b0daf4","iCat")</x:f>
      </x:c>
      <x:c r="M897" s="0" t="s">
        <x:v>21</x:v>
      </x:c>
      <x:c r="N897" s="0" t="s">
        <x:v>46</x:v>
      </x:c>
    </x:row>
    <x:row r="898" spans="1:16">
      <x:c r="A898" s="0" t="s">
        <x:v>3442</x:v>
      </x:c>
      <x:c r="B898" s="0" t="s">
        <x:v>3443</x:v>
      </x:c>
      <x:c r="C898" s="0" t="s">
        <x:v>3444</x:v>
      </x:c>
      <x:c r="E898" s="0" t="s">
        <x:v>3445</x:v>
      </x:c>
      <x:c r="F898" s="0" t="s">
        <x:v>45</x:v>
      </x:c>
      <x:c r="G898" s="0" t="s">
        <x:v>19</x:v>
      </x:c>
      <x:c r="H898" s="0" t="s">
        <x:v>20</x:v>
      </x:c>
      <x:c r="I898" s="0" t="s">
        <x:v>21</x:v>
      </x:c>
      <x:c r="K898" s="0">
        <x:f>hyperlink("https://icd.who.int/dev11/l-ichi/en#/http%3A%2F%2Fid.who.int%2Ficd%2Fentity%2F1310083839","browser")</x:f>
      </x:c>
      <x:c r="L898" s="0">
        <x:f>hyperlink("https://icat2.azurewebsites.net/icat/?ontology=ICD&amp;tab=ClassesTab&amp;id=http%3A%2F%2Fwho.int%2Ficd%23275_802b4dce_3444_418f_b0f7_3a2ab8b0daf4","iCat")</x:f>
      </x:c>
      <x:c r="M898" s="0" t="s">
        <x:v>21</x:v>
      </x:c>
      <x:c r="N898" s="0" t="s">
        <x:v>46</x:v>
      </x:c>
    </x:row>
    <x:row r="899" spans="1:16">
      <x:c r="A899" s="0" t="s">
        <x:v>3446</x:v>
      </x:c>
      <x:c r="B899" s="0" t="s">
        <x:v>3447</x:v>
      </x:c>
      <x:c r="C899" s="0" t="s">
        <x:v>3448</x:v>
      </x:c>
      <x:c r="E899" s="0" t="s">
        <x:v>3449</x:v>
      </x:c>
      <x:c r="F899" s="0" t="s">
        <x:v>45</x:v>
      </x:c>
      <x:c r="G899" s="0" t="s">
        <x:v>19</x:v>
      </x:c>
      <x:c r="H899" s="0" t="s">
        <x:v>20</x:v>
      </x:c>
      <x:c r="I899" s="0" t="s">
        <x:v>21</x:v>
      </x:c>
      <x:c r="K899" s="0">
        <x:f>hyperlink("https://icd.who.int/dev11/l-ichi/en#/http%3A%2F%2Fid.who.int%2Ficd%2Fentity%2F1425458261","browser")</x:f>
      </x:c>
      <x:c r="L899" s="0">
        <x:f>hyperlink("https://icat2.azurewebsites.net/icat/?ontology=ICD&amp;tab=ClassesTab&amp;id=http%3A%2F%2Fwho.int%2Ficd%23281_802b4dce_3444_418f_b0f7_3a2ab8b0daf4","iCat")</x:f>
      </x:c>
      <x:c r="M899" s="0" t="s">
        <x:v>21</x:v>
      </x:c>
      <x:c r="N899" s="0" t="s">
        <x:v>46</x:v>
      </x:c>
    </x:row>
    <x:row r="900" spans="1:16">
      <x:c r="A900" s="0" t="s">
        <x:v>3450</x:v>
      </x:c>
      <x:c r="B900" s="0" t="s">
        <x:v>3451</x:v>
      </x:c>
      <x:c r="C900" s="0" t="s">
        <x:v>3452</x:v>
      </x:c>
      <x:c r="E900" s="0" t="s">
        <x:v>3453</x:v>
      </x:c>
      <x:c r="F900" s="0" t="s">
        <x:v>45</x:v>
      </x:c>
      <x:c r="G900" s="0" t="s">
        <x:v>19</x:v>
      </x:c>
      <x:c r="H900" s="0" t="s">
        <x:v>20</x:v>
      </x:c>
      <x:c r="I900" s="0" t="s">
        <x:v>21</x:v>
      </x:c>
      <x:c r="K900" s="0">
        <x:f>hyperlink("https://icd.who.int/dev11/l-ichi/en#/http%3A%2F%2Fid.who.int%2Ficd%2Fentity%2F76357092","browser")</x:f>
      </x:c>
      <x:c r="L900" s="0">
        <x:f>hyperlink("https://icat2.azurewebsites.net/icat/?ontology=ICD&amp;tab=ClassesTab&amp;id=http%3A%2F%2Fwho.int%2Ficd%23287_802b4dce_3444_418f_b0f7_3a2ab8b0daf4","iCat")</x:f>
      </x:c>
      <x:c r="M900" s="0" t="s">
        <x:v>21</x:v>
      </x:c>
      <x:c r="N900" s="0" t="s">
        <x:v>46</x:v>
      </x:c>
    </x:row>
    <x:row r="901" spans="1:16">
      <x:c r="A901" s="0" t="s">
        <x:v>3454</x:v>
      </x:c>
      <x:c r="B901" s="0" t="s">
        <x:v>3455</x:v>
      </x:c>
      <x:c r="C901" s="0" t="s">
        <x:v>3456</x:v>
      </x:c>
      <x:c r="E901" s="0" t="s">
        <x:v>3457</x:v>
      </x:c>
      <x:c r="F901" s="0" t="s">
        <x:v>45</x:v>
      </x:c>
      <x:c r="G901" s="0" t="s">
        <x:v>19</x:v>
      </x:c>
      <x:c r="H901" s="0" t="s">
        <x:v>20</x:v>
      </x:c>
      <x:c r="I901" s="0" t="s">
        <x:v>21</x:v>
      </x:c>
      <x:c r="K901" s="0">
        <x:f>hyperlink("https://icd.who.int/dev11/l-ichi/en#/http%3A%2F%2Fid.who.int%2Ficd%2Fentity%2F1320286863","browser")</x:f>
      </x:c>
      <x:c r="L901" s="0">
        <x:f>hyperlink("https://icat2.azurewebsites.net/icat/?ontology=ICD&amp;tab=ClassesTab&amp;id=http%3A%2F%2Fwho.int%2Ficd%23296_802b4dce_3444_418f_b0f7_3a2ab8b0daf4","iCat")</x:f>
      </x:c>
      <x:c r="M901" s="0" t="s">
        <x:v>21</x:v>
      </x:c>
      <x:c r="N901" s="0" t="s">
        <x:v>46</x:v>
      </x:c>
    </x:row>
    <x:row r="902" spans="1:16">
      <x:c r="A902" s="0" t="s">
        <x:v>3458</x:v>
      </x:c>
      <x:c r="B902" s="0" t="s">
        <x:v>3459</x:v>
      </x:c>
      <x:c r="C902" s="0" t="s">
        <x:v>3460</x:v>
      </x:c>
      <x:c r="E902" s="0" t="s">
        <x:v>3461</x:v>
      </x:c>
      <x:c r="F902" s="0" t="s">
        <x:v>45</x:v>
      </x:c>
      <x:c r="G902" s="0" t="s">
        <x:v>19</x:v>
      </x:c>
      <x:c r="H902" s="0" t="s">
        <x:v>20</x:v>
      </x:c>
      <x:c r="I902" s="0" t="s">
        <x:v>21</x:v>
      </x:c>
      <x:c r="K902" s="0">
        <x:f>hyperlink("https://icd.who.int/dev11/l-ichi/en#/http%3A%2F%2Fid.who.int%2Ficd%2Fentity%2F190816122","browser")</x:f>
      </x:c>
      <x:c r="L902" s="0">
        <x:f>hyperlink("https://icat2.azurewebsites.net/icat/?ontology=ICD&amp;tab=ClassesTab&amp;id=http%3A%2F%2Fwho.int%2Ficd%23305_802b4dce_3444_418f_b0f7_3a2ab8b0daf4","iCat")</x:f>
      </x:c>
      <x:c r="M902" s="0" t="s">
        <x:v>21</x:v>
      </x:c>
      <x:c r="N902" s="0" t="s">
        <x:v>46</x:v>
      </x:c>
    </x:row>
    <x:row r="903" spans="1:16">
      <x:c r="A903" s="0" t="s">
        <x:v>3462</x:v>
      </x:c>
      <x:c r="B903" s="0" t="s">
        <x:v>3463</x:v>
      </x:c>
      <x:c r="C903" s="0" t="s">
        <x:v>3464</x:v>
      </x:c>
      <x:c r="E903" s="0" t="s">
        <x:v>3465</x:v>
      </x:c>
      <x:c r="F903" s="0" t="s">
        <x:v>45</x:v>
      </x:c>
      <x:c r="G903" s="0" t="s">
        <x:v>19</x:v>
      </x:c>
      <x:c r="H903" s="0" t="s">
        <x:v>20</x:v>
      </x:c>
      <x:c r="I903" s="0" t="s">
        <x:v>21</x:v>
      </x:c>
      <x:c r="K903" s="0">
        <x:f>hyperlink("https://icd.who.int/dev11/l-ichi/en#/http%3A%2F%2Fid.who.int%2Ficd%2Fentity%2F1952758887","browser")</x:f>
      </x:c>
      <x:c r="L903" s="0">
        <x:f>hyperlink("https://icat2.azurewebsites.net/icat/?ontology=ICD&amp;tab=ClassesTab&amp;id=http%3A%2F%2Fwho.int%2Ficd%23310_802b4dce_3444_418f_b0f7_3a2ab8b0daf4","iCat")</x:f>
      </x:c>
      <x:c r="M903" s="0" t="s">
        <x:v>21</x:v>
      </x:c>
      <x:c r="N903" s="0" t="s">
        <x:v>46</x:v>
      </x:c>
    </x:row>
    <x:row r="904" spans="1:16">
      <x:c r="A904" s="0" t="s">
        <x:v>3466</x:v>
      </x:c>
      <x:c r="B904" s="0" t="s">
        <x:v>3467</x:v>
      </x:c>
      <x:c r="C904" s="0" t="s">
        <x:v>3468</x:v>
      </x:c>
      <x:c r="E904" s="0" t="s">
        <x:v>3469</x:v>
      </x:c>
      <x:c r="F904" s="0" t="s">
        <x:v>45</x:v>
      </x:c>
      <x:c r="G904" s="0" t="s">
        <x:v>19</x:v>
      </x:c>
      <x:c r="H904" s="0" t="s">
        <x:v>20</x:v>
      </x:c>
      <x:c r="I904" s="0" t="s">
        <x:v>21</x:v>
      </x:c>
      <x:c r="K904" s="0">
        <x:f>hyperlink("https://icd.who.int/dev11/l-ichi/en#/http%3A%2F%2Fid.who.int%2Ficd%2Fentity%2F606037462","browser")</x:f>
      </x:c>
      <x:c r="L904" s="0">
        <x:f>hyperlink("https://icat2.azurewebsites.net/icat/?ontology=ICD&amp;tab=ClassesTab&amp;id=http%3A%2F%2Fwho.int%2Ficd%23316_802b4dce_3444_418f_b0f7_3a2ab8b0daf4","iCat")</x:f>
      </x:c>
      <x:c r="M904" s="0" t="s">
        <x:v>21</x:v>
      </x:c>
      <x:c r="N904" s="0" t="s">
        <x:v>46</x:v>
      </x:c>
    </x:row>
    <x:row r="905" spans="1:16">
      <x:c r="A905" s="0" t="s">
        <x:v>3470</x:v>
      </x:c>
      <x:c r="B905" s="0" t="s">
        <x:v>3471</x:v>
      </x:c>
      <x:c r="C905" s="0" t="s">
        <x:v>3472</x:v>
      </x:c>
      <x:c r="E905" s="0" t="s">
        <x:v>3473</x:v>
      </x:c>
      <x:c r="F905" s="0" t="s">
        <x:v>45</x:v>
      </x:c>
      <x:c r="G905" s="0" t="s">
        <x:v>19</x:v>
      </x:c>
      <x:c r="H905" s="0" t="s">
        <x:v>20</x:v>
      </x:c>
      <x:c r="I905" s="0" t="s">
        <x:v>21</x:v>
      </x:c>
      <x:c r="K905" s="0">
        <x:f>hyperlink("https://icd.who.int/dev11/l-ichi/en#/http%3A%2F%2Fid.who.int%2Ficd%2Fentity%2F338464350","browser")</x:f>
      </x:c>
      <x:c r="L905" s="0">
        <x:f>hyperlink("https://icat2.azurewebsites.net/icat/?ontology=ICD&amp;tab=ClassesTab&amp;id=http%3A%2F%2Fwho.int%2Ficd%23321_802b4dce_3444_418f_b0f7_3a2ab8b0daf4","iCat")</x:f>
      </x:c>
      <x:c r="M905" s="0" t="s">
        <x:v>21</x:v>
      </x:c>
      <x:c r="N905" s="0" t="s">
        <x:v>46</x:v>
      </x:c>
    </x:row>
    <x:row r="906" spans="1:16">
      <x:c r="A906" s="0" t="s">
        <x:v>3474</x:v>
      </x:c>
      <x:c r="B906" s="0" t="s">
        <x:v>3475</x:v>
      </x:c>
      <x:c r="C906" s="0" t="s">
        <x:v>3476</x:v>
      </x:c>
      <x:c r="E906" s="0" t="s">
        <x:v>3477</x:v>
      </x:c>
      <x:c r="F906" s="0" t="s">
        <x:v>45</x:v>
      </x:c>
      <x:c r="G906" s="0" t="s">
        <x:v>19</x:v>
      </x:c>
      <x:c r="H906" s="0" t="s">
        <x:v>20</x:v>
      </x:c>
      <x:c r="I906" s="0" t="s">
        <x:v>21</x:v>
      </x:c>
      <x:c r="K906" s="0">
        <x:f>hyperlink("https://icd.who.int/dev11/l-ichi/en#/http%3A%2F%2Fid.who.int%2Ficd%2Fentity%2F2052361525","browser")</x:f>
      </x:c>
      <x:c r="L906" s="0">
        <x:f>hyperlink("https://icat2.azurewebsites.net/icat/?ontology=ICD&amp;tab=ClassesTab&amp;id=http%3A%2F%2Fwho.int%2Ficd%23328_802b4dce_3444_418f_b0f7_3a2ab8b0daf4","iCat")</x:f>
      </x:c>
      <x:c r="M906" s="0" t="s">
        <x:v>21</x:v>
      </x:c>
      <x:c r="N906" s="0" t="s">
        <x:v>46</x:v>
      </x:c>
    </x:row>
    <x:row r="907" spans="1:16">
      <x:c r="A907" s="0" t="s">
        <x:v>3478</x:v>
      </x:c>
      <x:c r="B907" s="0" t="s">
        <x:v>3479</x:v>
      </x:c>
      <x:c r="C907" s="0" t="s">
        <x:v>3480</x:v>
      </x:c>
      <x:c r="E907" s="0" t="s">
        <x:v>3481</x:v>
      </x:c>
      <x:c r="F907" s="0" t="s">
        <x:v>45</x:v>
      </x:c>
      <x:c r="G907" s="0" t="s">
        <x:v>19</x:v>
      </x:c>
      <x:c r="H907" s="0" t="s">
        <x:v>20</x:v>
      </x:c>
      <x:c r="I907" s="0" t="s">
        <x:v>21</x:v>
      </x:c>
      <x:c r="K907" s="0">
        <x:f>hyperlink("https://icd.who.int/dev11/l-ichi/en#/http%3A%2F%2Fid.who.int%2Ficd%2Fentity%2F462751440","browser")</x:f>
      </x:c>
      <x:c r="L907" s="0">
        <x:f>hyperlink("https://icat2.azurewebsites.net/icat/?ontology=ICD&amp;tab=ClassesTab&amp;id=http%3A%2F%2Fwho.int%2Ficd%23333_802b4dce_3444_418f_b0f7_3a2ab8b0daf4","iCat")</x:f>
      </x:c>
      <x:c r="M907" s="0" t="s">
        <x:v>21</x:v>
      </x:c>
      <x:c r="N907" s="0" t="s">
        <x:v>46</x:v>
      </x:c>
    </x:row>
    <x:row r="908" spans="1:16">
      <x:c r="A908" s="0" t="s">
        <x:v>3482</x:v>
      </x:c>
      <x:c r="B908" s="0" t="s">
        <x:v>3483</x:v>
      </x:c>
      <x:c r="C908" s="0" t="s">
        <x:v>3484</x:v>
      </x:c>
      <x:c r="E908" s="0" t="s">
        <x:v>3485</x:v>
      </x:c>
      <x:c r="F908" s="0" t="s">
        <x:v>45</x:v>
      </x:c>
      <x:c r="G908" s="0" t="s">
        <x:v>19</x:v>
      </x:c>
      <x:c r="H908" s="0" t="s">
        <x:v>20</x:v>
      </x:c>
      <x:c r="I908" s="0" t="s">
        <x:v>21</x:v>
      </x:c>
      <x:c r="K908" s="0">
        <x:f>hyperlink("https://icd.who.int/dev11/l-ichi/en#/http%3A%2F%2Fid.who.int%2Ficd%2Fentity%2F1312753681","browser")</x:f>
      </x:c>
      <x:c r="L908" s="0">
        <x:f>hyperlink("https://icat2.azurewebsites.net/icat/?ontology=ICD&amp;tab=ClassesTab&amp;id=http%3A%2F%2Fwho.int%2Ficd%23341_802b4dce_3444_418f_b0f7_3a2ab8b0daf4","iCat")</x:f>
      </x:c>
      <x:c r="M908" s="0" t="s">
        <x:v>21</x:v>
      </x:c>
      <x:c r="N908" s="0" t="s">
        <x:v>46</x:v>
      </x:c>
    </x:row>
    <x:row r="909" spans="1:16">
      <x:c r="A909" s="0" t="s">
        <x:v>3486</x:v>
      </x:c>
      <x:c r="B909" s="0" t="s">
        <x:v>3487</x:v>
      </x:c>
      <x:c r="C909" s="0" t="s">
        <x:v>3488</x:v>
      </x:c>
      <x:c r="E909" s="0" t="s">
        <x:v>3489</x:v>
      </x:c>
      <x:c r="F909" s="0" t="s">
        <x:v>45</x:v>
      </x:c>
      <x:c r="G909" s="0" t="s">
        <x:v>19</x:v>
      </x:c>
      <x:c r="H909" s="0" t="s">
        <x:v>20</x:v>
      </x:c>
      <x:c r="I909" s="0" t="s">
        <x:v>21</x:v>
      </x:c>
      <x:c r="K909" s="0">
        <x:f>hyperlink("https://icd.who.int/dev11/l-ichi/en#/http%3A%2F%2Fid.who.int%2Ficd%2Fentity%2F1635775167","browser")</x:f>
      </x:c>
      <x:c r="L909" s="0">
        <x:f>hyperlink("https://icat2.azurewebsites.net/icat/?ontology=ICD&amp;tab=ClassesTab&amp;id=http%3A%2F%2Fwho.int%2Ficd%23352_802b4dce_3444_418f_b0f7_3a2ab8b0daf4","iCat")</x:f>
      </x:c>
      <x:c r="M909" s="0" t="s">
        <x:v>21</x:v>
      </x:c>
      <x:c r="N909" s="0" t="s">
        <x:v>46</x:v>
      </x:c>
    </x:row>
    <x:row r="910" spans="1:16">
      <x:c r="A910" s="0" t="s">
        <x:v>3490</x:v>
      </x:c>
      <x:c r="B910" s="0" t="s">
        <x:v>3491</x:v>
      </x:c>
      <x:c r="C910" s="0" t="s">
        <x:v>3492</x:v>
      </x:c>
      <x:c r="E910" s="0" t="s">
        <x:v>3493</x:v>
      </x:c>
      <x:c r="F910" s="0" t="s">
        <x:v>45</x:v>
      </x:c>
      <x:c r="G910" s="0" t="s">
        <x:v>19</x:v>
      </x:c>
      <x:c r="H910" s="0" t="s">
        <x:v>20</x:v>
      </x:c>
      <x:c r="I910" s="0" t="s">
        <x:v>21</x:v>
      </x:c>
      <x:c r="K910" s="0">
        <x:f>hyperlink("https://icd.who.int/dev11/l-ichi/en#/http%3A%2F%2Fid.who.int%2Ficd%2Fentity%2F1250074159","browser")</x:f>
      </x:c>
      <x:c r="L910" s="0">
        <x:f>hyperlink("https://icat2.azurewebsites.net/icat/?ontology=ICD&amp;tab=ClassesTab&amp;id=http%3A%2F%2Fwho.int%2Ficd%23358_802b4dce_3444_418f_b0f7_3a2ab8b0daf4","iCat")</x:f>
      </x:c>
      <x:c r="M910" s="0" t="s">
        <x:v>21</x:v>
      </x:c>
      <x:c r="N910" s="0" t="s">
        <x:v>46</x:v>
      </x:c>
    </x:row>
    <x:row r="911" spans="1:16">
      <x:c r="A911" s="0" t="s">
        <x:v>3494</x:v>
      </x:c>
      <x:c r="B911" s="0" t="s">
        <x:v>3495</x:v>
      </x:c>
      <x:c r="C911" s="0" t="s">
        <x:v>3496</x:v>
      </x:c>
      <x:c r="E911" s="0" t="s">
        <x:v>3497</x:v>
      </x:c>
      <x:c r="F911" s="0" t="s">
        <x:v>45</x:v>
      </x:c>
      <x:c r="G911" s="0" t="s">
        <x:v>19</x:v>
      </x:c>
      <x:c r="H911" s="0" t="s">
        <x:v>20</x:v>
      </x:c>
      <x:c r="I911" s="0" t="s">
        <x:v>21</x:v>
      </x:c>
      <x:c r="K911" s="0">
        <x:f>hyperlink("https://icd.who.int/dev11/l-ichi/en#/http%3A%2F%2Fid.who.int%2Ficd%2Fentity%2F460389984","browser")</x:f>
      </x:c>
      <x:c r="L911" s="0">
        <x:f>hyperlink("https://icat2.azurewebsites.net/icat/?ontology=ICD&amp;tab=ClassesTab&amp;id=http%3A%2F%2Fwho.int%2Ficd%23374_802b4dce_3444_418f_b0f7_3a2ab8b0daf4","iCat")</x:f>
      </x:c>
      <x:c r="M911" s="0" t="s">
        <x:v>21</x:v>
      </x:c>
      <x:c r="N911" s="0" t="s">
        <x:v>46</x:v>
      </x:c>
    </x:row>
    <x:row r="912" spans="1:16">
      <x:c r="A912" s="0" t="s">
        <x:v>3498</x:v>
      </x:c>
      <x:c r="B912" s="0" t="s">
        <x:v>3499</x:v>
      </x:c>
      <x:c r="C912" s="0" t="s">
        <x:v>3500</x:v>
      </x:c>
      <x:c r="E912" s="0" t="s">
        <x:v>3501</x:v>
      </x:c>
      <x:c r="F912" s="0" t="s">
        <x:v>45</x:v>
      </x:c>
      <x:c r="G912" s="0" t="s">
        <x:v>19</x:v>
      </x:c>
      <x:c r="H912" s="0" t="s">
        <x:v>20</x:v>
      </x:c>
      <x:c r="I912" s="0" t="s">
        <x:v>21</x:v>
      </x:c>
      <x:c r="K912" s="0">
        <x:f>hyperlink("https://icd.who.int/dev11/l-ichi/en#/http%3A%2F%2Fid.who.int%2Ficd%2Fentity%2F342804156","browser")</x:f>
      </x:c>
      <x:c r="L912" s="0">
        <x:f>hyperlink("https://icat2.azurewebsites.net/icat/?ontology=ICD&amp;tab=ClassesTab&amp;id=http%3A%2F%2Fwho.int%2Ficd%23385_802b4dce_3444_418f_b0f7_3a2ab8b0daf4","iCat")</x:f>
      </x:c>
      <x:c r="M912" s="0" t="s">
        <x:v>21</x:v>
      </x:c>
      <x:c r="N912" s="0" t="s">
        <x:v>46</x:v>
      </x:c>
    </x:row>
    <x:row r="913" spans="1:16">
      <x:c r="A913" s="0" t="s">
        <x:v>3502</x:v>
      </x:c>
      <x:c r="B913" s="0" t="s">
        <x:v>3503</x:v>
      </x:c>
      <x:c r="C913" s="0" t="s">
        <x:v>3504</x:v>
      </x:c>
      <x:c r="E913" s="0" t="s">
        <x:v>3505</x:v>
      </x:c>
      <x:c r="F913" s="0" t="s">
        <x:v>45</x:v>
      </x:c>
      <x:c r="G913" s="0" t="s">
        <x:v>19</x:v>
      </x:c>
      <x:c r="H913" s="0" t="s">
        <x:v>20</x:v>
      </x:c>
      <x:c r="I913" s="0" t="s">
        <x:v>21</x:v>
      </x:c>
      <x:c r="K913" s="0">
        <x:f>hyperlink("https://icd.who.int/dev11/l-ichi/en#/http%3A%2F%2Fid.who.int%2Ficd%2Fentity%2F237631590","browser")</x:f>
      </x:c>
      <x:c r="L913" s="0">
        <x:f>hyperlink("https://icat2.azurewebsites.net/icat/?ontology=ICD&amp;tab=ClassesTab&amp;id=http%3A%2F%2Fwho.int%2Ficd%23392_802b4dce_3444_418f_b0f7_3a2ab8b0daf4","iCat")</x:f>
      </x:c>
      <x:c r="M913" s="0" t="s">
        <x:v>21</x:v>
      </x:c>
      <x:c r="N913" s="0" t="s">
        <x:v>46</x:v>
      </x:c>
    </x:row>
    <x:row r="914" spans="1:16">
      <x:c r="A914" s="0" t="s">
        <x:v>3506</x:v>
      </x:c>
      <x:c r="B914" s="0" t="s">
        <x:v>3507</x:v>
      </x:c>
      <x:c r="C914" s="0" t="s">
        <x:v>3508</x:v>
      </x:c>
      <x:c r="E914" s="0" t="s">
        <x:v>3509</x:v>
      </x:c>
      <x:c r="F914" s="0" t="s">
        <x:v>45</x:v>
      </x:c>
      <x:c r="G914" s="0" t="s">
        <x:v>19</x:v>
      </x:c>
      <x:c r="H914" s="0" t="s">
        <x:v>20</x:v>
      </x:c>
      <x:c r="I914" s="0" t="s">
        <x:v>21</x:v>
      </x:c>
      <x:c r="K914" s="0">
        <x:f>hyperlink("https://icd.who.int/dev11/l-ichi/en#/http%3A%2F%2Fid.who.int%2Ficd%2Fentity%2F634688758","browser")</x:f>
      </x:c>
      <x:c r="L914" s="0">
        <x:f>hyperlink("https://icat2.azurewebsites.net/icat/?ontology=ICD&amp;tab=ClassesTab&amp;id=http%3A%2F%2Fwho.int%2Ficd%23398_802b4dce_3444_418f_b0f7_3a2ab8b0daf4","iCat")</x:f>
      </x:c>
      <x:c r="M914" s="0" t="s">
        <x:v>21</x:v>
      </x:c>
      <x:c r="N914" s="0" t="s">
        <x:v>46</x:v>
      </x:c>
    </x:row>
    <x:row r="915" spans="1:16">
      <x:c r="A915" s="0" t="s">
        <x:v>3510</x:v>
      </x:c>
      <x:c r="B915" s="0" t="s">
        <x:v>3511</x:v>
      </x:c>
      <x:c r="C915" s="0" t="s">
        <x:v>3512</x:v>
      </x:c>
      <x:c r="E915" s="0" t="s">
        <x:v>3513</x:v>
      </x:c>
      <x:c r="F915" s="0" t="s">
        <x:v>45</x:v>
      </x:c>
      <x:c r="G915" s="0" t="s">
        <x:v>19</x:v>
      </x:c>
      <x:c r="H915" s="0" t="s">
        <x:v>20</x:v>
      </x:c>
      <x:c r="I915" s="0" t="s">
        <x:v>21</x:v>
      </x:c>
      <x:c r="K915" s="0">
        <x:f>hyperlink("https://icd.who.int/dev11/l-ichi/en#/http%3A%2F%2Fid.who.int%2Ficd%2Fentity%2F579557613","browser")</x:f>
      </x:c>
      <x:c r="L915" s="0">
        <x:f>hyperlink("https://icat2.azurewebsites.net/icat/?ontology=ICD&amp;tab=ClassesTab&amp;id=http%3A%2F%2Fwho.int%2Ficd%23406_802b4dce_3444_418f_b0f7_3a2ab8b0daf4","iCat")</x:f>
      </x:c>
      <x:c r="M915" s="0" t="s">
        <x:v>21</x:v>
      </x:c>
      <x:c r="N915" s="0" t="s">
        <x:v>46</x:v>
      </x:c>
    </x:row>
    <x:row r="916" spans="1:16">
      <x:c r="A916" s="0" t="s">
        <x:v>3514</x:v>
      </x:c>
      <x:c r="B916" s="0" t="s">
        <x:v>3515</x:v>
      </x:c>
      <x:c r="C916" s="0" t="s">
        <x:v>3516</x:v>
      </x:c>
      <x:c r="E916" s="0" t="s">
        <x:v>3517</x:v>
      </x:c>
      <x:c r="F916" s="0" t="s">
        <x:v>45</x:v>
      </x:c>
      <x:c r="G916" s="0" t="s">
        <x:v>19</x:v>
      </x:c>
      <x:c r="H916" s="0" t="s">
        <x:v>20</x:v>
      </x:c>
      <x:c r="I916" s="0" t="s">
        <x:v>21</x:v>
      </x:c>
      <x:c r="K916" s="0">
        <x:f>hyperlink("https://icd.who.int/dev11/l-ichi/en#/http%3A%2F%2Fid.who.int%2Ficd%2Fentity%2F231449155","browser")</x:f>
      </x:c>
      <x:c r="L916" s="0">
        <x:f>hyperlink("https://icat2.azurewebsites.net/icat/?ontology=ICD&amp;tab=ClassesTab&amp;id=http%3A%2F%2Fwho.int%2Ficd%23415_802b4dce_3444_418f_b0f7_3a2ab8b0daf4","iCat")</x:f>
      </x:c>
      <x:c r="M916" s="0" t="s">
        <x:v>21</x:v>
      </x:c>
      <x:c r="N916" s="0" t="s">
        <x:v>46</x:v>
      </x:c>
    </x:row>
    <x:row r="917" spans="1:16">
      <x:c r="A917" s="0" t="s">
        <x:v>3518</x:v>
      </x:c>
      <x:c r="B917" s="0" t="s">
        <x:v>3519</x:v>
      </x:c>
      <x:c r="C917" s="0" t="s">
        <x:v>3520</x:v>
      </x:c>
      <x:c r="E917" s="0" t="s">
        <x:v>3521</x:v>
      </x:c>
      <x:c r="F917" s="0" t="s">
        <x:v>45</x:v>
      </x:c>
      <x:c r="G917" s="0" t="s">
        <x:v>19</x:v>
      </x:c>
      <x:c r="H917" s="0" t="s">
        <x:v>20</x:v>
      </x:c>
      <x:c r="I917" s="0" t="s">
        <x:v>21</x:v>
      </x:c>
      <x:c r="K917" s="0">
        <x:f>hyperlink("https://icd.who.int/dev11/l-ichi/en#/http%3A%2F%2Fid.who.int%2Ficd%2Fentity%2F486620149","browser")</x:f>
      </x:c>
      <x:c r="L917" s="0">
        <x:f>hyperlink("https://icat2.azurewebsites.net/icat/?ontology=ICD&amp;tab=ClassesTab&amp;id=http%3A%2F%2Fwho.int%2Ficd%23423_802b4dce_3444_418f_b0f7_3a2ab8b0daf4","iCat")</x:f>
      </x:c>
      <x:c r="M917" s="0" t="s">
        <x:v>21</x:v>
      </x:c>
      <x:c r="N917" s="0" t="s">
        <x:v>46</x:v>
      </x:c>
    </x:row>
    <x:row r="918" spans="1:16">
      <x:c r="A918" s="0" t="s">
        <x:v>3522</x:v>
      </x:c>
      <x:c r="B918" s="0" t="s">
        <x:v>3523</x:v>
      </x:c>
      <x:c r="C918" s="0" t="s">
        <x:v>3524</x:v>
      </x:c>
      <x:c r="E918" s="0" t="s">
        <x:v>3525</x:v>
      </x:c>
      <x:c r="F918" s="0" t="s">
        <x:v>45</x:v>
      </x:c>
      <x:c r="G918" s="0" t="s">
        <x:v>19</x:v>
      </x:c>
      <x:c r="H918" s="0" t="s">
        <x:v>20</x:v>
      </x:c>
      <x:c r="I918" s="0" t="s">
        <x:v>21</x:v>
      </x:c>
      <x:c r="K918" s="0">
        <x:f>hyperlink("https://icd.who.int/dev11/l-ichi/en#/http%3A%2F%2Fid.who.int%2Ficd%2Fentity%2F314094439","browser")</x:f>
      </x:c>
      <x:c r="L918" s="0">
        <x:f>hyperlink("https://icat2.azurewebsites.net/icat/?ontology=ICD&amp;tab=ClassesTab&amp;id=http%3A%2F%2Fwho.int%2Ficd%23431_802b4dce_3444_418f_b0f7_3a2ab8b0daf4","iCat")</x:f>
      </x:c>
      <x:c r="M918" s="0" t="s">
        <x:v>21</x:v>
      </x:c>
      <x:c r="N918" s="0" t="s">
        <x:v>46</x:v>
      </x:c>
    </x:row>
    <x:row r="919" spans="1:16">
      <x:c r="A919" s="0" t="s">
        <x:v>3526</x:v>
      </x:c>
      <x:c r="B919" s="0" t="s">
        <x:v>3527</x:v>
      </x:c>
      <x:c r="C919" s="0" t="s">
        <x:v>3528</x:v>
      </x:c>
      <x:c r="E919" s="0" t="s">
        <x:v>3529</x:v>
      </x:c>
      <x:c r="F919" s="0" t="s">
        <x:v>45</x:v>
      </x:c>
      <x:c r="G919" s="0" t="s">
        <x:v>19</x:v>
      </x:c>
      <x:c r="H919" s="0" t="s">
        <x:v>20</x:v>
      </x:c>
      <x:c r="I919" s="0" t="s">
        <x:v>21</x:v>
      </x:c>
      <x:c r="K919" s="0">
        <x:f>hyperlink("https://icd.who.int/dev11/l-ichi/en#/http%3A%2F%2Fid.who.int%2Ficd%2Fentity%2F577675389","browser")</x:f>
      </x:c>
      <x:c r="L919" s="0">
        <x:f>hyperlink("https://icat2.azurewebsites.net/icat/?ontology=ICD&amp;tab=ClassesTab&amp;id=http%3A%2F%2Fwho.int%2Ficd%23441_802b4dce_3444_418f_b0f7_3a2ab8b0daf4","iCat")</x:f>
      </x:c>
      <x:c r="M919" s="0" t="s">
        <x:v>21</x:v>
      </x:c>
      <x:c r="N919" s="0" t="s">
        <x:v>46</x:v>
      </x:c>
    </x:row>
    <x:row r="920" spans="1:16">
      <x:c r="A920" s="0" t="s">
        <x:v>3530</x:v>
      </x:c>
      <x:c r="B920" s="0" t="s">
        <x:v>3531</x:v>
      </x:c>
      <x:c r="C920" s="0" t="s">
        <x:v>3532</x:v>
      </x:c>
      <x:c r="E920" s="0" t="s">
        <x:v>3533</x:v>
      </x:c>
      <x:c r="F920" s="0" t="s">
        <x:v>45</x:v>
      </x:c>
      <x:c r="G920" s="0" t="s">
        <x:v>19</x:v>
      </x:c>
      <x:c r="H920" s="0" t="s">
        <x:v>20</x:v>
      </x:c>
      <x:c r="I920" s="0" t="s">
        <x:v>21</x:v>
      </x:c>
      <x:c r="K920" s="0">
        <x:f>hyperlink("https://icd.who.int/dev11/l-ichi/en#/http%3A%2F%2Fid.who.int%2Ficd%2Fentity%2F1391201266","browser")</x:f>
      </x:c>
      <x:c r="L920" s="0">
        <x:f>hyperlink("https://icat2.azurewebsites.net/icat/?ontology=ICD&amp;tab=ClassesTab&amp;id=http%3A%2F%2Fwho.int%2Ficd%23446_802b4dce_3444_418f_b0f7_3a2ab8b0daf4","iCat")</x:f>
      </x:c>
      <x:c r="M920" s="0" t="s">
        <x:v>21</x:v>
      </x:c>
      <x:c r="N920" s="0" t="s">
        <x:v>46</x:v>
      </x:c>
    </x:row>
    <x:row r="921" spans="1:16">
      <x:c r="A921" s="0" t="s">
        <x:v>3534</x:v>
      </x:c>
      <x:c r="B921" s="0" t="s">
        <x:v>3535</x:v>
      </x:c>
      <x:c r="C921" s="0" t="s">
        <x:v>3536</x:v>
      </x:c>
      <x:c r="E921" s="0" t="s">
        <x:v>3537</x:v>
      </x:c>
      <x:c r="F921" s="0" t="s">
        <x:v>45</x:v>
      </x:c>
      <x:c r="G921" s="0" t="s">
        <x:v>19</x:v>
      </x:c>
      <x:c r="H921" s="0" t="s">
        <x:v>20</x:v>
      </x:c>
      <x:c r="I921" s="0" t="s">
        <x:v>21</x:v>
      </x:c>
      <x:c r="K921" s="0">
        <x:f>hyperlink("https://icd.who.int/dev11/l-ichi/en#/http%3A%2F%2Fid.who.int%2Ficd%2Fentity%2F1219179820","browser")</x:f>
      </x:c>
      <x:c r="L921" s="0">
        <x:f>hyperlink("https://icat2.azurewebsites.net/icat/?ontology=ICD&amp;tab=ClassesTab&amp;id=http%3A%2F%2Fwho.int%2Ficd%23451_802b4dce_3444_418f_b0f7_3a2ab8b0daf4","iCat")</x:f>
      </x:c>
      <x:c r="M921" s="0" t="s">
        <x:v>21</x:v>
      </x:c>
      <x:c r="N921" s="0" t="s">
        <x:v>46</x:v>
      </x:c>
    </x:row>
    <x:row r="922" spans="1:16">
      <x:c r="A922" s="0" t="s">
        <x:v>3538</x:v>
      </x:c>
      <x:c r="B922" s="0" t="s">
        <x:v>3539</x:v>
      </x:c>
      <x:c r="C922" s="0" t="s">
        <x:v>3540</x:v>
      </x:c>
      <x:c r="E922" s="0" t="s">
        <x:v>3541</x:v>
      </x:c>
      <x:c r="F922" s="0" t="s">
        <x:v>45</x:v>
      </x:c>
      <x:c r="G922" s="0" t="s">
        <x:v>19</x:v>
      </x:c>
      <x:c r="H922" s="0" t="s">
        <x:v>20</x:v>
      </x:c>
      <x:c r="I922" s="0" t="s">
        <x:v>21</x:v>
      </x:c>
      <x:c r="K922" s="0">
        <x:f>hyperlink("https://icd.who.int/dev11/l-ichi/en#/http%3A%2F%2Fid.who.int%2Ficd%2Fentity%2F1302272726","browser")</x:f>
      </x:c>
      <x:c r="L922" s="0">
        <x:f>hyperlink("https://icat2.azurewebsites.net/icat/?ontology=ICD&amp;tab=ClassesTab&amp;id=http%3A%2F%2Fwho.int%2Ficd%23462_802b4dce_3444_418f_b0f7_3a2ab8b0daf4","iCat")</x:f>
      </x:c>
      <x:c r="M922" s="0" t="s">
        <x:v>21</x:v>
      </x:c>
      <x:c r="N922" s="0" t="s">
        <x:v>46</x:v>
      </x:c>
    </x:row>
    <x:row r="923" spans="1:16">
      <x:c r="A923" s="0" t="s">
        <x:v>3542</x:v>
      </x:c>
      <x:c r="B923" s="0" t="s">
        <x:v>3543</x:v>
      </x:c>
      <x:c r="C923" s="0" t="s">
        <x:v>3544</x:v>
      </x:c>
      <x:c r="E923" s="0" t="s">
        <x:v>3545</x:v>
      </x:c>
      <x:c r="F923" s="0" t="s">
        <x:v>45</x:v>
      </x:c>
      <x:c r="G923" s="0" t="s">
        <x:v>19</x:v>
      </x:c>
      <x:c r="H923" s="0" t="s">
        <x:v>20</x:v>
      </x:c>
      <x:c r="I923" s="0" t="s">
        <x:v>21</x:v>
      </x:c>
      <x:c r="K923" s="0">
        <x:f>hyperlink("https://icd.who.int/dev11/l-ichi/en#/http%3A%2F%2Fid.who.int%2Ficd%2Fentity%2F128187839","browser")</x:f>
      </x:c>
      <x:c r="L923" s="0">
        <x:f>hyperlink("https://icat2.azurewebsites.net/icat/?ontology=ICD&amp;tab=ClassesTab&amp;id=http%3A%2F%2Fwho.int%2Ficd%23473_802b4dce_3444_418f_b0f7_3a2ab8b0daf4","iCat")</x:f>
      </x:c>
      <x:c r="M923" s="0" t="s">
        <x:v>21</x:v>
      </x:c>
      <x:c r="N923" s="0" t="s">
        <x:v>46</x:v>
      </x:c>
    </x:row>
    <x:row r="924" spans="1:16">
      <x:c r="A924" s="0" t="s">
        <x:v>3546</x:v>
      </x:c>
      <x:c r="B924" s="0" t="s">
        <x:v>3547</x:v>
      </x:c>
      <x:c r="C924" s="0" t="s">
        <x:v>3548</x:v>
      </x:c>
      <x:c r="E924" s="0" t="s">
        <x:v>3549</x:v>
      </x:c>
      <x:c r="F924" s="0" t="s">
        <x:v>45</x:v>
      </x:c>
      <x:c r="G924" s="0" t="s">
        <x:v>19</x:v>
      </x:c>
      <x:c r="H924" s="0" t="s">
        <x:v>20</x:v>
      </x:c>
      <x:c r="I924" s="0" t="s">
        <x:v>21</x:v>
      </x:c>
      <x:c r="K924" s="0">
        <x:f>hyperlink("https://icd.who.int/dev11/l-ichi/en#/http%3A%2F%2Fid.who.int%2Ficd%2Fentity%2F212329235","browser")</x:f>
      </x:c>
      <x:c r="L924" s="0">
        <x:f>hyperlink("https://icat2.azurewebsites.net/icat/?ontology=ICD&amp;tab=ClassesTab&amp;id=http%3A%2F%2Fwho.int%2Ficd%23478_802b4dce_3444_418f_b0f7_3a2ab8b0daf4","iCat")</x:f>
      </x:c>
      <x:c r="M924" s="0" t="s">
        <x:v>21</x:v>
      </x:c>
      <x:c r="N924" s="0" t="s">
        <x:v>46</x:v>
      </x:c>
    </x:row>
    <x:row r="925" spans="1:16">
      <x:c r="A925" s="0" t="s">
        <x:v>3550</x:v>
      </x:c>
      <x:c r="B925" s="0" t="s">
        <x:v>3551</x:v>
      </x:c>
      <x:c r="C925" s="0" t="s">
        <x:v>3552</x:v>
      </x:c>
      <x:c r="E925" s="0" t="s">
        <x:v>3553</x:v>
      </x:c>
      <x:c r="F925" s="0" t="s">
        <x:v>45</x:v>
      </x:c>
      <x:c r="G925" s="0" t="s">
        <x:v>19</x:v>
      </x:c>
      <x:c r="H925" s="0" t="s">
        <x:v>20</x:v>
      </x:c>
      <x:c r="I925" s="0" t="s">
        <x:v>21</x:v>
      </x:c>
      <x:c r="K925" s="0">
        <x:f>hyperlink("https://icd.who.int/dev11/l-ichi/en#/http%3A%2F%2Fid.who.int%2Ficd%2Fentity%2F675592033","browser")</x:f>
      </x:c>
      <x:c r="L925" s="0">
        <x:f>hyperlink("https://icat2.azurewebsites.net/icat/?ontology=ICD&amp;tab=ClassesTab&amp;id=http%3A%2F%2Fwho.int%2Ficd%23483_802b4dce_3444_418f_b0f7_3a2ab8b0daf4","iCat")</x:f>
      </x:c>
      <x:c r="M925" s="0" t="s">
        <x:v>21</x:v>
      </x:c>
      <x:c r="N925" s="0" t="s">
        <x:v>46</x:v>
      </x:c>
    </x:row>
    <x:row r="926" spans="1:16">
      <x:c r="A926" s="0" t="s">
        <x:v>3554</x:v>
      </x:c>
      <x:c r="B926" s="0" t="s">
        <x:v>3555</x:v>
      </x:c>
      <x:c r="C926" s="0" t="s">
        <x:v>3556</x:v>
      </x:c>
      <x:c r="E926" s="0" t="s">
        <x:v>3557</x:v>
      </x:c>
      <x:c r="F926" s="0" t="s">
        <x:v>45</x:v>
      </x:c>
      <x:c r="G926" s="0" t="s">
        <x:v>19</x:v>
      </x:c>
      <x:c r="H926" s="0" t="s">
        <x:v>20</x:v>
      </x:c>
      <x:c r="I926" s="0" t="s">
        <x:v>21</x:v>
      </x:c>
      <x:c r="K926" s="0">
        <x:f>hyperlink("https://icd.who.int/dev11/l-ichi/en#/http%3A%2F%2Fid.who.int%2Ficd%2Fentity%2F591440333","browser")</x:f>
      </x:c>
      <x:c r="L926" s="0">
        <x:f>hyperlink("https://icat2.azurewebsites.net/icat/?ontology=ICD&amp;tab=ClassesTab&amp;id=http%3A%2F%2Fwho.int%2Ficd%23488_802b4dce_3444_418f_b0f7_3a2ab8b0daf4","iCat")</x:f>
      </x:c>
      <x:c r="M926" s="0" t="s">
        <x:v>21</x:v>
      </x:c>
      <x:c r="N926" s="0" t="s">
        <x:v>46</x:v>
      </x:c>
    </x:row>
    <x:row r="927" spans="1:16">
      <x:c r="A927" s="0" t="s">
        <x:v>3558</x:v>
      </x:c>
      <x:c r="B927" s="0" t="s">
        <x:v>3559</x:v>
      </x:c>
      <x:c r="C927" s="0" t="s">
        <x:v>3560</x:v>
      </x:c>
      <x:c r="E927" s="0" t="s">
        <x:v>3561</x:v>
      </x:c>
      <x:c r="F927" s="0" t="s">
        <x:v>45</x:v>
      </x:c>
      <x:c r="G927" s="0" t="s">
        <x:v>19</x:v>
      </x:c>
      <x:c r="H927" s="0" t="s">
        <x:v>20</x:v>
      </x:c>
      <x:c r="I927" s="0" t="s">
        <x:v>21</x:v>
      </x:c>
      <x:c r="K927" s="0">
        <x:f>hyperlink("https://icd.who.int/dev11/l-ichi/en#/http%3A%2F%2Fid.who.int%2Ficd%2Fentity%2F1115759158","browser")</x:f>
      </x:c>
      <x:c r="L927" s="0">
        <x:f>hyperlink("https://icat2.azurewebsites.net/icat/?ontology=ICD&amp;tab=ClassesTab&amp;id=http%3A%2F%2Fwho.int%2Ficd%23493_802b4dce_3444_418f_b0f7_3a2ab8b0daf4","iCat")</x:f>
      </x:c>
      <x:c r="M927" s="0" t="s">
        <x:v>21</x:v>
      </x:c>
      <x:c r="N927" s="0" t="s">
        <x:v>46</x:v>
      </x:c>
    </x:row>
    <x:row r="928" spans="1:16">
      <x:c r="A928" s="0" t="s">
        <x:v>3562</x:v>
      </x:c>
      <x:c r="B928" s="0" t="s">
        <x:v>3563</x:v>
      </x:c>
      <x:c r="C928" s="0" t="s">
        <x:v>3564</x:v>
      </x:c>
      <x:c r="E928" s="0" t="s">
        <x:v>3565</x:v>
      </x:c>
      <x:c r="F928" s="0" t="s">
        <x:v>45</x:v>
      </x:c>
      <x:c r="G928" s="0" t="s">
        <x:v>19</x:v>
      </x:c>
      <x:c r="H928" s="0" t="s">
        <x:v>20</x:v>
      </x:c>
      <x:c r="I928" s="0" t="s">
        <x:v>21</x:v>
      </x:c>
      <x:c r="K928" s="0">
        <x:f>hyperlink("https://icd.who.int/dev11/l-ichi/en#/http%3A%2F%2Fid.who.int%2Ficd%2Fentity%2F664155645","browser")</x:f>
      </x:c>
      <x:c r="L928" s="0">
        <x:f>hyperlink("https://icat2.azurewebsites.net/icat/?ontology=ICD&amp;tab=ClassesTab&amp;id=http%3A%2F%2Fwho.int%2Ficd%23501_802b4dce_3444_418f_b0f7_3a2ab8b0daf4","iCat")</x:f>
      </x:c>
      <x:c r="M928" s="0" t="s">
        <x:v>21</x:v>
      </x:c>
      <x:c r="N928" s="0" t="s">
        <x:v>46</x:v>
      </x:c>
    </x:row>
    <x:row r="929" spans="1:16">
      <x:c r="A929" s="0" t="s">
        <x:v>3566</x:v>
      </x:c>
      <x:c r="B929" s="0" t="s">
        <x:v>3567</x:v>
      </x:c>
      <x:c r="C929" s="0" t="s">
        <x:v>3568</x:v>
      </x:c>
      <x:c r="E929" s="0" t="s">
        <x:v>3569</x:v>
      </x:c>
      <x:c r="F929" s="0" t="s">
        <x:v>45</x:v>
      </x:c>
      <x:c r="G929" s="0" t="s">
        <x:v>19</x:v>
      </x:c>
      <x:c r="H929" s="0" t="s">
        <x:v>20</x:v>
      </x:c>
      <x:c r="I929" s="0" t="s">
        <x:v>21</x:v>
      </x:c>
      <x:c r="K929" s="0">
        <x:f>hyperlink("https://icd.who.int/dev11/l-ichi/en#/http%3A%2F%2Fid.who.int%2Ficd%2Fentity%2F1240348308","browser")</x:f>
      </x:c>
      <x:c r="L929" s="0">
        <x:f>hyperlink("https://icat2.azurewebsites.net/icat/?ontology=ICD&amp;tab=ClassesTab&amp;id=http%3A%2F%2Fwho.int%2Ficd%23508_802b4dce_3444_418f_b0f7_3a2ab8b0daf4","iCat")</x:f>
      </x:c>
      <x:c r="M929" s="0" t="s">
        <x:v>21</x:v>
      </x:c>
      <x:c r="N929" s="0" t="s">
        <x:v>46</x:v>
      </x:c>
    </x:row>
    <x:row r="930" spans="1:16">
      <x:c r="A930" s="0" t="s">
        <x:v>3570</x:v>
      </x:c>
      <x:c r="B930" s="0" t="s">
        <x:v>3571</x:v>
      </x:c>
      <x:c r="C930" s="0" t="s">
        <x:v>3572</x:v>
      </x:c>
      <x:c r="E930" s="0" t="s">
        <x:v>3573</x:v>
      </x:c>
      <x:c r="F930" s="0" t="s">
        <x:v>45</x:v>
      </x:c>
      <x:c r="G930" s="0" t="s">
        <x:v>19</x:v>
      </x:c>
      <x:c r="H930" s="0" t="s">
        <x:v>20</x:v>
      </x:c>
      <x:c r="I930" s="0" t="s">
        <x:v>21</x:v>
      </x:c>
      <x:c r="K930" s="0">
        <x:f>hyperlink("https://icd.who.int/dev11/l-ichi/en#/http%3A%2F%2Fid.who.int%2Ficd%2Fentity%2F674217327","browser")</x:f>
      </x:c>
      <x:c r="L930" s="0">
        <x:f>hyperlink("https://icat2.azurewebsites.net/icat/?ontology=ICD&amp;tab=ClassesTab&amp;id=http%3A%2F%2Fwho.int%2Ficd%23513_802b4dce_3444_418f_b0f7_3a2ab8b0daf4","iCat")</x:f>
      </x:c>
      <x:c r="M930" s="0" t="s">
        <x:v>21</x:v>
      </x:c>
      <x:c r="N930" s="0" t="s">
        <x:v>46</x:v>
      </x:c>
    </x:row>
    <x:row r="931" spans="1:16">
      <x:c r="A931" s="0" t="s">
        <x:v>3574</x:v>
      </x:c>
      <x:c r="B931" s="0" t="s">
        <x:v>3575</x:v>
      </x:c>
      <x:c r="C931" s="0" t="s">
        <x:v>3576</x:v>
      </x:c>
      <x:c r="E931" s="0" t="s">
        <x:v>3577</x:v>
      </x:c>
      <x:c r="F931" s="0" t="s">
        <x:v>45</x:v>
      </x:c>
      <x:c r="G931" s="0" t="s">
        <x:v>19</x:v>
      </x:c>
      <x:c r="H931" s="0" t="s">
        <x:v>20</x:v>
      </x:c>
      <x:c r="I931" s="0" t="s">
        <x:v>21</x:v>
      </x:c>
      <x:c r="K931" s="0">
        <x:f>hyperlink("https://icd.who.int/dev11/l-ichi/en#/http%3A%2F%2Fid.who.int%2Ficd%2Fentity%2F590062531","browser")</x:f>
      </x:c>
      <x:c r="L931" s="0">
        <x:f>hyperlink("https://icat2.azurewebsites.net/icat/?ontology=ICD&amp;tab=ClassesTab&amp;id=http%3A%2F%2Fwho.int%2Ficd%23518_802b4dce_3444_418f_b0f7_3a2ab8b0daf4","iCat")</x:f>
      </x:c>
      <x:c r="M931" s="0" t="s">
        <x:v>21</x:v>
      </x:c>
      <x:c r="N931" s="0" t="s">
        <x:v>46</x:v>
      </x:c>
    </x:row>
    <x:row r="932" spans="1:16">
      <x:c r="A932" s="0" t="s">
        <x:v>3578</x:v>
      </x:c>
      <x:c r="B932" s="0" t="s">
        <x:v>3579</x:v>
      </x:c>
      <x:c r="C932" s="0" t="s">
        <x:v>3580</x:v>
      </x:c>
      <x:c r="E932" s="0" t="s">
        <x:v>3581</x:v>
      </x:c>
      <x:c r="F932" s="0" t="s">
        <x:v>45</x:v>
      </x:c>
      <x:c r="G932" s="0" t="s">
        <x:v>19</x:v>
      </x:c>
      <x:c r="H932" s="0" t="s">
        <x:v>20</x:v>
      </x:c>
      <x:c r="I932" s="0" t="s">
        <x:v>21</x:v>
      </x:c>
      <x:c r="K932" s="0">
        <x:f>hyperlink("https://icd.who.int/dev11/l-ichi/en#/http%3A%2F%2Fid.who.int%2Ficd%2Fentity%2F1755250024","browser")</x:f>
      </x:c>
      <x:c r="L932" s="0">
        <x:f>hyperlink("https://icat2.azurewebsites.net/icat/?ontology=ICD&amp;tab=ClassesTab&amp;id=http%3A%2F%2Fwho.int%2Ficd%23523_802b4dce_3444_418f_b0f7_3a2ab8b0daf4","iCat")</x:f>
      </x:c>
      <x:c r="M932" s="0" t="s">
        <x:v>21</x:v>
      </x:c>
      <x:c r="N932" s="0" t="s">
        <x:v>46</x:v>
      </x:c>
    </x:row>
    <x:row r="933" spans="1:16">
      <x:c r="A933" s="0" t="s">
        <x:v>3582</x:v>
      </x:c>
      <x:c r="B933" s="0" t="s">
        <x:v>3583</x:v>
      </x:c>
      <x:c r="C933" s="0" t="s">
        <x:v>3584</x:v>
      </x:c>
      <x:c r="E933" s="0" t="s">
        <x:v>3585</x:v>
      </x:c>
      <x:c r="F933" s="0" t="s">
        <x:v>45</x:v>
      </x:c>
      <x:c r="G933" s="0" t="s">
        <x:v>19</x:v>
      </x:c>
      <x:c r="H933" s="0" t="s">
        <x:v>20</x:v>
      </x:c>
      <x:c r="I933" s="0" t="s">
        <x:v>21</x:v>
      </x:c>
      <x:c r="K933" s="0">
        <x:f>hyperlink("https://icd.who.int/dev11/l-ichi/en#/http%3A%2F%2Fid.who.int%2Ficd%2Fentity%2F1205733320","browser")</x:f>
      </x:c>
      <x:c r="L933" s="0">
        <x:f>hyperlink("https://icat2.azurewebsites.net/icat/?ontology=ICD&amp;tab=ClassesTab&amp;id=http%3A%2F%2Fwho.int%2Ficd%23530_802b4dce_3444_418f_b0f7_3a2ab8b0daf4","iCat")</x:f>
      </x:c>
      <x:c r="M933" s="0" t="s">
        <x:v>21</x:v>
      </x:c>
      <x:c r="N933" s="0" t="s">
        <x:v>46</x:v>
      </x:c>
    </x:row>
    <x:row r="934" spans="1:16">
      <x:c r="A934" s="0" t="s">
        <x:v>3586</x:v>
      </x:c>
      <x:c r="B934" s="0" t="s">
        <x:v>3587</x:v>
      </x:c>
      <x:c r="C934" s="0" t="s">
        <x:v>3588</x:v>
      </x:c>
      <x:c r="E934" s="0" t="s">
        <x:v>3589</x:v>
      </x:c>
      <x:c r="F934" s="0" t="s">
        <x:v>45</x:v>
      </x:c>
      <x:c r="G934" s="0" t="s">
        <x:v>19</x:v>
      </x:c>
      <x:c r="H934" s="0" t="s">
        <x:v>20</x:v>
      </x:c>
      <x:c r="I934" s="0" t="s">
        <x:v>21</x:v>
      </x:c>
      <x:c r="K934" s="0">
        <x:f>hyperlink("https://icd.who.int/dev11/l-ichi/en#/http%3A%2F%2Fid.who.int%2Ficd%2Fentity%2F1475438306","browser")</x:f>
      </x:c>
      <x:c r="L934" s="0">
        <x:f>hyperlink("https://icat2.azurewebsites.net/icat/?ontology=ICD&amp;tab=ClassesTab&amp;id=http%3A%2F%2Fwho.int%2Ficd%23541_802b4dce_3444_418f_b0f7_3a2ab8b0daf4","iCat")</x:f>
      </x:c>
      <x:c r="M934" s="0" t="s">
        <x:v>21</x:v>
      </x:c>
      <x:c r="N934" s="0" t="s">
        <x:v>46</x:v>
      </x:c>
    </x:row>
    <x:row r="935" spans="1:16">
      <x:c r="A935" s="0" t="s">
        <x:v>3590</x:v>
      </x:c>
      <x:c r="B935" s="0" t="s">
        <x:v>3591</x:v>
      </x:c>
      <x:c r="C935" s="0" t="s">
        <x:v>3592</x:v>
      </x:c>
      <x:c r="E935" s="0" t="s">
        <x:v>3593</x:v>
      </x:c>
      <x:c r="F935" s="0" t="s">
        <x:v>45</x:v>
      </x:c>
      <x:c r="G935" s="0" t="s">
        <x:v>19</x:v>
      </x:c>
      <x:c r="H935" s="0" t="s">
        <x:v>20</x:v>
      </x:c>
      <x:c r="I935" s="0" t="s">
        <x:v>21</x:v>
      </x:c>
      <x:c r="K935" s="0">
        <x:f>hyperlink("https://icd.who.int/dev11/l-ichi/en#/http%3A%2F%2Fid.who.int%2Ficd%2Fentity%2F426776501","browser")</x:f>
      </x:c>
      <x:c r="L935" s="0">
        <x:f>hyperlink("https://icat2.azurewebsites.net/icat/?ontology=ICD&amp;tab=ClassesTab&amp;id=http%3A%2F%2Fwho.int%2Ficd%23549_802b4dce_3444_418f_b0f7_3a2ab8b0daf4","iCat")</x:f>
      </x:c>
      <x:c r="M935" s="0" t="s">
        <x:v>21</x:v>
      </x:c>
      <x:c r="N935" s="0" t="s">
        <x:v>46</x:v>
      </x:c>
    </x:row>
    <x:row r="936" spans="1:16">
      <x:c r="A936" s="0" t="s">
        <x:v>3594</x:v>
      </x:c>
      <x:c r="B936" s="0" t="s">
        <x:v>3595</x:v>
      </x:c>
      <x:c r="C936" s="0" t="s">
        <x:v>3596</x:v>
      </x:c>
      <x:c r="E936" s="0" t="s">
        <x:v>3597</x:v>
      </x:c>
      <x:c r="F936" s="0" t="s">
        <x:v>45</x:v>
      </x:c>
      <x:c r="G936" s="0" t="s">
        <x:v>19</x:v>
      </x:c>
      <x:c r="H936" s="0" t="s">
        <x:v>20</x:v>
      </x:c>
      <x:c r="I936" s="0" t="s">
        <x:v>21</x:v>
      </x:c>
      <x:c r="K936" s="0">
        <x:f>hyperlink("https://icd.who.int/dev11/l-ichi/en#/http%3A%2F%2Fid.who.int%2Ficd%2Fentity%2F1303795772","browser")</x:f>
      </x:c>
      <x:c r="L936" s="0">
        <x:f>hyperlink("https://icat2.azurewebsites.net/icat/?ontology=ICD&amp;tab=ClassesTab&amp;id=http%3A%2F%2Fwho.int%2Ficd%23556_802b4dce_3444_418f_b0f7_3a2ab8b0daf4","iCat")</x:f>
      </x:c>
      <x:c r="M936" s="0" t="s">
        <x:v>21</x:v>
      </x:c>
      <x:c r="N936" s="0" t="s">
        <x:v>46</x:v>
      </x:c>
    </x:row>
    <x:row r="937" spans="1:16">
      <x:c r="A937" s="0" t="s">
        <x:v>3598</x:v>
      </x:c>
      <x:c r="B937" s="0" t="s">
        <x:v>3599</x:v>
      </x:c>
      <x:c r="C937" s="0" t="s">
        <x:v>3600</x:v>
      </x:c>
      <x:c r="E937" s="0" t="s">
        <x:v>3601</x:v>
      </x:c>
      <x:c r="F937" s="0" t="s">
        <x:v>45</x:v>
      </x:c>
      <x:c r="G937" s="0" t="s">
        <x:v>19</x:v>
      </x:c>
      <x:c r="H937" s="0" t="s">
        <x:v>20</x:v>
      </x:c>
      <x:c r="I937" s="0" t="s">
        <x:v>21</x:v>
      </x:c>
      <x:c r="K937" s="0">
        <x:f>hyperlink("https://icd.who.int/dev11/l-ichi/en#/http%3A%2F%2Fid.who.int%2Ficd%2Fentity%2F2105914288","browser")</x:f>
      </x:c>
      <x:c r="L937" s="0">
        <x:f>hyperlink("https://icat2.azurewebsites.net/icat/?ontology=ICD&amp;tab=ClassesTab&amp;id=http%3A%2F%2Fwho.int%2Ficd%23561_802b4dce_3444_418f_b0f7_3a2ab8b0daf4","iCat")</x:f>
      </x:c>
      <x:c r="M937" s="0" t="s">
        <x:v>21</x:v>
      </x:c>
      <x:c r="N937" s="0" t="s">
        <x:v>46</x:v>
      </x:c>
    </x:row>
    <x:row r="938" spans="1:16">
      <x:c r="A938" s="0" t="s">
        <x:v>3602</x:v>
      </x:c>
      <x:c r="B938" s="0" t="s">
        <x:v>3603</x:v>
      </x:c>
      <x:c r="C938" s="0" t="s">
        <x:v>3604</x:v>
      </x:c>
      <x:c r="E938" s="0" t="s">
        <x:v>3605</x:v>
      </x:c>
      <x:c r="F938" s="0" t="s">
        <x:v>45</x:v>
      </x:c>
      <x:c r="G938" s="0" t="s">
        <x:v>19</x:v>
      </x:c>
      <x:c r="H938" s="0" t="s">
        <x:v>20</x:v>
      </x:c>
      <x:c r="I938" s="0" t="s">
        <x:v>21</x:v>
      </x:c>
      <x:c r="K938" s="0">
        <x:f>hyperlink("https://icd.who.int/dev11/l-ichi/en#/http%3A%2F%2Fid.who.int%2Ficd%2Fentity%2F218568765","browser")</x:f>
      </x:c>
      <x:c r="L938" s="0">
        <x:f>hyperlink("https://icat2.azurewebsites.net/icat/?ontology=ICD&amp;tab=ClassesTab&amp;id=http%3A%2F%2Fwho.int%2Ficd%23566_802b4dce_3444_418f_b0f7_3a2ab8b0daf4","iCat")</x:f>
      </x:c>
      <x:c r="M938" s="0" t="s">
        <x:v>21</x:v>
      </x:c>
      <x:c r="N938" s="0" t="s">
        <x:v>46</x:v>
      </x:c>
    </x:row>
    <x:row r="939" spans="1:16">
      <x:c r="A939" s="0" t="s">
        <x:v>3606</x:v>
      </x:c>
      <x:c r="B939" s="0" t="s">
        <x:v>3607</x:v>
      </x:c>
      <x:c r="C939" s="0" t="s">
        <x:v>3608</x:v>
      </x:c>
      <x:c r="E939" s="0" t="s">
        <x:v>3609</x:v>
      </x:c>
      <x:c r="F939" s="0" t="s">
        <x:v>45</x:v>
      </x:c>
      <x:c r="G939" s="0" t="s">
        <x:v>19</x:v>
      </x:c>
      <x:c r="H939" s="0" t="s">
        <x:v>20</x:v>
      </x:c>
      <x:c r="I939" s="0" t="s">
        <x:v>21</x:v>
      </x:c>
      <x:c r="K939" s="0">
        <x:f>hyperlink("https://icd.who.int/dev11/l-ichi/en#/http%3A%2F%2Fid.who.int%2Ficd%2Fentity%2F1388661024","browser")</x:f>
      </x:c>
      <x:c r="L939" s="0">
        <x:f>hyperlink("https://icat2.azurewebsites.net/icat/?ontology=ICD&amp;tab=ClassesTab&amp;id=http%3A%2F%2Fwho.int%2Ficd%23572_802b4dce_3444_418f_b0f7_3a2ab8b0daf4","iCat")</x:f>
      </x:c>
      <x:c r="M939" s="0" t="s">
        <x:v>21</x:v>
      </x:c>
      <x:c r="N939" s="0" t="s">
        <x:v>46</x:v>
      </x:c>
    </x:row>
    <x:row r="940" spans="1:16">
      <x:c r="A940" s="0" t="s">
        <x:v>3610</x:v>
      </x:c>
      <x:c r="B940" s="0" t="s">
        <x:v>3611</x:v>
      </x:c>
      <x:c r="C940" s="0" t="s">
        <x:v>3612</x:v>
      </x:c>
      <x:c r="E940" s="0" t="s">
        <x:v>3613</x:v>
      </x:c>
      <x:c r="F940" s="0" t="s">
        <x:v>45</x:v>
      </x:c>
      <x:c r="G940" s="0" t="s">
        <x:v>19</x:v>
      </x:c>
      <x:c r="H940" s="0" t="s">
        <x:v>20</x:v>
      </x:c>
      <x:c r="I940" s="0" t="s">
        <x:v>21</x:v>
      </x:c>
      <x:c r="K940" s="0">
        <x:f>hyperlink("https://icd.who.int/dev11/l-ichi/en#/http%3A%2F%2Fid.who.int%2Ficd%2Fentity%2F369445895","browser")</x:f>
      </x:c>
      <x:c r="L940" s="0">
        <x:f>hyperlink("https://icat2.azurewebsites.net/icat/?ontology=ICD&amp;tab=ClassesTab&amp;id=http%3A%2F%2Fwho.int%2Ficd%2313790_4869915e_217e_423d_acb3_33c0f920ef4b","iCat")</x:f>
      </x:c>
      <x:c r="M940" s="0" t="s">
        <x:v>21</x:v>
      </x:c>
      <x:c r="N940" s="0" t="s">
        <x:v>46</x:v>
      </x:c>
    </x:row>
    <x:row r="941" spans="1:16">
      <x:c r="A941" s="0" t="s">
        <x:v>3614</x:v>
      </x:c>
      <x:c r="B941" s="0" t="s">
        <x:v>3615</x:v>
      </x:c>
      <x:c r="C941" s="0" t="s">
        <x:v>3616</x:v>
      </x:c>
      <x:c r="E941" s="0" t="s">
        <x:v>3617</x:v>
      </x:c>
      <x:c r="F941" s="0" t="s">
        <x:v>45</x:v>
      </x:c>
      <x:c r="G941" s="0" t="s">
        <x:v>19</x:v>
      </x:c>
      <x:c r="H941" s="0" t="s">
        <x:v>20</x:v>
      </x:c>
      <x:c r="I941" s="0" t="s">
        <x:v>21</x:v>
      </x:c>
      <x:c r="K941" s="0">
        <x:f>hyperlink("https://icd.who.int/dev11/l-ichi/en#/http%3A%2F%2Fid.who.int%2Ficd%2Fentity%2F1195114328","browser")</x:f>
      </x:c>
      <x:c r="L941" s="0">
        <x:f>hyperlink("https://icat2.azurewebsites.net/icat/?ontology=ICD&amp;tab=ClassesTab&amp;id=http%3A%2F%2Fwho.int%2Ficd%23577_802b4dce_3444_418f_b0f7_3a2ab8b0daf4","iCat")</x:f>
      </x:c>
      <x:c r="M941" s="0" t="s">
        <x:v>21</x:v>
      </x:c>
      <x:c r="N941" s="0" t="s">
        <x:v>46</x:v>
      </x:c>
    </x:row>
    <x:row r="942" spans="1:16">
      <x:c r="A942" s="0" t="s">
        <x:v>3618</x:v>
      </x:c>
      <x:c r="B942" s="0" t="s">
        <x:v>3619</x:v>
      </x:c>
      <x:c r="C942" s="0" t="s">
        <x:v>3620</x:v>
      </x:c>
      <x:c r="E942" s="0" t="s">
        <x:v>3621</x:v>
      </x:c>
      <x:c r="F942" s="0" t="s">
        <x:v>45</x:v>
      </x:c>
      <x:c r="G942" s="0" t="s">
        <x:v>19</x:v>
      </x:c>
      <x:c r="H942" s="0" t="s">
        <x:v>20</x:v>
      </x:c>
      <x:c r="I942" s="0" t="s">
        <x:v>21</x:v>
      </x:c>
      <x:c r="K942" s="0">
        <x:f>hyperlink("https://icd.who.int/dev11/l-ichi/en#/http%3A%2F%2Fid.who.int%2Ficd%2Fentity%2F2099381186","browser")</x:f>
      </x:c>
      <x:c r="L942" s="0">
        <x:f>hyperlink("https://icat2.azurewebsites.net/icat/?ontology=ICD&amp;tab=ClassesTab&amp;id=http%3A%2F%2Fwho.int%2Ficd%23582_802b4dce_3444_418f_b0f7_3a2ab8b0daf4","iCat")</x:f>
      </x:c>
      <x:c r="M942" s="0" t="s">
        <x:v>21</x:v>
      </x:c>
      <x:c r="N942" s="0" t="s">
        <x:v>46</x:v>
      </x:c>
    </x:row>
    <x:row r="943" spans="1:16">
      <x:c r="A943" s="0" t="s">
        <x:v>3622</x:v>
      </x:c>
      <x:c r="B943" s="0" t="s">
        <x:v>3623</x:v>
      </x:c>
      <x:c r="C943" s="0" t="s">
        <x:v>3624</x:v>
      </x:c>
      <x:c r="E943" s="0" t="s">
        <x:v>3625</x:v>
      </x:c>
      <x:c r="F943" s="0" t="s">
        <x:v>45</x:v>
      </x:c>
      <x:c r="G943" s="0" t="s">
        <x:v>19</x:v>
      </x:c>
      <x:c r="H943" s="0" t="s">
        <x:v>20</x:v>
      </x:c>
      <x:c r="I943" s="0" t="s">
        <x:v>21</x:v>
      </x:c>
      <x:c r="K943" s="0">
        <x:f>hyperlink("https://icd.who.int/dev11/l-ichi/en#/http%3A%2F%2Fid.who.int%2Ficd%2Fentity%2F924771499","browser")</x:f>
      </x:c>
      <x:c r="L943" s="0">
        <x:f>hyperlink("https://icat2.azurewebsites.net/icat/?ontology=ICD&amp;tab=ClassesTab&amp;id=http%3A%2F%2Fwho.int%2Ficd%23593_802b4dce_3444_418f_b0f7_3a2ab8b0daf4","iCat")</x:f>
      </x:c>
      <x:c r="M943" s="0" t="s">
        <x:v>21</x:v>
      </x:c>
      <x:c r="N943" s="0" t="s">
        <x:v>46</x:v>
      </x:c>
    </x:row>
    <x:row r="944" spans="1:16">
      <x:c r="A944" s="0" t="s">
        <x:v>3626</x:v>
      </x:c>
      <x:c r="B944" s="0" t="s">
        <x:v>3627</x:v>
      </x:c>
      <x:c r="C944" s="0" t="s">
        <x:v>3628</x:v>
      </x:c>
      <x:c r="E944" s="0" t="s">
        <x:v>3629</x:v>
      </x:c>
      <x:c r="F944" s="0" t="s">
        <x:v>45</x:v>
      </x:c>
      <x:c r="G944" s="0" t="s">
        <x:v>19</x:v>
      </x:c>
      <x:c r="H944" s="0" t="s">
        <x:v>20</x:v>
      </x:c>
      <x:c r="I944" s="0" t="s">
        <x:v>21</x:v>
      </x:c>
      <x:c r="K944" s="0">
        <x:f>hyperlink("https://icd.who.int/dev11/l-ichi/en#/http%3A%2F%2Fid.who.int%2Ficd%2Fentity%2F1714484122","browser")</x:f>
      </x:c>
      <x:c r="L944" s="0">
        <x:f>hyperlink("https://icat2.azurewebsites.net/icat/?ontology=ICD&amp;tab=ClassesTab&amp;id=http%3A%2F%2Fwho.int%2Ficd%23600_802b4dce_3444_418f_b0f7_3a2ab8b0daf4","iCat")</x:f>
      </x:c>
      <x:c r="M944" s="0" t="s">
        <x:v>21</x:v>
      </x:c>
      <x:c r="N944" s="0" t="s">
        <x:v>46</x:v>
      </x:c>
    </x:row>
    <x:row r="945" spans="1:16">
      <x:c r="A945" s="0" t="s">
        <x:v>3630</x:v>
      </x:c>
      <x:c r="B945" s="0" t="s">
        <x:v>3631</x:v>
      </x:c>
      <x:c r="C945" s="0" t="s">
        <x:v>3632</x:v>
      </x:c>
      <x:c r="E945" s="0" t="s">
        <x:v>3633</x:v>
      </x:c>
      <x:c r="F945" s="0" t="s">
        <x:v>45</x:v>
      </x:c>
      <x:c r="G945" s="0" t="s">
        <x:v>19</x:v>
      </x:c>
      <x:c r="H945" s="0" t="s">
        <x:v>20</x:v>
      </x:c>
      <x:c r="I945" s="0" t="s">
        <x:v>21</x:v>
      </x:c>
      <x:c r="K945" s="0">
        <x:f>hyperlink("https://icd.who.int/dev11/l-ichi/en#/http%3A%2F%2Fid.who.int%2Ficd%2Fentity%2F380786709","browser")</x:f>
      </x:c>
      <x:c r="L945" s="0">
        <x:f>hyperlink("https://icat2.azurewebsites.net/icat/?ontology=ICD&amp;tab=ClassesTab&amp;id=http%3A%2F%2Fwho.int%2Ficd%23607_802b4dce_3444_418f_b0f7_3a2ab8b0daf4","iCat")</x:f>
      </x:c>
      <x:c r="M945" s="0" t="s">
        <x:v>21</x:v>
      </x:c>
      <x:c r="N945" s="0" t="s">
        <x:v>46</x:v>
      </x:c>
    </x:row>
    <x:row r="946" spans="1:16">
      <x:c r="A946" s="0" t="s">
        <x:v>3634</x:v>
      </x:c>
      <x:c r="B946" s="0" t="s">
        <x:v>3635</x:v>
      </x:c>
      <x:c r="C946" s="0" t="s">
        <x:v>3636</x:v>
      </x:c>
      <x:c r="E946" s="0" t="s">
        <x:v>3637</x:v>
      </x:c>
      <x:c r="F946" s="0" t="s">
        <x:v>45</x:v>
      </x:c>
      <x:c r="G946" s="0" t="s">
        <x:v>19</x:v>
      </x:c>
      <x:c r="H946" s="0" t="s">
        <x:v>20</x:v>
      </x:c>
      <x:c r="I946" s="0" t="s">
        <x:v>21</x:v>
      </x:c>
      <x:c r="K946" s="0">
        <x:f>hyperlink("https://icd.who.int/dev11/l-ichi/en#/http%3A%2F%2Fid.who.int%2Ficd%2Fentity%2F1770617612","browser")</x:f>
      </x:c>
      <x:c r="L946" s="0">
        <x:f>hyperlink("https://icat2.azurewebsites.net/icat/?ontology=ICD&amp;tab=ClassesTab&amp;id=http%3A%2F%2Fwho.int%2Ficd%23612_802b4dce_3444_418f_b0f7_3a2ab8b0daf4","iCat")</x:f>
      </x:c>
      <x:c r="M946" s="0" t="s">
        <x:v>21</x:v>
      </x:c>
      <x:c r="N946" s="0" t="s">
        <x:v>46</x:v>
      </x:c>
    </x:row>
    <x:row r="947" spans="1:16">
      <x:c r="A947" s="0" t="s">
        <x:v>3638</x:v>
      </x:c>
      <x:c r="B947" s="0" t="s">
        <x:v>3639</x:v>
      </x:c>
      <x:c r="C947" s="0" t="s">
        <x:v>3640</x:v>
      </x:c>
      <x:c r="E947" s="0" t="s">
        <x:v>3641</x:v>
      </x:c>
      <x:c r="F947" s="0" t="s">
        <x:v>45</x:v>
      </x:c>
      <x:c r="G947" s="0" t="s">
        <x:v>19</x:v>
      </x:c>
      <x:c r="H947" s="0" t="s">
        <x:v>20</x:v>
      </x:c>
      <x:c r="I947" s="0" t="s">
        <x:v>21</x:v>
      </x:c>
      <x:c r="K947" s="0">
        <x:f>hyperlink("https://icd.who.int/dev11/l-ichi/en#/http%3A%2F%2Fid.who.int%2Ficd%2Fentity%2F1279534792","browser")</x:f>
      </x:c>
      <x:c r="L947" s="0">
        <x:f>hyperlink("https://icat2.azurewebsites.net/icat/?ontology=ICD&amp;tab=ClassesTab&amp;id=http%3A%2F%2Fwho.int%2Ficd%23620_802b4dce_3444_418f_b0f7_3a2ab8b0daf4","iCat")</x:f>
      </x:c>
      <x:c r="M947" s="0" t="s">
        <x:v>21</x:v>
      </x:c>
      <x:c r="N947" s="0" t="s">
        <x:v>46</x:v>
      </x:c>
    </x:row>
    <x:row r="948" spans="1:16">
      <x:c r="A948" s="0" t="s">
        <x:v>3642</x:v>
      </x:c>
      <x:c r="B948" s="0" t="s">
        <x:v>3643</x:v>
      </x:c>
      <x:c r="C948" s="0" t="s">
        <x:v>3644</x:v>
      </x:c>
      <x:c r="E948" s="0" t="s">
        <x:v>3645</x:v>
      </x:c>
      <x:c r="F948" s="0" t="s">
        <x:v>45</x:v>
      </x:c>
      <x:c r="G948" s="0" t="s">
        <x:v>19</x:v>
      </x:c>
      <x:c r="H948" s="0" t="s">
        <x:v>20</x:v>
      </x:c>
      <x:c r="I948" s="0" t="s">
        <x:v>21</x:v>
      </x:c>
      <x:c r="K948" s="0">
        <x:f>hyperlink("https://icd.who.int/dev11/l-ichi/en#/http%3A%2F%2Fid.who.int%2Ficd%2Fentity%2F574367137","browser")</x:f>
      </x:c>
      <x:c r="L948" s="0">
        <x:f>hyperlink("https://icat2.azurewebsites.net/icat/?ontology=ICD&amp;tab=ClassesTab&amp;id=http%3A%2F%2Fwho.int%2Ficd%23629_802b4dce_3444_418f_b0f7_3a2ab8b0daf4","iCat")</x:f>
      </x:c>
      <x:c r="M948" s="0" t="s">
        <x:v>21</x:v>
      </x:c>
      <x:c r="N948" s="0" t="s">
        <x:v>46</x:v>
      </x:c>
    </x:row>
    <x:row r="949" spans="1:16">
      <x:c r="A949" s="0" t="s">
        <x:v>3646</x:v>
      </x:c>
      <x:c r="B949" s="0" t="s">
        <x:v>3647</x:v>
      </x:c>
      <x:c r="C949" s="0" t="s">
        <x:v>3648</x:v>
      </x:c>
      <x:c r="E949" s="0" t="s">
        <x:v>3649</x:v>
      </x:c>
      <x:c r="F949" s="0" t="s">
        <x:v>45</x:v>
      </x:c>
      <x:c r="G949" s="0" t="s">
        <x:v>19</x:v>
      </x:c>
      <x:c r="H949" s="0" t="s">
        <x:v>20</x:v>
      </x:c>
      <x:c r="I949" s="0" t="s">
        <x:v>21</x:v>
      </x:c>
      <x:c r="K949" s="0">
        <x:f>hyperlink("https://icd.who.int/dev11/l-ichi/en#/http%3A%2F%2Fid.who.int%2Ficd%2Fentity%2F863962583","browser")</x:f>
      </x:c>
      <x:c r="L949" s="0">
        <x:f>hyperlink("https://icat2.azurewebsites.net/icat/?ontology=ICD&amp;tab=ClassesTab&amp;id=http%3A%2F%2Fwho.int%2Ficd%23635_802b4dce_3444_418f_b0f7_3a2ab8b0daf4","iCat")</x:f>
      </x:c>
      <x:c r="M949" s="0" t="s">
        <x:v>21</x:v>
      </x:c>
      <x:c r="N949" s="0" t="s">
        <x:v>46</x:v>
      </x:c>
    </x:row>
    <x:row r="950" spans="1:16">
      <x:c r="A950" s="0" t="s">
        <x:v>3650</x:v>
      </x:c>
      <x:c r="B950" s="0" t="s">
        <x:v>3651</x:v>
      </x:c>
      <x:c r="C950" s="0" t="s">
        <x:v>3652</x:v>
      </x:c>
      <x:c r="E950" s="0" t="s">
        <x:v>3653</x:v>
      </x:c>
      <x:c r="F950" s="0" t="s">
        <x:v>45</x:v>
      </x:c>
      <x:c r="G950" s="0" t="s">
        <x:v>19</x:v>
      </x:c>
      <x:c r="H950" s="0" t="s">
        <x:v>20</x:v>
      </x:c>
      <x:c r="I950" s="0" t="s">
        <x:v>21</x:v>
      </x:c>
      <x:c r="K950" s="0">
        <x:f>hyperlink("https://icd.who.int/dev11/l-ichi/en#/http%3A%2F%2Fid.who.int%2Ficd%2Fentity%2F592471281","browser")</x:f>
      </x:c>
      <x:c r="L950" s="0">
        <x:f>hyperlink("https://icat2.azurewebsites.net/icat/?ontology=ICD&amp;tab=ClassesTab&amp;id=http%3A%2F%2Fwho.int%2Ficd%23644_802b4dce_3444_418f_b0f7_3a2ab8b0daf4","iCat")</x:f>
      </x:c>
      <x:c r="M950" s="0" t="s">
        <x:v>21</x:v>
      </x:c>
      <x:c r="N950" s="0" t="s">
        <x:v>46</x:v>
      </x:c>
    </x:row>
    <x:row r="951" spans="1:16">
      <x:c r="A951" s="0" t="s">
        <x:v>3654</x:v>
      </x:c>
      <x:c r="B951" s="0" t="s">
        <x:v>3655</x:v>
      </x:c>
      <x:c r="C951" s="0" t="s">
        <x:v>3656</x:v>
      </x:c>
      <x:c r="E951" s="0" t="s">
        <x:v>3657</x:v>
      </x:c>
      <x:c r="F951" s="0" t="s">
        <x:v>45</x:v>
      </x:c>
      <x:c r="G951" s="0" t="s">
        <x:v>19</x:v>
      </x:c>
      <x:c r="H951" s="0" t="s">
        <x:v>20</x:v>
      </x:c>
      <x:c r="I951" s="0" t="s">
        <x:v>21</x:v>
      </x:c>
      <x:c r="K951" s="0">
        <x:f>hyperlink("https://icd.who.int/dev11/l-ichi/en#/http%3A%2F%2Fid.who.int%2Ficd%2Fentity%2F2089956820","browser")</x:f>
      </x:c>
      <x:c r="L951" s="0">
        <x:f>hyperlink("https://icat2.azurewebsites.net/icat/?ontology=ICD&amp;tab=ClassesTab&amp;id=http%3A%2F%2Fwho.int%2Ficd%23650_802b4dce_3444_418f_b0f7_3a2ab8b0daf4","iCat")</x:f>
      </x:c>
      <x:c r="M951" s="0" t="s">
        <x:v>21</x:v>
      </x:c>
      <x:c r="N951" s="0" t="s">
        <x:v>46</x:v>
      </x:c>
    </x:row>
    <x:row r="952" spans="1:16">
      <x:c r="A952" s="0" t="s">
        <x:v>3658</x:v>
      </x:c>
      <x:c r="B952" s="0" t="s">
        <x:v>3659</x:v>
      </x:c>
      <x:c r="C952" s="0" t="s">
        <x:v>3660</x:v>
      </x:c>
      <x:c r="E952" s="0" t="s">
        <x:v>3661</x:v>
      </x:c>
      <x:c r="F952" s="0" t="s">
        <x:v>45</x:v>
      </x:c>
      <x:c r="G952" s="0" t="s">
        <x:v>19</x:v>
      </x:c>
      <x:c r="H952" s="0" t="s">
        <x:v>20</x:v>
      </x:c>
      <x:c r="I952" s="0" t="s">
        <x:v>21</x:v>
      </x:c>
      <x:c r="K952" s="0">
        <x:f>hyperlink("https://icd.who.int/dev11/l-ichi/en#/http%3A%2F%2Fid.who.int%2Ficd%2Fentity%2F1768719260","browser")</x:f>
      </x:c>
      <x:c r="L952" s="0">
        <x:f>hyperlink("https://icat2.azurewebsites.net/icat/?ontology=ICD&amp;tab=ClassesTab&amp;id=http%3A%2F%2Fwho.int%2Ficd%23655_802b4dce_3444_418f_b0f7_3a2ab8b0daf4","iCat")</x:f>
      </x:c>
      <x:c r="M952" s="0" t="s">
        <x:v>21</x:v>
      </x:c>
      <x:c r="N952" s="0" t="s">
        <x:v>46</x:v>
      </x:c>
    </x:row>
    <x:row r="953" spans="1:16">
      <x:c r="A953" s="0" t="s">
        <x:v>3662</x:v>
      </x:c>
      <x:c r="B953" s="0" t="s">
        <x:v>3663</x:v>
      </x:c>
      <x:c r="C953" s="0" t="s">
        <x:v>3664</x:v>
      </x:c>
      <x:c r="E953" s="0" t="s">
        <x:v>3665</x:v>
      </x:c>
      <x:c r="F953" s="0" t="s">
        <x:v>45</x:v>
      </x:c>
      <x:c r="G953" s="0" t="s">
        <x:v>19</x:v>
      </x:c>
      <x:c r="H953" s="0" t="s">
        <x:v>20</x:v>
      </x:c>
      <x:c r="I953" s="0" t="s">
        <x:v>21</x:v>
      </x:c>
      <x:c r="K953" s="0">
        <x:f>hyperlink("https://icd.who.int/dev11/l-ichi/en#/http%3A%2F%2Fid.who.int%2Ficd%2Fentity%2F1008956885","browser")</x:f>
      </x:c>
      <x:c r="L953" s="0">
        <x:f>hyperlink("https://icat2.azurewebsites.net/icat/?ontology=ICD&amp;tab=ClassesTab&amp;id=http%3A%2F%2Fwho.int%2Ficd%23660_802b4dce_3444_418f_b0f7_3a2ab8b0daf4","iCat")</x:f>
      </x:c>
      <x:c r="M953" s="0" t="s">
        <x:v>21</x:v>
      </x:c>
      <x:c r="N953" s="0" t="s">
        <x:v>46</x:v>
      </x:c>
    </x:row>
    <x:row r="954" spans="1:16">
      <x:c r="B954" s="0" t="s">
        <x:v>3666</x:v>
      </x:c>
      <x:c r="C954" s="0" t="s">
        <x:v>3667</x:v>
      </x:c>
      <x:c r="E954" s="0" t="s">
        <x:v>3668</x:v>
      </x:c>
      <x:c r="F954" s="0" t="s">
        <x:v>45</x:v>
      </x:c>
      <x:c r="G954" s="0" t="s">
        <x:v>19</x:v>
      </x:c>
      <x:c r="H954" s="0" t="s">
        <x:v>21</x:v>
      </x:c>
      <x:c r="I954" s="0" t="s">
        <x:v>21</x:v>
      </x:c>
      <x:c r="K954" s="0">
        <x:f>hyperlink("https://icd.who.int/dev11/l-ichi/en#/http%3A%2F%2Fid.who.int%2Ficd%2Fentity%2F1866031209%2Fichi%2Fother","browser")</x:f>
      </x:c>
      <x:c r="L954" s="0">
        <x:f>hyperlink("","iCat")</x:f>
      </x:c>
      <x:c r="M954" s="0" t="s">
        <x:v>21</x:v>
      </x:c>
      <x:c r="N954" s="0" t="s">
        <x:v>46</x:v>
      </x:c>
    </x:row>
    <x:row r="955" spans="1:16">
      <x:c r="A955" s="0" t="s">
        <x:v>3669</x:v>
      </x:c>
      <x:c r="B955" s="0" t="s">
        <x:v>3670</x:v>
      </x:c>
      <x:c r="E955" s="0" t="s">
        <x:v>3671</x:v>
      </x:c>
      <x:c r="F955" s="0" t="s">
        <x:v>26</x:v>
      </x:c>
      <x:c r="G955" s="0" t="s">
        <x:v>30</x:v>
      </x:c>
      <x:c r="H955" s="0" t="s">
        <x:v>20</x:v>
      </x:c>
      <x:c r="I955" s="0" t="s">
        <x:v>21</x:v>
      </x:c>
      <x:c r="K955" s="0">
        <x:f>hyperlink("https://icd.who.int/dev11/l-ichi/en#/http%3A%2F%2Fid.who.int%2Ficd%2Fentity%2F1817750630","browser")</x:f>
      </x:c>
      <x:c r="L955" s="0">
        <x:f>hyperlink("https://icat2.azurewebsites.net/icat/?ontology=ICD&amp;tab=ClassesTab&amp;id=http%3A%2F%2Fwho.int%2Ficd%23666_802b4dce_3444_418f_b0f7_3a2ab8b0daf4","iCat")</x:f>
      </x:c>
      <x:c r="M955" s="0" t="s">
        <x:v>20</x:v>
      </x:c>
      <x:c r="N955" s="0" t="s">
        <x:v>1079</x:v>
      </x:c>
    </x:row>
    <x:row r="956" spans="1:16">
      <x:c r="A956" s="0" t="s">
        <x:v>3672</x:v>
      </x:c>
      <x:c r="B956" s="0" t="s">
        <x:v>3673</x:v>
      </x:c>
      <x:c r="C956" s="0" t="s">
        <x:v>3674</x:v>
      </x:c>
      <x:c r="E956" s="0" t="s">
        <x:v>3675</x:v>
      </x:c>
      <x:c r="F956" s="0" t="s">
        <x:v>45</x:v>
      </x:c>
      <x:c r="G956" s="0" t="s">
        <x:v>19</x:v>
      </x:c>
      <x:c r="H956" s="0" t="s">
        <x:v>20</x:v>
      </x:c>
      <x:c r="I956" s="0" t="s">
        <x:v>21</x:v>
      </x:c>
      <x:c r="K956" s="0">
        <x:f>hyperlink("https://icd.who.int/dev11/l-ichi/en#/http%3A%2F%2Fid.who.int%2Ficd%2Fentity%2F702399389","browser")</x:f>
      </x:c>
      <x:c r="L956" s="0">
        <x:f>hyperlink("https://icat2.azurewebsites.net/icat/?ontology=ICD&amp;tab=ClassesTab&amp;id=http%3A%2F%2Fwho.int%2Ficd%23665_802b4dce_3444_418f_b0f7_3a2ab8b0daf4","iCat")</x:f>
      </x:c>
      <x:c r="M956" s="0" t="s">
        <x:v>21</x:v>
      </x:c>
      <x:c r="N956" s="0" t="s">
        <x:v>46</x:v>
      </x:c>
    </x:row>
    <x:row r="957" spans="1:16">
      <x:c r="A957" s="0" t="s">
        <x:v>3676</x:v>
      </x:c>
      <x:c r="B957" s="0" t="s">
        <x:v>3677</x:v>
      </x:c>
      <x:c r="C957" s="0" t="s">
        <x:v>3678</x:v>
      </x:c>
      <x:c r="E957" s="0" t="s">
        <x:v>3679</x:v>
      </x:c>
      <x:c r="F957" s="0" t="s">
        <x:v>45</x:v>
      </x:c>
      <x:c r="G957" s="0" t="s">
        <x:v>19</x:v>
      </x:c>
      <x:c r="H957" s="0" t="s">
        <x:v>20</x:v>
      </x:c>
      <x:c r="I957" s="0" t="s">
        <x:v>21</x:v>
      </x:c>
      <x:c r="K957" s="0">
        <x:f>hyperlink("https://icd.who.int/dev11/l-ichi/en#/http%3A%2F%2Fid.who.int%2Ficd%2Fentity%2F644107023","browser")</x:f>
      </x:c>
      <x:c r="L957" s="0">
        <x:f>hyperlink("https://icat2.azurewebsites.net/icat/?ontology=ICD&amp;tab=ClassesTab&amp;id=http%3A%2F%2Fwho.int%2Ficd%23677_802b4dce_3444_418f_b0f7_3a2ab8b0daf4","iCat")</x:f>
      </x:c>
      <x:c r="M957" s="0" t="s">
        <x:v>21</x:v>
      </x:c>
      <x:c r="N957" s="0" t="s">
        <x:v>46</x:v>
      </x:c>
    </x:row>
    <x:row r="958" spans="1:16">
      <x:c r="A958" s="0" t="s">
        <x:v>3680</x:v>
      </x:c>
      <x:c r="B958" s="0" t="s">
        <x:v>3681</x:v>
      </x:c>
      <x:c r="C958" s="0" t="s">
        <x:v>3682</x:v>
      </x:c>
      <x:c r="E958" s="0" t="s">
        <x:v>3683</x:v>
      </x:c>
      <x:c r="F958" s="0" t="s">
        <x:v>45</x:v>
      </x:c>
      <x:c r="G958" s="0" t="s">
        <x:v>19</x:v>
      </x:c>
      <x:c r="H958" s="0" t="s">
        <x:v>20</x:v>
      </x:c>
      <x:c r="I958" s="0" t="s">
        <x:v>21</x:v>
      </x:c>
      <x:c r="K958" s="0">
        <x:f>hyperlink("https://icd.who.int/dev11/l-ichi/en#/http%3A%2F%2Fid.who.int%2Ficd%2Fentity%2F478001049","browser")</x:f>
      </x:c>
      <x:c r="L958" s="0">
        <x:f>hyperlink("https://icat2.azurewebsites.net/icat/?ontology=ICD&amp;tab=ClassesTab&amp;id=http%3A%2F%2Fwho.int%2Ficd%23682_802b4dce_3444_418f_b0f7_3a2ab8b0daf4","iCat")</x:f>
      </x:c>
      <x:c r="M958" s="0" t="s">
        <x:v>21</x:v>
      </x:c>
      <x:c r="N958" s="0" t="s">
        <x:v>46</x:v>
      </x:c>
    </x:row>
    <x:row r="959" spans="1:16">
      <x:c r="A959" s="0" t="s">
        <x:v>3684</x:v>
      </x:c>
      <x:c r="B959" s="0" t="s">
        <x:v>3685</x:v>
      </x:c>
      <x:c r="C959" s="0" t="s">
        <x:v>3686</x:v>
      </x:c>
      <x:c r="E959" s="0" t="s">
        <x:v>3687</x:v>
      </x:c>
      <x:c r="F959" s="0" t="s">
        <x:v>45</x:v>
      </x:c>
      <x:c r="G959" s="0" t="s">
        <x:v>19</x:v>
      </x:c>
      <x:c r="H959" s="0" t="s">
        <x:v>20</x:v>
      </x:c>
      <x:c r="I959" s="0" t="s">
        <x:v>21</x:v>
      </x:c>
      <x:c r="K959" s="0">
        <x:f>hyperlink("https://icd.who.int/dev11/l-ichi/en#/http%3A%2F%2Fid.who.int%2Ficd%2Fentity%2F159580625","browser")</x:f>
      </x:c>
      <x:c r="L959" s="0">
        <x:f>hyperlink("https://icat2.azurewebsites.net/icat/?ontology=ICD&amp;tab=ClassesTab&amp;id=http%3A%2F%2Fwho.int%2Ficd%23687_802b4dce_3444_418f_b0f7_3a2ab8b0daf4","iCat")</x:f>
      </x:c>
      <x:c r="M959" s="0" t="s">
        <x:v>21</x:v>
      </x:c>
      <x:c r="N959" s="0" t="s">
        <x:v>46</x:v>
      </x:c>
    </x:row>
    <x:row r="960" spans="1:16">
      <x:c r="A960" s="0" t="s">
        <x:v>3688</x:v>
      </x:c>
      <x:c r="B960" s="0" t="s">
        <x:v>3689</x:v>
      </x:c>
      <x:c r="C960" s="0" t="s">
        <x:v>3690</x:v>
      </x:c>
      <x:c r="E960" s="0" t="s">
        <x:v>3691</x:v>
      </x:c>
      <x:c r="F960" s="0" t="s">
        <x:v>45</x:v>
      </x:c>
      <x:c r="G960" s="0" t="s">
        <x:v>19</x:v>
      </x:c>
      <x:c r="H960" s="0" t="s">
        <x:v>20</x:v>
      </x:c>
      <x:c r="I960" s="0" t="s">
        <x:v>21</x:v>
      </x:c>
      <x:c r="K960" s="0">
        <x:f>hyperlink("https://icd.who.int/dev11/l-ichi/en#/http%3A%2F%2Fid.who.int%2Ficd%2Fentity%2F1447121140","browser")</x:f>
      </x:c>
      <x:c r="L960" s="0">
        <x:f>hyperlink("https://icat2.azurewebsites.net/icat/?ontology=ICD&amp;tab=ClassesTab&amp;id=http%3A%2F%2Fwho.int%2Ficd%23693_802b4dce_3444_418f_b0f7_3a2ab8b0daf4","iCat")</x:f>
      </x:c>
      <x:c r="M960" s="0" t="s">
        <x:v>21</x:v>
      </x:c>
      <x:c r="N960" s="0" t="s">
        <x:v>46</x:v>
      </x:c>
    </x:row>
    <x:row r="961" spans="1:16">
      <x:c r="A961" s="0" t="s">
        <x:v>3692</x:v>
      </x:c>
      <x:c r="B961" s="0" t="s">
        <x:v>3693</x:v>
      </x:c>
      <x:c r="C961" s="0" t="s">
        <x:v>3694</x:v>
      </x:c>
      <x:c r="E961" s="0" t="s">
        <x:v>3695</x:v>
      </x:c>
      <x:c r="F961" s="0" t="s">
        <x:v>45</x:v>
      </x:c>
      <x:c r="G961" s="0" t="s">
        <x:v>19</x:v>
      </x:c>
      <x:c r="H961" s="0" t="s">
        <x:v>20</x:v>
      </x:c>
      <x:c r="I961" s="0" t="s">
        <x:v>21</x:v>
      </x:c>
      <x:c r="K961" s="0">
        <x:f>hyperlink("https://icd.who.int/dev11/l-ichi/en#/http%3A%2F%2Fid.who.int%2Ficd%2Fentity%2F2109488228","browser")</x:f>
      </x:c>
      <x:c r="L961" s="0">
        <x:f>hyperlink("https://icat2.azurewebsites.net/icat/?ontology=ICD&amp;tab=ClassesTab&amp;id=http%3A%2F%2Fwho.int%2Ficd%23699_802b4dce_3444_418f_b0f7_3a2ab8b0daf4","iCat")</x:f>
      </x:c>
      <x:c r="M961" s="0" t="s">
        <x:v>21</x:v>
      </x:c>
      <x:c r="N961" s="0" t="s">
        <x:v>46</x:v>
      </x:c>
    </x:row>
    <x:row r="962" spans="1:16">
      <x:c r="A962" s="0" t="s">
        <x:v>3696</x:v>
      </x:c>
      <x:c r="B962" s="0" t="s">
        <x:v>3697</x:v>
      </x:c>
      <x:c r="C962" s="0" t="s">
        <x:v>3698</x:v>
      </x:c>
      <x:c r="E962" s="0" t="s">
        <x:v>3699</x:v>
      </x:c>
      <x:c r="F962" s="0" t="s">
        <x:v>45</x:v>
      </x:c>
      <x:c r="G962" s="0" t="s">
        <x:v>19</x:v>
      </x:c>
      <x:c r="H962" s="0" t="s">
        <x:v>20</x:v>
      </x:c>
      <x:c r="I962" s="0" t="s">
        <x:v>21</x:v>
      </x:c>
      <x:c r="K962" s="0">
        <x:f>hyperlink("https://icd.who.int/dev11/l-ichi/en#/http%3A%2F%2Fid.who.int%2Ficd%2Fentity%2F106005325","browser")</x:f>
      </x:c>
      <x:c r="L962" s="0">
        <x:f>hyperlink("https://icat2.azurewebsites.net/icat/?ontology=ICD&amp;tab=ClassesTab&amp;id=http%3A%2F%2Fwho.int%2Ficd%23705_802b4dce_3444_418f_b0f7_3a2ab8b0daf4","iCat")</x:f>
      </x:c>
      <x:c r="M962" s="0" t="s">
        <x:v>21</x:v>
      </x:c>
      <x:c r="N962" s="0" t="s">
        <x:v>46</x:v>
      </x:c>
    </x:row>
    <x:row r="963" spans="1:16">
      <x:c r="A963" s="0" t="s">
        <x:v>3700</x:v>
      </x:c>
      <x:c r="B963" s="0" t="s">
        <x:v>3701</x:v>
      </x:c>
      <x:c r="C963" s="0" t="s">
        <x:v>3702</x:v>
      </x:c>
      <x:c r="E963" s="0" t="s">
        <x:v>3703</x:v>
      </x:c>
      <x:c r="F963" s="0" t="s">
        <x:v>45</x:v>
      </x:c>
      <x:c r="G963" s="0" t="s">
        <x:v>19</x:v>
      </x:c>
      <x:c r="H963" s="0" t="s">
        <x:v>20</x:v>
      </x:c>
      <x:c r="I963" s="0" t="s">
        <x:v>21</x:v>
      </x:c>
      <x:c r="K963" s="0">
        <x:f>hyperlink("https://icd.who.int/dev11/l-ichi/en#/http%3A%2F%2Fid.who.int%2Ficd%2Fentity%2F1282237478","browser")</x:f>
      </x:c>
      <x:c r="L963" s="0">
        <x:f>hyperlink("https://icat2.azurewebsites.net/icat/?ontology=ICD&amp;tab=ClassesTab&amp;id=http%3A%2F%2Fwho.int%2Ficd%23714_802b4dce_3444_418f_b0f7_3a2ab8b0daf4","iCat")</x:f>
      </x:c>
      <x:c r="M963" s="0" t="s">
        <x:v>21</x:v>
      </x:c>
      <x:c r="N963" s="0" t="s">
        <x:v>46</x:v>
      </x:c>
    </x:row>
    <x:row r="964" spans="1:16">
      <x:c r="A964" s="0" t="s">
        <x:v>3704</x:v>
      </x:c>
      <x:c r="B964" s="0" t="s">
        <x:v>3705</x:v>
      </x:c>
      <x:c r="C964" s="0" t="s">
        <x:v>3706</x:v>
      </x:c>
      <x:c r="E964" s="0" t="s">
        <x:v>3707</x:v>
      </x:c>
      <x:c r="F964" s="0" t="s">
        <x:v>45</x:v>
      </x:c>
      <x:c r="G964" s="0" t="s">
        <x:v>19</x:v>
      </x:c>
      <x:c r="H964" s="0" t="s">
        <x:v>20</x:v>
      </x:c>
      <x:c r="I964" s="0" t="s">
        <x:v>21</x:v>
      </x:c>
      <x:c r="K964" s="0">
        <x:f>hyperlink("https://icd.who.int/dev11/l-ichi/en#/http%3A%2F%2Fid.who.int%2Ficd%2Fentity%2F387097403","browser")</x:f>
      </x:c>
      <x:c r="L964" s="0">
        <x:f>hyperlink("https://icat2.azurewebsites.net/icat/?ontology=ICD&amp;tab=ClassesTab&amp;id=http%3A%2F%2Fwho.int%2Ficd%23719_802b4dce_3444_418f_b0f7_3a2ab8b0daf4","iCat")</x:f>
      </x:c>
      <x:c r="M964" s="0" t="s">
        <x:v>21</x:v>
      </x:c>
      <x:c r="N964" s="0" t="s">
        <x:v>46</x:v>
      </x:c>
    </x:row>
    <x:row r="965" spans="1:16">
      <x:c r="A965" s="0" t="s">
        <x:v>3708</x:v>
      </x:c>
      <x:c r="B965" s="0" t="s">
        <x:v>3709</x:v>
      </x:c>
      <x:c r="C965" s="0" t="s">
        <x:v>3710</x:v>
      </x:c>
      <x:c r="E965" s="0" t="s">
        <x:v>3711</x:v>
      </x:c>
      <x:c r="F965" s="0" t="s">
        <x:v>45</x:v>
      </x:c>
      <x:c r="G965" s="0" t="s">
        <x:v>19</x:v>
      </x:c>
      <x:c r="H965" s="0" t="s">
        <x:v>20</x:v>
      </x:c>
      <x:c r="I965" s="0" t="s">
        <x:v>21</x:v>
      </x:c>
      <x:c r="K965" s="0">
        <x:f>hyperlink("https://icd.who.int/dev11/l-ichi/en#/http%3A%2F%2Fid.who.int%2Ficd%2Fentity%2F740644381","browser")</x:f>
      </x:c>
      <x:c r="L965" s="0">
        <x:f>hyperlink("https://icat2.azurewebsites.net/icat/?ontology=ICD&amp;tab=ClassesTab&amp;id=http%3A%2F%2Fwho.int%2Ficd%23725_802b4dce_3444_418f_b0f7_3a2ab8b0daf4","iCat")</x:f>
      </x:c>
      <x:c r="M965" s="0" t="s">
        <x:v>21</x:v>
      </x:c>
      <x:c r="N965" s="0" t="s">
        <x:v>46</x:v>
      </x:c>
    </x:row>
    <x:row r="966" spans="1:16">
      <x:c r="A966" s="0" t="s">
        <x:v>3712</x:v>
      </x:c>
      <x:c r="B966" s="0" t="s">
        <x:v>3713</x:v>
      </x:c>
      <x:c r="C966" s="0" t="s">
        <x:v>3714</x:v>
      </x:c>
      <x:c r="E966" s="0" t="s">
        <x:v>3715</x:v>
      </x:c>
      <x:c r="F966" s="0" t="s">
        <x:v>45</x:v>
      </x:c>
      <x:c r="G966" s="0" t="s">
        <x:v>19</x:v>
      </x:c>
      <x:c r="H966" s="0" t="s">
        <x:v>20</x:v>
      </x:c>
      <x:c r="I966" s="0" t="s">
        <x:v>21</x:v>
      </x:c>
      <x:c r="K966" s="0">
        <x:f>hyperlink("https://icd.who.int/dev11/l-ichi/en#/http%3A%2F%2Fid.who.int%2Ficd%2Fentity%2F1273024687","browser")</x:f>
      </x:c>
      <x:c r="L966" s="0">
        <x:f>hyperlink("https://icat2.azurewebsites.net/icat/?ontology=ICD&amp;tab=ClassesTab&amp;id=http%3A%2F%2Fwho.int%2Ficd%2315396_4869915e_217e_423d_acb3_33c0f920ef4b","iCat")</x:f>
      </x:c>
      <x:c r="M966" s="0" t="s">
        <x:v>21</x:v>
      </x:c>
      <x:c r="N966" s="0" t="s">
        <x:v>46</x:v>
      </x:c>
    </x:row>
    <x:row r="967" spans="1:16">
      <x:c r="B967" s="0" t="s">
        <x:v>3716</x:v>
      </x:c>
      <x:c r="C967" s="0" t="s">
        <x:v>3717</x:v>
      </x:c>
      <x:c r="E967" s="0" t="s">
        <x:v>3718</x:v>
      </x:c>
      <x:c r="F967" s="0" t="s">
        <x:v>45</x:v>
      </x:c>
      <x:c r="G967" s="0" t="s">
        <x:v>19</x:v>
      </x:c>
      <x:c r="H967" s="0" t="s">
        <x:v>21</x:v>
      </x:c>
      <x:c r="I967" s="0" t="s">
        <x:v>21</x:v>
      </x:c>
      <x:c r="K967" s="0">
        <x:f>hyperlink("https://icd.who.int/dev11/l-ichi/en#/http%3A%2F%2Fid.who.int%2Ficd%2Fentity%2F1817750630%2Fichi%2Fother","browser")</x:f>
      </x:c>
      <x:c r="L967" s="0">
        <x:f>hyperlink("","iCat")</x:f>
      </x:c>
      <x:c r="M967" s="0" t="s">
        <x:v>21</x:v>
      </x:c>
      <x:c r="N967" s="0" t="s">
        <x:v>46</x:v>
      </x:c>
    </x:row>
    <x:row r="968" spans="1:16">
      <x:c r="A968" s="0" t="s">
        <x:v>3719</x:v>
      </x:c>
      <x:c r="B968" s="0" t="s">
        <x:v>3720</x:v>
      </x:c>
      <x:c r="E968" s="0" t="s">
        <x:v>3721</x:v>
      </x:c>
      <x:c r="F968" s="0" t="s">
        <x:v>26</x:v>
      </x:c>
      <x:c r="G968" s="0" t="s">
        <x:v>30</x:v>
      </x:c>
      <x:c r="H968" s="0" t="s">
        <x:v>20</x:v>
      </x:c>
      <x:c r="I968" s="0" t="s">
        <x:v>21</x:v>
      </x:c>
      <x:c r="K968" s="0">
        <x:f>hyperlink("https://icd.who.int/dev11/l-ichi/en#/http%3A%2F%2Fid.who.int%2Ficd%2Fentity%2F912419015","browser")</x:f>
      </x:c>
      <x:c r="L968" s="0">
        <x:f>hyperlink("https://icat2.azurewebsites.net/icat/?ontology=ICD&amp;tab=ClassesTab&amp;id=http%3A%2F%2Fwho.int%2Ficd%23732_802b4dce_3444_418f_b0f7_3a2ab8b0daf4","iCat")</x:f>
      </x:c>
      <x:c r="M968" s="0" t="s">
        <x:v>20</x:v>
      </x:c>
      <x:c r="N968" s="0" t="s">
        <x:v>3046</x:v>
      </x:c>
    </x:row>
    <x:row r="969" spans="1:16">
      <x:c r="A969" s="0" t="s">
        <x:v>3722</x:v>
      </x:c>
      <x:c r="B969" s="0" t="s">
        <x:v>3723</x:v>
      </x:c>
      <x:c r="C969" s="0" t="s">
        <x:v>3724</x:v>
      </x:c>
      <x:c r="E969" s="0" t="s">
        <x:v>3725</x:v>
      </x:c>
      <x:c r="F969" s="0" t="s">
        <x:v>45</x:v>
      </x:c>
      <x:c r="G969" s="0" t="s">
        <x:v>19</x:v>
      </x:c>
      <x:c r="H969" s="0" t="s">
        <x:v>20</x:v>
      </x:c>
      <x:c r="I969" s="0" t="s">
        <x:v>21</x:v>
      </x:c>
      <x:c r="K969" s="0">
        <x:f>hyperlink("https://icd.who.int/dev11/l-ichi/en#/http%3A%2F%2Fid.who.int%2Ficd%2Fentity%2F1944520512","browser")</x:f>
      </x:c>
      <x:c r="L969" s="0">
        <x:f>hyperlink("https://icat2.azurewebsites.net/icat/?ontology=ICD&amp;tab=ClassesTab&amp;id=http%3A%2F%2Fwho.int%2Ficd%23731_802b4dce_3444_418f_b0f7_3a2ab8b0daf4","iCat")</x:f>
      </x:c>
      <x:c r="M969" s="0" t="s">
        <x:v>21</x:v>
      </x:c>
      <x:c r="N969" s="0" t="s">
        <x:v>46</x:v>
      </x:c>
    </x:row>
    <x:row r="970" spans="1:16">
      <x:c r="A970" s="0" t="s">
        <x:v>3726</x:v>
      </x:c>
      <x:c r="B970" s="0" t="s">
        <x:v>3727</x:v>
      </x:c>
      <x:c r="C970" s="0" t="s">
        <x:v>3728</x:v>
      </x:c>
      <x:c r="E970" s="0" t="s">
        <x:v>3729</x:v>
      </x:c>
      <x:c r="F970" s="0" t="s">
        <x:v>45</x:v>
      </x:c>
      <x:c r="G970" s="0" t="s">
        <x:v>19</x:v>
      </x:c>
      <x:c r="H970" s="0" t="s">
        <x:v>20</x:v>
      </x:c>
      <x:c r="I970" s="0" t="s">
        <x:v>21</x:v>
      </x:c>
      <x:c r="K970" s="0">
        <x:f>hyperlink("https://icd.who.int/dev11/l-ichi/en#/http%3A%2F%2Fid.who.int%2Ficd%2Fentity%2F112491485","browser")</x:f>
      </x:c>
      <x:c r="L970" s="0">
        <x:f>hyperlink("https://icat2.azurewebsites.net/icat/?ontology=ICD&amp;tab=ClassesTab&amp;id=http%3A%2F%2Fwho.int%2Ficd%23742_802b4dce_3444_418f_b0f7_3a2ab8b0daf4","iCat")</x:f>
      </x:c>
      <x:c r="M970" s="0" t="s">
        <x:v>21</x:v>
      </x:c>
      <x:c r="N970" s="0" t="s">
        <x:v>46</x:v>
      </x:c>
    </x:row>
    <x:row r="971" spans="1:16">
      <x:c r="A971" s="0" t="s">
        <x:v>3730</x:v>
      </x:c>
      <x:c r="B971" s="0" t="s">
        <x:v>3731</x:v>
      </x:c>
      <x:c r="C971" s="0" t="s">
        <x:v>3732</x:v>
      </x:c>
      <x:c r="E971" s="0" t="s">
        <x:v>3733</x:v>
      </x:c>
      <x:c r="F971" s="0" t="s">
        <x:v>45</x:v>
      </x:c>
      <x:c r="G971" s="0" t="s">
        <x:v>19</x:v>
      </x:c>
      <x:c r="H971" s="0" t="s">
        <x:v>20</x:v>
      </x:c>
      <x:c r="I971" s="0" t="s">
        <x:v>21</x:v>
      </x:c>
      <x:c r="K971" s="0">
        <x:f>hyperlink("https://icd.who.int/dev11/l-ichi/en#/http%3A%2F%2Fid.who.int%2Ficd%2Fentity%2F759764813","browser")</x:f>
      </x:c>
      <x:c r="L971" s="0">
        <x:f>hyperlink("https://icat2.azurewebsites.net/icat/?ontology=ICD&amp;tab=ClassesTab&amp;id=http%3A%2F%2Fwho.int%2Ficd%23748_802b4dce_3444_418f_b0f7_3a2ab8b0daf4","iCat")</x:f>
      </x:c>
      <x:c r="M971" s="0" t="s">
        <x:v>21</x:v>
      </x:c>
      <x:c r="N971" s="0" t="s">
        <x:v>46</x:v>
      </x:c>
    </x:row>
    <x:row r="972" spans="1:16">
      <x:c r="A972" s="0" t="s">
        <x:v>3734</x:v>
      </x:c>
      <x:c r="B972" s="0" t="s">
        <x:v>3735</x:v>
      </x:c>
      <x:c r="C972" s="0" t="s">
        <x:v>3736</x:v>
      </x:c>
      <x:c r="E972" s="0" t="s">
        <x:v>3737</x:v>
      </x:c>
      <x:c r="F972" s="0" t="s">
        <x:v>45</x:v>
      </x:c>
      <x:c r="G972" s="0" t="s">
        <x:v>19</x:v>
      </x:c>
      <x:c r="H972" s="0" t="s">
        <x:v>20</x:v>
      </x:c>
      <x:c r="I972" s="0" t="s">
        <x:v>21</x:v>
      </x:c>
      <x:c r="K972" s="0">
        <x:f>hyperlink("https://icd.who.int/dev11/l-ichi/en#/http%3A%2F%2Fid.who.int%2Ficd%2Fentity%2F730220270","browser")</x:f>
      </x:c>
      <x:c r="L972" s="0">
        <x:f>hyperlink("https://icat2.azurewebsites.net/icat/?ontology=ICD&amp;tab=ClassesTab&amp;id=http%3A%2F%2Fwho.int%2Ficd%235826_25b89c54_3344_49a0_8ee9_6b728a90dcf8","iCat")</x:f>
      </x:c>
      <x:c r="M972" s="0" t="s">
        <x:v>21</x:v>
      </x:c>
      <x:c r="N972" s="0" t="s">
        <x:v>46</x:v>
      </x:c>
    </x:row>
    <x:row r="973" spans="1:16">
      <x:c r="A973" s="0" t="s">
        <x:v>3738</x:v>
      </x:c>
      <x:c r="B973" s="0" t="s">
        <x:v>3739</x:v>
      </x:c>
      <x:c r="C973" s="0" t="s">
        <x:v>3740</x:v>
      </x:c>
      <x:c r="E973" s="0" t="s">
        <x:v>3741</x:v>
      </x:c>
      <x:c r="F973" s="0" t="s">
        <x:v>45</x:v>
      </x:c>
      <x:c r="G973" s="0" t="s">
        <x:v>19</x:v>
      </x:c>
      <x:c r="H973" s="0" t="s">
        <x:v>20</x:v>
      </x:c>
      <x:c r="I973" s="0" t="s">
        <x:v>21</x:v>
      </x:c>
      <x:c r="K973" s="0">
        <x:f>hyperlink("https://icd.who.int/dev11/l-ichi/en#/http%3A%2F%2Fid.who.int%2Ficd%2Fentity%2F1284021430","browser")</x:f>
      </x:c>
      <x:c r="L973" s="0">
        <x:f>hyperlink("https://icat2.azurewebsites.net/icat/?ontology=ICD&amp;tab=ClassesTab&amp;id=http%3A%2F%2Fwho.int%2Ficd%23753_802b4dce_3444_418f_b0f7_3a2ab8b0daf4","iCat")</x:f>
      </x:c>
      <x:c r="M973" s="0" t="s">
        <x:v>21</x:v>
      </x:c>
      <x:c r="N973" s="0" t="s">
        <x:v>46</x:v>
      </x:c>
    </x:row>
    <x:row r="974" spans="1:16">
      <x:c r="A974" s="0" t="s">
        <x:v>3742</x:v>
      </x:c>
      <x:c r="B974" s="0" t="s">
        <x:v>3743</x:v>
      </x:c>
      <x:c r="C974" s="0" t="s">
        <x:v>3744</x:v>
      </x:c>
      <x:c r="E974" s="0" t="s">
        <x:v>3745</x:v>
      </x:c>
      <x:c r="F974" s="0" t="s">
        <x:v>45</x:v>
      </x:c>
      <x:c r="G974" s="0" t="s">
        <x:v>19</x:v>
      </x:c>
      <x:c r="H974" s="0" t="s">
        <x:v>20</x:v>
      </x:c>
      <x:c r="I974" s="0" t="s">
        <x:v>21</x:v>
      </x:c>
      <x:c r="K974" s="0">
        <x:f>hyperlink("https://icd.who.int/dev11/l-ichi/en#/http%3A%2F%2Fid.who.int%2Ficd%2Fentity%2F1735782438","browser")</x:f>
      </x:c>
      <x:c r="L974" s="0">
        <x:f>hyperlink("https://icat2.azurewebsites.net/icat/?ontology=ICD&amp;tab=ClassesTab&amp;id=http%3A%2F%2Fwho.int%2Ficd%23759_802b4dce_3444_418f_b0f7_3a2ab8b0daf4","iCat")</x:f>
      </x:c>
      <x:c r="M974" s="0" t="s">
        <x:v>21</x:v>
      </x:c>
      <x:c r="N974" s="0" t="s">
        <x:v>46</x:v>
      </x:c>
    </x:row>
    <x:row r="975" spans="1:16">
      <x:c r="A975" s="0" t="s">
        <x:v>3746</x:v>
      </x:c>
      <x:c r="B975" s="0" t="s">
        <x:v>3747</x:v>
      </x:c>
      <x:c r="C975" s="0" t="s">
        <x:v>3748</x:v>
      </x:c>
      <x:c r="E975" s="0" t="s">
        <x:v>3749</x:v>
      </x:c>
      <x:c r="F975" s="0" t="s">
        <x:v>45</x:v>
      </x:c>
      <x:c r="G975" s="0" t="s">
        <x:v>19</x:v>
      </x:c>
      <x:c r="H975" s="0" t="s">
        <x:v>20</x:v>
      </x:c>
      <x:c r="I975" s="0" t="s">
        <x:v>21</x:v>
      </x:c>
      <x:c r="K975" s="0">
        <x:f>hyperlink("https://icd.who.int/dev11/l-ichi/en#/http%3A%2F%2Fid.who.int%2Ficd%2Fentity%2F1547830528","browser")</x:f>
      </x:c>
      <x:c r="L975" s="0">
        <x:f>hyperlink("https://icat2.azurewebsites.net/icat/?ontology=ICD&amp;tab=ClassesTab&amp;id=http%3A%2F%2Fwho.int%2Ficd%23765_802b4dce_3444_418f_b0f7_3a2ab8b0daf4","iCat")</x:f>
      </x:c>
      <x:c r="M975" s="0" t="s">
        <x:v>21</x:v>
      </x:c>
      <x:c r="N975" s="0" t="s">
        <x:v>46</x:v>
      </x:c>
    </x:row>
    <x:row r="976" spans="1:16">
      <x:c r="A976" s="0" t="s">
        <x:v>3750</x:v>
      </x:c>
      <x:c r="B976" s="0" t="s">
        <x:v>3751</x:v>
      </x:c>
      <x:c r="C976" s="0" t="s">
        <x:v>3752</x:v>
      </x:c>
      <x:c r="E976" s="0" t="s">
        <x:v>3753</x:v>
      </x:c>
      <x:c r="F976" s="0" t="s">
        <x:v>45</x:v>
      </x:c>
      <x:c r="G976" s="0" t="s">
        <x:v>19</x:v>
      </x:c>
      <x:c r="H976" s="0" t="s">
        <x:v>20</x:v>
      </x:c>
      <x:c r="I976" s="0" t="s">
        <x:v>21</x:v>
      </x:c>
      <x:c r="K976" s="0">
        <x:f>hyperlink("https://icd.who.int/dev11/l-ichi/en#/http%3A%2F%2Fid.who.int%2Ficd%2Fentity%2F1174748122","browser")</x:f>
      </x:c>
      <x:c r="L976" s="0">
        <x:f>hyperlink("https://icat2.azurewebsites.net/icat/?ontology=ICD&amp;tab=ClassesTab&amp;id=http%3A%2F%2Fwho.int%2Ficd%23772_802b4dce_3444_418f_b0f7_3a2ab8b0daf4","iCat")</x:f>
      </x:c>
      <x:c r="M976" s="0" t="s">
        <x:v>21</x:v>
      </x:c>
      <x:c r="N976" s="0" t="s">
        <x:v>46</x:v>
      </x:c>
    </x:row>
    <x:row r="977" spans="1:16">
      <x:c r="A977" s="0" t="s">
        <x:v>3754</x:v>
      </x:c>
      <x:c r="B977" s="0" t="s">
        <x:v>3755</x:v>
      </x:c>
      <x:c r="C977" s="0" t="s">
        <x:v>3756</x:v>
      </x:c>
      <x:c r="E977" s="0" t="s">
        <x:v>3757</x:v>
      </x:c>
      <x:c r="F977" s="0" t="s">
        <x:v>45</x:v>
      </x:c>
      <x:c r="G977" s="0" t="s">
        <x:v>19</x:v>
      </x:c>
      <x:c r="H977" s="0" t="s">
        <x:v>20</x:v>
      </x:c>
      <x:c r="I977" s="0" t="s">
        <x:v>21</x:v>
      </x:c>
      <x:c r="K977" s="0">
        <x:f>hyperlink("https://icd.who.int/dev11/l-ichi/en#/http%3A%2F%2Fid.who.int%2Ficd%2Fentity%2F1291920760","browser")</x:f>
      </x:c>
      <x:c r="L977" s="0">
        <x:f>hyperlink("https://icat2.azurewebsites.net/icat/?ontology=ICD&amp;tab=ClassesTab&amp;id=http%3A%2F%2Fwho.int%2Ficd%23779_802b4dce_3444_418f_b0f7_3a2ab8b0daf4","iCat")</x:f>
      </x:c>
      <x:c r="M977" s="0" t="s">
        <x:v>21</x:v>
      </x:c>
      <x:c r="N977" s="0" t="s">
        <x:v>46</x:v>
      </x:c>
    </x:row>
    <x:row r="978" spans="1:16">
      <x:c r="A978" s="0" t="s">
        <x:v>3758</x:v>
      </x:c>
      <x:c r="B978" s="0" t="s">
        <x:v>3759</x:v>
      </x:c>
      <x:c r="C978" s="0" t="s">
        <x:v>3760</x:v>
      </x:c>
      <x:c r="E978" s="0" t="s">
        <x:v>3761</x:v>
      </x:c>
      <x:c r="F978" s="0" t="s">
        <x:v>45</x:v>
      </x:c>
      <x:c r="G978" s="0" t="s">
        <x:v>19</x:v>
      </x:c>
      <x:c r="H978" s="0" t="s">
        <x:v>20</x:v>
      </x:c>
      <x:c r="I978" s="0" t="s">
        <x:v>21</x:v>
      </x:c>
      <x:c r="K978" s="0">
        <x:f>hyperlink("https://icd.who.int/dev11/l-ichi/en#/http%3A%2F%2Fid.who.int%2Ficd%2Fentity%2F1558558066","browser")</x:f>
      </x:c>
      <x:c r="L978" s="0">
        <x:f>hyperlink("https://icat2.azurewebsites.net/icat/?ontology=ICD&amp;tab=ClassesTab&amp;id=http%3A%2F%2Fwho.int%2Ficd%23786_802b4dce_3444_418f_b0f7_3a2ab8b0daf4","iCat")</x:f>
      </x:c>
      <x:c r="M978" s="0" t="s">
        <x:v>21</x:v>
      </x:c>
      <x:c r="N978" s="0" t="s">
        <x:v>46</x:v>
      </x:c>
    </x:row>
    <x:row r="979" spans="1:16">
      <x:c r="A979" s="0" t="s">
        <x:v>3762</x:v>
      </x:c>
      <x:c r="B979" s="0" t="s">
        <x:v>3763</x:v>
      </x:c>
      <x:c r="C979" s="0" t="s">
        <x:v>3764</x:v>
      </x:c>
      <x:c r="E979" s="0" t="s">
        <x:v>3765</x:v>
      </x:c>
      <x:c r="F979" s="0" t="s">
        <x:v>45</x:v>
      </x:c>
      <x:c r="G979" s="0" t="s">
        <x:v>19</x:v>
      </x:c>
      <x:c r="H979" s="0" t="s">
        <x:v>20</x:v>
      </x:c>
      <x:c r="I979" s="0" t="s">
        <x:v>21</x:v>
      </x:c>
      <x:c r="K979" s="0">
        <x:f>hyperlink("https://icd.who.int/dev11/l-ichi/en#/http%3A%2F%2Fid.who.int%2Ficd%2Fentity%2F601790063","browser")</x:f>
      </x:c>
      <x:c r="L979" s="0">
        <x:f>hyperlink("https://icat2.azurewebsites.net/icat/?ontology=ICD&amp;tab=ClassesTab&amp;id=http%3A%2F%2Fwho.int%2Ficd%23793_802b4dce_3444_418f_b0f7_3a2ab8b0daf4","iCat")</x:f>
      </x:c>
      <x:c r="M979" s="0" t="s">
        <x:v>21</x:v>
      </x:c>
      <x:c r="N979" s="0" t="s">
        <x:v>46</x:v>
      </x:c>
    </x:row>
    <x:row r="980" spans="1:16">
      <x:c r="A980" s="0" t="s">
        <x:v>3766</x:v>
      </x:c>
      <x:c r="B980" s="0" t="s">
        <x:v>3767</x:v>
      </x:c>
      <x:c r="C980" s="0" t="s">
        <x:v>3768</x:v>
      </x:c>
      <x:c r="E980" s="0" t="s">
        <x:v>3769</x:v>
      </x:c>
      <x:c r="F980" s="0" t="s">
        <x:v>45</x:v>
      </x:c>
      <x:c r="G980" s="0" t="s">
        <x:v>19</x:v>
      </x:c>
      <x:c r="H980" s="0" t="s">
        <x:v>20</x:v>
      </x:c>
      <x:c r="I980" s="0" t="s">
        <x:v>21</x:v>
      </x:c>
      <x:c r="K980" s="0">
        <x:f>hyperlink("https://icd.who.int/dev11/l-ichi/en#/http%3A%2F%2Fid.who.int%2Ficd%2Fentity%2F547688655","browser")</x:f>
      </x:c>
      <x:c r="L980" s="0">
        <x:f>hyperlink("https://icat2.azurewebsites.net/icat/?ontology=ICD&amp;tab=ClassesTab&amp;id=http%3A%2F%2Fwho.int%2Ficd%235560_d85a204c_d00a_4566_a3b7_2d137a1891cf","iCat")</x:f>
      </x:c>
      <x:c r="M980" s="0" t="s">
        <x:v>21</x:v>
      </x:c>
      <x:c r="N980" s="0" t="s">
        <x:v>46</x:v>
      </x:c>
    </x:row>
    <x:row r="981" spans="1:16">
      <x:c r="A981" s="0" t="s">
        <x:v>3770</x:v>
      </x:c>
      <x:c r="B981" s="0" t="s">
        <x:v>3771</x:v>
      </x:c>
      <x:c r="C981" s="0" t="s">
        <x:v>3772</x:v>
      </x:c>
      <x:c r="E981" s="0" t="s">
        <x:v>3773</x:v>
      </x:c>
      <x:c r="F981" s="0" t="s">
        <x:v>45</x:v>
      </x:c>
      <x:c r="G981" s="0" t="s">
        <x:v>19</x:v>
      </x:c>
      <x:c r="H981" s="0" t="s">
        <x:v>20</x:v>
      </x:c>
      <x:c r="I981" s="0" t="s">
        <x:v>21</x:v>
      </x:c>
      <x:c r="K981" s="0">
        <x:f>hyperlink("https://icd.who.int/dev11/l-ichi/en#/http%3A%2F%2Fid.who.int%2Ficd%2Fentity%2F1709352195","browser")</x:f>
      </x:c>
      <x:c r="L981" s="0">
        <x:f>hyperlink("https://icat2.azurewebsites.net/icat/?ontology=ICD&amp;tab=ClassesTab&amp;id=http%3A%2F%2Fwho.int%2Ficd%23800_802b4dce_3444_418f_b0f7_3a2ab8b0daf4","iCat")</x:f>
      </x:c>
      <x:c r="M981" s="0" t="s">
        <x:v>21</x:v>
      </x:c>
      <x:c r="N981" s="0" t="s">
        <x:v>46</x:v>
      </x:c>
    </x:row>
    <x:row r="982" spans="1:16">
      <x:c r="A982" s="0" t="s">
        <x:v>3774</x:v>
      </x:c>
      <x:c r="B982" s="0" t="s">
        <x:v>3775</x:v>
      </x:c>
      <x:c r="C982" s="0" t="s">
        <x:v>3776</x:v>
      </x:c>
      <x:c r="E982" s="0" t="s">
        <x:v>3777</x:v>
      </x:c>
      <x:c r="F982" s="0" t="s">
        <x:v>45</x:v>
      </x:c>
      <x:c r="G982" s="0" t="s">
        <x:v>19</x:v>
      </x:c>
      <x:c r="H982" s="0" t="s">
        <x:v>20</x:v>
      </x:c>
      <x:c r="I982" s="0" t="s">
        <x:v>21</x:v>
      </x:c>
      <x:c r="K982" s="0">
        <x:f>hyperlink("https://icd.who.int/dev11/l-ichi/en#/http%3A%2F%2Fid.who.int%2Ficd%2Fentity%2F1880888139","browser")</x:f>
      </x:c>
      <x:c r="L982" s="0">
        <x:f>hyperlink("https://icat2.azurewebsites.net/icat/?ontology=ICD&amp;tab=ClassesTab&amp;id=http%3A%2F%2Fwho.int%2Ficd%23805_802b4dce_3444_418f_b0f7_3a2ab8b0daf4","iCat")</x:f>
      </x:c>
      <x:c r="M982" s="0" t="s">
        <x:v>21</x:v>
      </x:c>
      <x:c r="N982" s="0" t="s">
        <x:v>46</x:v>
      </x:c>
    </x:row>
    <x:row r="983" spans="1:16">
      <x:c r="A983" s="0" t="s">
        <x:v>3778</x:v>
      </x:c>
      <x:c r="B983" s="0" t="s">
        <x:v>3779</x:v>
      </x:c>
      <x:c r="C983" s="0" t="s">
        <x:v>3780</x:v>
      </x:c>
      <x:c r="E983" s="0" t="s">
        <x:v>3781</x:v>
      </x:c>
      <x:c r="F983" s="0" t="s">
        <x:v>45</x:v>
      </x:c>
      <x:c r="G983" s="0" t="s">
        <x:v>19</x:v>
      </x:c>
      <x:c r="H983" s="0" t="s">
        <x:v>20</x:v>
      </x:c>
      <x:c r="I983" s="0" t="s">
        <x:v>21</x:v>
      </x:c>
      <x:c r="K983" s="0">
        <x:f>hyperlink("https://icd.who.int/dev11/l-ichi/en#/http%3A%2F%2Fid.who.int%2Ficd%2Fentity%2F803095146","browser")</x:f>
      </x:c>
      <x:c r="L983" s="0">
        <x:f>hyperlink("https://icat2.azurewebsites.net/icat/?ontology=ICD&amp;tab=ClassesTab&amp;id=http%3A%2F%2Fwho.int%2Ficd%23811_802b4dce_3444_418f_b0f7_3a2ab8b0daf4","iCat")</x:f>
      </x:c>
      <x:c r="M983" s="0" t="s">
        <x:v>21</x:v>
      </x:c>
      <x:c r="N983" s="0" t="s">
        <x:v>46</x:v>
      </x:c>
    </x:row>
    <x:row r="984" spans="1:16">
      <x:c r="A984" s="0" t="s">
        <x:v>3782</x:v>
      </x:c>
      <x:c r="B984" s="0" t="s">
        <x:v>3783</x:v>
      </x:c>
      <x:c r="C984" s="0" t="s">
        <x:v>3784</x:v>
      </x:c>
      <x:c r="E984" s="0" t="s">
        <x:v>3785</x:v>
      </x:c>
      <x:c r="F984" s="0" t="s">
        <x:v>45</x:v>
      </x:c>
      <x:c r="G984" s="0" t="s">
        <x:v>19</x:v>
      </x:c>
      <x:c r="H984" s="0" t="s">
        <x:v>20</x:v>
      </x:c>
      <x:c r="I984" s="0" t="s">
        <x:v>21</x:v>
      </x:c>
      <x:c r="K984" s="0">
        <x:f>hyperlink("https://icd.who.int/dev11/l-ichi/en#/http%3A%2F%2Fid.who.int%2Ficd%2Fentity%2F1101414657","browser")</x:f>
      </x:c>
      <x:c r="L984" s="0">
        <x:f>hyperlink("https://icat2.azurewebsites.net/icat/?ontology=ICD&amp;tab=ClassesTab&amp;id=http%3A%2F%2Fwho.int%2Ficd%23818_802b4dce_3444_418f_b0f7_3a2ab8b0daf4","iCat")</x:f>
      </x:c>
      <x:c r="M984" s="0" t="s">
        <x:v>21</x:v>
      </x:c>
      <x:c r="N984" s="0" t="s">
        <x:v>46</x:v>
      </x:c>
    </x:row>
    <x:row r="985" spans="1:16">
      <x:c r="A985" s="0" t="s">
        <x:v>3786</x:v>
      </x:c>
      <x:c r="B985" s="0" t="s">
        <x:v>3787</x:v>
      </x:c>
      <x:c r="C985" s="0" t="s">
        <x:v>3788</x:v>
      </x:c>
      <x:c r="E985" s="0" t="s">
        <x:v>3789</x:v>
      </x:c>
      <x:c r="F985" s="0" t="s">
        <x:v>45</x:v>
      </x:c>
      <x:c r="G985" s="0" t="s">
        <x:v>19</x:v>
      </x:c>
      <x:c r="H985" s="0" t="s">
        <x:v>20</x:v>
      </x:c>
      <x:c r="I985" s="0" t="s">
        <x:v>21</x:v>
      </x:c>
      <x:c r="K985" s="0">
        <x:f>hyperlink("https://icd.who.int/dev11/l-ichi/en#/http%3A%2F%2Fid.who.int%2Ficd%2Fentity%2F1516815899","browser")</x:f>
      </x:c>
      <x:c r="L985" s="0">
        <x:f>hyperlink("https://icat2.azurewebsites.net/icat/?ontology=ICD&amp;tab=ClassesTab&amp;id=http%3A%2F%2Fwho.int%2Ficd%23825_802b4dce_3444_418f_b0f7_3a2ab8b0daf4","iCat")</x:f>
      </x:c>
      <x:c r="M985" s="0" t="s">
        <x:v>21</x:v>
      </x:c>
      <x:c r="N985" s="0" t="s">
        <x:v>46</x:v>
      </x:c>
    </x:row>
    <x:row r="986" spans="1:16">
      <x:c r="A986" s="0" t="s">
        <x:v>3790</x:v>
      </x:c>
      <x:c r="B986" s="0" t="s">
        <x:v>3791</x:v>
      </x:c>
      <x:c r="C986" s="0" t="s">
        <x:v>3792</x:v>
      </x:c>
      <x:c r="E986" s="0" t="s">
        <x:v>3793</x:v>
      </x:c>
      <x:c r="F986" s="0" t="s">
        <x:v>45</x:v>
      </x:c>
      <x:c r="G986" s="0" t="s">
        <x:v>19</x:v>
      </x:c>
      <x:c r="H986" s="0" t="s">
        <x:v>20</x:v>
      </x:c>
      <x:c r="I986" s="0" t="s">
        <x:v>21</x:v>
      </x:c>
      <x:c r="K986" s="0">
        <x:f>hyperlink("https://icd.who.int/dev11/l-ichi/en#/http%3A%2F%2Fid.who.int%2Ficd%2Fentity%2F626255110","browser")</x:f>
      </x:c>
      <x:c r="L986" s="0">
        <x:f>hyperlink("https://icat2.azurewebsites.net/icat/?ontology=ICD&amp;tab=ClassesTab&amp;id=http%3A%2F%2Fwho.int%2Ficd%23830_802b4dce_3444_418f_b0f7_3a2ab8b0daf4","iCat")</x:f>
      </x:c>
      <x:c r="M986" s="0" t="s">
        <x:v>21</x:v>
      </x:c>
      <x:c r="N986" s="0" t="s">
        <x:v>46</x:v>
      </x:c>
    </x:row>
    <x:row r="987" spans="1:16">
      <x:c r="A987" s="0" t="s">
        <x:v>3794</x:v>
      </x:c>
      <x:c r="B987" s="0" t="s">
        <x:v>3795</x:v>
      </x:c>
      <x:c r="C987" s="0" t="s">
        <x:v>3796</x:v>
      </x:c>
      <x:c r="E987" s="0" t="s">
        <x:v>3797</x:v>
      </x:c>
      <x:c r="F987" s="0" t="s">
        <x:v>45</x:v>
      </x:c>
      <x:c r="G987" s="0" t="s">
        <x:v>19</x:v>
      </x:c>
      <x:c r="H987" s="0" t="s">
        <x:v>20</x:v>
      </x:c>
      <x:c r="I987" s="0" t="s">
        <x:v>21</x:v>
      </x:c>
      <x:c r="K987" s="0">
        <x:f>hyperlink("https://icd.who.int/dev11/l-ichi/en#/http%3A%2F%2Fid.who.int%2Ficd%2Fentity%2F1965571253","browser")</x:f>
      </x:c>
      <x:c r="L987" s="0">
        <x:f>hyperlink("https://icat2.azurewebsites.net/icat/?ontology=ICD&amp;tab=ClassesTab&amp;id=http%3A%2F%2Fwho.int%2Ficd%23836_802b4dce_3444_418f_b0f7_3a2ab8b0daf4","iCat")</x:f>
      </x:c>
      <x:c r="M987" s="0" t="s">
        <x:v>21</x:v>
      </x:c>
      <x:c r="N987" s="0" t="s">
        <x:v>46</x:v>
      </x:c>
    </x:row>
    <x:row r="988" spans="1:16">
      <x:c r="A988" s="0" t="s">
        <x:v>3798</x:v>
      </x:c>
      <x:c r="B988" s="0" t="s">
        <x:v>3799</x:v>
      </x:c>
      <x:c r="C988" s="0" t="s">
        <x:v>3800</x:v>
      </x:c>
      <x:c r="E988" s="0" t="s">
        <x:v>3801</x:v>
      </x:c>
      <x:c r="F988" s="0" t="s">
        <x:v>45</x:v>
      </x:c>
      <x:c r="G988" s="0" t="s">
        <x:v>19</x:v>
      </x:c>
      <x:c r="H988" s="0" t="s">
        <x:v>20</x:v>
      </x:c>
      <x:c r="I988" s="0" t="s">
        <x:v>21</x:v>
      </x:c>
      <x:c r="K988" s="0">
        <x:f>hyperlink("https://icd.who.int/dev11/l-ichi/en#/http%3A%2F%2Fid.who.int%2Ficd%2Fentity%2F1895427035","browser")</x:f>
      </x:c>
      <x:c r="L988" s="0">
        <x:f>hyperlink("https://icat2.azurewebsites.net/icat/?ontology=ICD&amp;tab=ClassesTab&amp;id=http%3A%2F%2Fwho.int%2Ficd%23842_802b4dce_3444_418f_b0f7_3a2ab8b0daf4","iCat")</x:f>
      </x:c>
      <x:c r="M988" s="0" t="s">
        <x:v>21</x:v>
      </x:c>
      <x:c r="N988" s="0" t="s">
        <x:v>46</x:v>
      </x:c>
    </x:row>
    <x:row r="989" spans="1:16">
      <x:c r="B989" s="0" t="s">
        <x:v>3802</x:v>
      </x:c>
      <x:c r="C989" s="0" t="s">
        <x:v>3803</x:v>
      </x:c>
      <x:c r="E989" s="0" t="s">
        <x:v>3804</x:v>
      </x:c>
      <x:c r="F989" s="0" t="s">
        <x:v>45</x:v>
      </x:c>
      <x:c r="G989" s="0" t="s">
        <x:v>19</x:v>
      </x:c>
      <x:c r="H989" s="0" t="s">
        <x:v>21</x:v>
      </x:c>
      <x:c r="I989" s="0" t="s">
        <x:v>21</x:v>
      </x:c>
      <x:c r="K989" s="0">
        <x:f>hyperlink("https://icd.who.int/dev11/l-ichi/en#/http%3A%2F%2Fid.who.int%2Ficd%2Fentity%2F912419015%2Fichi%2Fother","browser")</x:f>
      </x:c>
      <x:c r="L989" s="0">
        <x:f>hyperlink("","iCat")</x:f>
      </x:c>
      <x:c r="M989" s="0" t="s">
        <x:v>21</x:v>
      </x:c>
      <x:c r="N989" s="0" t="s">
        <x:v>46</x:v>
      </x:c>
    </x:row>
    <x:row r="990" spans="1:16">
      <x:c r="B990" s="0" t="s">
        <x:v>3805</x:v>
      </x:c>
      <x:c r="C990" s="0" t="s">
        <x:v>3806</x:v>
      </x:c>
      <x:c r="E990" s="0" t="s">
        <x:v>3807</x:v>
      </x:c>
      <x:c r="F990" s="0" t="s">
        <x:v>45</x:v>
      </x:c>
      <x:c r="G990" s="0" t="s">
        <x:v>19</x:v>
      </x:c>
      <x:c r="H990" s="0" t="s">
        <x:v>21</x:v>
      </x:c>
      <x:c r="I990" s="0" t="s">
        <x:v>21</x:v>
      </x:c>
      <x:c r="K990" s="0">
        <x:f>hyperlink("https://icd.who.int/dev11/l-ichi/en#/http%3A%2F%2Fid.who.int%2Ficd%2Fentity%2F1855234240%2Fichi%2Fother","browser")</x:f>
      </x:c>
      <x:c r="L990" s="0">
        <x:f>hyperlink("","iCat")</x:f>
      </x:c>
      <x:c r="M990" s="0" t="s">
        <x:v>21</x:v>
      </x:c>
      <x:c r="N990" s="0" t="s">
        <x:v>46</x:v>
      </x:c>
    </x:row>
    <x:row r="991" spans="1:16">
      <x:c r="B991" s="0" t="s">
        <x:v>3808</x:v>
      </x:c>
      <x:c r="C991" s="0" t="s">
        <x:v>3809</x:v>
      </x:c>
      <x:c r="E991" s="0" t="s">
        <x:v>3810</x:v>
      </x:c>
      <x:c r="F991" s="0" t="s">
        <x:v>45</x:v>
      </x:c>
      <x:c r="G991" s="0" t="s">
        <x:v>19</x:v>
      </x:c>
      <x:c r="H991" s="0" t="s">
        <x:v>21</x:v>
      </x:c>
      <x:c r="I991" s="0" t="s">
        <x:v>21</x:v>
      </x:c>
      <x:c r="K991" s="0">
        <x:f>hyperlink("https://icd.who.int/dev11/l-ichi/en#/http%3A%2F%2Fid.who.int%2Ficd%2Fentity%2F1855234240%2Fichi%2Funspecified","browser")</x:f>
      </x:c>
      <x:c r="L991" s="0">
        <x:f>hyperlink("","iCat")</x:f>
      </x:c>
      <x:c r="M991" s="0" t="s">
        <x:v>21</x:v>
      </x:c>
      <x:c r="N991" s="0" t="s">
        <x:v>46</x:v>
      </x:c>
    </x:row>
    <x:row r="992" spans="1:16">
      <x:c r="A992" s="0" t="s">
        <x:v>3811</x:v>
      </x:c>
      <x:c r="B992" s="0" t="s">
        <x:v>3812</x:v>
      </x:c>
      <x:c r="E992" s="0" t="s">
        <x:v>3813</x:v>
      </x:c>
      <x:c r="F992" s="0" t="s">
        <x:v>26</x:v>
      </x:c>
      <x:c r="G992" s="0" t="s">
        <x:v>19</x:v>
      </x:c>
      <x:c r="H992" s="0" t="s">
        <x:v>20</x:v>
      </x:c>
      <x:c r="I992" s="0" t="s">
        <x:v>21</x:v>
      </x:c>
      <x:c r="K992" s="0">
        <x:f>hyperlink("https://icd.who.int/dev11/l-ichi/en#/http%3A%2F%2Fid.who.int%2Ficd%2Fentity%2F1994942409","browser")</x:f>
      </x:c>
      <x:c r="L992" s="0">
        <x:f>hyperlink("https://icat2.azurewebsites.net/icat/?ontology=ICD&amp;tab=ClassesTab&amp;id=http%3A%2F%2Fwho.int%2Ficd%23Means","iCat")</x:f>
      </x:c>
      <x:c r="M992" s="0" t="s">
        <x:v>20</x:v>
      </x:c>
      <x:c r="N992" s="0" t="s">
        <x:v>22</x:v>
      </x:c>
    </x:row>
    <x:row r="993" spans="1:16">
      <x:c r="A993" s="0" t="s">
        <x:v>3814</x:v>
      </x:c>
      <x:c r="B993" s="0" t="s">
        <x:v>3815</x:v>
      </x:c>
      <x:c r="E993" s="0" t="s">
        <x:v>3816</x:v>
      </x:c>
      <x:c r="F993" s="0" t="s">
        <x:v>26</x:v>
      </x:c>
      <x:c r="G993" s="0" t="s">
        <x:v>30</x:v>
      </x:c>
      <x:c r="H993" s="0" t="s">
        <x:v>20</x:v>
      </x:c>
      <x:c r="I993" s="0" t="s">
        <x:v>21</x:v>
      </x:c>
      <x:c r="K993" s="0">
        <x:f>hyperlink("https://icd.who.int/dev11/l-ichi/en#/http%3A%2F%2Fid.who.int%2Ficd%2Fentity%2F1766031288","browser")</x:f>
      </x:c>
      <x:c r="L993" s="0">
        <x:f>hyperlink("https://icat2.azurewebsites.net/icat/?ontology=ICD&amp;tab=ClassesTab&amp;id=http%3A%2F%2Fwho.int%2Ficd%231_86724c2e_ac35_4bae_9859_395fcd39d8d3","iCat")</x:f>
      </x:c>
      <x:c r="M993" s="0" t="s">
        <x:v>20</x:v>
      </x:c>
      <x:c r="N993" s="0" t="s">
        <x:v>684</x:v>
      </x:c>
    </x:row>
    <x:row r="994" spans="1:16">
      <x:c r="A994" s="0" t="s">
        <x:v>3817</x:v>
      </x:c>
      <x:c r="B994" s="0" t="s">
        <x:v>3818</x:v>
      </x:c>
      <x:c r="C994" s="0" t="s">
        <x:v>3309</x:v>
      </x:c>
      <x:c r="E994" s="0" t="s">
        <x:v>3819</x:v>
      </x:c>
      <x:c r="F994" s="0" t="s">
        <x:v>45</x:v>
      </x:c>
      <x:c r="G994" s="0" t="s">
        <x:v>19</x:v>
      </x:c>
      <x:c r="H994" s="0" t="s">
        <x:v>20</x:v>
      </x:c>
      <x:c r="I994" s="0" t="s">
        <x:v>21</x:v>
      </x:c>
      <x:c r="K994" s="0">
        <x:f>hyperlink("https://icd.who.int/dev11/l-ichi/en#/http%3A%2F%2Fid.who.int%2Ficd%2Fentity%2F1236929926","browser")</x:f>
      </x:c>
      <x:c r="L994" s="0">
        <x:f>hyperlink("https://icat2.azurewebsites.net/icat/?ontology=ICD&amp;tab=ClassesTab&amp;id=http%3A%2F%2Fwho.int%2Ficd%230_86724c2e_ac35_4bae_9859_395fcd39d8d3","iCat")</x:f>
      </x:c>
      <x:c r="M994" s="0" t="s">
        <x:v>21</x:v>
      </x:c>
      <x:c r="N994" s="0" t="s">
        <x:v>46</x:v>
      </x:c>
    </x:row>
    <x:row r="995" spans="1:16">
      <x:c r="A995" s="0" t="s">
        <x:v>3820</x:v>
      </x:c>
      <x:c r="B995" s="0" t="s">
        <x:v>3821</x:v>
      </x:c>
      <x:c r="C995" s="0" t="s">
        <x:v>3313</x:v>
      </x:c>
      <x:c r="E995" s="0" t="s">
        <x:v>3822</x:v>
      </x:c>
      <x:c r="F995" s="0" t="s">
        <x:v>45</x:v>
      </x:c>
      <x:c r="G995" s="0" t="s">
        <x:v>19</x:v>
      </x:c>
      <x:c r="H995" s="0" t="s">
        <x:v>20</x:v>
      </x:c>
      <x:c r="I995" s="0" t="s">
        <x:v>21</x:v>
      </x:c>
      <x:c r="K995" s="0">
        <x:f>hyperlink("https://icd.who.int/dev11/l-ichi/en#/http%3A%2F%2Fid.who.int%2Ficd%2Fentity%2F551666666","browser")</x:f>
      </x:c>
      <x:c r="L995" s="0">
        <x:f>hyperlink("https://icat2.azurewebsites.net/icat/?ontology=ICD&amp;tab=ClassesTab&amp;id=http%3A%2F%2Fwho.int%2Ficd%2312_86724c2e_ac35_4bae_9859_395fcd39d8d3","iCat")</x:f>
      </x:c>
      <x:c r="M995" s="0" t="s">
        <x:v>21</x:v>
      </x:c>
      <x:c r="N995" s="0" t="s">
        <x:v>46</x:v>
      </x:c>
    </x:row>
    <x:row r="996" spans="1:16">
      <x:c r="A996" s="0" t="s">
        <x:v>3823</x:v>
      </x:c>
      <x:c r="B996" s="0" t="s">
        <x:v>3824</x:v>
      </x:c>
      <x:c r="C996" s="0" t="s">
        <x:v>3317</x:v>
      </x:c>
      <x:c r="E996" s="0" t="s">
        <x:v>3825</x:v>
      </x:c>
      <x:c r="F996" s="0" t="s">
        <x:v>45</x:v>
      </x:c>
      <x:c r="G996" s="0" t="s">
        <x:v>19</x:v>
      </x:c>
      <x:c r="H996" s="0" t="s">
        <x:v>20</x:v>
      </x:c>
      <x:c r="I996" s="0" t="s">
        <x:v>21</x:v>
      </x:c>
      <x:c r="K996" s="0">
        <x:f>hyperlink("https://icd.who.int/dev11/l-ichi/en#/http%3A%2F%2Fid.who.int%2Ficd%2Fentity%2F1615889389","browser")</x:f>
      </x:c>
      <x:c r="L996" s="0">
        <x:f>hyperlink("https://icat2.azurewebsites.net/icat/?ontology=ICD&amp;tab=ClassesTab&amp;id=http%3A%2F%2Fwho.int%2Ficd%2322_86724c2e_ac35_4bae_9859_395fcd39d8d3","iCat")</x:f>
      </x:c>
      <x:c r="M996" s="0" t="s">
        <x:v>21</x:v>
      </x:c>
      <x:c r="N996" s="0" t="s">
        <x:v>46</x:v>
      </x:c>
    </x:row>
    <x:row r="997" spans="1:16">
      <x:c r="A997" s="0" t="s">
        <x:v>3826</x:v>
      </x:c>
      <x:c r="B997" s="0" t="s">
        <x:v>3827</x:v>
      </x:c>
      <x:c r="C997" s="0" t="s">
        <x:v>3321</x:v>
      </x:c>
      <x:c r="E997" s="0" t="s">
        <x:v>3828</x:v>
      </x:c>
      <x:c r="F997" s="0" t="s">
        <x:v>45</x:v>
      </x:c>
      <x:c r="G997" s="0" t="s">
        <x:v>19</x:v>
      </x:c>
      <x:c r="H997" s="0" t="s">
        <x:v>20</x:v>
      </x:c>
      <x:c r="I997" s="0" t="s">
        <x:v>21</x:v>
      </x:c>
      <x:c r="K997" s="0">
        <x:f>hyperlink("https://icd.who.int/dev11/l-ichi/en#/http%3A%2F%2Fid.who.int%2Ficd%2Fentity%2F1800707393","browser")</x:f>
      </x:c>
      <x:c r="L997" s="0">
        <x:f>hyperlink("https://icat2.azurewebsites.net/icat/?ontology=ICD&amp;tab=ClassesTab&amp;id=http%3A%2F%2Fwho.int%2Ficd%2329_86724c2e_ac35_4bae_9859_395fcd39d8d3","iCat")</x:f>
      </x:c>
      <x:c r="M997" s="0" t="s">
        <x:v>21</x:v>
      </x:c>
      <x:c r="N997" s="0" t="s">
        <x:v>46</x:v>
      </x:c>
    </x:row>
    <x:row r="998" spans="1:16">
      <x:c r="A998" s="0" t="s">
        <x:v>3829</x:v>
      </x:c>
      <x:c r="B998" s="0" t="s">
        <x:v>3830</x:v>
      </x:c>
      <x:c r="C998" s="0" t="s">
        <x:v>3325</x:v>
      </x:c>
      <x:c r="E998" s="0" t="s">
        <x:v>3831</x:v>
      </x:c>
      <x:c r="F998" s="0" t="s">
        <x:v>45</x:v>
      </x:c>
      <x:c r="G998" s="0" t="s">
        <x:v>19</x:v>
      </x:c>
      <x:c r="H998" s="0" t="s">
        <x:v>20</x:v>
      </x:c>
      <x:c r="I998" s="0" t="s">
        <x:v>21</x:v>
      </x:c>
      <x:c r="K998" s="0">
        <x:f>hyperlink("https://icd.who.int/dev11/l-ichi/en#/http%3A%2F%2Fid.who.int%2Ficd%2Fentity%2F1066586830","browser")</x:f>
      </x:c>
      <x:c r="L998" s="0">
        <x:f>hyperlink("https://icat2.azurewebsites.net/icat/?ontology=ICD&amp;tab=ClassesTab&amp;id=http%3A%2F%2Fwho.int%2Ficd%2336_86724c2e_ac35_4bae_9859_395fcd39d8d3","iCat")</x:f>
      </x:c>
      <x:c r="M998" s="0" t="s">
        <x:v>21</x:v>
      </x:c>
      <x:c r="N998" s="0" t="s">
        <x:v>46</x:v>
      </x:c>
    </x:row>
    <x:row r="999" spans="1:16">
      <x:c r="A999" s="0" t="s">
        <x:v>3832</x:v>
      </x:c>
      <x:c r="B999" s="0" t="s">
        <x:v>3833</x:v>
      </x:c>
      <x:c r="C999" s="0" t="s">
        <x:v>3329</x:v>
      </x:c>
      <x:c r="E999" s="0" t="s">
        <x:v>3834</x:v>
      </x:c>
      <x:c r="F999" s="0" t="s">
        <x:v>45</x:v>
      </x:c>
      <x:c r="G999" s="0" t="s">
        <x:v>19</x:v>
      </x:c>
      <x:c r="H999" s="0" t="s">
        <x:v>20</x:v>
      </x:c>
      <x:c r="I999" s="0" t="s">
        <x:v>21</x:v>
      </x:c>
      <x:c r="K999" s="0">
        <x:f>hyperlink("https://icd.who.int/dev11/l-ichi/en#/http%3A%2F%2Fid.who.int%2Ficd%2Fentity%2F800961512","browser")</x:f>
      </x:c>
      <x:c r="L999" s="0">
        <x:f>hyperlink("https://icat2.azurewebsites.net/icat/?ontology=ICD&amp;tab=ClassesTab&amp;id=http%3A%2F%2Fwho.int%2Ficd%2347_86724c2e_ac35_4bae_9859_395fcd39d8d3","iCat")</x:f>
      </x:c>
      <x:c r="M999" s="0" t="s">
        <x:v>21</x:v>
      </x:c>
      <x:c r="N999" s="0" t="s">
        <x:v>46</x:v>
      </x:c>
    </x:row>
    <x:row r="1000" spans="1:16">
      <x:c r="A1000" s="0" t="s">
        <x:v>3835</x:v>
      </x:c>
      <x:c r="B1000" s="0" t="s">
        <x:v>3836</x:v>
      </x:c>
      <x:c r="C1000" s="0" t="s">
        <x:v>3837</x:v>
      </x:c>
      <x:c r="E1000" s="0" t="s">
        <x:v>3838</x:v>
      </x:c>
      <x:c r="F1000" s="0" t="s">
        <x:v>45</x:v>
      </x:c>
      <x:c r="G1000" s="0" t="s">
        <x:v>19</x:v>
      </x:c>
      <x:c r="H1000" s="0" t="s">
        <x:v>20</x:v>
      </x:c>
      <x:c r="I1000" s="0" t="s">
        <x:v>21</x:v>
      </x:c>
      <x:c r="K1000" s="0">
        <x:f>hyperlink("https://icd.who.int/dev11/l-ichi/en#/http%3A%2F%2Fid.who.int%2Ficd%2Fentity%2F1702974595","browser")</x:f>
      </x:c>
      <x:c r="L1000" s="0">
        <x:f>hyperlink("https://icat2.azurewebsites.net/icat/?ontology=ICD&amp;tab=ClassesTab&amp;id=http%3A%2F%2Fwho.int%2Ficd%2356_86724c2e_ac35_4bae_9859_395fcd39d8d3","iCat")</x:f>
      </x:c>
      <x:c r="M1000" s="0" t="s">
        <x:v>21</x:v>
      </x:c>
      <x:c r="N1000" s="0" t="s">
        <x:v>46</x:v>
      </x:c>
    </x:row>
    <x:row r="1001" spans="1:16">
      <x:c r="A1001" s="0" t="s">
        <x:v>3839</x:v>
      </x:c>
      <x:c r="B1001" s="0" t="s">
        <x:v>3840</x:v>
      </x:c>
      <x:c r="C1001" s="0" t="s">
        <x:v>3333</x:v>
      </x:c>
      <x:c r="E1001" s="0" t="s">
        <x:v>3841</x:v>
      </x:c>
      <x:c r="F1001" s="0" t="s">
        <x:v>45</x:v>
      </x:c>
      <x:c r="G1001" s="0" t="s">
        <x:v>19</x:v>
      </x:c>
      <x:c r="H1001" s="0" t="s">
        <x:v>20</x:v>
      </x:c>
      <x:c r="I1001" s="0" t="s">
        <x:v>21</x:v>
      </x:c>
      <x:c r="K1001" s="0">
        <x:f>hyperlink("https://icd.who.int/dev11/l-ichi/en#/http%3A%2F%2Fid.who.int%2Ficd%2Fentity%2F1437777673","browser")</x:f>
      </x:c>
      <x:c r="L1001" s="0">
        <x:f>hyperlink("https://icat2.azurewebsites.net/icat/?ontology=ICD&amp;tab=ClassesTab&amp;id=http%3A%2F%2Fwho.int%2Ficd%2361_86724c2e_ac35_4bae_9859_395fcd39d8d3","iCat")</x:f>
      </x:c>
      <x:c r="M1001" s="0" t="s">
        <x:v>21</x:v>
      </x:c>
      <x:c r="N1001" s="0" t="s">
        <x:v>46</x:v>
      </x:c>
    </x:row>
    <x:row r="1002" spans="1:16">
      <x:c r="A1002" s="0" t="s">
        <x:v>3842</x:v>
      </x:c>
      <x:c r="B1002" s="0" t="s">
        <x:v>3843</x:v>
      </x:c>
      <x:c r="C1002" s="0" t="s">
        <x:v>3337</x:v>
      </x:c>
      <x:c r="E1002" s="0" t="s">
        <x:v>3844</x:v>
      </x:c>
      <x:c r="F1002" s="0" t="s">
        <x:v>45</x:v>
      </x:c>
      <x:c r="G1002" s="0" t="s">
        <x:v>19</x:v>
      </x:c>
      <x:c r="H1002" s="0" t="s">
        <x:v>20</x:v>
      </x:c>
      <x:c r="I1002" s="0" t="s">
        <x:v>21</x:v>
      </x:c>
      <x:c r="K1002" s="0">
        <x:f>hyperlink("https://icd.who.int/dev11/l-ichi/en#/http%3A%2F%2Fid.who.int%2Ficd%2Fentity%2F623907972","browser")</x:f>
      </x:c>
      <x:c r="L1002" s="0">
        <x:f>hyperlink("https://icat2.azurewebsites.net/icat/?ontology=ICD&amp;tab=ClassesTab&amp;id=http%3A%2F%2Fwho.int%2Ficd%2366_86724c2e_ac35_4bae_9859_395fcd39d8d3","iCat")</x:f>
      </x:c>
      <x:c r="M1002" s="0" t="s">
        <x:v>21</x:v>
      </x:c>
      <x:c r="N1002" s="0" t="s">
        <x:v>46</x:v>
      </x:c>
    </x:row>
    <x:row r="1003" spans="1:16">
      <x:c r="A1003" s="0" t="s">
        <x:v>3845</x:v>
      </x:c>
      <x:c r="B1003" s="0" t="s">
        <x:v>3846</x:v>
      </x:c>
      <x:c r="C1003" s="0" t="s">
        <x:v>3847</x:v>
      </x:c>
      <x:c r="E1003" s="0" t="s">
        <x:v>3848</x:v>
      </x:c>
      <x:c r="F1003" s="0" t="s">
        <x:v>45</x:v>
      </x:c>
      <x:c r="G1003" s="0" t="s">
        <x:v>19</x:v>
      </x:c>
      <x:c r="H1003" s="0" t="s">
        <x:v>20</x:v>
      </x:c>
      <x:c r="I1003" s="0" t="s">
        <x:v>21</x:v>
      </x:c>
      <x:c r="K1003" s="0">
        <x:f>hyperlink("https://icd.who.int/dev11/l-ichi/en#/http%3A%2F%2Fid.who.int%2Ficd%2Fentity%2F529422436","browser")</x:f>
      </x:c>
      <x:c r="L1003" s="0">
        <x:f>hyperlink("https://icat2.azurewebsites.net/icat/?ontology=ICD&amp;tab=ClassesTab&amp;id=http%3A%2F%2Fwho.int%2Ficd%2370_86724c2e_ac35_4bae_9859_395fcd39d8d3","iCat")</x:f>
      </x:c>
      <x:c r="M1003" s="0" t="s">
        <x:v>21</x:v>
      </x:c>
      <x:c r="N1003" s="0" t="s">
        <x:v>46</x:v>
      </x:c>
    </x:row>
    <x:row r="1004" spans="1:16">
      <x:c r="A1004" s="0" t="s">
        <x:v>3849</x:v>
      </x:c>
      <x:c r="B1004" s="0" t="s">
        <x:v>3850</x:v>
      </x:c>
      <x:c r="C1004" s="0" t="s">
        <x:v>3851</x:v>
      </x:c>
      <x:c r="E1004" s="0" t="s">
        <x:v>3852</x:v>
      </x:c>
      <x:c r="F1004" s="0" t="s">
        <x:v>45</x:v>
      </x:c>
      <x:c r="G1004" s="0" t="s">
        <x:v>19</x:v>
      </x:c>
      <x:c r="H1004" s="0" t="s">
        <x:v>20</x:v>
      </x:c>
      <x:c r="I1004" s="0" t="s">
        <x:v>21</x:v>
      </x:c>
      <x:c r="K1004" s="0">
        <x:f>hyperlink("https://icd.who.int/dev11/l-ichi/en#/http%3A%2F%2Fid.who.int%2Ficd%2Fentity%2F713661462","browser")</x:f>
      </x:c>
      <x:c r="L1004" s="0">
        <x:f>hyperlink("https://icat2.azurewebsites.net/icat/?ontology=ICD&amp;tab=ClassesTab&amp;id=http%3A%2F%2Fwho.int%2Ficd%2374_86724c2e_ac35_4bae_9859_395fcd39d8d3","iCat")</x:f>
      </x:c>
      <x:c r="M1004" s="0" t="s">
        <x:v>21</x:v>
      </x:c>
      <x:c r="N1004" s="0" t="s">
        <x:v>46</x:v>
      </x:c>
    </x:row>
    <x:row r="1005" spans="1:16">
      <x:c r="A1005" s="0" t="s">
        <x:v>3853</x:v>
      </x:c>
      <x:c r="B1005" s="0" t="s">
        <x:v>3854</x:v>
      </x:c>
      <x:c r="C1005" s="0" t="s">
        <x:v>3855</x:v>
      </x:c>
      <x:c r="E1005" s="0" t="s">
        <x:v>3856</x:v>
      </x:c>
      <x:c r="F1005" s="0" t="s">
        <x:v>45</x:v>
      </x:c>
      <x:c r="G1005" s="0" t="s">
        <x:v>19</x:v>
      </x:c>
      <x:c r="H1005" s="0" t="s">
        <x:v>20</x:v>
      </x:c>
      <x:c r="I1005" s="0" t="s">
        <x:v>21</x:v>
      </x:c>
      <x:c r="K1005" s="0">
        <x:f>hyperlink("https://icd.who.int/dev11/l-ichi/en#/http%3A%2F%2Fid.who.int%2Ficd%2Fentity%2F812192446","browser")</x:f>
      </x:c>
      <x:c r="L1005" s="0">
        <x:f>hyperlink("https://icat2.azurewebsites.net/icat/?ontology=ICD&amp;tab=ClassesTab&amp;id=http%3A%2F%2Fwho.int%2Ficd%2380_86724c2e_ac35_4bae_9859_395fcd39d8d3","iCat")</x:f>
      </x:c>
      <x:c r="M1005" s="0" t="s">
        <x:v>21</x:v>
      </x:c>
      <x:c r="N1005" s="0" t="s">
        <x:v>46</x:v>
      </x:c>
    </x:row>
    <x:row r="1006" spans="1:16">
      <x:c r="A1006" s="0" t="s">
        <x:v>3857</x:v>
      </x:c>
      <x:c r="B1006" s="0" t="s">
        <x:v>3858</x:v>
      </x:c>
      <x:c r="C1006" s="0" t="s">
        <x:v>3859</x:v>
      </x:c>
      <x:c r="E1006" s="0" t="s">
        <x:v>3860</x:v>
      </x:c>
      <x:c r="F1006" s="0" t="s">
        <x:v>45</x:v>
      </x:c>
      <x:c r="G1006" s="0" t="s">
        <x:v>19</x:v>
      </x:c>
      <x:c r="H1006" s="0" t="s">
        <x:v>20</x:v>
      </x:c>
      <x:c r="I1006" s="0" t="s">
        <x:v>21</x:v>
      </x:c>
      <x:c r="K1006" s="0">
        <x:f>hyperlink("https://icd.who.int/dev11/l-ichi/en#/http%3A%2F%2Fid.who.int%2Ficd%2Fentity%2F91150024","browser")</x:f>
      </x:c>
      <x:c r="L1006" s="0">
        <x:f>hyperlink("https://icat2.azurewebsites.net/icat/?ontology=ICD&amp;tab=ClassesTab&amp;id=http%3A%2F%2Fwho.int%2Ficd%2384_86724c2e_ac35_4bae_9859_395fcd39d8d3","iCat")</x:f>
      </x:c>
      <x:c r="M1006" s="0" t="s">
        <x:v>21</x:v>
      </x:c>
      <x:c r="N1006" s="0" t="s">
        <x:v>46</x:v>
      </x:c>
    </x:row>
    <x:row r="1007" spans="1:16">
      <x:c r="A1007" s="0" t="s">
        <x:v>3861</x:v>
      </x:c>
      <x:c r="B1007" s="0" t="s">
        <x:v>3862</x:v>
      </x:c>
      <x:c r="E1007" s="0" t="s">
        <x:v>3863</x:v>
      </x:c>
      <x:c r="F1007" s="0" t="s">
        <x:v>26</x:v>
      </x:c>
      <x:c r="G1007" s="0" t="s">
        <x:v>30</x:v>
      </x:c>
      <x:c r="H1007" s="0" t="s">
        <x:v>20</x:v>
      </x:c>
      <x:c r="I1007" s="0" t="s">
        <x:v>21</x:v>
      </x:c>
      <x:c r="K1007" s="0">
        <x:f>hyperlink("https://icd.who.int/dev11/l-ichi/en#/http%3A%2F%2Fid.who.int%2Ficd%2Fentity%2F1521256427","browser")</x:f>
      </x:c>
      <x:c r="L1007" s="0">
        <x:f>hyperlink("https://icat2.azurewebsites.net/icat/?ontology=ICD&amp;tab=ClassesTab&amp;id=http%3A%2F%2Fwho.int%2Ficd%2390_86724c2e_ac35_4bae_9859_395fcd39d8d3","iCat")</x:f>
      </x:c>
      <x:c r="M1007" s="0" t="s">
        <x:v>20</x:v>
      </x:c>
      <x:c r="N1007" s="0" t="s">
        <x:v>2677</x:v>
      </x:c>
    </x:row>
    <x:row r="1008" spans="1:16">
      <x:c r="A1008" s="0" t="s">
        <x:v>3864</x:v>
      </x:c>
      <x:c r="B1008" s="0" t="s">
        <x:v>3865</x:v>
      </x:c>
      <x:c r="C1008" s="0" t="s">
        <x:v>3349</x:v>
      </x:c>
      <x:c r="E1008" s="0" t="s">
        <x:v>3866</x:v>
      </x:c>
      <x:c r="F1008" s="0" t="s">
        <x:v>45</x:v>
      </x:c>
      <x:c r="G1008" s="0" t="s">
        <x:v>19</x:v>
      </x:c>
      <x:c r="H1008" s="0" t="s">
        <x:v>20</x:v>
      </x:c>
      <x:c r="I1008" s="0" t="s">
        <x:v>21</x:v>
      </x:c>
      <x:c r="K1008" s="0">
        <x:f>hyperlink("https://icd.who.int/dev11/l-ichi/en#/http%3A%2F%2Fid.who.int%2Ficd%2Fentity%2F1578176981","browser")</x:f>
      </x:c>
      <x:c r="L1008" s="0">
        <x:f>hyperlink("https://icat2.azurewebsites.net/icat/?ontology=ICD&amp;tab=ClassesTab&amp;id=http%3A%2F%2Fwho.int%2Ficd%2389_86724c2e_ac35_4bae_9859_395fcd39d8d3","iCat")</x:f>
      </x:c>
      <x:c r="M1008" s="0" t="s">
        <x:v>21</x:v>
      </x:c>
      <x:c r="N1008" s="0" t="s">
        <x:v>46</x:v>
      </x:c>
    </x:row>
    <x:row r="1009" spans="1:16">
      <x:c r="A1009" s="0" t="s">
        <x:v>3867</x:v>
      </x:c>
      <x:c r="B1009" s="0" t="s">
        <x:v>3868</x:v>
      </x:c>
      <x:c r="C1009" s="0" t="s">
        <x:v>3869</x:v>
      </x:c>
      <x:c r="E1009" s="0" t="s">
        <x:v>3870</x:v>
      </x:c>
      <x:c r="F1009" s="0" t="s">
        <x:v>45</x:v>
      </x:c>
      <x:c r="G1009" s="0" t="s">
        <x:v>19</x:v>
      </x:c>
      <x:c r="H1009" s="0" t="s">
        <x:v>20</x:v>
      </x:c>
      <x:c r="I1009" s="0" t="s">
        <x:v>21</x:v>
      </x:c>
      <x:c r="K1009" s="0">
        <x:f>hyperlink("https://icd.who.int/dev11/l-ichi/en#/http%3A%2F%2Fid.who.int%2Ficd%2Fentity%2F1429285153","browser")</x:f>
      </x:c>
      <x:c r="L1009" s="0">
        <x:f>hyperlink("https://icat2.azurewebsites.net/icat/?ontology=ICD&amp;tab=ClassesTab&amp;id=http%3A%2F%2Fwho.int%2Ficd%23107_86724c2e_ac35_4bae_9859_395fcd39d8d3","iCat")</x:f>
      </x:c>
      <x:c r="M1009" s="0" t="s">
        <x:v>21</x:v>
      </x:c>
      <x:c r="N1009" s="0" t="s">
        <x:v>46</x:v>
      </x:c>
    </x:row>
    <x:row r="1010" spans="1:16">
      <x:c r="A1010" s="0" t="s">
        <x:v>3871</x:v>
      </x:c>
      <x:c r="B1010" s="0" t="s">
        <x:v>3872</x:v>
      </x:c>
      <x:c r="C1010" s="0" t="s">
        <x:v>3873</x:v>
      </x:c>
      <x:c r="E1010" s="0" t="s">
        <x:v>3874</x:v>
      </x:c>
      <x:c r="F1010" s="0" t="s">
        <x:v>45</x:v>
      </x:c>
      <x:c r="G1010" s="0" t="s">
        <x:v>19</x:v>
      </x:c>
      <x:c r="H1010" s="0" t="s">
        <x:v>20</x:v>
      </x:c>
      <x:c r="I1010" s="0" t="s">
        <x:v>21</x:v>
      </x:c>
      <x:c r="K1010" s="0">
        <x:f>hyperlink("https://icd.who.int/dev11/l-ichi/en#/http%3A%2F%2Fid.who.int%2Ficd%2Fentity%2F1518903731","browser")</x:f>
      </x:c>
      <x:c r="L1010" s="0">
        <x:f>hyperlink("https://icat2.azurewebsites.net/icat/?ontology=ICD&amp;tab=ClassesTab&amp;id=http%3A%2F%2Fwho.int%2Ficd%23115_86724c2e_ac35_4bae_9859_395fcd39d8d3","iCat")</x:f>
      </x:c>
      <x:c r="M1010" s="0" t="s">
        <x:v>21</x:v>
      </x:c>
      <x:c r="N1010" s="0" t="s">
        <x:v>46</x:v>
      </x:c>
    </x:row>
    <x:row r="1011" spans="1:16">
      <x:c r="A1011" s="0" t="s">
        <x:v>3875</x:v>
      </x:c>
      <x:c r="B1011" s="0" t="s">
        <x:v>3876</x:v>
      </x:c>
      <x:c r="C1011" s="0" t="s">
        <x:v>3877</x:v>
      </x:c>
      <x:c r="E1011" s="0" t="s">
        <x:v>3878</x:v>
      </x:c>
      <x:c r="F1011" s="0" t="s">
        <x:v>45</x:v>
      </x:c>
      <x:c r="G1011" s="0" t="s">
        <x:v>19</x:v>
      </x:c>
      <x:c r="H1011" s="0" t="s">
        <x:v>20</x:v>
      </x:c>
      <x:c r="I1011" s="0" t="s">
        <x:v>21</x:v>
      </x:c>
      <x:c r="K1011" s="0">
        <x:f>hyperlink("https://icd.who.int/dev11/l-ichi/en#/http%3A%2F%2Fid.who.int%2Ficd%2Fentity%2F792602050","browser")</x:f>
      </x:c>
      <x:c r="L1011" s="0">
        <x:f>hyperlink("https://icat2.azurewebsites.net/icat/?ontology=ICD&amp;tab=ClassesTab&amp;id=http%3A%2F%2Fwho.int%2Ficd%23121_86724c2e_ac35_4bae_9859_395fcd39d8d3","iCat")</x:f>
      </x:c>
      <x:c r="M1011" s="0" t="s">
        <x:v>21</x:v>
      </x:c>
      <x:c r="N1011" s="0" t="s">
        <x:v>46</x:v>
      </x:c>
    </x:row>
    <x:row r="1012" spans="1:16">
      <x:c r="A1012" s="0" t="s">
        <x:v>3879</x:v>
      </x:c>
      <x:c r="B1012" s="0" t="s">
        <x:v>3880</x:v>
      </x:c>
      <x:c r="C1012" s="0" t="s">
        <x:v>3881</x:v>
      </x:c>
      <x:c r="E1012" s="0" t="s">
        <x:v>3882</x:v>
      </x:c>
      <x:c r="F1012" s="0" t="s">
        <x:v>45</x:v>
      </x:c>
      <x:c r="G1012" s="0" t="s">
        <x:v>19</x:v>
      </x:c>
      <x:c r="H1012" s="0" t="s">
        <x:v>20</x:v>
      </x:c>
      <x:c r="I1012" s="0" t="s">
        <x:v>21</x:v>
      </x:c>
      <x:c r="K1012" s="0">
        <x:f>hyperlink("https://icd.who.int/dev11/l-ichi/en#/http%3A%2F%2Fid.who.int%2Ficd%2Fentity%2F1606192717","browser")</x:f>
      </x:c>
      <x:c r="L1012" s="0">
        <x:f>hyperlink("https://icat2.azurewebsites.net/icat/?ontology=ICD&amp;tab=ClassesTab&amp;id=http%3A%2F%2Fwho.int%2Ficd%23126_86724c2e_ac35_4bae_9859_395fcd39d8d3","iCat")</x:f>
      </x:c>
      <x:c r="M1012" s="0" t="s">
        <x:v>21</x:v>
      </x:c>
      <x:c r="N1012" s="0" t="s">
        <x:v>46</x:v>
      </x:c>
    </x:row>
    <x:row r="1013" spans="1:16">
      <x:c r="A1013" s="0" t="s">
        <x:v>3883</x:v>
      </x:c>
      <x:c r="B1013" s="0" t="s">
        <x:v>3884</x:v>
      </x:c>
      <x:c r="C1013" s="0" t="s">
        <x:v>3885</x:v>
      </x:c>
      <x:c r="E1013" s="0" t="s">
        <x:v>3886</x:v>
      </x:c>
      <x:c r="F1013" s="0" t="s">
        <x:v>45</x:v>
      </x:c>
      <x:c r="G1013" s="0" t="s">
        <x:v>19</x:v>
      </x:c>
      <x:c r="H1013" s="0" t="s">
        <x:v>20</x:v>
      </x:c>
      <x:c r="I1013" s="0" t="s">
        <x:v>21</x:v>
      </x:c>
      <x:c r="K1013" s="0">
        <x:f>hyperlink("https://icd.who.int/dev11/l-ichi/en#/http%3A%2F%2Fid.who.int%2Ficd%2Fentity%2F1342506719","browser")</x:f>
      </x:c>
      <x:c r="L1013" s="0">
        <x:f>hyperlink("https://icat2.azurewebsites.net/icat/?ontology=ICD&amp;tab=ClassesTab&amp;id=http%3A%2F%2Fwho.int%2Ficd%23134_86724c2e_ac35_4bae_9859_395fcd39d8d3","iCat")</x:f>
      </x:c>
      <x:c r="M1013" s="0" t="s">
        <x:v>21</x:v>
      </x:c>
      <x:c r="N1013" s="0" t="s">
        <x:v>46</x:v>
      </x:c>
    </x:row>
    <x:row r="1014" spans="1:16">
      <x:c r="A1014" s="0" t="s">
        <x:v>3887</x:v>
      </x:c>
      <x:c r="B1014" s="0" t="s">
        <x:v>3888</x:v>
      </x:c>
      <x:c r="C1014" s="0" t="s">
        <x:v>3889</x:v>
      </x:c>
      <x:c r="E1014" s="0" t="s">
        <x:v>3890</x:v>
      </x:c>
      <x:c r="F1014" s="0" t="s">
        <x:v>45</x:v>
      </x:c>
      <x:c r="G1014" s="0" t="s">
        <x:v>19</x:v>
      </x:c>
      <x:c r="H1014" s="0" t="s">
        <x:v>20</x:v>
      </x:c>
      <x:c r="I1014" s="0" t="s">
        <x:v>21</x:v>
      </x:c>
      <x:c r="K1014" s="0">
        <x:f>hyperlink("https://icd.who.int/dev11/l-ichi/en#/http%3A%2F%2Fid.who.int%2Ficd%2Fentity%2F1440010673","browser")</x:f>
      </x:c>
      <x:c r="L1014" s="0">
        <x:f>hyperlink("https://icat2.azurewebsites.net/icat/?ontology=ICD&amp;tab=ClassesTab&amp;id=http%3A%2F%2Fwho.int%2Ficd%23140_86724c2e_ac35_4bae_9859_395fcd39d8d3","iCat")</x:f>
      </x:c>
      <x:c r="M1014" s="0" t="s">
        <x:v>21</x:v>
      </x:c>
      <x:c r="N1014" s="0" t="s">
        <x:v>46</x:v>
      </x:c>
    </x:row>
    <x:row r="1015" spans="1:16">
      <x:c r="A1015" s="0" t="s">
        <x:v>3891</x:v>
      </x:c>
      <x:c r="B1015" s="0" t="s">
        <x:v>3892</x:v>
      </x:c>
      <x:c r="C1015" s="0" t="s">
        <x:v>3893</x:v>
      </x:c>
      <x:c r="E1015" s="0" t="s">
        <x:v>3894</x:v>
      </x:c>
      <x:c r="F1015" s="0" t="s">
        <x:v>45</x:v>
      </x:c>
      <x:c r="G1015" s="0" t="s">
        <x:v>19</x:v>
      </x:c>
      <x:c r="H1015" s="0" t="s">
        <x:v>20</x:v>
      </x:c>
      <x:c r="I1015" s="0" t="s">
        <x:v>21</x:v>
      </x:c>
      <x:c r="K1015" s="0">
        <x:f>hyperlink("https://icd.who.int/dev11/l-ichi/en#/http%3A%2F%2Fid.who.int%2Ficd%2Fentity%2F458596582","browser")</x:f>
      </x:c>
      <x:c r="L1015" s="0">
        <x:f>hyperlink("https://icat2.azurewebsites.net/icat/?ontology=ICD&amp;tab=ClassesTab&amp;id=http%3A%2F%2Fwho.int%2Ficd%23148_86724c2e_ac35_4bae_9859_395fcd39d8d3","iCat")</x:f>
      </x:c>
      <x:c r="M1015" s="0" t="s">
        <x:v>21</x:v>
      </x:c>
      <x:c r="N1015" s="0" t="s">
        <x:v>46</x:v>
      </x:c>
    </x:row>
    <x:row r="1016" spans="1:16">
      <x:c r="A1016" s="0" t="s">
        <x:v>3895</x:v>
      </x:c>
      <x:c r="B1016" s="0" t="s">
        <x:v>3896</x:v>
      </x:c>
      <x:c r="C1016" s="0" t="s">
        <x:v>3897</x:v>
      </x:c>
      <x:c r="E1016" s="0" t="s">
        <x:v>3898</x:v>
      </x:c>
      <x:c r="F1016" s="0" t="s">
        <x:v>45</x:v>
      </x:c>
      <x:c r="G1016" s="0" t="s">
        <x:v>19</x:v>
      </x:c>
      <x:c r="H1016" s="0" t="s">
        <x:v>20</x:v>
      </x:c>
      <x:c r="I1016" s="0" t="s">
        <x:v>21</x:v>
      </x:c>
      <x:c r="K1016" s="0">
        <x:f>hyperlink("https://icd.who.int/dev11/l-ichi/en#/http%3A%2F%2Fid.who.int%2Ficd%2Fentity%2F1869258071","browser")</x:f>
      </x:c>
      <x:c r="L1016" s="0">
        <x:f>hyperlink("https://icat2.azurewebsites.net/icat/?ontology=ICD&amp;tab=ClassesTab&amp;id=http%3A%2F%2Fwho.int%2Ficd%23156_86724c2e_ac35_4bae_9859_395fcd39d8d3","iCat")</x:f>
      </x:c>
      <x:c r="M1016" s="0" t="s">
        <x:v>21</x:v>
      </x:c>
      <x:c r="N1016" s="0" t="s">
        <x:v>46</x:v>
      </x:c>
    </x:row>
    <x:row r="1017" spans="1:16">
      <x:c r="A1017" s="0" t="s">
        <x:v>3899</x:v>
      </x:c>
      <x:c r="B1017" s="0" t="s">
        <x:v>3900</x:v>
      </x:c>
      <x:c r="C1017" s="0" t="s">
        <x:v>3901</x:v>
      </x:c>
      <x:c r="E1017" s="0" t="s">
        <x:v>3902</x:v>
      </x:c>
      <x:c r="F1017" s="0" t="s">
        <x:v>45</x:v>
      </x:c>
      <x:c r="G1017" s="0" t="s">
        <x:v>19</x:v>
      </x:c>
      <x:c r="H1017" s="0" t="s">
        <x:v>20</x:v>
      </x:c>
      <x:c r="I1017" s="0" t="s">
        <x:v>21</x:v>
      </x:c>
      <x:c r="K1017" s="0">
        <x:f>hyperlink("https://icd.who.int/dev11/l-ichi/en#/http%3A%2F%2Fid.who.int%2Ficd%2Fentity%2F450631972","browser")</x:f>
      </x:c>
      <x:c r="L1017" s="0">
        <x:f>hyperlink("https://icat2.azurewebsites.net/icat/?ontology=ICD&amp;tab=ClassesTab&amp;id=http%3A%2F%2Fwho.int%2Ficd%23162_86724c2e_ac35_4bae_9859_395fcd39d8d3","iCat")</x:f>
      </x:c>
      <x:c r="M1017" s="0" t="s">
        <x:v>21</x:v>
      </x:c>
      <x:c r="N1017" s="0" t="s">
        <x:v>46</x:v>
      </x:c>
    </x:row>
    <x:row r="1018" spans="1:16">
      <x:c r="A1018" s="0" t="s">
        <x:v>3903</x:v>
      </x:c>
      <x:c r="B1018" s="0" t="s">
        <x:v>3904</x:v>
      </x:c>
      <x:c r="C1018" s="0" t="s">
        <x:v>3905</x:v>
      </x:c>
      <x:c r="E1018" s="0" t="s">
        <x:v>3906</x:v>
      </x:c>
      <x:c r="F1018" s="0" t="s">
        <x:v>45</x:v>
      </x:c>
      <x:c r="G1018" s="0" t="s">
        <x:v>19</x:v>
      </x:c>
      <x:c r="H1018" s="0" t="s">
        <x:v>20</x:v>
      </x:c>
      <x:c r="I1018" s="0" t="s">
        <x:v>21</x:v>
      </x:c>
      <x:c r="K1018" s="0">
        <x:f>hyperlink("https://icd.who.int/dev11/l-ichi/en#/http%3A%2F%2Fid.who.int%2Ficd%2Fentity%2F789307162","browser")</x:f>
      </x:c>
      <x:c r="L1018" s="0">
        <x:f>hyperlink("https://icat2.azurewebsites.net/icat/?ontology=ICD&amp;tab=ClassesTab&amp;id=http%3A%2F%2Fwho.int%2Ficd%2313269_4869915e_217e_423d_acb3_33c0f920ef4b","iCat")</x:f>
      </x:c>
      <x:c r="M1018" s="0" t="s">
        <x:v>21</x:v>
      </x:c>
      <x:c r="N1018" s="0" t="s">
        <x:v>46</x:v>
      </x:c>
    </x:row>
    <x:row r="1019" spans="1:16">
      <x:c r="A1019" s="0" t="s">
        <x:v>3907</x:v>
      </x:c>
      <x:c r="B1019" s="0" t="s">
        <x:v>3908</x:v>
      </x:c>
      <x:c r="C1019" s="0" t="s">
        <x:v>3909</x:v>
      </x:c>
      <x:c r="E1019" s="0" t="s">
        <x:v>3910</x:v>
      </x:c>
      <x:c r="F1019" s="0" t="s">
        <x:v>45</x:v>
      </x:c>
      <x:c r="G1019" s="0" t="s">
        <x:v>19</x:v>
      </x:c>
      <x:c r="H1019" s="0" t="s">
        <x:v>20</x:v>
      </x:c>
      <x:c r="I1019" s="0" t="s">
        <x:v>21</x:v>
      </x:c>
      <x:c r="K1019" s="0">
        <x:f>hyperlink("https://icd.who.int/dev11/l-ichi/en#/http%3A%2F%2Fid.who.int%2Ficd%2Fentity%2F253931372","browser")</x:f>
      </x:c>
      <x:c r="L1019" s="0">
        <x:f>hyperlink("https://icat2.azurewebsites.net/icat/?ontology=ICD&amp;tab=ClassesTab&amp;id=http%3A%2F%2Fwho.int%2Ficd%23167_86724c2e_ac35_4bae_9859_395fcd39d8d3","iCat")</x:f>
      </x:c>
      <x:c r="M1019" s="0" t="s">
        <x:v>21</x:v>
      </x:c>
      <x:c r="N1019" s="0" t="s">
        <x:v>46</x:v>
      </x:c>
    </x:row>
    <x:row r="1020" spans="1:16">
      <x:c r="A1020" s="0" t="s">
        <x:v>3911</x:v>
      </x:c>
      <x:c r="B1020" s="0" t="s">
        <x:v>3912</x:v>
      </x:c>
      <x:c r="C1020" s="0" t="s">
        <x:v>3913</x:v>
      </x:c>
      <x:c r="E1020" s="0" t="s">
        <x:v>3914</x:v>
      </x:c>
      <x:c r="F1020" s="0" t="s">
        <x:v>45</x:v>
      </x:c>
      <x:c r="G1020" s="0" t="s">
        <x:v>19</x:v>
      </x:c>
      <x:c r="H1020" s="0" t="s">
        <x:v>20</x:v>
      </x:c>
      <x:c r="I1020" s="0" t="s">
        <x:v>21</x:v>
      </x:c>
      <x:c r="K1020" s="0">
        <x:f>hyperlink("https://icd.who.int/dev11/l-ichi/en#/http%3A%2F%2Fid.who.int%2Ficd%2Fentity%2F543315396","browser")</x:f>
      </x:c>
      <x:c r="L1020" s="0">
        <x:f>hyperlink("https://icat2.azurewebsites.net/icat/?ontology=ICD&amp;tab=ClassesTab&amp;id=http%3A%2F%2Fwho.int%2Ficd%23174_86724c2e_ac35_4bae_9859_395fcd39d8d3","iCat")</x:f>
      </x:c>
      <x:c r="M1020" s="0" t="s">
        <x:v>21</x:v>
      </x:c>
      <x:c r="N1020" s="0" t="s">
        <x:v>46</x:v>
      </x:c>
    </x:row>
    <x:row r="1021" spans="1:16">
      <x:c r="A1021" s="0" t="s">
        <x:v>3915</x:v>
      </x:c>
      <x:c r="B1021" s="0" t="s">
        <x:v>3916</x:v>
      </x:c>
      <x:c r="C1021" s="0" t="s">
        <x:v>3917</x:v>
      </x:c>
      <x:c r="E1021" s="0" t="s">
        <x:v>3918</x:v>
      </x:c>
      <x:c r="F1021" s="0" t="s">
        <x:v>45</x:v>
      </x:c>
      <x:c r="G1021" s="0" t="s">
        <x:v>19</x:v>
      </x:c>
      <x:c r="H1021" s="0" t="s">
        <x:v>20</x:v>
      </x:c>
      <x:c r="I1021" s="0" t="s">
        <x:v>21</x:v>
      </x:c>
      <x:c r="K1021" s="0">
        <x:f>hyperlink("https://icd.who.int/dev11/l-ichi/en#/http%3A%2F%2Fid.who.int%2Ficd%2Fentity%2F1541726435","browser")</x:f>
      </x:c>
      <x:c r="L1021" s="0">
        <x:f>hyperlink("https://icat2.azurewebsites.net/icat/?ontology=ICD&amp;tab=ClassesTab&amp;id=http%3A%2F%2Fwho.int%2Ficd%23178_86724c2e_ac35_4bae_9859_395fcd39d8d3","iCat")</x:f>
      </x:c>
      <x:c r="M1021" s="0" t="s">
        <x:v>21</x:v>
      </x:c>
      <x:c r="N1021" s="0" t="s">
        <x:v>46</x:v>
      </x:c>
    </x:row>
    <x:row r="1022" spans="1:16">
      <x:c r="A1022" s="0" t="s">
        <x:v>3919</x:v>
      </x:c>
      <x:c r="B1022" s="0" t="s">
        <x:v>3920</x:v>
      </x:c>
      <x:c r="C1022" s="0" t="s">
        <x:v>3921</x:v>
      </x:c>
      <x:c r="E1022" s="0" t="s">
        <x:v>3922</x:v>
      </x:c>
      <x:c r="F1022" s="0" t="s">
        <x:v>45</x:v>
      </x:c>
      <x:c r="G1022" s="0" t="s">
        <x:v>19</x:v>
      </x:c>
      <x:c r="H1022" s="0" t="s">
        <x:v>20</x:v>
      </x:c>
      <x:c r="I1022" s="0" t="s">
        <x:v>21</x:v>
      </x:c>
      <x:c r="K1022" s="0">
        <x:f>hyperlink("https://icd.who.int/dev11/l-ichi/en#/http%3A%2F%2Fid.who.int%2Ficd%2Fentity%2F1610532525","browser")</x:f>
      </x:c>
      <x:c r="L1022" s="0">
        <x:f>hyperlink("https://icat2.azurewebsites.net/icat/?ontology=ICD&amp;tab=ClassesTab&amp;id=http%3A%2F%2Fwho.int%2Ficd%23182_86724c2e_ac35_4bae_9859_395fcd39d8d3","iCat")</x:f>
      </x:c>
      <x:c r="M1022" s="0" t="s">
        <x:v>21</x:v>
      </x:c>
      <x:c r="N1022" s="0" t="s">
        <x:v>46</x:v>
      </x:c>
    </x:row>
    <x:row r="1023" spans="1:16">
      <x:c r="A1023" s="0" t="s">
        <x:v>3923</x:v>
      </x:c>
      <x:c r="B1023" s="0" t="s">
        <x:v>3924</x:v>
      </x:c>
      <x:c r="C1023" s="0" t="s">
        <x:v>3925</x:v>
      </x:c>
      <x:c r="E1023" s="0" t="s">
        <x:v>3926</x:v>
      </x:c>
      <x:c r="F1023" s="0" t="s">
        <x:v>45</x:v>
      </x:c>
      <x:c r="G1023" s="0" t="s">
        <x:v>19</x:v>
      </x:c>
      <x:c r="H1023" s="0" t="s">
        <x:v>20</x:v>
      </x:c>
      <x:c r="I1023" s="0" t="s">
        <x:v>21</x:v>
      </x:c>
      <x:c r="K1023" s="0">
        <x:f>hyperlink("https://icd.who.int/dev11/l-ichi/en#/http%3A%2F%2Fid.who.int%2Ficd%2Fentity%2F1794704089","browser")</x:f>
      </x:c>
      <x:c r="L1023" s="0">
        <x:f>hyperlink("https://icat2.azurewebsites.net/icat/?ontology=ICD&amp;tab=ClassesTab&amp;id=http%3A%2F%2Fwho.int%2Ficd%23186_86724c2e_ac35_4bae_9859_395fcd39d8d3","iCat")</x:f>
      </x:c>
      <x:c r="M1023" s="0" t="s">
        <x:v>21</x:v>
      </x:c>
      <x:c r="N1023" s="0" t="s">
        <x:v>46</x:v>
      </x:c>
    </x:row>
    <x:row r="1024" spans="1:16">
      <x:c r="A1024" s="0" t="s">
        <x:v>3927</x:v>
      </x:c>
      <x:c r="B1024" s="0" t="s">
        <x:v>3928</x:v>
      </x:c>
      <x:c r="E1024" s="0" t="s">
        <x:v>3929</x:v>
      </x:c>
      <x:c r="F1024" s="0" t="s">
        <x:v>26</x:v>
      </x:c>
      <x:c r="G1024" s="0" t="s">
        <x:v>30</x:v>
      </x:c>
      <x:c r="H1024" s="0" t="s">
        <x:v>20</x:v>
      </x:c>
      <x:c r="I1024" s="0" t="s">
        <x:v>21</x:v>
      </x:c>
      <x:c r="K1024" s="0">
        <x:f>hyperlink("https://icd.who.int/dev11/l-ichi/en#/http%3A%2F%2Fid.who.int%2Ficd%2Fentity%2F893080570","browser")</x:f>
      </x:c>
      <x:c r="L1024" s="0">
        <x:f>hyperlink("https://icat2.azurewebsites.net/icat/?ontology=ICD&amp;tab=ClassesTab&amp;id=http%3A%2F%2Fwho.int%2Ficd%23192_86724c2e_ac35_4bae_9859_395fcd39d8d3","iCat")</x:f>
      </x:c>
      <x:c r="M1024" s="0" t="s">
        <x:v>20</x:v>
      </x:c>
      <x:c r="N1024" s="0" t="s">
        <x:v>35</x:v>
      </x:c>
    </x:row>
    <x:row r="1025" spans="1:16">
      <x:c r="A1025" s="0" t="s">
        <x:v>3930</x:v>
      </x:c>
      <x:c r="B1025" s="0" t="s">
        <x:v>3931</x:v>
      </x:c>
      <x:c r="C1025" s="0" t="s">
        <x:v>3932</x:v>
      </x:c>
      <x:c r="E1025" s="0" t="s">
        <x:v>3933</x:v>
      </x:c>
      <x:c r="F1025" s="0" t="s">
        <x:v>45</x:v>
      </x:c>
      <x:c r="G1025" s="0" t="s">
        <x:v>19</x:v>
      </x:c>
      <x:c r="H1025" s="0" t="s">
        <x:v>20</x:v>
      </x:c>
      <x:c r="I1025" s="0" t="s">
        <x:v>21</x:v>
      </x:c>
      <x:c r="K1025" s="0">
        <x:f>hyperlink("https://icd.who.int/dev11/l-ichi/en#/http%3A%2F%2Fid.who.int%2Ficd%2Fentity%2F1891515395","browser")</x:f>
      </x:c>
      <x:c r="L1025" s="0">
        <x:f>hyperlink("https://icat2.azurewebsites.net/icat/?ontology=ICD&amp;tab=ClassesTab&amp;id=http%3A%2F%2Fwho.int%2Ficd%23191_86724c2e_ac35_4bae_9859_395fcd39d8d3","iCat")</x:f>
      </x:c>
      <x:c r="M1025" s="0" t="s">
        <x:v>21</x:v>
      </x:c>
      <x:c r="N1025" s="0" t="s">
        <x:v>46</x:v>
      </x:c>
    </x:row>
    <x:row r="1026" spans="1:16">
      <x:c r="A1026" s="0" t="s">
        <x:v>3934</x:v>
      </x:c>
      <x:c r="B1026" s="0" t="s">
        <x:v>3935</x:v>
      </x:c>
      <x:c r="C1026" s="0" t="s">
        <x:v>3936</x:v>
      </x:c>
      <x:c r="E1026" s="0" t="s">
        <x:v>3937</x:v>
      </x:c>
      <x:c r="F1026" s="0" t="s">
        <x:v>45</x:v>
      </x:c>
      <x:c r="G1026" s="0" t="s">
        <x:v>19</x:v>
      </x:c>
      <x:c r="H1026" s="0" t="s">
        <x:v>20</x:v>
      </x:c>
      <x:c r="I1026" s="0" t="s">
        <x:v>21</x:v>
      </x:c>
      <x:c r="K1026" s="0">
        <x:f>hyperlink("https://icd.who.int/dev11/l-ichi/en#/http%3A%2F%2Fid.who.int%2Ficd%2Fentity%2F563096368","browser")</x:f>
      </x:c>
      <x:c r="L1026" s="0">
        <x:f>hyperlink("https://icat2.azurewebsites.net/icat/?ontology=ICD&amp;tab=ClassesTab&amp;id=http%3A%2F%2Fwho.int%2Ficd%23202_86724c2e_ac35_4bae_9859_395fcd39d8d3","iCat")</x:f>
      </x:c>
      <x:c r="M1026" s="0" t="s">
        <x:v>21</x:v>
      </x:c>
      <x:c r="N1026" s="0" t="s">
        <x:v>46</x:v>
      </x:c>
    </x:row>
    <x:row r="1027" spans="1:16">
      <x:c r="A1027" s="0" t="s">
        <x:v>3938</x:v>
      </x:c>
      <x:c r="B1027" s="0" t="s">
        <x:v>3939</x:v>
      </x:c>
      <x:c r="C1027" s="0" t="s">
        <x:v>3940</x:v>
      </x:c>
      <x:c r="E1027" s="0" t="s">
        <x:v>3941</x:v>
      </x:c>
      <x:c r="F1027" s="0" t="s">
        <x:v>45</x:v>
      </x:c>
      <x:c r="G1027" s="0" t="s">
        <x:v>19</x:v>
      </x:c>
      <x:c r="H1027" s="0" t="s">
        <x:v>20</x:v>
      </x:c>
      <x:c r="I1027" s="0" t="s">
        <x:v>21</x:v>
      </x:c>
      <x:c r="K1027" s="0">
        <x:f>hyperlink("https://icd.who.int/dev11/l-ichi/en#/http%3A%2F%2Fid.who.int%2Ficd%2Fentity%2F174933920","browser")</x:f>
      </x:c>
      <x:c r="L1027" s="0">
        <x:f>hyperlink("https://icat2.azurewebsites.net/icat/?ontology=ICD&amp;tab=ClassesTab&amp;id=http%3A%2F%2Fwho.int%2Ficd%23208_86724c2e_ac35_4bae_9859_395fcd39d8d3","iCat")</x:f>
      </x:c>
      <x:c r="M1027" s="0" t="s">
        <x:v>21</x:v>
      </x:c>
      <x:c r="N1027" s="0" t="s">
        <x:v>46</x:v>
      </x:c>
    </x:row>
    <x:row r="1028" spans="1:16">
      <x:c r="A1028" s="0" t="s">
        <x:v>3942</x:v>
      </x:c>
      <x:c r="B1028" s="0" t="s">
        <x:v>3943</x:v>
      </x:c>
      <x:c r="E1028" s="0" t="s">
        <x:v>3944</x:v>
      </x:c>
      <x:c r="F1028" s="0" t="s">
        <x:v>26</x:v>
      </x:c>
      <x:c r="G1028" s="0" t="s">
        <x:v>30</x:v>
      </x:c>
      <x:c r="H1028" s="0" t="s">
        <x:v>20</x:v>
      </x:c>
      <x:c r="I1028" s="0" t="s">
        <x:v>21</x:v>
      </x:c>
      <x:c r="K1028" s="0">
        <x:f>hyperlink("https://icd.who.int/dev11/l-ichi/en#/http%3A%2F%2Fid.who.int%2Ficd%2Fentity%2F1003951594","browser")</x:f>
      </x:c>
      <x:c r="L1028" s="0">
        <x:f>hyperlink("https://icat2.azurewebsites.net/icat/?ontology=ICD&amp;tab=ClassesTab&amp;id=http%3A%2F%2Fwho.int%2Ficd%23215_86724c2e_ac35_4bae_9859_395fcd39d8d3","iCat")</x:f>
      </x:c>
      <x:c r="M1028" s="0" t="s">
        <x:v>20</x:v>
      </x:c>
      <x:c r="N1028" s="0" t="s">
        <x:v>119</x:v>
      </x:c>
    </x:row>
    <x:row r="1029" spans="1:16">
      <x:c r="A1029" s="0" t="s">
        <x:v>3945</x:v>
      </x:c>
      <x:c r="B1029" s="0" t="s">
        <x:v>3946</x:v>
      </x:c>
      <x:c r="C1029" s="0" t="s">
        <x:v>3947</x:v>
      </x:c>
      <x:c r="E1029" s="0" t="s">
        <x:v>3948</x:v>
      </x:c>
      <x:c r="F1029" s="0" t="s">
        <x:v>45</x:v>
      </x:c>
      <x:c r="G1029" s="0" t="s">
        <x:v>19</x:v>
      </x:c>
      <x:c r="H1029" s="0" t="s">
        <x:v>20</x:v>
      </x:c>
      <x:c r="I1029" s="0" t="s">
        <x:v>21</x:v>
      </x:c>
      <x:c r="K1029" s="0">
        <x:f>hyperlink("https://icd.who.int/dev11/l-ichi/en#/http%3A%2F%2Fid.who.int%2Ficd%2Fentity%2F456026072","browser")</x:f>
      </x:c>
      <x:c r="L1029" s="0">
        <x:f>hyperlink("https://icat2.azurewebsites.net/icat/?ontology=ICD&amp;tab=ClassesTab&amp;id=http%3A%2F%2Fwho.int%2Ficd%23214_86724c2e_ac35_4bae_9859_395fcd39d8d3","iCat")</x:f>
      </x:c>
      <x:c r="M1029" s="0" t="s">
        <x:v>21</x:v>
      </x:c>
      <x:c r="N1029" s="0" t="s">
        <x:v>46</x:v>
      </x:c>
    </x:row>
    <x:row r="1030" spans="1:16">
      <x:c r="A1030" s="0" t="s">
        <x:v>3949</x:v>
      </x:c>
      <x:c r="B1030" s="0" t="s">
        <x:v>3950</x:v>
      </x:c>
      <x:c r="C1030" s="0" t="s">
        <x:v>3951</x:v>
      </x:c>
      <x:c r="E1030" s="0" t="s">
        <x:v>3952</x:v>
      </x:c>
      <x:c r="F1030" s="0" t="s">
        <x:v>45</x:v>
      </x:c>
      <x:c r="G1030" s="0" t="s">
        <x:v>19</x:v>
      </x:c>
      <x:c r="H1030" s="0" t="s">
        <x:v>20</x:v>
      </x:c>
      <x:c r="I1030" s="0" t="s">
        <x:v>21</x:v>
      </x:c>
      <x:c r="K1030" s="0">
        <x:f>hyperlink("https://icd.who.int/dev11/l-ichi/en#/http%3A%2F%2Fid.who.int%2Ficd%2Fentity%2F1537157073","browser")</x:f>
      </x:c>
      <x:c r="L1030" s="0">
        <x:f>hyperlink("https://icat2.azurewebsites.net/icat/?ontology=ICD&amp;tab=ClassesTab&amp;id=http%3A%2F%2Fwho.int%2Ficd%23224_86724c2e_ac35_4bae_9859_395fcd39d8d3","iCat")</x:f>
      </x:c>
      <x:c r="M1030" s="0" t="s">
        <x:v>21</x:v>
      </x:c>
      <x:c r="N1030" s="0" t="s">
        <x:v>46</x:v>
      </x:c>
    </x:row>
    <x:row r="1031" spans="1:16">
      <x:c r="A1031" s="0" t="s">
        <x:v>3953</x:v>
      </x:c>
      <x:c r="B1031" s="0" t="s">
        <x:v>3954</x:v>
      </x:c>
      <x:c r="C1031" s="0" t="s">
        <x:v>3955</x:v>
      </x:c>
      <x:c r="E1031" s="0" t="s">
        <x:v>3956</x:v>
      </x:c>
      <x:c r="F1031" s="0" t="s">
        <x:v>45</x:v>
      </x:c>
      <x:c r="G1031" s="0" t="s">
        <x:v>19</x:v>
      </x:c>
      <x:c r="H1031" s="0" t="s">
        <x:v>20</x:v>
      </x:c>
      <x:c r="I1031" s="0" t="s">
        <x:v>21</x:v>
      </x:c>
      <x:c r="K1031" s="0">
        <x:f>hyperlink("https://icd.who.int/dev11/l-ichi/en#/http%3A%2F%2Fid.who.int%2Ficd%2Fentity%2F538546930","browser")</x:f>
      </x:c>
      <x:c r="L1031" s="0">
        <x:f>hyperlink("https://icat2.azurewebsites.net/icat/?ontology=ICD&amp;tab=ClassesTab&amp;id=http%3A%2F%2Fwho.int%2Ficd%23228_86724c2e_ac35_4bae_9859_395fcd39d8d3","iCat")</x:f>
      </x:c>
      <x:c r="M1031" s="0" t="s">
        <x:v>21</x:v>
      </x:c>
      <x:c r="N1031" s="0" t="s">
        <x:v>46</x:v>
      </x:c>
    </x:row>
    <x:row r="1032" spans="1:16">
      <x:c r="A1032" s="0" t="s">
        <x:v>3957</x:v>
      </x:c>
      <x:c r="B1032" s="0" t="s">
        <x:v>3958</x:v>
      </x:c>
      <x:c r="C1032" s="0" t="s">
        <x:v>3959</x:v>
      </x:c>
      <x:c r="E1032" s="0" t="s">
        <x:v>3960</x:v>
      </x:c>
      <x:c r="F1032" s="0" t="s">
        <x:v>45</x:v>
      </x:c>
      <x:c r="G1032" s="0" t="s">
        <x:v>19</x:v>
      </x:c>
      <x:c r="H1032" s="0" t="s">
        <x:v>20</x:v>
      </x:c>
      <x:c r="I1032" s="0" t="s">
        <x:v>21</x:v>
      </x:c>
      <x:c r="K1032" s="0">
        <x:f>hyperlink("https://icd.who.int/dev11/l-ichi/en#/http%3A%2F%2Fid.who.int%2Ficd%2Fentity%2F1629580087","browser")</x:f>
      </x:c>
      <x:c r="L1032" s="0">
        <x:f>hyperlink("https://icat2.azurewebsites.net/icat/?ontology=ICD&amp;tab=ClassesTab&amp;id=http%3A%2F%2Fwho.int%2Ficd%23232_86724c2e_ac35_4bae_9859_395fcd39d8d3","iCat")</x:f>
      </x:c>
      <x:c r="M1032" s="0" t="s">
        <x:v>21</x:v>
      </x:c>
      <x:c r="N1032" s="0" t="s">
        <x:v>46</x:v>
      </x:c>
    </x:row>
    <x:row r="1033" spans="1:16">
      <x:c r="A1033" s="0" t="s">
        <x:v>3961</x:v>
      </x:c>
      <x:c r="B1033" s="0" t="s">
        <x:v>3962</x:v>
      </x:c>
      <x:c r="C1033" s="0" t="s">
        <x:v>3963</x:v>
      </x:c>
      <x:c r="E1033" s="0" t="s">
        <x:v>3964</x:v>
      </x:c>
      <x:c r="F1033" s="0" t="s">
        <x:v>45</x:v>
      </x:c>
      <x:c r="G1033" s="0" t="s">
        <x:v>19</x:v>
      </x:c>
      <x:c r="H1033" s="0" t="s">
        <x:v>20</x:v>
      </x:c>
      <x:c r="I1033" s="0" t="s">
        <x:v>21</x:v>
      </x:c>
      <x:c r="K1033" s="0">
        <x:f>hyperlink("https://icd.who.int/dev11/l-ichi/en#/http%3A%2F%2Fid.who.int%2Ficd%2Fentity%2F1411821379","browser")</x:f>
      </x:c>
      <x:c r="L1033" s="0">
        <x:f>hyperlink("https://icat2.azurewebsites.net/icat/?ontology=ICD&amp;tab=ClassesTab&amp;id=http%3A%2F%2Fwho.int%2Ficd%23236_86724c2e_ac35_4bae_9859_395fcd39d8d3","iCat")</x:f>
      </x:c>
      <x:c r="M1033" s="0" t="s">
        <x:v>21</x:v>
      </x:c>
      <x:c r="N1033" s="0" t="s">
        <x:v>46</x:v>
      </x:c>
    </x:row>
    <x:row r="1034" spans="1:16">
      <x:c r="A1034" s="0" t="s">
        <x:v>3965</x:v>
      </x:c>
      <x:c r="B1034" s="0" t="s">
        <x:v>3966</x:v>
      </x:c>
      <x:c r="C1034" s="0" t="s">
        <x:v>3967</x:v>
      </x:c>
      <x:c r="E1034" s="0" t="s">
        <x:v>3968</x:v>
      </x:c>
      <x:c r="F1034" s="0" t="s">
        <x:v>45</x:v>
      </x:c>
      <x:c r="G1034" s="0" t="s">
        <x:v>19</x:v>
      </x:c>
      <x:c r="H1034" s="0" t="s">
        <x:v>20</x:v>
      </x:c>
      <x:c r="I1034" s="0" t="s">
        <x:v>21</x:v>
      </x:c>
      <x:c r="K1034" s="0">
        <x:f>hyperlink("https://icd.who.int/dev11/l-ichi/en#/http%3A%2F%2Fid.who.int%2Ficd%2Fentity%2F881550824","browser")</x:f>
      </x:c>
      <x:c r="L1034" s="0">
        <x:f>hyperlink("https://icat2.azurewebsites.net/icat/?ontology=ICD&amp;tab=ClassesTab&amp;id=http%3A%2F%2Fwho.int%2Ficd%23240_86724c2e_ac35_4bae_9859_395fcd39d8d3","iCat")</x:f>
      </x:c>
      <x:c r="M1034" s="0" t="s">
        <x:v>21</x:v>
      </x:c>
      <x:c r="N1034" s="0" t="s">
        <x:v>46</x:v>
      </x:c>
    </x:row>
    <x:row r="1035" spans="1:16">
      <x:c r="A1035" s="0" t="s">
        <x:v>3969</x:v>
      </x:c>
      <x:c r="B1035" s="0" t="s">
        <x:v>3970</x:v>
      </x:c>
      <x:c r="C1035" s="0" t="s">
        <x:v>3971</x:v>
      </x:c>
      <x:c r="E1035" s="0" t="s">
        <x:v>3972</x:v>
      </x:c>
      <x:c r="F1035" s="0" t="s">
        <x:v>45</x:v>
      </x:c>
      <x:c r="G1035" s="0" t="s">
        <x:v>19</x:v>
      </x:c>
      <x:c r="H1035" s="0" t="s">
        <x:v>20</x:v>
      </x:c>
      <x:c r="I1035" s="0" t="s">
        <x:v>21</x:v>
      </x:c>
      <x:c r="K1035" s="0">
        <x:f>hyperlink("https://icd.who.int/dev11/l-ichi/en#/http%3A%2F%2Fid.who.int%2Ficd%2Fentity%2F25993630","browser")</x:f>
      </x:c>
      <x:c r="L1035" s="0">
        <x:f>hyperlink("https://icat2.azurewebsites.net/icat/?ontology=ICD&amp;tab=ClassesTab&amp;id=http%3A%2F%2Fwho.int%2Ficd%23244_86724c2e_ac35_4bae_9859_395fcd39d8d3","iCat")</x:f>
      </x:c>
      <x:c r="M1035" s="0" t="s">
        <x:v>21</x:v>
      </x:c>
      <x:c r="N1035" s="0" t="s">
        <x:v>46</x:v>
      </x:c>
    </x:row>
    <x:row r="1036" spans="1:16">
      <x:c r="A1036" s="0" t="s">
        <x:v>3973</x:v>
      </x:c>
      <x:c r="B1036" s="0" t="s">
        <x:v>3974</x:v>
      </x:c>
      <x:c r="C1036" s="0" t="s">
        <x:v>3975</x:v>
      </x:c>
      <x:c r="E1036" s="0" t="s">
        <x:v>3976</x:v>
      </x:c>
      <x:c r="F1036" s="0" t="s">
        <x:v>45</x:v>
      </x:c>
      <x:c r="G1036" s="0" t="s">
        <x:v>19</x:v>
      </x:c>
      <x:c r="H1036" s="0" t="s">
        <x:v>20</x:v>
      </x:c>
      <x:c r="I1036" s="0" t="s">
        <x:v>21</x:v>
      </x:c>
      <x:c r="K1036" s="0">
        <x:f>hyperlink("https://icd.who.int/dev11/l-ichi/en#/http%3A%2F%2Fid.who.int%2Ficd%2Fentity%2F1582231743","browser")</x:f>
      </x:c>
      <x:c r="L1036" s="0">
        <x:f>hyperlink("https://icat2.azurewebsites.net/icat/?ontology=ICD&amp;tab=ClassesTab&amp;id=http%3A%2F%2Fwho.int%2Ficd%23250_86724c2e_ac35_4bae_9859_395fcd39d8d3","iCat")</x:f>
      </x:c>
      <x:c r="M1036" s="0" t="s">
        <x:v>21</x:v>
      </x:c>
      <x:c r="N1036" s="0" t="s">
        <x:v>46</x:v>
      </x:c>
    </x:row>
    <x:row r="1037" spans="1:16">
      <x:c r="B1037" s="0" t="s">
        <x:v>3977</x:v>
      </x:c>
      <x:c r="C1037" s="0" t="s">
        <x:v>3806</x:v>
      </x:c>
      <x:c r="E1037" s="0" t="s">
        <x:v>3978</x:v>
      </x:c>
      <x:c r="F1037" s="0" t="s">
        <x:v>45</x:v>
      </x:c>
      <x:c r="G1037" s="0" t="s">
        <x:v>19</x:v>
      </x:c>
      <x:c r="H1037" s="0" t="s">
        <x:v>21</x:v>
      </x:c>
      <x:c r="I1037" s="0" t="s">
        <x:v>21</x:v>
      </x:c>
      <x:c r="K1037" s="0">
        <x:f>hyperlink("https://icd.who.int/dev11/l-ichi/en#/http%3A%2F%2Fid.who.int%2Ficd%2Fentity%2F1994942409%2Fichi%2Fother","browser")</x:f>
      </x:c>
      <x:c r="L1037" s="0">
        <x:f>hyperlink("","iCat")</x:f>
      </x:c>
      <x:c r="M1037" s="0" t="s">
        <x:v>21</x:v>
      </x:c>
      <x:c r="N1037" s="0" t="s">
        <x:v>46</x:v>
      </x:c>
    </x:row>
    <x:row r="1038" spans="1:16">
      <x:c r="B1038" s="0" t="s">
        <x:v>3979</x:v>
      </x:c>
      <x:c r="C1038" s="0" t="s">
        <x:v>3809</x:v>
      </x:c>
      <x:c r="E1038" s="0" t="s">
        <x:v>3980</x:v>
      </x:c>
      <x:c r="F1038" s="0" t="s">
        <x:v>45</x:v>
      </x:c>
      <x:c r="G1038" s="0" t="s">
        <x:v>19</x:v>
      </x:c>
      <x:c r="H1038" s="0" t="s">
        <x:v>21</x:v>
      </x:c>
      <x:c r="I1038" s="0" t="s">
        <x:v>21</x:v>
      </x:c>
      <x:c r="K1038" s="0">
        <x:f>hyperlink("https://icd.who.int/dev11/l-ichi/en#/http%3A%2F%2Fid.who.int%2Ficd%2Fentity%2F1994942409%2Fichi%2Funspecified","browser")</x:f>
      </x:c>
      <x:c r="L1038" s="0">
        <x:f>hyperlink("","iCat")</x:f>
      </x:c>
      <x:c r="M1038" s="0" t="s">
        <x:v>21</x:v>
      </x:c>
      <x:c r="N1038" s="0" t="s">
        <x:v>46</x:v>
      </x:c>
    </x:row>
    <x:row r="1039" spans="1:16">
      <x:c r="A1039" s="0" t="s">
        <x:v>3981</x:v>
      </x:c>
      <x:c r="B1039" s="0" t="s">
        <x:v>3982</x:v>
      </x:c>
      <x:c r="D1039" s="0" t="s">
        <x:v>3983</x:v>
      </x:c>
      <x:c r="E1039" s="0" t="s">
        <x:v>3984</x:v>
      </x:c>
      <x:c r="F1039" s="0" t="s">
        <x:v>26</x:v>
      </x:c>
      <x:c r="G1039" s="0" t="s">
        <x:v>19</x:v>
      </x:c>
      <x:c r="H1039" s="0" t="s">
        <x:v>20</x:v>
      </x:c>
      <x:c r="I1039" s="0" t="s">
        <x:v>21</x:v>
      </x:c>
      <x:c r="K1039" s="0">
        <x:f>hyperlink("https://icd.who.int/dev11/l-ichi/en#/http%3A%2F%2Fid.who.int%2Ficd%2Fentity%2F289140506","browser")</x:f>
      </x:c>
      <x:c r="L1039" s="0">
        <x:f>hyperlink("https://icat2.azurewebsites.net/icat/?ontology=ICD&amp;tab=ClassesTab&amp;id=http%3A%2F%2Fwho.int%2Ficd%23HealthIntervention","iCat")</x:f>
      </x:c>
      <x:c r="M1039" s="0" t="s">
        <x:v>20</x:v>
      </x:c>
      <x:c r="N1039" s="0" t="s">
        <x:v>22</x:v>
      </x:c>
    </x:row>
    <x:row r="1040" spans="1:16">
      <x:c r="A1040" s="0" t="s">
        <x:v>3985</x:v>
      </x:c>
      <x:c r="B1040" s="0" t="s">
        <x:v>3986</x:v>
      </x:c>
      <x:c r="D1040" s="0" t="s">
        <x:v>3987</x:v>
      </x:c>
      <x:c r="E1040" s="0" t="s">
        <x:v>3988</x:v>
      </x:c>
      <x:c r="F1040" s="0" t="s">
        <x:v>26</x:v>
      </x:c>
      <x:c r="G1040" s="0" t="s">
        <x:v>30</x:v>
      </x:c>
      <x:c r="H1040" s="0" t="s">
        <x:v>20</x:v>
      </x:c>
      <x:c r="I1040" s="0" t="s">
        <x:v>21</x:v>
      </x:c>
      <x:c r="K1040" s="0">
        <x:f>hyperlink("https://icd.who.int/dev11/l-ichi/en#/http%3A%2F%2Fid.who.int%2Ficd%2Fentity%2F2026946783","browser")</x:f>
      </x:c>
      <x:c r="L1040" s="0">
        <x:f>hyperlink("https://icat2.azurewebsites.net/icat/?ontology=ICD&amp;tab=ClassesTab&amp;id=http%3A%2F%2Fwho.int%2Ficd%233_512ebf36_bf6b_4d70_85da_cf2637062af4","iCat")</x:f>
      </x:c>
      <x:c r="M1040" s="0" t="s">
        <x:v>20</x:v>
      </x:c>
      <x:c r="N1040" s="0" t="s">
        <x:v>31</x:v>
      </x:c>
    </x:row>
    <x:row r="1041" spans="1:16">
      <x:c r="A1041" s="0" t="s">
        <x:v>3989</x:v>
      </x:c>
      <x:c r="B1041" s="0" t="s">
        <x:v>3990</x:v>
      </x:c>
      <x:c r="D1041" s="0" t="s">
        <x:v>3991</x:v>
      </x:c>
      <x:c r="E1041" s="0" t="s">
        <x:v>3992</x:v>
      </x:c>
      <x:c r="F1041" s="0" t="s">
        <x:v>26</x:v>
      </x:c>
      <x:c r="G1041" s="0" t="s">
        <x:v>35</x:v>
      </x:c>
      <x:c r="H1041" s="0" t="s">
        <x:v>20</x:v>
      </x:c>
      <x:c r="I1041" s="0" t="s">
        <x:v>21</x:v>
      </x:c>
      <x:c r="K1041" s="0">
        <x:f>hyperlink("https://icd.who.int/dev11/l-ichi/en#/http%3A%2F%2Fid.who.int%2Ficd%2Fentity%2F1395502159","browser")</x:f>
      </x:c>
      <x:c r="L1041" s="0">
        <x:f>hyperlink("https://icat2.azurewebsites.net/icat/?ontology=ICD&amp;tab=ClassesTab&amp;id=http%3A%2F%2Fwho.int%2Ficd%239_512ebf36_bf6b_4d70_85da_cf2637062af4","iCat")</x:f>
      </x:c>
      <x:c r="M1041" s="0" t="s">
        <x:v>20</x:v>
      </x:c>
      <x:c r="N1041" s="0" t="s">
        <x:v>903</x:v>
      </x:c>
    </x:row>
    <x:row r="1042" spans="1:16">
      <x:c r="A1042" s="0" t="s">
        <x:v>3993</x:v>
      </x:c>
      <x:c r="B1042" s="0" t="s">
        <x:v>3994</x:v>
      </x:c>
      <x:c r="D1042" s="0" t="s">
        <x:v>3995</x:v>
      </x:c>
      <x:c r="E1042" s="0" t="s">
        <x:v>3996</x:v>
      </x:c>
      <x:c r="F1042" s="0" t="s">
        <x:v>26</x:v>
      </x:c>
      <x:c r="G1042" s="0" t="s">
        <x:v>22</x:v>
      </x:c>
      <x:c r="H1042" s="0" t="s">
        <x:v>20</x:v>
      </x:c>
      <x:c r="I1042" s="0" t="s">
        <x:v>21</x:v>
      </x:c>
      <x:c r="K1042" s="0">
        <x:f>hyperlink("https://icd.who.int/dev11/l-ichi/en#/http%3A%2F%2Fid.who.int%2Ficd%2Fentity%2F613206725","browser")</x:f>
      </x:c>
      <x:c r="L1042" s="0">
        <x:f>hyperlink("https://icat2.azurewebsites.net/icat/?ontology=ICD&amp;tab=ClassesTab&amp;id=http%3A%2F%2Fwho.int%2Ficd%2315_512ebf36_bf6b_4d70_85da_cf2637062af4","iCat")</x:f>
      </x:c>
      <x:c r="M1042" s="0" t="s">
        <x:v>20</x:v>
      </x:c>
      <x:c r="N1042" s="0" t="s">
        <x:v>3997</x:v>
      </x:c>
    </x:row>
    <x:row r="1043" spans="1:16">
      <x:c r="A1043" s="0" t="s">
        <x:v>3998</x:v>
      </x:c>
      <x:c r="B1043" s="0" t="s">
        <x:v>3999</x:v>
      </x:c>
      <x:c r="C1043" s="0" t="s">
        <x:v>4000</x:v>
      </x:c>
      <x:c r="E1043" s="0" t="s">
        <x:v>4001</x:v>
      </x:c>
      <x:c r="F1043" s="0" t="s">
        <x:v>45</x:v>
      </x:c>
      <x:c r="G1043" s="0" t="s">
        <x:v>19</x:v>
      </x:c>
      <x:c r="H1043" s="0" t="s">
        <x:v>20</x:v>
      </x:c>
      <x:c r="I1043" s="0" t="s">
        <x:v>21</x:v>
      </x:c>
      <x:c r="K1043" s="0">
        <x:f>hyperlink("https://icd.who.int/dev11/l-ichi/en#/http%3A%2F%2Fid.who.int%2Ficd%2Fentity%2F1479127779","browser")</x:f>
      </x:c>
      <x:c r="L1043" s="0">
        <x:f>hyperlink("https://icat2.azurewebsites.net/icat/?ontology=ICD&amp;tab=ClassesTab&amp;id=http%3A%2F%2Fwho.int%2Ficd%232_512ebf36_bf6b_4d70_85da_cf2637062af4","iCat")</x:f>
      </x:c>
      <x:c r="M1043" s="0" t="s">
        <x:v>21</x:v>
      </x:c>
      <x:c r="N1043" s="0" t="s">
        <x:v>46</x:v>
      </x:c>
    </x:row>
    <x:row r="1044" spans="1:16">
      <x:c r="A1044" s="0" t="s">
        <x:v>4002</x:v>
      </x:c>
      <x:c r="B1044" s="0" t="s">
        <x:v>4003</x:v>
      </x:c>
      <x:c r="C1044" s="0" t="s">
        <x:v>4004</x:v>
      </x:c>
      <x:c r="E1044" s="0" t="s">
        <x:v>4005</x:v>
      </x:c>
      <x:c r="F1044" s="0" t="s">
        <x:v>45</x:v>
      </x:c>
      <x:c r="G1044" s="0" t="s">
        <x:v>19</x:v>
      </x:c>
      <x:c r="H1044" s="0" t="s">
        <x:v>20</x:v>
      </x:c>
      <x:c r="I1044" s="0" t="s">
        <x:v>21</x:v>
      </x:c>
      <x:c r="K1044" s="0">
        <x:f>hyperlink("https://icd.who.int/dev11/l-ichi/en#/http%3A%2F%2Fid.who.int%2Ficd%2Fentity%2F565765435","browser")</x:f>
      </x:c>
      <x:c r="L1044" s="0">
        <x:f>hyperlink("https://icat2.azurewebsites.net/icat/?ontology=ICD&amp;tab=ClassesTab&amp;id=http%3A%2F%2Fwho.int%2Ficd%2326_512ebf36_bf6b_4d70_85da_cf2637062af4","iCat")</x:f>
      </x:c>
      <x:c r="M1044" s="0" t="s">
        <x:v>21</x:v>
      </x:c>
      <x:c r="N1044" s="0" t="s">
        <x:v>46</x:v>
      </x:c>
    </x:row>
    <x:row r="1045" spans="1:16">
      <x:c r="A1045" s="0" t="s">
        <x:v>4006</x:v>
      </x:c>
      <x:c r="B1045" s="0" t="s">
        <x:v>4007</x:v>
      </x:c>
      <x:c r="C1045" s="0" t="s">
        <x:v>4008</x:v>
      </x:c>
      <x:c r="E1045" s="0" t="s">
        <x:v>4009</x:v>
      </x:c>
      <x:c r="F1045" s="0" t="s">
        <x:v>45</x:v>
      </x:c>
      <x:c r="G1045" s="0" t="s">
        <x:v>19</x:v>
      </x:c>
      <x:c r="H1045" s="0" t="s">
        <x:v>20</x:v>
      </x:c>
      <x:c r="I1045" s="0" t="s">
        <x:v>21</x:v>
      </x:c>
      <x:c r="K1045" s="0">
        <x:f>hyperlink("https://icd.who.int/dev11/l-ichi/en#/http%3A%2F%2Fid.who.int%2Ficd%2Fentity%2F1803813456","browser")</x:f>
      </x:c>
      <x:c r="L1045" s="0">
        <x:f>hyperlink("https://icat2.azurewebsites.net/icat/?ontology=ICD&amp;tab=ClassesTab&amp;id=http%3A%2F%2Fwho.int%2Ficd%2337_512ebf36_bf6b_4d70_85da_cf2637062af4","iCat")</x:f>
      </x:c>
      <x:c r="M1045" s="0" t="s">
        <x:v>21</x:v>
      </x:c>
      <x:c r="N1045" s="0" t="s">
        <x:v>46</x:v>
      </x:c>
    </x:row>
    <x:row r="1046" spans="1:16">
      <x:c r="A1046" s="0" t="s">
        <x:v>4010</x:v>
      </x:c>
      <x:c r="B1046" s="0" t="s">
        <x:v>4011</x:v>
      </x:c>
      <x:c r="C1046" s="0" t="s">
        <x:v>4012</x:v>
      </x:c>
      <x:c r="E1046" s="0" t="s">
        <x:v>4013</x:v>
      </x:c>
      <x:c r="F1046" s="0" t="s">
        <x:v>45</x:v>
      </x:c>
      <x:c r="G1046" s="0" t="s">
        <x:v>19</x:v>
      </x:c>
      <x:c r="H1046" s="0" t="s">
        <x:v>20</x:v>
      </x:c>
      <x:c r="I1046" s="0" t="s">
        <x:v>21</x:v>
      </x:c>
      <x:c r="K1046" s="0">
        <x:f>hyperlink("https://icd.who.int/dev11/l-ichi/en#/http%3A%2F%2Fid.who.int%2Ficd%2Fentity%2F76562537","browser")</x:f>
      </x:c>
      <x:c r="L1046" s="0">
        <x:f>hyperlink("https://icat2.azurewebsites.net/icat/?ontology=ICD&amp;tab=ClassesTab&amp;id=http%3A%2F%2Fwho.int%2Ficd%2353_512ebf36_bf6b_4d70_85da_cf2637062af4","iCat")</x:f>
      </x:c>
      <x:c r="M1046" s="0" t="s">
        <x:v>21</x:v>
      </x:c>
      <x:c r="N1046" s="0" t="s">
        <x:v>46</x:v>
      </x:c>
    </x:row>
    <x:row r="1047" spans="1:16">
      <x:c r="A1047" s="0" t="s">
        <x:v>4014</x:v>
      </x:c>
      <x:c r="B1047" s="0" t="s">
        <x:v>4015</x:v>
      </x:c>
      <x:c r="C1047" s="0" t="s">
        <x:v>4016</x:v>
      </x:c>
      <x:c r="E1047" s="0" t="s">
        <x:v>4017</x:v>
      </x:c>
      <x:c r="F1047" s="0" t="s">
        <x:v>45</x:v>
      </x:c>
      <x:c r="G1047" s="0" t="s">
        <x:v>19</x:v>
      </x:c>
      <x:c r="H1047" s="0" t="s">
        <x:v>20</x:v>
      </x:c>
      <x:c r="I1047" s="0" t="s">
        <x:v>21</x:v>
      </x:c>
      <x:c r="K1047" s="0">
        <x:f>hyperlink("https://icd.who.int/dev11/l-ichi/en#/http%3A%2F%2Fid.who.int%2Ficd%2Fentity%2F559750571","browser")</x:f>
      </x:c>
      <x:c r="L1047" s="0">
        <x:f>hyperlink("https://icat2.azurewebsites.net/icat/?ontology=ICD&amp;tab=ClassesTab&amp;id=http%3A%2F%2Fwho.int%2Ficd%2361_512ebf36_bf6b_4d70_85da_cf2637062af4","iCat")</x:f>
      </x:c>
      <x:c r="M1047" s="0" t="s">
        <x:v>21</x:v>
      </x:c>
      <x:c r="N1047" s="0" t="s">
        <x:v>46</x:v>
      </x:c>
    </x:row>
    <x:row r="1048" spans="1:16">
      <x:c r="A1048" s="0" t="s">
        <x:v>4018</x:v>
      </x:c>
      <x:c r="B1048" s="0" t="s">
        <x:v>4019</x:v>
      </x:c>
      <x:c r="C1048" s="0" t="s">
        <x:v>4020</x:v>
      </x:c>
      <x:c r="E1048" s="0" t="s">
        <x:v>4021</x:v>
      </x:c>
      <x:c r="F1048" s="0" t="s">
        <x:v>45</x:v>
      </x:c>
      <x:c r="G1048" s="0" t="s">
        <x:v>19</x:v>
      </x:c>
      <x:c r="H1048" s="0" t="s">
        <x:v>20</x:v>
      </x:c>
      <x:c r="I1048" s="0" t="s">
        <x:v>21</x:v>
      </x:c>
      <x:c r="K1048" s="0">
        <x:f>hyperlink("https://icd.who.int/dev11/l-ichi/en#/http%3A%2F%2Fid.who.int%2Ficd%2Fentity%2F1876716800","browser")</x:f>
      </x:c>
      <x:c r="L1048" s="0">
        <x:f>hyperlink("https://icat2.azurewebsites.net/icat/?ontology=ICD&amp;tab=ClassesTab&amp;id=http%3A%2F%2Fwho.int%2Ficd%2369_512ebf36_bf6b_4d70_85da_cf2637062af4","iCat")</x:f>
      </x:c>
      <x:c r="M1048" s="0" t="s">
        <x:v>21</x:v>
      </x:c>
      <x:c r="N1048" s="0" t="s">
        <x:v>46</x:v>
      </x:c>
    </x:row>
    <x:row r="1049" spans="1:16">
      <x:c r="A1049" s="0" t="s">
        <x:v>4022</x:v>
      </x:c>
      <x:c r="B1049" s="0" t="s">
        <x:v>4023</x:v>
      </x:c>
      <x:c r="C1049" s="0" t="s">
        <x:v>4024</x:v>
      </x:c>
      <x:c r="E1049" s="0" t="s">
        <x:v>4025</x:v>
      </x:c>
      <x:c r="F1049" s="0" t="s">
        <x:v>45</x:v>
      </x:c>
      <x:c r="G1049" s="0" t="s">
        <x:v>19</x:v>
      </x:c>
      <x:c r="H1049" s="0" t="s">
        <x:v>20</x:v>
      </x:c>
      <x:c r="I1049" s="0" t="s">
        <x:v>21</x:v>
      </x:c>
      <x:c r="K1049" s="0">
        <x:f>hyperlink("https://icd.who.int/dev11/l-ichi/en#/http%3A%2F%2Fid.who.int%2Ficd%2Fentity%2F2124369032","browser")</x:f>
      </x:c>
      <x:c r="L1049" s="0">
        <x:f>hyperlink("https://icat2.azurewebsites.net/icat/?ontology=ICD&amp;tab=ClassesTab&amp;id=http%3A%2F%2Fwho.int%2Ficd%2375_512ebf36_bf6b_4d70_85da_cf2637062af4","iCat")</x:f>
      </x:c>
      <x:c r="M1049" s="0" t="s">
        <x:v>21</x:v>
      </x:c>
      <x:c r="N1049" s="0" t="s">
        <x:v>46</x:v>
      </x:c>
    </x:row>
    <x:row r="1050" spans="1:16">
      <x:c r="A1050" s="0" t="s">
        <x:v>4026</x:v>
      </x:c>
      <x:c r="B1050" s="0" t="s">
        <x:v>4027</x:v>
      </x:c>
      <x:c r="C1050" s="0" t="s">
        <x:v>4028</x:v>
      </x:c>
      <x:c r="E1050" s="0" t="s">
        <x:v>4029</x:v>
      </x:c>
      <x:c r="F1050" s="0" t="s">
        <x:v>45</x:v>
      </x:c>
      <x:c r="G1050" s="0" t="s">
        <x:v>19</x:v>
      </x:c>
      <x:c r="H1050" s="0" t="s">
        <x:v>20</x:v>
      </x:c>
      <x:c r="I1050" s="0" t="s">
        <x:v>21</x:v>
      </x:c>
      <x:c r="K1050" s="0">
        <x:f>hyperlink("https://icd.who.int/dev11/l-ichi/en#/http%3A%2F%2Fid.who.int%2Ficd%2Fentity%2F1904309356","browser")</x:f>
      </x:c>
      <x:c r="L1050" s="0">
        <x:f>hyperlink("https://icat2.azurewebsites.net/icat/?ontology=ICD&amp;tab=ClassesTab&amp;id=http%3A%2F%2Fwho.int%2Ficd%2384_512ebf36_bf6b_4d70_85da_cf2637062af4","iCat")</x:f>
      </x:c>
      <x:c r="M1050" s="0" t="s">
        <x:v>21</x:v>
      </x:c>
      <x:c r="N1050" s="0" t="s">
        <x:v>46</x:v>
      </x:c>
    </x:row>
    <x:row r="1051" spans="1:16">
      <x:c r="A1051" s="0" t="s">
        <x:v>4030</x:v>
      </x:c>
      <x:c r="B1051" s="0" t="s">
        <x:v>4031</x:v>
      </x:c>
      <x:c r="C1051" s="0" t="s">
        <x:v>4032</x:v>
      </x:c>
      <x:c r="E1051" s="0" t="s">
        <x:v>4033</x:v>
      </x:c>
      <x:c r="F1051" s="0" t="s">
        <x:v>45</x:v>
      </x:c>
      <x:c r="G1051" s="0" t="s">
        <x:v>19</x:v>
      </x:c>
      <x:c r="H1051" s="0" t="s">
        <x:v>20</x:v>
      </x:c>
      <x:c r="I1051" s="0" t="s">
        <x:v>21</x:v>
      </x:c>
      <x:c r="K1051" s="0">
        <x:f>hyperlink("https://icd.who.int/dev11/l-ichi/en#/http%3A%2F%2Fid.who.int%2Ficd%2Fentity%2F247093109","browser")</x:f>
      </x:c>
      <x:c r="L1051" s="0">
        <x:f>hyperlink("https://icat2.azurewebsites.net/icat/?ontology=ICD&amp;tab=ClassesTab&amp;id=http%3A%2F%2Fwho.int%2Ficd%2391_512ebf36_bf6b_4d70_85da_cf2637062af4","iCat")</x:f>
      </x:c>
      <x:c r="M1051" s="0" t="s">
        <x:v>21</x:v>
      </x:c>
      <x:c r="N1051" s="0" t="s">
        <x:v>46</x:v>
      </x:c>
    </x:row>
    <x:row r="1052" spans="1:16">
      <x:c r="A1052" s="0" t="s">
        <x:v>4034</x:v>
      </x:c>
      <x:c r="B1052" s="0" t="s">
        <x:v>4035</x:v>
      </x:c>
      <x:c r="C1052" s="0" t="s">
        <x:v>4036</x:v>
      </x:c>
      <x:c r="E1052" s="0" t="s">
        <x:v>4037</x:v>
      </x:c>
      <x:c r="F1052" s="0" t="s">
        <x:v>45</x:v>
      </x:c>
      <x:c r="G1052" s="0" t="s">
        <x:v>19</x:v>
      </x:c>
      <x:c r="H1052" s="0" t="s">
        <x:v>20</x:v>
      </x:c>
      <x:c r="I1052" s="0" t="s">
        <x:v>21</x:v>
      </x:c>
      <x:c r="K1052" s="0">
        <x:f>hyperlink("https://icd.who.int/dev11/l-ichi/en#/http%3A%2F%2Fid.who.int%2Ficd%2Fentity%2F1623348252","browser")</x:f>
      </x:c>
      <x:c r="L1052" s="0">
        <x:f>hyperlink("https://icat2.azurewebsites.net/icat/?ontology=ICD&amp;tab=ClassesTab&amp;id=http%3A%2F%2Fwho.int%2Ficd%2398_512ebf36_bf6b_4d70_85da_cf2637062af4","iCat")</x:f>
      </x:c>
      <x:c r="M1052" s="0" t="s">
        <x:v>21</x:v>
      </x:c>
      <x:c r="N1052" s="0" t="s">
        <x:v>46</x:v>
      </x:c>
    </x:row>
    <x:row r="1053" spans="1:16">
      <x:c r="A1053" s="0" t="s">
        <x:v>4038</x:v>
      </x:c>
      <x:c r="B1053" s="0" t="s">
        <x:v>4039</x:v>
      </x:c>
      <x:c r="C1053" s="0" t="s">
        <x:v>4040</x:v>
      </x:c>
      <x:c r="E1053" s="0" t="s">
        <x:v>4041</x:v>
      </x:c>
      <x:c r="F1053" s="0" t="s">
        <x:v>45</x:v>
      </x:c>
      <x:c r="G1053" s="0" t="s">
        <x:v>19</x:v>
      </x:c>
      <x:c r="H1053" s="0" t="s">
        <x:v>20</x:v>
      </x:c>
      <x:c r="I1053" s="0" t="s">
        <x:v>21</x:v>
      </x:c>
      <x:c r="K1053" s="0">
        <x:f>hyperlink("https://icd.who.int/dev11/l-ichi/en#/http%3A%2F%2Fid.who.int%2Ficd%2Fentity%2F19397055","browser")</x:f>
      </x:c>
      <x:c r="L1053" s="0">
        <x:f>hyperlink("https://icat2.azurewebsites.net/icat/?ontology=ICD&amp;tab=ClassesTab&amp;id=http%3A%2F%2Fwho.int%2Ficd%23106_512ebf36_bf6b_4d70_85da_cf2637062af4","iCat")</x:f>
      </x:c>
      <x:c r="M1053" s="0" t="s">
        <x:v>21</x:v>
      </x:c>
      <x:c r="N1053" s="0" t="s">
        <x:v>46</x:v>
      </x:c>
    </x:row>
    <x:row r="1054" spans="1:16">
      <x:c r="A1054" s="0" t="s">
        <x:v>4042</x:v>
      </x:c>
      <x:c r="B1054" s="0" t="s">
        <x:v>4043</x:v>
      </x:c>
      <x:c r="C1054" s="0" t="s">
        <x:v>4044</x:v>
      </x:c>
      <x:c r="E1054" s="0" t="s">
        <x:v>4045</x:v>
      </x:c>
      <x:c r="F1054" s="0" t="s">
        <x:v>45</x:v>
      </x:c>
      <x:c r="G1054" s="0" t="s">
        <x:v>19</x:v>
      </x:c>
      <x:c r="H1054" s="0" t="s">
        <x:v>20</x:v>
      </x:c>
      <x:c r="I1054" s="0" t="s">
        <x:v>21</x:v>
      </x:c>
      <x:c r="K1054" s="0">
        <x:f>hyperlink("https://icd.who.int/dev11/l-ichi/en#/http%3A%2F%2Fid.who.int%2Ficd%2Fentity%2F245264685","browser")</x:f>
      </x:c>
      <x:c r="L1054" s="0">
        <x:f>hyperlink("https://icat2.azurewebsites.net/icat/?ontology=ICD&amp;tab=ClassesTab&amp;id=http%3A%2F%2Fwho.int%2Ficd%23114_512ebf36_bf6b_4d70_85da_cf2637062af4","iCat")</x:f>
      </x:c>
      <x:c r="M1054" s="0" t="s">
        <x:v>21</x:v>
      </x:c>
      <x:c r="N1054" s="0" t="s">
        <x:v>46</x:v>
      </x:c>
    </x:row>
    <x:row r="1055" spans="1:16">
      <x:c r="A1055" s="0" t="s">
        <x:v>4046</x:v>
      </x:c>
      <x:c r="B1055" s="0" t="s">
        <x:v>4047</x:v>
      </x:c>
      <x:c r="C1055" s="0" t="s">
        <x:v>4048</x:v>
      </x:c>
      <x:c r="E1055" s="0" t="s">
        <x:v>4049</x:v>
      </x:c>
      <x:c r="F1055" s="0" t="s">
        <x:v>45</x:v>
      </x:c>
      <x:c r="G1055" s="0" t="s">
        <x:v>19</x:v>
      </x:c>
      <x:c r="H1055" s="0" t="s">
        <x:v>20</x:v>
      </x:c>
      <x:c r="I1055" s="0" t="s">
        <x:v>21</x:v>
      </x:c>
      <x:c r="K1055" s="0">
        <x:f>hyperlink("https://icd.who.int/dev11/l-ichi/en#/http%3A%2F%2Fid.who.int%2Ficd%2Fentity%2F508881051","browser")</x:f>
      </x:c>
      <x:c r="L1055" s="0">
        <x:f>hyperlink("https://icat2.azurewebsites.net/icat/?ontology=ICD&amp;tab=ClassesTab&amp;id=http%3A%2F%2Fwho.int%2Ficd%23122_512ebf36_bf6b_4d70_85da_cf2637062af4","iCat")</x:f>
      </x:c>
      <x:c r="M1055" s="0" t="s">
        <x:v>21</x:v>
      </x:c>
      <x:c r="N1055" s="0" t="s">
        <x:v>46</x:v>
      </x:c>
    </x:row>
    <x:row r="1056" spans="1:16">
      <x:c r="A1056" s="0" t="s">
        <x:v>4050</x:v>
      </x:c>
      <x:c r="B1056" s="0" t="s">
        <x:v>4051</x:v>
      </x:c>
      <x:c r="C1056" s="0" t="s">
        <x:v>4052</x:v>
      </x:c>
      <x:c r="E1056" s="0" t="s">
        <x:v>4053</x:v>
      </x:c>
      <x:c r="F1056" s="0" t="s">
        <x:v>45</x:v>
      </x:c>
      <x:c r="G1056" s="0" t="s">
        <x:v>19</x:v>
      </x:c>
      <x:c r="H1056" s="0" t="s">
        <x:v>20</x:v>
      </x:c>
      <x:c r="I1056" s="0" t="s">
        <x:v>21</x:v>
      </x:c>
      <x:c r="K1056" s="0">
        <x:f>hyperlink("https://icd.who.int/dev11/l-ichi/en#/http%3A%2F%2Fid.who.int%2Ficd%2Fentity%2F300769289","browser")</x:f>
      </x:c>
      <x:c r="L1056" s="0">
        <x:f>hyperlink("https://icat2.azurewebsites.net/icat/?ontology=ICD&amp;tab=ClassesTab&amp;id=http%3A%2F%2Fwho.int%2Ficd%23130_512ebf36_bf6b_4d70_85da_cf2637062af4","iCat")</x:f>
      </x:c>
      <x:c r="M1056" s="0" t="s">
        <x:v>21</x:v>
      </x:c>
      <x:c r="N1056" s="0" t="s">
        <x:v>46</x:v>
      </x:c>
    </x:row>
    <x:row r="1057" spans="1:16">
      <x:c r="A1057" s="0" t="s">
        <x:v>4054</x:v>
      </x:c>
      <x:c r="B1057" s="0" t="s">
        <x:v>4055</x:v>
      </x:c>
      <x:c r="C1057" s="0" t="s">
        <x:v>4056</x:v>
      </x:c>
      <x:c r="E1057" s="0" t="s">
        <x:v>4057</x:v>
      </x:c>
      <x:c r="F1057" s="0" t="s">
        <x:v>45</x:v>
      </x:c>
      <x:c r="G1057" s="0" t="s">
        <x:v>19</x:v>
      </x:c>
      <x:c r="H1057" s="0" t="s">
        <x:v>20</x:v>
      </x:c>
      <x:c r="I1057" s="0" t="s">
        <x:v>21</x:v>
      </x:c>
      <x:c r="K1057" s="0">
        <x:f>hyperlink("https://icd.who.int/dev11/l-ichi/en#/http%3A%2F%2Fid.who.int%2Ficd%2Fentity%2F1634716550","browser")</x:f>
      </x:c>
      <x:c r="L1057" s="0">
        <x:f>hyperlink("https://icat2.azurewebsites.net/icat/?ontology=ICD&amp;tab=ClassesTab&amp;id=http%3A%2F%2Fwho.int%2Ficd%23137_512ebf36_bf6b_4d70_85da_cf2637062af4","iCat")</x:f>
      </x:c>
      <x:c r="M1057" s="0" t="s">
        <x:v>21</x:v>
      </x:c>
      <x:c r="N1057" s="0" t="s">
        <x:v>46</x:v>
      </x:c>
    </x:row>
    <x:row r="1058" spans="1:16">
      <x:c r="A1058" s="0" t="s">
        <x:v>4058</x:v>
      </x:c>
      <x:c r="B1058" s="0" t="s">
        <x:v>4059</x:v>
      </x:c>
      <x:c r="C1058" s="0" t="s">
        <x:v>4060</x:v>
      </x:c>
      <x:c r="E1058" s="0" t="s">
        <x:v>4061</x:v>
      </x:c>
      <x:c r="F1058" s="0" t="s">
        <x:v>45</x:v>
      </x:c>
      <x:c r="G1058" s="0" t="s">
        <x:v>19</x:v>
      </x:c>
      <x:c r="H1058" s="0" t="s">
        <x:v>20</x:v>
      </x:c>
      <x:c r="I1058" s="0" t="s">
        <x:v>21</x:v>
      </x:c>
      <x:c r="K1058" s="0">
        <x:f>hyperlink("https://icd.who.int/dev11/l-ichi/en#/http%3A%2F%2Fid.who.int%2Ficd%2Fentity%2F885376347","browser")</x:f>
      </x:c>
      <x:c r="L1058" s="0">
        <x:f>hyperlink("https://icat2.azurewebsites.net/icat/?ontology=ICD&amp;tab=ClassesTab&amp;id=http%3A%2F%2Fwho.int%2Ficd%23145_512ebf36_bf6b_4d70_85da_cf2637062af4","iCat")</x:f>
      </x:c>
      <x:c r="M1058" s="0" t="s">
        <x:v>21</x:v>
      </x:c>
      <x:c r="N1058" s="0" t="s">
        <x:v>46</x:v>
      </x:c>
    </x:row>
    <x:row r="1059" spans="1:16">
      <x:c r="A1059" s="0" t="s">
        <x:v>4062</x:v>
      </x:c>
      <x:c r="B1059" s="0" t="s">
        <x:v>4063</x:v>
      </x:c>
      <x:c r="C1059" s="0" t="s">
        <x:v>4064</x:v>
      </x:c>
      <x:c r="E1059" s="0" t="s">
        <x:v>4065</x:v>
      </x:c>
      <x:c r="F1059" s="0" t="s">
        <x:v>45</x:v>
      </x:c>
      <x:c r="G1059" s="0" t="s">
        <x:v>19</x:v>
      </x:c>
      <x:c r="H1059" s="0" t="s">
        <x:v>20</x:v>
      </x:c>
      <x:c r="I1059" s="0" t="s">
        <x:v>21</x:v>
      </x:c>
      <x:c r="K1059" s="0">
        <x:f>hyperlink("https://icd.who.int/dev11/l-ichi/en#/http%3A%2F%2Fid.who.int%2Ficd%2Fentity%2F242977213","browser")</x:f>
      </x:c>
      <x:c r="L1059" s="0">
        <x:f>hyperlink("https://icat2.azurewebsites.net/icat/?ontology=ICD&amp;tab=ClassesTab&amp;id=http%3A%2F%2Fwho.int%2Ficd%23153_512ebf36_bf6b_4d70_85da_cf2637062af4","iCat")</x:f>
      </x:c>
      <x:c r="M1059" s="0" t="s">
        <x:v>21</x:v>
      </x:c>
      <x:c r="N1059" s="0" t="s">
        <x:v>46</x:v>
      </x:c>
    </x:row>
    <x:row r="1060" spans="1:16">
      <x:c r="A1060" s="0" t="s">
        <x:v>4066</x:v>
      </x:c>
      <x:c r="B1060" s="0" t="s">
        <x:v>4067</x:v>
      </x:c>
      <x:c r="C1060" s="0" t="s">
        <x:v>4068</x:v>
      </x:c>
      <x:c r="E1060" s="0" t="s">
        <x:v>4069</x:v>
      </x:c>
      <x:c r="F1060" s="0" t="s">
        <x:v>45</x:v>
      </x:c>
      <x:c r="G1060" s="0" t="s">
        <x:v>19</x:v>
      </x:c>
      <x:c r="H1060" s="0" t="s">
        <x:v>20</x:v>
      </x:c>
      <x:c r="I1060" s="0" t="s">
        <x:v>21</x:v>
      </x:c>
      <x:c r="K1060" s="0">
        <x:f>hyperlink("https://icd.who.int/dev11/l-ichi/en#/http%3A%2F%2Fid.who.int%2Ficd%2Fentity%2F1171183384","browser")</x:f>
      </x:c>
      <x:c r="L1060" s="0">
        <x:f>hyperlink("https://icat2.azurewebsites.net/icat/?ontology=ICD&amp;tab=ClassesTab&amp;id=http%3A%2F%2Fwho.int%2Ficd%23168_512ebf36_bf6b_4d70_85da_cf2637062af4","iCat")</x:f>
      </x:c>
      <x:c r="M1060" s="0" t="s">
        <x:v>21</x:v>
      </x:c>
      <x:c r="N1060" s="0" t="s">
        <x:v>46</x:v>
      </x:c>
    </x:row>
    <x:row r="1061" spans="1:16">
      <x:c r="A1061" s="0" t="s">
        <x:v>4070</x:v>
      </x:c>
      <x:c r="B1061" s="0" t="s">
        <x:v>4071</x:v>
      </x:c>
      <x:c r="C1061" s="0" t="s">
        <x:v>4072</x:v>
      </x:c>
      <x:c r="E1061" s="0" t="s">
        <x:v>4073</x:v>
      </x:c>
      <x:c r="F1061" s="0" t="s">
        <x:v>45</x:v>
      </x:c>
      <x:c r="G1061" s="0" t="s">
        <x:v>19</x:v>
      </x:c>
      <x:c r="H1061" s="0" t="s">
        <x:v>20</x:v>
      </x:c>
      <x:c r="I1061" s="0" t="s">
        <x:v>21</x:v>
      </x:c>
      <x:c r="K1061" s="0">
        <x:f>hyperlink("https://icd.who.int/dev11/l-ichi/en#/http%3A%2F%2Fid.who.int%2Ficd%2Fentity%2F789267009","browser")</x:f>
      </x:c>
      <x:c r="L1061" s="0">
        <x:f>hyperlink("https://icat2.azurewebsites.net/icat/?ontology=ICD&amp;tab=ClassesTab&amp;id=http%3A%2F%2Fwho.int%2Ficd%23178_512ebf36_bf6b_4d70_85da_cf2637062af4","iCat")</x:f>
      </x:c>
      <x:c r="M1061" s="0" t="s">
        <x:v>21</x:v>
      </x:c>
      <x:c r="N1061" s="0" t="s">
        <x:v>46</x:v>
      </x:c>
    </x:row>
    <x:row r="1062" spans="1:16">
      <x:c r="A1062" s="0" t="s">
        <x:v>4074</x:v>
      </x:c>
      <x:c r="B1062" s="0" t="s">
        <x:v>4075</x:v>
      </x:c>
      <x:c r="C1062" s="0" t="s">
        <x:v>4076</x:v>
      </x:c>
      <x:c r="E1062" s="0" t="s">
        <x:v>4077</x:v>
      </x:c>
      <x:c r="F1062" s="0" t="s">
        <x:v>45</x:v>
      </x:c>
      <x:c r="G1062" s="0" t="s">
        <x:v>19</x:v>
      </x:c>
      <x:c r="H1062" s="0" t="s">
        <x:v>20</x:v>
      </x:c>
      <x:c r="I1062" s="0" t="s">
        <x:v>21</x:v>
      </x:c>
      <x:c r="K1062" s="0">
        <x:f>hyperlink("https://icd.who.int/dev11/l-ichi/en#/http%3A%2F%2Fid.who.int%2Ficd%2Fentity%2F1329117002","browser")</x:f>
      </x:c>
      <x:c r="L1062" s="0">
        <x:f>hyperlink("https://icat2.azurewebsites.net/icat/?ontology=ICD&amp;tab=ClassesTab&amp;id=http%3A%2F%2Fwho.int%2Ficd%23215_512ebf36_bf6b_4d70_85da_cf2637062af4","iCat")</x:f>
      </x:c>
      <x:c r="M1062" s="0" t="s">
        <x:v>21</x:v>
      </x:c>
      <x:c r="N1062" s="0" t="s">
        <x:v>46</x:v>
      </x:c>
    </x:row>
    <x:row r="1063" spans="1:16">
      <x:c r="A1063" s="0" t="s">
        <x:v>4078</x:v>
      </x:c>
      <x:c r="B1063" s="0" t="s">
        <x:v>4079</x:v>
      </x:c>
      <x:c r="C1063" s="0" t="s">
        <x:v>4080</x:v>
      </x:c>
      <x:c r="E1063" s="0" t="s">
        <x:v>4081</x:v>
      </x:c>
      <x:c r="F1063" s="0" t="s">
        <x:v>45</x:v>
      </x:c>
      <x:c r="G1063" s="0" t="s">
        <x:v>19</x:v>
      </x:c>
      <x:c r="H1063" s="0" t="s">
        <x:v>20</x:v>
      </x:c>
      <x:c r="I1063" s="0" t="s">
        <x:v>21</x:v>
      </x:c>
      <x:c r="K1063" s="0">
        <x:f>hyperlink("https://icd.who.int/dev11/l-ichi/en#/http%3A%2F%2Fid.who.int%2Ficd%2Fentity%2F260699983","browser")</x:f>
      </x:c>
      <x:c r="L1063" s="0">
        <x:f>hyperlink("https://icat2.azurewebsites.net/icat/?ontology=ICD&amp;tab=ClassesTab&amp;id=http%3A%2F%2Fwho.int%2Ficd%23225_512ebf36_bf6b_4d70_85da_cf2637062af4","iCat")</x:f>
      </x:c>
      <x:c r="M1063" s="0" t="s">
        <x:v>21</x:v>
      </x:c>
      <x:c r="N1063" s="0" t="s">
        <x:v>46</x:v>
      </x:c>
    </x:row>
    <x:row r="1064" spans="1:16">
      <x:c r="A1064" s="0" t="s">
        <x:v>4082</x:v>
      </x:c>
      <x:c r="B1064" s="0" t="s">
        <x:v>4083</x:v>
      </x:c>
      <x:c r="C1064" s="0" t="s">
        <x:v>4084</x:v>
      </x:c>
      <x:c r="E1064" s="0" t="s">
        <x:v>4085</x:v>
      </x:c>
      <x:c r="F1064" s="0" t="s">
        <x:v>45</x:v>
      </x:c>
      <x:c r="G1064" s="0" t="s">
        <x:v>19</x:v>
      </x:c>
      <x:c r="H1064" s="0" t="s">
        <x:v>20</x:v>
      </x:c>
      <x:c r="I1064" s="0" t="s">
        <x:v>21</x:v>
      </x:c>
      <x:c r="K1064" s="0">
        <x:f>hyperlink("https://icd.who.int/dev11/l-ichi/en#/http%3A%2F%2Fid.who.int%2Ficd%2Fentity%2F892844969","browser")</x:f>
      </x:c>
      <x:c r="L1064" s="0">
        <x:f>hyperlink("https://icat2.azurewebsites.net/icat/?ontology=ICD&amp;tab=ClassesTab&amp;id=http%3A%2F%2Fwho.int%2Ficd%23233_512ebf36_bf6b_4d70_85da_cf2637062af4","iCat")</x:f>
      </x:c>
      <x:c r="M1064" s="0" t="s">
        <x:v>21</x:v>
      </x:c>
      <x:c r="N1064" s="0" t="s">
        <x:v>46</x:v>
      </x:c>
    </x:row>
    <x:row r="1065" spans="1:16">
      <x:c r="A1065" s="0" t="s">
        <x:v>4086</x:v>
      </x:c>
      <x:c r="B1065" s="0" t="s">
        <x:v>4087</x:v>
      </x:c>
      <x:c r="C1065" s="0" t="s">
        <x:v>4088</x:v>
      </x:c>
      <x:c r="E1065" s="0" t="s">
        <x:v>4089</x:v>
      </x:c>
      <x:c r="F1065" s="0" t="s">
        <x:v>45</x:v>
      </x:c>
      <x:c r="G1065" s="0" t="s">
        <x:v>19</x:v>
      </x:c>
      <x:c r="H1065" s="0" t="s">
        <x:v>20</x:v>
      </x:c>
      <x:c r="I1065" s="0" t="s">
        <x:v>21</x:v>
      </x:c>
      <x:c r="K1065" s="0">
        <x:f>hyperlink("https://icd.who.int/dev11/l-ichi/en#/http%3A%2F%2Fid.who.int%2Ficd%2Fentity%2F1620948342","browser")</x:f>
      </x:c>
      <x:c r="L1065" s="0">
        <x:f>hyperlink("https://icat2.azurewebsites.net/icat/?ontology=ICD&amp;tab=ClassesTab&amp;id=http%3A%2F%2Fwho.int%2Ficd%23241_512ebf36_bf6b_4d70_85da_cf2637062af4","iCat")</x:f>
      </x:c>
      <x:c r="M1065" s="0" t="s">
        <x:v>21</x:v>
      </x:c>
      <x:c r="N1065" s="0" t="s">
        <x:v>46</x:v>
      </x:c>
    </x:row>
    <x:row r="1066" spans="1:16">
      <x:c r="A1066" s="0" t="s">
        <x:v>4090</x:v>
      </x:c>
      <x:c r="B1066" s="0" t="s">
        <x:v>4091</x:v>
      </x:c>
      <x:c r="C1066" s="0" t="s">
        <x:v>4092</x:v>
      </x:c>
      <x:c r="E1066" s="0" t="s">
        <x:v>4093</x:v>
      </x:c>
      <x:c r="F1066" s="0" t="s">
        <x:v>45</x:v>
      </x:c>
      <x:c r="G1066" s="0" t="s">
        <x:v>19</x:v>
      </x:c>
      <x:c r="H1066" s="0" t="s">
        <x:v>20</x:v>
      </x:c>
      <x:c r="I1066" s="0" t="s">
        <x:v>21</x:v>
      </x:c>
      <x:c r="K1066" s="0">
        <x:f>hyperlink("https://icd.who.int/dev11/l-ichi/en#/http%3A%2F%2Fid.who.int%2Ficd%2Fentity%2F820407495","browser")</x:f>
      </x:c>
      <x:c r="L1066" s="0">
        <x:f>hyperlink("https://icat2.azurewebsites.net/icat/?ontology=ICD&amp;tab=ClassesTab&amp;id=http%3A%2F%2Fwho.int%2Ficd%23247_512ebf36_bf6b_4d70_85da_cf2637062af4","iCat")</x:f>
      </x:c>
      <x:c r="M1066" s="0" t="s">
        <x:v>21</x:v>
      </x:c>
      <x:c r="N1066" s="0" t="s">
        <x:v>46</x:v>
      </x:c>
    </x:row>
    <x:row r="1067" spans="1:16">
      <x:c r="A1067" s="0" t="s">
        <x:v>4094</x:v>
      </x:c>
      <x:c r="B1067" s="0" t="s">
        <x:v>4095</x:v>
      </x:c>
      <x:c r="C1067" s="0" t="s">
        <x:v>4096</x:v>
      </x:c>
      <x:c r="E1067" s="0" t="s">
        <x:v>4097</x:v>
      </x:c>
      <x:c r="F1067" s="0" t="s">
        <x:v>45</x:v>
      </x:c>
      <x:c r="G1067" s="0" t="s">
        <x:v>19</x:v>
      </x:c>
      <x:c r="H1067" s="0" t="s">
        <x:v>20</x:v>
      </x:c>
      <x:c r="I1067" s="0" t="s">
        <x:v>21</x:v>
      </x:c>
      <x:c r="K1067" s="0">
        <x:f>hyperlink("https://icd.who.int/dev11/l-ichi/en#/http%3A%2F%2Fid.who.int%2Ficd%2Fentity%2F258740191","browser")</x:f>
      </x:c>
      <x:c r="L1067" s="0">
        <x:f>hyperlink("https://icat2.azurewebsites.net/icat/?ontology=ICD&amp;tab=ClassesTab&amp;id=http%3A%2F%2Fwho.int%2Ficd%23262_512ebf36_bf6b_4d70_85da_cf2637062af4","iCat")</x:f>
      </x:c>
      <x:c r="M1067" s="0" t="s">
        <x:v>21</x:v>
      </x:c>
      <x:c r="N1067" s="0" t="s">
        <x:v>46</x:v>
      </x:c>
    </x:row>
    <x:row r="1068" spans="1:16">
      <x:c r="A1068" s="0" t="s">
        <x:v>4098</x:v>
      </x:c>
      <x:c r="B1068" s="0" t="s">
        <x:v>4099</x:v>
      </x:c>
      <x:c r="C1068" s="0" t="s">
        <x:v>4100</x:v>
      </x:c>
      <x:c r="E1068" s="0" t="s">
        <x:v>4101</x:v>
      </x:c>
      <x:c r="F1068" s="0" t="s">
        <x:v>45</x:v>
      </x:c>
      <x:c r="G1068" s="0" t="s">
        <x:v>19</x:v>
      </x:c>
      <x:c r="H1068" s="0" t="s">
        <x:v>20</x:v>
      </x:c>
      <x:c r="I1068" s="0" t="s">
        <x:v>21</x:v>
      </x:c>
      <x:c r="K1068" s="0">
        <x:f>hyperlink("https://icd.who.int/dev11/l-ichi/en#/http%3A%2F%2Fid.who.int%2Ficd%2Fentity%2F1162930358","browser")</x:f>
      </x:c>
      <x:c r="L1068" s="0">
        <x:f>hyperlink("https://icat2.azurewebsites.net/icat/?ontology=ICD&amp;tab=ClassesTab&amp;id=http%3A%2F%2Fwho.int%2Ficd%23273_512ebf36_bf6b_4d70_85da_cf2637062af4","iCat")</x:f>
      </x:c>
      <x:c r="M1068" s="0" t="s">
        <x:v>21</x:v>
      </x:c>
      <x:c r="N1068" s="0" t="s">
        <x:v>46</x:v>
      </x:c>
    </x:row>
    <x:row r="1069" spans="1:16">
      <x:c r="A1069" s="0" t="s">
        <x:v>4102</x:v>
      </x:c>
      <x:c r="B1069" s="0" t="s">
        <x:v>4103</x:v>
      </x:c>
      <x:c r="C1069" s="0" t="s">
        <x:v>4104</x:v>
      </x:c>
      <x:c r="E1069" s="0" t="s">
        <x:v>4105</x:v>
      </x:c>
      <x:c r="F1069" s="0" t="s">
        <x:v>45</x:v>
      </x:c>
      <x:c r="G1069" s="0" t="s">
        <x:v>19</x:v>
      </x:c>
      <x:c r="H1069" s="0" t="s">
        <x:v>20</x:v>
      </x:c>
      <x:c r="I1069" s="0" t="s">
        <x:v>21</x:v>
      </x:c>
      <x:c r="K1069" s="0">
        <x:f>hyperlink("https://icd.who.int/dev11/l-ichi/en#/http%3A%2F%2Fid.who.int%2Ficd%2Fentity%2F1246679126","browser")</x:f>
      </x:c>
      <x:c r="L1069" s="0">
        <x:f>hyperlink("https://icat2.azurewebsites.net/icat/?ontology=ICD&amp;tab=ClassesTab&amp;id=http%3A%2F%2Fwho.int%2Ficd%23282_512ebf36_bf6b_4d70_85da_cf2637062af4","iCat")</x:f>
      </x:c>
      <x:c r="M1069" s="0" t="s">
        <x:v>21</x:v>
      </x:c>
      <x:c r="N1069" s="0" t="s">
        <x:v>46</x:v>
      </x:c>
    </x:row>
    <x:row r="1070" spans="1:16">
      <x:c r="A1070" s="0" t="s">
        <x:v>4106</x:v>
      </x:c>
      <x:c r="B1070" s="0" t="s">
        <x:v>4107</x:v>
      </x:c>
      <x:c r="C1070" s="0" t="s">
        <x:v>4108</x:v>
      </x:c>
      <x:c r="E1070" s="0" t="s">
        <x:v>4109</x:v>
      </x:c>
      <x:c r="F1070" s="0" t="s">
        <x:v>45</x:v>
      </x:c>
      <x:c r="G1070" s="0" t="s">
        <x:v>19</x:v>
      </x:c>
      <x:c r="H1070" s="0" t="s">
        <x:v>20</x:v>
      </x:c>
      <x:c r="I1070" s="0" t="s">
        <x:v>21</x:v>
      </x:c>
      <x:c r="K1070" s="0">
        <x:f>hyperlink("https://icd.who.int/dev11/l-ichi/en#/http%3A%2F%2Fid.who.int%2Ficd%2Fentity%2F7485245","browser")</x:f>
      </x:c>
      <x:c r="L1070" s="0">
        <x:f>hyperlink("https://icat2.azurewebsites.net/icat/?ontology=ICD&amp;tab=ClassesTab&amp;id=http%3A%2F%2Fwho.int%2Ficd%23293_512ebf36_bf6b_4d70_85da_cf2637062af4","iCat")</x:f>
      </x:c>
      <x:c r="M1070" s="0" t="s">
        <x:v>21</x:v>
      </x:c>
      <x:c r="N1070" s="0" t="s">
        <x:v>46</x:v>
      </x:c>
    </x:row>
    <x:row r="1071" spans="1:16">
      <x:c r="A1071" s="0" t="s">
        <x:v>4110</x:v>
      </x:c>
      <x:c r="B1071" s="0" t="s">
        <x:v>4111</x:v>
      </x:c>
      <x:c r="C1071" s="0" t="s">
        <x:v>4112</x:v>
      </x:c>
      <x:c r="E1071" s="0" t="s">
        <x:v>4113</x:v>
      </x:c>
      <x:c r="F1071" s="0" t="s">
        <x:v>45</x:v>
      </x:c>
      <x:c r="G1071" s="0" t="s">
        <x:v>19</x:v>
      </x:c>
      <x:c r="H1071" s="0" t="s">
        <x:v>20</x:v>
      </x:c>
      <x:c r="I1071" s="0" t="s">
        <x:v>21</x:v>
      </x:c>
      <x:c r="K1071" s="0">
        <x:f>hyperlink("https://icd.who.int/dev11/l-ichi/en#/http%3A%2F%2Fid.who.int%2Ficd%2Fentity%2F186459039","browser")</x:f>
      </x:c>
      <x:c r="L1071" s="0">
        <x:f>hyperlink("https://icat2.azurewebsites.net/icat/?ontology=ICD&amp;tab=ClassesTab&amp;id=http%3A%2F%2Fwho.int%2Ficd%23308_512ebf36_bf6b_4d70_85da_cf2637062af4","iCat")</x:f>
      </x:c>
      <x:c r="M1071" s="0" t="s">
        <x:v>21</x:v>
      </x:c>
      <x:c r="N1071" s="0" t="s">
        <x:v>46</x:v>
      </x:c>
    </x:row>
    <x:row r="1072" spans="1:16">
      <x:c r="A1072" s="0" t="s">
        <x:v>4114</x:v>
      </x:c>
      <x:c r="B1072" s="0" t="s">
        <x:v>4115</x:v>
      </x:c>
      <x:c r="C1072" s="0" t="s">
        <x:v>4116</x:v>
      </x:c>
      <x:c r="E1072" s="0" t="s">
        <x:v>4117</x:v>
      </x:c>
      <x:c r="F1072" s="0" t="s">
        <x:v>45</x:v>
      </x:c>
      <x:c r="G1072" s="0" t="s">
        <x:v>19</x:v>
      </x:c>
      <x:c r="H1072" s="0" t="s">
        <x:v>20</x:v>
      </x:c>
      <x:c r="I1072" s="0" t="s">
        <x:v>21</x:v>
      </x:c>
      <x:c r="K1072" s="0">
        <x:f>hyperlink("https://icd.who.int/dev11/l-ichi/en#/http%3A%2F%2Fid.who.int%2Ficd%2Fentity%2F711845987","browser")</x:f>
      </x:c>
      <x:c r="L1072" s="0">
        <x:f>hyperlink("https://icat2.azurewebsites.net/icat/?ontology=ICD&amp;tab=ClassesTab&amp;id=http%3A%2F%2Fwho.int%2Ficd%23323_512ebf36_bf6b_4d70_85da_cf2637062af4","iCat")</x:f>
      </x:c>
      <x:c r="M1072" s="0" t="s">
        <x:v>21</x:v>
      </x:c>
      <x:c r="N1072" s="0" t="s">
        <x:v>46</x:v>
      </x:c>
    </x:row>
    <x:row r="1073" spans="1:16">
      <x:c r="A1073" s="0" t="s">
        <x:v>4118</x:v>
      </x:c>
      <x:c r="B1073" s="0" t="s">
        <x:v>4119</x:v>
      </x:c>
      <x:c r="C1073" s="0" t="s">
        <x:v>4120</x:v>
      </x:c>
      <x:c r="E1073" s="0" t="s">
        <x:v>4121</x:v>
      </x:c>
      <x:c r="F1073" s="0" t="s">
        <x:v>45</x:v>
      </x:c>
      <x:c r="G1073" s="0" t="s">
        <x:v>19</x:v>
      </x:c>
      <x:c r="H1073" s="0" t="s">
        <x:v>20</x:v>
      </x:c>
      <x:c r="I1073" s="0" t="s">
        <x:v>21</x:v>
      </x:c>
      <x:c r="K1073" s="0">
        <x:f>hyperlink("https://icd.who.int/dev11/l-ichi/en#/http%3A%2F%2Fid.who.int%2Ficd%2Fentity%2F26248435","browser")</x:f>
      </x:c>
      <x:c r="L1073" s="0">
        <x:f>hyperlink("https://icat2.azurewebsites.net/icat/?ontology=ICD&amp;tab=ClassesTab&amp;id=http%3A%2F%2Fwho.int%2Ficd%23329_512ebf36_bf6b_4d70_85da_cf2637062af4","iCat")</x:f>
      </x:c>
      <x:c r="M1073" s="0" t="s">
        <x:v>21</x:v>
      </x:c>
      <x:c r="N1073" s="0" t="s">
        <x:v>46</x:v>
      </x:c>
    </x:row>
    <x:row r="1074" spans="1:16">
      <x:c r="A1074" s="0" t="s">
        <x:v>4122</x:v>
      </x:c>
      <x:c r="B1074" s="0" t="s">
        <x:v>4123</x:v>
      </x:c>
      <x:c r="C1074" s="0" t="s">
        <x:v>4124</x:v>
      </x:c>
      <x:c r="E1074" s="0" t="s">
        <x:v>4125</x:v>
      </x:c>
      <x:c r="F1074" s="0" t="s">
        <x:v>45</x:v>
      </x:c>
      <x:c r="G1074" s="0" t="s">
        <x:v>19</x:v>
      </x:c>
      <x:c r="H1074" s="0" t="s">
        <x:v>20</x:v>
      </x:c>
      <x:c r="I1074" s="0" t="s">
        <x:v>21</x:v>
      </x:c>
      <x:c r="K1074" s="0">
        <x:f>hyperlink("https://icd.who.int/dev11/l-ichi/en#/http%3A%2F%2Fid.who.int%2Ficd%2Fentity%2F445761199","browser")</x:f>
      </x:c>
      <x:c r="L1074" s="0">
        <x:f>hyperlink("https://icat2.azurewebsites.net/icat/?ontology=ICD&amp;tab=ClassesTab&amp;id=http%3A%2F%2Fwho.int%2Ficd%231231_94acc4f6_b696_4796_914a_62879ddd4f65","iCat")</x:f>
      </x:c>
      <x:c r="M1074" s="0" t="s">
        <x:v>21</x:v>
      </x:c>
      <x:c r="N1074" s="0" t="s">
        <x:v>46</x:v>
      </x:c>
    </x:row>
    <x:row r="1075" spans="1:16">
      <x:c r="A1075" s="0" t="s">
        <x:v>4126</x:v>
      </x:c>
      <x:c r="B1075" s="0" t="s">
        <x:v>4127</x:v>
      </x:c>
      <x:c r="C1075" s="0" t="s">
        <x:v>4128</x:v>
      </x:c>
      <x:c r="E1075" s="0" t="s">
        <x:v>4129</x:v>
      </x:c>
      <x:c r="F1075" s="0" t="s">
        <x:v>45</x:v>
      </x:c>
      <x:c r="G1075" s="0" t="s">
        <x:v>19</x:v>
      </x:c>
      <x:c r="H1075" s="0" t="s">
        <x:v>20</x:v>
      </x:c>
      <x:c r="I1075" s="0" t="s">
        <x:v>21</x:v>
      </x:c>
      <x:c r="K1075" s="0">
        <x:f>hyperlink("https://icd.who.int/dev11/l-ichi/en#/http%3A%2F%2Fid.who.int%2Ficd%2Fentity%2F1431751550","browser")</x:f>
      </x:c>
      <x:c r="L1075" s="0">
        <x:f>hyperlink("https://icat2.azurewebsites.net/icat/?ontology=ICD&amp;tab=ClassesTab&amp;id=http%3A%2F%2Fwho.int%2Ficd%23336_512ebf36_bf6b_4d70_85da_cf2637062af4","iCat")</x:f>
      </x:c>
      <x:c r="M1075" s="0" t="s">
        <x:v>21</x:v>
      </x:c>
      <x:c r="N1075" s="0" t="s">
        <x:v>46</x:v>
      </x:c>
    </x:row>
    <x:row r="1076" spans="1:16">
      <x:c r="A1076" s="0" t="s">
        <x:v>4130</x:v>
      </x:c>
      <x:c r="B1076" s="0" t="s">
        <x:v>4131</x:v>
      </x:c>
      <x:c r="C1076" s="0" t="s">
        <x:v>4132</x:v>
      </x:c>
      <x:c r="E1076" s="0" t="s">
        <x:v>4133</x:v>
      </x:c>
      <x:c r="F1076" s="0" t="s">
        <x:v>45</x:v>
      </x:c>
      <x:c r="G1076" s="0" t="s">
        <x:v>19</x:v>
      </x:c>
      <x:c r="H1076" s="0" t="s">
        <x:v>20</x:v>
      </x:c>
      <x:c r="I1076" s="0" t="s">
        <x:v>21</x:v>
      </x:c>
      <x:c r="K1076" s="0">
        <x:f>hyperlink("https://icd.who.int/dev11/l-ichi/en#/http%3A%2F%2Fid.who.int%2Ficd%2Fentity%2F1165601372","browser")</x:f>
      </x:c>
      <x:c r="L1076" s="0">
        <x:f>hyperlink("https://icat2.azurewebsites.net/icat/?ontology=ICD&amp;tab=ClassesTab&amp;id=http%3A%2F%2Fwho.int%2Ficd%23347_512ebf36_bf6b_4d70_85da_cf2637062af4","iCat")</x:f>
      </x:c>
      <x:c r="M1076" s="0" t="s">
        <x:v>21</x:v>
      </x:c>
      <x:c r="N1076" s="0" t="s">
        <x:v>46</x:v>
      </x:c>
    </x:row>
    <x:row r="1077" spans="1:16">
      <x:c r="A1077" s="0" t="s">
        <x:v>4134</x:v>
      </x:c>
      <x:c r="B1077" s="0" t="s">
        <x:v>4135</x:v>
      </x:c>
      <x:c r="C1077" s="0" t="s">
        <x:v>4136</x:v>
      </x:c>
      <x:c r="E1077" s="0" t="s">
        <x:v>4137</x:v>
      </x:c>
      <x:c r="F1077" s="0" t="s">
        <x:v>45</x:v>
      </x:c>
      <x:c r="G1077" s="0" t="s">
        <x:v>19</x:v>
      </x:c>
      <x:c r="H1077" s="0" t="s">
        <x:v>20</x:v>
      </x:c>
      <x:c r="I1077" s="0" t="s">
        <x:v>21</x:v>
      </x:c>
      <x:c r="K1077" s="0">
        <x:f>hyperlink("https://icd.who.int/dev11/l-ichi/en#/http%3A%2F%2Fid.who.int%2Ficd%2Fentity%2F1782141172","browser")</x:f>
      </x:c>
      <x:c r="L1077" s="0">
        <x:f>hyperlink("https://icat2.azurewebsites.net/icat/?ontology=ICD&amp;tab=ClassesTab&amp;id=http%3A%2F%2Fwho.int%2Ficd%23354_512ebf36_bf6b_4d70_85da_cf2637062af4","iCat")</x:f>
      </x:c>
      <x:c r="M1077" s="0" t="s">
        <x:v>21</x:v>
      </x:c>
      <x:c r="N1077" s="0" t="s">
        <x:v>46</x:v>
      </x:c>
    </x:row>
    <x:row r="1078" spans="1:16">
      <x:c r="A1078" s="0" t="s">
        <x:v>4138</x:v>
      </x:c>
      <x:c r="B1078" s="0" t="s">
        <x:v>4139</x:v>
      </x:c>
      <x:c r="C1078" s="0" t="s">
        <x:v>4140</x:v>
      </x:c>
      <x:c r="E1078" s="0" t="s">
        <x:v>4141</x:v>
      </x:c>
      <x:c r="F1078" s="0" t="s">
        <x:v>45</x:v>
      </x:c>
      <x:c r="G1078" s="0" t="s">
        <x:v>19</x:v>
      </x:c>
      <x:c r="H1078" s="0" t="s">
        <x:v>20</x:v>
      </x:c>
      <x:c r="I1078" s="0" t="s">
        <x:v>21</x:v>
      </x:c>
      <x:c r="K1078" s="0">
        <x:f>hyperlink("https://icd.who.int/dev11/l-ichi/en#/http%3A%2F%2Fid.who.int%2Ficd%2Fentity%2F1863155466","browser")</x:f>
      </x:c>
      <x:c r="L1078" s="0">
        <x:f>hyperlink("https://icat2.azurewebsites.net/icat/?ontology=ICD&amp;tab=ClassesTab&amp;id=http%3A%2F%2Fwho.int%2Ficd%23367_512ebf36_bf6b_4d70_85da_cf2637062af4","iCat")</x:f>
      </x:c>
      <x:c r="M1078" s="0" t="s">
        <x:v>21</x:v>
      </x:c>
      <x:c r="N1078" s="0" t="s">
        <x:v>46</x:v>
      </x:c>
    </x:row>
    <x:row r="1079" spans="1:16">
      <x:c r="A1079" s="0" t="s">
        <x:v>4142</x:v>
      </x:c>
      <x:c r="B1079" s="0" t="s">
        <x:v>4143</x:v>
      </x:c>
      <x:c r="C1079" s="0" t="s">
        <x:v>4144</x:v>
      </x:c>
      <x:c r="E1079" s="0" t="s">
        <x:v>4145</x:v>
      </x:c>
      <x:c r="F1079" s="0" t="s">
        <x:v>45</x:v>
      </x:c>
      <x:c r="G1079" s="0" t="s">
        <x:v>19</x:v>
      </x:c>
      <x:c r="H1079" s="0" t="s">
        <x:v>20</x:v>
      </x:c>
      <x:c r="I1079" s="0" t="s">
        <x:v>21</x:v>
      </x:c>
      <x:c r="K1079" s="0">
        <x:f>hyperlink("https://icd.who.int/dev11/l-ichi/en#/http%3A%2F%2Fid.who.int%2Ficd%2Fentity%2F1622472600","browser")</x:f>
      </x:c>
      <x:c r="L1079" s="0">
        <x:f>hyperlink("https://icat2.azurewebsites.net/icat/?ontology=ICD&amp;tab=ClassesTab&amp;id=http%3A%2F%2Fwho.int%2Ficd%23375_512ebf36_bf6b_4d70_85da_cf2637062af4","iCat")</x:f>
      </x:c>
      <x:c r="M1079" s="0" t="s">
        <x:v>21</x:v>
      </x:c>
      <x:c r="N1079" s="0" t="s">
        <x:v>46</x:v>
      </x:c>
    </x:row>
    <x:row r="1080" spans="1:16">
      <x:c r="A1080" s="0" t="s">
        <x:v>4146</x:v>
      </x:c>
      <x:c r="B1080" s="0" t="s">
        <x:v>4147</x:v>
      </x:c>
      <x:c r="C1080" s="0" t="s">
        <x:v>4148</x:v>
      </x:c>
      <x:c r="E1080" s="0" t="s">
        <x:v>4149</x:v>
      </x:c>
      <x:c r="F1080" s="0" t="s">
        <x:v>45</x:v>
      </x:c>
      <x:c r="G1080" s="0" t="s">
        <x:v>19</x:v>
      </x:c>
      <x:c r="H1080" s="0" t="s">
        <x:v>20</x:v>
      </x:c>
      <x:c r="I1080" s="0" t="s">
        <x:v>21</x:v>
      </x:c>
      <x:c r="K1080" s="0">
        <x:f>hyperlink("https://icd.who.int/dev11/l-ichi/en#/http%3A%2F%2Fid.who.int%2Ficd%2Fentity%2F522740983","browser")</x:f>
      </x:c>
      <x:c r="L1080" s="0">
        <x:f>hyperlink("https://icat2.azurewebsites.net/icat/?ontology=ICD&amp;tab=ClassesTab&amp;id=http%3A%2F%2Fwho.int%2Ficd%23383_512ebf36_bf6b_4d70_85da_cf2637062af4","iCat")</x:f>
      </x:c>
      <x:c r="M1080" s="0" t="s">
        <x:v>21</x:v>
      </x:c>
      <x:c r="N1080" s="0" t="s">
        <x:v>46</x:v>
      </x:c>
    </x:row>
    <x:row r="1081" spans="1:16">
      <x:c r="A1081" s="0" t="s">
        <x:v>4150</x:v>
      </x:c>
      <x:c r="B1081" s="0" t="s">
        <x:v>4151</x:v>
      </x:c>
      <x:c r="C1081" s="0" t="s">
        <x:v>4152</x:v>
      </x:c>
      <x:c r="E1081" s="0" t="s">
        <x:v>4153</x:v>
      </x:c>
      <x:c r="F1081" s="0" t="s">
        <x:v>45</x:v>
      </x:c>
      <x:c r="G1081" s="0" t="s">
        <x:v>19</x:v>
      </x:c>
      <x:c r="H1081" s="0" t="s">
        <x:v>20</x:v>
      </x:c>
      <x:c r="I1081" s="0" t="s">
        <x:v>21</x:v>
      </x:c>
      <x:c r="K1081" s="0">
        <x:f>hyperlink("https://icd.who.int/dev11/l-ichi/en#/http%3A%2F%2Fid.who.int%2Ficd%2Fentity%2F1611876330","browser")</x:f>
      </x:c>
      <x:c r="L1081" s="0">
        <x:f>hyperlink("https://icat2.azurewebsites.net/icat/?ontology=ICD&amp;tab=ClassesTab&amp;id=http%3A%2F%2Fwho.int%2Ficd%23396_512ebf36_bf6b_4d70_85da_cf2637062af4","iCat")</x:f>
      </x:c>
      <x:c r="M1081" s="0" t="s">
        <x:v>21</x:v>
      </x:c>
      <x:c r="N1081" s="0" t="s">
        <x:v>46</x:v>
      </x:c>
    </x:row>
    <x:row r="1082" spans="1:16">
      <x:c r="A1082" s="0" t="s">
        <x:v>4154</x:v>
      </x:c>
      <x:c r="B1082" s="0" t="s">
        <x:v>4155</x:v>
      </x:c>
      <x:c r="C1082" s="0" t="s">
        <x:v>4156</x:v>
      </x:c>
      <x:c r="E1082" s="0" t="s">
        <x:v>4157</x:v>
      </x:c>
      <x:c r="F1082" s="0" t="s">
        <x:v>45</x:v>
      </x:c>
      <x:c r="G1082" s="0" t="s">
        <x:v>19</x:v>
      </x:c>
      <x:c r="H1082" s="0" t="s">
        <x:v>20</x:v>
      </x:c>
      <x:c r="I1082" s="0" t="s">
        <x:v>21</x:v>
      </x:c>
      <x:c r="K1082" s="0">
        <x:f>hyperlink("https://icd.who.int/dev11/l-ichi/en#/http%3A%2F%2Fid.who.int%2Ficd%2Fentity%2F1009994990","browser")</x:f>
      </x:c>
      <x:c r="L1082" s="0">
        <x:f>hyperlink("https://icat2.azurewebsites.net/icat/?ontology=ICD&amp;tab=ClassesTab&amp;id=http%3A%2F%2Fwho.int%2Ficd%23405_512ebf36_bf6b_4d70_85da_cf2637062af4","iCat")</x:f>
      </x:c>
      <x:c r="M1082" s="0" t="s">
        <x:v>21</x:v>
      </x:c>
      <x:c r="N1082" s="0" t="s">
        <x:v>46</x:v>
      </x:c>
    </x:row>
    <x:row r="1083" spans="1:16">
      <x:c r="A1083" s="0" t="s">
        <x:v>4158</x:v>
      </x:c>
      <x:c r="B1083" s="0" t="s">
        <x:v>4159</x:v>
      </x:c>
      <x:c r="C1083" s="0" t="s">
        <x:v>4160</x:v>
      </x:c>
      <x:c r="E1083" s="0" t="s">
        <x:v>4161</x:v>
      </x:c>
      <x:c r="F1083" s="0" t="s">
        <x:v>45</x:v>
      </x:c>
      <x:c r="G1083" s="0" t="s">
        <x:v>19</x:v>
      </x:c>
      <x:c r="H1083" s="0" t="s">
        <x:v>20</x:v>
      </x:c>
      <x:c r="I1083" s="0" t="s">
        <x:v>21</x:v>
      </x:c>
      <x:c r="K1083" s="0">
        <x:f>hyperlink("https://icd.who.int/dev11/l-ichi/en#/http%3A%2F%2Fid.who.int%2Ficd%2Fentity%2F109903882","browser")</x:f>
      </x:c>
      <x:c r="L1083" s="0">
        <x:f>hyperlink("https://icat2.azurewebsites.net/icat/?ontology=ICD&amp;tab=ClassesTab&amp;id=http%3A%2F%2Fwho.int%2Ficd%23413_512ebf36_bf6b_4d70_85da_cf2637062af4","iCat")</x:f>
      </x:c>
      <x:c r="M1083" s="0" t="s">
        <x:v>21</x:v>
      </x:c>
      <x:c r="N1083" s="0" t="s">
        <x:v>46</x:v>
      </x:c>
    </x:row>
    <x:row r="1084" spans="1:16">
      <x:c r="A1084" s="0" t="s">
        <x:v>4162</x:v>
      </x:c>
      <x:c r="B1084" s="0" t="s">
        <x:v>4163</x:v>
      </x:c>
      <x:c r="C1084" s="0" t="s">
        <x:v>4164</x:v>
      </x:c>
      <x:c r="E1084" s="0" t="s">
        <x:v>4165</x:v>
      </x:c>
      <x:c r="F1084" s="0" t="s">
        <x:v>45</x:v>
      </x:c>
      <x:c r="G1084" s="0" t="s">
        <x:v>19</x:v>
      </x:c>
      <x:c r="H1084" s="0" t="s">
        <x:v>20</x:v>
      </x:c>
      <x:c r="I1084" s="0" t="s">
        <x:v>21</x:v>
      </x:c>
      <x:c r="K1084" s="0">
        <x:f>hyperlink("https://icd.who.int/dev11/l-ichi/en#/http%3A%2F%2Fid.who.int%2Ficd%2Fentity%2F591420874","browser")</x:f>
      </x:c>
      <x:c r="L1084" s="0">
        <x:f>hyperlink("https://icat2.azurewebsites.net/icat/?ontology=ICD&amp;tab=ClassesTab&amp;id=http%3A%2F%2Fwho.int%2Ficd%23421_512ebf36_bf6b_4d70_85da_cf2637062af4","iCat")</x:f>
      </x:c>
      <x:c r="M1084" s="0" t="s">
        <x:v>21</x:v>
      </x:c>
      <x:c r="N1084" s="0" t="s">
        <x:v>46</x:v>
      </x:c>
    </x:row>
    <x:row r="1085" spans="1:16">
      <x:c r="A1085" s="0" t="s">
        <x:v>4166</x:v>
      </x:c>
      <x:c r="B1085" s="0" t="s">
        <x:v>4167</x:v>
      </x:c>
      <x:c r="C1085" s="0" t="s">
        <x:v>4168</x:v>
      </x:c>
      <x:c r="E1085" s="0" t="s">
        <x:v>4169</x:v>
      </x:c>
      <x:c r="F1085" s="0" t="s">
        <x:v>45</x:v>
      </x:c>
      <x:c r="G1085" s="0" t="s">
        <x:v>19</x:v>
      </x:c>
      <x:c r="H1085" s="0" t="s">
        <x:v>20</x:v>
      </x:c>
      <x:c r="I1085" s="0" t="s">
        <x:v>21</x:v>
      </x:c>
      <x:c r="K1085" s="0">
        <x:f>hyperlink("https://icd.who.int/dev11/l-ichi/en#/http%3A%2F%2Fid.who.int%2Ficd%2Fentity%2F1295539875","browser")</x:f>
      </x:c>
      <x:c r="L1085" s="0">
        <x:f>hyperlink("https://icat2.azurewebsites.net/icat/?ontology=ICD&amp;tab=ClassesTab&amp;id=http%3A%2F%2Fwho.int%2Ficd%23428_512ebf36_bf6b_4d70_85da_cf2637062af4","iCat")</x:f>
      </x:c>
      <x:c r="M1085" s="0" t="s">
        <x:v>21</x:v>
      </x:c>
      <x:c r="N1085" s="0" t="s">
        <x:v>46</x:v>
      </x:c>
    </x:row>
    <x:row r="1086" spans="1:16">
      <x:c r="A1086" s="0" t="s">
        <x:v>4170</x:v>
      </x:c>
      <x:c r="B1086" s="0" t="s">
        <x:v>4171</x:v>
      </x:c>
      <x:c r="C1086" s="0" t="s">
        <x:v>4172</x:v>
      </x:c>
      <x:c r="E1086" s="0" t="s">
        <x:v>4173</x:v>
      </x:c>
      <x:c r="F1086" s="0" t="s">
        <x:v>45</x:v>
      </x:c>
      <x:c r="G1086" s="0" t="s">
        <x:v>19</x:v>
      </x:c>
      <x:c r="H1086" s="0" t="s">
        <x:v>20</x:v>
      </x:c>
      <x:c r="I1086" s="0" t="s">
        <x:v>21</x:v>
      </x:c>
      <x:c r="K1086" s="0">
        <x:f>hyperlink("https://icd.who.int/dev11/l-ichi/en#/http%3A%2F%2Fid.who.int%2Ficd%2Fentity%2F1551597269","browser")</x:f>
      </x:c>
      <x:c r="L1086" s="0">
        <x:f>hyperlink("https://icat2.azurewebsites.net/icat/?ontology=ICD&amp;tab=ClassesTab&amp;id=http%3A%2F%2Fwho.int%2Ficd%23434_512ebf36_bf6b_4d70_85da_cf2637062af4","iCat")</x:f>
      </x:c>
      <x:c r="M1086" s="0" t="s">
        <x:v>21</x:v>
      </x:c>
      <x:c r="N1086" s="0" t="s">
        <x:v>46</x:v>
      </x:c>
    </x:row>
    <x:row r="1087" spans="1:16">
      <x:c r="A1087" s="0" t="s">
        <x:v>4174</x:v>
      </x:c>
      <x:c r="B1087" s="0" t="s">
        <x:v>4175</x:v>
      </x:c>
      <x:c r="C1087" s="0" t="s">
        <x:v>4176</x:v>
      </x:c>
      <x:c r="E1087" s="0" t="s">
        <x:v>4177</x:v>
      </x:c>
      <x:c r="F1087" s="0" t="s">
        <x:v>45</x:v>
      </x:c>
      <x:c r="G1087" s="0" t="s">
        <x:v>19</x:v>
      </x:c>
      <x:c r="H1087" s="0" t="s">
        <x:v>20</x:v>
      </x:c>
      <x:c r="I1087" s="0" t="s">
        <x:v>21</x:v>
      </x:c>
      <x:c r="K1087" s="0">
        <x:f>hyperlink("https://icd.who.int/dev11/l-ichi/en#/http%3A%2F%2Fid.who.int%2Ficd%2Fentity%2F472892996","browser")</x:f>
      </x:c>
      <x:c r="L1087" s="0">
        <x:f>hyperlink("https://icat2.azurewebsites.net/icat/?ontology=ICD&amp;tab=ClassesTab&amp;id=http%3A%2F%2Fwho.int%2Ficd%23443_512ebf36_bf6b_4d70_85da_cf2637062af4","iCat")</x:f>
      </x:c>
      <x:c r="M1087" s="0" t="s">
        <x:v>21</x:v>
      </x:c>
      <x:c r="N1087" s="0" t="s">
        <x:v>46</x:v>
      </x:c>
    </x:row>
    <x:row r="1088" spans="1:16">
      <x:c r="A1088" s="0" t="s">
        <x:v>4178</x:v>
      </x:c>
      <x:c r="B1088" s="0" t="s">
        <x:v>4179</x:v>
      </x:c>
      <x:c r="C1088" s="0" t="s">
        <x:v>4180</x:v>
      </x:c>
      <x:c r="E1088" s="0" t="s">
        <x:v>4181</x:v>
      </x:c>
      <x:c r="F1088" s="0" t="s">
        <x:v>45</x:v>
      </x:c>
      <x:c r="G1088" s="0" t="s">
        <x:v>19</x:v>
      </x:c>
      <x:c r="H1088" s="0" t="s">
        <x:v>20</x:v>
      </x:c>
      <x:c r="I1088" s="0" t="s">
        <x:v>21</x:v>
      </x:c>
      <x:c r="K1088" s="0">
        <x:f>hyperlink("https://icd.who.int/dev11/l-ichi/en#/http%3A%2F%2Fid.who.int%2Ficd%2Fentity%2F549685297","browser")</x:f>
      </x:c>
      <x:c r="L1088" s="0">
        <x:f>hyperlink("https://icat2.azurewebsites.net/icat/?ontology=ICD&amp;tab=ClassesTab&amp;id=http%3A%2F%2Fwho.int%2Ficd%23233_94acc4f6_b696_4796_914a_62879ddd4f65","iCat")</x:f>
      </x:c>
      <x:c r="M1088" s="0" t="s">
        <x:v>21</x:v>
      </x:c>
      <x:c r="N1088" s="0" t="s">
        <x:v>46</x:v>
      </x:c>
    </x:row>
    <x:row r="1089" spans="1:16">
      <x:c r="A1089" s="0" t="s">
        <x:v>4182</x:v>
      </x:c>
      <x:c r="B1089" s="0" t="s">
        <x:v>4183</x:v>
      </x:c>
      <x:c r="C1089" s="0" t="s">
        <x:v>4184</x:v>
      </x:c>
      <x:c r="E1089" s="0" t="s">
        <x:v>4185</x:v>
      </x:c>
      <x:c r="F1089" s="0" t="s">
        <x:v>45</x:v>
      </x:c>
      <x:c r="G1089" s="0" t="s">
        <x:v>19</x:v>
      </x:c>
      <x:c r="H1089" s="0" t="s">
        <x:v>20</x:v>
      </x:c>
      <x:c r="I1089" s="0" t="s">
        <x:v>21</x:v>
      </x:c>
      <x:c r="K1089" s="0">
        <x:f>hyperlink("https://icd.who.int/dev11/l-ichi/en#/http%3A%2F%2Fid.who.int%2Ficd%2Fentity%2F1444094249","browser")</x:f>
      </x:c>
      <x:c r="L1089" s="0">
        <x:f>hyperlink("https://icat2.azurewebsites.net/icat/?ontology=ICD&amp;tab=ClassesTab&amp;id=http%3A%2F%2Fwho.int%2Ficd%23452_512ebf36_bf6b_4d70_85da_cf2637062af4","iCat")</x:f>
      </x:c>
      <x:c r="M1089" s="0" t="s">
        <x:v>21</x:v>
      </x:c>
      <x:c r="N1089" s="0" t="s">
        <x:v>46</x:v>
      </x:c>
    </x:row>
    <x:row r="1090" spans="1:16">
      <x:c r="A1090" s="0" t="s">
        <x:v>4186</x:v>
      </x:c>
      <x:c r="B1090" s="0" t="s">
        <x:v>4187</x:v>
      </x:c>
      <x:c r="C1090" s="0" t="s">
        <x:v>4188</x:v>
      </x:c>
      <x:c r="E1090" s="0" t="s">
        <x:v>4189</x:v>
      </x:c>
      <x:c r="F1090" s="0" t="s">
        <x:v>45</x:v>
      </x:c>
      <x:c r="G1090" s="0" t="s">
        <x:v>19</x:v>
      </x:c>
      <x:c r="H1090" s="0" t="s">
        <x:v>20</x:v>
      </x:c>
      <x:c r="I1090" s="0" t="s">
        <x:v>21</x:v>
      </x:c>
      <x:c r="K1090" s="0">
        <x:f>hyperlink("https://icd.who.int/dev11/l-ichi/en#/http%3A%2F%2Fid.who.int%2Ficd%2Fentity%2F379740464","browser")</x:f>
      </x:c>
      <x:c r="L1090" s="0">
        <x:f>hyperlink("https://icat2.azurewebsites.net/icat/?ontology=ICD&amp;tab=ClassesTab&amp;id=http%3A%2F%2Fwho.int%2Ficd%23462_512ebf36_bf6b_4d70_85da_cf2637062af4","iCat")</x:f>
      </x:c>
      <x:c r="M1090" s="0" t="s">
        <x:v>21</x:v>
      </x:c>
      <x:c r="N1090" s="0" t="s">
        <x:v>46</x:v>
      </x:c>
    </x:row>
    <x:row r="1091" spans="1:16">
      <x:c r="A1091" s="0" t="s">
        <x:v>4190</x:v>
      </x:c>
      <x:c r="B1091" s="0" t="s">
        <x:v>4191</x:v>
      </x:c>
      <x:c r="C1091" s="0" t="s">
        <x:v>4192</x:v>
      </x:c>
      <x:c r="E1091" s="0" t="s">
        <x:v>4193</x:v>
      </x:c>
      <x:c r="F1091" s="0" t="s">
        <x:v>45</x:v>
      </x:c>
      <x:c r="G1091" s="0" t="s">
        <x:v>19</x:v>
      </x:c>
      <x:c r="H1091" s="0" t="s">
        <x:v>20</x:v>
      </x:c>
      <x:c r="I1091" s="0" t="s">
        <x:v>21</x:v>
      </x:c>
      <x:c r="K1091" s="0">
        <x:f>hyperlink("https://icd.who.int/dev11/l-ichi/en#/http%3A%2F%2Fid.who.int%2Ficd%2Fentity%2F971152256","browser")</x:f>
      </x:c>
      <x:c r="L1091" s="0">
        <x:f>hyperlink("https://icat2.azurewebsites.net/icat/?ontology=ICD&amp;tab=ClassesTab&amp;id=http%3A%2F%2Fwho.int%2Ficd%23471_512ebf36_bf6b_4d70_85da_cf2637062af4","iCat")</x:f>
      </x:c>
      <x:c r="M1091" s="0" t="s">
        <x:v>21</x:v>
      </x:c>
      <x:c r="N1091" s="0" t="s">
        <x:v>46</x:v>
      </x:c>
    </x:row>
    <x:row r="1092" spans="1:16">
      <x:c r="A1092" s="0" t="s">
        <x:v>4194</x:v>
      </x:c>
      <x:c r="B1092" s="0" t="s">
        <x:v>4195</x:v>
      </x:c>
      <x:c r="C1092" s="0" t="s">
        <x:v>4196</x:v>
      </x:c>
      <x:c r="E1092" s="0" t="s">
        <x:v>4197</x:v>
      </x:c>
      <x:c r="F1092" s="0" t="s">
        <x:v>45</x:v>
      </x:c>
      <x:c r="G1092" s="0" t="s">
        <x:v>19</x:v>
      </x:c>
      <x:c r="H1092" s="0" t="s">
        <x:v>20</x:v>
      </x:c>
      <x:c r="I1092" s="0" t="s">
        <x:v>21</x:v>
      </x:c>
      <x:c r="K1092" s="0">
        <x:f>hyperlink("https://icd.who.int/dev11/l-ichi/en#/http%3A%2F%2Fid.who.int%2Ficd%2Fentity%2F1771651633","browser")</x:f>
      </x:c>
      <x:c r="L1092" s="0">
        <x:f>hyperlink("https://icat2.azurewebsites.net/icat/?ontology=ICD&amp;tab=ClassesTab&amp;id=http%3A%2F%2Fwho.int%2Ficd%23477_512ebf36_bf6b_4d70_85da_cf2637062af4","iCat")</x:f>
      </x:c>
      <x:c r="M1092" s="0" t="s">
        <x:v>21</x:v>
      </x:c>
      <x:c r="N1092" s="0" t="s">
        <x:v>46</x:v>
      </x:c>
    </x:row>
    <x:row r="1093" spans="1:16">
      <x:c r="A1093" s="0" t="s">
        <x:v>4198</x:v>
      </x:c>
      <x:c r="B1093" s="0" t="s">
        <x:v>4199</x:v>
      </x:c>
      <x:c r="C1093" s="0" t="s">
        <x:v>4200</x:v>
      </x:c>
      <x:c r="E1093" s="0" t="s">
        <x:v>4201</x:v>
      </x:c>
      <x:c r="F1093" s="0" t="s">
        <x:v>45</x:v>
      </x:c>
      <x:c r="G1093" s="0" t="s">
        <x:v>19</x:v>
      </x:c>
      <x:c r="H1093" s="0" t="s">
        <x:v>20</x:v>
      </x:c>
      <x:c r="I1093" s="0" t="s">
        <x:v>21</x:v>
      </x:c>
      <x:c r="K1093" s="0">
        <x:f>hyperlink("https://icd.who.int/dev11/l-ichi/en#/http%3A%2F%2Fid.who.int%2Ficd%2Fentity%2F587339052","browser")</x:f>
      </x:c>
      <x:c r="L1093" s="0">
        <x:f>hyperlink("https://icat2.azurewebsites.net/icat/?ontology=ICD&amp;tab=ClassesTab&amp;id=http%3A%2F%2Fwho.int%2Ficd%23485_512ebf36_bf6b_4d70_85da_cf2637062af4","iCat")</x:f>
      </x:c>
      <x:c r="M1093" s="0" t="s">
        <x:v>21</x:v>
      </x:c>
      <x:c r="N1093" s="0" t="s">
        <x:v>46</x:v>
      </x:c>
    </x:row>
    <x:row r="1094" spans="1:16">
      <x:c r="A1094" s="0" t="s">
        <x:v>4202</x:v>
      </x:c>
      <x:c r="B1094" s="0" t="s">
        <x:v>4203</x:v>
      </x:c>
      <x:c r="C1094" s="0" t="s">
        <x:v>4204</x:v>
      </x:c>
      <x:c r="E1094" s="0" t="s">
        <x:v>4205</x:v>
      </x:c>
      <x:c r="F1094" s="0" t="s">
        <x:v>45</x:v>
      </x:c>
      <x:c r="G1094" s="0" t="s">
        <x:v>19</x:v>
      </x:c>
      <x:c r="H1094" s="0" t="s">
        <x:v>20</x:v>
      </x:c>
      <x:c r="I1094" s="0" t="s">
        <x:v>21</x:v>
      </x:c>
      <x:c r="K1094" s="0">
        <x:f>hyperlink("https://icd.who.int/dev11/l-ichi/en#/http%3A%2F%2Fid.who.int%2Ficd%2Fentity%2F1567530489","browser")</x:f>
      </x:c>
      <x:c r="L1094" s="0">
        <x:f>hyperlink("https://icat2.azurewebsites.net/icat/?ontology=ICD&amp;tab=ClassesTab&amp;id=http%3A%2F%2Fwho.int%2Ficd%232844_25b89c54_3344_49a0_8ee9_6b728a90dcf8","iCat")</x:f>
      </x:c>
      <x:c r="M1094" s="0" t="s">
        <x:v>21</x:v>
      </x:c>
      <x:c r="N1094" s="0" t="s">
        <x:v>46</x:v>
      </x:c>
    </x:row>
    <x:row r="1095" spans="1:16">
      <x:c r="A1095" s="0" t="s">
        <x:v>4206</x:v>
      </x:c>
      <x:c r="B1095" s="0" t="s">
        <x:v>4207</x:v>
      </x:c>
      <x:c r="C1095" s="0" t="s">
        <x:v>4208</x:v>
      </x:c>
      <x:c r="E1095" s="0" t="s">
        <x:v>4209</x:v>
      </x:c>
      <x:c r="F1095" s="0" t="s">
        <x:v>45</x:v>
      </x:c>
      <x:c r="G1095" s="0" t="s">
        <x:v>19</x:v>
      </x:c>
      <x:c r="H1095" s="0" t="s">
        <x:v>20</x:v>
      </x:c>
      <x:c r="I1095" s="0" t="s">
        <x:v>21</x:v>
      </x:c>
      <x:c r="K1095" s="0">
        <x:f>hyperlink("https://icd.who.int/dev11/l-ichi/en#/http%3A%2F%2Fid.who.int%2Ficd%2Fentity%2F531011177","browser")</x:f>
      </x:c>
      <x:c r="L1095" s="0">
        <x:f>hyperlink("https://icat2.azurewebsites.net/icat/?ontology=ICD&amp;tab=ClassesTab&amp;id=http%3A%2F%2Fwho.int%2Ficd%23254_512ebf36_bf6b_4d70_85da_cf2637062af4","iCat")</x:f>
      </x:c>
      <x:c r="M1095" s="0" t="s">
        <x:v>21</x:v>
      </x:c>
      <x:c r="N1095" s="0" t="s">
        <x:v>46</x:v>
      </x:c>
    </x:row>
    <x:row r="1096" spans="1:16">
      <x:c r="A1096" s="0" t="s">
        <x:v>4210</x:v>
      </x:c>
      <x:c r="B1096" s="0" t="s">
        <x:v>4211</x:v>
      </x:c>
      <x:c r="C1096" s="0" t="s">
        <x:v>4212</x:v>
      </x:c>
      <x:c r="E1096" s="0" t="s">
        <x:v>4213</x:v>
      </x:c>
      <x:c r="F1096" s="0" t="s">
        <x:v>45</x:v>
      </x:c>
      <x:c r="G1096" s="0" t="s">
        <x:v>19</x:v>
      </x:c>
      <x:c r="H1096" s="0" t="s">
        <x:v>20</x:v>
      </x:c>
      <x:c r="I1096" s="0" t="s">
        <x:v>21</x:v>
      </x:c>
      <x:c r="K1096" s="0">
        <x:f>hyperlink("https://icd.who.int/dev11/l-ichi/en#/http%3A%2F%2Fid.who.int%2Ficd%2Fentity%2F205713284","browser")</x:f>
      </x:c>
      <x:c r="L1096" s="0">
        <x:f>hyperlink("https://icat2.azurewebsites.net/icat/?ontology=ICD&amp;tab=ClassesTab&amp;id=http%3A%2F%2Fwho.int%2Ficd%23496_512ebf36_bf6b_4d70_85da_cf2637062af4","iCat")</x:f>
      </x:c>
      <x:c r="M1096" s="0" t="s">
        <x:v>21</x:v>
      </x:c>
      <x:c r="N1096" s="0" t="s">
        <x:v>46</x:v>
      </x:c>
    </x:row>
    <x:row r="1097" spans="1:16">
      <x:c r="A1097" s="0" t="s">
        <x:v>4214</x:v>
      </x:c>
      <x:c r="B1097" s="0" t="s">
        <x:v>4215</x:v>
      </x:c>
      <x:c r="C1097" s="0" t="s">
        <x:v>4216</x:v>
      </x:c>
      <x:c r="E1097" s="0" t="s">
        <x:v>4217</x:v>
      </x:c>
      <x:c r="F1097" s="0" t="s">
        <x:v>45</x:v>
      </x:c>
      <x:c r="G1097" s="0" t="s">
        <x:v>19</x:v>
      </x:c>
      <x:c r="H1097" s="0" t="s">
        <x:v>20</x:v>
      </x:c>
      <x:c r="I1097" s="0" t="s">
        <x:v>21</x:v>
      </x:c>
      <x:c r="K1097" s="0">
        <x:f>hyperlink("https://icd.who.int/dev11/l-ichi/en#/http%3A%2F%2Fid.who.int%2Ficd%2Fentity%2F496306559","browser")</x:f>
      </x:c>
      <x:c r="L1097" s="0">
        <x:f>hyperlink("https://icat2.azurewebsites.net/icat/?ontology=ICD&amp;tab=ClassesTab&amp;id=http%3A%2F%2Fwho.int%2Ficd%2310424_4869915e_217e_423d_acb3_33c0f920ef4b","iCat")</x:f>
      </x:c>
      <x:c r="M1097" s="0" t="s">
        <x:v>21</x:v>
      </x:c>
      <x:c r="N1097" s="0" t="s">
        <x:v>46</x:v>
      </x:c>
    </x:row>
    <x:row r="1098" spans="1:16">
      <x:c r="A1098" s="0" t="s">
        <x:v>4218</x:v>
      </x:c>
      <x:c r="B1098" s="0" t="s">
        <x:v>4219</x:v>
      </x:c>
      <x:c r="C1098" s="0" t="s">
        <x:v>4220</x:v>
      </x:c>
      <x:c r="E1098" s="0" t="s">
        <x:v>4221</x:v>
      </x:c>
      <x:c r="F1098" s="0" t="s">
        <x:v>45</x:v>
      </x:c>
      <x:c r="G1098" s="0" t="s">
        <x:v>19</x:v>
      </x:c>
      <x:c r="H1098" s="0" t="s">
        <x:v>20</x:v>
      </x:c>
      <x:c r="I1098" s="0" t="s">
        <x:v>21</x:v>
      </x:c>
      <x:c r="K1098" s="0">
        <x:f>hyperlink("https://icd.who.int/dev11/l-ichi/en#/http%3A%2F%2Fid.who.int%2Ficd%2Fentity%2F959324670","browser")</x:f>
      </x:c>
      <x:c r="L1098" s="0">
        <x:f>hyperlink("https://icat2.azurewebsites.net/icat/?ontology=ICD&amp;tab=ClassesTab&amp;id=http%3A%2F%2Fwho.int%2Ficd%23502_512ebf36_bf6b_4d70_85da_cf2637062af4","iCat")</x:f>
      </x:c>
      <x:c r="M1098" s="0" t="s">
        <x:v>21</x:v>
      </x:c>
      <x:c r="N1098" s="0" t="s">
        <x:v>46</x:v>
      </x:c>
    </x:row>
    <x:row r="1099" spans="1:16">
      <x:c r="A1099" s="0" t="s">
        <x:v>4222</x:v>
      </x:c>
      <x:c r="B1099" s="0" t="s">
        <x:v>4223</x:v>
      </x:c>
      <x:c r="C1099" s="0" t="s">
        <x:v>4224</x:v>
      </x:c>
      <x:c r="E1099" s="0" t="s">
        <x:v>4225</x:v>
      </x:c>
      <x:c r="F1099" s="0" t="s">
        <x:v>45</x:v>
      </x:c>
      <x:c r="G1099" s="0" t="s">
        <x:v>19</x:v>
      </x:c>
      <x:c r="H1099" s="0" t="s">
        <x:v>20</x:v>
      </x:c>
      <x:c r="I1099" s="0" t="s">
        <x:v>21</x:v>
      </x:c>
      <x:c r="K1099" s="0">
        <x:f>hyperlink("https://icd.who.int/dev11/l-ichi/en#/http%3A%2F%2Fid.who.int%2Ficd%2Fentity%2F59796762","browser")</x:f>
      </x:c>
      <x:c r="L1099" s="0">
        <x:f>hyperlink("https://icat2.azurewebsites.net/icat/?ontology=ICD&amp;tab=ClassesTab&amp;id=http%3A%2F%2Fwho.int%2Ficd%23514_512ebf36_bf6b_4d70_85da_cf2637062af4","iCat")</x:f>
      </x:c>
      <x:c r="M1099" s="0" t="s">
        <x:v>21</x:v>
      </x:c>
      <x:c r="N1099" s="0" t="s">
        <x:v>46</x:v>
      </x:c>
    </x:row>
    <x:row r="1100" spans="1:16">
      <x:c r="A1100" s="0" t="s">
        <x:v>4226</x:v>
      </x:c>
      <x:c r="B1100" s="0" t="s">
        <x:v>4227</x:v>
      </x:c>
      <x:c r="C1100" s="0" t="s">
        <x:v>4228</x:v>
      </x:c>
      <x:c r="E1100" s="0" t="s">
        <x:v>4229</x:v>
      </x:c>
      <x:c r="F1100" s="0" t="s">
        <x:v>45</x:v>
      </x:c>
      <x:c r="G1100" s="0" t="s">
        <x:v>19</x:v>
      </x:c>
      <x:c r="H1100" s="0" t="s">
        <x:v>20</x:v>
      </x:c>
      <x:c r="I1100" s="0" t="s">
        <x:v>21</x:v>
      </x:c>
      <x:c r="K1100" s="0">
        <x:f>hyperlink("https://icd.who.int/dev11/l-ichi/en#/http%3A%2F%2Fid.who.int%2Ficd%2Fentity%2F805900679","browser")</x:f>
      </x:c>
      <x:c r="L1100" s="0">
        <x:f>hyperlink("https://icat2.azurewebsites.net/icat/?ontology=ICD&amp;tab=ClassesTab&amp;id=http%3A%2F%2Fwho.int%2Ficd%23205_94acc4f6_b696_4796_914a_62879ddd4f65","iCat")</x:f>
      </x:c>
      <x:c r="M1100" s="0" t="s">
        <x:v>21</x:v>
      </x:c>
      <x:c r="N1100" s="0" t="s">
        <x:v>46</x:v>
      </x:c>
    </x:row>
    <x:row r="1101" spans="1:16">
      <x:c r="A1101" s="0" t="s">
        <x:v>4230</x:v>
      </x:c>
      <x:c r="B1101" s="0" t="s">
        <x:v>4231</x:v>
      </x:c>
      <x:c r="C1101" s="0" t="s">
        <x:v>4232</x:v>
      </x:c>
      <x:c r="E1101" s="0" t="s">
        <x:v>4233</x:v>
      </x:c>
      <x:c r="F1101" s="0" t="s">
        <x:v>45</x:v>
      </x:c>
      <x:c r="G1101" s="0" t="s">
        <x:v>19</x:v>
      </x:c>
      <x:c r="H1101" s="0" t="s">
        <x:v>20</x:v>
      </x:c>
      <x:c r="I1101" s="0" t="s">
        <x:v>21</x:v>
      </x:c>
      <x:c r="K1101" s="0">
        <x:f>hyperlink("https://icd.who.int/dev11/l-ichi/en#/http%3A%2F%2Fid.who.int%2Ficd%2Fentity%2F1875591332","browser")</x:f>
      </x:c>
      <x:c r="L1101" s="0">
        <x:f>hyperlink("https://icat2.azurewebsites.net/icat/?ontology=ICD&amp;tab=ClassesTab&amp;id=http%3A%2F%2Fwho.int%2Ficd%23211_94acc4f6_b696_4796_914a_62879ddd4f65","iCat")</x:f>
      </x:c>
      <x:c r="M1101" s="0" t="s">
        <x:v>21</x:v>
      </x:c>
      <x:c r="N1101" s="0" t="s">
        <x:v>46</x:v>
      </x:c>
    </x:row>
    <x:row r="1102" spans="1:16">
      <x:c r="A1102" s="0" t="s">
        <x:v>4234</x:v>
      </x:c>
      <x:c r="B1102" s="0" t="s">
        <x:v>4235</x:v>
      </x:c>
      <x:c r="C1102" s="0" t="s">
        <x:v>4236</x:v>
      </x:c>
      <x:c r="E1102" s="0" t="s">
        <x:v>4237</x:v>
      </x:c>
      <x:c r="F1102" s="0" t="s">
        <x:v>45</x:v>
      </x:c>
      <x:c r="G1102" s="0" t="s">
        <x:v>19</x:v>
      </x:c>
      <x:c r="H1102" s="0" t="s">
        <x:v>20</x:v>
      </x:c>
      <x:c r="I1102" s="0" t="s">
        <x:v>21</x:v>
      </x:c>
      <x:c r="K1102" s="0">
        <x:f>hyperlink("https://icd.who.int/dev11/l-ichi/en#/http%3A%2F%2Fid.who.int%2Ficd%2Fentity%2F1457494871","browser")</x:f>
      </x:c>
      <x:c r="L1102" s="0">
        <x:f>hyperlink("https://icat2.azurewebsites.net/icat/?ontology=ICD&amp;tab=ClassesTab&amp;id=http%3A%2F%2Fwho.int%2Ficd%23521_512ebf36_bf6b_4d70_85da_cf2637062af4","iCat")</x:f>
      </x:c>
      <x:c r="M1102" s="0" t="s">
        <x:v>21</x:v>
      </x:c>
      <x:c r="N1102" s="0" t="s">
        <x:v>46</x:v>
      </x:c>
    </x:row>
    <x:row r="1103" spans="1:16">
      <x:c r="A1103" s="0" t="s">
        <x:v>4238</x:v>
      </x:c>
      <x:c r="B1103" s="0" t="s">
        <x:v>4239</x:v>
      </x:c>
      <x:c r="C1103" s="0" t="s">
        <x:v>4240</x:v>
      </x:c>
      <x:c r="E1103" s="0" t="s">
        <x:v>4241</x:v>
      </x:c>
      <x:c r="F1103" s="0" t="s">
        <x:v>45</x:v>
      </x:c>
      <x:c r="G1103" s="0" t="s">
        <x:v>19</x:v>
      </x:c>
      <x:c r="H1103" s="0" t="s">
        <x:v>20</x:v>
      </x:c>
      <x:c r="I1103" s="0" t="s">
        <x:v>21</x:v>
      </x:c>
      <x:c r="K1103" s="0">
        <x:f>hyperlink("https://icd.who.int/dev11/l-ichi/en#/http%3A%2F%2Fid.who.int%2Ficd%2Fentity%2F408873474","browser")</x:f>
      </x:c>
      <x:c r="L1103" s="0">
        <x:f>hyperlink("https://icat2.azurewebsites.net/icat/?ontology=ICD&amp;tab=ClassesTab&amp;id=http%3A%2F%2Fwho.int%2Ficd%23529_512ebf36_bf6b_4d70_85da_cf2637062af4","iCat")</x:f>
      </x:c>
      <x:c r="M1103" s="0" t="s">
        <x:v>21</x:v>
      </x:c>
      <x:c r="N1103" s="0" t="s">
        <x:v>46</x:v>
      </x:c>
    </x:row>
    <x:row r="1104" spans="1:16">
      <x:c r="A1104" s="0" t="s">
        <x:v>4242</x:v>
      </x:c>
      <x:c r="B1104" s="0" t="s">
        <x:v>4243</x:v>
      </x:c>
      <x:c r="C1104" s="0" t="s">
        <x:v>4244</x:v>
      </x:c>
      <x:c r="E1104" s="0" t="s">
        <x:v>4245</x:v>
      </x:c>
      <x:c r="F1104" s="0" t="s">
        <x:v>45</x:v>
      </x:c>
      <x:c r="G1104" s="0" t="s">
        <x:v>19</x:v>
      </x:c>
      <x:c r="H1104" s="0" t="s">
        <x:v>20</x:v>
      </x:c>
      <x:c r="I1104" s="0" t="s">
        <x:v>21</x:v>
      </x:c>
      <x:c r="K1104" s="0">
        <x:f>hyperlink("https://icd.who.int/dev11/l-ichi/en#/http%3A%2F%2Fid.who.int%2Ficd%2Fentity%2F1382157673","browser")</x:f>
      </x:c>
      <x:c r="L1104" s="0">
        <x:f>hyperlink("https://icat2.azurewebsites.net/icat/?ontology=ICD&amp;tab=ClassesTab&amp;id=http%3A%2F%2Fwho.int%2Ficd%23538_512ebf36_bf6b_4d70_85da_cf2637062af4","iCat")</x:f>
      </x:c>
      <x:c r="M1104" s="0" t="s">
        <x:v>21</x:v>
      </x:c>
      <x:c r="N1104" s="0" t="s">
        <x:v>46</x:v>
      </x:c>
    </x:row>
    <x:row r="1105" spans="1:16">
      <x:c r="A1105" s="0" t="s">
        <x:v>4246</x:v>
      </x:c>
      <x:c r="B1105" s="0" t="s">
        <x:v>4247</x:v>
      </x:c>
      <x:c r="C1105" s="0" t="s">
        <x:v>4248</x:v>
      </x:c>
      <x:c r="E1105" s="0" t="s">
        <x:v>4249</x:v>
      </x:c>
      <x:c r="F1105" s="0" t="s">
        <x:v>45</x:v>
      </x:c>
      <x:c r="G1105" s="0" t="s">
        <x:v>19</x:v>
      </x:c>
      <x:c r="H1105" s="0" t="s">
        <x:v>20</x:v>
      </x:c>
      <x:c r="I1105" s="0" t="s">
        <x:v>21</x:v>
      </x:c>
      <x:c r="K1105" s="0">
        <x:f>hyperlink("https://icd.who.int/dev11/l-ichi/en#/http%3A%2F%2Fid.who.int%2Ficd%2Fentity%2F2085533335","browser")</x:f>
      </x:c>
      <x:c r="L1105" s="0">
        <x:f>hyperlink("https://icat2.azurewebsites.net/icat/?ontology=ICD&amp;tab=ClassesTab&amp;id=http%3A%2F%2Fwho.int%2Ficd%23546_512ebf36_bf6b_4d70_85da_cf2637062af4","iCat")</x:f>
      </x:c>
      <x:c r="M1105" s="0" t="s">
        <x:v>21</x:v>
      </x:c>
      <x:c r="N1105" s="0" t="s">
        <x:v>46</x:v>
      </x:c>
    </x:row>
    <x:row r="1106" spans="1:16">
      <x:c r="A1106" s="0" t="s">
        <x:v>4250</x:v>
      </x:c>
      <x:c r="B1106" s="0" t="s">
        <x:v>4251</x:v>
      </x:c>
      <x:c r="C1106" s="0" t="s">
        <x:v>4252</x:v>
      </x:c>
      <x:c r="E1106" s="0" t="s">
        <x:v>4253</x:v>
      </x:c>
      <x:c r="F1106" s="0" t="s">
        <x:v>45</x:v>
      </x:c>
      <x:c r="G1106" s="0" t="s">
        <x:v>19</x:v>
      </x:c>
      <x:c r="H1106" s="0" t="s">
        <x:v>20</x:v>
      </x:c>
      <x:c r="I1106" s="0" t="s">
        <x:v>21</x:v>
      </x:c>
      <x:c r="K1106" s="0">
        <x:f>hyperlink("https://icd.who.int/dev11/l-ichi/en#/http%3A%2F%2Fid.who.int%2Ficd%2Fentity%2F687947992","browser")</x:f>
      </x:c>
      <x:c r="L1106" s="0">
        <x:f>hyperlink("https://icat2.azurewebsites.net/icat/?ontology=ICD&amp;tab=ClassesTab&amp;id=http%3A%2F%2Fwho.int%2Ficd%23573_512ebf36_bf6b_4d70_85da_cf2637062af4","iCat")</x:f>
      </x:c>
      <x:c r="M1106" s="0" t="s">
        <x:v>21</x:v>
      </x:c>
      <x:c r="N1106" s="0" t="s">
        <x:v>46</x:v>
      </x:c>
    </x:row>
    <x:row r="1107" spans="1:16">
      <x:c r="A1107" s="0" t="s">
        <x:v>4254</x:v>
      </x:c>
      <x:c r="B1107" s="0" t="s">
        <x:v>4255</x:v>
      </x:c>
      <x:c r="C1107" s="0" t="s">
        <x:v>4256</x:v>
      </x:c>
      <x:c r="E1107" s="0" t="s">
        <x:v>4257</x:v>
      </x:c>
      <x:c r="F1107" s="0" t="s">
        <x:v>45</x:v>
      </x:c>
      <x:c r="G1107" s="0" t="s">
        <x:v>19</x:v>
      </x:c>
      <x:c r="H1107" s="0" t="s">
        <x:v>20</x:v>
      </x:c>
      <x:c r="I1107" s="0" t="s">
        <x:v>21</x:v>
      </x:c>
      <x:c r="K1107" s="0">
        <x:f>hyperlink("https://icd.who.int/dev11/l-ichi/en#/http%3A%2F%2Fid.who.int%2Ficd%2Fentity%2F1205793729","browser")</x:f>
      </x:c>
      <x:c r="L1107" s="0">
        <x:f>hyperlink("https://icat2.azurewebsites.net/icat/?ontology=ICD&amp;tab=ClassesTab&amp;id=http%3A%2F%2Fwho.int%2Ficd%23599_512ebf36_bf6b_4d70_85da_cf2637062af4","iCat")</x:f>
      </x:c>
      <x:c r="M1107" s="0" t="s">
        <x:v>21</x:v>
      </x:c>
      <x:c r="N1107" s="0" t="s">
        <x:v>46</x:v>
      </x:c>
    </x:row>
    <x:row r="1108" spans="1:16">
      <x:c r="A1108" s="0" t="s">
        <x:v>4258</x:v>
      </x:c>
      <x:c r="B1108" s="0" t="s">
        <x:v>4259</x:v>
      </x:c>
      <x:c r="C1108" s="0" t="s">
        <x:v>4260</x:v>
      </x:c>
      <x:c r="E1108" s="0" t="s">
        <x:v>4261</x:v>
      </x:c>
      <x:c r="F1108" s="0" t="s">
        <x:v>45</x:v>
      </x:c>
      <x:c r="G1108" s="0" t="s">
        <x:v>19</x:v>
      </x:c>
      <x:c r="H1108" s="0" t="s">
        <x:v>20</x:v>
      </x:c>
      <x:c r="I1108" s="0" t="s">
        <x:v>21</x:v>
      </x:c>
      <x:c r="K1108" s="0">
        <x:f>hyperlink("https://icd.who.int/dev11/l-ichi/en#/http%3A%2F%2Fid.who.int%2Ficd%2Fentity%2F1938618679","browser")</x:f>
      </x:c>
      <x:c r="L1108" s="0">
        <x:f>hyperlink("https://icat2.azurewebsites.net/icat/?ontology=ICD&amp;tab=ClassesTab&amp;id=http%3A%2F%2Fwho.int%2Ficd%23608_512ebf36_bf6b_4d70_85da_cf2637062af4","iCat")</x:f>
      </x:c>
      <x:c r="M1108" s="0" t="s">
        <x:v>21</x:v>
      </x:c>
      <x:c r="N1108" s="0" t="s">
        <x:v>46</x:v>
      </x:c>
    </x:row>
    <x:row r="1109" spans="1:16">
      <x:c r="A1109" s="0" t="s">
        <x:v>4262</x:v>
      </x:c>
      <x:c r="B1109" s="0" t="s">
        <x:v>4263</x:v>
      </x:c>
      <x:c r="C1109" s="0" t="s">
        <x:v>4264</x:v>
      </x:c>
      <x:c r="E1109" s="0" t="s">
        <x:v>4265</x:v>
      </x:c>
      <x:c r="F1109" s="0" t="s">
        <x:v>45</x:v>
      </x:c>
      <x:c r="G1109" s="0" t="s">
        <x:v>19</x:v>
      </x:c>
      <x:c r="H1109" s="0" t="s">
        <x:v>20</x:v>
      </x:c>
      <x:c r="I1109" s="0" t="s">
        <x:v>21</x:v>
      </x:c>
      <x:c r="K1109" s="0">
        <x:f>hyperlink("https://icd.who.int/dev11/l-ichi/en#/http%3A%2F%2Fid.who.int%2Ficd%2Fentity%2F393829682","browser")</x:f>
      </x:c>
      <x:c r="L1109" s="0">
        <x:f>hyperlink("https://icat2.azurewebsites.net/icat/?ontology=ICD&amp;tab=ClassesTab&amp;id=http%3A%2F%2Fwho.int%2Ficd%23620_512ebf36_bf6b_4d70_85da_cf2637062af4","iCat")</x:f>
      </x:c>
      <x:c r="M1109" s="0" t="s">
        <x:v>21</x:v>
      </x:c>
      <x:c r="N1109" s="0" t="s">
        <x:v>46</x:v>
      </x:c>
    </x:row>
    <x:row r="1110" spans="1:16">
      <x:c r="A1110" s="0" t="s">
        <x:v>4266</x:v>
      </x:c>
      <x:c r="B1110" s="0" t="s">
        <x:v>4267</x:v>
      </x:c>
      <x:c r="C1110" s="0" t="s">
        <x:v>4268</x:v>
      </x:c>
      <x:c r="E1110" s="0" t="s">
        <x:v>4269</x:v>
      </x:c>
      <x:c r="F1110" s="0" t="s">
        <x:v>45</x:v>
      </x:c>
      <x:c r="G1110" s="0" t="s">
        <x:v>19</x:v>
      </x:c>
      <x:c r="H1110" s="0" t="s">
        <x:v>20</x:v>
      </x:c>
      <x:c r="I1110" s="0" t="s">
        <x:v>21</x:v>
      </x:c>
      <x:c r="K1110" s="0">
        <x:f>hyperlink("https://icd.who.int/dev11/l-ichi/en#/http%3A%2F%2Fid.who.int%2Ficd%2Fentity%2F1744565951","browser")</x:f>
      </x:c>
      <x:c r="L1110" s="0">
        <x:f>hyperlink("https://icat2.azurewebsites.net/icat/?ontology=ICD&amp;tab=ClassesTab&amp;id=http%3A%2F%2Fwho.int%2Ficd%23627_512ebf36_bf6b_4d70_85da_cf2637062af4","iCat")</x:f>
      </x:c>
      <x:c r="M1110" s="0" t="s">
        <x:v>21</x:v>
      </x:c>
      <x:c r="N1110" s="0" t="s">
        <x:v>46</x:v>
      </x:c>
    </x:row>
    <x:row r="1111" spans="1:16">
      <x:c r="A1111" s="0" t="s">
        <x:v>4270</x:v>
      </x:c>
      <x:c r="B1111" s="0" t="s">
        <x:v>4271</x:v>
      </x:c>
      <x:c r="C1111" s="0" t="s">
        <x:v>4272</x:v>
      </x:c>
      <x:c r="E1111" s="0" t="s">
        <x:v>4273</x:v>
      </x:c>
      <x:c r="F1111" s="0" t="s">
        <x:v>45</x:v>
      </x:c>
      <x:c r="G1111" s="0" t="s">
        <x:v>19</x:v>
      </x:c>
      <x:c r="H1111" s="0" t="s">
        <x:v>20</x:v>
      </x:c>
      <x:c r="I1111" s="0" t="s">
        <x:v>21</x:v>
      </x:c>
      <x:c r="K1111" s="0">
        <x:f>hyperlink("https://icd.who.int/dev11/l-ichi/en#/http%3A%2F%2Fid.who.int%2Ficd%2Fentity%2F2020417291","browser")</x:f>
      </x:c>
      <x:c r="L1111" s="0">
        <x:f>hyperlink("https://icat2.azurewebsites.net/icat/?ontology=ICD&amp;tab=ClassesTab&amp;id=http%3A%2F%2Fwho.int%2Ficd%23644_512ebf36_bf6b_4d70_85da_cf2637062af4","iCat")</x:f>
      </x:c>
      <x:c r="M1111" s="0" t="s">
        <x:v>21</x:v>
      </x:c>
      <x:c r="N1111" s="0" t="s">
        <x:v>46</x:v>
      </x:c>
    </x:row>
    <x:row r="1112" spans="1:16">
      <x:c r="A1112" s="0" t="s">
        <x:v>4274</x:v>
      </x:c>
      <x:c r="B1112" s="0" t="s">
        <x:v>4275</x:v>
      </x:c>
      <x:c r="C1112" s="0" t="s">
        <x:v>4276</x:v>
      </x:c>
      <x:c r="E1112" s="0" t="s">
        <x:v>4277</x:v>
      </x:c>
      <x:c r="F1112" s="0" t="s">
        <x:v>45</x:v>
      </x:c>
      <x:c r="G1112" s="0" t="s">
        <x:v>19</x:v>
      </x:c>
      <x:c r="H1112" s="0" t="s">
        <x:v>20</x:v>
      </x:c>
      <x:c r="I1112" s="0" t="s">
        <x:v>21</x:v>
      </x:c>
      <x:c r="K1112" s="0">
        <x:f>hyperlink("https://icd.who.int/dev11/l-ichi/en#/http%3A%2F%2Fid.who.int%2Ficd%2Fentity%2F2010421145","browser")</x:f>
      </x:c>
      <x:c r="L1112" s="0">
        <x:f>hyperlink("https://icat2.azurewebsites.net/icat/?ontology=ICD&amp;tab=ClassesTab&amp;id=http%3A%2F%2Fwho.int%2Ficd%23656_512ebf36_bf6b_4d70_85da_cf2637062af4","iCat")</x:f>
      </x:c>
      <x:c r="M1112" s="0" t="s">
        <x:v>21</x:v>
      </x:c>
      <x:c r="N1112" s="0" t="s">
        <x:v>46</x:v>
      </x:c>
    </x:row>
    <x:row r="1113" spans="1:16">
      <x:c r="A1113" s="0" t="s">
        <x:v>4278</x:v>
      </x:c>
      <x:c r="B1113" s="0" t="s">
        <x:v>4279</x:v>
      </x:c>
      <x:c r="C1113" s="0" t="s">
        <x:v>4280</x:v>
      </x:c>
      <x:c r="E1113" s="0" t="s">
        <x:v>4281</x:v>
      </x:c>
      <x:c r="F1113" s="0" t="s">
        <x:v>45</x:v>
      </x:c>
      <x:c r="G1113" s="0" t="s">
        <x:v>19</x:v>
      </x:c>
      <x:c r="H1113" s="0" t="s">
        <x:v>20</x:v>
      </x:c>
      <x:c r="I1113" s="0" t="s">
        <x:v>21</x:v>
      </x:c>
      <x:c r="K1113" s="0">
        <x:f>hyperlink("https://icd.who.int/dev11/l-ichi/en#/http%3A%2F%2Fid.who.int%2Ficd%2Fentity%2F580608472","browser")</x:f>
      </x:c>
      <x:c r="L1113" s="0">
        <x:f>hyperlink("https://icat2.azurewebsites.net/icat/?ontology=ICD&amp;tab=ClassesTab&amp;id=http%3A%2F%2Fwho.int%2Ficd%23663_512ebf36_bf6b_4d70_85da_cf2637062af4","iCat")</x:f>
      </x:c>
      <x:c r="M1113" s="0" t="s">
        <x:v>21</x:v>
      </x:c>
      <x:c r="N1113" s="0" t="s">
        <x:v>46</x:v>
      </x:c>
    </x:row>
    <x:row r="1114" spans="1:16">
      <x:c r="A1114" s="0" t="s">
        <x:v>4282</x:v>
      </x:c>
      <x:c r="B1114" s="0" t="s">
        <x:v>4283</x:v>
      </x:c>
      <x:c r="C1114" s="0" t="s">
        <x:v>4284</x:v>
      </x:c>
      <x:c r="E1114" s="0" t="s">
        <x:v>4285</x:v>
      </x:c>
      <x:c r="F1114" s="0" t="s">
        <x:v>45</x:v>
      </x:c>
      <x:c r="G1114" s="0" t="s">
        <x:v>19</x:v>
      </x:c>
      <x:c r="H1114" s="0" t="s">
        <x:v>20</x:v>
      </x:c>
      <x:c r="I1114" s="0" t="s">
        <x:v>21</x:v>
      </x:c>
      <x:c r="K1114" s="0">
        <x:f>hyperlink("https://icd.who.int/dev11/l-ichi/en#/http%3A%2F%2Fid.who.int%2Ficd%2Fentity%2F232495992","browser")</x:f>
      </x:c>
      <x:c r="L1114" s="0">
        <x:f>hyperlink("https://icat2.azurewebsites.net/icat/?ontology=ICD&amp;tab=ClassesTab&amp;id=http%3A%2F%2Fwho.int%2Ficd%23670_512ebf36_bf6b_4d70_85da_cf2637062af4","iCat")</x:f>
      </x:c>
      <x:c r="M1114" s="0" t="s">
        <x:v>21</x:v>
      </x:c>
      <x:c r="N1114" s="0" t="s">
        <x:v>46</x:v>
      </x:c>
    </x:row>
    <x:row r="1115" spans="1:16">
      <x:c r="A1115" s="0" t="s">
        <x:v>4286</x:v>
      </x:c>
      <x:c r="B1115" s="0" t="s">
        <x:v>4287</x:v>
      </x:c>
      <x:c r="C1115" s="0" t="s">
        <x:v>4288</x:v>
      </x:c>
      <x:c r="E1115" s="0" t="s">
        <x:v>4289</x:v>
      </x:c>
      <x:c r="F1115" s="0" t="s">
        <x:v>45</x:v>
      </x:c>
      <x:c r="G1115" s="0" t="s">
        <x:v>19</x:v>
      </x:c>
      <x:c r="H1115" s="0" t="s">
        <x:v>20</x:v>
      </x:c>
      <x:c r="I1115" s="0" t="s">
        <x:v>21</x:v>
      </x:c>
      <x:c r="K1115" s="0">
        <x:f>hyperlink("https://icd.who.int/dev11/l-ichi/en#/http%3A%2F%2Fid.who.int%2Ficd%2Fentity%2F196179643","browser")</x:f>
      </x:c>
      <x:c r="L1115" s="0">
        <x:f>hyperlink("https://icat2.azurewebsites.net/icat/?ontology=ICD&amp;tab=ClassesTab&amp;id=http%3A%2F%2Fwho.int%2Ficd%2314504_4869915e_217e_423d_acb3_33c0f920ef4b","iCat")</x:f>
      </x:c>
      <x:c r="M1115" s="0" t="s">
        <x:v>21</x:v>
      </x:c>
      <x:c r="N1115" s="0" t="s">
        <x:v>46</x:v>
      </x:c>
    </x:row>
    <x:row r="1116" spans="1:16">
      <x:c r="A1116" s="0" t="s">
        <x:v>4290</x:v>
      </x:c>
      <x:c r="B1116" s="0" t="s">
        <x:v>4291</x:v>
      </x:c>
      <x:c r="C1116" s="0" t="s">
        <x:v>4292</x:v>
      </x:c>
      <x:c r="E1116" s="0" t="s">
        <x:v>4293</x:v>
      </x:c>
      <x:c r="F1116" s="0" t="s">
        <x:v>45</x:v>
      </x:c>
      <x:c r="G1116" s="0" t="s">
        <x:v>19</x:v>
      </x:c>
      <x:c r="H1116" s="0" t="s">
        <x:v>20</x:v>
      </x:c>
      <x:c r="I1116" s="0" t="s">
        <x:v>21</x:v>
      </x:c>
      <x:c r="K1116" s="0">
        <x:f>hyperlink("https://icd.who.int/dev11/l-ichi/en#/http%3A%2F%2Fid.who.int%2Ficd%2Fentity%2F2102997237","browser")</x:f>
      </x:c>
      <x:c r="L1116" s="0">
        <x:f>hyperlink("https://icat2.azurewebsites.net/icat/?ontology=ICD&amp;tab=ClassesTab&amp;id=http%3A%2F%2Fwho.int%2Ficd%23677_512ebf36_bf6b_4d70_85da_cf2637062af4","iCat")</x:f>
      </x:c>
      <x:c r="M1116" s="0" t="s">
        <x:v>21</x:v>
      </x:c>
      <x:c r="N1116" s="0" t="s">
        <x:v>46</x:v>
      </x:c>
    </x:row>
    <x:row r="1117" spans="1:16">
      <x:c r="A1117" s="0" t="s">
        <x:v>4294</x:v>
      </x:c>
      <x:c r="B1117" s="0" t="s">
        <x:v>4295</x:v>
      </x:c>
      <x:c r="C1117" s="0" t="s">
        <x:v>4296</x:v>
      </x:c>
      <x:c r="E1117" s="0" t="s">
        <x:v>4297</x:v>
      </x:c>
      <x:c r="F1117" s="0" t="s">
        <x:v>45</x:v>
      </x:c>
      <x:c r="G1117" s="0" t="s">
        <x:v>19</x:v>
      </x:c>
      <x:c r="H1117" s="0" t="s">
        <x:v>20</x:v>
      </x:c>
      <x:c r="I1117" s="0" t="s">
        <x:v>21</x:v>
      </x:c>
      <x:c r="K1117" s="0">
        <x:f>hyperlink("https://icd.who.int/dev11/l-ichi/en#/http%3A%2F%2Fid.who.int%2Ficd%2Fentity%2F1279578831","browser")</x:f>
      </x:c>
      <x:c r="L1117" s="0">
        <x:f>hyperlink("https://icat2.azurewebsites.net/icat/?ontology=ICD&amp;tab=ClassesTab&amp;id=http%3A%2F%2Fwho.int%2Ficd%23689_512ebf36_bf6b_4d70_85da_cf2637062af4","iCat")</x:f>
      </x:c>
      <x:c r="M1117" s="0" t="s">
        <x:v>21</x:v>
      </x:c>
      <x:c r="N1117" s="0" t="s">
        <x:v>46</x:v>
      </x:c>
    </x:row>
    <x:row r="1118" spans="1:16">
      <x:c r="A1118" s="0" t="s">
        <x:v>4298</x:v>
      </x:c>
      <x:c r="B1118" s="0" t="s">
        <x:v>4299</x:v>
      </x:c>
      <x:c r="C1118" s="0" t="s">
        <x:v>4300</x:v>
      </x:c>
      <x:c r="E1118" s="0" t="s">
        <x:v>4301</x:v>
      </x:c>
      <x:c r="F1118" s="0" t="s">
        <x:v>45</x:v>
      </x:c>
      <x:c r="G1118" s="0" t="s">
        <x:v>19</x:v>
      </x:c>
      <x:c r="H1118" s="0" t="s">
        <x:v>20</x:v>
      </x:c>
      <x:c r="I1118" s="0" t="s">
        <x:v>21</x:v>
      </x:c>
      <x:c r="K1118" s="0">
        <x:f>hyperlink("https://icd.who.int/dev11/l-ichi/en#/http%3A%2F%2Fid.who.int%2Ficd%2Fentity%2F1751858371","browser")</x:f>
      </x:c>
      <x:c r="L1118" s="0">
        <x:f>hyperlink("https://icat2.azurewebsites.net/icat/?ontology=ICD&amp;tab=ClassesTab&amp;id=http%3A%2F%2Fwho.int%2Ficd%23701_512ebf36_bf6b_4d70_85da_cf2637062af4","iCat")</x:f>
      </x:c>
      <x:c r="M1118" s="0" t="s">
        <x:v>21</x:v>
      </x:c>
      <x:c r="N1118" s="0" t="s">
        <x:v>46</x:v>
      </x:c>
    </x:row>
    <x:row r="1119" spans="1:16">
      <x:c r="A1119" s="0" t="s">
        <x:v>4302</x:v>
      </x:c>
      <x:c r="B1119" s="0" t="s">
        <x:v>4303</x:v>
      </x:c>
      <x:c r="C1119" s="0" t="s">
        <x:v>4304</x:v>
      </x:c>
      <x:c r="E1119" s="0" t="s">
        <x:v>4305</x:v>
      </x:c>
      <x:c r="F1119" s="0" t="s">
        <x:v>45</x:v>
      </x:c>
      <x:c r="G1119" s="0" t="s">
        <x:v>19</x:v>
      </x:c>
      <x:c r="H1119" s="0" t="s">
        <x:v>20</x:v>
      </x:c>
      <x:c r="I1119" s="0" t="s">
        <x:v>21</x:v>
      </x:c>
      <x:c r="K1119" s="0">
        <x:f>hyperlink("https://icd.who.int/dev11/l-ichi/en#/http%3A%2F%2Fid.who.int%2Ficd%2Fentity%2F101924780","browser")</x:f>
      </x:c>
      <x:c r="L1119" s="0">
        <x:f>hyperlink("https://icat2.azurewebsites.net/icat/?ontology=ICD&amp;tab=ClassesTab&amp;id=http%3A%2F%2Fwho.int%2Ficd%23708_512ebf36_bf6b_4d70_85da_cf2637062af4","iCat")</x:f>
      </x:c>
      <x:c r="M1119" s="0" t="s">
        <x:v>21</x:v>
      </x:c>
      <x:c r="N1119" s="0" t="s">
        <x:v>46</x:v>
      </x:c>
    </x:row>
    <x:row r="1120" spans="1:16">
      <x:c r="A1120" s="0" t="s">
        <x:v>4306</x:v>
      </x:c>
      <x:c r="B1120" s="0" t="s">
        <x:v>4307</x:v>
      </x:c>
      <x:c r="C1120" s="0" t="s">
        <x:v>4308</x:v>
      </x:c>
      <x:c r="E1120" s="0" t="s">
        <x:v>4309</x:v>
      </x:c>
      <x:c r="F1120" s="0" t="s">
        <x:v>45</x:v>
      </x:c>
      <x:c r="G1120" s="0" t="s">
        <x:v>19</x:v>
      </x:c>
      <x:c r="H1120" s="0" t="s">
        <x:v>20</x:v>
      </x:c>
      <x:c r="I1120" s="0" t="s">
        <x:v>21</x:v>
      </x:c>
      <x:c r="K1120" s="0">
        <x:f>hyperlink("https://icd.who.int/dev11/l-ichi/en#/http%3A%2F%2Fid.who.int%2Ficd%2Fentity%2F1389719589","browser")</x:f>
      </x:c>
      <x:c r="L1120" s="0">
        <x:f>hyperlink("https://icat2.azurewebsites.net/icat/?ontology=ICD&amp;tab=ClassesTab&amp;id=http%3A%2F%2Fwho.int%2Ficd%23717_512ebf36_bf6b_4d70_85da_cf2637062af4","iCat")</x:f>
      </x:c>
      <x:c r="M1120" s="0" t="s">
        <x:v>21</x:v>
      </x:c>
      <x:c r="N1120" s="0" t="s">
        <x:v>46</x:v>
      </x:c>
    </x:row>
    <x:row r="1121" spans="1:16">
      <x:c r="A1121" s="0" t="s">
        <x:v>4310</x:v>
      </x:c>
      <x:c r="B1121" s="0" t="s">
        <x:v>4311</x:v>
      </x:c>
      <x:c r="C1121" s="0" t="s">
        <x:v>4312</x:v>
      </x:c>
      <x:c r="E1121" s="0" t="s">
        <x:v>4313</x:v>
      </x:c>
      <x:c r="F1121" s="0" t="s">
        <x:v>45</x:v>
      </x:c>
      <x:c r="G1121" s="0" t="s">
        <x:v>19</x:v>
      </x:c>
      <x:c r="H1121" s="0" t="s">
        <x:v>20</x:v>
      </x:c>
      <x:c r="I1121" s="0" t="s">
        <x:v>21</x:v>
      </x:c>
      <x:c r="K1121" s="0">
        <x:f>hyperlink("https://icd.who.int/dev11/l-ichi/en#/http%3A%2F%2Fid.who.int%2Ficd%2Fentity%2F1302749441","browser")</x:f>
      </x:c>
      <x:c r="L1121" s="0">
        <x:f>hyperlink("https://icat2.azurewebsites.net/icat/?ontology=ICD&amp;tab=ClassesTab&amp;id=http%3A%2F%2Fwho.int%2Ficd%23733_512ebf36_bf6b_4d70_85da_cf2637062af4","iCat")</x:f>
      </x:c>
      <x:c r="M1121" s="0" t="s">
        <x:v>21</x:v>
      </x:c>
      <x:c r="N1121" s="0" t="s">
        <x:v>46</x:v>
      </x:c>
    </x:row>
    <x:row r="1122" spans="1:16">
      <x:c r="A1122" s="0" t="s">
        <x:v>4314</x:v>
      </x:c>
      <x:c r="B1122" s="0" t="s">
        <x:v>4315</x:v>
      </x:c>
      <x:c r="C1122" s="0" t="s">
        <x:v>4316</x:v>
      </x:c>
      <x:c r="E1122" s="0" t="s">
        <x:v>4317</x:v>
      </x:c>
      <x:c r="F1122" s="0" t="s">
        <x:v>45</x:v>
      </x:c>
      <x:c r="G1122" s="0" t="s">
        <x:v>19</x:v>
      </x:c>
      <x:c r="H1122" s="0" t="s">
        <x:v>20</x:v>
      </x:c>
      <x:c r="I1122" s="0" t="s">
        <x:v>21</x:v>
      </x:c>
      <x:c r="K1122" s="0">
        <x:f>hyperlink("https://icd.who.int/dev11/l-ichi/en#/http%3A%2F%2Fid.who.int%2Ficd%2Fentity%2F955325364","browser")</x:f>
      </x:c>
      <x:c r="L1122" s="0">
        <x:f>hyperlink("https://icat2.azurewebsites.net/icat/?ontology=ICD&amp;tab=ClassesTab&amp;id=http%3A%2F%2Fwho.int%2Ficd%232_fdfbe215_099f_43a9_be44_e4f78deaea50","iCat")</x:f>
      </x:c>
      <x:c r="M1122" s="0" t="s">
        <x:v>21</x:v>
      </x:c>
      <x:c r="N1122" s="0" t="s">
        <x:v>46</x:v>
      </x:c>
    </x:row>
    <x:row r="1123" spans="1:16">
      <x:c r="A1123" s="0" t="s">
        <x:v>4318</x:v>
      </x:c>
      <x:c r="B1123" s="0" t="s">
        <x:v>4319</x:v>
      </x:c>
      <x:c r="C1123" s="0" t="s">
        <x:v>4320</x:v>
      </x:c>
      <x:c r="E1123" s="0" t="s">
        <x:v>4321</x:v>
      </x:c>
      <x:c r="F1123" s="0" t="s">
        <x:v>45</x:v>
      </x:c>
      <x:c r="G1123" s="0" t="s">
        <x:v>19</x:v>
      </x:c>
      <x:c r="H1123" s="0" t="s">
        <x:v>20</x:v>
      </x:c>
      <x:c r="I1123" s="0" t="s">
        <x:v>21</x:v>
      </x:c>
      <x:c r="K1123" s="0">
        <x:f>hyperlink("https://icd.who.int/dev11/l-ichi/en#/http%3A%2F%2Fid.who.int%2Ficd%2Fentity%2F1754186835","browser")</x:f>
      </x:c>
      <x:c r="L1123" s="0">
        <x:f>hyperlink("https://icat2.azurewebsites.net/icat/?ontology=ICD&amp;tab=ClassesTab&amp;id=http%3A%2F%2Fwho.int%2Ficd%23746_512ebf36_bf6b_4d70_85da_cf2637062af4","iCat")</x:f>
      </x:c>
      <x:c r="M1123" s="0" t="s">
        <x:v>21</x:v>
      </x:c>
      <x:c r="N1123" s="0" t="s">
        <x:v>46</x:v>
      </x:c>
    </x:row>
    <x:row r="1124" spans="1:16">
      <x:c r="A1124" s="0" t="s">
        <x:v>4322</x:v>
      </x:c>
      <x:c r="B1124" s="0" t="s">
        <x:v>4323</x:v>
      </x:c>
      <x:c r="C1124" s="0" t="s">
        <x:v>4324</x:v>
      </x:c>
      <x:c r="E1124" s="0" t="s">
        <x:v>4325</x:v>
      </x:c>
      <x:c r="F1124" s="0" t="s">
        <x:v>45</x:v>
      </x:c>
      <x:c r="G1124" s="0" t="s">
        <x:v>19</x:v>
      </x:c>
      <x:c r="H1124" s="0" t="s">
        <x:v>20</x:v>
      </x:c>
      <x:c r="I1124" s="0" t="s">
        <x:v>21</x:v>
      </x:c>
      <x:c r="K1124" s="0">
        <x:f>hyperlink("https://icd.who.int/dev11/l-ichi/en#/http%3A%2F%2Fid.who.int%2Ficd%2Fentity%2F397797196","browser")</x:f>
      </x:c>
      <x:c r="L1124" s="0">
        <x:f>hyperlink("https://icat2.azurewebsites.net/icat/?ontology=ICD&amp;tab=ClassesTab&amp;id=http%3A%2F%2Fwho.int%2Ficd%23753_512ebf36_bf6b_4d70_85da_cf2637062af4","iCat")</x:f>
      </x:c>
      <x:c r="M1124" s="0" t="s">
        <x:v>21</x:v>
      </x:c>
      <x:c r="N1124" s="0" t="s">
        <x:v>46</x:v>
      </x:c>
    </x:row>
    <x:row r="1125" spans="1:16">
      <x:c r="A1125" s="0" t="s">
        <x:v>4326</x:v>
      </x:c>
      <x:c r="B1125" s="0" t="s">
        <x:v>4327</x:v>
      </x:c>
      <x:c r="C1125" s="0" t="s">
        <x:v>4328</x:v>
      </x:c>
      <x:c r="E1125" s="0" t="s">
        <x:v>4329</x:v>
      </x:c>
      <x:c r="F1125" s="0" t="s">
        <x:v>45</x:v>
      </x:c>
      <x:c r="G1125" s="0" t="s">
        <x:v>19</x:v>
      </x:c>
      <x:c r="H1125" s="0" t="s">
        <x:v>20</x:v>
      </x:c>
      <x:c r="I1125" s="0" t="s">
        <x:v>21</x:v>
      </x:c>
      <x:c r="K1125" s="0">
        <x:f>hyperlink("https://icd.who.int/dev11/l-ichi/en#/http%3A%2F%2Fid.who.int%2Ficd%2Fentity%2F125796090","browser")</x:f>
      </x:c>
      <x:c r="L1125" s="0">
        <x:f>hyperlink("https://icat2.azurewebsites.net/icat/?ontology=ICD&amp;tab=ClassesTab&amp;id=http%3A%2F%2Fwho.int%2Ficd%23765_512ebf36_bf6b_4d70_85da_cf2637062af4","iCat")</x:f>
      </x:c>
      <x:c r="M1125" s="0" t="s">
        <x:v>21</x:v>
      </x:c>
      <x:c r="N1125" s="0" t="s">
        <x:v>46</x:v>
      </x:c>
    </x:row>
    <x:row r="1126" spans="1:16">
      <x:c r="A1126" s="0" t="s">
        <x:v>4330</x:v>
      </x:c>
      <x:c r="B1126" s="0" t="s">
        <x:v>4331</x:v>
      </x:c>
      <x:c r="C1126" s="0" t="s">
        <x:v>4332</x:v>
      </x:c>
      <x:c r="E1126" s="0" t="s">
        <x:v>4333</x:v>
      </x:c>
      <x:c r="F1126" s="0" t="s">
        <x:v>45</x:v>
      </x:c>
      <x:c r="G1126" s="0" t="s">
        <x:v>19</x:v>
      </x:c>
      <x:c r="H1126" s="0" t="s">
        <x:v>20</x:v>
      </x:c>
      <x:c r="I1126" s="0" t="s">
        <x:v>21</x:v>
      </x:c>
      <x:c r="K1126" s="0">
        <x:f>hyperlink("https://icd.who.int/dev11/l-ichi/en#/http%3A%2F%2Fid.who.int%2Ficd%2Fentity%2F147256936","browser")</x:f>
      </x:c>
      <x:c r="L1126" s="0">
        <x:f>hyperlink("https://icat2.azurewebsites.net/icat/?ontology=ICD&amp;tab=ClassesTab&amp;id=http%3A%2F%2Fwho.int%2Ficd%23777_512ebf36_bf6b_4d70_85da_cf2637062af4","iCat")</x:f>
      </x:c>
      <x:c r="M1126" s="0" t="s">
        <x:v>21</x:v>
      </x:c>
      <x:c r="N1126" s="0" t="s">
        <x:v>46</x:v>
      </x:c>
    </x:row>
    <x:row r="1127" spans="1:16">
      <x:c r="A1127" s="0" t="s">
        <x:v>4334</x:v>
      </x:c>
      <x:c r="B1127" s="0" t="s">
        <x:v>4335</x:v>
      </x:c>
      <x:c r="C1127" s="0" t="s">
        <x:v>4336</x:v>
      </x:c>
      <x:c r="E1127" s="0" t="s">
        <x:v>4337</x:v>
      </x:c>
      <x:c r="F1127" s="0" t="s">
        <x:v>45</x:v>
      </x:c>
      <x:c r="G1127" s="0" t="s">
        <x:v>19</x:v>
      </x:c>
      <x:c r="H1127" s="0" t="s">
        <x:v>20</x:v>
      </x:c>
      <x:c r="I1127" s="0" t="s">
        <x:v>21</x:v>
      </x:c>
      <x:c r="K1127" s="0">
        <x:f>hyperlink("https://icd.who.int/dev11/l-ichi/en#/http%3A%2F%2Fid.who.int%2Ficd%2Fentity%2F131649164","browser")</x:f>
      </x:c>
      <x:c r="L1127" s="0">
        <x:f>hyperlink("https://icat2.azurewebsites.net/icat/?ontology=ICD&amp;tab=ClassesTab&amp;id=http%3A%2F%2Fwho.int%2Ficd%23786_512ebf36_bf6b_4d70_85da_cf2637062af4","iCat")</x:f>
      </x:c>
      <x:c r="M1127" s="0" t="s">
        <x:v>21</x:v>
      </x:c>
      <x:c r="N1127" s="0" t="s">
        <x:v>46</x:v>
      </x:c>
    </x:row>
    <x:row r="1128" spans="1:16">
      <x:c r="A1128" s="0" t="s">
        <x:v>4338</x:v>
      </x:c>
      <x:c r="B1128" s="0" t="s">
        <x:v>4339</x:v>
      </x:c>
      <x:c r="C1128" s="0" t="s">
        <x:v>4340</x:v>
      </x:c>
      <x:c r="E1128" s="0" t="s">
        <x:v>4341</x:v>
      </x:c>
      <x:c r="F1128" s="0" t="s">
        <x:v>45</x:v>
      </x:c>
      <x:c r="G1128" s="0" t="s">
        <x:v>19</x:v>
      </x:c>
      <x:c r="H1128" s="0" t="s">
        <x:v>20</x:v>
      </x:c>
      <x:c r="I1128" s="0" t="s">
        <x:v>21</x:v>
      </x:c>
      <x:c r="K1128" s="0">
        <x:f>hyperlink("https://icd.who.int/dev11/l-ichi/en#/http%3A%2F%2Fid.who.int%2Ficd%2Fentity%2F1306798561","browser")</x:f>
      </x:c>
      <x:c r="L1128" s="0">
        <x:f>hyperlink("https://icat2.azurewebsites.net/icat/?ontology=ICD&amp;tab=ClassesTab&amp;id=http%3A%2F%2Fwho.int%2Ficd%23797_512ebf36_bf6b_4d70_85da_cf2637062af4","iCat")</x:f>
      </x:c>
      <x:c r="M1128" s="0" t="s">
        <x:v>21</x:v>
      </x:c>
      <x:c r="N1128" s="0" t="s">
        <x:v>46</x:v>
      </x:c>
    </x:row>
    <x:row r="1129" spans="1:16">
      <x:c r="A1129" s="0" t="s">
        <x:v>4342</x:v>
      </x:c>
      <x:c r="B1129" s="0" t="s">
        <x:v>4343</x:v>
      </x:c>
      <x:c r="C1129" s="0" t="s">
        <x:v>4344</x:v>
      </x:c>
      <x:c r="E1129" s="0" t="s">
        <x:v>4345</x:v>
      </x:c>
      <x:c r="F1129" s="0" t="s">
        <x:v>45</x:v>
      </x:c>
      <x:c r="G1129" s="0" t="s">
        <x:v>19</x:v>
      </x:c>
      <x:c r="H1129" s="0" t="s">
        <x:v>20</x:v>
      </x:c>
      <x:c r="I1129" s="0" t="s">
        <x:v>21</x:v>
      </x:c>
      <x:c r="K1129" s="0">
        <x:f>hyperlink("https://icd.who.int/dev11/l-ichi/en#/http%3A%2F%2Fid.who.int%2Ficd%2Fentity%2F1885253548","browser")</x:f>
      </x:c>
      <x:c r="L1129" s="0">
        <x:f>hyperlink("https://icat2.azurewebsites.net/icat/?ontology=ICD&amp;tab=ClassesTab&amp;id=http%3A%2F%2Fwho.int%2Ficd%23808_512ebf36_bf6b_4d70_85da_cf2637062af4","iCat")</x:f>
      </x:c>
      <x:c r="M1129" s="0" t="s">
        <x:v>21</x:v>
      </x:c>
      <x:c r="N1129" s="0" t="s">
        <x:v>46</x:v>
      </x:c>
    </x:row>
    <x:row r="1130" spans="1:16">
      <x:c r="A1130" s="0" t="s">
        <x:v>4346</x:v>
      </x:c>
      <x:c r="B1130" s="0" t="s">
        <x:v>4347</x:v>
      </x:c>
      <x:c r="C1130" s="0" t="s">
        <x:v>4348</x:v>
      </x:c>
      <x:c r="E1130" s="0" t="s">
        <x:v>4349</x:v>
      </x:c>
      <x:c r="F1130" s="0" t="s">
        <x:v>45</x:v>
      </x:c>
      <x:c r="G1130" s="0" t="s">
        <x:v>19</x:v>
      </x:c>
      <x:c r="H1130" s="0" t="s">
        <x:v>20</x:v>
      </x:c>
      <x:c r="I1130" s="0" t="s">
        <x:v>21</x:v>
      </x:c>
      <x:c r="K1130" s="0">
        <x:f>hyperlink("https://icd.who.int/dev11/l-ichi/en#/http%3A%2F%2Fid.who.int%2Ficd%2Fentity%2F446380795","browser")</x:f>
      </x:c>
      <x:c r="L1130" s="0">
        <x:f>hyperlink("https://icat2.azurewebsites.net/icat/?ontology=ICD&amp;tab=ClassesTab&amp;id=http%3A%2F%2Fwho.int%2Ficd%23818_512ebf36_bf6b_4d70_85da_cf2637062af4","iCat")</x:f>
      </x:c>
      <x:c r="M1130" s="0" t="s">
        <x:v>21</x:v>
      </x:c>
      <x:c r="N1130" s="0" t="s">
        <x:v>46</x:v>
      </x:c>
    </x:row>
    <x:row r="1131" spans="1:16">
      <x:c r="A1131" s="0" t="s">
        <x:v>4350</x:v>
      </x:c>
      <x:c r="B1131" s="0" t="s">
        <x:v>4351</x:v>
      </x:c>
      <x:c r="C1131" s="0" t="s">
        <x:v>4352</x:v>
      </x:c>
      <x:c r="E1131" s="0" t="s">
        <x:v>4353</x:v>
      </x:c>
      <x:c r="F1131" s="0" t="s">
        <x:v>45</x:v>
      </x:c>
      <x:c r="G1131" s="0" t="s">
        <x:v>19</x:v>
      </x:c>
      <x:c r="H1131" s="0" t="s">
        <x:v>20</x:v>
      </x:c>
      <x:c r="I1131" s="0" t="s">
        <x:v>21</x:v>
      </x:c>
      <x:c r="K1131" s="0">
        <x:f>hyperlink("https://icd.who.int/dev11/l-ichi/en#/http%3A%2F%2Fid.who.int%2Ficd%2Fentity%2F564973533","browser")</x:f>
      </x:c>
      <x:c r="L1131" s="0">
        <x:f>hyperlink("https://icat2.azurewebsites.net/icat/?ontology=ICD&amp;tab=ClassesTab&amp;id=http%3A%2F%2Fwho.int%2Ficd%23824_512ebf36_bf6b_4d70_85da_cf2637062af4","iCat")</x:f>
      </x:c>
      <x:c r="M1131" s="0" t="s">
        <x:v>21</x:v>
      </x:c>
      <x:c r="N1131" s="0" t="s">
        <x:v>46</x:v>
      </x:c>
    </x:row>
    <x:row r="1132" spans="1:16">
      <x:c r="A1132" s="0" t="s">
        <x:v>4354</x:v>
      </x:c>
      <x:c r="B1132" s="0" t="s">
        <x:v>4355</x:v>
      </x:c>
      <x:c r="C1132" s="0" t="s">
        <x:v>4356</x:v>
      </x:c>
      <x:c r="E1132" s="0" t="s">
        <x:v>4357</x:v>
      </x:c>
      <x:c r="F1132" s="0" t="s">
        <x:v>45</x:v>
      </x:c>
      <x:c r="G1132" s="0" t="s">
        <x:v>19</x:v>
      </x:c>
      <x:c r="H1132" s="0" t="s">
        <x:v>20</x:v>
      </x:c>
      <x:c r="I1132" s="0" t="s">
        <x:v>21</x:v>
      </x:c>
      <x:c r="K1132" s="0">
        <x:f>hyperlink("https://icd.who.int/dev11/l-ichi/en#/http%3A%2F%2Fid.who.int%2Ficd%2Fentity%2F2121178880","browser")</x:f>
      </x:c>
      <x:c r="L1132" s="0">
        <x:f>hyperlink("https://icat2.azurewebsites.net/icat/?ontology=ICD&amp;tab=ClassesTab&amp;id=http%3A%2F%2Fwho.int%2Ficd%23830_512ebf36_bf6b_4d70_85da_cf2637062af4","iCat")</x:f>
      </x:c>
      <x:c r="M1132" s="0" t="s">
        <x:v>21</x:v>
      </x:c>
      <x:c r="N1132" s="0" t="s">
        <x:v>46</x:v>
      </x:c>
    </x:row>
    <x:row r="1133" spans="1:16">
      <x:c r="A1133" s="0" t="s">
        <x:v>4358</x:v>
      </x:c>
      <x:c r="B1133" s="0" t="s">
        <x:v>4359</x:v>
      </x:c>
      <x:c r="C1133" s="0" t="s">
        <x:v>4360</x:v>
      </x:c>
      <x:c r="E1133" s="0" t="s">
        <x:v>4361</x:v>
      </x:c>
      <x:c r="F1133" s="0" t="s">
        <x:v>45</x:v>
      </x:c>
      <x:c r="G1133" s="0" t="s">
        <x:v>19</x:v>
      </x:c>
      <x:c r="H1133" s="0" t="s">
        <x:v>20</x:v>
      </x:c>
      <x:c r="I1133" s="0" t="s">
        <x:v>21</x:v>
      </x:c>
      <x:c r="K1133" s="0">
        <x:f>hyperlink("https://icd.who.int/dev11/l-ichi/en#/http%3A%2F%2Fid.who.int%2Ficd%2Fentity%2F250361203","browser")</x:f>
      </x:c>
      <x:c r="L1133" s="0">
        <x:f>hyperlink("https://icat2.azurewebsites.net/icat/?ontology=ICD&amp;tab=ClassesTab&amp;id=http%3A%2F%2Fwho.int%2Ficd%23837_512ebf36_bf6b_4d70_85da_cf2637062af4","iCat")</x:f>
      </x:c>
      <x:c r="M1133" s="0" t="s">
        <x:v>21</x:v>
      </x:c>
      <x:c r="N1133" s="0" t="s">
        <x:v>46</x:v>
      </x:c>
    </x:row>
    <x:row r="1134" spans="1:16">
      <x:c r="A1134" s="0" t="s">
        <x:v>4362</x:v>
      </x:c>
      <x:c r="B1134" s="0" t="s">
        <x:v>4363</x:v>
      </x:c>
      <x:c r="D1134" s="0" t="s">
        <x:v>4364</x:v>
      </x:c>
      <x:c r="E1134" s="0" t="s">
        <x:v>4365</x:v>
      </x:c>
      <x:c r="F1134" s="0" t="s">
        <x:v>26</x:v>
      </x:c>
      <x:c r="G1134" s="0" t="s">
        <x:v>22</x:v>
      </x:c>
      <x:c r="H1134" s="0" t="s">
        <x:v>20</x:v>
      </x:c>
      <x:c r="I1134" s="0" t="s">
        <x:v>21</x:v>
      </x:c>
      <x:c r="K1134" s="0">
        <x:f>hyperlink("https://icd.who.int/dev11/l-ichi/en#/http%3A%2F%2Fid.who.int%2Ficd%2Fentity%2F1531329452","browser")</x:f>
      </x:c>
      <x:c r="L1134" s="0">
        <x:f>hyperlink("https://icat2.azurewebsites.net/icat/?ontology=ICD&amp;tab=ClassesTab&amp;id=http%3A%2F%2Fwho.int%2Ficd%23845_512ebf36_bf6b_4d70_85da_cf2637062af4","iCat")</x:f>
      </x:c>
      <x:c r="M1134" s="0" t="s">
        <x:v>20</x:v>
      </x:c>
      <x:c r="N1134" s="0" t="s">
        <x:v>4366</x:v>
      </x:c>
    </x:row>
    <x:row r="1135" spans="1:16">
      <x:c r="A1135" s="0" t="s">
        <x:v>4367</x:v>
      </x:c>
      <x:c r="B1135" s="0" t="s">
        <x:v>4368</x:v>
      </x:c>
      <x:c r="C1135" s="0" t="s">
        <x:v>4369</x:v>
      </x:c>
      <x:c r="E1135" s="0" t="s">
        <x:v>4370</x:v>
      </x:c>
      <x:c r="F1135" s="0" t="s">
        <x:v>45</x:v>
      </x:c>
      <x:c r="G1135" s="0" t="s">
        <x:v>19</x:v>
      </x:c>
      <x:c r="H1135" s="0" t="s">
        <x:v>20</x:v>
      </x:c>
      <x:c r="I1135" s="0" t="s">
        <x:v>21</x:v>
      </x:c>
      <x:c r="K1135" s="0">
        <x:f>hyperlink("https://icd.who.int/dev11/l-ichi/en#/http%3A%2F%2Fid.who.int%2Ficd%2Fentity%2F2076133778","browser")</x:f>
      </x:c>
      <x:c r="L1135" s="0">
        <x:f>hyperlink("https://icat2.azurewebsites.net/icat/?ontology=ICD&amp;tab=ClassesTab&amp;id=http%3A%2F%2Fwho.int%2Ficd%23844_512ebf36_bf6b_4d70_85da_cf2637062af4","iCat")</x:f>
      </x:c>
      <x:c r="M1135" s="0" t="s">
        <x:v>21</x:v>
      </x:c>
      <x:c r="N1135" s="0" t="s">
        <x:v>46</x:v>
      </x:c>
    </x:row>
    <x:row r="1136" spans="1:16">
      <x:c r="A1136" s="0" t="s">
        <x:v>4371</x:v>
      </x:c>
      <x:c r="B1136" s="0" t="s">
        <x:v>4372</x:v>
      </x:c>
      <x:c r="C1136" s="0" t="s">
        <x:v>4373</x:v>
      </x:c>
      <x:c r="E1136" s="0" t="s">
        <x:v>4374</x:v>
      </x:c>
      <x:c r="F1136" s="0" t="s">
        <x:v>45</x:v>
      </x:c>
      <x:c r="G1136" s="0" t="s">
        <x:v>19</x:v>
      </x:c>
      <x:c r="H1136" s="0" t="s">
        <x:v>20</x:v>
      </x:c>
      <x:c r="I1136" s="0" t="s">
        <x:v>21</x:v>
      </x:c>
      <x:c r="K1136" s="0">
        <x:f>hyperlink("https://icd.who.int/dev11/l-ichi/en#/http%3A%2F%2Fid.who.int%2Ficd%2Fentity%2F1935531037","browser")</x:f>
      </x:c>
      <x:c r="L1136" s="0">
        <x:f>hyperlink("https://icat2.azurewebsites.net/icat/?ontology=ICD&amp;tab=ClassesTab&amp;id=http%3A%2F%2Fwho.int%2Ficd%23296_145da35b_2606_49b1_9645_9e3aeecd5c47","iCat")</x:f>
      </x:c>
      <x:c r="M1136" s="0" t="s">
        <x:v>21</x:v>
      </x:c>
      <x:c r="N1136" s="0" t="s">
        <x:v>46</x:v>
      </x:c>
    </x:row>
    <x:row r="1137" spans="1:16">
      <x:c r="A1137" s="0" t="s">
        <x:v>4375</x:v>
      </x:c>
      <x:c r="B1137" s="0" t="s">
        <x:v>4376</x:v>
      </x:c>
      <x:c r="C1137" s="0" t="s">
        <x:v>4377</x:v>
      </x:c>
      <x:c r="E1137" s="0" t="s">
        <x:v>4378</x:v>
      </x:c>
      <x:c r="F1137" s="0" t="s">
        <x:v>45</x:v>
      </x:c>
      <x:c r="G1137" s="0" t="s">
        <x:v>19</x:v>
      </x:c>
      <x:c r="H1137" s="0" t="s">
        <x:v>20</x:v>
      </x:c>
      <x:c r="I1137" s="0" t="s">
        <x:v>21</x:v>
      </x:c>
      <x:c r="K1137" s="0">
        <x:f>hyperlink("https://icd.who.int/dev11/l-ichi/en#/http%3A%2F%2Fid.who.int%2Ficd%2Fentity%2F1946599684","browser")</x:f>
      </x:c>
      <x:c r="L1137" s="0">
        <x:f>hyperlink("https://icat2.azurewebsites.net/icat/?ontology=ICD&amp;tab=ClassesTab&amp;id=http%3A%2F%2Fwho.int%2Ficd%23856_512ebf36_bf6b_4d70_85da_cf2637062af4","iCat")</x:f>
      </x:c>
      <x:c r="M1137" s="0" t="s">
        <x:v>21</x:v>
      </x:c>
      <x:c r="N1137" s="0" t="s">
        <x:v>46</x:v>
      </x:c>
    </x:row>
    <x:row r="1138" spans="1:16">
      <x:c r="A1138" s="0" t="s">
        <x:v>4379</x:v>
      </x:c>
      <x:c r="B1138" s="0" t="s">
        <x:v>4380</x:v>
      </x:c>
      <x:c r="C1138" s="0" t="s">
        <x:v>4381</x:v>
      </x:c>
      <x:c r="E1138" s="0" t="s">
        <x:v>4382</x:v>
      </x:c>
      <x:c r="F1138" s="0" t="s">
        <x:v>45</x:v>
      </x:c>
      <x:c r="G1138" s="0" t="s">
        <x:v>19</x:v>
      </x:c>
      <x:c r="H1138" s="0" t="s">
        <x:v>20</x:v>
      </x:c>
      <x:c r="I1138" s="0" t="s">
        <x:v>21</x:v>
      </x:c>
      <x:c r="K1138" s="0">
        <x:f>hyperlink("https://icd.who.int/dev11/l-ichi/en#/http%3A%2F%2Fid.who.int%2Ficd%2Fentity%2F558446413","browser")</x:f>
      </x:c>
      <x:c r="L1138" s="0">
        <x:f>hyperlink("https://icat2.azurewebsites.net/icat/?ontology=ICD&amp;tab=ClassesTab&amp;id=http%3A%2F%2Fwho.int%2Ficd%23863_512ebf36_bf6b_4d70_85da_cf2637062af4","iCat")</x:f>
      </x:c>
      <x:c r="M1138" s="0" t="s">
        <x:v>21</x:v>
      </x:c>
      <x:c r="N1138" s="0" t="s">
        <x:v>46</x:v>
      </x:c>
    </x:row>
    <x:row r="1139" spans="1:16">
      <x:c r="A1139" s="0" t="s">
        <x:v>4383</x:v>
      </x:c>
      <x:c r="B1139" s="0" t="s">
        <x:v>4384</x:v>
      </x:c>
      <x:c r="C1139" s="0" t="s">
        <x:v>4385</x:v>
      </x:c>
      <x:c r="E1139" s="0" t="s">
        <x:v>4386</x:v>
      </x:c>
      <x:c r="F1139" s="0" t="s">
        <x:v>45</x:v>
      </x:c>
      <x:c r="G1139" s="0" t="s">
        <x:v>19</x:v>
      </x:c>
      <x:c r="H1139" s="0" t="s">
        <x:v>20</x:v>
      </x:c>
      <x:c r="I1139" s="0" t="s">
        <x:v>21</x:v>
      </x:c>
      <x:c r="K1139" s="0">
        <x:f>hyperlink("https://icd.who.int/dev11/l-ichi/en#/http%3A%2F%2Fid.who.int%2Ficd%2Fentity%2F235523555","browser")</x:f>
      </x:c>
      <x:c r="L1139" s="0">
        <x:f>hyperlink("https://icat2.azurewebsites.net/icat/?ontology=ICD&amp;tab=ClassesTab&amp;id=http%3A%2F%2Fwho.int%2Ficd%23870_512ebf36_bf6b_4d70_85da_cf2637062af4","iCat")</x:f>
      </x:c>
      <x:c r="M1139" s="0" t="s">
        <x:v>21</x:v>
      </x:c>
      <x:c r="N1139" s="0" t="s">
        <x:v>46</x:v>
      </x:c>
    </x:row>
    <x:row r="1140" spans="1:16">
      <x:c r="A1140" s="0" t="s">
        <x:v>4387</x:v>
      </x:c>
      <x:c r="B1140" s="0" t="s">
        <x:v>4388</x:v>
      </x:c>
      <x:c r="C1140" s="0" t="s">
        <x:v>4389</x:v>
      </x:c>
      <x:c r="E1140" s="0" t="s">
        <x:v>4390</x:v>
      </x:c>
      <x:c r="F1140" s="0" t="s">
        <x:v>45</x:v>
      </x:c>
      <x:c r="G1140" s="0" t="s">
        <x:v>19</x:v>
      </x:c>
      <x:c r="H1140" s="0" t="s">
        <x:v>20</x:v>
      </x:c>
      <x:c r="I1140" s="0" t="s">
        <x:v>21</x:v>
      </x:c>
      <x:c r="K1140" s="0">
        <x:f>hyperlink("https://icd.who.int/dev11/l-ichi/en#/http%3A%2F%2Fid.who.int%2Ficd%2Fentity%2F1584534610","browser")</x:f>
      </x:c>
      <x:c r="L1140" s="0">
        <x:f>hyperlink("https://icat2.azurewebsites.net/icat/?ontology=ICD&amp;tab=ClassesTab&amp;id=http%3A%2F%2Fwho.int%2Ficd%23876_512ebf36_bf6b_4d70_85da_cf2637062af4","iCat")</x:f>
      </x:c>
      <x:c r="M1140" s="0" t="s">
        <x:v>21</x:v>
      </x:c>
      <x:c r="N1140" s="0" t="s">
        <x:v>46</x:v>
      </x:c>
    </x:row>
    <x:row r="1141" spans="1:16">
      <x:c r="A1141" s="0" t="s">
        <x:v>4391</x:v>
      </x:c>
      <x:c r="B1141" s="0" t="s">
        <x:v>4392</x:v>
      </x:c>
      <x:c r="C1141" s="0" t="s">
        <x:v>4393</x:v>
      </x:c>
      <x:c r="E1141" s="0" t="s">
        <x:v>4394</x:v>
      </x:c>
      <x:c r="F1141" s="0" t="s">
        <x:v>45</x:v>
      </x:c>
      <x:c r="G1141" s="0" t="s">
        <x:v>19</x:v>
      </x:c>
      <x:c r="H1141" s="0" t="s">
        <x:v>20</x:v>
      </x:c>
      <x:c r="I1141" s="0" t="s">
        <x:v>21</x:v>
      </x:c>
      <x:c r="K1141" s="0">
        <x:f>hyperlink("https://icd.who.int/dev11/l-ichi/en#/http%3A%2F%2Fid.who.int%2Ficd%2Fentity%2F1150458618","browser")</x:f>
      </x:c>
      <x:c r="L1141" s="0">
        <x:f>hyperlink("https://icat2.azurewebsites.net/icat/?ontology=ICD&amp;tab=ClassesTab&amp;id=http%3A%2F%2Fwho.int%2Ficd%23882_512ebf36_bf6b_4d70_85da_cf2637062af4","iCat")</x:f>
      </x:c>
      <x:c r="M1141" s="0" t="s">
        <x:v>21</x:v>
      </x:c>
      <x:c r="N1141" s="0" t="s">
        <x:v>46</x:v>
      </x:c>
    </x:row>
    <x:row r="1142" spans="1:16">
      <x:c r="A1142" s="0" t="s">
        <x:v>4395</x:v>
      </x:c>
      <x:c r="B1142" s="0" t="s">
        <x:v>4396</x:v>
      </x:c>
      <x:c r="C1142" s="0" t="s">
        <x:v>4397</x:v>
      </x:c>
      <x:c r="E1142" s="0" t="s">
        <x:v>4398</x:v>
      </x:c>
      <x:c r="F1142" s="0" t="s">
        <x:v>45</x:v>
      </x:c>
      <x:c r="G1142" s="0" t="s">
        <x:v>19</x:v>
      </x:c>
      <x:c r="H1142" s="0" t="s">
        <x:v>20</x:v>
      </x:c>
      <x:c r="I1142" s="0" t="s">
        <x:v>21</x:v>
      </x:c>
      <x:c r="K1142" s="0">
        <x:f>hyperlink("https://icd.who.int/dev11/l-ichi/en#/http%3A%2F%2Fid.who.int%2Ficd%2Fentity%2F1869608554","browser")</x:f>
      </x:c>
      <x:c r="L1142" s="0">
        <x:f>hyperlink("https://icat2.azurewebsites.net/icat/?ontology=ICD&amp;tab=ClassesTab&amp;id=http%3A%2F%2Fwho.int%2Ficd%23888_512ebf36_bf6b_4d70_85da_cf2637062af4","iCat")</x:f>
      </x:c>
      <x:c r="M1142" s="0" t="s">
        <x:v>21</x:v>
      </x:c>
      <x:c r="N1142" s="0" t="s">
        <x:v>46</x:v>
      </x:c>
    </x:row>
    <x:row r="1143" spans="1:16">
      <x:c r="A1143" s="0" t="s">
        <x:v>4399</x:v>
      </x:c>
      <x:c r="B1143" s="0" t="s">
        <x:v>4400</x:v>
      </x:c>
      <x:c r="C1143" s="0" t="s">
        <x:v>4401</x:v>
      </x:c>
      <x:c r="E1143" s="0" t="s">
        <x:v>4402</x:v>
      </x:c>
      <x:c r="F1143" s="0" t="s">
        <x:v>45</x:v>
      </x:c>
      <x:c r="G1143" s="0" t="s">
        <x:v>19</x:v>
      </x:c>
      <x:c r="H1143" s="0" t="s">
        <x:v>20</x:v>
      </x:c>
      <x:c r="I1143" s="0" t="s">
        <x:v>21</x:v>
      </x:c>
      <x:c r="K1143" s="0">
        <x:f>hyperlink("https://icd.who.int/dev11/l-ichi/en#/http%3A%2F%2Fid.who.int%2Ficd%2Fentity%2F1591059492","browser")</x:f>
      </x:c>
      <x:c r="L1143" s="0">
        <x:f>hyperlink("https://icat2.azurewebsites.net/icat/?ontology=ICD&amp;tab=ClassesTab&amp;id=http%3A%2F%2Fwho.int%2Ficd%23895_512ebf36_bf6b_4d70_85da_cf2637062af4","iCat")</x:f>
      </x:c>
      <x:c r="M1143" s="0" t="s">
        <x:v>21</x:v>
      </x:c>
      <x:c r="N1143" s="0" t="s">
        <x:v>46</x:v>
      </x:c>
    </x:row>
    <x:row r="1144" spans="1:16">
      <x:c r="A1144" s="0" t="s">
        <x:v>4403</x:v>
      </x:c>
      <x:c r="B1144" s="0" t="s">
        <x:v>4404</x:v>
      </x:c>
      <x:c r="C1144" s="0" t="s">
        <x:v>4405</x:v>
      </x:c>
      <x:c r="E1144" s="0" t="s">
        <x:v>4406</x:v>
      </x:c>
      <x:c r="F1144" s="0" t="s">
        <x:v>45</x:v>
      </x:c>
      <x:c r="G1144" s="0" t="s">
        <x:v>19</x:v>
      </x:c>
      <x:c r="H1144" s="0" t="s">
        <x:v>20</x:v>
      </x:c>
      <x:c r="I1144" s="0" t="s">
        <x:v>21</x:v>
      </x:c>
      <x:c r="K1144" s="0">
        <x:f>hyperlink("https://icd.who.int/dev11/l-ichi/en#/http%3A%2F%2Fid.who.int%2Ficd%2Fentity%2F2118638610","browser")</x:f>
      </x:c>
      <x:c r="L1144" s="0">
        <x:f>hyperlink("https://icat2.azurewebsites.net/icat/?ontology=ICD&amp;tab=ClassesTab&amp;id=http%3A%2F%2Fwho.int%2Ficd%23904_512ebf36_bf6b_4d70_85da_cf2637062af4","iCat")</x:f>
      </x:c>
      <x:c r="M1144" s="0" t="s">
        <x:v>21</x:v>
      </x:c>
      <x:c r="N1144" s="0" t="s">
        <x:v>46</x:v>
      </x:c>
    </x:row>
    <x:row r="1145" spans="1:16">
      <x:c r="A1145" s="0" t="s">
        <x:v>4407</x:v>
      </x:c>
      <x:c r="B1145" s="0" t="s">
        <x:v>4408</x:v>
      </x:c>
      <x:c r="C1145" s="0" t="s">
        <x:v>4409</x:v>
      </x:c>
      <x:c r="E1145" s="0" t="s">
        <x:v>4410</x:v>
      </x:c>
      <x:c r="F1145" s="0" t="s">
        <x:v>45</x:v>
      </x:c>
      <x:c r="G1145" s="0" t="s">
        <x:v>19</x:v>
      </x:c>
      <x:c r="H1145" s="0" t="s">
        <x:v>20</x:v>
      </x:c>
      <x:c r="I1145" s="0" t="s">
        <x:v>21</x:v>
      </x:c>
      <x:c r="K1145" s="0">
        <x:f>hyperlink("https://icd.who.int/dev11/l-ichi/en#/http%3A%2F%2Fid.who.int%2Ficd%2Fentity%2F24968975","browser")</x:f>
      </x:c>
      <x:c r="L1145" s="0">
        <x:f>hyperlink("https://icat2.azurewebsites.net/icat/?ontology=ICD&amp;tab=ClassesTab&amp;id=http%3A%2F%2Fwho.int%2Ficd%23911_512ebf36_bf6b_4d70_85da_cf2637062af4","iCat")</x:f>
      </x:c>
      <x:c r="M1145" s="0" t="s">
        <x:v>21</x:v>
      </x:c>
      <x:c r="N1145" s="0" t="s">
        <x:v>46</x:v>
      </x:c>
    </x:row>
    <x:row r="1146" spans="1:16">
      <x:c r="A1146" s="0" t="s">
        <x:v>4411</x:v>
      </x:c>
      <x:c r="B1146" s="0" t="s">
        <x:v>4412</x:v>
      </x:c>
      <x:c r="C1146" s="0" t="s">
        <x:v>4413</x:v>
      </x:c>
      <x:c r="E1146" s="0" t="s">
        <x:v>4414</x:v>
      </x:c>
      <x:c r="F1146" s="0" t="s">
        <x:v>45</x:v>
      </x:c>
      <x:c r="G1146" s="0" t="s">
        <x:v>19</x:v>
      </x:c>
      <x:c r="H1146" s="0" t="s">
        <x:v>20</x:v>
      </x:c>
      <x:c r="I1146" s="0" t="s">
        <x:v>21</x:v>
      </x:c>
      <x:c r="K1146" s="0">
        <x:f>hyperlink("https://icd.who.int/dev11/l-ichi/en#/http%3A%2F%2Fid.who.int%2Ficd%2Fentity%2F1359423166","browser")</x:f>
      </x:c>
      <x:c r="L1146" s="0">
        <x:f>hyperlink("https://icat2.azurewebsites.net/icat/?ontology=ICD&amp;tab=ClassesTab&amp;id=http%3A%2F%2Fwho.int%2Ficd%23917_512ebf36_bf6b_4d70_85da_cf2637062af4","iCat")</x:f>
      </x:c>
      <x:c r="M1146" s="0" t="s">
        <x:v>21</x:v>
      </x:c>
      <x:c r="N1146" s="0" t="s">
        <x:v>46</x:v>
      </x:c>
    </x:row>
    <x:row r="1147" spans="1:16">
      <x:c r="A1147" s="0" t="s">
        <x:v>4415</x:v>
      </x:c>
      <x:c r="B1147" s="0" t="s">
        <x:v>4416</x:v>
      </x:c>
      <x:c r="C1147" s="0" t="s">
        <x:v>4417</x:v>
      </x:c>
      <x:c r="E1147" s="0" t="s">
        <x:v>4418</x:v>
      </x:c>
      <x:c r="F1147" s="0" t="s">
        <x:v>45</x:v>
      </x:c>
      <x:c r="G1147" s="0" t="s">
        <x:v>19</x:v>
      </x:c>
      <x:c r="H1147" s="0" t="s">
        <x:v>20</x:v>
      </x:c>
      <x:c r="I1147" s="0" t="s">
        <x:v>21</x:v>
      </x:c>
      <x:c r="K1147" s="0">
        <x:f>hyperlink("https://icd.who.int/dev11/l-ichi/en#/http%3A%2F%2Fid.who.int%2Ficd%2Fentity%2F1412630848","browser")</x:f>
      </x:c>
      <x:c r="L1147" s="0">
        <x:f>hyperlink("https://icat2.azurewebsites.net/icat/?ontology=ICD&amp;tab=ClassesTab&amp;id=http%3A%2F%2Fwho.int%2Ficd%23924_512ebf36_bf6b_4d70_85da_cf2637062af4","iCat")</x:f>
      </x:c>
      <x:c r="M1147" s="0" t="s">
        <x:v>21</x:v>
      </x:c>
      <x:c r="N1147" s="0" t="s">
        <x:v>46</x:v>
      </x:c>
    </x:row>
    <x:row r="1148" spans="1:16">
      <x:c r="A1148" s="0" t="s">
        <x:v>4419</x:v>
      </x:c>
      <x:c r="B1148" s="0" t="s">
        <x:v>4420</x:v>
      </x:c>
      <x:c r="C1148" s="0" t="s">
        <x:v>4421</x:v>
      </x:c>
      <x:c r="E1148" s="0" t="s">
        <x:v>4422</x:v>
      </x:c>
      <x:c r="F1148" s="0" t="s">
        <x:v>45</x:v>
      </x:c>
      <x:c r="G1148" s="0" t="s">
        <x:v>19</x:v>
      </x:c>
      <x:c r="H1148" s="0" t="s">
        <x:v>20</x:v>
      </x:c>
      <x:c r="I1148" s="0" t="s">
        <x:v>21</x:v>
      </x:c>
      <x:c r="K1148" s="0">
        <x:f>hyperlink("https://icd.who.int/dev11/l-ichi/en#/http%3A%2F%2Fid.who.int%2Ficd%2Fentity%2F200366179","browser")</x:f>
      </x:c>
      <x:c r="L1148" s="0">
        <x:f>hyperlink("https://icat2.azurewebsites.net/icat/?ontology=ICD&amp;tab=ClassesTab&amp;id=http%3A%2F%2Fwho.int%2Ficd%23930_512ebf36_bf6b_4d70_85da_cf2637062af4","iCat")</x:f>
      </x:c>
      <x:c r="M1148" s="0" t="s">
        <x:v>21</x:v>
      </x:c>
      <x:c r="N1148" s="0" t="s">
        <x:v>46</x:v>
      </x:c>
    </x:row>
    <x:row r="1149" spans="1:16">
      <x:c r="A1149" s="0" t="s">
        <x:v>4423</x:v>
      </x:c>
      <x:c r="B1149" s="0" t="s">
        <x:v>4424</x:v>
      </x:c>
      <x:c r="C1149" s="0" t="s">
        <x:v>4425</x:v>
      </x:c>
      <x:c r="E1149" s="0" t="s">
        <x:v>4426</x:v>
      </x:c>
      <x:c r="F1149" s="0" t="s">
        <x:v>45</x:v>
      </x:c>
      <x:c r="G1149" s="0" t="s">
        <x:v>19</x:v>
      </x:c>
      <x:c r="H1149" s="0" t="s">
        <x:v>20</x:v>
      </x:c>
      <x:c r="I1149" s="0" t="s">
        <x:v>21</x:v>
      </x:c>
      <x:c r="K1149" s="0">
        <x:f>hyperlink("https://icd.who.int/dev11/l-ichi/en#/http%3A%2F%2Fid.who.int%2Ficd%2Fentity%2F2071196656","browser")</x:f>
      </x:c>
      <x:c r="L1149" s="0">
        <x:f>hyperlink("https://icat2.azurewebsites.net/icat/?ontology=ICD&amp;tab=ClassesTab&amp;id=http%3A%2F%2Fwho.int%2Ficd%23937_512ebf36_bf6b_4d70_85da_cf2637062af4","iCat")</x:f>
      </x:c>
      <x:c r="M1149" s="0" t="s">
        <x:v>21</x:v>
      </x:c>
      <x:c r="N1149" s="0" t="s">
        <x:v>46</x:v>
      </x:c>
    </x:row>
    <x:row r="1150" spans="1:16">
      <x:c r="A1150" s="0" t="s">
        <x:v>4427</x:v>
      </x:c>
      <x:c r="B1150" s="0" t="s">
        <x:v>4428</x:v>
      </x:c>
      <x:c r="C1150" s="0" t="s">
        <x:v>4429</x:v>
      </x:c>
      <x:c r="E1150" s="0" t="s">
        <x:v>4430</x:v>
      </x:c>
      <x:c r="F1150" s="0" t="s">
        <x:v>45</x:v>
      </x:c>
      <x:c r="G1150" s="0" t="s">
        <x:v>19</x:v>
      </x:c>
      <x:c r="H1150" s="0" t="s">
        <x:v>20</x:v>
      </x:c>
      <x:c r="I1150" s="0" t="s">
        <x:v>21</x:v>
      </x:c>
      <x:c r="K1150" s="0">
        <x:f>hyperlink("https://icd.who.int/dev11/l-ichi/en#/http%3A%2F%2Fid.who.int%2Ficd%2Fentity%2F2124555394","browser")</x:f>
      </x:c>
      <x:c r="L1150" s="0">
        <x:f>hyperlink("https://icat2.azurewebsites.net/icat/?ontology=ICD&amp;tab=ClassesTab&amp;id=http%3A%2F%2Fwho.int%2Ficd%23943_512ebf36_bf6b_4d70_85da_cf2637062af4","iCat")</x:f>
      </x:c>
      <x:c r="M1150" s="0" t="s">
        <x:v>21</x:v>
      </x:c>
      <x:c r="N1150" s="0" t="s">
        <x:v>46</x:v>
      </x:c>
    </x:row>
    <x:row r="1151" spans="1:16">
      <x:c r="A1151" s="0" t="s">
        <x:v>4431</x:v>
      </x:c>
      <x:c r="B1151" s="0" t="s">
        <x:v>4432</x:v>
      </x:c>
      <x:c r="C1151" s="0" t="s">
        <x:v>4433</x:v>
      </x:c>
      <x:c r="E1151" s="0" t="s">
        <x:v>4434</x:v>
      </x:c>
      <x:c r="F1151" s="0" t="s">
        <x:v>45</x:v>
      </x:c>
      <x:c r="G1151" s="0" t="s">
        <x:v>19</x:v>
      </x:c>
      <x:c r="H1151" s="0" t="s">
        <x:v>20</x:v>
      </x:c>
      <x:c r="I1151" s="0" t="s">
        <x:v>21</x:v>
      </x:c>
      <x:c r="K1151" s="0">
        <x:f>hyperlink("https://icd.who.int/dev11/l-ichi/en#/http%3A%2F%2Fid.who.int%2Ficd%2Fentity%2F1897638932","browser")</x:f>
      </x:c>
      <x:c r="L1151" s="0">
        <x:f>hyperlink("https://icat2.azurewebsites.net/icat/?ontology=ICD&amp;tab=ClassesTab&amp;id=http%3A%2F%2Fwho.int%2Ficd%23951_512ebf36_bf6b_4d70_85da_cf2637062af4","iCat")</x:f>
      </x:c>
      <x:c r="M1151" s="0" t="s">
        <x:v>21</x:v>
      </x:c>
      <x:c r="N1151" s="0" t="s">
        <x:v>46</x:v>
      </x:c>
    </x:row>
    <x:row r="1152" spans="1:16">
      <x:c r="A1152" s="0" t="s">
        <x:v>4435</x:v>
      </x:c>
      <x:c r="B1152" s="0" t="s">
        <x:v>4436</x:v>
      </x:c>
      <x:c r="C1152" s="0" t="s">
        <x:v>4437</x:v>
      </x:c>
      <x:c r="E1152" s="0" t="s">
        <x:v>4438</x:v>
      </x:c>
      <x:c r="F1152" s="0" t="s">
        <x:v>45</x:v>
      </x:c>
      <x:c r="G1152" s="0" t="s">
        <x:v>19</x:v>
      </x:c>
      <x:c r="H1152" s="0" t="s">
        <x:v>20</x:v>
      </x:c>
      <x:c r="I1152" s="0" t="s">
        <x:v>21</x:v>
      </x:c>
      <x:c r="K1152" s="0">
        <x:f>hyperlink("https://icd.who.int/dev11/l-ichi/en#/http%3A%2F%2Fid.who.int%2Ficd%2Fentity%2F290692649","browser")</x:f>
      </x:c>
      <x:c r="L1152" s="0">
        <x:f>hyperlink("https://icat2.azurewebsites.net/icat/?ontology=ICD&amp;tab=ClassesTab&amp;id=http%3A%2F%2Fwho.int%2Ficd%23960_512ebf36_bf6b_4d70_85da_cf2637062af4","iCat")</x:f>
      </x:c>
      <x:c r="M1152" s="0" t="s">
        <x:v>21</x:v>
      </x:c>
      <x:c r="N1152" s="0" t="s">
        <x:v>46</x:v>
      </x:c>
    </x:row>
    <x:row r="1153" spans="1:16">
      <x:c r="A1153" s="0" t="s">
        <x:v>4439</x:v>
      </x:c>
      <x:c r="B1153" s="0" t="s">
        <x:v>4440</x:v>
      </x:c>
      <x:c r="C1153" s="0" t="s">
        <x:v>4441</x:v>
      </x:c>
      <x:c r="E1153" s="0" t="s">
        <x:v>4442</x:v>
      </x:c>
      <x:c r="F1153" s="0" t="s">
        <x:v>45</x:v>
      </x:c>
      <x:c r="G1153" s="0" t="s">
        <x:v>19</x:v>
      </x:c>
      <x:c r="H1153" s="0" t="s">
        <x:v>20</x:v>
      </x:c>
      <x:c r="I1153" s="0" t="s">
        <x:v>21</x:v>
      </x:c>
      <x:c r="K1153" s="0">
        <x:f>hyperlink("https://icd.who.int/dev11/l-ichi/en#/http%3A%2F%2Fid.who.int%2Ficd%2Fentity%2F1093158808","browser")</x:f>
      </x:c>
      <x:c r="L1153" s="0">
        <x:f>hyperlink("https://icat2.azurewebsites.net/icat/?ontology=ICD&amp;tab=ClassesTab&amp;id=http%3A%2F%2Fwho.int%2Ficd%23966_512ebf36_bf6b_4d70_85da_cf2637062af4","iCat")</x:f>
      </x:c>
      <x:c r="M1153" s="0" t="s">
        <x:v>21</x:v>
      </x:c>
      <x:c r="N1153" s="0" t="s">
        <x:v>46</x:v>
      </x:c>
    </x:row>
    <x:row r="1154" spans="1:16">
      <x:c r="A1154" s="0" t="s">
        <x:v>4443</x:v>
      </x:c>
      <x:c r="B1154" s="0" t="s">
        <x:v>4444</x:v>
      </x:c>
      <x:c r="C1154" s="0" t="s">
        <x:v>4445</x:v>
      </x:c>
      <x:c r="E1154" s="0" t="s">
        <x:v>4446</x:v>
      </x:c>
      <x:c r="F1154" s="0" t="s">
        <x:v>45</x:v>
      </x:c>
      <x:c r="G1154" s="0" t="s">
        <x:v>19</x:v>
      </x:c>
      <x:c r="H1154" s="0" t="s">
        <x:v>20</x:v>
      </x:c>
      <x:c r="I1154" s="0" t="s">
        <x:v>21</x:v>
      </x:c>
      <x:c r="K1154" s="0">
        <x:f>hyperlink("https://icd.who.int/dev11/l-ichi/en#/http%3A%2F%2Fid.who.int%2Ficd%2Fentity%2F518657723","browser")</x:f>
      </x:c>
      <x:c r="L1154" s="0">
        <x:f>hyperlink("https://icat2.azurewebsites.net/icat/?ontology=ICD&amp;tab=ClassesTab&amp;id=http%3A%2F%2Fwho.int%2Ficd%23972_512ebf36_bf6b_4d70_85da_cf2637062af4","iCat")</x:f>
      </x:c>
      <x:c r="M1154" s="0" t="s">
        <x:v>21</x:v>
      </x:c>
      <x:c r="N1154" s="0" t="s">
        <x:v>46</x:v>
      </x:c>
    </x:row>
    <x:row r="1155" spans="1:16">
      <x:c r="A1155" s="0" t="s">
        <x:v>4447</x:v>
      </x:c>
      <x:c r="B1155" s="0" t="s">
        <x:v>4448</x:v>
      </x:c>
      <x:c r="C1155" s="0" t="s">
        <x:v>4449</x:v>
      </x:c>
      <x:c r="E1155" s="0" t="s">
        <x:v>4450</x:v>
      </x:c>
      <x:c r="F1155" s="0" t="s">
        <x:v>45</x:v>
      </x:c>
      <x:c r="G1155" s="0" t="s">
        <x:v>19</x:v>
      </x:c>
      <x:c r="H1155" s="0" t="s">
        <x:v>20</x:v>
      </x:c>
      <x:c r="I1155" s="0" t="s">
        <x:v>21</x:v>
      </x:c>
      <x:c r="K1155" s="0">
        <x:f>hyperlink("https://icd.who.int/dev11/l-ichi/en#/http%3A%2F%2Fid.who.int%2Ficd%2Fentity%2F367921175","browser")</x:f>
      </x:c>
      <x:c r="L1155" s="0">
        <x:f>hyperlink("https://icat2.azurewebsites.net/icat/?ontology=ICD&amp;tab=ClassesTab&amp;id=http%3A%2F%2Fwho.int%2Ficd%23979_512ebf36_bf6b_4d70_85da_cf2637062af4","iCat")</x:f>
      </x:c>
      <x:c r="M1155" s="0" t="s">
        <x:v>21</x:v>
      </x:c>
      <x:c r="N1155" s="0" t="s">
        <x:v>46</x:v>
      </x:c>
    </x:row>
    <x:row r="1156" spans="1:16">
      <x:c r="A1156" s="0" t="s">
        <x:v>4451</x:v>
      </x:c>
      <x:c r="B1156" s="0" t="s">
        <x:v>4452</x:v>
      </x:c>
      <x:c r="C1156" s="0" t="s">
        <x:v>4453</x:v>
      </x:c>
      <x:c r="E1156" s="0" t="s">
        <x:v>4454</x:v>
      </x:c>
      <x:c r="F1156" s="0" t="s">
        <x:v>45</x:v>
      </x:c>
      <x:c r="G1156" s="0" t="s">
        <x:v>19</x:v>
      </x:c>
      <x:c r="H1156" s="0" t="s">
        <x:v>20</x:v>
      </x:c>
      <x:c r="I1156" s="0" t="s">
        <x:v>21</x:v>
      </x:c>
      <x:c r="K1156" s="0">
        <x:f>hyperlink("https://icd.who.int/dev11/l-ichi/en#/http%3A%2F%2Fid.who.int%2Ficd%2Fentity%2F1052038391","browser")</x:f>
      </x:c>
      <x:c r="L1156" s="0">
        <x:f>hyperlink("https://icat2.azurewebsites.net/icat/?ontology=ICD&amp;tab=ClassesTab&amp;id=http%3A%2F%2Fwho.int%2Ficd%23990_512ebf36_bf6b_4d70_85da_cf2637062af4","iCat")</x:f>
      </x:c>
      <x:c r="M1156" s="0" t="s">
        <x:v>21</x:v>
      </x:c>
      <x:c r="N1156" s="0" t="s">
        <x:v>46</x:v>
      </x:c>
    </x:row>
    <x:row r="1157" spans="1:16">
      <x:c r="A1157" s="0" t="s">
        <x:v>4455</x:v>
      </x:c>
      <x:c r="B1157" s="0" t="s">
        <x:v>4456</x:v>
      </x:c>
      <x:c r="C1157" s="0" t="s">
        <x:v>4457</x:v>
      </x:c>
      <x:c r="E1157" s="0" t="s">
        <x:v>4458</x:v>
      </x:c>
      <x:c r="F1157" s="0" t="s">
        <x:v>45</x:v>
      </x:c>
      <x:c r="G1157" s="0" t="s">
        <x:v>19</x:v>
      </x:c>
      <x:c r="H1157" s="0" t="s">
        <x:v>20</x:v>
      </x:c>
      <x:c r="I1157" s="0" t="s">
        <x:v>21</x:v>
      </x:c>
      <x:c r="K1157" s="0">
        <x:f>hyperlink("https://icd.who.int/dev11/l-ichi/en#/http%3A%2F%2Fid.who.int%2Ficd%2Fentity%2F2079176138","browser")</x:f>
      </x:c>
      <x:c r="L1157" s="0">
        <x:f>hyperlink("https://icat2.azurewebsites.net/icat/?ontology=ICD&amp;tab=ClassesTab&amp;id=http%3A%2F%2Fwho.int%2Ficd%231000_512ebf36_bf6b_4d70_85da_cf2637062af4","iCat")</x:f>
      </x:c>
      <x:c r="M1157" s="0" t="s">
        <x:v>21</x:v>
      </x:c>
      <x:c r="N1157" s="0" t="s">
        <x:v>46</x:v>
      </x:c>
    </x:row>
    <x:row r="1158" spans="1:16">
      <x:c r="A1158" s="0" t="s">
        <x:v>4459</x:v>
      </x:c>
      <x:c r="B1158" s="0" t="s">
        <x:v>4460</x:v>
      </x:c>
      <x:c r="C1158" s="0" t="s">
        <x:v>4461</x:v>
      </x:c>
      <x:c r="E1158" s="0" t="s">
        <x:v>4462</x:v>
      </x:c>
      <x:c r="F1158" s="0" t="s">
        <x:v>45</x:v>
      </x:c>
      <x:c r="G1158" s="0" t="s">
        <x:v>19</x:v>
      </x:c>
      <x:c r="H1158" s="0" t="s">
        <x:v>20</x:v>
      </x:c>
      <x:c r="I1158" s="0" t="s">
        <x:v>21</x:v>
      </x:c>
      <x:c r="K1158" s="0">
        <x:f>hyperlink("https://icd.who.int/dev11/l-ichi/en#/http%3A%2F%2Fid.who.int%2Ficd%2Fentity%2F522765135","browser")</x:f>
      </x:c>
      <x:c r="L1158" s="0">
        <x:f>hyperlink("https://icat2.azurewebsites.net/icat/?ontology=ICD&amp;tab=ClassesTab&amp;id=http%3A%2F%2Fwho.int%2Ficd%23355_e9bf9ac7_0f21_4391_8ab3_5944290f317a","iCat")</x:f>
      </x:c>
      <x:c r="M1158" s="0" t="s">
        <x:v>21</x:v>
      </x:c>
      <x:c r="N1158" s="0" t="s">
        <x:v>46</x:v>
      </x:c>
    </x:row>
    <x:row r="1159" spans="1:16">
      <x:c r="A1159" s="0" t="s">
        <x:v>4463</x:v>
      </x:c>
      <x:c r="B1159" s="0" t="s">
        <x:v>4464</x:v>
      </x:c>
      <x:c r="C1159" s="0" t="s">
        <x:v>4465</x:v>
      </x:c>
      <x:c r="E1159" s="0" t="s">
        <x:v>4466</x:v>
      </x:c>
      <x:c r="F1159" s="0" t="s">
        <x:v>45</x:v>
      </x:c>
      <x:c r="G1159" s="0" t="s">
        <x:v>19</x:v>
      </x:c>
      <x:c r="H1159" s="0" t="s">
        <x:v>20</x:v>
      </x:c>
      <x:c r="I1159" s="0" t="s">
        <x:v>21</x:v>
      </x:c>
      <x:c r="K1159" s="0">
        <x:f>hyperlink("https://icd.who.int/dev11/l-ichi/en#/http%3A%2F%2Fid.who.int%2Ficd%2Fentity%2F896320669","browser")</x:f>
      </x:c>
      <x:c r="L1159" s="0">
        <x:f>hyperlink("https://icat2.azurewebsites.net/icat/?ontology=ICD&amp;tab=ClassesTab&amp;id=http%3A%2F%2Fwho.int%2Ficd%231008_512ebf36_bf6b_4d70_85da_cf2637062af4","iCat")</x:f>
      </x:c>
      <x:c r="M1159" s="0" t="s">
        <x:v>21</x:v>
      </x:c>
      <x:c r="N1159" s="0" t="s">
        <x:v>46</x:v>
      </x:c>
    </x:row>
    <x:row r="1160" spans="1:16">
      <x:c r="A1160" s="0" t="s">
        <x:v>4467</x:v>
      </x:c>
      <x:c r="B1160" s="0" t="s">
        <x:v>4468</x:v>
      </x:c>
      <x:c r="C1160" s="0" t="s">
        <x:v>4469</x:v>
      </x:c>
      <x:c r="E1160" s="0" t="s">
        <x:v>4470</x:v>
      </x:c>
      <x:c r="F1160" s="0" t="s">
        <x:v>45</x:v>
      </x:c>
      <x:c r="G1160" s="0" t="s">
        <x:v>19</x:v>
      </x:c>
      <x:c r="H1160" s="0" t="s">
        <x:v>20</x:v>
      </x:c>
      <x:c r="I1160" s="0" t="s">
        <x:v>21</x:v>
      </x:c>
      <x:c r="K1160" s="0">
        <x:f>hyperlink("https://icd.who.int/dev11/l-ichi/en#/http%3A%2F%2Fid.who.int%2Ficd%2Fentity%2F607118571","browser")</x:f>
      </x:c>
      <x:c r="L1160" s="0">
        <x:f>hyperlink("https://icat2.azurewebsites.net/icat/?ontology=ICD&amp;tab=ClassesTab&amp;id=http%3A%2F%2Fwho.int%2Ficd%231014_512ebf36_bf6b_4d70_85da_cf2637062af4","iCat")</x:f>
      </x:c>
      <x:c r="M1160" s="0" t="s">
        <x:v>21</x:v>
      </x:c>
      <x:c r="N1160" s="0" t="s">
        <x:v>46</x:v>
      </x:c>
    </x:row>
    <x:row r="1161" spans="1:16">
      <x:c r="A1161" s="0" t="s">
        <x:v>4471</x:v>
      </x:c>
      <x:c r="B1161" s="0" t="s">
        <x:v>4472</x:v>
      </x:c>
      <x:c r="C1161" s="0" t="s">
        <x:v>4473</x:v>
      </x:c>
      <x:c r="E1161" s="0" t="s">
        <x:v>4474</x:v>
      </x:c>
      <x:c r="F1161" s="0" t="s">
        <x:v>45</x:v>
      </x:c>
      <x:c r="G1161" s="0" t="s">
        <x:v>19</x:v>
      </x:c>
      <x:c r="H1161" s="0" t="s">
        <x:v>20</x:v>
      </x:c>
      <x:c r="I1161" s="0" t="s">
        <x:v>21</x:v>
      </x:c>
      <x:c r="K1161" s="0">
        <x:f>hyperlink("https://icd.who.int/dev11/l-ichi/en#/http%3A%2F%2Fid.who.int%2Ficd%2Fentity%2F1902121638","browser")</x:f>
      </x:c>
      <x:c r="L1161" s="0">
        <x:f>hyperlink("https://icat2.azurewebsites.net/icat/?ontology=ICD&amp;tab=ClassesTab&amp;id=http%3A%2F%2Fwho.int%2Ficd%231021_512ebf36_bf6b_4d70_85da_cf2637062af4","iCat")</x:f>
      </x:c>
      <x:c r="M1161" s="0" t="s">
        <x:v>21</x:v>
      </x:c>
      <x:c r="N1161" s="0" t="s">
        <x:v>46</x:v>
      </x:c>
    </x:row>
    <x:row r="1162" spans="1:16">
      <x:c r="A1162" s="0" t="s">
        <x:v>4475</x:v>
      </x:c>
      <x:c r="B1162" s="0" t="s">
        <x:v>4476</x:v>
      </x:c>
      <x:c r="C1162" s="0" t="s">
        <x:v>4477</x:v>
      </x:c>
      <x:c r="E1162" s="0" t="s">
        <x:v>4478</x:v>
      </x:c>
      <x:c r="F1162" s="0" t="s">
        <x:v>45</x:v>
      </x:c>
      <x:c r="G1162" s="0" t="s">
        <x:v>19</x:v>
      </x:c>
      <x:c r="H1162" s="0" t="s">
        <x:v>20</x:v>
      </x:c>
      <x:c r="I1162" s="0" t="s">
        <x:v>21</x:v>
      </x:c>
      <x:c r="K1162" s="0">
        <x:f>hyperlink("https://icd.who.int/dev11/l-ichi/en#/http%3A%2F%2Fid.who.int%2Ficd%2Fentity%2F259467191","browser")</x:f>
      </x:c>
      <x:c r="L1162" s="0">
        <x:f>hyperlink("https://icat2.azurewebsites.net/icat/?ontology=ICD&amp;tab=ClassesTab&amp;id=http%3A%2F%2Fwho.int%2Ficd%2314641_4869915e_217e_423d_acb3_33c0f920ef4b","iCat")</x:f>
      </x:c>
      <x:c r="M1162" s="0" t="s">
        <x:v>21</x:v>
      </x:c>
      <x:c r="N1162" s="0" t="s">
        <x:v>46</x:v>
      </x:c>
    </x:row>
    <x:row r="1163" spans="1:16">
      <x:c r="A1163" s="0" t="s">
        <x:v>4479</x:v>
      </x:c>
      <x:c r="B1163" s="0" t="s">
        <x:v>4480</x:v>
      </x:c>
      <x:c r="C1163" s="0" t="s">
        <x:v>4481</x:v>
      </x:c>
      <x:c r="E1163" s="0" t="s">
        <x:v>4482</x:v>
      </x:c>
      <x:c r="F1163" s="0" t="s">
        <x:v>45</x:v>
      </x:c>
      <x:c r="G1163" s="0" t="s">
        <x:v>19</x:v>
      </x:c>
      <x:c r="H1163" s="0" t="s">
        <x:v>20</x:v>
      </x:c>
      <x:c r="I1163" s="0" t="s">
        <x:v>21</x:v>
      </x:c>
      <x:c r="K1163" s="0">
        <x:f>hyperlink("https://icd.who.int/dev11/l-ichi/en#/http%3A%2F%2Fid.who.int%2Ficd%2Fentity%2F763353716","browser")</x:f>
      </x:c>
      <x:c r="L1163" s="0">
        <x:f>hyperlink("https://icat2.azurewebsites.net/icat/?ontology=ICD&amp;tab=ClassesTab&amp;id=http%3A%2F%2Fwho.int%2Ficd%23448_ca295345_04da_4973_8b0f_7a84ba6d528f","iCat")</x:f>
      </x:c>
      <x:c r="M1163" s="0" t="s">
        <x:v>21</x:v>
      </x:c>
      <x:c r="N1163" s="0" t="s">
        <x:v>46</x:v>
      </x:c>
    </x:row>
    <x:row r="1164" spans="1:16">
      <x:c r="A1164" s="0" t="s">
        <x:v>4483</x:v>
      </x:c>
      <x:c r="B1164" s="0" t="s">
        <x:v>4484</x:v>
      </x:c>
      <x:c r="C1164" s="0" t="s">
        <x:v>4485</x:v>
      </x:c>
      <x:c r="E1164" s="0" t="s">
        <x:v>4486</x:v>
      </x:c>
      <x:c r="F1164" s="0" t="s">
        <x:v>45</x:v>
      </x:c>
      <x:c r="G1164" s="0" t="s">
        <x:v>19</x:v>
      </x:c>
      <x:c r="H1164" s="0" t="s">
        <x:v>20</x:v>
      </x:c>
      <x:c r="I1164" s="0" t="s">
        <x:v>21</x:v>
      </x:c>
      <x:c r="K1164" s="0">
        <x:f>hyperlink("https://icd.who.int/dev11/l-ichi/en#/http%3A%2F%2Fid.who.int%2Ficd%2Fentity%2F1579214858","browser")</x:f>
      </x:c>
      <x:c r="L1164" s="0">
        <x:f>hyperlink("https://icat2.azurewebsites.net/icat/?ontology=ICD&amp;tab=ClassesTab&amp;id=http%3A%2F%2Fwho.int%2Ficd%231032_512ebf36_bf6b_4d70_85da_cf2637062af4","iCat")</x:f>
      </x:c>
      <x:c r="M1164" s="0" t="s">
        <x:v>21</x:v>
      </x:c>
      <x:c r="N1164" s="0" t="s">
        <x:v>46</x:v>
      </x:c>
    </x:row>
    <x:row r="1165" spans="1:16">
      <x:c r="A1165" s="0" t="s">
        <x:v>4487</x:v>
      </x:c>
      <x:c r="B1165" s="0" t="s">
        <x:v>4488</x:v>
      </x:c>
      <x:c r="C1165" s="0" t="s">
        <x:v>4489</x:v>
      </x:c>
      <x:c r="E1165" s="0" t="s">
        <x:v>4490</x:v>
      </x:c>
      <x:c r="F1165" s="0" t="s">
        <x:v>45</x:v>
      </x:c>
      <x:c r="G1165" s="0" t="s">
        <x:v>19</x:v>
      </x:c>
      <x:c r="H1165" s="0" t="s">
        <x:v>20</x:v>
      </x:c>
      <x:c r="I1165" s="0" t="s">
        <x:v>21</x:v>
      </x:c>
      <x:c r="K1165" s="0">
        <x:f>hyperlink("https://icd.who.int/dev11/l-ichi/en#/http%3A%2F%2Fid.who.int%2Ficd%2Fentity%2F2064141658","browser")</x:f>
      </x:c>
      <x:c r="L1165" s="0">
        <x:f>hyperlink("https://icat2.azurewebsites.net/icat/?ontology=ICD&amp;tab=ClassesTab&amp;id=http%3A%2F%2Fwho.int%2Ficd%231047_512ebf36_bf6b_4d70_85da_cf2637062af4","iCat")</x:f>
      </x:c>
      <x:c r="M1165" s="0" t="s">
        <x:v>21</x:v>
      </x:c>
      <x:c r="N1165" s="0" t="s">
        <x:v>46</x:v>
      </x:c>
    </x:row>
    <x:row r="1166" spans="1:16">
      <x:c r="A1166" s="0" t="s">
        <x:v>4491</x:v>
      </x:c>
      <x:c r="B1166" s="0" t="s">
        <x:v>4492</x:v>
      </x:c>
      <x:c r="C1166" s="0" t="s">
        <x:v>4493</x:v>
      </x:c>
      <x:c r="E1166" s="0" t="s">
        <x:v>4494</x:v>
      </x:c>
      <x:c r="F1166" s="0" t="s">
        <x:v>45</x:v>
      </x:c>
      <x:c r="G1166" s="0" t="s">
        <x:v>19</x:v>
      </x:c>
      <x:c r="H1166" s="0" t="s">
        <x:v>20</x:v>
      </x:c>
      <x:c r="I1166" s="0" t="s">
        <x:v>21</x:v>
      </x:c>
      <x:c r="K1166" s="0">
        <x:f>hyperlink("https://icd.who.int/dev11/l-ichi/en#/http%3A%2F%2Fid.who.int%2Ficd%2Fentity%2F1957807564","browser")</x:f>
      </x:c>
      <x:c r="L1166" s="0">
        <x:f>hyperlink("https://icat2.azurewebsites.net/icat/?ontology=ICD&amp;tab=ClassesTab&amp;id=http%3A%2F%2Fwho.int%2Ficd%231055_512ebf36_bf6b_4d70_85da_cf2637062af4","iCat")</x:f>
      </x:c>
      <x:c r="M1166" s="0" t="s">
        <x:v>21</x:v>
      </x:c>
      <x:c r="N1166" s="0" t="s">
        <x:v>46</x:v>
      </x:c>
    </x:row>
    <x:row r="1167" spans="1:16">
      <x:c r="A1167" s="0" t="s">
        <x:v>4495</x:v>
      </x:c>
      <x:c r="B1167" s="0" t="s">
        <x:v>4496</x:v>
      </x:c>
      <x:c r="C1167" s="0" t="s">
        <x:v>4497</x:v>
      </x:c>
      <x:c r="E1167" s="0" t="s">
        <x:v>4498</x:v>
      </x:c>
      <x:c r="F1167" s="0" t="s">
        <x:v>45</x:v>
      </x:c>
      <x:c r="G1167" s="0" t="s">
        <x:v>19</x:v>
      </x:c>
      <x:c r="H1167" s="0" t="s">
        <x:v>20</x:v>
      </x:c>
      <x:c r="I1167" s="0" t="s">
        <x:v>21</x:v>
      </x:c>
      <x:c r="K1167" s="0">
        <x:f>hyperlink("https://icd.who.int/dev11/l-ichi/en#/http%3A%2F%2Fid.who.int%2Ficd%2Fentity%2F17252793","browser")</x:f>
      </x:c>
      <x:c r="L1167" s="0">
        <x:f>hyperlink("https://icat2.azurewebsites.net/icat/?ontology=ICD&amp;tab=ClassesTab&amp;id=http%3A%2F%2Fwho.int%2Ficd%231061_512ebf36_bf6b_4d70_85da_cf2637062af4","iCat")</x:f>
      </x:c>
      <x:c r="M1167" s="0" t="s">
        <x:v>21</x:v>
      </x:c>
      <x:c r="N1167" s="0" t="s">
        <x:v>46</x:v>
      </x:c>
    </x:row>
    <x:row r="1168" spans="1:16">
      <x:c r="A1168" s="0" t="s">
        <x:v>4499</x:v>
      </x:c>
      <x:c r="B1168" s="0" t="s">
        <x:v>4500</x:v>
      </x:c>
      <x:c r="C1168" s="0" t="s">
        <x:v>4501</x:v>
      </x:c>
      <x:c r="E1168" s="0" t="s">
        <x:v>4502</x:v>
      </x:c>
      <x:c r="F1168" s="0" t="s">
        <x:v>45</x:v>
      </x:c>
      <x:c r="G1168" s="0" t="s">
        <x:v>19</x:v>
      </x:c>
      <x:c r="H1168" s="0" t="s">
        <x:v>20</x:v>
      </x:c>
      <x:c r="I1168" s="0" t="s">
        <x:v>21</x:v>
      </x:c>
      <x:c r="K1168" s="0">
        <x:f>hyperlink("https://icd.who.int/dev11/l-ichi/en#/http%3A%2F%2Fid.who.int%2Ficd%2Fentity%2F1367119880","browser")</x:f>
      </x:c>
      <x:c r="L1168" s="0">
        <x:f>hyperlink("https://icat2.azurewebsites.net/icat/?ontology=ICD&amp;tab=ClassesTab&amp;id=http%3A%2F%2Fwho.int%2Ficd%231067_512ebf36_bf6b_4d70_85da_cf2637062af4","iCat")</x:f>
      </x:c>
      <x:c r="M1168" s="0" t="s">
        <x:v>21</x:v>
      </x:c>
      <x:c r="N1168" s="0" t="s">
        <x:v>46</x:v>
      </x:c>
    </x:row>
    <x:row r="1169" spans="1:16">
      <x:c r="A1169" s="0" t="s">
        <x:v>4503</x:v>
      </x:c>
      <x:c r="B1169" s="0" t="s">
        <x:v>4504</x:v>
      </x:c>
      <x:c r="C1169" s="0" t="s">
        <x:v>4505</x:v>
      </x:c>
      <x:c r="E1169" s="0" t="s">
        <x:v>4506</x:v>
      </x:c>
      <x:c r="F1169" s="0" t="s">
        <x:v>45</x:v>
      </x:c>
      <x:c r="G1169" s="0" t="s">
        <x:v>19</x:v>
      </x:c>
      <x:c r="H1169" s="0" t="s">
        <x:v>20</x:v>
      </x:c>
      <x:c r="I1169" s="0" t="s">
        <x:v>21</x:v>
      </x:c>
      <x:c r="K1169" s="0">
        <x:f>hyperlink("https://icd.who.int/dev11/l-ichi/en#/http%3A%2F%2Fid.who.int%2Ficd%2Fentity%2F2117886632","browser")</x:f>
      </x:c>
      <x:c r="L1169" s="0">
        <x:f>hyperlink("https://icat2.azurewebsites.net/icat/?ontology=ICD&amp;tab=ClassesTab&amp;id=http%3A%2F%2Fwho.int%2Ficd%231074_512ebf36_bf6b_4d70_85da_cf2637062af4","iCat")</x:f>
      </x:c>
      <x:c r="M1169" s="0" t="s">
        <x:v>21</x:v>
      </x:c>
      <x:c r="N1169" s="0" t="s">
        <x:v>46</x:v>
      </x:c>
    </x:row>
    <x:row r="1170" spans="1:16">
      <x:c r="A1170" s="0" t="s">
        <x:v>4507</x:v>
      </x:c>
      <x:c r="B1170" s="0" t="s">
        <x:v>4508</x:v>
      </x:c>
      <x:c r="C1170" s="0" t="s">
        <x:v>4509</x:v>
      </x:c>
      <x:c r="E1170" s="0" t="s">
        <x:v>4510</x:v>
      </x:c>
      <x:c r="F1170" s="0" t="s">
        <x:v>45</x:v>
      </x:c>
      <x:c r="G1170" s="0" t="s">
        <x:v>19</x:v>
      </x:c>
      <x:c r="H1170" s="0" t="s">
        <x:v>20</x:v>
      </x:c>
      <x:c r="I1170" s="0" t="s">
        <x:v>21</x:v>
      </x:c>
      <x:c r="K1170" s="0">
        <x:f>hyperlink("https://icd.who.int/dev11/l-ichi/en#/http%3A%2F%2Fid.who.int%2Ficd%2Fentity%2F1373317242","browser")</x:f>
      </x:c>
      <x:c r="L1170" s="0">
        <x:f>hyperlink("https://icat2.azurewebsites.net/icat/?ontology=ICD&amp;tab=ClassesTab&amp;id=http%3A%2F%2Fwho.int%2Ficd%231084_512ebf36_bf6b_4d70_85da_cf2637062af4","iCat")</x:f>
      </x:c>
      <x:c r="M1170" s="0" t="s">
        <x:v>21</x:v>
      </x:c>
      <x:c r="N1170" s="0" t="s">
        <x:v>46</x:v>
      </x:c>
    </x:row>
    <x:row r="1171" spans="1:16">
      <x:c r="A1171" s="0" t="s">
        <x:v>4511</x:v>
      </x:c>
      <x:c r="B1171" s="0" t="s">
        <x:v>4512</x:v>
      </x:c>
      <x:c r="C1171" s="0" t="s">
        <x:v>4513</x:v>
      </x:c>
      <x:c r="E1171" s="0" t="s">
        <x:v>4514</x:v>
      </x:c>
      <x:c r="F1171" s="0" t="s">
        <x:v>45</x:v>
      </x:c>
      <x:c r="G1171" s="0" t="s">
        <x:v>19</x:v>
      </x:c>
      <x:c r="H1171" s="0" t="s">
        <x:v>20</x:v>
      </x:c>
      <x:c r="I1171" s="0" t="s">
        <x:v>21</x:v>
      </x:c>
      <x:c r="K1171" s="0">
        <x:f>hyperlink("https://icd.who.int/dev11/l-ichi/en#/http%3A%2F%2Fid.who.int%2Ficd%2Fentity%2F786434919","browser")</x:f>
      </x:c>
      <x:c r="L1171" s="0">
        <x:f>hyperlink("https://icat2.azurewebsites.net/icat/?ontology=ICD&amp;tab=ClassesTab&amp;id=http%3A%2F%2Fwho.int%2Ficd%231091_512ebf36_bf6b_4d70_85da_cf2637062af4","iCat")</x:f>
      </x:c>
      <x:c r="M1171" s="0" t="s">
        <x:v>21</x:v>
      </x:c>
      <x:c r="N1171" s="0" t="s">
        <x:v>46</x:v>
      </x:c>
    </x:row>
    <x:row r="1172" spans="1:16">
      <x:c r="A1172" s="0" t="s">
        <x:v>4515</x:v>
      </x:c>
      <x:c r="B1172" s="0" t="s">
        <x:v>4516</x:v>
      </x:c>
      <x:c r="C1172" s="0" t="s">
        <x:v>4517</x:v>
      </x:c>
      <x:c r="E1172" s="0" t="s">
        <x:v>4518</x:v>
      </x:c>
      <x:c r="F1172" s="0" t="s">
        <x:v>45</x:v>
      </x:c>
      <x:c r="G1172" s="0" t="s">
        <x:v>19</x:v>
      </x:c>
      <x:c r="H1172" s="0" t="s">
        <x:v>20</x:v>
      </x:c>
      <x:c r="I1172" s="0" t="s">
        <x:v>21</x:v>
      </x:c>
      <x:c r="K1172" s="0">
        <x:f>hyperlink("https://icd.who.int/dev11/l-ichi/en#/http%3A%2F%2Fid.who.int%2Ficd%2Fentity%2F242381653","browser")</x:f>
      </x:c>
      <x:c r="L1172" s="0">
        <x:f>hyperlink("https://icat2.azurewebsites.net/icat/?ontology=ICD&amp;tab=ClassesTab&amp;id=http%3A%2F%2Fwho.int%2Ficd%231100_512ebf36_bf6b_4d70_85da_cf2637062af4","iCat")</x:f>
      </x:c>
      <x:c r="M1172" s="0" t="s">
        <x:v>21</x:v>
      </x:c>
      <x:c r="N1172" s="0" t="s">
        <x:v>46</x:v>
      </x:c>
    </x:row>
    <x:row r="1173" spans="1:16">
      <x:c r="A1173" s="0" t="s">
        <x:v>4519</x:v>
      </x:c>
      <x:c r="B1173" s="0" t="s">
        <x:v>4520</x:v>
      </x:c>
      <x:c r="C1173" s="0" t="s">
        <x:v>4521</x:v>
      </x:c>
      <x:c r="E1173" s="0" t="s">
        <x:v>4522</x:v>
      </x:c>
      <x:c r="F1173" s="0" t="s">
        <x:v>45</x:v>
      </x:c>
      <x:c r="G1173" s="0" t="s">
        <x:v>19</x:v>
      </x:c>
      <x:c r="H1173" s="0" t="s">
        <x:v>20</x:v>
      </x:c>
      <x:c r="I1173" s="0" t="s">
        <x:v>21</x:v>
      </x:c>
      <x:c r="K1173" s="0">
        <x:f>hyperlink("https://icd.who.int/dev11/l-ichi/en#/http%3A%2F%2Fid.who.int%2Ficd%2Fentity%2F2129713370","browser")</x:f>
      </x:c>
      <x:c r="L1173" s="0">
        <x:f>hyperlink("https://icat2.azurewebsites.net/icat/?ontology=ICD&amp;tab=ClassesTab&amp;id=http%3A%2F%2Fwho.int%2Ficd%231107_512ebf36_bf6b_4d70_85da_cf2637062af4","iCat")</x:f>
      </x:c>
      <x:c r="M1173" s="0" t="s">
        <x:v>21</x:v>
      </x:c>
      <x:c r="N1173" s="0" t="s">
        <x:v>46</x:v>
      </x:c>
    </x:row>
    <x:row r="1174" spans="1:16">
      <x:c r="A1174" s="0" t="s">
        <x:v>4523</x:v>
      </x:c>
      <x:c r="B1174" s="0" t="s">
        <x:v>4524</x:v>
      </x:c>
      <x:c r="C1174" s="0" t="s">
        <x:v>4525</x:v>
      </x:c>
      <x:c r="E1174" s="0" t="s">
        <x:v>4526</x:v>
      </x:c>
      <x:c r="F1174" s="0" t="s">
        <x:v>45</x:v>
      </x:c>
      <x:c r="G1174" s="0" t="s">
        <x:v>19</x:v>
      </x:c>
      <x:c r="H1174" s="0" t="s">
        <x:v>20</x:v>
      </x:c>
      <x:c r="I1174" s="0" t="s">
        <x:v>21</x:v>
      </x:c>
      <x:c r="K1174" s="0">
        <x:f>hyperlink("https://icd.who.int/dev11/l-ichi/en#/http%3A%2F%2Fid.who.int%2Ficd%2Fentity%2F1781781796","browser")</x:f>
      </x:c>
      <x:c r="L1174" s="0">
        <x:f>hyperlink("https://icat2.azurewebsites.net/icat/?ontology=ICD&amp;tab=ClassesTab&amp;id=http%3A%2F%2Fwho.int%2Ficd%23351_94acc4f6_b696_4796_914a_62879ddd4f65","iCat")</x:f>
      </x:c>
      <x:c r="M1174" s="0" t="s">
        <x:v>21</x:v>
      </x:c>
      <x:c r="N1174" s="0" t="s">
        <x:v>46</x:v>
      </x:c>
    </x:row>
    <x:row r="1175" spans="1:16">
      <x:c r="A1175" s="0" t="s">
        <x:v>4527</x:v>
      </x:c>
      <x:c r="B1175" s="0" t="s">
        <x:v>4528</x:v>
      </x:c>
      <x:c r="C1175" s="0" t="s">
        <x:v>4529</x:v>
      </x:c>
      <x:c r="E1175" s="0" t="s">
        <x:v>4530</x:v>
      </x:c>
      <x:c r="F1175" s="0" t="s">
        <x:v>45</x:v>
      </x:c>
      <x:c r="G1175" s="0" t="s">
        <x:v>19</x:v>
      </x:c>
      <x:c r="H1175" s="0" t="s">
        <x:v>20</x:v>
      </x:c>
      <x:c r="I1175" s="0" t="s">
        <x:v>21</x:v>
      </x:c>
      <x:c r="K1175" s="0">
        <x:f>hyperlink("https://icd.who.int/dev11/l-ichi/en#/http%3A%2F%2Fid.who.int%2Ficd%2Fentity%2F183733858","browser")</x:f>
      </x:c>
      <x:c r="L1175" s="0">
        <x:f>hyperlink("https://icat2.azurewebsites.net/icat/?ontology=ICD&amp;tab=ClassesTab&amp;id=http%3A%2F%2Fwho.int%2Ficd%232077_4869915e_217e_423d_acb3_33c0f920ef4b","iCat")</x:f>
      </x:c>
      <x:c r="M1175" s="0" t="s">
        <x:v>21</x:v>
      </x:c>
      <x:c r="N1175" s="0" t="s">
        <x:v>46</x:v>
      </x:c>
    </x:row>
    <x:row r="1176" spans="1:16">
      <x:c r="A1176" s="0" t="s">
        <x:v>4531</x:v>
      </x:c>
      <x:c r="B1176" s="0" t="s">
        <x:v>4532</x:v>
      </x:c>
      <x:c r="C1176" s="0" t="s">
        <x:v>4533</x:v>
      </x:c>
      <x:c r="E1176" s="0" t="s">
        <x:v>4534</x:v>
      </x:c>
      <x:c r="F1176" s="0" t="s">
        <x:v>45</x:v>
      </x:c>
      <x:c r="G1176" s="0" t="s">
        <x:v>19</x:v>
      </x:c>
      <x:c r="H1176" s="0" t="s">
        <x:v>20</x:v>
      </x:c>
      <x:c r="I1176" s="0" t="s">
        <x:v>21</x:v>
      </x:c>
      <x:c r="K1176" s="0">
        <x:f>hyperlink("https://icd.who.int/dev11/l-ichi/en#/http%3A%2F%2Fid.who.int%2Ficd%2Fentity%2F285303409","browser")</x:f>
      </x:c>
      <x:c r="L1176" s="0">
        <x:f>hyperlink("https://icat2.azurewebsites.net/icat/?ontology=ICD&amp;tab=ClassesTab&amp;id=http%3A%2F%2Fwho.int%2Ficd%231124_512ebf36_bf6b_4d70_85da_cf2637062af4","iCat")</x:f>
      </x:c>
      <x:c r="M1176" s="0" t="s">
        <x:v>21</x:v>
      </x:c>
      <x:c r="N1176" s="0" t="s">
        <x:v>46</x:v>
      </x:c>
    </x:row>
    <x:row r="1177" spans="1:16">
      <x:c r="A1177" s="0" t="s">
        <x:v>4535</x:v>
      </x:c>
      <x:c r="B1177" s="0" t="s">
        <x:v>4536</x:v>
      </x:c>
      <x:c r="C1177" s="0" t="s">
        <x:v>4537</x:v>
      </x:c>
      <x:c r="E1177" s="0" t="s">
        <x:v>4538</x:v>
      </x:c>
      <x:c r="F1177" s="0" t="s">
        <x:v>45</x:v>
      </x:c>
      <x:c r="G1177" s="0" t="s">
        <x:v>19</x:v>
      </x:c>
      <x:c r="H1177" s="0" t="s">
        <x:v>20</x:v>
      </x:c>
      <x:c r="I1177" s="0" t="s">
        <x:v>21</x:v>
      </x:c>
      <x:c r="K1177" s="0">
        <x:f>hyperlink("https://icd.who.int/dev11/l-ichi/en#/http%3A%2F%2Fid.who.int%2Ficd%2Fentity%2F1849311600","browser")</x:f>
      </x:c>
      <x:c r="L1177" s="0">
        <x:f>hyperlink("https://icat2.azurewebsites.net/icat/?ontology=ICD&amp;tab=ClassesTab&amp;id=http%3A%2F%2Fwho.int%2Ficd%231131_512ebf36_bf6b_4d70_85da_cf2637062af4","iCat")</x:f>
      </x:c>
      <x:c r="M1177" s="0" t="s">
        <x:v>21</x:v>
      </x:c>
      <x:c r="N1177" s="0" t="s">
        <x:v>46</x:v>
      </x:c>
    </x:row>
    <x:row r="1178" spans="1:16">
      <x:c r="A1178" s="0" t="s">
        <x:v>4539</x:v>
      </x:c>
      <x:c r="B1178" s="0" t="s">
        <x:v>4540</x:v>
      </x:c>
      <x:c r="C1178" s="0" t="s">
        <x:v>4541</x:v>
      </x:c>
      <x:c r="E1178" s="0" t="s">
        <x:v>4542</x:v>
      </x:c>
      <x:c r="F1178" s="0" t="s">
        <x:v>45</x:v>
      </x:c>
      <x:c r="G1178" s="0" t="s">
        <x:v>19</x:v>
      </x:c>
      <x:c r="H1178" s="0" t="s">
        <x:v>20</x:v>
      </x:c>
      <x:c r="I1178" s="0" t="s">
        <x:v>21</x:v>
      </x:c>
      <x:c r="K1178" s="0">
        <x:f>hyperlink("https://icd.who.int/dev11/l-ichi/en#/http%3A%2F%2Fid.who.int%2Ficd%2Fentity%2F732822551","browser")</x:f>
      </x:c>
      <x:c r="L1178" s="0">
        <x:f>hyperlink("https://icat2.azurewebsites.net/icat/?ontology=ICD&amp;tab=ClassesTab&amp;id=http%3A%2F%2Fwho.int%2Ficd%2314542_4869915e_217e_423d_acb3_33c0f920ef4b","iCat")</x:f>
      </x:c>
      <x:c r="M1178" s="0" t="s">
        <x:v>21</x:v>
      </x:c>
      <x:c r="N1178" s="0" t="s">
        <x:v>46</x:v>
      </x:c>
    </x:row>
    <x:row r="1179" spans="1:16">
      <x:c r="A1179" s="0" t="s">
        <x:v>4543</x:v>
      </x:c>
      <x:c r="B1179" s="0" t="s">
        <x:v>4544</x:v>
      </x:c>
      <x:c r="C1179" s="0" t="s">
        <x:v>4545</x:v>
      </x:c>
      <x:c r="E1179" s="0" t="s">
        <x:v>4546</x:v>
      </x:c>
      <x:c r="F1179" s="0" t="s">
        <x:v>45</x:v>
      </x:c>
      <x:c r="G1179" s="0" t="s">
        <x:v>19</x:v>
      </x:c>
      <x:c r="H1179" s="0" t="s">
        <x:v>20</x:v>
      </x:c>
      <x:c r="I1179" s="0" t="s">
        <x:v>21</x:v>
      </x:c>
      <x:c r="K1179" s="0">
        <x:f>hyperlink("https://icd.who.int/dev11/l-ichi/en#/http%3A%2F%2Fid.who.int%2Ficd%2Fentity%2F4342279","browser")</x:f>
      </x:c>
      <x:c r="L1179" s="0">
        <x:f>hyperlink("https://icat2.azurewebsites.net/icat/?ontology=ICD&amp;tab=ClassesTab&amp;id=http%3A%2F%2Fwho.int%2Ficd%231138_512ebf36_bf6b_4d70_85da_cf2637062af4","iCat")</x:f>
      </x:c>
      <x:c r="M1179" s="0" t="s">
        <x:v>21</x:v>
      </x:c>
      <x:c r="N1179" s="0" t="s">
        <x:v>46</x:v>
      </x:c>
    </x:row>
    <x:row r="1180" spans="1:16">
      <x:c r="A1180" s="0" t="s">
        <x:v>4547</x:v>
      </x:c>
      <x:c r="B1180" s="0" t="s">
        <x:v>4548</x:v>
      </x:c>
      <x:c r="C1180" s="0" t="s">
        <x:v>4549</x:v>
      </x:c>
      <x:c r="E1180" s="0" t="s">
        <x:v>4550</x:v>
      </x:c>
      <x:c r="F1180" s="0" t="s">
        <x:v>45</x:v>
      </x:c>
      <x:c r="G1180" s="0" t="s">
        <x:v>19</x:v>
      </x:c>
      <x:c r="H1180" s="0" t="s">
        <x:v>20</x:v>
      </x:c>
      <x:c r="I1180" s="0" t="s">
        <x:v>21</x:v>
      </x:c>
      <x:c r="K1180" s="0">
        <x:f>hyperlink("https://icd.who.int/dev11/l-ichi/en#/http%3A%2F%2Fid.who.int%2Ficd%2Fentity%2F815026461","browser")</x:f>
      </x:c>
      <x:c r="L1180" s="0">
        <x:f>hyperlink("https://icat2.azurewebsites.net/icat/?ontology=ICD&amp;tab=ClassesTab&amp;id=http%3A%2F%2Fwho.int%2Ficd%231148_512ebf36_bf6b_4d70_85da_cf2637062af4","iCat")</x:f>
      </x:c>
      <x:c r="M1180" s="0" t="s">
        <x:v>21</x:v>
      </x:c>
      <x:c r="N1180" s="0" t="s">
        <x:v>46</x:v>
      </x:c>
    </x:row>
    <x:row r="1181" spans="1:16">
      <x:c r="A1181" s="0" t="s">
        <x:v>4551</x:v>
      </x:c>
      <x:c r="B1181" s="0" t="s">
        <x:v>4552</x:v>
      </x:c>
      <x:c r="C1181" s="0" t="s">
        <x:v>4553</x:v>
      </x:c>
      <x:c r="E1181" s="0" t="s">
        <x:v>4554</x:v>
      </x:c>
      <x:c r="F1181" s="0" t="s">
        <x:v>45</x:v>
      </x:c>
      <x:c r="G1181" s="0" t="s">
        <x:v>19</x:v>
      </x:c>
      <x:c r="H1181" s="0" t="s">
        <x:v>20</x:v>
      </x:c>
      <x:c r="I1181" s="0" t="s">
        <x:v>21</x:v>
      </x:c>
      <x:c r="K1181" s="0">
        <x:f>hyperlink("https://icd.who.int/dev11/l-ichi/en#/http%3A%2F%2Fid.who.int%2Ficd%2Fentity%2F1515308108","browser")</x:f>
      </x:c>
      <x:c r="L1181" s="0">
        <x:f>hyperlink("https://icat2.azurewebsites.net/icat/?ontology=ICD&amp;tab=ClassesTab&amp;id=http%3A%2F%2Fwho.int%2Ficd%231158_512ebf36_bf6b_4d70_85da_cf2637062af4","iCat")</x:f>
      </x:c>
      <x:c r="M1181" s="0" t="s">
        <x:v>21</x:v>
      </x:c>
      <x:c r="N1181" s="0" t="s">
        <x:v>46</x:v>
      </x:c>
    </x:row>
    <x:row r="1182" spans="1:16">
      <x:c r="A1182" s="0" t="s">
        <x:v>4555</x:v>
      </x:c>
      <x:c r="B1182" s="0" t="s">
        <x:v>4556</x:v>
      </x:c>
      <x:c r="C1182" s="0" t="s">
        <x:v>4557</x:v>
      </x:c>
      <x:c r="E1182" s="0" t="s">
        <x:v>4558</x:v>
      </x:c>
      <x:c r="F1182" s="0" t="s">
        <x:v>45</x:v>
      </x:c>
      <x:c r="G1182" s="0" t="s">
        <x:v>19</x:v>
      </x:c>
      <x:c r="H1182" s="0" t="s">
        <x:v>20</x:v>
      </x:c>
      <x:c r="I1182" s="0" t="s">
        <x:v>21</x:v>
      </x:c>
      <x:c r="K1182" s="0">
        <x:f>hyperlink("https://icd.who.int/dev11/l-ichi/en#/http%3A%2F%2Fid.who.int%2Ficd%2Fentity%2F1100956496","browser")</x:f>
      </x:c>
      <x:c r="L1182" s="0">
        <x:f>hyperlink("https://icat2.azurewebsites.net/icat/?ontology=ICD&amp;tab=ClassesTab&amp;id=http%3A%2F%2Fwho.int%2Ficd%231165_512ebf36_bf6b_4d70_85da_cf2637062af4","iCat")</x:f>
      </x:c>
      <x:c r="M1182" s="0" t="s">
        <x:v>21</x:v>
      </x:c>
      <x:c r="N1182" s="0" t="s">
        <x:v>46</x:v>
      </x:c>
    </x:row>
    <x:row r="1183" spans="1:16">
      <x:c r="A1183" s="0" t="s">
        <x:v>4559</x:v>
      </x:c>
      <x:c r="B1183" s="0" t="s">
        <x:v>4560</x:v>
      </x:c>
      <x:c r="C1183" s="0" t="s">
        <x:v>4561</x:v>
      </x:c>
      <x:c r="E1183" s="0" t="s">
        <x:v>4562</x:v>
      </x:c>
      <x:c r="F1183" s="0" t="s">
        <x:v>45</x:v>
      </x:c>
      <x:c r="G1183" s="0" t="s">
        <x:v>19</x:v>
      </x:c>
      <x:c r="H1183" s="0" t="s">
        <x:v>20</x:v>
      </x:c>
      <x:c r="I1183" s="0" t="s">
        <x:v>21</x:v>
      </x:c>
      <x:c r="K1183" s="0">
        <x:f>hyperlink("https://icd.who.int/dev11/l-ichi/en#/http%3A%2F%2Fid.who.int%2Ficd%2Fentity%2F727373319","browser")</x:f>
      </x:c>
      <x:c r="L1183" s="0">
        <x:f>hyperlink("https://icat2.azurewebsites.net/icat/?ontology=ICD&amp;tab=ClassesTab&amp;id=http%3A%2F%2Fwho.int%2Ficd%231175_512ebf36_bf6b_4d70_85da_cf2637062af4","iCat")</x:f>
      </x:c>
      <x:c r="M1183" s="0" t="s">
        <x:v>21</x:v>
      </x:c>
      <x:c r="N1183" s="0" t="s">
        <x:v>46</x:v>
      </x:c>
    </x:row>
    <x:row r="1184" spans="1:16">
      <x:c r="A1184" s="0" t="s">
        <x:v>4563</x:v>
      </x:c>
      <x:c r="B1184" s="0" t="s">
        <x:v>4564</x:v>
      </x:c>
      <x:c r="C1184" s="0" t="s">
        <x:v>4565</x:v>
      </x:c>
      <x:c r="E1184" s="0" t="s">
        <x:v>4566</x:v>
      </x:c>
      <x:c r="F1184" s="0" t="s">
        <x:v>45</x:v>
      </x:c>
      <x:c r="G1184" s="0" t="s">
        <x:v>19</x:v>
      </x:c>
      <x:c r="H1184" s="0" t="s">
        <x:v>20</x:v>
      </x:c>
      <x:c r="I1184" s="0" t="s">
        <x:v>21</x:v>
      </x:c>
      <x:c r="K1184" s="0">
        <x:f>hyperlink("https://icd.who.int/dev11/l-ichi/en#/http%3A%2F%2Fid.who.int%2Ficd%2Fentity%2F1950299988","browser")</x:f>
      </x:c>
      <x:c r="L1184" s="0">
        <x:f>hyperlink("https://icat2.azurewebsites.net/icat/?ontology=ICD&amp;tab=ClassesTab&amp;id=http%3A%2F%2Fwho.int%2Ficd%231182_512ebf36_bf6b_4d70_85da_cf2637062af4","iCat")</x:f>
      </x:c>
      <x:c r="M1184" s="0" t="s">
        <x:v>21</x:v>
      </x:c>
      <x:c r="N1184" s="0" t="s">
        <x:v>46</x:v>
      </x:c>
    </x:row>
    <x:row r="1185" spans="1:16">
      <x:c r="A1185" s="0" t="s">
        <x:v>4567</x:v>
      </x:c>
      <x:c r="B1185" s="0" t="s">
        <x:v>4568</x:v>
      </x:c>
      <x:c r="C1185" s="0" t="s">
        <x:v>4569</x:v>
      </x:c>
      <x:c r="E1185" s="0" t="s">
        <x:v>4570</x:v>
      </x:c>
      <x:c r="F1185" s="0" t="s">
        <x:v>45</x:v>
      </x:c>
      <x:c r="G1185" s="0" t="s">
        <x:v>19</x:v>
      </x:c>
      <x:c r="H1185" s="0" t="s">
        <x:v>20</x:v>
      </x:c>
      <x:c r="I1185" s="0" t="s">
        <x:v>21</x:v>
      </x:c>
      <x:c r="K1185" s="0">
        <x:f>hyperlink("https://icd.who.int/dev11/l-ichi/en#/http%3A%2F%2Fid.who.int%2Ficd%2Fentity%2F519741955","browser")</x:f>
      </x:c>
      <x:c r="L1185" s="0">
        <x:f>hyperlink("https://icat2.azurewebsites.net/icat/?ontology=ICD&amp;tab=ClassesTab&amp;id=http%3A%2F%2Fwho.int%2Ficd%231192_512ebf36_bf6b_4d70_85da_cf2637062af4","iCat")</x:f>
      </x:c>
      <x:c r="M1185" s="0" t="s">
        <x:v>21</x:v>
      </x:c>
      <x:c r="N1185" s="0" t="s">
        <x:v>46</x:v>
      </x:c>
    </x:row>
    <x:row r="1186" spans="1:16">
      <x:c r="A1186" s="0" t="s">
        <x:v>4571</x:v>
      </x:c>
      <x:c r="B1186" s="0" t="s">
        <x:v>4572</x:v>
      </x:c>
      <x:c r="C1186" s="0" t="s">
        <x:v>4573</x:v>
      </x:c>
      <x:c r="E1186" s="0" t="s">
        <x:v>4574</x:v>
      </x:c>
      <x:c r="F1186" s="0" t="s">
        <x:v>45</x:v>
      </x:c>
      <x:c r="G1186" s="0" t="s">
        <x:v>19</x:v>
      </x:c>
      <x:c r="H1186" s="0" t="s">
        <x:v>20</x:v>
      </x:c>
      <x:c r="I1186" s="0" t="s">
        <x:v>21</x:v>
      </x:c>
      <x:c r="K1186" s="0">
        <x:f>hyperlink("https://icd.who.int/dev11/l-ichi/en#/http%3A%2F%2Fid.who.int%2Ficd%2Fentity%2F173136585","browser")</x:f>
      </x:c>
      <x:c r="L1186" s="0">
        <x:f>hyperlink("https://icat2.azurewebsites.net/icat/?ontology=ICD&amp;tab=ClassesTab&amp;id=http%3A%2F%2Fwho.int%2Ficd%231202_512ebf36_bf6b_4d70_85da_cf2637062af4","iCat")</x:f>
      </x:c>
      <x:c r="M1186" s="0" t="s">
        <x:v>21</x:v>
      </x:c>
      <x:c r="N1186" s="0" t="s">
        <x:v>46</x:v>
      </x:c>
    </x:row>
    <x:row r="1187" spans="1:16">
      <x:c r="A1187" s="0" t="s">
        <x:v>4575</x:v>
      </x:c>
      <x:c r="B1187" s="0" t="s">
        <x:v>4576</x:v>
      </x:c>
      <x:c r="C1187" s="0" t="s">
        <x:v>4577</x:v>
      </x:c>
      <x:c r="E1187" s="0" t="s">
        <x:v>4578</x:v>
      </x:c>
      <x:c r="F1187" s="0" t="s">
        <x:v>45</x:v>
      </x:c>
      <x:c r="G1187" s="0" t="s">
        <x:v>19</x:v>
      </x:c>
      <x:c r="H1187" s="0" t="s">
        <x:v>20</x:v>
      </x:c>
      <x:c r="I1187" s="0" t="s">
        <x:v>21</x:v>
      </x:c>
      <x:c r="K1187" s="0">
        <x:f>hyperlink("https://icd.who.int/dev11/l-ichi/en#/http%3A%2F%2Fid.who.int%2Ficd%2Fentity%2F2059510400","browser")</x:f>
      </x:c>
      <x:c r="L1187" s="0">
        <x:f>hyperlink("https://icat2.azurewebsites.net/icat/?ontology=ICD&amp;tab=ClassesTab&amp;id=http%3A%2F%2Fwho.int%2Ficd%2321_e02c2df3_77b6_419a_b43f_c4531334dd70","iCat")</x:f>
      </x:c>
      <x:c r="M1187" s="0" t="s">
        <x:v>21</x:v>
      </x:c>
      <x:c r="N1187" s="0" t="s">
        <x:v>46</x:v>
      </x:c>
    </x:row>
    <x:row r="1188" spans="1:16">
      <x:c r="A1188" s="0" t="s">
        <x:v>4579</x:v>
      </x:c>
      <x:c r="B1188" s="0" t="s">
        <x:v>4580</x:v>
      </x:c>
      <x:c r="D1188" s="0" t="s">
        <x:v>4581</x:v>
      </x:c>
      <x:c r="E1188" s="0" t="s">
        <x:v>4582</x:v>
      </x:c>
      <x:c r="F1188" s="0" t="s">
        <x:v>26</x:v>
      </x:c>
      <x:c r="G1188" s="0" t="s">
        <x:v>22</x:v>
      </x:c>
      <x:c r="H1188" s="0" t="s">
        <x:v>20</x:v>
      </x:c>
      <x:c r="I1188" s="0" t="s">
        <x:v>21</x:v>
      </x:c>
      <x:c r="K1188" s="0">
        <x:f>hyperlink("https://icd.who.int/dev11/l-ichi/en#/http%3A%2F%2Fid.who.int%2Ficd%2Fentity%2F1080901028","browser")</x:f>
      </x:c>
      <x:c r="L1188" s="0">
        <x:f>hyperlink("https://icat2.azurewebsites.net/icat/?ontology=ICD&amp;tab=ClassesTab&amp;id=http%3A%2F%2Fwho.int%2Ficd%231213_512ebf36_bf6b_4d70_85da_cf2637062af4","iCat")</x:f>
      </x:c>
      <x:c r="M1188" s="0" t="s">
        <x:v>20</x:v>
      </x:c>
      <x:c r="N1188" s="0" t="s">
        <x:v>4583</x:v>
      </x:c>
    </x:row>
    <x:row r="1189" spans="1:16">
      <x:c r="A1189" s="0" t="s">
        <x:v>4584</x:v>
      </x:c>
      <x:c r="B1189" s="0" t="s">
        <x:v>4585</x:v>
      </x:c>
      <x:c r="C1189" s="0" t="s">
        <x:v>4586</x:v>
      </x:c>
      <x:c r="E1189" s="0" t="s">
        <x:v>4587</x:v>
      </x:c>
      <x:c r="F1189" s="0" t="s">
        <x:v>45</x:v>
      </x:c>
      <x:c r="G1189" s="0" t="s">
        <x:v>19</x:v>
      </x:c>
      <x:c r="H1189" s="0" t="s">
        <x:v>20</x:v>
      </x:c>
      <x:c r="I1189" s="0" t="s">
        <x:v>21</x:v>
      </x:c>
      <x:c r="K1189" s="0">
        <x:f>hyperlink("https://icd.who.int/dev11/l-ichi/en#/http%3A%2F%2Fid.who.int%2Ficd%2Fentity%2F1620332446","browser")</x:f>
      </x:c>
      <x:c r="L1189" s="0">
        <x:f>hyperlink("https://icat2.azurewebsites.net/icat/?ontology=ICD&amp;tab=ClassesTab&amp;id=http%3A%2F%2Fwho.int%2Ficd%231212_512ebf36_bf6b_4d70_85da_cf2637062af4","iCat")</x:f>
      </x:c>
      <x:c r="M1189" s="0" t="s">
        <x:v>21</x:v>
      </x:c>
      <x:c r="N1189" s="0" t="s">
        <x:v>46</x:v>
      </x:c>
    </x:row>
    <x:row r="1190" spans="1:16">
      <x:c r="A1190" s="0" t="s">
        <x:v>4588</x:v>
      </x:c>
      <x:c r="B1190" s="0" t="s">
        <x:v>4589</x:v>
      </x:c>
      <x:c r="C1190" s="0" t="s">
        <x:v>4590</x:v>
      </x:c>
      <x:c r="E1190" s="0" t="s">
        <x:v>4591</x:v>
      </x:c>
      <x:c r="F1190" s="0" t="s">
        <x:v>45</x:v>
      </x:c>
      <x:c r="G1190" s="0" t="s">
        <x:v>19</x:v>
      </x:c>
      <x:c r="H1190" s="0" t="s">
        <x:v>20</x:v>
      </x:c>
      <x:c r="I1190" s="0" t="s">
        <x:v>21</x:v>
      </x:c>
      <x:c r="K1190" s="0">
        <x:f>hyperlink("https://icd.who.int/dev11/l-ichi/en#/http%3A%2F%2Fid.who.int%2Ficd%2Fentity%2F1885263400","browser")</x:f>
      </x:c>
      <x:c r="L1190" s="0">
        <x:f>hyperlink("https://icat2.azurewebsites.net/icat/?ontology=ICD&amp;tab=ClassesTab&amp;id=http%3A%2F%2Fwho.int%2Ficd%231224_512ebf36_bf6b_4d70_85da_cf2637062af4","iCat")</x:f>
      </x:c>
      <x:c r="M1190" s="0" t="s">
        <x:v>21</x:v>
      </x:c>
      <x:c r="N1190" s="0" t="s">
        <x:v>46</x:v>
      </x:c>
    </x:row>
    <x:row r="1191" spans="1:16">
      <x:c r="A1191" s="0" t="s">
        <x:v>4592</x:v>
      </x:c>
      <x:c r="B1191" s="0" t="s">
        <x:v>4593</x:v>
      </x:c>
      <x:c r="C1191" s="0" t="s">
        <x:v>4594</x:v>
      </x:c>
      <x:c r="E1191" s="0" t="s">
        <x:v>4595</x:v>
      </x:c>
      <x:c r="F1191" s="0" t="s">
        <x:v>45</x:v>
      </x:c>
      <x:c r="G1191" s="0" t="s">
        <x:v>19</x:v>
      </x:c>
      <x:c r="H1191" s="0" t="s">
        <x:v>20</x:v>
      </x:c>
      <x:c r="I1191" s="0" t="s">
        <x:v>21</x:v>
      </x:c>
      <x:c r="K1191" s="0">
        <x:f>hyperlink("https://icd.who.int/dev11/l-ichi/en#/http%3A%2F%2Fid.who.int%2Ficd%2Fentity%2F258340151","browser")</x:f>
      </x:c>
      <x:c r="L1191" s="0">
        <x:f>hyperlink("https://icat2.azurewebsites.net/icat/?ontology=ICD&amp;tab=ClassesTab&amp;id=http%3A%2F%2Fwho.int%2Ficd%231231_512ebf36_bf6b_4d70_85da_cf2637062af4","iCat")</x:f>
      </x:c>
      <x:c r="M1191" s="0" t="s">
        <x:v>21</x:v>
      </x:c>
      <x:c r="N1191" s="0" t="s">
        <x:v>46</x:v>
      </x:c>
    </x:row>
    <x:row r="1192" spans="1:16">
      <x:c r="A1192" s="0" t="s">
        <x:v>4596</x:v>
      </x:c>
      <x:c r="B1192" s="0" t="s">
        <x:v>4597</x:v>
      </x:c>
      <x:c r="C1192" s="0" t="s">
        <x:v>4598</x:v>
      </x:c>
      <x:c r="E1192" s="0" t="s">
        <x:v>4599</x:v>
      </x:c>
      <x:c r="F1192" s="0" t="s">
        <x:v>45</x:v>
      </x:c>
      <x:c r="G1192" s="0" t="s">
        <x:v>19</x:v>
      </x:c>
      <x:c r="H1192" s="0" t="s">
        <x:v>20</x:v>
      </x:c>
      <x:c r="I1192" s="0" t="s">
        <x:v>21</x:v>
      </x:c>
      <x:c r="K1192" s="0">
        <x:f>hyperlink("https://icd.who.int/dev11/l-ichi/en#/http%3A%2F%2Fid.who.int%2Ficd%2Fentity%2F1352414330","browser")</x:f>
      </x:c>
      <x:c r="L1192" s="0">
        <x:f>hyperlink("https://icat2.azurewebsites.net/icat/?ontology=ICD&amp;tab=ClassesTab&amp;id=http%3A%2F%2Fwho.int%2Ficd%2314761_4869915e_217e_423d_acb3_33c0f920ef4b","iCat")</x:f>
      </x:c>
      <x:c r="M1192" s="0" t="s">
        <x:v>21</x:v>
      </x:c>
      <x:c r="N1192" s="0" t="s">
        <x:v>46</x:v>
      </x:c>
    </x:row>
    <x:row r="1193" spans="1:16">
      <x:c r="A1193" s="0" t="s">
        <x:v>4600</x:v>
      </x:c>
      <x:c r="B1193" s="0" t="s">
        <x:v>4601</x:v>
      </x:c>
      <x:c r="C1193" s="0" t="s">
        <x:v>4602</x:v>
      </x:c>
      <x:c r="E1193" s="0" t="s">
        <x:v>4603</x:v>
      </x:c>
      <x:c r="F1193" s="0" t="s">
        <x:v>45</x:v>
      </x:c>
      <x:c r="G1193" s="0" t="s">
        <x:v>19</x:v>
      </x:c>
      <x:c r="H1193" s="0" t="s">
        <x:v>20</x:v>
      </x:c>
      <x:c r="I1193" s="0" t="s">
        <x:v>21</x:v>
      </x:c>
      <x:c r="K1193" s="0">
        <x:f>hyperlink("https://icd.who.int/dev11/l-ichi/en#/http%3A%2F%2Fid.who.int%2Ficd%2Fentity%2F1034927048","browser")</x:f>
      </x:c>
      <x:c r="L1193" s="0">
        <x:f>hyperlink("https://icat2.azurewebsites.net/icat/?ontology=ICD&amp;tab=ClassesTab&amp;id=http%3A%2F%2Fwho.int%2Ficd%2312317_4869915e_217e_423d_acb3_33c0f920ef4b","iCat")</x:f>
      </x:c>
      <x:c r="M1193" s="0" t="s">
        <x:v>21</x:v>
      </x:c>
      <x:c r="N1193" s="0" t="s">
        <x:v>46</x:v>
      </x:c>
    </x:row>
    <x:row r="1194" spans="1:16">
      <x:c r="A1194" s="0" t="s">
        <x:v>4604</x:v>
      </x:c>
      <x:c r="B1194" s="0" t="s">
        <x:v>4605</x:v>
      </x:c>
      <x:c r="C1194" s="0" t="s">
        <x:v>4606</x:v>
      </x:c>
      <x:c r="E1194" s="0" t="s">
        <x:v>4607</x:v>
      </x:c>
      <x:c r="F1194" s="0" t="s">
        <x:v>45</x:v>
      </x:c>
      <x:c r="G1194" s="0" t="s">
        <x:v>19</x:v>
      </x:c>
      <x:c r="H1194" s="0" t="s">
        <x:v>20</x:v>
      </x:c>
      <x:c r="I1194" s="0" t="s">
        <x:v>21</x:v>
      </x:c>
      <x:c r="K1194" s="0">
        <x:f>hyperlink("https://icd.who.int/dev11/l-ichi/en#/http%3A%2F%2Fid.who.int%2Ficd%2Fentity%2F1209614267","browser")</x:f>
      </x:c>
      <x:c r="L1194" s="0">
        <x:f>hyperlink("https://icat2.azurewebsites.net/icat/?ontology=ICD&amp;tab=ClassesTab&amp;id=http%3A%2F%2Fwho.int%2Ficd%2312323_4869915e_217e_423d_acb3_33c0f920ef4b","iCat")</x:f>
      </x:c>
      <x:c r="M1194" s="0" t="s">
        <x:v>21</x:v>
      </x:c>
      <x:c r="N1194" s="0" t="s">
        <x:v>46</x:v>
      </x:c>
    </x:row>
    <x:row r="1195" spans="1:16">
      <x:c r="A1195" s="0" t="s">
        <x:v>4608</x:v>
      </x:c>
      <x:c r="B1195" s="0" t="s">
        <x:v>4609</x:v>
      </x:c>
      <x:c r="C1195" s="0" t="s">
        <x:v>4610</x:v>
      </x:c>
      <x:c r="E1195" s="0" t="s">
        <x:v>4611</x:v>
      </x:c>
      <x:c r="F1195" s="0" t="s">
        <x:v>45</x:v>
      </x:c>
      <x:c r="G1195" s="0" t="s">
        <x:v>19</x:v>
      </x:c>
      <x:c r="H1195" s="0" t="s">
        <x:v>20</x:v>
      </x:c>
      <x:c r="I1195" s="0" t="s">
        <x:v>21</x:v>
      </x:c>
      <x:c r="K1195" s="0">
        <x:f>hyperlink("https://icd.who.int/dev11/l-ichi/en#/http%3A%2F%2Fid.who.int%2Ficd%2Fentity%2F1629353568","browser")</x:f>
      </x:c>
      <x:c r="L1195" s="0">
        <x:f>hyperlink("https://icat2.azurewebsites.net/icat/?ontology=ICD&amp;tab=ClassesTab&amp;id=http%3A%2F%2Fwho.int%2Ficd%231238_512ebf36_bf6b_4d70_85da_cf2637062af4","iCat")</x:f>
      </x:c>
      <x:c r="M1195" s="0" t="s">
        <x:v>21</x:v>
      </x:c>
      <x:c r="N1195" s="0" t="s">
        <x:v>46</x:v>
      </x:c>
    </x:row>
    <x:row r="1196" spans="1:16">
      <x:c r="A1196" s="0" t="s">
        <x:v>4612</x:v>
      </x:c>
      <x:c r="B1196" s="0" t="s">
        <x:v>4613</x:v>
      </x:c>
      <x:c r="C1196" s="0" t="s">
        <x:v>4614</x:v>
      </x:c>
      <x:c r="E1196" s="0" t="s">
        <x:v>4615</x:v>
      </x:c>
      <x:c r="F1196" s="0" t="s">
        <x:v>45</x:v>
      </x:c>
      <x:c r="G1196" s="0" t="s">
        <x:v>19</x:v>
      </x:c>
      <x:c r="H1196" s="0" t="s">
        <x:v>20</x:v>
      </x:c>
      <x:c r="I1196" s="0" t="s">
        <x:v>21</x:v>
      </x:c>
      <x:c r="K1196" s="0">
        <x:f>hyperlink("https://icd.who.int/dev11/l-ichi/en#/http%3A%2F%2Fid.who.int%2Ficd%2Fentity%2F555768699","browser")</x:f>
      </x:c>
      <x:c r="L1196" s="0">
        <x:f>hyperlink("https://icat2.azurewebsites.net/icat/?ontology=ICD&amp;tab=ClassesTab&amp;id=http%3A%2F%2Fwho.int%2Ficd%2314563_4869915e_217e_423d_acb3_33c0f920ef4b","iCat")</x:f>
      </x:c>
      <x:c r="M1196" s="0" t="s">
        <x:v>21</x:v>
      </x:c>
      <x:c r="N1196" s="0" t="s">
        <x:v>46</x:v>
      </x:c>
    </x:row>
    <x:row r="1197" spans="1:16">
      <x:c r="A1197" s="0" t="s">
        <x:v>4616</x:v>
      </x:c>
      <x:c r="B1197" s="0" t="s">
        <x:v>4617</x:v>
      </x:c>
      <x:c r="C1197" s="0" t="s">
        <x:v>4618</x:v>
      </x:c>
      <x:c r="E1197" s="0" t="s">
        <x:v>4619</x:v>
      </x:c>
      <x:c r="F1197" s="0" t="s">
        <x:v>45</x:v>
      </x:c>
      <x:c r="G1197" s="0" t="s">
        <x:v>19</x:v>
      </x:c>
      <x:c r="H1197" s="0" t="s">
        <x:v>20</x:v>
      </x:c>
      <x:c r="I1197" s="0" t="s">
        <x:v>21</x:v>
      </x:c>
      <x:c r="K1197" s="0">
        <x:f>hyperlink("https://icd.who.int/dev11/l-ichi/en#/http%3A%2F%2Fid.who.int%2Ficd%2Fentity%2F1328631202","browser")</x:f>
      </x:c>
      <x:c r="L1197" s="0">
        <x:f>hyperlink("https://icat2.azurewebsites.net/icat/?ontology=ICD&amp;tab=ClassesTab&amp;id=http%3A%2F%2Fwho.int%2Ficd%231246_512ebf36_bf6b_4d70_85da_cf2637062af4","iCat")</x:f>
      </x:c>
      <x:c r="M1197" s="0" t="s">
        <x:v>21</x:v>
      </x:c>
      <x:c r="N1197" s="0" t="s">
        <x:v>46</x:v>
      </x:c>
    </x:row>
    <x:row r="1198" spans="1:16">
      <x:c r="A1198" s="0" t="s">
        <x:v>4620</x:v>
      </x:c>
      <x:c r="B1198" s="0" t="s">
        <x:v>4621</x:v>
      </x:c>
      <x:c r="C1198" s="0" t="s">
        <x:v>4622</x:v>
      </x:c>
      <x:c r="E1198" s="0" t="s">
        <x:v>4623</x:v>
      </x:c>
      <x:c r="F1198" s="0" t="s">
        <x:v>45</x:v>
      </x:c>
      <x:c r="G1198" s="0" t="s">
        <x:v>19</x:v>
      </x:c>
      <x:c r="H1198" s="0" t="s">
        <x:v>20</x:v>
      </x:c>
      <x:c r="I1198" s="0" t="s">
        <x:v>21</x:v>
      </x:c>
      <x:c r="K1198" s="0">
        <x:f>hyperlink("https://icd.who.int/dev11/l-ichi/en#/http%3A%2F%2Fid.who.int%2Ficd%2Fentity%2F636803319","browser")</x:f>
      </x:c>
      <x:c r="L1198" s="0">
        <x:f>hyperlink("https://icat2.azurewebsites.net/icat/?ontology=ICD&amp;tab=ClassesTab&amp;id=http%3A%2F%2Fwho.int%2Ficd%231256_512ebf36_bf6b_4d70_85da_cf2637062af4","iCat")</x:f>
      </x:c>
      <x:c r="M1198" s="0" t="s">
        <x:v>21</x:v>
      </x:c>
      <x:c r="N1198" s="0" t="s">
        <x:v>46</x:v>
      </x:c>
    </x:row>
    <x:row r="1199" spans="1:16">
      <x:c r="A1199" s="0" t="s">
        <x:v>4624</x:v>
      </x:c>
      <x:c r="B1199" s="0" t="s">
        <x:v>4625</x:v>
      </x:c>
      <x:c r="C1199" s="0" t="s">
        <x:v>4626</x:v>
      </x:c>
      <x:c r="E1199" s="0" t="s">
        <x:v>4627</x:v>
      </x:c>
      <x:c r="F1199" s="0" t="s">
        <x:v>45</x:v>
      </x:c>
      <x:c r="G1199" s="0" t="s">
        <x:v>19</x:v>
      </x:c>
      <x:c r="H1199" s="0" t="s">
        <x:v>20</x:v>
      </x:c>
      <x:c r="I1199" s="0" t="s">
        <x:v>21</x:v>
      </x:c>
      <x:c r="K1199" s="0">
        <x:f>hyperlink("https://icd.who.int/dev11/l-ichi/en#/http%3A%2F%2Fid.who.int%2Ficd%2Fentity%2F1170008782","browser")</x:f>
      </x:c>
      <x:c r="L1199" s="0">
        <x:f>hyperlink("https://icat2.azurewebsites.net/icat/?ontology=ICD&amp;tab=ClassesTab&amp;id=http%3A%2F%2Fwho.int%2Ficd%231267_512ebf36_bf6b_4d70_85da_cf2637062af4","iCat")</x:f>
      </x:c>
      <x:c r="M1199" s="0" t="s">
        <x:v>21</x:v>
      </x:c>
      <x:c r="N1199" s="0" t="s">
        <x:v>46</x:v>
      </x:c>
    </x:row>
    <x:row r="1200" spans="1:16">
      <x:c r="A1200" s="0" t="s">
        <x:v>4628</x:v>
      </x:c>
      <x:c r="B1200" s="0" t="s">
        <x:v>4629</x:v>
      </x:c>
      <x:c r="C1200" s="0" t="s">
        <x:v>4630</x:v>
      </x:c>
      <x:c r="E1200" s="0" t="s">
        <x:v>4631</x:v>
      </x:c>
      <x:c r="F1200" s="0" t="s">
        <x:v>45</x:v>
      </x:c>
      <x:c r="G1200" s="0" t="s">
        <x:v>19</x:v>
      </x:c>
      <x:c r="H1200" s="0" t="s">
        <x:v>20</x:v>
      </x:c>
      <x:c r="I1200" s="0" t="s">
        <x:v>21</x:v>
      </x:c>
      <x:c r="K1200" s="0">
        <x:f>hyperlink("https://icd.who.int/dev11/l-ichi/en#/http%3A%2F%2Fid.who.int%2Ficd%2Fentity%2F444513263","browser")</x:f>
      </x:c>
      <x:c r="L1200" s="0">
        <x:f>hyperlink("https://icat2.azurewebsites.net/icat/?ontology=ICD&amp;tab=ClassesTab&amp;id=http%3A%2F%2Fwho.int%2Ficd%231273_512ebf36_bf6b_4d70_85da_cf2637062af4","iCat")</x:f>
      </x:c>
      <x:c r="M1200" s="0" t="s">
        <x:v>21</x:v>
      </x:c>
      <x:c r="N1200" s="0" t="s">
        <x:v>46</x:v>
      </x:c>
    </x:row>
    <x:row r="1201" spans="1:16">
      <x:c r="A1201" s="0" t="s">
        <x:v>4632</x:v>
      </x:c>
      <x:c r="B1201" s="0" t="s">
        <x:v>4633</x:v>
      </x:c>
      <x:c r="C1201" s="0" t="s">
        <x:v>4634</x:v>
      </x:c>
      <x:c r="E1201" s="0" t="s">
        <x:v>4635</x:v>
      </x:c>
      <x:c r="F1201" s="0" t="s">
        <x:v>45</x:v>
      </x:c>
      <x:c r="G1201" s="0" t="s">
        <x:v>19</x:v>
      </x:c>
      <x:c r="H1201" s="0" t="s">
        <x:v>20</x:v>
      </x:c>
      <x:c r="I1201" s="0" t="s">
        <x:v>21</x:v>
      </x:c>
      <x:c r="K1201" s="0">
        <x:f>hyperlink("https://icd.who.int/dev11/l-ichi/en#/http%3A%2F%2Fid.who.int%2Ficd%2Fentity%2F1357245684","browser")</x:f>
      </x:c>
      <x:c r="L1201" s="0">
        <x:f>hyperlink("https://icat2.azurewebsites.net/icat/?ontology=ICD&amp;tab=ClassesTab&amp;id=http%3A%2F%2Fwho.int%2Ficd%231281_512ebf36_bf6b_4d70_85da_cf2637062af4","iCat")</x:f>
      </x:c>
      <x:c r="M1201" s="0" t="s">
        <x:v>21</x:v>
      </x:c>
      <x:c r="N1201" s="0" t="s">
        <x:v>46</x:v>
      </x:c>
    </x:row>
    <x:row r="1202" spans="1:16">
      <x:c r="A1202" s="0" t="s">
        <x:v>4636</x:v>
      </x:c>
      <x:c r="B1202" s="0" t="s">
        <x:v>4637</x:v>
      </x:c>
      <x:c r="C1202" s="0" t="s">
        <x:v>4638</x:v>
      </x:c>
      <x:c r="E1202" s="0" t="s">
        <x:v>4639</x:v>
      </x:c>
      <x:c r="F1202" s="0" t="s">
        <x:v>45</x:v>
      </x:c>
      <x:c r="G1202" s="0" t="s">
        <x:v>19</x:v>
      </x:c>
      <x:c r="H1202" s="0" t="s">
        <x:v>20</x:v>
      </x:c>
      <x:c r="I1202" s="0" t="s">
        <x:v>21</x:v>
      </x:c>
      <x:c r="K1202" s="0">
        <x:f>hyperlink("https://icd.who.int/dev11/l-ichi/en#/http%3A%2F%2Fid.who.int%2Ficd%2Fentity%2F803131371","browser")</x:f>
      </x:c>
      <x:c r="L1202" s="0">
        <x:f>hyperlink("https://icat2.azurewebsites.net/icat/?ontology=ICD&amp;tab=ClassesTab&amp;id=http%3A%2F%2Fwho.int%2Ficd%231294_512ebf36_bf6b_4d70_85da_cf2637062af4","iCat")</x:f>
      </x:c>
      <x:c r="M1202" s="0" t="s">
        <x:v>21</x:v>
      </x:c>
      <x:c r="N1202" s="0" t="s">
        <x:v>46</x:v>
      </x:c>
    </x:row>
    <x:row r="1203" spans="1:16">
      <x:c r="A1203" s="0" t="s">
        <x:v>4640</x:v>
      </x:c>
      <x:c r="B1203" s="0" t="s">
        <x:v>4641</x:v>
      </x:c>
      <x:c r="C1203" s="0" t="s">
        <x:v>4642</x:v>
      </x:c>
      <x:c r="E1203" s="0" t="s">
        <x:v>4643</x:v>
      </x:c>
      <x:c r="F1203" s="0" t="s">
        <x:v>45</x:v>
      </x:c>
      <x:c r="G1203" s="0" t="s">
        <x:v>19</x:v>
      </x:c>
      <x:c r="H1203" s="0" t="s">
        <x:v>20</x:v>
      </x:c>
      <x:c r="I1203" s="0" t="s">
        <x:v>21</x:v>
      </x:c>
      <x:c r="K1203" s="0">
        <x:f>hyperlink("https://icd.who.int/dev11/l-ichi/en#/http%3A%2F%2Fid.who.int%2Ficd%2Fentity%2F256686041","browser")</x:f>
      </x:c>
      <x:c r="L1203" s="0">
        <x:f>hyperlink("https://icat2.azurewebsites.net/icat/?ontology=ICD&amp;tab=ClassesTab&amp;id=http%3A%2F%2Fwho.int%2Ficd%231305_512ebf36_bf6b_4d70_85da_cf2637062af4","iCat")</x:f>
      </x:c>
      <x:c r="M1203" s="0" t="s">
        <x:v>21</x:v>
      </x:c>
      <x:c r="N1203" s="0" t="s">
        <x:v>46</x:v>
      </x:c>
    </x:row>
    <x:row r="1204" spans="1:16">
      <x:c r="A1204" s="0" t="s">
        <x:v>4644</x:v>
      </x:c>
      <x:c r="B1204" s="0" t="s">
        <x:v>4645</x:v>
      </x:c>
      <x:c r="C1204" s="0" t="s">
        <x:v>4646</x:v>
      </x:c>
      <x:c r="E1204" s="0" t="s">
        <x:v>4647</x:v>
      </x:c>
      <x:c r="F1204" s="0" t="s">
        <x:v>45</x:v>
      </x:c>
      <x:c r="G1204" s="0" t="s">
        <x:v>19</x:v>
      </x:c>
      <x:c r="H1204" s="0" t="s">
        <x:v>20</x:v>
      </x:c>
      <x:c r="I1204" s="0" t="s">
        <x:v>21</x:v>
      </x:c>
      <x:c r="K1204" s="0">
        <x:f>hyperlink("https://icd.who.int/dev11/l-ichi/en#/http%3A%2F%2Fid.who.int%2Ficd%2Fentity%2F16072523","browser")</x:f>
      </x:c>
      <x:c r="L1204" s="0">
        <x:f>hyperlink("https://icat2.azurewebsites.net/icat/?ontology=ICD&amp;tab=ClassesTab&amp;id=http%3A%2F%2Fwho.int%2Ficd%231317_512ebf36_bf6b_4d70_85da_cf2637062af4","iCat")</x:f>
      </x:c>
      <x:c r="M1204" s="0" t="s">
        <x:v>21</x:v>
      </x:c>
      <x:c r="N1204" s="0" t="s">
        <x:v>46</x:v>
      </x:c>
    </x:row>
    <x:row r="1205" spans="1:16">
      <x:c r="A1205" s="0" t="s">
        <x:v>4648</x:v>
      </x:c>
      <x:c r="B1205" s="0" t="s">
        <x:v>4649</x:v>
      </x:c>
      <x:c r="C1205" s="0" t="s">
        <x:v>4650</x:v>
      </x:c>
      <x:c r="E1205" s="0" t="s">
        <x:v>4651</x:v>
      </x:c>
      <x:c r="F1205" s="0" t="s">
        <x:v>45</x:v>
      </x:c>
      <x:c r="G1205" s="0" t="s">
        <x:v>19</x:v>
      </x:c>
      <x:c r="H1205" s="0" t="s">
        <x:v>20</x:v>
      </x:c>
      <x:c r="I1205" s="0" t="s">
        <x:v>21</x:v>
      </x:c>
      <x:c r="K1205" s="0">
        <x:f>hyperlink("https://icd.who.int/dev11/l-ichi/en#/http%3A%2F%2Fid.who.int%2Ficd%2Fentity%2F624452233","browser")</x:f>
      </x:c>
      <x:c r="L1205" s="0">
        <x:f>hyperlink("https://icat2.azurewebsites.net/icat/?ontology=ICD&amp;tab=ClassesTab&amp;id=http%3A%2F%2Fwho.int%2Ficd%231325_512ebf36_bf6b_4d70_85da_cf2637062af4","iCat")</x:f>
      </x:c>
      <x:c r="M1205" s="0" t="s">
        <x:v>21</x:v>
      </x:c>
      <x:c r="N1205" s="0" t="s">
        <x:v>46</x:v>
      </x:c>
    </x:row>
    <x:row r="1206" spans="1:16">
      <x:c r="A1206" s="0" t="s">
        <x:v>4652</x:v>
      </x:c>
      <x:c r="B1206" s="0" t="s">
        <x:v>4653</x:v>
      </x:c>
      <x:c r="C1206" s="0" t="s">
        <x:v>4654</x:v>
      </x:c>
      <x:c r="E1206" s="0" t="s">
        <x:v>4655</x:v>
      </x:c>
      <x:c r="F1206" s="0" t="s">
        <x:v>45</x:v>
      </x:c>
      <x:c r="G1206" s="0" t="s">
        <x:v>19</x:v>
      </x:c>
      <x:c r="H1206" s="0" t="s">
        <x:v>20</x:v>
      </x:c>
      <x:c r="I1206" s="0" t="s">
        <x:v>21</x:v>
      </x:c>
      <x:c r="K1206" s="0">
        <x:f>hyperlink("https://icd.who.int/dev11/l-ichi/en#/http%3A%2F%2Fid.who.int%2Ficd%2Fentity%2F2063217578","browser")</x:f>
      </x:c>
      <x:c r="L1206" s="0">
        <x:f>hyperlink("https://icat2.azurewebsites.net/icat/?ontology=ICD&amp;tab=ClassesTab&amp;id=http%3A%2F%2Fwho.int%2Ficd%231331_512ebf36_bf6b_4d70_85da_cf2637062af4","iCat")</x:f>
      </x:c>
      <x:c r="M1206" s="0" t="s">
        <x:v>21</x:v>
      </x:c>
      <x:c r="N1206" s="0" t="s">
        <x:v>46</x:v>
      </x:c>
    </x:row>
    <x:row r="1207" spans="1:16">
      <x:c r="A1207" s="0" t="s">
        <x:v>4656</x:v>
      </x:c>
      <x:c r="B1207" s="0" t="s">
        <x:v>4657</x:v>
      </x:c>
      <x:c r="C1207" s="0" t="s">
        <x:v>4658</x:v>
      </x:c>
      <x:c r="E1207" s="0" t="s">
        <x:v>4659</x:v>
      </x:c>
      <x:c r="F1207" s="0" t="s">
        <x:v>45</x:v>
      </x:c>
      <x:c r="G1207" s="0" t="s">
        <x:v>19</x:v>
      </x:c>
      <x:c r="H1207" s="0" t="s">
        <x:v>20</x:v>
      </x:c>
      <x:c r="I1207" s="0" t="s">
        <x:v>21</x:v>
      </x:c>
      <x:c r="K1207" s="0">
        <x:f>hyperlink("https://icd.who.int/dev11/l-ichi/en#/http%3A%2F%2Fid.who.int%2Ficd%2Fentity%2F793787765","browser")</x:f>
      </x:c>
      <x:c r="L1207" s="0">
        <x:f>hyperlink("https://icat2.azurewebsites.net/icat/?ontology=ICD&amp;tab=ClassesTab&amp;id=http%3A%2F%2Fwho.int%2Ficd%231343_512ebf36_bf6b_4d70_85da_cf2637062af4","iCat")</x:f>
      </x:c>
      <x:c r="M1207" s="0" t="s">
        <x:v>21</x:v>
      </x:c>
      <x:c r="N1207" s="0" t="s">
        <x:v>46</x:v>
      </x:c>
    </x:row>
    <x:row r="1208" spans="1:16">
      <x:c r="A1208" s="0" t="s">
        <x:v>4660</x:v>
      </x:c>
      <x:c r="B1208" s="0" t="s">
        <x:v>4661</x:v>
      </x:c>
      <x:c r="C1208" s="0" t="s">
        <x:v>4662</x:v>
      </x:c>
      <x:c r="E1208" s="0" t="s">
        <x:v>4663</x:v>
      </x:c>
      <x:c r="F1208" s="0" t="s">
        <x:v>45</x:v>
      </x:c>
      <x:c r="G1208" s="0" t="s">
        <x:v>19</x:v>
      </x:c>
      <x:c r="H1208" s="0" t="s">
        <x:v>20</x:v>
      </x:c>
      <x:c r="I1208" s="0" t="s">
        <x:v>21</x:v>
      </x:c>
      <x:c r="K1208" s="0">
        <x:f>hyperlink("https://icd.who.int/dev11/l-ichi/en#/http%3A%2F%2Fid.who.int%2Ficd%2Fentity%2F1167435812","browser")</x:f>
      </x:c>
      <x:c r="L1208" s="0">
        <x:f>hyperlink("https://icat2.azurewebsites.net/icat/?ontology=ICD&amp;tab=ClassesTab&amp;id=http%3A%2F%2Fwho.int%2Ficd%231353_512ebf36_bf6b_4d70_85da_cf2637062af4","iCat")</x:f>
      </x:c>
      <x:c r="M1208" s="0" t="s">
        <x:v>21</x:v>
      </x:c>
      <x:c r="N1208" s="0" t="s">
        <x:v>46</x:v>
      </x:c>
    </x:row>
    <x:row r="1209" spans="1:16">
      <x:c r="A1209" s="0" t="s">
        <x:v>4664</x:v>
      </x:c>
      <x:c r="B1209" s="0" t="s">
        <x:v>4665</x:v>
      </x:c>
      <x:c r="C1209" s="0" t="s">
        <x:v>4666</x:v>
      </x:c>
      <x:c r="E1209" s="0" t="s">
        <x:v>4667</x:v>
      </x:c>
      <x:c r="F1209" s="0" t="s">
        <x:v>45</x:v>
      </x:c>
      <x:c r="G1209" s="0" t="s">
        <x:v>19</x:v>
      </x:c>
      <x:c r="H1209" s="0" t="s">
        <x:v>20</x:v>
      </x:c>
      <x:c r="I1209" s="0" t="s">
        <x:v>21</x:v>
      </x:c>
      <x:c r="K1209" s="0">
        <x:f>hyperlink("https://icd.who.int/dev11/l-ichi/en#/http%3A%2F%2Fid.who.int%2Ficd%2Fentity%2F635279897","browser")</x:f>
      </x:c>
      <x:c r="L1209" s="0">
        <x:f>hyperlink("https://icat2.azurewebsites.net/icat/?ontology=ICD&amp;tab=ClassesTab&amp;id=http%3A%2F%2Fwho.int%2Ficd%231362_512ebf36_bf6b_4d70_85da_cf2637062af4","iCat")</x:f>
      </x:c>
      <x:c r="M1209" s="0" t="s">
        <x:v>21</x:v>
      </x:c>
      <x:c r="N1209" s="0" t="s">
        <x:v>46</x:v>
      </x:c>
    </x:row>
    <x:row r="1210" spans="1:16">
      <x:c r="A1210" s="0" t="s">
        <x:v>4668</x:v>
      </x:c>
      <x:c r="B1210" s="0" t="s">
        <x:v>4669</x:v>
      </x:c>
      <x:c r="C1210" s="0" t="s">
        <x:v>4670</x:v>
      </x:c>
      <x:c r="E1210" s="0" t="s">
        <x:v>4671</x:v>
      </x:c>
      <x:c r="F1210" s="0" t="s">
        <x:v>45</x:v>
      </x:c>
      <x:c r="G1210" s="0" t="s">
        <x:v>19</x:v>
      </x:c>
      <x:c r="H1210" s="0" t="s">
        <x:v>20</x:v>
      </x:c>
      <x:c r="I1210" s="0" t="s">
        <x:v>21</x:v>
      </x:c>
      <x:c r="K1210" s="0">
        <x:f>hyperlink("https://icd.who.int/dev11/l-ichi/en#/http%3A%2F%2Fid.who.int%2Ficd%2Fentity%2F237041289","browser")</x:f>
      </x:c>
      <x:c r="L1210" s="0">
        <x:f>hyperlink("https://icat2.azurewebsites.net/icat/?ontology=ICD&amp;tab=ClassesTab&amp;id=http%3A%2F%2Fwho.int%2Ficd%231368_512ebf36_bf6b_4d70_85da_cf2637062af4","iCat")</x:f>
      </x:c>
      <x:c r="M1210" s="0" t="s">
        <x:v>21</x:v>
      </x:c>
      <x:c r="N1210" s="0" t="s">
        <x:v>46</x:v>
      </x:c>
    </x:row>
    <x:row r="1211" spans="1:16">
      <x:c r="A1211" s="0" t="s">
        <x:v>4672</x:v>
      </x:c>
      <x:c r="B1211" s="0" t="s">
        <x:v>4673</x:v>
      </x:c>
      <x:c r="C1211" s="0" t="s">
        <x:v>4674</x:v>
      </x:c>
      <x:c r="E1211" s="0" t="s">
        <x:v>4675</x:v>
      </x:c>
      <x:c r="F1211" s="0" t="s">
        <x:v>45</x:v>
      </x:c>
      <x:c r="G1211" s="0" t="s">
        <x:v>19</x:v>
      </x:c>
      <x:c r="H1211" s="0" t="s">
        <x:v>20</x:v>
      </x:c>
      <x:c r="I1211" s="0" t="s">
        <x:v>21</x:v>
      </x:c>
      <x:c r="K1211" s="0">
        <x:f>hyperlink("https://icd.who.int/dev11/l-ichi/en#/http%3A%2F%2Fid.who.int%2Ficd%2Fentity%2F2048903994","browser")</x:f>
      </x:c>
      <x:c r="L1211" s="0">
        <x:f>hyperlink("https://icat2.azurewebsites.net/icat/?ontology=ICD&amp;tab=ClassesTab&amp;id=http%3A%2F%2Fwho.int%2Ficd%231376_512ebf36_bf6b_4d70_85da_cf2637062af4","iCat")</x:f>
      </x:c>
      <x:c r="M1211" s="0" t="s">
        <x:v>21</x:v>
      </x:c>
      <x:c r="N1211" s="0" t="s">
        <x:v>46</x:v>
      </x:c>
    </x:row>
    <x:row r="1212" spans="1:16">
      <x:c r="A1212" s="0" t="s">
        <x:v>4676</x:v>
      </x:c>
      <x:c r="B1212" s="0" t="s">
        <x:v>4677</x:v>
      </x:c>
      <x:c r="C1212" s="0" t="s">
        <x:v>4678</x:v>
      </x:c>
      <x:c r="E1212" s="0" t="s">
        <x:v>4679</x:v>
      </x:c>
      <x:c r="F1212" s="0" t="s">
        <x:v>45</x:v>
      </x:c>
      <x:c r="G1212" s="0" t="s">
        <x:v>19</x:v>
      </x:c>
      <x:c r="H1212" s="0" t="s">
        <x:v>20</x:v>
      </x:c>
      <x:c r="I1212" s="0" t="s">
        <x:v>21</x:v>
      </x:c>
      <x:c r="K1212" s="0">
        <x:f>hyperlink("https://icd.who.int/dev11/l-ichi/en#/http%3A%2F%2Fid.who.int%2Ficd%2Fentity%2F1627342226","browser")</x:f>
      </x:c>
      <x:c r="L1212" s="0">
        <x:f>hyperlink("https://icat2.azurewebsites.net/icat/?ontology=ICD&amp;tab=ClassesTab&amp;id=http%3A%2F%2Fwho.int%2Ficd%231382_512ebf36_bf6b_4d70_85da_cf2637062af4","iCat")</x:f>
      </x:c>
      <x:c r="M1212" s="0" t="s">
        <x:v>21</x:v>
      </x:c>
      <x:c r="N1212" s="0" t="s">
        <x:v>46</x:v>
      </x:c>
    </x:row>
    <x:row r="1213" spans="1:16">
      <x:c r="A1213" s="0" t="s">
        <x:v>4680</x:v>
      </x:c>
      <x:c r="B1213" s="0" t="s">
        <x:v>4681</x:v>
      </x:c>
      <x:c r="C1213" s="0" t="s">
        <x:v>4682</x:v>
      </x:c>
      <x:c r="E1213" s="0" t="s">
        <x:v>4683</x:v>
      </x:c>
      <x:c r="F1213" s="0" t="s">
        <x:v>45</x:v>
      </x:c>
      <x:c r="G1213" s="0" t="s">
        <x:v>19</x:v>
      </x:c>
      <x:c r="H1213" s="0" t="s">
        <x:v>20</x:v>
      </x:c>
      <x:c r="I1213" s="0" t="s">
        <x:v>21</x:v>
      </x:c>
      <x:c r="K1213" s="0">
        <x:f>hyperlink("https://icd.who.int/dev11/l-ichi/en#/http%3A%2F%2Fid.who.int%2Ficd%2Fentity%2F1258432770","browser")</x:f>
      </x:c>
      <x:c r="L1213" s="0">
        <x:f>hyperlink("https://icat2.azurewebsites.net/icat/?ontology=ICD&amp;tab=ClassesTab&amp;id=http%3A%2F%2Fwho.int%2Ficd%231388_512ebf36_bf6b_4d70_85da_cf2637062af4","iCat")</x:f>
      </x:c>
      <x:c r="M1213" s="0" t="s">
        <x:v>21</x:v>
      </x:c>
      <x:c r="N1213" s="0" t="s">
        <x:v>46</x:v>
      </x:c>
    </x:row>
    <x:row r="1214" spans="1:16">
      <x:c r="A1214" s="0" t="s">
        <x:v>4684</x:v>
      </x:c>
      <x:c r="B1214" s="0" t="s">
        <x:v>4685</x:v>
      </x:c>
      <x:c r="D1214" s="0" t="s">
        <x:v>4686</x:v>
      </x:c>
      <x:c r="E1214" s="0" t="s">
        <x:v>4687</x:v>
      </x:c>
      <x:c r="F1214" s="0" t="s">
        <x:v>26</x:v>
      </x:c>
      <x:c r="G1214" s="0" t="s">
        <x:v>22</x:v>
      </x:c>
      <x:c r="H1214" s="0" t="s">
        <x:v>20</x:v>
      </x:c>
      <x:c r="I1214" s="0" t="s">
        <x:v>21</x:v>
      </x:c>
      <x:c r="K1214" s="0">
        <x:f>hyperlink("https://icd.who.int/dev11/l-ichi/en#/http%3A%2F%2Fid.who.int%2Ficd%2Fentity%2F1060967603","browser")</x:f>
      </x:c>
      <x:c r="L1214" s="0">
        <x:f>hyperlink("https://icat2.azurewebsites.net/icat/?ontology=ICD&amp;tab=ClassesTab&amp;id=http%3A%2F%2Fwho.int%2Ficd%231396_512ebf36_bf6b_4d70_85da_cf2637062af4","iCat")</x:f>
      </x:c>
      <x:c r="M1214" s="0" t="s">
        <x:v>20</x:v>
      </x:c>
      <x:c r="N1214" s="0" t="s">
        <x:v>4583</x:v>
      </x:c>
    </x:row>
    <x:row r="1215" spans="1:16">
      <x:c r="A1215" s="0" t="s">
        <x:v>4688</x:v>
      </x:c>
      <x:c r="B1215" s="0" t="s">
        <x:v>4689</x:v>
      </x:c>
      <x:c r="C1215" s="0" t="s">
        <x:v>4690</x:v>
      </x:c>
      <x:c r="E1215" s="0" t="s">
        <x:v>4691</x:v>
      </x:c>
      <x:c r="F1215" s="0" t="s">
        <x:v>45</x:v>
      </x:c>
      <x:c r="G1215" s="0" t="s">
        <x:v>19</x:v>
      </x:c>
      <x:c r="H1215" s="0" t="s">
        <x:v>20</x:v>
      </x:c>
      <x:c r="I1215" s="0" t="s">
        <x:v>21</x:v>
      </x:c>
      <x:c r="K1215" s="0">
        <x:f>hyperlink("https://icd.who.int/dev11/l-ichi/en#/http%3A%2F%2Fid.who.int%2Ficd%2Fentity%2F2058910540","browser")</x:f>
      </x:c>
      <x:c r="L1215" s="0">
        <x:f>hyperlink("https://icat2.azurewebsites.net/icat/?ontology=ICD&amp;tab=ClassesTab&amp;id=http%3A%2F%2Fwho.int%2Ficd%231395_512ebf36_bf6b_4d70_85da_cf2637062af4","iCat")</x:f>
      </x:c>
      <x:c r="M1215" s="0" t="s">
        <x:v>21</x:v>
      </x:c>
      <x:c r="N1215" s="0" t="s">
        <x:v>46</x:v>
      </x:c>
    </x:row>
    <x:row r="1216" spans="1:16">
      <x:c r="A1216" s="0" t="s">
        <x:v>4692</x:v>
      </x:c>
      <x:c r="B1216" s="0" t="s">
        <x:v>4693</x:v>
      </x:c>
      <x:c r="C1216" s="0" t="s">
        <x:v>4694</x:v>
      </x:c>
      <x:c r="E1216" s="0" t="s">
        <x:v>4695</x:v>
      </x:c>
      <x:c r="F1216" s="0" t="s">
        <x:v>45</x:v>
      </x:c>
      <x:c r="G1216" s="0" t="s">
        <x:v>19</x:v>
      </x:c>
      <x:c r="H1216" s="0" t="s">
        <x:v>20</x:v>
      </x:c>
      <x:c r="I1216" s="0" t="s">
        <x:v>21</x:v>
      </x:c>
      <x:c r="K1216" s="0">
        <x:f>hyperlink("https://icd.who.int/dev11/l-ichi/en#/http%3A%2F%2Fid.who.int%2Ficd%2Fentity%2F946002090","browser")</x:f>
      </x:c>
      <x:c r="L1216" s="0">
        <x:f>hyperlink("https://icat2.azurewebsites.net/icat/?ontology=ICD&amp;tab=ClassesTab&amp;id=http%3A%2F%2Fwho.int%2Ficd%231408_512ebf36_bf6b_4d70_85da_cf2637062af4","iCat")</x:f>
      </x:c>
      <x:c r="M1216" s="0" t="s">
        <x:v>21</x:v>
      </x:c>
      <x:c r="N1216" s="0" t="s">
        <x:v>46</x:v>
      </x:c>
    </x:row>
    <x:row r="1217" spans="1:16">
      <x:c r="A1217" s="0" t="s">
        <x:v>4696</x:v>
      </x:c>
      <x:c r="B1217" s="0" t="s">
        <x:v>4697</x:v>
      </x:c>
      <x:c r="C1217" s="0" t="s">
        <x:v>4698</x:v>
      </x:c>
      <x:c r="E1217" s="0" t="s">
        <x:v>4699</x:v>
      </x:c>
      <x:c r="F1217" s="0" t="s">
        <x:v>45</x:v>
      </x:c>
      <x:c r="G1217" s="0" t="s">
        <x:v>19</x:v>
      </x:c>
      <x:c r="H1217" s="0" t="s">
        <x:v>20</x:v>
      </x:c>
      <x:c r="I1217" s="0" t="s">
        <x:v>21</x:v>
      </x:c>
      <x:c r="K1217" s="0">
        <x:f>hyperlink("https://icd.who.int/dev11/l-ichi/en#/http%3A%2F%2Fid.who.int%2Ficd%2Fentity%2F1578858598","browser")</x:f>
      </x:c>
      <x:c r="L1217" s="0">
        <x:f>hyperlink("https://icat2.azurewebsites.net/icat/?ontology=ICD&amp;tab=ClassesTab&amp;id=http%3A%2F%2Fwho.int%2Ficd%2314576_4869915e_217e_423d_acb3_33c0f920ef4b","iCat")</x:f>
      </x:c>
      <x:c r="M1217" s="0" t="s">
        <x:v>21</x:v>
      </x:c>
      <x:c r="N1217" s="0" t="s">
        <x:v>46</x:v>
      </x:c>
    </x:row>
    <x:row r="1218" spans="1:16">
      <x:c r="A1218" s="0" t="s">
        <x:v>4700</x:v>
      </x:c>
      <x:c r="B1218" s="0" t="s">
        <x:v>4701</x:v>
      </x:c>
      <x:c r="C1218" s="0" t="s">
        <x:v>4702</x:v>
      </x:c>
      <x:c r="E1218" s="0" t="s">
        <x:v>4703</x:v>
      </x:c>
      <x:c r="F1218" s="0" t="s">
        <x:v>45</x:v>
      </x:c>
      <x:c r="G1218" s="0" t="s">
        <x:v>19</x:v>
      </x:c>
      <x:c r="H1218" s="0" t="s">
        <x:v>20</x:v>
      </x:c>
      <x:c r="I1218" s="0" t="s">
        <x:v>21</x:v>
      </x:c>
      <x:c r="K1218" s="0">
        <x:f>hyperlink("https://icd.who.int/dev11/l-ichi/en#/http%3A%2F%2Fid.who.int%2Ficd%2Fentity%2F165186276","browser")</x:f>
      </x:c>
      <x:c r="L1218" s="0">
        <x:f>hyperlink("https://icat2.azurewebsites.net/icat/?ontology=ICD&amp;tab=ClassesTab&amp;id=http%3A%2F%2Fwho.int%2Ficd%231415_512ebf36_bf6b_4d70_85da_cf2637062af4","iCat")</x:f>
      </x:c>
      <x:c r="M1218" s="0" t="s">
        <x:v>21</x:v>
      </x:c>
      <x:c r="N1218" s="0" t="s">
        <x:v>46</x:v>
      </x:c>
    </x:row>
    <x:row r="1219" spans="1:16">
      <x:c r="A1219" s="0" t="s">
        <x:v>4704</x:v>
      </x:c>
      <x:c r="B1219" s="0" t="s">
        <x:v>4705</x:v>
      </x:c>
      <x:c r="C1219" s="0" t="s">
        <x:v>4706</x:v>
      </x:c>
      <x:c r="E1219" s="0" t="s">
        <x:v>4707</x:v>
      </x:c>
      <x:c r="F1219" s="0" t="s">
        <x:v>45</x:v>
      </x:c>
      <x:c r="G1219" s="0" t="s">
        <x:v>19</x:v>
      </x:c>
      <x:c r="H1219" s="0" t="s">
        <x:v>20</x:v>
      </x:c>
      <x:c r="I1219" s="0" t="s">
        <x:v>21</x:v>
      </x:c>
      <x:c r="K1219" s="0">
        <x:f>hyperlink("https://icd.who.int/dev11/l-ichi/en#/http%3A%2F%2Fid.who.int%2Ficd%2Fentity%2F420614998","browser")</x:f>
      </x:c>
      <x:c r="L1219" s="0">
        <x:f>hyperlink("https://icat2.azurewebsites.net/icat/?ontology=ICD&amp;tab=ClassesTab&amp;id=http%3A%2F%2Fwho.int%2Ficd%231423_512ebf36_bf6b_4d70_85da_cf2637062af4","iCat")</x:f>
      </x:c>
      <x:c r="M1219" s="0" t="s">
        <x:v>21</x:v>
      </x:c>
      <x:c r="N1219" s="0" t="s">
        <x:v>46</x:v>
      </x:c>
    </x:row>
    <x:row r="1220" spans="1:16">
      <x:c r="A1220" s="0" t="s">
        <x:v>4708</x:v>
      </x:c>
      <x:c r="B1220" s="0" t="s">
        <x:v>4709</x:v>
      </x:c>
      <x:c r="C1220" s="0" t="s">
        <x:v>4710</x:v>
      </x:c>
      <x:c r="E1220" s="0" t="s">
        <x:v>4711</x:v>
      </x:c>
      <x:c r="F1220" s="0" t="s">
        <x:v>45</x:v>
      </x:c>
      <x:c r="G1220" s="0" t="s">
        <x:v>19</x:v>
      </x:c>
      <x:c r="H1220" s="0" t="s">
        <x:v>20</x:v>
      </x:c>
      <x:c r="I1220" s="0" t="s">
        <x:v>21</x:v>
      </x:c>
      <x:c r="K1220" s="0">
        <x:f>hyperlink("https://icd.who.int/dev11/l-ichi/en#/http%3A%2F%2Fid.who.int%2Ficd%2Fentity%2F598499250","browser")</x:f>
      </x:c>
      <x:c r="L1220" s="0">
        <x:f>hyperlink("https://icat2.azurewebsites.net/icat/?ontology=ICD&amp;tab=ClassesTab&amp;id=http%3A%2F%2Fwho.int%2Ficd%231435_512ebf36_bf6b_4d70_85da_cf2637062af4","iCat")</x:f>
      </x:c>
      <x:c r="M1220" s="0" t="s">
        <x:v>21</x:v>
      </x:c>
      <x:c r="N1220" s="0" t="s">
        <x:v>46</x:v>
      </x:c>
    </x:row>
    <x:row r="1221" spans="1:16">
      <x:c r="A1221" s="0" t="s">
        <x:v>4712</x:v>
      </x:c>
      <x:c r="B1221" s="0" t="s">
        <x:v>4713</x:v>
      </x:c>
      <x:c r="C1221" s="0" t="s">
        <x:v>4714</x:v>
      </x:c>
      <x:c r="E1221" s="0" t="s">
        <x:v>4715</x:v>
      </x:c>
      <x:c r="F1221" s="0" t="s">
        <x:v>45</x:v>
      </x:c>
      <x:c r="G1221" s="0" t="s">
        <x:v>19</x:v>
      </x:c>
      <x:c r="H1221" s="0" t="s">
        <x:v>20</x:v>
      </x:c>
      <x:c r="I1221" s="0" t="s">
        <x:v>21</x:v>
      </x:c>
      <x:c r="K1221" s="0">
        <x:f>hyperlink("https://icd.who.int/dev11/l-ichi/en#/http%3A%2F%2Fid.who.int%2Ficd%2Fentity%2F1677256485","browser")</x:f>
      </x:c>
      <x:c r="L1221" s="0">
        <x:f>hyperlink("https://icat2.azurewebsites.net/icat/?ontology=ICD&amp;tab=ClassesTab&amp;id=http%3A%2F%2Fwho.int%2Ficd%231442_512ebf36_bf6b_4d70_85da_cf2637062af4","iCat")</x:f>
      </x:c>
      <x:c r="M1221" s="0" t="s">
        <x:v>21</x:v>
      </x:c>
      <x:c r="N1221" s="0" t="s">
        <x:v>46</x:v>
      </x:c>
    </x:row>
    <x:row r="1222" spans="1:16">
      <x:c r="A1222" s="0" t="s">
        <x:v>4716</x:v>
      </x:c>
      <x:c r="B1222" s="0" t="s">
        <x:v>4717</x:v>
      </x:c>
      <x:c r="C1222" s="0" t="s">
        <x:v>4718</x:v>
      </x:c>
      <x:c r="E1222" s="0" t="s">
        <x:v>4719</x:v>
      </x:c>
      <x:c r="F1222" s="0" t="s">
        <x:v>45</x:v>
      </x:c>
      <x:c r="G1222" s="0" t="s">
        <x:v>19</x:v>
      </x:c>
      <x:c r="H1222" s="0" t="s">
        <x:v>20</x:v>
      </x:c>
      <x:c r="I1222" s="0" t="s">
        <x:v>21</x:v>
      </x:c>
      <x:c r="K1222" s="0">
        <x:f>hyperlink("https://icd.who.int/dev11/l-ichi/en#/http%3A%2F%2Fid.who.int%2Ficd%2Fentity%2F1761409417","browser")</x:f>
      </x:c>
      <x:c r="L1222" s="0">
        <x:f>hyperlink("https://icat2.azurewebsites.net/icat/?ontology=ICD&amp;tab=ClassesTab&amp;id=http%3A%2F%2Fwho.int%2Ficd%231449_512ebf36_bf6b_4d70_85da_cf2637062af4","iCat")</x:f>
      </x:c>
      <x:c r="M1222" s="0" t="s">
        <x:v>21</x:v>
      </x:c>
      <x:c r="N1222" s="0" t="s">
        <x:v>46</x:v>
      </x:c>
    </x:row>
    <x:row r="1223" spans="1:16">
      <x:c r="A1223" s="0" t="s">
        <x:v>4720</x:v>
      </x:c>
      <x:c r="B1223" s="0" t="s">
        <x:v>4721</x:v>
      </x:c>
      <x:c r="C1223" s="0" t="s">
        <x:v>4722</x:v>
      </x:c>
      <x:c r="E1223" s="0" t="s">
        <x:v>4723</x:v>
      </x:c>
      <x:c r="F1223" s="0" t="s">
        <x:v>45</x:v>
      </x:c>
      <x:c r="G1223" s="0" t="s">
        <x:v>19</x:v>
      </x:c>
      <x:c r="H1223" s="0" t="s">
        <x:v>20</x:v>
      </x:c>
      <x:c r="I1223" s="0" t="s">
        <x:v>21</x:v>
      </x:c>
      <x:c r="K1223" s="0">
        <x:f>hyperlink("https://icd.who.int/dev11/l-ichi/en#/http%3A%2F%2Fid.who.int%2Ficd%2Fentity%2F1203438106","browser")</x:f>
      </x:c>
      <x:c r="L1223" s="0">
        <x:f>hyperlink("https://icat2.azurewebsites.net/icat/?ontology=ICD&amp;tab=ClassesTab&amp;id=http%3A%2F%2Fwho.int%2Ficd%2315403_4869915e_217e_423d_acb3_33c0f920ef4b","iCat")</x:f>
      </x:c>
      <x:c r="M1223" s="0" t="s">
        <x:v>21</x:v>
      </x:c>
      <x:c r="N1223" s="0" t="s">
        <x:v>46</x:v>
      </x:c>
    </x:row>
    <x:row r="1224" spans="1:16">
      <x:c r="A1224" s="0" t="s">
        <x:v>4724</x:v>
      </x:c>
      <x:c r="B1224" s="0" t="s">
        <x:v>4725</x:v>
      </x:c>
      <x:c r="C1224" s="0" t="s">
        <x:v>4726</x:v>
      </x:c>
      <x:c r="E1224" s="0" t="s">
        <x:v>4727</x:v>
      </x:c>
      <x:c r="F1224" s="0" t="s">
        <x:v>45</x:v>
      </x:c>
      <x:c r="G1224" s="0" t="s">
        <x:v>19</x:v>
      </x:c>
      <x:c r="H1224" s="0" t="s">
        <x:v>20</x:v>
      </x:c>
      <x:c r="I1224" s="0" t="s">
        <x:v>21</x:v>
      </x:c>
      <x:c r="K1224" s="0">
        <x:f>hyperlink("https://icd.who.int/dev11/l-ichi/en#/http%3A%2F%2Fid.who.int%2Ficd%2Fentity%2F753938352","browser")</x:f>
      </x:c>
      <x:c r="L1224" s="0">
        <x:f>hyperlink("https://icat2.azurewebsites.net/icat/?ontology=ICD&amp;tab=ClassesTab&amp;id=http%3A%2F%2Fwho.int%2Ficd%231460_512ebf36_bf6b_4d70_85da_cf2637062af4","iCat")</x:f>
      </x:c>
      <x:c r="M1224" s="0" t="s">
        <x:v>21</x:v>
      </x:c>
      <x:c r="N1224" s="0" t="s">
        <x:v>46</x:v>
      </x:c>
    </x:row>
    <x:row r="1225" spans="1:16">
      <x:c r="A1225" s="0" t="s">
        <x:v>4728</x:v>
      </x:c>
      <x:c r="B1225" s="0" t="s">
        <x:v>4729</x:v>
      </x:c>
      <x:c r="C1225" s="0" t="s">
        <x:v>4730</x:v>
      </x:c>
      <x:c r="E1225" s="0" t="s">
        <x:v>4731</x:v>
      </x:c>
      <x:c r="F1225" s="0" t="s">
        <x:v>45</x:v>
      </x:c>
      <x:c r="G1225" s="0" t="s">
        <x:v>19</x:v>
      </x:c>
      <x:c r="H1225" s="0" t="s">
        <x:v>20</x:v>
      </x:c>
      <x:c r="I1225" s="0" t="s">
        <x:v>21</x:v>
      </x:c>
      <x:c r="K1225" s="0">
        <x:f>hyperlink("https://icd.who.int/dev11/l-ichi/en#/http%3A%2F%2Fid.who.int%2Ficd%2Fentity%2F1116220633","browser")</x:f>
      </x:c>
      <x:c r="L1225" s="0">
        <x:f>hyperlink("https://icat2.azurewebsites.net/icat/?ontology=ICD&amp;tab=ClassesTab&amp;id=http%3A%2F%2Fwho.int%2Ficd%231469_512ebf36_bf6b_4d70_85da_cf2637062af4","iCat")</x:f>
      </x:c>
      <x:c r="M1225" s="0" t="s">
        <x:v>21</x:v>
      </x:c>
      <x:c r="N1225" s="0" t="s">
        <x:v>46</x:v>
      </x:c>
    </x:row>
    <x:row r="1226" spans="1:16">
      <x:c r="A1226" s="0" t="s">
        <x:v>4732</x:v>
      </x:c>
      <x:c r="B1226" s="0" t="s">
        <x:v>4733</x:v>
      </x:c>
      <x:c r="C1226" s="0" t="s">
        <x:v>4734</x:v>
      </x:c>
      <x:c r="E1226" s="0" t="s">
        <x:v>4735</x:v>
      </x:c>
      <x:c r="F1226" s="0" t="s">
        <x:v>45</x:v>
      </x:c>
      <x:c r="G1226" s="0" t="s">
        <x:v>19</x:v>
      </x:c>
      <x:c r="H1226" s="0" t="s">
        <x:v>20</x:v>
      </x:c>
      <x:c r="I1226" s="0" t="s">
        <x:v>21</x:v>
      </x:c>
      <x:c r="K1226" s="0">
        <x:f>hyperlink("https://icd.who.int/dev11/l-ichi/en#/http%3A%2F%2Fid.who.int%2Ficd%2Fentity%2F146066354","browser")</x:f>
      </x:c>
      <x:c r="L1226" s="0">
        <x:f>hyperlink("https://icat2.azurewebsites.net/icat/?ontology=ICD&amp;tab=ClassesTab&amp;id=http%3A%2F%2Fwho.int%2Ficd%231478_512ebf36_bf6b_4d70_85da_cf2637062af4","iCat")</x:f>
      </x:c>
      <x:c r="M1226" s="0" t="s">
        <x:v>21</x:v>
      </x:c>
      <x:c r="N1226" s="0" t="s">
        <x:v>46</x:v>
      </x:c>
    </x:row>
    <x:row r="1227" spans="1:16">
      <x:c r="A1227" s="0" t="s">
        <x:v>4736</x:v>
      </x:c>
      <x:c r="B1227" s="0" t="s">
        <x:v>4737</x:v>
      </x:c>
      <x:c r="C1227" s="0" t="s">
        <x:v>4738</x:v>
      </x:c>
      <x:c r="E1227" s="0" t="s">
        <x:v>4739</x:v>
      </x:c>
      <x:c r="F1227" s="0" t="s">
        <x:v>45</x:v>
      </x:c>
      <x:c r="G1227" s="0" t="s">
        <x:v>19</x:v>
      </x:c>
      <x:c r="H1227" s="0" t="s">
        <x:v>20</x:v>
      </x:c>
      <x:c r="I1227" s="0" t="s">
        <x:v>21</x:v>
      </x:c>
      <x:c r="K1227" s="0">
        <x:f>hyperlink("https://icd.who.int/dev11/l-ichi/en#/http%3A%2F%2Fid.who.int%2Ficd%2Fentity%2F1157363406","browser")</x:f>
      </x:c>
      <x:c r="L1227" s="0">
        <x:f>hyperlink("https://icat2.azurewebsites.net/icat/?ontology=ICD&amp;tab=ClassesTab&amp;id=http%3A%2F%2Fwho.int%2Ficd%2314582_4869915e_217e_423d_acb3_33c0f920ef4b","iCat")</x:f>
      </x:c>
      <x:c r="M1227" s="0" t="s">
        <x:v>21</x:v>
      </x:c>
      <x:c r="N1227" s="0" t="s">
        <x:v>46</x:v>
      </x:c>
    </x:row>
    <x:row r="1228" spans="1:16">
      <x:c r="A1228" s="0" t="s">
        <x:v>4740</x:v>
      </x:c>
      <x:c r="B1228" s="0" t="s">
        <x:v>4741</x:v>
      </x:c>
      <x:c r="C1228" s="0" t="s">
        <x:v>4742</x:v>
      </x:c>
      <x:c r="E1228" s="0" t="s">
        <x:v>4743</x:v>
      </x:c>
      <x:c r="F1228" s="0" t="s">
        <x:v>45</x:v>
      </x:c>
      <x:c r="G1228" s="0" t="s">
        <x:v>19</x:v>
      </x:c>
      <x:c r="H1228" s="0" t="s">
        <x:v>20</x:v>
      </x:c>
      <x:c r="I1228" s="0" t="s">
        <x:v>21</x:v>
      </x:c>
      <x:c r="K1228" s="0">
        <x:f>hyperlink("https://icd.who.int/dev11/l-ichi/en#/http%3A%2F%2Fid.who.int%2Ficd%2Fentity%2F1557476429","browser")</x:f>
      </x:c>
      <x:c r="L1228" s="0">
        <x:f>hyperlink("https://icat2.azurewebsites.net/icat/?ontology=ICD&amp;tab=ClassesTab&amp;id=http%3A%2F%2Fwho.int%2Ficd%231484_512ebf36_bf6b_4d70_85da_cf2637062af4","iCat")</x:f>
      </x:c>
      <x:c r="M1228" s="0" t="s">
        <x:v>21</x:v>
      </x:c>
      <x:c r="N1228" s="0" t="s">
        <x:v>46</x:v>
      </x:c>
    </x:row>
    <x:row r="1229" spans="1:16">
      <x:c r="A1229" s="0" t="s">
        <x:v>4744</x:v>
      </x:c>
      <x:c r="B1229" s="0" t="s">
        <x:v>4745</x:v>
      </x:c>
      <x:c r="C1229" s="0" t="s">
        <x:v>4746</x:v>
      </x:c>
      <x:c r="E1229" s="0" t="s">
        <x:v>4747</x:v>
      </x:c>
      <x:c r="F1229" s="0" t="s">
        <x:v>45</x:v>
      </x:c>
      <x:c r="G1229" s="0" t="s">
        <x:v>19</x:v>
      </x:c>
      <x:c r="H1229" s="0" t="s">
        <x:v>20</x:v>
      </x:c>
      <x:c r="I1229" s="0" t="s">
        <x:v>21</x:v>
      </x:c>
      <x:c r="K1229" s="0">
        <x:f>hyperlink("https://icd.who.int/dev11/l-ichi/en#/http%3A%2F%2Fid.who.int%2Ficd%2Fentity%2F51864942","browser")</x:f>
      </x:c>
      <x:c r="L1229" s="0">
        <x:f>hyperlink("https://icat2.azurewebsites.net/icat/?ontology=ICD&amp;tab=ClassesTab&amp;id=http%3A%2F%2Fwho.int%2Ficd%231490_512ebf36_bf6b_4d70_85da_cf2637062af4","iCat")</x:f>
      </x:c>
      <x:c r="M1229" s="0" t="s">
        <x:v>21</x:v>
      </x:c>
      <x:c r="N1229" s="0" t="s">
        <x:v>46</x:v>
      </x:c>
    </x:row>
    <x:row r="1230" spans="1:16">
      <x:c r="A1230" s="0" t="s">
        <x:v>4748</x:v>
      </x:c>
      <x:c r="B1230" s="0" t="s">
        <x:v>4749</x:v>
      </x:c>
      <x:c r="C1230" s="0" t="s">
        <x:v>4750</x:v>
      </x:c>
      <x:c r="E1230" s="0" t="s">
        <x:v>4751</x:v>
      </x:c>
      <x:c r="F1230" s="0" t="s">
        <x:v>45</x:v>
      </x:c>
      <x:c r="G1230" s="0" t="s">
        <x:v>19</x:v>
      </x:c>
      <x:c r="H1230" s="0" t="s">
        <x:v>20</x:v>
      </x:c>
      <x:c r="I1230" s="0" t="s">
        <x:v>21</x:v>
      </x:c>
      <x:c r="K1230" s="0">
        <x:f>hyperlink("https://icd.who.int/dev11/l-ichi/en#/http%3A%2F%2Fid.who.int%2Ficd%2Fentity%2F1862703710","browser")</x:f>
      </x:c>
      <x:c r="L1230" s="0">
        <x:f>hyperlink("https://icat2.azurewebsites.net/icat/?ontology=ICD&amp;tab=ClassesTab&amp;id=http%3A%2F%2Fwho.int%2Ficd%2314588_4869915e_217e_423d_acb3_33c0f920ef4b","iCat")</x:f>
      </x:c>
      <x:c r="M1230" s="0" t="s">
        <x:v>21</x:v>
      </x:c>
      <x:c r="N1230" s="0" t="s">
        <x:v>46</x:v>
      </x:c>
    </x:row>
    <x:row r="1231" spans="1:16">
      <x:c r="A1231" s="0" t="s">
        <x:v>4752</x:v>
      </x:c>
      <x:c r="B1231" s="0" t="s">
        <x:v>4753</x:v>
      </x:c>
      <x:c r="C1231" s="0" t="s">
        <x:v>4754</x:v>
      </x:c>
      <x:c r="E1231" s="0" t="s">
        <x:v>4755</x:v>
      </x:c>
      <x:c r="F1231" s="0" t="s">
        <x:v>45</x:v>
      </x:c>
      <x:c r="G1231" s="0" t="s">
        <x:v>19</x:v>
      </x:c>
      <x:c r="H1231" s="0" t="s">
        <x:v>20</x:v>
      </x:c>
      <x:c r="I1231" s="0" t="s">
        <x:v>21</x:v>
      </x:c>
      <x:c r="K1231" s="0">
        <x:f>hyperlink("https://icd.who.int/dev11/l-ichi/en#/http%3A%2F%2Fid.who.int%2Ficd%2Fentity%2F1939197667","browser")</x:f>
      </x:c>
      <x:c r="L1231" s="0">
        <x:f>hyperlink("https://icat2.azurewebsites.net/icat/?ontology=ICD&amp;tab=ClassesTab&amp;id=http%3A%2F%2Fwho.int%2Ficd%231497_512ebf36_bf6b_4d70_85da_cf2637062af4","iCat")</x:f>
      </x:c>
      <x:c r="M1231" s="0" t="s">
        <x:v>21</x:v>
      </x:c>
      <x:c r="N1231" s="0" t="s">
        <x:v>46</x:v>
      </x:c>
    </x:row>
    <x:row r="1232" spans="1:16">
      <x:c r="A1232" s="0" t="s">
        <x:v>4756</x:v>
      </x:c>
      <x:c r="B1232" s="0" t="s">
        <x:v>4757</x:v>
      </x:c>
      <x:c r="C1232" s="0" t="s">
        <x:v>4758</x:v>
      </x:c>
      <x:c r="E1232" s="0" t="s">
        <x:v>4759</x:v>
      </x:c>
      <x:c r="F1232" s="0" t="s">
        <x:v>45</x:v>
      </x:c>
      <x:c r="G1232" s="0" t="s">
        <x:v>19</x:v>
      </x:c>
      <x:c r="H1232" s="0" t="s">
        <x:v>20</x:v>
      </x:c>
      <x:c r="I1232" s="0" t="s">
        <x:v>21</x:v>
      </x:c>
      <x:c r="K1232" s="0">
        <x:f>hyperlink("https://icd.who.int/dev11/l-ichi/en#/http%3A%2F%2Fid.who.int%2Ficd%2Fentity%2F1190723737","browser")</x:f>
      </x:c>
      <x:c r="L1232" s="0">
        <x:f>hyperlink("https://icat2.azurewebsites.net/icat/?ontology=ICD&amp;tab=ClassesTab&amp;id=http%3A%2F%2Fwho.int%2Ficd%231503_512ebf36_bf6b_4d70_85da_cf2637062af4","iCat")</x:f>
      </x:c>
      <x:c r="M1232" s="0" t="s">
        <x:v>21</x:v>
      </x:c>
      <x:c r="N1232" s="0" t="s">
        <x:v>46</x:v>
      </x:c>
    </x:row>
    <x:row r="1233" spans="1:16">
      <x:c r="A1233" s="0" t="s">
        <x:v>4760</x:v>
      </x:c>
      <x:c r="B1233" s="0" t="s">
        <x:v>4761</x:v>
      </x:c>
      <x:c r="C1233" s="0" t="s">
        <x:v>4762</x:v>
      </x:c>
      <x:c r="E1233" s="0" t="s">
        <x:v>4763</x:v>
      </x:c>
      <x:c r="F1233" s="0" t="s">
        <x:v>45</x:v>
      </x:c>
      <x:c r="G1233" s="0" t="s">
        <x:v>19</x:v>
      </x:c>
      <x:c r="H1233" s="0" t="s">
        <x:v>20</x:v>
      </x:c>
      <x:c r="I1233" s="0" t="s">
        <x:v>21</x:v>
      </x:c>
      <x:c r="K1233" s="0">
        <x:f>hyperlink("https://icd.who.int/dev11/l-ichi/en#/http%3A%2F%2Fid.who.int%2Ficd%2Fentity%2F1773795895","browser")</x:f>
      </x:c>
      <x:c r="L1233" s="0">
        <x:f>hyperlink("https://icat2.azurewebsites.net/icat/?ontology=ICD&amp;tab=ClassesTab&amp;id=http%3A%2F%2Fwho.int%2Ficd%231510_512ebf36_bf6b_4d70_85da_cf2637062af4","iCat")</x:f>
      </x:c>
      <x:c r="M1233" s="0" t="s">
        <x:v>21</x:v>
      </x:c>
      <x:c r="N1233" s="0" t="s">
        <x:v>46</x:v>
      </x:c>
    </x:row>
    <x:row r="1234" spans="1:16">
      <x:c r="A1234" s="0" t="s">
        <x:v>4764</x:v>
      </x:c>
      <x:c r="B1234" s="0" t="s">
        <x:v>4765</x:v>
      </x:c>
      <x:c r="C1234" s="0" t="s">
        <x:v>4766</x:v>
      </x:c>
      <x:c r="E1234" s="0" t="s">
        <x:v>4767</x:v>
      </x:c>
      <x:c r="F1234" s="0" t="s">
        <x:v>45</x:v>
      </x:c>
      <x:c r="G1234" s="0" t="s">
        <x:v>19</x:v>
      </x:c>
      <x:c r="H1234" s="0" t="s">
        <x:v>20</x:v>
      </x:c>
      <x:c r="I1234" s="0" t="s">
        <x:v>21</x:v>
      </x:c>
      <x:c r="K1234" s="0">
        <x:f>hyperlink("https://icd.who.int/dev11/l-ichi/en#/http%3A%2F%2Fid.who.int%2Ficd%2Fentity%2F2118498858","browser")</x:f>
      </x:c>
      <x:c r="L1234" s="0">
        <x:f>hyperlink("https://icat2.azurewebsites.net/icat/?ontology=ICD&amp;tab=ClassesTab&amp;id=http%3A%2F%2Fwho.int%2Ficd%2314594_4869915e_217e_423d_acb3_33c0f920ef4b","iCat")</x:f>
      </x:c>
      <x:c r="M1234" s="0" t="s">
        <x:v>21</x:v>
      </x:c>
      <x:c r="N1234" s="0" t="s">
        <x:v>46</x:v>
      </x:c>
    </x:row>
    <x:row r="1235" spans="1:16">
      <x:c r="A1235" s="0" t="s">
        <x:v>4768</x:v>
      </x:c>
      <x:c r="B1235" s="0" t="s">
        <x:v>4769</x:v>
      </x:c>
      <x:c r="C1235" s="0" t="s">
        <x:v>4770</x:v>
      </x:c>
      <x:c r="E1235" s="0" t="s">
        <x:v>4771</x:v>
      </x:c>
      <x:c r="F1235" s="0" t="s">
        <x:v>45</x:v>
      </x:c>
      <x:c r="G1235" s="0" t="s">
        <x:v>19</x:v>
      </x:c>
      <x:c r="H1235" s="0" t="s">
        <x:v>20</x:v>
      </x:c>
      <x:c r="I1235" s="0" t="s">
        <x:v>21</x:v>
      </x:c>
      <x:c r="K1235" s="0">
        <x:f>hyperlink("https://icd.who.int/dev11/l-ichi/en#/http%3A%2F%2Fid.who.int%2Ficd%2Fentity%2F658017124","browser")</x:f>
      </x:c>
      <x:c r="L1235" s="0">
        <x:f>hyperlink("https://icat2.azurewebsites.net/icat/?ontology=ICD&amp;tab=ClassesTab&amp;id=http%3A%2F%2Fwho.int%2Ficd%231518_512ebf36_bf6b_4d70_85da_cf2637062af4","iCat")</x:f>
      </x:c>
      <x:c r="M1235" s="0" t="s">
        <x:v>21</x:v>
      </x:c>
      <x:c r="N1235" s="0" t="s">
        <x:v>46</x:v>
      </x:c>
    </x:row>
    <x:row r="1236" spans="1:16">
      <x:c r="A1236" s="0" t="s">
        <x:v>4772</x:v>
      </x:c>
      <x:c r="B1236" s="0" t="s">
        <x:v>4773</x:v>
      </x:c>
      <x:c r="C1236" s="0" t="s">
        <x:v>4774</x:v>
      </x:c>
      <x:c r="E1236" s="0" t="s">
        <x:v>4775</x:v>
      </x:c>
      <x:c r="F1236" s="0" t="s">
        <x:v>45</x:v>
      </x:c>
      <x:c r="G1236" s="0" t="s">
        <x:v>19</x:v>
      </x:c>
      <x:c r="H1236" s="0" t="s">
        <x:v>20</x:v>
      </x:c>
      <x:c r="I1236" s="0" t="s">
        <x:v>21</x:v>
      </x:c>
      <x:c r="K1236" s="0">
        <x:f>hyperlink("https://icd.who.int/dev11/l-ichi/en#/http%3A%2F%2Fid.who.int%2Ficd%2Fentity%2F470777414","browser")</x:f>
      </x:c>
      <x:c r="L1236" s="0">
        <x:f>hyperlink("https://icat2.azurewebsites.net/icat/?ontology=ICD&amp;tab=ClassesTab&amp;id=http%3A%2F%2Fwho.int%2Ficd%231524_512ebf36_bf6b_4d70_85da_cf2637062af4","iCat")</x:f>
      </x:c>
      <x:c r="M1236" s="0" t="s">
        <x:v>21</x:v>
      </x:c>
      <x:c r="N1236" s="0" t="s">
        <x:v>46</x:v>
      </x:c>
    </x:row>
    <x:row r="1237" spans="1:16">
      <x:c r="A1237" s="0" t="s">
        <x:v>4776</x:v>
      </x:c>
      <x:c r="B1237" s="0" t="s">
        <x:v>4777</x:v>
      </x:c>
      <x:c r="C1237" s="0" t="s">
        <x:v>4778</x:v>
      </x:c>
      <x:c r="E1237" s="0" t="s">
        <x:v>4779</x:v>
      </x:c>
      <x:c r="F1237" s="0" t="s">
        <x:v>45</x:v>
      </x:c>
      <x:c r="G1237" s="0" t="s">
        <x:v>19</x:v>
      </x:c>
      <x:c r="H1237" s="0" t="s">
        <x:v>20</x:v>
      </x:c>
      <x:c r="I1237" s="0" t="s">
        <x:v>21</x:v>
      </x:c>
      <x:c r="K1237" s="0">
        <x:f>hyperlink("https://icd.who.int/dev11/l-ichi/en#/http%3A%2F%2Fid.who.int%2Ficd%2Fentity%2F1609107094","browser")</x:f>
      </x:c>
      <x:c r="L1237" s="0">
        <x:f>hyperlink("https://icat2.azurewebsites.net/icat/?ontology=ICD&amp;tab=ClassesTab&amp;id=http%3A%2F%2Fwho.int%2Ficd%2314600_4869915e_217e_423d_acb3_33c0f920ef4b","iCat")</x:f>
      </x:c>
      <x:c r="M1237" s="0" t="s">
        <x:v>21</x:v>
      </x:c>
      <x:c r="N1237" s="0" t="s">
        <x:v>46</x:v>
      </x:c>
    </x:row>
    <x:row r="1238" spans="1:16">
      <x:c r="A1238" s="0" t="s">
        <x:v>4780</x:v>
      </x:c>
      <x:c r="B1238" s="0" t="s">
        <x:v>4781</x:v>
      </x:c>
      <x:c r="C1238" s="0" t="s">
        <x:v>4782</x:v>
      </x:c>
      <x:c r="E1238" s="0" t="s">
        <x:v>4783</x:v>
      </x:c>
      <x:c r="F1238" s="0" t="s">
        <x:v>45</x:v>
      </x:c>
      <x:c r="G1238" s="0" t="s">
        <x:v>19</x:v>
      </x:c>
      <x:c r="H1238" s="0" t="s">
        <x:v>20</x:v>
      </x:c>
      <x:c r="I1238" s="0" t="s">
        <x:v>21</x:v>
      </x:c>
      <x:c r="K1238" s="0">
        <x:f>hyperlink("https://icd.who.int/dev11/l-ichi/en#/http%3A%2F%2Fid.who.int%2Ficd%2Fentity%2F1664376155","browser")</x:f>
      </x:c>
      <x:c r="L1238" s="0">
        <x:f>hyperlink("https://icat2.azurewebsites.net/icat/?ontology=ICD&amp;tab=ClassesTab&amp;id=http%3A%2F%2Fwho.int%2Ficd%231531_512ebf36_bf6b_4d70_85da_cf2637062af4","iCat")</x:f>
      </x:c>
      <x:c r="M1238" s="0" t="s">
        <x:v>21</x:v>
      </x:c>
      <x:c r="N1238" s="0" t="s">
        <x:v>46</x:v>
      </x:c>
    </x:row>
    <x:row r="1239" spans="1:16">
      <x:c r="A1239" s="0" t="s">
        <x:v>4784</x:v>
      </x:c>
      <x:c r="B1239" s="0" t="s">
        <x:v>4785</x:v>
      </x:c>
      <x:c r="C1239" s="0" t="s">
        <x:v>4786</x:v>
      </x:c>
      <x:c r="E1239" s="0" t="s">
        <x:v>4787</x:v>
      </x:c>
      <x:c r="F1239" s="0" t="s">
        <x:v>45</x:v>
      </x:c>
      <x:c r="G1239" s="0" t="s">
        <x:v>19</x:v>
      </x:c>
      <x:c r="H1239" s="0" t="s">
        <x:v>20</x:v>
      </x:c>
      <x:c r="I1239" s="0" t="s">
        <x:v>21</x:v>
      </x:c>
      <x:c r="K1239" s="0">
        <x:f>hyperlink("https://icd.who.int/dev11/l-ichi/en#/http%3A%2F%2Fid.who.int%2Ficd%2Fentity%2F860849386","browser")</x:f>
      </x:c>
      <x:c r="L1239" s="0">
        <x:f>hyperlink("https://icat2.azurewebsites.net/icat/?ontology=ICD&amp;tab=ClassesTab&amp;id=http%3A%2F%2Fwho.int%2Ficd%231537_512ebf36_bf6b_4d70_85da_cf2637062af4","iCat")</x:f>
      </x:c>
      <x:c r="M1239" s="0" t="s">
        <x:v>21</x:v>
      </x:c>
      <x:c r="N1239" s="0" t="s">
        <x:v>46</x:v>
      </x:c>
    </x:row>
    <x:row r="1240" spans="1:16">
      <x:c r="A1240" s="0" t="s">
        <x:v>4788</x:v>
      </x:c>
      <x:c r="B1240" s="0" t="s">
        <x:v>4789</x:v>
      </x:c>
      <x:c r="D1240" s="0" t="s">
        <x:v>4790</x:v>
      </x:c>
      <x:c r="E1240" s="0" t="s">
        <x:v>4791</x:v>
      </x:c>
      <x:c r="F1240" s="0" t="s">
        <x:v>26</x:v>
      </x:c>
      <x:c r="G1240" s="0" t="s">
        <x:v>22</x:v>
      </x:c>
      <x:c r="H1240" s="0" t="s">
        <x:v>20</x:v>
      </x:c>
      <x:c r="I1240" s="0" t="s">
        <x:v>21</x:v>
      </x:c>
      <x:c r="K1240" s="0">
        <x:f>hyperlink("https://icd.who.int/dev11/l-ichi/en#/http%3A%2F%2Fid.who.int%2Ficd%2Fentity%2F1126750199","browser")</x:f>
      </x:c>
      <x:c r="L1240" s="0">
        <x:f>hyperlink("https://icat2.azurewebsites.net/icat/?ontology=ICD&amp;tab=ClassesTab&amp;id=http%3A%2F%2Fwho.int%2Ficd%231577_512ebf36_bf6b_4d70_85da_cf2637062af4","iCat")</x:f>
      </x:c>
      <x:c r="M1240" s="0" t="s">
        <x:v>20</x:v>
      </x:c>
      <x:c r="N1240" s="0" t="s">
        <x:v>684</x:v>
      </x:c>
    </x:row>
    <x:row r="1241" spans="1:16">
      <x:c r="A1241" s="0" t="s">
        <x:v>4792</x:v>
      </x:c>
      <x:c r="B1241" s="0" t="s">
        <x:v>4793</x:v>
      </x:c>
      <x:c r="C1241" s="0" t="s">
        <x:v>4794</x:v>
      </x:c>
      <x:c r="E1241" s="0" t="s">
        <x:v>4795</x:v>
      </x:c>
      <x:c r="F1241" s="0" t="s">
        <x:v>45</x:v>
      </x:c>
      <x:c r="G1241" s="0" t="s">
        <x:v>19</x:v>
      </x:c>
      <x:c r="H1241" s="0" t="s">
        <x:v>20</x:v>
      </x:c>
      <x:c r="I1241" s="0" t="s">
        <x:v>21</x:v>
      </x:c>
      <x:c r="K1241" s="0">
        <x:f>hyperlink("https://icd.who.int/dev11/l-ichi/en#/http%3A%2F%2Fid.who.int%2Ficd%2Fentity%2F1674683851","browser")</x:f>
      </x:c>
      <x:c r="L1241" s="0">
        <x:f>hyperlink("https://icat2.azurewebsites.net/icat/?ontology=ICD&amp;tab=ClassesTab&amp;id=http%3A%2F%2Fwho.int%2Ficd%231576_512ebf36_bf6b_4d70_85da_cf2637062af4","iCat")</x:f>
      </x:c>
      <x:c r="M1241" s="0" t="s">
        <x:v>21</x:v>
      </x:c>
      <x:c r="N1241" s="0" t="s">
        <x:v>46</x:v>
      </x:c>
    </x:row>
    <x:row r="1242" spans="1:16">
      <x:c r="A1242" s="0" t="s">
        <x:v>4796</x:v>
      </x:c>
      <x:c r="B1242" s="0" t="s">
        <x:v>4797</x:v>
      </x:c>
      <x:c r="C1242" s="0" t="s">
        <x:v>4798</x:v>
      </x:c>
      <x:c r="E1242" s="0" t="s">
        <x:v>4799</x:v>
      </x:c>
      <x:c r="F1242" s="0" t="s">
        <x:v>45</x:v>
      </x:c>
      <x:c r="G1242" s="0" t="s">
        <x:v>19</x:v>
      </x:c>
      <x:c r="H1242" s="0" t="s">
        <x:v>20</x:v>
      </x:c>
      <x:c r="I1242" s="0" t="s">
        <x:v>21</x:v>
      </x:c>
      <x:c r="K1242" s="0">
        <x:f>hyperlink("https://icd.who.int/dev11/l-ichi/en#/http%3A%2F%2Fid.who.int%2Ficd%2Fentity%2F1916089805","browser")</x:f>
      </x:c>
      <x:c r="L1242" s="0">
        <x:f>hyperlink("https://icat2.azurewebsites.net/icat/?ontology=ICD&amp;tab=ClassesTab&amp;id=http%3A%2F%2Fwho.int%2Ficd%231589_512ebf36_bf6b_4d70_85da_cf2637062af4","iCat")</x:f>
      </x:c>
      <x:c r="M1242" s="0" t="s">
        <x:v>21</x:v>
      </x:c>
      <x:c r="N1242" s="0" t="s">
        <x:v>46</x:v>
      </x:c>
    </x:row>
    <x:row r="1243" spans="1:16">
      <x:c r="A1243" s="0" t="s">
        <x:v>4800</x:v>
      </x:c>
      <x:c r="B1243" s="0" t="s">
        <x:v>4801</x:v>
      </x:c>
      <x:c r="C1243" s="0" t="s">
        <x:v>4802</x:v>
      </x:c>
      <x:c r="E1243" s="0" t="s">
        <x:v>4803</x:v>
      </x:c>
      <x:c r="F1243" s="0" t="s">
        <x:v>45</x:v>
      </x:c>
      <x:c r="G1243" s="0" t="s">
        <x:v>19</x:v>
      </x:c>
      <x:c r="H1243" s="0" t="s">
        <x:v>20</x:v>
      </x:c>
      <x:c r="I1243" s="0" t="s">
        <x:v>21</x:v>
      </x:c>
      <x:c r="K1243" s="0">
        <x:f>hyperlink("https://icd.who.int/dev11/l-ichi/en#/http%3A%2F%2Fid.who.int%2Ficd%2Fentity%2F101320830","browser")</x:f>
      </x:c>
      <x:c r="L1243" s="0">
        <x:f>hyperlink("https://icat2.azurewebsites.net/icat/?ontology=ICD&amp;tab=ClassesTab&amp;id=http%3A%2F%2Fwho.int%2Ficd%231597_512ebf36_bf6b_4d70_85da_cf2637062af4","iCat")</x:f>
      </x:c>
      <x:c r="M1243" s="0" t="s">
        <x:v>21</x:v>
      </x:c>
      <x:c r="N1243" s="0" t="s">
        <x:v>46</x:v>
      </x:c>
    </x:row>
    <x:row r="1244" spans="1:16">
      <x:c r="A1244" s="0" t="s">
        <x:v>4804</x:v>
      </x:c>
      <x:c r="B1244" s="0" t="s">
        <x:v>4805</x:v>
      </x:c>
      <x:c r="C1244" s="0" t="s">
        <x:v>4806</x:v>
      </x:c>
      <x:c r="E1244" s="0" t="s">
        <x:v>4807</x:v>
      </x:c>
      <x:c r="F1244" s="0" t="s">
        <x:v>45</x:v>
      </x:c>
      <x:c r="G1244" s="0" t="s">
        <x:v>19</x:v>
      </x:c>
      <x:c r="H1244" s="0" t="s">
        <x:v>20</x:v>
      </x:c>
      <x:c r="I1244" s="0" t="s">
        <x:v>21</x:v>
      </x:c>
      <x:c r="K1244" s="0">
        <x:f>hyperlink("https://icd.who.int/dev11/l-ichi/en#/http%3A%2F%2Fid.who.int%2Ficd%2Fentity%2F1461985101","browser")</x:f>
      </x:c>
      <x:c r="L1244" s="0">
        <x:f>hyperlink("https://icat2.azurewebsites.net/icat/?ontology=ICD&amp;tab=ClassesTab&amp;id=http%3A%2F%2Fwho.int%2Ficd%231604_512ebf36_bf6b_4d70_85da_cf2637062af4","iCat")</x:f>
      </x:c>
      <x:c r="M1244" s="0" t="s">
        <x:v>21</x:v>
      </x:c>
      <x:c r="N1244" s="0" t="s">
        <x:v>46</x:v>
      </x:c>
    </x:row>
    <x:row r="1245" spans="1:16">
      <x:c r="A1245" s="0" t="s">
        <x:v>4808</x:v>
      </x:c>
      <x:c r="B1245" s="0" t="s">
        <x:v>4809</x:v>
      </x:c>
      <x:c r="C1245" s="0" t="s">
        <x:v>4810</x:v>
      </x:c>
      <x:c r="E1245" s="0" t="s">
        <x:v>4811</x:v>
      </x:c>
      <x:c r="F1245" s="0" t="s">
        <x:v>45</x:v>
      </x:c>
      <x:c r="G1245" s="0" t="s">
        <x:v>19</x:v>
      </x:c>
      <x:c r="H1245" s="0" t="s">
        <x:v>20</x:v>
      </x:c>
      <x:c r="I1245" s="0" t="s">
        <x:v>21</x:v>
      </x:c>
      <x:c r="K1245" s="0">
        <x:f>hyperlink("https://icd.who.int/dev11/l-ichi/en#/http%3A%2F%2Fid.who.int%2Ficd%2Fentity%2F673135700","browser")</x:f>
      </x:c>
      <x:c r="L1245" s="0">
        <x:f>hyperlink("https://icat2.azurewebsites.net/icat/?ontology=ICD&amp;tab=ClassesTab&amp;id=http%3A%2F%2Fwho.int%2Ficd%231611_512ebf36_bf6b_4d70_85da_cf2637062af4","iCat")</x:f>
      </x:c>
      <x:c r="M1245" s="0" t="s">
        <x:v>21</x:v>
      </x:c>
      <x:c r="N1245" s="0" t="s">
        <x:v>46</x:v>
      </x:c>
    </x:row>
    <x:row r="1246" spans="1:16">
      <x:c r="A1246" s="0" t="s">
        <x:v>4812</x:v>
      </x:c>
      <x:c r="B1246" s="0" t="s">
        <x:v>4813</x:v>
      </x:c>
      <x:c r="C1246" s="0" t="s">
        <x:v>4814</x:v>
      </x:c>
      <x:c r="E1246" s="0" t="s">
        <x:v>4815</x:v>
      </x:c>
      <x:c r="F1246" s="0" t="s">
        <x:v>45</x:v>
      </x:c>
      <x:c r="G1246" s="0" t="s">
        <x:v>19</x:v>
      </x:c>
      <x:c r="H1246" s="0" t="s">
        <x:v>20</x:v>
      </x:c>
      <x:c r="I1246" s="0" t="s">
        <x:v>21</x:v>
      </x:c>
      <x:c r="K1246" s="0">
        <x:f>hyperlink("https://icd.who.int/dev11/l-ichi/en#/http%3A%2F%2Fid.who.int%2Ficd%2Fentity%2F1181171515","browser")</x:f>
      </x:c>
      <x:c r="L1246" s="0">
        <x:f>hyperlink("https://icat2.azurewebsites.net/icat/?ontology=ICD&amp;tab=ClassesTab&amp;id=http%3A%2F%2Fwho.int%2Ficd%231618_512ebf36_bf6b_4d70_85da_cf2637062af4","iCat")</x:f>
      </x:c>
      <x:c r="M1246" s="0" t="s">
        <x:v>21</x:v>
      </x:c>
      <x:c r="N1246" s="0" t="s">
        <x:v>46</x:v>
      </x:c>
    </x:row>
    <x:row r="1247" spans="1:16">
      <x:c r="A1247" s="0" t="s">
        <x:v>4816</x:v>
      </x:c>
      <x:c r="B1247" s="0" t="s">
        <x:v>4817</x:v>
      </x:c>
      <x:c r="C1247" s="0" t="s">
        <x:v>4818</x:v>
      </x:c>
      <x:c r="E1247" s="0" t="s">
        <x:v>4819</x:v>
      </x:c>
      <x:c r="F1247" s="0" t="s">
        <x:v>45</x:v>
      </x:c>
      <x:c r="G1247" s="0" t="s">
        <x:v>19</x:v>
      </x:c>
      <x:c r="H1247" s="0" t="s">
        <x:v>20</x:v>
      </x:c>
      <x:c r="I1247" s="0" t="s">
        <x:v>21</x:v>
      </x:c>
      <x:c r="K1247" s="0">
        <x:f>hyperlink("https://icd.who.int/dev11/l-ichi/en#/http%3A%2F%2Fid.who.int%2Ficd%2Fentity%2F1571403809","browser")</x:f>
      </x:c>
      <x:c r="L1247" s="0">
        <x:f>hyperlink("https://icat2.azurewebsites.net/icat/?ontology=ICD&amp;tab=ClassesTab&amp;id=http%3A%2F%2Fwho.int%2Ficd%231625_512ebf36_bf6b_4d70_85da_cf2637062af4","iCat")</x:f>
      </x:c>
      <x:c r="M1247" s="0" t="s">
        <x:v>21</x:v>
      </x:c>
      <x:c r="N1247" s="0" t="s">
        <x:v>46</x:v>
      </x:c>
    </x:row>
    <x:row r="1248" spans="1:16">
      <x:c r="A1248" s="0" t="s">
        <x:v>4820</x:v>
      </x:c>
      <x:c r="B1248" s="0" t="s">
        <x:v>4821</x:v>
      </x:c>
      <x:c r="C1248" s="0" t="s">
        <x:v>4822</x:v>
      </x:c>
      <x:c r="E1248" s="0" t="s">
        <x:v>4823</x:v>
      </x:c>
      <x:c r="F1248" s="0" t="s">
        <x:v>45</x:v>
      </x:c>
      <x:c r="G1248" s="0" t="s">
        <x:v>19</x:v>
      </x:c>
      <x:c r="H1248" s="0" t="s">
        <x:v>20</x:v>
      </x:c>
      <x:c r="I1248" s="0" t="s">
        <x:v>21</x:v>
      </x:c>
      <x:c r="K1248" s="0">
        <x:f>hyperlink("https://icd.who.int/dev11/l-ichi/en#/http%3A%2F%2Fid.who.int%2Ficd%2Fentity%2F1206814459","browser")</x:f>
      </x:c>
      <x:c r="L1248" s="0">
        <x:f>hyperlink("https://icat2.azurewebsites.net/icat/?ontology=ICD&amp;tab=ClassesTab&amp;id=http%3A%2F%2Fwho.int%2Ficd%231632_512ebf36_bf6b_4d70_85da_cf2637062af4","iCat")</x:f>
      </x:c>
      <x:c r="M1248" s="0" t="s">
        <x:v>21</x:v>
      </x:c>
      <x:c r="N1248" s="0" t="s">
        <x:v>46</x:v>
      </x:c>
    </x:row>
    <x:row r="1249" spans="1:16">
      <x:c r="A1249" s="0" t="s">
        <x:v>4824</x:v>
      </x:c>
      <x:c r="B1249" s="0" t="s">
        <x:v>4825</x:v>
      </x:c>
      <x:c r="C1249" s="0" t="s">
        <x:v>4826</x:v>
      </x:c>
      <x:c r="E1249" s="0" t="s">
        <x:v>4827</x:v>
      </x:c>
      <x:c r="F1249" s="0" t="s">
        <x:v>45</x:v>
      </x:c>
      <x:c r="G1249" s="0" t="s">
        <x:v>19</x:v>
      </x:c>
      <x:c r="H1249" s="0" t="s">
        <x:v>20</x:v>
      </x:c>
      <x:c r="I1249" s="0" t="s">
        <x:v>21</x:v>
      </x:c>
      <x:c r="K1249" s="0">
        <x:f>hyperlink("https://icd.who.int/dev11/l-ichi/en#/http%3A%2F%2Fid.who.int%2Ficd%2Fentity%2F1290442839","browser")</x:f>
      </x:c>
      <x:c r="L1249" s="0">
        <x:f>hyperlink("https://icat2.azurewebsites.net/icat/?ontology=ICD&amp;tab=ClassesTab&amp;id=http%3A%2F%2Fwho.int%2Ficd%231639_512ebf36_bf6b_4d70_85da_cf2637062af4","iCat")</x:f>
      </x:c>
      <x:c r="M1249" s="0" t="s">
        <x:v>21</x:v>
      </x:c>
      <x:c r="N1249" s="0" t="s">
        <x:v>46</x:v>
      </x:c>
    </x:row>
    <x:row r="1250" spans="1:16">
      <x:c r="A1250" s="0" t="s">
        <x:v>4828</x:v>
      </x:c>
      <x:c r="B1250" s="0" t="s">
        <x:v>4829</x:v>
      </x:c>
      <x:c r="C1250" s="0" t="s">
        <x:v>4830</x:v>
      </x:c>
      <x:c r="E1250" s="0" t="s">
        <x:v>4831</x:v>
      </x:c>
      <x:c r="F1250" s="0" t="s">
        <x:v>45</x:v>
      </x:c>
      <x:c r="G1250" s="0" t="s">
        <x:v>19</x:v>
      </x:c>
      <x:c r="H1250" s="0" t="s">
        <x:v>20</x:v>
      </x:c>
      <x:c r="I1250" s="0" t="s">
        <x:v>21</x:v>
      </x:c>
      <x:c r="K1250" s="0">
        <x:f>hyperlink("https://icd.who.int/dev11/l-ichi/en#/http%3A%2F%2Fid.who.int%2Ficd%2Fentity%2F1111445909","browser")</x:f>
      </x:c>
      <x:c r="L1250" s="0">
        <x:f>hyperlink("https://icat2.azurewebsites.net/icat/?ontology=ICD&amp;tab=ClassesTab&amp;id=http%3A%2F%2Fwho.int%2Ficd%231646_512ebf36_bf6b_4d70_85da_cf2637062af4","iCat")</x:f>
      </x:c>
      <x:c r="M1250" s="0" t="s">
        <x:v>21</x:v>
      </x:c>
      <x:c r="N1250" s="0" t="s">
        <x:v>46</x:v>
      </x:c>
    </x:row>
    <x:row r="1251" spans="1:16">
      <x:c r="A1251" s="0" t="s">
        <x:v>4832</x:v>
      </x:c>
      <x:c r="B1251" s="0" t="s">
        <x:v>4833</x:v>
      </x:c>
      <x:c r="C1251" s="0" t="s">
        <x:v>4834</x:v>
      </x:c>
      <x:c r="E1251" s="0" t="s">
        <x:v>4835</x:v>
      </x:c>
      <x:c r="F1251" s="0" t="s">
        <x:v>45</x:v>
      </x:c>
      <x:c r="G1251" s="0" t="s">
        <x:v>19</x:v>
      </x:c>
      <x:c r="H1251" s="0" t="s">
        <x:v>20</x:v>
      </x:c>
      <x:c r="I1251" s="0" t="s">
        <x:v>21</x:v>
      </x:c>
      <x:c r="K1251" s="0">
        <x:f>hyperlink("https://icd.who.int/dev11/l-ichi/en#/http%3A%2F%2Fid.who.int%2Ficd%2Fentity%2F1023701644","browser")</x:f>
      </x:c>
      <x:c r="L1251" s="0">
        <x:f>hyperlink("https://icat2.azurewebsites.net/icat/?ontology=ICD&amp;tab=ClassesTab&amp;id=http%3A%2F%2Fwho.int%2Ficd%231653_512ebf36_bf6b_4d70_85da_cf2637062af4","iCat")</x:f>
      </x:c>
      <x:c r="M1251" s="0" t="s">
        <x:v>21</x:v>
      </x:c>
      <x:c r="N1251" s="0" t="s">
        <x:v>46</x:v>
      </x:c>
    </x:row>
    <x:row r="1252" spans="1:16">
      <x:c r="A1252" s="0" t="s">
        <x:v>4836</x:v>
      </x:c>
      <x:c r="B1252" s="0" t="s">
        <x:v>4837</x:v>
      </x:c>
      <x:c r="C1252" s="0" t="s">
        <x:v>4838</x:v>
      </x:c>
      <x:c r="E1252" s="0" t="s">
        <x:v>4839</x:v>
      </x:c>
      <x:c r="F1252" s="0" t="s">
        <x:v>45</x:v>
      </x:c>
      <x:c r="G1252" s="0" t="s">
        <x:v>19</x:v>
      </x:c>
      <x:c r="H1252" s="0" t="s">
        <x:v>20</x:v>
      </x:c>
      <x:c r="I1252" s="0" t="s">
        <x:v>21</x:v>
      </x:c>
      <x:c r="K1252" s="0">
        <x:f>hyperlink("https://icd.who.int/dev11/l-ichi/en#/http%3A%2F%2Fid.who.int%2Ficd%2Fentity%2F415838024","browser")</x:f>
      </x:c>
      <x:c r="L1252" s="0">
        <x:f>hyperlink("https://icat2.azurewebsites.net/icat/?ontology=ICD&amp;tab=ClassesTab&amp;id=http%3A%2F%2Fwho.int%2Ficd%231661_512ebf36_bf6b_4d70_85da_cf2637062af4","iCat")</x:f>
      </x:c>
      <x:c r="M1252" s="0" t="s">
        <x:v>21</x:v>
      </x:c>
      <x:c r="N1252" s="0" t="s">
        <x:v>46</x:v>
      </x:c>
    </x:row>
    <x:row r="1253" spans="1:16">
      <x:c r="A1253" s="0" t="s">
        <x:v>4840</x:v>
      </x:c>
      <x:c r="B1253" s="0" t="s">
        <x:v>4841</x:v>
      </x:c>
      <x:c r="C1253" s="0" t="s">
        <x:v>4842</x:v>
      </x:c>
      <x:c r="E1253" s="0" t="s">
        <x:v>4843</x:v>
      </x:c>
      <x:c r="F1253" s="0" t="s">
        <x:v>45</x:v>
      </x:c>
      <x:c r="G1253" s="0" t="s">
        <x:v>19</x:v>
      </x:c>
      <x:c r="H1253" s="0" t="s">
        <x:v>20</x:v>
      </x:c>
      <x:c r="I1253" s="0" t="s">
        <x:v>21</x:v>
      </x:c>
      <x:c r="K1253" s="0">
        <x:f>hyperlink("https://icd.who.int/dev11/l-ichi/en#/http%3A%2F%2Fid.who.int%2Ficd%2Fentity%2F1991322657","browser")</x:f>
      </x:c>
      <x:c r="L1253" s="0">
        <x:f>hyperlink("https://icat2.azurewebsites.net/icat/?ontology=ICD&amp;tab=ClassesTab&amp;id=http%3A%2F%2Fwho.int%2Ficd%231668_512ebf36_bf6b_4d70_85da_cf2637062af4","iCat")</x:f>
      </x:c>
      <x:c r="M1253" s="0" t="s">
        <x:v>21</x:v>
      </x:c>
      <x:c r="N1253" s="0" t="s">
        <x:v>46</x:v>
      </x:c>
    </x:row>
    <x:row r="1254" spans="1:16">
      <x:c r="A1254" s="0" t="s">
        <x:v>4844</x:v>
      </x:c>
      <x:c r="B1254" s="0" t="s">
        <x:v>4845</x:v>
      </x:c>
      <x:c r="D1254" s="0" t="s">
        <x:v>4846</x:v>
      </x:c>
      <x:c r="E1254" s="0" t="s">
        <x:v>4847</x:v>
      </x:c>
      <x:c r="F1254" s="0" t="s">
        <x:v>26</x:v>
      </x:c>
      <x:c r="G1254" s="0" t="s">
        <x:v>22</x:v>
      </x:c>
      <x:c r="H1254" s="0" t="s">
        <x:v>20</x:v>
      </x:c>
      <x:c r="I1254" s="0" t="s">
        <x:v>21</x:v>
      </x:c>
      <x:c r="K1254" s="0">
        <x:f>hyperlink("https://icd.who.int/dev11/l-ichi/en#/http%3A%2F%2Fid.who.int%2Ficd%2Fentity%2F949480708","browser")</x:f>
      </x:c>
      <x:c r="L1254" s="0">
        <x:f>hyperlink("https://icat2.azurewebsites.net/icat/?ontology=ICD&amp;tab=ClassesTab&amp;id=http%3A%2F%2Fwho.int%2Ficd%231683_512ebf36_bf6b_4d70_85da_cf2637062af4","iCat")</x:f>
      </x:c>
      <x:c r="M1254" s="0" t="s">
        <x:v>20</x:v>
      </x:c>
      <x:c r="N1254" s="0" t="s">
        <x:v>3357</x:v>
      </x:c>
    </x:row>
    <x:row r="1255" spans="1:16">
      <x:c r="A1255" s="0" t="s">
        <x:v>4848</x:v>
      </x:c>
      <x:c r="B1255" s="0" t="s">
        <x:v>4849</x:v>
      </x:c>
      <x:c r="C1255" s="0" t="s">
        <x:v>4850</x:v>
      </x:c>
      <x:c r="E1255" s="0" t="s">
        <x:v>4851</x:v>
      </x:c>
      <x:c r="F1255" s="0" t="s">
        <x:v>45</x:v>
      </x:c>
      <x:c r="G1255" s="0" t="s">
        <x:v>19</x:v>
      </x:c>
      <x:c r="H1255" s="0" t="s">
        <x:v>20</x:v>
      </x:c>
      <x:c r="I1255" s="0" t="s">
        <x:v>21</x:v>
      </x:c>
      <x:c r="K1255" s="0">
        <x:f>hyperlink("https://icd.who.int/dev11/l-ichi/en#/http%3A%2F%2Fid.who.int%2Ficd%2Fentity%2F409902906","browser")</x:f>
      </x:c>
      <x:c r="L1255" s="0">
        <x:f>hyperlink("https://icat2.azurewebsites.net/icat/?ontology=ICD&amp;tab=ClassesTab&amp;id=http%3A%2F%2Fwho.int%2Ficd%231682_512ebf36_bf6b_4d70_85da_cf2637062af4","iCat")</x:f>
      </x:c>
      <x:c r="M1255" s="0" t="s">
        <x:v>21</x:v>
      </x:c>
      <x:c r="N1255" s="0" t="s">
        <x:v>46</x:v>
      </x:c>
    </x:row>
    <x:row r="1256" spans="1:16">
      <x:c r="A1256" s="0" t="s">
        <x:v>4852</x:v>
      </x:c>
      <x:c r="B1256" s="0" t="s">
        <x:v>4853</x:v>
      </x:c>
      <x:c r="C1256" s="0" t="s">
        <x:v>4854</x:v>
      </x:c>
      <x:c r="E1256" s="0" t="s">
        <x:v>4855</x:v>
      </x:c>
      <x:c r="F1256" s="0" t="s">
        <x:v>45</x:v>
      </x:c>
      <x:c r="G1256" s="0" t="s">
        <x:v>19</x:v>
      </x:c>
      <x:c r="H1256" s="0" t="s">
        <x:v>20</x:v>
      </x:c>
      <x:c r="I1256" s="0" t="s">
        <x:v>21</x:v>
      </x:c>
      <x:c r="K1256" s="0">
        <x:f>hyperlink("https://icd.who.int/dev11/l-ichi/en#/http%3A%2F%2Fid.who.int%2Ficd%2Fentity%2F36282852","browser")</x:f>
      </x:c>
      <x:c r="L1256" s="0">
        <x:f>hyperlink("https://icat2.azurewebsites.net/icat/?ontology=ICD&amp;tab=ClassesTab&amp;id=http%3A%2F%2Fwho.int%2Ficd%231695_512ebf36_bf6b_4d70_85da_cf2637062af4","iCat")</x:f>
      </x:c>
      <x:c r="M1256" s="0" t="s">
        <x:v>21</x:v>
      </x:c>
      <x:c r="N1256" s="0" t="s">
        <x:v>46</x:v>
      </x:c>
    </x:row>
    <x:row r="1257" spans="1:16">
      <x:c r="A1257" s="0" t="s">
        <x:v>4856</x:v>
      </x:c>
      <x:c r="B1257" s="0" t="s">
        <x:v>4857</x:v>
      </x:c>
      <x:c r="C1257" s="0" t="s">
        <x:v>4858</x:v>
      </x:c>
      <x:c r="E1257" s="0" t="s">
        <x:v>4859</x:v>
      </x:c>
      <x:c r="F1257" s="0" t="s">
        <x:v>45</x:v>
      </x:c>
      <x:c r="G1257" s="0" t="s">
        <x:v>19</x:v>
      </x:c>
      <x:c r="H1257" s="0" t="s">
        <x:v>20</x:v>
      </x:c>
      <x:c r="I1257" s="0" t="s">
        <x:v>21</x:v>
      </x:c>
      <x:c r="K1257" s="0">
        <x:f>hyperlink("https://icd.who.int/dev11/l-ichi/en#/http%3A%2F%2Fid.who.int%2Ficd%2Fentity%2F1925185633","browser")</x:f>
      </x:c>
      <x:c r="L1257" s="0">
        <x:f>hyperlink("https://icat2.azurewebsites.net/icat/?ontology=ICD&amp;tab=ClassesTab&amp;id=http%3A%2F%2Fwho.int%2Ficd%231702_512ebf36_bf6b_4d70_85da_cf2637062af4","iCat")</x:f>
      </x:c>
      <x:c r="M1257" s="0" t="s">
        <x:v>21</x:v>
      </x:c>
      <x:c r="N1257" s="0" t="s">
        <x:v>46</x:v>
      </x:c>
    </x:row>
    <x:row r="1258" spans="1:16">
      <x:c r="A1258" s="0" t="s">
        <x:v>4860</x:v>
      </x:c>
      <x:c r="B1258" s="0" t="s">
        <x:v>4861</x:v>
      </x:c>
      <x:c r="C1258" s="0" t="s">
        <x:v>4862</x:v>
      </x:c>
      <x:c r="E1258" s="0" t="s">
        <x:v>4863</x:v>
      </x:c>
      <x:c r="F1258" s="0" t="s">
        <x:v>45</x:v>
      </x:c>
      <x:c r="G1258" s="0" t="s">
        <x:v>19</x:v>
      </x:c>
      <x:c r="H1258" s="0" t="s">
        <x:v>20</x:v>
      </x:c>
      <x:c r="I1258" s="0" t="s">
        <x:v>21</x:v>
      </x:c>
      <x:c r="K1258" s="0">
        <x:f>hyperlink("https://icd.who.int/dev11/l-ichi/en#/http%3A%2F%2Fid.who.int%2Ficd%2Fentity%2F2042896077","browser")</x:f>
      </x:c>
      <x:c r="L1258" s="0">
        <x:f>hyperlink("https://icat2.azurewebsites.net/icat/?ontology=ICD&amp;tab=ClassesTab&amp;id=http%3A%2F%2Fwho.int%2Ficd%231709_512ebf36_bf6b_4d70_85da_cf2637062af4","iCat")</x:f>
      </x:c>
      <x:c r="M1258" s="0" t="s">
        <x:v>21</x:v>
      </x:c>
      <x:c r="N1258" s="0" t="s">
        <x:v>46</x:v>
      </x:c>
    </x:row>
    <x:row r="1259" spans="1:16">
      <x:c r="A1259" s="0" t="s">
        <x:v>4864</x:v>
      </x:c>
      <x:c r="B1259" s="0" t="s">
        <x:v>4865</x:v>
      </x:c>
      <x:c r="C1259" s="0" t="s">
        <x:v>4866</x:v>
      </x:c>
      <x:c r="E1259" s="0" t="s">
        <x:v>4867</x:v>
      </x:c>
      <x:c r="F1259" s="0" t="s">
        <x:v>45</x:v>
      </x:c>
      <x:c r="G1259" s="0" t="s">
        <x:v>19</x:v>
      </x:c>
      <x:c r="H1259" s="0" t="s">
        <x:v>20</x:v>
      </x:c>
      <x:c r="I1259" s="0" t="s">
        <x:v>21</x:v>
      </x:c>
      <x:c r="K1259" s="0">
        <x:f>hyperlink("https://icd.who.int/dev11/l-ichi/en#/http%3A%2F%2Fid.who.int%2Ficd%2Fentity%2F755126596","browser")</x:f>
      </x:c>
      <x:c r="L1259" s="0">
        <x:f>hyperlink("https://icat2.azurewebsites.net/icat/?ontology=ICD&amp;tab=ClassesTab&amp;id=http%3A%2F%2Fwho.int%2Ficd%231716_512ebf36_bf6b_4d70_85da_cf2637062af4","iCat")</x:f>
      </x:c>
      <x:c r="M1259" s="0" t="s">
        <x:v>21</x:v>
      </x:c>
      <x:c r="N1259" s="0" t="s">
        <x:v>46</x:v>
      </x:c>
    </x:row>
    <x:row r="1260" spans="1:16">
      <x:c r="A1260" s="0" t="s">
        <x:v>4868</x:v>
      </x:c>
      <x:c r="B1260" s="0" t="s">
        <x:v>4869</x:v>
      </x:c>
      <x:c r="C1260" s="0" t="s">
        <x:v>4870</x:v>
      </x:c>
      <x:c r="E1260" s="0" t="s">
        <x:v>4871</x:v>
      </x:c>
      <x:c r="F1260" s="0" t="s">
        <x:v>45</x:v>
      </x:c>
      <x:c r="G1260" s="0" t="s">
        <x:v>19</x:v>
      </x:c>
      <x:c r="H1260" s="0" t="s">
        <x:v>20</x:v>
      </x:c>
      <x:c r="I1260" s="0" t="s">
        <x:v>21</x:v>
      </x:c>
      <x:c r="K1260" s="0">
        <x:f>hyperlink("https://icd.who.int/dev11/l-ichi/en#/http%3A%2F%2Fid.who.int%2Ficd%2Fentity%2F2018354957","browser")</x:f>
      </x:c>
      <x:c r="L1260" s="0">
        <x:f>hyperlink("https://icat2.azurewebsites.net/icat/?ontology=ICD&amp;tab=ClassesTab&amp;id=http%3A%2F%2Fwho.int%2Ficd%231723_512ebf36_bf6b_4d70_85da_cf2637062af4","iCat")</x:f>
      </x:c>
      <x:c r="M1260" s="0" t="s">
        <x:v>21</x:v>
      </x:c>
      <x:c r="N1260" s="0" t="s">
        <x:v>46</x:v>
      </x:c>
    </x:row>
    <x:row r="1261" spans="1:16">
      <x:c r="A1261" s="0" t="s">
        <x:v>4872</x:v>
      </x:c>
      <x:c r="B1261" s="0" t="s">
        <x:v>4873</x:v>
      </x:c>
      <x:c r="C1261" s="0" t="s">
        <x:v>4874</x:v>
      </x:c>
      <x:c r="E1261" s="0" t="s">
        <x:v>4875</x:v>
      </x:c>
      <x:c r="F1261" s="0" t="s">
        <x:v>45</x:v>
      </x:c>
      <x:c r="G1261" s="0" t="s">
        <x:v>19</x:v>
      </x:c>
      <x:c r="H1261" s="0" t="s">
        <x:v>20</x:v>
      </x:c>
      <x:c r="I1261" s="0" t="s">
        <x:v>21</x:v>
      </x:c>
      <x:c r="K1261" s="0">
        <x:f>hyperlink("https://icd.who.int/dev11/l-ichi/en#/http%3A%2F%2Fid.who.int%2Ficd%2Fentity%2F1460493731","browser")</x:f>
      </x:c>
      <x:c r="L1261" s="0">
        <x:f>hyperlink("https://icat2.azurewebsites.net/icat/?ontology=ICD&amp;tab=ClassesTab&amp;id=http%3A%2F%2Fwho.int%2Ficd%231730_512ebf36_bf6b_4d70_85da_cf2637062af4","iCat")</x:f>
      </x:c>
      <x:c r="M1261" s="0" t="s">
        <x:v>21</x:v>
      </x:c>
      <x:c r="N1261" s="0" t="s">
        <x:v>46</x:v>
      </x:c>
    </x:row>
    <x:row r="1262" spans="1:16">
      <x:c r="A1262" s="0" t="s">
        <x:v>4876</x:v>
      </x:c>
      <x:c r="B1262" s="0" t="s">
        <x:v>4877</x:v>
      </x:c>
      <x:c r="C1262" s="0" t="s">
        <x:v>4878</x:v>
      </x:c>
      <x:c r="E1262" s="0" t="s">
        <x:v>4879</x:v>
      </x:c>
      <x:c r="F1262" s="0" t="s">
        <x:v>45</x:v>
      </x:c>
      <x:c r="G1262" s="0" t="s">
        <x:v>19</x:v>
      </x:c>
      <x:c r="H1262" s="0" t="s">
        <x:v>20</x:v>
      </x:c>
      <x:c r="I1262" s="0" t="s">
        <x:v>21</x:v>
      </x:c>
      <x:c r="K1262" s="0">
        <x:f>hyperlink("https://icd.who.int/dev11/l-ichi/en#/http%3A%2F%2Fid.who.int%2Ficd%2Fentity%2F663746096","browser")</x:f>
      </x:c>
      <x:c r="L1262" s="0">
        <x:f>hyperlink("https://icat2.azurewebsites.net/icat/?ontology=ICD&amp;tab=ClassesTab&amp;id=http%3A%2F%2Fwho.int%2Ficd%231737_512ebf36_bf6b_4d70_85da_cf2637062af4","iCat")</x:f>
      </x:c>
      <x:c r="M1262" s="0" t="s">
        <x:v>21</x:v>
      </x:c>
      <x:c r="N1262" s="0" t="s">
        <x:v>46</x:v>
      </x:c>
    </x:row>
    <x:row r="1263" spans="1:16">
      <x:c r="A1263" s="0" t="s">
        <x:v>4880</x:v>
      </x:c>
      <x:c r="B1263" s="0" t="s">
        <x:v>4881</x:v>
      </x:c>
      <x:c r="C1263" s="0" t="s">
        <x:v>4882</x:v>
      </x:c>
      <x:c r="E1263" s="0" t="s">
        <x:v>4883</x:v>
      </x:c>
      <x:c r="F1263" s="0" t="s">
        <x:v>45</x:v>
      </x:c>
      <x:c r="G1263" s="0" t="s">
        <x:v>19</x:v>
      </x:c>
      <x:c r="H1263" s="0" t="s">
        <x:v>20</x:v>
      </x:c>
      <x:c r="I1263" s="0" t="s">
        <x:v>21</x:v>
      </x:c>
      <x:c r="K1263" s="0">
        <x:f>hyperlink("https://icd.who.int/dev11/l-ichi/en#/http%3A%2F%2Fid.who.int%2Ficd%2Fentity%2F1390185165","browser")</x:f>
      </x:c>
      <x:c r="L1263" s="0">
        <x:f>hyperlink("https://icat2.azurewebsites.net/icat/?ontology=ICD&amp;tab=ClassesTab&amp;id=http%3A%2F%2Fwho.int%2Ficd%231744_512ebf36_bf6b_4d70_85da_cf2637062af4","iCat")</x:f>
      </x:c>
      <x:c r="M1263" s="0" t="s">
        <x:v>21</x:v>
      </x:c>
      <x:c r="N1263" s="0" t="s">
        <x:v>46</x:v>
      </x:c>
    </x:row>
    <x:row r="1264" spans="1:16">
      <x:c r="A1264" s="0" t="s">
        <x:v>4884</x:v>
      </x:c>
      <x:c r="B1264" s="0" t="s">
        <x:v>4885</x:v>
      </x:c>
      <x:c r="C1264" s="0" t="s">
        <x:v>4886</x:v>
      </x:c>
      <x:c r="E1264" s="0" t="s">
        <x:v>4887</x:v>
      </x:c>
      <x:c r="F1264" s="0" t="s">
        <x:v>45</x:v>
      </x:c>
      <x:c r="G1264" s="0" t="s">
        <x:v>19</x:v>
      </x:c>
      <x:c r="H1264" s="0" t="s">
        <x:v>20</x:v>
      </x:c>
      <x:c r="I1264" s="0" t="s">
        <x:v>21</x:v>
      </x:c>
      <x:c r="K1264" s="0">
        <x:f>hyperlink("https://icd.who.int/dev11/l-ichi/en#/http%3A%2F%2Fid.who.int%2Ficd%2Fentity%2F770157012","browser")</x:f>
      </x:c>
      <x:c r="L1264" s="0">
        <x:f>hyperlink("https://icat2.azurewebsites.net/icat/?ontology=ICD&amp;tab=ClassesTab&amp;id=http%3A%2F%2Fwho.int%2Ficd%231751_512ebf36_bf6b_4d70_85da_cf2637062af4","iCat")</x:f>
      </x:c>
      <x:c r="M1264" s="0" t="s">
        <x:v>21</x:v>
      </x:c>
      <x:c r="N1264" s="0" t="s">
        <x:v>46</x:v>
      </x:c>
    </x:row>
    <x:row r="1265" spans="1:16">
      <x:c r="A1265" s="0" t="s">
        <x:v>4888</x:v>
      </x:c>
      <x:c r="B1265" s="0" t="s">
        <x:v>4889</x:v>
      </x:c>
      <x:c r="C1265" s="0" t="s">
        <x:v>4890</x:v>
      </x:c>
      <x:c r="E1265" s="0" t="s">
        <x:v>4891</x:v>
      </x:c>
      <x:c r="F1265" s="0" t="s">
        <x:v>45</x:v>
      </x:c>
      <x:c r="G1265" s="0" t="s">
        <x:v>19</x:v>
      </x:c>
      <x:c r="H1265" s="0" t="s">
        <x:v>20</x:v>
      </x:c>
      <x:c r="I1265" s="0" t="s">
        <x:v>21</x:v>
      </x:c>
      <x:c r="K1265" s="0">
        <x:f>hyperlink("https://icd.who.int/dev11/l-ichi/en#/http%3A%2F%2Fid.who.int%2Ficd%2Fentity%2F1134537403","browser")</x:f>
      </x:c>
      <x:c r="L1265" s="0">
        <x:f>hyperlink("https://icat2.azurewebsites.net/icat/?ontology=ICD&amp;tab=ClassesTab&amp;id=http%3A%2F%2Fwho.int%2Ficd%231758_512ebf36_bf6b_4d70_85da_cf2637062af4","iCat")</x:f>
      </x:c>
      <x:c r="M1265" s="0" t="s">
        <x:v>21</x:v>
      </x:c>
      <x:c r="N1265" s="0" t="s">
        <x:v>46</x:v>
      </x:c>
    </x:row>
    <x:row r="1266" spans="1:16">
      <x:c r="A1266" s="0" t="s">
        <x:v>4892</x:v>
      </x:c>
      <x:c r="B1266" s="0" t="s">
        <x:v>4893</x:v>
      </x:c>
      <x:c r="C1266" s="0" t="s">
        <x:v>4894</x:v>
      </x:c>
      <x:c r="E1266" s="0" t="s">
        <x:v>4895</x:v>
      </x:c>
      <x:c r="F1266" s="0" t="s">
        <x:v>45</x:v>
      </x:c>
      <x:c r="G1266" s="0" t="s">
        <x:v>19</x:v>
      </x:c>
      <x:c r="H1266" s="0" t="s">
        <x:v>20</x:v>
      </x:c>
      <x:c r="I1266" s="0" t="s">
        <x:v>21</x:v>
      </x:c>
      <x:c r="K1266" s="0">
        <x:f>hyperlink("https://icd.who.int/dev11/l-ichi/en#/http%3A%2F%2Fid.who.int%2Ficd%2Fentity%2F1481715105","browser")</x:f>
      </x:c>
      <x:c r="L1266" s="0">
        <x:f>hyperlink("https://icat2.azurewebsites.net/icat/?ontology=ICD&amp;tab=ClassesTab&amp;id=http%3A%2F%2Fwho.int%2Ficd%231765_512ebf36_bf6b_4d70_85da_cf2637062af4","iCat")</x:f>
      </x:c>
      <x:c r="M1266" s="0" t="s">
        <x:v>21</x:v>
      </x:c>
      <x:c r="N1266" s="0" t="s">
        <x:v>46</x:v>
      </x:c>
    </x:row>
    <x:row r="1267" spans="1:16">
      <x:c r="A1267" s="0" t="s">
        <x:v>4896</x:v>
      </x:c>
      <x:c r="B1267" s="0" t="s">
        <x:v>4897</x:v>
      </x:c>
      <x:c r="C1267" s="0" t="s">
        <x:v>4898</x:v>
      </x:c>
      <x:c r="E1267" s="0" t="s">
        <x:v>4899</x:v>
      </x:c>
      <x:c r="F1267" s="0" t="s">
        <x:v>45</x:v>
      </x:c>
      <x:c r="G1267" s="0" t="s">
        <x:v>19</x:v>
      </x:c>
      <x:c r="H1267" s="0" t="s">
        <x:v>20</x:v>
      </x:c>
      <x:c r="I1267" s="0" t="s">
        <x:v>21</x:v>
      </x:c>
      <x:c r="K1267" s="0">
        <x:f>hyperlink("https://icd.who.int/dev11/l-ichi/en#/http%3A%2F%2Fid.who.int%2Ficd%2Fentity%2F1225919959","browser")</x:f>
      </x:c>
      <x:c r="L1267" s="0">
        <x:f>hyperlink("https://icat2.azurewebsites.net/icat/?ontology=ICD&amp;tab=ClassesTab&amp;id=http%3A%2F%2Fwho.int%2Ficd%231779_512ebf36_bf6b_4d70_85da_cf2637062af4","iCat")</x:f>
      </x:c>
      <x:c r="M1267" s="0" t="s">
        <x:v>21</x:v>
      </x:c>
      <x:c r="N1267" s="0" t="s">
        <x:v>46</x:v>
      </x:c>
    </x:row>
    <x:row r="1268" spans="1:16">
      <x:c r="A1268" s="0" t="s">
        <x:v>4900</x:v>
      </x:c>
      <x:c r="B1268" s="0" t="s">
        <x:v>4901</x:v>
      </x:c>
      <x:c r="C1268" s="0" t="s">
        <x:v>4902</x:v>
      </x:c>
      <x:c r="E1268" s="0" t="s">
        <x:v>4903</x:v>
      </x:c>
      <x:c r="F1268" s="0" t="s">
        <x:v>45</x:v>
      </x:c>
      <x:c r="G1268" s="0" t="s">
        <x:v>19</x:v>
      </x:c>
      <x:c r="H1268" s="0" t="s">
        <x:v>20</x:v>
      </x:c>
      <x:c r="I1268" s="0" t="s">
        <x:v>21</x:v>
      </x:c>
      <x:c r="K1268" s="0">
        <x:f>hyperlink("https://icd.who.int/dev11/l-ichi/en#/http%3A%2F%2Fid.who.int%2Ficd%2Fentity%2F1727350537","browser")</x:f>
      </x:c>
      <x:c r="L1268" s="0">
        <x:f>hyperlink("https://icat2.azurewebsites.net/icat/?ontology=ICD&amp;tab=ClassesTab&amp;id=http%3A%2F%2Fwho.int%2Ficd%231789_512ebf36_bf6b_4d70_85da_cf2637062af4","iCat")</x:f>
      </x:c>
      <x:c r="M1268" s="0" t="s">
        <x:v>21</x:v>
      </x:c>
      <x:c r="N1268" s="0" t="s">
        <x:v>46</x:v>
      </x:c>
    </x:row>
    <x:row r="1269" spans="1:16">
      <x:c r="A1269" s="0" t="s">
        <x:v>4904</x:v>
      </x:c>
      <x:c r="B1269" s="0" t="s">
        <x:v>4905</x:v>
      </x:c>
      <x:c r="C1269" s="0" t="s">
        <x:v>4906</x:v>
      </x:c>
      <x:c r="E1269" s="0" t="s">
        <x:v>4907</x:v>
      </x:c>
      <x:c r="F1269" s="0" t="s">
        <x:v>45</x:v>
      </x:c>
      <x:c r="G1269" s="0" t="s">
        <x:v>19</x:v>
      </x:c>
      <x:c r="H1269" s="0" t="s">
        <x:v>20</x:v>
      </x:c>
      <x:c r="I1269" s="0" t="s">
        <x:v>21</x:v>
      </x:c>
      <x:c r="K1269" s="0">
        <x:f>hyperlink("https://icd.who.int/dev11/l-ichi/en#/http%3A%2F%2Fid.who.int%2Ficd%2Fentity%2F842205318","browser")</x:f>
      </x:c>
      <x:c r="L1269" s="0">
        <x:f>hyperlink("https://icat2.azurewebsites.net/icat/?ontology=ICD&amp;tab=ClassesTab&amp;id=http%3A%2F%2Fwho.int%2Ficd%231796_512ebf36_bf6b_4d70_85da_cf2637062af4","iCat")</x:f>
      </x:c>
      <x:c r="M1269" s="0" t="s">
        <x:v>21</x:v>
      </x:c>
      <x:c r="N1269" s="0" t="s">
        <x:v>46</x:v>
      </x:c>
    </x:row>
    <x:row r="1270" spans="1:16">
      <x:c r="A1270" s="0" t="s">
        <x:v>4908</x:v>
      </x:c>
      <x:c r="B1270" s="0" t="s">
        <x:v>4909</x:v>
      </x:c>
      <x:c r="C1270" s="0" t="s">
        <x:v>4910</x:v>
      </x:c>
      <x:c r="E1270" s="0" t="s">
        <x:v>4911</x:v>
      </x:c>
      <x:c r="F1270" s="0" t="s">
        <x:v>45</x:v>
      </x:c>
      <x:c r="G1270" s="0" t="s">
        <x:v>19</x:v>
      </x:c>
      <x:c r="H1270" s="0" t="s">
        <x:v>20</x:v>
      </x:c>
      <x:c r="I1270" s="0" t="s">
        <x:v>21</x:v>
      </x:c>
      <x:c r="K1270" s="0">
        <x:f>hyperlink("https://icd.who.int/dev11/l-ichi/en#/http%3A%2F%2Fid.who.int%2Ficd%2Fentity%2F1425426902","browser")</x:f>
      </x:c>
      <x:c r="L1270" s="0">
        <x:f>hyperlink("https://icat2.azurewebsites.net/icat/?ontology=ICD&amp;tab=ClassesTab&amp;id=http%3A%2F%2Fwho.int%2Ficd%231804_512ebf36_bf6b_4d70_85da_cf2637062af4","iCat")</x:f>
      </x:c>
      <x:c r="M1270" s="0" t="s">
        <x:v>21</x:v>
      </x:c>
      <x:c r="N1270" s="0" t="s">
        <x:v>46</x:v>
      </x:c>
    </x:row>
    <x:row r="1271" spans="1:16">
      <x:c r="A1271" s="0" t="s">
        <x:v>4912</x:v>
      </x:c>
      <x:c r="B1271" s="0" t="s">
        <x:v>4913</x:v>
      </x:c>
      <x:c r="C1271" s="0" t="s">
        <x:v>4914</x:v>
      </x:c>
      <x:c r="E1271" s="0" t="s">
        <x:v>4915</x:v>
      </x:c>
      <x:c r="F1271" s="0" t="s">
        <x:v>45</x:v>
      </x:c>
      <x:c r="G1271" s="0" t="s">
        <x:v>19</x:v>
      </x:c>
      <x:c r="H1271" s="0" t="s">
        <x:v>20</x:v>
      </x:c>
      <x:c r="I1271" s="0" t="s">
        <x:v>21</x:v>
      </x:c>
      <x:c r="K1271" s="0">
        <x:f>hyperlink("https://icd.who.int/dev11/l-ichi/en#/http%3A%2F%2Fid.who.int%2Ficd%2Fentity%2F734882505","browser")</x:f>
      </x:c>
      <x:c r="L1271" s="0">
        <x:f>hyperlink("https://icat2.azurewebsites.net/icat/?ontology=ICD&amp;tab=ClassesTab&amp;id=http%3A%2F%2Fwho.int%2Ficd%231811_512ebf36_bf6b_4d70_85da_cf2637062af4","iCat")</x:f>
      </x:c>
      <x:c r="M1271" s="0" t="s">
        <x:v>21</x:v>
      </x:c>
      <x:c r="N1271" s="0" t="s">
        <x:v>46</x:v>
      </x:c>
    </x:row>
    <x:row r="1272" spans="1:16">
      <x:c r="A1272" s="0" t="s">
        <x:v>4916</x:v>
      </x:c>
      <x:c r="B1272" s="0" t="s">
        <x:v>4917</x:v>
      </x:c>
      <x:c r="C1272" s="0" t="s">
        <x:v>4918</x:v>
      </x:c>
      <x:c r="E1272" s="0" t="s">
        <x:v>4919</x:v>
      </x:c>
      <x:c r="F1272" s="0" t="s">
        <x:v>45</x:v>
      </x:c>
      <x:c r="G1272" s="0" t="s">
        <x:v>19</x:v>
      </x:c>
      <x:c r="H1272" s="0" t="s">
        <x:v>20</x:v>
      </x:c>
      <x:c r="I1272" s="0" t="s">
        <x:v>21</x:v>
      </x:c>
      <x:c r="K1272" s="0">
        <x:f>hyperlink("https://icd.who.int/dev11/l-ichi/en#/http%3A%2F%2Fid.who.int%2Ficd%2Fentity%2F1169516962","browser")</x:f>
      </x:c>
      <x:c r="L1272" s="0">
        <x:f>hyperlink("https://icat2.azurewebsites.net/icat/?ontology=ICD&amp;tab=ClassesTab&amp;id=http%3A%2F%2Fwho.int%2Ficd%231818_512ebf36_bf6b_4d70_85da_cf2637062af4","iCat")</x:f>
      </x:c>
      <x:c r="M1272" s="0" t="s">
        <x:v>21</x:v>
      </x:c>
      <x:c r="N1272" s="0" t="s">
        <x:v>46</x:v>
      </x:c>
    </x:row>
    <x:row r="1273" spans="1:16">
      <x:c r="A1273" s="0" t="s">
        <x:v>4920</x:v>
      </x:c>
      <x:c r="B1273" s="0" t="s">
        <x:v>4921</x:v>
      </x:c>
      <x:c r="C1273" s="0" t="s">
        <x:v>4922</x:v>
      </x:c>
      <x:c r="E1273" s="0" t="s">
        <x:v>4923</x:v>
      </x:c>
      <x:c r="F1273" s="0" t="s">
        <x:v>45</x:v>
      </x:c>
      <x:c r="G1273" s="0" t="s">
        <x:v>19</x:v>
      </x:c>
      <x:c r="H1273" s="0" t="s">
        <x:v>20</x:v>
      </x:c>
      <x:c r="I1273" s="0" t="s">
        <x:v>21</x:v>
      </x:c>
      <x:c r="K1273" s="0">
        <x:f>hyperlink("https://icd.who.int/dev11/l-ichi/en#/http%3A%2F%2Fid.who.int%2Ficd%2Fentity%2F637361051","browser")</x:f>
      </x:c>
      <x:c r="L1273" s="0">
        <x:f>hyperlink("https://icat2.azurewebsites.net/icat/?ontology=ICD&amp;tab=ClassesTab&amp;id=http%3A%2F%2Fwho.int%2Ficd%231829_512ebf36_bf6b_4d70_85da_cf2637062af4","iCat")</x:f>
      </x:c>
      <x:c r="M1273" s="0" t="s">
        <x:v>21</x:v>
      </x:c>
      <x:c r="N1273" s="0" t="s">
        <x:v>46</x:v>
      </x:c>
    </x:row>
    <x:row r="1274" spans="1:16">
      <x:c r="A1274" s="0" t="s">
        <x:v>4924</x:v>
      </x:c>
      <x:c r="B1274" s="0" t="s">
        <x:v>4925</x:v>
      </x:c>
      <x:c r="C1274" s="0" t="s">
        <x:v>4926</x:v>
      </x:c>
      <x:c r="E1274" s="0" t="s">
        <x:v>4927</x:v>
      </x:c>
      <x:c r="F1274" s="0" t="s">
        <x:v>45</x:v>
      </x:c>
      <x:c r="G1274" s="0" t="s">
        <x:v>19</x:v>
      </x:c>
      <x:c r="H1274" s="0" t="s">
        <x:v>20</x:v>
      </x:c>
      <x:c r="I1274" s="0" t="s">
        <x:v>21</x:v>
      </x:c>
      <x:c r="K1274" s="0">
        <x:f>hyperlink("https://icd.who.int/dev11/l-ichi/en#/http%3A%2F%2Fid.who.int%2Ficd%2Fentity%2F1874967792","browser")</x:f>
      </x:c>
      <x:c r="L1274" s="0">
        <x:f>hyperlink("https://icat2.azurewebsites.net/icat/?ontology=ICD&amp;tab=ClassesTab&amp;id=http%3A%2F%2Fwho.int%2Ficd%231838_512ebf36_bf6b_4d70_85da_cf2637062af4","iCat")</x:f>
      </x:c>
      <x:c r="M1274" s="0" t="s">
        <x:v>21</x:v>
      </x:c>
      <x:c r="N1274" s="0" t="s">
        <x:v>46</x:v>
      </x:c>
    </x:row>
    <x:row r="1275" spans="1:16">
      <x:c r="A1275" s="0" t="s">
        <x:v>4928</x:v>
      </x:c>
      <x:c r="B1275" s="0" t="s">
        <x:v>4929</x:v>
      </x:c>
      <x:c r="C1275" s="0" t="s">
        <x:v>4930</x:v>
      </x:c>
      <x:c r="E1275" s="0" t="s">
        <x:v>4931</x:v>
      </x:c>
      <x:c r="F1275" s="0" t="s">
        <x:v>45</x:v>
      </x:c>
      <x:c r="G1275" s="0" t="s">
        <x:v>19</x:v>
      </x:c>
      <x:c r="H1275" s="0" t="s">
        <x:v>20</x:v>
      </x:c>
      <x:c r="I1275" s="0" t="s">
        <x:v>21</x:v>
      </x:c>
      <x:c r="K1275" s="0">
        <x:f>hyperlink("https://icd.who.int/dev11/l-ichi/en#/http%3A%2F%2Fid.who.int%2Ficd%2Fentity%2F73951479","browser")</x:f>
      </x:c>
      <x:c r="L1275" s="0">
        <x:f>hyperlink("https://icat2.azurewebsites.net/icat/?ontology=ICD&amp;tab=ClassesTab&amp;id=http%3A%2F%2Fwho.int%2Ficd%231845_512ebf36_bf6b_4d70_85da_cf2637062af4","iCat")</x:f>
      </x:c>
      <x:c r="M1275" s="0" t="s">
        <x:v>21</x:v>
      </x:c>
      <x:c r="N1275" s="0" t="s">
        <x:v>46</x:v>
      </x:c>
    </x:row>
    <x:row r="1276" spans="1:16">
      <x:c r="A1276" s="0" t="s">
        <x:v>4932</x:v>
      </x:c>
      <x:c r="B1276" s="0" t="s">
        <x:v>4933</x:v>
      </x:c>
      <x:c r="C1276" s="0" t="s">
        <x:v>4934</x:v>
      </x:c>
      <x:c r="E1276" s="0" t="s">
        <x:v>4935</x:v>
      </x:c>
      <x:c r="F1276" s="0" t="s">
        <x:v>45</x:v>
      </x:c>
      <x:c r="G1276" s="0" t="s">
        <x:v>19</x:v>
      </x:c>
      <x:c r="H1276" s="0" t="s">
        <x:v>20</x:v>
      </x:c>
      <x:c r="I1276" s="0" t="s">
        <x:v>21</x:v>
      </x:c>
      <x:c r="K1276" s="0">
        <x:f>hyperlink("https://icd.who.int/dev11/l-ichi/en#/http%3A%2F%2Fid.who.int%2Ficd%2Fentity%2F506418733","browser")</x:f>
      </x:c>
      <x:c r="L1276" s="0">
        <x:f>hyperlink("https://icat2.azurewebsites.net/icat/?ontology=ICD&amp;tab=ClassesTab&amp;id=http%3A%2F%2Fwho.int%2Ficd%231852_512ebf36_bf6b_4d70_85da_cf2637062af4","iCat")</x:f>
      </x:c>
      <x:c r="M1276" s="0" t="s">
        <x:v>21</x:v>
      </x:c>
      <x:c r="N1276" s="0" t="s">
        <x:v>46</x:v>
      </x:c>
    </x:row>
    <x:row r="1277" spans="1:16">
      <x:c r="A1277" s="0" t="s">
        <x:v>4936</x:v>
      </x:c>
      <x:c r="B1277" s="0" t="s">
        <x:v>4937</x:v>
      </x:c>
      <x:c r="C1277" s="0" t="s">
        <x:v>4938</x:v>
      </x:c>
      <x:c r="E1277" s="0" t="s">
        <x:v>4939</x:v>
      </x:c>
      <x:c r="F1277" s="0" t="s">
        <x:v>45</x:v>
      </x:c>
      <x:c r="G1277" s="0" t="s">
        <x:v>19</x:v>
      </x:c>
      <x:c r="H1277" s="0" t="s">
        <x:v>20</x:v>
      </x:c>
      <x:c r="I1277" s="0" t="s">
        <x:v>21</x:v>
      </x:c>
      <x:c r="K1277" s="0">
        <x:f>hyperlink("https://icd.who.int/dev11/l-ichi/en#/http%3A%2F%2Fid.who.int%2Ficd%2Fentity%2F355158145","browser")</x:f>
      </x:c>
      <x:c r="L1277" s="0">
        <x:f>hyperlink("https://icat2.azurewebsites.net/icat/?ontology=ICD&amp;tab=ClassesTab&amp;id=http%3A%2F%2Fwho.int%2Ficd%231859_512ebf36_bf6b_4d70_85da_cf2637062af4","iCat")</x:f>
      </x:c>
      <x:c r="M1277" s="0" t="s">
        <x:v>21</x:v>
      </x:c>
      <x:c r="N1277" s="0" t="s">
        <x:v>46</x:v>
      </x:c>
    </x:row>
    <x:row r="1278" spans="1:16">
      <x:c r="A1278" s="0" t="s">
        <x:v>4940</x:v>
      </x:c>
      <x:c r="B1278" s="0" t="s">
        <x:v>4941</x:v>
      </x:c>
      <x:c r="C1278" s="0" t="s">
        <x:v>4942</x:v>
      </x:c>
      <x:c r="E1278" s="0" t="s">
        <x:v>4943</x:v>
      </x:c>
      <x:c r="F1278" s="0" t="s">
        <x:v>45</x:v>
      </x:c>
      <x:c r="G1278" s="0" t="s">
        <x:v>19</x:v>
      </x:c>
      <x:c r="H1278" s="0" t="s">
        <x:v>20</x:v>
      </x:c>
      <x:c r="I1278" s="0" t="s">
        <x:v>21</x:v>
      </x:c>
      <x:c r="K1278" s="0">
        <x:f>hyperlink("https://icd.who.int/dev11/l-ichi/en#/http%3A%2F%2Fid.who.int%2Ficd%2Fentity%2F1805242976","browser")</x:f>
      </x:c>
      <x:c r="L1278" s="0">
        <x:f>hyperlink("https://icat2.azurewebsites.net/icat/?ontology=ICD&amp;tab=ClassesTab&amp;id=http%3A%2F%2Fwho.int%2Ficd%231866_512ebf36_bf6b_4d70_85da_cf2637062af4","iCat")</x:f>
      </x:c>
      <x:c r="M1278" s="0" t="s">
        <x:v>21</x:v>
      </x:c>
      <x:c r="N1278" s="0" t="s">
        <x:v>46</x:v>
      </x:c>
    </x:row>
    <x:row r="1279" spans="1:16">
      <x:c r="A1279" s="0" t="s">
        <x:v>4944</x:v>
      </x:c>
      <x:c r="B1279" s="0" t="s">
        <x:v>4945</x:v>
      </x:c>
      <x:c r="C1279" s="0" t="s">
        <x:v>4946</x:v>
      </x:c>
      <x:c r="E1279" s="0" t="s">
        <x:v>4947</x:v>
      </x:c>
      <x:c r="F1279" s="0" t="s">
        <x:v>45</x:v>
      </x:c>
      <x:c r="G1279" s="0" t="s">
        <x:v>19</x:v>
      </x:c>
      <x:c r="H1279" s="0" t="s">
        <x:v>20</x:v>
      </x:c>
      <x:c r="I1279" s="0" t="s">
        <x:v>21</x:v>
      </x:c>
      <x:c r="K1279" s="0">
        <x:f>hyperlink("https://icd.who.int/dev11/l-ichi/en#/http%3A%2F%2Fid.who.int%2Ficd%2Fentity%2F346222913","browser")</x:f>
      </x:c>
      <x:c r="L1279" s="0">
        <x:f>hyperlink("https://icat2.azurewebsites.net/icat/?ontology=ICD&amp;tab=ClassesTab&amp;id=http%3A%2F%2Fwho.int%2Ficd%231873_512ebf36_bf6b_4d70_85da_cf2637062af4","iCat")</x:f>
      </x:c>
      <x:c r="M1279" s="0" t="s">
        <x:v>21</x:v>
      </x:c>
      <x:c r="N1279" s="0" t="s">
        <x:v>46</x:v>
      </x:c>
    </x:row>
    <x:row r="1280" spans="1:16">
      <x:c r="A1280" s="0" t="s">
        <x:v>4948</x:v>
      </x:c>
      <x:c r="B1280" s="0" t="s">
        <x:v>4949</x:v>
      </x:c>
      <x:c r="C1280" s="0" t="s">
        <x:v>4950</x:v>
      </x:c>
      <x:c r="E1280" s="0" t="s">
        <x:v>4951</x:v>
      </x:c>
      <x:c r="F1280" s="0" t="s">
        <x:v>45</x:v>
      </x:c>
      <x:c r="G1280" s="0" t="s">
        <x:v>19</x:v>
      </x:c>
      <x:c r="H1280" s="0" t="s">
        <x:v>20</x:v>
      </x:c>
      <x:c r="I1280" s="0" t="s">
        <x:v>21</x:v>
      </x:c>
      <x:c r="K1280" s="0">
        <x:f>hyperlink("https://icd.who.int/dev11/l-ichi/en#/http%3A%2F%2Fid.who.int%2Ficd%2Fentity%2F2126566502","browser")</x:f>
      </x:c>
      <x:c r="L1280" s="0">
        <x:f>hyperlink("https://icat2.azurewebsites.net/icat/?ontology=ICD&amp;tab=ClassesTab&amp;id=http%3A%2F%2Fwho.int%2Ficd%231880_512ebf36_bf6b_4d70_85da_cf2637062af4","iCat")</x:f>
      </x:c>
      <x:c r="M1280" s="0" t="s">
        <x:v>21</x:v>
      </x:c>
      <x:c r="N1280" s="0" t="s">
        <x:v>46</x:v>
      </x:c>
    </x:row>
    <x:row r="1281" spans="1:16">
      <x:c r="A1281" s="0" t="s">
        <x:v>4952</x:v>
      </x:c>
      <x:c r="B1281" s="0" t="s">
        <x:v>4953</x:v>
      </x:c>
      <x:c r="C1281" s="0" t="s">
        <x:v>4954</x:v>
      </x:c>
      <x:c r="E1281" s="0" t="s">
        <x:v>4955</x:v>
      </x:c>
      <x:c r="F1281" s="0" t="s">
        <x:v>45</x:v>
      </x:c>
      <x:c r="G1281" s="0" t="s">
        <x:v>19</x:v>
      </x:c>
      <x:c r="H1281" s="0" t="s">
        <x:v>20</x:v>
      </x:c>
      <x:c r="I1281" s="0" t="s">
        <x:v>21</x:v>
      </x:c>
      <x:c r="K1281" s="0">
        <x:f>hyperlink("https://icd.who.int/dev11/l-ichi/en#/http%3A%2F%2Fid.who.int%2Ficd%2Fentity%2F239239147","browser")</x:f>
      </x:c>
      <x:c r="L1281" s="0">
        <x:f>hyperlink("https://icat2.azurewebsites.net/icat/?ontology=ICD&amp;tab=ClassesTab&amp;id=http%3A%2F%2Fwho.int%2Ficd%231887_512ebf36_bf6b_4d70_85da_cf2637062af4","iCat")</x:f>
      </x:c>
      <x:c r="M1281" s="0" t="s">
        <x:v>21</x:v>
      </x:c>
      <x:c r="N1281" s="0" t="s">
        <x:v>46</x:v>
      </x:c>
    </x:row>
    <x:row r="1282" spans="1:16">
      <x:c r="A1282" s="0" t="s">
        <x:v>4956</x:v>
      </x:c>
      <x:c r="B1282" s="0" t="s">
        <x:v>4957</x:v>
      </x:c>
      <x:c r="C1282" s="0" t="s">
        <x:v>4958</x:v>
      </x:c>
      <x:c r="E1282" s="0" t="s">
        <x:v>4959</x:v>
      </x:c>
      <x:c r="F1282" s="0" t="s">
        <x:v>45</x:v>
      </x:c>
      <x:c r="G1282" s="0" t="s">
        <x:v>19</x:v>
      </x:c>
      <x:c r="H1282" s="0" t="s">
        <x:v>20</x:v>
      </x:c>
      <x:c r="I1282" s="0" t="s">
        <x:v>21</x:v>
      </x:c>
      <x:c r="K1282" s="0">
        <x:f>hyperlink("https://icd.who.int/dev11/l-ichi/en#/http%3A%2F%2Fid.who.int%2Ficd%2Fentity%2F33290105","browser")</x:f>
      </x:c>
      <x:c r="L1282" s="0">
        <x:f>hyperlink("https://icat2.azurewebsites.net/icat/?ontology=ICD&amp;tab=ClassesTab&amp;id=http%3A%2F%2Fwho.int%2Ficd%231895_512ebf36_bf6b_4d70_85da_cf2637062af4","iCat")</x:f>
      </x:c>
      <x:c r="M1282" s="0" t="s">
        <x:v>21</x:v>
      </x:c>
      <x:c r="N1282" s="0" t="s">
        <x:v>46</x:v>
      </x:c>
    </x:row>
    <x:row r="1283" spans="1:16">
      <x:c r="A1283" s="0" t="s">
        <x:v>4960</x:v>
      </x:c>
      <x:c r="B1283" s="0" t="s">
        <x:v>4961</x:v>
      </x:c>
      <x:c r="C1283" s="0" t="s">
        <x:v>4962</x:v>
      </x:c>
      <x:c r="E1283" s="0" t="s">
        <x:v>4963</x:v>
      </x:c>
      <x:c r="F1283" s="0" t="s">
        <x:v>45</x:v>
      </x:c>
      <x:c r="G1283" s="0" t="s">
        <x:v>19</x:v>
      </x:c>
      <x:c r="H1283" s="0" t="s">
        <x:v>20</x:v>
      </x:c>
      <x:c r="I1283" s="0" t="s">
        <x:v>21</x:v>
      </x:c>
      <x:c r="K1283" s="0">
        <x:f>hyperlink("https://icd.who.int/dev11/l-ichi/en#/http%3A%2F%2Fid.who.int%2Ficd%2Fentity%2F1374364870","browser")</x:f>
      </x:c>
      <x:c r="L1283" s="0">
        <x:f>hyperlink("https://icat2.azurewebsites.net/icat/?ontology=ICD&amp;tab=ClassesTab&amp;id=http%3A%2F%2Fwho.int%2Ficd%231903_512ebf36_bf6b_4d70_85da_cf2637062af4","iCat")</x:f>
      </x:c>
      <x:c r="M1283" s="0" t="s">
        <x:v>21</x:v>
      </x:c>
      <x:c r="N1283" s="0" t="s">
        <x:v>46</x:v>
      </x:c>
    </x:row>
    <x:row r="1284" spans="1:16">
      <x:c r="A1284" s="0" t="s">
        <x:v>4964</x:v>
      </x:c>
      <x:c r="B1284" s="0" t="s">
        <x:v>4965</x:v>
      </x:c>
      <x:c r="C1284" s="0" t="s">
        <x:v>4966</x:v>
      </x:c>
      <x:c r="E1284" s="0" t="s">
        <x:v>4967</x:v>
      </x:c>
      <x:c r="F1284" s="0" t="s">
        <x:v>45</x:v>
      </x:c>
      <x:c r="G1284" s="0" t="s">
        <x:v>19</x:v>
      </x:c>
      <x:c r="H1284" s="0" t="s">
        <x:v>20</x:v>
      </x:c>
      <x:c r="I1284" s="0" t="s">
        <x:v>21</x:v>
      </x:c>
      <x:c r="K1284" s="0">
        <x:f>hyperlink("https://icd.who.int/dev11/l-ichi/en#/http%3A%2F%2Fid.who.int%2Ficd%2Fentity%2F2125192810","browser")</x:f>
      </x:c>
      <x:c r="L1284" s="0">
        <x:f>hyperlink("https://icat2.azurewebsites.net/icat/?ontology=ICD&amp;tab=ClassesTab&amp;id=http%3A%2F%2Fwho.int%2Ficd%231910_512ebf36_bf6b_4d70_85da_cf2637062af4","iCat")</x:f>
      </x:c>
      <x:c r="M1284" s="0" t="s">
        <x:v>21</x:v>
      </x:c>
      <x:c r="N1284" s="0" t="s">
        <x:v>46</x:v>
      </x:c>
    </x:row>
    <x:row r="1285" spans="1:16">
      <x:c r="A1285" s="0" t="s">
        <x:v>4968</x:v>
      </x:c>
      <x:c r="B1285" s="0" t="s">
        <x:v>4969</x:v>
      </x:c>
      <x:c r="C1285" s="0" t="s">
        <x:v>4970</x:v>
      </x:c>
      <x:c r="E1285" s="0" t="s">
        <x:v>4971</x:v>
      </x:c>
      <x:c r="F1285" s="0" t="s">
        <x:v>45</x:v>
      </x:c>
      <x:c r="G1285" s="0" t="s">
        <x:v>19</x:v>
      </x:c>
      <x:c r="H1285" s="0" t="s">
        <x:v>20</x:v>
      </x:c>
      <x:c r="I1285" s="0" t="s">
        <x:v>21</x:v>
      </x:c>
      <x:c r="K1285" s="0">
        <x:f>hyperlink("https://icd.who.int/dev11/l-ichi/en#/http%3A%2F%2Fid.who.int%2Ficd%2Fentity%2F237598181","browser")</x:f>
      </x:c>
      <x:c r="L1285" s="0">
        <x:f>hyperlink("https://icat2.azurewebsites.net/icat/?ontology=ICD&amp;tab=ClassesTab&amp;id=http%3A%2F%2Fwho.int%2Ficd%231917_512ebf36_bf6b_4d70_85da_cf2637062af4","iCat")</x:f>
      </x:c>
      <x:c r="M1285" s="0" t="s">
        <x:v>21</x:v>
      </x:c>
      <x:c r="N1285" s="0" t="s">
        <x:v>46</x:v>
      </x:c>
    </x:row>
    <x:row r="1286" spans="1:16">
      <x:c r="A1286" s="0" t="s">
        <x:v>4972</x:v>
      </x:c>
      <x:c r="B1286" s="0" t="s">
        <x:v>4973</x:v>
      </x:c>
      <x:c r="C1286" s="0" t="s">
        <x:v>4974</x:v>
      </x:c>
      <x:c r="E1286" s="0" t="s">
        <x:v>4975</x:v>
      </x:c>
      <x:c r="F1286" s="0" t="s">
        <x:v>45</x:v>
      </x:c>
      <x:c r="G1286" s="0" t="s">
        <x:v>19</x:v>
      </x:c>
      <x:c r="H1286" s="0" t="s">
        <x:v>20</x:v>
      </x:c>
      <x:c r="I1286" s="0" t="s">
        <x:v>21</x:v>
      </x:c>
      <x:c r="K1286" s="0">
        <x:f>hyperlink("https://icd.who.int/dev11/l-ichi/en#/http%3A%2F%2Fid.who.int%2Ficd%2Fentity%2F186472987","browser")</x:f>
      </x:c>
      <x:c r="L1286" s="0">
        <x:f>hyperlink("https://icat2.azurewebsites.net/icat/?ontology=ICD&amp;tab=ClassesTab&amp;id=http%3A%2F%2Fwho.int%2Ficd%231924_512ebf36_bf6b_4d70_85da_cf2637062af4","iCat")</x:f>
      </x:c>
      <x:c r="M1286" s="0" t="s">
        <x:v>21</x:v>
      </x:c>
      <x:c r="N1286" s="0" t="s">
        <x:v>46</x:v>
      </x:c>
    </x:row>
    <x:row r="1287" spans="1:16">
      <x:c r="A1287" s="0" t="s">
        <x:v>4976</x:v>
      </x:c>
      <x:c r="B1287" s="0" t="s">
        <x:v>4977</x:v>
      </x:c>
      <x:c r="C1287" s="0" t="s">
        <x:v>4978</x:v>
      </x:c>
      <x:c r="E1287" s="0" t="s">
        <x:v>4979</x:v>
      </x:c>
      <x:c r="F1287" s="0" t="s">
        <x:v>45</x:v>
      </x:c>
      <x:c r="G1287" s="0" t="s">
        <x:v>19</x:v>
      </x:c>
      <x:c r="H1287" s="0" t="s">
        <x:v>20</x:v>
      </x:c>
      <x:c r="I1287" s="0" t="s">
        <x:v>21</x:v>
      </x:c>
      <x:c r="K1287" s="0">
        <x:f>hyperlink("https://icd.who.int/dev11/l-ichi/en#/http%3A%2F%2Fid.who.int%2Ficd%2Fentity%2F1948678406","browser")</x:f>
      </x:c>
      <x:c r="L1287" s="0">
        <x:f>hyperlink("https://icat2.azurewebsites.net/icat/?ontology=ICD&amp;tab=ClassesTab&amp;id=http%3A%2F%2Fwho.int%2Ficd%231931_512ebf36_bf6b_4d70_85da_cf2637062af4","iCat")</x:f>
      </x:c>
      <x:c r="M1287" s="0" t="s">
        <x:v>21</x:v>
      </x:c>
      <x:c r="N1287" s="0" t="s">
        <x:v>46</x:v>
      </x:c>
    </x:row>
    <x:row r="1288" spans="1:16">
      <x:c r="A1288" s="0" t="s">
        <x:v>4980</x:v>
      </x:c>
      <x:c r="B1288" s="0" t="s">
        <x:v>4981</x:v>
      </x:c>
      <x:c r="C1288" s="0" t="s">
        <x:v>4982</x:v>
      </x:c>
      <x:c r="E1288" s="0" t="s">
        <x:v>4983</x:v>
      </x:c>
      <x:c r="F1288" s="0" t="s">
        <x:v>45</x:v>
      </x:c>
      <x:c r="G1288" s="0" t="s">
        <x:v>19</x:v>
      </x:c>
      <x:c r="H1288" s="0" t="s">
        <x:v>20</x:v>
      </x:c>
      <x:c r="I1288" s="0" t="s">
        <x:v>21</x:v>
      </x:c>
      <x:c r="K1288" s="0">
        <x:f>hyperlink("https://icd.who.int/dev11/l-ichi/en#/http%3A%2F%2Fid.who.int%2Ficd%2Fentity%2F442399341","browser")</x:f>
      </x:c>
      <x:c r="L1288" s="0">
        <x:f>hyperlink("https://icat2.azurewebsites.net/icat/?ontology=ICD&amp;tab=ClassesTab&amp;id=http%3A%2F%2Fwho.int%2Ficd%231938_512ebf36_bf6b_4d70_85da_cf2637062af4","iCat")</x:f>
      </x:c>
      <x:c r="M1288" s="0" t="s">
        <x:v>21</x:v>
      </x:c>
      <x:c r="N1288" s="0" t="s">
        <x:v>46</x:v>
      </x:c>
    </x:row>
    <x:row r="1289" spans="1:16">
      <x:c r="A1289" s="0" t="s">
        <x:v>4984</x:v>
      </x:c>
      <x:c r="B1289" s="0" t="s">
        <x:v>4985</x:v>
      </x:c>
      <x:c r="C1289" s="0" t="s">
        <x:v>4986</x:v>
      </x:c>
      <x:c r="E1289" s="0" t="s">
        <x:v>4987</x:v>
      </x:c>
      <x:c r="F1289" s="0" t="s">
        <x:v>45</x:v>
      </x:c>
      <x:c r="G1289" s="0" t="s">
        <x:v>19</x:v>
      </x:c>
      <x:c r="H1289" s="0" t="s">
        <x:v>20</x:v>
      </x:c>
      <x:c r="I1289" s="0" t="s">
        <x:v>21</x:v>
      </x:c>
      <x:c r="K1289" s="0">
        <x:f>hyperlink("https://icd.who.int/dev11/l-ichi/en#/http%3A%2F%2Fid.who.int%2Ficd%2Fentity%2F1912057452","browser")</x:f>
      </x:c>
      <x:c r="L1289" s="0">
        <x:f>hyperlink("https://icat2.azurewebsites.net/icat/?ontology=ICD&amp;tab=ClassesTab&amp;id=http%3A%2F%2Fwho.int%2Ficd%231945_512ebf36_bf6b_4d70_85da_cf2637062af4","iCat")</x:f>
      </x:c>
      <x:c r="M1289" s="0" t="s">
        <x:v>21</x:v>
      </x:c>
      <x:c r="N1289" s="0" t="s">
        <x:v>46</x:v>
      </x:c>
    </x:row>
    <x:row r="1290" spans="1:16">
      <x:c r="A1290" s="0" t="s">
        <x:v>4988</x:v>
      </x:c>
      <x:c r="B1290" s="0" t="s">
        <x:v>4989</x:v>
      </x:c>
      <x:c r="C1290" s="0" t="s">
        <x:v>4990</x:v>
      </x:c>
      <x:c r="E1290" s="0" t="s">
        <x:v>4991</x:v>
      </x:c>
      <x:c r="F1290" s="0" t="s">
        <x:v>45</x:v>
      </x:c>
      <x:c r="G1290" s="0" t="s">
        <x:v>19</x:v>
      </x:c>
      <x:c r="H1290" s="0" t="s">
        <x:v>20</x:v>
      </x:c>
      <x:c r="I1290" s="0" t="s">
        <x:v>21</x:v>
      </x:c>
      <x:c r="K1290" s="0">
        <x:f>hyperlink("https://icd.who.int/dev11/l-ichi/en#/http%3A%2F%2Fid.who.int%2Ficd%2Fentity%2F1806733490","browser")</x:f>
      </x:c>
      <x:c r="L1290" s="0">
        <x:f>hyperlink("https://icat2.azurewebsites.net/icat/?ontology=ICD&amp;tab=ClassesTab&amp;id=http%3A%2F%2Fwho.int%2Ficd%231952_512ebf36_bf6b_4d70_85da_cf2637062af4","iCat")</x:f>
      </x:c>
      <x:c r="M1290" s="0" t="s">
        <x:v>21</x:v>
      </x:c>
      <x:c r="N1290" s="0" t="s">
        <x:v>46</x:v>
      </x:c>
    </x:row>
    <x:row r="1291" spans="1:16">
      <x:c r="A1291" s="0" t="s">
        <x:v>4992</x:v>
      </x:c>
      <x:c r="B1291" s="0" t="s">
        <x:v>4993</x:v>
      </x:c>
      <x:c r="C1291" s="0" t="s">
        <x:v>4994</x:v>
      </x:c>
      <x:c r="E1291" s="0" t="s">
        <x:v>4995</x:v>
      </x:c>
      <x:c r="F1291" s="0" t="s">
        <x:v>45</x:v>
      </x:c>
      <x:c r="G1291" s="0" t="s">
        <x:v>19</x:v>
      </x:c>
      <x:c r="H1291" s="0" t="s">
        <x:v>20</x:v>
      </x:c>
      <x:c r="I1291" s="0" t="s">
        <x:v>21</x:v>
      </x:c>
      <x:c r="K1291" s="0">
        <x:f>hyperlink("https://icd.who.int/dev11/l-ichi/en#/http%3A%2F%2Fid.who.int%2Ficd%2Fentity%2F1622445596","browser")</x:f>
      </x:c>
      <x:c r="L1291" s="0">
        <x:f>hyperlink("https://icat2.azurewebsites.net/icat/?ontology=ICD&amp;tab=ClassesTab&amp;id=http%3A%2F%2Fwho.int%2Ficd%231959_512ebf36_bf6b_4d70_85da_cf2637062af4","iCat")</x:f>
      </x:c>
      <x:c r="M1291" s="0" t="s">
        <x:v>21</x:v>
      </x:c>
      <x:c r="N1291" s="0" t="s">
        <x:v>46</x:v>
      </x:c>
    </x:row>
    <x:row r="1292" spans="1:16">
      <x:c r="A1292" s="0" t="s">
        <x:v>4996</x:v>
      </x:c>
      <x:c r="B1292" s="0" t="s">
        <x:v>4997</x:v>
      </x:c>
      <x:c r="C1292" s="0" t="s">
        <x:v>4998</x:v>
      </x:c>
      <x:c r="E1292" s="0" t="s">
        <x:v>4999</x:v>
      </x:c>
      <x:c r="F1292" s="0" t="s">
        <x:v>45</x:v>
      </x:c>
      <x:c r="G1292" s="0" t="s">
        <x:v>19</x:v>
      </x:c>
      <x:c r="H1292" s="0" t="s">
        <x:v>20</x:v>
      </x:c>
      <x:c r="I1292" s="0" t="s">
        <x:v>21</x:v>
      </x:c>
      <x:c r="K1292" s="0">
        <x:f>hyperlink("https://icd.who.int/dev11/l-ichi/en#/http%3A%2F%2Fid.who.int%2Ficd%2Fentity%2F503715011","browser")</x:f>
      </x:c>
      <x:c r="L1292" s="0">
        <x:f>hyperlink("https://icat2.azurewebsites.net/icat/?ontology=ICD&amp;tab=ClassesTab&amp;id=http%3A%2F%2Fwho.int%2Ficd%231966_512ebf36_bf6b_4d70_85da_cf2637062af4","iCat")</x:f>
      </x:c>
      <x:c r="M1292" s="0" t="s">
        <x:v>21</x:v>
      </x:c>
      <x:c r="N1292" s="0" t="s">
        <x:v>46</x:v>
      </x:c>
    </x:row>
    <x:row r="1293" spans="1:16">
      <x:c r="A1293" s="0" t="s">
        <x:v>5000</x:v>
      </x:c>
      <x:c r="B1293" s="0" t="s">
        <x:v>5001</x:v>
      </x:c>
      <x:c r="C1293" s="0" t="s">
        <x:v>5002</x:v>
      </x:c>
      <x:c r="E1293" s="0" t="s">
        <x:v>5003</x:v>
      </x:c>
      <x:c r="F1293" s="0" t="s">
        <x:v>45</x:v>
      </x:c>
      <x:c r="G1293" s="0" t="s">
        <x:v>19</x:v>
      </x:c>
      <x:c r="H1293" s="0" t="s">
        <x:v>20</x:v>
      </x:c>
      <x:c r="I1293" s="0" t="s">
        <x:v>21</x:v>
      </x:c>
      <x:c r="K1293" s="0">
        <x:f>hyperlink("https://icd.who.int/dev11/l-ichi/en#/http%3A%2F%2Fid.who.int%2Ficd%2Fentity%2F1631401950","browser")</x:f>
      </x:c>
      <x:c r="L1293" s="0">
        <x:f>hyperlink("https://icat2.azurewebsites.net/icat/?ontology=ICD&amp;tab=ClassesTab&amp;id=http%3A%2F%2Fwho.int%2Ficd%231973_512ebf36_bf6b_4d70_85da_cf2637062af4","iCat")</x:f>
      </x:c>
      <x:c r="M1293" s="0" t="s">
        <x:v>21</x:v>
      </x:c>
      <x:c r="N1293" s="0" t="s">
        <x:v>46</x:v>
      </x:c>
    </x:row>
    <x:row r="1294" spans="1:16">
      <x:c r="A1294" s="0" t="s">
        <x:v>5004</x:v>
      </x:c>
      <x:c r="B1294" s="0" t="s">
        <x:v>5005</x:v>
      </x:c>
      <x:c r="C1294" s="0" t="s">
        <x:v>5006</x:v>
      </x:c>
      <x:c r="E1294" s="0" t="s">
        <x:v>5007</x:v>
      </x:c>
      <x:c r="F1294" s="0" t="s">
        <x:v>45</x:v>
      </x:c>
      <x:c r="G1294" s="0" t="s">
        <x:v>19</x:v>
      </x:c>
      <x:c r="H1294" s="0" t="s">
        <x:v>20</x:v>
      </x:c>
      <x:c r="I1294" s="0" t="s">
        <x:v>21</x:v>
      </x:c>
      <x:c r="K1294" s="0">
        <x:f>hyperlink("https://icd.who.int/dev11/l-ichi/en#/http%3A%2F%2Fid.who.int%2Ficd%2Fentity%2F190780155","browser")</x:f>
      </x:c>
      <x:c r="L1294" s="0">
        <x:f>hyperlink("https://icat2.azurewebsites.net/icat/?ontology=ICD&amp;tab=ClassesTab&amp;id=http%3A%2F%2Fwho.int%2Ficd%231980_512ebf36_bf6b_4d70_85da_cf2637062af4","iCat")</x:f>
      </x:c>
      <x:c r="M1294" s="0" t="s">
        <x:v>21</x:v>
      </x:c>
      <x:c r="N1294" s="0" t="s">
        <x:v>46</x:v>
      </x:c>
    </x:row>
    <x:row r="1295" spans="1:16">
      <x:c r="A1295" s="0" t="s">
        <x:v>5008</x:v>
      </x:c>
      <x:c r="B1295" s="0" t="s">
        <x:v>5009</x:v>
      </x:c>
      <x:c r="C1295" s="0" t="s">
        <x:v>5010</x:v>
      </x:c>
      <x:c r="E1295" s="0" t="s">
        <x:v>5011</x:v>
      </x:c>
      <x:c r="F1295" s="0" t="s">
        <x:v>45</x:v>
      </x:c>
      <x:c r="G1295" s="0" t="s">
        <x:v>19</x:v>
      </x:c>
      <x:c r="H1295" s="0" t="s">
        <x:v>20</x:v>
      </x:c>
      <x:c r="I1295" s="0" t="s">
        <x:v>21</x:v>
      </x:c>
      <x:c r="K1295" s="0">
        <x:f>hyperlink("https://icd.who.int/dev11/l-ichi/en#/http%3A%2F%2Fid.who.int%2Ficd%2Fentity%2F2078128502","browser")</x:f>
      </x:c>
      <x:c r="L1295" s="0">
        <x:f>hyperlink("https://icat2.azurewebsites.net/icat/?ontology=ICD&amp;tab=ClassesTab&amp;id=http%3A%2F%2Fwho.int%2Ficd%231987_512ebf36_bf6b_4d70_85da_cf2637062af4","iCat")</x:f>
      </x:c>
      <x:c r="M1295" s="0" t="s">
        <x:v>21</x:v>
      </x:c>
      <x:c r="N1295" s="0" t="s">
        <x:v>46</x:v>
      </x:c>
    </x:row>
    <x:row r="1296" spans="1:16">
      <x:c r="A1296" s="0" t="s">
        <x:v>5012</x:v>
      </x:c>
      <x:c r="B1296" s="0" t="s">
        <x:v>5013</x:v>
      </x:c>
      <x:c r="C1296" s="0" t="s">
        <x:v>5014</x:v>
      </x:c>
      <x:c r="E1296" s="0" t="s">
        <x:v>5015</x:v>
      </x:c>
      <x:c r="F1296" s="0" t="s">
        <x:v>45</x:v>
      </x:c>
      <x:c r="G1296" s="0" t="s">
        <x:v>19</x:v>
      </x:c>
      <x:c r="H1296" s="0" t="s">
        <x:v>20</x:v>
      </x:c>
      <x:c r="I1296" s="0" t="s">
        <x:v>21</x:v>
      </x:c>
      <x:c r="K1296" s="0">
        <x:f>hyperlink("https://icd.who.int/dev11/l-ichi/en#/http%3A%2F%2Fid.who.int%2Ficd%2Fentity%2F1419592666","browser")</x:f>
      </x:c>
      <x:c r="L1296" s="0">
        <x:f>hyperlink("https://icat2.azurewebsites.net/icat/?ontology=ICD&amp;tab=ClassesTab&amp;id=http%3A%2F%2Fwho.int%2Ficd%231994_512ebf36_bf6b_4d70_85da_cf2637062af4","iCat")</x:f>
      </x:c>
      <x:c r="M1296" s="0" t="s">
        <x:v>21</x:v>
      </x:c>
      <x:c r="N1296" s="0" t="s">
        <x:v>46</x:v>
      </x:c>
    </x:row>
    <x:row r="1297" spans="1:16">
      <x:c r="A1297" s="0" t="s">
        <x:v>5016</x:v>
      </x:c>
      <x:c r="B1297" s="0" t="s">
        <x:v>5017</x:v>
      </x:c>
      <x:c r="C1297" s="0" t="s">
        <x:v>5018</x:v>
      </x:c>
      <x:c r="E1297" s="0" t="s">
        <x:v>5019</x:v>
      </x:c>
      <x:c r="F1297" s="0" t="s">
        <x:v>45</x:v>
      </x:c>
      <x:c r="G1297" s="0" t="s">
        <x:v>19</x:v>
      </x:c>
      <x:c r="H1297" s="0" t="s">
        <x:v>20</x:v>
      </x:c>
      <x:c r="I1297" s="0" t="s">
        <x:v>21</x:v>
      </x:c>
      <x:c r="K1297" s="0">
        <x:f>hyperlink("https://icd.who.int/dev11/l-ichi/en#/http%3A%2F%2Fid.who.int%2Ficd%2Fentity%2F1532816226","browser")</x:f>
      </x:c>
      <x:c r="L1297" s="0">
        <x:f>hyperlink("https://icat2.azurewebsites.net/icat/?ontology=ICD&amp;tab=ClassesTab&amp;id=http%3A%2F%2Fwho.int%2Ficd%232001_512ebf36_bf6b_4d70_85da_cf2637062af4","iCat")</x:f>
      </x:c>
      <x:c r="M1297" s="0" t="s">
        <x:v>21</x:v>
      </x:c>
      <x:c r="N1297" s="0" t="s">
        <x:v>46</x:v>
      </x:c>
    </x:row>
    <x:row r="1298" spans="1:16">
      <x:c r="A1298" s="0" t="s">
        <x:v>5020</x:v>
      </x:c>
      <x:c r="B1298" s="0" t="s">
        <x:v>5021</x:v>
      </x:c>
      <x:c r="C1298" s="0" t="s">
        <x:v>5022</x:v>
      </x:c>
      <x:c r="E1298" s="0" t="s">
        <x:v>5023</x:v>
      </x:c>
      <x:c r="F1298" s="0" t="s">
        <x:v>45</x:v>
      </x:c>
      <x:c r="G1298" s="0" t="s">
        <x:v>19</x:v>
      </x:c>
      <x:c r="H1298" s="0" t="s">
        <x:v>20</x:v>
      </x:c>
      <x:c r="I1298" s="0" t="s">
        <x:v>21</x:v>
      </x:c>
      <x:c r="K1298" s="0">
        <x:f>hyperlink("https://icd.who.int/dev11/l-ichi/en#/http%3A%2F%2Fid.who.int%2Ficd%2Fentity%2F832142901","browser")</x:f>
      </x:c>
      <x:c r="L1298" s="0">
        <x:f>hyperlink("https://icat2.azurewebsites.net/icat/?ontology=ICD&amp;tab=ClassesTab&amp;id=http%3A%2F%2Fwho.int%2Ficd%232011_512ebf36_bf6b_4d70_85da_cf2637062af4","iCat")</x:f>
      </x:c>
      <x:c r="M1298" s="0" t="s">
        <x:v>21</x:v>
      </x:c>
      <x:c r="N1298" s="0" t="s">
        <x:v>46</x:v>
      </x:c>
    </x:row>
    <x:row r="1299" spans="1:16">
      <x:c r="A1299" s="0" t="s">
        <x:v>5024</x:v>
      </x:c>
      <x:c r="B1299" s="0" t="s">
        <x:v>5025</x:v>
      </x:c>
      <x:c r="C1299" s="0" t="s">
        <x:v>5026</x:v>
      </x:c>
      <x:c r="E1299" s="0" t="s">
        <x:v>5027</x:v>
      </x:c>
      <x:c r="F1299" s="0" t="s">
        <x:v>45</x:v>
      </x:c>
      <x:c r="G1299" s="0" t="s">
        <x:v>19</x:v>
      </x:c>
      <x:c r="H1299" s="0" t="s">
        <x:v>20</x:v>
      </x:c>
      <x:c r="I1299" s="0" t="s">
        <x:v>21</x:v>
      </x:c>
      <x:c r="K1299" s="0">
        <x:f>hyperlink("https://icd.who.int/dev11/l-ichi/en#/http%3A%2F%2Fid.who.int%2Ficd%2Fentity%2F1608613214","browser")</x:f>
      </x:c>
      <x:c r="L1299" s="0">
        <x:f>hyperlink("https://icat2.azurewebsites.net/icat/?ontology=ICD&amp;tab=ClassesTab&amp;id=http%3A%2F%2Fwho.int%2Ficd%232018_512ebf36_bf6b_4d70_85da_cf2637062af4","iCat")</x:f>
      </x:c>
      <x:c r="M1299" s="0" t="s">
        <x:v>21</x:v>
      </x:c>
      <x:c r="N1299" s="0" t="s">
        <x:v>46</x:v>
      </x:c>
    </x:row>
    <x:row r="1300" spans="1:16">
      <x:c r="A1300" s="0" t="s">
        <x:v>5028</x:v>
      </x:c>
      <x:c r="B1300" s="0" t="s">
        <x:v>5029</x:v>
      </x:c>
      <x:c r="C1300" s="0" t="s">
        <x:v>5030</x:v>
      </x:c>
      <x:c r="E1300" s="0" t="s">
        <x:v>5031</x:v>
      </x:c>
      <x:c r="F1300" s="0" t="s">
        <x:v>45</x:v>
      </x:c>
      <x:c r="G1300" s="0" t="s">
        <x:v>19</x:v>
      </x:c>
      <x:c r="H1300" s="0" t="s">
        <x:v>20</x:v>
      </x:c>
      <x:c r="I1300" s="0" t="s">
        <x:v>21</x:v>
      </x:c>
      <x:c r="K1300" s="0">
        <x:f>hyperlink("https://icd.who.int/dev11/l-ichi/en#/http%3A%2F%2Fid.who.int%2Ficd%2Fentity%2F1315831320","browser")</x:f>
      </x:c>
      <x:c r="L1300" s="0">
        <x:f>hyperlink("https://icat2.azurewebsites.net/icat/?ontology=ICD&amp;tab=ClassesTab&amp;id=http%3A%2F%2Fwho.int%2Ficd%2330_bf15315e_f1c5_45f6_9637_651657d70d50","iCat")</x:f>
      </x:c>
      <x:c r="M1300" s="0" t="s">
        <x:v>21</x:v>
      </x:c>
      <x:c r="N1300" s="0" t="s">
        <x:v>46</x:v>
      </x:c>
    </x:row>
    <x:row r="1301" spans="1:16">
      <x:c r="A1301" s="0" t="s">
        <x:v>5032</x:v>
      </x:c>
      <x:c r="B1301" s="0" t="s">
        <x:v>5033</x:v>
      </x:c>
      <x:c r="C1301" s="0" t="s">
        <x:v>5034</x:v>
      </x:c>
      <x:c r="E1301" s="0" t="s">
        <x:v>5035</x:v>
      </x:c>
      <x:c r="F1301" s="0" t="s">
        <x:v>45</x:v>
      </x:c>
      <x:c r="G1301" s="0" t="s">
        <x:v>19</x:v>
      </x:c>
      <x:c r="H1301" s="0" t="s">
        <x:v>20</x:v>
      </x:c>
      <x:c r="I1301" s="0" t="s">
        <x:v>21</x:v>
      </x:c>
      <x:c r="K1301" s="0">
        <x:f>hyperlink("https://icd.who.int/dev11/l-ichi/en#/http%3A%2F%2Fid.who.int%2Ficd%2Fentity%2F1143994950","browser")</x:f>
      </x:c>
      <x:c r="L1301" s="0">
        <x:f>hyperlink("https://icat2.azurewebsites.net/icat/?ontology=ICD&amp;tab=ClassesTab&amp;id=http%3A%2F%2Fwho.int%2Ficd%232025_512ebf36_bf6b_4d70_85da_cf2637062af4","iCat")</x:f>
      </x:c>
      <x:c r="M1301" s="0" t="s">
        <x:v>21</x:v>
      </x:c>
      <x:c r="N1301" s="0" t="s">
        <x:v>46</x:v>
      </x:c>
    </x:row>
    <x:row r="1302" spans="1:16">
      <x:c r="A1302" s="0" t="s">
        <x:v>5036</x:v>
      </x:c>
      <x:c r="B1302" s="0" t="s">
        <x:v>5037</x:v>
      </x:c>
      <x:c r="C1302" s="0" t="s">
        <x:v>5038</x:v>
      </x:c>
      <x:c r="E1302" s="0" t="s">
        <x:v>5039</x:v>
      </x:c>
      <x:c r="F1302" s="0" t="s">
        <x:v>45</x:v>
      </x:c>
      <x:c r="G1302" s="0" t="s">
        <x:v>19</x:v>
      </x:c>
      <x:c r="H1302" s="0" t="s">
        <x:v>20</x:v>
      </x:c>
      <x:c r="I1302" s="0" t="s">
        <x:v>21</x:v>
      </x:c>
      <x:c r="K1302" s="0">
        <x:f>hyperlink("https://icd.who.int/dev11/l-ichi/en#/http%3A%2F%2Fid.who.int%2Ficd%2Fentity%2F1583924380","browser")</x:f>
      </x:c>
      <x:c r="L1302" s="0">
        <x:f>hyperlink("https://icat2.azurewebsites.net/icat/?ontology=ICD&amp;tab=ClassesTab&amp;id=http%3A%2F%2Fwho.int%2Ficd%232032_512ebf36_bf6b_4d70_85da_cf2637062af4","iCat")</x:f>
      </x:c>
      <x:c r="M1302" s="0" t="s">
        <x:v>21</x:v>
      </x:c>
      <x:c r="N1302" s="0" t="s">
        <x:v>46</x:v>
      </x:c>
    </x:row>
    <x:row r="1303" spans="1:16">
      <x:c r="A1303" s="0" t="s">
        <x:v>5040</x:v>
      </x:c>
      <x:c r="B1303" s="0" t="s">
        <x:v>5041</x:v>
      </x:c>
      <x:c r="C1303" s="0" t="s">
        <x:v>5042</x:v>
      </x:c>
      <x:c r="E1303" s="0" t="s">
        <x:v>5043</x:v>
      </x:c>
      <x:c r="F1303" s="0" t="s">
        <x:v>45</x:v>
      </x:c>
      <x:c r="G1303" s="0" t="s">
        <x:v>19</x:v>
      </x:c>
      <x:c r="H1303" s="0" t="s">
        <x:v>20</x:v>
      </x:c>
      <x:c r="I1303" s="0" t="s">
        <x:v>21</x:v>
      </x:c>
      <x:c r="K1303" s="0">
        <x:f>hyperlink("https://icd.who.int/dev11/l-ichi/en#/http%3A%2F%2Fid.who.int%2Ficd%2Fentity%2F1433197106","browser")</x:f>
      </x:c>
      <x:c r="L1303" s="0">
        <x:f>hyperlink("https://icat2.azurewebsites.net/icat/?ontology=ICD&amp;tab=ClassesTab&amp;id=http%3A%2F%2Fwho.int%2Ficd%232039_512ebf36_bf6b_4d70_85da_cf2637062af4","iCat")</x:f>
      </x:c>
      <x:c r="M1303" s="0" t="s">
        <x:v>21</x:v>
      </x:c>
      <x:c r="N1303" s="0" t="s">
        <x:v>46</x:v>
      </x:c>
    </x:row>
    <x:row r="1304" spans="1:16">
      <x:c r="A1304" s="0" t="s">
        <x:v>5044</x:v>
      </x:c>
      <x:c r="B1304" s="0" t="s">
        <x:v>5045</x:v>
      </x:c>
      <x:c r="C1304" s="0" t="s">
        <x:v>5046</x:v>
      </x:c>
      <x:c r="E1304" s="0" t="s">
        <x:v>5047</x:v>
      </x:c>
      <x:c r="F1304" s="0" t="s">
        <x:v>45</x:v>
      </x:c>
      <x:c r="G1304" s="0" t="s">
        <x:v>19</x:v>
      </x:c>
      <x:c r="H1304" s="0" t="s">
        <x:v>20</x:v>
      </x:c>
      <x:c r="I1304" s="0" t="s">
        <x:v>21</x:v>
      </x:c>
      <x:c r="K1304" s="0">
        <x:f>hyperlink("https://icd.who.int/dev11/l-ichi/en#/http%3A%2F%2Fid.who.int%2Ficd%2Fentity%2F1538855922","browser")</x:f>
      </x:c>
      <x:c r="L1304" s="0">
        <x:f>hyperlink("https://icat2.azurewebsites.net/icat/?ontology=ICD&amp;tab=ClassesTab&amp;id=http%3A%2F%2Fwho.int%2Ficd%232046_512ebf36_bf6b_4d70_85da_cf2637062af4","iCat")</x:f>
      </x:c>
      <x:c r="M1304" s="0" t="s">
        <x:v>21</x:v>
      </x:c>
      <x:c r="N1304" s="0" t="s">
        <x:v>46</x:v>
      </x:c>
    </x:row>
    <x:row r="1305" spans="1:16">
      <x:c r="A1305" s="0" t="s">
        <x:v>5048</x:v>
      </x:c>
      <x:c r="B1305" s="0" t="s">
        <x:v>5049</x:v>
      </x:c>
      <x:c r="C1305" s="0" t="s">
        <x:v>5050</x:v>
      </x:c>
      <x:c r="E1305" s="0" t="s">
        <x:v>5051</x:v>
      </x:c>
      <x:c r="F1305" s="0" t="s">
        <x:v>45</x:v>
      </x:c>
      <x:c r="G1305" s="0" t="s">
        <x:v>19</x:v>
      </x:c>
      <x:c r="H1305" s="0" t="s">
        <x:v>20</x:v>
      </x:c>
      <x:c r="I1305" s="0" t="s">
        <x:v>21</x:v>
      </x:c>
      <x:c r="K1305" s="0">
        <x:f>hyperlink("https://icd.who.int/dev11/l-ichi/en#/http%3A%2F%2Fid.who.int%2Ficd%2Fentity%2F612511981","browser")</x:f>
      </x:c>
      <x:c r="L1305" s="0">
        <x:f>hyperlink("https://icat2.azurewebsites.net/icat/?ontology=ICD&amp;tab=ClassesTab&amp;id=http%3A%2F%2Fwho.int%2Ficd%232053_512ebf36_bf6b_4d70_85da_cf2637062af4","iCat")</x:f>
      </x:c>
      <x:c r="M1305" s="0" t="s">
        <x:v>21</x:v>
      </x:c>
      <x:c r="N1305" s="0" t="s">
        <x:v>46</x:v>
      </x:c>
    </x:row>
    <x:row r="1306" spans="1:16">
      <x:c r="A1306" s="0" t="s">
        <x:v>5052</x:v>
      </x:c>
      <x:c r="B1306" s="0" t="s">
        <x:v>5053</x:v>
      </x:c>
      <x:c r="C1306" s="0" t="s">
        <x:v>5054</x:v>
      </x:c>
      <x:c r="E1306" s="0" t="s">
        <x:v>5055</x:v>
      </x:c>
      <x:c r="F1306" s="0" t="s">
        <x:v>45</x:v>
      </x:c>
      <x:c r="G1306" s="0" t="s">
        <x:v>19</x:v>
      </x:c>
      <x:c r="H1306" s="0" t="s">
        <x:v>20</x:v>
      </x:c>
      <x:c r="I1306" s="0" t="s">
        <x:v>21</x:v>
      </x:c>
      <x:c r="K1306" s="0">
        <x:f>hyperlink("https://icd.who.int/dev11/l-ichi/en#/http%3A%2F%2Fid.who.int%2Ficd%2Fentity%2F565583635","browser")</x:f>
      </x:c>
      <x:c r="L1306" s="0">
        <x:f>hyperlink("https://icat2.azurewebsites.net/icat/?ontology=ICD&amp;tab=ClassesTab&amp;id=http%3A%2F%2Fwho.int%2Ficd%232060_512ebf36_bf6b_4d70_85da_cf2637062af4","iCat")</x:f>
      </x:c>
      <x:c r="M1306" s="0" t="s">
        <x:v>21</x:v>
      </x:c>
      <x:c r="N1306" s="0" t="s">
        <x:v>46</x:v>
      </x:c>
    </x:row>
    <x:row r="1307" spans="1:16">
      <x:c r="A1307" s="0" t="s">
        <x:v>5056</x:v>
      </x:c>
      <x:c r="B1307" s="0" t="s">
        <x:v>5057</x:v>
      </x:c>
      <x:c r="C1307" s="0" t="s">
        <x:v>5058</x:v>
      </x:c>
      <x:c r="E1307" s="0" t="s">
        <x:v>5059</x:v>
      </x:c>
      <x:c r="F1307" s="0" t="s">
        <x:v>45</x:v>
      </x:c>
      <x:c r="G1307" s="0" t="s">
        <x:v>19</x:v>
      </x:c>
      <x:c r="H1307" s="0" t="s">
        <x:v>20</x:v>
      </x:c>
      <x:c r="I1307" s="0" t="s">
        <x:v>21</x:v>
      </x:c>
      <x:c r="K1307" s="0">
        <x:f>hyperlink("https://icd.who.int/dev11/l-ichi/en#/http%3A%2F%2Fid.who.int%2Ficd%2Fentity%2F1362408606","browser")</x:f>
      </x:c>
      <x:c r="L1307" s="0">
        <x:f>hyperlink("https://icat2.azurewebsites.net/icat/?ontology=ICD&amp;tab=ClassesTab&amp;id=http%3A%2F%2Fwho.int%2Ficd%232067_512ebf36_bf6b_4d70_85da_cf2637062af4","iCat")</x:f>
      </x:c>
      <x:c r="M1307" s="0" t="s">
        <x:v>21</x:v>
      </x:c>
      <x:c r="N1307" s="0" t="s">
        <x:v>46</x:v>
      </x:c>
    </x:row>
    <x:row r="1308" spans="1:16">
      <x:c r="A1308" s="0" t="s">
        <x:v>5060</x:v>
      </x:c>
      <x:c r="B1308" s="0" t="s">
        <x:v>5061</x:v>
      </x:c>
      <x:c r="C1308" s="0" t="s">
        <x:v>5062</x:v>
      </x:c>
      <x:c r="E1308" s="0" t="s">
        <x:v>5063</x:v>
      </x:c>
      <x:c r="F1308" s="0" t="s">
        <x:v>45</x:v>
      </x:c>
      <x:c r="G1308" s="0" t="s">
        <x:v>19</x:v>
      </x:c>
      <x:c r="H1308" s="0" t="s">
        <x:v>20</x:v>
      </x:c>
      <x:c r="I1308" s="0" t="s">
        <x:v>21</x:v>
      </x:c>
      <x:c r="K1308" s="0">
        <x:f>hyperlink("https://icd.who.int/dev11/l-ichi/en#/http%3A%2F%2Fid.who.int%2Ficd%2Fentity%2F2121551410","browser")</x:f>
      </x:c>
      <x:c r="L1308" s="0">
        <x:f>hyperlink("https://icat2.azurewebsites.net/icat/?ontology=ICD&amp;tab=ClassesTab&amp;id=http%3A%2F%2Fwho.int%2Ficd%232074_512ebf36_bf6b_4d70_85da_cf2637062af4","iCat")</x:f>
      </x:c>
      <x:c r="M1308" s="0" t="s">
        <x:v>21</x:v>
      </x:c>
      <x:c r="N1308" s="0" t="s">
        <x:v>46</x:v>
      </x:c>
    </x:row>
    <x:row r="1309" spans="1:16">
      <x:c r="A1309" s="0" t="s">
        <x:v>5064</x:v>
      </x:c>
      <x:c r="B1309" s="0" t="s">
        <x:v>5065</x:v>
      </x:c>
      <x:c r="C1309" s="0" t="s">
        <x:v>5066</x:v>
      </x:c>
      <x:c r="E1309" s="0" t="s">
        <x:v>5067</x:v>
      </x:c>
      <x:c r="F1309" s="0" t="s">
        <x:v>45</x:v>
      </x:c>
      <x:c r="G1309" s="0" t="s">
        <x:v>19</x:v>
      </x:c>
      <x:c r="H1309" s="0" t="s">
        <x:v>20</x:v>
      </x:c>
      <x:c r="I1309" s="0" t="s">
        <x:v>21</x:v>
      </x:c>
      <x:c r="K1309" s="0">
        <x:f>hyperlink("https://icd.who.int/dev11/l-ichi/en#/http%3A%2F%2Fid.who.int%2Ficd%2Fentity%2F1148039848","browser")</x:f>
      </x:c>
      <x:c r="L1309" s="0">
        <x:f>hyperlink("https://icat2.azurewebsites.net/icat/?ontology=ICD&amp;tab=ClassesTab&amp;id=http%3A%2F%2Fwho.int%2Ficd%232081_512ebf36_bf6b_4d70_85da_cf2637062af4","iCat")</x:f>
      </x:c>
      <x:c r="M1309" s="0" t="s">
        <x:v>21</x:v>
      </x:c>
      <x:c r="N1309" s="0" t="s">
        <x:v>46</x:v>
      </x:c>
    </x:row>
    <x:row r="1310" spans="1:16">
      <x:c r="A1310" s="0" t="s">
        <x:v>5068</x:v>
      </x:c>
      <x:c r="B1310" s="0" t="s">
        <x:v>5069</x:v>
      </x:c>
      <x:c r="C1310" s="0" t="s">
        <x:v>5070</x:v>
      </x:c>
      <x:c r="E1310" s="0" t="s">
        <x:v>5071</x:v>
      </x:c>
      <x:c r="F1310" s="0" t="s">
        <x:v>45</x:v>
      </x:c>
      <x:c r="G1310" s="0" t="s">
        <x:v>19</x:v>
      </x:c>
      <x:c r="H1310" s="0" t="s">
        <x:v>20</x:v>
      </x:c>
      <x:c r="I1310" s="0" t="s">
        <x:v>21</x:v>
      </x:c>
      <x:c r="K1310" s="0">
        <x:f>hyperlink("https://icd.who.int/dev11/l-ichi/en#/http%3A%2F%2Fid.who.int%2Ficd%2Fentity%2F706064847","browser")</x:f>
      </x:c>
      <x:c r="L1310" s="0">
        <x:f>hyperlink("https://icat2.azurewebsites.net/icat/?ontology=ICD&amp;tab=ClassesTab&amp;id=http%3A%2F%2Fwho.int%2Ficd%232088_512ebf36_bf6b_4d70_85da_cf2637062af4","iCat")</x:f>
      </x:c>
      <x:c r="M1310" s="0" t="s">
        <x:v>21</x:v>
      </x:c>
      <x:c r="N1310" s="0" t="s">
        <x:v>46</x:v>
      </x:c>
    </x:row>
    <x:row r="1311" spans="1:16">
      <x:c r="A1311" s="0" t="s">
        <x:v>5072</x:v>
      </x:c>
      <x:c r="B1311" s="0" t="s">
        <x:v>5073</x:v>
      </x:c>
      <x:c r="C1311" s="0" t="s">
        <x:v>5074</x:v>
      </x:c>
      <x:c r="E1311" s="0" t="s">
        <x:v>5075</x:v>
      </x:c>
      <x:c r="F1311" s="0" t="s">
        <x:v>45</x:v>
      </x:c>
      <x:c r="G1311" s="0" t="s">
        <x:v>19</x:v>
      </x:c>
      <x:c r="H1311" s="0" t="s">
        <x:v>20</x:v>
      </x:c>
      <x:c r="I1311" s="0" t="s">
        <x:v>21</x:v>
      </x:c>
      <x:c r="K1311" s="0">
        <x:f>hyperlink("https://icd.who.int/dev11/l-ichi/en#/http%3A%2F%2Fid.who.int%2Ficd%2Fentity%2F464511877","browser")</x:f>
      </x:c>
      <x:c r="L1311" s="0">
        <x:f>hyperlink("https://icat2.azurewebsites.net/icat/?ontology=ICD&amp;tab=ClassesTab&amp;id=http%3A%2F%2Fwho.int%2Ficd%232095_512ebf36_bf6b_4d70_85da_cf2637062af4","iCat")</x:f>
      </x:c>
      <x:c r="M1311" s="0" t="s">
        <x:v>21</x:v>
      </x:c>
      <x:c r="N1311" s="0" t="s">
        <x:v>46</x:v>
      </x:c>
    </x:row>
    <x:row r="1312" spans="1:16">
      <x:c r="A1312" s="0" t="s">
        <x:v>5076</x:v>
      </x:c>
      <x:c r="B1312" s="0" t="s">
        <x:v>5077</x:v>
      </x:c>
      <x:c r="C1312" s="0" t="s">
        <x:v>5078</x:v>
      </x:c>
      <x:c r="E1312" s="0" t="s">
        <x:v>5079</x:v>
      </x:c>
      <x:c r="F1312" s="0" t="s">
        <x:v>45</x:v>
      </x:c>
      <x:c r="G1312" s="0" t="s">
        <x:v>19</x:v>
      </x:c>
      <x:c r="H1312" s="0" t="s">
        <x:v>20</x:v>
      </x:c>
      <x:c r="I1312" s="0" t="s">
        <x:v>21</x:v>
      </x:c>
      <x:c r="K1312" s="0">
        <x:f>hyperlink("https://icd.who.int/dev11/l-ichi/en#/http%3A%2F%2Fid.who.int%2Ficd%2Fentity%2F504768423","browser")</x:f>
      </x:c>
      <x:c r="L1312" s="0">
        <x:f>hyperlink("https://icat2.azurewebsites.net/icat/?ontology=ICD&amp;tab=ClassesTab&amp;id=http%3A%2F%2Fwho.int%2Ficd%2336_bf15315e_f1c5_45f6_9637_651657d70d50","iCat")</x:f>
      </x:c>
      <x:c r="M1312" s="0" t="s">
        <x:v>21</x:v>
      </x:c>
      <x:c r="N1312" s="0" t="s">
        <x:v>46</x:v>
      </x:c>
    </x:row>
    <x:row r="1313" spans="1:16">
      <x:c r="A1313" s="0" t="s">
        <x:v>5080</x:v>
      </x:c>
      <x:c r="B1313" s="0" t="s">
        <x:v>5081</x:v>
      </x:c>
      <x:c r="C1313" s="0" t="s">
        <x:v>5082</x:v>
      </x:c>
      <x:c r="E1313" s="0" t="s">
        <x:v>5083</x:v>
      </x:c>
      <x:c r="F1313" s="0" t="s">
        <x:v>45</x:v>
      </x:c>
      <x:c r="G1313" s="0" t="s">
        <x:v>19</x:v>
      </x:c>
      <x:c r="H1313" s="0" t="s">
        <x:v>20</x:v>
      </x:c>
      <x:c r="I1313" s="0" t="s">
        <x:v>21</x:v>
      </x:c>
      <x:c r="K1313" s="0">
        <x:f>hyperlink("https://icd.who.int/dev11/l-ichi/en#/http%3A%2F%2Fid.who.int%2Ficd%2Fentity%2F1799766536","browser")</x:f>
      </x:c>
      <x:c r="L1313" s="0">
        <x:f>hyperlink("https://icat2.azurewebsites.net/icat/?ontology=ICD&amp;tab=ClassesTab&amp;id=http%3A%2F%2Fwho.int%2Ficd%232102_512ebf36_bf6b_4d70_85da_cf2637062af4","iCat")</x:f>
      </x:c>
      <x:c r="M1313" s="0" t="s">
        <x:v>21</x:v>
      </x:c>
      <x:c r="N1313" s="0" t="s">
        <x:v>46</x:v>
      </x:c>
    </x:row>
    <x:row r="1314" spans="1:16">
      <x:c r="A1314" s="0" t="s">
        <x:v>5084</x:v>
      </x:c>
      <x:c r="B1314" s="0" t="s">
        <x:v>5085</x:v>
      </x:c>
      <x:c r="C1314" s="0" t="s">
        <x:v>5086</x:v>
      </x:c>
      <x:c r="E1314" s="0" t="s">
        <x:v>5087</x:v>
      </x:c>
      <x:c r="F1314" s="0" t="s">
        <x:v>45</x:v>
      </x:c>
      <x:c r="G1314" s="0" t="s">
        <x:v>19</x:v>
      </x:c>
      <x:c r="H1314" s="0" t="s">
        <x:v>20</x:v>
      </x:c>
      <x:c r="I1314" s="0" t="s">
        <x:v>21</x:v>
      </x:c>
      <x:c r="K1314" s="0">
        <x:f>hyperlink("https://icd.who.int/dev11/l-ichi/en#/http%3A%2F%2Fid.who.int%2Ficd%2Fentity%2F1614961834","browser")</x:f>
      </x:c>
      <x:c r="L1314" s="0">
        <x:f>hyperlink("https://icat2.azurewebsites.net/icat/?ontology=ICD&amp;tab=ClassesTab&amp;id=http%3A%2F%2Fwho.int%2Ficd%232109_512ebf36_bf6b_4d70_85da_cf2637062af4","iCat")</x:f>
      </x:c>
      <x:c r="M1314" s="0" t="s">
        <x:v>21</x:v>
      </x:c>
      <x:c r="N1314" s="0" t="s">
        <x:v>46</x:v>
      </x:c>
    </x:row>
    <x:row r="1315" spans="1:16">
      <x:c r="A1315" s="0" t="s">
        <x:v>5088</x:v>
      </x:c>
      <x:c r="B1315" s="0" t="s">
        <x:v>5089</x:v>
      </x:c>
      <x:c r="C1315" s="0" t="s">
        <x:v>5090</x:v>
      </x:c>
      <x:c r="E1315" s="0" t="s">
        <x:v>5091</x:v>
      </x:c>
      <x:c r="F1315" s="0" t="s">
        <x:v>45</x:v>
      </x:c>
      <x:c r="G1315" s="0" t="s">
        <x:v>19</x:v>
      </x:c>
      <x:c r="H1315" s="0" t="s">
        <x:v>20</x:v>
      </x:c>
      <x:c r="I1315" s="0" t="s">
        <x:v>21</x:v>
      </x:c>
      <x:c r="K1315" s="0">
        <x:f>hyperlink("https://icd.who.int/dev11/l-ichi/en#/http%3A%2F%2Fid.who.int%2Ficd%2Fentity%2F343761177","browser")</x:f>
      </x:c>
      <x:c r="L1315" s="0">
        <x:f>hyperlink("https://icat2.azurewebsites.net/icat/?ontology=ICD&amp;tab=ClassesTab&amp;id=http%3A%2F%2Fwho.int%2Ficd%232117_512ebf36_bf6b_4d70_85da_cf2637062af4","iCat")</x:f>
      </x:c>
      <x:c r="M1315" s="0" t="s">
        <x:v>21</x:v>
      </x:c>
      <x:c r="N1315" s="0" t="s">
        <x:v>46</x:v>
      </x:c>
    </x:row>
    <x:row r="1316" spans="1:16">
      <x:c r="A1316" s="0" t="s">
        <x:v>5092</x:v>
      </x:c>
      <x:c r="B1316" s="0" t="s">
        <x:v>5093</x:v>
      </x:c>
      <x:c r="C1316" s="0" t="s">
        <x:v>5094</x:v>
      </x:c>
      <x:c r="E1316" s="0" t="s">
        <x:v>5095</x:v>
      </x:c>
      <x:c r="F1316" s="0" t="s">
        <x:v>45</x:v>
      </x:c>
      <x:c r="G1316" s="0" t="s">
        <x:v>19</x:v>
      </x:c>
      <x:c r="H1316" s="0" t="s">
        <x:v>20</x:v>
      </x:c>
      <x:c r="I1316" s="0" t="s">
        <x:v>21</x:v>
      </x:c>
      <x:c r="K1316" s="0">
        <x:f>hyperlink("https://icd.who.int/dev11/l-ichi/en#/http%3A%2F%2Fid.who.int%2Ficd%2Fentity%2F833633499","browser")</x:f>
      </x:c>
      <x:c r="L1316" s="0">
        <x:f>hyperlink("https://icat2.azurewebsites.net/icat/?ontology=ICD&amp;tab=ClassesTab&amp;id=http%3A%2F%2Fwho.int%2Ficd%232125_512ebf36_bf6b_4d70_85da_cf2637062af4","iCat")</x:f>
      </x:c>
      <x:c r="M1316" s="0" t="s">
        <x:v>21</x:v>
      </x:c>
      <x:c r="N1316" s="0" t="s">
        <x:v>46</x:v>
      </x:c>
    </x:row>
    <x:row r="1317" spans="1:16">
      <x:c r="A1317" s="0" t="s">
        <x:v>5096</x:v>
      </x:c>
      <x:c r="B1317" s="0" t="s">
        <x:v>5097</x:v>
      </x:c>
      <x:c r="C1317" s="0" t="s">
        <x:v>5098</x:v>
      </x:c>
      <x:c r="E1317" s="0" t="s">
        <x:v>5099</x:v>
      </x:c>
      <x:c r="F1317" s="0" t="s">
        <x:v>45</x:v>
      </x:c>
      <x:c r="G1317" s="0" t="s">
        <x:v>19</x:v>
      </x:c>
      <x:c r="H1317" s="0" t="s">
        <x:v>20</x:v>
      </x:c>
      <x:c r="I1317" s="0" t="s">
        <x:v>21</x:v>
      </x:c>
      <x:c r="K1317" s="0">
        <x:f>hyperlink("https://icd.who.int/dev11/l-ichi/en#/http%3A%2F%2Fid.who.int%2Ficd%2Fentity%2F737608193","browser")</x:f>
      </x:c>
      <x:c r="L1317" s="0">
        <x:f>hyperlink("https://icat2.azurewebsites.net/icat/?ontology=ICD&amp;tab=ClassesTab&amp;id=http%3A%2F%2Fwho.int%2Ficd%232132_512ebf36_bf6b_4d70_85da_cf2637062af4","iCat")</x:f>
      </x:c>
      <x:c r="M1317" s="0" t="s">
        <x:v>21</x:v>
      </x:c>
      <x:c r="N1317" s="0" t="s">
        <x:v>46</x:v>
      </x:c>
    </x:row>
    <x:row r="1318" spans="1:16">
      <x:c r="A1318" s="0" t="s">
        <x:v>5100</x:v>
      </x:c>
      <x:c r="B1318" s="0" t="s">
        <x:v>5101</x:v>
      </x:c>
      <x:c r="C1318" s="0" t="s">
        <x:v>5102</x:v>
      </x:c>
      <x:c r="E1318" s="0" t="s">
        <x:v>5103</x:v>
      </x:c>
      <x:c r="F1318" s="0" t="s">
        <x:v>45</x:v>
      </x:c>
      <x:c r="G1318" s="0" t="s">
        <x:v>19</x:v>
      </x:c>
      <x:c r="H1318" s="0" t="s">
        <x:v>20</x:v>
      </x:c>
      <x:c r="I1318" s="0" t="s">
        <x:v>21</x:v>
      </x:c>
      <x:c r="K1318" s="0">
        <x:f>hyperlink("https://icd.who.int/dev11/l-ichi/en#/http%3A%2F%2Fid.who.int%2Ficd%2Fentity%2F552803501","browser")</x:f>
      </x:c>
      <x:c r="L1318" s="0">
        <x:f>hyperlink("https://icat2.azurewebsites.net/icat/?ontology=ICD&amp;tab=ClassesTab&amp;id=http%3A%2F%2Fwho.int%2Ficd%232139_512ebf36_bf6b_4d70_85da_cf2637062af4","iCat")</x:f>
      </x:c>
      <x:c r="M1318" s="0" t="s">
        <x:v>21</x:v>
      </x:c>
      <x:c r="N1318" s="0" t="s">
        <x:v>46</x:v>
      </x:c>
    </x:row>
    <x:row r="1319" spans="1:16">
      <x:c r="A1319" s="0" t="s">
        <x:v>5104</x:v>
      </x:c>
      <x:c r="B1319" s="0" t="s">
        <x:v>5105</x:v>
      </x:c>
      <x:c r="C1319" s="0" t="s">
        <x:v>5106</x:v>
      </x:c>
      <x:c r="E1319" s="0" t="s">
        <x:v>5107</x:v>
      </x:c>
      <x:c r="F1319" s="0" t="s">
        <x:v>45</x:v>
      </x:c>
      <x:c r="G1319" s="0" t="s">
        <x:v>19</x:v>
      </x:c>
      <x:c r="H1319" s="0" t="s">
        <x:v>20</x:v>
      </x:c>
      <x:c r="I1319" s="0" t="s">
        <x:v>21</x:v>
      </x:c>
      <x:c r="K1319" s="0">
        <x:f>hyperlink("https://icd.who.int/dev11/l-ichi/en#/http%3A%2F%2Fid.who.int%2Ficd%2Fentity%2F774296943","browser")</x:f>
      </x:c>
      <x:c r="L1319" s="0">
        <x:f>hyperlink("https://icat2.azurewebsites.net/icat/?ontology=ICD&amp;tab=ClassesTab&amp;id=http%3A%2F%2Fwho.int%2Ficd%232146_512ebf36_bf6b_4d70_85da_cf2637062af4","iCat")</x:f>
      </x:c>
      <x:c r="M1319" s="0" t="s">
        <x:v>21</x:v>
      </x:c>
      <x:c r="N1319" s="0" t="s">
        <x:v>46</x:v>
      </x:c>
    </x:row>
    <x:row r="1320" spans="1:16">
      <x:c r="A1320" s="0" t="s">
        <x:v>5108</x:v>
      </x:c>
      <x:c r="B1320" s="0" t="s">
        <x:v>5109</x:v>
      </x:c>
      <x:c r="C1320" s="0" t="s">
        <x:v>5110</x:v>
      </x:c>
      <x:c r="E1320" s="0" t="s">
        <x:v>5111</x:v>
      </x:c>
      <x:c r="F1320" s="0" t="s">
        <x:v>45</x:v>
      </x:c>
      <x:c r="G1320" s="0" t="s">
        <x:v>19</x:v>
      </x:c>
      <x:c r="H1320" s="0" t="s">
        <x:v>20</x:v>
      </x:c>
      <x:c r="I1320" s="0" t="s">
        <x:v>21</x:v>
      </x:c>
      <x:c r="K1320" s="0">
        <x:f>hyperlink("https://icd.who.int/dev11/l-ichi/en#/http%3A%2F%2Fid.who.int%2Ficd%2Fentity%2F1360918128","browser")</x:f>
      </x:c>
      <x:c r="L1320" s="0">
        <x:f>hyperlink("https://icat2.azurewebsites.net/icat/?ontology=ICD&amp;tab=ClassesTab&amp;id=http%3A%2F%2Fwho.int%2Ficd%232153_512ebf36_bf6b_4d70_85da_cf2637062af4","iCat")</x:f>
      </x:c>
      <x:c r="M1320" s="0" t="s">
        <x:v>21</x:v>
      </x:c>
      <x:c r="N1320" s="0" t="s">
        <x:v>46</x:v>
      </x:c>
    </x:row>
    <x:row r="1321" spans="1:16">
      <x:c r="A1321" s="0" t="s">
        <x:v>5112</x:v>
      </x:c>
      <x:c r="B1321" s="0" t="s">
        <x:v>5113</x:v>
      </x:c>
      <x:c r="C1321" s="0" t="s">
        <x:v>5114</x:v>
      </x:c>
      <x:c r="E1321" s="0" t="s">
        <x:v>5115</x:v>
      </x:c>
      <x:c r="F1321" s="0" t="s">
        <x:v>45</x:v>
      </x:c>
      <x:c r="G1321" s="0" t="s">
        <x:v>19</x:v>
      </x:c>
      <x:c r="H1321" s="0" t="s">
        <x:v>20</x:v>
      </x:c>
      <x:c r="I1321" s="0" t="s">
        <x:v>21</x:v>
      </x:c>
      <x:c r="K1321" s="0">
        <x:f>hyperlink("https://icd.who.int/dev11/l-ichi/en#/http%3A%2F%2Fid.who.int%2Ficd%2Fentity%2F296531575","browser")</x:f>
      </x:c>
      <x:c r="L1321" s="0">
        <x:f>hyperlink("https://icat2.azurewebsites.net/icat/?ontology=ICD&amp;tab=ClassesTab&amp;id=http%3A%2F%2Fwho.int%2Ficd%232163_512ebf36_bf6b_4d70_85da_cf2637062af4","iCat")</x:f>
      </x:c>
      <x:c r="M1321" s="0" t="s">
        <x:v>21</x:v>
      </x:c>
      <x:c r="N1321" s="0" t="s">
        <x:v>46</x:v>
      </x:c>
    </x:row>
    <x:row r="1322" spans="1:16">
      <x:c r="A1322" s="0" t="s">
        <x:v>5116</x:v>
      </x:c>
      <x:c r="B1322" s="0" t="s">
        <x:v>5117</x:v>
      </x:c>
      <x:c r="C1322" s="0" t="s">
        <x:v>5118</x:v>
      </x:c>
      <x:c r="E1322" s="0" t="s">
        <x:v>5119</x:v>
      </x:c>
      <x:c r="F1322" s="0" t="s">
        <x:v>45</x:v>
      </x:c>
      <x:c r="G1322" s="0" t="s">
        <x:v>19</x:v>
      </x:c>
      <x:c r="H1322" s="0" t="s">
        <x:v>20</x:v>
      </x:c>
      <x:c r="I1322" s="0" t="s">
        <x:v>21</x:v>
      </x:c>
      <x:c r="K1322" s="0">
        <x:f>hyperlink("https://icd.who.int/dev11/l-ichi/en#/http%3A%2F%2Fid.who.int%2Ficd%2Fentity%2F722664081","browser")</x:f>
      </x:c>
      <x:c r="L1322" s="0">
        <x:f>hyperlink("https://icat2.azurewebsites.net/icat/?ontology=ICD&amp;tab=ClassesTab&amp;id=http%3A%2F%2Fwho.int%2Ficd%232175_512ebf36_bf6b_4d70_85da_cf2637062af4","iCat")</x:f>
      </x:c>
      <x:c r="M1322" s="0" t="s">
        <x:v>21</x:v>
      </x:c>
      <x:c r="N1322" s="0" t="s">
        <x:v>46</x:v>
      </x:c>
    </x:row>
    <x:row r="1323" spans="1:16">
      <x:c r="A1323" s="0" t="s">
        <x:v>5120</x:v>
      </x:c>
      <x:c r="B1323" s="0" t="s">
        <x:v>5121</x:v>
      </x:c>
      <x:c r="C1323" s="0" t="s">
        <x:v>5122</x:v>
      </x:c>
      <x:c r="E1323" s="0" t="s">
        <x:v>5123</x:v>
      </x:c>
      <x:c r="F1323" s="0" t="s">
        <x:v>45</x:v>
      </x:c>
      <x:c r="G1323" s="0" t="s">
        <x:v>19</x:v>
      </x:c>
      <x:c r="H1323" s="0" t="s">
        <x:v>20</x:v>
      </x:c>
      <x:c r="I1323" s="0" t="s">
        <x:v>21</x:v>
      </x:c>
      <x:c r="K1323" s="0">
        <x:f>hyperlink("https://icd.who.int/dev11/l-ichi/en#/http%3A%2F%2Fid.who.int%2Ficd%2Fentity%2F1953962946","browser")</x:f>
      </x:c>
      <x:c r="L1323" s="0">
        <x:f>hyperlink("https://icat2.azurewebsites.net/icat/?ontology=ICD&amp;tab=ClassesTab&amp;id=http%3A%2F%2Fwho.int%2Ficd%232182_512ebf36_bf6b_4d70_85da_cf2637062af4","iCat")</x:f>
      </x:c>
      <x:c r="M1323" s="0" t="s">
        <x:v>21</x:v>
      </x:c>
      <x:c r="N1323" s="0" t="s">
        <x:v>46</x:v>
      </x:c>
    </x:row>
    <x:row r="1324" spans="1:16">
      <x:c r="A1324" s="0" t="s">
        <x:v>5124</x:v>
      </x:c>
      <x:c r="B1324" s="0" t="s">
        <x:v>5125</x:v>
      </x:c>
      <x:c r="C1324" s="0" t="s">
        <x:v>5126</x:v>
      </x:c>
      <x:c r="E1324" s="0" t="s">
        <x:v>5127</x:v>
      </x:c>
      <x:c r="F1324" s="0" t="s">
        <x:v>45</x:v>
      </x:c>
      <x:c r="G1324" s="0" t="s">
        <x:v>19</x:v>
      </x:c>
      <x:c r="H1324" s="0" t="s">
        <x:v>20</x:v>
      </x:c>
      <x:c r="I1324" s="0" t="s">
        <x:v>21</x:v>
      </x:c>
      <x:c r="K1324" s="0">
        <x:f>hyperlink("https://icd.who.int/dev11/l-ichi/en#/http%3A%2F%2Fid.who.int%2Ficd%2Fentity%2F515018389","browser")</x:f>
      </x:c>
      <x:c r="L1324" s="0">
        <x:f>hyperlink("https://icat2.azurewebsites.net/icat/?ontology=ICD&amp;tab=ClassesTab&amp;id=http%3A%2F%2Fwho.int%2Ficd%232192_512ebf36_bf6b_4d70_85da_cf2637062af4","iCat")</x:f>
      </x:c>
      <x:c r="M1324" s="0" t="s">
        <x:v>21</x:v>
      </x:c>
      <x:c r="N1324" s="0" t="s">
        <x:v>46</x:v>
      </x:c>
    </x:row>
    <x:row r="1325" spans="1:16">
      <x:c r="A1325" s="0" t="s">
        <x:v>5128</x:v>
      </x:c>
      <x:c r="B1325" s="0" t="s">
        <x:v>5129</x:v>
      </x:c>
      <x:c r="C1325" s="0" t="s">
        <x:v>5130</x:v>
      </x:c>
      <x:c r="E1325" s="0" t="s">
        <x:v>5131</x:v>
      </x:c>
      <x:c r="F1325" s="0" t="s">
        <x:v>45</x:v>
      </x:c>
      <x:c r="G1325" s="0" t="s">
        <x:v>19</x:v>
      </x:c>
      <x:c r="H1325" s="0" t="s">
        <x:v>20</x:v>
      </x:c>
      <x:c r="I1325" s="0" t="s">
        <x:v>21</x:v>
      </x:c>
      <x:c r="K1325" s="0">
        <x:f>hyperlink("https://icd.who.int/dev11/l-ichi/en#/http%3A%2F%2Fid.who.int%2Ficd%2Fentity%2F364286009","browser")</x:f>
      </x:c>
      <x:c r="L1325" s="0">
        <x:f>hyperlink("https://icat2.azurewebsites.net/icat/?ontology=ICD&amp;tab=ClassesTab&amp;id=http%3A%2F%2Fwho.int%2Ficd%232199_512ebf36_bf6b_4d70_85da_cf2637062af4","iCat")</x:f>
      </x:c>
      <x:c r="M1325" s="0" t="s">
        <x:v>21</x:v>
      </x:c>
      <x:c r="N1325" s="0" t="s">
        <x:v>46</x:v>
      </x:c>
    </x:row>
    <x:row r="1326" spans="1:16">
      <x:c r="A1326" s="0" t="s">
        <x:v>5132</x:v>
      </x:c>
      <x:c r="B1326" s="0" t="s">
        <x:v>5133</x:v>
      </x:c>
      <x:c r="C1326" s="0" t="s">
        <x:v>5134</x:v>
      </x:c>
      <x:c r="E1326" s="0" t="s">
        <x:v>5135</x:v>
      </x:c>
      <x:c r="F1326" s="0" t="s">
        <x:v>45</x:v>
      </x:c>
      <x:c r="G1326" s="0" t="s">
        <x:v>19</x:v>
      </x:c>
      <x:c r="H1326" s="0" t="s">
        <x:v>20</x:v>
      </x:c>
      <x:c r="I1326" s="0" t="s">
        <x:v>21</x:v>
      </x:c>
      <x:c r="K1326" s="0">
        <x:f>hyperlink("https://icd.who.int/dev11/l-ichi/en#/http%3A%2F%2Fid.who.int%2Ficd%2Fentity%2F1058943531","browser")</x:f>
      </x:c>
      <x:c r="L1326" s="0">
        <x:f>hyperlink("https://icat2.azurewebsites.net/icat/?ontology=ICD&amp;tab=ClassesTab&amp;id=http%3A%2F%2Fwho.int%2Ficd%232206_512ebf36_bf6b_4d70_85da_cf2637062af4","iCat")</x:f>
      </x:c>
      <x:c r="M1326" s="0" t="s">
        <x:v>21</x:v>
      </x:c>
      <x:c r="N1326" s="0" t="s">
        <x:v>46</x:v>
      </x:c>
    </x:row>
    <x:row r="1327" spans="1:16">
      <x:c r="A1327" s="0" t="s">
        <x:v>5136</x:v>
      </x:c>
      <x:c r="B1327" s="0" t="s">
        <x:v>5137</x:v>
      </x:c>
      <x:c r="C1327" s="0" t="s">
        <x:v>5138</x:v>
      </x:c>
      <x:c r="E1327" s="0" t="s">
        <x:v>5139</x:v>
      </x:c>
      <x:c r="F1327" s="0" t="s">
        <x:v>45</x:v>
      </x:c>
      <x:c r="G1327" s="0" t="s">
        <x:v>19</x:v>
      </x:c>
      <x:c r="H1327" s="0" t="s">
        <x:v>20</x:v>
      </x:c>
      <x:c r="I1327" s="0" t="s">
        <x:v>21</x:v>
      </x:c>
      <x:c r="K1327" s="0">
        <x:f>hyperlink("https://icd.who.int/dev11/l-ichi/en#/http%3A%2F%2Fid.who.int%2Ficd%2Fentity%2F1076171062","browser")</x:f>
      </x:c>
      <x:c r="L1327" s="0">
        <x:f>hyperlink("https://icat2.azurewebsites.net/icat/?ontology=ICD&amp;tab=ClassesTab&amp;id=http%3A%2F%2Fwho.int%2Ficd%232213_512ebf36_bf6b_4d70_85da_cf2637062af4","iCat")</x:f>
      </x:c>
      <x:c r="M1327" s="0" t="s">
        <x:v>21</x:v>
      </x:c>
      <x:c r="N1327" s="0" t="s">
        <x:v>46</x:v>
      </x:c>
    </x:row>
    <x:row r="1328" spans="1:16">
      <x:c r="A1328" s="0" t="s">
        <x:v>5140</x:v>
      </x:c>
      <x:c r="B1328" s="0" t="s">
        <x:v>5141</x:v>
      </x:c>
      <x:c r="C1328" s="0" t="s">
        <x:v>5142</x:v>
      </x:c>
      <x:c r="E1328" s="0" t="s">
        <x:v>5143</x:v>
      </x:c>
      <x:c r="F1328" s="0" t="s">
        <x:v>45</x:v>
      </x:c>
      <x:c r="G1328" s="0" t="s">
        <x:v>19</x:v>
      </x:c>
      <x:c r="H1328" s="0" t="s">
        <x:v>20</x:v>
      </x:c>
      <x:c r="I1328" s="0" t="s">
        <x:v>21</x:v>
      </x:c>
      <x:c r="K1328" s="0">
        <x:f>hyperlink("https://icd.who.int/dev11/l-ichi/en#/http%3A%2F%2Fid.who.int%2Ficd%2Fentity%2F1158758092","browser")</x:f>
      </x:c>
      <x:c r="L1328" s="0">
        <x:f>hyperlink("https://icat2.azurewebsites.net/icat/?ontology=ICD&amp;tab=ClassesTab&amp;id=http%3A%2F%2Fwho.int%2Ficd%232220_512ebf36_bf6b_4d70_85da_cf2637062af4","iCat")</x:f>
      </x:c>
      <x:c r="M1328" s="0" t="s">
        <x:v>21</x:v>
      </x:c>
      <x:c r="N1328" s="0" t="s">
        <x:v>46</x:v>
      </x:c>
    </x:row>
    <x:row r="1329" spans="1:16">
      <x:c r="A1329" s="0" t="s">
        <x:v>5144</x:v>
      </x:c>
      <x:c r="B1329" s="0" t="s">
        <x:v>5145</x:v>
      </x:c>
      <x:c r="C1329" s="0" t="s">
        <x:v>5146</x:v>
      </x:c>
      <x:c r="E1329" s="0" t="s">
        <x:v>5147</x:v>
      </x:c>
      <x:c r="F1329" s="0" t="s">
        <x:v>45</x:v>
      </x:c>
      <x:c r="G1329" s="0" t="s">
        <x:v>19</x:v>
      </x:c>
      <x:c r="H1329" s="0" t="s">
        <x:v>20</x:v>
      </x:c>
      <x:c r="I1329" s="0" t="s">
        <x:v>21</x:v>
      </x:c>
      <x:c r="K1329" s="0">
        <x:f>hyperlink("https://icd.who.int/dev11/l-ichi/en#/http%3A%2F%2Fid.who.int%2Ficd%2Fentity%2F898864455","browser")</x:f>
      </x:c>
      <x:c r="L1329" s="0">
        <x:f>hyperlink("https://icat2.azurewebsites.net/icat/?ontology=ICD&amp;tab=ClassesTab&amp;id=http%3A%2F%2Fwho.int%2Ficd%232227_512ebf36_bf6b_4d70_85da_cf2637062af4","iCat")</x:f>
      </x:c>
      <x:c r="M1329" s="0" t="s">
        <x:v>21</x:v>
      </x:c>
      <x:c r="N1329" s="0" t="s">
        <x:v>46</x:v>
      </x:c>
    </x:row>
    <x:row r="1330" spans="1:16">
      <x:c r="A1330" s="0" t="s">
        <x:v>5148</x:v>
      </x:c>
      <x:c r="B1330" s="0" t="s">
        <x:v>5149</x:v>
      </x:c>
      <x:c r="C1330" s="0" t="s">
        <x:v>5150</x:v>
      </x:c>
      <x:c r="E1330" s="0" t="s">
        <x:v>5151</x:v>
      </x:c>
      <x:c r="F1330" s="0" t="s">
        <x:v>45</x:v>
      </x:c>
      <x:c r="G1330" s="0" t="s">
        <x:v>19</x:v>
      </x:c>
      <x:c r="H1330" s="0" t="s">
        <x:v>20</x:v>
      </x:c>
      <x:c r="I1330" s="0" t="s">
        <x:v>21</x:v>
      </x:c>
      <x:c r="K1330" s="0">
        <x:f>hyperlink("https://icd.who.int/dev11/l-ichi/en#/http%3A%2F%2Fid.who.int%2Ficd%2Fentity%2F450064361","browser")</x:f>
      </x:c>
      <x:c r="L1330" s="0">
        <x:f>hyperlink("https://icat2.azurewebsites.net/icat/?ontology=ICD&amp;tab=ClassesTab&amp;id=http%3A%2F%2Fwho.int%2Ficd%232234_512ebf36_bf6b_4d70_85da_cf2637062af4","iCat")</x:f>
      </x:c>
      <x:c r="M1330" s="0" t="s">
        <x:v>21</x:v>
      </x:c>
      <x:c r="N1330" s="0" t="s">
        <x:v>46</x:v>
      </x:c>
    </x:row>
    <x:row r="1331" spans="1:16">
      <x:c r="A1331" s="0" t="s">
        <x:v>5152</x:v>
      </x:c>
      <x:c r="B1331" s="0" t="s">
        <x:v>5153</x:v>
      </x:c>
      <x:c r="C1331" s="0" t="s">
        <x:v>5154</x:v>
      </x:c>
      <x:c r="E1331" s="0" t="s">
        <x:v>5155</x:v>
      </x:c>
      <x:c r="F1331" s="0" t="s">
        <x:v>45</x:v>
      </x:c>
      <x:c r="G1331" s="0" t="s">
        <x:v>19</x:v>
      </x:c>
      <x:c r="H1331" s="0" t="s">
        <x:v>20</x:v>
      </x:c>
      <x:c r="I1331" s="0" t="s">
        <x:v>21</x:v>
      </x:c>
      <x:c r="K1331" s="0">
        <x:f>hyperlink("https://icd.who.int/dev11/l-ichi/en#/http%3A%2F%2Fid.who.int%2Ficd%2Fentity%2F1073466043","browser")</x:f>
      </x:c>
      <x:c r="L1331" s="0">
        <x:f>hyperlink("https://icat2.azurewebsites.net/icat/?ontology=ICD&amp;tab=ClassesTab&amp;id=http%3A%2F%2Fwho.int%2Ficd%232241_512ebf36_bf6b_4d70_85da_cf2637062af4","iCat")</x:f>
      </x:c>
      <x:c r="M1331" s="0" t="s">
        <x:v>21</x:v>
      </x:c>
      <x:c r="N1331" s="0" t="s">
        <x:v>46</x:v>
      </x:c>
    </x:row>
    <x:row r="1332" spans="1:16">
      <x:c r="A1332" s="0" t="s">
        <x:v>5156</x:v>
      </x:c>
      <x:c r="B1332" s="0" t="s">
        <x:v>5157</x:v>
      </x:c>
      <x:c r="D1332" s="0" t="s">
        <x:v>5158</x:v>
      </x:c>
      <x:c r="E1332" s="0" t="s">
        <x:v>5159</x:v>
      </x:c>
      <x:c r="F1332" s="0" t="s">
        <x:v>26</x:v>
      </x:c>
      <x:c r="G1332" s="0" t="s">
        <x:v>22</x:v>
      </x:c>
      <x:c r="H1332" s="0" t="s">
        <x:v>20</x:v>
      </x:c>
      <x:c r="I1332" s="0" t="s">
        <x:v>21</x:v>
      </x:c>
      <x:c r="K1332" s="0">
        <x:f>hyperlink("https://icd.who.int/dev11/l-ichi/en#/http%3A%2F%2Fid.who.int%2Ficd%2Fentity%2F1975987664","browser")</x:f>
      </x:c>
      <x:c r="L1332" s="0">
        <x:f>hyperlink("https://icat2.azurewebsites.net/icat/?ontology=ICD&amp;tab=ClassesTab&amp;id=http%3A%2F%2Fwho.int%2Ficd%232250_512ebf36_bf6b_4d70_85da_cf2637062af4","iCat")</x:f>
      </x:c>
      <x:c r="M1332" s="0" t="s">
        <x:v>20</x:v>
      </x:c>
      <x:c r="N1332" s="0" t="s">
        <x:v>5160</x:v>
      </x:c>
    </x:row>
    <x:row r="1333" spans="1:16">
      <x:c r="A1333" s="0" t="s">
        <x:v>5161</x:v>
      </x:c>
      <x:c r="B1333" s="0" t="s">
        <x:v>5162</x:v>
      </x:c>
      <x:c r="C1333" s="0" t="s">
        <x:v>5163</x:v>
      </x:c>
      <x:c r="E1333" s="0" t="s">
        <x:v>5164</x:v>
      </x:c>
      <x:c r="F1333" s="0" t="s">
        <x:v>45</x:v>
      </x:c>
      <x:c r="G1333" s="0" t="s">
        <x:v>19</x:v>
      </x:c>
      <x:c r="H1333" s="0" t="s">
        <x:v>20</x:v>
      </x:c>
      <x:c r="I1333" s="0" t="s">
        <x:v>21</x:v>
      </x:c>
      <x:c r="K1333" s="0">
        <x:f>hyperlink("https://icd.who.int/dev11/l-ichi/en#/http%3A%2F%2Fid.who.int%2Ficd%2Fentity%2F1903868912","browser")</x:f>
      </x:c>
      <x:c r="L1333" s="0">
        <x:f>hyperlink("https://icat2.azurewebsites.net/icat/?ontology=ICD&amp;tab=ClassesTab&amp;id=http%3A%2F%2Fwho.int%2Ficd%232249_512ebf36_bf6b_4d70_85da_cf2637062af4","iCat")</x:f>
      </x:c>
      <x:c r="M1333" s="0" t="s">
        <x:v>21</x:v>
      </x:c>
      <x:c r="N1333" s="0" t="s">
        <x:v>46</x:v>
      </x:c>
    </x:row>
    <x:row r="1334" spans="1:16">
      <x:c r="A1334" s="0" t="s">
        <x:v>5165</x:v>
      </x:c>
      <x:c r="B1334" s="0" t="s">
        <x:v>5166</x:v>
      </x:c>
      <x:c r="C1334" s="0" t="s">
        <x:v>5167</x:v>
      </x:c>
      <x:c r="E1334" s="0" t="s">
        <x:v>5168</x:v>
      </x:c>
      <x:c r="F1334" s="0" t="s">
        <x:v>45</x:v>
      </x:c>
      <x:c r="G1334" s="0" t="s">
        <x:v>19</x:v>
      </x:c>
      <x:c r="H1334" s="0" t="s">
        <x:v>20</x:v>
      </x:c>
      <x:c r="I1334" s="0" t="s">
        <x:v>21</x:v>
      </x:c>
      <x:c r="K1334" s="0">
        <x:f>hyperlink("https://icd.who.int/dev11/l-ichi/en#/http%3A%2F%2Fid.who.int%2Ficd%2Fentity%2F1342861332","browser")</x:f>
      </x:c>
      <x:c r="L1334" s="0">
        <x:f>hyperlink("https://icat2.azurewebsites.net/icat/?ontology=ICD&amp;tab=ClassesTab&amp;id=http%3A%2F%2Fwho.int%2Ficd%232262_512ebf36_bf6b_4d70_85da_cf2637062af4","iCat")</x:f>
      </x:c>
      <x:c r="M1334" s="0" t="s">
        <x:v>21</x:v>
      </x:c>
      <x:c r="N1334" s="0" t="s">
        <x:v>46</x:v>
      </x:c>
    </x:row>
    <x:row r="1335" spans="1:16">
      <x:c r="A1335" s="0" t="s">
        <x:v>5169</x:v>
      </x:c>
      <x:c r="B1335" s="0" t="s">
        <x:v>5170</x:v>
      </x:c>
      <x:c r="C1335" s="0" t="s">
        <x:v>5171</x:v>
      </x:c>
      <x:c r="E1335" s="0" t="s">
        <x:v>5172</x:v>
      </x:c>
      <x:c r="F1335" s="0" t="s">
        <x:v>45</x:v>
      </x:c>
      <x:c r="G1335" s="0" t="s">
        <x:v>19</x:v>
      </x:c>
      <x:c r="H1335" s="0" t="s">
        <x:v>20</x:v>
      </x:c>
      <x:c r="I1335" s="0" t="s">
        <x:v>21</x:v>
      </x:c>
      <x:c r="K1335" s="0">
        <x:f>hyperlink("https://icd.who.int/dev11/l-ichi/en#/http%3A%2F%2Fid.who.int%2Ficd%2Fentity%2F1527672510","browser")</x:f>
      </x:c>
      <x:c r="L1335" s="0">
        <x:f>hyperlink("https://icat2.azurewebsites.net/icat/?ontology=ICD&amp;tab=ClassesTab&amp;id=http%3A%2F%2Fwho.int%2Ficd%232269_512ebf36_bf6b_4d70_85da_cf2637062af4","iCat")</x:f>
      </x:c>
      <x:c r="M1335" s="0" t="s">
        <x:v>21</x:v>
      </x:c>
      <x:c r="N1335" s="0" t="s">
        <x:v>46</x:v>
      </x:c>
    </x:row>
    <x:row r="1336" spans="1:16">
      <x:c r="A1336" s="0" t="s">
        <x:v>5173</x:v>
      </x:c>
      <x:c r="B1336" s="0" t="s">
        <x:v>5174</x:v>
      </x:c>
      <x:c r="C1336" s="0" t="s">
        <x:v>5175</x:v>
      </x:c>
      <x:c r="E1336" s="0" t="s">
        <x:v>5176</x:v>
      </x:c>
      <x:c r="F1336" s="0" t="s">
        <x:v>45</x:v>
      </x:c>
      <x:c r="G1336" s="0" t="s">
        <x:v>19</x:v>
      </x:c>
      <x:c r="H1336" s="0" t="s">
        <x:v>20</x:v>
      </x:c>
      <x:c r="I1336" s="0" t="s">
        <x:v>21</x:v>
      </x:c>
      <x:c r="K1336" s="0">
        <x:f>hyperlink("https://icd.who.int/dev11/l-ichi/en#/http%3A%2F%2Fid.who.int%2Ficd%2Fentity%2F264773937","browser")</x:f>
      </x:c>
      <x:c r="L1336" s="0">
        <x:f>hyperlink("https://icat2.azurewebsites.net/icat/?ontology=ICD&amp;tab=ClassesTab&amp;id=http%3A%2F%2Fwho.int%2Ficd%232276_512ebf36_bf6b_4d70_85da_cf2637062af4","iCat")</x:f>
      </x:c>
      <x:c r="M1336" s="0" t="s">
        <x:v>21</x:v>
      </x:c>
      <x:c r="N1336" s="0" t="s">
        <x:v>46</x:v>
      </x:c>
    </x:row>
    <x:row r="1337" spans="1:16">
      <x:c r="A1337" s="0" t="s">
        <x:v>5177</x:v>
      </x:c>
      <x:c r="B1337" s="0" t="s">
        <x:v>5178</x:v>
      </x:c>
      <x:c r="C1337" s="0" t="s">
        <x:v>5179</x:v>
      </x:c>
      <x:c r="E1337" s="0" t="s">
        <x:v>5180</x:v>
      </x:c>
      <x:c r="F1337" s="0" t="s">
        <x:v>45</x:v>
      </x:c>
      <x:c r="G1337" s="0" t="s">
        <x:v>19</x:v>
      </x:c>
      <x:c r="H1337" s="0" t="s">
        <x:v>20</x:v>
      </x:c>
      <x:c r="I1337" s="0" t="s">
        <x:v>21</x:v>
      </x:c>
      <x:c r="K1337" s="0">
        <x:f>hyperlink("https://icd.who.int/dev11/l-ichi/en#/http%3A%2F%2Fid.who.int%2Ficd%2Fentity%2F902946215","browser")</x:f>
      </x:c>
      <x:c r="L1337" s="0">
        <x:f>hyperlink("https://icat2.azurewebsites.net/icat/?ontology=ICD&amp;tab=ClassesTab&amp;id=http%3A%2F%2Fwho.int%2Ficd%232283_512ebf36_bf6b_4d70_85da_cf2637062af4","iCat")</x:f>
      </x:c>
      <x:c r="M1337" s="0" t="s">
        <x:v>21</x:v>
      </x:c>
      <x:c r="N1337" s="0" t="s">
        <x:v>46</x:v>
      </x:c>
    </x:row>
    <x:row r="1338" spans="1:16">
      <x:c r="A1338" s="0" t="s">
        <x:v>5181</x:v>
      </x:c>
      <x:c r="B1338" s="0" t="s">
        <x:v>5182</x:v>
      </x:c>
      <x:c r="C1338" s="0" t="s">
        <x:v>5183</x:v>
      </x:c>
      <x:c r="E1338" s="0" t="s">
        <x:v>5184</x:v>
      </x:c>
      <x:c r="F1338" s="0" t="s">
        <x:v>45</x:v>
      </x:c>
      <x:c r="G1338" s="0" t="s">
        <x:v>19</x:v>
      </x:c>
      <x:c r="H1338" s="0" t="s">
        <x:v>20</x:v>
      </x:c>
      <x:c r="I1338" s="0" t="s">
        <x:v>21</x:v>
      </x:c>
      <x:c r="K1338" s="0">
        <x:f>hyperlink("https://icd.who.int/dev11/l-ichi/en#/http%3A%2F%2Fid.who.int%2Ficd%2Fentity%2F445720329","browser")</x:f>
      </x:c>
      <x:c r="L1338" s="0">
        <x:f>hyperlink("https://icat2.azurewebsites.net/icat/?ontology=ICD&amp;tab=ClassesTab&amp;id=http%3A%2F%2Fwho.int%2Ficd%232290_512ebf36_bf6b_4d70_85da_cf2637062af4","iCat")</x:f>
      </x:c>
      <x:c r="M1338" s="0" t="s">
        <x:v>21</x:v>
      </x:c>
      <x:c r="N1338" s="0" t="s">
        <x:v>46</x:v>
      </x:c>
    </x:row>
    <x:row r="1339" spans="1:16">
      <x:c r="A1339" s="0" t="s">
        <x:v>5185</x:v>
      </x:c>
      <x:c r="B1339" s="0" t="s">
        <x:v>5186</x:v>
      </x:c>
      <x:c r="C1339" s="0" t="s">
        <x:v>5187</x:v>
      </x:c>
      <x:c r="E1339" s="0" t="s">
        <x:v>5188</x:v>
      </x:c>
      <x:c r="F1339" s="0" t="s">
        <x:v>45</x:v>
      </x:c>
      <x:c r="G1339" s="0" t="s">
        <x:v>19</x:v>
      </x:c>
      <x:c r="H1339" s="0" t="s">
        <x:v>20</x:v>
      </x:c>
      <x:c r="I1339" s="0" t="s">
        <x:v>21</x:v>
      </x:c>
      <x:c r="K1339" s="0">
        <x:f>hyperlink("https://icd.who.int/dev11/l-ichi/en#/http%3A%2F%2Fid.who.int%2Ficd%2Fentity%2F1779666054","browser")</x:f>
      </x:c>
      <x:c r="L1339" s="0">
        <x:f>hyperlink("https://icat2.azurewebsites.net/icat/?ontology=ICD&amp;tab=ClassesTab&amp;id=http%3A%2F%2Fwho.int%2Ficd%232297_512ebf36_bf6b_4d70_85da_cf2637062af4","iCat")</x:f>
      </x:c>
      <x:c r="M1339" s="0" t="s">
        <x:v>21</x:v>
      </x:c>
      <x:c r="N1339" s="0" t="s">
        <x:v>46</x:v>
      </x:c>
    </x:row>
    <x:row r="1340" spans="1:16">
      <x:c r="A1340" s="0" t="s">
        <x:v>5189</x:v>
      </x:c>
      <x:c r="B1340" s="0" t="s">
        <x:v>5190</x:v>
      </x:c>
      <x:c r="C1340" s="0" t="s">
        <x:v>5191</x:v>
      </x:c>
      <x:c r="E1340" s="0" t="s">
        <x:v>5192</x:v>
      </x:c>
      <x:c r="F1340" s="0" t="s">
        <x:v>45</x:v>
      </x:c>
      <x:c r="G1340" s="0" t="s">
        <x:v>19</x:v>
      </x:c>
      <x:c r="H1340" s="0" t="s">
        <x:v>20</x:v>
      </x:c>
      <x:c r="I1340" s="0" t="s">
        <x:v>21</x:v>
      </x:c>
      <x:c r="K1340" s="0">
        <x:f>hyperlink("https://icd.who.int/dev11/l-ichi/en#/http%3A%2F%2Fid.who.int%2Ficd%2Fentity%2F805169523","browser")</x:f>
      </x:c>
      <x:c r="L1340" s="0">
        <x:f>hyperlink("https://icat2.azurewebsites.net/icat/?ontology=ICD&amp;tab=ClassesTab&amp;id=http%3A%2F%2Fwho.int%2Ficd%232304_512ebf36_bf6b_4d70_85da_cf2637062af4","iCat")</x:f>
      </x:c>
      <x:c r="M1340" s="0" t="s">
        <x:v>21</x:v>
      </x:c>
      <x:c r="N1340" s="0" t="s">
        <x:v>46</x:v>
      </x:c>
    </x:row>
    <x:row r="1341" spans="1:16">
      <x:c r="A1341" s="0" t="s">
        <x:v>5193</x:v>
      </x:c>
      <x:c r="B1341" s="0" t="s">
        <x:v>5194</x:v>
      </x:c>
      <x:c r="C1341" s="0" t="s">
        <x:v>5195</x:v>
      </x:c>
      <x:c r="E1341" s="0" t="s">
        <x:v>5196</x:v>
      </x:c>
      <x:c r="F1341" s="0" t="s">
        <x:v>45</x:v>
      </x:c>
      <x:c r="G1341" s="0" t="s">
        <x:v>19</x:v>
      </x:c>
      <x:c r="H1341" s="0" t="s">
        <x:v>20</x:v>
      </x:c>
      <x:c r="I1341" s="0" t="s">
        <x:v>21</x:v>
      </x:c>
      <x:c r="K1341" s="0">
        <x:f>hyperlink("https://icd.who.int/dev11/l-ichi/en#/http%3A%2F%2Fid.who.int%2Ficd%2Fentity%2F1355205230","browser")</x:f>
      </x:c>
      <x:c r="L1341" s="0">
        <x:f>hyperlink("https://icat2.azurewebsites.net/icat/?ontology=ICD&amp;tab=ClassesTab&amp;id=http%3A%2F%2Fwho.int%2Ficd%232311_512ebf36_bf6b_4d70_85da_cf2637062af4","iCat")</x:f>
      </x:c>
      <x:c r="M1341" s="0" t="s">
        <x:v>21</x:v>
      </x:c>
      <x:c r="N1341" s="0" t="s">
        <x:v>46</x:v>
      </x:c>
    </x:row>
    <x:row r="1342" spans="1:16">
      <x:c r="A1342" s="0" t="s">
        <x:v>5197</x:v>
      </x:c>
      <x:c r="B1342" s="0" t="s">
        <x:v>5198</x:v>
      </x:c>
      <x:c r="C1342" s="0" t="s">
        <x:v>5199</x:v>
      </x:c>
      <x:c r="E1342" s="0" t="s">
        <x:v>5200</x:v>
      </x:c>
      <x:c r="F1342" s="0" t="s">
        <x:v>45</x:v>
      </x:c>
      <x:c r="G1342" s="0" t="s">
        <x:v>19</x:v>
      </x:c>
      <x:c r="H1342" s="0" t="s">
        <x:v>20</x:v>
      </x:c>
      <x:c r="I1342" s="0" t="s">
        <x:v>21</x:v>
      </x:c>
      <x:c r="K1342" s="0">
        <x:f>hyperlink("https://icd.who.int/dev11/l-ichi/en#/http%3A%2F%2Fid.who.int%2Ficd%2Fentity%2F1052690693","browser")</x:f>
      </x:c>
      <x:c r="L1342" s="0">
        <x:f>hyperlink("https://icat2.azurewebsites.net/icat/?ontology=ICD&amp;tab=ClassesTab&amp;id=http%3A%2F%2Fwho.int%2Ficd%232318_512ebf36_bf6b_4d70_85da_cf2637062af4","iCat")</x:f>
      </x:c>
      <x:c r="M1342" s="0" t="s">
        <x:v>21</x:v>
      </x:c>
      <x:c r="N1342" s="0" t="s">
        <x:v>46</x:v>
      </x:c>
    </x:row>
    <x:row r="1343" spans="1:16">
      <x:c r="A1343" s="0" t="s">
        <x:v>5201</x:v>
      </x:c>
      <x:c r="B1343" s="0" t="s">
        <x:v>5202</x:v>
      </x:c>
      <x:c r="C1343" s="0" t="s">
        <x:v>5203</x:v>
      </x:c>
      <x:c r="E1343" s="0" t="s">
        <x:v>5204</x:v>
      </x:c>
      <x:c r="F1343" s="0" t="s">
        <x:v>45</x:v>
      </x:c>
      <x:c r="G1343" s="0" t="s">
        <x:v>19</x:v>
      </x:c>
      <x:c r="H1343" s="0" t="s">
        <x:v>20</x:v>
      </x:c>
      <x:c r="I1343" s="0" t="s">
        <x:v>21</x:v>
      </x:c>
      <x:c r="K1343" s="0">
        <x:f>hyperlink("https://icd.who.int/dev11/l-ichi/en#/http%3A%2F%2Fid.who.int%2Ficd%2Fentity%2F628117023","browser")</x:f>
      </x:c>
      <x:c r="L1343" s="0">
        <x:f>hyperlink("https://icat2.azurewebsites.net/icat/?ontology=ICD&amp;tab=ClassesTab&amp;id=http%3A%2F%2Fwho.int%2Ficd%232325_512ebf36_bf6b_4d70_85da_cf2637062af4","iCat")</x:f>
      </x:c>
      <x:c r="M1343" s="0" t="s">
        <x:v>21</x:v>
      </x:c>
      <x:c r="N1343" s="0" t="s">
        <x:v>46</x:v>
      </x:c>
    </x:row>
    <x:row r="1344" spans="1:16">
      <x:c r="A1344" s="0" t="s">
        <x:v>5205</x:v>
      </x:c>
      <x:c r="B1344" s="0" t="s">
        <x:v>5206</x:v>
      </x:c>
      <x:c r="C1344" s="0" t="s">
        <x:v>5207</x:v>
      </x:c>
      <x:c r="E1344" s="0" t="s">
        <x:v>5208</x:v>
      </x:c>
      <x:c r="F1344" s="0" t="s">
        <x:v>45</x:v>
      </x:c>
      <x:c r="G1344" s="0" t="s">
        <x:v>19</x:v>
      </x:c>
      <x:c r="H1344" s="0" t="s">
        <x:v>20</x:v>
      </x:c>
      <x:c r="I1344" s="0" t="s">
        <x:v>21</x:v>
      </x:c>
      <x:c r="K1344" s="0">
        <x:f>hyperlink("https://icd.who.int/dev11/l-ichi/en#/http%3A%2F%2Fid.who.int%2Ficd%2Fentity%2F1060597957","browser")</x:f>
      </x:c>
      <x:c r="L1344" s="0">
        <x:f>hyperlink("https://icat2.azurewebsites.net/icat/?ontology=ICD&amp;tab=ClassesTab&amp;id=http%3A%2F%2Fwho.int%2Ficd%232332_512ebf36_bf6b_4d70_85da_cf2637062af4","iCat")</x:f>
      </x:c>
      <x:c r="M1344" s="0" t="s">
        <x:v>21</x:v>
      </x:c>
      <x:c r="N1344" s="0" t="s">
        <x:v>46</x:v>
      </x:c>
    </x:row>
    <x:row r="1345" spans="1:16">
      <x:c r="A1345" s="0" t="s">
        <x:v>5209</x:v>
      </x:c>
      <x:c r="B1345" s="0" t="s">
        <x:v>5210</x:v>
      </x:c>
      <x:c r="C1345" s="0" t="s">
        <x:v>5211</x:v>
      </x:c>
      <x:c r="E1345" s="0" t="s">
        <x:v>5212</x:v>
      </x:c>
      <x:c r="F1345" s="0" t="s">
        <x:v>45</x:v>
      </x:c>
      <x:c r="G1345" s="0" t="s">
        <x:v>19</x:v>
      </x:c>
      <x:c r="H1345" s="0" t="s">
        <x:v>20</x:v>
      </x:c>
      <x:c r="I1345" s="0" t="s">
        <x:v>21</x:v>
      </x:c>
      <x:c r="K1345" s="0">
        <x:f>hyperlink("https://icd.who.int/dev11/l-ichi/en#/http%3A%2F%2Fid.who.int%2Ficd%2Fentity%2F988194731","browser")</x:f>
      </x:c>
      <x:c r="L1345" s="0">
        <x:f>hyperlink("https://icat2.azurewebsites.net/icat/?ontology=ICD&amp;tab=ClassesTab&amp;id=http%3A%2F%2Fwho.int%2Ficd%232346_512ebf36_bf6b_4d70_85da_cf2637062af4","iCat")</x:f>
      </x:c>
      <x:c r="M1345" s="0" t="s">
        <x:v>21</x:v>
      </x:c>
      <x:c r="N1345" s="0" t="s">
        <x:v>46</x:v>
      </x:c>
    </x:row>
    <x:row r="1346" spans="1:16">
      <x:c r="A1346" s="0" t="s">
        <x:v>5213</x:v>
      </x:c>
      <x:c r="B1346" s="0" t="s">
        <x:v>5214</x:v>
      </x:c>
      <x:c r="C1346" s="0" t="s">
        <x:v>5215</x:v>
      </x:c>
      <x:c r="E1346" s="0" t="s">
        <x:v>5216</x:v>
      </x:c>
      <x:c r="F1346" s="0" t="s">
        <x:v>45</x:v>
      </x:c>
      <x:c r="G1346" s="0" t="s">
        <x:v>19</x:v>
      </x:c>
      <x:c r="H1346" s="0" t="s">
        <x:v>20</x:v>
      </x:c>
      <x:c r="I1346" s="0" t="s">
        <x:v>21</x:v>
      </x:c>
      <x:c r="K1346" s="0">
        <x:f>hyperlink("https://icd.who.int/dev11/l-ichi/en#/http%3A%2F%2Fid.who.int%2Ficd%2Fentity%2F1893351616","browser")</x:f>
      </x:c>
      <x:c r="L1346" s="0">
        <x:f>hyperlink("https://icat2.azurewebsites.net/icat/?ontology=ICD&amp;tab=ClassesTab&amp;id=http%3A%2F%2Fwho.int%2Ficd%232357_512ebf36_bf6b_4d70_85da_cf2637062af4","iCat")</x:f>
      </x:c>
      <x:c r="M1346" s="0" t="s">
        <x:v>21</x:v>
      </x:c>
      <x:c r="N1346" s="0" t="s">
        <x:v>46</x:v>
      </x:c>
    </x:row>
    <x:row r="1347" spans="1:16">
      <x:c r="A1347" s="0" t="s">
        <x:v>5217</x:v>
      </x:c>
      <x:c r="B1347" s="0" t="s">
        <x:v>5218</x:v>
      </x:c>
      <x:c r="C1347" s="0" t="s">
        <x:v>5219</x:v>
      </x:c>
      <x:c r="E1347" s="0" t="s">
        <x:v>5220</x:v>
      </x:c>
      <x:c r="F1347" s="0" t="s">
        <x:v>45</x:v>
      </x:c>
      <x:c r="G1347" s="0" t="s">
        <x:v>19</x:v>
      </x:c>
      <x:c r="H1347" s="0" t="s">
        <x:v>20</x:v>
      </x:c>
      <x:c r="I1347" s="0" t="s">
        <x:v>21</x:v>
      </x:c>
      <x:c r="K1347" s="0">
        <x:f>hyperlink("https://icd.who.int/dev11/l-ichi/en#/http%3A%2F%2Fid.who.int%2Ficd%2Fentity%2F1978560318","browser")</x:f>
      </x:c>
      <x:c r="L1347" s="0">
        <x:f>hyperlink("https://icat2.azurewebsites.net/icat/?ontology=ICD&amp;tab=ClassesTab&amp;id=http%3A%2F%2Fwho.int%2Ficd%232364_512ebf36_bf6b_4d70_85da_cf2637062af4","iCat")</x:f>
      </x:c>
      <x:c r="M1347" s="0" t="s">
        <x:v>21</x:v>
      </x:c>
      <x:c r="N1347" s="0" t="s">
        <x:v>46</x:v>
      </x:c>
    </x:row>
    <x:row r="1348" spans="1:16">
      <x:c r="A1348" s="0" t="s">
        <x:v>5221</x:v>
      </x:c>
      <x:c r="B1348" s="0" t="s">
        <x:v>5222</x:v>
      </x:c>
      <x:c r="C1348" s="0" t="s">
        <x:v>5223</x:v>
      </x:c>
      <x:c r="E1348" s="0" t="s">
        <x:v>5224</x:v>
      </x:c>
      <x:c r="F1348" s="0" t="s">
        <x:v>45</x:v>
      </x:c>
      <x:c r="G1348" s="0" t="s">
        <x:v>19</x:v>
      </x:c>
      <x:c r="H1348" s="0" t="s">
        <x:v>20</x:v>
      </x:c>
      <x:c r="I1348" s="0" t="s">
        <x:v>21</x:v>
      </x:c>
      <x:c r="K1348" s="0">
        <x:f>hyperlink("https://icd.who.int/dev11/l-ichi/en#/http%3A%2F%2Fid.who.int%2Ficd%2Fentity%2F181750817","browser")</x:f>
      </x:c>
      <x:c r="L1348" s="0">
        <x:f>hyperlink("https://icat2.azurewebsites.net/icat/?ontology=ICD&amp;tab=ClassesTab&amp;id=http%3A%2F%2Fwho.int%2Ficd%232371_512ebf36_bf6b_4d70_85da_cf2637062af4","iCat")</x:f>
      </x:c>
      <x:c r="M1348" s="0" t="s">
        <x:v>21</x:v>
      </x:c>
      <x:c r="N1348" s="0" t="s">
        <x:v>46</x:v>
      </x:c>
    </x:row>
    <x:row r="1349" spans="1:16">
      <x:c r="A1349" s="0" t="s">
        <x:v>5225</x:v>
      </x:c>
      <x:c r="B1349" s="0" t="s">
        <x:v>5226</x:v>
      </x:c>
      <x:c r="C1349" s="0" t="s">
        <x:v>5227</x:v>
      </x:c>
      <x:c r="E1349" s="0" t="s">
        <x:v>5228</x:v>
      </x:c>
      <x:c r="F1349" s="0" t="s">
        <x:v>45</x:v>
      </x:c>
      <x:c r="G1349" s="0" t="s">
        <x:v>19</x:v>
      </x:c>
      <x:c r="H1349" s="0" t="s">
        <x:v>20</x:v>
      </x:c>
      <x:c r="I1349" s="0" t="s">
        <x:v>21</x:v>
      </x:c>
      <x:c r="K1349" s="0">
        <x:f>hyperlink("https://icd.who.int/dev11/l-ichi/en#/http%3A%2F%2Fid.who.int%2Ficd%2Fentity%2F1689079626","browser")</x:f>
      </x:c>
      <x:c r="L1349" s="0">
        <x:f>hyperlink("https://icat2.azurewebsites.net/icat/?ontology=ICD&amp;tab=ClassesTab&amp;id=http%3A%2F%2Fwho.int%2Ficd%232378_512ebf36_bf6b_4d70_85da_cf2637062af4","iCat")</x:f>
      </x:c>
      <x:c r="M1349" s="0" t="s">
        <x:v>21</x:v>
      </x:c>
      <x:c r="N1349" s="0" t="s">
        <x:v>46</x:v>
      </x:c>
    </x:row>
    <x:row r="1350" spans="1:16">
      <x:c r="A1350" s="0" t="s">
        <x:v>5229</x:v>
      </x:c>
      <x:c r="B1350" s="0" t="s">
        <x:v>5230</x:v>
      </x:c>
      <x:c r="C1350" s="0" t="s">
        <x:v>5231</x:v>
      </x:c>
      <x:c r="E1350" s="0" t="s">
        <x:v>5232</x:v>
      </x:c>
      <x:c r="F1350" s="0" t="s">
        <x:v>45</x:v>
      </x:c>
      <x:c r="G1350" s="0" t="s">
        <x:v>19</x:v>
      </x:c>
      <x:c r="H1350" s="0" t="s">
        <x:v>20</x:v>
      </x:c>
      <x:c r="I1350" s="0" t="s">
        <x:v>21</x:v>
      </x:c>
      <x:c r="K1350" s="0">
        <x:f>hyperlink("https://icd.who.int/dev11/l-ichi/en#/http%3A%2F%2Fid.who.int%2Ficd%2Fentity%2F271958667","browser")</x:f>
      </x:c>
      <x:c r="L1350" s="0">
        <x:f>hyperlink("https://icat2.azurewebsites.net/icat/?ontology=ICD&amp;tab=ClassesTab&amp;id=http%3A%2F%2Fwho.int%2Ficd%232385_512ebf36_bf6b_4d70_85da_cf2637062af4","iCat")</x:f>
      </x:c>
      <x:c r="M1350" s="0" t="s">
        <x:v>21</x:v>
      </x:c>
      <x:c r="N1350" s="0" t="s">
        <x:v>46</x:v>
      </x:c>
    </x:row>
    <x:row r="1351" spans="1:16">
      <x:c r="A1351" s="0" t="s">
        <x:v>5233</x:v>
      </x:c>
      <x:c r="B1351" s="0" t="s">
        <x:v>5234</x:v>
      </x:c>
      <x:c r="C1351" s="0" t="s">
        <x:v>5235</x:v>
      </x:c>
      <x:c r="E1351" s="0" t="s">
        <x:v>5236</x:v>
      </x:c>
      <x:c r="F1351" s="0" t="s">
        <x:v>45</x:v>
      </x:c>
      <x:c r="G1351" s="0" t="s">
        <x:v>19</x:v>
      </x:c>
      <x:c r="H1351" s="0" t="s">
        <x:v>20</x:v>
      </x:c>
      <x:c r="I1351" s="0" t="s">
        <x:v>21</x:v>
      </x:c>
      <x:c r="K1351" s="0">
        <x:f>hyperlink("https://icd.who.int/dev11/l-ichi/en#/http%3A%2F%2Fid.who.int%2Ficd%2Fentity%2F175307857","browser")</x:f>
      </x:c>
      <x:c r="L1351" s="0">
        <x:f>hyperlink("https://icat2.azurewebsites.net/icat/?ontology=ICD&amp;tab=ClassesTab&amp;id=http%3A%2F%2Fwho.int%2Ficd%232392_512ebf36_bf6b_4d70_85da_cf2637062af4","iCat")</x:f>
      </x:c>
      <x:c r="M1351" s="0" t="s">
        <x:v>21</x:v>
      </x:c>
      <x:c r="N1351" s="0" t="s">
        <x:v>46</x:v>
      </x:c>
    </x:row>
    <x:row r="1352" spans="1:16">
      <x:c r="A1352" s="0" t="s">
        <x:v>5237</x:v>
      </x:c>
      <x:c r="B1352" s="0" t="s">
        <x:v>5238</x:v>
      </x:c>
      <x:c r="C1352" s="0" t="s">
        <x:v>5239</x:v>
      </x:c>
      <x:c r="E1352" s="0" t="s">
        <x:v>5240</x:v>
      </x:c>
      <x:c r="F1352" s="0" t="s">
        <x:v>45</x:v>
      </x:c>
      <x:c r="G1352" s="0" t="s">
        <x:v>19</x:v>
      </x:c>
      <x:c r="H1352" s="0" t="s">
        <x:v>20</x:v>
      </x:c>
      <x:c r="I1352" s="0" t="s">
        <x:v>21</x:v>
      </x:c>
      <x:c r="K1352" s="0">
        <x:f>hyperlink("https://icd.who.int/dev11/l-ichi/en#/http%3A%2F%2Fid.who.int%2Ficd%2Fentity%2F24568573","browser")</x:f>
      </x:c>
      <x:c r="L1352" s="0">
        <x:f>hyperlink("https://icat2.azurewebsites.net/icat/?ontology=ICD&amp;tab=ClassesTab&amp;id=http%3A%2F%2Fwho.int%2Ficd%232399_512ebf36_bf6b_4d70_85da_cf2637062af4","iCat")</x:f>
      </x:c>
      <x:c r="M1352" s="0" t="s">
        <x:v>21</x:v>
      </x:c>
      <x:c r="N1352" s="0" t="s">
        <x:v>46</x:v>
      </x:c>
    </x:row>
    <x:row r="1353" spans="1:16">
      <x:c r="A1353" s="0" t="s">
        <x:v>5241</x:v>
      </x:c>
      <x:c r="B1353" s="0" t="s">
        <x:v>5242</x:v>
      </x:c>
      <x:c r="C1353" s="0" t="s">
        <x:v>5243</x:v>
      </x:c>
      <x:c r="E1353" s="0" t="s">
        <x:v>5244</x:v>
      </x:c>
      <x:c r="F1353" s="0" t="s">
        <x:v>45</x:v>
      </x:c>
      <x:c r="G1353" s="0" t="s">
        <x:v>19</x:v>
      </x:c>
      <x:c r="H1353" s="0" t="s">
        <x:v>20</x:v>
      </x:c>
      <x:c r="I1353" s="0" t="s">
        <x:v>21</x:v>
      </x:c>
      <x:c r="K1353" s="0">
        <x:f>hyperlink("https://icd.who.int/dev11/l-ichi/en#/http%3A%2F%2Fid.who.int%2Ficd%2Fentity%2F651189466","browser")</x:f>
      </x:c>
      <x:c r="L1353" s="0">
        <x:f>hyperlink("https://icat2.azurewebsites.net/icat/?ontology=ICD&amp;tab=ClassesTab&amp;id=http%3A%2F%2Fwho.int%2Ficd%232406_512ebf36_bf6b_4d70_85da_cf2637062af4","iCat")</x:f>
      </x:c>
      <x:c r="M1353" s="0" t="s">
        <x:v>21</x:v>
      </x:c>
      <x:c r="N1353" s="0" t="s">
        <x:v>46</x:v>
      </x:c>
    </x:row>
    <x:row r="1354" spans="1:16">
      <x:c r="A1354" s="0" t="s">
        <x:v>5245</x:v>
      </x:c>
      <x:c r="B1354" s="0" t="s">
        <x:v>5246</x:v>
      </x:c>
      <x:c r="C1354" s="0" t="s">
        <x:v>5247</x:v>
      </x:c>
      <x:c r="E1354" s="0" t="s">
        <x:v>5248</x:v>
      </x:c>
      <x:c r="F1354" s="0" t="s">
        <x:v>45</x:v>
      </x:c>
      <x:c r="G1354" s="0" t="s">
        <x:v>19</x:v>
      </x:c>
      <x:c r="H1354" s="0" t="s">
        <x:v>20</x:v>
      </x:c>
      <x:c r="I1354" s="0" t="s">
        <x:v>21</x:v>
      </x:c>
      <x:c r="K1354" s="0">
        <x:f>hyperlink("https://icd.who.int/dev11/l-ichi/en#/http%3A%2F%2Fid.who.int%2Ficd%2Fentity%2F1508605893","browser")</x:f>
      </x:c>
      <x:c r="L1354" s="0">
        <x:f>hyperlink("https://icat2.azurewebsites.net/icat/?ontology=ICD&amp;tab=ClassesTab&amp;id=http%3A%2F%2Fwho.int%2Ficd%232413_512ebf36_bf6b_4d70_85da_cf2637062af4","iCat")</x:f>
      </x:c>
      <x:c r="M1354" s="0" t="s">
        <x:v>21</x:v>
      </x:c>
      <x:c r="N1354" s="0" t="s">
        <x:v>46</x:v>
      </x:c>
    </x:row>
    <x:row r="1355" spans="1:16">
      <x:c r="A1355" s="0" t="s">
        <x:v>5249</x:v>
      </x:c>
      <x:c r="B1355" s="0" t="s">
        <x:v>5250</x:v>
      </x:c>
      <x:c r="C1355" s="0" t="s">
        <x:v>5251</x:v>
      </x:c>
      <x:c r="E1355" s="0" t="s">
        <x:v>5252</x:v>
      </x:c>
      <x:c r="F1355" s="0" t="s">
        <x:v>45</x:v>
      </x:c>
      <x:c r="G1355" s="0" t="s">
        <x:v>19</x:v>
      </x:c>
      <x:c r="H1355" s="0" t="s">
        <x:v>20</x:v>
      </x:c>
      <x:c r="I1355" s="0" t="s">
        <x:v>21</x:v>
      </x:c>
      <x:c r="K1355" s="0">
        <x:f>hyperlink("https://icd.who.int/dev11/l-ichi/en#/http%3A%2F%2Fid.who.int%2Ficd%2Fentity%2F212109708","browser")</x:f>
      </x:c>
      <x:c r="L1355" s="0">
        <x:f>hyperlink("https://icat2.azurewebsites.net/icat/?ontology=ICD&amp;tab=ClassesTab&amp;id=http%3A%2F%2Fwho.int%2Ficd%232426_512ebf36_bf6b_4d70_85da_cf2637062af4","iCat")</x:f>
      </x:c>
      <x:c r="M1355" s="0" t="s">
        <x:v>21</x:v>
      </x:c>
      <x:c r="N1355" s="0" t="s">
        <x:v>46</x:v>
      </x:c>
    </x:row>
    <x:row r="1356" spans="1:16">
      <x:c r="A1356" s="0" t="s">
        <x:v>5253</x:v>
      </x:c>
      <x:c r="B1356" s="0" t="s">
        <x:v>5254</x:v>
      </x:c>
      <x:c r="C1356" s="0" t="s">
        <x:v>5255</x:v>
      </x:c>
      <x:c r="E1356" s="0" t="s">
        <x:v>5256</x:v>
      </x:c>
      <x:c r="F1356" s="0" t="s">
        <x:v>45</x:v>
      </x:c>
      <x:c r="G1356" s="0" t="s">
        <x:v>19</x:v>
      </x:c>
      <x:c r="H1356" s="0" t="s">
        <x:v>20</x:v>
      </x:c>
      <x:c r="I1356" s="0" t="s">
        <x:v>21</x:v>
      </x:c>
      <x:c r="K1356" s="0">
        <x:f>hyperlink("https://icd.who.int/dev11/l-ichi/en#/http%3A%2F%2Fid.who.int%2Ficd%2Fentity%2F1939843733","browser")</x:f>
      </x:c>
      <x:c r="L1356" s="0">
        <x:f>hyperlink("https://icat2.azurewebsites.net/icat/?ontology=ICD&amp;tab=ClassesTab&amp;id=http%3A%2F%2Fwho.int%2Ficd%232433_512ebf36_bf6b_4d70_85da_cf2637062af4","iCat")</x:f>
      </x:c>
      <x:c r="M1356" s="0" t="s">
        <x:v>21</x:v>
      </x:c>
      <x:c r="N1356" s="0" t="s">
        <x:v>46</x:v>
      </x:c>
    </x:row>
    <x:row r="1357" spans="1:16">
      <x:c r="A1357" s="0" t="s">
        <x:v>5257</x:v>
      </x:c>
      <x:c r="B1357" s="0" t="s">
        <x:v>5258</x:v>
      </x:c>
      <x:c r="C1357" s="0" t="s">
        <x:v>5259</x:v>
      </x:c>
      <x:c r="E1357" s="0" t="s">
        <x:v>5260</x:v>
      </x:c>
      <x:c r="F1357" s="0" t="s">
        <x:v>45</x:v>
      </x:c>
      <x:c r="G1357" s="0" t="s">
        <x:v>19</x:v>
      </x:c>
      <x:c r="H1357" s="0" t="s">
        <x:v>20</x:v>
      </x:c>
      <x:c r="I1357" s="0" t="s">
        <x:v>21</x:v>
      </x:c>
      <x:c r="K1357" s="0">
        <x:f>hyperlink("https://icd.who.int/dev11/l-ichi/en#/http%3A%2F%2Fid.who.int%2Ficd%2Fentity%2F114087544","browser")</x:f>
      </x:c>
      <x:c r="L1357" s="0">
        <x:f>hyperlink("https://icat2.azurewebsites.net/icat/?ontology=ICD&amp;tab=ClassesTab&amp;id=http%3A%2F%2Fwho.int%2Ficd%232440_512ebf36_bf6b_4d70_85da_cf2637062af4","iCat")</x:f>
      </x:c>
      <x:c r="M1357" s="0" t="s">
        <x:v>21</x:v>
      </x:c>
      <x:c r="N1357" s="0" t="s">
        <x:v>46</x:v>
      </x:c>
    </x:row>
    <x:row r="1358" spans="1:16">
      <x:c r="A1358" s="0" t="s">
        <x:v>5261</x:v>
      </x:c>
      <x:c r="B1358" s="0" t="s">
        <x:v>5262</x:v>
      </x:c>
      <x:c r="C1358" s="0" t="s">
        <x:v>5263</x:v>
      </x:c>
      <x:c r="E1358" s="0" t="s">
        <x:v>5264</x:v>
      </x:c>
      <x:c r="F1358" s="0" t="s">
        <x:v>45</x:v>
      </x:c>
      <x:c r="G1358" s="0" t="s">
        <x:v>19</x:v>
      </x:c>
      <x:c r="H1358" s="0" t="s">
        <x:v>20</x:v>
      </x:c>
      <x:c r="I1358" s="0" t="s">
        <x:v>21</x:v>
      </x:c>
      <x:c r="K1358" s="0">
        <x:f>hyperlink("https://icd.who.int/dev11/l-ichi/en#/http%3A%2F%2Fid.who.int%2Ficd%2Fentity%2F1984855547","browser")</x:f>
      </x:c>
      <x:c r="L1358" s="0">
        <x:f>hyperlink("https://icat2.azurewebsites.net/icat/?ontology=ICD&amp;tab=ClassesTab&amp;id=http%3A%2F%2Fwho.int%2Ficd%232447_512ebf36_bf6b_4d70_85da_cf2637062af4","iCat")</x:f>
      </x:c>
      <x:c r="M1358" s="0" t="s">
        <x:v>21</x:v>
      </x:c>
      <x:c r="N1358" s="0" t="s">
        <x:v>46</x:v>
      </x:c>
    </x:row>
    <x:row r="1359" spans="1:16">
      <x:c r="A1359" s="0" t="s">
        <x:v>5265</x:v>
      </x:c>
      <x:c r="B1359" s="0" t="s">
        <x:v>5266</x:v>
      </x:c>
      <x:c r="C1359" s="0" t="s">
        <x:v>5267</x:v>
      </x:c>
      <x:c r="E1359" s="0" t="s">
        <x:v>5268</x:v>
      </x:c>
      <x:c r="F1359" s="0" t="s">
        <x:v>45</x:v>
      </x:c>
      <x:c r="G1359" s="0" t="s">
        <x:v>19</x:v>
      </x:c>
      <x:c r="H1359" s="0" t="s">
        <x:v>20</x:v>
      </x:c>
      <x:c r="I1359" s="0" t="s">
        <x:v>21</x:v>
      </x:c>
      <x:c r="K1359" s="0">
        <x:f>hyperlink("https://icd.who.int/dev11/l-ichi/en#/http%3A%2F%2Fid.who.int%2Ficd%2Fentity%2F1494124373","browser")</x:f>
      </x:c>
      <x:c r="L1359" s="0">
        <x:f>hyperlink("https://icat2.azurewebsites.net/icat/?ontology=ICD&amp;tab=ClassesTab&amp;id=http%3A%2F%2Fwho.int%2Ficd%232454_512ebf36_bf6b_4d70_85da_cf2637062af4","iCat")</x:f>
      </x:c>
      <x:c r="M1359" s="0" t="s">
        <x:v>21</x:v>
      </x:c>
      <x:c r="N1359" s="0" t="s">
        <x:v>46</x:v>
      </x:c>
    </x:row>
    <x:row r="1360" spans="1:16">
      <x:c r="A1360" s="0" t="s">
        <x:v>5269</x:v>
      </x:c>
      <x:c r="B1360" s="0" t="s">
        <x:v>5270</x:v>
      </x:c>
      <x:c r="C1360" s="0" t="s">
        <x:v>5271</x:v>
      </x:c>
      <x:c r="E1360" s="0" t="s">
        <x:v>5272</x:v>
      </x:c>
      <x:c r="F1360" s="0" t="s">
        <x:v>45</x:v>
      </x:c>
      <x:c r="G1360" s="0" t="s">
        <x:v>19</x:v>
      </x:c>
      <x:c r="H1360" s="0" t="s">
        <x:v>20</x:v>
      </x:c>
      <x:c r="I1360" s="0" t="s">
        <x:v>21</x:v>
      </x:c>
      <x:c r="K1360" s="0">
        <x:f>hyperlink("https://icd.who.int/dev11/l-ichi/en#/http%3A%2F%2Fid.who.int%2Ficd%2Fentity%2F205615388","browser")</x:f>
      </x:c>
      <x:c r="L1360" s="0">
        <x:f>hyperlink("https://icat2.azurewebsites.net/icat/?ontology=ICD&amp;tab=ClassesTab&amp;id=http%3A%2F%2Fwho.int%2Ficd%232461_512ebf36_bf6b_4d70_85da_cf2637062af4","iCat")</x:f>
      </x:c>
      <x:c r="M1360" s="0" t="s">
        <x:v>21</x:v>
      </x:c>
      <x:c r="N1360" s="0" t="s">
        <x:v>46</x:v>
      </x:c>
    </x:row>
    <x:row r="1361" spans="1:16">
      <x:c r="A1361" s="0" t="s">
        <x:v>5273</x:v>
      </x:c>
      <x:c r="B1361" s="0" t="s">
        <x:v>5274</x:v>
      </x:c>
      <x:c r="C1361" s="0" t="s">
        <x:v>5275</x:v>
      </x:c>
      <x:c r="E1361" s="0" t="s">
        <x:v>5276</x:v>
      </x:c>
      <x:c r="F1361" s="0" t="s">
        <x:v>45</x:v>
      </x:c>
      <x:c r="G1361" s="0" t="s">
        <x:v>19</x:v>
      </x:c>
      <x:c r="H1361" s="0" t="s">
        <x:v>20</x:v>
      </x:c>
      <x:c r="I1361" s="0" t="s">
        <x:v>21</x:v>
      </x:c>
      <x:c r="K1361" s="0">
        <x:f>hyperlink("https://icd.who.int/dev11/l-ichi/en#/http%3A%2F%2Fid.who.int%2Ficd%2Fentity%2F1647932019","browser")</x:f>
      </x:c>
      <x:c r="L1361" s="0">
        <x:f>hyperlink("https://icat2.azurewebsites.net/icat/?ontology=ICD&amp;tab=ClassesTab&amp;id=http%3A%2F%2Fwho.int%2Ficd%232468_512ebf36_bf6b_4d70_85da_cf2637062af4","iCat")</x:f>
      </x:c>
      <x:c r="M1361" s="0" t="s">
        <x:v>21</x:v>
      </x:c>
      <x:c r="N1361" s="0" t="s">
        <x:v>46</x:v>
      </x:c>
    </x:row>
    <x:row r="1362" spans="1:16">
      <x:c r="A1362" s="0" t="s">
        <x:v>5277</x:v>
      </x:c>
      <x:c r="B1362" s="0" t="s">
        <x:v>5278</x:v>
      </x:c>
      <x:c r="C1362" s="0" t="s">
        <x:v>5279</x:v>
      </x:c>
      <x:c r="E1362" s="0" t="s">
        <x:v>5280</x:v>
      </x:c>
      <x:c r="F1362" s="0" t="s">
        <x:v>45</x:v>
      </x:c>
      <x:c r="G1362" s="0" t="s">
        <x:v>19</x:v>
      </x:c>
      <x:c r="H1362" s="0" t="s">
        <x:v>20</x:v>
      </x:c>
      <x:c r="I1362" s="0" t="s">
        <x:v>21</x:v>
      </x:c>
      <x:c r="K1362" s="0">
        <x:f>hyperlink("https://icd.who.int/dev11/l-ichi/en#/http%3A%2F%2Fid.who.int%2Ficd%2Fentity%2F1401102393","browser")</x:f>
      </x:c>
      <x:c r="L1362" s="0">
        <x:f>hyperlink("https://icat2.azurewebsites.net/icat/?ontology=ICD&amp;tab=ClassesTab&amp;id=http%3A%2F%2Fwho.int%2Ficd%232475_512ebf36_bf6b_4d70_85da_cf2637062af4","iCat")</x:f>
      </x:c>
      <x:c r="M1362" s="0" t="s">
        <x:v>21</x:v>
      </x:c>
      <x:c r="N1362" s="0" t="s">
        <x:v>46</x:v>
      </x:c>
    </x:row>
    <x:row r="1363" spans="1:16">
      <x:c r="A1363" s="0" t="s">
        <x:v>5281</x:v>
      </x:c>
      <x:c r="B1363" s="0" t="s">
        <x:v>5282</x:v>
      </x:c>
      <x:c r="C1363" s="0" t="s">
        <x:v>5283</x:v>
      </x:c>
      <x:c r="E1363" s="0" t="s">
        <x:v>5284</x:v>
      </x:c>
      <x:c r="F1363" s="0" t="s">
        <x:v>45</x:v>
      </x:c>
      <x:c r="G1363" s="0" t="s">
        <x:v>19</x:v>
      </x:c>
      <x:c r="H1363" s="0" t="s">
        <x:v>20</x:v>
      </x:c>
      <x:c r="I1363" s="0" t="s">
        <x:v>21</x:v>
      </x:c>
      <x:c r="K1363" s="0">
        <x:f>hyperlink("https://icd.who.int/dev11/l-ichi/en#/http%3A%2F%2Fid.who.int%2Ficd%2Fentity%2F216449386","browser")</x:f>
      </x:c>
      <x:c r="L1363" s="0">
        <x:f>hyperlink("https://icat2.azurewebsites.net/icat/?ontology=ICD&amp;tab=ClassesTab&amp;id=http%3A%2F%2Fwho.int%2Ficd%232482_512ebf36_bf6b_4d70_85da_cf2637062af4","iCat")</x:f>
      </x:c>
      <x:c r="M1363" s="0" t="s">
        <x:v>21</x:v>
      </x:c>
      <x:c r="N1363" s="0" t="s">
        <x:v>46</x:v>
      </x:c>
    </x:row>
    <x:row r="1364" spans="1:16">
      <x:c r="A1364" s="0" t="s">
        <x:v>5285</x:v>
      </x:c>
      <x:c r="B1364" s="0" t="s">
        <x:v>5286</x:v>
      </x:c>
      <x:c r="C1364" s="0" t="s">
        <x:v>5287</x:v>
      </x:c>
      <x:c r="E1364" s="0" t="s">
        <x:v>5288</x:v>
      </x:c>
      <x:c r="F1364" s="0" t="s">
        <x:v>45</x:v>
      </x:c>
      <x:c r="G1364" s="0" t="s">
        <x:v>19</x:v>
      </x:c>
      <x:c r="H1364" s="0" t="s">
        <x:v>20</x:v>
      </x:c>
      <x:c r="I1364" s="0" t="s">
        <x:v>21</x:v>
      </x:c>
      <x:c r="K1364" s="0">
        <x:f>hyperlink("https://icd.who.int/dev11/l-ichi/en#/http%3A%2F%2Fid.who.int%2Ficd%2Fentity%2F132308936","browser")</x:f>
      </x:c>
      <x:c r="L1364" s="0">
        <x:f>hyperlink("https://icat2.azurewebsites.net/icat/?ontology=ICD&amp;tab=ClassesTab&amp;id=http%3A%2F%2Fwho.int%2Ficd%232489_512ebf36_bf6b_4d70_85da_cf2637062af4","iCat")</x:f>
      </x:c>
      <x:c r="M1364" s="0" t="s">
        <x:v>21</x:v>
      </x:c>
      <x:c r="N1364" s="0" t="s">
        <x:v>46</x:v>
      </x:c>
    </x:row>
    <x:row r="1365" spans="1:16">
      <x:c r="A1365" s="0" t="s">
        <x:v>5289</x:v>
      </x:c>
      <x:c r="B1365" s="0" t="s">
        <x:v>5290</x:v>
      </x:c>
      <x:c r="C1365" s="0" t="s">
        <x:v>5291</x:v>
      </x:c>
      <x:c r="E1365" s="0" t="s">
        <x:v>5292</x:v>
      </x:c>
      <x:c r="F1365" s="0" t="s">
        <x:v>45</x:v>
      </x:c>
      <x:c r="G1365" s="0" t="s">
        <x:v>19</x:v>
      </x:c>
      <x:c r="H1365" s="0" t="s">
        <x:v>20</x:v>
      </x:c>
      <x:c r="I1365" s="0" t="s">
        <x:v>21</x:v>
      </x:c>
      <x:c r="K1365" s="0">
        <x:f>hyperlink("https://icd.who.int/dev11/l-ichi/en#/http%3A%2F%2Fid.who.int%2Ficd%2Fentity%2F1394905161","browser")</x:f>
      </x:c>
      <x:c r="L1365" s="0">
        <x:f>hyperlink("https://icat2.azurewebsites.net/icat/?ontology=ICD&amp;tab=ClassesTab&amp;id=http%3A%2F%2Fwho.int%2Ficd%232496_512ebf36_bf6b_4d70_85da_cf2637062af4","iCat")</x:f>
      </x:c>
      <x:c r="M1365" s="0" t="s">
        <x:v>21</x:v>
      </x:c>
      <x:c r="N1365" s="0" t="s">
        <x:v>46</x:v>
      </x:c>
    </x:row>
    <x:row r="1366" spans="1:16">
      <x:c r="A1366" s="0" t="s">
        <x:v>5293</x:v>
      </x:c>
      <x:c r="B1366" s="0" t="s">
        <x:v>5294</x:v>
      </x:c>
      <x:c r="C1366" s="0" t="s">
        <x:v>5295</x:v>
      </x:c>
      <x:c r="E1366" s="0" t="s">
        <x:v>5296</x:v>
      </x:c>
      <x:c r="F1366" s="0" t="s">
        <x:v>45</x:v>
      </x:c>
      <x:c r="G1366" s="0" t="s">
        <x:v>19</x:v>
      </x:c>
      <x:c r="H1366" s="0" t="s">
        <x:v>20</x:v>
      </x:c>
      <x:c r="I1366" s="0" t="s">
        <x:v>21</x:v>
      </x:c>
      <x:c r="K1366" s="0">
        <x:f>hyperlink("https://icd.who.int/dev11/l-ichi/en#/http%3A%2F%2Fid.who.int%2Ficd%2Fentity%2F1186016271","browser")</x:f>
      </x:c>
      <x:c r="L1366" s="0">
        <x:f>hyperlink("https://icat2.azurewebsites.net/icat/?ontology=ICD&amp;tab=ClassesTab&amp;id=http%3A%2F%2Fwho.int%2Ficd%232503_512ebf36_bf6b_4d70_85da_cf2637062af4","iCat")</x:f>
      </x:c>
      <x:c r="M1366" s="0" t="s">
        <x:v>21</x:v>
      </x:c>
      <x:c r="N1366" s="0" t="s">
        <x:v>46</x:v>
      </x:c>
    </x:row>
    <x:row r="1367" spans="1:16">
      <x:c r="A1367" s="0" t="s">
        <x:v>5297</x:v>
      </x:c>
      <x:c r="B1367" s="0" t="s">
        <x:v>5298</x:v>
      </x:c>
      <x:c r="C1367" s="0" t="s">
        <x:v>5299</x:v>
      </x:c>
      <x:c r="E1367" s="0" t="s">
        <x:v>5300</x:v>
      </x:c>
      <x:c r="F1367" s="0" t="s">
        <x:v>45</x:v>
      </x:c>
      <x:c r="G1367" s="0" t="s">
        <x:v>19</x:v>
      </x:c>
      <x:c r="H1367" s="0" t="s">
        <x:v>20</x:v>
      </x:c>
      <x:c r="I1367" s="0" t="s">
        <x:v>21</x:v>
      </x:c>
      <x:c r="K1367" s="0">
        <x:f>hyperlink("https://icd.who.int/dev11/l-ichi/en#/http%3A%2F%2Fid.who.int%2Ficd%2Fentity%2F1225303197","browser")</x:f>
      </x:c>
      <x:c r="L1367" s="0">
        <x:f>hyperlink("https://icat2.azurewebsites.net/icat/?ontology=ICD&amp;tab=ClassesTab&amp;id=http%3A%2F%2Fwho.int%2Ficd%232511_512ebf36_bf6b_4d70_85da_cf2637062af4","iCat")</x:f>
      </x:c>
      <x:c r="M1367" s="0" t="s">
        <x:v>21</x:v>
      </x:c>
      <x:c r="N1367" s="0" t="s">
        <x:v>46</x:v>
      </x:c>
    </x:row>
    <x:row r="1368" spans="1:16">
      <x:c r="A1368" s="0" t="s">
        <x:v>5301</x:v>
      </x:c>
      <x:c r="B1368" s="0" t="s">
        <x:v>5302</x:v>
      </x:c>
      <x:c r="C1368" s="0" t="s">
        <x:v>5303</x:v>
      </x:c>
      <x:c r="E1368" s="0" t="s">
        <x:v>5304</x:v>
      </x:c>
      <x:c r="F1368" s="0" t="s">
        <x:v>45</x:v>
      </x:c>
      <x:c r="G1368" s="0" t="s">
        <x:v>19</x:v>
      </x:c>
      <x:c r="H1368" s="0" t="s">
        <x:v>20</x:v>
      </x:c>
      <x:c r="I1368" s="0" t="s">
        <x:v>21</x:v>
      </x:c>
      <x:c r="K1368" s="0">
        <x:f>hyperlink("https://icd.who.int/dev11/l-ichi/en#/http%3A%2F%2Fid.who.int%2Ficd%2Fentity%2F661694454","browser")</x:f>
      </x:c>
      <x:c r="L1368" s="0">
        <x:f>hyperlink("https://icat2.azurewebsites.net/icat/?ontology=ICD&amp;tab=ClassesTab&amp;id=http%3A%2F%2Fwho.int%2Ficd%232518_512ebf36_bf6b_4d70_85da_cf2637062af4","iCat")</x:f>
      </x:c>
      <x:c r="M1368" s="0" t="s">
        <x:v>21</x:v>
      </x:c>
      <x:c r="N1368" s="0" t="s">
        <x:v>46</x:v>
      </x:c>
    </x:row>
    <x:row r="1369" spans="1:16">
      <x:c r="A1369" s="0" t="s">
        <x:v>5305</x:v>
      </x:c>
      <x:c r="B1369" s="0" t="s">
        <x:v>5306</x:v>
      </x:c>
      <x:c r="C1369" s="0" t="s">
        <x:v>5307</x:v>
      </x:c>
      <x:c r="E1369" s="0" t="s">
        <x:v>5308</x:v>
      </x:c>
      <x:c r="F1369" s="0" t="s">
        <x:v>45</x:v>
      </x:c>
      <x:c r="G1369" s="0" t="s">
        <x:v>19</x:v>
      </x:c>
      <x:c r="H1369" s="0" t="s">
        <x:v>20</x:v>
      </x:c>
      <x:c r="I1369" s="0" t="s">
        <x:v>21</x:v>
      </x:c>
      <x:c r="K1369" s="0">
        <x:f>hyperlink("https://icd.who.int/dev11/l-ichi/en#/http%3A%2F%2Fid.who.int%2Ficd%2Fentity%2F1019093230","browser")</x:f>
      </x:c>
      <x:c r="L1369" s="0">
        <x:f>hyperlink("https://icat2.azurewebsites.net/icat/?ontology=ICD&amp;tab=ClassesTab&amp;id=http%3A%2F%2Fwho.int%2Ficd%232525_512ebf36_bf6b_4d70_85da_cf2637062af4","iCat")</x:f>
      </x:c>
      <x:c r="M1369" s="0" t="s">
        <x:v>21</x:v>
      </x:c>
      <x:c r="N1369" s="0" t="s">
        <x:v>46</x:v>
      </x:c>
    </x:row>
    <x:row r="1370" spans="1:16">
      <x:c r="A1370" s="0" t="s">
        <x:v>5309</x:v>
      </x:c>
      <x:c r="B1370" s="0" t="s">
        <x:v>5310</x:v>
      </x:c>
      <x:c r="C1370" s="0" t="s">
        <x:v>5311</x:v>
      </x:c>
      <x:c r="E1370" s="0" t="s">
        <x:v>5312</x:v>
      </x:c>
      <x:c r="F1370" s="0" t="s">
        <x:v>45</x:v>
      </x:c>
      <x:c r="G1370" s="0" t="s">
        <x:v>19</x:v>
      </x:c>
      <x:c r="H1370" s="0" t="s">
        <x:v>20</x:v>
      </x:c>
      <x:c r="I1370" s="0" t="s">
        <x:v>21</x:v>
      </x:c>
      <x:c r="K1370" s="0">
        <x:f>hyperlink("https://icd.who.int/dev11/l-ichi/en#/http%3A%2F%2Fid.who.int%2Ficd%2Fentity%2F653860404","browser")</x:f>
      </x:c>
      <x:c r="L1370" s="0">
        <x:f>hyperlink("https://icat2.azurewebsites.net/icat/?ontology=ICD&amp;tab=ClassesTab&amp;id=http%3A%2F%2Fwho.int%2Ficd%232532_512ebf36_bf6b_4d70_85da_cf2637062af4","iCat")</x:f>
      </x:c>
      <x:c r="M1370" s="0" t="s">
        <x:v>21</x:v>
      </x:c>
      <x:c r="N1370" s="0" t="s">
        <x:v>46</x:v>
      </x:c>
    </x:row>
    <x:row r="1371" spans="1:16">
      <x:c r="A1371" s="0" t="s">
        <x:v>5313</x:v>
      </x:c>
      <x:c r="B1371" s="0" t="s">
        <x:v>5314</x:v>
      </x:c>
      <x:c r="C1371" s="0" t="s">
        <x:v>5315</x:v>
      </x:c>
      <x:c r="E1371" s="0" t="s">
        <x:v>5316</x:v>
      </x:c>
      <x:c r="F1371" s="0" t="s">
        <x:v>45</x:v>
      </x:c>
      <x:c r="G1371" s="0" t="s">
        <x:v>19</x:v>
      </x:c>
      <x:c r="H1371" s="0" t="s">
        <x:v>20</x:v>
      </x:c>
      <x:c r="I1371" s="0" t="s">
        <x:v>21</x:v>
      </x:c>
      <x:c r="K1371" s="0">
        <x:f>hyperlink("https://icd.who.int/dev11/l-ichi/en#/http%3A%2F%2Fid.who.int%2Ficd%2Fentity%2F771555482","browser")</x:f>
      </x:c>
      <x:c r="L1371" s="0">
        <x:f>hyperlink("https://icat2.azurewebsites.net/icat/?ontology=ICD&amp;tab=ClassesTab&amp;id=http%3A%2F%2Fwho.int%2Ficd%232539_512ebf36_bf6b_4d70_85da_cf2637062af4","iCat")</x:f>
      </x:c>
      <x:c r="M1371" s="0" t="s">
        <x:v>21</x:v>
      </x:c>
      <x:c r="N1371" s="0" t="s">
        <x:v>46</x:v>
      </x:c>
    </x:row>
    <x:row r="1372" spans="1:16">
      <x:c r="A1372" s="0" t="s">
        <x:v>5317</x:v>
      </x:c>
      <x:c r="B1372" s="0" t="s">
        <x:v>5318</x:v>
      </x:c>
      <x:c r="C1372" s="0" t="s">
        <x:v>5319</x:v>
      </x:c>
      <x:c r="E1372" s="0" t="s">
        <x:v>5320</x:v>
      </x:c>
      <x:c r="F1372" s="0" t="s">
        <x:v>45</x:v>
      </x:c>
      <x:c r="G1372" s="0" t="s">
        <x:v>19</x:v>
      </x:c>
      <x:c r="H1372" s="0" t="s">
        <x:v>20</x:v>
      </x:c>
      <x:c r="I1372" s="0" t="s">
        <x:v>21</x:v>
      </x:c>
      <x:c r="K1372" s="0">
        <x:f>hyperlink("https://icd.who.int/dev11/l-ichi/en#/http%3A%2F%2Fid.who.int%2Ficd%2Fentity%2F589875546","browser")</x:f>
      </x:c>
      <x:c r="L1372" s="0">
        <x:f>hyperlink("https://icat2.azurewebsites.net/icat/?ontology=ICD&amp;tab=ClassesTab&amp;id=http%3A%2F%2Fwho.int%2Ficd%232546_512ebf36_bf6b_4d70_85da_cf2637062af4","iCat")</x:f>
      </x:c>
      <x:c r="M1372" s="0" t="s">
        <x:v>21</x:v>
      </x:c>
      <x:c r="N1372" s="0" t="s">
        <x:v>46</x:v>
      </x:c>
    </x:row>
    <x:row r="1373" spans="1:16">
      <x:c r="A1373" s="0" t="s">
        <x:v>5321</x:v>
      </x:c>
      <x:c r="B1373" s="0" t="s">
        <x:v>5322</x:v>
      </x:c>
      <x:c r="C1373" s="0" t="s">
        <x:v>5323</x:v>
      </x:c>
      <x:c r="E1373" s="0" t="s">
        <x:v>5324</x:v>
      </x:c>
      <x:c r="F1373" s="0" t="s">
        <x:v>45</x:v>
      </x:c>
      <x:c r="G1373" s="0" t="s">
        <x:v>19</x:v>
      </x:c>
      <x:c r="H1373" s="0" t="s">
        <x:v>20</x:v>
      </x:c>
      <x:c r="I1373" s="0" t="s">
        <x:v>21</x:v>
      </x:c>
      <x:c r="K1373" s="0">
        <x:f>hyperlink("https://icd.who.int/dev11/l-ichi/en#/http%3A%2F%2Fid.who.int%2Ficd%2Fentity%2F747717064","browser")</x:f>
      </x:c>
      <x:c r="L1373" s="0">
        <x:f>hyperlink("https://icat2.azurewebsites.net/icat/?ontology=ICD&amp;tab=ClassesTab&amp;id=http%3A%2F%2Fwho.int%2Ficd%232554_512ebf36_bf6b_4d70_85da_cf2637062af4","iCat")</x:f>
      </x:c>
      <x:c r="M1373" s="0" t="s">
        <x:v>21</x:v>
      </x:c>
      <x:c r="N1373" s="0" t="s">
        <x:v>46</x:v>
      </x:c>
    </x:row>
    <x:row r="1374" spans="1:16">
      <x:c r="A1374" s="0" t="s">
        <x:v>5325</x:v>
      </x:c>
      <x:c r="B1374" s="0" t="s">
        <x:v>5326</x:v>
      </x:c>
      <x:c r="C1374" s="0" t="s">
        <x:v>5327</x:v>
      </x:c>
      <x:c r="E1374" s="0" t="s">
        <x:v>5328</x:v>
      </x:c>
      <x:c r="F1374" s="0" t="s">
        <x:v>45</x:v>
      </x:c>
      <x:c r="G1374" s="0" t="s">
        <x:v>19</x:v>
      </x:c>
      <x:c r="H1374" s="0" t="s">
        <x:v>20</x:v>
      </x:c>
      <x:c r="I1374" s="0" t="s">
        <x:v>21</x:v>
      </x:c>
      <x:c r="K1374" s="0">
        <x:f>hyperlink("https://icd.who.int/dev11/l-ichi/en#/http%3A%2F%2Fid.who.int%2Ficd%2Fentity%2F2044639111","browser")</x:f>
      </x:c>
      <x:c r="L1374" s="0">
        <x:f>hyperlink("https://icat2.azurewebsites.net/icat/?ontology=ICD&amp;tab=ClassesTab&amp;id=http%3A%2F%2Fwho.int%2Ficd%232561_512ebf36_bf6b_4d70_85da_cf2637062af4","iCat")</x:f>
      </x:c>
      <x:c r="M1374" s="0" t="s">
        <x:v>21</x:v>
      </x:c>
      <x:c r="N1374" s="0" t="s">
        <x:v>46</x:v>
      </x:c>
    </x:row>
    <x:row r="1375" spans="1:16">
      <x:c r="A1375" s="0" t="s">
        <x:v>5329</x:v>
      </x:c>
      <x:c r="B1375" s="0" t="s">
        <x:v>5330</x:v>
      </x:c>
      <x:c r="C1375" s="0" t="s">
        <x:v>5331</x:v>
      </x:c>
      <x:c r="E1375" s="0" t="s">
        <x:v>5332</x:v>
      </x:c>
      <x:c r="F1375" s="0" t="s">
        <x:v>45</x:v>
      </x:c>
      <x:c r="G1375" s="0" t="s">
        <x:v>19</x:v>
      </x:c>
      <x:c r="H1375" s="0" t="s">
        <x:v>20</x:v>
      </x:c>
      <x:c r="I1375" s="0" t="s">
        <x:v>21</x:v>
      </x:c>
      <x:c r="K1375" s="0">
        <x:f>hyperlink("https://icd.who.int/dev11/l-ichi/en#/http%3A%2F%2Fid.who.int%2Ficd%2Fentity%2F396801262","browser")</x:f>
      </x:c>
      <x:c r="L1375" s="0">
        <x:f>hyperlink("https://icat2.azurewebsites.net/icat/?ontology=ICD&amp;tab=ClassesTab&amp;id=http%3A%2F%2Fwho.int%2Ficd%232568_512ebf36_bf6b_4d70_85da_cf2637062af4","iCat")</x:f>
      </x:c>
      <x:c r="M1375" s="0" t="s">
        <x:v>21</x:v>
      </x:c>
      <x:c r="N1375" s="0" t="s">
        <x:v>46</x:v>
      </x:c>
    </x:row>
    <x:row r="1376" spans="1:16">
      <x:c r="A1376" s="0" t="s">
        <x:v>5333</x:v>
      </x:c>
      <x:c r="B1376" s="0" t="s">
        <x:v>5334</x:v>
      </x:c>
      <x:c r="C1376" s="0" t="s">
        <x:v>5335</x:v>
      </x:c>
      <x:c r="E1376" s="0" t="s">
        <x:v>5336</x:v>
      </x:c>
      <x:c r="F1376" s="0" t="s">
        <x:v>45</x:v>
      </x:c>
      <x:c r="G1376" s="0" t="s">
        <x:v>19</x:v>
      </x:c>
      <x:c r="H1376" s="0" t="s">
        <x:v>20</x:v>
      </x:c>
      <x:c r="I1376" s="0" t="s">
        <x:v>21</x:v>
      </x:c>
      <x:c r="K1376" s="0">
        <x:f>hyperlink("https://icd.who.int/dev11/l-ichi/en#/http%3A%2F%2Fid.who.int%2Ficd%2Fentity%2F1671006557","browser")</x:f>
      </x:c>
      <x:c r="L1376" s="0">
        <x:f>hyperlink("https://icat2.azurewebsites.net/icat/?ontology=ICD&amp;tab=ClassesTab&amp;id=http%3A%2F%2Fwho.int%2Ficd%232576_512ebf36_bf6b_4d70_85da_cf2637062af4","iCat")</x:f>
      </x:c>
      <x:c r="M1376" s="0" t="s">
        <x:v>21</x:v>
      </x:c>
      <x:c r="N1376" s="0" t="s">
        <x:v>46</x:v>
      </x:c>
    </x:row>
    <x:row r="1377" spans="1:16">
      <x:c r="A1377" s="0" t="s">
        <x:v>5337</x:v>
      </x:c>
      <x:c r="B1377" s="0" t="s">
        <x:v>5338</x:v>
      </x:c>
      <x:c r="C1377" s="0" t="s">
        <x:v>5339</x:v>
      </x:c>
      <x:c r="E1377" s="0" t="s">
        <x:v>5340</x:v>
      </x:c>
      <x:c r="F1377" s="0" t="s">
        <x:v>45</x:v>
      </x:c>
      <x:c r="G1377" s="0" t="s">
        <x:v>19</x:v>
      </x:c>
      <x:c r="H1377" s="0" t="s">
        <x:v>20</x:v>
      </x:c>
      <x:c r="I1377" s="0" t="s">
        <x:v>21</x:v>
      </x:c>
      <x:c r="K1377" s="0">
        <x:f>hyperlink("https://icd.who.int/dev11/l-ichi/en#/http%3A%2F%2Fid.who.int%2Ficd%2Fentity%2F1501590987","browser")</x:f>
      </x:c>
      <x:c r="L1377" s="0">
        <x:f>hyperlink("https://icat2.azurewebsites.net/icat/?ontology=ICD&amp;tab=ClassesTab&amp;id=http%3A%2F%2Fwho.int%2Ficd%232583_512ebf36_bf6b_4d70_85da_cf2637062af4","iCat")</x:f>
      </x:c>
      <x:c r="M1377" s="0" t="s">
        <x:v>21</x:v>
      </x:c>
      <x:c r="N1377" s="0" t="s">
        <x:v>46</x:v>
      </x:c>
    </x:row>
    <x:row r="1378" spans="1:16">
      <x:c r="A1378" s="0" t="s">
        <x:v>5341</x:v>
      </x:c>
      <x:c r="B1378" s="0" t="s">
        <x:v>5342</x:v>
      </x:c>
      <x:c r="C1378" s="0" t="s">
        <x:v>5343</x:v>
      </x:c>
      <x:c r="E1378" s="0" t="s">
        <x:v>5344</x:v>
      </x:c>
      <x:c r="F1378" s="0" t="s">
        <x:v>45</x:v>
      </x:c>
      <x:c r="G1378" s="0" t="s">
        <x:v>19</x:v>
      </x:c>
      <x:c r="H1378" s="0" t="s">
        <x:v>20</x:v>
      </x:c>
      <x:c r="I1378" s="0" t="s">
        <x:v>21</x:v>
      </x:c>
      <x:c r="K1378" s="0">
        <x:f>hyperlink("https://icd.who.int/dev11/l-ichi/en#/http%3A%2F%2Fid.who.int%2Ficd%2Fentity%2F1992331109","browser")</x:f>
      </x:c>
      <x:c r="L1378" s="0">
        <x:f>hyperlink("https://icat2.azurewebsites.net/icat/?ontology=ICD&amp;tab=ClassesTab&amp;id=http%3A%2F%2Fwho.int%2Ficd%232590_512ebf36_bf6b_4d70_85da_cf2637062af4","iCat")</x:f>
      </x:c>
      <x:c r="M1378" s="0" t="s">
        <x:v>21</x:v>
      </x:c>
      <x:c r="N1378" s="0" t="s">
        <x:v>46</x:v>
      </x:c>
    </x:row>
    <x:row r="1379" spans="1:16">
      <x:c r="A1379" s="0" t="s">
        <x:v>5345</x:v>
      </x:c>
      <x:c r="B1379" s="0" t="s">
        <x:v>5346</x:v>
      </x:c>
      <x:c r="C1379" s="0" t="s">
        <x:v>5347</x:v>
      </x:c>
      <x:c r="E1379" s="0" t="s">
        <x:v>5348</x:v>
      </x:c>
      <x:c r="F1379" s="0" t="s">
        <x:v>45</x:v>
      </x:c>
      <x:c r="G1379" s="0" t="s">
        <x:v>19</x:v>
      </x:c>
      <x:c r="H1379" s="0" t="s">
        <x:v>20</x:v>
      </x:c>
      <x:c r="I1379" s="0" t="s">
        <x:v>21</x:v>
      </x:c>
      <x:c r="K1379" s="0">
        <x:f>hyperlink("https://icd.who.int/dev11/l-ichi/en#/http%3A%2F%2Fid.who.int%2Ficd%2Fentity%2F943849008","browser")</x:f>
      </x:c>
      <x:c r="L1379" s="0">
        <x:f>hyperlink("https://icat2.azurewebsites.net/icat/?ontology=ICD&amp;tab=ClassesTab&amp;id=http%3A%2F%2Fwho.int%2Ficd%232598_512ebf36_bf6b_4d70_85da_cf2637062af4","iCat")</x:f>
      </x:c>
      <x:c r="M1379" s="0" t="s">
        <x:v>21</x:v>
      </x:c>
      <x:c r="N1379" s="0" t="s">
        <x:v>46</x:v>
      </x:c>
    </x:row>
    <x:row r="1380" spans="1:16">
      <x:c r="A1380" s="0" t="s">
        <x:v>5349</x:v>
      </x:c>
      <x:c r="B1380" s="0" t="s">
        <x:v>5350</x:v>
      </x:c>
      <x:c r="C1380" s="0" t="s">
        <x:v>5351</x:v>
      </x:c>
      <x:c r="E1380" s="0" t="s">
        <x:v>5352</x:v>
      </x:c>
      <x:c r="F1380" s="0" t="s">
        <x:v>45</x:v>
      </x:c>
      <x:c r="G1380" s="0" t="s">
        <x:v>19</x:v>
      </x:c>
      <x:c r="H1380" s="0" t="s">
        <x:v>20</x:v>
      </x:c>
      <x:c r="I1380" s="0" t="s">
        <x:v>21</x:v>
      </x:c>
      <x:c r="K1380" s="0">
        <x:f>hyperlink("https://icd.who.int/dev11/l-ichi/en#/http%3A%2F%2Fid.who.int%2Ficd%2Fentity%2F2006270439","browser")</x:f>
      </x:c>
      <x:c r="L1380" s="0">
        <x:f>hyperlink("https://icat2.azurewebsites.net/icat/?ontology=ICD&amp;tab=ClassesTab&amp;id=http%3A%2F%2Fwho.int%2Ficd%232605_512ebf36_bf6b_4d70_85da_cf2637062af4","iCat")</x:f>
      </x:c>
      <x:c r="M1380" s="0" t="s">
        <x:v>21</x:v>
      </x:c>
      <x:c r="N1380" s="0" t="s">
        <x:v>46</x:v>
      </x:c>
    </x:row>
    <x:row r="1381" spans="1:16">
      <x:c r="A1381" s="0" t="s">
        <x:v>5353</x:v>
      </x:c>
      <x:c r="B1381" s="0" t="s">
        <x:v>5354</x:v>
      </x:c>
      <x:c r="C1381" s="0" t="s">
        <x:v>5355</x:v>
      </x:c>
      <x:c r="E1381" s="0" t="s">
        <x:v>5356</x:v>
      </x:c>
      <x:c r="F1381" s="0" t="s">
        <x:v>45</x:v>
      </x:c>
      <x:c r="G1381" s="0" t="s">
        <x:v>19</x:v>
      </x:c>
      <x:c r="H1381" s="0" t="s">
        <x:v>20</x:v>
      </x:c>
      <x:c r="I1381" s="0" t="s">
        <x:v>21</x:v>
      </x:c>
      <x:c r="K1381" s="0">
        <x:f>hyperlink("https://icd.who.int/dev11/l-ichi/en#/http%3A%2F%2Fid.who.int%2Ficd%2Fentity%2F491836592","browser")</x:f>
      </x:c>
      <x:c r="L1381" s="0">
        <x:f>hyperlink("https://icat2.azurewebsites.net/icat/?ontology=ICD&amp;tab=ClassesTab&amp;id=http%3A%2F%2Fwho.int%2Ficd%232615_512ebf36_bf6b_4d70_85da_cf2637062af4","iCat")</x:f>
      </x:c>
      <x:c r="M1381" s="0" t="s">
        <x:v>21</x:v>
      </x:c>
      <x:c r="N1381" s="0" t="s">
        <x:v>46</x:v>
      </x:c>
    </x:row>
    <x:row r="1382" spans="1:16">
      <x:c r="A1382" s="0" t="s">
        <x:v>5357</x:v>
      </x:c>
      <x:c r="B1382" s="0" t="s">
        <x:v>5358</x:v>
      </x:c>
      <x:c r="C1382" s="0" t="s">
        <x:v>5359</x:v>
      </x:c>
      <x:c r="E1382" s="0" t="s">
        <x:v>5360</x:v>
      </x:c>
      <x:c r="F1382" s="0" t="s">
        <x:v>45</x:v>
      </x:c>
      <x:c r="G1382" s="0" t="s">
        <x:v>19</x:v>
      </x:c>
      <x:c r="H1382" s="0" t="s">
        <x:v>20</x:v>
      </x:c>
      <x:c r="I1382" s="0" t="s">
        <x:v>21</x:v>
      </x:c>
      <x:c r="K1382" s="0">
        <x:f>hyperlink("https://icd.who.int/dev11/l-ichi/en#/http%3A%2F%2Fid.who.int%2Ficd%2Fentity%2F228216070","browser")</x:f>
      </x:c>
      <x:c r="L1382" s="0">
        <x:f>hyperlink("https://icat2.azurewebsites.net/icat/?ontology=ICD&amp;tab=ClassesTab&amp;id=http%3A%2F%2Fwho.int%2Ficd%232623_512ebf36_bf6b_4d70_85da_cf2637062af4","iCat")</x:f>
      </x:c>
      <x:c r="M1382" s="0" t="s">
        <x:v>21</x:v>
      </x:c>
      <x:c r="N1382" s="0" t="s">
        <x:v>46</x:v>
      </x:c>
    </x:row>
    <x:row r="1383" spans="1:16">
      <x:c r="A1383" s="0" t="s">
        <x:v>5361</x:v>
      </x:c>
      <x:c r="B1383" s="0" t="s">
        <x:v>5362</x:v>
      </x:c>
      <x:c r="C1383" s="0" t="s">
        <x:v>5363</x:v>
      </x:c>
      <x:c r="E1383" s="0" t="s">
        <x:v>5364</x:v>
      </x:c>
      <x:c r="F1383" s="0" t="s">
        <x:v>45</x:v>
      </x:c>
      <x:c r="G1383" s="0" t="s">
        <x:v>19</x:v>
      </x:c>
      <x:c r="H1383" s="0" t="s">
        <x:v>20</x:v>
      </x:c>
      <x:c r="I1383" s="0" t="s">
        <x:v>21</x:v>
      </x:c>
      <x:c r="K1383" s="0">
        <x:f>hyperlink("https://icd.who.int/dev11/l-ichi/en#/http%3A%2F%2Fid.who.int%2Ficd%2Fentity%2F1923182105","browser")</x:f>
      </x:c>
      <x:c r="L1383" s="0">
        <x:f>hyperlink("https://icat2.azurewebsites.net/icat/?ontology=ICD&amp;tab=ClassesTab&amp;id=http%3A%2F%2Fwho.int%2Ficd%232636_512ebf36_bf6b_4d70_85da_cf2637062af4","iCat")</x:f>
      </x:c>
      <x:c r="M1383" s="0" t="s">
        <x:v>21</x:v>
      </x:c>
      <x:c r="N1383" s="0" t="s">
        <x:v>46</x:v>
      </x:c>
    </x:row>
    <x:row r="1384" spans="1:16">
      <x:c r="A1384" s="0" t="s">
        <x:v>5365</x:v>
      </x:c>
      <x:c r="B1384" s="0" t="s">
        <x:v>5366</x:v>
      </x:c>
      <x:c r="C1384" s="0" t="s">
        <x:v>5367</x:v>
      </x:c>
      <x:c r="E1384" s="0" t="s">
        <x:v>5368</x:v>
      </x:c>
      <x:c r="F1384" s="0" t="s">
        <x:v>45</x:v>
      </x:c>
      <x:c r="G1384" s="0" t="s">
        <x:v>19</x:v>
      </x:c>
      <x:c r="H1384" s="0" t="s">
        <x:v>20</x:v>
      </x:c>
      <x:c r="I1384" s="0" t="s">
        <x:v>21</x:v>
      </x:c>
      <x:c r="K1384" s="0">
        <x:f>hyperlink("https://icd.who.int/dev11/l-ichi/en#/http%3A%2F%2Fid.who.int%2Ficd%2Fentity%2F1468648267","browser")</x:f>
      </x:c>
      <x:c r="L1384" s="0">
        <x:f>hyperlink("https://icat2.azurewebsites.net/icat/?ontology=ICD&amp;tab=ClassesTab&amp;id=http%3A%2F%2Fwho.int%2Ficd%232643_512ebf36_bf6b_4d70_85da_cf2637062af4","iCat")</x:f>
      </x:c>
      <x:c r="M1384" s="0" t="s">
        <x:v>21</x:v>
      </x:c>
      <x:c r="N1384" s="0" t="s">
        <x:v>46</x:v>
      </x:c>
    </x:row>
    <x:row r="1385" spans="1:16">
      <x:c r="A1385" s="0" t="s">
        <x:v>5369</x:v>
      </x:c>
      <x:c r="B1385" s="0" t="s">
        <x:v>5370</x:v>
      </x:c>
      <x:c r="C1385" s="0" t="s">
        <x:v>5371</x:v>
      </x:c>
      <x:c r="E1385" s="0" t="s">
        <x:v>5372</x:v>
      </x:c>
      <x:c r="F1385" s="0" t="s">
        <x:v>45</x:v>
      </x:c>
      <x:c r="G1385" s="0" t="s">
        <x:v>19</x:v>
      </x:c>
      <x:c r="H1385" s="0" t="s">
        <x:v>20</x:v>
      </x:c>
      <x:c r="I1385" s="0" t="s">
        <x:v>21</x:v>
      </x:c>
      <x:c r="K1385" s="0">
        <x:f>hyperlink("https://icd.who.int/dev11/l-ichi/en#/http%3A%2F%2Fid.who.int%2Ficd%2Fentity%2F2026451429","browser")</x:f>
      </x:c>
      <x:c r="L1385" s="0">
        <x:f>hyperlink("https://icat2.azurewebsites.net/icat/?ontology=ICD&amp;tab=ClassesTab&amp;id=http%3A%2F%2Fwho.int%2Ficd%232650_512ebf36_bf6b_4d70_85da_cf2637062af4","iCat")</x:f>
      </x:c>
      <x:c r="M1385" s="0" t="s">
        <x:v>21</x:v>
      </x:c>
      <x:c r="N1385" s="0" t="s">
        <x:v>46</x:v>
      </x:c>
    </x:row>
    <x:row r="1386" spans="1:16">
      <x:c r="A1386" s="0" t="s">
        <x:v>5373</x:v>
      </x:c>
      <x:c r="B1386" s="0" t="s">
        <x:v>5374</x:v>
      </x:c>
      <x:c r="C1386" s="0" t="s">
        <x:v>5375</x:v>
      </x:c>
      <x:c r="E1386" s="0" t="s">
        <x:v>5376</x:v>
      </x:c>
      <x:c r="F1386" s="0" t="s">
        <x:v>45</x:v>
      </x:c>
      <x:c r="G1386" s="0" t="s">
        <x:v>19</x:v>
      </x:c>
      <x:c r="H1386" s="0" t="s">
        <x:v>20</x:v>
      </x:c>
      <x:c r="I1386" s="0" t="s">
        <x:v>21</x:v>
      </x:c>
      <x:c r="K1386" s="0">
        <x:f>hyperlink("https://icd.who.int/dev11/l-ichi/en#/http%3A%2F%2Fid.who.int%2Ficd%2Fentity%2F2113740315","browser")</x:f>
      </x:c>
      <x:c r="L1386" s="0">
        <x:f>hyperlink("https://icat2.azurewebsites.net/icat/?ontology=ICD&amp;tab=ClassesTab&amp;id=http%3A%2F%2Fwho.int%2Ficd%232663_512ebf36_bf6b_4d70_85da_cf2637062af4","iCat")</x:f>
      </x:c>
      <x:c r="M1386" s="0" t="s">
        <x:v>21</x:v>
      </x:c>
      <x:c r="N1386" s="0" t="s">
        <x:v>46</x:v>
      </x:c>
    </x:row>
    <x:row r="1387" spans="1:16">
      <x:c r="A1387" s="0" t="s">
        <x:v>5377</x:v>
      </x:c>
      <x:c r="B1387" s="0" t="s">
        <x:v>5378</x:v>
      </x:c>
      <x:c r="C1387" s="0" t="s">
        <x:v>5379</x:v>
      </x:c>
      <x:c r="E1387" s="0" t="s">
        <x:v>5380</x:v>
      </x:c>
      <x:c r="F1387" s="0" t="s">
        <x:v>45</x:v>
      </x:c>
      <x:c r="G1387" s="0" t="s">
        <x:v>19</x:v>
      </x:c>
      <x:c r="H1387" s="0" t="s">
        <x:v>20</x:v>
      </x:c>
      <x:c r="I1387" s="0" t="s">
        <x:v>21</x:v>
      </x:c>
      <x:c r="K1387" s="0">
        <x:f>hyperlink("https://icd.who.int/dev11/l-ichi/en#/http%3A%2F%2Fid.who.int%2Ficd%2Fentity%2F1388176565","browser")</x:f>
      </x:c>
      <x:c r="L1387" s="0">
        <x:f>hyperlink("https://icat2.azurewebsites.net/icat/?ontology=ICD&amp;tab=ClassesTab&amp;id=http%3A%2F%2Fwho.int%2Ficd%232670_512ebf36_bf6b_4d70_85da_cf2637062af4","iCat")</x:f>
      </x:c>
      <x:c r="M1387" s="0" t="s">
        <x:v>21</x:v>
      </x:c>
      <x:c r="N1387" s="0" t="s">
        <x:v>46</x:v>
      </x:c>
    </x:row>
    <x:row r="1388" spans="1:16">
      <x:c r="A1388" s="0" t="s">
        <x:v>5381</x:v>
      </x:c>
      <x:c r="B1388" s="0" t="s">
        <x:v>5382</x:v>
      </x:c>
      <x:c r="C1388" s="0" t="s">
        <x:v>5383</x:v>
      </x:c>
      <x:c r="E1388" s="0" t="s">
        <x:v>5384</x:v>
      </x:c>
      <x:c r="F1388" s="0" t="s">
        <x:v>45</x:v>
      </x:c>
      <x:c r="G1388" s="0" t="s">
        <x:v>19</x:v>
      </x:c>
      <x:c r="H1388" s="0" t="s">
        <x:v>20</x:v>
      </x:c>
      <x:c r="I1388" s="0" t="s">
        <x:v>21</x:v>
      </x:c>
      <x:c r="K1388" s="0">
        <x:f>hyperlink("https://icd.who.int/dev11/l-ichi/en#/http%3A%2F%2Fid.who.int%2Ficd%2Fentity%2F574574394","browser")</x:f>
      </x:c>
      <x:c r="L1388" s="0">
        <x:f>hyperlink("https://icat2.azurewebsites.net/icat/?ontology=ICD&amp;tab=ClassesTab&amp;id=http%3A%2F%2Fwho.int%2Ficd%232677_512ebf36_bf6b_4d70_85da_cf2637062af4","iCat")</x:f>
      </x:c>
      <x:c r="M1388" s="0" t="s">
        <x:v>21</x:v>
      </x:c>
      <x:c r="N1388" s="0" t="s">
        <x:v>46</x:v>
      </x:c>
    </x:row>
    <x:row r="1389" spans="1:16">
      <x:c r="A1389" s="0" t="s">
        <x:v>5385</x:v>
      </x:c>
      <x:c r="B1389" s="0" t="s">
        <x:v>5386</x:v>
      </x:c>
      <x:c r="C1389" s="0" t="s">
        <x:v>5387</x:v>
      </x:c>
      <x:c r="E1389" s="0" t="s">
        <x:v>5388</x:v>
      </x:c>
      <x:c r="F1389" s="0" t="s">
        <x:v>45</x:v>
      </x:c>
      <x:c r="G1389" s="0" t="s">
        <x:v>19</x:v>
      </x:c>
      <x:c r="H1389" s="0" t="s">
        <x:v>20</x:v>
      </x:c>
      <x:c r="I1389" s="0" t="s">
        <x:v>21</x:v>
      </x:c>
      <x:c r="K1389" s="0">
        <x:f>hyperlink("https://icd.who.int/dev11/l-ichi/en#/http%3A%2F%2Fid.who.int%2Ficd%2Fentity%2F1214081567","browser")</x:f>
      </x:c>
      <x:c r="L1389" s="0">
        <x:f>hyperlink("https://icat2.azurewebsites.net/icat/?ontology=ICD&amp;tab=ClassesTab&amp;id=http%3A%2F%2Fwho.int%2Ficd%232684_512ebf36_bf6b_4d70_85da_cf2637062af4","iCat")</x:f>
      </x:c>
      <x:c r="M1389" s="0" t="s">
        <x:v>21</x:v>
      </x:c>
      <x:c r="N1389" s="0" t="s">
        <x:v>46</x:v>
      </x:c>
    </x:row>
    <x:row r="1390" spans="1:16">
      <x:c r="A1390" s="0" t="s">
        <x:v>5389</x:v>
      </x:c>
      <x:c r="B1390" s="0" t="s">
        <x:v>5390</x:v>
      </x:c>
      <x:c r="C1390" s="0" t="s">
        <x:v>5391</x:v>
      </x:c>
      <x:c r="E1390" s="0" t="s">
        <x:v>5392</x:v>
      </x:c>
      <x:c r="F1390" s="0" t="s">
        <x:v>45</x:v>
      </x:c>
      <x:c r="G1390" s="0" t="s">
        <x:v>19</x:v>
      </x:c>
      <x:c r="H1390" s="0" t="s">
        <x:v>20</x:v>
      </x:c>
      <x:c r="I1390" s="0" t="s">
        <x:v>21</x:v>
      </x:c>
      <x:c r="K1390" s="0">
        <x:f>hyperlink("https://icd.who.int/dev11/l-ichi/en#/http%3A%2F%2Fid.who.int%2Ficd%2Fentity%2F929450240","browser")</x:f>
      </x:c>
      <x:c r="L1390" s="0">
        <x:f>hyperlink("https://icat2.azurewebsites.net/icat/?ontology=ICD&amp;tab=ClassesTab&amp;id=http%3A%2F%2Fwho.int%2Ficd%232691_512ebf36_bf6b_4d70_85da_cf2637062af4","iCat")</x:f>
      </x:c>
      <x:c r="M1390" s="0" t="s">
        <x:v>21</x:v>
      </x:c>
      <x:c r="N1390" s="0" t="s">
        <x:v>46</x:v>
      </x:c>
    </x:row>
    <x:row r="1391" spans="1:16">
      <x:c r="A1391" s="0" t="s">
        <x:v>5393</x:v>
      </x:c>
      <x:c r="B1391" s="0" t="s">
        <x:v>5394</x:v>
      </x:c>
      <x:c r="C1391" s="0" t="s">
        <x:v>5395</x:v>
      </x:c>
      <x:c r="E1391" s="0" t="s">
        <x:v>5396</x:v>
      </x:c>
      <x:c r="F1391" s="0" t="s">
        <x:v>45</x:v>
      </x:c>
      <x:c r="G1391" s="0" t="s">
        <x:v>19</x:v>
      </x:c>
      <x:c r="H1391" s="0" t="s">
        <x:v>20</x:v>
      </x:c>
      <x:c r="I1391" s="0" t="s">
        <x:v>21</x:v>
      </x:c>
      <x:c r="K1391" s="0">
        <x:f>hyperlink("https://icd.who.int/dev11/l-ichi/en#/http%3A%2F%2Fid.who.int%2Ficd%2Fentity%2F466088137","browser")</x:f>
      </x:c>
      <x:c r="L1391" s="0">
        <x:f>hyperlink("https://icat2.azurewebsites.net/icat/?ontology=ICD&amp;tab=ClassesTab&amp;id=http%3A%2F%2Fwho.int%2Ficd%2342_bf15315e_f1c5_45f6_9637_651657d70d50","iCat")</x:f>
      </x:c>
      <x:c r="M1391" s="0" t="s">
        <x:v>21</x:v>
      </x:c>
      <x:c r="N1391" s="0" t="s">
        <x:v>46</x:v>
      </x:c>
    </x:row>
    <x:row r="1392" spans="1:16">
      <x:c r="A1392" s="0" t="s">
        <x:v>5397</x:v>
      </x:c>
      <x:c r="B1392" s="0" t="s">
        <x:v>5398</x:v>
      </x:c>
      <x:c r="C1392" s="0" t="s">
        <x:v>5399</x:v>
      </x:c>
      <x:c r="E1392" s="0" t="s">
        <x:v>5400</x:v>
      </x:c>
      <x:c r="F1392" s="0" t="s">
        <x:v>45</x:v>
      </x:c>
      <x:c r="G1392" s="0" t="s">
        <x:v>19</x:v>
      </x:c>
      <x:c r="H1392" s="0" t="s">
        <x:v>20</x:v>
      </x:c>
      <x:c r="I1392" s="0" t="s">
        <x:v>21</x:v>
      </x:c>
      <x:c r="K1392" s="0">
        <x:f>hyperlink("https://icd.who.int/dev11/l-ichi/en#/http%3A%2F%2Fid.who.int%2Ficd%2Fentity%2F281276005","browser")</x:f>
      </x:c>
      <x:c r="L1392" s="0">
        <x:f>hyperlink("https://icat2.azurewebsites.net/icat/?ontology=ICD&amp;tab=ClassesTab&amp;id=http%3A%2F%2Fwho.int%2Ficd%2349_bf15315e_f1c5_45f6_9637_651657d70d50","iCat")</x:f>
      </x:c>
      <x:c r="M1392" s="0" t="s">
        <x:v>21</x:v>
      </x:c>
      <x:c r="N1392" s="0" t="s">
        <x:v>46</x:v>
      </x:c>
    </x:row>
    <x:row r="1393" spans="1:16">
      <x:c r="A1393" s="0" t="s">
        <x:v>5401</x:v>
      </x:c>
      <x:c r="B1393" s="0" t="s">
        <x:v>5402</x:v>
      </x:c>
      <x:c r="C1393" s="0" t="s">
        <x:v>5403</x:v>
      </x:c>
      <x:c r="E1393" s="0" t="s">
        <x:v>5404</x:v>
      </x:c>
      <x:c r="F1393" s="0" t="s">
        <x:v>45</x:v>
      </x:c>
      <x:c r="G1393" s="0" t="s">
        <x:v>19</x:v>
      </x:c>
      <x:c r="H1393" s="0" t="s">
        <x:v>20</x:v>
      </x:c>
      <x:c r="I1393" s="0" t="s">
        <x:v>21</x:v>
      </x:c>
      <x:c r="K1393" s="0">
        <x:f>hyperlink("https://icd.who.int/dev11/l-ichi/en#/http%3A%2F%2Fid.who.int%2Ficd%2Fentity%2F1495157353","browser")</x:f>
      </x:c>
      <x:c r="L1393" s="0">
        <x:f>hyperlink("https://icat2.azurewebsites.net/icat/?ontology=ICD&amp;tab=ClassesTab&amp;id=http%3A%2F%2Fwho.int%2Ficd%232698_512ebf36_bf6b_4d70_85da_cf2637062af4","iCat")</x:f>
      </x:c>
      <x:c r="M1393" s="0" t="s">
        <x:v>21</x:v>
      </x:c>
      <x:c r="N1393" s="0" t="s">
        <x:v>46</x:v>
      </x:c>
    </x:row>
    <x:row r="1394" spans="1:16">
      <x:c r="A1394" s="0" t="s">
        <x:v>5405</x:v>
      </x:c>
      <x:c r="B1394" s="0" t="s">
        <x:v>5406</x:v>
      </x:c>
      <x:c r="C1394" s="0" t="s">
        <x:v>5407</x:v>
      </x:c>
      <x:c r="E1394" s="0" t="s">
        <x:v>5408</x:v>
      </x:c>
      <x:c r="F1394" s="0" t="s">
        <x:v>45</x:v>
      </x:c>
      <x:c r="G1394" s="0" t="s">
        <x:v>19</x:v>
      </x:c>
      <x:c r="H1394" s="0" t="s">
        <x:v>20</x:v>
      </x:c>
      <x:c r="I1394" s="0" t="s">
        <x:v>21</x:v>
      </x:c>
      <x:c r="K1394" s="0">
        <x:f>hyperlink("https://icd.who.int/dev11/l-ichi/en#/http%3A%2F%2Fid.who.int%2Ficd%2Fentity%2F2039231067","browser")</x:f>
      </x:c>
      <x:c r="L1394" s="0">
        <x:f>hyperlink("https://icat2.azurewebsites.net/icat/?ontology=ICD&amp;tab=ClassesTab&amp;id=http%3A%2F%2Fwho.int%2Ficd%232709_512ebf36_bf6b_4d70_85da_cf2637062af4","iCat")</x:f>
      </x:c>
      <x:c r="M1394" s="0" t="s">
        <x:v>21</x:v>
      </x:c>
      <x:c r="N1394" s="0" t="s">
        <x:v>46</x:v>
      </x:c>
    </x:row>
    <x:row r="1395" spans="1:16">
      <x:c r="A1395" s="0" t="s">
        <x:v>5409</x:v>
      </x:c>
      <x:c r="B1395" s="0" t="s">
        <x:v>5410</x:v>
      </x:c>
      <x:c r="C1395" s="0" t="s">
        <x:v>5411</x:v>
      </x:c>
      <x:c r="E1395" s="0" t="s">
        <x:v>5412</x:v>
      </x:c>
      <x:c r="F1395" s="0" t="s">
        <x:v>45</x:v>
      </x:c>
      <x:c r="G1395" s="0" t="s">
        <x:v>19</x:v>
      </x:c>
      <x:c r="H1395" s="0" t="s">
        <x:v>20</x:v>
      </x:c>
      <x:c r="I1395" s="0" t="s">
        <x:v>21</x:v>
      </x:c>
      <x:c r="K1395" s="0">
        <x:f>hyperlink("https://icd.who.int/dev11/l-ichi/en#/http%3A%2F%2Fid.who.int%2Ficd%2Fentity%2F759856598","browser")</x:f>
      </x:c>
      <x:c r="L1395" s="0">
        <x:f>hyperlink("https://icat2.azurewebsites.net/icat/?ontology=ICD&amp;tab=ClassesTab&amp;id=http%3A%2F%2Fwho.int%2Ficd%232716_512ebf36_bf6b_4d70_85da_cf2637062af4","iCat")</x:f>
      </x:c>
      <x:c r="M1395" s="0" t="s">
        <x:v>21</x:v>
      </x:c>
      <x:c r="N1395" s="0" t="s">
        <x:v>46</x:v>
      </x:c>
    </x:row>
    <x:row r="1396" spans="1:16">
      <x:c r="A1396" s="0" t="s">
        <x:v>5413</x:v>
      </x:c>
      <x:c r="B1396" s="0" t="s">
        <x:v>5414</x:v>
      </x:c>
      <x:c r="C1396" s="0" t="s">
        <x:v>5415</x:v>
      </x:c>
      <x:c r="E1396" s="0" t="s">
        <x:v>5416</x:v>
      </x:c>
      <x:c r="F1396" s="0" t="s">
        <x:v>45</x:v>
      </x:c>
      <x:c r="G1396" s="0" t="s">
        <x:v>19</x:v>
      </x:c>
      <x:c r="H1396" s="0" t="s">
        <x:v>20</x:v>
      </x:c>
      <x:c r="I1396" s="0" t="s">
        <x:v>21</x:v>
      </x:c>
      <x:c r="K1396" s="0">
        <x:f>hyperlink("https://icd.who.int/dev11/l-ichi/en#/http%3A%2F%2Fid.who.int%2Ficd%2Fentity%2F2013629339","browser")</x:f>
      </x:c>
      <x:c r="L1396" s="0">
        <x:f>hyperlink("https://icat2.azurewebsites.net/icat/?ontology=ICD&amp;tab=ClassesTab&amp;id=http%3A%2F%2Fwho.int%2Ficd%232723_512ebf36_bf6b_4d70_85da_cf2637062af4","iCat")</x:f>
      </x:c>
      <x:c r="M1396" s="0" t="s">
        <x:v>21</x:v>
      </x:c>
      <x:c r="N1396" s="0" t="s">
        <x:v>46</x:v>
      </x:c>
    </x:row>
    <x:row r="1397" spans="1:16">
      <x:c r="A1397" s="0" t="s">
        <x:v>5417</x:v>
      </x:c>
      <x:c r="B1397" s="0" t="s">
        <x:v>5418</x:v>
      </x:c>
      <x:c r="C1397" s="0" t="s">
        <x:v>5419</x:v>
      </x:c>
      <x:c r="E1397" s="0" t="s">
        <x:v>5420</x:v>
      </x:c>
      <x:c r="F1397" s="0" t="s">
        <x:v>45</x:v>
      </x:c>
      <x:c r="G1397" s="0" t="s">
        <x:v>19</x:v>
      </x:c>
      <x:c r="H1397" s="0" t="s">
        <x:v>20</x:v>
      </x:c>
      <x:c r="I1397" s="0" t="s">
        <x:v>21</x:v>
      </x:c>
      <x:c r="K1397" s="0">
        <x:f>hyperlink("https://icd.who.int/dev11/l-ichi/en#/http%3A%2F%2Fid.who.int%2Ficd%2Fentity%2F1464168757","browser")</x:f>
      </x:c>
      <x:c r="L1397" s="0">
        <x:f>hyperlink("https://icat2.azurewebsites.net/icat/?ontology=ICD&amp;tab=ClassesTab&amp;id=http%3A%2F%2Fwho.int%2Ficd%232730_512ebf36_bf6b_4d70_85da_cf2637062af4","iCat")</x:f>
      </x:c>
      <x:c r="M1397" s="0" t="s">
        <x:v>21</x:v>
      </x:c>
      <x:c r="N1397" s="0" t="s">
        <x:v>46</x:v>
      </x:c>
    </x:row>
    <x:row r="1398" spans="1:16">
      <x:c r="A1398" s="0" t="s">
        <x:v>5421</x:v>
      </x:c>
      <x:c r="B1398" s="0" t="s">
        <x:v>5422</x:v>
      </x:c>
      <x:c r="C1398" s="0" t="s">
        <x:v>5423</x:v>
      </x:c>
      <x:c r="E1398" s="0" t="s">
        <x:v>5424</x:v>
      </x:c>
      <x:c r="F1398" s="0" t="s">
        <x:v>45</x:v>
      </x:c>
      <x:c r="G1398" s="0" t="s">
        <x:v>19</x:v>
      </x:c>
      <x:c r="H1398" s="0" t="s">
        <x:v>20</x:v>
      </x:c>
      <x:c r="I1398" s="0" t="s">
        <x:v>21</x:v>
      </x:c>
      <x:c r="K1398" s="0">
        <x:f>hyperlink("https://icd.who.int/dev11/l-ichi/en#/http%3A%2F%2Fid.who.int%2Ficd%2Fentity%2F667409082","browser")</x:f>
      </x:c>
      <x:c r="L1398" s="0">
        <x:f>hyperlink("https://icat2.azurewebsites.net/icat/?ontology=ICD&amp;tab=ClassesTab&amp;id=http%3A%2F%2Fwho.int%2Ficd%232737_512ebf36_bf6b_4d70_85da_cf2637062af4","iCat")</x:f>
      </x:c>
      <x:c r="M1398" s="0" t="s">
        <x:v>21</x:v>
      </x:c>
      <x:c r="N1398" s="0" t="s">
        <x:v>46</x:v>
      </x:c>
    </x:row>
    <x:row r="1399" spans="1:16">
      <x:c r="A1399" s="0" t="s">
        <x:v>5425</x:v>
      </x:c>
      <x:c r="B1399" s="0" t="s">
        <x:v>5426</x:v>
      </x:c>
      <x:c r="C1399" s="0" t="s">
        <x:v>5427</x:v>
      </x:c>
      <x:c r="E1399" s="0" t="s">
        <x:v>5428</x:v>
      </x:c>
      <x:c r="F1399" s="0" t="s">
        <x:v>45</x:v>
      </x:c>
      <x:c r="G1399" s="0" t="s">
        <x:v>19</x:v>
      </x:c>
      <x:c r="H1399" s="0" t="s">
        <x:v>20</x:v>
      </x:c>
      <x:c r="I1399" s="0" t="s">
        <x:v>21</x:v>
      </x:c>
      <x:c r="K1399" s="0">
        <x:f>hyperlink("https://icd.who.int/dev11/l-ichi/en#/http%3A%2F%2Fid.who.int%2Ficd%2Fentity%2F1385473627","browser")</x:f>
      </x:c>
      <x:c r="L1399" s="0">
        <x:f>hyperlink("https://icat2.azurewebsites.net/icat/?ontology=ICD&amp;tab=ClassesTab&amp;id=http%3A%2F%2Fwho.int%2Ficd%232744_512ebf36_bf6b_4d70_85da_cf2637062af4","iCat")</x:f>
      </x:c>
      <x:c r="M1399" s="0" t="s">
        <x:v>21</x:v>
      </x:c>
      <x:c r="N1399" s="0" t="s">
        <x:v>46</x:v>
      </x:c>
    </x:row>
    <x:row r="1400" spans="1:16">
      <x:c r="A1400" s="0" t="s">
        <x:v>5429</x:v>
      </x:c>
      <x:c r="B1400" s="0" t="s">
        <x:v>5430</x:v>
      </x:c>
      <x:c r="C1400" s="0" t="s">
        <x:v>5431</x:v>
      </x:c>
      <x:c r="E1400" s="0" t="s">
        <x:v>5432</x:v>
      </x:c>
      <x:c r="F1400" s="0" t="s">
        <x:v>45</x:v>
      </x:c>
      <x:c r="G1400" s="0" t="s">
        <x:v>19</x:v>
      </x:c>
      <x:c r="H1400" s="0" t="s">
        <x:v>20</x:v>
      </x:c>
      <x:c r="I1400" s="0" t="s">
        <x:v>21</x:v>
      </x:c>
      <x:c r="K1400" s="0">
        <x:f>hyperlink("https://icd.who.int/dev11/l-ichi/en#/http%3A%2F%2Fid.who.int%2Ficd%2Fentity%2F766477638","browser")</x:f>
      </x:c>
      <x:c r="L1400" s="0">
        <x:f>hyperlink("https://icat2.azurewebsites.net/icat/?ontology=ICD&amp;tab=ClassesTab&amp;id=http%3A%2F%2Fwho.int%2Ficd%232751_512ebf36_bf6b_4d70_85da_cf2637062af4","iCat")</x:f>
      </x:c>
      <x:c r="M1400" s="0" t="s">
        <x:v>21</x:v>
      </x:c>
      <x:c r="N1400" s="0" t="s">
        <x:v>46</x:v>
      </x:c>
    </x:row>
    <x:row r="1401" spans="1:16">
      <x:c r="A1401" s="0" t="s">
        <x:v>5433</x:v>
      </x:c>
      <x:c r="B1401" s="0" t="s">
        <x:v>5434</x:v>
      </x:c>
      <x:c r="C1401" s="0" t="s">
        <x:v>5435</x:v>
      </x:c>
      <x:c r="E1401" s="0" t="s">
        <x:v>5436</x:v>
      </x:c>
      <x:c r="F1401" s="0" t="s">
        <x:v>45</x:v>
      </x:c>
      <x:c r="G1401" s="0" t="s">
        <x:v>19</x:v>
      </x:c>
      <x:c r="H1401" s="0" t="s">
        <x:v>20</x:v>
      </x:c>
      <x:c r="I1401" s="0" t="s">
        <x:v>21</x:v>
      </x:c>
      <x:c r="K1401" s="0">
        <x:f>hyperlink("https://icd.who.int/dev11/l-ichi/en#/http%3A%2F%2Fid.who.int%2Ficd%2Fentity%2F1138198061","browser")</x:f>
      </x:c>
      <x:c r="L1401" s="0">
        <x:f>hyperlink("https://icat2.azurewebsites.net/icat/?ontology=ICD&amp;tab=ClassesTab&amp;id=http%3A%2F%2Fwho.int%2Ficd%232758_512ebf36_bf6b_4d70_85da_cf2637062af4","iCat")</x:f>
      </x:c>
      <x:c r="M1401" s="0" t="s">
        <x:v>21</x:v>
      </x:c>
      <x:c r="N1401" s="0" t="s">
        <x:v>46</x:v>
      </x:c>
    </x:row>
    <x:row r="1402" spans="1:16">
      <x:c r="A1402" s="0" t="s">
        <x:v>5437</x:v>
      </x:c>
      <x:c r="B1402" s="0" t="s">
        <x:v>5438</x:v>
      </x:c>
      <x:c r="C1402" s="0" t="s">
        <x:v>5439</x:v>
      </x:c>
      <x:c r="E1402" s="0" t="s">
        <x:v>5440</x:v>
      </x:c>
      <x:c r="F1402" s="0" t="s">
        <x:v>45</x:v>
      </x:c>
      <x:c r="G1402" s="0" t="s">
        <x:v>19</x:v>
      </x:c>
      <x:c r="H1402" s="0" t="s">
        <x:v>20</x:v>
      </x:c>
      <x:c r="I1402" s="0" t="s">
        <x:v>21</x:v>
      </x:c>
      <x:c r="K1402" s="0">
        <x:f>hyperlink("https://icd.who.int/dev11/l-ichi/en#/http%3A%2F%2Fid.who.int%2Ficd%2Fentity%2F1478033719","browser")</x:f>
      </x:c>
      <x:c r="L1402" s="0">
        <x:f>hyperlink("https://icat2.azurewebsites.net/icat/?ontology=ICD&amp;tab=ClassesTab&amp;id=http%3A%2F%2Fwho.int%2Ficd%232765_512ebf36_bf6b_4d70_85da_cf2637062af4","iCat")</x:f>
      </x:c>
      <x:c r="M1402" s="0" t="s">
        <x:v>21</x:v>
      </x:c>
      <x:c r="N1402" s="0" t="s">
        <x:v>46</x:v>
      </x:c>
    </x:row>
    <x:row r="1403" spans="1:16">
      <x:c r="A1403" s="0" t="s">
        <x:v>5441</x:v>
      </x:c>
      <x:c r="B1403" s="0" t="s">
        <x:v>5442</x:v>
      </x:c>
      <x:c r="C1403" s="0" t="s">
        <x:v>5443</x:v>
      </x:c>
      <x:c r="E1403" s="0" t="s">
        <x:v>5444</x:v>
      </x:c>
      <x:c r="F1403" s="0" t="s">
        <x:v>45</x:v>
      </x:c>
      <x:c r="G1403" s="0" t="s">
        <x:v>19</x:v>
      </x:c>
      <x:c r="H1403" s="0" t="s">
        <x:v>20</x:v>
      </x:c>
      <x:c r="I1403" s="0" t="s">
        <x:v>21</x:v>
      </x:c>
      <x:c r="K1403" s="0">
        <x:f>hyperlink("https://icd.who.int/dev11/l-ichi/en#/http%3A%2F%2Fid.who.int%2Ficd%2Fentity%2F1772311421","browser")</x:f>
      </x:c>
      <x:c r="L1403" s="0">
        <x:f>hyperlink("https://icat2.azurewebsites.net/icat/?ontology=ICD&amp;tab=ClassesTab&amp;id=http%3A%2F%2Fwho.int%2Ficd%232778_512ebf36_bf6b_4d70_85da_cf2637062af4","iCat")</x:f>
      </x:c>
      <x:c r="M1403" s="0" t="s">
        <x:v>21</x:v>
      </x:c>
      <x:c r="N1403" s="0" t="s">
        <x:v>46</x:v>
      </x:c>
    </x:row>
    <x:row r="1404" spans="1:16">
      <x:c r="A1404" s="0" t="s">
        <x:v>5445</x:v>
      </x:c>
      <x:c r="B1404" s="0" t="s">
        <x:v>5446</x:v>
      </x:c>
      <x:c r="C1404" s="0" t="s">
        <x:v>5447</x:v>
      </x:c>
      <x:c r="E1404" s="0" t="s">
        <x:v>5448</x:v>
      </x:c>
      <x:c r="F1404" s="0" t="s">
        <x:v>45</x:v>
      </x:c>
      <x:c r="G1404" s="0" t="s">
        <x:v>19</x:v>
      </x:c>
      <x:c r="H1404" s="0" t="s">
        <x:v>20</x:v>
      </x:c>
      <x:c r="I1404" s="0" t="s">
        <x:v>21</x:v>
      </x:c>
      <x:c r="K1404" s="0">
        <x:f>hyperlink("https://icd.who.int/dev11/l-ichi/en#/http%3A%2F%2Fid.who.int%2Ficd%2Fentity%2F490462912","browser")</x:f>
      </x:c>
      <x:c r="L1404" s="0">
        <x:f>hyperlink("https://icat2.azurewebsites.net/icat/?ontology=ICD&amp;tab=ClassesTab&amp;id=http%3A%2F%2Fwho.int%2Ficd%232785_512ebf36_bf6b_4d70_85da_cf2637062af4","iCat")</x:f>
      </x:c>
      <x:c r="M1404" s="0" t="s">
        <x:v>21</x:v>
      </x:c>
      <x:c r="N1404" s="0" t="s">
        <x:v>46</x:v>
      </x:c>
    </x:row>
    <x:row r="1405" spans="1:16">
      <x:c r="A1405" s="0" t="s">
        <x:v>5449</x:v>
      </x:c>
      <x:c r="B1405" s="0" t="s">
        <x:v>5450</x:v>
      </x:c>
      <x:c r="C1405" s="0" t="s">
        <x:v>5451</x:v>
      </x:c>
      <x:c r="E1405" s="0" t="s">
        <x:v>5452</x:v>
      </x:c>
      <x:c r="F1405" s="0" t="s">
        <x:v>45</x:v>
      </x:c>
      <x:c r="G1405" s="0" t="s">
        <x:v>19</x:v>
      </x:c>
      <x:c r="H1405" s="0" t="s">
        <x:v>20</x:v>
      </x:c>
      <x:c r="I1405" s="0" t="s">
        <x:v>21</x:v>
      </x:c>
      <x:c r="K1405" s="0">
        <x:f>hyperlink("https://icd.who.int/dev11/l-ichi/en#/http%3A%2F%2Fid.who.int%2Ficd%2Fentity%2F125624422","browser")</x:f>
      </x:c>
      <x:c r="L1405" s="0">
        <x:f>hyperlink("https://icat2.azurewebsites.net/icat/?ontology=ICD&amp;tab=ClassesTab&amp;id=http%3A%2F%2Fwho.int%2Ficd%232792_512ebf36_bf6b_4d70_85da_cf2637062af4","iCat")</x:f>
      </x:c>
      <x:c r="M1405" s="0" t="s">
        <x:v>21</x:v>
      </x:c>
      <x:c r="N1405" s="0" t="s">
        <x:v>46</x:v>
      </x:c>
    </x:row>
    <x:row r="1406" spans="1:16">
      <x:c r="A1406" s="0" t="s">
        <x:v>5453</x:v>
      </x:c>
      <x:c r="B1406" s="0" t="s">
        <x:v>5454</x:v>
      </x:c>
      <x:c r="C1406" s="0" t="s">
        <x:v>5455</x:v>
      </x:c>
      <x:c r="E1406" s="0" t="s">
        <x:v>5456</x:v>
      </x:c>
      <x:c r="F1406" s="0" t="s">
        <x:v>45</x:v>
      </x:c>
      <x:c r="G1406" s="0" t="s">
        <x:v>19</x:v>
      </x:c>
      <x:c r="H1406" s="0" t="s">
        <x:v>20</x:v>
      </x:c>
      <x:c r="I1406" s="0" t="s">
        <x:v>21</x:v>
      </x:c>
      <x:c r="K1406" s="0">
        <x:f>hyperlink("https://icd.who.int/dev11/l-ichi/en#/http%3A%2F%2Fid.who.int%2Ficd%2Fentity%2F1639555382","browser")</x:f>
      </x:c>
      <x:c r="L1406" s="0">
        <x:f>hyperlink("https://icat2.azurewebsites.net/icat/?ontology=ICD&amp;tab=ClassesTab&amp;id=http%3A%2F%2Fwho.int%2Ficd%232800_512ebf36_bf6b_4d70_85da_cf2637062af4","iCat")</x:f>
      </x:c>
      <x:c r="M1406" s="0" t="s">
        <x:v>21</x:v>
      </x:c>
      <x:c r="N1406" s="0" t="s">
        <x:v>46</x:v>
      </x:c>
    </x:row>
    <x:row r="1407" spans="1:16">
      <x:c r="A1407" s="0" t="s">
        <x:v>5457</x:v>
      </x:c>
      <x:c r="B1407" s="0" t="s">
        <x:v>5458</x:v>
      </x:c>
      <x:c r="C1407" s="0" t="s">
        <x:v>5459</x:v>
      </x:c>
      <x:c r="E1407" s="0" t="s">
        <x:v>5460</x:v>
      </x:c>
      <x:c r="F1407" s="0" t="s">
        <x:v>45</x:v>
      </x:c>
      <x:c r="G1407" s="0" t="s">
        <x:v>19</x:v>
      </x:c>
      <x:c r="H1407" s="0" t="s">
        <x:v>20</x:v>
      </x:c>
      <x:c r="I1407" s="0" t="s">
        <x:v>21</x:v>
      </x:c>
      <x:c r="K1407" s="0">
        <x:f>hyperlink("https://icd.who.int/dev11/l-ichi/en#/http%3A%2F%2Fid.who.int%2Ficd%2Fentity%2F289082041","browser")</x:f>
      </x:c>
      <x:c r="L1407" s="0">
        <x:f>hyperlink("https://icat2.azurewebsites.net/icat/?ontology=ICD&amp;tab=ClassesTab&amp;id=http%3A%2F%2Fwho.int%2Ficd%232807_512ebf36_bf6b_4d70_85da_cf2637062af4","iCat")</x:f>
      </x:c>
      <x:c r="M1407" s="0" t="s">
        <x:v>21</x:v>
      </x:c>
      <x:c r="N1407" s="0" t="s">
        <x:v>46</x:v>
      </x:c>
    </x:row>
    <x:row r="1408" spans="1:16">
      <x:c r="A1408" s="0" t="s">
        <x:v>5461</x:v>
      </x:c>
      <x:c r="B1408" s="0" t="s">
        <x:v>5462</x:v>
      </x:c>
      <x:c r="C1408" s="0" t="s">
        <x:v>5463</x:v>
      </x:c>
      <x:c r="E1408" s="0" t="s">
        <x:v>5464</x:v>
      </x:c>
      <x:c r="F1408" s="0" t="s">
        <x:v>45</x:v>
      </x:c>
      <x:c r="G1408" s="0" t="s">
        <x:v>19</x:v>
      </x:c>
      <x:c r="H1408" s="0" t="s">
        <x:v>20</x:v>
      </x:c>
      <x:c r="I1408" s="0" t="s">
        <x:v>21</x:v>
      </x:c>
      <x:c r="K1408" s="0">
        <x:f>hyperlink("https://icd.who.int/dev11/l-ichi/en#/http%3A%2F%2Fid.who.int%2Ficd%2Fentity%2F1048309783","browser")</x:f>
      </x:c>
      <x:c r="L1408" s="0">
        <x:f>hyperlink("https://icat2.azurewebsites.net/icat/?ontology=ICD&amp;tab=ClassesTab&amp;id=http%3A%2F%2Fwho.int%2Ficd%232814_512ebf36_bf6b_4d70_85da_cf2637062af4","iCat")</x:f>
      </x:c>
      <x:c r="M1408" s="0" t="s">
        <x:v>21</x:v>
      </x:c>
      <x:c r="N1408" s="0" t="s">
        <x:v>46</x:v>
      </x:c>
    </x:row>
    <x:row r="1409" spans="1:16">
      <x:c r="A1409" s="0" t="s">
        <x:v>5465</x:v>
      </x:c>
      <x:c r="B1409" s="0" t="s">
        <x:v>5466</x:v>
      </x:c>
      <x:c r="C1409" s="0" t="s">
        <x:v>5467</x:v>
      </x:c>
      <x:c r="E1409" s="0" t="s">
        <x:v>5468</x:v>
      </x:c>
      <x:c r="F1409" s="0" t="s">
        <x:v>45</x:v>
      </x:c>
      <x:c r="G1409" s="0" t="s">
        <x:v>19</x:v>
      </x:c>
      <x:c r="H1409" s="0" t="s">
        <x:v>20</x:v>
      </x:c>
      <x:c r="I1409" s="0" t="s">
        <x:v>21</x:v>
      </x:c>
      <x:c r="K1409" s="0">
        <x:f>hyperlink("https://icd.who.int/dev11/l-ichi/en#/http%3A%2F%2Fid.who.int%2Ficd%2Fentity%2F1798571610","browser")</x:f>
      </x:c>
      <x:c r="L1409" s="0">
        <x:f>hyperlink("https://icat2.azurewebsites.net/icat/?ontology=ICD&amp;tab=ClassesTab&amp;id=http%3A%2F%2Fwho.int%2Ficd%232821_512ebf36_bf6b_4d70_85da_cf2637062af4","iCat")</x:f>
      </x:c>
      <x:c r="M1409" s="0" t="s">
        <x:v>21</x:v>
      </x:c>
      <x:c r="N1409" s="0" t="s">
        <x:v>46</x:v>
      </x:c>
    </x:row>
    <x:row r="1410" spans="1:16">
      <x:c r="A1410" s="0" t="s">
        <x:v>5469</x:v>
      </x:c>
      <x:c r="B1410" s="0" t="s">
        <x:v>5470</x:v>
      </x:c>
      <x:c r="C1410" s="0" t="s">
        <x:v>5471</x:v>
      </x:c>
      <x:c r="E1410" s="0" t="s">
        <x:v>5472</x:v>
      </x:c>
      <x:c r="F1410" s="0" t="s">
        <x:v>45</x:v>
      </x:c>
      <x:c r="G1410" s="0" t="s">
        <x:v>19</x:v>
      </x:c>
      <x:c r="H1410" s="0" t="s">
        <x:v>20</x:v>
      </x:c>
      <x:c r="I1410" s="0" t="s">
        <x:v>21</x:v>
      </x:c>
      <x:c r="K1410" s="0">
        <x:f>hyperlink("https://icd.who.int/dev11/l-ichi/en#/http%3A%2F%2Fid.who.int%2Ficd%2Fentity%2F88868145","browser")</x:f>
      </x:c>
      <x:c r="L1410" s="0">
        <x:f>hyperlink("https://icat2.azurewebsites.net/icat/?ontology=ICD&amp;tab=ClassesTab&amp;id=http%3A%2F%2Fwho.int%2Ficd%232828_512ebf36_bf6b_4d70_85da_cf2637062af4","iCat")</x:f>
      </x:c>
      <x:c r="M1410" s="0" t="s">
        <x:v>21</x:v>
      </x:c>
      <x:c r="N1410" s="0" t="s">
        <x:v>46</x:v>
      </x:c>
    </x:row>
    <x:row r="1411" spans="1:16">
      <x:c r="A1411" s="0" t="s">
        <x:v>5473</x:v>
      </x:c>
      <x:c r="B1411" s="0" t="s">
        <x:v>5474</x:v>
      </x:c>
      <x:c r="C1411" s="0" t="s">
        <x:v>5475</x:v>
      </x:c>
      <x:c r="E1411" s="0" t="s">
        <x:v>5476</x:v>
      </x:c>
      <x:c r="F1411" s="0" t="s">
        <x:v>45</x:v>
      </x:c>
      <x:c r="G1411" s="0" t="s">
        <x:v>19</x:v>
      </x:c>
      <x:c r="H1411" s="0" t="s">
        <x:v>20</x:v>
      </x:c>
      <x:c r="I1411" s="0" t="s">
        <x:v>21</x:v>
      </x:c>
      <x:c r="K1411" s="0">
        <x:f>hyperlink("https://icd.who.int/dev11/l-ichi/en#/http%3A%2F%2Fid.who.int%2Ficd%2Fentity%2F888559483","browser")</x:f>
      </x:c>
      <x:c r="L1411" s="0">
        <x:f>hyperlink("https://icat2.azurewebsites.net/icat/?ontology=ICD&amp;tab=ClassesTab&amp;id=http%3A%2F%2Fwho.int%2Ficd%232835_512ebf36_bf6b_4d70_85da_cf2637062af4","iCat")</x:f>
      </x:c>
      <x:c r="M1411" s="0" t="s">
        <x:v>21</x:v>
      </x:c>
      <x:c r="N1411" s="0" t="s">
        <x:v>46</x:v>
      </x:c>
    </x:row>
    <x:row r="1412" spans="1:16">
      <x:c r="A1412" s="0" t="s">
        <x:v>5477</x:v>
      </x:c>
      <x:c r="B1412" s="0" t="s">
        <x:v>5478</x:v>
      </x:c>
      <x:c r="C1412" s="0" t="s">
        <x:v>5479</x:v>
      </x:c>
      <x:c r="E1412" s="0" t="s">
        <x:v>5480</x:v>
      </x:c>
      <x:c r="F1412" s="0" t="s">
        <x:v>45</x:v>
      </x:c>
      <x:c r="G1412" s="0" t="s">
        <x:v>19</x:v>
      </x:c>
      <x:c r="H1412" s="0" t="s">
        <x:v>20</x:v>
      </x:c>
      <x:c r="I1412" s="0" t="s">
        <x:v>21</x:v>
      </x:c>
      <x:c r="K1412" s="0">
        <x:f>hyperlink("https://icd.who.int/dev11/l-ichi/en#/http%3A%2F%2Fid.who.int%2Ficd%2Fentity%2F69223521","browser")</x:f>
      </x:c>
      <x:c r="L1412" s="0">
        <x:f>hyperlink("https://icat2.azurewebsites.net/icat/?ontology=ICD&amp;tab=ClassesTab&amp;id=http%3A%2F%2Fwho.int%2Ficd%232845_512ebf36_bf6b_4d70_85da_cf2637062af4","iCat")</x:f>
      </x:c>
      <x:c r="M1412" s="0" t="s">
        <x:v>21</x:v>
      </x:c>
      <x:c r="N1412" s="0" t="s">
        <x:v>46</x:v>
      </x:c>
    </x:row>
    <x:row r="1413" spans="1:16">
      <x:c r="A1413" s="0" t="s">
        <x:v>5481</x:v>
      </x:c>
      <x:c r="B1413" s="0" t="s">
        <x:v>5482</x:v>
      </x:c>
      <x:c r="C1413" s="0" t="s">
        <x:v>5483</x:v>
      </x:c>
      <x:c r="E1413" s="0" t="s">
        <x:v>5484</x:v>
      </x:c>
      <x:c r="F1413" s="0" t="s">
        <x:v>45</x:v>
      </x:c>
      <x:c r="G1413" s="0" t="s">
        <x:v>19</x:v>
      </x:c>
      <x:c r="H1413" s="0" t="s">
        <x:v>20</x:v>
      </x:c>
      <x:c r="I1413" s="0" t="s">
        <x:v>21</x:v>
      </x:c>
      <x:c r="K1413" s="0">
        <x:f>hyperlink("https://icd.who.int/dev11/l-ichi/en#/http%3A%2F%2Fid.who.int%2Ficd%2Fentity%2F510098107","browser")</x:f>
      </x:c>
      <x:c r="L1413" s="0">
        <x:f>hyperlink("https://icat2.azurewebsites.net/icat/?ontology=ICD&amp;tab=ClassesTab&amp;id=http%3A%2F%2Fwho.int%2Ficd%232852_512ebf36_bf6b_4d70_85da_cf2637062af4","iCat")</x:f>
      </x:c>
      <x:c r="M1413" s="0" t="s">
        <x:v>21</x:v>
      </x:c>
      <x:c r="N1413" s="0" t="s">
        <x:v>46</x:v>
      </x:c>
    </x:row>
    <x:row r="1414" spans="1:16">
      <x:c r="A1414" s="0" t="s">
        <x:v>5485</x:v>
      </x:c>
      <x:c r="B1414" s="0" t="s">
        <x:v>5486</x:v>
      </x:c>
      <x:c r="C1414" s="0" t="s">
        <x:v>5487</x:v>
      </x:c>
      <x:c r="E1414" s="0" t="s">
        <x:v>5488</x:v>
      </x:c>
      <x:c r="F1414" s="0" t="s">
        <x:v>45</x:v>
      </x:c>
      <x:c r="G1414" s="0" t="s">
        <x:v>19</x:v>
      </x:c>
      <x:c r="H1414" s="0" t="s">
        <x:v>20</x:v>
      </x:c>
      <x:c r="I1414" s="0" t="s">
        <x:v>21</x:v>
      </x:c>
      <x:c r="K1414" s="0">
        <x:f>hyperlink("https://icd.who.int/dev11/l-ichi/en#/http%3A%2F%2Fid.who.int%2Ficd%2Fentity%2F358835223","browser")</x:f>
      </x:c>
      <x:c r="L1414" s="0">
        <x:f>hyperlink("https://icat2.azurewebsites.net/icat/?ontology=ICD&amp;tab=ClassesTab&amp;id=http%3A%2F%2Fwho.int%2Ficd%232859_512ebf36_bf6b_4d70_85da_cf2637062af4","iCat")</x:f>
      </x:c>
      <x:c r="M1414" s="0" t="s">
        <x:v>21</x:v>
      </x:c>
      <x:c r="N1414" s="0" t="s">
        <x:v>46</x:v>
      </x:c>
    </x:row>
    <x:row r="1415" spans="1:16">
      <x:c r="A1415" s="0" t="s">
        <x:v>5489</x:v>
      </x:c>
      <x:c r="B1415" s="0" t="s">
        <x:v>5490</x:v>
      </x:c>
      <x:c r="C1415" s="0" t="s">
        <x:v>5491</x:v>
      </x:c>
      <x:c r="E1415" s="0" t="s">
        <x:v>5492</x:v>
      </x:c>
      <x:c r="F1415" s="0" t="s">
        <x:v>45</x:v>
      </x:c>
      <x:c r="G1415" s="0" t="s">
        <x:v>19</x:v>
      </x:c>
      <x:c r="H1415" s="0" t="s">
        <x:v>20</x:v>
      </x:c>
      <x:c r="I1415" s="0" t="s">
        <x:v>21</x:v>
      </x:c>
      <x:c r="K1415" s="0">
        <x:f>hyperlink("https://icd.who.int/dev11/l-ichi/en#/http%3A%2F%2Fid.who.int%2Ficd%2Fentity%2F1808924362","browser")</x:f>
      </x:c>
      <x:c r="L1415" s="0">
        <x:f>hyperlink("https://icat2.azurewebsites.net/icat/?ontology=ICD&amp;tab=ClassesTab&amp;id=http%3A%2F%2Fwho.int%2Ficd%232866_512ebf36_bf6b_4d70_85da_cf2637062af4","iCat")</x:f>
      </x:c>
      <x:c r="M1415" s="0" t="s">
        <x:v>21</x:v>
      </x:c>
      <x:c r="N1415" s="0" t="s">
        <x:v>46</x:v>
      </x:c>
    </x:row>
    <x:row r="1416" spans="1:16">
      <x:c r="A1416" s="0" t="s">
        <x:v>5493</x:v>
      </x:c>
      <x:c r="B1416" s="0" t="s">
        <x:v>5494</x:v>
      </x:c>
      <x:c r="C1416" s="0" t="s">
        <x:v>5495</x:v>
      </x:c>
      <x:c r="E1416" s="0" t="s">
        <x:v>5496</x:v>
      </x:c>
      <x:c r="F1416" s="0" t="s">
        <x:v>45</x:v>
      </x:c>
      <x:c r="G1416" s="0" t="s">
        <x:v>19</x:v>
      </x:c>
      <x:c r="H1416" s="0" t="s">
        <x:v>20</x:v>
      </x:c>
      <x:c r="I1416" s="0" t="s">
        <x:v>21</x:v>
      </x:c>
      <x:c r="K1416" s="0">
        <x:f>hyperlink("https://icd.who.int/dev11/l-ichi/en#/http%3A%2F%2Fid.who.int%2Ficd%2Fentity%2F350936535","browser")</x:f>
      </x:c>
      <x:c r="L1416" s="0">
        <x:f>hyperlink("https://icat2.azurewebsites.net/icat/?ontology=ICD&amp;tab=ClassesTab&amp;id=http%3A%2F%2Fwho.int%2Ficd%232873_512ebf36_bf6b_4d70_85da_cf2637062af4","iCat")</x:f>
      </x:c>
      <x:c r="M1416" s="0" t="s">
        <x:v>21</x:v>
      </x:c>
      <x:c r="N1416" s="0" t="s">
        <x:v>46</x:v>
      </x:c>
    </x:row>
    <x:row r="1417" spans="1:16">
      <x:c r="A1417" s="0" t="s">
        <x:v>5497</x:v>
      </x:c>
      <x:c r="B1417" s="0" t="s">
        <x:v>5498</x:v>
      </x:c>
      <x:c r="C1417" s="0" t="s">
        <x:v>5499</x:v>
      </x:c>
      <x:c r="E1417" s="0" t="s">
        <x:v>5500</x:v>
      </x:c>
      <x:c r="F1417" s="0" t="s">
        <x:v>45</x:v>
      </x:c>
      <x:c r="G1417" s="0" t="s">
        <x:v>19</x:v>
      </x:c>
      <x:c r="H1417" s="0" t="s">
        <x:v>20</x:v>
      </x:c>
      <x:c r="I1417" s="0" t="s">
        <x:v>21</x:v>
      </x:c>
      <x:c r="K1417" s="0">
        <x:f>hyperlink("https://icd.who.int/dev11/l-ichi/en#/http%3A%2F%2Fid.who.int%2Ficd%2Fentity%2F2122905840","browser")</x:f>
      </x:c>
      <x:c r="L1417" s="0">
        <x:f>hyperlink("https://icat2.azurewebsites.net/icat/?ontology=ICD&amp;tab=ClassesTab&amp;id=http%3A%2F%2Fwho.int%2Ficd%232880_512ebf36_bf6b_4d70_85da_cf2637062af4","iCat")</x:f>
      </x:c>
      <x:c r="M1417" s="0" t="s">
        <x:v>21</x:v>
      </x:c>
      <x:c r="N1417" s="0" t="s">
        <x:v>46</x:v>
      </x:c>
    </x:row>
    <x:row r="1418" spans="1:16">
      <x:c r="A1418" s="0" t="s">
        <x:v>5501</x:v>
      </x:c>
      <x:c r="B1418" s="0" t="s">
        <x:v>5502</x:v>
      </x:c>
      <x:c r="C1418" s="0" t="s">
        <x:v>5503</x:v>
      </x:c>
      <x:c r="E1418" s="0" t="s">
        <x:v>5504</x:v>
      </x:c>
      <x:c r="F1418" s="0" t="s">
        <x:v>45</x:v>
      </x:c>
      <x:c r="G1418" s="0" t="s">
        <x:v>19</x:v>
      </x:c>
      <x:c r="H1418" s="0" t="s">
        <x:v>20</x:v>
      </x:c>
      <x:c r="I1418" s="0" t="s">
        <x:v>21</x:v>
      </x:c>
      <x:c r="K1418" s="0">
        <x:f>hyperlink("https://icd.who.int/dev11/l-ichi/en#/http%3A%2F%2Fid.who.int%2Ficd%2Fentity%2F235557757","browser")</x:f>
      </x:c>
      <x:c r="L1418" s="0">
        <x:f>hyperlink("https://icat2.azurewebsites.net/icat/?ontology=ICD&amp;tab=ClassesTab&amp;id=http%3A%2F%2Fwho.int%2Ficd%232887_512ebf36_bf6b_4d70_85da_cf2637062af4","iCat")</x:f>
      </x:c>
      <x:c r="M1418" s="0" t="s">
        <x:v>21</x:v>
      </x:c>
      <x:c r="N1418" s="0" t="s">
        <x:v>46</x:v>
      </x:c>
    </x:row>
    <x:row r="1419" spans="1:16">
      <x:c r="A1419" s="0" t="s">
        <x:v>5505</x:v>
      </x:c>
      <x:c r="B1419" s="0" t="s">
        <x:v>5506</x:v>
      </x:c>
      <x:c r="C1419" s="0" t="s">
        <x:v>5507</x:v>
      </x:c>
      <x:c r="E1419" s="0" t="s">
        <x:v>5508</x:v>
      </x:c>
      <x:c r="F1419" s="0" t="s">
        <x:v>45</x:v>
      </x:c>
      <x:c r="G1419" s="0" t="s">
        <x:v>19</x:v>
      </x:c>
      <x:c r="H1419" s="0" t="s">
        <x:v>20</x:v>
      </x:c>
      <x:c r="I1419" s="0" t="s">
        <x:v>21</x:v>
      </x:c>
      <x:c r="K1419" s="0">
        <x:f>hyperlink("https://icd.who.int/dev11/l-ichi/en#/http%3A%2F%2Fid.who.int%2Ficd%2Fentity%2F558541267","browser")</x:f>
      </x:c>
      <x:c r="L1419" s="0">
        <x:f>hyperlink("https://icat2.azurewebsites.net/icat/?ontology=ICD&amp;tab=ClassesTab&amp;id=http%3A%2F%2Fwho.int%2Ficd%232894_512ebf36_bf6b_4d70_85da_cf2637062af4","iCat")</x:f>
      </x:c>
      <x:c r="M1419" s="0" t="s">
        <x:v>21</x:v>
      </x:c>
      <x:c r="N1419" s="0" t="s">
        <x:v>46</x:v>
      </x:c>
    </x:row>
    <x:row r="1420" spans="1:16">
      <x:c r="A1420" s="0" t="s">
        <x:v>5509</x:v>
      </x:c>
      <x:c r="B1420" s="0" t="s">
        <x:v>5510</x:v>
      </x:c>
      <x:c r="C1420" s="0" t="s">
        <x:v>5511</x:v>
      </x:c>
      <x:c r="E1420" s="0" t="s">
        <x:v>5512</x:v>
      </x:c>
      <x:c r="F1420" s="0" t="s">
        <x:v>45</x:v>
      </x:c>
      <x:c r="G1420" s="0" t="s">
        <x:v>19</x:v>
      </x:c>
      <x:c r="H1420" s="0" t="s">
        <x:v>20</x:v>
      </x:c>
      <x:c r="I1420" s="0" t="s">
        <x:v>21</x:v>
      </x:c>
      <x:c r="K1420" s="0">
        <x:f>hyperlink("https://icd.who.int/dev11/l-ichi/en#/http%3A%2F%2Fid.who.int%2Ficd%2Fentity%2F887035285","browser")</x:f>
      </x:c>
      <x:c r="L1420" s="0">
        <x:f>hyperlink("https://icat2.azurewebsites.net/icat/?ontology=ICD&amp;tab=ClassesTab&amp;id=http%3A%2F%2Fwho.int%2Ficd%232901_512ebf36_bf6b_4d70_85da_cf2637062af4","iCat")</x:f>
      </x:c>
      <x:c r="M1420" s="0" t="s">
        <x:v>21</x:v>
      </x:c>
      <x:c r="N1420" s="0" t="s">
        <x:v>46</x:v>
      </x:c>
    </x:row>
    <x:row r="1421" spans="1:16">
      <x:c r="A1421" s="0" t="s">
        <x:v>5513</x:v>
      </x:c>
      <x:c r="B1421" s="0" t="s">
        <x:v>5514</x:v>
      </x:c>
      <x:c r="C1421" s="0" t="s">
        <x:v>5515</x:v>
      </x:c>
      <x:c r="E1421" s="0" t="s">
        <x:v>5516</x:v>
      </x:c>
      <x:c r="F1421" s="0" t="s">
        <x:v>45</x:v>
      </x:c>
      <x:c r="G1421" s="0" t="s">
        <x:v>19</x:v>
      </x:c>
      <x:c r="H1421" s="0" t="s">
        <x:v>20</x:v>
      </x:c>
      <x:c r="I1421" s="0" t="s">
        <x:v>21</x:v>
      </x:c>
      <x:c r="K1421" s="0">
        <x:f>hyperlink("https://icd.who.int/dev11/l-ichi/en#/http%3A%2F%2Fid.who.int%2Ficd%2Fentity%2F463466299","browser")</x:f>
      </x:c>
      <x:c r="L1421" s="0">
        <x:f>hyperlink("https://icat2.azurewebsites.net/icat/?ontology=ICD&amp;tab=ClassesTab&amp;id=http%3A%2F%2Fwho.int%2Ficd%232912_512ebf36_bf6b_4d70_85da_cf2637062af4","iCat")</x:f>
      </x:c>
      <x:c r="M1421" s="0" t="s">
        <x:v>21</x:v>
      </x:c>
      <x:c r="N1421" s="0" t="s">
        <x:v>46</x:v>
      </x:c>
    </x:row>
    <x:row r="1422" spans="1:16">
      <x:c r="A1422" s="0" t="s">
        <x:v>5517</x:v>
      </x:c>
      <x:c r="B1422" s="0" t="s">
        <x:v>5518</x:v>
      </x:c>
      <x:c r="C1422" s="0" t="s">
        <x:v>5519</x:v>
      </x:c>
      <x:c r="E1422" s="0" t="s">
        <x:v>5520</x:v>
      </x:c>
      <x:c r="F1422" s="0" t="s">
        <x:v>45</x:v>
      </x:c>
      <x:c r="G1422" s="0" t="s">
        <x:v>19</x:v>
      </x:c>
      <x:c r="H1422" s="0" t="s">
        <x:v>20</x:v>
      </x:c>
      <x:c r="I1422" s="0" t="s">
        <x:v>21</x:v>
      </x:c>
      <x:c r="K1422" s="0">
        <x:f>hyperlink("https://icd.who.int/dev11/l-ichi/en#/http%3A%2F%2Fid.who.int%2Ficd%2Fentity%2F278655383","browser")</x:f>
      </x:c>
      <x:c r="L1422" s="0">
        <x:f>hyperlink("https://icat2.azurewebsites.net/icat/?ontology=ICD&amp;tab=ClassesTab&amp;id=http%3A%2F%2Fwho.int%2Ficd%232919_512ebf36_bf6b_4d70_85da_cf2637062af4","iCat")</x:f>
      </x:c>
      <x:c r="M1422" s="0" t="s">
        <x:v>21</x:v>
      </x:c>
      <x:c r="N1422" s="0" t="s">
        <x:v>46</x:v>
      </x:c>
    </x:row>
    <x:row r="1423" spans="1:16">
      <x:c r="A1423" s="0" t="s">
        <x:v>5521</x:v>
      </x:c>
      <x:c r="B1423" s="0" t="s">
        <x:v>5522</x:v>
      </x:c>
      <x:c r="C1423" s="0" t="s">
        <x:v>5523</x:v>
      </x:c>
      <x:c r="E1423" s="0" t="s">
        <x:v>5524</x:v>
      </x:c>
      <x:c r="F1423" s="0" t="s">
        <x:v>45</x:v>
      </x:c>
      <x:c r="G1423" s="0" t="s">
        <x:v>19</x:v>
      </x:c>
      <x:c r="H1423" s="0" t="s">
        <x:v>20</x:v>
      </x:c>
      <x:c r="I1423" s="0" t="s">
        <x:v>21</x:v>
      </x:c>
      <x:c r="K1423" s="0">
        <x:f>hyperlink("https://icd.who.int/dev11/l-ichi/en#/http%3A%2F%2Fid.who.int%2Ficd%2Fentity%2F1848208202","browser")</x:f>
      </x:c>
      <x:c r="L1423" s="0">
        <x:f>hyperlink("https://icat2.azurewebsites.net/icat/?ontology=ICD&amp;tab=ClassesTab&amp;id=http%3A%2F%2Fwho.int%2Ficd%232926_512ebf36_bf6b_4d70_85da_cf2637062af4","iCat")</x:f>
      </x:c>
      <x:c r="M1423" s="0" t="s">
        <x:v>21</x:v>
      </x:c>
      <x:c r="N1423" s="0" t="s">
        <x:v>46</x:v>
      </x:c>
    </x:row>
    <x:row r="1424" spans="1:16">
      <x:c r="A1424" s="0" t="s">
        <x:v>5525</x:v>
      </x:c>
      <x:c r="B1424" s="0" t="s">
        <x:v>5526</x:v>
      </x:c>
      <x:c r="C1424" s="0" t="s">
        <x:v>5527</x:v>
      </x:c>
      <x:c r="E1424" s="0" t="s">
        <x:v>5528</x:v>
      </x:c>
      <x:c r="F1424" s="0" t="s">
        <x:v>45</x:v>
      </x:c>
      <x:c r="G1424" s="0" t="s">
        <x:v>19</x:v>
      </x:c>
      <x:c r="H1424" s="0" t="s">
        <x:v>20</x:v>
      </x:c>
      <x:c r="I1424" s="0" t="s">
        <x:v>21</x:v>
      </x:c>
      <x:c r="K1424" s="0">
        <x:f>hyperlink("https://icd.who.int/dev11/l-ichi/en#/http%3A%2F%2Fid.who.int%2Ficd%2Fentity%2F286410839","browser")</x:f>
      </x:c>
      <x:c r="L1424" s="0">
        <x:f>hyperlink("https://icat2.azurewebsites.net/icat/?ontology=ICD&amp;tab=ClassesTab&amp;id=http%3A%2F%2Fwho.int%2Ficd%232933_512ebf36_bf6b_4d70_85da_cf2637062af4","iCat")</x:f>
      </x:c>
      <x:c r="M1424" s="0" t="s">
        <x:v>21</x:v>
      </x:c>
      <x:c r="N1424" s="0" t="s">
        <x:v>46</x:v>
      </x:c>
    </x:row>
    <x:row r="1425" spans="1:16">
      <x:c r="A1425" s="0" t="s">
        <x:v>5529</x:v>
      </x:c>
      <x:c r="B1425" s="0" t="s">
        <x:v>5530</x:v>
      </x:c>
      <x:c r="C1425" s="0" t="s">
        <x:v>5531</x:v>
      </x:c>
      <x:c r="E1425" s="0" t="s">
        <x:v>5532</x:v>
      </x:c>
      <x:c r="F1425" s="0" t="s">
        <x:v>45</x:v>
      </x:c>
      <x:c r="G1425" s="0" t="s">
        <x:v>19</x:v>
      </x:c>
      <x:c r="H1425" s="0" t="s">
        <x:v>20</x:v>
      </x:c>
      <x:c r="I1425" s="0" t="s">
        <x:v>21</x:v>
      </x:c>
      <x:c r="K1425" s="0">
        <x:f>hyperlink("https://icd.who.int/dev11/l-ichi/en#/http%3A%2F%2Fid.who.int%2Ficd%2Fentity%2F1681994934","browser")</x:f>
      </x:c>
      <x:c r="L1425" s="0">
        <x:f>hyperlink("https://icat2.azurewebsites.net/icat/?ontology=ICD&amp;tab=ClassesTab&amp;id=http%3A%2F%2Fwho.int%2Ficd%232940_512ebf36_bf6b_4d70_85da_cf2637062af4","iCat")</x:f>
      </x:c>
      <x:c r="M1425" s="0" t="s">
        <x:v>21</x:v>
      </x:c>
      <x:c r="N1425" s="0" t="s">
        <x:v>46</x:v>
      </x:c>
    </x:row>
    <x:row r="1426" spans="1:16">
      <x:c r="A1426" s="0" t="s">
        <x:v>5533</x:v>
      </x:c>
      <x:c r="B1426" s="0" t="s">
        <x:v>5534</x:v>
      </x:c>
      <x:c r="C1426" s="0" t="s">
        <x:v>5535</x:v>
      </x:c>
      <x:c r="E1426" s="0" t="s">
        <x:v>5536</x:v>
      </x:c>
      <x:c r="F1426" s="0" t="s">
        <x:v>45</x:v>
      </x:c>
      <x:c r="G1426" s="0" t="s">
        <x:v>19</x:v>
      </x:c>
      <x:c r="H1426" s="0" t="s">
        <x:v>20</x:v>
      </x:c>
      <x:c r="I1426" s="0" t="s">
        <x:v>21</x:v>
      </x:c>
      <x:c r="K1426" s="0">
        <x:f>hyperlink("https://icd.who.int/dev11/l-ichi/en#/http%3A%2F%2Fid.who.int%2Ficd%2Fentity%2F348364601","browser")</x:f>
      </x:c>
      <x:c r="L1426" s="0">
        <x:f>hyperlink("https://icat2.azurewebsites.net/icat/?ontology=ICD&amp;tab=ClassesTab&amp;id=http%3A%2F%2Fwho.int%2Ficd%232947_512ebf36_bf6b_4d70_85da_cf2637062af4","iCat")</x:f>
      </x:c>
      <x:c r="M1426" s="0" t="s">
        <x:v>21</x:v>
      </x:c>
      <x:c r="N1426" s="0" t="s">
        <x:v>46</x:v>
      </x:c>
    </x:row>
    <x:row r="1427" spans="1:16">
      <x:c r="A1427" s="0" t="s">
        <x:v>5537</x:v>
      </x:c>
      <x:c r="B1427" s="0" t="s">
        <x:v>5538</x:v>
      </x:c>
      <x:c r="C1427" s="0" t="s">
        <x:v>5539</x:v>
      </x:c>
      <x:c r="E1427" s="0" t="s">
        <x:v>5540</x:v>
      </x:c>
      <x:c r="F1427" s="0" t="s">
        <x:v>45</x:v>
      </x:c>
      <x:c r="G1427" s="0" t="s">
        <x:v>19</x:v>
      </x:c>
      <x:c r="H1427" s="0" t="s">
        <x:v>20</x:v>
      </x:c>
      <x:c r="I1427" s="0" t="s">
        <x:v>21</x:v>
      </x:c>
      <x:c r="K1427" s="0">
        <x:f>hyperlink("https://icd.who.int/dev11/l-ichi/en#/http%3A%2F%2Fid.who.int%2Ficd%2Fentity%2F998466967","browser")</x:f>
      </x:c>
      <x:c r="L1427" s="0">
        <x:f>hyperlink("https://icat2.azurewebsites.net/icat/?ontology=ICD&amp;tab=ClassesTab&amp;id=http%3A%2F%2Fwho.int%2Ficd%232954_512ebf36_bf6b_4d70_85da_cf2637062af4","iCat")</x:f>
      </x:c>
      <x:c r="M1427" s="0" t="s">
        <x:v>21</x:v>
      </x:c>
      <x:c r="N1427" s="0" t="s">
        <x:v>46</x:v>
      </x:c>
    </x:row>
    <x:row r="1428" spans="1:16">
      <x:c r="A1428" s="0" t="s">
        <x:v>5541</x:v>
      </x:c>
      <x:c r="B1428" s="0" t="s">
        <x:v>5542</x:v>
      </x:c>
      <x:c r="C1428" s="0" t="s">
        <x:v>5543</x:v>
      </x:c>
      <x:c r="E1428" s="0" t="s">
        <x:v>5544</x:v>
      </x:c>
      <x:c r="F1428" s="0" t="s">
        <x:v>45</x:v>
      </x:c>
      <x:c r="G1428" s="0" t="s">
        <x:v>19</x:v>
      </x:c>
      <x:c r="H1428" s="0" t="s">
        <x:v>20</x:v>
      </x:c>
      <x:c r="I1428" s="0" t="s">
        <x:v>21</x:v>
      </x:c>
      <x:c r="K1428" s="0">
        <x:f>hyperlink("https://icd.who.int/dev11/l-ichi/en#/http%3A%2F%2Fid.who.int%2Ficd%2Fentity%2F1858900954","browser")</x:f>
      </x:c>
      <x:c r="L1428" s="0">
        <x:f>hyperlink("https://icat2.azurewebsites.net/icat/?ontology=ICD&amp;tab=ClassesTab&amp;id=http%3A%2F%2Fwho.int%2Ficd%232961_512ebf36_bf6b_4d70_85da_cf2637062af4","iCat")</x:f>
      </x:c>
      <x:c r="M1428" s="0" t="s">
        <x:v>21</x:v>
      </x:c>
      <x:c r="N1428" s="0" t="s">
        <x:v>46</x:v>
      </x:c>
    </x:row>
    <x:row r="1429" spans="1:16">
      <x:c r="A1429" s="0" t="s">
        <x:v>5545</x:v>
      </x:c>
      <x:c r="B1429" s="0" t="s">
        <x:v>5546</x:v>
      </x:c>
      <x:c r="C1429" s="0" t="s">
        <x:v>5547</x:v>
      </x:c>
      <x:c r="E1429" s="0" t="s">
        <x:v>5548</x:v>
      </x:c>
      <x:c r="F1429" s="0" t="s">
        <x:v>45</x:v>
      </x:c>
      <x:c r="G1429" s="0" t="s">
        <x:v>19</x:v>
      </x:c>
      <x:c r="H1429" s="0" t="s">
        <x:v>20</x:v>
      </x:c>
      <x:c r="I1429" s="0" t="s">
        <x:v>21</x:v>
      </x:c>
      <x:c r="K1429" s="0">
        <x:f>hyperlink("https://icd.who.int/dev11/l-ichi/en#/http%3A%2F%2Fid.who.int%2Ficd%2Fentity%2F11833521","browser")</x:f>
      </x:c>
      <x:c r="L1429" s="0">
        <x:f>hyperlink("https://icat2.azurewebsites.net/icat/?ontology=ICD&amp;tab=ClassesTab&amp;id=http%3A%2F%2Fwho.int%2Ficd%232968_512ebf36_bf6b_4d70_85da_cf2637062af4","iCat")</x:f>
      </x:c>
      <x:c r="M1429" s="0" t="s">
        <x:v>21</x:v>
      </x:c>
      <x:c r="N1429" s="0" t="s">
        <x:v>46</x:v>
      </x:c>
    </x:row>
    <x:row r="1430" spans="1:16">
      <x:c r="A1430" s="0" t="s">
        <x:v>5549</x:v>
      </x:c>
      <x:c r="B1430" s="0" t="s">
        <x:v>5550</x:v>
      </x:c>
      <x:c r="C1430" s="0" t="s">
        <x:v>5551</x:v>
      </x:c>
      <x:c r="E1430" s="0" t="s">
        <x:v>5552</x:v>
      </x:c>
      <x:c r="F1430" s="0" t="s">
        <x:v>45</x:v>
      </x:c>
      <x:c r="G1430" s="0" t="s">
        <x:v>19</x:v>
      </x:c>
      <x:c r="H1430" s="0" t="s">
        <x:v>20</x:v>
      </x:c>
      <x:c r="I1430" s="0" t="s">
        <x:v>21</x:v>
      </x:c>
      <x:c r="K1430" s="0">
        <x:f>hyperlink("https://icd.who.int/dev11/l-ichi/en#/http%3A%2F%2Fid.who.int%2Ficd%2Fentity%2F823051003","browser")</x:f>
      </x:c>
      <x:c r="L1430" s="0">
        <x:f>hyperlink("https://icat2.azurewebsites.net/icat/?ontology=ICD&amp;tab=ClassesTab&amp;id=http%3A%2F%2Fwho.int%2Ficd%232975_512ebf36_bf6b_4d70_85da_cf2637062af4","iCat")</x:f>
      </x:c>
      <x:c r="M1430" s="0" t="s">
        <x:v>21</x:v>
      </x:c>
      <x:c r="N1430" s="0" t="s">
        <x:v>46</x:v>
      </x:c>
    </x:row>
    <x:row r="1431" spans="1:16">
      <x:c r="A1431" s="0" t="s">
        <x:v>5553</x:v>
      </x:c>
      <x:c r="B1431" s="0" t="s">
        <x:v>5554</x:v>
      </x:c>
      <x:c r="C1431" s="0" t="s">
        <x:v>5555</x:v>
      </x:c>
      <x:c r="E1431" s="0" t="s">
        <x:v>5556</x:v>
      </x:c>
      <x:c r="F1431" s="0" t="s">
        <x:v>45</x:v>
      </x:c>
      <x:c r="G1431" s="0" t="s">
        <x:v>19</x:v>
      </x:c>
      <x:c r="H1431" s="0" t="s">
        <x:v>20</x:v>
      </x:c>
      <x:c r="I1431" s="0" t="s">
        <x:v>21</x:v>
      </x:c>
      <x:c r="K1431" s="0">
        <x:f>hyperlink("https://icd.who.int/dev11/l-ichi/en#/http%3A%2F%2Fid.who.int%2Ficd%2Fentity%2F1852515240","browser")</x:f>
      </x:c>
      <x:c r="L1431" s="0">
        <x:f>hyperlink("https://icat2.azurewebsites.net/icat/?ontology=ICD&amp;tab=ClassesTab&amp;id=http%3A%2F%2Fwho.int%2Ficd%232982_512ebf36_bf6b_4d70_85da_cf2637062af4","iCat")</x:f>
      </x:c>
      <x:c r="M1431" s="0" t="s">
        <x:v>21</x:v>
      </x:c>
      <x:c r="N1431" s="0" t="s">
        <x:v>46</x:v>
      </x:c>
    </x:row>
    <x:row r="1432" spans="1:16">
      <x:c r="A1432" s="0" t="s">
        <x:v>5557</x:v>
      </x:c>
      <x:c r="B1432" s="0" t="s">
        <x:v>5558</x:v>
      </x:c>
      <x:c r="C1432" s="0" t="s">
        <x:v>5559</x:v>
      </x:c>
      <x:c r="E1432" s="0" t="s">
        <x:v>5560</x:v>
      </x:c>
      <x:c r="F1432" s="0" t="s">
        <x:v>45</x:v>
      </x:c>
      <x:c r="G1432" s="0" t="s">
        <x:v>19</x:v>
      </x:c>
      <x:c r="H1432" s="0" t="s">
        <x:v>20</x:v>
      </x:c>
      <x:c r="I1432" s="0" t="s">
        <x:v>21</x:v>
      </x:c>
      <x:c r="K1432" s="0">
        <x:f>hyperlink("https://icd.who.int/dev11/l-ichi/en#/http%3A%2F%2Fid.who.int%2Ficd%2Fentity%2F1701788934","browser")</x:f>
      </x:c>
      <x:c r="L1432" s="0">
        <x:f>hyperlink("https://icat2.azurewebsites.net/icat/?ontology=ICD&amp;tab=ClassesTab&amp;id=http%3A%2F%2Fwho.int%2Ficd%232989_512ebf36_bf6b_4d70_85da_cf2637062af4","iCat")</x:f>
      </x:c>
      <x:c r="M1432" s="0" t="s">
        <x:v>21</x:v>
      </x:c>
      <x:c r="N1432" s="0" t="s">
        <x:v>46</x:v>
      </x:c>
    </x:row>
    <x:row r="1433" spans="1:16">
      <x:c r="A1433" s="0" t="s">
        <x:v>5561</x:v>
      </x:c>
      <x:c r="B1433" s="0" t="s">
        <x:v>5562</x:v>
      </x:c>
      <x:c r="C1433" s="0" t="s">
        <x:v>5563</x:v>
      </x:c>
      <x:c r="E1433" s="0" t="s">
        <x:v>5564</x:v>
      </x:c>
      <x:c r="F1433" s="0" t="s">
        <x:v>45</x:v>
      </x:c>
      <x:c r="G1433" s="0" t="s">
        <x:v>19</x:v>
      </x:c>
      <x:c r="H1433" s="0" t="s">
        <x:v>20</x:v>
      </x:c>
      <x:c r="I1433" s="0" t="s">
        <x:v>21</x:v>
      </x:c>
      <x:c r="K1433" s="0">
        <x:f>hyperlink("https://icd.who.int/dev11/l-ichi/en#/http%3A%2F%2Fid.who.int%2Ficd%2Fentity%2F833188491","browser")</x:f>
      </x:c>
      <x:c r="L1433" s="0">
        <x:f>hyperlink("https://icat2.azurewebsites.net/icat/?ontology=ICD&amp;tab=ClassesTab&amp;id=http%3A%2F%2Fwho.int%2Ficd%232996_512ebf36_bf6b_4d70_85da_cf2637062af4","iCat")</x:f>
      </x:c>
      <x:c r="M1433" s="0" t="s">
        <x:v>21</x:v>
      </x:c>
      <x:c r="N1433" s="0" t="s">
        <x:v>46</x:v>
      </x:c>
    </x:row>
    <x:row r="1434" spans="1:16">
      <x:c r="A1434" s="0" t="s">
        <x:v>5565</x:v>
      </x:c>
      <x:c r="B1434" s="0" t="s">
        <x:v>5566</x:v>
      </x:c>
      <x:c r="C1434" s="0" t="s">
        <x:v>5567</x:v>
      </x:c>
      <x:c r="E1434" s="0" t="s">
        <x:v>5568</x:v>
      </x:c>
      <x:c r="F1434" s="0" t="s">
        <x:v>45</x:v>
      </x:c>
      <x:c r="G1434" s="0" t="s">
        <x:v>19</x:v>
      </x:c>
      <x:c r="H1434" s="0" t="s">
        <x:v>20</x:v>
      </x:c>
      <x:c r="I1434" s="0" t="s">
        <x:v>21</x:v>
      </x:c>
      <x:c r="K1434" s="0">
        <x:f>hyperlink("https://icd.who.int/dev11/l-ichi/en#/http%3A%2F%2Fid.who.int%2Ficd%2Fentity%2F2000154390","browser")</x:f>
      </x:c>
      <x:c r="L1434" s="0">
        <x:f>hyperlink("https://icat2.azurewebsites.net/icat/?ontology=ICD&amp;tab=ClassesTab&amp;id=http%3A%2F%2Fwho.int%2Ficd%233003_512ebf36_bf6b_4d70_85da_cf2637062af4","iCat")</x:f>
      </x:c>
      <x:c r="M1434" s="0" t="s">
        <x:v>21</x:v>
      </x:c>
      <x:c r="N1434" s="0" t="s">
        <x:v>46</x:v>
      </x:c>
    </x:row>
    <x:row r="1435" spans="1:16">
      <x:c r="A1435" s="0" t="s">
        <x:v>5569</x:v>
      </x:c>
      <x:c r="B1435" s="0" t="s">
        <x:v>5570</x:v>
      </x:c>
      <x:c r="C1435" s="0" t="s">
        <x:v>5571</x:v>
      </x:c>
      <x:c r="E1435" s="0" t="s">
        <x:v>5572</x:v>
      </x:c>
      <x:c r="F1435" s="0" t="s">
        <x:v>45</x:v>
      </x:c>
      <x:c r="G1435" s="0" t="s">
        <x:v>19</x:v>
      </x:c>
      <x:c r="H1435" s="0" t="s">
        <x:v>20</x:v>
      </x:c>
      <x:c r="I1435" s="0" t="s">
        <x:v>21</x:v>
      </x:c>
      <x:c r="K1435" s="0">
        <x:f>hyperlink("https://icd.who.int/dev11/l-ichi/en#/http%3A%2F%2Fid.who.int%2Ficd%2Fentity%2F1484199354","browser")</x:f>
      </x:c>
      <x:c r="L1435" s="0">
        <x:f>hyperlink("https://icat2.azurewebsites.net/icat/?ontology=ICD&amp;tab=ClassesTab&amp;id=http%3A%2F%2Fwho.int%2Ficd%233010_512ebf36_bf6b_4d70_85da_cf2637062af4","iCat")</x:f>
      </x:c>
      <x:c r="M1435" s="0" t="s">
        <x:v>21</x:v>
      </x:c>
      <x:c r="N1435" s="0" t="s">
        <x:v>46</x:v>
      </x:c>
    </x:row>
    <x:row r="1436" spans="1:16">
      <x:c r="A1436" s="0" t="s">
        <x:v>5573</x:v>
      </x:c>
      <x:c r="B1436" s="0" t="s">
        <x:v>5574</x:v>
      </x:c>
      <x:c r="C1436" s="0" t="s">
        <x:v>5575</x:v>
      </x:c>
      <x:c r="E1436" s="0" t="s">
        <x:v>5576</x:v>
      </x:c>
      <x:c r="F1436" s="0" t="s">
        <x:v>45</x:v>
      </x:c>
      <x:c r="G1436" s="0" t="s">
        <x:v>19</x:v>
      </x:c>
      <x:c r="H1436" s="0" t="s">
        <x:v>20</x:v>
      </x:c>
      <x:c r="I1436" s="0" t="s">
        <x:v>21</x:v>
      </x:c>
      <x:c r="K1436" s="0">
        <x:f>hyperlink("https://icd.who.int/dev11/l-ichi/en#/http%3A%2F%2Fid.who.int%2Ficd%2Fentity%2F687193655","browser")</x:f>
      </x:c>
      <x:c r="L1436" s="0">
        <x:f>hyperlink("https://icat2.azurewebsites.net/icat/?ontology=ICD&amp;tab=ClassesTab&amp;id=http%3A%2F%2Fwho.int%2Ficd%233017_512ebf36_bf6b_4d70_85da_cf2637062af4","iCat")</x:f>
      </x:c>
      <x:c r="M1436" s="0" t="s">
        <x:v>21</x:v>
      </x:c>
      <x:c r="N1436" s="0" t="s">
        <x:v>46</x:v>
      </x:c>
    </x:row>
    <x:row r="1437" spans="1:16">
      <x:c r="A1437" s="0" t="s">
        <x:v>5577</x:v>
      </x:c>
      <x:c r="B1437" s="0" t="s">
        <x:v>5578</x:v>
      </x:c>
      <x:c r="C1437" s="0" t="s">
        <x:v>5579</x:v>
      </x:c>
      <x:c r="E1437" s="0" t="s">
        <x:v>5580</x:v>
      </x:c>
      <x:c r="F1437" s="0" t="s">
        <x:v>45</x:v>
      </x:c>
      <x:c r="G1437" s="0" t="s">
        <x:v>19</x:v>
      </x:c>
      <x:c r="H1437" s="0" t="s">
        <x:v>20</x:v>
      </x:c>
      <x:c r="I1437" s="0" t="s">
        <x:v>21</x:v>
      </x:c>
      <x:c r="K1437" s="0">
        <x:f>hyperlink("https://icd.who.int/dev11/l-ichi/en#/http%3A%2F%2Fid.who.int%2Ficd%2Fentity%2F767660489","browser")</x:f>
      </x:c>
      <x:c r="L1437" s="0">
        <x:f>hyperlink("https://icat2.azurewebsites.net/icat/?ontology=ICD&amp;tab=ClassesTab&amp;id=http%3A%2F%2Fwho.int%2Ficd%233024_512ebf36_bf6b_4d70_85da_cf2637062af4","iCat")</x:f>
      </x:c>
      <x:c r="M1437" s="0" t="s">
        <x:v>21</x:v>
      </x:c>
      <x:c r="N1437" s="0" t="s">
        <x:v>46</x:v>
      </x:c>
    </x:row>
    <x:row r="1438" spans="1:16">
      <x:c r="A1438" s="0" t="s">
        <x:v>5581</x:v>
      </x:c>
      <x:c r="B1438" s="0" t="s">
        <x:v>5582</x:v>
      </x:c>
      <x:c r="C1438" s="0" t="s">
        <x:v>5583</x:v>
      </x:c>
      <x:c r="E1438" s="0" t="s">
        <x:v>5584</x:v>
      </x:c>
      <x:c r="F1438" s="0" t="s">
        <x:v>45</x:v>
      </x:c>
      <x:c r="G1438" s="0" t="s">
        <x:v>19</x:v>
      </x:c>
      <x:c r="H1438" s="0" t="s">
        <x:v>20</x:v>
      </x:c>
      <x:c r="I1438" s="0" t="s">
        <x:v>21</x:v>
      </x:c>
      <x:c r="K1438" s="0">
        <x:f>hyperlink("https://icd.who.int/dev11/l-ichi/en#/http%3A%2F%2Fid.who.int%2Ficd%2Fentity%2F1392161494","browser")</x:f>
      </x:c>
      <x:c r="L1438" s="0">
        <x:f>hyperlink("https://icat2.azurewebsites.net/icat/?ontology=ICD&amp;tab=ClassesTab&amp;id=http%3A%2F%2Fwho.int%2Ficd%233031_512ebf36_bf6b_4d70_85da_cf2637062af4","iCat")</x:f>
      </x:c>
      <x:c r="M1438" s="0" t="s">
        <x:v>21</x:v>
      </x:c>
      <x:c r="N1438" s="0" t="s">
        <x:v>46</x:v>
      </x:c>
    </x:row>
    <x:row r="1439" spans="1:16">
      <x:c r="A1439" s="0" t="s">
        <x:v>5585</x:v>
      </x:c>
      <x:c r="B1439" s="0" t="s">
        <x:v>5586</x:v>
      </x:c>
      <x:c r="C1439" s="0" t="s">
        <x:v>5587</x:v>
      </x:c>
      <x:c r="E1439" s="0" t="s">
        <x:v>5588</x:v>
      </x:c>
      <x:c r="F1439" s="0" t="s">
        <x:v>45</x:v>
      </x:c>
      <x:c r="G1439" s="0" t="s">
        <x:v>19</x:v>
      </x:c>
      <x:c r="H1439" s="0" t="s">
        <x:v>20</x:v>
      </x:c>
      <x:c r="I1439" s="0" t="s">
        <x:v>21</x:v>
      </x:c>
      <x:c r="K1439" s="0">
        <x:f>hyperlink("https://icd.who.int/dev11/l-ichi/en#/http%3A%2F%2Fid.who.int%2Ficd%2Fentity%2F1015198143","browser")</x:f>
      </x:c>
      <x:c r="L1439" s="0">
        <x:f>hyperlink("https://icat2.azurewebsites.net/icat/?ontology=ICD&amp;tab=ClassesTab&amp;id=http%3A%2F%2Fwho.int%2Ficd%233038_512ebf36_bf6b_4d70_85da_cf2637062af4","iCat")</x:f>
      </x:c>
      <x:c r="M1439" s="0" t="s">
        <x:v>21</x:v>
      </x:c>
      <x:c r="N1439" s="0" t="s">
        <x:v>46</x:v>
      </x:c>
    </x:row>
    <x:row r="1440" spans="1:16">
      <x:c r="A1440" s="0" t="s">
        <x:v>5589</x:v>
      </x:c>
      <x:c r="B1440" s="0" t="s">
        <x:v>5590</x:v>
      </x:c>
      <x:c r="C1440" s="0" t="s">
        <x:v>5591</x:v>
      </x:c>
      <x:c r="E1440" s="0" t="s">
        <x:v>5592</x:v>
      </x:c>
      <x:c r="F1440" s="0" t="s">
        <x:v>45</x:v>
      </x:c>
      <x:c r="G1440" s="0" t="s">
        <x:v>19</x:v>
      </x:c>
      <x:c r="H1440" s="0" t="s">
        <x:v>20</x:v>
      </x:c>
      <x:c r="I1440" s="0" t="s">
        <x:v>21</x:v>
      </x:c>
      <x:c r="K1440" s="0">
        <x:f>hyperlink("https://icd.who.int/dev11/l-ichi/en#/http%3A%2F%2Fid.who.int%2Ficd%2Fentity%2F1462461880","browser")</x:f>
      </x:c>
      <x:c r="L1440" s="0">
        <x:f>hyperlink("https://icat2.azurewebsites.net/icat/?ontology=ICD&amp;tab=ClassesTab&amp;id=http%3A%2F%2Fwho.int%2Ficd%233045_512ebf36_bf6b_4d70_85da_cf2637062af4","iCat")</x:f>
      </x:c>
      <x:c r="M1440" s="0" t="s">
        <x:v>21</x:v>
      </x:c>
      <x:c r="N1440" s="0" t="s">
        <x:v>46</x:v>
      </x:c>
    </x:row>
    <x:row r="1441" spans="1:16">
      <x:c r="A1441" s="0" t="s">
        <x:v>5593</x:v>
      </x:c>
      <x:c r="B1441" s="0" t="s">
        <x:v>5594</x:v>
      </x:c>
      <x:c r="C1441" s="0" t="s">
        <x:v>5595</x:v>
      </x:c>
      <x:c r="E1441" s="0" t="s">
        <x:v>5596</x:v>
      </x:c>
      <x:c r="F1441" s="0" t="s">
        <x:v>45</x:v>
      </x:c>
      <x:c r="G1441" s="0" t="s">
        <x:v>19</x:v>
      </x:c>
      <x:c r="H1441" s="0" t="s">
        <x:v>20</x:v>
      </x:c>
      <x:c r="I1441" s="0" t="s">
        <x:v>21</x:v>
      </x:c>
      <x:c r="K1441" s="0">
        <x:f>hyperlink("https://icd.who.int/dev11/l-ichi/en#/http%3A%2F%2Fid.who.int%2Ficd%2Fentity%2F1298946914","browser")</x:f>
      </x:c>
      <x:c r="L1441" s="0">
        <x:f>hyperlink("https://icat2.azurewebsites.net/icat/?ontology=ICD&amp;tab=ClassesTab&amp;id=http%3A%2F%2Fwho.int%2Ficd%233052_512ebf36_bf6b_4d70_85da_cf2637062af4","iCat")</x:f>
      </x:c>
      <x:c r="M1441" s="0" t="s">
        <x:v>21</x:v>
      </x:c>
      <x:c r="N1441" s="0" t="s">
        <x:v>46</x:v>
      </x:c>
    </x:row>
    <x:row r="1442" spans="1:16">
      <x:c r="A1442" s="0" t="s">
        <x:v>5597</x:v>
      </x:c>
      <x:c r="B1442" s="0" t="s">
        <x:v>5598</x:v>
      </x:c>
      <x:c r="C1442" s="0" t="s">
        <x:v>5599</x:v>
      </x:c>
      <x:c r="E1442" s="0" t="s">
        <x:v>5600</x:v>
      </x:c>
      <x:c r="F1442" s="0" t="s">
        <x:v>45</x:v>
      </x:c>
      <x:c r="G1442" s="0" t="s">
        <x:v>19</x:v>
      </x:c>
      <x:c r="H1442" s="0" t="s">
        <x:v>20</x:v>
      </x:c>
      <x:c r="I1442" s="0" t="s">
        <x:v>21</x:v>
      </x:c>
      <x:c r="K1442" s="0">
        <x:f>hyperlink("https://icd.who.int/dev11/l-ichi/en#/http%3A%2F%2Fid.who.int%2Ficd%2Fentity%2F1755383458","browser")</x:f>
      </x:c>
      <x:c r="L1442" s="0">
        <x:f>hyperlink("https://icat2.azurewebsites.net/icat/?ontology=ICD&amp;tab=ClassesTab&amp;id=http%3A%2F%2Fwho.int%2Ficd%233060_512ebf36_bf6b_4d70_85da_cf2637062af4","iCat")</x:f>
      </x:c>
      <x:c r="M1442" s="0" t="s">
        <x:v>21</x:v>
      </x:c>
      <x:c r="N1442" s="0" t="s">
        <x:v>46</x:v>
      </x:c>
    </x:row>
    <x:row r="1443" spans="1:16">
      <x:c r="A1443" s="0" t="s">
        <x:v>5601</x:v>
      </x:c>
      <x:c r="B1443" s="0" t="s">
        <x:v>5602</x:v>
      </x:c>
      <x:c r="C1443" s="0" t="s">
        <x:v>5603</x:v>
      </x:c>
      <x:c r="E1443" s="0" t="s">
        <x:v>5604</x:v>
      </x:c>
      <x:c r="F1443" s="0" t="s">
        <x:v>45</x:v>
      </x:c>
      <x:c r="G1443" s="0" t="s">
        <x:v>19</x:v>
      </x:c>
      <x:c r="H1443" s="0" t="s">
        <x:v>20</x:v>
      </x:c>
      <x:c r="I1443" s="0" t="s">
        <x:v>21</x:v>
      </x:c>
      <x:c r="K1443" s="0">
        <x:f>hyperlink("https://icd.who.int/dev11/l-ichi/en#/http%3A%2F%2Fid.who.int%2Ficd%2Fentity%2F404991277","browser")</x:f>
      </x:c>
      <x:c r="L1443" s="0">
        <x:f>hyperlink("https://icat2.azurewebsites.net/icat/?ontology=ICD&amp;tab=ClassesTab&amp;id=http%3A%2F%2Fwho.int%2Ficd%233067_512ebf36_bf6b_4d70_85da_cf2637062af4","iCat")</x:f>
      </x:c>
      <x:c r="M1443" s="0" t="s">
        <x:v>21</x:v>
      </x:c>
      <x:c r="N1443" s="0" t="s">
        <x:v>46</x:v>
      </x:c>
    </x:row>
    <x:row r="1444" spans="1:16">
      <x:c r="A1444" s="0" t="s">
        <x:v>5605</x:v>
      </x:c>
      <x:c r="B1444" s="0" t="s">
        <x:v>5606</x:v>
      </x:c>
      <x:c r="C1444" s="0" t="s">
        <x:v>5607</x:v>
      </x:c>
      <x:c r="E1444" s="0" t="s">
        <x:v>5608</x:v>
      </x:c>
      <x:c r="F1444" s="0" t="s">
        <x:v>45</x:v>
      </x:c>
      <x:c r="G1444" s="0" t="s">
        <x:v>19</x:v>
      </x:c>
      <x:c r="H1444" s="0" t="s">
        <x:v>20</x:v>
      </x:c>
      <x:c r="I1444" s="0" t="s">
        <x:v>21</x:v>
      </x:c>
      <x:c r="K1444" s="0">
        <x:f>hyperlink("https://icd.who.int/dev11/l-ichi/en#/http%3A%2F%2Fid.who.int%2Ficd%2Fentity%2F929257347","browser")</x:f>
      </x:c>
      <x:c r="L1444" s="0">
        <x:f>hyperlink("https://icat2.azurewebsites.net/icat/?ontology=ICD&amp;tab=ClassesTab&amp;id=http%3A%2F%2Fwho.int%2Ficd%233074_512ebf36_bf6b_4d70_85da_cf2637062af4","iCat")</x:f>
      </x:c>
      <x:c r="M1444" s="0" t="s">
        <x:v>21</x:v>
      </x:c>
      <x:c r="N1444" s="0" t="s">
        <x:v>46</x:v>
      </x:c>
    </x:row>
    <x:row r="1445" spans="1:16">
      <x:c r="A1445" s="0" t="s">
        <x:v>5609</x:v>
      </x:c>
      <x:c r="B1445" s="0" t="s">
        <x:v>5610</x:v>
      </x:c>
      <x:c r="C1445" s="0" t="s">
        <x:v>5611</x:v>
      </x:c>
      <x:c r="E1445" s="0" t="s">
        <x:v>5612</x:v>
      </x:c>
      <x:c r="F1445" s="0" t="s">
        <x:v>45</x:v>
      </x:c>
      <x:c r="G1445" s="0" t="s">
        <x:v>19</x:v>
      </x:c>
      <x:c r="H1445" s="0" t="s">
        <x:v>20</x:v>
      </x:c>
      <x:c r="I1445" s="0" t="s">
        <x:v>21</x:v>
      </x:c>
      <x:c r="K1445" s="0">
        <x:f>hyperlink("https://icd.who.int/dev11/l-ichi/en#/http%3A%2F%2Fid.who.int%2Ficd%2Fentity%2F226142997","browser")</x:f>
      </x:c>
      <x:c r="L1445" s="0">
        <x:f>hyperlink("https://icat2.azurewebsites.net/icat/?ontology=ICD&amp;tab=ClassesTab&amp;id=http%3A%2F%2Fwho.int%2Ficd%233081_512ebf36_bf6b_4d70_85da_cf2637062af4","iCat")</x:f>
      </x:c>
      <x:c r="M1445" s="0" t="s">
        <x:v>21</x:v>
      </x:c>
      <x:c r="N1445" s="0" t="s">
        <x:v>46</x:v>
      </x:c>
    </x:row>
    <x:row r="1446" spans="1:16">
      <x:c r="A1446" s="0" t="s">
        <x:v>5613</x:v>
      </x:c>
      <x:c r="B1446" s="0" t="s">
        <x:v>5614</x:v>
      </x:c>
      <x:c r="C1446" s="0" t="s">
        <x:v>5615</x:v>
      </x:c>
      <x:c r="E1446" s="0" t="s">
        <x:v>5616</x:v>
      </x:c>
      <x:c r="F1446" s="0" t="s">
        <x:v>45</x:v>
      </x:c>
      <x:c r="G1446" s="0" t="s">
        <x:v>19</x:v>
      </x:c>
      <x:c r="H1446" s="0" t="s">
        <x:v>20</x:v>
      </x:c>
      <x:c r="I1446" s="0" t="s">
        <x:v>21</x:v>
      </x:c>
      <x:c r="K1446" s="0">
        <x:f>hyperlink("https://icd.who.int/dev11/l-ichi/en#/http%3A%2F%2Fid.who.int%2Ficd%2Fentity%2F1661118590","browser")</x:f>
      </x:c>
      <x:c r="L1446" s="0">
        <x:f>hyperlink("https://icat2.azurewebsites.net/icat/?ontology=ICD&amp;tab=ClassesTab&amp;id=http%3A%2F%2Fwho.int%2Ficd%233088_512ebf36_bf6b_4d70_85da_cf2637062af4","iCat")</x:f>
      </x:c>
      <x:c r="M1446" s="0" t="s">
        <x:v>21</x:v>
      </x:c>
      <x:c r="N1446" s="0" t="s">
        <x:v>46</x:v>
      </x:c>
    </x:row>
    <x:row r="1447" spans="1:16">
      <x:c r="A1447" s="0" t="s">
        <x:v>5617</x:v>
      </x:c>
      <x:c r="B1447" s="0" t="s">
        <x:v>5618</x:v>
      </x:c>
      <x:c r="D1447" s="0" t="s">
        <x:v>5619</x:v>
      </x:c>
      <x:c r="E1447" s="0" t="s">
        <x:v>5620</x:v>
      </x:c>
      <x:c r="F1447" s="0" t="s">
        <x:v>26</x:v>
      </x:c>
      <x:c r="G1447" s="0" t="s">
        <x:v>22</x:v>
      </x:c>
      <x:c r="H1447" s="0" t="s">
        <x:v>20</x:v>
      </x:c>
      <x:c r="I1447" s="0" t="s">
        <x:v>21</x:v>
      </x:c>
      <x:c r="K1447" s="0">
        <x:f>hyperlink("https://icd.who.int/dev11/l-ichi/en#/http%3A%2F%2Fid.who.int%2Ficd%2Fentity%2F389912015","browser")</x:f>
      </x:c>
      <x:c r="L1447" s="0">
        <x:f>hyperlink("https://icat2.azurewebsites.net/icat/?ontology=ICD&amp;tab=ClassesTab&amp;id=http%3A%2F%2Fwho.int%2Ficd%233096_512ebf36_bf6b_4d70_85da_cf2637062af4","iCat")</x:f>
      </x:c>
      <x:c r="M1447" s="0" t="s">
        <x:v>20</x:v>
      </x:c>
      <x:c r="N1447" s="0" t="s">
        <x:v>5621</x:v>
      </x:c>
    </x:row>
    <x:row r="1448" spans="1:16">
      <x:c r="A1448" s="0" t="s">
        <x:v>5622</x:v>
      </x:c>
      <x:c r="B1448" s="0" t="s">
        <x:v>5623</x:v>
      </x:c>
      <x:c r="C1448" s="0" t="s">
        <x:v>5624</x:v>
      </x:c>
      <x:c r="E1448" s="0" t="s">
        <x:v>5625</x:v>
      </x:c>
      <x:c r="F1448" s="0" t="s">
        <x:v>45</x:v>
      </x:c>
      <x:c r="G1448" s="0" t="s">
        <x:v>19</x:v>
      </x:c>
      <x:c r="H1448" s="0" t="s">
        <x:v>20</x:v>
      </x:c>
      <x:c r="I1448" s="0" t="s">
        <x:v>21</x:v>
      </x:c>
      <x:c r="K1448" s="0">
        <x:f>hyperlink("https://icd.who.int/dev11/l-ichi/en#/http%3A%2F%2Fid.who.int%2Ficd%2Fentity%2F1387854392","browser")</x:f>
      </x:c>
      <x:c r="L1448" s="0">
        <x:f>hyperlink("https://icat2.azurewebsites.net/icat/?ontology=ICD&amp;tab=ClassesTab&amp;id=http%3A%2F%2Fwho.int%2Ficd%233095_512ebf36_bf6b_4d70_85da_cf2637062af4","iCat")</x:f>
      </x:c>
      <x:c r="M1448" s="0" t="s">
        <x:v>21</x:v>
      </x:c>
      <x:c r="N1448" s="0" t="s">
        <x:v>46</x:v>
      </x:c>
    </x:row>
    <x:row r="1449" spans="1:16">
      <x:c r="A1449" s="0" t="s">
        <x:v>5626</x:v>
      </x:c>
      <x:c r="B1449" s="0" t="s">
        <x:v>5627</x:v>
      </x:c>
      <x:c r="C1449" s="0" t="s">
        <x:v>5628</x:v>
      </x:c>
      <x:c r="E1449" s="0" t="s">
        <x:v>5629</x:v>
      </x:c>
      <x:c r="F1449" s="0" t="s">
        <x:v>45</x:v>
      </x:c>
      <x:c r="G1449" s="0" t="s">
        <x:v>19</x:v>
      </x:c>
      <x:c r="H1449" s="0" t="s">
        <x:v>20</x:v>
      </x:c>
      <x:c r="I1449" s="0" t="s">
        <x:v>21</x:v>
      </x:c>
      <x:c r="K1449" s="0">
        <x:f>hyperlink("https://icd.who.int/dev11/l-ichi/en#/http%3A%2F%2Fid.who.int%2Ficd%2Fentity%2F162281253","browser")</x:f>
      </x:c>
      <x:c r="L1449" s="0">
        <x:f>hyperlink("https://icat2.azurewebsites.net/icat/?ontology=ICD&amp;tab=ClassesTab&amp;id=http%3A%2F%2Fwho.int%2Ficd%233108_512ebf36_bf6b_4d70_85da_cf2637062af4","iCat")</x:f>
      </x:c>
      <x:c r="M1449" s="0" t="s">
        <x:v>21</x:v>
      </x:c>
      <x:c r="N1449" s="0" t="s">
        <x:v>46</x:v>
      </x:c>
    </x:row>
    <x:row r="1450" spans="1:16">
      <x:c r="A1450" s="0" t="s">
        <x:v>5630</x:v>
      </x:c>
      <x:c r="B1450" s="0" t="s">
        <x:v>5631</x:v>
      </x:c>
      <x:c r="C1450" s="0" t="s">
        <x:v>5632</x:v>
      </x:c>
      <x:c r="E1450" s="0" t="s">
        <x:v>5633</x:v>
      </x:c>
      <x:c r="F1450" s="0" t="s">
        <x:v>45</x:v>
      </x:c>
      <x:c r="G1450" s="0" t="s">
        <x:v>19</x:v>
      </x:c>
      <x:c r="H1450" s="0" t="s">
        <x:v>20</x:v>
      </x:c>
      <x:c r="I1450" s="0" t="s">
        <x:v>21</x:v>
      </x:c>
      <x:c r="K1450" s="0">
        <x:f>hyperlink("https://icd.who.int/dev11/l-ichi/en#/http%3A%2F%2Fid.who.int%2Ficd%2Fentity%2F1077962448","browser")</x:f>
      </x:c>
      <x:c r="L1450" s="0">
        <x:f>hyperlink("https://icat2.azurewebsites.net/icat/?ontology=ICD&amp;tab=ClassesTab&amp;id=http%3A%2F%2Fwho.int%2Ficd%23275_bf15315e_f1c5_45f6_9637_651657d70d50","iCat")</x:f>
      </x:c>
      <x:c r="M1450" s="0" t="s">
        <x:v>21</x:v>
      </x:c>
      <x:c r="N1450" s="0" t="s">
        <x:v>46</x:v>
      </x:c>
    </x:row>
    <x:row r="1451" spans="1:16">
      <x:c r="A1451" s="0" t="s">
        <x:v>5634</x:v>
      </x:c>
      <x:c r="B1451" s="0" t="s">
        <x:v>5635</x:v>
      </x:c>
      <x:c r="C1451" s="0" t="s">
        <x:v>5636</x:v>
      </x:c>
      <x:c r="E1451" s="0" t="s">
        <x:v>5637</x:v>
      </x:c>
      <x:c r="F1451" s="0" t="s">
        <x:v>45</x:v>
      </x:c>
      <x:c r="G1451" s="0" t="s">
        <x:v>19</x:v>
      </x:c>
      <x:c r="H1451" s="0" t="s">
        <x:v>20</x:v>
      </x:c>
      <x:c r="I1451" s="0" t="s">
        <x:v>21</x:v>
      </x:c>
      <x:c r="K1451" s="0">
        <x:f>hyperlink("https://icd.who.int/dev11/l-ichi/en#/http%3A%2F%2Fid.who.int%2Ficd%2Fentity%2F940991855","browser")</x:f>
      </x:c>
      <x:c r="L1451" s="0">
        <x:f>hyperlink("https://icat2.azurewebsites.net/icat/?ontology=ICD&amp;tab=ClassesTab&amp;id=http%3A%2F%2Fwho.int%2Ficd%233115_512ebf36_bf6b_4d70_85da_cf2637062af4","iCat")</x:f>
      </x:c>
      <x:c r="M1451" s="0" t="s">
        <x:v>21</x:v>
      </x:c>
      <x:c r="N1451" s="0" t="s">
        <x:v>46</x:v>
      </x:c>
    </x:row>
    <x:row r="1452" spans="1:16">
      <x:c r="A1452" s="0" t="s">
        <x:v>5638</x:v>
      </x:c>
      <x:c r="B1452" s="0" t="s">
        <x:v>5639</x:v>
      </x:c>
      <x:c r="C1452" s="0" t="s">
        <x:v>5640</x:v>
      </x:c>
      <x:c r="E1452" s="0" t="s">
        <x:v>5641</x:v>
      </x:c>
      <x:c r="F1452" s="0" t="s">
        <x:v>45</x:v>
      </x:c>
      <x:c r="G1452" s="0" t="s">
        <x:v>19</x:v>
      </x:c>
      <x:c r="H1452" s="0" t="s">
        <x:v>20</x:v>
      </x:c>
      <x:c r="I1452" s="0" t="s">
        <x:v>21</x:v>
      </x:c>
      <x:c r="K1452" s="0">
        <x:f>hyperlink("https://icd.who.int/dev11/l-ichi/en#/http%3A%2F%2Fid.who.int%2Ficd%2Fentity%2F136679141","browser")</x:f>
      </x:c>
      <x:c r="L1452" s="0">
        <x:f>hyperlink("https://icat2.azurewebsites.net/icat/?ontology=ICD&amp;tab=ClassesTab&amp;id=http%3A%2F%2Fwho.int%2Ficd%233122_512ebf36_bf6b_4d70_85da_cf2637062af4","iCat")</x:f>
      </x:c>
      <x:c r="M1452" s="0" t="s">
        <x:v>21</x:v>
      </x:c>
      <x:c r="N1452" s="0" t="s">
        <x:v>46</x:v>
      </x:c>
    </x:row>
    <x:row r="1453" spans="1:16">
      <x:c r="A1453" s="0" t="s">
        <x:v>5642</x:v>
      </x:c>
      <x:c r="B1453" s="0" t="s">
        <x:v>5643</x:v>
      </x:c>
      <x:c r="C1453" s="0" t="s">
        <x:v>5644</x:v>
      </x:c>
      <x:c r="E1453" s="0" t="s">
        <x:v>5645</x:v>
      </x:c>
      <x:c r="F1453" s="0" t="s">
        <x:v>45</x:v>
      </x:c>
      <x:c r="G1453" s="0" t="s">
        <x:v>19</x:v>
      </x:c>
      <x:c r="H1453" s="0" t="s">
        <x:v>20</x:v>
      </x:c>
      <x:c r="I1453" s="0" t="s">
        <x:v>21</x:v>
      </x:c>
      <x:c r="K1453" s="0">
        <x:f>hyperlink("https://icd.who.int/dev11/l-ichi/en#/http%3A%2F%2Fid.who.int%2Ficd%2Fentity%2F52531273","browser")</x:f>
      </x:c>
      <x:c r="L1453" s="0">
        <x:f>hyperlink("https://icat2.azurewebsites.net/icat/?ontology=ICD&amp;tab=ClassesTab&amp;id=http%3A%2F%2Fwho.int%2Ficd%233129_512ebf36_bf6b_4d70_85da_cf2637062af4","iCat")</x:f>
      </x:c>
      <x:c r="M1453" s="0" t="s">
        <x:v>21</x:v>
      </x:c>
      <x:c r="N1453" s="0" t="s">
        <x:v>46</x:v>
      </x:c>
    </x:row>
    <x:row r="1454" spans="1:16">
      <x:c r="A1454" s="0" t="s">
        <x:v>5646</x:v>
      </x:c>
      <x:c r="B1454" s="0" t="s">
        <x:v>5647</x:v>
      </x:c>
      <x:c r="C1454" s="0" t="s">
        <x:v>5648</x:v>
      </x:c>
      <x:c r="E1454" s="0" t="s">
        <x:v>5649</x:v>
      </x:c>
      <x:c r="F1454" s="0" t="s">
        <x:v>45</x:v>
      </x:c>
      <x:c r="G1454" s="0" t="s">
        <x:v>19</x:v>
      </x:c>
      <x:c r="H1454" s="0" t="s">
        <x:v>20</x:v>
      </x:c>
      <x:c r="I1454" s="0" t="s">
        <x:v>21</x:v>
      </x:c>
      <x:c r="K1454" s="0">
        <x:f>hyperlink("https://icd.who.int/dev11/l-ichi/en#/http%3A%2F%2Fid.who.int%2Ficd%2Fentity%2F1474813894","browser")</x:f>
      </x:c>
      <x:c r="L1454" s="0">
        <x:f>hyperlink("https://icat2.azurewebsites.net/icat/?ontology=ICD&amp;tab=ClassesTab&amp;id=http%3A%2F%2Fwho.int%2Ficd%233136_512ebf36_bf6b_4d70_85da_cf2637062af4","iCat")</x:f>
      </x:c>
      <x:c r="M1454" s="0" t="s">
        <x:v>21</x:v>
      </x:c>
      <x:c r="N1454" s="0" t="s">
        <x:v>46</x:v>
      </x:c>
    </x:row>
    <x:row r="1455" spans="1:16">
      <x:c r="A1455" s="0" t="s">
        <x:v>5650</x:v>
      </x:c>
      <x:c r="B1455" s="0" t="s">
        <x:v>5651</x:v>
      </x:c>
      <x:c r="C1455" s="0" t="s">
        <x:v>5652</x:v>
      </x:c>
      <x:c r="E1455" s="0" t="s">
        <x:v>5653</x:v>
      </x:c>
      <x:c r="F1455" s="0" t="s">
        <x:v>45</x:v>
      </x:c>
      <x:c r="G1455" s="0" t="s">
        <x:v>19</x:v>
      </x:c>
      <x:c r="H1455" s="0" t="s">
        <x:v>20</x:v>
      </x:c>
      <x:c r="I1455" s="0" t="s">
        <x:v>21</x:v>
      </x:c>
      <x:c r="K1455" s="0">
        <x:f>hyperlink("https://icd.who.int/dev11/l-ichi/en#/http%3A%2F%2Fid.who.int%2Ficd%2Fentity%2F1926199958","browser")</x:f>
      </x:c>
      <x:c r="L1455" s="0">
        <x:f>hyperlink("https://icat2.azurewebsites.net/icat/?ontology=ICD&amp;tab=ClassesTab&amp;id=http%3A%2F%2Fwho.int%2Ficd%233143_512ebf36_bf6b_4d70_85da_cf2637062af4","iCat")</x:f>
      </x:c>
      <x:c r="M1455" s="0" t="s">
        <x:v>21</x:v>
      </x:c>
      <x:c r="N1455" s="0" t="s">
        <x:v>46</x:v>
      </x:c>
    </x:row>
    <x:row r="1456" spans="1:16">
      <x:c r="A1456" s="0" t="s">
        <x:v>5654</x:v>
      </x:c>
      <x:c r="B1456" s="0" t="s">
        <x:v>5655</x:v>
      </x:c>
      <x:c r="C1456" s="0" t="s">
        <x:v>5656</x:v>
      </x:c>
      <x:c r="E1456" s="0" t="s">
        <x:v>5657</x:v>
      </x:c>
      <x:c r="F1456" s="0" t="s">
        <x:v>45</x:v>
      </x:c>
      <x:c r="G1456" s="0" t="s">
        <x:v>19</x:v>
      </x:c>
      <x:c r="H1456" s="0" t="s">
        <x:v>20</x:v>
      </x:c>
      <x:c r="I1456" s="0" t="s">
        <x:v>21</x:v>
      </x:c>
      <x:c r="K1456" s="0">
        <x:f>hyperlink("https://icd.who.int/dev11/l-ichi/en#/http%3A%2F%2Fid.who.int%2Ficd%2Fentity%2F1569685562","browser")</x:f>
      </x:c>
      <x:c r="L1456" s="0">
        <x:f>hyperlink("https://icat2.azurewebsites.net/icat/?ontology=ICD&amp;tab=ClassesTab&amp;id=http%3A%2F%2Fwho.int%2Ficd%233150_512ebf36_bf6b_4d70_85da_cf2637062af4","iCat")</x:f>
      </x:c>
      <x:c r="M1456" s="0" t="s">
        <x:v>21</x:v>
      </x:c>
      <x:c r="N1456" s="0" t="s">
        <x:v>46</x:v>
      </x:c>
    </x:row>
    <x:row r="1457" spans="1:16">
      <x:c r="A1457" s="0" t="s">
        <x:v>5658</x:v>
      </x:c>
      <x:c r="B1457" s="0" t="s">
        <x:v>5659</x:v>
      </x:c>
      <x:c r="C1457" s="0" t="s">
        <x:v>5660</x:v>
      </x:c>
      <x:c r="E1457" s="0" t="s">
        <x:v>5661</x:v>
      </x:c>
      <x:c r="F1457" s="0" t="s">
        <x:v>45</x:v>
      </x:c>
      <x:c r="G1457" s="0" t="s">
        <x:v>19</x:v>
      </x:c>
      <x:c r="H1457" s="0" t="s">
        <x:v>20</x:v>
      </x:c>
      <x:c r="I1457" s="0" t="s">
        <x:v>21</x:v>
      </x:c>
      <x:c r="K1457" s="0">
        <x:f>hyperlink("https://icd.who.int/dev11/l-ichi/en#/http%3A%2F%2Fid.who.int%2Ficd%2Fentity%2F755837879","browser")</x:f>
      </x:c>
      <x:c r="L1457" s="0">
        <x:f>hyperlink("https://icat2.azurewebsites.net/icat/?ontology=ICD&amp;tab=ClassesTab&amp;id=http%3A%2F%2Fwho.int%2Ficd%233157_512ebf36_bf6b_4d70_85da_cf2637062af4","iCat")</x:f>
      </x:c>
      <x:c r="M1457" s="0" t="s">
        <x:v>21</x:v>
      </x:c>
      <x:c r="N1457" s="0" t="s">
        <x:v>46</x:v>
      </x:c>
    </x:row>
    <x:row r="1458" spans="1:16">
      <x:c r="A1458" s="0" t="s">
        <x:v>5662</x:v>
      </x:c>
      <x:c r="B1458" s="0" t="s">
        <x:v>5663</x:v>
      </x:c>
      <x:c r="C1458" s="0" t="s">
        <x:v>5664</x:v>
      </x:c>
      <x:c r="E1458" s="0" t="s">
        <x:v>5665</x:v>
      </x:c>
      <x:c r="F1458" s="0" t="s">
        <x:v>45</x:v>
      </x:c>
      <x:c r="G1458" s="0" t="s">
        <x:v>19</x:v>
      </x:c>
      <x:c r="H1458" s="0" t="s">
        <x:v>20</x:v>
      </x:c>
      <x:c r="I1458" s="0" t="s">
        <x:v>21</x:v>
      </x:c>
      <x:c r="K1458" s="0">
        <x:f>hyperlink("https://icd.who.int/dev11/l-ichi/en#/http%3A%2F%2Fid.who.int%2Ficd%2Fentity%2F146830965","browser")</x:f>
      </x:c>
      <x:c r="L1458" s="0">
        <x:f>hyperlink("https://icat2.azurewebsites.net/icat/?ontology=ICD&amp;tab=ClassesTab&amp;id=http%3A%2F%2Fwho.int%2Ficd%233165_512ebf36_bf6b_4d70_85da_cf2637062af4","iCat")</x:f>
      </x:c>
      <x:c r="M1458" s="0" t="s">
        <x:v>21</x:v>
      </x:c>
      <x:c r="N1458" s="0" t="s">
        <x:v>46</x:v>
      </x:c>
    </x:row>
    <x:row r="1459" spans="1:16">
      <x:c r="A1459" s="0" t="s">
        <x:v>5666</x:v>
      </x:c>
      <x:c r="B1459" s="0" t="s">
        <x:v>5667</x:v>
      </x:c>
      <x:c r="C1459" s="0" t="s">
        <x:v>5668</x:v>
      </x:c>
      <x:c r="E1459" s="0" t="s">
        <x:v>5669</x:v>
      </x:c>
      <x:c r="F1459" s="0" t="s">
        <x:v>45</x:v>
      </x:c>
      <x:c r="G1459" s="0" t="s">
        <x:v>19</x:v>
      </x:c>
      <x:c r="H1459" s="0" t="s">
        <x:v>20</x:v>
      </x:c>
      <x:c r="I1459" s="0" t="s">
        <x:v>21</x:v>
      </x:c>
      <x:c r="K1459" s="0">
        <x:f>hyperlink("https://icd.who.int/dev11/l-ichi/en#/http%3A%2F%2Fid.who.int%2Ficd%2Fentity%2F310855855","browser")</x:f>
      </x:c>
      <x:c r="L1459" s="0">
        <x:f>hyperlink("https://icat2.azurewebsites.net/icat/?ontology=ICD&amp;tab=ClassesTab&amp;id=http%3A%2F%2Fwho.int%2Ficd%233172_512ebf36_bf6b_4d70_85da_cf2637062af4","iCat")</x:f>
      </x:c>
      <x:c r="M1459" s="0" t="s">
        <x:v>21</x:v>
      </x:c>
      <x:c r="N1459" s="0" t="s">
        <x:v>46</x:v>
      </x:c>
    </x:row>
    <x:row r="1460" spans="1:16">
      <x:c r="A1460" s="0" t="s">
        <x:v>5670</x:v>
      </x:c>
      <x:c r="B1460" s="0" t="s">
        <x:v>5671</x:v>
      </x:c>
      <x:c r="C1460" s="0" t="s">
        <x:v>5672</x:v>
      </x:c>
      <x:c r="E1460" s="0" t="s">
        <x:v>5673</x:v>
      </x:c>
      <x:c r="F1460" s="0" t="s">
        <x:v>45</x:v>
      </x:c>
      <x:c r="G1460" s="0" t="s">
        <x:v>19</x:v>
      </x:c>
      <x:c r="H1460" s="0" t="s">
        <x:v>20</x:v>
      </x:c>
      <x:c r="I1460" s="0" t="s">
        <x:v>21</x:v>
      </x:c>
      <x:c r="K1460" s="0">
        <x:f>hyperlink("https://icd.who.int/dev11/l-ichi/en#/http%3A%2F%2Fid.who.int%2Ficd%2Fentity%2F2028301704","browser")</x:f>
      </x:c>
      <x:c r="L1460" s="0">
        <x:f>hyperlink("https://icat2.azurewebsites.net/icat/?ontology=ICD&amp;tab=ClassesTab&amp;id=http%3A%2F%2Fwho.int%2Ficd%233181_512ebf36_bf6b_4d70_85da_cf2637062af4","iCat")</x:f>
      </x:c>
      <x:c r="M1460" s="0" t="s">
        <x:v>21</x:v>
      </x:c>
      <x:c r="N1460" s="0" t="s">
        <x:v>46</x:v>
      </x:c>
    </x:row>
    <x:row r="1461" spans="1:16">
      <x:c r="A1461" s="0" t="s">
        <x:v>5674</x:v>
      </x:c>
      <x:c r="B1461" s="0" t="s">
        <x:v>5675</x:v>
      </x:c>
      <x:c r="C1461" s="0" t="s">
        <x:v>5676</x:v>
      </x:c>
      <x:c r="E1461" s="0" t="s">
        <x:v>5677</x:v>
      </x:c>
      <x:c r="F1461" s="0" t="s">
        <x:v>45</x:v>
      </x:c>
      <x:c r="G1461" s="0" t="s">
        <x:v>19</x:v>
      </x:c>
      <x:c r="H1461" s="0" t="s">
        <x:v>20</x:v>
      </x:c>
      <x:c r="I1461" s="0" t="s">
        <x:v>21</x:v>
      </x:c>
      <x:c r="K1461" s="0">
        <x:f>hyperlink("https://icd.who.int/dev11/l-ichi/en#/http%3A%2F%2Fid.who.int%2Ficd%2Fentity%2F379416289","browser")</x:f>
      </x:c>
      <x:c r="L1461" s="0">
        <x:f>hyperlink("https://icat2.azurewebsites.net/icat/?ontology=ICD&amp;tab=ClassesTab&amp;id=http%3A%2F%2Fwho.int%2Ficd%233188_512ebf36_bf6b_4d70_85da_cf2637062af4","iCat")</x:f>
      </x:c>
      <x:c r="M1461" s="0" t="s">
        <x:v>21</x:v>
      </x:c>
      <x:c r="N1461" s="0" t="s">
        <x:v>46</x:v>
      </x:c>
    </x:row>
    <x:row r="1462" spans="1:16">
      <x:c r="A1462" s="0" t="s">
        <x:v>5678</x:v>
      </x:c>
      <x:c r="B1462" s="0" t="s">
        <x:v>5679</x:v>
      </x:c>
      <x:c r="C1462" s="0" t="s">
        <x:v>5680</x:v>
      </x:c>
      <x:c r="E1462" s="0" t="s">
        <x:v>5681</x:v>
      </x:c>
      <x:c r="F1462" s="0" t="s">
        <x:v>45</x:v>
      </x:c>
      <x:c r="G1462" s="0" t="s">
        <x:v>19</x:v>
      </x:c>
      <x:c r="H1462" s="0" t="s">
        <x:v>20</x:v>
      </x:c>
      <x:c r="I1462" s="0" t="s">
        <x:v>21</x:v>
      </x:c>
      <x:c r="K1462" s="0">
        <x:f>hyperlink("https://icd.who.int/dev11/l-ichi/en#/http%3A%2F%2Fid.who.int%2Ficd%2Fentity%2F1654805330","browser")</x:f>
      </x:c>
      <x:c r="L1462" s="0">
        <x:f>hyperlink("https://icat2.azurewebsites.net/icat/?ontology=ICD&amp;tab=ClassesTab&amp;id=http%3A%2F%2Fwho.int%2Ficd%233196_512ebf36_bf6b_4d70_85da_cf2637062af4","iCat")</x:f>
      </x:c>
      <x:c r="M1462" s="0" t="s">
        <x:v>21</x:v>
      </x:c>
      <x:c r="N1462" s="0" t="s">
        <x:v>46</x:v>
      </x:c>
    </x:row>
    <x:row r="1463" spans="1:16">
      <x:c r="A1463" s="0" t="s">
        <x:v>5682</x:v>
      </x:c>
      <x:c r="B1463" s="0" t="s">
        <x:v>5683</x:v>
      </x:c>
      <x:c r="C1463" s="0" t="s">
        <x:v>5684</x:v>
      </x:c>
      <x:c r="E1463" s="0" t="s">
        <x:v>5685</x:v>
      </x:c>
      <x:c r="F1463" s="0" t="s">
        <x:v>45</x:v>
      </x:c>
      <x:c r="G1463" s="0" t="s">
        <x:v>19</x:v>
      </x:c>
      <x:c r="H1463" s="0" t="s">
        <x:v>20</x:v>
      </x:c>
      <x:c r="I1463" s="0" t="s">
        <x:v>21</x:v>
      </x:c>
      <x:c r="K1463" s="0">
        <x:f>hyperlink("https://icd.who.int/dev11/l-ichi/en#/http%3A%2F%2Fid.who.int%2Ficd%2Fentity%2F1980312472","browser")</x:f>
      </x:c>
      <x:c r="L1463" s="0">
        <x:f>hyperlink("https://icat2.azurewebsites.net/icat/?ontology=ICD&amp;tab=ClassesTab&amp;id=http%3A%2F%2Fwho.int%2Ficd%233206_512ebf36_bf6b_4d70_85da_cf2637062af4","iCat")</x:f>
      </x:c>
      <x:c r="M1463" s="0" t="s">
        <x:v>21</x:v>
      </x:c>
      <x:c r="N1463" s="0" t="s">
        <x:v>46</x:v>
      </x:c>
    </x:row>
    <x:row r="1464" spans="1:16">
      <x:c r="A1464" s="0" t="s">
        <x:v>5686</x:v>
      </x:c>
      <x:c r="B1464" s="0" t="s">
        <x:v>5687</x:v>
      </x:c>
      <x:c r="C1464" s="0" t="s">
        <x:v>5688</x:v>
      </x:c>
      <x:c r="E1464" s="0" t="s">
        <x:v>5689</x:v>
      </x:c>
      <x:c r="F1464" s="0" t="s">
        <x:v>45</x:v>
      </x:c>
      <x:c r="G1464" s="0" t="s">
        <x:v>19</x:v>
      </x:c>
      <x:c r="H1464" s="0" t="s">
        <x:v>20</x:v>
      </x:c>
      <x:c r="I1464" s="0" t="s">
        <x:v>21</x:v>
      </x:c>
      <x:c r="K1464" s="0">
        <x:f>hyperlink("https://icd.who.int/dev11/l-ichi/en#/http%3A%2F%2Fid.who.int%2Ficd%2Fentity%2F2041619210","browser")</x:f>
      </x:c>
      <x:c r="L1464" s="0">
        <x:f>hyperlink("https://icat2.azurewebsites.net/icat/?ontology=ICD&amp;tab=ClassesTab&amp;id=http%3A%2F%2Fwho.int%2Ficd%233214_512ebf36_bf6b_4d70_85da_cf2637062af4","iCat")</x:f>
      </x:c>
      <x:c r="M1464" s="0" t="s">
        <x:v>21</x:v>
      </x:c>
      <x:c r="N1464" s="0" t="s">
        <x:v>46</x:v>
      </x:c>
    </x:row>
    <x:row r="1465" spans="1:16">
      <x:c r="A1465" s="0" t="s">
        <x:v>5690</x:v>
      </x:c>
      <x:c r="B1465" s="0" t="s">
        <x:v>5691</x:v>
      </x:c>
      <x:c r="C1465" s="0" t="s">
        <x:v>5692</x:v>
      </x:c>
      <x:c r="E1465" s="0" t="s">
        <x:v>5693</x:v>
      </x:c>
      <x:c r="F1465" s="0" t="s">
        <x:v>45</x:v>
      </x:c>
      <x:c r="G1465" s="0" t="s">
        <x:v>19</x:v>
      </x:c>
      <x:c r="H1465" s="0" t="s">
        <x:v>20</x:v>
      </x:c>
      <x:c r="I1465" s="0" t="s">
        <x:v>21</x:v>
      </x:c>
      <x:c r="K1465" s="0">
        <x:f>hyperlink("https://icd.who.int/dev11/l-ichi/en#/http%3A%2F%2Fid.who.int%2Ficd%2Fentity%2F1769618108","browser")</x:f>
      </x:c>
      <x:c r="L1465" s="0">
        <x:f>hyperlink("https://icat2.azurewebsites.net/icat/?ontology=ICD&amp;tab=ClassesTab&amp;id=http%3A%2F%2Fwho.int%2Ficd%233222_512ebf36_bf6b_4d70_85da_cf2637062af4","iCat")</x:f>
      </x:c>
      <x:c r="M1465" s="0" t="s">
        <x:v>21</x:v>
      </x:c>
      <x:c r="N1465" s="0" t="s">
        <x:v>46</x:v>
      </x:c>
    </x:row>
    <x:row r="1466" spans="1:16">
      <x:c r="A1466" s="0" t="s">
        <x:v>5694</x:v>
      </x:c>
      <x:c r="B1466" s="0" t="s">
        <x:v>5695</x:v>
      </x:c>
      <x:c r="C1466" s="0" t="s">
        <x:v>5696</x:v>
      </x:c>
      <x:c r="E1466" s="0" t="s">
        <x:v>5697</x:v>
      </x:c>
      <x:c r="F1466" s="0" t="s">
        <x:v>45</x:v>
      </x:c>
      <x:c r="G1466" s="0" t="s">
        <x:v>19</x:v>
      </x:c>
      <x:c r="H1466" s="0" t="s">
        <x:v>20</x:v>
      </x:c>
      <x:c r="I1466" s="0" t="s">
        <x:v>21</x:v>
      </x:c>
      <x:c r="K1466" s="0">
        <x:f>hyperlink("https://icd.who.int/dev11/l-ichi/en#/http%3A%2F%2Fid.who.int%2Ficd%2Fentity%2F1724101166","browser")</x:f>
      </x:c>
      <x:c r="L1466" s="0">
        <x:f>hyperlink("https://icat2.azurewebsites.net/icat/?ontology=ICD&amp;tab=ClassesTab&amp;id=http%3A%2F%2Fwho.int%2Ficd%233230_512ebf36_bf6b_4d70_85da_cf2637062af4","iCat")</x:f>
      </x:c>
      <x:c r="M1466" s="0" t="s">
        <x:v>21</x:v>
      </x:c>
      <x:c r="N1466" s="0" t="s">
        <x:v>46</x:v>
      </x:c>
    </x:row>
    <x:row r="1467" spans="1:16">
      <x:c r="A1467" s="0" t="s">
        <x:v>5698</x:v>
      </x:c>
      <x:c r="B1467" s="0" t="s">
        <x:v>5699</x:v>
      </x:c>
      <x:c r="C1467" s="0" t="s">
        <x:v>5700</x:v>
      </x:c>
      <x:c r="E1467" s="0" t="s">
        <x:v>5701</x:v>
      </x:c>
      <x:c r="F1467" s="0" t="s">
        <x:v>45</x:v>
      </x:c>
      <x:c r="G1467" s="0" t="s">
        <x:v>19</x:v>
      </x:c>
      <x:c r="H1467" s="0" t="s">
        <x:v>20</x:v>
      </x:c>
      <x:c r="I1467" s="0" t="s">
        <x:v>21</x:v>
      </x:c>
      <x:c r="K1467" s="0">
        <x:f>hyperlink("https://icd.who.int/dev11/l-ichi/en#/http%3A%2F%2Fid.who.int%2Ficd%2Fentity%2F373365155","browser")</x:f>
      </x:c>
      <x:c r="L1467" s="0">
        <x:f>hyperlink("https://icat2.azurewebsites.net/icat/?ontology=ICD&amp;tab=ClassesTab&amp;id=http%3A%2F%2Fwho.int%2Ficd%233237_512ebf36_bf6b_4d70_85da_cf2637062af4","iCat")</x:f>
      </x:c>
      <x:c r="M1467" s="0" t="s">
        <x:v>21</x:v>
      </x:c>
      <x:c r="N1467" s="0" t="s">
        <x:v>46</x:v>
      </x:c>
    </x:row>
    <x:row r="1468" spans="1:16">
      <x:c r="A1468" s="0" t="s">
        <x:v>5702</x:v>
      </x:c>
      <x:c r="B1468" s="0" t="s">
        <x:v>5703</x:v>
      </x:c>
      <x:c r="C1468" s="0" t="s">
        <x:v>5704</x:v>
      </x:c>
      <x:c r="E1468" s="0" t="s">
        <x:v>5705</x:v>
      </x:c>
      <x:c r="F1468" s="0" t="s">
        <x:v>45</x:v>
      </x:c>
      <x:c r="G1468" s="0" t="s">
        <x:v>19</x:v>
      </x:c>
      <x:c r="H1468" s="0" t="s">
        <x:v>20</x:v>
      </x:c>
      <x:c r="I1468" s="0" t="s">
        <x:v>21</x:v>
      </x:c>
      <x:c r="K1468" s="0">
        <x:f>hyperlink("https://icd.who.int/dev11/l-ichi/en#/http%3A%2F%2Fid.who.int%2Ficd%2Fentity%2F1662149952","browser")</x:f>
      </x:c>
      <x:c r="L1468" s="0">
        <x:f>hyperlink("https://icat2.azurewebsites.net/icat/?ontology=ICD&amp;tab=ClassesTab&amp;id=http%3A%2F%2Fwho.int%2Ficd%233244_512ebf36_bf6b_4d70_85da_cf2637062af4","iCat")</x:f>
      </x:c>
      <x:c r="M1468" s="0" t="s">
        <x:v>21</x:v>
      </x:c>
      <x:c r="N1468" s="0" t="s">
        <x:v>46</x:v>
      </x:c>
    </x:row>
    <x:row r="1469" spans="1:16">
      <x:c r="A1469" s="0" t="s">
        <x:v>5706</x:v>
      </x:c>
      <x:c r="B1469" s="0" t="s">
        <x:v>5707</x:v>
      </x:c>
      <x:c r="C1469" s="0" t="s">
        <x:v>5708</x:v>
      </x:c>
      <x:c r="E1469" s="0" t="s">
        <x:v>5709</x:v>
      </x:c>
      <x:c r="F1469" s="0" t="s">
        <x:v>45</x:v>
      </x:c>
      <x:c r="G1469" s="0" t="s">
        <x:v>19</x:v>
      </x:c>
      <x:c r="H1469" s="0" t="s">
        <x:v>20</x:v>
      </x:c>
      <x:c r="I1469" s="0" t="s">
        <x:v>21</x:v>
      </x:c>
      <x:c r="K1469" s="0">
        <x:f>hyperlink("https://icd.who.int/dev11/l-ichi/en#/http%3A%2F%2Fid.who.int%2Ficd%2Fentity%2F1504455080","browser")</x:f>
      </x:c>
      <x:c r="L1469" s="0">
        <x:f>hyperlink("https://icat2.azurewebsites.net/icat/?ontology=ICD&amp;tab=ClassesTab&amp;id=http%3A%2F%2Fwho.int%2Ficd%233252_512ebf36_bf6b_4d70_85da_cf2637062af4","iCat")</x:f>
      </x:c>
      <x:c r="M1469" s="0" t="s">
        <x:v>21</x:v>
      </x:c>
      <x:c r="N1469" s="0" t="s">
        <x:v>46</x:v>
      </x:c>
    </x:row>
    <x:row r="1470" spans="1:16">
      <x:c r="A1470" s="0" t="s">
        <x:v>5710</x:v>
      </x:c>
      <x:c r="B1470" s="0" t="s">
        <x:v>5711</x:v>
      </x:c>
      <x:c r="C1470" s="0" t="s">
        <x:v>5712</x:v>
      </x:c>
      <x:c r="E1470" s="0" t="s">
        <x:v>5713</x:v>
      </x:c>
      <x:c r="F1470" s="0" t="s">
        <x:v>45</x:v>
      </x:c>
      <x:c r="G1470" s="0" t="s">
        <x:v>19</x:v>
      </x:c>
      <x:c r="H1470" s="0" t="s">
        <x:v>20</x:v>
      </x:c>
      <x:c r="I1470" s="0" t="s">
        <x:v>21</x:v>
      </x:c>
      <x:c r="K1470" s="0">
        <x:f>hyperlink("https://icd.who.int/dev11/l-ichi/en#/http%3A%2F%2Fid.who.int%2Ficd%2Fentity%2F1386755850","browser")</x:f>
      </x:c>
      <x:c r="L1470" s="0">
        <x:f>hyperlink("https://icat2.azurewebsites.net/icat/?ontology=ICD&amp;tab=ClassesTab&amp;id=http%3A%2F%2Fwho.int%2Ficd%233259_512ebf36_bf6b_4d70_85da_cf2637062af4","iCat")</x:f>
      </x:c>
      <x:c r="M1470" s="0" t="s">
        <x:v>21</x:v>
      </x:c>
      <x:c r="N1470" s="0" t="s">
        <x:v>46</x:v>
      </x:c>
    </x:row>
    <x:row r="1471" spans="1:16">
      <x:c r="A1471" s="0" t="s">
        <x:v>5714</x:v>
      </x:c>
      <x:c r="B1471" s="0" t="s">
        <x:v>5715</x:v>
      </x:c>
      <x:c r="C1471" s="0" t="s">
        <x:v>5716</x:v>
      </x:c>
      <x:c r="E1471" s="0" t="s">
        <x:v>5717</x:v>
      </x:c>
      <x:c r="F1471" s="0" t="s">
        <x:v>45</x:v>
      </x:c>
      <x:c r="G1471" s="0" t="s">
        <x:v>19</x:v>
      </x:c>
      <x:c r="H1471" s="0" t="s">
        <x:v>20</x:v>
      </x:c>
      <x:c r="I1471" s="0" t="s">
        <x:v>21</x:v>
      </x:c>
      <x:c r="K1471" s="0">
        <x:f>hyperlink("https://icd.who.int/dev11/l-ichi/en#/http%3A%2F%2Fid.who.int%2Ficd%2Fentity%2F739945941","browser")</x:f>
      </x:c>
      <x:c r="L1471" s="0">
        <x:f>hyperlink("https://icat2.azurewebsites.net/icat/?ontology=ICD&amp;tab=ClassesTab&amp;id=http%3A%2F%2Fwho.int%2Ficd%233266_512ebf36_bf6b_4d70_85da_cf2637062af4","iCat")</x:f>
      </x:c>
      <x:c r="M1471" s="0" t="s">
        <x:v>21</x:v>
      </x:c>
      <x:c r="N1471" s="0" t="s">
        <x:v>46</x:v>
      </x:c>
    </x:row>
    <x:row r="1472" spans="1:16">
      <x:c r="A1472" s="0" t="s">
        <x:v>5718</x:v>
      </x:c>
      <x:c r="B1472" s="0" t="s">
        <x:v>5719</x:v>
      </x:c>
      <x:c r="D1472" s="0" t="s">
        <x:v>5720</x:v>
      </x:c>
      <x:c r="E1472" s="0" t="s">
        <x:v>5721</x:v>
      </x:c>
      <x:c r="F1472" s="0" t="s">
        <x:v>26</x:v>
      </x:c>
      <x:c r="G1472" s="0" t="s">
        <x:v>22</x:v>
      </x:c>
      <x:c r="H1472" s="0" t="s">
        <x:v>20</x:v>
      </x:c>
      <x:c r="I1472" s="0" t="s">
        <x:v>21</x:v>
      </x:c>
      <x:c r="K1472" s="0">
        <x:f>hyperlink("https://icd.who.int/dev11/l-ichi/en#/http%3A%2F%2Fid.who.int%2Ficd%2Fentity%2F597894471","browser")</x:f>
      </x:c>
      <x:c r="L1472" s="0">
        <x:f>hyperlink("https://icat2.azurewebsites.net/icat/?ontology=ICD&amp;tab=ClassesTab&amp;id=http%3A%2F%2Fwho.int%2Ficd%233274_512ebf36_bf6b_4d70_85da_cf2637062af4","iCat")</x:f>
      </x:c>
      <x:c r="M1472" s="0" t="s">
        <x:v>20</x:v>
      </x:c>
      <x:c r="N1472" s="0" t="s">
        <x:v>584</x:v>
      </x:c>
    </x:row>
    <x:row r="1473" spans="1:16">
      <x:c r="A1473" s="0" t="s">
        <x:v>5722</x:v>
      </x:c>
      <x:c r="B1473" s="0" t="s">
        <x:v>5723</x:v>
      </x:c>
      <x:c r="C1473" s="0" t="s">
        <x:v>5724</x:v>
      </x:c>
      <x:c r="E1473" s="0" t="s">
        <x:v>5725</x:v>
      </x:c>
      <x:c r="F1473" s="0" t="s">
        <x:v>45</x:v>
      </x:c>
      <x:c r="G1473" s="0" t="s">
        <x:v>19</x:v>
      </x:c>
      <x:c r="H1473" s="0" t="s">
        <x:v>20</x:v>
      </x:c>
      <x:c r="I1473" s="0" t="s">
        <x:v>21</x:v>
      </x:c>
      <x:c r="K1473" s="0">
        <x:f>hyperlink("https://icd.who.int/dev11/l-ichi/en#/http%3A%2F%2Fid.who.int%2Ficd%2Fentity%2F1394708172","browser")</x:f>
      </x:c>
      <x:c r="L1473" s="0">
        <x:f>hyperlink("https://icat2.azurewebsites.net/icat/?ontology=ICD&amp;tab=ClassesTab&amp;id=http%3A%2F%2Fwho.int%2Ficd%233273_512ebf36_bf6b_4d70_85da_cf2637062af4","iCat")</x:f>
      </x:c>
      <x:c r="M1473" s="0" t="s">
        <x:v>21</x:v>
      </x:c>
      <x:c r="N1473" s="0" t="s">
        <x:v>46</x:v>
      </x:c>
    </x:row>
    <x:row r="1474" spans="1:16">
      <x:c r="A1474" s="0" t="s">
        <x:v>5726</x:v>
      </x:c>
      <x:c r="B1474" s="0" t="s">
        <x:v>5727</x:v>
      </x:c>
      <x:c r="C1474" s="0" t="s">
        <x:v>5728</x:v>
      </x:c>
      <x:c r="E1474" s="0" t="s">
        <x:v>5729</x:v>
      </x:c>
      <x:c r="F1474" s="0" t="s">
        <x:v>45</x:v>
      </x:c>
      <x:c r="G1474" s="0" t="s">
        <x:v>19</x:v>
      </x:c>
      <x:c r="H1474" s="0" t="s">
        <x:v>20</x:v>
      </x:c>
      <x:c r="I1474" s="0" t="s">
        <x:v>21</x:v>
      </x:c>
      <x:c r="K1474" s="0">
        <x:f>hyperlink("https://icd.who.int/dev11/l-ichi/en#/http%3A%2F%2Fid.who.int%2Ficd%2Fentity%2F369316163","browser")</x:f>
      </x:c>
      <x:c r="L1474" s="0">
        <x:f>hyperlink("https://icat2.azurewebsites.net/icat/?ontology=ICD&amp;tab=ClassesTab&amp;id=http%3A%2F%2Fwho.int%2Ficd%233293_512ebf36_bf6b_4d70_85da_cf2637062af4","iCat")</x:f>
      </x:c>
      <x:c r="M1474" s="0" t="s">
        <x:v>21</x:v>
      </x:c>
      <x:c r="N1474" s="0" t="s">
        <x:v>46</x:v>
      </x:c>
    </x:row>
    <x:row r="1475" spans="1:16">
      <x:c r="A1475" s="0" t="s">
        <x:v>5730</x:v>
      </x:c>
      <x:c r="B1475" s="0" t="s">
        <x:v>5731</x:v>
      </x:c>
      <x:c r="C1475" s="0" t="s">
        <x:v>5732</x:v>
      </x:c>
      <x:c r="E1475" s="0" t="s">
        <x:v>5733</x:v>
      </x:c>
      <x:c r="F1475" s="0" t="s">
        <x:v>45</x:v>
      </x:c>
      <x:c r="G1475" s="0" t="s">
        <x:v>19</x:v>
      </x:c>
      <x:c r="H1475" s="0" t="s">
        <x:v>20</x:v>
      </x:c>
      <x:c r="I1475" s="0" t="s">
        <x:v>21</x:v>
      </x:c>
      <x:c r="K1475" s="0">
        <x:f>hyperlink("https://icd.who.int/dev11/l-ichi/en#/http%3A%2F%2Fid.who.int%2Ficd%2Fentity%2F1408054454","browser")</x:f>
      </x:c>
      <x:c r="L1475" s="0">
        <x:f>hyperlink("https://icat2.azurewebsites.net/icat/?ontology=ICD&amp;tab=ClassesTab&amp;id=http%3A%2F%2Fwho.int%2Ficd%233300_512ebf36_bf6b_4d70_85da_cf2637062af4","iCat")</x:f>
      </x:c>
      <x:c r="M1475" s="0" t="s">
        <x:v>21</x:v>
      </x:c>
      <x:c r="N1475" s="0" t="s">
        <x:v>46</x:v>
      </x:c>
    </x:row>
    <x:row r="1476" spans="1:16">
      <x:c r="A1476" s="0" t="s">
        <x:v>5734</x:v>
      </x:c>
      <x:c r="B1476" s="0" t="s">
        <x:v>5735</x:v>
      </x:c>
      <x:c r="C1476" s="0" t="s">
        <x:v>5736</x:v>
      </x:c>
      <x:c r="E1476" s="0" t="s">
        <x:v>5737</x:v>
      </x:c>
      <x:c r="F1476" s="0" t="s">
        <x:v>45</x:v>
      </x:c>
      <x:c r="G1476" s="0" t="s">
        <x:v>19</x:v>
      </x:c>
      <x:c r="H1476" s="0" t="s">
        <x:v>20</x:v>
      </x:c>
      <x:c r="I1476" s="0" t="s">
        <x:v>21</x:v>
      </x:c>
      <x:c r="K1476" s="0">
        <x:f>hyperlink("https://icd.who.int/dev11/l-ichi/en#/http%3A%2F%2Fid.who.int%2Ficd%2Fentity%2F493635041","browser")</x:f>
      </x:c>
      <x:c r="L1476" s="0">
        <x:f>hyperlink("https://icat2.azurewebsites.net/icat/?ontology=ICD&amp;tab=ClassesTab&amp;id=http%3A%2F%2Fwho.int%2Ficd%233308_512ebf36_bf6b_4d70_85da_cf2637062af4","iCat")</x:f>
      </x:c>
      <x:c r="M1476" s="0" t="s">
        <x:v>21</x:v>
      </x:c>
      <x:c r="N1476" s="0" t="s">
        <x:v>46</x:v>
      </x:c>
    </x:row>
    <x:row r="1477" spans="1:16">
      <x:c r="A1477" s="0" t="s">
        <x:v>5738</x:v>
      </x:c>
      <x:c r="B1477" s="0" t="s">
        <x:v>5739</x:v>
      </x:c>
      <x:c r="C1477" s="0" t="s">
        <x:v>5740</x:v>
      </x:c>
      <x:c r="E1477" s="0" t="s">
        <x:v>5741</x:v>
      </x:c>
      <x:c r="F1477" s="0" t="s">
        <x:v>45</x:v>
      </x:c>
      <x:c r="G1477" s="0" t="s">
        <x:v>19</x:v>
      </x:c>
      <x:c r="H1477" s="0" t="s">
        <x:v>20</x:v>
      </x:c>
      <x:c r="I1477" s="0" t="s">
        <x:v>21</x:v>
      </x:c>
      <x:c r="K1477" s="0">
        <x:f>hyperlink("https://icd.who.int/dev11/l-ichi/en#/http%3A%2F%2Fid.who.int%2Ficd%2Fentity%2F752228267","browser")</x:f>
      </x:c>
      <x:c r="L1477" s="0">
        <x:f>hyperlink("https://icat2.azurewebsites.net/icat/?ontology=ICD&amp;tab=ClassesTab&amp;id=http%3A%2F%2Fwho.int%2Ficd%233315_512ebf36_bf6b_4d70_85da_cf2637062af4","iCat")</x:f>
      </x:c>
      <x:c r="M1477" s="0" t="s">
        <x:v>21</x:v>
      </x:c>
      <x:c r="N1477" s="0" t="s">
        <x:v>46</x:v>
      </x:c>
    </x:row>
    <x:row r="1478" spans="1:16">
      <x:c r="A1478" s="0" t="s">
        <x:v>5742</x:v>
      </x:c>
      <x:c r="B1478" s="0" t="s">
        <x:v>5743</x:v>
      </x:c>
      <x:c r="C1478" s="0" t="s">
        <x:v>5744</x:v>
      </x:c>
      <x:c r="E1478" s="0" t="s">
        <x:v>5745</x:v>
      </x:c>
      <x:c r="F1478" s="0" t="s">
        <x:v>45</x:v>
      </x:c>
      <x:c r="G1478" s="0" t="s">
        <x:v>19</x:v>
      </x:c>
      <x:c r="H1478" s="0" t="s">
        <x:v>20</x:v>
      </x:c>
      <x:c r="I1478" s="0" t="s">
        <x:v>21</x:v>
      </x:c>
      <x:c r="K1478" s="0">
        <x:f>hyperlink("https://icd.who.int/dev11/l-ichi/en#/http%3A%2F%2Fid.who.int%2Ficd%2Fentity%2F484834337","browser")</x:f>
      </x:c>
      <x:c r="L1478" s="0">
        <x:f>hyperlink("https://icat2.azurewebsites.net/icat/?ontology=ICD&amp;tab=ClassesTab&amp;id=http%3A%2F%2Fwho.int%2Ficd%233322_512ebf36_bf6b_4d70_85da_cf2637062af4","iCat")</x:f>
      </x:c>
      <x:c r="M1478" s="0" t="s">
        <x:v>21</x:v>
      </x:c>
      <x:c r="N1478" s="0" t="s">
        <x:v>46</x:v>
      </x:c>
    </x:row>
    <x:row r="1479" spans="1:16">
      <x:c r="A1479" s="0" t="s">
        <x:v>5746</x:v>
      </x:c>
      <x:c r="B1479" s="0" t="s">
        <x:v>5747</x:v>
      </x:c>
      <x:c r="C1479" s="0" t="s">
        <x:v>5748</x:v>
      </x:c>
      <x:c r="E1479" s="0" t="s">
        <x:v>5749</x:v>
      </x:c>
      <x:c r="F1479" s="0" t="s">
        <x:v>45</x:v>
      </x:c>
      <x:c r="G1479" s="0" t="s">
        <x:v>19</x:v>
      </x:c>
      <x:c r="H1479" s="0" t="s">
        <x:v>20</x:v>
      </x:c>
      <x:c r="I1479" s="0" t="s">
        <x:v>21</x:v>
      </x:c>
      <x:c r="K1479" s="0">
        <x:f>hyperlink("https://icd.who.int/dev11/l-ichi/en#/http%3A%2F%2Fid.who.int%2Ficd%2Fentity%2F400679565","browser")</x:f>
      </x:c>
      <x:c r="L1479" s="0">
        <x:f>hyperlink("https://icat2.azurewebsites.net/icat/?ontology=ICD&amp;tab=ClassesTab&amp;id=http%3A%2F%2Fwho.int%2Ficd%233329_512ebf36_bf6b_4d70_85da_cf2637062af4","iCat")</x:f>
      </x:c>
      <x:c r="M1479" s="0" t="s">
        <x:v>21</x:v>
      </x:c>
      <x:c r="N1479" s="0" t="s">
        <x:v>46</x:v>
      </x:c>
    </x:row>
    <x:row r="1480" spans="1:16">
      <x:c r="A1480" s="0" t="s">
        <x:v>5750</x:v>
      </x:c>
      <x:c r="B1480" s="0" t="s">
        <x:v>5751</x:v>
      </x:c>
      <x:c r="C1480" s="0" t="s">
        <x:v>5752</x:v>
      </x:c>
      <x:c r="E1480" s="0" t="s">
        <x:v>5753</x:v>
      </x:c>
      <x:c r="F1480" s="0" t="s">
        <x:v>45</x:v>
      </x:c>
      <x:c r="G1480" s="0" t="s">
        <x:v>19</x:v>
      </x:c>
      <x:c r="H1480" s="0" t="s">
        <x:v>20</x:v>
      </x:c>
      <x:c r="I1480" s="0" t="s">
        <x:v>21</x:v>
      </x:c>
      <x:c r="K1480" s="0">
        <x:f>hyperlink("https://icd.who.int/dev11/l-ichi/en#/http%3A%2F%2Fid.who.int%2Ficd%2Fentity%2F1126673668","browser")</x:f>
      </x:c>
      <x:c r="L1480" s="0">
        <x:f>hyperlink("https://icat2.azurewebsites.net/icat/?ontology=ICD&amp;tab=ClassesTab&amp;id=http%3A%2F%2Fwho.int%2Ficd%233336_512ebf36_bf6b_4d70_85da_cf2637062af4","iCat")</x:f>
      </x:c>
      <x:c r="M1480" s="0" t="s">
        <x:v>21</x:v>
      </x:c>
      <x:c r="N1480" s="0" t="s">
        <x:v>46</x:v>
      </x:c>
    </x:row>
    <x:row r="1481" spans="1:16">
      <x:c r="A1481" s="0" t="s">
        <x:v>5754</x:v>
      </x:c>
      <x:c r="B1481" s="0" t="s">
        <x:v>5755</x:v>
      </x:c>
      <x:c r="C1481" s="0" t="s">
        <x:v>5756</x:v>
      </x:c>
      <x:c r="E1481" s="0" t="s">
        <x:v>5757</x:v>
      </x:c>
      <x:c r="F1481" s="0" t="s">
        <x:v>45</x:v>
      </x:c>
      <x:c r="G1481" s="0" t="s">
        <x:v>19</x:v>
      </x:c>
      <x:c r="H1481" s="0" t="s">
        <x:v>20</x:v>
      </x:c>
      <x:c r="I1481" s="0" t="s">
        <x:v>21</x:v>
      </x:c>
      <x:c r="K1481" s="0">
        <x:f>hyperlink("https://icd.who.int/dev11/l-ichi/en#/http%3A%2F%2Fid.who.int%2Ficd%2Fentity%2F378381277","browser")</x:f>
      </x:c>
      <x:c r="L1481" s="0">
        <x:f>hyperlink("https://icat2.azurewebsites.net/icat/?ontology=ICD&amp;tab=ClassesTab&amp;id=http%3A%2F%2Fwho.int%2Ficd%233344_512ebf36_bf6b_4d70_85da_cf2637062af4","iCat")</x:f>
      </x:c>
      <x:c r="M1481" s="0" t="s">
        <x:v>21</x:v>
      </x:c>
      <x:c r="N1481" s="0" t="s">
        <x:v>46</x:v>
      </x:c>
    </x:row>
    <x:row r="1482" spans="1:16">
      <x:c r="A1482" s="0" t="s">
        <x:v>5758</x:v>
      </x:c>
      <x:c r="B1482" s="0" t="s">
        <x:v>5759</x:v>
      </x:c>
      <x:c r="C1482" s="0" t="s">
        <x:v>5760</x:v>
      </x:c>
      <x:c r="E1482" s="0" t="s">
        <x:v>5761</x:v>
      </x:c>
      <x:c r="F1482" s="0" t="s">
        <x:v>45</x:v>
      </x:c>
      <x:c r="G1482" s="0" t="s">
        <x:v>19</x:v>
      </x:c>
      <x:c r="H1482" s="0" t="s">
        <x:v>20</x:v>
      </x:c>
      <x:c r="I1482" s="0" t="s">
        <x:v>21</x:v>
      </x:c>
      <x:c r="K1482" s="0">
        <x:f>hyperlink("https://icd.who.int/dev11/l-ichi/en#/http%3A%2F%2Fid.who.int%2Ficd%2Fentity%2F1773568194","browser")</x:f>
      </x:c>
      <x:c r="L1482" s="0">
        <x:f>hyperlink("https://icat2.azurewebsites.net/icat/?ontology=ICD&amp;tab=ClassesTab&amp;id=http%3A%2F%2Fwho.int%2Ficd%233351_512ebf36_bf6b_4d70_85da_cf2637062af4","iCat")</x:f>
      </x:c>
      <x:c r="M1482" s="0" t="s">
        <x:v>21</x:v>
      </x:c>
      <x:c r="N1482" s="0" t="s">
        <x:v>46</x:v>
      </x:c>
    </x:row>
    <x:row r="1483" spans="1:16">
      <x:c r="A1483" s="0" t="s">
        <x:v>5762</x:v>
      </x:c>
      <x:c r="B1483" s="0" t="s">
        <x:v>5763</x:v>
      </x:c>
      <x:c r="C1483" s="0" t="s">
        <x:v>5764</x:v>
      </x:c>
      <x:c r="E1483" s="0" t="s">
        <x:v>5765</x:v>
      </x:c>
      <x:c r="F1483" s="0" t="s">
        <x:v>45</x:v>
      </x:c>
      <x:c r="G1483" s="0" t="s">
        <x:v>19</x:v>
      </x:c>
      <x:c r="H1483" s="0" t="s">
        <x:v>20</x:v>
      </x:c>
      <x:c r="I1483" s="0" t="s">
        <x:v>21</x:v>
      </x:c>
      <x:c r="K1483" s="0">
        <x:f>hyperlink("https://icd.who.int/dev11/l-ichi/en#/http%3A%2F%2Fid.who.int%2Ficd%2Fentity%2F130974635","browser")</x:f>
      </x:c>
      <x:c r="L1483" s="0">
        <x:f>hyperlink("https://icat2.azurewebsites.net/icat/?ontology=ICD&amp;tab=ClassesTab&amp;id=http%3A%2F%2Fwho.int%2Ficd%233358_512ebf36_bf6b_4d70_85da_cf2637062af4","iCat")</x:f>
      </x:c>
      <x:c r="M1483" s="0" t="s">
        <x:v>21</x:v>
      </x:c>
      <x:c r="N1483" s="0" t="s">
        <x:v>46</x:v>
      </x:c>
    </x:row>
    <x:row r="1484" spans="1:16">
      <x:c r="A1484" s="0" t="s">
        <x:v>5766</x:v>
      </x:c>
      <x:c r="B1484" s="0" t="s">
        <x:v>5767</x:v>
      </x:c>
      <x:c r="C1484" s="0" t="s">
        <x:v>5768</x:v>
      </x:c>
      <x:c r="E1484" s="0" t="s">
        <x:v>5769</x:v>
      </x:c>
      <x:c r="F1484" s="0" t="s">
        <x:v>45</x:v>
      </x:c>
      <x:c r="G1484" s="0" t="s">
        <x:v>19</x:v>
      </x:c>
      <x:c r="H1484" s="0" t="s">
        <x:v>20</x:v>
      </x:c>
      <x:c r="I1484" s="0" t="s">
        <x:v>21</x:v>
      </x:c>
      <x:c r="K1484" s="0">
        <x:f>hyperlink("https://icd.who.int/dev11/l-ichi/en#/http%3A%2F%2Fid.who.int%2Ficd%2Fentity%2F469763249","browser")</x:f>
      </x:c>
      <x:c r="L1484" s="0">
        <x:f>hyperlink("https://icat2.azurewebsites.net/icat/?ontology=ICD&amp;tab=ClassesTab&amp;id=http%3A%2F%2Fwho.int%2Ficd%233365_512ebf36_bf6b_4d70_85da_cf2637062af4","iCat")</x:f>
      </x:c>
      <x:c r="M1484" s="0" t="s">
        <x:v>21</x:v>
      </x:c>
      <x:c r="N1484" s="0" t="s">
        <x:v>46</x:v>
      </x:c>
    </x:row>
    <x:row r="1485" spans="1:16">
      <x:c r="A1485" s="0" t="s">
        <x:v>5770</x:v>
      </x:c>
      <x:c r="B1485" s="0" t="s">
        <x:v>5771</x:v>
      </x:c>
      <x:c r="C1485" s="0" t="s">
        <x:v>5772</x:v>
      </x:c>
      <x:c r="E1485" s="0" t="s">
        <x:v>5773</x:v>
      </x:c>
      <x:c r="F1485" s="0" t="s">
        <x:v>45</x:v>
      </x:c>
      <x:c r="G1485" s="0" t="s">
        <x:v>19</x:v>
      </x:c>
      <x:c r="H1485" s="0" t="s">
        <x:v>20</x:v>
      </x:c>
      <x:c r="I1485" s="0" t="s">
        <x:v>21</x:v>
      </x:c>
      <x:c r="K1485" s="0">
        <x:f>hyperlink("https://icd.who.int/dev11/l-ichi/en#/http%3A%2F%2Fid.who.int%2Ficd%2Fentity%2F1347992823","browser")</x:f>
      </x:c>
      <x:c r="L1485" s="0">
        <x:f>hyperlink("https://icat2.azurewebsites.net/icat/?ontology=ICD&amp;tab=ClassesTab&amp;id=http%3A%2F%2Fwho.int%2Ficd%231206_7005c14c_2656_4f4b_85a0_8e71c99be967","iCat")</x:f>
      </x:c>
      <x:c r="M1485" s="0" t="s">
        <x:v>21</x:v>
      </x:c>
      <x:c r="N1485" s="0" t="s">
        <x:v>46</x:v>
      </x:c>
    </x:row>
    <x:row r="1486" spans="1:16">
      <x:c r="A1486" s="0" t="s">
        <x:v>5774</x:v>
      </x:c>
      <x:c r="B1486" s="0" t="s">
        <x:v>5775</x:v>
      </x:c>
      <x:c r="C1486" s="0" t="s">
        <x:v>5776</x:v>
      </x:c>
      <x:c r="E1486" s="0" t="s">
        <x:v>5777</x:v>
      </x:c>
      <x:c r="F1486" s="0" t="s">
        <x:v>45</x:v>
      </x:c>
      <x:c r="G1486" s="0" t="s">
        <x:v>19</x:v>
      </x:c>
      <x:c r="H1486" s="0" t="s">
        <x:v>20</x:v>
      </x:c>
      <x:c r="I1486" s="0" t="s">
        <x:v>21</x:v>
      </x:c>
      <x:c r="K1486" s="0">
        <x:f>hyperlink("https://icd.who.int/dev11/l-ichi/en#/http%3A%2F%2Fid.who.int%2Ficd%2Fentity%2F1992659430","browser")</x:f>
      </x:c>
      <x:c r="L1486" s="0">
        <x:f>hyperlink("https://icat2.azurewebsites.net/icat/?ontology=ICD&amp;tab=ClassesTab&amp;id=http%3A%2F%2Fwho.int%2Ficd%233375_512ebf36_bf6b_4d70_85da_cf2637062af4","iCat")</x:f>
      </x:c>
      <x:c r="M1486" s="0" t="s">
        <x:v>21</x:v>
      </x:c>
      <x:c r="N1486" s="0" t="s">
        <x:v>46</x:v>
      </x:c>
    </x:row>
    <x:row r="1487" spans="1:16">
      <x:c r="A1487" s="0" t="s">
        <x:v>5778</x:v>
      </x:c>
      <x:c r="B1487" s="0" t="s">
        <x:v>5779</x:v>
      </x:c>
      <x:c r="C1487" s="0" t="s">
        <x:v>5780</x:v>
      </x:c>
      <x:c r="E1487" s="0" t="s">
        <x:v>5781</x:v>
      </x:c>
      <x:c r="F1487" s="0" t="s">
        <x:v>45</x:v>
      </x:c>
      <x:c r="G1487" s="0" t="s">
        <x:v>19</x:v>
      </x:c>
      <x:c r="H1487" s="0" t="s">
        <x:v>20</x:v>
      </x:c>
      <x:c r="I1487" s="0" t="s">
        <x:v>21</x:v>
      </x:c>
      <x:c r="K1487" s="0">
        <x:f>hyperlink("https://icd.who.int/dev11/l-ichi/en#/http%3A%2F%2Fid.who.int%2Ficd%2Fentity%2F156828297","browser")</x:f>
      </x:c>
      <x:c r="L1487" s="0">
        <x:f>hyperlink("https://icat2.azurewebsites.net/icat/?ontology=ICD&amp;tab=ClassesTab&amp;id=http%3A%2F%2Fwho.int%2Ficd%233383_512ebf36_bf6b_4d70_85da_cf2637062af4","iCat")</x:f>
      </x:c>
      <x:c r="M1487" s="0" t="s">
        <x:v>21</x:v>
      </x:c>
      <x:c r="N1487" s="0" t="s">
        <x:v>46</x:v>
      </x:c>
    </x:row>
    <x:row r="1488" spans="1:16">
      <x:c r="A1488" s="0" t="s">
        <x:v>5782</x:v>
      </x:c>
      <x:c r="B1488" s="0" t="s">
        <x:v>5783</x:v>
      </x:c>
      <x:c r="D1488" s="0" t="s">
        <x:v>5784</x:v>
      </x:c>
      <x:c r="E1488" s="0" t="s">
        <x:v>5785</x:v>
      </x:c>
      <x:c r="F1488" s="0" t="s">
        <x:v>26</x:v>
      </x:c>
      <x:c r="G1488" s="0" t="s">
        <x:v>22</x:v>
      </x:c>
      <x:c r="H1488" s="0" t="s">
        <x:v>20</x:v>
      </x:c>
      <x:c r="I1488" s="0" t="s">
        <x:v>21</x:v>
      </x:c>
      <x:c r="K1488" s="0">
        <x:f>hyperlink("https://icd.who.int/dev11/l-ichi/en#/http%3A%2F%2Fid.who.int%2Ficd%2Fentity%2F1130751458","browser")</x:f>
      </x:c>
      <x:c r="L1488" s="0">
        <x:f>hyperlink("https://icat2.azurewebsites.net/icat/?ontology=ICD&amp;tab=ClassesTab&amp;id=http%3A%2F%2Fwho.int%2Ficd%233392_512ebf36_bf6b_4d70_85da_cf2637062af4","iCat")</x:f>
      </x:c>
      <x:c r="M1488" s="0" t="s">
        <x:v>20</x:v>
      </x:c>
      <x:c r="N1488" s="0" t="s">
        <x:v>431</x:v>
      </x:c>
    </x:row>
    <x:row r="1489" spans="1:16">
      <x:c r="A1489" s="0" t="s">
        <x:v>5786</x:v>
      </x:c>
      <x:c r="B1489" s="0" t="s">
        <x:v>5787</x:v>
      </x:c>
      <x:c r="C1489" s="0" t="s">
        <x:v>5788</x:v>
      </x:c>
      <x:c r="E1489" s="0" t="s">
        <x:v>5789</x:v>
      </x:c>
      <x:c r="F1489" s="0" t="s">
        <x:v>45</x:v>
      </x:c>
      <x:c r="G1489" s="0" t="s">
        <x:v>19</x:v>
      </x:c>
      <x:c r="H1489" s="0" t="s">
        <x:v>20</x:v>
      </x:c>
      <x:c r="I1489" s="0" t="s">
        <x:v>21</x:v>
      </x:c>
      <x:c r="K1489" s="0">
        <x:f>hyperlink("https://icd.who.int/dev11/l-ichi/en#/http%3A%2F%2Fid.who.int%2Ficd%2Fentity%2F115378715","browser")</x:f>
      </x:c>
      <x:c r="L1489" s="0">
        <x:f>hyperlink("https://icat2.azurewebsites.net/icat/?ontology=ICD&amp;tab=ClassesTab&amp;id=http%3A%2F%2Fwho.int%2Ficd%233391_512ebf36_bf6b_4d70_85da_cf2637062af4","iCat")</x:f>
      </x:c>
      <x:c r="M1489" s="0" t="s">
        <x:v>21</x:v>
      </x:c>
      <x:c r="N1489" s="0" t="s">
        <x:v>46</x:v>
      </x:c>
    </x:row>
    <x:row r="1490" spans="1:16">
      <x:c r="A1490" s="0" t="s">
        <x:v>5790</x:v>
      </x:c>
      <x:c r="B1490" s="0" t="s">
        <x:v>5791</x:v>
      </x:c>
      <x:c r="C1490" s="0" t="s">
        <x:v>5792</x:v>
      </x:c>
      <x:c r="E1490" s="0" t="s">
        <x:v>5793</x:v>
      </x:c>
      <x:c r="F1490" s="0" t="s">
        <x:v>45</x:v>
      </x:c>
      <x:c r="G1490" s="0" t="s">
        <x:v>19</x:v>
      </x:c>
      <x:c r="H1490" s="0" t="s">
        <x:v>20</x:v>
      </x:c>
      <x:c r="I1490" s="0" t="s">
        <x:v>21</x:v>
      </x:c>
      <x:c r="K1490" s="0">
        <x:f>hyperlink("https://icd.who.int/dev11/l-ichi/en#/http%3A%2F%2Fid.who.int%2Ficd%2Fentity%2F1875330409","browser")</x:f>
      </x:c>
      <x:c r="L1490" s="0">
        <x:f>hyperlink("https://icat2.azurewebsites.net/icat/?ontology=ICD&amp;tab=ClassesTab&amp;id=http%3A%2F%2Fwho.int%2Ficd%233406_512ebf36_bf6b_4d70_85da_cf2637062af4","iCat")</x:f>
      </x:c>
      <x:c r="M1490" s="0" t="s">
        <x:v>21</x:v>
      </x:c>
      <x:c r="N1490" s="0" t="s">
        <x:v>46</x:v>
      </x:c>
    </x:row>
    <x:row r="1491" spans="1:16">
      <x:c r="A1491" s="0" t="s">
        <x:v>5794</x:v>
      </x:c>
      <x:c r="B1491" s="0" t="s">
        <x:v>5795</x:v>
      </x:c>
      <x:c r="C1491" s="0" t="s">
        <x:v>5796</x:v>
      </x:c>
      <x:c r="E1491" s="0" t="s">
        <x:v>5797</x:v>
      </x:c>
      <x:c r="F1491" s="0" t="s">
        <x:v>45</x:v>
      </x:c>
      <x:c r="G1491" s="0" t="s">
        <x:v>19</x:v>
      </x:c>
      <x:c r="H1491" s="0" t="s">
        <x:v>20</x:v>
      </x:c>
      <x:c r="I1491" s="0" t="s">
        <x:v>21</x:v>
      </x:c>
      <x:c r="K1491" s="0">
        <x:f>hyperlink("https://icd.who.int/dev11/l-ichi/en#/http%3A%2F%2Fid.who.int%2Ficd%2Fentity%2F1705189208","browser")</x:f>
      </x:c>
      <x:c r="L1491" s="0">
        <x:f>hyperlink("https://icat2.azurewebsites.net/icat/?ontology=ICD&amp;tab=ClassesTab&amp;id=http%3A%2F%2Fwho.int%2Ficd%23277_94acc4f6_b696_4796_914a_62879ddd4f65","iCat")</x:f>
      </x:c>
      <x:c r="M1491" s="0" t="s">
        <x:v>21</x:v>
      </x:c>
      <x:c r="N1491" s="0" t="s">
        <x:v>46</x:v>
      </x:c>
    </x:row>
    <x:row r="1492" spans="1:16">
      <x:c r="A1492" s="0" t="s">
        <x:v>5798</x:v>
      </x:c>
      <x:c r="B1492" s="0" t="s">
        <x:v>5799</x:v>
      </x:c>
      <x:c r="C1492" s="0" t="s">
        <x:v>5800</x:v>
      </x:c>
      <x:c r="E1492" s="0" t="s">
        <x:v>5801</x:v>
      </x:c>
      <x:c r="F1492" s="0" t="s">
        <x:v>45</x:v>
      </x:c>
      <x:c r="G1492" s="0" t="s">
        <x:v>19</x:v>
      </x:c>
      <x:c r="H1492" s="0" t="s">
        <x:v>20</x:v>
      </x:c>
      <x:c r="I1492" s="0" t="s">
        <x:v>21</x:v>
      </x:c>
      <x:c r="K1492" s="0">
        <x:f>hyperlink("https://icd.who.int/dev11/l-ichi/en#/http%3A%2F%2Fid.who.int%2Ficd%2Fentity%2F805639242","browser")</x:f>
      </x:c>
      <x:c r="L1492" s="0">
        <x:f>hyperlink("https://icat2.azurewebsites.net/icat/?ontology=ICD&amp;tab=ClassesTab&amp;id=http%3A%2F%2Fwho.int%2Ficd%233412_512ebf36_bf6b_4d70_85da_cf2637062af4","iCat")</x:f>
      </x:c>
      <x:c r="M1492" s="0" t="s">
        <x:v>21</x:v>
      </x:c>
      <x:c r="N1492" s="0" t="s">
        <x:v>46</x:v>
      </x:c>
    </x:row>
    <x:row r="1493" spans="1:16">
      <x:c r="A1493" s="0" t="s">
        <x:v>5802</x:v>
      </x:c>
      <x:c r="B1493" s="0" t="s">
        <x:v>5803</x:v>
      </x:c>
      <x:c r="C1493" s="0" t="s">
        <x:v>5804</x:v>
      </x:c>
      <x:c r="E1493" s="0" t="s">
        <x:v>5805</x:v>
      </x:c>
      <x:c r="F1493" s="0" t="s">
        <x:v>45</x:v>
      </x:c>
      <x:c r="G1493" s="0" t="s">
        <x:v>19</x:v>
      </x:c>
      <x:c r="H1493" s="0" t="s">
        <x:v>20</x:v>
      </x:c>
      <x:c r="I1493" s="0" t="s">
        <x:v>21</x:v>
      </x:c>
      <x:c r="K1493" s="0">
        <x:f>hyperlink("https://icd.who.int/dev11/l-ichi/en#/http%3A%2F%2Fid.who.int%2Ficd%2Fentity%2F989924072","browser")</x:f>
      </x:c>
      <x:c r="L1493" s="0">
        <x:f>hyperlink("https://icat2.azurewebsites.net/icat/?ontology=ICD&amp;tab=ClassesTab&amp;id=http%3A%2F%2Fwho.int%2Ficd%233419_512ebf36_bf6b_4d70_85da_cf2637062af4","iCat")</x:f>
      </x:c>
      <x:c r="M1493" s="0" t="s">
        <x:v>21</x:v>
      </x:c>
      <x:c r="N1493" s="0" t="s">
        <x:v>46</x:v>
      </x:c>
    </x:row>
    <x:row r="1494" spans="1:16">
      <x:c r="A1494" s="0" t="s">
        <x:v>5806</x:v>
      </x:c>
      <x:c r="B1494" s="0" t="s">
        <x:v>5807</x:v>
      </x:c>
      <x:c r="C1494" s="0" t="s">
        <x:v>5808</x:v>
      </x:c>
      <x:c r="E1494" s="0" t="s">
        <x:v>5809</x:v>
      </x:c>
      <x:c r="F1494" s="0" t="s">
        <x:v>45</x:v>
      </x:c>
      <x:c r="G1494" s="0" t="s">
        <x:v>19</x:v>
      </x:c>
      <x:c r="H1494" s="0" t="s">
        <x:v>20</x:v>
      </x:c>
      <x:c r="I1494" s="0" t="s">
        <x:v>21</x:v>
      </x:c>
      <x:c r="K1494" s="0">
        <x:f>hyperlink("https://icd.who.int/dev11/l-ichi/en#/http%3A%2F%2Fid.who.int%2Ficd%2Fentity%2F1699406341","browser")</x:f>
      </x:c>
      <x:c r="L1494" s="0">
        <x:f>hyperlink("https://icat2.azurewebsites.net/icat/?ontology=ICD&amp;tab=ClassesTab&amp;id=http%3A%2F%2Fwho.int%2Ficd%233427_512ebf36_bf6b_4d70_85da_cf2637062af4","iCat")</x:f>
      </x:c>
      <x:c r="M1494" s="0" t="s">
        <x:v>21</x:v>
      </x:c>
      <x:c r="N1494" s="0" t="s">
        <x:v>46</x:v>
      </x:c>
    </x:row>
    <x:row r="1495" spans="1:16">
      <x:c r="A1495" s="0" t="s">
        <x:v>5810</x:v>
      </x:c>
      <x:c r="B1495" s="0" t="s">
        <x:v>5811</x:v>
      </x:c>
      <x:c r="C1495" s="0" t="s">
        <x:v>5812</x:v>
      </x:c>
      <x:c r="E1495" s="0" t="s">
        <x:v>5813</x:v>
      </x:c>
      <x:c r="F1495" s="0" t="s">
        <x:v>45</x:v>
      </x:c>
      <x:c r="G1495" s="0" t="s">
        <x:v>19</x:v>
      </x:c>
      <x:c r="H1495" s="0" t="s">
        <x:v>20</x:v>
      </x:c>
      <x:c r="I1495" s="0" t="s">
        <x:v>21</x:v>
      </x:c>
      <x:c r="K1495" s="0">
        <x:f>hyperlink("https://icd.who.int/dev11/l-ichi/en#/http%3A%2F%2Fid.who.int%2Ficd%2Fentity%2F982037286","browser")</x:f>
      </x:c>
      <x:c r="L1495" s="0">
        <x:f>hyperlink("https://icat2.azurewebsites.net/icat/?ontology=ICD&amp;tab=ClassesTab&amp;id=http%3A%2F%2Fwho.int%2Ficd%233433_512ebf36_bf6b_4d70_85da_cf2637062af4","iCat")</x:f>
      </x:c>
      <x:c r="M1495" s="0" t="s">
        <x:v>21</x:v>
      </x:c>
      <x:c r="N1495" s="0" t="s">
        <x:v>46</x:v>
      </x:c>
    </x:row>
    <x:row r="1496" spans="1:16">
      <x:c r="B1496" s="0" t="s">
        <x:v>5814</x:v>
      </x:c>
      <x:c r="C1496" s="0" t="s">
        <x:v>5815</x:v>
      </x:c>
      <x:c r="E1496" s="0" t="s">
        <x:v>5816</x:v>
      </x:c>
      <x:c r="F1496" s="0" t="s">
        <x:v>45</x:v>
      </x:c>
      <x:c r="G1496" s="0" t="s">
        <x:v>19</x:v>
      </x:c>
      <x:c r="H1496" s="0" t="s">
        <x:v>21</x:v>
      </x:c>
      <x:c r="I1496" s="0" t="s">
        <x:v>21</x:v>
      </x:c>
      <x:c r="K1496" s="0">
        <x:f>hyperlink("https://icd.who.int/dev11/l-ichi/en#/http%3A%2F%2Fid.who.int%2Ficd%2Fentity%2F1395502159%2Fichi%2Fother","browser")</x:f>
      </x:c>
      <x:c r="L1496" s="0">
        <x:f>hyperlink("","iCat")</x:f>
      </x:c>
      <x:c r="M1496" s="0" t="s">
        <x:v>21</x:v>
      </x:c>
      <x:c r="N1496" s="0" t="s">
        <x:v>46</x:v>
      </x:c>
    </x:row>
    <x:row r="1497" spans="1:16">
      <x:c r="B1497" s="0" t="s">
        <x:v>5817</x:v>
      </x:c>
      <x:c r="C1497" s="0" t="s">
        <x:v>5818</x:v>
      </x:c>
      <x:c r="E1497" s="0" t="s">
        <x:v>5819</x:v>
      </x:c>
      <x:c r="F1497" s="0" t="s">
        <x:v>45</x:v>
      </x:c>
      <x:c r="G1497" s="0" t="s">
        <x:v>19</x:v>
      </x:c>
      <x:c r="H1497" s="0" t="s">
        <x:v>21</x:v>
      </x:c>
      <x:c r="I1497" s="0" t="s">
        <x:v>21</x:v>
      </x:c>
      <x:c r="K1497" s="0">
        <x:f>hyperlink("https://icd.who.int/dev11/l-ichi/en#/http%3A%2F%2Fid.who.int%2Ficd%2Fentity%2F1395502159%2Fichi%2Funspecified","browser")</x:f>
      </x:c>
      <x:c r="L1497" s="0">
        <x:f>hyperlink("","iCat")</x:f>
      </x:c>
      <x:c r="M1497" s="0" t="s">
        <x:v>21</x:v>
      </x:c>
      <x:c r="N1497" s="0" t="s">
        <x:v>46</x:v>
      </x:c>
    </x:row>
    <x:row r="1498" spans="1:16">
      <x:c r="A1498" s="0" t="s">
        <x:v>5820</x:v>
      </x:c>
      <x:c r="B1498" s="0" t="s">
        <x:v>5821</x:v>
      </x:c>
      <x:c r="D1498" s="0" t="s">
        <x:v>5822</x:v>
      </x:c>
      <x:c r="E1498" s="0" t="s">
        <x:v>5823</x:v>
      </x:c>
      <x:c r="F1498" s="0" t="s">
        <x:v>26</x:v>
      </x:c>
      <x:c r="G1498" s="0" t="s">
        <x:v>35</x:v>
      </x:c>
      <x:c r="H1498" s="0" t="s">
        <x:v>20</x:v>
      </x:c>
      <x:c r="I1498" s="0" t="s">
        <x:v>21</x:v>
      </x:c>
      <x:c r="K1498" s="0">
        <x:f>hyperlink("https://icd.who.int/dev11/l-ichi/en#/http%3A%2F%2Fid.who.int%2Ficd%2Fentity%2F270114536","browser")</x:f>
      </x:c>
      <x:c r="L1498" s="0">
        <x:f>hyperlink("https://icat2.azurewebsites.net/icat/?ontology=ICD&amp;tab=ClassesTab&amp;id=http%3A%2F%2Fwho.int%2Ficd%233454_512ebf36_bf6b_4d70_85da_cf2637062af4","iCat")</x:f>
      </x:c>
      <x:c r="M1498" s="0" t="s">
        <x:v>20</x:v>
      </x:c>
      <x:c r="N1498" s="0" t="s">
        <x:v>206</x:v>
      </x:c>
    </x:row>
    <x:row r="1499" spans="1:16">
      <x:c r="A1499" s="0" t="s">
        <x:v>5824</x:v>
      </x:c>
      <x:c r="B1499" s="0" t="s">
        <x:v>5825</x:v>
      </x:c>
      <x:c r="D1499" s="0" t="s">
        <x:v>5826</x:v>
      </x:c>
      <x:c r="E1499" s="0" t="s">
        <x:v>5827</x:v>
      </x:c>
      <x:c r="F1499" s="0" t="s">
        <x:v>26</x:v>
      </x:c>
      <x:c r="G1499" s="0" t="s">
        <x:v>22</x:v>
      </x:c>
      <x:c r="H1499" s="0" t="s">
        <x:v>20</x:v>
      </x:c>
      <x:c r="I1499" s="0" t="s">
        <x:v>21</x:v>
      </x:c>
      <x:c r="K1499" s="0">
        <x:f>hyperlink("https://icd.who.int/dev11/l-ichi/en#/http%3A%2F%2Fid.who.int%2Ficd%2Fentity%2F1705974421","browser")</x:f>
      </x:c>
      <x:c r="L1499" s="0">
        <x:f>hyperlink("https://icat2.azurewebsites.net/icat/?ontology=ICD&amp;tab=ClassesTab&amp;id=http%3A%2F%2Fwho.int%2Ficd%233460_512ebf36_bf6b_4d70_85da_cf2637062af4","iCat")</x:f>
      </x:c>
      <x:c r="M1499" s="0" t="s">
        <x:v>20</x:v>
      </x:c>
      <x:c r="N1499" s="0" t="s">
        <x:v>5828</x:v>
      </x:c>
    </x:row>
    <x:row r="1500" spans="1:16">
      <x:c r="A1500" s="0" t="s">
        <x:v>5829</x:v>
      </x:c>
      <x:c r="B1500" s="0" t="s">
        <x:v>5830</x:v>
      </x:c>
      <x:c r="C1500" s="0" t="s">
        <x:v>5831</x:v>
      </x:c>
      <x:c r="E1500" s="0" t="s">
        <x:v>5832</x:v>
      </x:c>
      <x:c r="F1500" s="0" t="s">
        <x:v>45</x:v>
      </x:c>
      <x:c r="G1500" s="0" t="s">
        <x:v>19</x:v>
      </x:c>
      <x:c r="H1500" s="0" t="s">
        <x:v>20</x:v>
      </x:c>
      <x:c r="I1500" s="0" t="s">
        <x:v>21</x:v>
      </x:c>
      <x:c r="K1500" s="0">
        <x:f>hyperlink("https://icd.who.int/dev11/l-ichi/en#/http%3A%2F%2Fid.who.int%2Ficd%2Fentity%2F1620784491","browser")</x:f>
      </x:c>
      <x:c r="L1500" s="0">
        <x:f>hyperlink("https://icat2.azurewebsites.net/icat/?ontology=ICD&amp;tab=ClassesTab&amp;id=http%3A%2F%2Fwho.int%2Ficd%233453_512ebf36_bf6b_4d70_85da_cf2637062af4","iCat")</x:f>
      </x:c>
      <x:c r="M1500" s="0" t="s">
        <x:v>21</x:v>
      </x:c>
      <x:c r="N1500" s="0" t="s">
        <x:v>46</x:v>
      </x:c>
    </x:row>
    <x:row r="1501" spans="1:16">
      <x:c r="A1501" s="0" t="s">
        <x:v>5833</x:v>
      </x:c>
      <x:c r="B1501" s="0" t="s">
        <x:v>5834</x:v>
      </x:c>
      <x:c r="C1501" s="0" t="s">
        <x:v>5835</x:v>
      </x:c>
      <x:c r="E1501" s="0" t="s">
        <x:v>5836</x:v>
      </x:c>
      <x:c r="F1501" s="0" t="s">
        <x:v>45</x:v>
      </x:c>
      <x:c r="G1501" s="0" t="s">
        <x:v>19</x:v>
      </x:c>
      <x:c r="H1501" s="0" t="s">
        <x:v>20</x:v>
      </x:c>
      <x:c r="I1501" s="0" t="s">
        <x:v>21</x:v>
      </x:c>
      <x:c r="K1501" s="0">
        <x:f>hyperlink("https://icd.who.int/dev11/l-ichi/en#/http%3A%2F%2Fid.who.int%2Ficd%2Fentity%2F798227966","browser")</x:f>
      </x:c>
      <x:c r="L1501" s="0">
        <x:f>hyperlink("https://icat2.azurewebsites.net/icat/?ontology=ICD&amp;tab=ClassesTab&amp;id=http%3A%2F%2Fwho.int%2Ficd%233471_512ebf36_bf6b_4d70_85da_cf2637062af4","iCat")</x:f>
      </x:c>
      <x:c r="M1501" s="0" t="s">
        <x:v>21</x:v>
      </x:c>
      <x:c r="N1501" s="0" t="s">
        <x:v>46</x:v>
      </x:c>
    </x:row>
    <x:row r="1502" spans="1:16">
      <x:c r="A1502" s="0" t="s">
        <x:v>5837</x:v>
      </x:c>
      <x:c r="B1502" s="0" t="s">
        <x:v>5838</x:v>
      </x:c>
      <x:c r="C1502" s="0" t="s">
        <x:v>5839</x:v>
      </x:c>
      <x:c r="E1502" s="0" t="s">
        <x:v>5840</x:v>
      </x:c>
      <x:c r="F1502" s="0" t="s">
        <x:v>45</x:v>
      </x:c>
      <x:c r="G1502" s="0" t="s">
        <x:v>19</x:v>
      </x:c>
      <x:c r="H1502" s="0" t="s">
        <x:v>20</x:v>
      </x:c>
      <x:c r="I1502" s="0" t="s">
        <x:v>21</x:v>
      </x:c>
      <x:c r="K1502" s="0">
        <x:f>hyperlink("https://icd.who.int/dev11/l-ichi/en#/http%3A%2F%2Fid.who.int%2Ficd%2Fentity%2F1105985175","browser")</x:f>
      </x:c>
      <x:c r="L1502" s="0">
        <x:f>hyperlink("https://icat2.azurewebsites.net/icat/?ontology=ICD&amp;tab=ClassesTab&amp;id=http%3A%2F%2Fwho.int%2Ficd%233478_512ebf36_bf6b_4d70_85da_cf2637062af4","iCat")</x:f>
      </x:c>
      <x:c r="M1502" s="0" t="s">
        <x:v>21</x:v>
      </x:c>
      <x:c r="N1502" s="0" t="s">
        <x:v>46</x:v>
      </x:c>
    </x:row>
    <x:row r="1503" spans="1:16">
      <x:c r="A1503" s="0" t="s">
        <x:v>5841</x:v>
      </x:c>
      <x:c r="B1503" s="0" t="s">
        <x:v>5842</x:v>
      </x:c>
      <x:c r="C1503" s="0" t="s">
        <x:v>5843</x:v>
      </x:c>
      <x:c r="E1503" s="0" t="s">
        <x:v>5844</x:v>
      </x:c>
      <x:c r="F1503" s="0" t="s">
        <x:v>45</x:v>
      </x:c>
      <x:c r="G1503" s="0" t="s">
        <x:v>19</x:v>
      </x:c>
      <x:c r="H1503" s="0" t="s">
        <x:v>20</x:v>
      </x:c>
      <x:c r="I1503" s="0" t="s">
        <x:v>21</x:v>
      </x:c>
      <x:c r="K1503" s="0">
        <x:f>hyperlink("https://icd.who.int/dev11/l-ichi/en#/http%3A%2F%2Fid.who.int%2Ficd%2Fentity%2F361365864","browser")</x:f>
      </x:c>
      <x:c r="L1503" s="0">
        <x:f>hyperlink("https://icat2.azurewebsites.net/icat/?ontology=ICD&amp;tab=ClassesTab&amp;id=http%3A%2F%2Fwho.int%2Ficd%233484_512ebf36_bf6b_4d70_85da_cf2637062af4","iCat")</x:f>
      </x:c>
      <x:c r="M1503" s="0" t="s">
        <x:v>21</x:v>
      </x:c>
      <x:c r="N1503" s="0" t="s">
        <x:v>46</x:v>
      </x:c>
    </x:row>
    <x:row r="1504" spans="1:16">
      <x:c r="A1504" s="0" t="s">
        <x:v>5845</x:v>
      </x:c>
      <x:c r="B1504" s="0" t="s">
        <x:v>5846</x:v>
      </x:c>
      <x:c r="C1504" s="0" t="s">
        <x:v>5847</x:v>
      </x:c>
      <x:c r="E1504" s="0" t="s">
        <x:v>5848</x:v>
      </x:c>
      <x:c r="F1504" s="0" t="s">
        <x:v>45</x:v>
      </x:c>
      <x:c r="G1504" s="0" t="s">
        <x:v>19</x:v>
      </x:c>
      <x:c r="H1504" s="0" t="s">
        <x:v>20</x:v>
      </x:c>
      <x:c r="I1504" s="0" t="s">
        <x:v>21</x:v>
      </x:c>
      <x:c r="K1504" s="0">
        <x:f>hyperlink("https://icd.who.int/dev11/l-ichi/en#/http%3A%2F%2Fid.who.int%2Ficd%2Fentity%2F1246253131","browser")</x:f>
      </x:c>
      <x:c r="L1504" s="0">
        <x:f>hyperlink("https://icat2.azurewebsites.net/icat/?ontology=ICD&amp;tab=ClassesTab&amp;id=http%3A%2F%2Fwho.int%2Ficd%233490_512ebf36_bf6b_4d70_85da_cf2637062af4","iCat")</x:f>
      </x:c>
      <x:c r="M1504" s="0" t="s">
        <x:v>21</x:v>
      </x:c>
      <x:c r="N1504" s="0" t="s">
        <x:v>46</x:v>
      </x:c>
    </x:row>
    <x:row r="1505" spans="1:16">
      <x:c r="A1505" s="0" t="s">
        <x:v>5849</x:v>
      </x:c>
      <x:c r="B1505" s="0" t="s">
        <x:v>5850</x:v>
      </x:c>
      <x:c r="C1505" s="0" t="s">
        <x:v>5851</x:v>
      </x:c>
      <x:c r="E1505" s="0" t="s">
        <x:v>5852</x:v>
      </x:c>
      <x:c r="F1505" s="0" t="s">
        <x:v>45</x:v>
      </x:c>
      <x:c r="G1505" s="0" t="s">
        <x:v>19</x:v>
      </x:c>
      <x:c r="H1505" s="0" t="s">
        <x:v>20</x:v>
      </x:c>
      <x:c r="I1505" s="0" t="s">
        <x:v>21</x:v>
      </x:c>
      <x:c r="K1505" s="0">
        <x:f>hyperlink("https://icd.who.int/dev11/l-ichi/en#/http%3A%2F%2Fid.who.int%2Ficd%2Fentity%2F986381256","browser")</x:f>
      </x:c>
      <x:c r="L1505" s="0">
        <x:f>hyperlink("https://icat2.azurewebsites.net/icat/?ontology=ICD&amp;tab=ClassesTab&amp;id=http%3A%2F%2Fwho.int%2Ficd%233497_512ebf36_bf6b_4d70_85da_cf2637062af4","iCat")</x:f>
      </x:c>
      <x:c r="M1505" s="0" t="s">
        <x:v>21</x:v>
      </x:c>
      <x:c r="N1505" s="0" t="s">
        <x:v>46</x:v>
      </x:c>
    </x:row>
    <x:row r="1506" spans="1:16">
      <x:c r="A1506" s="0" t="s">
        <x:v>5853</x:v>
      </x:c>
      <x:c r="B1506" s="0" t="s">
        <x:v>5854</x:v>
      </x:c>
      <x:c r="C1506" s="0" t="s">
        <x:v>5855</x:v>
      </x:c>
      <x:c r="E1506" s="0" t="s">
        <x:v>5856</x:v>
      </x:c>
      <x:c r="F1506" s="0" t="s">
        <x:v>45</x:v>
      </x:c>
      <x:c r="G1506" s="0" t="s">
        <x:v>19</x:v>
      </x:c>
      <x:c r="H1506" s="0" t="s">
        <x:v>20</x:v>
      </x:c>
      <x:c r="I1506" s="0" t="s">
        <x:v>21</x:v>
      </x:c>
      <x:c r="K1506" s="0">
        <x:f>hyperlink("https://icd.who.int/dev11/l-ichi/en#/http%3A%2F%2Fid.who.int%2Ficd%2Fentity%2F442008566","browser")</x:f>
      </x:c>
      <x:c r="L1506" s="0">
        <x:f>hyperlink("https://icat2.azurewebsites.net/icat/?ontology=ICD&amp;tab=ClassesTab&amp;id=http%3A%2F%2Fwho.int%2Ficd%233506_512ebf36_bf6b_4d70_85da_cf2637062af4","iCat")</x:f>
      </x:c>
      <x:c r="M1506" s="0" t="s">
        <x:v>21</x:v>
      </x:c>
      <x:c r="N1506" s="0" t="s">
        <x:v>46</x:v>
      </x:c>
    </x:row>
    <x:row r="1507" spans="1:16">
      <x:c r="A1507" s="0" t="s">
        <x:v>5857</x:v>
      </x:c>
      <x:c r="B1507" s="0" t="s">
        <x:v>5858</x:v>
      </x:c>
      <x:c r="C1507" s="0" t="s">
        <x:v>5859</x:v>
      </x:c>
      <x:c r="E1507" s="0" t="s">
        <x:v>5860</x:v>
      </x:c>
      <x:c r="F1507" s="0" t="s">
        <x:v>45</x:v>
      </x:c>
      <x:c r="G1507" s="0" t="s">
        <x:v>19</x:v>
      </x:c>
      <x:c r="H1507" s="0" t="s">
        <x:v>20</x:v>
      </x:c>
      <x:c r="I1507" s="0" t="s">
        <x:v>21</x:v>
      </x:c>
      <x:c r="K1507" s="0">
        <x:f>hyperlink("https://icd.who.int/dev11/l-ichi/en#/http%3A%2F%2Fid.who.int%2Ficd%2Fentity%2F1167774423","browser")</x:f>
      </x:c>
      <x:c r="L1507" s="0">
        <x:f>hyperlink("https://icat2.azurewebsites.net/icat/?ontology=ICD&amp;tab=ClassesTab&amp;id=http%3A%2F%2Fwho.int%2Ficd%233512_512ebf36_bf6b_4d70_85da_cf2637062af4","iCat")</x:f>
      </x:c>
      <x:c r="M1507" s="0" t="s">
        <x:v>21</x:v>
      </x:c>
      <x:c r="N1507" s="0" t="s">
        <x:v>46</x:v>
      </x:c>
    </x:row>
    <x:row r="1508" spans="1:16">
      <x:c r="A1508" s="0" t="s">
        <x:v>5861</x:v>
      </x:c>
      <x:c r="B1508" s="0" t="s">
        <x:v>5862</x:v>
      </x:c>
      <x:c r="C1508" s="0" t="s">
        <x:v>5863</x:v>
      </x:c>
      <x:c r="E1508" s="0" t="s">
        <x:v>5864</x:v>
      </x:c>
      <x:c r="F1508" s="0" t="s">
        <x:v>45</x:v>
      </x:c>
      <x:c r="G1508" s="0" t="s">
        <x:v>19</x:v>
      </x:c>
      <x:c r="H1508" s="0" t="s">
        <x:v>20</x:v>
      </x:c>
      <x:c r="I1508" s="0" t="s">
        <x:v>21</x:v>
      </x:c>
      <x:c r="K1508" s="0">
        <x:f>hyperlink("https://icd.who.int/dev11/l-ichi/en#/http%3A%2F%2Fid.who.int%2Ficd%2Fentity%2F1085209897","browser")</x:f>
      </x:c>
      <x:c r="L1508" s="0">
        <x:f>hyperlink("https://icat2.azurewebsites.net/icat/?ontology=ICD&amp;tab=ClassesTab&amp;id=http%3A%2F%2Fwho.int%2Ficd%233521_512ebf36_bf6b_4d70_85da_cf2637062af4","iCat")</x:f>
      </x:c>
      <x:c r="M1508" s="0" t="s">
        <x:v>21</x:v>
      </x:c>
      <x:c r="N1508" s="0" t="s">
        <x:v>46</x:v>
      </x:c>
    </x:row>
    <x:row r="1509" spans="1:16">
      <x:c r="A1509" s="0" t="s">
        <x:v>5865</x:v>
      </x:c>
      <x:c r="B1509" s="0" t="s">
        <x:v>5866</x:v>
      </x:c>
      <x:c r="C1509" s="0" t="s">
        <x:v>5867</x:v>
      </x:c>
      <x:c r="E1509" s="0" t="s">
        <x:v>5868</x:v>
      </x:c>
      <x:c r="F1509" s="0" t="s">
        <x:v>45</x:v>
      </x:c>
      <x:c r="G1509" s="0" t="s">
        <x:v>19</x:v>
      </x:c>
      <x:c r="H1509" s="0" t="s">
        <x:v>20</x:v>
      </x:c>
      <x:c r="I1509" s="0" t="s">
        <x:v>21</x:v>
      </x:c>
      <x:c r="K1509" s="0">
        <x:f>hyperlink("https://icd.who.int/dev11/l-ichi/en#/http%3A%2F%2Fid.who.int%2Ficd%2Fentity%2F282403994","browser")</x:f>
      </x:c>
      <x:c r="L1509" s="0">
        <x:f>hyperlink("https://icat2.azurewebsites.net/icat/?ontology=ICD&amp;tab=ClassesTab&amp;id=http%3A%2F%2Fwho.int%2Ficd%233527_512ebf36_bf6b_4d70_85da_cf2637062af4","iCat")</x:f>
      </x:c>
      <x:c r="M1509" s="0" t="s">
        <x:v>21</x:v>
      </x:c>
      <x:c r="N1509" s="0" t="s">
        <x:v>46</x:v>
      </x:c>
    </x:row>
    <x:row r="1510" spans="1:16">
      <x:c r="A1510" s="0" t="s">
        <x:v>5869</x:v>
      </x:c>
      <x:c r="B1510" s="0" t="s">
        <x:v>5870</x:v>
      </x:c>
      <x:c r="C1510" s="0" t="s">
        <x:v>5871</x:v>
      </x:c>
      <x:c r="E1510" s="0" t="s">
        <x:v>5872</x:v>
      </x:c>
      <x:c r="F1510" s="0" t="s">
        <x:v>45</x:v>
      </x:c>
      <x:c r="G1510" s="0" t="s">
        <x:v>19</x:v>
      </x:c>
      <x:c r="H1510" s="0" t="s">
        <x:v>20</x:v>
      </x:c>
      <x:c r="I1510" s="0" t="s">
        <x:v>21</x:v>
      </x:c>
      <x:c r="K1510" s="0">
        <x:f>hyperlink("https://icd.who.int/dev11/l-ichi/en#/http%3A%2F%2Fid.who.int%2Ficd%2Fentity%2F1525269491","browser")</x:f>
      </x:c>
      <x:c r="L1510" s="0">
        <x:f>hyperlink("https://icat2.azurewebsites.net/icat/?ontology=ICD&amp;tab=ClassesTab&amp;id=http%3A%2F%2Fwho.int%2Ficd%233536_512ebf36_bf6b_4d70_85da_cf2637062af4","iCat")</x:f>
      </x:c>
      <x:c r="M1510" s="0" t="s">
        <x:v>21</x:v>
      </x:c>
      <x:c r="N1510" s="0" t="s">
        <x:v>46</x:v>
      </x:c>
    </x:row>
    <x:row r="1511" spans="1:16">
      <x:c r="A1511" s="0" t="s">
        <x:v>5873</x:v>
      </x:c>
      <x:c r="B1511" s="0" t="s">
        <x:v>5874</x:v>
      </x:c>
      <x:c r="C1511" s="0" t="s">
        <x:v>5875</x:v>
      </x:c>
      <x:c r="E1511" s="0" t="s">
        <x:v>5876</x:v>
      </x:c>
      <x:c r="F1511" s="0" t="s">
        <x:v>45</x:v>
      </x:c>
      <x:c r="G1511" s="0" t="s">
        <x:v>19</x:v>
      </x:c>
      <x:c r="H1511" s="0" t="s">
        <x:v>20</x:v>
      </x:c>
      <x:c r="I1511" s="0" t="s">
        <x:v>21</x:v>
      </x:c>
      <x:c r="K1511" s="0">
        <x:f>hyperlink("https://icd.who.int/dev11/l-ichi/en#/http%3A%2F%2Fid.who.int%2Ficd%2Fentity%2F256101678","browser")</x:f>
      </x:c>
      <x:c r="L1511" s="0">
        <x:f>hyperlink("https://icat2.azurewebsites.net/icat/?ontology=ICD&amp;tab=ClassesTab&amp;id=http%3A%2F%2Fwho.int%2Ficd%233544_512ebf36_bf6b_4d70_85da_cf2637062af4","iCat")</x:f>
      </x:c>
      <x:c r="M1511" s="0" t="s">
        <x:v>21</x:v>
      </x:c>
      <x:c r="N1511" s="0" t="s">
        <x:v>46</x:v>
      </x:c>
    </x:row>
    <x:row r="1512" spans="1:16">
      <x:c r="A1512" s="0" t="s">
        <x:v>5877</x:v>
      </x:c>
      <x:c r="B1512" s="0" t="s">
        <x:v>5878</x:v>
      </x:c>
      <x:c r="C1512" s="0" t="s">
        <x:v>5879</x:v>
      </x:c>
      <x:c r="E1512" s="0" t="s">
        <x:v>5880</x:v>
      </x:c>
      <x:c r="F1512" s="0" t="s">
        <x:v>45</x:v>
      </x:c>
      <x:c r="G1512" s="0" t="s">
        <x:v>19</x:v>
      </x:c>
      <x:c r="H1512" s="0" t="s">
        <x:v>20</x:v>
      </x:c>
      <x:c r="I1512" s="0" t="s">
        <x:v>21</x:v>
      </x:c>
      <x:c r="K1512" s="0">
        <x:f>hyperlink("https://icd.who.int/dev11/l-ichi/en#/http%3A%2F%2Fid.who.int%2Ficd%2Fentity%2F352646136","browser")</x:f>
      </x:c>
      <x:c r="L1512" s="0">
        <x:f>hyperlink("https://icat2.azurewebsites.net/icat/?ontology=ICD&amp;tab=ClassesTab&amp;id=http%3A%2F%2Fwho.int%2Ficd%233553_512ebf36_bf6b_4d70_85da_cf2637062af4","iCat")</x:f>
      </x:c>
      <x:c r="M1512" s="0" t="s">
        <x:v>21</x:v>
      </x:c>
      <x:c r="N1512" s="0" t="s">
        <x:v>46</x:v>
      </x:c>
    </x:row>
    <x:row r="1513" spans="1:16">
      <x:c r="A1513" s="0" t="s">
        <x:v>5881</x:v>
      </x:c>
      <x:c r="B1513" s="0" t="s">
        <x:v>5882</x:v>
      </x:c>
      <x:c r="C1513" s="0" t="s">
        <x:v>5883</x:v>
      </x:c>
      <x:c r="E1513" s="0" t="s">
        <x:v>5884</x:v>
      </x:c>
      <x:c r="F1513" s="0" t="s">
        <x:v>45</x:v>
      </x:c>
      <x:c r="G1513" s="0" t="s">
        <x:v>19</x:v>
      </x:c>
      <x:c r="H1513" s="0" t="s">
        <x:v>20</x:v>
      </x:c>
      <x:c r="I1513" s="0" t="s">
        <x:v>21</x:v>
      </x:c>
      <x:c r="K1513" s="0">
        <x:f>hyperlink("https://icd.who.int/dev11/l-ichi/en#/http%3A%2F%2Fid.who.int%2Ficd%2Fentity%2F818523700","browser")</x:f>
      </x:c>
      <x:c r="L1513" s="0">
        <x:f>hyperlink("https://icat2.azurewebsites.net/icat/?ontology=ICD&amp;tab=ClassesTab&amp;id=http%3A%2F%2Fwho.int%2Ficd%233561_512ebf36_bf6b_4d70_85da_cf2637062af4","iCat")</x:f>
      </x:c>
      <x:c r="M1513" s="0" t="s">
        <x:v>21</x:v>
      </x:c>
      <x:c r="N1513" s="0" t="s">
        <x:v>46</x:v>
      </x:c>
    </x:row>
    <x:row r="1514" spans="1:16">
      <x:c r="A1514" s="0" t="s">
        <x:v>5885</x:v>
      </x:c>
      <x:c r="B1514" s="0" t="s">
        <x:v>5886</x:v>
      </x:c>
      <x:c r="C1514" s="0" t="s">
        <x:v>5887</x:v>
      </x:c>
      <x:c r="E1514" s="0" t="s">
        <x:v>5888</x:v>
      </x:c>
      <x:c r="F1514" s="0" t="s">
        <x:v>45</x:v>
      </x:c>
      <x:c r="G1514" s="0" t="s">
        <x:v>19</x:v>
      </x:c>
      <x:c r="H1514" s="0" t="s">
        <x:v>20</x:v>
      </x:c>
      <x:c r="I1514" s="0" t="s">
        <x:v>21</x:v>
      </x:c>
      <x:c r="K1514" s="0">
        <x:f>hyperlink("https://icd.who.int/dev11/l-ichi/en#/http%3A%2F%2Fid.who.int%2Ficd%2Fentity%2F2118704993","browser")</x:f>
      </x:c>
      <x:c r="L1514" s="0">
        <x:f>hyperlink("https://icat2.azurewebsites.net/icat/?ontology=ICD&amp;tab=ClassesTab&amp;id=http%3A%2F%2Fwho.int%2Ficd%233569_512ebf36_bf6b_4d70_85da_cf2637062af4","iCat")</x:f>
      </x:c>
      <x:c r="M1514" s="0" t="s">
        <x:v>21</x:v>
      </x:c>
      <x:c r="N1514" s="0" t="s">
        <x:v>46</x:v>
      </x:c>
    </x:row>
    <x:row r="1515" spans="1:16">
      <x:c r="A1515" s="0" t="s">
        <x:v>5889</x:v>
      </x:c>
      <x:c r="B1515" s="0" t="s">
        <x:v>5890</x:v>
      </x:c>
      <x:c r="C1515" s="0" t="s">
        <x:v>5891</x:v>
      </x:c>
      <x:c r="E1515" s="0" t="s">
        <x:v>5892</x:v>
      </x:c>
      <x:c r="F1515" s="0" t="s">
        <x:v>45</x:v>
      </x:c>
      <x:c r="G1515" s="0" t="s">
        <x:v>19</x:v>
      </x:c>
      <x:c r="H1515" s="0" t="s">
        <x:v>20</x:v>
      </x:c>
      <x:c r="I1515" s="0" t="s">
        <x:v>21</x:v>
      </x:c>
      <x:c r="K1515" s="0">
        <x:f>hyperlink("https://icd.who.int/dev11/l-ichi/en#/http%3A%2F%2Fid.who.int%2Ficd%2Fentity%2F812523078","browser")</x:f>
      </x:c>
      <x:c r="L1515" s="0">
        <x:f>hyperlink("https://icat2.azurewebsites.net/icat/?ontology=ICD&amp;tab=ClassesTab&amp;id=http%3A%2F%2Fwho.int%2Ficd%233582_512ebf36_bf6b_4d70_85da_cf2637062af4","iCat")</x:f>
      </x:c>
      <x:c r="M1515" s="0" t="s">
        <x:v>21</x:v>
      </x:c>
      <x:c r="N1515" s="0" t="s">
        <x:v>46</x:v>
      </x:c>
    </x:row>
    <x:row r="1516" spans="1:16">
      <x:c r="A1516" s="0" t="s">
        <x:v>5893</x:v>
      </x:c>
      <x:c r="B1516" s="0" t="s">
        <x:v>5894</x:v>
      </x:c>
      <x:c r="C1516" s="0" t="s">
        <x:v>5895</x:v>
      </x:c>
      <x:c r="E1516" s="0" t="s">
        <x:v>5896</x:v>
      </x:c>
      <x:c r="F1516" s="0" t="s">
        <x:v>45</x:v>
      </x:c>
      <x:c r="G1516" s="0" t="s">
        <x:v>19</x:v>
      </x:c>
      <x:c r="H1516" s="0" t="s">
        <x:v>20</x:v>
      </x:c>
      <x:c r="I1516" s="0" t="s">
        <x:v>21</x:v>
      </x:c>
      <x:c r="K1516" s="0">
        <x:f>hyperlink("https://icd.who.int/dev11/l-ichi/en#/http%3A%2F%2Fid.who.int%2Ficd%2Fentity%2F181424802","browser")</x:f>
      </x:c>
      <x:c r="L1516" s="0">
        <x:f>hyperlink("https://icat2.azurewebsites.net/icat/?ontology=ICD&amp;tab=ClassesTab&amp;id=http%3A%2F%2Fwho.int%2Ficd%233594_512ebf36_bf6b_4d70_85da_cf2637062af4","iCat")</x:f>
      </x:c>
      <x:c r="M1516" s="0" t="s">
        <x:v>21</x:v>
      </x:c>
      <x:c r="N1516" s="0" t="s">
        <x:v>46</x:v>
      </x:c>
    </x:row>
    <x:row r="1517" spans="1:16">
      <x:c r="A1517" s="0" t="s">
        <x:v>5897</x:v>
      </x:c>
      <x:c r="B1517" s="0" t="s">
        <x:v>5898</x:v>
      </x:c>
      <x:c r="C1517" s="0" t="s">
        <x:v>5899</x:v>
      </x:c>
      <x:c r="E1517" s="0" t="s">
        <x:v>5900</x:v>
      </x:c>
      <x:c r="F1517" s="0" t="s">
        <x:v>45</x:v>
      </x:c>
      <x:c r="G1517" s="0" t="s">
        <x:v>19</x:v>
      </x:c>
      <x:c r="H1517" s="0" t="s">
        <x:v>20</x:v>
      </x:c>
      <x:c r="I1517" s="0" t="s">
        <x:v>21</x:v>
      </x:c>
      <x:c r="K1517" s="0">
        <x:f>hyperlink("https://icd.who.int/dev11/l-ichi/en#/http%3A%2F%2Fid.who.int%2Ficd%2Fentity%2F873463610","browser")</x:f>
      </x:c>
      <x:c r="L1517" s="0">
        <x:f>hyperlink("https://icat2.azurewebsites.net/icat/?ontology=ICD&amp;tab=ClassesTab&amp;id=http%3A%2F%2Fwho.int%2Ficd%233624_512ebf36_bf6b_4d70_85da_cf2637062af4","iCat")</x:f>
      </x:c>
      <x:c r="M1517" s="0" t="s">
        <x:v>21</x:v>
      </x:c>
      <x:c r="N1517" s="0" t="s">
        <x:v>46</x:v>
      </x:c>
    </x:row>
    <x:row r="1518" spans="1:16">
      <x:c r="A1518" s="0" t="s">
        <x:v>5901</x:v>
      </x:c>
      <x:c r="B1518" s="0" t="s">
        <x:v>5902</x:v>
      </x:c>
      <x:c r="C1518" s="0" t="s">
        <x:v>5903</x:v>
      </x:c>
      <x:c r="E1518" s="0" t="s">
        <x:v>5904</x:v>
      </x:c>
      <x:c r="F1518" s="0" t="s">
        <x:v>45</x:v>
      </x:c>
      <x:c r="G1518" s="0" t="s">
        <x:v>19</x:v>
      </x:c>
      <x:c r="H1518" s="0" t="s">
        <x:v>20</x:v>
      </x:c>
      <x:c r="I1518" s="0" t="s">
        <x:v>21</x:v>
      </x:c>
      <x:c r="K1518" s="0">
        <x:f>hyperlink("https://icd.who.int/dev11/l-ichi/en#/http%3A%2F%2Fid.who.int%2Ficd%2Fentity%2F1808641563","browser")</x:f>
      </x:c>
      <x:c r="L1518" s="0">
        <x:f>hyperlink("https://icat2.azurewebsites.net/icat/?ontology=ICD&amp;tab=ClassesTab&amp;id=http%3A%2F%2Fwho.int%2Ficd%233630_512ebf36_bf6b_4d70_85da_cf2637062af4","iCat")</x:f>
      </x:c>
      <x:c r="M1518" s="0" t="s">
        <x:v>21</x:v>
      </x:c>
      <x:c r="N1518" s="0" t="s">
        <x:v>46</x:v>
      </x:c>
    </x:row>
    <x:row r="1519" spans="1:16">
      <x:c r="A1519" s="0" t="s">
        <x:v>5905</x:v>
      </x:c>
      <x:c r="B1519" s="0" t="s">
        <x:v>5906</x:v>
      </x:c>
      <x:c r="C1519" s="0" t="s">
        <x:v>5907</x:v>
      </x:c>
      <x:c r="E1519" s="0" t="s">
        <x:v>5908</x:v>
      </x:c>
      <x:c r="F1519" s="0" t="s">
        <x:v>45</x:v>
      </x:c>
      <x:c r="G1519" s="0" t="s">
        <x:v>19</x:v>
      </x:c>
      <x:c r="H1519" s="0" t="s">
        <x:v>20</x:v>
      </x:c>
      <x:c r="I1519" s="0" t="s">
        <x:v>21</x:v>
      </x:c>
      <x:c r="K1519" s="0">
        <x:f>hyperlink("https://icd.who.int/dev11/l-ichi/en#/http%3A%2F%2Fid.who.int%2Ficd%2Fentity%2F458163606","browser")</x:f>
      </x:c>
      <x:c r="L1519" s="0">
        <x:f>hyperlink("https://icat2.azurewebsites.net/icat/?ontology=ICD&amp;tab=ClassesTab&amp;id=http%3A%2F%2Fwho.int%2Ficd%233637_512ebf36_bf6b_4d70_85da_cf2637062af4","iCat")</x:f>
      </x:c>
      <x:c r="M1519" s="0" t="s">
        <x:v>21</x:v>
      </x:c>
      <x:c r="N1519" s="0" t="s">
        <x:v>46</x:v>
      </x:c>
    </x:row>
    <x:row r="1520" spans="1:16">
      <x:c r="A1520" s="0" t="s">
        <x:v>5909</x:v>
      </x:c>
      <x:c r="B1520" s="0" t="s">
        <x:v>5910</x:v>
      </x:c>
      <x:c r="C1520" s="0" t="s">
        <x:v>5911</x:v>
      </x:c>
      <x:c r="E1520" s="0" t="s">
        <x:v>5912</x:v>
      </x:c>
      <x:c r="F1520" s="0" t="s">
        <x:v>45</x:v>
      </x:c>
      <x:c r="G1520" s="0" t="s">
        <x:v>19</x:v>
      </x:c>
      <x:c r="H1520" s="0" t="s">
        <x:v>20</x:v>
      </x:c>
      <x:c r="I1520" s="0" t="s">
        <x:v>21</x:v>
      </x:c>
      <x:c r="K1520" s="0">
        <x:f>hyperlink("https://icd.who.int/dev11/l-ichi/en#/http%3A%2F%2Fid.who.int%2Ficd%2Fentity%2F1323633481","browser")</x:f>
      </x:c>
      <x:c r="L1520" s="0">
        <x:f>hyperlink("https://icat2.azurewebsites.net/icat/?ontology=ICD&amp;tab=ClassesTab&amp;id=http%3A%2F%2Fwho.int%2Ficd%233645_512ebf36_bf6b_4d70_85da_cf2637062af4","iCat")</x:f>
      </x:c>
      <x:c r="M1520" s="0" t="s">
        <x:v>21</x:v>
      </x:c>
      <x:c r="N1520" s="0" t="s">
        <x:v>46</x:v>
      </x:c>
    </x:row>
    <x:row r="1521" spans="1:16">
      <x:c r="A1521" s="0" t="s">
        <x:v>5913</x:v>
      </x:c>
      <x:c r="B1521" s="0" t="s">
        <x:v>5914</x:v>
      </x:c>
      <x:c r="C1521" s="0" t="s">
        <x:v>5915</x:v>
      </x:c>
      <x:c r="E1521" s="0" t="s">
        <x:v>5916</x:v>
      </x:c>
      <x:c r="F1521" s="0" t="s">
        <x:v>45</x:v>
      </x:c>
      <x:c r="G1521" s="0" t="s">
        <x:v>19</x:v>
      </x:c>
      <x:c r="H1521" s="0" t="s">
        <x:v>20</x:v>
      </x:c>
      <x:c r="I1521" s="0" t="s">
        <x:v>21</x:v>
      </x:c>
      <x:c r="K1521" s="0">
        <x:f>hyperlink("https://icd.who.int/dev11/l-ichi/en#/http%3A%2F%2Fid.who.int%2Ficd%2Fentity%2F287791722","browser")</x:f>
      </x:c>
      <x:c r="L1521" s="0">
        <x:f>hyperlink("https://icat2.azurewebsites.net/icat/?ontology=ICD&amp;tab=ClassesTab&amp;id=http%3A%2F%2Fwho.int%2Ficd%233651_512ebf36_bf6b_4d70_85da_cf2637062af4","iCat")</x:f>
      </x:c>
      <x:c r="M1521" s="0" t="s">
        <x:v>21</x:v>
      </x:c>
      <x:c r="N1521" s="0" t="s">
        <x:v>46</x:v>
      </x:c>
    </x:row>
    <x:row r="1522" spans="1:16">
      <x:c r="A1522" s="0" t="s">
        <x:v>5917</x:v>
      </x:c>
      <x:c r="B1522" s="0" t="s">
        <x:v>5918</x:v>
      </x:c>
      <x:c r="C1522" s="0" t="s">
        <x:v>5919</x:v>
      </x:c>
      <x:c r="E1522" s="0" t="s">
        <x:v>5920</x:v>
      </x:c>
      <x:c r="F1522" s="0" t="s">
        <x:v>45</x:v>
      </x:c>
      <x:c r="G1522" s="0" t="s">
        <x:v>19</x:v>
      </x:c>
      <x:c r="H1522" s="0" t="s">
        <x:v>20</x:v>
      </x:c>
      <x:c r="I1522" s="0" t="s">
        <x:v>21</x:v>
      </x:c>
      <x:c r="K1522" s="0">
        <x:f>hyperlink("https://icd.who.int/dev11/l-ichi/en#/http%3A%2F%2Fid.who.int%2Ficd%2Fentity%2F1096582107","browser")</x:f>
      </x:c>
      <x:c r="L1522" s="0">
        <x:f>hyperlink("https://icat2.azurewebsites.net/icat/?ontology=ICD&amp;tab=ClassesTab&amp;id=http%3A%2F%2Fwho.int%2Ficd%233657_512ebf36_bf6b_4d70_85da_cf2637062af4","iCat")</x:f>
      </x:c>
      <x:c r="M1522" s="0" t="s">
        <x:v>21</x:v>
      </x:c>
      <x:c r="N1522" s="0" t="s">
        <x:v>46</x:v>
      </x:c>
    </x:row>
    <x:row r="1523" spans="1:16">
      <x:c r="A1523" s="0" t="s">
        <x:v>5921</x:v>
      </x:c>
      <x:c r="B1523" s="0" t="s">
        <x:v>5922</x:v>
      </x:c>
      <x:c r="C1523" s="0" t="s">
        <x:v>5923</x:v>
      </x:c>
      <x:c r="E1523" s="0" t="s">
        <x:v>5924</x:v>
      </x:c>
      <x:c r="F1523" s="0" t="s">
        <x:v>45</x:v>
      </x:c>
      <x:c r="G1523" s="0" t="s">
        <x:v>19</x:v>
      </x:c>
      <x:c r="H1523" s="0" t="s">
        <x:v>20</x:v>
      </x:c>
      <x:c r="I1523" s="0" t="s">
        <x:v>21</x:v>
      </x:c>
      <x:c r="K1523" s="0">
        <x:f>hyperlink("https://icd.who.int/dev11/l-ichi/en#/http%3A%2F%2Fid.who.int%2Ficd%2Fentity%2F555004386","browser")</x:f>
      </x:c>
      <x:c r="L1523" s="0">
        <x:f>hyperlink("https://icat2.azurewebsites.net/icat/?ontology=ICD&amp;tab=ClassesTab&amp;id=http%3A%2F%2Fwho.int%2Ficd%233666_512ebf36_bf6b_4d70_85da_cf2637062af4","iCat")</x:f>
      </x:c>
      <x:c r="M1523" s="0" t="s">
        <x:v>21</x:v>
      </x:c>
      <x:c r="N1523" s="0" t="s">
        <x:v>46</x:v>
      </x:c>
    </x:row>
    <x:row r="1524" spans="1:16">
      <x:c r="A1524" s="0" t="s">
        <x:v>5925</x:v>
      </x:c>
      <x:c r="B1524" s="0" t="s">
        <x:v>5926</x:v>
      </x:c>
      <x:c r="C1524" s="0" t="s">
        <x:v>5927</x:v>
      </x:c>
      <x:c r="E1524" s="0" t="s">
        <x:v>5928</x:v>
      </x:c>
      <x:c r="F1524" s="0" t="s">
        <x:v>45</x:v>
      </x:c>
      <x:c r="G1524" s="0" t="s">
        <x:v>19</x:v>
      </x:c>
      <x:c r="H1524" s="0" t="s">
        <x:v>20</x:v>
      </x:c>
      <x:c r="I1524" s="0" t="s">
        <x:v>21</x:v>
      </x:c>
      <x:c r="K1524" s="0">
        <x:f>hyperlink("https://icd.who.int/dev11/l-ichi/en#/http%3A%2F%2Fid.who.int%2Ficd%2Fentity%2F1428917331","browser")</x:f>
      </x:c>
      <x:c r="L1524" s="0">
        <x:f>hyperlink("https://icat2.azurewebsites.net/icat/?ontology=ICD&amp;tab=ClassesTab&amp;id=http%3A%2F%2Fwho.int%2Ficd%233678_512ebf36_bf6b_4d70_85da_cf2637062af4","iCat")</x:f>
      </x:c>
      <x:c r="M1524" s="0" t="s">
        <x:v>21</x:v>
      </x:c>
      <x:c r="N1524" s="0" t="s">
        <x:v>46</x:v>
      </x:c>
    </x:row>
    <x:row r="1525" spans="1:16">
      <x:c r="A1525" s="0" t="s">
        <x:v>5929</x:v>
      </x:c>
      <x:c r="B1525" s="0" t="s">
        <x:v>5930</x:v>
      </x:c>
      <x:c r="C1525" s="0" t="s">
        <x:v>5931</x:v>
      </x:c>
      <x:c r="E1525" s="0" t="s">
        <x:v>5932</x:v>
      </x:c>
      <x:c r="F1525" s="0" t="s">
        <x:v>45</x:v>
      </x:c>
      <x:c r="G1525" s="0" t="s">
        <x:v>19</x:v>
      </x:c>
      <x:c r="H1525" s="0" t="s">
        <x:v>20</x:v>
      </x:c>
      <x:c r="I1525" s="0" t="s">
        <x:v>21</x:v>
      </x:c>
      <x:c r="K1525" s="0">
        <x:f>hyperlink("https://icd.who.int/dev11/l-ichi/en#/http%3A%2F%2Fid.who.int%2Ficd%2Fentity%2F21656494","browser")</x:f>
      </x:c>
      <x:c r="L1525" s="0">
        <x:f>hyperlink("https://icat2.azurewebsites.net/icat/?ontology=ICD&amp;tab=ClassesTab&amp;id=http%3A%2F%2Fwho.int%2Ficd%233684_512ebf36_bf6b_4d70_85da_cf2637062af4","iCat")</x:f>
      </x:c>
      <x:c r="M1525" s="0" t="s">
        <x:v>21</x:v>
      </x:c>
      <x:c r="N1525" s="0" t="s">
        <x:v>46</x:v>
      </x:c>
    </x:row>
    <x:row r="1526" spans="1:16">
      <x:c r="A1526" s="0" t="s">
        <x:v>5933</x:v>
      </x:c>
      <x:c r="B1526" s="0" t="s">
        <x:v>5934</x:v>
      </x:c>
      <x:c r="C1526" s="0" t="s">
        <x:v>5935</x:v>
      </x:c>
      <x:c r="E1526" s="0" t="s">
        <x:v>5936</x:v>
      </x:c>
      <x:c r="F1526" s="0" t="s">
        <x:v>45</x:v>
      </x:c>
      <x:c r="G1526" s="0" t="s">
        <x:v>19</x:v>
      </x:c>
      <x:c r="H1526" s="0" t="s">
        <x:v>20</x:v>
      </x:c>
      <x:c r="I1526" s="0" t="s">
        <x:v>21</x:v>
      </x:c>
      <x:c r="K1526" s="0">
        <x:f>hyperlink("https://icd.who.int/dev11/l-ichi/en#/http%3A%2F%2Fid.who.int%2Ficd%2Fentity%2F2121355443","browser")</x:f>
      </x:c>
      <x:c r="L1526" s="0">
        <x:f>hyperlink("https://icat2.azurewebsites.net/icat/?ontology=ICD&amp;tab=ClassesTab&amp;id=http%3A%2F%2Fwho.int%2Ficd%233691_512ebf36_bf6b_4d70_85da_cf2637062af4","iCat")</x:f>
      </x:c>
      <x:c r="M1526" s="0" t="s">
        <x:v>21</x:v>
      </x:c>
      <x:c r="N1526" s="0" t="s">
        <x:v>46</x:v>
      </x:c>
    </x:row>
    <x:row r="1527" spans="1:16">
      <x:c r="A1527" s="0" t="s">
        <x:v>5937</x:v>
      </x:c>
      <x:c r="B1527" s="0" t="s">
        <x:v>5938</x:v>
      </x:c>
      <x:c r="C1527" s="0" t="s">
        <x:v>5939</x:v>
      </x:c>
      <x:c r="E1527" s="0" t="s">
        <x:v>5940</x:v>
      </x:c>
      <x:c r="F1527" s="0" t="s">
        <x:v>45</x:v>
      </x:c>
      <x:c r="G1527" s="0" t="s">
        <x:v>19</x:v>
      </x:c>
      <x:c r="H1527" s="0" t="s">
        <x:v>20</x:v>
      </x:c>
      <x:c r="I1527" s="0" t="s">
        <x:v>21</x:v>
      </x:c>
      <x:c r="K1527" s="0">
        <x:f>hyperlink("https://icd.who.int/dev11/l-ichi/en#/http%3A%2F%2Fid.who.int%2Ficd%2Fentity%2F772442370","browser")</x:f>
      </x:c>
      <x:c r="L1527" s="0">
        <x:f>hyperlink("https://icat2.azurewebsites.net/icat/?ontology=ICD&amp;tab=ClassesTab&amp;id=http%3A%2F%2Fwho.int%2Ficd%233697_512ebf36_bf6b_4d70_85da_cf2637062af4","iCat")</x:f>
      </x:c>
      <x:c r="M1527" s="0" t="s">
        <x:v>21</x:v>
      </x:c>
      <x:c r="N1527" s="0" t="s">
        <x:v>46</x:v>
      </x:c>
    </x:row>
    <x:row r="1528" spans="1:16">
      <x:c r="A1528" s="0" t="s">
        <x:v>5941</x:v>
      </x:c>
      <x:c r="B1528" s="0" t="s">
        <x:v>5942</x:v>
      </x:c>
      <x:c r="C1528" s="0" t="s">
        <x:v>5943</x:v>
      </x:c>
      <x:c r="E1528" s="0" t="s">
        <x:v>5944</x:v>
      </x:c>
      <x:c r="F1528" s="0" t="s">
        <x:v>45</x:v>
      </x:c>
      <x:c r="G1528" s="0" t="s">
        <x:v>19</x:v>
      </x:c>
      <x:c r="H1528" s="0" t="s">
        <x:v>20</x:v>
      </x:c>
      <x:c r="I1528" s="0" t="s">
        <x:v>21</x:v>
      </x:c>
      <x:c r="K1528" s="0">
        <x:f>hyperlink("https://icd.who.int/dev11/l-ichi/en#/http%3A%2F%2Fid.who.int%2Ficd%2Fentity%2F1810164981","browser")</x:f>
      </x:c>
      <x:c r="L1528" s="0">
        <x:f>hyperlink("https://icat2.azurewebsites.net/icat/?ontology=ICD&amp;tab=ClassesTab&amp;id=http%3A%2F%2Fwho.int%2Ficd%233704_512ebf36_bf6b_4d70_85da_cf2637062af4","iCat")</x:f>
      </x:c>
      <x:c r="M1528" s="0" t="s">
        <x:v>21</x:v>
      </x:c>
      <x:c r="N1528" s="0" t="s">
        <x:v>46</x:v>
      </x:c>
    </x:row>
    <x:row r="1529" spans="1:16">
      <x:c r="A1529" s="0" t="s">
        <x:v>5945</x:v>
      </x:c>
      <x:c r="B1529" s="0" t="s">
        <x:v>5946</x:v>
      </x:c>
      <x:c r="C1529" s="0" t="s">
        <x:v>5947</x:v>
      </x:c>
      <x:c r="E1529" s="0" t="s">
        <x:v>5948</x:v>
      </x:c>
      <x:c r="F1529" s="0" t="s">
        <x:v>45</x:v>
      </x:c>
      <x:c r="G1529" s="0" t="s">
        <x:v>19</x:v>
      </x:c>
      <x:c r="H1529" s="0" t="s">
        <x:v>20</x:v>
      </x:c>
      <x:c r="I1529" s="0" t="s">
        <x:v>21</x:v>
      </x:c>
      <x:c r="K1529" s="0">
        <x:f>hyperlink("https://icd.who.int/dev11/l-ichi/en#/http%3A%2F%2Fid.who.int%2Ficd%2Fentity%2F874954200","browser")</x:f>
      </x:c>
      <x:c r="L1529" s="0">
        <x:f>hyperlink("https://icat2.azurewebsites.net/icat/?ontology=ICD&amp;tab=ClassesTab&amp;id=http%3A%2F%2Fwho.int%2Ficd%233710_512ebf36_bf6b_4d70_85da_cf2637062af4","iCat")</x:f>
      </x:c>
      <x:c r="M1529" s="0" t="s">
        <x:v>21</x:v>
      </x:c>
      <x:c r="N1529" s="0" t="s">
        <x:v>46</x:v>
      </x:c>
    </x:row>
    <x:row r="1530" spans="1:16">
      <x:c r="A1530" s="0" t="s">
        <x:v>5949</x:v>
      </x:c>
      <x:c r="B1530" s="0" t="s">
        <x:v>5950</x:v>
      </x:c>
      <x:c r="C1530" s="0" t="s">
        <x:v>5951</x:v>
      </x:c>
      <x:c r="E1530" s="0" t="s">
        <x:v>5952</x:v>
      </x:c>
      <x:c r="F1530" s="0" t="s">
        <x:v>45</x:v>
      </x:c>
      <x:c r="G1530" s="0" t="s">
        <x:v>19</x:v>
      </x:c>
      <x:c r="H1530" s="0" t="s">
        <x:v>20</x:v>
      </x:c>
      <x:c r="I1530" s="0" t="s">
        <x:v>21</x:v>
      </x:c>
      <x:c r="K1530" s="0">
        <x:f>hyperlink("https://icd.who.int/dev11/l-ichi/en#/http%3A%2F%2Fid.who.int%2Ficd%2Fentity%2F1516158655","browser")</x:f>
      </x:c>
      <x:c r="L1530" s="0">
        <x:f>hyperlink("https://icat2.azurewebsites.net/icat/?ontology=ICD&amp;tab=ClassesTab&amp;id=http%3A%2F%2Fwho.int%2Ficd%233719_512ebf36_bf6b_4d70_85da_cf2637062af4","iCat")</x:f>
      </x:c>
      <x:c r="M1530" s="0" t="s">
        <x:v>21</x:v>
      </x:c>
      <x:c r="N1530" s="0" t="s">
        <x:v>46</x:v>
      </x:c>
    </x:row>
    <x:row r="1531" spans="1:16">
      <x:c r="A1531" s="0" t="s">
        <x:v>5953</x:v>
      </x:c>
      <x:c r="B1531" s="0" t="s">
        <x:v>5954</x:v>
      </x:c>
      <x:c r="C1531" s="0" t="s">
        <x:v>5955</x:v>
      </x:c>
      <x:c r="E1531" s="0" t="s">
        <x:v>5956</x:v>
      </x:c>
      <x:c r="F1531" s="0" t="s">
        <x:v>45</x:v>
      </x:c>
      <x:c r="G1531" s="0" t="s">
        <x:v>19</x:v>
      </x:c>
      <x:c r="H1531" s="0" t="s">
        <x:v>20</x:v>
      </x:c>
      <x:c r="I1531" s="0" t="s">
        <x:v>21</x:v>
      </x:c>
      <x:c r="K1531" s="0">
        <x:f>hyperlink("https://icd.who.int/dev11/l-ichi/en#/http%3A%2F%2Fid.who.int%2Ficd%2Fentity%2F1634290585","browser")</x:f>
      </x:c>
      <x:c r="L1531" s="0">
        <x:f>hyperlink("https://icat2.azurewebsites.net/icat/?ontology=ICD&amp;tab=ClassesTab&amp;id=http%3A%2F%2Fwho.int%2Ficd%233725_512ebf36_bf6b_4d70_85da_cf2637062af4","iCat")</x:f>
      </x:c>
      <x:c r="M1531" s="0" t="s">
        <x:v>21</x:v>
      </x:c>
      <x:c r="N1531" s="0" t="s">
        <x:v>46</x:v>
      </x:c>
    </x:row>
    <x:row r="1532" spans="1:16">
      <x:c r="A1532" s="0" t="s">
        <x:v>5957</x:v>
      </x:c>
      <x:c r="B1532" s="0" t="s">
        <x:v>5958</x:v>
      </x:c>
      <x:c r="C1532" s="0" t="s">
        <x:v>5959</x:v>
      </x:c>
      <x:c r="E1532" s="0" t="s">
        <x:v>5960</x:v>
      </x:c>
      <x:c r="F1532" s="0" t="s">
        <x:v>45</x:v>
      </x:c>
      <x:c r="G1532" s="0" t="s">
        <x:v>19</x:v>
      </x:c>
      <x:c r="H1532" s="0" t="s">
        <x:v>20</x:v>
      </x:c>
      <x:c r="I1532" s="0" t="s">
        <x:v>21</x:v>
      </x:c>
      <x:c r="K1532" s="0">
        <x:f>hyperlink("https://icd.who.int/dev11/l-ichi/en#/http%3A%2F%2Fid.who.int%2Ficd%2Fentity%2F1311355191","browser")</x:f>
      </x:c>
      <x:c r="L1532" s="0">
        <x:f>hyperlink("https://icat2.azurewebsites.net/icat/?ontology=ICD&amp;tab=ClassesTab&amp;id=http%3A%2F%2Fwho.int%2Ficd%233736_512ebf36_bf6b_4d70_85da_cf2637062af4","iCat")</x:f>
      </x:c>
      <x:c r="M1532" s="0" t="s">
        <x:v>21</x:v>
      </x:c>
      <x:c r="N1532" s="0" t="s">
        <x:v>46</x:v>
      </x:c>
    </x:row>
    <x:row r="1533" spans="1:16">
      <x:c r="A1533" s="0" t="s">
        <x:v>5961</x:v>
      </x:c>
      <x:c r="B1533" s="0" t="s">
        <x:v>5962</x:v>
      </x:c>
      <x:c r="C1533" s="0" t="s">
        <x:v>5963</x:v>
      </x:c>
      <x:c r="E1533" s="0" t="s">
        <x:v>5964</x:v>
      </x:c>
      <x:c r="F1533" s="0" t="s">
        <x:v>45</x:v>
      </x:c>
      <x:c r="G1533" s="0" t="s">
        <x:v>19</x:v>
      </x:c>
      <x:c r="H1533" s="0" t="s">
        <x:v>20</x:v>
      </x:c>
      <x:c r="I1533" s="0" t="s">
        <x:v>21</x:v>
      </x:c>
      <x:c r="K1533" s="0">
        <x:f>hyperlink("https://icd.who.int/dev11/l-ichi/en#/http%3A%2F%2Fid.who.int%2Ficd%2Fentity%2F1577504785","browser")</x:f>
      </x:c>
      <x:c r="L1533" s="0">
        <x:f>hyperlink("https://icat2.azurewebsites.net/icat/?ontology=ICD&amp;tab=ClassesTab&amp;id=http%3A%2F%2Fwho.int%2Ficd%233747_512ebf36_bf6b_4d70_85da_cf2637062af4","iCat")</x:f>
      </x:c>
      <x:c r="M1533" s="0" t="s">
        <x:v>21</x:v>
      </x:c>
      <x:c r="N1533" s="0" t="s">
        <x:v>46</x:v>
      </x:c>
    </x:row>
    <x:row r="1534" spans="1:16">
      <x:c r="A1534" s="0" t="s">
        <x:v>5965</x:v>
      </x:c>
      <x:c r="B1534" s="0" t="s">
        <x:v>5966</x:v>
      </x:c>
      <x:c r="C1534" s="0" t="s">
        <x:v>5967</x:v>
      </x:c>
      <x:c r="E1534" s="0" t="s">
        <x:v>5968</x:v>
      </x:c>
      <x:c r="F1534" s="0" t="s">
        <x:v>45</x:v>
      </x:c>
      <x:c r="G1534" s="0" t="s">
        <x:v>19</x:v>
      </x:c>
      <x:c r="H1534" s="0" t="s">
        <x:v>20</x:v>
      </x:c>
      <x:c r="I1534" s="0" t="s">
        <x:v>21</x:v>
      </x:c>
      <x:c r="K1534" s="0">
        <x:f>hyperlink("https://icd.who.int/dev11/l-ichi/en#/http%3A%2F%2Fid.who.int%2Ficd%2Fentity%2F1900423871","browser")</x:f>
      </x:c>
      <x:c r="L1534" s="0">
        <x:f>hyperlink("https://icat2.azurewebsites.net/icat/?ontology=ICD&amp;tab=ClassesTab&amp;id=http%3A%2F%2Fwho.int%2Ficd%233754_512ebf36_bf6b_4d70_85da_cf2637062af4","iCat")</x:f>
      </x:c>
      <x:c r="M1534" s="0" t="s">
        <x:v>21</x:v>
      </x:c>
      <x:c r="N1534" s="0" t="s">
        <x:v>46</x:v>
      </x:c>
    </x:row>
    <x:row r="1535" spans="1:16">
      <x:c r="A1535" s="0" t="s">
        <x:v>5969</x:v>
      </x:c>
      <x:c r="B1535" s="0" t="s">
        <x:v>5970</x:v>
      </x:c>
      <x:c r="C1535" s="0" t="s">
        <x:v>5971</x:v>
      </x:c>
      <x:c r="E1535" s="0" t="s">
        <x:v>5972</x:v>
      </x:c>
      <x:c r="F1535" s="0" t="s">
        <x:v>45</x:v>
      </x:c>
      <x:c r="G1535" s="0" t="s">
        <x:v>19</x:v>
      </x:c>
      <x:c r="H1535" s="0" t="s">
        <x:v>20</x:v>
      </x:c>
      <x:c r="I1535" s="0" t="s">
        <x:v>21</x:v>
      </x:c>
      <x:c r="K1535" s="0">
        <x:f>hyperlink("https://icd.who.int/dev11/l-ichi/en#/http%3A%2F%2Fid.who.int%2Ficd%2Fentity%2F1636610825","browser")</x:f>
      </x:c>
      <x:c r="L1535" s="0">
        <x:f>hyperlink("https://icat2.azurewebsites.net/icat/?ontology=ICD&amp;tab=ClassesTab&amp;id=http%3A%2F%2Fwho.int%2Ficd%233762_512ebf36_bf6b_4d70_85da_cf2637062af4","iCat")</x:f>
      </x:c>
      <x:c r="M1535" s="0" t="s">
        <x:v>21</x:v>
      </x:c>
      <x:c r="N1535" s="0" t="s">
        <x:v>46</x:v>
      </x:c>
    </x:row>
    <x:row r="1536" spans="1:16">
      <x:c r="A1536" s="0" t="s">
        <x:v>5973</x:v>
      </x:c>
      <x:c r="B1536" s="0" t="s">
        <x:v>5974</x:v>
      </x:c>
      <x:c r="C1536" s="0" t="s">
        <x:v>5975</x:v>
      </x:c>
      <x:c r="E1536" s="0" t="s">
        <x:v>5976</x:v>
      </x:c>
      <x:c r="F1536" s="0" t="s">
        <x:v>45</x:v>
      </x:c>
      <x:c r="G1536" s="0" t="s">
        <x:v>19</x:v>
      </x:c>
      <x:c r="H1536" s="0" t="s">
        <x:v>20</x:v>
      </x:c>
      <x:c r="I1536" s="0" t="s">
        <x:v>21</x:v>
      </x:c>
      <x:c r="K1536" s="0">
        <x:f>hyperlink("https://icd.who.int/dev11/l-ichi/en#/http%3A%2F%2Fid.who.int%2Ficd%2Fentity%2F1787342245","browser")</x:f>
      </x:c>
      <x:c r="L1536" s="0">
        <x:f>hyperlink("https://icat2.azurewebsites.net/icat/?ontology=ICD&amp;tab=ClassesTab&amp;id=http%3A%2F%2Fwho.int%2Ficd%233769_512ebf36_bf6b_4d70_85da_cf2637062af4","iCat")</x:f>
      </x:c>
      <x:c r="M1536" s="0" t="s">
        <x:v>21</x:v>
      </x:c>
      <x:c r="N1536" s="0" t="s">
        <x:v>46</x:v>
      </x:c>
    </x:row>
    <x:row r="1537" spans="1:16">
      <x:c r="A1537" s="0" t="s">
        <x:v>5977</x:v>
      </x:c>
      <x:c r="B1537" s="0" t="s">
        <x:v>5978</x:v>
      </x:c>
      <x:c r="C1537" s="0" t="s">
        <x:v>5979</x:v>
      </x:c>
      <x:c r="E1537" s="0" t="s">
        <x:v>5980</x:v>
      </x:c>
      <x:c r="F1537" s="0" t="s">
        <x:v>45</x:v>
      </x:c>
      <x:c r="G1537" s="0" t="s">
        <x:v>19</x:v>
      </x:c>
      <x:c r="H1537" s="0" t="s">
        <x:v>20</x:v>
      </x:c>
      <x:c r="I1537" s="0" t="s">
        <x:v>21</x:v>
      </x:c>
      <x:c r="K1537" s="0">
        <x:f>hyperlink("https://icd.who.int/dev11/l-ichi/en#/http%3A%2F%2Fid.who.int%2Ficd%2Fentity%2F1045357100","browser")</x:f>
      </x:c>
      <x:c r="L1537" s="0">
        <x:f>hyperlink("https://icat2.azurewebsites.net/icat/?ontology=ICD&amp;tab=ClassesTab&amp;id=http%3A%2F%2Fwho.int%2Ficd%233776_512ebf36_bf6b_4d70_85da_cf2637062af4","iCat")</x:f>
      </x:c>
      <x:c r="M1537" s="0" t="s">
        <x:v>21</x:v>
      </x:c>
      <x:c r="N1537" s="0" t="s">
        <x:v>46</x:v>
      </x:c>
    </x:row>
    <x:row r="1538" spans="1:16">
      <x:c r="A1538" s="0" t="s">
        <x:v>5981</x:v>
      </x:c>
      <x:c r="B1538" s="0" t="s">
        <x:v>5982</x:v>
      </x:c>
      <x:c r="C1538" s="0" t="s">
        <x:v>5983</x:v>
      </x:c>
      <x:c r="E1538" s="0" t="s">
        <x:v>5984</x:v>
      </x:c>
      <x:c r="F1538" s="0" t="s">
        <x:v>45</x:v>
      </x:c>
      <x:c r="G1538" s="0" t="s">
        <x:v>19</x:v>
      </x:c>
      <x:c r="H1538" s="0" t="s">
        <x:v>20</x:v>
      </x:c>
      <x:c r="I1538" s="0" t="s">
        <x:v>21</x:v>
      </x:c>
      <x:c r="K1538" s="0">
        <x:f>hyperlink("https://icd.who.int/dev11/l-ichi/en#/http%3A%2F%2Fid.who.int%2Ficd%2Fentity%2F72818366","browser")</x:f>
      </x:c>
      <x:c r="L1538" s="0">
        <x:f>hyperlink("https://icat2.azurewebsites.net/icat/?ontology=ICD&amp;tab=ClassesTab&amp;id=http%3A%2F%2Fwho.int%2Ficd%233783_512ebf36_bf6b_4d70_85da_cf2637062af4","iCat")</x:f>
      </x:c>
      <x:c r="M1538" s="0" t="s">
        <x:v>21</x:v>
      </x:c>
      <x:c r="N1538" s="0" t="s">
        <x:v>46</x:v>
      </x:c>
    </x:row>
    <x:row r="1539" spans="1:16">
      <x:c r="A1539" s="0" t="s">
        <x:v>5985</x:v>
      </x:c>
      <x:c r="B1539" s="0" t="s">
        <x:v>5986</x:v>
      </x:c>
      <x:c r="C1539" s="0" t="s">
        <x:v>5987</x:v>
      </x:c>
      <x:c r="E1539" s="0" t="s">
        <x:v>5988</x:v>
      </x:c>
      <x:c r="F1539" s="0" t="s">
        <x:v>45</x:v>
      </x:c>
      <x:c r="G1539" s="0" t="s">
        <x:v>19</x:v>
      </x:c>
      <x:c r="H1539" s="0" t="s">
        <x:v>20</x:v>
      </x:c>
      <x:c r="I1539" s="0" t="s">
        <x:v>21</x:v>
      </x:c>
      <x:c r="K1539" s="0">
        <x:f>hyperlink("https://icd.who.int/dev11/l-ichi/en#/http%3A%2F%2Fid.who.int%2Ficd%2Fentity%2F722986002","browser")</x:f>
      </x:c>
      <x:c r="L1539" s="0">
        <x:f>hyperlink("https://icat2.azurewebsites.net/icat/?ontology=ICD&amp;tab=ClassesTab&amp;id=http%3A%2F%2Fwho.int%2Ficd%233790_512ebf36_bf6b_4d70_85da_cf2637062af4","iCat")</x:f>
      </x:c>
      <x:c r="M1539" s="0" t="s">
        <x:v>21</x:v>
      </x:c>
      <x:c r="N1539" s="0" t="s">
        <x:v>46</x:v>
      </x:c>
    </x:row>
    <x:row r="1540" spans="1:16">
      <x:c r="A1540" s="0" t="s">
        <x:v>5989</x:v>
      </x:c>
      <x:c r="B1540" s="0" t="s">
        <x:v>5990</x:v>
      </x:c>
      <x:c r="C1540" s="0" t="s">
        <x:v>5991</x:v>
      </x:c>
      <x:c r="E1540" s="0" t="s">
        <x:v>5992</x:v>
      </x:c>
      <x:c r="F1540" s="0" t="s">
        <x:v>45</x:v>
      </x:c>
      <x:c r="G1540" s="0" t="s">
        <x:v>19</x:v>
      </x:c>
      <x:c r="H1540" s="0" t="s">
        <x:v>20</x:v>
      </x:c>
      <x:c r="I1540" s="0" t="s">
        <x:v>21</x:v>
      </x:c>
      <x:c r="K1540" s="0">
        <x:f>hyperlink("https://icd.who.int/dev11/l-ichi/en#/http%3A%2F%2Fid.who.int%2Ficd%2Fentity%2F1536511903","browser")</x:f>
      </x:c>
      <x:c r="L1540" s="0">
        <x:f>hyperlink("https://icat2.azurewebsites.net/icat/?ontology=ICD&amp;tab=ClassesTab&amp;id=http%3A%2F%2Fwho.int%2Ficd%233797_512ebf36_bf6b_4d70_85da_cf2637062af4","iCat")</x:f>
      </x:c>
      <x:c r="M1540" s="0" t="s">
        <x:v>21</x:v>
      </x:c>
      <x:c r="N1540" s="0" t="s">
        <x:v>46</x:v>
      </x:c>
    </x:row>
    <x:row r="1541" spans="1:16">
      <x:c r="A1541" s="0" t="s">
        <x:v>5993</x:v>
      </x:c>
      <x:c r="B1541" s="0" t="s">
        <x:v>5994</x:v>
      </x:c>
      <x:c r="C1541" s="0" t="s">
        <x:v>5995</x:v>
      </x:c>
      <x:c r="E1541" s="0" t="s">
        <x:v>5996</x:v>
      </x:c>
      <x:c r="F1541" s="0" t="s">
        <x:v>45</x:v>
      </x:c>
      <x:c r="G1541" s="0" t="s">
        <x:v>19</x:v>
      </x:c>
      <x:c r="H1541" s="0" t="s">
        <x:v>20</x:v>
      </x:c>
      <x:c r="I1541" s="0" t="s">
        <x:v>21</x:v>
      </x:c>
      <x:c r="K1541" s="0">
        <x:f>hyperlink("https://icd.who.int/dev11/l-ichi/en#/http%3A%2F%2Fid.who.int%2Ficd%2Fentity%2F1831589760","browser")</x:f>
      </x:c>
      <x:c r="L1541" s="0">
        <x:f>hyperlink("https://icat2.azurewebsites.net/icat/?ontology=ICD&amp;tab=ClassesTab&amp;id=http%3A%2F%2Fwho.int%2Ficd%233803_512ebf36_bf6b_4d70_85da_cf2637062af4","iCat")</x:f>
      </x:c>
      <x:c r="M1541" s="0" t="s">
        <x:v>21</x:v>
      </x:c>
      <x:c r="N1541" s="0" t="s">
        <x:v>46</x:v>
      </x:c>
    </x:row>
    <x:row r="1542" spans="1:16">
      <x:c r="A1542" s="0" t="s">
        <x:v>5997</x:v>
      </x:c>
      <x:c r="B1542" s="0" t="s">
        <x:v>5998</x:v>
      </x:c>
      <x:c r="C1542" s="0" t="s">
        <x:v>5999</x:v>
      </x:c>
      <x:c r="E1542" s="0" t="s">
        <x:v>6000</x:v>
      </x:c>
      <x:c r="F1542" s="0" t="s">
        <x:v>45</x:v>
      </x:c>
      <x:c r="G1542" s="0" t="s">
        <x:v>19</x:v>
      </x:c>
      <x:c r="H1542" s="0" t="s">
        <x:v>20</x:v>
      </x:c>
      <x:c r="I1542" s="0" t="s">
        <x:v>21</x:v>
      </x:c>
      <x:c r="K1542" s="0">
        <x:f>hyperlink("https://icd.who.int/dev11/l-ichi/en#/http%3A%2F%2Fid.who.int%2Ficd%2Fentity%2F655831061","browser")</x:f>
      </x:c>
      <x:c r="L1542" s="0">
        <x:f>hyperlink("https://icat2.azurewebsites.net/icat/?ontology=ICD&amp;tab=ClassesTab&amp;id=http%3A%2F%2Fwho.int%2Ficd%233812_512ebf36_bf6b_4d70_85da_cf2637062af4","iCat")</x:f>
      </x:c>
      <x:c r="M1542" s="0" t="s">
        <x:v>21</x:v>
      </x:c>
      <x:c r="N1542" s="0" t="s">
        <x:v>46</x:v>
      </x:c>
    </x:row>
    <x:row r="1543" spans="1:16">
      <x:c r="A1543" s="0" t="s">
        <x:v>6001</x:v>
      </x:c>
      <x:c r="B1543" s="0" t="s">
        <x:v>6002</x:v>
      </x:c>
      <x:c r="C1543" s="0" t="s">
        <x:v>6003</x:v>
      </x:c>
      <x:c r="E1543" s="0" t="s">
        <x:v>6004</x:v>
      </x:c>
      <x:c r="F1543" s="0" t="s">
        <x:v>45</x:v>
      </x:c>
      <x:c r="G1543" s="0" t="s">
        <x:v>19</x:v>
      </x:c>
      <x:c r="H1543" s="0" t="s">
        <x:v>20</x:v>
      </x:c>
      <x:c r="I1543" s="0" t="s">
        <x:v>21</x:v>
      </x:c>
      <x:c r="K1543" s="0">
        <x:f>hyperlink("https://icd.who.int/dev11/l-ichi/en#/http%3A%2F%2Fid.who.int%2Ficd%2Fentity%2F216685701","browser")</x:f>
      </x:c>
      <x:c r="L1543" s="0">
        <x:f>hyperlink("https://icat2.azurewebsites.net/icat/?ontology=ICD&amp;tab=ClassesTab&amp;id=http%3A%2F%2Fwho.int%2Ficd%233818_512ebf36_bf6b_4d70_85da_cf2637062af4","iCat")</x:f>
      </x:c>
      <x:c r="M1543" s="0" t="s">
        <x:v>21</x:v>
      </x:c>
      <x:c r="N1543" s="0" t="s">
        <x:v>46</x:v>
      </x:c>
    </x:row>
    <x:row r="1544" spans="1:16">
      <x:c r="A1544" s="0" t="s">
        <x:v>6005</x:v>
      </x:c>
      <x:c r="B1544" s="0" t="s">
        <x:v>6006</x:v>
      </x:c>
      <x:c r="C1544" s="0" t="s">
        <x:v>6007</x:v>
      </x:c>
      <x:c r="E1544" s="0" t="s">
        <x:v>6008</x:v>
      </x:c>
      <x:c r="F1544" s="0" t="s">
        <x:v>45</x:v>
      </x:c>
      <x:c r="G1544" s="0" t="s">
        <x:v>19</x:v>
      </x:c>
      <x:c r="H1544" s="0" t="s">
        <x:v>20</x:v>
      </x:c>
      <x:c r="I1544" s="0" t="s">
        <x:v>21</x:v>
      </x:c>
      <x:c r="K1544" s="0">
        <x:f>hyperlink("https://icd.who.int/dev11/l-ichi/en#/http%3A%2F%2Fid.who.int%2Ficd%2Fentity%2F388291487","browser")</x:f>
      </x:c>
      <x:c r="L1544" s="0">
        <x:f>hyperlink("https://icat2.azurewebsites.net/icat/?ontology=ICD&amp;tab=ClassesTab&amp;id=http%3A%2F%2Fwho.int%2Ficd%233825_512ebf36_bf6b_4d70_85da_cf2637062af4","iCat")</x:f>
      </x:c>
      <x:c r="M1544" s="0" t="s">
        <x:v>21</x:v>
      </x:c>
      <x:c r="N1544" s="0" t="s">
        <x:v>46</x:v>
      </x:c>
    </x:row>
    <x:row r="1545" spans="1:16">
      <x:c r="A1545" s="0" t="s">
        <x:v>6009</x:v>
      </x:c>
      <x:c r="B1545" s="0" t="s">
        <x:v>6010</x:v>
      </x:c>
      <x:c r="C1545" s="0" t="s">
        <x:v>6011</x:v>
      </x:c>
      <x:c r="E1545" s="0" t="s">
        <x:v>6012</x:v>
      </x:c>
      <x:c r="F1545" s="0" t="s">
        <x:v>45</x:v>
      </x:c>
      <x:c r="G1545" s="0" t="s">
        <x:v>19</x:v>
      </x:c>
      <x:c r="H1545" s="0" t="s">
        <x:v>20</x:v>
      </x:c>
      <x:c r="I1545" s="0" t="s">
        <x:v>21</x:v>
      </x:c>
      <x:c r="K1545" s="0">
        <x:f>hyperlink("https://icd.who.int/dev11/l-ichi/en#/http%3A%2F%2Fid.who.int%2Ficd%2Fentity%2F1223068348","browser")</x:f>
      </x:c>
      <x:c r="L1545" s="0">
        <x:f>hyperlink("https://icat2.azurewebsites.net/icat/?ontology=ICD&amp;tab=ClassesTab&amp;id=http%3A%2F%2Fwho.int%2Ficd%233831_512ebf36_bf6b_4d70_85da_cf2637062af4","iCat")</x:f>
      </x:c>
      <x:c r="M1545" s="0" t="s">
        <x:v>21</x:v>
      </x:c>
      <x:c r="N1545" s="0" t="s">
        <x:v>46</x:v>
      </x:c>
    </x:row>
    <x:row r="1546" spans="1:16">
      <x:c r="A1546" s="0" t="s">
        <x:v>6013</x:v>
      </x:c>
      <x:c r="B1546" s="0" t="s">
        <x:v>6014</x:v>
      </x:c>
      <x:c r="C1546" s="0" t="s">
        <x:v>6015</x:v>
      </x:c>
      <x:c r="E1546" s="0" t="s">
        <x:v>6016</x:v>
      </x:c>
      <x:c r="F1546" s="0" t="s">
        <x:v>45</x:v>
      </x:c>
      <x:c r="G1546" s="0" t="s">
        <x:v>19</x:v>
      </x:c>
      <x:c r="H1546" s="0" t="s">
        <x:v>20</x:v>
      </x:c>
      <x:c r="I1546" s="0" t="s">
        <x:v>21</x:v>
      </x:c>
      <x:c r="K1546" s="0">
        <x:f>hyperlink("https://icd.who.int/dev11/l-ichi/en#/http%3A%2F%2Fid.who.int%2Ficd%2Fentity%2F145895979","browser")</x:f>
      </x:c>
      <x:c r="L1546" s="0">
        <x:f>hyperlink("https://icat2.azurewebsites.net/icat/?ontology=ICD&amp;tab=ClassesTab&amp;id=http%3A%2F%2Fwho.int%2Ficd%233846_512ebf36_bf6b_4d70_85da_cf2637062af4","iCat")</x:f>
      </x:c>
      <x:c r="M1546" s="0" t="s">
        <x:v>21</x:v>
      </x:c>
      <x:c r="N1546" s="0" t="s">
        <x:v>46</x:v>
      </x:c>
    </x:row>
    <x:row r="1547" spans="1:16">
      <x:c r="A1547" s="0" t="s">
        <x:v>6017</x:v>
      </x:c>
      <x:c r="B1547" s="0" t="s">
        <x:v>6018</x:v>
      </x:c>
      <x:c r="C1547" s="0" t="s">
        <x:v>6019</x:v>
      </x:c>
      <x:c r="E1547" s="0" t="s">
        <x:v>6020</x:v>
      </x:c>
      <x:c r="F1547" s="0" t="s">
        <x:v>45</x:v>
      </x:c>
      <x:c r="G1547" s="0" t="s">
        <x:v>19</x:v>
      </x:c>
      <x:c r="H1547" s="0" t="s">
        <x:v>20</x:v>
      </x:c>
      <x:c r="I1547" s="0" t="s">
        <x:v>21</x:v>
      </x:c>
      <x:c r="K1547" s="0">
        <x:f>hyperlink("https://icd.who.int/dev11/l-ichi/en#/http%3A%2F%2Fid.who.int%2Ficd%2Fentity%2F1466983176","browser")</x:f>
      </x:c>
      <x:c r="L1547" s="0">
        <x:f>hyperlink("https://icat2.azurewebsites.net/icat/?ontology=ICD&amp;tab=ClassesTab&amp;id=http%3A%2F%2Fwho.int%2Ficd%233852_512ebf36_bf6b_4d70_85da_cf2637062af4","iCat")</x:f>
      </x:c>
      <x:c r="M1547" s="0" t="s">
        <x:v>21</x:v>
      </x:c>
      <x:c r="N1547" s="0" t="s">
        <x:v>46</x:v>
      </x:c>
    </x:row>
    <x:row r="1548" spans="1:16">
      <x:c r="A1548" s="0" t="s">
        <x:v>6021</x:v>
      </x:c>
      <x:c r="B1548" s="0" t="s">
        <x:v>6022</x:v>
      </x:c>
      <x:c r="C1548" s="0" t="s">
        <x:v>6023</x:v>
      </x:c>
      <x:c r="E1548" s="0" t="s">
        <x:v>6024</x:v>
      </x:c>
      <x:c r="F1548" s="0" t="s">
        <x:v>45</x:v>
      </x:c>
      <x:c r="G1548" s="0" t="s">
        <x:v>19</x:v>
      </x:c>
      <x:c r="H1548" s="0" t="s">
        <x:v>20</x:v>
      </x:c>
      <x:c r="I1548" s="0" t="s">
        <x:v>21</x:v>
      </x:c>
      <x:c r="K1548" s="0">
        <x:f>hyperlink("https://icd.who.int/dev11/l-ichi/en#/http%3A%2F%2Fid.who.int%2Ficd%2Fentity%2F1925005004","browser")</x:f>
      </x:c>
      <x:c r="L1548" s="0">
        <x:f>hyperlink("https://icat2.azurewebsites.net/icat/?ontology=ICD&amp;tab=ClassesTab&amp;id=http%3A%2F%2Fwho.int%2Ficd%233860_512ebf36_bf6b_4d70_85da_cf2637062af4","iCat")</x:f>
      </x:c>
      <x:c r="M1548" s="0" t="s">
        <x:v>21</x:v>
      </x:c>
      <x:c r="N1548" s="0" t="s">
        <x:v>46</x:v>
      </x:c>
    </x:row>
    <x:row r="1549" spans="1:16">
      <x:c r="A1549" s="0" t="s">
        <x:v>6025</x:v>
      </x:c>
      <x:c r="B1549" s="0" t="s">
        <x:v>6026</x:v>
      </x:c>
      <x:c r="C1549" s="0" t="s">
        <x:v>6027</x:v>
      </x:c>
      <x:c r="E1549" s="0" t="s">
        <x:v>6028</x:v>
      </x:c>
      <x:c r="F1549" s="0" t="s">
        <x:v>45</x:v>
      </x:c>
      <x:c r="G1549" s="0" t="s">
        <x:v>19</x:v>
      </x:c>
      <x:c r="H1549" s="0" t="s">
        <x:v>20</x:v>
      </x:c>
      <x:c r="I1549" s="0" t="s">
        <x:v>21</x:v>
      </x:c>
      <x:c r="K1549" s="0">
        <x:f>hyperlink("https://icd.who.int/dev11/l-ichi/en#/http%3A%2F%2Fid.who.int%2Ficd%2Fentity%2F37721415","browser")</x:f>
      </x:c>
      <x:c r="L1549" s="0">
        <x:f>hyperlink("https://icat2.azurewebsites.net/icat/?ontology=ICD&amp;tab=ClassesTab&amp;id=http%3A%2F%2Fwho.int%2Ficd%233867_512ebf36_bf6b_4d70_85da_cf2637062af4","iCat")</x:f>
      </x:c>
      <x:c r="M1549" s="0" t="s">
        <x:v>21</x:v>
      </x:c>
      <x:c r="N1549" s="0" t="s">
        <x:v>46</x:v>
      </x:c>
    </x:row>
    <x:row r="1550" spans="1:16">
      <x:c r="A1550" s="0" t="s">
        <x:v>6029</x:v>
      </x:c>
      <x:c r="B1550" s="0" t="s">
        <x:v>6030</x:v>
      </x:c>
      <x:c r="C1550" s="0" t="s">
        <x:v>6031</x:v>
      </x:c>
      <x:c r="E1550" s="0" t="s">
        <x:v>6032</x:v>
      </x:c>
      <x:c r="F1550" s="0" t="s">
        <x:v>45</x:v>
      </x:c>
      <x:c r="G1550" s="0" t="s">
        <x:v>19</x:v>
      </x:c>
      <x:c r="H1550" s="0" t="s">
        <x:v>20</x:v>
      </x:c>
      <x:c r="I1550" s="0" t="s">
        <x:v>21</x:v>
      </x:c>
      <x:c r="K1550" s="0">
        <x:f>hyperlink("https://icd.who.int/dev11/l-ichi/en#/http%3A%2F%2Fid.who.int%2Ficd%2Fentity%2F1576911972","browser")</x:f>
      </x:c>
      <x:c r="L1550" s="0">
        <x:f>hyperlink("https://icat2.azurewebsites.net/icat/?ontology=ICD&amp;tab=ClassesTab&amp;id=http%3A%2F%2Fwho.int%2Ficd%233873_512ebf36_bf6b_4d70_85da_cf2637062af4","iCat")</x:f>
      </x:c>
      <x:c r="M1550" s="0" t="s">
        <x:v>21</x:v>
      </x:c>
      <x:c r="N1550" s="0" t="s">
        <x:v>46</x:v>
      </x:c>
    </x:row>
    <x:row r="1551" spans="1:16">
      <x:c r="A1551" s="0" t="s">
        <x:v>6033</x:v>
      </x:c>
      <x:c r="B1551" s="0" t="s">
        <x:v>6034</x:v>
      </x:c>
      <x:c r="C1551" s="0" t="s">
        <x:v>6035</x:v>
      </x:c>
      <x:c r="E1551" s="0" t="s">
        <x:v>6036</x:v>
      </x:c>
      <x:c r="F1551" s="0" t="s">
        <x:v>45</x:v>
      </x:c>
      <x:c r="G1551" s="0" t="s">
        <x:v>19</x:v>
      </x:c>
      <x:c r="H1551" s="0" t="s">
        <x:v>20</x:v>
      </x:c>
      <x:c r="I1551" s="0" t="s">
        <x:v>21</x:v>
      </x:c>
      <x:c r="K1551" s="0">
        <x:f>hyperlink("https://icd.who.int/dev11/l-ichi/en#/http%3A%2F%2Fid.who.int%2Ficd%2Fentity%2F1979754740","browser")</x:f>
      </x:c>
      <x:c r="L1551" s="0">
        <x:f>hyperlink("https://icat2.azurewebsites.net/icat/?ontology=ICD&amp;tab=ClassesTab&amp;id=http%3A%2F%2Fwho.int%2Ficd%233879_512ebf36_bf6b_4d70_85da_cf2637062af4","iCat")</x:f>
      </x:c>
      <x:c r="M1551" s="0" t="s">
        <x:v>21</x:v>
      </x:c>
      <x:c r="N1551" s="0" t="s">
        <x:v>46</x:v>
      </x:c>
    </x:row>
    <x:row r="1552" spans="1:16">
      <x:c r="A1552" s="0" t="s">
        <x:v>6037</x:v>
      </x:c>
      <x:c r="B1552" s="0" t="s">
        <x:v>6038</x:v>
      </x:c>
      <x:c r="C1552" s="0" t="s">
        <x:v>6039</x:v>
      </x:c>
      <x:c r="E1552" s="0" t="s">
        <x:v>6040</x:v>
      </x:c>
      <x:c r="F1552" s="0" t="s">
        <x:v>45</x:v>
      </x:c>
      <x:c r="G1552" s="0" t="s">
        <x:v>19</x:v>
      </x:c>
      <x:c r="H1552" s="0" t="s">
        <x:v>20</x:v>
      </x:c>
      <x:c r="I1552" s="0" t="s">
        <x:v>21</x:v>
      </x:c>
      <x:c r="K1552" s="0">
        <x:f>hyperlink("https://icd.who.int/dev11/l-ichi/en#/http%3A%2F%2Fid.who.int%2Ficd%2Fentity%2F576804619","browser")</x:f>
      </x:c>
      <x:c r="L1552" s="0">
        <x:f>hyperlink("https://icat2.azurewebsites.net/icat/?ontology=ICD&amp;tab=ClassesTab&amp;id=http%3A%2F%2Fwho.int%2Ficd%233885_512ebf36_bf6b_4d70_85da_cf2637062af4","iCat")</x:f>
      </x:c>
      <x:c r="M1552" s="0" t="s">
        <x:v>21</x:v>
      </x:c>
      <x:c r="N1552" s="0" t="s">
        <x:v>46</x:v>
      </x:c>
    </x:row>
    <x:row r="1553" spans="1:16">
      <x:c r="A1553" s="0" t="s">
        <x:v>6041</x:v>
      </x:c>
      <x:c r="B1553" s="0" t="s">
        <x:v>6042</x:v>
      </x:c>
      <x:c r="C1553" s="0" t="s">
        <x:v>6043</x:v>
      </x:c>
      <x:c r="E1553" s="0" t="s">
        <x:v>6044</x:v>
      </x:c>
      <x:c r="F1553" s="0" t="s">
        <x:v>45</x:v>
      </x:c>
      <x:c r="G1553" s="0" t="s">
        <x:v>19</x:v>
      </x:c>
      <x:c r="H1553" s="0" t="s">
        <x:v>20</x:v>
      </x:c>
      <x:c r="I1553" s="0" t="s">
        <x:v>21</x:v>
      </x:c>
      <x:c r="K1553" s="0">
        <x:f>hyperlink("https://icd.who.int/dev11/l-ichi/en#/http%3A%2F%2Fid.who.int%2Ficd%2Fentity%2F942041553","browser")</x:f>
      </x:c>
      <x:c r="L1553" s="0">
        <x:f>hyperlink("https://icat2.azurewebsites.net/icat/?ontology=ICD&amp;tab=ClassesTab&amp;id=http%3A%2F%2Fwho.int%2Ficd%233892_512ebf36_bf6b_4d70_85da_cf2637062af4","iCat")</x:f>
      </x:c>
      <x:c r="M1553" s="0" t="s">
        <x:v>21</x:v>
      </x:c>
      <x:c r="N1553" s="0" t="s">
        <x:v>46</x:v>
      </x:c>
    </x:row>
    <x:row r="1554" spans="1:16">
      <x:c r="A1554" s="0" t="s">
        <x:v>6045</x:v>
      </x:c>
      <x:c r="B1554" s="0" t="s">
        <x:v>6046</x:v>
      </x:c>
      <x:c r="C1554" s="0" t="s">
        <x:v>6047</x:v>
      </x:c>
      <x:c r="E1554" s="0" t="s">
        <x:v>6048</x:v>
      </x:c>
      <x:c r="F1554" s="0" t="s">
        <x:v>45</x:v>
      </x:c>
      <x:c r="G1554" s="0" t="s">
        <x:v>19</x:v>
      </x:c>
      <x:c r="H1554" s="0" t="s">
        <x:v>20</x:v>
      </x:c>
      <x:c r="I1554" s="0" t="s">
        <x:v>21</x:v>
      </x:c>
      <x:c r="K1554" s="0">
        <x:f>hyperlink("https://icd.who.int/dev11/l-ichi/en#/http%3A%2F%2Fid.who.int%2Ficd%2Fentity%2F333120833","browser")</x:f>
      </x:c>
      <x:c r="L1554" s="0">
        <x:f>hyperlink("https://icat2.azurewebsites.net/icat/?ontology=ICD&amp;tab=ClassesTab&amp;id=http%3A%2F%2Fwho.int%2Ficd%233898_512ebf36_bf6b_4d70_85da_cf2637062af4","iCat")</x:f>
      </x:c>
      <x:c r="M1554" s="0" t="s">
        <x:v>21</x:v>
      </x:c>
      <x:c r="N1554" s="0" t="s">
        <x:v>46</x:v>
      </x:c>
    </x:row>
    <x:row r="1555" spans="1:16">
      <x:c r="A1555" s="0" t="s">
        <x:v>6049</x:v>
      </x:c>
      <x:c r="B1555" s="0" t="s">
        <x:v>6050</x:v>
      </x:c>
      <x:c r="C1555" s="0" t="s">
        <x:v>6051</x:v>
      </x:c>
      <x:c r="E1555" s="0" t="s">
        <x:v>6052</x:v>
      </x:c>
      <x:c r="F1555" s="0" t="s">
        <x:v>45</x:v>
      </x:c>
      <x:c r="G1555" s="0" t="s">
        <x:v>19</x:v>
      </x:c>
      <x:c r="H1555" s="0" t="s">
        <x:v>20</x:v>
      </x:c>
      <x:c r="I1555" s="0" t="s">
        <x:v>21</x:v>
      </x:c>
      <x:c r="K1555" s="0">
        <x:f>hyperlink("https://icd.who.int/dev11/l-ichi/en#/http%3A%2F%2Fid.who.int%2Ficd%2Fentity%2F1748417136","browser")</x:f>
      </x:c>
      <x:c r="L1555" s="0">
        <x:f>hyperlink("https://icat2.azurewebsites.net/icat/?ontology=ICD&amp;tab=ClassesTab&amp;id=http%3A%2F%2Fwho.int%2Ficd%233904_512ebf36_bf6b_4d70_85da_cf2637062af4","iCat")</x:f>
      </x:c>
      <x:c r="M1555" s="0" t="s">
        <x:v>21</x:v>
      </x:c>
      <x:c r="N1555" s="0" t="s">
        <x:v>46</x:v>
      </x:c>
    </x:row>
    <x:row r="1556" spans="1:16">
      <x:c r="A1556" s="0" t="s">
        <x:v>6053</x:v>
      </x:c>
      <x:c r="B1556" s="0" t="s">
        <x:v>6054</x:v>
      </x:c>
      <x:c r="C1556" s="0" t="s">
        <x:v>6055</x:v>
      </x:c>
      <x:c r="E1556" s="0" t="s">
        <x:v>6056</x:v>
      </x:c>
      <x:c r="F1556" s="0" t="s">
        <x:v>45</x:v>
      </x:c>
      <x:c r="G1556" s="0" t="s">
        <x:v>19</x:v>
      </x:c>
      <x:c r="H1556" s="0" t="s">
        <x:v>20</x:v>
      </x:c>
      <x:c r="I1556" s="0" t="s">
        <x:v>21</x:v>
      </x:c>
      <x:c r="K1556" s="0">
        <x:f>hyperlink("https://icd.who.int/dev11/l-ichi/en#/http%3A%2F%2Fid.who.int%2Ficd%2Fentity%2F938797901","browser")</x:f>
      </x:c>
      <x:c r="L1556" s="0">
        <x:f>hyperlink("https://icat2.azurewebsites.net/icat/?ontology=ICD&amp;tab=ClassesTab&amp;id=http%3A%2F%2Fwho.int%2Ficd%233910_512ebf36_bf6b_4d70_85da_cf2637062af4","iCat")</x:f>
      </x:c>
      <x:c r="M1556" s="0" t="s">
        <x:v>21</x:v>
      </x:c>
      <x:c r="N1556" s="0" t="s">
        <x:v>46</x:v>
      </x:c>
    </x:row>
    <x:row r="1557" spans="1:16">
      <x:c r="A1557" s="0" t="s">
        <x:v>6057</x:v>
      </x:c>
      <x:c r="B1557" s="0" t="s">
        <x:v>6058</x:v>
      </x:c>
      <x:c r="C1557" s="0" t="s">
        <x:v>6059</x:v>
      </x:c>
      <x:c r="E1557" s="0" t="s">
        <x:v>6060</x:v>
      </x:c>
      <x:c r="F1557" s="0" t="s">
        <x:v>45</x:v>
      </x:c>
      <x:c r="G1557" s="0" t="s">
        <x:v>19</x:v>
      </x:c>
      <x:c r="H1557" s="0" t="s">
        <x:v>20</x:v>
      </x:c>
      <x:c r="I1557" s="0" t="s">
        <x:v>21</x:v>
      </x:c>
      <x:c r="K1557" s="0">
        <x:f>hyperlink("https://icd.who.int/dev11/l-ichi/en#/http%3A%2F%2Fid.who.int%2Ficd%2Fentity%2F1737437950","browser")</x:f>
      </x:c>
      <x:c r="L1557" s="0">
        <x:f>hyperlink("https://icat2.azurewebsites.net/icat/?ontology=ICD&amp;tab=ClassesTab&amp;id=http%3A%2F%2Fwho.int%2Ficd%233916_512ebf36_bf6b_4d70_85da_cf2637062af4","iCat")</x:f>
      </x:c>
      <x:c r="M1557" s="0" t="s">
        <x:v>21</x:v>
      </x:c>
      <x:c r="N1557" s="0" t="s">
        <x:v>46</x:v>
      </x:c>
    </x:row>
    <x:row r="1558" spans="1:16">
      <x:c r="A1558" s="0" t="s">
        <x:v>6061</x:v>
      </x:c>
      <x:c r="B1558" s="0" t="s">
        <x:v>6062</x:v>
      </x:c>
      <x:c r="C1558" s="0" t="s">
        <x:v>6063</x:v>
      </x:c>
      <x:c r="E1558" s="0" t="s">
        <x:v>6064</x:v>
      </x:c>
      <x:c r="F1558" s="0" t="s">
        <x:v>45</x:v>
      </x:c>
      <x:c r="G1558" s="0" t="s">
        <x:v>19</x:v>
      </x:c>
      <x:c r="H1558" s="0" t="s">
        <x:v>20</x:v>
      </x:c>
      <x:c r="I1558" s="0" t="s">
        <x:v>21</x:v>
      </x:c>
      <x:c r="K1558" s="0">
        <x:f>hyperlink("https://icd.who.int/dev11/l-ichi/en#/http%3A%2F%2Fid.who.int%2Ficd%2Fentity%2F851494067","browser")</x:f>
      </x:c>
      <x:c r="L1558" s="0">
        <x:f>hyperlink("https://icat2.azurewebsites.net/icat/?ontology=ICD&amp;tab=ClassesTab&amp;id=http%3A%2F%2Fwho.int%2Ficd%233923_512ebf36_bf6b_4d70_85da_cf2637062af4","iCat")</x:f>
      </x:c>
      <x:c r="M1558" s="0" t="s">
        <x:v>21</x:v>
      </x:c>
      <x:c r="N1558" s="0" t="s">
        <x:v>46</x:v>
      </x:c>
    </x:row>
    <x:row r="1559" spans="1:16">
      <x:c r="A1559" s="0" t="s">
        <x:v>6065</x:v>
      </x:c>
      <x:c r="B1559" s="0" t="s">
        <x:v>6066</x:v>
      </x:c>
      <x:c r="C1559" s="0" t="s">
        <x:v>6067</x:v>
      </x:c>
      <x:c r="E1559" s="0" t="s">
        <x:v>6068</x:v>
      </x:c>
      <x:c r="F1559" s="0" t="s">
        <x:v>45</x:v>
      </x:c>
      <x:c r="G1559" s="0" t="s">
        <x:v>19</x:v>
      </x:c>
      <x:c r="H1559" s="0" t="s">
        <x:v>20</x:v>
      </x:c>
      <x:c r="I1559" s="0" t="s">
        <x:v>21</x:v>
      </x:c>
      <x:c r="K1559" s="0">
        <x:f>hyperlink("https://icd.who.int/dev11/l-ichi/en#/http%3A%2F%2Fid.who.int%2Ficd%2Fentity%2F494943773","browser")</x:f>
      </x:c>
      <x:c r="L1559" s="0">
        <x:f>hyperlink("https://icat2.azurewebsites.net/icat/?ontology=ICD&amp;tab=ClassesTab&amp;id=http%3A%2F%2Fwho.int%2Ficd%233930_512ebf36_bf6b_4d70_85da_cf2637062af4","iCat")</x:f>
      </x:c>
      <x:c r="M1559" s="0" t="s">
        <x:v>21</x:v>
      </x:c>
      <x:c r="N1559" s="0" t="s">
        <x:v>46</x:v>
      </x:c>
    </x:row>
    <x:row r="1560" spans="1:16">
      <x:c r="A1560" s="0" t="s">
        <x:v>6069</x:v>
      </x:c>
      <x:c r="B1560" s="0" t="s">
        <x:v>6070</x:v>
      </x:c>
      <x:c r="C1560" s="0" t="s">
        <x:v>6071</x:v>
      </x:c>
      <x:c r="E1560" s="0" t="s">
        <x:v>6072</x:v>
      </x:c>
      <x:c r="F1560" s="0" t="s">
        <x:v>45</x:v>
      </x:c>
      <x:c r="G1560" s="0" t="s">
        <x:v>19</x:v>
      </x:c>
      <x:c r="H1560" s="0" t="s">
        <x:v>20</x:v>
      </x:c>
      <x:c r="I1560" s="0" t="s">
        <x:v>21</x:v>
      </x:c>
      <x:c r="K1560" s="0">
        <x:f>hyperlink("https://icd.who.int/dev11/l-ichi/en#/http%3A%2F%2Fid.who.int%2Ficd%2Fentity%2F1828885906","browser")</x:f>
      </x:c>
      <x:c r="L1560" s="0">
        <x:f>hyperlink("https://icat2.azurewebsites.net/icat/?ontology=ICD&amp;tab=ClassesTab&amp;id=http%3A%2F%2Fwho.int%2Ficd%233937_512ebf36_bf6b_4d70_85da_cf2637062af4","iCat")</x:f>
      </x:c>
      <x:c r="M1560" s="0" t="s">
        <x:v>21</x:v>
      </x:c>
      <x:c r="N1560" s="0" t="s">
        <x:v>46</x:v>
      </x:c>
    </x:row>
    <x:row r="1561" spans="1:16">
      <x:c r="A1561" s="0" t="s">
        <x:v>6073</x:v>
      </x:c>
      <x:c r="B1561" s="0" t="s">
        <x:v>6074</x:v>
      </x:c>
      <x:c r="C1561" s="0" t="s">
        <x:v>6075</x:v>
      </x:c>
      <x:c r="E1561" s="0" t="s">
        <x:v>6076</x:v>
      </x:c>
      <x:c r="F1561" s="0" t="s">
        <x:v>45</x:v>
      </x:c>
      <x:c r="G1561" s="0" t="s">
        <x:v>19</x:v>
      </x:c>
      <x:c r="H1561" s="0" t="s">
        <x:v>20</x:v>
      </x:c>
      <x:c r="I1561" s="0" t="s">
        <x:v>21</x:v>
      </x:c>
      <x:c r="K1561" s="0">
        <x:f>hyperlink("https://icd.who.int/dev11/l-ichi/en#/http%3A%2F%2Fid.who.int%2Ficd%2Fentity%2F1758675712","browser")</x:f>
      </x:c>
      <x:c r="L1561" s="0">
        <x:f>hyperlink("https://icat2.azurewebsites.net/icat/?ontology=ICD&amp;tab=ClassesTab&amp;id=http%3A%2F%2Fwho.int%2Ficd%233943_512ebf36_bf6b_4d70_85da_cf2637062af4","iCat")</x:f>
      </x:c>
      <x:c r="M1561" s="0" t="s">
        <x:v>21</x:v>
      </x:c>
      <x:c r="N1561" s="0" t="s">
        <x:v>46</x:v>
      </x:c>
    </x:row>
    <x:row r="1562" spans="1:16">
      <x:c r="A1562" s="0" t="s">
        <x:v>6077</x:v>
      </x:c>
      <x:c r="B1562" s="0" t="s">
        <x:v>6078</x:v>
      </x:c>
      <x:c r="D1562" s="0" t="s">
        <x:v>6079</x:v>
      </x:c>
      <x:c r="E1562" s="0" t="s">
        <x:v>6080</x:v>
      </x:c>
      <x:c r="F1562" s="0" t="s">
        <x:v>26</x:v>
      </x:c>
      <x:c r="G1562" s="0" t="s">
        <x:v>22</x:v>
      </x:c>
      <x:c r="H1562" s="0" t="s">
        <x:v>20</x:v>
      </x:c>
      <x:c r="I1562" s="0" t="s">
        <x:v>21</x:v>
      </x:c>
      <x:c r="K1562" s="0">
        <x:f>hyperlink("https://icd.who.int/dev11/l-ichi/en#/http%3A%2F%2Fid.who.int%2Ficd%2Fentity%2F923866077","browser")</x:f>
      </x:c>
      <x:c r="L1562" s="0">
        <x:f>hyperlink("https://icat2.azurewebsites.net/icat/?ontology=ICD&amp;tab=ClassesTab&amp;id=http%3A%2F%2Fwho.int%2Ficd%233957_512ebf36_bf6b_4d70_85da_cf2637062af4","iCat")</x:f>
      </x:c>
      <x:c r="M1562" s="0" t="s">
        <x:v>20</x:v>
      </x:c>
      <x:c r="N1562" s="0" t="s">
        <x:v>6081</x:v>
      </x:c>
    </x:row>
    <x:row r="1563" spans="1:16">
      <x:c r="A1563" s="0" t="s">
        <x:v>6082</x:v>
      </x:c>
      <x:c r="B1563" s="0" t="s">
        <x:v>6083</x:v>
      </x:c>
      <x:c r="C1563" s="0" t="s">
        <x:v>6084</x:v>
      </x:c>
      <x:c r="E1563" s="0" t="s">
        <x:v>6085</x:v>
      </x:c>
      <x:c r="F1563" s="0" t="s">
        <x:v>45</x:v>
      </x:c>
      <x:c r="G1563" s="0" t="s">
        <x:v>19</x:v>
      </x:c>
      <x:c r="H1563" s="0" t="s">
        <x:v>20</x:v>
      </x:c>
      <x:c r="I1563" s="0" t="s">
        <x:v>21</x:v>
      </x:c>
      <x:c r="K1563" s="0">
        <x:f>hyperlink("https://icd.who.int/dev11/l-ichi/en#/http%3A%2F%2Fid.who.int%2Ficd%2Fentity%2F401105377","browser")</x:f>
      </x:c>
      <x:c r="L1563" s="0">
        <x:f>hyperlink("https://icat2.azurewebsites.net/icat/?ontology=ICD&amp;tab=ClassesTab&amp;id=http%3A%2F%2Fwho.int%2Ficd%233956_512ebf36_bf6b_4d70_85da_cf2637062af4","iCat")</x:f>
      </x:c>
      <x:c r="M1563" s="0" t="s">
        <x:v>21</x:v>
      </x:c>
      <x:c r="N1563" s="0" t="s">
        <x:v>46</x:v>
      </x:c>
    </x:row>
    <x:row r="1564" spans="1:16">
      <x:c r="A1564" s="0" t="s">
        <x:v>6086</x:v>
      </x:c>
      <x:c r="B1564" s="0" t="s">
        <x:v>6087</x:v>
      </x:c>
      <x:c r="C1564" s="0" t="s">
        <x:v>6088</x:v>
      </x:c>
      <x:c r="E1564" s="0" t="s">
        <x:v>6089</x:v>
      </x:c>
      <x:c r="F1564" s="0" t="s">
        <x:v>45</x:v>
      </x:c>
      <x:c r="G1564" s="0" t="s">
        <x:v>19</x:v>
      </x:c>
      <x:c r="H1564" s="0" t="s">
        <x:v>20</x:v>
      </x:c>
      <x:c r="I1564" s="0" t="s">
        <x:v>21</x:v>
      </x:c>
      <x:c r="K1564" s="0">
        <x:f>hyperlink("https://icd.who.int/dev11/l-ichi/en#/http%3A%2F%2Fid.who.int%2Ficd%2Fentity%2F1843883266","browser")</x:f>
      </x:c>
      <x:c r="L1564" s="0">
        <x:f>hyperlink("https://icat2.azurewebsites.net/icat/?ontology=ICD&amp;tab=ClassesTab&amp;id=http%3A%2F%2Fwho.int%2Ficd%233970_512ebf36_bf6b_4d70_85da_cf2637062af4","iCat")</x:f>
      </x:c>
      <x:c r="M1564" s="0" t="s">
        <x:v>21</x:v>
      </x:c>
      <x:c r="N1564" s="0" t="s">
        <x:v>46</x:v>
      </x:c>
    </x:row>
    <x:row r="1565" spans="1:16">
      <x:c r="A1565" s="0" t="s">
        <x:v>6090</x:v>
      </x:c>
      <x:c r="B1565" s="0" t="s">
        <x:v>6091</x:v>
      </x:c>
      <x:c r="C1565" s="0" t="s">
        <x:v>6092</x:v>
      </x:c>
      <x:c r="E1565" s="0" t="s">
        <x:v>6093</x:v>
      </x:c>
      <x:c r="F1565" s="0" t="s">
        <x:v>45</x:v>
      </x:c>
      <x:c r="G1565" s="0" t="s">
        <x:v>19</x:v>
      </x:c>
      <x:c r="H1565" s="0" t="s">
        <x:v>20</x:v>
      </x:c>
      <x:c r="I1565" s="0" t="s">
        <x:v>21</x:v>
      </x:c>
      <x:c r="K1565" s="0">
        <x:f>hyperlink("https://icd.who.int/dev11/l-ichi/en#/http%3A%2F%2Fid.who.int%2Ficd%2Fentity%2F1033680049","browser")</x:f>
      </x:c>
      <x:c r="L1565" s="0">
        <x:f>hyperlink("https://icat2.azurewebsites.net/icat/?ontology=ICD&amp;tab=ClassesTab&amp;id=http%3A%2F%2Fwho.int%2Ficd%233976_512ebf36_bf6b_4d70_85da_cf2637062af4","iCat")</x:f>
      </x:c>
      <x:c r="M1565" s="0" t="s">
        <x:v>21</x:v>
      </x:c>
      <x:c r="N1565" s="0" t="s">
        <x:v>46</x:v>
      </x:c>
    </x:row>
    <x:row r="1566" spans="1:16">
      <x:c r="A1566" s="0" t="s">
        <x:v>6094</x:v>
      </x:c>
      <x:c r="B1566" s="0" t="s">
        <x:v>6095</x:v>
      </x:c>
      <x:c r="C1566" s="0" t="s">
        <x:v>6096</x:v>
      </x:c>
      <x:c r="E1566" s="0" t="s">
        <x:v>6097</x:v>
      </x:c>
      <x:c r="F1566" s="0" t="s">
        <x:v>45</x:v>
      </x:c>
      <x:c r="G1566" s="0" t="s">
        <x:v>19</x:v>
      </x:c>
      <x:c r="H1566" s="0" t="s">
        <x:v>20</x:v>
      </x:c>
      <x:c r="I1566" s="0" t="s">
        <x:v>21</x:v>
      </x:c>
      <x:c r="K1566" s="0">
        <x:f>hyperlink("https://icd.who.int/dev11/l-ichi/en#/http%3A%2F%2Fid.who.int%2Ficd%2Fentity%2F1476301208","browser")</x:f>
      </x:c>
      <x:c r="L1566" s="0">
        <x:f>hyperlink("https://icat2.azurewebsites.net/icat/?ontology=ICD&amp;tab=ClassesTab&amp;id=http%3A%2F%2Fwho.int%2Ficd%233985_512ebf36_bf6b_4d70_85da_cf2637062af4","iCat")</x:f>
      </x:c>
      <x:c r="M1566" s="0" t="s">
        <x:v>21</x:v>
      </x:c>
      <x:c r="N1566" s="0" t="s">
        <x:v>46</x:v>
      </x:c>
    </x:row>
    <x:row r="1567" spans="1:16">
      <x:c r="A1567" s="0" t="s">
        <x:v>6098</x:v>
      </x:c>
      <x:c r="B1567" s="0" t="s">
        <x:v>6099</x:v>
      </x:c>
      <x:c r="C1567" s="0" t="s">
        <x:v>6100</x:v>
      </x:c>
      <x:c r="E1567" s="0" t="s">
        <x:v>6101</x:v>
      </x:c>
      <x:c r="F1567" s="0" t="s">
        <x:v>45</x:v>
      </x:c>
      <x:c r="G1567" s="0" t="s">
        <x:v>19</x:v>
      </x:c>
      <x:c r="H1567" s="0" t="s">
        <x:v>20</x:v>
      </x:c>
      <x:c r="I1567" s="0" t="s">
        <x:v>21</x:v>
      </x:c>
      <x:c r="K1567" s="0">
        <x:f>hyperlink("https://icd.who.int/dev11/l-ichi/en#/http%3A%2F%2Fid.who.int%2Ficd%2Fentity%2F1304014670","browser")</x:f>
      </x:c>
      <x:c r="L1567" s="0">
        <x:f>hyperlink("https://icat2.azurewebsites.net/icat/?ontology=ICD&amp;tab=ClassesTab&amp;id=http%3A%2F%2Fwho.int%2Ficd%233992_512ebf36_bf6b_4d70_85da_cf2637062af4","iCat")</x:f>
      </x:c>
      <x:c r="M1567" s="0" t="s">
        <x:v>21</x:v>
      </x:c>
      <x:c r="N1567" s="0" t="s">
        <x:v>46</x:v>
      </x:c>
    </x:row>
    <x:row r="1568" spans="1:16">
      <x:c r="A1568" s="0" t="s">
        <x:v>6102</x:v>
      </x:c>
      <x:c r="B1568" s="0" t="s">
        <x:v>6103</x:v>
      </x:c>
      <x:c r="C1568" s="0" t="s">
        <x:v>6104</x:v>
      </x:c>
      <x:c r="E1568" s="0" t="s">
        <x:v>6105</x:v>
      </x:c>
      <x:c r="F1568" s="0" t="s">
        <x:v>45</x:v>
      </x:c>
      <x:c r="G1568" s="0" t="s">
        <x:v>19</x:v>
      </x:c>
      <x:c r="H1568" s="0" t="s">
        <x:v>20</x:v>
      </x:c>
      <x:c r="I1568" s="0" t="s">
        <x:v>21</x:v>
      </x:c>
      <x:c r="K1568" s="0">
        <x:f>hyperlink("https://icd.who.int/dev11/l-ichi/en#/http%3A%2F%2Fid.who.int%2Ficd%2Fentity%2F1540141646","browser")</x:f>
      </x:c>
      <x:c r="L1568" s="0">
        <x:f>hyperlink("https://icat2.azurewebsites.net/icat/?ontology=ICD&amp;tab=ClassesTab&amp;id=http%3A%2F%2Fwho.int%2Ficd%234001_512ebf36_bf6b_4d70_85da_cf2637062af4","iCat")</x:f>
      </x:c>
      <x:c r="M1568" s="0" t="s">
        <x:v>21</x:v>
      </x:c>
      <x:c r="N1568" s="0" t="s">
        <x:v>46</x:v>
      </x:c>
    </x:row>
    <x:row r="1569" spans="1:16">
      <x:c r="A1569" s="0" t="s">
        <x:v>6106</x:v>
      </x:c>
      <x:c r="B1569" s="0" t="s">
        <x:v>6107</x:v>
      </x:c>
      <x:c r="C1569" s="0" t="s">
        <x:v>6108</x:v>
      </x:c>
      <x:c r="E1569" s="0" t="s">
        <x:v>6109</x:v>
      </x:c>
      <x:c r="F1569" s="0" t="s">
        <x:v>45</x:v>
      </x:c>
      <x:c r="G1569" s="0" t="s">
        <x:v>19</x:v>
      </x:c>
      <x:c r="H1569" s="0" t="s">
        <x:v>20</x:v>
      </x:c>
      <x:c r="I1569" s="0" t="s">
        <x:v>21</x:v>
      </x:c>
      <x:c r="K1569" s="0">
        <x:f>hyperlink("https://icd.who.int/dev11/l-ichi/en#/http%3A%2F%2Fid.who.int%2Ficd%2Fentity%2F1955350754","browser")</x:f>
      </x:c>
      <x:c r="L1569" s="0">
        <x:f>hyperlink("https://icat2.azurewebsites.net/icat/?ontology=ICD&amp;tab=ClassesTab&amp;id=http%3A%2F%2Fwho.int%2Ficd%234012_512ebf36_bf6b_4d70_85da_cf2637062af4","iCat")</x:f>
      </x:c>
      <x:c r="M1569" s="0" t="s">
        <x:v>21</x:v>
      </x:c>
      <x:c r="N1569" s="0" t="s">
        <x:v>46</x:v>
      </x:c>
    </x:row>
    <x:row r="1570" spans="1:16">
      <x:c r="A1570" s="0" t="s">
        <x:v>6110</x:v>
      </x:c>
      <x:c r="B1570" s="0" t="s">
        <x:v>6111</x:v>
      </x:c>
      <x:c r="C1570" s="0" t="s">
        <x:v>6112</x:v>
      </x:c>
      <x:c r="E1570" s="0" t="s">
        <x:v>6113</x:v>
      </x:c>
      <x:c r="F1570" s="0" t="s">
        <x:v>45</x:v>
      </x:c>
      <x:c r="G1570" s="0" t="s">
        <x:v>19</x:v>
      </x:c>
      <x:c r="H1570" s="0" t="s">
        <x:v>20</x:v>
      </x:c>
      <x:c r="I1570" s="0" t="s">
        <x:v>21</x:v>
      </x:c>
      <x:c r="K1570" s="0">
        <x:f>hyperlink("https://icd.who.int/dev11/l-ichi/en#/http%3A%2F%2Fid.who.int%2Ficd%2Fentity%2F2139641420","browser")</x:f>
      </x:c>
      <x:c r="L1570" s="0">
        <x:f>hyperlink("https://icat2.azurewebsites.net/icat/?ontology=ICD&amp;tab=ClassesTab&amp;id=http%3A%2F%2Fwho.int%2Ficd%234019_512ebf36_bf6b_4d70_85da_cf2637062af4","iCat")</x:f>
      </x:c>
      <x:c r="M1570" s="0" t="s">
        <x:v>21</x:v>
      </x:c>
      <x:c r="N1570" s="0" t="s">
        <x:v>46</x:v>
      </x:c>
    </x:row>
    <x:row r="1571" spans="1:16">
      <x:c r="A1571" s="0" t="s">
        <x:v>6114</x:v>
      </x:c>
      <x:c r="B1571" s="0" t="s">
        <x:v>6115</x:v>
      </x:c>
      <x:c r="C1571" s="0" t="s">
        <x:v>6116</x:v>
      </x:c>
      <x:c r="E1571" s="0" t="s">
        <x:v>6117</x:v>
      </x:c>
      <x:c r="F1571" s="0" t="s">
        <x:v>45</x:v>
      </x:c>
      <x:c r="G1571" s="0" t="s">
        <x:v>19</x:v>
      </x:c>
      <x:c r="H1571" s="0" t="s">
        <x:v>20</x:v>
      </x:c>
      <x:c r="I1571" s="0" t="s">
        <x:v>21</x:v>
      </x:c>
      <x:c r="K1571" s="0">
        <x:f>hyperlink("https://icd.who.int/dev11/l-ichi/en#/http%3A%2F%2Fid.who.int%2Ficd%2Fentity%2F566476463","browser")</x:f>
      </x:c>
      <x:c r="L1571" s="0">
        <x:f>hyperlink("https://icat2.azurewebsites.net/icat/?ontology=ICD&amp;tab=ClassesTab&amp;id=http%3A%2F%2Fwho.int%2Ficd%234027_512ebf36_bf6b_4d70_85da_cf2637062af4","iCat")</x:f>
      </x:c>
      <x:c r="M1571" s="0" t="s">
        <x:v>21</x:v>
      </x:c>
      <x:c r="N1571" s="0" t="s">
        <x:v>46</x:v>
      </x:c>
    </x:row>
    <x:row r="1572" spans="1:16">
      <x:c r="A1572" s="0" t="s">
        <x:v>6118</x:v>
      </x:c>
      <x:c r="B1572" s="0" t="s">
        <x:v>6119</x:v>
      </x:c>
      <x:c r="C1572" s="0" t="s">
        <x:v>6120</x:v>
      </x:c>
      <x:c r="E1572" s="0" t="s">
        <x:v>6121</x:v>
      </x:c>
      <x:c r="F1572" s="0" t="s">
        <x:v>45</x:v>
      </x:c>
      <x:c r="G1572" s="0" t="s">
        <x:v>19</x:v>
      </x:c>
      <x:c r="H1572" s="0" t="s">
        <x:v>20</x:v>
      </x:c>
      <x:c r="I1572" s="0" t="s">
        <x:v>21</x:v>
      </x:c>
      <x:c r="K1572" s="0">
        <x:f>hyperlink("https://icd.who.int/dev11/l-ichi/en#/http%3A%2F%2Fid.who.int%2Ficd%2Fentity%2F1258695672","browser")</x:f>
      </x:c>
      <x:c r="L1572" s="0">
        <x:f>hyperlink("https://icat2.azurewebsites.net/icat/?ontology=ICD&amp;tab=ClassesTab&amp;id=http%3A%2F%2Fwho.int%2Ficd%234037_512ebf36_bf6b_4d70_85da_cf2637062af4","iCat")</x:f>
      </x:c>
      <x:c r="M1572" s="0" t="s">
        <x:v>21</x:v>
      </x:c>
      <x:c r="N1572" s="0" t="s">
        <x:v>46</x:v>
      </x:c>
    </x:row>
    <x:row r="1573" spans="1:16">
      <x:c r="A1573" s="0" t="s">
        <x:v>6122</x:v>
      </x:c>
      <x:c r="B1573" s="0" t="s">
        <x:v>6123</x:v>
      </x:c>
      <x:c r="C1573" s="0" t="s">
        <x:v>6124</x:v>
      </x:c>
      <x:c r="E1573" s="0" t="s">
        <x:v>6125</x:v>
      </x:c>
      <x:c r="F1573" s="0" t="s">
        <x:v>45</x:v>
      </x:c>
      <x:c r="G1573" s="0" t="s">
        <x:v>19</x:v>
      </x:c>
      <x:c r="H1573" s="0" t="s">
        <x:v>20</x:v>
      </x:c>
      <x:c r="I1573" s="0" t="s">
        <x:v>21</x:v>
      </x:c>
      <x:c r="K1573" s="0">
        <x:f>hyperlink("https://icd.who.int/dev11/l-ichi/en#/http%3A%2F%2Fid.who.int%2Ficd%2Fentity%2F1322777750","browser")</x:f>
      </x:c>
      <x:c r="L1573" s="0">
        <x:f>hyperlink("https://icat2.azurewebsites.net/icat/?ontology=ICD&amp;tab=ClassesTab&amp;id=http%3A%2F%2Fwho.int%2Ficd%234043_512ebf36_bf6b_4d70_85da_cf2637062af4","iCat")</x:f>
      </x:c>
      <x:c r="M1573" s="0" t="s">
        <x:v>21</x:v>
      </x:c>
      <x:c r="N1573" s="0" t="s">
        <x:v>46</x:v>
      </x:c>
    </x:row>
    <x:row r="1574" spans="1:16">
      <x:c r="A1574" s="0" t="s">
        <x:v>6126</x:v>
      </x:c>
      <x:c r="B1574" s="0" t="s">
        <x:v>6127</x:v>
      </x:c>
      <x:c r="C1574" s="0" t="s">
        <x:v>6128</x:v>
      </x:c>
      <x:c r="E1574" s="0" t="s">
        <x:v>6129</x:v>
      </x:c>
      <x:c r="F1574" s="0" t="s">
        <x:v>45</x:v>
      </x:c>
      <x:c r="G1574" s="0" t="s">
        <x:v>19</x:v>
      </x:c>
      <x:c r="H1574" s="0" t="s">
        <x:v>20</x:v>
      </x:c>
      <x:c r="I1574" s="0" t="s">
        <x:v>21</x:v>
      </x:c>
      <x:c r="K1574" s="0">
        <x:f>hyperlink("https://icd.who.int/dev11/l-ichi/en#/http%3A%2F%2Fid.who.int%2Ficd%2Fentity%2F1697288198","browser")</x:f>
      </x:c>
      <x:c r="L1574" s="0">
        <x:f>hyperlink("https://icat2.azurewebsites.net/icat/?ontology=ICD&amp;tab=ClassesTab&amp;id=http%3A%2F%2Fwho.int%2Ficd%234049_512ebf36_bf6b_4d70_85da_cf2637062af4","iCat")</x:f>
      </x:c>
      <x:c r="M1574" s="0" t="s">
        <x:v>21</x:v>
      </x:c>
      <x:c r="N1574" s="0" t="s">
        <x:v>46</x:v>
      </x:c>
    </x:row>
    <x:row r="1575" spans="1:16">
      <x:c r="A1575" s="0" t="s">
        <x:v>6130</x:v>
      </x:c>
      <x:c r="B1575" s="0" t="s">
        <x:v>6131</x:v>
      </x:c>
      <x:c r="C1575" s="0" t="s">
        <x:v>6132</x:v>
      </x:c>
      <x:c r="E1575" s="0" t="s">
        <x:v>6133</x:v>
      </x:c>
      <x:c r="F1575" s="0" t="s">
        <x:v>45</x:v>
      </x:c>
      <x:c r="G1575" s="0" t="s">
        <x:v>19</x:v>
      </x:c>
      <x:c r="H1575" s="0" t="s">
        <x:v>20</x:v>
      </x:c>
      <x:c r="I1575" s="0" t="s">
        <x:v>21</x:v>
      </x:c>
      <x:c r="K1575" s="0">
        <x:f>hyperlink("https://icd.who.int/dev11/l-ichi/en#/http%3A%2F%2Fid.who.int%2Ficd%2Fentity%2F837607305","browser")</x:f>
      </x:c>
      <x:c r="L1575" s="0">
        <x:f>hyperlink("https://icat2.azurewebsites.net/icat/?ontology=ICD&amp;tab=ClassesTab&amp;id=http%3A%2F%2Fwho.int%2Ficd%234056_512ebf36_bf6b_4d70_85da_cf2637062af4","iCat")</x:f>
      </x:c>
      <x:c r="M1575" s="0" t="s">
        <x:v>21</x:v>
      </x:c>
      <x:c r="N1575" s="0" t="s">
        <x:v>46</x:v>
      </x:c>
    </x:row>
    <x:row r="1576" spans="1:16">
      <x:c r="A1576" s="0" t="s">
        <x:v>6134</x:v>
      </x:c>
      <x:c r="B1576" s="0" t="s">
        <x:v>6135</x:v>
      </x:c>
      <x:c r="C1576" s="0" t="s">
        <x:v>6136</x:v>
      </x:c>
      <x:c r="E1576" s="0" t="s">
        <x:v>6137</x:v>
      </x:c>
      <x:c r="F1576" s="0" t="s">
        <x:v>45</x:v>
      </x:c>
      <x:c r="G1576" s="0" t="s">
        <x:v>19</x:v>
      </x:c>
      <x:c r="H1576" s="0" t="s">
        <x:v>20</x:v>
      </x:c>
      <x:c r="I1576" s="0" t="s">
        <x:v>21</x:v>
      </x:c>
      <x:c r="K1576" s="0">
        <x:f>hyperlink("https://icd.who.int/dev11/l-ichi/en#/http%3A%2F%2Fid.who.int%2Ficd%2Fentity%2F886632567","browser")</x:f>
      </x:c>
      <x:c r="L1576" s="0">
        <x:f>hyperlink("https://icat2.azurewebsites.net/icat/?ontology=ICD&amp;tab=ClassesTab&amp;id=http%3A%2F%2Fwho.int%2Ficd%234065_512ebf36_bf6b_4d70_85da_cf2637062af4","iCat")</x:f>
      </x:c>
      <x:c r="M1576" s="0" t="s">
        <x:v>21</x:v>
      </x:c>
      <x:c r="N1576" s="0" t="s">
        <x:v>46</x:v>
      </x:c>
    </x:row>
    <x:row r="1577" spans="1:16">
      <x:c r="A1577" s="0" t="s">
        <x:v>6138</x:v>
      </x:c>
      <x:c r="B1577" s="0" t="s">
        <x:v>6139</x:v>
      </x:c>
      <x:c r="C1577" s="0" t="s">
        <x:v>6140</x:v>
      </x:c>
      <x:c r="E1577" s="0" t="s">
        <x:v>6141</x:v>
      </x:c>
      <x:c r="F1577" s="0" t="s">
        <x:v>45</x:v>
      </x:c>
      <x:c r="G1577" s="0" t="s">
        <x:v>19</x:v>
      </x:c>
      <x:c r="H1577" s="0" t="s">
        <x:v>20</x:v>
      </x:c>
      <x:c r="I1577" s="0" t="s">
        <x:v>21</x:v>
      </x:c>
      <x:c r="K1577" s="0">
        <x:f>hyperlink("https://icd.who.int/dev11/l-ichi/en#/http%3A%2F%2Fid.who.int%2Ficd%2Fentity%2F2128877342","browser")</x:f>
      </x:c>
      <x:c r="L1577" s="0">
        <x:f>hyperlink("https://icat2.azurewebsites.net/icat/?ontology=ICD&amp;tab=ClassesTab&amp;id=http%3A%2F%2Fwho.int%2Ficd%234074_512ebf36_bf6b_4d70_85da_cf2637062af4","iCat")</x:f>
      </x:c>
      <x:c r="M1577" s="0" t="s">
        <x:v>21</x:v>
      </x:c>
      <x:c r="N1577" s="0" t="s">
        <x:v>46</x:v>
      </x:c>
    </x:row>
    <x:row r="1578" spans="1:16">
      <x:c r="A1578" s="0" t="s">
        <x:v>6142</x:v>
      </x:c>
      <x:c r="B1578" s="0" t="s">
        <x:v>6143</x:v>
      </x:c>
      <x:c r="C1578" s="0" t="s">
        <x:v>6144</x:v>
      </x:c>
      <x:c r="E1578" s="0" t="s">
        <x:v>6145</x:v>
      </x:c>
      <x:c r="F1578" s="0" t="s">
        <x:v>45</x:v>
      </x:c>
      <x:c r="G1578" s="0" t="s">
        <x:v>19</x:v>
      </x:c>
      <x:c r="H1578" s="0" t="s">
        <x:v>20</x:v>
      </x:c>
      <x:c r="I1578" s="0" t="s">
        <x:v>21</x:v>
      </x:c>
      <x:c r="K1578" s="0">
        <x:f>hyperlink("https://icd.who.int/dev11/l-ichi/en#/http%3A%2F%2Fid.who.int%2Ficd%2Fentity%2F562165327","browser")</x:f>
      </x:c>
      <x:c r="L1578" s="0">
        <x:f>hyperlink("https://icat2.azurewebsites.net/icat/?ontology=ICD&amp;tab=ClassesTab&amp;id=http%3A%2F%2Fwho.int%2Ficd%234083_512ebf36_bf6b_4d70_85da_cf2637062af4","iCat")</x:f>
      </x:c>
      <x:c r="M1578" s="0" t="s">
        <x:v>21</x:v>
      </x:c>
      <x:c r="N1578" s="0" t="s">
        <x:v>46</x:v>
      </x:c>
    </x:row>
    <x:row r="1579" spans="1:16">
      <x:c r="A1579" s="0" t="s">
        <x:v>6146</x:v>
      </x:c>
      <x:c r="B1579" s="0" t="s">
        <x:v>6147</x:v>
      </x:c>
      <x:c r="C1579" s="0" t="s">
        <x:v>6148</x:v>
      </x:c>
      <x:c r="E1579" s="0" t="s">
        <x:v>6149</x:v>
      </x:c>
      <x:c r="F1579" s="0" t="s">
        <x:v>45</x:v>
      </x:c>
      <x:c r="G1579" s="0" t="s">
        <x:v>19</x:v>
      </x:c>
      <x:c r="H1579" s="0" t="s">
        <x:v>20</x:v>
      </x:c>
      <x:c r="I1579" s="0" t="s">
        <x:v>21</x:v>
      </x:c>
      <x:c r="K1579" s="0">
        <x:f>hyperlink("https://icd.who.int/dev11/l-ichi/en#/http%3A%2F%2Fid.who.int%2Ficd%2Fentity%2F175938271","browser")</x:f>
      </x:c>
      <x:c r="L1579" s="0">
        <x:f>hyperlink("https://icat2.azurewebsites.net/icat/?ontology=ICD&amp;tab=ClassesTab&amp;id=http%3A%2F%2Fwho.int%2Ficd%234089_512ebf36_bf6b_4d70_85da_cf2637062af4","iCat")</x:f>
      </x:c>
      <x:c r="M1579" s="0" t="s">
        <x:v>21</x:v>
      </x:c>
      <x:c r="N1579" s="0" t="s">
        <x:v>46</x:v>
      </x:c>
    </x:row>
    <x:row r="1580" spans="1:16">
      <x:c r="A1580" s="0" t="s">
        <x:v>6150</x:v>
      </x:c>
      <x:c r="B1580" s="0" t="s">
        <x:v>6151</x:v>
      </x:c>
      <x:c r="C1580" s="0" t="s">
        <x:v>6152</x:v>
      </x:c>
      <x:c r="E1580" s="0" t="s">
        <x:v>6153</x:v>
      </x:c>
      <x:c r="F1580" s="0" t="s">
        <x:v>45</x:v>
      </x:c>
      <x:c r="G1580" s="0" t="s">
        <x:v>19</x:v>
      </x:c>
      <x:c r="H1580" s="0" t="s">
        <x:v>20</x:v>
      </x:c>
      <x:c r="I1580" s="0" t="s">
        <x:v>21</x:v>
      </x:c>
      <x:c r="K1580" s="0">
        <x:f>hyperlink("https://icd.who.int/dev11/l-ichi/en#/http%3A%2F%2Fid.who.int%2Ficd%2Fentity%2F1589302610","browser")</x:f>
      </x:c>
      <x:c r="L1580" s="0">
        <x:f>hyperlink("https://icat2.azurewebsites.net/icat/?ontology=ICD&amp;tab=ClassesTab&amp;id=http%3A%2F%2Fwho.int%2Ficd%234096_512ebf36_bf6b_4d70_85da_cf2637062af4","iCat")</x:f>
      </x:c>
      <x:c r="M1580" s="0" t="s">
        <x:v>21</x:v>
      </x:c>
      <x:c r="N1580" s="0" t="s">
        <x:v>46</x:v>
      </x:c>
    </x:row>
    <x:row r="1581" spans="1:16">
      <x:c r="A1581" s="0" t="s">
        <x:v>6154</x:v>
      </x:c>
      <x:c r="B1581" s="0" t="s">
        <x:v>6155</x:v>
      </x:c>
      <x:c r="C1581" s="0" t="s">
        <x:v>6156</x:v>
      </x:c>
      <x:c r="E1581" s="0" t="s">
        <x:v>6157</x:v>
      </x:c>
      <x:c r="F1581" s="0" t="s">
        <x:v>45</x:v>
      </x:c>
      <x:c r="G1581" s="0" t="s">
        <x:v>19</x:v>
      </x:c>
      <x:c r="H1581" s="0" t="s">
        <x:v>20</x:v>
      </x:c>
      <x:c r="I1581" s="0" t="s">
        <x:v>21</x:v>
      </x:c>
      <x:c r="K1581" s="0">
        <x:f>hyperlink("https://icd.who.int/dev11/l-ichi/en#/http%3A%2F%2Fid.who.int%2Ficd%2Fentity%2F1590812510","browser")</x:f>
      </x:c>
      <x:c r="L1581" s="0">
        <x:f>hyperlink("https://icat2.azurewebsites.net/icat/?ontology=ICD&amp;tab=ClassesTab&amp;id=http%3A%2F%2Fwho.int%2Ficd%234106_512ebf36_bf6b_4d70_85da_cf2637062af4","iCat")</x:f>
      </x:c>
      <x:c r="M1581" s="0" t="s">
        <x:v>21</x:v>
      </x:c>
      <x:c r="N1581" s="0" t="s">
        <x:v>46</x:v>
      </x:c>
    </x:row>
    <x:row r="1582" spans="1:16">
      <x:c r="A1582" s="0" t="s">
        <x:v>6158</x:v>
      </x:c>
      <x:c r="B1582" s="0" t="s">
        <x:v>6159</x:v>
      </x:c>
      <x:c r="C1582" s="0" t="s">
        <x:v>6160</x:v>
      </x:c>
      <x:c r="E1582" s="0" t="s">
        <x:v>6161</x:v>
      </x:c>
      <x:c r="F1582" s="0" t="s">
        <x:v>45</x:v>
      </x:c>
      <x:c r="G1582" s="0" t="s">
        <x:v>19</x:v>
      </x:c>
      <x:c r="H1582" s="0" t="s">
        <x:v>20</x:v>
      </x:c>
      <x:c r="I1582" s="0" t="s">
        <x:v>21</x:v>
      </x:c>
      <x:c r="K1582" s="0">
        <x:f>hyperlink("https://icd.who.int/dev11/l-ichi/en#/http%3A%2F%2Fid.who.int%2Ficd%2Fentity%2F569048129","browser")</x:f>
      </x:c>
      <x:c r="L1582" s="0">
        <x:f>hyperlink("https://icat2.azurewebsites.net/icat/?ontology=ICD&amp;tab=ClassesTab&amp;id=http%3A%2F%2Fwho.int%2Ficd%234113_512ebf36_bf6b_4d70_85da_cf2637062af4","iCat")</x:f>
      </x:c>
      <x:c r="M1582" s="0" t="s">
        <x:v>21</x:v>
      </x:c>
      <x:c r="N1582" s="0" t="s">
        <x:v>46</x:v>
      </x:c>
    </x:row>
    <x:row r="1583" spans="1:16">
      <x:c r="A1583" s="0" t="s">
        <x:v>6162</x:v>
      </x:c>
      <x:c r="B1583" s="0" t="s">
        <x:v>6163</x:v>
      </x:c>
      <x:c r="C1583" s="0" t="s">
        <x:v>6164</x:v>
      </x:c>
      <x:c r="E1583" s="0" t="s">
        <x:v>6165</x:v>
      </x:c>
      <x:c r="F1583" s="0" t="s">
        <x:v>45</x:v>
      </x:c>
      <x:c r="G1583" s="0" t="s">
        <x:v>19</x:v>
      </x:c>
      <x:c r="H1583" s="0" t="s">
        <x:v>20</x:v>
      </x:c>
      <x:c r="I1583" s="0" t="s">
        <x:v>21</x:v>
      </x:c>
      <x:c r="K1583" s="0">
        <x:f>hyperlink("https://icd.who.int/dev11/l-ichi/en#/http%3A%2F%2Fid.who.int%2Ficd%2Fentity%2F1514957887","browser")</x:f>
      </x:c>
      <x:c r="L1583" s="0">
        <x:f>hyperlink("https://icat2.azurewebsites.net/icat/?ontology=ICD&amp;tab=ClassesTab&amp;id=http%3A%2F%2Fwho.int%2Ficd%2316369_4869915e_217e_423d_acb3_33c0f920ef4b","iCat")</x:f>
      </x:c>
      <x:c r="M1583" s="0" t="s">
        <x:v>21</x:v>
      </x:c>
      <x:c r="N1583" s="0" t="s">
        <x:v>46</x:v>
      </x:c>
    </x:row>
    <x:row r="1584" spans="1:16">
      <x:c r="A1584" s="0" t="s">
        <x:v>6166</x:v>
      </x:c>
      <x:c r="B1584" s="0" t="s">
        <x:v>6167</x:v>
      </x:c>
      <x:c r="C1584" s="0" t="s">
        <x:v>6168</x:v>
      </x:c>
      <x:c r="E1584" s="0" t="s">
        <x:v>6169</x:v>
      </x:c>
      <x:c r="F1584" s="0" t="s">
        <x:v>45</x:v>
      </x:c>
      <x:c r="G1584" s="0" t="s">
        <x:v>19</x:v>
      </x:c>
      <x:c r="H1584" s="0" t="s">
        <x:v>20</x:v>
      </x:c>
      <x:c r="I1584" s="0" t="s">
        <x:v>21</x:v>
      </x:c>
      <x:c r="K1584" s="0">
        <x:f>hyperlink("https://icd.who.int/dev11/l-ichi/en#/http%3A%2F%2Fid.who.int%2Ficd%2Fentity%2F618582975","browser")</x:f>
      </x:c>
      <x:c r="L1584" s="0">
        <x:f>hyperlink("https://icat2.azurewebsites.net/icat/?ontology=ICD&amp;tab=ClassesTab&amp;id=http%3A%2F%2Fwho.int%2Ficd%234120_512ebf36_bf6b_4d70_85da_cf2637062af4","iCat")</x:f>
      </x:c>
      <x:c r="M1584" s="0" t="s">
        <x:v>21</x:v>
      </x:c>
      <x:c r="N1584" s="0" t="s">
        <x:v>46</x:v>
      </x:c>
    </x:row>
    <x:row r="1585" spans="1:16">
      <x:c r="A1585" s="0" t="s">
        <x:v>6170</x:v>
      </x:c>
      <x:c r="B1585" s="0" t="s">
        <x:v>6171</x:v>
      </x:c>
      <x:c r="C1585" s="0" t="s">
        <x:v>6172</x:v>
      </x:c>
      <x:c r="E1585" s="0" t="s">
        <x:v>6173</x:v>
      </x:c>
      <x:c r="F1585" s="0" t="s">
        <x:v>45</x:v>
      </x:c>
      <x:c r="G1585" s="0" t="s">
        <x:v>19</x:v>
      </x:c>
      <x:c r="H1585" s="0" t="s">
        <x:v>20</x:v>
      </x:c>
      <x:c r="I1585" s="0" t="s">
        <x:v>21</x:v>
      </x:c>
      <x:c r="K1585" s="0">
        <x:f>hyperlink("https://icd.who.int/dev11/l-ichi/en#/http%3A%2F%2Fid.who.int%2Ficd%2Fentity%2F1415346226","browser")</x:f>
      </x:c>
      <x:c r="L1585" s="0">
        <x:f>hyperlink("https://icat2.azurewebsites.net/icat/?ontology=ICD&amp;tab=ClassesTab&amp;id=http%3A%2F%2Fwho.int%2Ficd%234127_512ebf36_bf6b_4d70_85da_cf2637062af4","iCat")</x:f>
      </x:c>
      <x:c r="M1585" s="0" t="s">
        <x:v>21</x:v>
      </x:c>
      <x:c r="N1585" s="0" t="s">
        <x:v>46</x:v>
      </x:c>
    </x:row>
    <x:row r="1586" spans="1:16">
      <x:c r="A1586" s="0" t="s">
        <x:v>6174</x:v>
      </x:c>
      <x:c r="B1586" s="0" t="s">
        <x:v>6175</x:v>
      </x:c>
      <x:c r="C1586" s="0" t="s">
        <x:v>6176</x:v>
      </x:c>
      <x:c r="E1586" s="0" t="s">
        <x:v>6177</x:v>
      </x:c>
      <x:c r="F1586" s="0" t="s">
        <x:v>45</x:v>
      </x:c>
      <x:c r="G1586" s="0" t="s">
        <x:v>19</x:v>
      </x:c>
      <x:c r="H1586" s="0" t="s">
        <x:v>20</x:v>
      </x:c>
      <x:c r="I1586" s="0" t="s">
        <x:v>21</x:v>
      </x:c>
      <x:c r="K1586" s="0">
        <x:f>hyperlink("https://icd.who.int/dev11/l-ichi/en#/http%3A%2F%2Fid.who.int%2Ficd%2Fentity%2F2065466014","browser")</x:f>
      </x:c>
      <x:c r="L1586" s="0">
        <x:f>hyperlink("https://icat2.azurewebsites.net/icat/?ontology=ICD&amp;tab=ClassesTab&amp;id=http%3A%2F%2Fwho.int%2Ficd%234134_512ebf36_bf6b_4d70_85da_cf2637062af4","iCat")</x:f>
      </x:c>
      <x:c r="M1586" s="0" t="s">
        <x:v>21</x:v>
      </x:c>
      <x:c r="N1586" s="0" t="s">
        <x:v>46</x:v>
      </x:c>
    </x:row>
    <x:row r="1587" spans="1:16">
      <x:c r="A1587" s="0" t="s">
        <x:v>6178</x:v>
      </x:c>
      <x:c r="B1587" s="0" t="s">
        <x:v>6179</x:v>
      </x:c>
      <x:c r="C1587" s="0" t="s">
        <x:v>6180</x:v>
      </x:c>
      <x:c r="E1587" s="0" t="s">
        <x:v>6181</x:v>
      </x:c>
      <x:c r="F1587" s="0" t="s">
        <x:v>45</x:v>
      </x:c>
      <x:c r="G1587" s="0" t="s">
        <x:v>19</x:v>
      </x:c>
      <x:c r="H1587" s="0" t="s">
        <x:v>20</x:v>
      </x:c>
      <x:c r="I1587" s="0" t="s">
        <x:v>21</x:v>
      </x:c>
      <x:c r="K1587" s="0">
        <x:f>hyperlink("https://icd.who.int/dev11/l-ichi/en#/http%3A%2F%2Fid.who.int%2Ficd%2Fentity%2F994589195","browser")</x:f>
      </x:c>
      <x:c r="L1587" s="0">
        <x:f>hyperlink("https://icat2.azurewebsites.net/icat/?ontology=ICD&amp;tab=ClassesTab&amp;id=http%3A%2F%2Fwho.int%2Ficd%234143_512ebf36_bf6b_4d70_85da_cf2637062af4","iCat")</x:f>
      </x:c>
      <x:c r="M1587" s="0" t="s">
        <x:v>21</x:v>
      </x:c>
      <x:c r="N1587" s="0" t="s">
        <x:v>46</x:v>
      </x:c>
    </x:row>
    <x:row r="1588" spans="1:16">
      <x:c r="A1588" s="0" t="s">
        <x:v>6182</x:v>
      </x:c>
      <x:c r="B1588" s="0" t="s">
        <x:v>6183</x:v>
      </x:c>
      <x:c r="C1588" s="0" t="s">
        <x:v>6184</x:v>
      </x:c>
      <x:c r="E1588" s="0" t="s">
        <x:v>6185</x:v>
      </x:c>
      <x:c r="F1588" s="0" t="s">
        <x:v>45</x:v>
      </x:c>
      <x:c r="G1588" s="0" t="s">
        <x:v>19</x:v>
      </x:c>
      <x:c r="H1588" s="0" t="s">
        <x:v>20</x:v>
      </x:c>
      <x:c r="I1588" s="0" t="s">
        <x:v>21</x:v>
      </x:c>
      <x:c r="K1588" s="0">
        <x:f>hyperlink("https://icd.who.int/dev11/l-ichi/en#/http%3A%2F%2Fid.who.int%2Ficd%2Fentity%2F280319643","browser")</x:f>
      </x:c>
      <x:c r="L1588" s="0">
        <x:f>hyperlink("https://icat2.azurewebsites.net/icat/?ontology=ICD&amp;tab=ClassesTab&amp;id=http%3A%2F%2Fwho.int%2Ficd%234149_512ebf36_bf6b_4d70_85da_cf2637062af4","iCat")</x:f>
      </x:c>
      <x:c r="M1588" s="0" t="s">
        <x:v>21</x:v>
      </x:c>
      <x:c r="N1588" s="0" t="s">
        <x:v>46</x:v>
      </x:c>
    </x:row>
    <x:row r="1589" spans="1:16">
      <x:c r="A1589" s="0" t="s">
        <x:v>6186</x:v>
      </x:c>
      <x:c r="B1589" s="0" t="s">
        <x:v>6187</x:v>
      </x:c>
      <x:c r="C1589" s="0" t="s">
        <x:v>6188</x:v>
      </x:c>
      <x:c r="E1589" s="0" t="s">
        <x:v>6189</x:v>
      </x:c>
      <x:c r="F1589" s="0" t="s">
        <x:v>45</x:v>
      </x:c>
      <x:c r="G1589" s="0" t="s">
        <x:v>19</x:v>
      </x:c>
      <x:c r="H1589" s="0" t="s">
        <x:v>20</x:v>
      </x:c>
      <x:c r="I1589" s="0" t="s">
        <x:v>21</x:v>
      </x:c>
      <x:c r="K1589" s="0">
        <x:f>hyperlink("https://icd.who.int/dev11/l-ichi/en#/http%3A%2F%2Fid.who.int%2Ficd%2Fentity%2F32929517","browser")</x:f>
      </x:c>
      <x:c r="L1589" s="0">
        <x:f>hyperlink("https://icat2.azurewebsites.net/icat/?ontology=ICD&amp;tab=ClassesTab&amp;id=http%3A%2F%2Fwho.int%2Ficd%234155_512ebf36_bf6b_4d70_85da_cf2637062af4","iCat")</x:f>
      </x:c>
      <x:c r="M1589" s="0" t="s">
        <x:v>21</x:v>
      </x:c>
      <x:c r="N1589" s="0" t="s">
        <x:v>46</x:v>
      </x:c>
    </x:row>
    <x:row r="1590" spans="1:16">
      <x:c r="A1590" s="0" t="s">
        <x:v>6190</x:v>
      </x:c>
      <x:c r="B1590" s="0" t="s">
        <x:v>6191</x:v>
      </x:c>
      <x:c r="C1590" s="0" t="s">
        <x:v>6192</x:v>
      </x:c>
      <x:c r="E1590" s="0" t="s">
        <x:v>6193</x:v>
      </x:c>
      <x:c r="F1590" s="0" t="s">
        <x:v>45</x:v>
      </x:c>
      <x:c r="G1590" s="0" t="s">
        <x:v>19</x:v>
      </x:c>
      <x:c r="H1590" s="0" t="s">
        <x:v>20</x:v>
      </x:c>
      <x:c r="I1590" s="0" t="s">
        <x:v>21</x:v>
      </x:c>
      <x:c r="K1590" s="0">
        <x:f>hyperlink("https://icd.who.int/dev11/l-ichi/en#/http%3A%2F%2Fid.who.int%2Ficd%2Fentity%2F1095186154","browser")</x:f>
      </x:c>
      <x:c r="L1590" s="0">
        <x:f>hyperlink("https://icat2.azurewebsites.net/icat/?ontology=ICD&amp;tab=ClassesTab&amp;id=http%3A%2F%2Fwho.int%2Ficd%234165_512ebf36_bf6b_4d70_85da_cf2637062af4","iCat")</x:f>
      </x:c>
      <x:c r="M1590" s="0" t="s">
        <x:v>21</x:v>
      </x:c>
      <x:c r="N1590" s="0" t="s">
        <x:v>46</x:v>
      </x:c>
    </x:row>
    <x:row r="1591" spans="1:16">
      <x:c r="A1591" s="0" t="s">
        <x:v>6194</x:v>
      </x:c>
      <x:c r="B1591" s="0" t="s">
        <x:v>6195</x:v>
      </x:c>
      <x:c r="C1591" s="0" t="s">
        <x:v>6196</x:v>
      </x:c>
      <x:c r="E1591" s="0" t="s">
        <x:v>6197</x:v>
      </x:c>
      <x:c r="F1591" s="0" t="s">
        <x:v>45</x:v>
      </x:c>
      <x:c r="G1591" s="0" t="s">
        <x:v>19</x:v>
      </x:c>
      <x:c r="H1591" s="0" t="s">
        <x:v>20</x:v>
      </x:c>
      <x:c r="I1591" s="0" t="s">
        <x:v>21</x:v>
      </x:c>
      <x:c r="K1591" s="0">
        <x:f>hyperlink("https://icd.who.int/dev11/l-ichi/en#/http%3A%2F%2Fid.who.int%2Ficd%2Fentity%2F512059337","browser")</x:f>
      </x:c>
      <x:c r="L1591" s="0">
        <x:f>hyperlink("https://icat2.azurewebsites.net/icat/?ontology=ICD&amp;tab=ClassesTab&amp;id=http%3A%2F%2Fwho.int%2Ficd%234171_512ebf36_bf6b_4d70_85da_cf2637062af4","iCat")</x:f>
      </x:c>
      <x:c r="M1591" s="0" t="s">
        <x:v>21</x:v>
      </x:c>
      <x:c r="N1591" s="0" t="s">
        <x:v>46</x:v>
      </x:c>
    </x:row>
    <x:row r="1592" spans="1:16">
      <x:c r="A1592" s="0" t="s">
        <x:v>6198</x:v>
      </x:c>
      <x:c r="B1592" s="0" t="s">
        <x:v>6199</x:v>
      </x:c>
      <x:c r="C1592" s="0" t="s">
        <x:v>6200</x:v>
      </x:c>
      <x:c r="E1592" s="0" t="s">
        <x:v>6201</x:v>
      </x:c>
      <x:c r="F1592" s="0" t="s">
        <x:v>45</x:v>
      </x:c>
      <x:c r="G1592" s="0" t="s">
        <x:v>19</x:v>
      </x:c>
      <x:c r="H1592" s="0" t="s">
        <x:v>20</x:v>
      </x:c>
      <x:c r="I1592" s="0" t="s">
        <x:v>21</x:v>
      </x:c>
      <x:c r="K1592" s="0">
        <x:f>hyperlink("https://icd.who.int/dev11/l-ichi/en#/http%3A%2F%2Fid.who.int%2Ficd%2Fentity%2F1411264724","browser")</x:f>
      </x:c>
      <x:c r="L1592" s="0">
        <x:f>hyperlink("https://icat2.azurewebsites.net/icat/?ontology=ICD&amp;tab=ClassesTab&amp;id=http%3A%2F%2Fwho.int%2Ficd%234183_512ebf36_bf6b_4d70_85da_cf2637062af4","iCat")</x:f>
      </x:c>
      <x:c r="M1592" s="0" t="s">
        <x:v>21</x:v>
      </x:c>
      <x:c r="N1592" s="0" t="s">
        <x:v>46</x:v>
      </x:c>
    </x:row>
    <x:row r="1593" spans="1:16">
      <x:c r="A1593" s="0" t="s">
        <x:v>6202</x:v>
      </x:c>
      <x:c r="B1593" s="0" t="s">
        <x:v>6203</x:v>
      </x:c>
      <x:c r="C1593" s="0" t="s">
        <x:v>6204</x:v>
      </x:c>
      <x:c r="E1593" s="0" t="s">
        <x:v>6205</x:v>
      </x:c>
      <x:c r="F1593" s="0" t="s">
        <x:v>45</x:v>
      </x:c>
      <x:c r="G1593" s="0" t="s">
        <x:v>19</x:v>
      </x:c>
      <x:c r="H1593" s="0" t="s">
        <x:v>20</x:v>
      </x:c>
      <x:c r="I1593" s="0" t="s">
        <x:v>21</x:v>
      </x:c>
      <x:c r="K1593" s="0">
        <x:f>hyperlink("https://icd.who.int/dev11/l-ichi/en#/http%3A%2F%2Fid.who.int%2Ficd%2Fentity%2F2145606724","browser")</x:f>
      </x:c>
      <x:c r="L1593" s="0">
        <x:f>hyperlink("https://icat2.azurewebsites.net/icat/?ontology=ICD&amp;tab=ClassesTab&amp;id=http%3A%2F%2Fwho.int%2Ficd%234189_512ebf36_bf6b_4d70_85da_cf2637062af4","iCat")</x:f>
      </x:c>
      <x:c r="M1593" s="0" t="s">
        <x:v>21</x:v>
      </x:c>
      <x:c r="N1593" s="0" t="s">
        <x:v>46</x:v>
      </x:c>
    </x:row>
    <x:row r="1594" spans="1:16">
      <x:c r="A1594" s="0" t="s">
        <x:v>6206</x:v>
      </x:c>
      <x:c r="B1594" s="0" t="s">
        <x:v>6207</x:v>
      </x:c>
      <x:c r="C1594" s="0" t="s">
        <x:v>6208</x:v>
      </x:c>
      <x:c r="E1594" s="0" t="s">
        <x:v>6209</x:v>
      </x:c>
      <x:c r="F1594" s="0" t="s">
        <x:v>45</x:v>
      </x:c>
      <x:c r="G1594" s="0" t="s">
        <x:v>19</x:v>
      </x:c>
      <x:c r="H1594" s="0" t="s">
        <x:v>20</x:v>
      </x:c>
      <x:c r="I1594" s="0" t="s">
        <x:v>21</x:v>
      </x:c>
      <x:c r="K1594" s="0">
        <x:f>hyperlink("https://icd.who.int/dev11/l-ichi/en#/http%3A%2F%2Fid.who.int%2Ficd%2Fentity%2F1326235788","browser")</x:f>
      </x:c>
      <x:c r="L1594" s="0">
        <x:f>hyperlink("https://icat2.azurewebsites.net/icat/?ontology=ICD&amp;tab=ClassesTab&amp;id=http%3A%2F%2Fwho.int%2Ficd%234201_512ebf36_bf6b_4d70_85da_cf2637062af4","iCat")</x:f>
      </x:c>
      <x:c r="M1594" s="0" t="s">
        <x:v>21</x:v>
      </x:c>
      <x:c r="N1594" s="0" t="s">
        <x:v>46</x:v>
      </x:c>
    </x:row>
    <x:row r="1595" spans="1:16">
      <x:c r="A1595" s="0" t="s">
        <x:v>6210</x:v>
      </x:c>
      <x:c r="B1595" s="0" t="s">
        <x:v>6211</x:v>
      </x:c>
      <x:c r="C1595" s="0" t="s">
        <x:v>6212</x:v>
      </x:c>
      <x:c r="E1595" s="0" t="s">
        <x:v>6213</x:v>
      </x:c>
      <x:c r="F1595" s="0" t="s">
        <x:v>45</x:v>
      </x:c>
      <x:c r="G1595" s="0" t="s">
        <x:v>19</x:v>
      </x:c>
      <x:c r="H1595" s="0" t="s">
        <x:v>20</x:v>
      </x:c>
      <x:c r="I1595" s="0" t="s">
        <x:v>21</x:v>
      </x:c>
      <x:c r="K1595" s="0">
        <x:f>hyperlink("https://icd.who.int/dev11/l-ichi/en#/http%3A%2F%2Fid.who.int%2Ficd%2Fentity%2F527898939","browser")</x:f>
      </x:c>
      <x:c r="L1595" s="0">
        <x:f>hyperlink("https://icat2.azurewebsites.net/icat/?ontology=ICD&amp;tab=ClassesTab&amp;id=http%3A%2F%2Fwho.int%2Ficd%234207_512ebf36_bf6b_4d70_85da_cf2637062af4","iCat")</x:f>
      </x:c>
      <x:c r="M1595" s="0" t="s">
        <x:v>21</x:v>
      </x:c>
      <x:c r="N1595" s="0" t="s">
        <x:v>46</x:v>
      </x:c>
    </x:row>
    <x:row r="1596" spans="1:16">
      <x:c r="A1596" s="0" t="s">
        <x:v>6214</x:v>
      </x:c>
      <x:c r="B1596" s="0" t="s">
        <x:v>6215</x:v>
      </x:c>
      <x:c r="C1596" s="0" t="s">
        <x:v>6216</x:v>
      </x:c>
      <x:c r="E1596" s="0" t="s">
        <x:v>6217</x:v>
      </x:c>
      <x:c r="F1596" s="0" t="s">
        <x:v>45</x:v>
      </x:c>
      <x:c r="G1596" s="0" t="s">
        <x:v>19</x:v>
      </x:c>
      <x:c r="H1596" s="0" t="s">
        <x:v>20</x:v>
      </x:c>
      <x:c r="I1596" s="0" t="s">
        <x:v>21</x:v>
      </x:c>
      <x:c r="K1596" s="0">
        <x:f>hyperlink("https://icd.who.int/dev11/l-ichi/en#/http%3A%2F%2Fid.who.int%2Ficd%2Fentity%2F808969109","browser")</x:f>
      </x:c>
      <x:c r="L1596" s="0">
        <x:f>hyperlink("https://icat2.azurewebsites.net/icat/?ontology=ICD&amp;tab=ClassesTab&amp;id=http%3A%2F%2Fwho.int%2Ficd%234214_512ebf36_bf6b_4d70_85da_cf2637062af4","iCat")</x:f>
      </x:c>
      <x:c r="M1596" s="0" t="s">
        <x:v>21</x:v>
      </x:c>
      <x:c r="N1596" s="0" t="s">
        <x:v>46</x:v>
      </x:c>
    </x:row>
    <x:row r="1597" spans="1:16">
      <x:c r="A1597" s="0" t="s">
        <x:v>6218</x:v>
      </x:c>
      <x:c r="B1597" s="0" t="s">
        <x:v>6219</x:v>
      </x:c>
      <x:c r="C1597" s="0" t="s">
        <x:v>6220</x:v>
      </x:c>
      <x:c r="E1597" s="0" t="s">
        <x:v>6221</x:v>
      </x:c>
      <x:c r="F1597" s="0" t="s">
        <x:v>45</x:v>
      </x:c>
      <x:c r="G1597" s="0" t="s">
        <x:v>19</x:v>
      </x:c>
      <x:c r="H1597" s="0" t="s">
        <x:v>20</x:v>
      </x:c>
      <x:c r="I1597" s="0" t="s">
        <x:v>21</x:v>
      </x:c>
      <x:c r="K1597" s="0">
        <x:f>hyperlink("https://icd.who.int/dev11/l-ichi/en#/http%3A%2F%2Fid.who.int%2Ficd%2Fentity%2F1166108648","browser")</x:f>
      </x:c>
      <x:c r="L1597" s="0">
        <x:f>hyperlink("https://icat2.azurewebsites.net/icat/?ontology=ICD&amp;tab=ClassesTab&amp;id=http%3A%2F%2Fwho.int%2Ficd%234220_512ebf36_bf6b_4d70_85da_cf2637062af4","iCat")</x:f>
      </x:c>
      <x:c r="M1597" s="0" t="s">
        <x:v>21</x:v>
      </x:c>
      <x:c r="N1597" s="0" t="s">
        <x:v>46</x:v>
      </x:c>
    </x:row>
    <x:row r="1598" spans="1:16">
      <x:c r="A1598" s="0" t="s">
        <x:v>6222</x:v>
      </x:c>
      <x:c r="B1598" s="0" t="s">
        <x:v>6223</x:v>
      </x:c>
      <x:c r="C1598" s="0" t="s">
        <x:v>6224</x:v>
      </x:c>
      <x:c r="E1598" s="0" t="s">
        <x:v>6225</x:v>
      </x:c>
      <x:c r="F1598" s="0" t="s">
        <x:v>45</x:v>
      </x:c>
      <x:c r="G1598" s="0" t="s">
        <x:v>19</x:v>
      </x:c>
      <x:c r="H1598" s="0" t="s">
        <x:v>20</x:v>
      </x:c>
      <x:c r="I1598" s="0" t="s">
        <x:v>21</x:v>
      </x:c>
      <x:c r="K1598" s="0">
        <x:f>hyperlink("https://icd.who.int/dev11/l-ichi/en#/http%3A%2F%2Fid.who.int%2Ficd%2Fentity%2F368754263","browser")</x:f>
      </x:c>
      <x:c r="L1598" s="0">
        <x:f>hyperlink("https://icat2.azurewebsites.net/icat/?ontology=ICD&amp;tab=ClassesTab&amp;id=http%3A%2F%2Fwho.int%2Ficd%234226_512ebf36_bf6b_4d70_85da_cf2637062af4","iCat")</x:f>
      </x:c>
      <x:c r="M1598" s="0" t="s">
        <x:v>21</x:v>
      </x:c>
      <x:c r="N1598" s="0" t="s">
        <x:v>46</x:v>
      </x:c>
    </x:row>
    <x:row r="1599" spans="1:16">
      <x:c r="A1599" s="0" t="s">
        <x:v>6226</x:v>
      </x:c>
      <x:c r="B1599" s="0" t="s">
        <x:v>6227</x:v>
      </x:c>
      <x:c r="C1599" s="0" t="s">
        <x:v>6228</x:v>
      </x:c>
      <x:c r="E1599" s="0" t="s">
        <x:v>6229</x:v>
      </x:c>
      <x:c r="F1599" s="0" t="s">
        <x:v>45</x:v>
      </x:c>
      <x:c r="G1599" s="0" t="s">
        <x:v>19</x:v>
      </x:c>
      <x:c r="H1599" s="0" t="s">
        <x:v>20</x:v>
      </x:c>
      <x:c r="I1599" s="0" t="s">
        <x:v>21</x:v>
      </x:c>
      <x:c r="K1599" s="0">
        <x:f>hyperlink("https://icd.who.int/dev11/l-ichi/en#/http%3A%2F%2Fid.who.int%2Ficd%2Fentity%2F1245245302","browser")</x:f>
      </x:c>
      <x:c r="L1599" s="0">
        <x:f>hyperlink("https://icat2.azurewebsites.net/icat/?ontology=ICD&amp;tab=ClassesTab&amp;id=http%3A%2F%2Fwho.int%2Ficd%234232_512ebf36_bf6b_4d70_85da_cf2637062af4","iCat")</x:f>
      </x:c>
      <x:c r="M1599" s="0" t="s">
        <x:v>21</x:v>
      </x:c>
      <x:c r="N1599" s="0" t="s">
        <x:v>46</x:v>
      </x:c>
    </x:row>
    <x:row r="1600" spans="1:16">
      <x:c r="A1600" s="0" t="s">
        <x:v>6230</x:v>
      </x:c>
      <x:c r="B1600" s="0" t="s">
        <x:v>6231</x:v>
      </x:c>
      <x:c r="C1600" s="0" t="s">
        <x:v>6232</x:v>
      </x:c>
      <x:c r="E1600" s="0" t="s">
        <x:v>6233</x:v>
      </x:c>
      <x:c r="F1600" s="0" t="s">
        <x:v>45</x:v>
      </x:c>
      <x:c r="G1600" s="0" t="s">
        <x:v>19</x:v>
      </x:c>
      <x:c r="H1600" s="0" t="s">
        <x:v>20</x:v>
      </x:c>
      <x:c r="I1600" s="0" t="s">
        <x:v>21</x:v>
      </x:c>
      <x:c r="K1600" s="0">
        <x:f>hyperlink("https://icd.who.int/dev11/l-ichi/en#/http%3A%2F%2Fid.who.int%2Ficd%2Fentity%2F2062482542","browser")</x:f>
      </x:c>
      <x:c r="L1600" s="0">
        <x:f>hyperlink("https://icat2.azurewebsites.net/icat/?ontology=ICD&amp;tab=ClassesTab&amp;id=http%3A%2F%2Fwho.int%2Ficd%234242_512ebf36_bf6b_4d70_85da_cf2637062af4","iCat")</x:f>
      </x:c>
      <x:c r="M1600" s="0" t="s">
        <x:v>21</x:v>
      </x:c>
      <x:c r="N1600" s="0" t="s">
        <x:v>46</x:v>
      </x:c>
    </x:row>
    <x:row r="1601" spans="1:16">
      <x:c r="A1601" s="0" t="s">
        <x:v>6234</x:v>
      </x:c>
      <x:c r="B1601" s="0" t="s">
        <x:v>6235</x:v>
      </x:c>
      <x:c r="C1601" s="0" t="s">
        <x:v>6236</x:v>
      </x:c>
      <x:c r="E1601" s="0" t="s">
        <x:v>6237</x:v>
      </x:c>
      <x:c r="F1601" s="0" t="s">
        <x:v>45</x:v>
      </x:c>
      <x:c r="G1601" s="0" t="s">
        <x:v>19</x:v>
      </x:c>
      <x:c r="H1601" s="0" t="s">
        <x:v>20</x:v>
      </x:c>
      <x:c r="I1601" s="0" t="s">
        <x:v>21</x:v>
      </x:c>
      <x:c r="K1601" s="0">
        <x:f>hyperlink("https://icd.who.int/dev11/l-ichi/en#/http%3A%2F%2Fid.who.int%2Ficd%2Fentity%2F1360236798","browser")</x:f>
      </x:c>
      <x:c r="L1601" s="0">
        <x:f>hyperlink("https://icat2.azurewebsites.net/icat/?ontology=ICD&amp;tab=ClassesTab&amp;id=http%3A%2F%2Fwho.int%2Ficd%234248_512ebf36_bf6b_4d70_85da_cf2637062af4","iCat")</x:f>
      </x:c>
      <x:c r="M1601" s="0" t="s">
        <x:v>21</x:v>
      </x:c>
      <x:c r="N1601" s="0" t="s">
        <x:v>46</x:v>
      </x:c>
    </x:row>
    <x:row r="1602" spans="1:16">
      <x:c r="A1602" s="0" t="s">
        <x:v>6238</x:v>
      </x:c>
      <x:c r="B1602" s="0" t="s">
        <x:v>6239</x:v>
      </x:c>
      <x:c r="C1602" s="0" t="s">
        <x:v>6240</x:v>
      </x:c>
      <x:c r="E1602" s="0" t="s">
        <x:v>6241</x:v>
      </x:c>
      <x:c r="F1602" s="0" t="s">
        <x:v>45</x:v>
      </x:c>
      <x:c r="G1602" s="0" t="s">
        <x:v>19</x:v>
      </x:c>
      <x:c r="H1602" s="0" t="s">
        <x:v>20</x:v>
      </x:c>
      <x:c r="I1602" s="0" t="s">
        <x:v>21</x:v>
      </x:c>
      <x:c r="K1602" s="0">
        <x:f>hyperlink("https://icd.who.int/dev11/l-ichi/en#/http%3A%2F%2Fid.who.int%2Ficd%2Fentity%2F1079029898","browser")</x:f>
      </x:c>
      <x:c r="L1602" s="0">
        <x:f>hyperlink("https://icat2.azurewebsites.net/icat/?ontology=ICD&amp;tab=ClassesTab&amp;id=http%3A%2F%2Fwho.int%2Ficd%234254_512ebf36_bf6b_4d70_85da_cf2637062af4","iCat")</x:f>
      </x:c>
      <x:c r="M1602" s="0" t="s">
        <x:v>21</x:v>
      </x:c>
      <x:c r="N1602" s="0" t="s">
        <x:v>46</x:v>
      </x:c>
    </x:row>
    <x:row r="1603" spans="1:16">
      <x:c r="A1603" s="0" t="s">
        <x:v>6242</x:v>
      </x:c>
      <x:c r="B1603" s="0" t="s">
        <x:v>6243</x:v>
      </x:c>
      <x:c r="C1603" s="0" t="s">
        <x:v>6244</x:v>
      </x:c>
      <x:c r="E1603" s="0" t="s">
        <x:v>6245</x:v>
      </x:c>
      <x:c r="F1603" s="0" t="s">
        <x:v>45</x:v>
      </x:c>
      <x:c r="G1603" s="0" t="s">
        <x:v>19</x:v>
      </x:c>
      <x:c r="H1603" s="0" t="s">
        <x:v>20</x:v>
      </x:c>
      <x:c r="I1603" s="0" t="s">
        <x:v>21</x:v>
      </x:c>
      <x:c r="K1603" s="0">
        <x:f>hyperlink("https://icd.who.int/dev11/l-ichi/en#/http%3A%2F%2Fid.who.int%2Ficd%2Fentity%2F904279291","browser")</x:f>
      </x:c>
      <x:c r="L1603" s="0">
        <x:f>hyperlink("https://icat2.azurewebsites.net/icat/?ontology=ICD&amp;tab=ClassesTab&amp;id=http%3A%2F%2Fwho.int%2Ficd%234260_512ebf36_bf6b_4d70_85da_cf2637062af4","iCat")</x:f>
      </x:c>
      <x:c r="M1603" s="0" t="s">
        <x:v>21</x:v>
      </x:c>
      <x:c r="N1603" s="0" t="s">
        <x:v>46</x:v>
      </x:c>
    </x:row>
    <x:row r="1604" spans="1:16">
      <x:c r="A1604" s="0" t="s">
        <x:v>6246</x:v>
      </x:c>
      <x:c r="B1604" s="0" t="s">
        <x:v>6247</x:v>
      </x:c>
      <x:c r="C1604" s="0" t="s">
        <x:v>6248</x:v>
      </x:c>
      <x:c r="E1604" s="0" t="s">
        <x:v>6249</x:v>
      </x:c>
      <x:c r="F1604" s="0" t="s">
        <x:v>45</x:v>
      </x:c>
      <x:c r="G1604" s="0" t="s">
        <x:v>19</x:v>
      </x:c>
      <x:c r="H1604" s="0" t="s">
        <x:v>20</x:v>
      </x:c>
      <x:c r="I1604" s="0" t="s">
        <x:v>21</x:v>
      </x:c>
      <x:c r="K1604" s="0">
        <x:f>hyperlink("https://icd.who.int/dev11/l-ichi/en#/http%3A%2F%2Fid.who.int%2Ficd%2Fentity%2F1704848714","browser")</x:f>
      </x:c>
      <x:c r="L1604" s="0">
        <x:f>hyperlink("https://icat2.azurewebsites.net/icat/?ontology=ICD&amp;tab=ClassesTab&amp;id=http%3A%2F%2Fwho.int%2Ficd%234266_512ebf36_bf6b_4d70_85da_cf2637062af4","iCat")</x:f>
      </x:c>
      <x:c r="M1604" s="0" t="s">
        <x:v>21</x:v>
      </x:c>
      <x:c r="N1604" s="0" t="s">
        <x:v>46</x:v>
      </x:c>
    </x:row>
    <x:row r="1605" spans="1:16">
      <x:c r="A1605" s="0" t="s">
        <x:v>6250</x:v>
      </x:c>
      <x:c r="B1605" s="0" t="s">
        <x:v>6251</x:v>
      </x:c>
      <x:c r="C1605" s="0" t="s">
        <x:v>6252</x:v>
      </x:c>
      <x:c r="E1605" s="0" t="s">
        <x:v>6253</x:v>
      </x:c>
      <x:c r="F1605" s="0" t="s">
        <x:v>45</x:v>
      </x:c>
      <x:c r="G1605" s="0" t="s">
        <x:v>19</x:v>
      </x:c>
      <x:c r="H1605" s="0" t="s">
        <x:v>20</x:v>
      </x:c>
      <x:c r="I1605" s="0" t="s">
        <x:v>21</x:v>
      </x:c>
      <x:c r="K1605" s="0">
        <x:f>hyperlink("https://icd.who.int/dev11/l-ichi/en#/http%3A%2F%2Fid.who.int%2Ficd%2Fentity%2F257456157","browser")</x:f>
      </x:c>
      <x:c r="L1605" s="0">
        <x:f>hyperlink("https://icat2.azurewebsites.net/icat/?ontology=ICD&amp;tab=ClassesTab&amp;id=http%3A%2F%2Fwho.int%2Ficd%234276_512ebf36_bf6b_4d70_85da_cf2637062af4","iCat")</x:f>
      </x:c>
      <x:c r="M1605" s="0" t="s">
        <x:v>21</x:v>
      </x:c>
      <x:c r="N1605" s="0" t="s">
        <x:v>46</x:v>
      </x:c>
    </x:row>
    <x:row r="1606" spans="1:16">
      <x:c r="A1606" s="0" t="s">
        <x:v>6254</x:v>
      </x:c>
      <x:c r="B1606" s="0" t="s">
        <x:v>6255</x:v>
      </x:c>
      <x:c r="C1606" s="0" t="s">
        <x:v>6256</x:v>
      </x:c>
      <x:c r="E1606" s="0" t="s">
        <x:v>6257</x:v>
      </x:c>
      <x:c r="F1606" s="0" t="s">
        <x:v>45</x:v>
      </x:c>
      <x:c r="G1606" s="0" t="s">
        <x:v>19</x:v>
      </x:c>
      <x:c r="H1606" s="0" t="s">
        <x:v>20</x:v>
      </x:c>
      <x:c r="I1606" s="0" t="s">
        <x:v>21</x:v>
      </x:c>
      <x:c r="K1606" s="0">
        <x:f>hyperlink("https://icd.who.int/dev11/l-ichi/en#/http%3A%2F%2Fid.who.int%2Ficd%2Fentity%2F364443319","browser")</x:f>
      </x:c>
      <x:c r="L1606" s="0">
        <x:f>hyperlink("https://icat2.azurewebsites.net/icat/?ontology=ICD&amp;tab=ClassesTab&amp;id=http%3A%2F%2Fwho.int%2Ficd%234282_512ebf36_bf6b_4d70_85da_cf2637062af4","iCat")</x:f>
      </x:c>
      <x:c r="M1606" s="0" t="s">
        <x:v>21</x:v>
      </x:c>
      <x:c r="N1606" s="0" t="s">
        <x:v>46</x:v>
      </x:c>
    </x:row>
    <x:row r="1607" spans="1:16">
      <x:c r="A1607" s="0" t="s">
        <x:v>6258</x:v>
      </x:c>
      <x:c r="B1607" s="0" t="s">
        <x:v>6259</x:v>
      </x:c>
      <x:c r="C1607" s="0" t="s">
        <x:v>6260</x:v>
      </x:c>
      <x:c r="E1607" s="0" t="s">
        <x:v>6261</x:v>
      </x:c>
      <x:c r="F1607" s="0" t="s">
        <x:v>45</x:v>
      </x:c>
      <x:c r="G1607" s="0" t="s">
        <x:v>19</x:v>
      </x:c>
      <x:c r="H1607" s="0" t="s">
        <x:v>20</x:v>
      </x:c>
      <x:c r="I1607" s="0" t="s">
        <x:v>21</x:v>
      </x:c>
      <x:c r="K1607" s="0">
        <x:f>hyperlink("https://icd.who.int/dev11/l-ichi/en#/http%3A%2F%2Fid.who.int%2Ficd%2Fentity%2F1044748839","browser")</x:f>
      </x:c>
      <x:c r="L1607" s="0">
        <x:f>hyperlink("https://icat2.azurewebsites.net/icat/?ontology=ICD&amp;tab=ClassesTab&amp;id=http%3A%2F%2Fwho.int%2Ficd%234288_512ebf36_bf6b_4d70_85da_cf2637062af4","iCat")</x:f>
      </x:c>
      <x:c r="M1607" s="0" t="s">
        <x:v>21</x:v>
      </x:c>
      <x:c r="N1607" s="0" t="s">
        <x:v>46</x:v>
      </x:c>
    </x:row>
    <x:row r="1608" spans="1:16">
      <x:c r="A1608" s="0" t="s">
        <x:v>6262</x:v>
      </x:c>
      <x:c r="B1608" s="0" t="s">
        <x:v>6263</x:v>
      </x:c>
      <x:c r="C1608" s="0" t="s">
        <x:v>6264</x:v>
      </x:c>
      <x:c r="E1608" s="0" t="s">
        <x:v>6265</x:v>
      </x:c>
      <x:c r="F1608" s="0" t="s">
        <x:v>45</x:v>
      </x:c>
      <x:c r="G1608" s="0" t="s">
        <x:v>19</x:v>
      </x:c>
      <x:c r="H1608" s="0" t="s">
        <x:v>20</x:v>
      </x:c>
      <x:c r="I1608" s="0" t="s">
        <x:v>21</x:v>
      </x:c>
      <x:c r="K1608" s="0">
        <x:f>hyperlink("https://icd.who.int/dev11/l-ichi/en#/http%3A%2F%2Fid.who.int%2Ficd%2Fentity%2F268421229","browser")</x:f>
      </x:c>
      <x:c r="L1608" s="0">
        <x:f>hyperlink("https://icat2.azurewebsites.net/icat/?ontology=ICD&amp;tab=ClassesTab&amp;id=http%3A%2F%2Fwho.int%2Ficd%234295_512ebf36_bf6b_4d70_85da_cf2637062af4","iCat")</x:f>
      </x:c>
      <x:c r="M1608" s="0" t="s">
        <x:v>21</x:v>
      </x:c>
      <x:c r="N1608" s="0" t="s">
        <x:v>46</x:v>
      </x:c>
    </x:row>
    <x:row r="1609" spans="1:16">
      <x:c r="A1609" s="0" t="s">
        <x:v>6266</x:v>
      </x:c>
      <x:c r="B1609" s="0" t="s">
        <x:v>6267</x:v>
      </x:c>
      <x:c r="C1609" s="0" t="s">
        <x:v>6268</x:v>
      </x:c>
      <x:c r="E1609" s="0" t="s">
        <x:v>6269</x:v>
      </x:c>
      <x:c r="F1609" s="0" t="s">
        <x:v>45</x:v>
      </x:c>
      <x:c r="G1609" s="0" t="s">
        <x:v>19</x:v>
      </x:c>
      <x:c r="H1609" s="0" t="s">
        <x:v>20</x:v>
      </x:c>
      <x:c r="I1609" s="0" t="s">
        <x:v>21</x:v>
      </x:c>
      <x:c r="K1609" s="0">
        <x:f>hyperlink("https://icd.who.int/dev11/l-ichi/en#/http%3A%2F%2Fid.who.int%2Ficd%2Fentity%2F795717727","browser")</x:f>
      </x:c>
      <x:c r="L1609" s="0">
        <x:f>hyperlink("https://icat2.azurewebsites.net/icat/?ontology=ICD&amp;tab=ClassesTab&amp;id=http%3A%2F%2Fwho.int%2Ficd%234304_512ebf36_bf6b_4d70_85da_cf2637062af4","iCat")</x:f>
      </x:c>
      <x:c r="M1609" s="0" t="s">
        <x:v>21</x:v>
      </x:c>
      <x:c r="N1609" s="0" t="s">
        <x:v>46</x:v>
      </x:c>
    </x:row>
    <x:row r="1610" spans="1:16">
      <x:c r="A1610" s="0" t="s">
        <x:v>6270</x:v>
      </x:c>
      <x:c r="B1610" s="0" t="s">
        <x:v>6271</x:v>
      </x:c>
      <x:c r="C1610" s="0" t="s">
        <x:v>6272</x:v>
      </x:c>
      <x:c r="E1610" s="0" t="s">
        <x:v>6273</x:v>
      </x:c>
      <x:c r="F1610" s="0" t="s">
        <x:v>45</x:v>
      </x:c>
      <x:c r="G1610" s="0" t="s">
        <x:v>19</x:v>
      </x:c>
      <x:c r="H1610" s="0" t="s">
        <x:v>20</x:v>
      </x:c>
      <x:c r="I1610" s="0" t="s">
        <x:v>21</x:v>
      </x:c>
      <x:c r="K1610" s="0">
        <x:f>hyperlink("https://icd.who.int/dev11/l-ichi/en#/http%3A%2F%2Fid.who.int%2Ficd%2Fentity%2F366214329","browser")</x:f>
      </x:c>
      <x:c r="L1610" s="0">
        <x:f>hyperlink("https://icat2.azurewebsites.net/icat/?ontology=ICD&amp;tab=ClassesTab&amp;id=http%3A%2F%2Fwho.int%2Ficd%234312_512ebf36_bf6b_4d70_85da_cf2637062af4","iCat")</x:f>
      </x:c>
      <x:c r="M1610" s="0" t="s">
        <x:v>21</x:v>
      </x:c>
      <x:c r="N1610" s="0" t="s">
        <x:v>46</x:v>
      </x:c>
    </x:row>
    <x:row r="1611" spans="1:16">
      <x:c r="A1611" s="0" t="s">
        <x:v>6274</x:v>
      </x:c>
      <x:c r="B1611" s="0" t="s">
        <x:v>6275</x:v>
      </x:c>
      <x:c r="C1611" s="0" t="s">
        <x:v>6276</x:v>
      </x:c>
      <x:c r="E1611" s="0" t="s">
        <x:v>6277</x:v>
      </x:c>
      <x:c r="F1611" s="0" t="s">
        <x:v>45</x:v>
      </x:c>
      <x:c r="G1611" s="0" t="s">
        <x:v>19</x:v>
      </x:c>
      <x:c r="H1611" s="0" t="s">
        <x:v>20</x:v>
      </x:c>
      <x:c r="I1611" s="0" t="s">
        <x:v>21</x:v>
      </x:c>
      <x:c r="K1611" s="0">
        <x:f>hyperlink("https://icd.who.int/dev11/l-ichi/en#/http%3A%2F%2Fid.who.int%2Ficd%2Fentity%2F517464597","browser")</x:f>
      </x:c>
      <x:c r="L1611" s="0">
        <x:f>hyperlink("https://icat2.azurewebsites.net/icat/?ontology=ICD&amp;tab=ClassesTab&amp;id=http%3A%2F%2Fwho.int%2Ficd%234319_512ebf36_bf6b_4d70_85da_cf2637062af4","iCat")</x:f>
      </x:c>
      <x:c r="M1611" s="0" t="s">
        <x:v>21</x:v>
      </x:c>
      <x:c r="N1611" s="0" t="s">
        <x:v>46</x:v>
      </x:c>
    </x:row>
    <x:row r="1612" spans="1:16">
      <x:c r="A1612" s="0" t="s">
        <x:v>6278</x:v>
      </x:c>
      <x:c r="B1612" s="0" t="s">
        <x:v>6279</x:v>
      </x:c>
      <x:c r="C1612" s="0" t="s">
        <x:v>6280</x:v>
      </x:c>
      <x:c r="E1612" s="0" t="s">
        <x:v>6281</x:v>
      </x:c>
      <x:c r="F1612" s="0" t="s">
        <x:v>45</x:v>
      </x:c>
      <x:c r="G1612" s="0" t="s">
        <x:v>19</x:v>
      </x:c>
      <x:c r="H1612" s="0" t="s">
        <x:v>20</x:v>
      </x:c>
      <x:c r="I1612" s="0" t="s">
        <x:v>21</x:v>
      </x:c>
      <x:c r="K1612" s="0">
        <x:f>hyperlink("https://icd.who.int/dev11/l-ichi/en#/http%3A%2F%2Fid.who.int%2Ficd%2Fentity%2F635442995","browser")</x:f>
      </x:c>
      <x:c r="L1612" s="0">
        <x:f>hyperlink("https://icat2.azurewebsites.net/icat/?ontology=ICD&amp;tab=ClassesTab&amp;id=http%3A%2F%2Fwho.int%2Ficd%234325_512ebf36_bf6b_4d70_85da_cf2637062af4","iCat")</x:f>
      </x:c>
      <x:c r="M1612" s="0" t="s">
        <x:v>21</x:v>
      </x:c>
      <x:c r="N1612" s="0" t="s">
        <x:v>46</x:v>
      </x:c>
    </x:row>
    <x:row r="1613" spans="1:16">
      <x:c r="A1613" s="0" t="s">
        <x:v>6282</x:v>
      </x:c>
      <x:c r="B1613" s="0" t="s">
        <x:v>6283</x:v>
      </x:c>
      <x:c r="C1613" s="0" t="s">
        <x:v>6284</x:v>
      </x:c>
      <x:c r="E1613" s="0" t="s">
        <x:v>6285</x:v>
      </x:c>
      <x:c r="F1613" s="0" t="s">
        <x:v>45</x:v>
      </x:c>
      <x:c r="G1613" s="0" t="s">
        <x:v>19</x:v>
      </x:c>
      <x:c r="H1613" s="0" t="s">
        <x:v>20</x:v>
      </x:c>
      <x:c r="I1613" s="0" t="s">
        <x:v>21</x:v>
      </x:c>
      <x:c r="K1613" s="0">
        <x:f>hyperlink("https://icd.who.int/dev11/l-ichi/en#/http%3A%2F%2Fid.who.int%2Ficd%2Fentity%2F2049066512","browser")</x:f>
      </x:c>
      <x:c r="L1613" s="0">
        <x:f>hyperlink("https://icat2.azurewebsites.net/icat/?ontology=ICD&amp;tab=ClassesTab&amp;id=http%3A%2F%2Fwho.int%2Ficd%234331_512ebf36_bf6b_4d70_85da_cf2637062af4","iCat")</x:f>
      </x:c>
      <x:c r="M1613" s="0" t="s">
        <x:v>21</x:v>
      </x:c>
      <x:c r="N1613" s="0" t="s">
        <x:v>46</x:v>
      </x:c>
    </x:row>
    <x:row r="1614" spans="1:16">
      <x:c r="A1614" s="0" t="s">
        <x:v>6286</x:v>
      </x:c>
      <x:c r="B1614" s="0" t="s">
        <x:v>6287</x:v>
      </x:c>
      <x:c r="C1614" s="0" t="s">
        <x:v>6288</x:v>
      </x:c>
      <x:c r="E1614" s="0" t="s">
        <x:v>6289</x:v>
      </x:c>
      <x:c r="F1614" s="0" t="s">
        <x:v>45</x:v>
      </x:c>
      <x:c r="G1614" s="0" t="s">
        <x:v>19</x:v>
      </x:c>
      <x:c r="H1614" s="0" t="s">
        <x:v>20</x:v>
      </x:c>
      <x:c r="I1614" s="0" t="s">
        <x:v>21</x:v>
      </x:c>
      <x:c r="K1614" s="0">
        <x:f>hyperlink("https://icd.who.int/dev11/l-ichi/en#/http%3A%2F%2Fid.who.int%2Ficd%2Fentity%2F710516641","browser")</x:f>
      </x:c>
      <x:c r="L1614" s="0">
        <x:f>hyperlink("https://icat2.azurewebsites.net/icat/?ontology=ICD&amp;tab=ClassesTab&amp;id=http%3A%2F%2Fwho.int%2Ficd%234337_512ebf36_bf6b_4d70_85da_cf2637062af4","iCat")</x:f>
      </x:c>
      <x:c r="M1614" s="0" t="s">
        <x:v>21</x:v>
      </x:c>
      <x:c r="N1614" s="0" t="s">
        <x:v>46</x:v>
      </x:c>
    </x:row>
    <x:row r="1615" spans="1:16">
      <x:c r="A1615" s="0" t="s">
        <x:v>6290</x:v>
      </x:c>
      <x:c r="B1615" s="0" t="s">
        <x:v>6291</x:v>
      </x:c>
      <x:c r="C1615" s="0" t="s">
        <x:v>6292</x:v>
      </x:c>
      <x:c r="E1615" s="0" t="s">
        <x:v>6293</x:v>
      </x:c>
      <x:c r="F1615" s="0" t="s">
        <x:v>45</x:v>
      </x:c>
      <x:c r="G1615" s="0" t="s">
        <x:v>19</x:v>
      </x:c>
      <x:c r="H1615" s="0" t="s">
        <x:v>20</x:v>
      </x:c>
      <x:c r="I1615" s="0" t="s">
        <x:v>21</x:v>
      </x:c>
      <x:c r="K1615" s="0">
        <x:f>hyperlink("https://icd.who.int/dev11/l-ichi/en#/http%3A%2F%2Fid.who.int%2Ficd%2Fentity%2F980876935","browser")</x:f>
      </x:c>
      <x:c r="L1615" s="0">
        <x:f>hyperlink("https://icat2.azurewebsites.net/icat/?ontology=ICD&amp;tab=ClassesTab&amp;id=http%3A%2F%2Fwho.int%2Ficd%234346_512ebf36_bf6b_4d70_85da_cf2637062af4","iCat")</x:f>
      </x:c>
      <x:c r="M1615" s="0" t="s">
        <x:v>21</x:v>
      </x:c>
      <x:c r="N1615" s="0" t="s">
        <x:v>46</x:v>
      </x:c>
    </x:row>
    <x:row r="1616" spans="1:16">
      <x:c r="A1616" s="0" t="s">
        <x:v>6294</x:v>
      </x:c>
      <x:c r="B1616" s="0" t="s">
        <x:v>6295</x:v>
      </x:c>
      <x:c r="C1616" s="0" t="s">
        <x:v>6296</x:v>
      </x:c>
      <x:c r="E1616" s="0" t="s">
        <x:v>6297</x:v>
      </x:c>
      <x:c r="F1616" s="0" t="s">
        <x:v>45</x:v>
      </x:c>
      <x:c r="G1616" s="0" t="s">
        <x:v>19</x:v>
      </x:c>
      <x:c r="H1616" s="0" t="s">
        <x:v>20</x:v>
      </x:c>
      <x:c r="I1616" s="0" t="s">
        <x:v>21</x:v>
      </x:c>
      <x:c r="K1616" s="0">
        <x:f>hyperlink("https://icd.who.int/dev11/l-ichi/en#/http%3A%2F%2Fid.who.int%2Ficd%2Fentity%2F1353935826","browser")</x:f>
      </x:c>
      <x:c r="L1616" s="0">
        <x:f>hyperlink("https://icat2.azurewebsites.net/icat/?ontology=ICD&amp;tab=ClassesTab&amp;id=http%3A%2F%2Fwho.int%2Ficd%234356_512ebf36_bf6b_4d70_85da_cf2637062af4","iCat")</x:f>
      </x:c>
      <x:c r="M1616" s="0" t="s">
        <x:v>21</x:v>
      </x:c>
      <x:c r="N1616" s="0" t="s">
        <x:v>46</x:v>
      </x:c>
    </x:row>
    <x:row r="1617" spans="1:16">
      <x:c r="A1617" s="0" t="s">
        <x:v>6298</x:v>
      </x:c>
      <x:c r="B1617" s="0" t="s">
        <x:v>6299</x:v>
      </x:c>
      <x:c r="C1617" s="0" t="s">
        <x:v>6300</x:v>
      </x:c>
      <x:c r="E1617" s="0" t="s">
        <x:v>6301</x:v>
      </x:c>
      <x:c r="F1617" s="0" t="s">
        <x:v>45</x:v>
      </x:c>
      <x:c r="G1617" s="0" t="s">
        <x:v>19</x:v>
      </x:c>
      <x:c r="H1617" s="0" t="s">
        <x:v>20</x:v>
      </x:c>
      <x:c r="I1617" s="0" t="s">
        <x:v>21</x:v>
      </x:c>
      <x:c r="K1617" s="0">
        <x:f>hyperlink("https://icd.who.int/dev11/l-ichi/en#/http%3A%2F%2Fid.who.int%2Ficd%2Fentity%2F268577751","browser")</x:f>
      </x:c>
      <x:c r="L1617" s="0">
        <x:f>hyperlink("https://icat2.azurewebsites.net/icat/?ontology=ICD&amp;tab=ClassesTab&amp;id=http%3A%2F%2Fwho.int%2Ficd%234366_512ebf36_bf6b_4d70_85da_cf2637062af4","iCat")</x:f>
      </x:c>
      <x:c r="M1617" s="0" t="s">
        <x:v>21</x:v>
      </x:c>
      <x:c r="N1617" s="0" t="s">
        <x:v>46</x:v>
      </x:c>
    </x:row>
    <x:row r="1618" spans="1:16">
      <x:c r="A1618" s="0" t="s">
        <x:v>6302</x:v>
      </x:c>
      <x:c r="B1618" s="0" t="s">
        <x:v>6303</x:v>
      </x:c>
      <x:c r="C1618" s="0" t="s">
        <x:v>6304</x:v>
      </x:c>
      <x:c r="E1618" s="0" t="s">
        <x:v>6305</x:v>
      </x:c>
      <x:c r="F1618" s="0" t="s">
        <x:v>45</x:v>
      </x:c>
      <x:c r="G1618" s="0" t="s">
        <x:v>19</x:v>
      </x:c>
      <x:c r="H1618" s="0" t="s">
        <x:v>20</x:v>
      </x:c>
      <x:c r="I1618" s="0" t="s">
        <x:v>21</x:v>
      </x:c>
      <x:c r="K1618" s="0">
        <x:f>hyperlink("https://icd.who.int/dev11/l-ichi/en#/http%3A%2F%2Fid.who.int%2Ficd%2Fentity%2F532390725","browser")</x:f>
      </x:c>
      <x:c r="L1618" s="0">
        <x:f>hyperlink("https://icat2.azurewebsites.net/icat/?ontology=ICD&amp;tab=ClassesTab&amp;id=http%3A%2F%2Fwho.int%2Ficd%234374_512ebf36_bf6b_4d70_85da_cf2637062af4","iCat")</x:f>
      </x:c>
      <x:c r="M1618" s="0" t="s">
        <x:v>21</x:v>
      </x:c>
      <x:c r="N1618" s="0" t="s">
        <x:v>46</x:v>
      </x:c>
    </x:row>
    <x:row r="1619" spans="1:16">
      <x:c r="A1619" s="0" t="s">
        <x:v>6306</x:v>
      </x:c>
      <x:c r="B1619" s="0" t="s">
        <x:v>6307</x:v>
      </x:c>
      <x:c r="C1619" s="0" t="s">
        <x:v>6308</x:v>
      </x:c>
      <x:c r="E1619" s="0" t="s">
        <x:v>6309</x:v>
      </x:c>
      <x:c r="F1619" s="0" t="s">
        <x:v>45</x:v>
      </x:c>
      <x:c r="G1619" s="0" t="s">
        <x:v>19</x:v>
      </x:c>
      <x:c r="H1619" s="0" t="s">
        <x:v>20</x:v>
      </x:c>
      <x:c r="I1619" s="0" t="s">
        <x:v>21</x:v>
      </x:c>
      <x:c r="K1619" s="0">
        <x:f>hyperlink("https://icd.who.int/dev11/l-ichi/en#/http%3A%2F%2Fid.who.int%2Ficd%2Fentity%2F89861615","browser")</x:f>
      </x:c>
      <x:c r="L1619" s="0">
        <x:f>hyperlink("https://icat2.azurewebsites.net/icat/?ontology=ICD&amp;tab=ClassesTab&amp;id=http%3A%2F%2Fwho.int%2Ficd%234380_512ebf36_bf6b_4d70_85da_cf2637062af4","iCat")</x:f>
      </x:c>
      <x:c r="M1619" s="0" t="s">
        <x:v>21</x:v>
      </x:c>
      <x:c r="N1619" s="0" t="s">
        <x:v>46</x:v>
      </x:c>
    </x:row>
    <x:row r="1620" spans="1:16">
      <x:c r="A1620" s="0" t="s">
        <x:v>6310</x:v>
      </x:c>
      <x:c r="B1620" s="0" t="s">
        <x:v>6311</x:v>
      </x:c>
      <x:c r="C1620" s="0" t="s">
        <x:v>6312</x:v>
      </x:c>
      <x:c r="E1620" s="0" t="s">
        <x:v>6313</x:v>
      </x:c>
      <x:c r="F1620" s="0" t="s">
        <x:v>45</x:v>
      </x:c>
      <x:c r="G1620" s="0" t="s">
        <x:v>19</x:v>
      </x:c>
      <x:c r="H1620" s="0" t="s">
        <x:v>20</x:v>
      </x:c>
      <x:c r="I1620" s="0" t="s">
        <x:v>21</x:v>
      </x:c>
      <x:c r="K1620" s="0">
        <x:f>hyperlink("https://icd.who.int/dev11/l-ichi/en#/http%3A%2F%2Fid.who.int%2Ficd%2Fentity%2F1977189988","browser")</x:f>
      </x:c>
      <x:c r="L1620" s="0">
        <x:f>hyperlink("https://icat2.azurewebsites.net/icat/?ontology=ICD&amp;tab=ClassesTab&amp;id=http%3A%2F%2Fwho.int%2Ficd%234387_512ebf36_bf6b_4d70_85da_cf2637062af4","iCat")</x:f>
      </x:c>
      <x:c r="M1620" s="0" t="s">
        <x:v>21</x:v>
      </x:c>
      <x:c r="N1620" s="0" t="s">
        <x:v>46</x:v>
      </x:c>
    </x:row>
    <x:row r="1621" spans="1:16">
      <x:c r="A1621" s="0" t="s">
        <x:v>6314</x:v>
      </x:c>
      <x:c r="B1621" s="0" t="s">
        <x:v>6315</x:v>
      </x:c>
      <x:c r="C1621" s="0" t="s">
        <x:v>6316</x:v>
      </x:c>
      <x:c r="E1621" s="0" t="s">
        <x:v>6317</x:v>
      </x:c>
      <x:c r="F1621" s="0" t="s">
        <x:v>45</x:v>
      </x:c>
      <x:c r="G1621" s="0" t="s">
        <x:v>19</x:v>
      </x:c>
      <x:c r="H1621" s="0" t="s">
        <x:v>20</x:v>
      </x:c>
      <x:c r="I1621" s="0" t="s">
        <x:v>21</x:v>
      </x:c>
      <x:c r="K1621" s="0">
        <x:f>hyperlink("https://icd.who.int/dev11/l-ichi/en#/http%3A%2F%2Fid.who.int%2Ficd%2Fentity%2F1520008396","browser")</x:f>
      </x:c>
      <x:c r="L1621" s="0">
        <x:f>hyperlink("https://icat2.azurewebsites.net/icat/?ontology=ICD&amp;tab=ClassesTab&amp;id=http%3A%2F%2Fwho.int%2Ficd%234394_512ebf36_bf6b_4d70_85da_cf2637062af4","iCat")</x:f>
      </x:c>
      <x:c r="M1621" s="0" t="s">
        <x:v>21</x:v>
      </x:c>
      <x:c r="N1621" s="0" t="s">
        <x:v>46</x:v>
      </x:c>
    </x:row>
    <x:row r="1622" spans="1:16">
      <x:c r="A1622" s="0" t="s">
        <x:v>6318</x:v>
      </x:c>
      <x:c r="B1622" s="0" t="s">
        <x:v>6319</x:v>
      </x:c>
      <x:c r="C1622" s="0" t="s">
        <x:v>6320</x:v>
      </x:c>
      <x:c r="E1622" s="0" t="s">
        <x:v>6321</x:v>
      </x:c>
      <x:c r="F1622" s="0" t="s">
        <x:v>45</x:v>
      </x:c>
      <x:c r="G1622" s="0" t="s">
        <x:v>19</x:v>
      </x:c>
      <x:c r="H1622" s="0" t="s">
        <x:v>20</x:v>
      </x:c>
      <x:c r="I1622" s="0" t="s">
        <x:v>21</x:v>
      </x:c>
      <x:c r="K1622" s="0">
        <x:f>hyperlink("https://icd.who.int/dev11/l-ichi/en#/http%3A%2F%2Fid.who.int%2Ficd%2Fentity%2F1983634503","browser")</x:f>
      </x:c>
      <x:c r="L1622" s="0">
        <x:f>hyperlink("https://icat2.azurewebsites.net/icat/?ontology=ICD&amp;tab=ClassesTab&amp;id=http%3A%2F%2Fwho.int%2Ficd%234400_512ebf36_bf6b_4d70_85da_cf2637062af4","iCat")</x:f>
      </x:c>
      <x:c r="M1622" s="0" t="s">
        <x:v>21</x:v>
      </x:c>
      <x:c r="N1622" s="0" t="s">
        <x:v>46</x:v>
      </x:c>
    </x:row>
    <x:row r="1623" spans="1:16">
      <x:c r="A1623" s="0" t="s">
        <x:v>6322</x:v>
      </x:c>
      <x:c r="B1623" s="0" t="s">
        <x:v>6323</x:v>
      </x:c>
      <x:c r="C1623" s="0" t="s">
        <x:v>6324</x:v>
      </x:c>
      <x:c r="E1623" s="0" t="s">
        <x:v>6325</x:v>
      </x:c>
      <x:c r="F1623" s="0" t="s">
        <x:v>45</x:v>
      </x:c>
      <x:c r="G1623" s="0" t="s">
        <x:v>19</x:v>
      </x:c>
      <x:c r="H1623" s="0" t="s">
        <x:v>20</x:v>
      </x:c>
      <x:c r="I1623" s="0" t="s">
        <x:v>21</x:v>
      </x:c>
      <x:c r="K1623" s="0">
        <x:f>hyperlink("https://icd.who.int/dev11/l-ichi/en#/http%3A%2F%2Fid.who.int%2Ficd%2Fentity%2F641730038","browser")</x:f>
      </x:c>
      <x:c r="L1623" s="0">
        <x:f>hyperlink("https://icat2.azurewebsites.net/icat/?ontology=ICD&amp;tab=ClassesTab&amp;id=http%3A%2F%2Fwho.int%2Ficd%234406_512ebf36_bf6b_4d70_85da_cf2637062af4","iCat")</x:f>
      </x:c>
      <x:c r="M1623" s="0" t="s">
        <x:v>21</x:v>
      </x:c>
      <x:c r="N1623" s="0" t="s">
        <x:v>46</x:v>
      </x:c>
    </x:row>
    <x:row r="1624" spans="1:16">
      <x:c r="A1624" s="0" t="s">
        <x:v>6326</x:v>
      </x:c>
      <x:c r="B1624" s="0" t="s">
        <x:v>6327</x:v>
      </x:c>
      <x:c r="C1624" s="0" t="s">
        <x:v>6328</x:v>
      </x:c>
      <x:c r="E1624" s="0" t="s">
        <x:v>6329</x:v>
      </x:c>
      <x:c r="F1624" s="0" t="s">
        <x:v>45</x:v>
      </x:c>
      <x:c r="G1624" s="0" t="s">
        <x:v>19</x:v>
      </x:c>
      <x:c r="H1624" s="0" t="s">
        <x:v>20</x:v>
      </x:c>
      <x:c r="I1624" s="0" t="s">
        <x:v>21</x:v>
      </x:c>
      <x:c r="K1624" s="0">
        <x:f>hyperlink("https://icd.who.int/dev11/l-ichi/en#/http%3A%2F%2Fid.who.int%2Ficd%2Fentity%2F704220516","browser")</x:f>
      </x:c>
      <x:c r="L1624" s="0">
        <x:f>hyperlink("https://icat2.azurewebsites.net/icat/?ontology=ICD&amp;tab=ClassesTab&amp;id=http%3A%2F%2Fwho.int%2Ficd%234414_512ebf36_bf6b_4d70_85da_cf2637062af4","iCat")</x:f>
      </x:c>
      <x:c r="M1624" s="0" t="s">
        <x:v>21</x:v>
      </x:c>
      <x:c r="N1624" s="0" t="s">
        <x:v>46</x:v>
      </x:c>
    </x:row>
    <x:row r="1625" spans="1:16">
      <x:c r="A1625" s="0" t="s">
        <x:v>6330</x:v>
      </x:c>
      <x:c r="B1625" s="0" t="s">
        <x:v>6331</x:v>
      </x:c>
      <x:c r="C1625" s="0" t="s">
        <x:v>6332</x:v>
      </x:c>
      <x:c r="E1625" s="0" t="s">
        <x:v>6333</x:v>
      </x:c>
      <x:c r="F1625" s="0" t="s">
        <x:v>45</x:v>
      </x:c>
      <x:c r="G1625" s="0" t="s">
        <x:v>19</x:v>
      </x:c>
      <x:c r="H1625" s="0" t="s">
        <x:v>20</x:v>
      </x:c>
      <x:c r="I1625" s="0" t="s">
        <x:v>21</x:v>
      </x:c>
      <x:c r="K1625" s="0">
        <x:f>hyperlink("https://icd.who.int/dev11/l-ichi/en#/http%3A%2F%2Fid.who.int%2Ficd%2Fentity%2F1548683543","browser")</x:f>
      </x:c>
      <x:c r="L1625" s="0">
        <x:f>hyperlink("https://icat2.azurewebsites.net/icat/?ontology=ICD&amp;tab=ClassesTab&amp;id=http%3A%2F%2Fwho.int%2Ficd%234420_512ebf36_bf6b_4d70_85da_cf2637062af4","iCat")</x:f>
      </x:c>
      <x:c r="M1625" s="0" t="s">
        <x:v>21</x:v>
      </x:c>
      <x:c r="N1625" s="0" t="s">
        <x:v>46</x:v>
      </x:c>
    </x:row>
    <x:row r="1626" spans="1:16">
      <x:c r="A1626" s="0" t="s">
        <x:v>6334</x:v>
      </x:c>
      <x:c r="B1626" s="0" t="s">
        <x:v>6335</x:v>
      </x:c>
      <x:c r="C1626" s="0" t="s">
        <x:v>6336</x:v>
      </x:c>
      <x:c r="E1626" s="0" t="s">
        <x:v>6337</x:v>
      </x:c>
      <x:c r="F1626" s="0" t="s">
        <x:v>45</x:v>
      </x:c>
      <x:c r="G1626" s="0" t="s">
        <x:v>19</x:v>
      </x:c>
      <x:c r="H1626" s="0" t="s">
        <x:v>20</x:v>
      </x:c>
      <x:c r="I1626" s="0" t="s">
        <x:v>21</x:v>
      </x:c>
      <x:c r="K1626" s="0">
        <x:f>hyperlink("https://icd.who.int/dev11/l-ichi/en#/http%3A%2F%2Fid.who.int%2Ficd%2Fentity%2F204787880","browser")</x:f>
      </x:c>
      <x:c r="L1626" s="0">
        <x:f>hyperlink("https://icat2.azurewebsites.net/icat/?ontology=ICD&amp;tab=ClassesTab&amp;id=http%3A%2F%2Fwho.int%2Ficd%234426_512ebf36_bf6b_4d70_85da_cf2637062af4","iCat")</x:f>
      </x:c>
      <x:c r="M1626" s="0" t="s">
        <x:v>21</x:v>
      </x:c>
      <x:c r="N1626" s="0" t="s">
        <x:v>46</x:v>
      </x:c>
    </x:row>
    <x:row r="1627" spans="1:16">
      <x:c r="A1627" s="0" t="s">
        <x:v>6338</x:v>
      </x:c>
      <x:c r="B1627" s="0" t="s">
        <x:v>6339</x:v>
      </x:c>
      <x:c r="C1627" s="0" t="s">
        <x:v>6340</x:v>
      </x:c>
      <x:c r="E1627" s="0" t="s">
        <x:v>6341</x:v>
      </x:c>
      <x:c r="F1627" s="0" t="s">
        <x:v>45</x:v>
      </x:c>
      <x:c r="G1627" s="0" t="s">
        <x:v>19</x:v>
      </x:c>
      <x:c r="H1627" s="0" t="s">
        <x:v>20</x:v>
      </x:c>
      <x:c r="I1627" s="0" t="s">
        <x:v>21</x:v>
      </x:c>
      <x:c r="K1627" s="0">
        <x:f>hyperlink("https://icd.who.int/dev11/l-ichi/en#/http%3A%2F%2Fid.who.int%2Ficd%2Fentity%2F1930425273","browser")</x:f>
      </x:c>
      <x:c r="L1627" s="0">
        <x:f>hyperlink("https://icat2.azurewebsites.net/icat/?ontology=ICD&amp;tab=ClassesTab&amp;id=http%3A%2F%2Fwho.int%2Ficd%234433_512ebf36_bf6b_4d70_85da_cf2637062af4","iCat")</x:f>
      </x:c>
      <x:c r="M1627" s="0" t="s">
        <x:v>21</x:v>
      </x:c>
      <x:c r="N1627" s="0" t="s">
        <x:v>46</x:v>
      </x:c>
    </x:row>
    <x:row r="1628" spans="1:16">
      <x:c r="A1628" s="0" t="s">
        <x:v>6342</x:v>
      </x:c>
      <x:c r="B1628" s="0" t="s">
        <x:v>6343</x:v>
      </x:c>
      <x:c r="C1628" s="0" t="s">
        <x:v>6344</x:v>
      </x:c>
      <x:c r="E1628" s="0" t="s">
        <x:v>6345</x:v>
      </x:c>
      <x:c r="F1628" s="0" t="s">
        <x:v>45</x:v>
      </x:c>
      <x:c r="G1628" s="0" t="s">
        <x:v>19</x:v>
      </x:c>
      <x:c r="H1628" s="0" t="s">
        <x:v>20</x:v>
      </x:c>
      <x:c r="I1628" s="0" t="s">
        <x:v>21</x:v>
      </x:c>
      <x:c r="K1628" s="0">
        <x:f>hyperlink("https://icd.who.int/dev11/l-ichi/en#/http%3A%2F%2Fid.who.int%2Ficd%2Fentity%2F1138352291","browser")</x:f>
      </x:c>
      <x:c r="L1628" s="0">
        <x:f>hyperlink("https://icat2.azurewebsites.net/icat/?ontology=ICD&amp;tab=ClassesTab&amp;id=http%3A%2F%2Fwho.int%2Ficd%234443_512ebf36_bf6b_4d70_85da_cf2637062af4","iCat")</x:f>
      </x:c>
      <x:c r="M1628" s="0" t="s">
        <x:v>21</x:v>
      </x:c>
      <x:c r="N1628" s="0" t="s">
        <x:v>46</x:v>
      </x:c>
    </x:row>
    <x:row r="1629" spans="1:16">
      <x:c r="A1629" s="0" t="s">
        <x:v>6346</x:v>
      </x:c>
      <x:c r="B1629" s="0" t="s">
        <x:v>6347</x:v>
      </x:c>
      <x:c r="C1629" s="0" t="s">
        <x:v>6348</x:v>
      </x:c>
      <x:c r="E1629" s="0" t="s">
        <x:v>6349</x:v>
      </x:c>
      <x:c r="F1629" s="0" t="s">
        <x:v>45</x:v>
      </x:c>
      <x:c r="G1629" s="0" t="s">
        <x:v>19</x:v>
      </x:c>
      <x:c r="H1629" s="0" t="s">
        <x:v>20</x:v>
      </x:c>
      <x:c r="I1629" s="0" t="s">
        <x:v>21</x:v>
      </x:c>
      <x:c r="K1629" s="0">
        <x:f>hyperlink("https://icd.who.int/dev11/l-ichi/en#/http%3A%2F%2Fid.who.int%2Ficd%2Fentity%2F740841994","browser")</x:f>
      </x:c>
      <x:c r="L1629" s="0">
        <x:f>hyperlink("https://icat2.azurewebsites.net/icat/?ontology=ICD&amp;tab=ClassesTab&amp;id=http%3A%2F%2Fwho.int%2Ficd%234460_512ebf36_bf6b_4d70_85da_cf2637062af4","iCat")</x:f>
      </x:c>
      <x:c r="M1629" s="0" t="s">
        <x:v>21</x:v>
      </x:c>
      <x:c r="N1629" s="0" t="s">
        <x:v>46</x:v>
      </x:c>
    </x:row>
    <x:row r="1630" spans="1:16">
      <x:c r="A1630" s="0" t="s">
        <x:v>6350</x:v>
      </x:c>
      <x:c r="B1630" s="0" t="s">
        <x:v>6351</x:v>
      </x:c>
      <x:c r="C1630" s="0" t="s">
        <x:v>6352</x:v>
      </x:c>
      <x:c r="E1630" s="0" t="s">
        <x:v>6353</x:v>
      </x:c>
      <x:c r="F1630" s="0" t="s">
        <x:v>45</x:v>
      </x:c>
      <x:c r="G1630" s="0" t="s">
        <x:v>19</x:v>
      </x:c>
      <x:c r="H1630" s="0" t="s">
        <x:v>20</x:v>
      </x:c>
      <x:c r="I1630" s="0" t="s">
        <x:v>21</x:v>
      </x:c>
      <x:c r="K1630" s="0">
        <x:f>hyperlink("https://icd.who.int/dev11/l-ichi/en#/http%3A%2F%2Fid.who.int%2Ficd%2Fentity%2F378935022","browser")</x:f>
      </x:c>
      <x:c r="L1630" s="0">
        <x:f>hyperlink("https://icat2.azurewebsites.net/icat/?ontology=ICD&amp;tab=ClassesTab&amp;id=http%3A%2F%2Fwho.int%2Ficd%234476_512ebf36_bf6b_4d70_85da_cf2637062af4","iCat")</x:f>
      </x:c>
      <x:c r="M1630" s="0" t="s">
        <x:v>21</x:v>
      </x:c>
      <x:c r="N1630" s="0" t="s">
        <x:v>46</x:v>
      </x:c>
    </x:row>
    <x:row r="1631" spans="1:16">
      <x:c r="A1631" s="0" t="s">
        <x:v>6354</x:v>
      </x:c>
      <x:c r="B1631" s="0" t="s">
        <x:v>6355</x:v>
      </x:c>
      <x:c r="C1631" s="0" t="s">
        <x:v>6356</x:v>
      </x:c>
      <x:c r="E1631" s="0" t="s">
        <x:v>6357</x:v>
      </x:c>
      <x:c r="F1631" s="0" t="s">
        <x:v>45</x:v>
      </x:c>
      <x:c r="G1631" s="0" t="s">
        <x:v>19</x:v>
      </x:c>
      <x:c r="H1631" s="0" t="s">
        <x:v>20</x:v>
      </x:c>
      <x:c r="I1631" s="0" t="s">
        <x:v>21</x:v>
      </x:c>
      <x:c r="K1631" s="0">
        <x:f>hyperlink("https://icd.who.int/dev11/l-ichi/en#/http%3A%2F%2Fid.who.int%2Ficd%2Fentity%2F209098822","browser")</x:f>
      </x:c>
      <x:c r="L1631" s="0">
        <x:f>hyperlink("https://icat2.azurewebsites.net/icat/?ontology=ICD&amp;tab=ClassesTab&amp;id=http%3A%2F%2Fwho.int%2Ficd%234482_512ebf36_bf6b_4d70_85da_cf2637062af4","iCat")</x:f>
      </x:c>
      <x:c r="M1631" s="0" t="s">
        <x:v>21</x:v>
      </x:c>
      <x:c r="N1631" s="0" t="s">
        <x:v>46</x:v>
      </x:c>
    </x:row>
    <x:row r="1632" spans="1:16">
      <x:c r="A1632" s="0" t="s">
        <x:v>6358</x:v>
      </x:c>
      <x:c r="B1632" s="0" t="s">
        <x:v>6359</x:v>
      </x:c>
      <x:c r="D1632" s="0" t="s">
        <x:v>6360</x:v>
      </x:c>
      <x:c r="E1632" s="0" t="s">
        <x:v>6361</x:v>
      </x:c>
      <x:c r="F1632" s="0" t="s">
        <x:v>26</x:v>
      </x:c>
      <x:c r="G1632" s="0" t="s">
        <x:v>22</x:v>
      </x:c>
      <x:c r="H1632" s="0" t="s">
        <x:v>20</x:v>
      </x:c>
      <x:c r="I1632" s="0" t="s">
        <x:v>21</x:v>
      </x:c>
      <x:c r="K1632" s="0">
        <x:f>hyperlink("https://icd.who.int/dev11/l-ichi/en#/http%3A%2F%2Fid.who.int%2Ficd%2Fentity%2F63901908","browser")</x:f>
      </x:c>
      <x:c r="L1632" s="0">
        <x:f>hyperlink("https://icat2.azurewebsites.net/icat/?ontology=ICD&amp;tab=ClassesTab&amp;id=http%3A%2F%2Fwho.int%2Ficd%234490_512ebf36_bf6b_4d70_85da_cf2637062af4","iCat")</x:f>
      </x:c>
      <x:c r="M1632" s="0" t="s">
        <x:v>20</x:v>
      </x:c>
      <x:c r="N1632" s="0" t="s">
        <x:v>6362</x:v>
      </x:c>
    </x:row>
    <x:row r="1633" spans="1:16">
      <x:c r="A1633" s="0" t="s">
        <x:v>6363</x:v>
      </x:c>
      <x:c r="B1633" s="0" t="s">
        <x:v>6364</x:v>
      </x:c>
      <x:c r="C1633" s="0" t="s">
        <x:v>6365</x:v>
      </x:c>
      <x:c r="E1633" s="0" t="s">
        <x:v>6366</x:v>
      </x:c>
      <x:c r="F1633" s="0" t="s">
        <x:v>45</x:v>
      </x:c>
      <x:c r="G1633" s="0" t="s">
        <x:v>19</x:v>
      </x:c>
      <x:c r="H1633" s="0" t="s">
        <x:v>20</x:v>
      </x:c>
      <x:c r="I1633" s="0" t="s">
        <x:v>21</x:v>
      </x:c>
      <x:c r="K1633" s="0">
        <x:f>hyperlink("https://icd.who.int/dev11/l-ichi/en#/http%3A%2F%2Fid.who.int%2Ficd%2Fentity%2F124946156","browser")</x:f>
      </x:c>
      <x:c r="L1633" s="0">
        <x:f>hyperlink("https://icat2.azurewebsites.net/icat/?ontology=ICD&amp;tab=ClassesTab&amp;id=http%3A%2F%2Fwho.int%2Ficd%234489_512ebf36_bf6b_4d70_85da_cf2637062af4","iCat")</x:f>
      </x:c>
      <x:c r="M1633" s="0" t="s">
        <x:v>21</x:v>
      </x:c>
      <x:c r="N1633" s="0" t="s">
        <x:v>46</x:v>
      </x:c>
    </x:row>
    <x:row r="1634" spans="1:16">
      <x:c r="A1634" s="0" t="s">
        <x:v>6367</x:v>
      </x:c>
      <x:c r="B1634" s="0" t="s">
        <x:v>6368</x:v>
      </x:c>
      <x:c r="C1634" s="0" t="s">
        <x:v>6369</x:v>
      </x:c>
      <x:c r="E1634" s="0" t="s">
        <x:v>6370</x:v>
      </x:c>
      <x:c r="F1634" s="0" t="s">
        <x:v>45</x:v>
      </x:c>
      <x:c r="G1634" s="0" t="s">
        <x:v>19</x:v>
      </x:c>
      <x:c r="H1634" s="0" t="s">
        <x:v>20</x:v>
      </x:c>
      <x:c r="I1634" s="0" t="s">
        <x:v>21</x:v>
      </x:c>
      <x:c r="K1634" s="0">
        <x:f>hyperlink("https://icd.who.int/dev11/l-ichi/en#/http%3A%2F%2Fid.who.int%2Ficd%2Fentity%2F593324262","browser")</x:f>
      </x:c>
      <x:c r="L1634" s="0">
        <x:f>hyperlink("https://icat2.azurewebsites.net/icat/?ontology=ICD&amp;tab=ClassesTab&amp;id=http%3A%2F%2Fwho.int%2Ficd%234501_512ebf36_bf6b_4d70_85da_cf2637062af4","iCat")</x:f>
      </x:c>
      <x:c r="M1634" s="0" t="s">
        <x:v>21</x:v>
      </x:c>
      <x:c r="N1634" s="0" t="s">
        <x:v>46</x:v>
      </x:c>
    </x:row>
    <x:row r="1635" spans="1:16">
      <x:c r="A1635" s="0" t="s">
        <x:v>6371</x:v>
      </x:c>
      <x:c r="B1635" s="0" t="s">
        <x:v>6372</x:v>
      </x:c>
      <x:c r="C1635" s="0" t="s">
        <x:v>6373</x:v>
      </x:c>
      <x:c r="E1635" s="0" t="s">
        <x:v>6374</x:v>
      </x:c>
      <x:c r="F1635" s="0" t="s">
        <x:v>45</x:v>
      </x:c>
      <x:c r="G1635" s="0" t="s">
        <x:v>19</x:v>
      </x:c>
      <x:c r="H1635" s="0" t="s">
        <x:v>20</x:v>
      </x:c>
      <x:c r="I1635" s="0" t="s">
        <x:v>21</x:v>
      </x:c>
      <x:c r="K1635" s="0">
        <x:f>hyperlink("https://icd.who.int/dev11/l-ichi/en#/http%3A%2F%2Fid.who.int%2Ficd%2Fentity%2F647924181","browser")</x:f>
      </x:c>
      <x:c r="L1635" s="0">
        <x:f>hyperlink("https://icat2.azurewebsites.net/icat/?ontology=ICD&amp;tab=ClassesTab&amp;id=http%3A%2F%2Fwho.int%2Ficd%233838_512ebf36_bf6b_4d70_85da_cf2637062af4","iCat")</x:f>
      </x:c>
      <x:c r="M1635" s="0" t="s">
        <x:v>21</x:v>
      </x:c>
      <x:c r="N1635" s="0" t="s">
        <x:v>46</x:v>
      </x:c>
    </x:row>
    <x:row r="1636" spans="1:16">
      <x:c r="A1636" s="0" t="s">
        <x:v>6375</x:v>
      </x:c>
      <x:c r="B1636" s="0" t="s">
        <x:v>6376</x:v>
      </x:c>
      <x:c r="C1636" s="0" t="s">
        <x:v>6377</x:v>
      </x:c>
      <x:c r="E1636" s="0" t="s">
        <x:v>6378</x:v>
      </x:c>
      <x:c r="F1636" s="0" t="s">
        <x:v>45</x:v>
      </x:c>
      <x:c r="G1636" s="0" t="s">
        <x:v>19</x:v>
      </x:c>
      <x:c r="H1636" s="0" t="s">
        <x:v>20</x:v>
      </x:c>
      <x:c r="I1636" s="0" t="s">
        <x:v>21</x:v>
      </x:c>
      <x:c r="K1636" s="0">
        <x:f>hyperlink("https://icd.who.int/dev11/l-ichi/en#/http%3A%2F%2Fid.who.int%2Ficd%2Fentity%2F1019205706","browser")</x:f>
      </x:c>
      <x:c r="L1636" s="0">
        <x:f>hyperlink("https://icat2.azurewebsites.net/icat/?ontology=ICD&amp;tab=ClassesTab&amp;id=http%3A%2F%2Fwho.int%2Ficd%2314942_4869915e_217e_423d_acb3_33c0f920ef4b","iCat")</x:f>
      </x:c>
      <x:c r="M1636" s="0" t="s">
        <x:v>21</x:v>
      </x:c>
      <x:c r="N1636" s="0" t="s">
        <x:v>46</x:v>
      </x:c>
    </x:row>
    <x:row r="1637" spans="1:16">
      <x:c r="A1637" s="0" t="s">
        <x:v>6379</x:v>
      </x:c>
      <x:c r="B1637" s="0" t="s">
        <x:v>6380</x:v>
      </x:c>
      <x:c r="C1637" s="0" t="s">
        <x:v>6381</x:v>
      </x:c>
      <x:c r="E1637" s="0" t="s">
        <x:v>6382</x:v>
      </x:c>
      <x:c r="F1637" s="0" t="s">
        <x:v>45</x:v>
      </x:c>
      <x:c r="G1637" s="0" t="s">
        <x:v>19</x:v>
      </x:c>
      <x:c r="H1637" s="0" t="s">
        <x:v>20</x:v>
      </x:c>
      <x:c r="I1637" s="0" t="s">
        <x:v>21</x:v>
      </x:c>
      <x:c r="K1637" s="0">
        <x:f>hyperlink("https://icd.who.int/dev11/l-ichi/en#/http%3A%2F%2Fid.who.int%2Ficd%2Fentity%2F1931915607","browser")</x:f>
      </x:c>
      <x:c r="L1637" s="0">
        <x:f>hyperlink("https://icat2.azurewebsites.net/icat/?ontology=ICD&amp;tab=ClassesTab&amp;id=http%3A%2F%2Fwho.int%2Ficd%234507_512ebf36_bf6b_4d70_85da_cf2637062af4","iCat")</x:f>
      </x:c>
      <x:c r="M1637" s="0" t="s">
        <x:v>21</x:v>
      </x:c>
      <x:c r="N1637" s="0" t="s">
        <x:v>46</x:v>
      </x:c>
    </x:row>
    <x:row r="1638" spans="1:16">
      <x:c r="A1638" s="0" t="s">
        <x:v>6383</x:v>
      </x:c>
      <x:c r="B1638" s="0" t="s">
        <x:v>6384</x:v>
      </x:c>
      <x:c r="C1638" s="0" t="s">
        <x:v>6385</x:v>
      </x:c>
      <x:c r="E1638" s="0" t="s">
        <x:v>6386</x:v>
      </x:c>
      <x:c r="F1638" s="0" t="s">
        <x:v>45</x:v>
      </x:c>
      <x:c r="G1638" s="0" t="s">
        <x:v>19</x:v>
      </x:c>
      <x:c r="H1638" s="0" t="s">
        <x:v>20</x:v>
      </x:c>
      <x:c r="I1638" s="0" t="s">
        <x:v>21</x:v>
      </x:c>
      <x:c r="K1638" s="0">
        <x:f>hyperlink("https://icd.who.int/dev11/l-ichi/en#/http%3A%2F%2Fid.who.int%2Ficd%2Fentity%2F1550207993","browser")</x:f>
      </x:c>
      <x:c r="L1638" s="0">
        <x:f>hyperlink("https://icat2.azurewebsites.net/icat/?ontology=ICD&amp;tab=ClassesTab&amp;id=http%3A%2F%2Fwho.int%2Ficd%234514_512ebf36_bf6b_4d70_85da_cf2637062af4","iCat")</x:f>
      </x:c>
      <x:c r="M1638" s="0" t="s">
        <x:v>21</x:v>
      </x:c>
      <x:c r="N1638" s="0" t="s">
        <x:v>46</x:v>
      </x:c>
    </x:row>
    <x:row r="1639" spans="1:16">
      <x:c r="A1639" s="0" t="s">
        <x:v>6387</x:v>
      </x:c>
      <x:c r="B1639" s="0" t="s">
        <x:v>6388</x:v>
      </x:c>
      <x:c r="C1639" s="0" t="s">
        <x:v>6389</x:v>
      </x:c>
      <x:c r="E1639" s="0" t="s">
        <x:v>6390</x:v>
      </x:c>
      <x:c r="F1639" s="0" t="s">
        <x:v>45</x:v>
      </x:c>
      <x:c r="G1639" s="0" t="s">
        <x:v>19</x:v>
      </x:c>
      <x:c r="H1639" s="0" t="s">
        <x:v>20</x:v>
      </x:c>
      <x:c r="I1639" s="0" t="s">
        <x:v>21</x:v>
      </x:c>
      <x:c r="K1639" s="0">
        <x:f>hyperlink("https://icd.who.int/dev11/l-ichi/en#/http%3A%2F%2Fid.who.int%2Ficd%2Fentity%2F701550474","browser")</x:f>
      </x:c>
      <x:c r="L1639" s="0">
        <x:f>hyperlink("https://icat2.azurewebsites.net/icat/?ontology=ICD&amp;tab=ClassesTab&amp;id=http%3A%2F%2Fwho.int%2Ficd%234520_512ebf36_bf6b_4d70_85da_cf2637062af4","iCat")</x:f>
      </x:c>
      <x:c r="M1639" s="0" t="s">
        <x:v>21</x:v>
      </x:c>
      <x:c r="N1639" s="0" t="s">
        <x:v>46</x:v>
      </x:c>
    </x:row>
    <x:row r="1640" spans="1:16">
      <x:c r="A1640" s="0" t="s">
        <x:v>6391</x:v>
      </x:c>
      <x:c r="B1640" s="0" t="s">
        <x:v>6392</x:v>
      </x:c>
      <x:c r="C1640" s="0" t="s">
        <x:v>6393</x:v>
      </x:c>
      <x:c r="E1640" s="0" t="s">
        <x:v>6394</x:v>
      </x:c>
      <x:c r="F1640" s="0" t="s">
        <x:v>45</x:v>
      </x:c>
      <x:c r="G1640" s="0" t="s">
        <x:v>19</x:v>
      </x:c>
      <x:c r="H1640" s="0" t="s">
        <x:v>20</x:v>
      </x:c>
      <x:c r="I1640" s="0" t="s">
        <x:v>21</x:v>
      </x:c>
      <x:c r="K1640" s="0">
        <x:f>hyperlink("https://icd.who.int/dev11/l-ichi/en#/http%3A%2F%2Fid.who.int%2Ficd%2Fentity%2F1202244835","browser")</x:f>
      </x:c>
      <x:c r="L1640" s="0">
        <x:f>hyperlink("https://icat2.azurewebsites.net/icat/?ontology=ICD&amp;tab=ClassesTab&amp;id=http%3A%2F%2Fwho.int%2Ficd%234529_512ebf36_bf6b_4d70_85da_cf2637062af4","iCat")</x:f>
      </x:c>
      <x:c r="M1640" s="0" t="s">
        <x:v>21</x:v>
      </x:c>
      <x:c r="N1640" s="0" t="s">
        <x:v>46</x:v>
      </x:c>
    </x:row>
    <x:row r="1641" spans="1:16">
      <x:c r="A1641" s="0" t="s">
        <x:v>6395</x:v>
      </x:c>
      <x:c r="B1641" s="0" t="s">
        <x:v>6396</x:v>
      </x:c>
      <x:c r="C1641" s="0" t="s">
        <x:v>6397</x:v>
      </x:c>
      <x:c r="E1641" s="0" t="s">
        <x:v>6398</x:v>
      </x:c>
      <x:c r="F1641" s="0" t="s">
        <x:v>45</x:v>
      </x:c>
      <x:c r="G1641" s="0" t="s">
        <x:v>19</x:v>
      </x:c>
      <x:c r="H1641" s="0" t="s">
        <x:v>20</x:v>
      </x:c>
      <x:c r="I1641" s="0" t="s">
        <x:v>21</x:v>
      </x:c>
      <x:c r="K1641" s="0">
        <x:f>hyperlink("https://icd.who.int/dev11/l-ichi/en#/http%3A%2F%2Fid.who.int%2Ficd%2Fentity%2F1458302101","browser")</x:f>
      </x:c>
      <x:c r="L1641" s="0">
        <x:f>hyperlink("https://icat2.azurewebsites.net/icat/?ontology=ICD&amp;tab=ClassesTab&amp;id=http%3A%2F%2Fwho.int%2Ficd%234535_512ebf36_bf6b_4d70_85da_cf2637062af4","iCat")</x:f>
      </x:c>
      <x:c r="M1641" s="0" t="s">
        <x:v>21</x:v>
      </x:c>
      <x:c r="N1641" s="0" t="s">
        <x:v>46</x:v>
      </x:c>
    </x:row>
    <x:row r="1642" spans="1:16">
      <x:c r="A1642" s="0" t="s">
        <x:v>6399</x:v>
      </x:c>
      <x:c r="B1642" s="0" t="s">
        <x:v>6400</x:v>
      </x:c>
      <x:c r="C1642" s="0" t="s">
        <x:v>6401</x:v>
      </x:c>
      <x:c r="E1642" s="0" t="s">
        <x:v>6402</x:v>
      </x:c>
      <x:c r="F1642" s="0" t="s">
        <x:v>45</x:v>
      </x:c>
      <x:c r="G1642" s="0" t="s">
        <x:v>19</x:v>
      </x:c>
      <x:c r="H1642" s="0" t="s">
        <x:v>20</x:v>
      </x:c>
      <x:c r="I1642" s="0" t="s">
        <x:v>21</x:v>
      </x:c>
      <x:c r="K1642" s="0">
        <x:f>hyperlink("https://icd.who.int/dev11/l-ichi/en#/http%3A%2F%2Fid.who.int%2Ficd%2Fentity%2F1396325371","browser")</x:f>
      </x:c>
      <x:c r="L1642" s="0">
        <x:f>hyperlink("https://icat2.azurewebsites.net/icat/?ontology=ICD&amp;tab=ClassesTab&amp;id=http%3A%2F%2Fwho.int%2Ficd%234541_512ebf36_bf6b_4d70_85da_cf2637062af4","iCat")</x:f>
      </x:c>
      <x:c r="M1642" s="0" t="s">
        <x:v>21</x:v>
      </x:c>
      <x:c r="N1642" s="0" t="s">
        <x:v>46</x:v>
      </x:c>
    </x:row>
    <x:row r="1643" spans="1:16">
      <x:c r="A1643" s="0" t="s">
        <x:v>6403</x:v>
      </x:c>
      <x:c r="B1643" s="0" t="s">
        <x:v>6404</x:v>
      </x:c>
      <x:c r="C1643" s="0" t="s">
        <x:v>6405</x:v>
      </x:c>
      <x:c r="E1643" s="0" t="s">
        <x:v>6406</x:v>
      </x:c>
      <x:c r="F1643" s="0" t="s">
        <x:v>45</x:v>
      </x:c>
      <x:c r="G1643" s="0" t="s">
        <x:v>19</x:v>
      </x:c>
      <x:c r="H1643" s="0" t="s">
        <x:v>20</x:v>
      </x:c>
      <x:c r="I1643" s="0" t="s">
        <x:v>21</x:v>
      </x:c>
      <x:c r="K1643" s="0">
        <x:f>hyperlink("https://icd.who.int/dev11/l-ichi/en#/http%3A%2F%2Fid.who.int%2Ficd%2Fentity%2F419880082","browser")</x:f>
      </x:c>
      <x:c r="L1643" s="0">
        <x:f>hyperlink("https://icat2.azurewebsites.net/icat/?ontology=ICD&amp;tab=ClassesTab&amp;id=http%3A%2F%2Fwho.int%2Ficd%234550_512ebf36_bf6b_4d70_85da_cf2637062af4","iCat")</x:f>
      </x:c>
      <x:c r="M1643" s="0" t="s">
        <x:v>21</x:v>
      </x:c>
      <x:c r="N1643" s="0" t="s">
        <x:v>46</x:v>
      </x:c>
    </x:row>
    <x:row r="1644" spans="1:16">
      <x:c r="A1644" s="0" t="s">
        <x:v>6407</x:v>
      </x:c>
      <x:c r="B1644" s="0" t="s">
        <x:v>6408</x:v>
      </x:c>
      <x:c r="C1644" s="0" t="s">
        <x:v>6409</x:v>
      </x:c>
      <x:c r="E1644" s="0" t="s">
        <x:v>6410</x:v>
      </x:c>
      <x:c r="F1644" s="0" t="s">
        <x:v>45</x:v>
      </x:c>
      <x:c r="G1644" s="0" t="s">
        <x:v>19</x:v>
      </x:c>
      <x:c r="H1644" s="0" t="s">
        <x:v>20</x:v>
      </x:c>
      <x:c r="I1644" s="0" t="s">
        <x:v>21</x:v>
      </x:c>
      <x:c r="K1644" s="0">
        <x:f>hyperlink("https://icd.who.int/dev11/l-ichi/en#/http%3A%2F%2Fid.who.int%2Ficd%2Fentity%2F2004803577","browser")</x:f>
      </x:c>
      <x:c r="L1644" s="0">
        <x:f>hyperlink("https://icat2.azurewebsites.net/icat/?ontology=ICD&amp;tab=ClassesTab&amp;id=http%3A%2F%2Fwho.int%2Ficd%234559_512ebf36_bf6b_4d70_85da_cf2637062af4","iCat")</x:f>
      </x:c>
      <x:c r="M1644" s="0" t="s">
        <x:v>21</x:v>
      </x:c>
      <x:c r="N1644" s="0" t="s">
        <x:v>46</x:v>
      </x:c>
    </x:row>
    <x:row r="1645" spans="1:16">
      <x:c r="A1645" s="0" t="s">
        <x:v>6411</x:v>
      </x:c>
      <x:c r="B1645" s="0" t="s">
        <x:v>6412</x:v>
      </x:c>
      <x:c r="C1645" s="0" t="s">
        <x:v>6413</x:v>
      </x:c>
      <x:c r="E1645" s="0" t="s">
        <x:v>6414</x:v>
      </x:c>
      <x:c r="F1645" s="0" t="s">
        <x:v>45</x:v>
      </x:c>
      <x:c r="G1645" s="0" t="s">
        <x:v>19</x:v>
      </x:c>
      <x:c r="H1645" s="0" t="s">
        <x:v>20</x:v>
      </x:c>
      <x:c r="I1645" s="0" t="s">
        <x:v>21</x:v>
      </x:c>
      <x:c r="K1645" s="0">
        <x:f>hyperlink("https://icd.who.int/dev11/l-ichi/en#/http%3A%2F%2Fid.who.int%2Ficd%2Fentity%2F936353792","browser")</x:f>
      </x:c>
      <x:c r="L1645" s="0">
        <x:f>hyperlink("https://icat2.azurewebsites.net/icat/?ontology=ICD&amp;tab=ClassesTab&amp;id=http%3A%2F%2Fwho.int%2Ficd%234569_512ebf36_bf6b_4d70_85da_cf2637062af4","iCat")</x:f>
      </x:c>
      <x:c r="M1645" s="0" t="s">
        <x:v>21</x:v>
      </x:c>
      <x:c r="N1645" s="0" t="s">
        <x:v>46</x:v>
      </x:c>
    </x:row>
    <x:row r="1646" spans="1:16">
      <x:c r="A1646" s="0" t="s">
        <x:v>6415</x:v>
      </x:c>
      <x:c r="B1646" s="0" t="s">
        <x:v>6416</x:v>
      </x:c>
      <x:c r="C1646" s="0" t="s">
        <x:v>6417</x:v>
      </x:c>
      <x:c r="E1646" s="0" t="s">
        <x:v>6418</x:v>
      </x:c>
      <x:c r="F1646" s="0" t="s">
        <x:v>45</x:v>
      </x:c>
      <x:c r="G1646" s="0" t="s">
        <x:v>19</x:v>
      </x:c>
      <x:c r="H1646" s="0" t="s">
        <x:v>20</x:v>
      </x:c>
      <x:c r="I1646" s="0" t="s">
        <x:v>21</x:v>
      </x:c>
      <x:c r="K1646" s="0">
        <x:f>hyperlink("https://icd.who.int/dev11/l-ichi/en#/http%3A%2F%2Fid.who.int%2Ficd%2Fentity%2F1139843661","browser")</x:f>
      </x:c>
      <x:c r="L1646" s="0">
        <x:f>hyperlink("https://icat2.azurewebsites.net/icat/?ontology=ICD&amp;tab=ClassesTab&amp;id=http%3A%2F%2Fwho.int%2Ficd%234577_512ebf36_bf6b_4d70_85da_cf2637062af4","iCat")</x:f>
      </x:c>
      <x:c r="M1646" s="0" t="s">
        <x:v>21</x:v>
      </x:c>
      <x:c r="N1646" s="0" t="s">
        <x:v>46</x:v>
      </x:c>
    </x:row>
    <x:row r="1647" spans="1:16">
      <x:c r="A1647" s="0" t="s">
        <x:v>6419</x:v>
      </x:c>
      <x:c r="B1647" s="0" t="s">
        <x:v>6420</x:v>
      </x:c>
      <x:c r="C1647" s="0" t="s">
        <x:v>6421</x:v>
      </x:c>
      <x:c r="E1647" s="0" t="s">
        <x:v>6422</x:v>
      </x:c>
      <x:c r="F1647" s="0" t="s">
        <x:v>45</x:v>
      </x:c>
      <x:c r="G1647" s="0" t="s">
        <x:v>19</x:v>
      </x:c>
      <x:c r="H1647" s="0" t="s">
        <x:v>20</x:v>
      </x:c>
      <x:c r="I1647" s="0" t="s">
        <x:v>21</x:v>
      </x:c>
      <x:c r="K1647" s="0">
        <x:f>hyperlink("https://icd.who.int/dev11/l-ichi/en#/http%3A%2F%2Fid.who.int%2Ficd%2Fentity%2F1494232295","browser")</x:f>
      </x:c>
      <x:c r="L1647" s="0">
        <x:f>hyperlink("https://icat2.azurewebsites.net/icat/?ontology=ICD&amp;tab=ClassesTab&amp;id=http%3A%2F%2Fwho.int%2Ficd%234583_512ebf36_bf6b_4d70_85da_cf2637062af4","iCat")</x:f>
      </x:c>
      <x:c r="M1647" s="0" t="s">
        <x:v>21</x:v>
      </x:c>
      <x:c r="N1647" s="0" t="s">
        <x:v>46</x:v>
      </x:c>
    </x:row>
    <x:row r="1648" spans="1:16">
      <x:c r="A1648" s="0" t="s">
        <x:v>6423</x:v>
      </x:c>
      <x:c r="B1648" s="0" t="s">
        <x:v>6424</x:v>
      </x:c>
      <x:c r="C1648" s="0" t="s">
        <x:v>6425</x:v>
      </x:c>
      <x:c r="E1648" s="0" t="s">
        <x:v>6426</x:v>
      </x:c>
      <x:c r="F1648" s="0" t="s">
        <x:v>45</x:v>
      </x:c>
      <x:c r="G1648" s="0" t="s">
        <x:v>19</x:v>
      </x:c>
      <x:c r="H1648" s="0" t="s">
        <x:v>20</x:v>
      </x:c>
      <x:c r="I1648" s="0" t="s">
        <x:v>21</x:v>
      </x:c>
      <x:c r="K1648" s="0">
        <x:f>hyperlink("https://icd.who.int/dev11/l-ichi/en#/http%3A%2F%2Fid.who.int%2Ficd%2Fentity%2F1985009225","browser")</x:f>
      </x:c>
      <x:c r="L1648" s="0">
        <x:f>hyperlink("https://icat2.azurewebsites.net/icat/?ontology=ICD&amp;tab=ClassesTab&amp;id=http%3A%2F%2Fwho.int%2Ficd%234590_512ebf36_bf6b_4d70_85da_cf2637062af4","iCat")</x:f>
      </x:c>
      <x:c r="M1648" s="0" t="s">
        <x:v>21</x:v>
      </x:c>
      <x:c r="N1648" s="0" t="s">
        <x:v>46</x:v>
      </x:c>
    </x:row>
    <x:row r="1649" spans="1:16">
      <x:c r="A1649" s="0" t="s">
        <x:v>6427</x:v>
      </x:c>
      <x:c r="B1649" s="0" t="s">
        <x:v>6428</x:v>
      </x:c>
      <x:c r="C1649" s="0" t="s">
        <x:v>6429</x:v>
      </x:c>
      <x:c r="E1649" s="0" t="s">
        <x:v>6430</x:v>
      </x:c>
      <x:c r="F1649" s="0" t="s">
        <x:v>45</x:v>
      </x:c>
      <x:c r="G1649" s="0" t="s">
        <x:v>19</x:v>
      </x:c>
      <x:c r="H1649" s="0" t="s">
        <x:v>20</x:v>
      </x:c>
      <x:c r="I1649" s="0" t="s">
        <x:v>21</x:v>
      </x:c>
      <x:c r="K1649" s="0">
        <x:f>hyperlink("https://icd.who.int/dev11/l-ichi/en#/http%3A%2F%2Fid.who.int%2Ficd%2Fentity%2F405329186","browser")</x:f>
      </x:c>
      <x:c r="L1649" s="0">
        <x:f>hyperlink("https://icat2.azurewebsites.net/icat/?ontology=ICD&amp;tab=ClassesTab&amp;id=http%3A%2F%2Fwho.int%2Ficd%234599_512ebf36_bf6b_4d70_85da_cf2637062af4","iCat")</x:f>
      </x:c>
      <x:c r="M1649" s="0" t="s">
        <x:v>21</x:v>
      </x:c>
      <x:c r="N1649" s="0" t="s">
        <x:v>46</x:v>
      </x:c>
    </x:row>
    <x:row r="1650" spans="1:16">
      <x:c r="A1650" s="0" t="s">
        <x:v>6431</x:v>
      </x:c>
      <x:c r="B1650" s="0" t="s">
        <x:v>6432</x:v>
      </x:c>
      <x:c r="C1650" s="0" t="s">
        <x:v>6433</x:v>
      </x:c>
      <x:c r="E1650" s="0" t="s">
        <x:v>6434</x:v>
      </x:c>
      <x:c r="F1650" s="0" t="s">
        <x:v>45</x:v>
      </x:c>
      <x:c r="G1650" s="0" t="s">
        <x:v>19</x:v>
      </x:c>
      <x:c r="H1650" s="0" t="s">
        <x:v>20</x:v>
      </x:c>
      <x:c r="I1650" s="0" t="s">
        <x:v>21</x:v>
      </x:c>
      <x:c r="K1650" s="0">
        <x:f>hyperlink("https://icd.who.int/dev11/l-ichi/en#/http%3A%2F%2Fid.who.int%2Ficd%2Fentity%2F684149226","browser")</x:f>
      </x:c>
      <x:c r="L1650" s="0">
        <x:f>hyperlink("https://icat2.azurewebsites.net/icat/?ontology=ICD&amp;tab=ClassesTab&amp;id=http%3A%2F%2Fwho.int%2Ficd%234611_512ebf36_bf6b_4d70_85da_cf2637062af4","iCat")</x:f>
      </x:c>
      <x:c r="M1650" s="0" t="s">
        <x:v>21</x:v>
      </x:c>
      <x:c r="N1650" s="0" t="s">
        <x:v>46</x:v>
      </x:c>
    </x:row>
    <x:row r="1651" spans="1:16">
      <x:c r="A1651" s="0" t="s">
        <x:v>6435</x:v>
      </x:c>
      <x:c r="B1651" s="0" t="s">
        <x:v>6436</x:v>
      </x:c>
      <x:c r="C1651" s="0" t="s">
        <x:v>6437</x:v>
      </x:c>
      <x:c r="E1651" s="0" t="s">
        <x:v>6438</x:v>
      </x:c>
      <x:c r="F1651" s="0" t="s">
        <x:v>45</x:v>
      </x:c>
      <x:c r="G1651" s="0" t="s">
        <x:v>19</x:v>
      </x:c>
      <x:c r="H1651" s="0" t="s">
        <x:v>20</x:v>
      </x:c>
      <x:c r="I1651" s="0" t="s">
        <x:v>21</x:v>
      </x:c>
      <x:c r="K1651" s="0">
        <x:f>hyperlink("https://icd.who.int/dev11/l-ichi/en#/http%3A%2F%2Fid.who.int%2Ficd%2Fentity%2F2025623641","browser")</x:f>
      </x:c>
      <x:c r="L1651" s="0">
        <x:f>hyperlink("https://icat2.azurewebsites.net/icat/?ontology=ICD&amp;tab=ClassesTab&amp;id=http%3A%2F%2Fwho.int%2Ficd%234617_512ebf36_bf6b_4d70_85da_cf2637062af4","iCat")</x:f>
      </x:c>
      <x:c r="M1651" s="0" t="s">
        <x:v>21</x:v>
      </x:c>
      <x:c r="N1651" s="0" t="s">
        <x:v>46</x:v>
      </x:c>
    </x:row>
    <x:row r="1652" spans="1:16">
      <x:c r="A1652" s="0" t="s">
        <x:v>6439</x:v>
      </x:c>
      <x:c r="B1652" s="0" t="s">
        <x:v>6440</x:v>
      </x:c>
      <x:c r="C1652" s="0" t="s">
        <x:v>6441</x:v>
      </x:c>
      <x:c r="E1652" s="0" t="s">
        <x:v>6442</x:v>
      </x:c>
      <x:c r="F1652" s="0" t="s">
        <x:v>45</x:v>
      </x:c>
      <x:c r="G1652" s="0" t="s">
        <x:v>19</x:v>
      </x:c>
      <x:c r="H1652" s="0" t="s">
        <x:v>20</x:v>
      </x:c>
      <x:c r="I1652" s="0" t="s">
        <x:v>21</x:v>
      </x:c>
      <x:c r="K1652" s="0">
        <x:f>hyperlink("https://icd.who.int/dev11/l-ichi/en#/http%3A%2F%2Fid.who.int%2Ficd%2Fentity%2F883177082","browser")</x:f>
      </x:c>
      <x:c r="L1652" s="0">
        <x:f>hyperlink("https://icat2.azurewebsites.net/icat/?ontology=ICD&amp;tab=ClassesTab&amp;id=http%3A%2F%2Fwho.int%2Ficd%2310360_4869915e_217e_423d_acb3_33c0f920ef4b","iCat")</x:f>
      </x:c>
      <x:c r="M1652" s="0" t="s">
        <x:v>21</x:v>
      </x:c>
      <x:c r="N1652" s="0" t="s">
        <x:v>46</x:v>
      </x:c>
    </x:row>
    <x:row r="1653" spans="1:16">
      <x:c r="A1653" s="0" t="s">
        <x:v>6443</x:v>
      </x:c>
      <x:c r="B1653" s="0" t="s">
        <x:v>6444</x:v>
      </x:c>
      <x:c r="C1653" s="0" t="s">
        <x:v>6445</x:v>
      </x:c>
      <x:c r="E1653" s="0" t="s">
        <x:v>6446</x:v>
      </x:c>
      <x:c r="F1653" s="0" t="s">
        <x:v>45</x:v>
      </x:c>
      <x:c r="G1653" s="0" t="s">
        <x:v>19</x:v>
      </x:c>
      <x:c r="H1653" s="0" t="s">
        <x:v>20</x:v>
      </x:c>
      <x:c r="I1653" s="0" t="s">
        <x:v>21</x:v>
      </x:c>
      <x:c r="K1653" s="0">
        <x:f>hyperlink("https://icd.who.int/dev11/l-ichi/en#/http%3A%2F%2Fid.who.int%2Ficd%2Fentity%2F1493239800","browser")</x:f>
      </x:c>
      <x:c r="L1653" s="0">
        <x:f>hyperlink("https://icat2.azurewebsites.net/icat/?ontology=ICD&amp;tab=ClassesTab&amp;id=http%3A%2F%2Fwho.int%2Ficd%232666_4869915e_217e_423d_acb3_33c0f920ef4b","iCat")</x:f>
      </x:c>
      <x:c r="M1653" s="0" t="s">
        <x:v>21</x:v>
      </x:c>
      <x:c r="N1653" s="0" t="s">
        <x:v>46</x:v>
      </x:c>
    </x:row>
    <x:row r="1654" spans="1:16">
      <x:c r="A1654" s="0" t="s">
        <x:v>6447</x:v>
      </x:c>
      <x:c r="B1654" s="0" t="s">
        <x:v>6448</x:v>
      </x:c>
      <x:c r="C1654" s="0" t="s">
        <x:v>6449</x:v>
      </x:c>
      <x:c r="E1654" s="0" t="s">
        <x:v>6450</x:v>
      </x:c>
      <x:c r="F1654" s="0" t="s">
        <x:v>45</x:v>
      </x:c>
      <x:c r="G1654" s="0" t="s">
        <x:v>19</x:v>
      </x:c>
      <x:c r="H1654" s="0" t="s">
        <x:v>20</x:v>
      </x:c>
      <x:c r="I1654" s="0" t="s">
        <x:v>21</x:v>
      </x:c>
      <x:c r="K1654" s="0">
        <x:f>hyperlink("https://icd.who.int/dev11/l-ichi/en#/http%3A%2F%2Fid.who.int%2Ficd%2Fentity%2F101583496","browser")</x:f>
      </x:c>
      <x:c r="L1654" s="0">
        <x:f>hyperlink("https://icat2.azurewebsites.net/icat/?ontology=ICD&amp;tab=ClassesTab&amp;id=http%3A%2F%2Fwho.int%2Ficd%234628_512ebf36_bf6b_4d70_85da_cf2637062af4","iCat")</x:f>
      </x:c>
      <x:c r="M1654" s="0" t="s">
        <x:v>21</x:v>
      </x:c>
      <x:c r="N1654" s="0" t="s">
        <x:v>46</x:v>
      </x:c>
    </x:row>
    <x:row r="1655" spans="1:16">
      <x:c r="A1655" s="0" t="s">
        <x:v>6451</x:v>
      </x:c>
      <x:c r="B1655" s="0" t="s">
        <x:v>6452</x:v>
      </x:c>
      <x:c r="C1655" s="0" t="s">
        <x:v>6453</x:v>
      </x:c>
      <x:c r="E1655" s="0" t="s">
        <x:v>6454</x:v>
      </x:c>
      <x:c r="F1655" s="0" t="s">
        <x:v>45</x:v>
      </x:c>
      <x:c r="G1655" s="0" t="s">
        <x:v>19</x:v>
      </x:c>
      <x:c r="H1655" s="0" t="s">
        <x:v>20</x:v>
      </x:c>
      <x:c r="I1655" s="0" t="s">
        <x:v>21</x:v>
      </x:c>
      <x:c r="K1655" s="0">
        <x:f>hyperlink("https://icd.who.int/dev11/l-ichi/en#/http%3A%2F%2Fid.who.int%2Ficd%2Fentity%2F1915828021","browser")</x:f>
      </x:c>
      <x:c r="L1655" s="0">
        <x:f>hyperlink("https://icat2.azurewebsites.net/icat/?ontology=ICD&amp;tab=ClassesTab&amp;id=http%3A%2F%2Fwho.int%2Ficd%234636_512ebf36_bf6b_4d70_85da_cf2637062af4","iCat")</x:f>
      </x:c>
      <x:c r="M1655" s="0" t="s">
        <x:v>21</x:v>
      </x:c>
      <x:c r="N1655" s="0" t="s">
        <x:v>46</x:v>
      </x:c>
    </x:row>
    <x:row r="1656" spans="1:16">
      <x:c r="A1656" s="0" t="s">
        <x:v>6455</x:v>
      </x:c>
      <x:c r="B1656" s="0" t="s">
        <x:v>6456</x:v>
      </x:c>
      <x:c r="C1656" s="0" t="s">
        <x:v>6457</x:v>
      </x:c>
      <x:c r="E1656" s="0" t="s">
        <x:v>6458</x:v>
      </x:c>
      <x:c r="F1656" s="0" t="s">
        <x:v>45</x:v>
      </x:c>
      <x:c r="G1656" s="0" t="s">
        <x:v>19</x:v>
      </x:c>
      <x:c r="H1656" s="0" t="s">
        <x:v>20</x:v>
      </x:c>
      <x:c r="I1656" s="0" t="s">
        <x:v>21</x:v>
      </x:c>
      <x:c r="K1656" s="0">
        <x:f>hyperlink("https://icd.who.int/dev11/l-ichi/en#/http%3A%2F%2Fid.who.int%2Ficd%2Fentity%2F2011226203","browser")</x:f>
      </x:c>
      <x:c r="L1656" s="0">
        <x:f>hyperlink("https://icat2.azurewebsites.net/icat/?ontology=ICD&amp;tab=ClassesTab&amp;id=http%3A%2F%2Fwho.int%2Ficd%234642_512ebf36_bf6b_4d70_85da_cf2637062af4","iCat")</x:f>
      </x:c>
      <x:c r="M1656" s="0" t="s">
        <x:v>21</x:v>
      </x:c>
      <x:c r="N1656" s="0" t="s">
        <x:v>46</x:v>
      </x:c>
    </x:row>
    <x:row r="1657" spans="1:16">
      <x:c r="A1657" s="0" t="s">
        <x:v>6459</x:v>
      </x:c>
      <x:c r="B1657" s="0" t="s">
        <x:v>6460</x:v>
      </x:c>
      <x:c r="C1657" s="0" t="s">
        <x:v>6461</x:v>
      </x:c>
      <x:c r="E1657" s="0" t="s">
        <x:v>6462</x:v>
      </x:c>
      <x:c r="F1657" s="0" t="s">
        <x:v>45</x:v>
      </x:c>
      <x:c r="G1657" s="0" t="s">
        <x:v>19</x:v>
      </x:c>
      <x:c r="H1657" s="0" t="s">
        <x:v>20</x:v>
      </x:c>
      <x:c r="I1657" s="0" t="s">
        <x:v>21</x:v>
      </x:c>
      <x:c r="K1657" s="0">
        <x:f>hyperlink("https://icd.who.int/dev11/l-ichi/en#/http%3A%2F%2Fid.who.int%2Ficd%2Fentity%2F2019125449","browser")</x:f>
      </x:c>
      <x:c r="L1657" s="0">
        <x:f>hyperlink("https://icat2.azurewebsites.net/icat/?ontology=ICD&amp;tab=ClassesTab&amp;id=http%3A%2F%2Fwho.int%2Ficd%234650_512ebf36_bf6b_4d70_85da_cf2637062af4","iCat")</x:f>
      </x:c>
      <x:c r="M1657" s="0" t="s">
        <x:v>21</x:v>
      </x:c>
      <x:c r="N1657" s="0" t="s">
        <x:v>46</x:v>
      </x:c>
    </x:row>
    <x:row r="1658" spans="1:16">
      <x:c r="A1658" s="0" t="s">
        <x:v>6463</x:v>
      </x:c>
      <x:c r="B1658" s="0" t="s">
        <x:v>6464</x:v>
      </x:c>
      <x:c r="C1658" s="0" t="s">
        <x:v>6465</x:v>
      </x:c>
      <x:c r="E1658" s="0" t="s">
        <x:v>6466</x:v>
      </x:c>
      <x:c r="F1658" s="0" t="s">
        <x:v>45</x:v>
      </x:c>
      <x:c r="G1658" s="0" t="s">
        <x:v>19</x:v>
      </x:c>
      <x:c r="H1658" s="0" t="s">
        <x:v>20</x:v>
      </x:c>
      <x:c r="I1658" s="0" t="s">
        <x:v>21</x:v>
      </x:c>
      <x:c r="K1658" s="0">
        <x:f>hyperlink("https://icd.who.int/dev11/l-ichi/en#/http%3A%2F%2Fid.who.int%2Ficd%2Fentity%2F920131996","browser")</x:f>
      </x:c>
      <x:c r="L1658" s="0">
        <x:f>hyperlink("https://icat2.azurewebsites.net/icat/?ontology=ICD&amp;tab=ClassesTab&amp;id=http%3A%2F%2Fwho.int%2Ficd%234658_512ebf36_bf6b_4d70_85da_cf2637062af4","iCat")</x:f>
      </x:c>
      <x:c r="M1658" s="0" t="s">
        <x:v>21</x:v>
      </x:c>
      <x:c r="N1658" s="0" t="s">
        <x:v>46</x:v>
      </x:c>
    </x:row>
    <x:row r="1659" spans="1:16">
      <x:c r="A1659" s="0" t="s">
        <x:v>6467</x:v>
      </x:c>
      <x:c r="B1659" s="0" t="s">
        <x:v>6468</x:v>
      </x:c>
      <x:c r="C1659" s="0" t="s">
        <x:v>6469</x:v>
      </x:c>
      <x:c r="E1659" s="0" t="s">
        <x:v>6470</x:v>
      </x:c>
      <x:c r="F1659" s="0" t="s">
        <x:v>45</x:v>
      </x:c>
      <x:c r="G1659" s="0" t="s">
        <x:v>19</x:v>
      </x:c>
      <x:c r="H1659" s="0" t="s">
        <x:v>20</x:v>
      </x:c>
      <x:c r="I1659" s="0" t="s">
        <x:v>21</x:v>
      </x:c>
      <x:c r="K1659" s="0">
        <x:f>hyperlink("https://icd.who.int/dev11/l-ichi/en#/http%3A%2F%2Fid.who.int%2Ficd%2Fentity%2F233827514","browser")</x:f>
      </x:c>
      <x:c r="L1659" s="0">
        <x:f>hyperlink("https://icat2.azurewebsites.net/icat/?ontology=ICD&amp;tab=ClassesTab&amp;id=http%3A%2F%2Fwho.int%2Ficd%234664_512ebf36_bf6b_4d70_85da_cf2637062af4","iCat")</x:f>
      </x:c>
      <x:c r="M1659" s="0" t="s">
        <x:v>21</x:v>
      </x:c>
      <x:c r="N1659" s="0" t="s">
        <x:v>46</x:v>
      </x:c>
    </x:row>
    <x:row r="1660" spans="1:16">
      <x:c r="A1660" s="0" t="s">
        <x:v>6471</x:v>
      </x:c>
      <x:c r="B1660" s="0" t="s">
        <x:v>6472</x:v>
      </x:c>
      <x:c r="C1660" s="0" t="s">
        <x:v>6473</x:v>
      </x:c>
      <x:c r="E1660" s="0" t="s">
        <x:v>6474</x:v>
      </x:c>
      <x:c r="F1660" s="0" t="s">
        <x:v>45</x:v>
      </x:c>
      <x:c r="G1660" s="0" t="s">
        <x:v>19</x:v>
      </x:c>
      <x:c r="H1660" s="0" t="s">
        <x:v>20</x:v>
      </x:c>
      <x:c r="I1660" s="0" t="s">
        <x:v>21</x:v>
      </x:c>
      <x:c r="K1660" s="0">
        <x:f>hyperlink("https://icd.who.int/dev11/l-ichi/en#/http%3A%2F%2Fid.who.int%2Ficd%2Fentity%2F1378729369","browser")</x:f>
      </x:c>
      <x:c r="L1660" s="0">
        <x:f>hyperlink("https://icat2.azurewebsites.net/icat/?ontology=ICD&amp;tab=ClassesTab&amp;id=http%3A%2F%2Fwho.int%2Ficd%234670_512ebf36_bf6b_4d70_85da_cf2637062af4","iCat")</x:f>
      </x:c>
      <x:c r="M1660" s="0" t="s">
        <x:v>21</x:v>
      </x:c>
      <x:c r="N1660" s="0" t="s">
        <x:v>46</x:v>
      </x:c>
    </x:row>
    <x:row r="1661" spans="1:16">
      <x:c r="A1661" s="0" t="s">
        <x:v>6475</x:v>
      </x:c>
      <x:c r="B1661" s="0" t="s">
        <x:v>6476</x:v>
      </x:c>
      <x:c r="C1661" s="0" t="s">
        <x:v>6477</x:v>
      </x:c>
      <x:c r="E1661" s="0" t="s">
        <x:v>6478</x:v>
      </x:c>
      <x:c r="F1661" s="0" t="s">
        <x:v>45</x:v>
      </x:c>
      <x:c r="G1661" s="0" t="s">
        <x:v>19</x:v>
      </x:c>
      <x:c r="H1661" s="0" t="s">
        <x:v>20</x:v>
      </x:c>
      <x:c r="I1661" s="0" t="s">
        <x:v>21</x:v>
      </x:c>
      <x:c r="K1661" s="0">
        <x:f>hyperlink("https://icd.who.int/dev11/l-ichi/en#/http%3A%2F%2Fid.who.int%2Ficd%2Fentity%2F39216168","browser")</x:f>
      </x:c>
      <x:c r="L1661" s="0">
        <x:f>hyperlink("https://icat2.azurewebsites.net/icat/?ontology=ICD&amp;tab=ClassesTab&amp;id=http%3A%2F%2Fwho.int%2Ficd%234676_512ebf36_bf6b_4d70_85da_cf2637062af4","iCat")</x:f>
      </x:c>
      <x:c r="M1661" s="0" t="s">
        <x:v>21</x:v>
      </x:c>
      <x:c r="N1661" s="0" t="s">
        <x:v>46</x:v>
      </x:c>
    </x:row>
    <x:row r="1662" spans="1:16">
      <x:c r="A1662" s="0" t="s">
        <x:v>6479</x:v>
      </x:c>
      <x:c r="B1662" s="0" t="s">
        <x:v>6480</x:v>
      </x:c>
      <x:c r="C1662" s="0" t="s">
        <x:v>6481</x:v>
      </x:c>
      <x:c r="E1662" s="0" t="s">
        <x:v>6482</x:v>
      </x:c>
      <x:c r="F1662" s="0" t="s">
        <x:v>45</x:v>
      </x:c>
      <x:c r="G1662" s="0" t="s">
        <x:v>19</x:v>
      </x:c>
      <x:c r="H1662" s="0" t="s">
        <x:v>20</x:v>
      </x:c>
      <x:c r="I1662" s="0" t="s">
        <x:v>21</x:v>
      </x:c>
      <x:c r="K1662" s="0">
        <x:f>hyperlink("https://icd.who.int/dev11/l-ichi/en#/http%3A%2F%2Fid.who.int%2Ficd%2Fentity%2F414640772","browser")</x:f>
      </x:c>
      <x:c r="L1662" s="0">
        <x:f>hyperlink("https://icat2.azurewebsites.net/icat/?ontology=ICD&amp;tab=ClassesTab&amp;id=http%3A%2F%2Fwho.int%2Ficd%234682_512ebf36_bf6b_4d70_85da_cf2637062af4","iCat")</x:f>
      </x:c>
      <x:c r="M1662" s="0" t="s">
        <x:v>21</x:v>
      </x:c>
      <x:c r="N1662" s="0" t="s">
        <x:v>46</x:v>
      </x:c>
    </x:row>
    <x:row r="1663" spans="1:16">
      <x:c r="A1663" s="0" t="s">
        <x:v>6483</x:v>
      </x:c>
      <x:c r="B1663" s="0" t="s">
        <x:v>6484</x:v>
      </x:c>
      <x:c r="C1663" s="0" t="s">
        <x:v>6485</x:v>
      </x:c>
      <x:c r="E1663" s="0" t="s">
        <x:v>6486</x:v>
      </x:c>
      <x:c r="F1663" s="0" t="s">
        <x:v>45</x:v>
      </x:c>
      <x:c r="G1663" s="0" t="s">
        <x:v>19</x:v>
      </x:c>
      <x:c r="H1663" s="0" t="s">
        <x:v>20</x:v>
      </x:c>
      <x:c r="I1663" s="0" t="s">
        <x:v>21</x:v>
      </x:c>
      <x:c r="K1663" s="0">
        <x:f>hyperlink("https://icd.who.int/dev11/l-ichi/en#/http%3A%2F%2Fid.who.int%2Ficd%2Fentity%2F1551052116","browser")</x:f>
      </x:c>
      <x:c r="L1663" s="0">
        <x:f>hyperlink("https://icat2.azurewebsites.net/icat/?ontology=ICD&amp;tab=ClassesTab&amp;id=http%3A%2F%2Fwho.int%2Ficd%234077_c351bd26_e8bd_46f1_9e61_43f767fec9b3","iCat")</x:f>
      </x:c>
      <x:c r="M1663" s="0" t="s">
        <x:v>21</x:v>
      </x:c>
      <x:c r="N1663" s="0" t="s">
        <x:v>46</x:v>
      </x:c>
    </x:row>
    <x:row r="1664" spans="1:16">
      <x:c r="A1664" s="0" t="s">
        <x:v>6487</x:v>
      </x:c>
      <x:c r="B1664" s="0" t="s">
        <x:v>6488</x:v>
      </x:c>
      <x:c r="C1664" s="0" t="s">
        <x:v>6489</x:v>
      </x:c>
      <x:c r="E1664" s="0" t="s">
        <x:v>6490</x:v>
      </x:c>
      <x:c r="F1664" s="0" t="s">
        <x:v>45</x:v>
      </x:c>
      <x:c r="G1664" s="0" t="s">
        <x:v>19</x:v>
      </x:c>
      <x:c r="H1664" s="0" t="s">
        <x:v>20</x:v>
      </x:c>
      <x:c r="I1664" s="0" t="s">
        <x:v>21</x:v>
      </x:c>
      <x:c r="K1664" s="0">
        <x:f>hyperlink("https://icd.who.int/dev11/l-ichi/en#/http%3A%2F%2Fid.who.int%2Ficd%2Fentity%2F386884114","browser")</x:f>
      </x:c>
      <x:c r="L1664" s="0">
        <x:f>hyperlink("https://icat2.azurewebsites.net/icat/?ontology=ICD&amp;tab=ClassesTab&amp;id=http%3A%2F%2Fwho.int%2Ficd%234690_512ebf36_bf6b_4d70_85da_cf2637062af4","iCat")</x:f>
      </x:c>
      <x:c r="M1664" s="0" t="s">
        <x:v>21</x:v>
      </x:c>
      <x:c r="N1664" s="0" t="s">
        <x:v>46</x:v>
      </x:c>
    </x:row>
    <x:row r="1665" spans="1:16">
      <x:c r="A1665" s="0" t="s">
        <x:v>6491</x:v>
      </x:c>
      <x:c r="B1665" s="0" t="s">
        <x:v>6492</x:v>
      </x:c>
      <x:c r="D1665" s="0" t="s">
        <x:v>6493</x:v>
      </x:c>
      <x:c r="E1665" s="0" t="s">
        <x:v>6494</x:v>
      </x:c>
      <x:c r="F1665" s="0" t="s">
        <x:v>26</x:v>
      </x:c>
      <x:c r="G1665" s="0" t="s">
        <x:v>22</x:v>
      </x:c>
      <x:c r="H1665" s="0" t="s">
        <x:v>20</x:v>
      </x:c>
      <x:c r="I1665" s="0" t="s">
        <x:v>21</x:v>
      </x:c>
      <x:c r="K1665" s="0">
        <x:f>hyperlink("https://icd.who.int/dev11/l-ichi/en#/http%3A%2F%2Fid.who.int%2Ficd%2Fentity%2F1737345437","browser")</x:f>
      </x:c>
      <x:c r="L1665" s="0">
        <x:f>hyperlink("https://icat2.azurewebsites.net/icat/?ontology=ICD&amp;tab=ClassesTab&amp;id=http%3A%2F%2Fwho.int%2Ficd%234697_512ebf36_bf6b_4d70_85da_cf2637062af4","iCat")</x:f>
      </x:c>
      <x:c r="M1665" s="0" t="s">
        <x:v>20</x:v>
      </x:c>
      <x:c r="N1665" s="0" t="s">
        <x:v>31</x:v>
      </x:c>
    </x:row>
    <x:row r="1666" spans="1:16">
      <x:c r="A1666" s="0" t="s">
        <x:v>6495</x:v>
      </x:c>
      <x:c r="B1666" s="0" t="s">
        <x:v>6496</x:v>
      </x:c>
      <x:c r="C1666" s="0" t="s">
        <x:v>6497</x:v>
      </x:c>
      <x:c r="E1666" s="0" t="s">
        <x:v>6498</x:v>
      </x:c>
      <x:c r="F1666" s="0" t="s">
        <x:v>45</x:v>
      </x:c>
      <x:c r="G1666" s="0" t="s">
        <x:v>19</x:v>
      </x:c>
      <x:c r="H1666" s="0" t="s">
        <x:v>20</x:v>
      </x:c>
      <x:c r="I1666" s="0" t="s">
        <x:v>21</x:v>
      </x:c>
      <x:c r="K1666" s="0">
        <x:f>hyperlink("https://icd.who.int/dev11/l-ichi/en#/http%3A%2F%2Fid.who.int%2Ficd%2Fentity%2F1198832545","browser")</x:f>
      </x:c>
      <x:c r="L1666" s="0">
        <x:f>hyperlink("https://icat2.azurewebsites.net/icat/?ontology=ICD&amp;tab=ClassesTab&amp;id=http%3A%2F%2Fwho.int%2Ficd%234696_512ebf36_bf6b_4d70_85da_cf2637062af4","iCat")</x:f>
      </x:c>
      <x:c r="M1666" s="0" t="s">
        <x:v>21</x:v>
      </x:c>
      <x:c r="N1666" s="0" t="s">
        <x:v>46</x:v>
      </x:c>
    </x:row>
    <x:row r="1667" spans="1:16">
      <x:c r="A1667" s="0" t="s">
        <x:v>6499</x:v>
      </x:c>
      <x:c r="B1667" s="0" t="s">
        <x:v>6500</x:v>
      </x:c>
      <x:c r="C1667" s="0" t="s">
        <x:v>6501</x:v>
      </x:c>
      <x:c r="E1667" s="0" t="s">
        <x:v>6502</x:v>
      </x:c>
      <x:c r="F1667" s="0" t="s">
        <x:v>45</x:v>
      </x:c>
      <x:c r="G1667" s="0" t="s">
        <x:v>19</x:v>
      </x:c>
      <x:c r="H1667" s="0" t="s">
        <x:v>20</x:v>
      </x:c>
      <x:c r="I1667" s="0" t="s">
        <x:v>21</x:v>
      </x:c>
      <x:c r="K1667" s="0">
        <x:f>hyperlink("https://icd.who.int/dev11/l-ichi/en#/http%3A%2F%2Fid.who.int%2Ficd%2Fentity%2F1508186443","browser")</x:f>
      </x:c>
      <x:c r="L1667" s="0">
        <x:f>hyperlink("https://icat2.azurewebsites.net/icat/?ontology=ICD&amp;tab=ClassesTab&amp;id=http%3A%2F%2Fwho.int%2Ficd%234708_512ebf36_bf6b_4d70_85da_cf2637062af4","iCat")</x:f>
      </x:c>
      <x:c r="M1667" s="0" t="s">
        <x:v>21</x:v>
      </x:c>
      <x:c r="N1667" s="0" t="s">
        <x:v>46</x:v>
      </x:c>
    </x:row>
    <x:row r="1668" spans="1:16">
      <x:c r="A1668" s="0" t="s">
        <x:v>6503</x:v>
      </x:c>
      <x:c r="B1668" s="0" t="s">
        <x:v>6504</x:v>
      </x:c>
      <x:c r="C1668" s="0" t="s">
        <x:v>6505</x:v>
      </x:c>
      <x:c r="E1668" s="0" t="s">
        <x:v>6506</x:v>
      </x:c>
      <x:c r="F1668" s="0" t="s">
        <x:v>45</x:v>
      </x:c>
      <x:c r="G1668" s="0" t="s">
        <x:v>19</x:v>
      </x:c>
      <x:c r="H1668" s="0" t="s">
        <x:v>20</x:v>
      </x:c>
      <x:c r="I1668" s="0" t="s">
        <x:v>21</x:v>
      </x:c>
      <x:c r="K1668" s="0">
        <x:f>hyperlink("https://icd.who.int/dev11/l-ichi/en#/http%3A%2F%2Fid.who.int%2Ficd%2Fentity%2F1218853181","browser")</x:f>
      </x:c>
      <x:c r="L1668" s="0">
        <x:f>hyperlink("https://icat2.azurewebsites.net/icat/?ontology=ICD&amp;tab=ClassesTab&amp;id=http%3A%2F%2Fwho.int%2Ficd%234714_512ebf36_bf6b_4d70_85da_cf2637062af4","iCat")</x:f>
      </x:c>
      <x:c r="M1668" s="0" t="s">
        <x:v>21</x:v>
      </x:c>
      <x:c r="N1668" s="0" t="s">
        <x:v>46</x:v>
      </x:c>
    </x:row>
    <x:row r="1669" spans="1:16">
      <x:c r="A1669" s="0" t="s">
        <x:v>6507</x:v>
      </x:c>
      <x:c r="B1669" s="0" t="s">
        <x:v>6508</x:v>
      </x:c>
      <x:c r="C1669" s="0" t="s">
        <x:v>6509</x:v>
      </x:c>
      <x:c r="E1669" s="0" t="s">
        <x:v>6510</x:v>
      </x:c>
      <x:c r="F1669" s="0" t="s">
        <x:v>45</x:v>
      </x:c>
      <x:c r="G1669" s="0" t="s">
        <x:v>19</x:v>
      </x:c>
      <x:c r="H1669" s="0" t="s">
        <x:v>20</x:v>
      </x:c>
      <x:c r="I1669" s="0" t="s">
        <x:v>21</x:v>
      </x:c>
      <x:c r="K1669" s="0">
        <x:f>hyperlink("https://icd.who.int/dev11/l-ichi/en#/http%3A%2F%2Fid.who.int%2Ficd%2Fentity%2F501862258","browser")</x:f>
      </x:c>
      <x:c r="L1669" s="0">
        <x:f>hyperlink("https://icat2.azurewebsites.net/icat/?ontology=ICD&amp;tab=ClassesTab&amp;id=http%3A%2F%2Fwho.int%2Ficd%234721_512ebf36_bf6b_4d70_85da_cf2637062af4","iCat")</x:f>
      </x:c>
      <x:c r="M1669" s="0" t="s">
        <x:v>21</x:v>
      </x:c>
      <x:c r="N1669" s="0" t="s">
        <x:v>46</x:v>
      </x:c>
    </x:row>
    <x:row r="1670" spans="1:16">
      <x:c r="A1670" s="0" t="s">
        <x:v>6511</x:v>
      </x:c>
      <x:c r="B1670" s="0" t="s">
        <x:v>6512</x:v>
      </x:c>
      <x:c r="C1670" s="0" t="s">
        <x:v>6513</x:v>
      </x:c>
      <x:c r="E1670" s="0" t="s">
        <x:v>6514</x:v>
      </x:c>
      <x:c r="F1670" s="0" t="s">
        <x:v>45</x:v>
      </x:c>
      <x:c r="G1670" s="0" t="s">
        <x:v>19</x:v>
      </x:c>
      <x:c r="H1670" s="0" t="s">
        <x:v>20</x:v>
      </x:c>
      <x:c r="I1670" s="0" t="s">
        <x:v>21</x:v>
      </x:c>
      <x:c r="K1670" s="0">
        <x:f>hyperlink("https://icd.who.int/dev11/l-ichi/en#/http%3A%2F%2Fid.who.int%2Ficd%2Fentity%2F1938934811","browser")</x:f>
      </x:c>
      <x:c r="L1670" s="0">
        <x:f>hyperlink("https://icat2.azurewebsites.net/icat/?ontology=ICD&amp;tab=ClassesTab&amp;id=http%3A%2F%2Fwho.int%2Ficd%234728_512ebf36_bf6b_4d70_85da_cf2637062af4","iCat")</x:f>
      </x:c>
      <x:c r="M1670" s="0" t="s">
        <x:v>21</x:v>
      </x:c>
      <x:c r="N1670" s="0" t="s">
        <x:v>46</x:v>
      </x:c>
    </x:row>
    <x:row r="1671" spans="1:16">
      <x:c r="A1671" s="0" t="s">
        <x:v>6515</x:v>
      </x:c>
      <x:c r="B1671" s="0" t="s">
        <x:v>6516</x:v>
      </x:c>
      <x:c r="C1671" s="0" t="s">
        <x:v>6517</x:v>
      </x:c>
      <x:c r="E1671" s="0" t="s">
        <x:v>6518</x:v>
      </x:c>
      <x:c r="F1671" s="0" t="s">
        <x:v>45</x:v>
      </x:c>
      <x:c r="G1671" s="0" t="s">
        <x:v>19</x:v>
      </x:c>
      <x:c r="H1671" s="0" t="s">
        <x:v>20</x:v>
      </x:c>
      <x:c r="I1671" s="0" t="s">
        <x:v>21</x:v>
      </x:c>
      <x:c r="K1671" s="0">
        <x:f>hyperlink("https://icd.who.int/dev11/l-ichi/en#/http%3A%2F%2Fid.who.int%2Ficd%2Fentity%2F1110154833","browser")</x:f>
      </x:c>
      <x:c r="L1671" s="0">
        <x:f>hyperlink("https://icat2.azurewebsites.net/icat/?ontology=ICD&amp;tab=ClassesTab&amp;id=http%3A%2F%2Fwho.int%2Ficd%234735_512ebf36_bf6b_4d70_85da_cf2637062af4","iCat")</x:f>
      </x:c>
      <x:c r="M1671" s="0" t="s">
        <x:v>21</x:v>
      </x:c>
      <x:c r="N1671" s="0" t="s">
        <x:v>46</x:v>
      </x:c>
    </x:row>
    <x:row r="1672" spans="1:16">
      <x:c r="A1672" s="0" t="s">
        <x:v>6519</x:v>
      </x:c>
      <x:c r="B1672" s="0" t="s">
        <x:v>6520</x:v>
      </x:c>
      <x:c r="C1672" s="0" t="s">
        <x:v>6521</x:v>
      </x:c>
      <x:c r="E1672" s="0" t="s">
        <x:v>6522</x:v>
      </x:c>
      <x:c r="F1672" s="0" t="s">
        <x:v>45</x:v>
      </x:c>
      <x:c r="G1672" s="0" t="s">
        <x:v>19</x:v>
      </x:c>
      <x:c r="H1672" s="0" t="s">
        <x:v>20</x:v>
      </x:c>
      <x:c r="I1672" s="0" t="s">
        <x:v>21</x:v>
      </x:c>
      <x:c r="K1672" s="0">
        <x:f>hyperlink("https://icd.who.int/dev11/l-ichi/en#/http%3A%2F%2Fid.who.int%2Ficd%2Fentity%2F930669236","browser")</x:f>
      </x:c>
      <x:c r="L1672" s="0">
        <x:f>hyperlink("https://icat2.azurewebsites.net/icat/?ontology=ICD&amp;tab=ClassesTab&amp;id=http%3A%2F%2Fwho.int%2Ficd%234746_512ebf36_bf6b_4d70_85da_cf2637062af4","iCat")</x:f>
      </x:c>
      <x:c r="M1672" s="0" t="s">
        <x:v>21</x:v>
      </x:c>
      <x:c r="N1672" s="0" t="s">
        <x:v>46</x:v>
      </x:c>
    </x:row>
    <x:row r="1673" spans="1:16">
      <x:c r="A1673" s="0" t="s">
        <x:v>6523</x:v>
      </x:c>
      <x:c r="B1673" s="0" t="s">
        <x:v>6524</x:v>
      </x:c>
      <x:c r="C1673" s="0" t="s">
        <x:v>6525</x:v>
      </x:c>
      <x:c r="E1673" s="0" t="s">
        <x:v>6526</x:v>
      </x:c>
      <x:c r="F1673" s="0" t="s">
        <x:v>45</x:v>
      </x:c>
      <x:c r="G1673" s="0" t="s">
        <x:v>19</x:v>
      </x:c>
      <x:c r="H1673" s="0" t="s">
        <x:v>20</x:v>
      </x:c>
      <x:c r="I1673" s="0" t="s">
        <x:v>21</x:v>
      </x:c>
      <x:c r="K1673" s="0">
        <x:f>hyperlink("https://icd.who.int/dev11/l-ichi/en#/http%3A%2F%2Fid.who.int%2Ficd%2Fentity%2F2126358658","browser")</x:f>
      </x:c>
      <x:c r="L1673" s="0">
        <x:f>hyperlink("https://icat2.azurewebsites.net/icat/?ontology=ICD&amp;tab=ClassesTab&amp;id=http%3A%2F%2Fwho.int%2Ficd%231448_97087496_4a82_4efa_a45a_b3256f81bd7e","iCat")</x:f>
      </x:c>
      <x:c r="M1673" s="0" t="s">
        <x:v>21</x:v>
      </x:c>
      <x:c r="N1673" s="0" t="s">
        <x:v>46</x:v>
      </x:c>
    </x:row>
    <x:row r="1674" spans="1:16">
      <x:c r="A1674" s="0" t="s">
        <x:v>6527</x:v>
      </x:c>
      <x:c r="B1674" s="0" t="s">
        <x:v>6528</x:v>
      </x:c>
      <x:c r="C1674" s="0" t="s">
        <x:v>6529</x:v>
      </x:c>
      <x:c r="E1674" s="0" t="s">
        <x:v>6530</x:v>
      </x:c>
      <x:c r="F1674" s="0" t="s">
        <x:v>45</x:v>
      </x:c>
      <x:c r="G1674" s="0" t="s">
        <x:v>19</x:v>
      </x:c>
      <x:c r="H1674" s="0" t="s">
        <x:v>20</x:v>
      </x:c>
      <x:c r="I1674" s="0" t="s">
        <x:v>21</x:v>
      </x:c>
      <x:c r="K1674" s="0">
        <x:f>hyperlink("https://icd.who.int/dev11/l-ichi/en#/http%3A%2F%2Fid.who.int%2Ficd%2Fentity%2F1212400045","browser")</x:f>
      </x:c>
      <x:c r="L1674" s="0">
        <x:f>hyperlink("https://icat2.azurewebsites.net/icat/?ontology=ICD&amp;tab=ClassesTab&amp;id=http%3A%2F%2Fwho.int%2Ficd%234753_512ebf36_bf6b_4d70_85da_cf2637062af4","iCat")</x:f>
      </x:c>
      <x:c r="M1674" s="0" t="s">
        <x:v>21</x:v>
      </x:c>
      <x:c r="N1674" s="0" t="s">
        <x:v>46</x:v>
      </x:c>
    </x:row>
    <x:row r="1675" spans="1:16">
      <x:c r="A1675" s="0" t="s">
        <x:v>6531</x:v>
      </x:c>
      <x:c r="B1675" s="0" t="s">
        <x:v>6532</x:v>
      </x:c>
      <x:c r="C1675" s="0" t="s">
        <x:v>6533</x:v>
      </x:c>
      <x:c r="E1675" s="0" t="s">
        <x:v>6534</x:v>
      </x:c>
      <x:c r="F1675" s="0" t="s">
        <x:v>45</x:v>
      </x:c>
      <x:c r="G1675" s="0" t="s">
        <x:v>19</x:v>
      </x:c>
      <x:c r="H1675" s="0" t="s">
        <x:v>20</x:v>
      </x:c>
      <x:c r="I1675" s="0" t="s">
        <x:v>21</x:v>
      </x:c>
      <x:c r="K1675" s="0">
        <x:f>hyperlink("https://icd.who.int/dev11/l-ichi/en#/http%3A%2F%2Fid.who.int%2Ficd%2Fentity%2F1838062703","browser")</x:f>
      </x:c>
      <x:c r="L1675" s="0">
        <x:f>hyperlink("https://icat2.azurewebsites.net/icat/?ontology=ICD&amp;tab=ClassesTab&amp;id=http%3A%2F%2Fwho.int%2Ficd%234761_512ebf36_bf6b_4d70_85da_cf2637062af4","iCat")</x:f>
      </x:c>
      <x:c r="M1675" s="0" t="s">
        <x:v>21</x:v>
      </x:c>
      <x:c r="N1675" s="0" t="s">
        <x:v>46</x:v>
      </x:c>
    </x:row>
    <x:row r="1676" spans="1:16">
      <x:c r="A1676" s="0" t="s">
        <x:v>6535</x:v>
      </x:c>
      <x:c r="B1676" s="0" t="s">
        <x:v>6536</x:v>
      </x:c>
      <x:c r="C1676" s="0" t="s">
        <x:v>6537</x:v>
      </x:c>
      <x:c r="E1676" s="0" t="s">
        <x:v>6538</x:v>
      </x:c>
      <x:c r="F1676" s="0" t="s">
        <x:v>45</x:v>
      </x:c>
      <x:c r="G1676" s="0" t="s">
        <x:v>19</x:v>
      </x:c>
      <x:c r="H1676" s="0" t="s">
        <x:v>20</x:v>
      </x:c>
      <x:c r="I1676" s="0" t="s">
        <x:v>21</x:v>
      </x:c>
      <x:c r="K1676" s="0">
        <x:f>hyperlink("https://icd.who.int/dev11/l-ichi/en#/http%3A%2F%2Fid.who.int%2Ficd%2Fentity%2F66494216","browser")</x:f>
      </x:c>
      <x:c r="L1676" s="0">
        <x:f>hyperlink("https://icat2.azurewebsites.net/icat/?ontology=ICD&amp;tab=ClassesTab&amp;id=http%3A%2F%2Fwho.int%2Ficd%234768_512ebf36_bf6b_4d70_85da_cf2637062af4","iCat")</x:f>
      </x:c>
      <x:c r="M1676" s="0" t="s">
        <x:v>21</x:v>
      </x:c>
      <x:c r="N1676" s="0" t="s">
        <x:v>46</x:v>
      </x:c>
    </x:row>
    <x:row r="1677" spans="1:16">
      <x:c r="A1677" s="0" t="s">
        <x:v>6539</x:v>
      </x:c>
      <x:c r="B1677" s="0" t="s">
        <x:v>6540</x:v>
      </x:c>
      <x:c r="C1677" s="0" t="s">
        <x:v>6541</x:v>
      </x:c>
      <x:c r="E1677" s="0" t="s">
        <x:v>6542</x:v>
      </x:c>
      <x:c r="F1677" s="0" t="s">
        <x:v>45</x:v>
      </x:c>
      <x:c r="G1677" s="0" t="s">
        <x:v>19</x:v>
      </x:c>
      <x:c r="H1677" s="0" t="s">
        <x:v>20</x:v>
      </x:c>
      <x:c r="I1677" s="0" t="s">
        <x:v>21</x:v>
      </x:c>
      <x:c r="K1677" s="0">
        <x:f>hyperlink("https://icd.who.int/dev11/l-ichi/en#/http%3A%2F%2Fid.who.int%2Ficd%2Fentity%2F843894094","browser")</x:f>
      </x:c>
      <x:c r="L1677" s="0">
        <x:f>hyperlink("https://icat2.azurewebsites.net/icat/?ontology=ICD&amp;tab=ClassesTab&amp;id=http%3A%2F%2Fwho.int%2Ficd%234775_512ebf36_bf6b_4d70_85da_cf2637062af4","iCat")</x:f>
      </x:c>
      <x:c r="M1677" s="0" t="s">
        <x:v>21</x:v>
      </x:c>
      <x:c r="N1677" s="0" t="s">
        <x:v>46</x:v>
      </x:c>
    </x:row>
    <x:row r="1678" spans="1:16">
      <x:c r="A1678" s="0" t="s">
        <x:v>6543</x:v>
      </x:c>
      <x:c r="B1678" s="0" t="s">
        <x:v>6544</x:v>
      </x:c>
      <x:c r="D1678" s="0" t="s">
        <x:v>6545</x:v>
      </x:c>
      <x:c r="E1678" s="0" t="s">
        <x:v>6546</x:v>
      </x:c>
      <x:c r="F1678" s="0" t="s">
        <x:v>26</x:v>
      </x:c>
      <x:c r="G1678" s="0" t="s">
        <x:v>22</x:v>
      </x:c>
      <x:c r="H1678" s="0" t="s">
        <x:v>20</x:v>
      </x:c>
      <x:c r="I1678" s="0" t="s">
        <x:v>21</x:v>
      </x:c>
      <x:c r="K1678" s="0">
        <x:f>hyperlink("https://icd.who.int/dev11/l-ichi/en#/http%3A%2F%2Fid.who.int%2Ficd%2Fentity%2F497780628","browser")</x:f>
      </x:c>
      <x:c r="L1678" s="0">
        <x:f>hyperlink("https://icat2.azurewebsites.net/icat/?ontology=ICD&amp;tab=ClassesTab&amp;id=http%3A%2F%2Fwho.int%2Ficd%234785_512ebf36_bf6b_4d70_85da_cf2637062af4","iCat")</x:f>
      </x:c>
      <x:c r="M1678" s="0" t="s">
        <x:v>20</x:v>
      </x:c>
      <x:c r="N1678" s="0" t="s">
        <x:v>584</x:v>
      </x:c>
    </x:row>
    <x:row r="1679" spans="1:16">
      <x:c r="A1679" s="0" t="s">
        <x:v>6547</x:v>
      </x:c>
      <x:c r="B1679" s="0" t="s">
        <x:v>6548</x:v>
      </x:c>
      <x:c r="C1679" s="0" t="s">
        <x:v>6549</x:v>
      </x:c>
      <x:c r="E1679" s="0" t="s">
        <x:v>6550</x:v>
      </x:c>
      <x:c r="F1679" s="0" t="s">
        <x:v>45</x:v>
      </x:c>
      <x:c r="G1679" s="0" t="s">
        <x:v>19</x:v>
      </x:c>
      <x:c r="H1679" s="0" t="s">
        <x:v>20</x:v>
      </x:c>
      <x:c r="I1679" s="0" t="s">
        <x:v>21</x:v>
      </x:c>
      <x:c r="K1679" s="0">
        <x:f>hyperlink("https://icd.who.int/dev11/l-ichi/en#/http%3A%2F%2Fid.who.int%2Ficd%2Fentity%2F1028847022","browser")</x:f>
      </x:c>
      <x:c r="L1679" s="0">
        <x:f>hyperlink("https://icat2.azurewebsites.net/icat/?ontology=ICD&amp;tab=ClassesTab&amp;id=http%3A%2F%2Fwho.int%2Ficd%234784_512ebf36_bf6b_4d70_85da_cf2637062af4","iCat")</x:f>
      </x:c>
      <x:c r="M1679" s="0" t="s">
        <x:v>21</x:v>
      </x:c>
      <x:c r="N1679" s="0" t="s">
        <x:v>46</x:v>
      </x:c>
    </x:row>
    <x:row r="1680" spans="1:16">
      <x:c r="A1680" s="0" t="s">
        <x:v>6551</x:v>
      </x:c>
      <x:c r="B1680" s="0" t="s">
        <x:v>6552</x:v>
      </x:c>
      <x:c r="C1680" s="0" t="s">
        <x:v>6553</x:v>
      </x:c>
      <x:c r="E1680" s="0" t="s">
        <x:v>6554</x:v>
      </x:c>
      <x:c r="F1680" s="0" t="s">
        <x:v>45</x:v>
      </x:c>
      <x:c r="G1680" s="0" t="s">
        <x:v>19</x:v>
      </x:c>
      <x:c r="H1680" s="0" t="s">
        <x:v>20</x:v>
      </x:c>
      <x:c r="I1680" s="0" t="s">
        <x:v>21</x:v>
      </x:c>
      <x:c r="K1680" s="0">
        <x:f>hyperlink("https://icd.who.int/dev11/l-ichi/en#/http%3A%2F%2Fid.who.int%2Ficd%2Fentity%2F303173378","browser")</x:f>
      </x:c>
      <x:c r="L1680" s="0">
        <x:f>hyperlink("https://icat2.azurewebsites.net/icat/?ontology=ICD&amp;tab=ClassesTab&amp;id=http%3A%2F%2Fwho.int%2Ficd%234797_512ebf36_bf6b_4d70_85da_cf2637062af4","iCat")</x:f>
      </x:c>
      <x:c r="M1680" s="0" t="s">
        <x:v>21</x:v>
      </x:c>
      <x:c r="N1680" s="0" t="s">
        <x:v>46</x:v>
      </x:c>
    </x:row>
    <x:row r="1681" spans="1:16">
      <x:c r="A1681" s="0" t="s">
        <x:v>6555</x:v>
      </x:c>
      <x:c r="B1681" s="0" t="s">
        <x:v>6556</x:v>
      </x:c>
      <x:c r="C1681" s="0" t="s">
        <x:v>6557</x:v>
      </x:c>
      <x:c r="E1681" s="0" t="s">
        <x:v>6558</x:v>
      </x:c>
      <x:c r="F1681" s="0" t="s">
        <x:v>45</x:v>
      </x:c>
      <x:c r="G1681" s="0" t="s">
        <x:v>19</x:v>
      </x:c>
      <x:c r="H1681" s="0" t="s">
        <x:v>20</x:v>
      </x:c>
      <x:c r="I1681" s="0" t="s">
        <x:v>21</x:v>
      </x:c>
      <x:c r="K1681" s="0">
        <x:f>hyperlink("https://icd.who.int/dev11/l-ichi/en#/http%3A%2F%2Fid.who.int%2Ficd%2Fentity%2F1412316268","browser")</x:f>
      </x:c>
      <x:c r="L1681" s="0">
        <x:f>hyperlink("https://icat2.azurewebsites.net/icat/?ontology=ICD&amp;tab=ClassesTab&amp;id=http%3A%2F%2Fwho.int%2Ficd%234804_512ebf36_bf6b_4d70_85da_cf2637062af4","iCat")</x:f>
      </x:c>
      <x:c r="M1681" s="0" t="s">
        <x:v>21</x:v>
      </x:c>
      <x:c r="N1681" s="0" t="s">
        <x:v>46</x:v>
      </x:c>
    </x:row>
    <x:row r="1682" spans="1:16">
      <x:c r="A1682" s="0" t="s">
        <x:v>6559</x:v>
      </x:c>
      <x:c r="B1682" s="0" t="s">
        <x:v>6560</x:v>
      </x:c>
      <x:c r="C1682" s="0" t="s">
        <x:v>6561</x:v>
      </x:c>
      <x:c r="E1682" s="0" t="s">
        <x:v>6562</x:v>
      </x:c>
      <x:c r="F1682" s="0" t="s">
        <x:v>45</x:v>
      </x:c>
      <x:c r="G1682" s="0" t="s">
        <x:v>19</x:v>
      </x:c>
      <x:c r="H1682" s="0" t="s">
        <x:v>20</x:v>
      </x:c>
      <x:c r="I1682" s="0" t="s">
        <x:v>21</x:v>
      </x:c>
      <x:c r="K1682" s="0">
        <x:f>hyperlink("https://icd.who.int/dev11/l-ichi/en#/http%3A%2F%2Fid.who.int%2Ficd%2Fentity%2F200043855","browser")</x:f>
      </x:c>
      <x:c r="L1682" s="0">
        <x:f>hyperlink("https://icat2.azurewebsites.net/icat/?ontology=ICD&amp;tab=ClassesTab&amp;id=http%3A%2F%2Fwho.int%2Ficd%234810_512ebf36_bf6b_4d70_85da_cf2637062af4","iCat")</x:f>
      </x:c>
      <x:c r="M1682" s="0" t="s">
        <x:v>21</x:v>
      </x:c>
      <x:c r="N1682" s="0" t="s">
        <x:v>46</x:v>
      </x:c>
    </x:row>
    <x:row r="1683" spans="1:16">
      <x:c r="A1683" s="0" t="s">
        <x:v>6563</x:v>
      </x:c>
      <x:c r="B1683" s="0" t="s">
        <x:v>6564</x:v>
      </x:c>
      <x:c r="C1683" s="0" t="s">
        <x:v>6565</x:v>
      </x:c>
      <x:c r="E1683" s="0" t="s">
        <x:v>6566</x:v>
      </x:c>
      <x:c r="F1683" s="0" t="s">
        <x:v>45</x:v>
      </x:c>
      <x:c r="G1683" s="0" t="s">
        <x:v>19</x:v>
      </x:c>
      <x:c r="H1683" s="0" t="s">
        <x:v>20</x:v>
      </x:c>
      <x:c r="I1683" s="0" t="s">
        <x:v>21</x:v>
      </x:c>
      <x:c r="K1683" s="0">
        <x:f>hyperlink("https://icd.who.int/dev11/l-ichi/en#/http%3A%2F%2Fid.who.int%2Ficd%2Fentity%2F2119887166","browser")</x:f>
      </x:c>
      <x:c r="L1683" s="0">
        <x:f>hyperlink("https://icat2.azurewebsites.net/icat/?ontology=ICD&amp;tab=ClassesTab&amp;id=http%3A%2F%2Fwho.int%2Ficd%234824_512ebf36_bf6b_4d70_85da_cf2637062af4","iCat")</x:f>
      </x:c>
      <x:c r="M1683" s="0" t="s">
        <x:v>21</x:v>
      </x:c>
      <x:c r="N1683" s="0" t="s">
        <x:v>46</x:v>
      </x:c>
    </x:row>
    <x:row r="1684" spans="1:16">
      <x:c r="A1684" s="0" t="s">
        <x:v>6567</x:v>
      </x:c>
      <x:c r="B1684" s="0" t="s">
        <x:v>6568</x:v>
      </x:c>
      <x:c r="C1684" s="0" t="s">
        <x:v>6569</x:v>
      </x:c>
      <x:c r="E1684" s="0" t="s">
        <x:v>6570</x:v>
      </x:c>
      <x:c r="F1684" s="0" t="s">
        <x:v>45</x:v>
      </x:c>
      <x:c r="G1684" s="0" t="s">
        <x:v>19</x:v>
      </x:c>
      <x:c r="H1684" s="0" t="s">
        <x:v>20</x:v>
      </x:c>
      <x:c r="I1684" s="0" t="s">
        <x:v>21</x:v>
      </x:c>
      <x:c r="K1684" s="0">
        <x:f>hyperlink("https://icd.who.int/dev11/l-ichi/en#/http%3A%2F%2Fid.who.int%2Ficd%2Fentity%2F1679677416","browser")</x:f>
      </x:c>
      <x:c r="L1684" s="0">
        <x:f>hyperlink("https://icat2.azurewebsites.net/icat/?ontology=ICD&amp;tab=ClassesTab&amp;id=http%3A%2F%2Fwho.int%2Ficd%234833_512ebf36_bf6b_4d70_85da_cf2637062af4","iCat")</x:f>
      </x:c>
      <x:c r="M1684" s="0" t="s">
        <x:v>21</x:v>
      </x:c>
      <x:c r="N1684" s="0" t="s">
        <x:v>46</x:v>
      </x:c>
    </x:row>
    <x:row r="1685" spans="1:16">
      <x:c r="A1685" s="0" t="s">
        <x:v>6571</x:v>
      </x:c>
      <x:c r="B1685" s="0" t="s">
        <x:v>6572</x:v>
      </x:c>
      <x:c r="C1685" s="0" t="s">
        <x:v>6573</x:v>
      </x:c>
      <x:c r="E1685" s="0" t="s">
        <x:v>6574</x:v>
      </x:c>
      <x:c r="F1685" s="0" t="s">
        <x:v>45</x:v>
      </x:c>
      <x:c r="G1685" s="0" t="s">
        <x:v>19</x:v>
      </x:c>
      <x:c r="H1685" s="0" t="s">
        <x:v>20</x:v>
      </x:c>
      <x:c r="I1685" s="0" t="s">
        <x:v>21</x:v>
      </x:c>
      <x:c r="K1685" s="0">
        <x:f>hyperlink("https://icd.who.int/dev11/l-ichi/en#/http%3A%2F%2Fid.who.int%2Ficd%2Fentity%2F1640759434","browser")</x:f>
      </x:c>
      <x:c r="L1685" s="0">
        <x:f>hyperlink("https://icat2.azurewebsites.net/icat/?ontology=ICD&amp;tab=ClassesTab&amp;id=http%3A%2F%2Fwho.int%2Ficd%234847_512ebf36_bf6b_4d70_85da_cf2637062af4","iCat")</x:f>
      </x:c>
      <x:c r="M1685" s="0" t="s">
        <x:v>21</x:v>
      </x:c>
      <x:c r="N1685" s="0" t="s">
        <x:v>46</x:v>
      </x:c>
    </x:row>
    <x:row r="1686" spans="1:16">
      <x:c r="A1686" s="0" t="s">
        <x:v>6575</x:v>
      </x:c>
      <x:c r="B1686" s="0" t="s">
        <x:v>6576</x:v>
      </x:c>
      <x:c r="C1686" s="0" t="s">
        <x:v>6577</x:v>
      </x:c>
      <x:c r="E1686" s="0" t="s">
        <x:v>6578</x:v>
      </x:c>
      <x:c r="F1686" s="0" t="s">
        <x:v>45</x:v>
      </x:c>
      <x:c r="G1686" s="0" t="s">
        <x:v>19</x:v>
      </x:c>
      <x:c r="H1686" s="0" t="s">
        <x:v>20</x:v>
      </x:c>
      <x:c r="I1686" s="0" t="s">
        <x:v>21</x:v>
      </x:c>
      <x:c r="K1686" s="0">
        <x:f>hyperlink("https://icd.who.int/dev11/l-ichi/en#/http%3A%2F%2Fid.who.int%2Ficd%2Fentity%2F1694290902","browser")</x:f>
      </x:c>
      <x:c r="L1686" s="0">
        <x:f>hyperlink("https://icat2.azurewebsites.net/icat/?ontology=ICD&amp;tab=ClassesTab&amp;id=http%3A%2F%2Fwho.int%2Ficd%2357_bf15315e_f1c5_45f6_9637_651657d70d50","iCat")</x:f>
      </x:c>
      <x:c r="M1686" s="0" t="s">
        <x:v>21</x:v>
      </x:c>
      <x:c r="N1686" s="0" t="s">
        <x:v>46</x:v>
      </x:c>
    </x:row>
    <x:row r="1687" spans="1:16">
      <x:c r="A1687" s="0" t="s">
        <x:v>6579</x:v>
      </x:c>
      <x:c r="B1687" s="0" t="s">
        <x:v>6580</x:v>
      </x:c>
      <x:c r="C1687" s="0" t="s">
        <x:v>6581</x:v>
      </x:c>
      <x:c r="E1687" s="0" t="s">
        <x:v>6582</x:v>
      </x:c>
      <x:c r="F1687" s="0" t="s">
        <x:v>45</x:v>
      </x:c>
      <x:c r="G1687" s="0" t="s">
        <x:v>19</x:v>
      </x:c>
      <x:c r="H1687" s="0" t="s">
        <x:v>20</x:v>
      </x:c>
      <x:c r="I1687" s="0" t="s">
        <x:v>21</x:v>
      </x:c>
      <x:c r="K1687" s="0">
        <x:f>hyperlink("https://icd.who.int/dev11/l-ichi/en#/http%3A%2F%2Fid.who.int%2Ficd%2Fentity%2F1040887051","browser")</x:f>
      </x:c>
      <x:c r="L1687" s="0">
        <x:f>hyperlink("https://icat2.azurewebsites.net/icat/?ontology=ICD&amp;tab=ClassesTab&amp;id=http%3A%2F%2Fwho.int%2Ficd%2370_bf15315e_f1c5_45f6_9637_651657d70d50","iCat")</x:f>
      </x:c>
      <x:c r="M1687" s="0" t="s">
        <x:v>21</x:v>
      </x:c>
      <x:c r="N1687" s="0" t="s">
        <x:v>46</x:v>
      </x:c>
    </x:row>
    <x:row r="1688" spans="1:16">
      <x:c r="A1688" s="0" t="s">
        <x:v>6583</x:v>
      </x:c>
      <x:c r="B1688" s="0" t="s">
        <x:v>6584</x:v>
      </x:c>
      <x:c r="C1688" s="0" t="s">
        <x:v>6585</x:v>
      </x:c>
      <x:c r="E1688" s="0" t="s">
        <x:v>6586</x:v>
      </x:c>
      <x:c r="F1688" s="0" t="s">
        <x:v>45</x:v>
      </x:c>
      <x:c r="G1688" s="0" t="s">
        <x:v>19</x:v>
      </x:c>
      <x:c r="H1688" s="0" t="s">
        <x:v>20</x:v>
      </x:c>
      <x:c r="I1688" s="0" t="s">
        <x:v>21</x:v>
      </x:c>
      <x:c r="K1688" s="0">
        <x:f>hyperlink("https://icd.who.int/dev11/l-ichi/en#/http%3A%2F%2Fid.who.int%2Ficd%2Fentity%2F1852929210","browser")</x:f>
      </x:c>
      <x:c r="L1688" s="0">
        <x:f>hyperlink("https://icat2.azurewebsites.net/icat/?ontology=ICD&amp;tab=ClassesTab&amp;id=http%3A%2F%2Fwho.int%2Ficd%2376_bf15315e_f1c5_45f6_9637_651657d70d50","iCat")</x:f>
      </x:c>
      <x:c r="M1688" s="0" t="s">
        <x:v>21</x:v>
      </x:c>
      <x:c r="N1688" s="0" t="s">
        <x:v>46</x:v>
      </x:c>
    </x:row>
    <x:row r="1689" spans="1:16">
      <x:c r="A1689" s="0" t="s">
        <x:v>6587</x:v>
      </x:c>
      <x:c r="B1689" s="0" t="s">
        <x:v>6588</x:v>
      </x:c>
      <x:c r="C1689" s="0" t="s">
        <x:v>6589</x:v>
      </x:c>
      <x:c r="E1689" s="0" t="s">
        <x:v>6590</x:v>
      </x:c>
      <x:c r="F1689" s="0" t="s">
        <x:v>45</x:v>
      </x:c>
      <x:c r="G1689" s="0" t="s">
        <x:v>19</x:v>
      </x:c>
      <x:c r="H1689" s="0" t="s">
        <x:v>20</x:v>
      </x:c>
      <x:c r="I1689" s="0" t="s">
        <x:v>21</x:v>
      </x:c>
      <x:c r="K1689" s="0">
        <x:f>hyperlink("https://icd.who.int/dev11/l-ichi/en#/http%3A%2F%2Fid.who.int%2Ficd%2Fentity%2F1317861926","browser")</x:f>
      </x:c>
      <x:c r="L1689" s="0">
        <x:f>hyperlink("https://icat2.azurewebsites.net/icat/?ontology=ICD&amp;tab=ClassesTab&amp;id=http%3A%2F%2Fwho.int%2Ficd%234854_512ebf36_bf6b_4d70_85da_cf2637062af4","iCat")</x:f>
      </x:c>
      <x:c r="M1689" s="0" t="s">
        <x:v>21</x:v>
      </x:c>
      <x:c r="N1689" s="0" t="s">
        <x:v>46</x:v>
      </x:c>
    </x:row>
    <x:row r="1690" spans="1:16">
      <x:c r="A1690" s="0" t="s">
        <x:v>6591</x:v>
      </x:c>
      <x:c r="B1690" s="0" t="s">
        <x:v>6592</x:v>
      </x:c>
      <x:c r="C1690" s="0" t="s">
        <x:v>6593</x:v>
      </x:c>
      <x:c r="E1690" s="0" t="s">
        <x:v>6594</x:v>
      </x:c>
      <x:c r="F1690" s="0" t="s">
        <x:v>45</x:v>
      </x:c>
      <x:c r="G1690" s="0" t="s">
        <x:v>19</x:v>
      </x:c>
      <x:c r="H1690" s="0" t="s">
        <x:v>20</x:v>
      </x:c>
      <x:c r="I1690" s="0" t="s">
        <x:v>21</x:v>
      </x:c>
      <x:c r="K1690" s="0">
        <x:f>hyperlink("https://icd.who.int/dev11/l-ichi/en#/http%3A%2F%2Fid.who.int%2Ficd%2Fentity%2F465767529","browser")</x:f>
      </x:c>
      <x:c r="L1690" s="0">
        <x:f>hyperlink("https://icat2.azurewebsites.net/icat/?ontology=ICD&amp;tab=ClassesTab&amp;id=http%3A%2F%2Fwho.int%2Ficd%234861_512ebf36_bf6b_4d70_85da_cf2637062af4","iCat")</x:f>
      </x:c>
      <x:c r="M1690" s="0" t="s">
        <x:v>21</x:v>
      </x:c>
      <x:c r="N1690" s="0" t="s">
        <x:v>46</x:v>
      </x:c>
    </x:row>
    <x:row r="1691" spans="1:16">
      <x:c r="A1691" s="0" t="s">
        <x:v>6595</x:v>
      </x:c>
      <x:c r="B1691" s="0" t="s">
        <x:v>6596</x:v>
      </x:c>
      <x:c r="C1691" s="0" t="s">
        <x:v>6597</x:v>
      </x:c>
      <x:c r="E1691" s="0" t="s">
        <x:v>6598</x:v>
      </x:c>
      <x:c r="F1691" s="0" t="s">
        <x:v>45</x:v>
      </x:c>
      <x:c r="G1691" s="0" t="s">
        <x:v>19</x:v>
      </x:c>
      <x:c r="H1691" s="0" t="s">
        <x:v>20</x:v>
      </x:c>
      <x:c r="I1691" s="0" t="s">
        <x:v>21</x:v>
      </x:c>
      <x:c r="K1691" s="0">
        <x:f>hyperlink("https://icd.who.int/dev11/l-ichi/en#/http%3A%2F%2Fid.who.int%2Ficd%2Fentity%2F881063623","browser")</x:f>
      </x:c>
      <x:c r="L1691" s="0">
        <x:f>hyperlink("https://icat2.azurewebsites.net/icat/?ontology=ICD&amp;tab=ClassesTab&amp;id=http%3A%2F%2Fwho.int%2Ficd%234872_512ebf36_bf6b_4d70_85da_cf2637062af4","iCat")</x:f>
      </x:c>
      <x:c r="M1691" s="0" t="s">
        <x:v>21</x:v>
      </x:c>
      <x:c r="N1691" s="0" t="s">
        <x:v>46</x:v>
      </x:c>
    </x:row>
    <x:row r="1692" spans="1:16">
      <x:c r="A1692" s="0" t="s">
        <x:v>6599</x:v>
      </x:c>
      <x:c r="B1692" s="0" t="s">
        <x:v>6600</x:v>
      </x:c>
      <x:c r="C1692" s="0" t="s">
        <x:v>6601</x:v>
      </x:c>
      <x:c r="E1692" s="0" t="s">
        <x:v>6602</x:v>
      </x:c>
      <x:c r="F1692" s="0" t="s">
        <x:v>45</x:v>
      </x:c>
      <x:c r="G1692" s="0" t="s">
        <x:v>19</x:v>
      </x:c>
      <x:c r="H1692" s="0" t="s">
        <x:v>20</x:v>
      </x:c>
      <x:c r="I1692" s="0" t="s">
        <x:v>21</x:v>
      </x:c>
      <x:c r="K1692" s="0">
        <x:f>hyperlink("https://icd.who.int/dev11/l-ichi/en#/http%3A%2F%2Fid.who.int%2Ficd%2Fentity%2F1065871467","browser")</x:f>
      </x:c>
      <x:c r="L1692" s="0">
        <x:f>hyperlink("https://icat2.azurewebsites.net/icat/?ontology=ICD&amp;tab=ClassesTab&amp;id=http%3A%2F%2Fwho.int%2Ficd%234879_512ebf36_bf6b_4d70_85da_cf2637062af4","iCat")</x:f>
      </x:c>
      <x:c r="M1692" s="0" t="s">
        <x:v>21</x:v>
      </x:c>
      <x:c r="N1692" s="0" t="s">
        <x:v>46</x:v>
      </x:c>
    </x:row>
    <x:row r="1693" spans="1:16">
      <x:c r="A1693" s="0" t="s">
        <x:v>6603</x:v>
      </x:c>
      <x:c r="B1693" s="0" t="s">
        <x:v>6604</x:v>
      </x:c>
      <x:c r="C1693" s="0" t="s">
        <x:v>6605</x:v>
      </x:c>
      <x:c r="E1693" s="0" t="s">
        <x:v>6606</x:v>
      </x:c>
      <x:c r="F1693" s="0" t="s">
        <x:v>45</x:v>
      </x:c>
      <x:c r="G1693" s="0" t="s">
        <x:v>19</x:v>
      </x:c>
      <x:c r="H1693" s="0" t="s">
        <x:v>20</x:v>
      </x:c>
      <x:c r="I1693" s="0" t="s">
        <x:v>21</x:v>
      </x:c>
      <x:c r="K1693" s="0">
        <x:f>hyperlink("https://icd.who.int/dev11/l-ichi/en#/http%3A%2F%2Fid.who.int%2Ficd%2Fentity%2F874792631","browser")</x:f>
      </x:c>
      <x:c r="L1693" s="0">
        <x:f>hyperlink("https://icat2.azurewebsites.net/icat/?ontology=ICD&amp;tab=ClassesTab&amp;id=http%3A%2F%2Fwho.int%2Ficd%234891_512ebf36_bf6b_4d70_85da_cf2637062af4","iCat")</x:f>
      </x:c>
      <x:c r="M1693" s="0" t="s">
        <x:v>21</x:v>
      </x:c>
      <x:c r="N1693" s="0" t="s">
        <x:v>46</x:v>
      </x:c>
    </x:row>
    <x:row r="1694" spans="1:16">
      <x:c r="A1694" s="0" t="s">
        <x:v>6607</x:v>
      </x:c>
      <x:c r="B1694" s="0" t="s">
        <x:v>6608</x:v>
      </x:c>
      <x:c r="D1694" s="0" t="s">
        <x:v>6609</x:v>
      </x:c>
      <x:c r="E1694" s="0" t="s">
        <x:v>6610</x:v>
      </x:c>
      <x:c r="F1694" s="0" t="s">
        <x:v>26</x:v>
      </x:c>
      <x:c r="G1694" s="0" t="s">
        <x:v>22</x:v>
      </x:c>
      <x:c r="H1694" s="0" t="s">
        <x:v>20</x:v>
      </x:c>
      <x:c r="I1694" s="0" t="s">
        <x:v>21</x:v>
      </x:c>
      <x:c r="K1694" s="0">
        <x:f>hyperlink("https://icd.who.int/dev11/l-ichi/en#/http%3A%2F%2Fid.who.int%2Ficd%2Fentity%2F2057648100","browser")</x:f>
      </x:c>
      <x:c r="L1694" s="0">
        <x:f>hyperlink("https://icat2.azurewebsites.net/icat/?ontology=ICD&amp;tab=ClassesTab&amp;id=http%3A%2F%2Fwho.int%2Ficd%234899_512ebf36_bf6b_4d70_85da_cf2637062af4","iCat")</x:f>
      </x:c>
      <x:c r="M1694" s="0" t="s">
        <x:v>20</x:v>
      </x:c>
      <x:c r="N1694" s="0" t="s">
        <x:v>6611</x:v>
      </x:c>
    </x:row>
    <x:row r="1695" spans="1:16">
      <x:c r="A1695" s="0" t="s">
        <x:v>6612</x:v>
      </x:c>
      <x:c r="B1695" s="0" t="s">
        <x:v>6613</x:v>
      </x:c>
      <x:c r="C1695" s="0" t="s">
        <x:v>6614</x:v>
      </x:c>
      <x:c r="E1695" s="0" t="s">
        <x:v>6615</x:v>
      </x:c>
      <x:c r="F1695" s="0" t="s">
        <x:v>45</x:v>
      </x:c>
      <x:c r="G1695" s="0" t="s">
        <x:v>19</x:v>
      </x:c>
      <x:c r="H1695" s="0" t="s">
        <x:v>20</x:v>
      </x:c>
      <x:c r="I1695" s="0" t="s">
        <x:v>21</x:v>
      </x:c>
      <x:c r="K1695" s="0">
        <x:f>hyperlink("https://icd.who.int/dev11/l-ichi/en#/http%3A%2F%2Fid.who.int%2Ficd%2Fentity%2F1515996638","browser")</x:f>
      </x:c>
      <x:c r="L1695" s="0">
        <x:f>hyperlink("https://icat2.azurewebsites.net/icat/?ontology=ICD&amp;tab=ClassesTab&amp;id=http%3A%2F%2Fwho.int%2Ficd%234898_512ebf36_bf6b_4d70_85da_cf2637062af4","iCat")</x:f>
      </x:c>
      <x:c r="M1695" s="0" t="s">
        <x:v>21</x:v>
      </x:c>
      <x:c r="N1695" s="0" t="s">
        <x:v>46</x:v>
      </x:c>
    </x:row>
    <x:row r="1696" spans="1:16">
      <x:c r="A1696" s="0" t="s">
        <x:v>6616</x:v>
      </x:c>
      <x:c r="B1696" s="0" t="s">
        <x:v>6617</x:v>
      </x:c>
      <x:c r="C1696" s="0" t="s">
        <x:v>6618</x:v>
      </x:c>
      <x:c r="E1696" s="0" t="s">
        <x:v>6619</x:v>
      </x:c>
      <x:c r="F1696" s="0" t="s">
        <x:v>45</x:v>
      </x:c>
      <x:c r="G1696" s="0" t="s">
        <x:v>19</x:v>
      </x:c>
      <x:c r="H1696" s="0" t="s">
        <x:v>20</x:v>
      </x:c>
      <x:c r="I1696" s="0" t="s">
        <x:v>21</x:v>
      </x:c>
      <x:c r="K1696" s="0">
        <x:f>hyperlink("https://icd.who.int/dev11/l-ichi/en#/http%3A%2F%2Fid.who.int%2Ficd%2Fentity%2F250675295","browser")</x:f>
      </x:c>
      <x:c r="L1696" s="0">
        <x:f>hyperlink("https://icat2.azurewebsites.net/icat/?ontology=ICD&amp;tab=ClassesTab&amp;id=http%3A%2F%2Fwho.int%2Ficd%234917_512ebf36_bf6b_4d70_85da_cf2637062af4","iCat")</x:f>
      </x:c>
      <x:c r="M1696" s="0" t="s">
        <x:v>21</x:v>
      </x:c>
      <x:c r="N1696" s="0" t="s">
        <x:v>46</x:v>
      </x:c>
    </x:row>
    <x:row r="1697" spans="1:16">
      <x:c r="A1697" s="0" t="s">
        <x:v>6620</x:v>
      </x:c>
      <x:c r="B1697" s="0" t="s">
        <x:v>6621</x:v>
      </x:c>
      <x:c r="C1697" s="0" t="s">
        <x:v>6622</x:v>
      </x:c>
      <x:c r="E1697" s="0" t="s">
        <x:v>6623</x:v>
      </x:c>
      <x:c r="F1697" s="0" t="s">
        <x:v>45</x:v>
      </x:c>
      <x:c r="G1697" s="0" t="s">
        <x:v>19</x:v>
      </x:c>
      <x:c r="H1697" s="0" t="s">
        <x:v>20</x:v>
      </x:c>
      <x:c r="I1697" s="0" t="s">
        <x:v>21</x:v>
      </x:c>
      <x:c r="K1697" s="0">
        <x:f>hyperlink("https://icd.who.int/dev11/l-ichi/en#/http%3A%2F%2Fid.who.int%2Ficd%2Fentity%2F725376413","browser")</x:f>
      </x:c>
      <x:c r="L1697" s="0">
        <x:f>hyperlink("https://icat2.azurewebsites.net/icat/?ontology=ICD&amp;tab=ClassesTab&amp;id=http%3A%2F%2Fwho.int%2Ficd%234925_512ebf36_bf6b_4d70_85da_cf2637062af4","iCat")</x:f>
      </x:c>
      <x:c r="M1697" s="0" t="s">
        <x:v>21</x:v>
      </x:c>
      <x:c r="N1697" s="0" t="s">
        <x:v>46</x:v>
      </x:c>
    </x:row>
    <x:row r="1698" spans="1:16">
      <x:c r="A1698" s="0" t="s">
        <x:v>6624</x:v>
      </x:c>
      <x:c r="B1698" s="0" t="s">
        <x:v>6625</x:v>
      </x:c>
      <x:c r="C1698" s="0" t="s">
        <x:v>6626</x:v>
      </x:c>
      <x:c r="E1698" s="0" t="s">
        <x:v>6627</x:v>
      </x:c>
      <x:c r="F1698" s="0" t="s">
        <x:v>45</x:v>
      </x:c>
      <x:c r="G1698" s="0" t="s">
        <x:v>19</x:v>
      </x:c>
      <x:c r="H1698" s="0" t="s">
        <x:v>20</x:v>
      </x:c>
      <x:c r="I1698" s="0" t="s">
        <x:v>21</x:v>
      </x:c>
      <x:c r="K1698" s="0">
        <x:f>hyperlink("https://icd.who.int/dev11/l-ichi/en#/http%3A%2F%2Fid.who.int%2Ficd%2Fentity%2F830169927","browser")</x:f>
      </x:c>
      <x:c r="L1698" s="0">
        <x:f>hyperlink("https://icat2.azurewebsites.net/icat/?ontology=ICD&amp;tab=ClassesTab&amp;id=http%3A%2F%2Fwho.int%2Ficd%234932_512ebf36_bf6b_4d70_85da_cf2637062af4","iCat")</x:f>
      </x:c>
      <x:c r="M1698" s="0" t="s">
        <x:v>21</x:v>
      </x:c>
      <x:c r="N1698" s="0" t="s">
        <x:v>46</x:v>
      </x:c>
    </x:row>
    <x:row r="1699" spans="1:16">
      <x:c r="A1699" s="0" t="s">
        <x:v>6628</x:v>
      </x:c>
      <x:c r="B1699" s="0" t="s">
        <x:v>6629</x:v>
      </x:c>
      <x:c r="C1699" s="0" t="s">
        <x:v>6630</x:v>
      </x:c>
      <x:c r="E1699" s="0" t="s">
        <x:v>6631</x:v>
      </x:c>
      <x:c r="F1699" s="0" t="s">
        <x:v>45</x:v>
      </x:c>
      <x:c r="G1699" s="0" t="s">
        <x:v>19</x:v>
      </x:c>
      <x:c r="H1699" s="0" t="s">
        <x:v>20</x:v>
      </x:c>
      <x:c r="I1699" s="0" t="s">
        <x:v>21</x:v>
      </x:c>
      <x:c r="K1699" s="0">
        <x:f>hyperlink("https://icd.who.int/dev11/l-ichi/en#/http%3A%2F%2Fid.who.int%2Ficd%2Fentity%2F444993495","browser")</x:f>
      </x:c>
      <x:c r="L1699" s="0">
        <x:f>hyperlink("https://icat2.azurewebsites.net/icat/?ontology=ICD&amp;tab=ClassesTab&amp;id=http%3A%2F%2Fwho.int%2Ficd%234938_512ebf36_bf6b_4d70_85da_cf2637062af4","iCat")</x:f>
      </x:c>
      <x:c r="M1699" s="0" t="s">
        <x:v>21</x:v>
      </x:c>
      <x:c r="N1699" s="0" t="s">
        <x:v>46</x:v>
      </x:c>
    </x:row>
    <x:row r="1700" spans="1:16">
      <x:c r="A1700" s="0" t="s">
        <x:v>6632</x:v>
      </x:c>
      <x:c r="B1700" s="0" t="s">
        <x:v>6633</x:v>
      </x:c>
      <x:c r="C1700" s="0" t="s">
        <x:v>6634</x:v>
      </x:c>
      <x:c r="E1700" s="0" t="s">
        <x:v>6635</x:v>
      </x:c>
      <x:c r="F1700" s="0" t="s">
        <x:v>45</x:v>
      </x:c>
      <x:c r="G1700" s="0" t="s">
        <x:v>19</x:v>
      </x:c>
      <x:c r="H1700" s="0" t="s">
        <x:v>20</x:v>
      </x:c>
      <x:c r="I1700" s="0" t="s">
        <x:v>21</x:v>
      </x:c>
      <x:c r="K1700" s="0">
        <x:f>hyperlink("https://icd.who.int/dev11/l-ichi/en#/http%3A%2F%2Fid.who.int%2Ficd%2Fentity%2F1898961874","browser")</x:f>
      </x:c>
      <x:c r="L1700" s="0">
        <x:f>hyperlink("https://icat2.azurewebsites.net/icat/?ontology=ICD&amp;tab=ClassesTab&amp;id=http%3A%2F%2Fwho.int%2Ficd%234945_512ebf36_bf6b_4d70_85da_cf2637062af4","iCat")</x:f>
      </x:c>
      <x:c r="M1700" s="0" t="s">
        <x:v>21</x:v>
      </x:c>
      <x:c r="N1700" s="0" t="s">
        <x:v>46</x:v>
      </x:c>
    </x:row>
    <x:row r="1701" spans="1:16">
      <x:c r="A1701" s="0" t="s">
        <x:v>6636</x:v>
      </x:c>
      <x:c r="B1701" s="0" t="s">
        <x:v>6637</x:v>
      </x:c>
      <x:c r="C1701" s="0" t="s">
        <x:v>6638</x:v>
      </x:c>
      <x:c r="E1701" s="0" t="s">
        <x:v>6639</x:v>
      </x:c>
      <x:c r="F1701" s="0" t="s">
        <x:v>45</x:v>
      </x:c>
      <x:c r="G1701" s="0" t="s">
        <x:v>19</x:v>
      </x:c>
      <x:c r="H1701" s="0" t="s">
        <x:v>20</x:v>
      </x:c>
      <x:c r="I1701" s="0" t="s">
        <x:v>21</x:v>
      </x:c>
      <x:c r="K1701" s="0">
        <x:f>hyperlink("https://icd.who.int/dev11/l-ichi/en#/http%3A%2F%2Fid.who.int%2Ficd%2Fentity%2F1802036492","browser")</x:f>
      </x:c>
      <x:c r="L1701" s="0">
        <x:f>hyperlink("https://icat2.azurewebsites.net/icat/?ontology=ICD&amp;tab=ClassesTab&amp;id=http%3A%2F%2Fwho.int%2Ficd%234952_512ebf36_bf6b_4d70_85da_cf2637062af4","iCat")</x:f>
      </x:c>
      <x:c r="M1701" s="0" t="s">
        <x:v>21</x:v>
      </x:c>
      <x:c r="N1701" s="0" t="s">
        <x:v>46</x:v>
      </x:c>
    </x:row>
    <x:row r="1702" spans="1:16">
      <x:c r="A1702" s="0" t="s">
        <x:v>6640</x:v>
      </x:c>
      <x:c r="B1702" s="0" t="s">
        <x:v>6641</x:v>
      </x:c>
      <x:c r="C1702" s="0" t="s">
        <x:v>6642</x:v>
      </x:c>
      <x:c r="E1702" s="0" t="s">
        <x:v>6643</x:v>
      </x:c>
      <x:c r="F1702" s="0" t="s">
        <x:v>45</x:v>
      </x:c>
      <x:c r="G1702" s="0" t="s">
        <x:v>19</x:v>
      </x:c>
      <x:c r="H1702" s="0" t="s">
        <x:v>20</x:v>
      </x:c>
      <x:c r="I1702" s="0" t="s">
        <x:v>21</x:v>
      </x:c>
      <x:c r="K1702" s="0">
        <x:f>hyperlink("https://icd.who.int/dev11/l-ichi/en#/http%3A%2F%2Fid.who.int%2Ficd%2Fentity%2F1083541916","browser")</x:f>
      </x:c>
      <x:c r="L1702" s="0">
        <x:f>hyperlink("https://icat2.azurewebsites.net/icat/?ontology=ICD&amp;tab=ClassesTab&amp;id=http%3A%2F%2Fwho.int%2Ficd%234958_512ebf36_bf6b_4d70_85da_cf2637062af4","iCat")</x:f>
      </x:c>
      <x:c r="M1702" s="0" t="s">
        <x:v>21</x:v>
      </x:c>
      <x:c r="N1702" s="0" t="s">
        <x:v>46</x:v>
      </x:c>
    </x:row>
    <x:row r="1703" spans="1:16">
      <x:c r="A1703" s="0" t="s">
        <x:v>6644</x:v>
      </x:c>
      <x:c r="B1703" s="0" t="s">
        <x:v>6645</x:v>
      </x:c>
      <x:c r="C1703" s="0" t="s">
        <x:v>6646</x:v>
      </x:c>
      <x:c r="E1703" s="0" t="s">
        <x:v>6647</x:v>
      </x:c>
      <x:c r="F1703" s="0" t="s">
        <x:v>45</x:v>
      </x:c>
      <x:c r="G1703" s="0" t="s">
        <x:v>19</x:v>
      </x:c>
      <x:c r="H1703" s="0" t="s">
        <x:v>20</x:v>
      </x:c>
      <x:c r="I1703" s="0" t="s">
        <x:v>21</x:v>
      </x:c>
      <x:c r="K1703" s="0">
        <x:f>hyperlink("https://icd.who.int/dev11/l-ichi/en#/http%3A%2F%2Fid.who.int%2Ficd%2Fentity%2F2074246334","browser")</x:f>
      </x:c>
      <x:c r="L1703" s="0">
        <x:f>hyperlink("https://icat2.azurewebsites.net/icat/?ontology=ICD&amp;tab=ClassesTab&amp;id=http%3A%2F%2Fwho.int%2Ficd%234964_512ebf36_bf6b_4d70_85da_cf2637062af4","iCat")</x:f>
      </x:c>
      <x:c r="M1703" s="0" t="s">
        <x:v>21</x:v>
      </x:c>
      <x:c r="N1703" s="0" t="s">
        <x:v>46</x:v>
      </x:c>
    </x:row>
    <x:row r="1704" spans="1:16">
      <x:c r="A1704" s="0" t="s">
        <x:v>6648</x:v>
      </x:c>
      <x:c r="B1704" s="0" t="s">
        <x:v>6649</x:v>
      </x:c>
      <x:c r="C1704" s="0" t="s">
        <x:v>6650</x:v>
      </x:c>
      <x:c r="E1704" s="0" t="s">
        <x:v>6651</x:v>
      </x:c>
      <x:c r="F1704" s="0" t="s">
        <x:v>45</x:v>
      </x:c>
      <x:c r="G1704" s="0" t="s">
        <x:v>19</x:v>
      </x:c>
      <x:c r="H1704" s="0" t="s">
        <x:v>20</x:v>
      </x:c>
      <x:c r="I1704" s="0" t="s">
        <x:v>21</x:v>
      </x:c>
      <x:c r="K1704" s="0">
        <x:f>hyperlink("https://icd.who.int/dev11/l-ichi/en#/http%3A%2F%2Fid.who.int%2Ficd%2Fentity%2F292022763","browser")</x:f>
      </x:c>
      <x:c r="L1704" s="0">
        <x:f>hyperlink("https://icat2.azurewebsites.net/icat/?ontology=ICD&amp;tab=ClassesTab&amp;id=http%3A%2F%2Fwho.int%2Ficd%234974_512ebf36_bf6b_4d70_85da_cf2637062af4","iCat")</x:f>
      </x:c>
      <x:c r="M1704" s="0" t="s">
        <x:v>21</x:v>
      </x:c>
      <x:c r="N1704" s="0" t="s">
        <x:v>46</x:v>
      </x:c>
    </x:row>
    <x:row r="1705" spans="1:16">
      <x:c r="A1705" s="0" t="s">
        <x:v>6652</x:v>
      </x:c>
      <x:c r="B1705" s="0" t="s">
        <x:v>6653</x:v>
      </x:c>
      <x:c r="C1705" s="0" t="s">
        <x:v>6654</x:v>
      </x:c>
      <x:c r="E1705" s="0" t="s">
        <x:v>6655</x:v>
      </x:c>
      <x:c r="F1705" s="0" t="s">
        <x:v>45</x:v>
      </x:c>
      <x:c r="G1705" s="0" t="s">
        <x:v>19</x:v>
      </x:c>
      <x:c r="H1705" s="0" t="s">
        <x:v>20</x:v>
      </x:c>
      <x:c r="I1705" s="0" t="s">
        <x:v>21</x:v>
      </x:c>
      <x:c r="K1705" s="0">
        <x:f>hyperlink("https://icd.who.int/dev11/l-ichi/en#/http%3A%2F%2Fid.who.int%2Ficd%2Fentity%2F729683325","browser")</x:f>
      </x:c>
      <x:c r="L1705" s="0">
        <x:f>hyperlink("https://icat2.azurewebsites.net/icat/?ontology=ICD&amp;tab=ClassesTab&amp;id=http%3A%2F%2Fwho.int%2Ficd%234981_512ebf36_bf6b_4d70_85da_cf2637062af4","iCat")</x:f>
      </x:c>
      <x:c r="M1705" s="0" t="s">
        <x:v>21</x:v>
      </x:c>
      <x:c r="N1705" s="0" t="s">
        <x:v>46</x:v>
      </x:c>
    </x:row>
    <x:row r="1706" spans="1:16">
      <x:c r="A1706" s="0" t="s">
        <x:v>6656</x:v>
      </x:c>
      <x:c r="B1706" s="0" t="s">
        <x:v>6657</x:v>
      </x:c>
      <x:c r="C1706" s="0" t="s">
        <x:v>6658</x:v>
      </x:c>
      <x:c r="E1706" s="0" t="s">
        <x:v>6659</x:v>
      </x:c>
      <x:c r="F1706" s="0" t="s">
        <x:v>45</x:v>
      </x:c>
      <x:c r="G1706" s="0" t="s">
        <x:v>19</x:v>
      </x:c>
      <x:c r="H1706" s="0" t="s">
        <x:v>20</x:v>
      </x:c>
      <x:c r="I1706" s="0" t="s">
        <x:v>21</x:v>
      </x:c>
      <x:c r="K1706" s="0">
        <x:f>hyperlink("https://icd.who.int/dev11/l-ichi/en#/http%3A%2F%2Fid.who.int%2Ficd%2Fentity%2F316386301","browser")</x:f>
      </x:c>
      <x:c r="L1706" s="0">
        <x:f>hyperlink("https://icat2.azurewebsites.net/icat/?ontology=ICD&amp;tab=ClassesTab&amp;id=http%3A%2F%2Fwho.int%2Ficd%235001_512ebf36_bf6b_4d70_85da_cf2637062af4","iCat")</x:f>
      </x:c>
      <x:c r="M1706" s="0" t="s">
        <x:v>21</x:v>
      </x:c>
      <x:c r="N1706" s="0" t="s">
        <x:v>46</x:v>
      </x:c>
    </x:row>
    <x:row r="1707" spans="1:16">
      <x:c r="A1707" s="0" t="s">
        <x:v>6660</x:v>
      </x:c>
      <x:c r="B1707" s="0" t="s">
        <x:v>6661</x:v>
      </x:c>
      <x:c r="C1707" s="0" t="s">
        <x:v>6662</x:v>
      </x:c>
      <x:c r="E1707" s="0" t="s">
        <x:v>6663</x:v>
      </x:c>
      <x:c r="F1707" s="0" t="s">
        <x:v>45</x:v>
      </x:c>
      <x:c r="G1707" s="0" t="s">
        <x:v>19</x:v>
      </x:c>
      <x:c r="H1707" s="0" t="s">
        <x:v>20</x:v>
      </x:c>
      <x:c r="I1707" s="0" t="s">
        <x:v>21</x:v>
      </x:c>
      <x:c r="K1707" s="0">
        <x:f>hyperlink("https://icd.who.int/dev11/l-ichi/en#/http%3A%2F%2Fid.who.int%2Ficd%2Fentity%2F2091100308","browser")</x:f>
      </x:c>
      <x:c r="L1707" s="0">
        <x:f>hyperlink("https://icat2.azurewebsites.net/icat/?ontology=ICD&amp;tab=ClassesTab&amp;id=http%3A%2F%2Fwho.int%2Ficd%235008_512ebf36_bf6b_4d70_85da_cf2637062af4","iCat")</x:f>
      </x:c>
      <x:c r="M1707" s="0" t="s">
        <x:v>21</x:v>
      </x:c>
      <x:c r="N1707" s="0" t="s">
        <x:v>46</x:v>
      </x:c>
    </x:row>
    <x:row r="1708" spans="1:16">
      <x:c r="A1708" s="0" t="s">
        <x:v>6664</x:v>
      </x:c>
      <x:c r="B1708" s="0" t="s">
        <x:v>6665</x:v>
      </x:c>
      <x:c r="C1708" s="0" t="s">
        <x:v>6666</x:v>
      </x:c>
      <x:c r="E1708" s="0" t="s">
        <x:v>6667</x:v>
      </x:c>
      <x:c r="F1708" s="0" t="s">
        <x:v>45</x:v>
      </x:c>
      <x:c r="G1708" s="0" t="s">
        <x:v>19</x:v>
      </x:c>
      <x:c r="H1708" s="0" t="s">
        <x:v>20</x:v>
      </x:c>
      <x:c r="I1708" s="0" t="s">
        <x:v>21</x:v>
      </x:c>
      <x:c r="K1708" s="0">
        <x:f>hyperlink("https://icd.who.int/dev11/l-ichi/en#/http%3A%2F%2Fid.who.int%2Ficd%2Fentity%2F1843431652","browser")</x:f>
      </x:c>
      <x:c r="L1708" s="0">
        <x:f>hyperlink("https://icat2.azurewebsites.net/icat/?ontology=ICD&amp;tab=ClassesTab&amp;id=http%3A%2F%2Fwho.int%2Ficd%235014_512ebf36_bf6b_4d70_85da_cf2637062af4","iCat")</x:f>
      </x:c>
      <x:c r="M1708" s="0" t="s">
        <x:v>21</x:v>
      </x:c>
      <x:c r="N1708" s="0" t="s">
        <x:v>46</x:v>
      </x:c>
    </x:row>
    <x:row r="1709" spans="1:16">
      <x:c r="A1709" s="0" t="s">
        <x:v>6668</x:v>
      </x:c>
      <x:c r="B1709" s="0" t="s">
        <x:v>6669</x:v>
      </x:c>
      <x:c r="C1709" s="0" t="s">
        <x:v>6670</x:v>
      </x:c>
      <x:c r="E1709" s="0" t="s">
        <x:v>6671</x:v>
      </x:c>
      <x:c r="F1709" s="0" t="s">
        <x:v>45</x:v>
      </x:c>
      <x:c r="G1709" s="0" t="s">
        <x:v>19</x:v>
      </x:c>
      <x:c r="H1709" s="0" t="s">
        <x:v>20</x:v>
      </x:c>
      <x:c r="I1709" s="0" t="s">
        <x:v>21</x:v>
      </x:c>
      <x:c r="K1709" s="0">
        <x:f>hyperlink("https://icd.who.int/dev11/l-ichi/en#/http%3A%2F%2Fid.who.int%2Ficd%2Fentity%2F1574134632","browser")</x:f>
      </x:c>
      <x:c r="L1709" s="0">
        <x:f>hyperlink("https://icat2.azurewebsites.net/icat/?ontology=ICD&amp;tab=ClassesTab&amp;id=http%3A%2F%2Fwho.int%2Ficd%235023_512ebf36_bf6b_4d70_85da_cf2637062af4","iCat")</x:f>
      </x:c>
      <x:c r="M1709" s="0" t="s">
        <x:v>21</x:v>
      </x:c>
      <x:c r="N1709" s="0" t="s">
        <x:v>46</x:v>
      </x:c>
    </x:row>
    <x:row r="1710" spans="1:16">
      <x:c r="A1710" s="0" t="s">
        <x:v>6672</x:v>
      </x:c>
      <x:c r="B1710" s="0" t="s">
        <x:v>6673</x:v>
      </x:c>
      <x:c r="C1710" s="0" t="s">
        <x:v>6674</x:v>
      </x:c>
      <x:c r="E1710" s="0" t="s">
        <x:v>6675</x:v>
      </x:c>
      <x:c r="F1710" s="0" t="s">
        <x:v>45</x:v>
      </x:c>
      <x:c r="G1710" s="0" t="s">
        <x:v>19</x:v>
      </x:c>
      <x:c r="H1710" s="0" t="s">
        <x:v>20</x:v>
      </x:c>
      <x:c r="I1710" s="0" t="s">
        <x:v>21</x:v>
      </x:c>
      <x:c r="K1710" s="0">
        <x:f>hyperlink("https://icd.who.int/dev11/l-ichi/en#/http%3A%2F%2Fid.who.int%2Ficd%2Fentity%2F1982730232","browser")</x:f>
      </x:c>
      <x:c r="L1710" s="0">
        <x:f>hyperlink("https://icat2.azurewebsites.net/icat/?ontology=ICD&amp;tab=ClassesTab&amp;id=http%3A%2F%2Fwho.int%2Ficd%235029_512ebf36_bf6b_4d70_85da_cf2637062af4","iCat")</x:f>
      </x:c>
      <x:c r="M1710" s="0" t="s">
        <x:v>21</x:v>
      </x:c>
      <x:c r="N1710" s="0" t="s">
        <x:v>46</x:v>
      </x:c>
    </x:row>
    <x:row r="1711" spans="1:16">
      <x:c r="A1711" s="0" t="s">
        <x:v>6676</x:v>
      </x:c>
      <x:c r="B1711" s="0" t="s">
        <x:v>6677</x:v>
      </x:c>
      <x:c r="C1711" s="0" t="s">
        <x:v>6678</x:v>
      </x:c>
      <x:c r="E1711" s="0" t="s">
        <x:v>6679</x:v>
      </x:c>
      <x:c r="F1711" s="0" t="s">
        <x:v>45</x:v>
      </x:c>
      <x:c r="G1711" s="0" t="s">
        <x:v>19</x:v>
      </x:c>
      <x:c r="H1711" s="0" t="s">
        <x:v>20</x:v>
      </x:c>
      <x:c r="I1711" s="0" t="s">
        <x:v>21</x:v>
      </x:c>
      <x:c r="K1711" s="0">
        <x:f>hyperlink("https://icd.who.int/dev11/l-ichi/en#/http%3A%2F%2Fid.who.int%2Ficd%2Fentity%2F585646199","browser")</x:f>
      </x:c>
      <x:c r="L1711" s="0">
        <x:f>hyperlink("https://icat2.azurewebsites.net/icat/?ontology=ICD&amp;tab=ClassesTab&amp;id=http%3A%2F%2Fwho.int%2Ficd%235036_512ebf36_bf6b_4d70_85da_cf2637062af4","iCat")</x:f>
      </x:c>
      <x:c r="M1711" s="0" t="s">
        <x:v>21</x:v>
      </x:c>
      <x:c r="N1711" s="0" t="s">
        <x:v>46</x:v>
      </x:c>
    </x:row>
    <x:row r="1712" spans="1:16">
      <x:c r="A1712" s="0" t="s">
        <x:v>6680</x:v>
      </x:c>
      <x:c r="B1712" s="0" t="s">
        <x:v>6681</x:v>
      </x:c>
      <x:c r="C1712" s="0" t="s">
        <x:v>6682</x:v>
      </x:c>
      <x:c r="E1712" s="0" t="s">
        <x:v>6683</x:v>
      </x:c>
      <x:c r="F1712" s="0" t="s">
        <x:v>45</x:v>
      </x:c>
      <x:c r="G1712" s="0" t="s">
        <x:v>19</x:v>
      </x:c>
      <x:c r="H1712" s="0" t="s">
        <x:v>20</x:v>
      </x:c>
      <x:c r="I1712" s="0" t="s">
        <x:v>21</x:v>
      </x:c>
      <x:c r="K1712" s="0">
        <x:f>hyperlink("https://icd.who.int/dev11/l-ichi/en#/http%3A%2F%2Fid.who.int%2Ficd%2Fentity%2F658085657","browser")</x:f>
      </x:c>
      <x:c r="L1712" s="0">
        <x:f>hyperlink("https://icat2.azurewebsites.net/icat/?ontology=ICD&amp;tab=ClassesTab&amp;id=http%3A%2F%2Fwho.int%2Ficd%235042_512ebf36_bf6b_4d70_85da_cf2637062af4","iCat")</x:f>
      </x:c>
      <x:c r="M1712" s="0" t="s">
        <x:v>21</x:v>
      </x:c>
      <x:c r="N1712" s="0" t="s">
        <x:v>46</x:v>
      </x:c>
    </x:row>
    <x:row r="1713" spans="1:16">
      <x:c r="A1713" s="0" t="s">
        <x:v>6684</x:v>
      </x:c>
      <x:c r="B1713" s="0" t="s">
        <x:v>6685</x:v>
      </x:c>
      <x:c r="C1713" s="0" t="s">
        <x:v>6686</x:v>
      </x:c>
      <x:c r="E1713" s="0" t="s">
        <x:v>6687</x:v>
      </x:c>
      <x:c r="F1713" s="0" t="s">
        <x:v>45</x:v>
      </x:c>
      <x:c r="G1713" s="0" t="s">
        <x:v>19</x:v>
      </x:c>
      <x:c r="H1713" s="0" t="s">
        <x:v>20</x:v>
      </x:c>
      <x:c r="I1713" s="0" t="s">
        <x:v>21</x:v>
      </x:c>
      <x:c r="K1713" s="0">
        <x:f>hyperlink("https://icd.who.int/dev11/l-ichi/en#/http%3A%2F%2Fid.who.int%2Ficd%2Fentity%2F214236041","browser")</x:f>
      </x:c>
      <x:c r="L1713" s="0">
        <x:f>hyperlink("https://icat2.azurewebsites.net/icat/?ontology=ICD&amp;tab=ClassesTab&amp;id=http%3A%2F%2Fwho.int%2Ficd%235048_512ebf36_bf6b_4d70_85da_cf2637062af4","iCat")</x:f>
      </x:c>
      <x:c r="M1713" s="0" t="s">
        <x:v>21</x:v>
      </x:c>
      <x:c r="N1713" s="0" t="s">
        <x:v>46</x:v>
      </x:c>
    </x:row>
    <x:row r="1714" spans="1:16">
      <x:c r="A1714" s="0" t="s">
        <x:v>6688</x:v>
      </x:c>
      <x:c r="B1714" s="0" t="s">
        <x:v>6689</x:v>
      </x:c>
      <x:c r="C1714" s="0" t="s">
        <x:v>6690</x:v>
      </x:c>
      <x:c r="E1714" s="0" t="s">
        <x:v>6691</x:v>
      </x:c>
      <x:c r="F1714" s="0" t="s">
        <x:v>45</x:v>
      </x:c>
      <x:c r="G1714" s="0" t="s">
        <x:v>19</x:v>
      </x:c>
      <x:c r="H1714" s="0" t="s">
        <x:v>20</x:v>
      </x:c>
      <x:c r="I1714" s="0" t="s">
        <x:v>21</x:v>
      </x:c>
      <x:c r="K1714" s="0">
        <x:f>hyperlink("https://icd.who.int/dev11/l-ichi/en#/http%3A%2F%2Fid.who.int%2Ficd%2Fentity%2F1031711171","browser")</x:f>
      </x:c>
      <x:c r="L1714" s="0">
        <x:f>hyperlink("https://icat2.azurewebsites.net/icat/?ontology=ICD&amp;tab=ClassesTab&amp;id=http%3A%2F%2Fwho.int%2Ficd%235055_512ebf36_bf6b_4d70_85da_cf2637062af4","iCat")</x:f>
      </x:c>
      <x:c r="M1714" s="0" t="s">
        <x:v>21</x:v>
      </x:c>
      <x:c r="N1714" s="0" t="s">
        <x:v>46</x:v>
      </x:c>
    </x:row>
    <x:row r="1715" spans="1:16">
      <x:c r="A1715" s="0" t="s">
        <x:v>6692</x:v>
      </x:c>
      <x:c r="B1715" s="0" t="s">
        <x:v>6693</x:v>
      </x:c>
      <x:c r="C1715" s="0" t="s">
        <x:v>6694</x:v>
      </x:c>
      <x:c r="E1715" s="0" t="s">
        <x:v>6695</x:v>
      </x:c>
      <x:c r="F1715" s="0" t="s">
        <x:v>45</x:v>
      </x:c>
      <x:c r="G1715" s="0" t="s">
        <x:v>19</x:v>
      </x:c>
      <x:c r="H1715" s="0" t="s">
        <x:v>20</x:v>
      </x:c>
      <x:c r="I1715" s="0" t="s">
        <x:v>21</x:v>
      </x:c>
      <x:c r="K1715" s="0">
        <x:f>hyperlink("https://icd.who.int/dev11/l-ichi/en#/http%3A%2F%2Fid.who.int%2Ficd%2Fentity%2F1221078448","browser")</x:f>
      </x:c>
      <x:c r="L1715" s="0">
        <x:f>hyperlink("https://icat2.azurewebsites.net/icat/?ontology=ICD&amp;tab=ClassesTab&amp;id=http%3A%2F%2Fwho.int%2Ficd%235061_512ebf36_bf6b_4d70_85da_cf2637062af4","iCat")</x:f>
      </x:c>
      <x:c r="M1715" s="0" t="s">
        <x:v>21</x:v>
      </x:c>
      <x:c r="N1715" s="0" t="s">
        <x:v>46</x:v>
      </x:c>
    </x:row>
    <x:row r="1716" spans="1:16">
      <x:c r="A1716" s="0" t="s">
        <x:v>6696</x:v>
      </x:c>
      <x:c r="B1716" s="0" t="s">
        <x:v>6697</x:v>
      </x:c>
      <x:c r="C1716" s="0" t="s">
        <x:v>6698</x:v>
      </x:c>
      <x:c r="E1716" s="0" t="s">
        <x:v>6699</x:v>
      </x:c>
      <x:c r="F1716" s="0" t="s">
        <x:v>45</x:v>
      </x:c>
      <x:c r="G1716" s="0" t="s">
        <x:v>19</x:v>
      </x:c>
      <x:c r="H1716" s="0" t="s">
        <x:v>20</x:v>
      </x:c>
      <x:c r="I1716" s="0" t="s">
        <x:v>21</x:v>
      </x:c>
      <x:c r="K1716" s="0">
        <x:f>hyperlink("https://icd.who.int/dev11/l-ichi/en#/http%3A%2F%2Fid.who.int%2Ficd%2Fentity%2F649080537","browser")</x:f>
      </x:c>
      <x:c r="L1716" s="0">
        <x:f>hyperlink("https://icat2.azurewebsites.net/icat/?ontology=ICD&amp;tab=ClassesTab&amp;id=http%3A%2F%2Fwho.int%2Ficd%235068_512ebf36_bf6b_4d70_85da_cf2637062af4","iCat")</x:f>
      </x:c>
      <x:c r="M1716" s="0" t="s">
        <x:v>21</x:v>
      </x:c>
      <x:c r="N1716" s="0" t="s">
        <x:v>46</x:v>
      </x:c>
    </x:row>
    <x:row r="1717" spans="1:16">
      <x:c r="A1717" s="0" t="s">
        <x:v>6700</x:v>
      </x:c>
      <x:c r="B1717" s="0" t="s">
        <x:v>6701</x:v>
      </x:c>
      <x:c r="C1717" s="0" t="s">
        <x:v>6702</x:v>
      </x:c>
      <x:c r="E1717" s="0" t="s">
        <x:v>6703</x:v>
      </x:c>
      <x:c r="F1717" s="0" t="s">
        <x:v>45</x:v>
      </x:c>
      <x:c r="G1717" s="0" t="s">
        <x:v>19</x:v>
      </x:c>
      <x:c r="H1717" s="0" t="s">
        <x:v>20</x:v>
      </x:c>
      <x:c r="I1717" s="0" t="s">
        <x:v>21</x:v>
      </x:c>
      <x:c r="K1717" s="0">
        <x:f>hyperlink("https://icd.who.int/dev11/l-ichi/en#/http%3A%2F%2Fid.who.int%2Ficd%2Fentity%2F938675887","browser")</x:f>
      </x:c>
      <x:c r="L1717" s="0">
        <x:f>hyperlink("https://icat2.azurewebsites.net/icat/?ontology=ICD&amp;tab=ClassesTab&amp;id=http%3A%2F%2Fwho.int%2Ficd%235074_512ebf36_bf6b_4d70_85da_cf2637062af4","iCat")</x:f>
      </x:c>
      <x:c r="M1717" s="0" t="s">
        <x:v>21</x:v>
      </x:c>
      <x:c r="N1717" s="0" t="s">
        <x:v>46</x:v>
      </x:c>
    </x:row>
    <x:row r="1718" spans="1:16">
      <x:c r="B1718" s="0" t="s">
        <x:v>6704</x:v>
      </x:c>
      <x:c r="C1718" s="0" t="s">
        <x:v>6705</x:v>
      </x:c>
      <x:c r="E1718" s="0" t="s">
        <x:v>6706</x:v>
      </x:c>
      <x:c r="F1718" s="0" t="s">
        <x:v>45</x:v>
      </x:c>
      <x:c r="G1718" s="0" t="s">
        <x:v>19</x:v>
      </x:c>
      <x:c r="H1718" s="0" t="s">
        <x:v>21</x:v>
      </x:c>
      <x:c r="I1718" s="0" t="s">
        <x:v>21</x:v>
      </x:c>
      <x:c r="K1718" s="0">
        <x:f>hyperlink("https://icd.who.int/dev11/l-ichi/en#/http%3A%2F%2Fid.who.int%2Ficd%2Fentity%2F270114536%2Fichi%2Fother","browser")</x:f>
      </x:c>
      <x:c r="L1718" s="0">
        <x:f>hyperlink("","iCat")</x:f>
      </x:c>
      <x:c r="M1718" s="0" t="s">
        <x:v>21</x:v>
      </x:c>
      <x:c r="N1718" s="0" t="s">
        <x:v>46</x:v>
      </x:c>
    </x:row>
    <x:row r="1719" spans="1:16">
      <x:c r="B1719" s="0" t="s">
        <x:v>6707</x:v>
      </x:c>
      <x:c r="C1719" s="0" t="s">
        <x:v>6708</x:v>
      </x:c>
      <x:c r="E1719" s="0" t="s">
        <x:v>6709</x:v>
      </x:c>
      <x:c r="F1719" s="0" t="s">
        <x:v>45</x:v>
      </x:c>
      <x:c r="G1719" s="0" t="s">
        <x:v>19</x:v>
      </x:c>
      <x:c r="H1719" s="0" t="s">
        <x:v>21</x:v>
      </x:c>
      <x:c r="I1719" s="0" t="s">
        <x:v>21</x:v>
      </x:c>
      <x:c r="K1719" s="0">
        <x:f>hyperlink("https://icd.who.int/dev11/l-ichi/en#/http%3A%2F%2Fid.who.int%2Ficd%2Fentity%2F270114536%2Fichi%2Funspecified","browser")</x:f>
      </x:c>
      <x:c r="L1719" s="0">
        <x:f>hyperlink("","iCat")</x:f>
      </x:c>
      <x:c r="M1719" s="0" t="s">
        <x:v>21</x:v>
      </x:c>
      <x:c r="N1719" s="0" t="s">
        <x:v>46</x:v>
      </x:c>
    </x:row>
    <x:row r="1720" spans="1:16">
      <x:c r="A1720" s="0" t="s">
        <x:v>6710</x:v>
      </x:c>
      <x:c r="B1720" s="0" t="s">
        <x:v>6711</x:v>
      </x:c>
      <x:c r="D1720" s="0" t="s">
        <x:v>6712</x:v>
      </x:c>
      <x:c r="E1720" s="0" t="s">
        <x:v>6713</x:v>
      </x:c>
      <x:c r="F1720" s="0" t="s">
        <x:v>26</x:v>
      </x:c>
      <x:c r="G1720" s="0" t="s">
        <x:v>35</x:v>
      </x:c>
      <x:c r="H1720" s="0" t="s">
        <x:v>20</x:v>
      </x:c>
      <x:c r="I1720" s="0" t="s">
        <x:v>21</x:v>
      </x:c>
      <x:c r="K1720" s="0">
        <x:f>hyperlink("https://icd.who.int/dev11/l-ichi/en#/http%3A%2F%2Fid.who.int%2Ficd%2Fentity%2F1378394908","browser")</x:f>
      </x:c>
      <x:c r="L1720" s="0">
        <x:f>hyperlink("https://icat2.azurewebsites.net/icat/?ontology=ICD&amp;tab=ClassesTab&amp;id=http%3A%2F%2Fwho.int%2Ficd%235095_512ebf36_bf6b_4d70_85da_cf2637062af4","iCat")</x:f>
      </x:c>
      <x:c r="M1720" s="0" t="s">
        <x:v>20</x:v>
      </x:c>
      <x:c r="N1720" s="0" t="s">
        <x:v>206</x:v>
      </x:c>
    </x:row>
    <x:row r="1721" spans="1:16">
      <x:c r="A1721" s="0" t="s">
        <x:v>6714</x:v>
      </x:c>
      <x:c r="B1721" s="0" t="s">
        <x:v>6715</x:v>
      </x:c>
      <x:c r="D1721" s="0" t="s">
        <x:v>6716</x:v>
      </x:c>
      <x:c r="E1721" s="0" t="s">
        <x:v>6717</x:v>
      </x:c>
      <x:c r="F1721" s="0" t="s">
        <x:v>26</x:v>
      </x:c>
      <x:c r="G1721" s="0" t="s">
        <x:v>22</x:v>
      </x:c>
      <x:c r="H1721" s="0" t="s">
        <x:v>20</x:v>
      </x:c>
      <x:c r="I1721" s="0" t="s">
        <x:v>21</x:v>
      </x:c>
      <x:c r="K1721" s="0">
        <x:f>hyperlink("https://icd.who.int/dev11/l-ichi/en#/http%3A%2F%2Fid.who.int%2Ficd%2Fentity%2F1732537698","browser")</x:f>
      </x:c>
      <x:c r="L1721" s="0">
        <x:f>hyperlink("https://icat2.azurewebsites.net/icat/?ontology=ICD&amp;tab=ClassesTab&amp;id=http%3A%2F%2Fwho.int%2Ficd%235101_512ebf36_bf6b_4d70_85da_cf2637062af4","iCat")</x:f>
      </x:c>
      <x:c r="M1721" s="0" t="s">
        <x:v>20</x:v>
      </x:c>
      <x:c r="N1721" s="0" t="s">
        <x:v>6718</x:v>
      </x:c>
    </x:row>
    <x:row r="1722" spans="1:16">
      <x:c r="A1722" s="0" t="s">
        <x:v>6719</x:v>
      </x:c>
      <x:c r="B1722" s="0" t="s">
        <x:v>6720</x:v>
      </x:c>
      <x:c r="C1722" s="0" t="s">
        <x:v>6721</x:v>
      </x:c>
      <x:c r="E1722" s="0" t="s">
        <x:v>6722</x:v>
      </x:c>
      <x:c r="F1722" s="0" t="s">
        <x:v>45</x:v>
      </x:c>
      <x:c r="G1722" s="0" t="s">
        <x:v>19</x:v>
      </x:c>
      <x:c r="H1722" s="0" t="s">
        <x:v>20</x:v>
      </x:c>
      <x:c r="I1722" s="0" t="s">
        <x:v>21</x:v>
      </x:c>
      <x:c r="K1722" s="0">
        <x:f>hyperlink("https://icd.who.int/dev11/l-ichi/en#/http%3A%2F%2Fid.who.int%2Ficd%2Fentity%2F1926353190","browser")</x:f>
      </x:c>
      <x:c r="L1722" s="0">
        <x:f>hyperlink("https://icat2.azurewebsites.net/icat/?ontology=ICD&amp;tab=ClassesTab&amp;id=http%3A%2F%2Fwho.int%2Ficd%235094_512ebf36_bf6b_4d70_85da_cf2637062af4","iCat")</x:f>
      </x:c>
      <x:c r="M1722" s="0" t="s">
        <x:v>21</x:v>
      </x:c>
      <x:c r="N1722" s="0" t="s">
        <x:v>46</x:v>
      </x:c>
    </x:row>
    <x:row r="1723" spans="1:16">
      <x:c r="A1723" s="0" t="s">
        <x:v>6723</x:v>
      </x:c>
      <x:c r="B1723" s="0" t="s">
        <x:v>6724</x:v>
      </x:c>
      <x:c r="C1723" s="0" t="s">
        <x:v>6725</x:v>
      </x:c>
      <x:c r="E1723" s="0" t="s">
        <x:v>6726</x:v>
      </x:c>
      <x:c r="F1723" s="0" t="s">
        <x:v>45</x:v>
      </x:c>
      <x:c r="G1723" s="0" t="s">
        <x:v>19</x:v>
      </x:c>
      <x:c r="H1723" s="0" t="s">
        <x:v>20</x:v>
      </x:c>
      <x:c r="I1723" s="0" t="s">
        <x:v>21</x:v>
      </x:c>
      <x:c r="K1723" s="0">
        <x:f>hyperlink("https://icd.who.int/dev11/l-ichi/en#/http%3A%2F%2Fid.who.int%2Ficd%2Fentity%2F1208260558","browser")</x:f>
      </x:c>
      <x:c r="L1723" s="0">
        <x:f>hyperlink("https://icat2.azurewebsites.net/icat/?ontology=ICD&amp;tab=ClassesTab&amp;id=http%3A%2F%2Fwho.int%2Ficd%235112_512ebf36_bf6b_4d70_85da_cf2637062af4","iCat")</x:f>
      </x:c>
      <x:c r="M1723" s="0" t="s">
        <x:v>21</x:v>
      </x:c>
      <x:c r="N1723" s="0" t="s">
        <x:v>46</x:v>
      </x:c>
    </x:row>
    <x:row r="1724" spans="1:16">
      <x:c r="A1724" s="0" t="s">
        <x:v>6727</x:v>
      </x:c>
      <x:c r="B1724" s="0" t="s">
        <x:v>6728</x:v>
      </x:c>
      <x:c r="C1724" s="0" t="s">
        <x:v>6729</x:v>
      </x:c>
      <x:c r="E1724" s="0" t="s">
        <x:v>6730</x:v>
      </x:c>
      <x:c r="F1724" s="0" t="s">
        <x:v>45</x:v>
      </x:c>
      <x:c r="G1724" s="0" t="s">
        <x:v>19</x:v>
      </x:c>
      <x:c r="H1724" s="0" t="s">
        <x:v>20</x:v>
      </x:c>
      <x:c r="I1724" s="0" t="s">
        <x:v>21</x:v>
      </x:c>
      <x:c r="K1724" s="0">
        <x:f>hyperlink("https://icd.who.int/dev11/l-ichi/en#/http%3A%2F%2Fid.who.int%2Ficd%2Fentity%2F1677327198","browser")</x:f>
      </x:c>
      <x:c r="L1724" s="0">
        <x:f>hyperlink("https://icat2.azurewebsites.net/icat/?ontology=ICD&amp;tab=ClassesTab&amp;id=http%3A%2F%2Fwho.int%2Ficd%235118_512ebf36_bf6b_4d70_85da_cf2637062af4","iCat")</x:f>
      </x:c>
      <x:c r="M1724" s="0" t="s">
        <x:v>21</x:v>
      </x:c>
      <x:c r="N1724" s="0" t="s">
        <x:v>46</x:v>
      </x:c>
    </x:row>
    <x:row r="1725" spans="1:16">
      <x:c r="A1725" s="0" t="s">
        <x:v>6731</x:v>
      </x:c>
      <x:c r="B1725" s="0" t="s">
        <x:v>6732</x:v>
      </x:c>
      <x:c r="C1725" s="0" t="s">
        <x:v>6733</x:v>
      </x:c>
      <x:c r="E1725" s="0" t="s">
        <x:v>6734</x:v>
      </x:c>
      <x:c r="F1725" s="0" t="s">
        <x:v>45</x:v>
      </x:c>
      <x:c r="G1725" s="0" t="s">
        <x:v>19</x:v>
      </x:c>
      <x:c r="H1725" s="0" t="s">
        <x:v>20</x:v>
      </x:c>
      <x:c r="I1725" s="0" t="s">
        <x:v>21</x:v>
      </x:c>
      <x:c r="K1725" s="0">
        <x:f>hyperlink("https://icd.who.int/dev11/l-ichi/en#/http%3A%2F%2Fid.who.int%2Ficd%2Fentity%2F2016902214","browser")</x:f>
      </x:c>
      <x:c r="L1725" s="0">
        <x:f>hyperlink("https://icat2.azurewebsites.net/icat/?ontology=ICD&amp;tab=ClassesTab&amp;id=http%3A%2F%2Fwho.int%2Ficd%235125_512ebf36_bf6b_4d70_85da_cf2637062af4","iCat")</x:f>
      </x:c>
      <x:c r="M1725" s="0" t="s">
        <x:v>21</x:v>
      </x:c>
      <x:c r="N1725" s="0" t="s">
        <x:v>46</x:v>
      </x:c>
    </x:row>
    <x:row r="1726" spans="1:16">
      <x:c r="A1726" s="0" t="s">
        <x:v>6735</x:v>
      </x:c>
      <x:c r="B1726" s="0" t="s">
        <x:v>6736</x:v>
      </x:c>
      <x:c r="C1726" s="0" t="s">
        <x:v>6737</x:v>
      </x:c>
      <x:c r="E1726" s="0" t="s">
        <x:v>6738</x:v>
      </x:c>
      <x:c r="F1726" s="0" t="s">
        <x:v>45</x:v>
      </x:c>
      <x:c r="G1726" s="0" t="s">
        <x:v>19</x:v>
      </x:c>
      <x:c r="H1726" s="0" t="s">
        <x:v>20</x:v>
      </x:c>
      <x:c r="I1726" s="0" t="s">
        <x:v>21</x:v>
      </x:c>
      <x:c r="K1726" s="0">
        <x:f>hyperlink("https://icd.who.int/dev11/l-ichi/en#/http%3A%2F%2Fid.who.int%2Ficd%2Fentity%2F670379367","browser")</x:f>
      </x:c>
      <x:c r="L1726" s="0">
        <x:f>hyperlink("https://icat2.azurewebsites.net/icat/?ontology=ICD&amp;tab=ClassesTab&amp;id=http%3A%2F%2Fwho.int%2Ficd%235131_512ebf36_bf6b_4d70_85da_cf2637062af4","iCat")</x:f>
      </x:c>
      <x:c r="M1726" s="0" t="s">
        <x:v>21</x:v>
      </x:c>
      <x:c r="N1726" s="0" t="s">
        <x:v>46</x:v>
      </x:c>
    </x:row>
    <x:row r="1727" spans="1:16">
      <x:c r="A1727" s="0" t="s">
        <x:v>6739</x:v>
      </x:c>
      <x:c r="B1727" s="0" t="s">
        <x:v>6740</x:v>
      </x:c>
      <x:c r="C1727" s="0" t="s">
        <x:v>6741</x:v>
      </x:c>
      <x:c r="E1727" s="0" t="s">
        <x:v>6742</x:v>
      </x:c>
      <x:c r="F1727" s="0" t="s">
        <x:v>45</x:v>
      </x:c>
      <x:c r="G1727" s="0" t="s">
        <x:v>19</x:v>
      </x:c>
      <x:c r="H1727" s="0" t="s">
        <x:v>20</x:v>
      </x:c>
      <x:c r="I1727" s="0" t="s">
        <x:v>21</x:v>
      </x:c>
      <x:c r="K1727" s="0">
        <x:f>hyperlink("https://icd.who.int/dev11/l-ichi/en#/http%3A%2F%2Fid.who.int%2Ficd%2Fentity%2F2005857496","browser")</x:f>
      </x:c>
      <x:c r="L1727" s="0">
        <x:f>hyperlink("https://icat2.azurewebsites.net/icat/?ontology=ICD&amp;tab=ClassesTab&amp;id=http%3A%2F%2Fwho.int%2Ficd%235137_512ebf36_bf6b_4d70_85da_cf2637062af4","iCat")</x:f>
      </x:c>
      <x:c r="M1727" s="0" t="s">
        <x:v>21</x:v>
      </x:c>
      <x:c r="N1727" s="0" t="s">
        <x:v>46</x:v>
      </x:c>
    </x:row>
    <x:row r="1728" spans="1:16">
      <x:c r="A1728" s="0" t="s">
        <x:v>6743</x:v>
      </x:c>
      <x:c r="B1728" s="0" t="s">
        <x:v>6744</x:v>
      </x:c>
      <x:c r="C1728" s="0" t="s">
        <x:v>6745</x:v>
      </x:c>
      <x:c r="E1728" s="0" t="s">
        <x:v>6746</x:v>
      </x:c>
      <x:c r="F1728" s="0" t="s">
        <x:v>45</x:v>
      </x:c>
      <x:c r="G1728" s="0" t="s">
        <x:v>19</x:v>
      </x:c>
      <x:c r="H1728" s="0" t="s">
        <x:v>20</x:v>
      </x:c>
      <x:c r="I1728" s="0" t="s">
        <x:v>21</x:v>
      </x:c>
      <x:c r="K1728" s="0">
        <x:f>hyperlink("https://icd.who.int/dev11/l-ichi/en#/http%3A%2F%2Fid.who.int%2Ficd%2Fentity%2F1918837690","browser")</x:f>
      </x:c>
      <x:c r="L1728" s="0">
        <x:f>hyperlink("https://icat2.azurewebsites.net/icat/?ontology=ICD&amp;tab=ClassesTab&amp;id=http%3A%2F%2Fwho.int%2Ficd%235143_512ebf36_bf6b_4d70_85da_cf2637062af4","iCat")</x:f>
      </x:c>
      <x:c r="M1728" s="0" t="s">
        <x:v>21</x:v>
      </x:c>
      <x:c r="N1728" s="0" t="s">
        <x:v>46</x:v>
      </x:c>
    </x:row>
    <x:row r="1729" spans="1:16">
      <x:c r="A1729" s="0" t="s">
        <x:v>6747</x:v>
      </x:c>
      <x:c r="B1729" s="0" t="s">
        <x:v>6748</x:v>
      </x:c>
      <x:c r="C1729" s="0" t="s">
        <x:v>6749</x:v>
      </x:c>
      <x:c r="E1729" s="0" t="s">
        <x:v>6750</x:v>
      </x:c>
      <x:c r="F1729" s="0" t="s">
        <x:v>45</x:v>
      </x:c>
      <x:c r="G1729" s="0" t="s">
        <x:v>19</x:v>
      </x:c>
      <x:c r="H1729" s="0" t="s">
        <x:v>20</x:v>
      </x:c>
      <x:c r="I1729" s="0" t="s">
        <x:v>21</x:v>
      </x:c>
      <x:c r="K1729" s="0">
        <x:f>hyperlink("https://icd.who.int/dev11/l-ichi/en#/http%3A%2F%2Fid.who.int%2Ficd%2Fentity%2F1503809322","browser")</x:f>
      </x:c>
      <x:c r="L1729" s="0">
        <x:f>hyperlink("https://icat2.azurewebsites.net/icat/?ontology=ICD&amp;tab=ClassesTab&amp;id=http%3A%2F%2Fwho.int%2Ficd%235149_512ebf36_bf6b_4d70_85da_cf2637062af4","iCat")</x:f>
      </x:c>
      <x:c r="M1729" s="0" t="s">
        <x:v>21</x:v>
      </x:c>
      <x:c r="N1729" s="0" t="s">
        <x:v>46</x:v>
      </x:c>
    </x:row>
    <x:row r="1730" spans="1:16">
      <x:c r="A1730" s="0" t="s">
        <x:v>6751</x:v>
      </x:c>
      <x:c r="B1730" s="0" t="s">
        <x:v>6752</x:v>
      </x:c>
      <x:c r="C1730" s="0" t="s">
        <x:v>6753</x:v>
      </x:c>
      <x:c r="E1730" s="0" t="s">
        <x:v>6754</x:v>
      </x:c>
      <x:c r="F1730" s="0" t="s">
        <x:v>45</x:v>
      </x:c>
      <x:c r="G1730" s="0" t="s">
        <x:v>19</x:v>
      </x:c>
      <x:c r="H1730" s="0" t="s">
        <x:v>20</x:v>
      </x:c>
      <x:c r="I1730" s="0" t="s">
        <x:v>21</x:v>
      </x:c>
      <x:c r="K1730" s="0">
        <x:f>hyperlink("https://icd.who.int/dev11/l-ichi/en#/http%3A%2F%2Fid.who.int%2Ficd%2Fentity%2F329164867","browser")</x:f>
      </x:c>
      <x:c r="L1730" s="0">
        <x:f>hyperlink("https://icat2.azurewebsites.net/icat/?ontology=ICD&amp;tab=ClassesTab&amp;id=http%3A%2F%2Fwho.int%2Ficd%235158_512ebf36_bf6b_4d70_85da_cf2637062af4","iCat")</x:f>
      </x:c>
      <x:c r="M1730" s="0" t="s">
        <x:v>21</x:v>
      </x:c>
      <x:c r="N1730" s="0" t="s">
        <x:v>46</x:v>
      </x:c>
    </x:row>
    <x:row r="1731" spans="1:16">
      <x:c r="A1731" s="0" t="s">
        <x:v>6755</x:v>
      </x:c>
      <x:c r="B1731" s="0" t="s">
        <x:v>6756</x:v>
      </x:c>
      <x:c r="C1731" s="0" t="s">
        <x:v>6757</x:v>
      </x:c>
      <x:c r="E1731" s="0" t="s">
        <x:v>6758</x:v>
      </x:c>
      <x:c r="F1731" s="0" t="s">
        <x:v>45</x:v>
      </x:c>
      <x:c r="G1731" s="0" t="s">
        <x:v>19</x:v>
      </x:c>
      <x:c r="H1731" s="0" t="s">
        <x:v>20</x:v>
      </x:c>
      <x:c r="I1731" s="0" t="s">
        <x:v>21</x:v>
      </x:c>
      <x:c r="K1731" s="0">
        <x:f>hyperlink("https://icd.who.int/dev11/l-ichi/en#/http%3A%2F%2Fid.who.int%2Ficd%2Fentity%2F682188133","browser")</x:f>
      </x:c>
      <x:c r="L1731" s="0">
        <x:f>hyperlink("https://icat2.azurewebsites.net/icat/?ontology=ICD&amp;tab=ClassesTab&amp;id=http%3A%2F%2Fwho.int%2Ficd%235164_512ebf36_bf6b_4d70_85da_cf2637062af4","iCat")</x:f>
      </x:c>
      <x:c r="M1731" s="0" t="s">
        <x:v>21</x:v>
      </x:c>
      <x:c r="N1731" s="0" t="s">
        <x:v>46</x:v>
      </x:c>
    </x:row>
    <x:row r="1732" spans="1:16">
      <x:c r="A1732" s="0" t="s">
        <x:v>6759</x:v>
      </x:c>
      <x:c r="B1732" s="0" t="s">
        <x:v>6760</x:v>
      </x:c>
      <x:c r="C1732" s="0" t="s">
        <x:v>6761</x:v>
      </x:c>
      <x:c r="E1732" s="0" t="s">
        <x:v>6762</x:v>
      </x:c>
      <x:c r="F1732" s="0" t="s">
        <x:v>45</x:v>
      </x:c>
      <x:c r="G1732" s="0" t="s">
        <x:v>19</x:v>
      </x:c>
      <x:c r="H1732" s="0" t="s">
        <x:v>20</x:v>
      </x:c>
      <x:c r="I1732" s="0" t="s">
        <x:v>21</x:v>
      </x:c>
      <x:c r="K1732" s="0">
        <x:f>hyperlink("https://icd.who.int/dev11/l-ichi/en#/http%3A%2F%2Fid.who.int%2Ficd%2Fentity%2F303501699","browser")</x:f>
      </x:c>
      <x:c r="L1732" s="0">
        <x:f>hyperlink("https://icat2.azurewebsites.net/icat/?ontology=ICD&amp;tab=ClassesTab&amp;id=http%3A%2F%2Fwho.int%2Ficd%235172_512ebf36_bf6b_4d70_85da_cf2637062af4","iCat")</x:f>
      </x:c>
      <x:c r="M1732" s="0" t="s">
        <x:v>21</x:v>
      </x:c>
      <x:c r="N1732" s="0" t="s">
        <x:v>46</x:v>
      </x:c>
    </x:row>
    <x:row r="1733" spans="1:16">
      <x:c r="A1733" s="0" t="s">
        <x:v>6763</x:v>
      </x:c>
      <x:c r="B1733" s="0" t="s">
        <x:v>6764</x:v>
      </x:c>
      <x:c r="C1733" s="0" t="s">
        <x:v>6765</x:v>
      </x:c>
      <x:c r="E1733" s="0" t="s">
        <x:v>6766</x:v>
      </x:c>
      <x:c r="F1733" s="0" t="s">
        <x:v>45</x:v>
      </x:c>
      <x:c r="G1733" s="0" t="s">
        <x:v>19</x:v>
      </x:c>
      <x:c r="H1733" s="0" t="s">
        <x:v>20</x:v>
      </x:c>
      <x:c r="I1733" s="0" t="s">
        <x:v>21</x:v>
      </x:c>
      <x:c r="K1733" s="0">
        <x:f>hyperlink("https://icd.who.int/dev11/l-ichi/en#/http%3A%2F%2Fid.who.int%2Ficd%2Fentity%2F420679471","browser")</x:f>
      </x:c>
      <x:c r="L1733" s="0">
        <x:f>hyperlink("https://icat2.azurewebsites.net/icat/?ontology=ICD&amp;tab=ClassesTab&amp;id=http%3A%2F%2Fwho.int%2Ficd%235179_512ebf36_bf6b_4d70_85da_cf2637062af4","iCat")</x:f>
      </x:c>
      <x:c r="M1733" s="0" t="s">
        <x:v>21</x:v>
      </x:c>
      <x:c r="N1733" s="0" t="s">
        <x:v>46</x:v>
      </x:c>
    </x:row>
    <x:row r="1734" spans="1:16">
      <x:c r="A1734" s="0" t="s">
        <x:v>6767</x:v>
      </x:c>
      <x:c r="B1734" s="0" t="s">
        <x:v>6768</x:v>
      </x:c>
      <x:c r="C1734" s="0" t="s">
        <x:v>6769</x:v>
      </x:c>
      <x:c r="E1734" s="0" t="s">
        <x:v>6770</x:v>
      </x:c>
      <x:c r="F1734" s="0" t="s">
        <x:v>45</x:v>
      </x:c>
      <x:c r="G1734" s="0" t="s">
        <x:v>19</x:v>
      </x:c>
      <x:c r="H1734" s="0" t="s">
        <x:v>20</x:v>
      </x:c>
      <x:c r="I1734" s="0" t="s">
        <x:v>21</x:v>
      </x:c>
      <x:c r="K1734" s="0">
        <x:f>hyperlink("https://icd.who.int/dev11/l-ichi/en#/http%3A%2F%2Fid.who.int%2Ficd%2Fentity%2F1299378386","browser")</x:f>
      </x:c>
      <x:c r="L1734" s="0">
        <x:f>hyperlink("https://icat2.azurewebsites.net/icat/?ontology=ICD&amp;tab=ClassesTab&amp;id=http%3A%2F%2Fwho.int%2Ficd%235185_512ebf36_bf6b_4d70_85da_cf2637062af4","iCat")</x:f>
      </x:c>
      <x:c r="M1734" s="0" t="s">
        <x:v>21</x:v>
      </x:c>
      <x:c r="N1734" s="0" t="s">
        <x:v>46</x:v>
      </x:c>
    </x:row>
    <x:row r="1735" spans="1:16">
      <x:c r="A1735" s="0" t="s">
        <x:v>6771</x:v>
      </x:c>
      <x:c r="B1735" s="0" t="s">
        <x:v>6772</x:v>
      </x:c>
      <x:c r="C1735" s="0" t="s">
        <x:v>6773</x:v>
      </x:c>
      <x:c r="E1735" s="0" t="s">
        <x:v>6774</x:v>
      </x:c>
      <x:c r="F1735" s="0" t="s">
        <x:v>45</x:v>
      </x:c>
      <x:c r="G1735" s="0" t="s">
        <x:v>19</x:v>
      </x:c>
      <x:c r="H1735" s="0" t="s">
        <x:v>20</x:v>
      </x:c>
      <x:c r="I1735" s="0" t="s">
        <x:v>21</x:v>
      </x:c>
      <x:c r="K1735" s="0">
        <x:f>hyperlink("https://icd.who.int/dev11/l-ichi/en#/http%3A%2F%2Fid.who.int%2Ficd%2Fentity%2F2135134708","browser")</x:f>
      </x:c>
      <x:c r="L1735" s="0">
        <x:f>hyperlink("https://icat2.azurewebsites.net/icat/?ontology=ICD&amp;tab=ClassesTab&amp;id=http%3A%2F%2Fwho.int%2Ficd%23283_94acc4f6_b696_4796_914a_62879ddd4f65","iCat")</x:f>
      </x:c>
      <x:c r="M1735" s="0" t="s">
        <x:v>21</x:v>
      </x:c>
      <x:c r="N1735" s="0" t="s">
        <x:v>46</x:v>
      </x:c>
    </x:row>
    <x:row r="1736" spans="1:16">
      <x:c r="A1736" s="0" t="s">
        <x:v>6775</x:v>
      </x:c>
      <x:c r="B1736" s="0" t="s">
        <x:v>6776</x:v>
      </x:c>
      <x:c r="C1736" s="0" t="s">
        <x:v>6777</x:v>
      </x:c>
      <x:c r="E1736" s="0" t="s">
        <x:v>6778</x:v>
      </x:c>
      <x:c r="F1736" s="0" t="s">
        <x:v>45</x:v>
      </x:c>
      <x:c r="G1736" s="0" t="s">
        <x:v>19</x:v>
      </x:c>
      <x:c r="H1736" s="0" t="s">
        <x:v>20</x:v>
      </x:c>
      <x:c r="I1736" s="0" t="s">
        <x:v>21</x:v>
      </x:c>
      <x:c r="K1736" s="0">
        <x:f>hyperlink("https://icd.who.int/dev11/l-ichi/en#/http%3A%2F%2Fid.who.int%2Ficd%2Fentity%2F1463143948","browser")</x:f>
      </x:c>
      <x:c r="L1736" s="0">
        <x:f>hyperlink("https://icat2.azurewebsites.net/icat/?ontology=ICD&amp;tab=ClassesTab&amp;id=http%3A%2F%2Fwho.int%2Ficd%235192_512ebf36_bf6b_4d70_85da_cf2637062af4","iCat")</x:f>
      </x:c>
      <x:c r="M1736" s="0" t="s">
        <x:v>21</x:v>
      </x:c>
      <x:c r="N1736" s="0" t="s">
        <x:v>46</x:v>
      </x:c>
    </x:row>
    <x:row r="1737" spans="1:16">
      <x:c r="A1737" s="0" t="s">
        <x:v>6779</x:v>
      </x:c>
      <x:c r="B1737" s="0" t="s">
        <x:v>6780</x:v>
      </x:c>
      <x:c r="C1737" s="0" t="s">
        <x:v>6781</x:v>
      </x:c>
      <x:c r="E1737" s="0" t="s">
        <x:v>6782</x:v>
      </x:c>
      <x:c r="F1737" s="0" t="s">
        <x:v>45</x:v>
      </x:c>
      <x:c r="G1737" s="0" t="s">
        <x:v>19</x:v>
      </x:c>
      <x:c r="H1737" s="0" t="s">
        <x:v>20</x:v>
      </x:c>
      <x:c r="I1737" s="0" t="s">
        <x:v>21</x:v>
      </x:c>
      <x:c r="K1737" s="0">
        <x:f>hyperlink("https://icd.who.int/dev11/l-ichi/en#/http%3A%2F%2Fid.who.int%2Ficd%2Fentity%2F2093523612","browser")</x:f>
      </x:c>
      <x:c r="L1737" s="0">
        <x:f>hyperlink("https://icat2.azurewebsites.net/icat/?ontology=ICD&amp;tab=ClassesTab&amp;id=http%3A%2F%2Fwho.int%2Ficd%235198_512ebf36_bf6b_4d70_85da_cf2637062af4","iCat")</x:f>
      </x:c>
      <x:c r="M1737" s="0" t="s">
        <x:v>21</x:v>
      </x:c>
      <x:c r="N1737" s="0" t="s">
        <x:v>46</x:v>
      </x:c>
    </x:row>
    <x:row r="1738" spans="1:16">
      <x:c r="A1738" s="0" t="s">
        <x:v>6783</x:v>
      </x:c>
      <x:c r="B1738" s="0" t="s">
        <x:v>6784</x:v>
      </x:c>
      <x:c r="C1738" s="0" t="s">
        <x:v>6785</x:v>
      </x:c>
      <x:c r="E1738" s="0" t="s">
        <x:v>6786</x:v>
      </x:c>
      <x:c r="F1738" s="0" t="s">
        <x:v>45</x:v>
      </x:c>
      <x:c r="G1738" s="0" t="s">
        <x:v>19</x:v>
      </x:c>
      <x:c r="H1738" s="0" t="s">
        <x:v>20</x:v>
      </x:c>
      <x:c r="I1738" s="0" t="s">
        <x:v>21</x:v>
      </x:c>
      <x:c r="K1738" s="0">
        <x:f>hyperlink("https://icd.who.int/dev11/l-ichi/en#/http%3A%2F%2Fid.who.int%2Ficd%2Fentity%2F1751374418","browser")</x:f>
      </x:c>
      <x:c r="L1738" s="0">
        <x:f>hyperlink("https://icat2.azurewebsites.net/icat/?ontology=ICD&amp;tab=ClassesTab&amp;id=http%3A%2F%2Fwho.int%2Ficd%235208_512ebf36_bf6b_4d70_85da_cf2637062af4","iCat")</x:f>
      </x:c>
      <x:c r="M1738" s="0" t="s">
        <x:v>21</x:v>
      </x:c>
      <x:c r="N1738" s="0" t="s">
        <x:v>46</x:v>
      </x:c>
    </x:row>
    <x:row r="1739" spans="1:16">
      <x:c r="A1739" s="0" t="s">
        <x:v>6787</x:v>
      </x:c>
      <x:c r="B1739" s="0" t="s">
        <x:v>6788</x:v>
      </x:c>
      <x:c r="C1739" s="0" t="s">
        <x:v>6789</x:v>
      </x:c>
      <x:c r="E1739" s="0" t="s">
        <x:v>6790</x:v>
      </x:c>
      <x:c r="F1739" s="0" t="s">
        <x:v>45</x:v>
      </x:c>
      <x:c r="G1739" s="0" t="s">
        <x:v>19</x:v>
      </x:c>
      <x:c r="H1739" s="0" t="s">
        <x:v>20</x:v>
      </x:c>
      <x:c r="I1739" s="0" t="s">
        <x:v>21</x:v>
      </x:c>
      <x:c r="K1739" s="0">
        <x:f>hyperlink("https://icd.who.int/dev11/l-ichi/en#/http%3A%2F%2Fid.who.int%2Ficd%2Fentity%2F475850723","browser")</x:f>
      </x:c>
      <x:c r="L1739" s="0">
        <x:f>hyperlink("https://icat2.azurewebsites.net/icat/?ontology=ICD&amp;tab=ClassesTab&amp;id=http%3A%2F%2Fwho.int%2Ficd%235216_512ebf36_bf6b_4d70_85da_cf2637062af4","iCat")</x:f>
      </x:c>
      <x:c r="M1739" s="0" t="s">
        <x:v>21</x:v>
      </x:c>
      <x:c r="N1739" s="0" t="s">
        <x:v>46</x:v>
      </x:c>
    </x:row>
    <x:row r="1740" spans="1:16">
      <x:c r="A1740" s="0" t="s">
        <x:v>6791</x:v>
      </x:c>
      <x:c r="B1740" s="0" t="s">
        <x:v>6792</x:v>
      </x:c>
      <x:c r="C1740" s="0" t="s">
        <x:v>6793</x:v>
      </x:c>
      <x:c r="E1740" s="0" t="s">
        <x:v>6794</x:v>
      </x:c>
      <x:c r="F1740" s="0" t="s">
        <x:v>45</x:v>
      </x:c>
      <x:c r="G1740" s="0" t="s">
        <x:v>19</x:v>
      </x:c>
      <x:c r="H1740" s="0" t="s">
        <x:v>20</x:v>
      </x:c>
      <x:c r="I1740" s="0" t="s">
        <x:v>21</x:v>
      </x:c>
      <x:c r="K1740" s="0">
        <x:f>hyperlink("https://icd.who.int/dev11/l-ichi/en#/http%3A%2F%2Fid.who.int%2Ficd%2Fentity%2F1776968592","browser")</x:f>
      </x:c>
      <x:c r="L1740" s="0">
        <x:f>hyperlink("https://icat2.azurewebsites.net/icat/?ontology=ICD&amp;tab=ClassesTab&amp;id=http%3A%2F%2Fwho.int%2Ficd%235222_512ebf36_bf6b_4d70_85da_cf2637062af4","iCat")</x:f>
      </x:c>
      <x:c r="M1740" s="0" t="s">
        <x:v>21</x:v>
      </x:c>
      <x:c r="N1740" s="0" t="s">
        <x:v>46</x:v>
      </x:c>
    </x:row>
    <x:row r="1741" spans="1:16">
      <x:c r="A1741" s="0" t="s">
        <x:v>6795</x:v>
      </x:c>
      <x:c r="B1741" s="0" t="s">
        <x:v>6796</x:v>
      </x:c>
      <x:c r="C1741" s="0" t="s">
        <x:v>6797</x:v>
      </x:c>
      <x:c r="E1741" s="0" t="s">
        <x:v>6798</x:v>
      </x:c>
      <x:c r="F1741" s="0" t="s">
        <x:v>45</x:v>
      </x:c>
      <x:c r="G1741" s="0" t="s">
        <x:v>19</x:v>
      </x:c>
      <x:c r="H1741" s="0" t="s">
        <x:v>20</x:v>
      </x:c>
      <x:c r="I1741" s="0" t="s">
        <x:v>21</x:v>
      </x:c>
      <x:c r="K1741" s="0">
        <x:f>hyperlink("https://icd.who.int/dev11/l-ichi/en#/http%3A%2F%2Fid.who.int%2Ficd%2Fentity%2F1311749878","browser")</x:f>
      </x:c>
      <x:c r="L1741" s="0">
        <x:f>hyperlink("https://icat2.azurewebsites.net/icat/?ontology=ICD&amp;tab=ClassesTab&amp;id=http%3A%2F%2Fwho.int%2Ficd%2394_bf15315e_f1c5_45f6_9637_651657d70d50","iCat")</x:f>
      </x:c>
      <x:c r="M1741" s="0" t="s">
        <x:v>21</x:v>
      </x:c>
      <x:c r="N1741" s="0" t="s">
        <x:v>46</x:v>
      </x:c>
    </x:row>
    <x:row r="1742" spans="1:16">
      <x:c r="A1742" s="0" t="s">
        <x:v>6799</x:v>
      </x:c>
      <x:c r="B1742" s="0" t="s">
        <x:v>6800</x:v>
      </x:c>
      <x:c r="C1742" s="0" t="s">
        <x:v>6801</x:v>
      </x:c>
      <x:c r="E1742" s="0" t="s">
        <x:v>6802</x:v>
      </x:c>
      <x:c r="F1742" s="0" t="s">
        <x:v>45</x:v>
      </x:c>
      <x:c r="G1742" s="0" t="s">
        <x:v>19</x:v>
      </x:c>
      <x:c r="H1742" s="0" t="s">
        <x:v>20</x:v>
      </x:c>
      <x:c r="I1742" s="0" t="s">
        <x:v>21</x:v>
      </x:c>
      <x:c r="K1742" s="0">
        <x:f>hyperlink("https://icd.who.int/dev11/l-ichi/en#/http%3A%2F%2Fid.who.int%2Ficd%2Fentity%2F1716775682","browser")</x:f>
      </x:c>
      <x:c r="L1742" s="0">
        <x:f>hyperlink("https://icat2.azurewebsites.net/icat/?ontology=ICD&amp;tab=ClassesTab&amp;id=http%3A%2F%2Fwho.int%2Ficd%235230_512ebf36_bf6b_4d70_85da_cf2637062af4","iCat")</x:f>
      </x:c>
      <x:c r="M1742" s="0" t="s">
        <x:v>21</x:v>
      </x:c>
      <x:c r="N1742" s="0" t="s">
        <x:v>46</x:v>
      </x:c>
    </x:row>
    <x:row r="1743" spans="1:16">
      <x:c r="A1743" s="0" t="s">
        <x:v>6803</x:v>
      </x:c>
      <x:c r="B1743" s="0" t="s">
        <x:v>6804</x:v>
      </x:c>
      <x:c r="C1743" s="0" t="s">
        <x:v>6805</x:v>
      </x:c>
      <x:c r="E1743" s="0" t="s">
        <x:v>6806</x:v>
      </x:c>
      <x:c r="F1743" s="0" t="s">
        <x:v>45</x:v>
      </x:c>
      <x:c r="G1743" s="0" t="s">
        <x:v>19</x:v>
      </x:c>
      <x:c r="H1743" s="0" t="s">
        <x:v>20</x:v>
      </x:c>
      <x:c r="I1743" s="0" t="s">
        <x:v>21</x:v>
      </x:c>
      <x:c r="K1743" s="0">
        <x:f>hyperlink("https://icd.who.int/dev11/l-ichi/en#/http%3A%2F%2Fid.who.int%2Ficd%2Fentity%2F1451620378","browser")</x:f>
      </x:c>
      <x:c r="L1743" s="0">
        <x:f>hyperlink("https://icat2.azurewebsites.net/icat/?ontology=ICD&amp;tab=ClassesTab&amp;id=http%3A%2F%2Fwho.int%2Ficd%235240_512ebf36_bf6b_4d70_85da_cf2637062af4","iCat")</x:f>
      </x:c>
      <x:c r="M1743" s="0" t="s">
        <x:v>21</x:v>
      </x:c>
      <x:c r="N1743" s="0" t="s">
        <x:v>46</x:v>
      </x:c>
    </x:row>
    <x:row r="1744" spans="1:16">
      <x:c r="A1744" s="0" t="s">
        <x:v>6807</x:v>
      </x:c>
      <x:c r="B1744" s="0" t="s">
        <x:v>6808</x:v>
      </x:c>
      <x:c r="C1744" s="0" t="s">
        <x:v>6809</x:v>
      </x:c>
      <x:c r="E1744" s="0" t="s">
        <x:v>6810</x:v>
      </x:c>
      <x:c r="F1744" s="0" t="s">
        <x:v>45</x:v>
      </x:c>
      <x:c r="G1744" s="0" t="s">
        <x:v>19</x:v>
      </x:c>
      <x:c r="H1744" s="0" t="s">
        <x:v>20</x:v>
      </x:c>
      <x:c r="I1744" s="0" t="s">
        <x:v>21</x:v>
      </x:c>
      <x:c r="K1744" s="0">
        <x:f>hyperlink("https://icd.who.int/dev11/l-ichi/en#/http%3A%2F%2Fid.who.int%2Ficd%2Fentity%2F155691323","browser")</x:f>
      </x:c>
      <x:c r="L1744" s="0">
        <x:f>hyperlink("https://icat2.azurewebsites.net/icat/?ontology=ICD&amp;tab=ClassesTab&amp;id=http%3A%2F%2Fwho.int%2Ficd%235254_512ebf36_bf6b_4d70_85da_cf2637062af4","iCat")</x:f>
      </x:c>
      <x:c r="M1744" s="0" t="s">
        <x:v>21</x:v>
      </x:c>
      <x:c r="N1744" s="0" t="s">
        <x:v>46</x:v>
      </x:c>
    </x:row>
    <x:row r="1745" spans="1:16">
      <x:c r="A1745" s="0" t="s">
        <x:v>6811</x:v>
      </x:c>
      <x:c r="B1745" s="0" t="s">
        <x:v>6812</x:v>
      </x:c>
      <x:c r="C1745" s="0" t="s">
        <x:v>6813</x:v>
      </x:c>
      <x:c r="E1745" s="0" t="s">
        <x:v>6814</x:v>
      </x:c>
      <x:c r="F1745" s="0" t="s">
        <x:v>45</x:v>
      </x:c>
      <x:c r="G1745" s="0" t="s">
        <x:v>19</x:v>
      </x:c>
      <x:c r="H1745" s="0" t="s">
        <x:v>20</x:v>
      </x:c>
      <x:c r="I1745" s="0" t="s">
        <x:v>21</x:v>
      </x:c>
      <x:c r="K1745" s="0">
        <x:f>hyperlink("https://icd.who.int/dev11/l-ichi/en#/http%3A%2F%2Fid.who.int%2Ficd%2Fentity%2F1240918334","browser")</x:f>
      </x:c>
      <x:c r="L1745" s="0">
        <x:f>hyperlink("https://icat2.azurewebsites.net/icat/?ontology=ICD&amp;tab=ClassesTab&amp;id=http%3A%2F%2Fwho.int%2Ficd%235264_512ebf36_bf6b_4d70_85da_cf2637062af4","iCat")</x:f>
      </x:c>
      <x:c r="M1745" s="0" t="s">
        <x:v>21</x:v>
      </x:c>
      <x:c r="N1745" s="0" t="s">
        <x:v>46</x:v>
      </x:c>
    </x:row>
    <x:row r="1746" spans="1:16">
      <x:c r="A1746" s="0" t="s">
        <x:v>6815</x:v>
      </x:c>
      <x:c r="B1746" s="0" t="s">
        <x:v>6816</x:v>
      </x:c>
      <x:c r="C1746" s="0" t="s">
        <x:v>6817</x:v>
      </x:c>
      <x:c r="E1746" s="0" t="s">
        <x:v>6818</x:v>
      </x:c>
      <x:c r="F1746" s="0" t="s">
        <x:v>45</x:v>
      </x:c>
      <x:c r="G1746" s="0" t="s">
        <x:v>19</x:v>
      </x:c>
      <x:c r="H1746" s="0" t="s">
        <x:v>20</x:v>
      </x:c>
      <x:c r="I1746" s="0" t="s">
        <x:v>21</x:v>
      </x:c>
      <x:c r="K1746" s="0">
        <x:f>hyperlink("https://icd.who.int/dev11/l-ichi/en#/http%3A%2F%2Fid.who.int%2Ficd%2Fentity%2F372553759","browser")</x:f>
      </x:c>
      <x:c r="L1746" s="0">
        <x:f>hyperlink("https://icat2.azurewebsites.net/icat/?ontology=ICD&amp;tab=ClassesTab&amp;id=http%3A%2F%2Fwho.int%2Ficd%235270_512ebf36_bf6b_4d70_85da_cf2637062af4","iCat")</x:f>
      </x:c>
      <x:c r="M1746" s="0" t="s">
        <x:v>21</x:v>
      </x:c>
      <x:c r="N1746" s="0" t="s">
        <x:v>46</x:v>
      </x:c>
    </x:row>
    <x:row r="1747" spans="1:16">
      <x:c r="A1747" s="0" t="s">
        <x:v>6819</x:v>
      </x:c>
      <x:c r="B1747" s="0" t="s">
        <x:v>6820</x:v>
      </x:c>
      <x:c r="C1747" s="0" t="s">
        <x:v>6821</x:v>
      </x:c>
      <x:c r="E1747" s="0" t="s">
        <x:v>6822</x:v>
      </x:c>
      <x:c r="F1747" s="0" t="s">
        <x:v>45</x:v>
      </x:c>
      <x:c r="G1747" s="0" t="s">
        <x:v>19</x:v>
      </x:c>
      <x:c r="H1747" s="0" t="s">
        <x:v>20</x:v>
      </x:c>
      <x:c r="I1747" s="0" t="s">
        <x:v>21</x:v>
      </x:c>
      <x:c r="K1747" s="0">
        <x:f>hyperlink("https://icd.who.int/dev11/l-ichi/en#/http%3A%2F%2Fid.who.int%2Ficd%2Fentity%2F1723208594","browser")</x:f>
      </x:c>
      <x:c r="L1747" s="0">
        <x:f>hyperlink("https://icat2.azurewebsites.net/icat/?ontology=ICD&amp;tab=ClassesTab&amp;id=http%3A%2F%2Fwho.int%2Ficd%235277_512ebf36_bf6b_4d70_85da_cf2637062af4","iCat")</x:f>
      </x:c>
      <x:c r="M1747" s="0" t="s">
        <x:v>21</x:v>
      </x:c>
      <x:c r="N1747" s="0" t="s">
        <x:v>46</x:v>
      </x:c>
    </x:row>
    <x:row r="1748" spans="1:16">
      <x:c r="A1748" s="0" t="s">
        <x:v>6823</x:v>
      </x:c>
      <x:c r="B1748" s="0" t="s">
        <x:v>6824</x:v>
      </x:c>
      <x:c r="C1748" s="0" t="s">
        <x:v>6825</x:v>
      </x:c>
      <x:c r="E1748" s="0" t="s">
        <x:v>6826</x:v>
      </x:c>
      <x:c r="F1748" s="0" t="s">
        <x:v>45</x:v>
      </x:c>
      <x:c r="G1748" s="0" t="s">
        <x:v>19</x:v>
      </x:c>
      <x:c r="H1748" s="0" t="s">
        <x:v>20</x:v>
      </x:c>
      <x:c r="I1748" s="0" t="s">
        <x:v>21</x:v>
      </x:c>
      <x:c r="K1748" s="0">
        <x:f>hyperlink("https://icd.who.int/dev11/l-ichi/en#/http%3A%2F%2Fid.who.int%2Ficd%2Fentity%2F2086051130","browser")</x:f>
      </x:c>
      <x:c r="L1748" s="0">
        <x:f>hyperlink("https://icat2.azurewebsites.net/icat/?ontology=ICD&amp;tab=ClassesTab&amp;id=http%3A%2F%2Fwho.int%2Ficd%235283_512ebf36_bf6b_4d70_85da_cf2637062af4","iCat")</x:f>
      </x:c>
      <x:c r="M1748" s="0" t="s">
        <x:v>21</x:v>
      </x:c>
      <x:c r="N1748" s="0" t="s">
        <x:v>46</x:v>
      </x:c>
    </x:row>
    <x:row r="1749" spans="1:16">
      <x:c r="A1749" s="0" t="s">
        <x:v>6827</x:v>
      </x:c>
      <x:c r="B1749" s="0" t="s">
        <x:v>6828</x:v>
      </x:c>
      <x:c r="C1749" s="0" t="s">
        <x:v>6829</x:v>
      </x:c>
      <x:c r="E1749" s="0" t="s">
        <x:v>6830</x:v>
      </x:c>
      <x:c r="F1749" s="0" t="s">
        <x:v>45</x:v>
      </x:c>
      <x:c r="G1749" s="0" t="s">
        <x:v>19</x:v>
      </x:c>
      <x:c r="H1749" s="0" t="s">
        <x:v>20</x:v>
      </x:c>
      <x:c r="I1749" s="0" t="s">
        <x:v>21</x:v>
      </x:c>
      <x:c r="K1749" s="0">
        <x:f>hyperlink("https://icd.who.int/dev11/l-ichi/en#/http%3A%2F%2Fid.who.int%2Ficd%2Fentity%2F1712432100","browser")</x:f>
      </x:c>
      <x:c r="L1749" s="0">
        <x:f>hyperlink("https://icat2.azurewebsites.net/icat/?ontology=ICD&amp;tab=ClassesTab&amp;id=http%3A%2F%2Fwho.int%2Ficd%235294_512ebf36_bf6b_4d70_85da_cf2637062af4","iCat")</x:f>
      </x:c>
      <x:c r="M1749" s="0" t="s">
        <x:v>21</x:v>
      </x:c>
      <x:c r="N1749" s="0" t="s">
        <x:v>46</x:v>
      </x:c>
    </x:row>
    <x:row r="1750" spans="1:16">
      <x:c r="A1750" s="0" t="s">
        <x:v>6831</x:v>
      </x:c>
      <x:c r="B1750" s="0" t="s">
        <x:v>6832</x:v>
      </x:c>
      <x:c r="C1750" s="0" t="s">
        <x:v>6833</x:v>
      </x:c>
      <x:c r="E1750" s="0" t="s">
        <x:v>6834</x:v>
      </x:c>
      <x:c r="F1750" s="0" t="s">
        <x:v>45</x:v>
      </x:c>
      <x:c r="G1750" s="0" t="s">
        <x:v>19</x:v>
      </x:c>
      <x:c r="H1750" s="0" t="s">
        <x:v>20</x:v>
      </x:c>
      <x:c r="I1750" s="0" t="s">
        <x:v>21</x:v>
      </x:c>
      <x:c r="K1750" s="0">
        <x:f>hyperlink("https://icd.who.int/dev11/l-ichi/en#/http%3A%2F%2Fid.who.int%2Ficd%2Fentity%2F1400728986","browser")</x:f>
      </x:c>
      <x:c r="L1750" s="0">
        <x:f>hyperlink("https://icat2.azurewebsites.net/icat/?ontology=ICD&amp;tab=ClassesTab&amp;id=http%3A%2F%2Fwho.int%2Ficd%235300_512ebf36_bf6b_4d70_85da_cf2637062af4","iCat")</x:f>
      </x:c>
      <x:c r="M1750" s="0" t="s">
        <x:v>21</x:v>
      </x:c>
      <x:c r="N1750" s="0" t="s">
        <x:v>46</x:v>
      </x:c>
    </x:row>
    <x:row r="1751" spans="1:16">
      <x:c r="A1751" s="0" t="s">
        <x:v>6835</x:v>
      </x:c>
      <x:c r="B1751" s="0" t="s">
        <x:v>6836</x:v>
      </x:c>
      <x:c r="C1751" s="0" t="s">
        <x:v>6837</x:v>
      </x:c>
      <x:c r="E1751" s="0" t="s">
        <x:v>6838</x:v>
      </x:c>
      <x:c r="F1751" s="0" t="s">
        <x:v>45</x:v>
      </x:c>
      <x:c r="G1751" s="0" t="s">
        <x:v>19</x:v>
      </x:c>
      <x:c r="H1751" s="0" t="s">
        <x:v>20</x:v>
      </x:c>
      <x:c r="I1751" s="0" t="s">
        <x:v>21</x:v>
      </x:c>
      <x:c r="K1751" s="0">
        <x:f>hyperlink("https://icd.who.int/dev11/l-ichi/en#/http%3A%2F%2Fid.who.int%2Ficd%2Fentity%2F603964949","browser")</x:f>
      </x:c>
      <x:c r="L1751" s="0">
        <x:f>hyperlink("https://icat2.azurewebsites.net/icat/?ontology=ICD&amp;tab=ClassesTab&amp;id=http%3A%2F%2Fwho.int%2Ficd%235307_512ebf36_bf6b_4d70_85da_cf2637062af4","iCat")</x:f>
      </x:c>
      <x:c r="M1751" s="0" t="s">
        <x:v>21</x:v>
      </x:c>
      <x:c r="N1751" s="0" t="s">
        <x:v>46</x:v>
      </x:c>
    </x:row>
    <x:row r="1752" spans="1:16">
      <x:c r="A1752" s="0" t="s">
        <x:v>6839</x:v>
      </x:c>
      <x:c r="B1752" s="0" t="s">
        <x:v>6840</x:v>
      </x:c>
      <x:c r="D1752" s="0" t="s">
        <x:v>6841</x:v>
      </x:c>
      <x:c r="E1752" s="0" t="s">
        <x:v>6842</x:v>
      </x:c>
      <x:c r="F1752" s="0" t="s">
        <x:v>26</x:v>
      </x:c>
      <x:c r="G1752" s="0" t="s">
        <x:v>22</x:v>
      </x:c>
      <x:c r="H1752" s="0" t="s">
        <x:v>20</x:v>
      </x:c>
      <x:c r="I1752" s="0" t="s">
        <x:v>21</x:v>
      </x:c>
      <x:c r="K1752" s="0">
        <x:f>hyperlink("https://icd.who.int/dev11/l-ichi/en#/http%3A%2F%2Fid.who.int%2Ficd%2Fentity%2F742805127","browser")</x:f>
      </x:c>
      <x:c r="L1752" s="0">
        <x:f>hyperlink("https://icat2.azurewebsites.net/icat/?ontology=ICD&amp;tab=ClassesTab&amp;id=http%3A%2F%2Fwho.int%2Ficd%235315_512ebf36_bf6b_4d70_85da_cf2637062af4","iCat")</x:f>
      </x:c>
      <x:c r="M1752" s="0" t="s">
        <x:v>20</x:v>
      </x:c>
      <x:c r="N1752" s="0" t="s">
        <x:v>6843</x:v>
      </x:c>
    </x:row>
    <x:row r="1753" spans="1:16">
      <x:c r="A1753" s="0" t="s">
        <x:v>6844</x:v>
      </x:c>
      <x:c r="B1753" s="0" t="s">
        <x:v>6845</x:v>
      </x:c>
      <x:c r="C1753" s="0" t="s">
        <x:v>6846</x:v>
      </x:c>
      <x:c r="E1753" s="0" t="s">
        <x:v>6847</x:v>
      </x:c>
      <x:c r="F1753" s="0" t="s">
        <x:v>45</x:v>
      </x:c>
      <x:c r="G1753" s="0" t="s">
        <x:v>19</x:v>
      </x:c>
      <x:c r="H1753" s="0" t="s">
        <x:v>20</x:v>
      </x:c>
      <x:c r="I1753" s="0" t="s">
        <x:v>21</x:v>
      </x:c>
      <x:c r="K1753" s="0">
        <x:f>hyperlink("https://icd.who.int/dev11/l-ichi/en#/http%3A%2F%2Fid.who.int%2Ficd%2Fentity%2F213859515","browser")</x:f>
      </x:c>
      <x:c r="L1753" s="0">
        <x:f>hyperlink("https://icat2.azurewebsites.net/icat/?ontology=ICD&amp;tab=ClassesTab&amp;id=http%3A%2F%2Fwho.int%2Ficd%235314_512ebf36_bf6b_4d70_85da_cf2637062af4","iCat")</x:f>
      </x:c>
      <x:c r="M1753" s="0" t="s">
        <x:v>21</x:v>
      </x:c>
      <x:c r="N1753" s="0" t="s">
        <x:v>46</x:v>
      </x:c>
    </x:row>
    <x:row r="1754" spans="1:16">
      <x:c r="A1754" s="0" t="s">
        <x:v>6848</x:v>
      </x:c>
      <x:c r="B1754" s="0" t="s">
        <x:v>6849</x:v>
      </x:c>
      <x:c r="C1754" s="0" t="s">
        <x:v>6850</x:v>
      </x:c>
      <x:c r="E1754" s="0" t="s">
        <x:v>6851</x:v>
      </x:c>
      <x:c r="F1754" s="0" t="s">
        <x:v>45</x:v>
      </x:c>
      <x:c r="G1754" s="0" t="s">
        <x:v>19</x:v>
      </x:c>
      <x:c r="H1754" s="0" t="s">
        <x:v>20</x:v>
      </x:c>
      <x:c r="I1754" s="0" t="s">
        <x:v>21</x:v>
      </x:c>
      <x:c r="K1754" s="0">
        <x:f>hyperlink("https://icd.who.int/dev11/l-ichi/en#/http%3A%2F%2Fid.who.int%2Ficd%2Fentity%2F695361913","browser")</x:f>
      </x:c>
      <x:c r="L1754" s="0">
        <x:f>hyperlink("https://icat2.azurewebsites.net/icat/?ontology=ICD&amp;tab=ClassesTab&amp;id=http%3A%2F%2Fwho.int%2Ficd%235326_512ebf36_bf6b_4d70_85da_cf2637062af4","iCat")</x:f>
      </x:c>
      <x:c r="M1754" s="0" t="s">
        <x:v>21</x:v>
      </x:c>
      <x:c r="N1754" s="0" t="s">
        <x:v>46</x:v>
      </x:c>
    </x:row>
    <x:row r="1755" spans="1:16">
      <x:c r="A1755" s="0" t="s">
        <x:v>6852</x:v>
      </x:c>
      <x:c r="B1755" s="0" t="s">
        <x:v>6853</x:v>
      </x:c>
      <x:c r="C1755" s="0" t="s">
        <x:v>6854</x:v>
      </x:c>
      <x:c r="E1755" s="0" t="s">
        <x:v>6855</x:v>
      </x:c>
      <x:c r="F1755" s="0" t="s">
        <x:v>45</x:v>
      </x:c>
      <x:c r="G1755" s="0" t="s">
        <x:v>19</x:v>
      </x:c>
      <x:c r="H1755" s="0" t="s">
        <x:v>20</x:v>
      </x:c>
      <x:c r="I1755" s="0" t="s">
        <x:v>21</x:v>
      </x:c>
      <x:c r="K1755" s="0">
        <x:f>hyperlink("https://icd.who.int/dev11/l-ichi/en#/http%3A%2F%2Fid.who.int%2Ficd%2Fentity%2F1447641704","browser")</x:f>
      </x:c>
      <x:c r="L1755" s="0">
        <x:f>hyperlink("https://icat2.azurewebsites.net/icat/?ontology=ICD&amp;tab=ClassesTab&amp;id=http%3A%2F%2Fwho.int%2Ficd%235333_512ebf36_bf6b_4d70_85da_cf2637062af4","iCat")</x:f>
      </x:c>
      <x:c r="M1755" s="0" t="s">
        <x:v>21</x:v>
      </x:c>
      <x:c r="N1755" s="0" t="s">
        <x:v>46</x:v>
      </x:c>
    </x:row>
    <x:row r="1756" spans="1:16">
      <x:c r="A1756" s="0" t="s">
        <x:v>6856</x:v>
      </x:c>
      <x:c r="B1756" s="0" t="s">
        <x:v>6857</x:v>
      </x:c>
      <x:c r="C1756" s="0" t="s">
        <x:v>6858</x:v>
      </x:c>
      <x:c r="E1756" s="0" t="s">
        <x:v>6859</x:v>
      </x:c>
      <x:c r="F1756" s="0" t="s">
        <x:v>45</x:v>
      </x:c>
      <x:c r="G1756" s="0" t="s">
        <x:v>19</x:v>
      </x:c>
      <x:c r="H1756" s="0" t="s">
        <x:v>20</x:v>
      </x:c>
      <x:c r="I1756" s="0" t="s">
        <x:v>21</x:v>
      </x:c>
      <x:c r="K1756" s="0">
        <x:f>hyperlink("https://icd.who.int/dev11/l-ichi/en#/http%3A%2F%2Fid.who.int%2Ficd%2Fentity%2F588922501","browser")</x:f>
      </x:c>
      <x:c r="L1756" s="0">
        <x:f>hyperlink("https://icat2.azurewebsites.net/icat/?ontology=ICD&amp;tab=ClassesTab&amp;id=http%3A%2F%2Fwho.int%2Ficd%235340_512ebf36_bf6b_4d70_85da_cf2637062af4","iCat")</x:f>
      </x:c>
      <x:c r="M1756" s="0" t="s">
        <x:v>21</x:v>
      </x:c>
      <x:c r="N1756" s="0" t="s">
        <x:v>46</x:v>
      </x:c>
    </x:row>
    <x:row r="1757" spans="1:16">
      <x:c r="A1757" s="0" t="s">
        <x:v>6860</x:v>
      </x:c>
      <x:c r="B1757" s="0" t="s">
        <x:v>6861</x:v>
      </x:c>
      <x:c r="C1757" s="0" t="s">
        <x:v>6862</x:v>
      </x:c>
      <x:c r="E1757" s="0" t="s">
        <x:v>6863</x:v>
      </x:c>
      <x:c r="F1757" s="0" t="s">
        <x:v>45</x:v>
      </x:c>
      <x:c r="G1757" s="0" t="s">
        <x:v>19</x:v>
      </x:c>
      <x:c r="H1757" s="0" t="s">
        <x:v>20</x:v>
      </x:c>
      <x:c r="I1757" s="0" t="s">
        <x:v>21</x:v>
      </x:c>
      <x:c r="K1757" s="0">
        <x:f>hyperlink("https://icd.who.int/dev11/l-ichi/en#/http%3A%2F%2Fid.who.int%2Ficd%2Fentity%2F748926487","browser")</x:f>
      </x:c>
      <x:c r="L1757" s="0">
        <x:f>hyperlink("https://icat2.azurewebsites.net/icat/?ontology=ICD&amp;tab=ClassesTab&amp;id=http%3A%2F%2Fwho.int%2Ficd%235352_512ebf36_bf6b_4d70_85da_cf2637062af4","iCat")</x:f>
      </x:c>
      <x:c r="M1757" s="0" t="s">
        <x:v>21</x:v>
      </x:c>
      <x:c r="N1757" s="0" t="s">
        <x:v>46</x:v>
      </x:c>
    </x:row>
    <x:row r="1758" spans="1:16">
      <x:c r="A1758" s="0" t="s">
        <x:v>6864</x:v>
      </x:c>
      <x:c r="B1758" s="0" t="s">
        <x:v>6865</x:v>
      </x:c>
      <x:c r="C1758" s="0" t="s">
        <x:v>6866</x:v>
      </x:c>
      <x:c r="E1758" s="0" t="s">
        <x:v>6867</x:v>
      </x:c>
      <x:c r="F1758" s="0" t="s">
        <x:v>45</x:v>
      </x:c>
      <x:c r="G1758" s="0" t="s">
        <x:v>19</x:v>
      </x:c>
      <x:c r="H1758" s="0" t="s">
        <x:v>20</x:v>
      </x:c>
      <x:c r="I1758" s="0" t="s">
        <x:v>21</x:v>
      </x:c>
      <x:c r="K1758" s="0">
        <x:f>hyperlink("https://icd.who.int/dev11/l-ichi/en#/http%3A%2F%2Fid.who.int%2Ficd%2Fentity%2F665299131","browser")</x:f>
      </x:c>
      <x:c r="L1758" s="0">
        <x:f>hyperlink("https://icat2.azurewebsites.net/icat/?ontology=ICD&amp;tab=ClassesTab&amp;id=http%3A%2F%2Fwho.int%2Ficd%235359_512ebf36_bf6b_4d70_85da_cf2637062af4","iCat")</x:f>
      </x:c>
      <x:c r="M1758" s="0" t="s">
        <x:v>21</x:v>
      </x:c>
      <x:c r="N1758" s="0" t="s">
        <x:v>46</x:v>
      </x:c>
    </x:row>
    <x:row r="1759" spans="1:16">
      <x:c r="A1759" s="0" t="s">
        <x:v>6868</x:v>
      </x:c>
      <x:c r="B1759" s="0" t="s">
        <x:v>6869</x:v>
      </x:c>
      <x:c r="C1759" s="0" t="s">
        <x:v>6870</x:v>
      </x:c>
      <x:c r="E1759" s="0" t="s">
        <x:v>6871</x:v>
      </x:c>
      <x:c r="F1759" s="0" t="s">
        <x:v>45</x:v>
      </x:c>
      <x:c r="G1759" s="0" t="s">
        <x:v>19</x:v>
      </x:c>
      <x:c r="H1759" s="0" t="s">
        <x:v>20</x:v>
      </x:c>
      <x:c r="I1759" s="0" t="s">
        <x:v>21</x:v>
      </x:c>
      <x:c r="K1759" s="0">
        <x:f>hyperlink("https://icd.who.int/dev11/l-ichi/en#/http%3A%2F%2Fid.who.int%2Ficd%2Fentity%2F1206884992","browser")</x:f>
      </x:c>
      <x:c r="L1759" s="0">
        <x:f>hyperlink("https://icat2.azurewebsites.net/icat/?ontology=ICD&amp;tab=ClassesTab&amp;id=http%3A%2F%2Fwho.int%2Ficd%235368_512ebf36_bf6b_4d70_85da_cf2637062af4","iCat")</x:f>
      </x:c>
      <x:c r="M1759" s="0" t="s">
        <x:v>21</x:v>
      </x:c>
      <x:c r="N1759" s="0" t="s">
        <x:v>46</x:v>
      </x:c>
    </x:row>
    <x:row r="1760" spans="1:16">
      <x:c r="A1760" s="0" t="s">
        <x:v>6872</x:v>
      </x:c>
      <x:c r="B1760" s="0" t="s">
        <x:v>6873</x:v>
      </x:c>
      <x:c r="C1760" s="0" t="s">
        <x:v>6874</x:v>
      </x:c>
      <x:c r="E1760" s="0" t="s">
        <x:v>6875</x:v>
      </x:c>
      <x:c r="F1760" s="0" t="s">
        <x:v>45</x:v>
      </x:c>
      <x:c r="G1760" s="0" t="s">
        <x:v>19</x:v>
      </x:c>
      <x:c r="H1760" s="0" t="s">
        <x:v>20</x:v>
      </x:c>
      <x:c r="I1760" s="0" t="s">
        <x:v>21</x:v>
      </x:c>
      <x:c r="K1760" s="0">
        <x:f>hyperlink("https://icd.who.int/dev11/l-ichi/en#/http%3A%2F%2Fid.who.int%2Ficd%2Fentity%2F869312307","browser")</x:f>
      </x:c>
      <x:c r="L1760" s="0">
        <x:f>hyperlink("https://icat2.azurewebsites.net/icat/?ontology=ICD&amp;tab=ClassesTab&amp;id=http%3A%2F%2Fwho.int%2Ficd%235376_512ebf36_bf6b_4d70_85da_cf2637062af4","iCat")</x:f>
      </x:c>
      <x:c r="M1760" s="0" t="s">
        <x:v>21</x:v>
      </x:c>
      <x:c r="N1760" s="0" t="s">
        <x:v>46</x:v>
      </x:c>
    </x:row>
    <x:row r="1761" spans="1:16">
      <x:c r="A1761" s="0" t="s">
        <x:v>6876</x:v>
      </x:c>
      <x:c r="B1761" s="0" t="s">
        <x:v>6877</x:v>
      </x:c>
      <x:c r="C1761" s="0" t="s">
        <x:v>6878</x:v>
      </x:c>
      <x:c r="E1761" s="0" t="s">
        <x:v>6879</x:v>
      </x:c>
      <x:c r="F1761" s="0" t="s">
        <x:v>45</x:v>
      </x:c>
      <x:c r="G1761" s="0" t="s">
        <x:v>19</x:v>
      </x:c>
      <x:c r="H1761" s="0" t="s">
        <x:v>20</x:v>
      </x:c>
      <x:c r="I1761" s="0" t="s">
        <x:v>21</x:v>
      </x:c>
      <x:c r="K1761" s="0">
        <x:f>hyperlink("https://icd.who.int/dev11/l-ichi/en#/http%3A%2F%2Fid.who.int%2Ficd%2Fentity%2F2035019818","browser")</x:f>
      </x:c>
      <x:c r="L1761" s="0">
        <x:f>hyperlink("https://icat2.azurewebsites.net/icat/?ontology=ICD&amp;tab=ClassesTab&amp;id=http%3A%2F%2Fwho.int%2Ficd%235384_512ebf36_bf6b_4d70_85da_cf2637062af4","iCat")</x:f>
      </x:c>
      <x:c r="M1761" s="0" t="s">
        <x:v>21</x:v>
      </x:c>
      <x:c r="N1761" s="0" t="s">
        <x:v>46</x:v>
      </x:c>
    </x:row>
    <x:row r="1762" spans="1:16">
      <x:c r="A1762" s="0" t="s">
        <x:v>6880</x:v>
      </x:c>
      <x:c r="B1762" s="0" t="s">
        <x:v>6881</x:v>
      </x:c>
      <x:c r="C1762" s="0" t="s">
        <x:v>6882</x:v>
      </x:c>
      <x:c r="E1762" s="0" t="s">
        <x:v>6883</x:v>
      </x:c>
      <x:c r="F1762" s="0" t="s">
        <x:v>45</x:v>
      </x:c>
      <x:c r="G1762" s="0" t="s">
        <x:v>19</x:v>
      </x:c>
      <x:c r="H1762" s="0" t="s">
        <x:v>20</x:v>
      </x:c>
      <x:c r="I1762" s="0" t="s">
        <x:v>21</x:v>
      </x:c>
      <x:c r="K1762" s="0">
        <x:f>hyperlink("https://icd.who.int/dev11/l-ichi/en#/http%3A%2F%2Fid.who.int%2Ficd%2Fentity%2F1661783796","browser")</x:f>
      </x:c>
      <x:c r="L1762" s="0">
        <x:f>hyperlink("https://icat2.azurewebsites.net/icat/?ontology=ICD&amp;tab=ClassesTab&amp;id=http%3A%2F%2Fwho.int%2Ficd%235393_512ebf36_bf6b_4d70_85da_cf2637062af4","iCat")</x:f>
      </x:c>
      <x:c r="M1762" s="0" t="s">
        <x:v>21</x:v>
      </x:c>
      <x:c r="N1762" s="0" t="s">
        <x:v>46</x:v>
      </x:c>
    </x:row>
    <x:row r="1763" spans="1:16">
      <x:c r="A1763" s="0" t="s">
        <x:v>6884</x:v>
      </x:c>
      <x:c r="B1763" s="0" t="s">
        <x:v>6885</x:v>
      </x:c>
      <x:c r="C1763" s="0" t="s">
        <x:v>6886</x:v>
      </x:c>
      <x:c r="E1763" s="0" t="s">
        <x:v>6887</x:v>
      </x:c>
      <x:c r="F1763" s="0" t="s">
        <x:v>45</x:v>
      </x:c>
      <x:c r="G1763" s="0" t="s">
        <x:v>19</x:v>
      </x:c>
      <x:c r="H1763" s="0" t="s">
        <x:v>20</x:v>
      </x:c>
      <x:c r="I1763" s="0" t="s">
        <x:v>21</x:v>
      </x:c>
      <x:c r="K1763" s="0">
        <x:f>hyperlink("https://icd.who.int/dev11/l-ichi/en#/http%3A%2F%2Fid.who.int%2Ficd%2Fentity%2F1223795300","browser")</x:f>
      </x:c>
      <x:c r="L1763" s="0">
        <x:f>hyperlink("https://icat2.azurewebsites.net/icat/?ontology=ICD&amp;tab=ClassesTab&amp;id=http%3A%2F%2Fwho.int%2Ficd%235399_512ebf36_bf6b_4d70_85da_cf2637062af4","iCat")</x:f>
      </x:c>
      <x:c r="M1763" s="0" t="s">
        <x:v>21</x:v>
      </x:c>
      <x:c r="N1763" s="0" t="s">
        <x:v>46</x:v>
      </x:c>
    </x:row>
    <x:row r="1764" spans="1:16">
      <x:c r="A1764" s="0" t="s">
        <x:v>6888</x:v>
      </x:c>
      <x:c r="B1764" s="0" t="s">
        <x:v>6889</x:v>
      </x:c>
      <x:c r="C1764" s="0" t="s">
        <x:v>6890</x:v>
      </x:c>
      <x:c r="E1764" s="0" t="s">
        <x:v>6891</x:v>
      </x:c>
      <x:c r="F1764" s="0" t="s">
        <x:v>45</x:v>
      </x:c>
      <x:c r="G1764" s="0" t="s">
        <x:v>19</x:v>
      </x:c>
      <x:c r="H1764" s="0" t="s">
        <x:v>20</x:v>
      </x:c>
      <x:c r="I1764" s="0" t="s">
        <x:v>21</x:v>
      </x:c>
      <x:c r="K1764" s="0">
        <x:f>hyperlink("https://icd.who.int/dev11/l-ichi/en#/http%3A%2F%2Fid.who.int%2Ficd%2Fentity%2F1867979845","browser")</x:f>
      </x:c>
      <x:c r="L1764" s="0">
        <x:f>hyperlink("https://icat2.azurewebsites.net/icat/?ontology=ICD&amp;tab=ClassesTab&amp;id=http%3A%2F%2Fwho.int%2Ficd%235406_512ebf36_bf6b_4d70_85da_cf2637062af4","iCat")</x:f>
      </x:c>
      <x:c r="M1764" s="0" t="s">
        <x:v>21</x:v>
      </x:c>
      <x:c r="N1764" s="0" t="s">
        <x:v>46</x:v>
      </x:c>
    </x:row>
    <x:row r="1765" spans="1:16">
      <x:c r="A1765" s="0" t="s">
        <x:v>6892</x:v>
      </x:c>
      <x:c r="B1765" s="0" t="s">
        <x:v>6893</x:v>
      </x:c>
      <x:c r="C1765" s="0" t="s">
        <x:v>6894</x:v>
      </x:c>
      <x:c r="E1765" s="0" t="s">
        <x:v>6895</x:v>
      </x:c>
      <x:c r="F1765" s="0" t="s">
        <x:v>45</x:v>
      </x:c>
      <x:c r="G1765" s="0" t="s">
        <x:v>19</x:v>
      </x:c>
      <x:c r="H1765" s="0" t="s">
        <x:v>20</x:v>
      </x:c>
      <x:c r="I1765" s="0" t="s">
        <x:v>21</x:v>
      </x:c>
      <x:c r="K1765" s="0">
        <x:f>hyperlink("https://icd.who.int/dev11/l-ichi/en#/http%3A%2F%2Fid.who.int%2Ficd%2Fentity%2F815091046","browser")</x:f>
      </x:c>
      <x:c r="L1765" s="0">
        <x:f>hyperlink("https://icat2.azurewebsites.net/icat/?ontology=ICD&amp;tab=ClassesTab&amp;id=http%3A%2F%2Fwho.int%2Ficd%235412_512ebf36_bf6b_4d70_85da_cf2637062af4","iCat")</x:f>
      </x:c>
      <x:c r="M1765" s="0" t="s">
        <x:v>21</x:v>
      </x:c>
      <x:c r="N1765" s="0" t="s">
        <x:v>46</x:v>
      </x:c>
    </x:row>
    <x:row r="1766" spans="1:16">
      <x:c r="A1766" s="0" t="s">
        <x:v>6896</x:v>
      </x:c>
      <x:c r="B1766" s="0" t="s">
        <x:v>6897</x:v>
      </x:c>
      <x:c r="C1766" s="0" t="s">
        <x:v>6898</x:v>
      </x:c>
      <x:c r="E1766" s="0" t="s">
        <x:v>6899</x:v>
      </x:c>
      <x:c r="F1766" s="0" t="s">
        <x:v>45</x:v>
      </x:c>
      <x:c r="G1766" s="0" t="s">
        <x:v>19</x:v>
      </x:c>
      <x:c r="H1766" s="0" t="s">
        <x:v>20</x:v>
      </x:c>
      <x:c r="I1766" s="0" t="s">
        <x:v>21</x:v>
      </x:c>
      <x:c r="K1766" s="0">
        <x:f>hyperlink("https://icd.who.int/dev11/l-ichi/en#/http%3A%2F%2Fid.who.int%2Ficd%2Fentity%2F999379916","browser")</x:f>
      </x:c>
      <x:c r="L1766" s="0">
        <x:f>hyperlink("https://icat2.azurewebsites.net/icat/?ontology=ICD&amp;tab=ClassesTab&amp;id=http%3A%2F%2Fwho.int%2Ficd%235419_512ebf36_bf6b_4d70_85da_cf2637062af4","iCat")</x:f>
      </x:c>
      <x:c r="M1766" s="0" t="s">
        <x:v>21</x:v>
      </x:c>
      <x:c r="N1766" s="0" t="s">
        <x:v>46</x:v>
      </x:c>
    </x:row>
    <x:row r="1767" spans="1:16">
      <x:c r="A1767" s="0" t="s">
        <x:v>6900</x:v>
      </x:c>
      <x:c r="B1767" s="0" t="s">
        <x:v>6901</x:v>
      </x:c>
      <x:c r="C1767" s="0" t="s">
        <x:v>6902</x:v>
      </x:c>
      <x:c r="E1767" s="0" t="s">
        <x:v>6903</x:v>
      </x:c>
      <x:c r="F1767" s="0" t="s">
        <x:v>45</x:v>
      </x:c>
      <x:c r="G1767" s="0" t="s">
        <x:v>19</x:v>
      </x:c>
      <x:c r="H1767" s="0" t="s">
        <x:v>20</x:v>
      </x:c>
      <x:c r="I1767" s="0" t="s">
        <x:v>21</x:v>
      </x:c>
      <x:c r="K1767" s="0">
        <x:f>hyperlink("https://icd.who.int/dev11/l-ichi/en#/http%3A%2F%2Fid.who.int%2Ficd%2Fentity%2F1294100934","browser")</x:f>
      </x:c>
      <x:c r="L1767" s="0">
        <x:f>hyperlink("https://icat2.azurewebsites.net/icat/?ontology=ICD&amp;tab=ClassesTab&amp;id=http%3A%2F%2Fwho.int%2Ficd%236680_25b89c54_3344_49a0_8ee9_6b728a90dcf8","iCat")</x:f>
      </x:c>
      <x:c r="M1767" s="0" t="s">
        <x:v>21</x:v>
      </x:c>
      <x:c r="N1767" s="0" t="s">
        <x:v>46</x:v>
      </x:c>
    </x:row>
    <x:row r="1768" spans="1:16">
      <x:c r="A1768" s="0" t="s">
        <x:v>6904</x:v>
      </x:c>
      <x:c r="B1768" s="0" t="s">
        <x:v>6905</x:v>
      </x:c>
      <x:c r="C1768" s="0" t="s">
        <x:v>6906</x:v>
      </x:c>
      <x:c r="E1768" s="0" t="s">
        <x:v>6907</x:v>
      </x:c>
      <x:c r="F1768" s="0" t="s">
        <x:v>45</x:v>
      </x:c>
      <x:c r="G1768" s="0" t="s">
        <x:v>19</x:v>
      </x:c>
      <x:c r="H1768" s="0" t="s">
        <x:v>20</x:v>
      </x:c>
      <x:c r="I1768" s="0" t="s">
        <x:v>21</x:v>
      </x:c>
      <x:c r="K1768" s="0">
        <x:f>hyperlink("https://icd.who.int/dev11/l-ichi/en#/http%3A%2F%2Fid.who.int%2Ficd%2Fentity%2F2065699789","browser")</x:f>
      </x:c>
      <x:c r="L1768" s="0">
        <x:f>hyperlink("https://icat2.azurewebsites.net/icat/?ontology=ICD&amp;tab=ClassesTab&amp;id=http%3A%2F%2Fwho.int%2Ficd%235429_512ebf36_bf6b_4d70_85da_cf2637062af4","iCat")</x:f>
      </x:c>
      <x:c r="M1768" s="0" t="s">
        <x:v>21</x:v>
      </x:c>
      <x:c r="N1768" s="0" t="s">
        <x:v>46</x:v>
      </x:c>
    </x:row>
    <x:row r="1769" spans="1:16">
      <x:c r="A1769" s="0" t="s">
        <x:v>6908</x:v>
      </x:c>
      <x:c r="B1769" s="0" t="s">
        <x:v>6909</x:v>
      </x:c>
      <x:c r="C1769" s="0" t="s">
        <x:v>6910</x:v>
      </x:c>
      <x:c r="E1769" s="0" t="s">
        <x:v>6911</x:v>
      </x:c>
      <x:c r="F1769" s="0" t="s">
        <x:v>45</x:v>
      </x:c>
      <x:c r="G1769" s="0" t="s">
        <x:v>19</x:v>
      </x:c>
      <x:c r="H1769" s="0" t="s">
        <x:v>20</x:v>
      </x:c>
      <x:c r="I1769" s="0" t="s">
        <x:v>21</x:v>
      </x:c>
      <x:c r="K1769" s="0">
        <x:f>hyperlink("https://icd.who.int/dev11/l-ichi/en#/http%3A%2F%2Fid.who.int%2Ficd%2Fentity%2F1784886203","browser")</x:f>
      </x:c>
      <x:c r="L1769" s="0">
        <x:f>hyperlink("https://icat2.azurewebsites.net/icat/?ontology=ICD&amp;tab=ClassesTab&amp;id=http%3A%2F%2Fwho.int%2Ficd%235435_512ebf36_bf6b_4d70_85da_cf2637062af4","iCat")</x:f>
      </x:c>
      <x:c r="M1769" s="0" t="s">
        <x:v>21</x:v>
      </x:c>
      <x:c r="N1769" s="0" t="s">
        <x:v>46</x:v>
      </x:c>
    </x:row>
    <x:row r="1770" spans="1:16">
      <x:c r="A1770" s="0" t="s">
        <x:v>6912</x:v>
      </x:c>
      <x:c r="B1770" s="0" t="s">
        <x:v>6913</x:v>
      </x:c>
      <x:c r="C1770" s="0" t="s">
        <x:v>6914</x:v>
      </x:c>
      <x:c r="E1770" s="0" t="s">
        <x:v>6915</x:v>
      </x:c>
      <x:c r="F1770" s="0" t="s">
        <x:v>45</x:v>
      </x:c>
      <x:c r="G1770" s="0" t="s">
        <x:v>19</x:v>
      </x:c>
      <x:c r="H1770" s="0" t="s">
        <x:v>20</x:v>
      </x:c>
      <x:c r="I1770" s="0" t="s">
        <x:v>21</x:v>
      </x:c>
      <x:c r="K1770" s="0">
        <x:f>hyperlink("https://icd.who.int/dev11/l-ichi/en#/http%3A%2F%2Fid.who.int%2Ficd%2Fentity%2F708283180","browser")</x:f>
      </x:c>
      <x:c r="L1770" s="0">
        <x:f>hyperlink("https://icat2.azurewebsites.net/icat/?ontology=ICD&amp;tab=ClassesTab&amp;id=http%3A%2F%2Fwho.int%2Ficd%235442_512ebf36_bf6b_4d70_85da_cf2637062af4","iCat")</x:f>
      </x:c>
      <x:c r="M1770" s="0" t="s">
        <x:v>21</x:v>
      </x:c>
      <x:c r="N1770" s="0" t="s">
        <x:v>46</x:v>
      </x:c>
    </x:row>
    <x:row r="1771" spans="1:16">
      <x:c r="A1771" s="0" t="s">
        <x:v>6916</x:v>
      </x:c>
      <x:c r="B1771" s="0" t="s">
        <x:v>6917</x:v>
      </x:c>
      <x:c r="C1771" s="0" t="s">
        <x:v>6918</x:v>
      </x:c>
      <x:c r="E1771" s="0" t="s">
        <x:v>6919</x:v>
      </x:c>
      <x:c r="F1771" s="0" t="s">
        <x:v>45</x:v>
      </x:c>
      <x:c r="G1771" s="0" t="s">
        <x:v>19</x:v>
      </x:c>
      <x:c r="H1771" s="0" t="s">
        <x:v>20</x:v>
      </x:c>
      <x:c r="I1771" s="0" t="s">
        <x:v>21</x:v>
      </x:c>
      <x:c r="K1771" s="0">
        <x:f>hyperlink("https://icd.who.int/dev11/l-ichi/en#/http%3A%2F%2Fid.who.int%2Ficd%2Fentity%2F557028738","browser")</x:f>
      </x:c>
      <x:c r="L1771" s="0">
        <x:f>hyperlink("https://icat2.azurewebsites.net/icat/?ontology=ICD&amp;tab=ClassesTab&amp;id=http%3A%2F%2Fwho.int%2Ficd%235449_512ebf36_bf6b_4d70_85da_cf2637062af4","iCat")</x:f>
      </x:c>
      <x:c r="M1771" s="0" t="s">
        <x:v>21</x:v>
      </x:c>
      <x:c r="N1771" s="0" t="s">
        <x:v>46</x:v>
      </x:c>
    </x:row>
    <x:row r="1772" spans="1:16">
      <x:c r="A1772" s="0" t="s">
        <x:v>6920</x:v>
      </x:c>
      <x:c r="B1772" s="0" t="s">
        <x:v>6921</x:v>
      </x:c>
      <x:c r="C1772" s="0" t="s">
        <x:v>6922</x:v>
      </x:c>
      <x:c r="E1772" s="0" t="s">
        <x:v>6923</x:v>
      </x:c>
      <x:c r="F1772" s="0" t="s">
        <x:v>45</x:v>
      </x:c>
      <x:c r="G1772" s="0" t="s">
        <x:v>19</x:v>
      </x:c>
      <x:c r="H1772" s="0" t="s">
        <x:v>20</x:v>
      </x:c>
      <x:c r="I1772" s="0" t="s">
        <x:v>21</x:v>
      </x:c>
      <x:c r="K1772" s="0">
        <x:f>hyperlink("https://icd.who.int/dev11/l-ichi/en#/http%3A%2F%2Fid.who.int%2Ficd%2Fentity%2F812692982","browser")</x:f>
      </x:c>
      <x:c r="L1772" s="0">
        <x:f>hyperlink("https://icat2.azurewebsites.net/icat/?ontology=ICD&amp;tab=ClassesTab&amp;id=http%3A%2F%2Fwho.int%2Ficd%235455_512ebf36_bf6b_4d70_85da_cf2637062af4","iCat")</x:f>
      </x:c>
      <x:c r="M1772" s="0" t="s">
        <x:v>21</x:v>
      </x:c>
      <x:c r="N1772" s="0" t="s">
        <x:v>46</x:v>
      </x:c>
    </x:row>
    <x:row r="1773" spans="1:16">
      <x:c r="A1773" s="0" t="s">
        <x:v>6924</x:v>
      </x:c>
      <x:c r="B1773" s="0" t="s">
        <x:v>6925</x:v>
      </x:c>
      <x:c r="C1773" s="0" t="s">
        <x:v>6926</x:v>
      </x:c>
      <x:c r="E1773" s="0" t="s">
        <x:v>6927</x:v>
      </x:c>
      <x:c r="F1773" s="0" t="s">
        <x:v>45</x:v>
      </x:c>
      <x:c r="G1773" s="0" t="s">
        <x:v>19</x:v>
      </x:c>
      <x:c r="H1773" s="0" t="s">
        <x:v>20</x:v>
      </x:c>
      <x:c r="I1773" s="0" t="s">
        <x:v>21</x:v>
      </x:c>
      <x:c r="K1773" s="0">
        <x:f>hyperlink("https://icd.who.int/dev11/l-ichi/en#/http%3A%2F%2Fid.who.int%2Ficd%2Fentity%2F1170616709","browser")</x:f>
      </x:c>
      <x:c r="L1773" s="0">
        <x:f>hyperlink("https://icat2.azurewebsites.net/icat/?ontology=ICD&amp;tab=ClassesTab&amp;id=http%3A%2F%2Fwho.int%2Ficd%235461_512ebf36_bf6b_4d70_85da_cf2637062af4","iCat")</x:f>
      </x:c>
      <x:c r="M1773" s="0" t="s">
        <x:v>21</x:v>
      </x:c>
      <x:c r="N1773" s="0" t="s">
        <x:v>46</x:v>
      </x:c>
    </x:row>
    <x:row r="1774" spans="1:16">
      <x:c r="A1774" s="0" t="s">
        <x:v>6928</x:v>
      </x:c>
      <x:c r="B1774" s="0" t="s">
        <x:v>6929</x:v>
      </x:c>
      <x:c r="C1774" s="0" t="s">
        <x:v>6930</x:v>
      </x:c>
      <x:c r="E1774" s="0" t="s">
        <x:v>6931</x:v>
      </x:c>
      <x:c r="F1774" s="0" t="s">
        <x:v>45</x:v>
      </x:c>
      <x:c r="G1774" s="0" t="s">
        <x:v>19</x:v>
      </x:c>
      <x:c r="H1774" s="0" t="s">
        <x:v>20</x:v>
      </x:c>
      <x:c r="I1774" s="0" t="s">
        <x:v>21</x:v>
      </x:c>
      <x:c r="K1774" s="0">
        <x:f>hyperlink("https://icd.who.int/dev11/l-ichi/en#/http%3A%2F%2Fid.who.int%2Ficd%2Fentity%2F1787218731","browser")</x:f>
      </x:c>
      <x:c r="L1774" s="0">
        <x:f>hyperlink("https://icat2.azurewebsites.net/icat/?ontology=ICD&amp;tab=ClassesTab&amp;id=http%3A%2F%2Fwho.int%2Ficd%235472_512ebf36_bf6b_4d70_85da_cf2637062af4","iCat")</x:f>
      </x:c>
      <x:c r="M1774" s="0" t="s">
        <x:v>21</x:v>
      </x:c>
      <x:c r="N1774" s="0" t="s">
        <x:v>46</x:v>
      </x:c>
    </x:row>
    <x:row r="1775" spans="1:16">
      <x:c r="A1775" s="0" t="s">
        <x:v>6932</x:v>
      </x:c>
      <x:c r="B1775" s="0" t="s">
        <x:v>6933</x:v>
      </x:c>
      <x:c r="C1775" s="0" t="s">
        <x:v>6934</x:v>
      </x:c>
      <x:c r="E1775" s="0" t="s">
        <x:v>6935</x:v>
      </x:c>
      <x:c r="F1775" s="0" t="s">
        <x:v>45</x:v>
      </x:c>
      <x:c r="G1775" s="0" t="s">
        <x:v>19</x:v>
      </x:c>
      <x:c r="H1775" s="0" t="s">
        <x:v>20</x:v>
      </x:c>
      <x:c r="I1775" s="0" t="s">
        <x:v>21</x:v>
      </x:c>
      <x:c r="K1775" s="0">
        <x:f>hyperlink("https://icd.who.int/dev11/l-ichi/en#/http%3A%2F%2Fid.who.int%2Ficd%2Fentity%2F538811442","browser")</x:f>
      </x:c>
      <x:c r="L1775" s="0">
        <x:f>hyperlink("https://icat2.azurewebsites.net/icat/?ontology=ICD&amp;tab=ClassesTab&amp;id=http%3A%2F%2Fwho.int%2Ficd%235480_512ebf36_bf6b_4d70_85da_cf2637062af4","iCat")</x:f>
      </x:c>
      <x:c r="M1775" s="0" t="s">
        <x:v>21</x:v>
      </x:c>
      <x:c r="N1775" s="0" t="s">
        <x:v>46</x:v>
      </x:c>
    </x:row>
    <x:row r="1776" spans="1:16">
      <x:c r="A1776" s="0" t="s">
        <x:v>6936</x:v>
      </x:c>
      <x:c r="B1776" s="0" t="s">
        <x:v>6937</x:v>
      </x:c>
      <x:c r="C1776" s="0" t="s">
        <x:v>6938</x:v>
      </x:c>
      <x:c r="E1776" s="0" t="s">
        <x:v>6939</x:v>
      </x:c>
      <x:c r="F1776" s="0" t="s">
        <x:v>45</x:v>
      </x:c>
      <x:c r="G1776" s="0" t="s">
        <x:v>19</x:v>
      </x:c>
      <x:c r="H1776" s="0" t="s">
        <x:v>20</x:v>
      </x:c>
      <x:c r="I1776" s="0" t="s">
        <x:v>21</x:v>
      </x:c>
      <x:c r="K1776" s="0">
        <x:f>hyperlink("https://icd.who.int/dev11/l-ichi/en#/http%3A%2F%2Fid.who.int%2Ficd%2Fentity%2F1855778149","browser")</x:f>
      </x:c>
      <x:c r="L1776" s="0">
        <x:f>hyperlink("https://icat2.azurewebsites.net/icat/?ontology=ICD&amp;tab=ClassesTab&amp;id=http%3A%2F%2Fwho.int%2Ficd%235488_512ebf36_bf6b_4d70_85da_cf2637062af4","iCat")</x:f>
      </x:c>
      <x:c r="M1776" s="0" t="s">
        <x:v>21</x:v>
      </x:c>
      <x:c r="N1776" s="0" t="s">
        <x:v>46</x:v>
      </x:c>
    </x:row>
    <x:row r="1777" spans="1:16">
      <x:c r="A1777" s="0" t="s">
        <x:v>6940</x:v>
      </x:c>
      <x:c r="B1777" s="0" t="s">
        <x:v>6941</x:v>
      </x:c>
      <x:c r="C1777" s="0" t="s">
        <x:v>6942</x:v>
      </x:c>
      <x:c r="E1777" s="0" t="s">
        <x:v>6943</x:v>
      </x:c>
      <x:c r="F1777" s="0" t="s">
        <x:v>45</x:v>
      </x:c>
      <x:c r="G1777" s="0" t="s">
        <x:v>19</x:v>
      </x:c>
      <x:c r="H1777" s="0" t="s">
        <x:v>20</x:v>
      </x:c>
      <x:c r="I1777" s="0" t="s">
        <x:v>21</x:v>
      </x:c>
      <x:c r="K1777" s="0">
        <x:f>hyperlink("https://icd.who.int/dev11/l-ichi/en#/http%3A%2F%2Fid.who.int%2Ficd%2Fentity%2F2145373459","browser")</x:f>
      </x:c>
      <x:c r="L1777" s="0">
        <x:f>hyperlink("https://icat2.azurewebsites.net/icat/?ontology=ICD&amp;tab=ClassesTab&amp;id=http%3A%2F%2Fwho.int%2Ficd%235494_512ebf36_bf6b_4d70_85da_cf2637062af4","iCat")</x:f>
      </x:c>
      <x:c r="M1777" s="0" t="s">
        <x:v>21</x:v>
      </x:c>
      <x:c r="N1777" s="0" t="s">
        <x:v>46</x:v>
      </x:c>
    </x:row>
    <x:row r="1778" spans="1:16">
      <x:c r="A1778" s="0" t="s">
        <x:v>6944</x:v>
      </x:c>
      <x:c r="B1778" s="0" t="s">
        <x:v>6945</x:v>
      </x:c>
      <x:c r="C1778" s="0" t="s">
        <x:v>6946</x:v>
      </x:c>
      <x:c r="E1778" s="0" t="s">
        <x:v>6947</x:v>
      </x:c>
      <x:c r="F1778" s="0" t="s">
        <x:v>45</x:v>
      </x:c>
      <x:c r="G1778" s="0" t="s">
        <x:v>19</x:v>
      </x:c>
      <x:c r="H1778" s="0" t="s">
        <x:v>20</x:v>
      </x:c>
      <x:c r="I1778" s="0" t="s">
        <x:v>21</x:v>
      </x:c>
      <x:c r="K1778" s="0">
        <x:f>hyperlink("https://icd.who.int/dev11/l-ichi/en#/http%3A%2F%2Fid.who.int%2Ficd%2Fentity%2F1253245801","browser")</x:f>
      </x:c>
      <x:c r="L1778" s="0">
        <x:f>hyperlink("https://icat2.azurewebsites.net/icat/?ontology=ICD&amp;tab=ClassesTab&amp;id=http%3A%2F%2Fwho.int%2Ficd%235500_512ebf36_bf6b_4d70_85da_cf2637062af4","iCat")</x:f>
      </x:c>
      <x:c r="M1778" s="0" t="s">
        <x:v>21</x:v>
      </x:c>
      <x:c r="N1778" s="0" t="s">
        <x:v>46</x:v>
      </x:c>
    </x:row>
    <x:row r="1779" spans="1:16">
      <x:c r="A1779" s="0" t="s">
        <x:v>6948</x:v>
      </x:c>
      <x:c r="B1779" s="0" t="s">
        <x:v>6949</x:v>
      </x:c>
      <x:c r="C1779" s="0" t="s">
        <x:v>6950</x:v>
      </x:c>
      <x:c r="E1779" s="0" t="s">
        <x:v>6951</x:v>
      </x:c>
      <x:c r="F1779" s="0" t="s">
        <x:v>45</x:v>
      </x:c>
      <x:c r="G1779" s="0" t="s">
        <x:v>19</x:v>
      </x:c>
      <x:c r="H1779" s="0" t="s">
        <x:v>20</x:v>
      </x:c>
      <x:c r="I1779" s="0" t="s">
        <x:v>21</x:v>
      </x:c>
      <x:c r="K1779" s="0">
        <x:f>hyperlink("https://icd.who.int/dev11/l-ichi/en#/http%3A%2F%2Fid.who.int%2Ficd%2Fentity%2F363201507","browser")</x:f>
      </x:c>
      <x:c r="L1779" s="0">
        <x:f>hyperlink("https://icat2.azurewebsites.net/icat/?ontology=ICD&amp;tab=ClassesTab&amp;id=http%3A%2F%2Fwho.int%2Ficd%2339_fdfbe215_099f_43a9_be44_e4f78deaea50","iCat")</x:f>
      </x:c>
      <x:c r="M1779" s="0" t="s">
        <x:v>21</x:v>
      </x:c>
      <x:c r="N1779" s="0" t="s">
        <x:v>46</x:v>
      </x:c>
    </x:row>
    <x:row r="1780" spans="1:16">
      <x:c r="A1780" s="0" t="s">
        <x:v>6952</x:v>
      </x:c>
      <x:c r="B1780" s="0" t="s">
        <x:v>6953</x:v>
      </x:c>
      <x:c r="C1780" s="0" t="s">
        <x:v>6954</x:v>
      </x:c>
      <x:c r="E1780" s="0" t="s">
        <x:v>6955</x:v>
      </x:c>
      <x:c r="F1780" s="0" t="s">
        <x:v>45</x:v>
      </x:c>
      <x:c r="G1780" s="0" t="s">
        <x:v>19</x:v>
      </x:c>
      <x:c r="H1780" s="0" t="s">
        <x:v>20</x:v>
      </x:c>
      <x:c r="I1780" s="0" t="s">
        <x:v>21</x:v>
      </x:c>
      <x:c r="K1780" s="0">
        <x:f>hyperlink("https://icd.who.int/dev11/l-ichi/en#/http%3A%2F%2Fid.who.int%2Ficd%2Fentity%2F449370842","browser")</x:f>
      </x:c>
      <x:c r="L1780" s="0">
        <x:f>hyperlink("https://icat2.azurewebsites.net/icat/?ontology=ICD&amp;tab=ClassesTab&amp;id=http%3A%2F%2Fwho.int%2Ficd%235506_512ebf36_bf6b_4d70_85da_cf2637062af4","iCat")</x:f>
      </x:c>
      <x:c r="M1780" s="0" t="s">
        <x:v>21</x:v>
      </x:c>
      <x:c r="N1780" s="0" t="s">
        <x:v>46</x:v>
      </x:c>
    </x:row>
    <x:row r="1781" spans="1:16">
      <x:c r="A1781" s="0" t="s">
        <x:v>6956</x:v>
      </x:c>
      <x:c r="B1781" s="0" t="s">
        <x:v>6957</x:v>
      </x:c>
      <x:c r="C1781" s="0" t="s">
        <x:v>6958</x:v>
      </x:c>
      <x:c r="E1781" s="0" t="s">
        <x:v>6959</x:v>
      </x:c>
      <x:c r="F1781" s="0" t="s">
        <x:v>45</x:v>
      </x:c>
      <x:c r="G1781" s="0" t="s">
        <x:v>19</x:v>
      </x:c>
      <x:c r="H1781" s="0" t="s">
        <x:v>20</x:v>
      </x:c>
      <x:c r="I1781" s="0" t="s">
        <x:v>21</x:v>
      </x:c>
      <x:c r="K1781" s="0">
        <x:f>hyperlink("https://icd.who.int/dev11/l-ichi/en#/http%3A%2F%2Fid.who.int%2Ficd%2Fentity%2F1861740395","browser")</x:f>
      </x:c>
      <x:c r="L1781" s="0">
        <x:f>hyperlink("https://icat2.azurewebsites.net/icat/?ontology=ICD&amp;tab=ClassesTab&amp;id=http%3A%2F%2Fwho.int%2Ficd%235518_512ebf36_bf6b_4d70_85da_cf2637062af4","iCat")</x:f>
      </x:c>
      <x:c r="M1781" s="0" t="s">
        <x:v>21</x:v>
      </x:c>
      <x:c r="N1781" s="0" t="s">
        <x:v>46</x:v>
      </x:c>
    </x:row>
    <x:row r="1782" spans="1:16">
      <x:c r="A1782" s="0" t="s">
        <x:v>6960</x:v>
      </x:c>
      <x:c r="B1782" s="0" t="s">
        <x:v>6961</x:v>
      </x:c>
      <x:c r="C1782" s="0" t="s">
        <x:v>6962</x:v>
      </x:c>
      <x:c r="E1782" s="0" t="s">
        <x:v>6963</x:v>
      </x:c>
      <x:c r="F1782" s="0" t="s">
        <x:v>45</x:v>
      </x:c>
      <x:c r="G1782" s="0" t="s">
        <x:v>19</x:v>
      </x:c>
      <x:c r="H1782" s="0" t="s">
        <x:v>20</x:v>
      </x:c>
      <x:c r="I1782" s="0" t="s">
        <x:v>21</x:v>
      </x:c>
      <x:c r="K1782" s="0">
        <x:f>hyperlink("https://icd.who.int/dev11/l-ichi/en#/http%3A%2F%2Fid.who.int%2Ficd%2Fentity%2F1438650957","browser")</x:f>
      </x:c>
      <x:c r="L1782" s="0">
        <x:f>hyperlink("https://icat2.azurewebsites.net/icat/?ontology=ICD&amp;tab=ClassesTab&amp;id=http%3A%2F%2Fwho.int%2Ficd%235524_512ebf36_bf6b_4d70_85da_cf2637062af4","iCat")</x:f>
      </x:c>
      <x:c r="M1782" s="0" t="s">
        <x:v>21</x:v>
      </x:c>
      <x:c r="N1782" s="0" t="s">
        <x:v>46</x:v>
      </x:c>
    </x:row>
    <x:row r="1783" spans="1:16">
      <x:c r="A1783" s="0" t="s">
        <x:v>6964</x:v>
      </x:c>
      <x:c r="B1783" s="0" t="s">
        <x:v>6965</x:v>
      </x:c>
      <x:c r="C1783" s="0" t="s">
        <x:v>6966</x:v>
      </x:c>
      <x:c r="E1783" s="0" t="s">
        <x:v>6967</x:v>
      </x:c>
      <x:c r="F1783" s="0" t="s">
        <x:v>45</x:v>
      </x:c>
      <x:c r="G1783" s="0" t="s">
        <x:v>19</x:v>
      </x:c>
      <x:c r="H1783" s="0" t="s">
        <x:v>20</x:v>
      </x:c>
      <x:c r="I1783" s="0" t="s">
        <x:v>21</x:v>
      </x:c>
      <x:c r="K1783" s="0">
        <x:f>hyperlink("https://icd.who.int/dev11/l-ichi/en#/http%3A%2F%2Fid.who.int%2Ficd%2Fentity%2F251970985","browser")</x:f>
      </x:c>
      <x:c r="L1783" s="0">
        <x:f>hyperlink("https://icat2.azurewebsites.net/icat/?ontology=ICD&amp;tab=ClassesTab&amp;id=http%3A%2F%2Fwho.int%2Ficd%2369_fdfbe215_099f_43a9_be44_e4f78deaea50","iCat")</x:f>
      </x:c>
      <x:c r="M1783" s="0" t="s">
        <x:v>21</x:v>
      </x:c>
      <x:c r="N1783" s="0" t="s">
        <x:v>46</x:v>
      </x:c>
    </x:row>
    <x:row r="1784" spans="1:16">
      <x:c r="A1784" s="0" t="s">
        <x:v>6968</x:v>
      </x:c>
      <x:c r="B1784" s="0" t="s">
        <x:v>6969</x:v>
      </x:c>
      <x:c r="C1784" s="0" t="s">
        <x:v>6970</x:v>
      </x:c>
      <x:c r="E1784" s="0" t="s">
        <x:v>6971</x:v>
      </x:c>
      <x:c r="F1784" s="0" t="s">
        <x:v>45</x:v>
      </x:c>
      <x:c r="G1784" s="0" t="s">
        <x:v>19</x:v>
      </x:c>
      <x:c r="H1784" s="0" t="s">
        <x:v>20</x:v>
      </x:c>
      <x:c r="I1784" s="0" t="s">
        <x:v>21</x:v>
      </x:c>
      <x:c r="K1784" s="0">
        <x:f>hyperlink("https://icd.who.int/dev11/l-ichi/en#/http%3A%2F%2Fid.who.int%2Ficd%2Fentity%2F1870552747","browser")</x:f>
      </x:c>
      <x:c r="L1784" s="0">
        <x:f>hyperlink("https://icat2.azurewebsites.net/icat/?ontology=ICD&amp;tab=ClassesTab&amp;id=http%3A%2F%2Fwho.int%2Ficd%235532_512ebf36_bf6b_4d70_85da_cf2637062af4","iCat")</x:f>
      </x:c>
      <x:c r="M1784" s="0" t="s">
        <x:v>21</x:v>
      </x:c>
      <x:c r="N1784" s="0" t="s">
        <x:v>46</x:v>
      </x:c>
    </x:row>
    <x:row r="1785" spans="1:16">
      <x:c r="A1785" s="0" t="s">
        <x:v>6972</x:v>
      </x:c>
      <x:c r="B1785" s="0" t="s">
        <x:v>6973</x:v>
      </x:c>
      <x:c r="C1785" s="0" t="s">
        <x:v>6974</x:v>
      </x:c>
      <x:c r="E1785" s="0" t="s">
        <x:v>6975</x:v>
      </x:c>
      <x:c r="F1785" s="0" t="s">
        <x:v>45</x:v>
      </x:c>
      <x:c r="G1785" s="0" t="s">
        <x:v>19</x:v>
      </x:c>
      <x:c r="H1785" s="0" t="s">
        <x:v>20</x:v>
      </x:c>
      <x:c r="I1785" s="0" t="s">
        <x:v>21</x:v>
      </x:c>
      <x:c r="K1785" s="0">
        <x:f>hyperlink("https://icd.who.int/dev11/l-ichi/en#/http%3A%2F%2Fid.who.int%2Ficd%2Fentity%2F986992756","browser")</x:f>
      </x:c>
      <x:c r="L1785" s="0">
        <x:f>hyperlink("https://icat2.azurewebsites.net/icat/?ontology=ICD&amp;tab=ClassesTab&amp;id=http%3A%2F%2Fwho.int%2Ficd%235540_512ebf36_bf6b_4d70_85da_cf2637062af4","iCat")</x:f>
      </x:c>
      <x:c r="M1785" s="0" t="s">
        <x:v>21</x:v>
      </x:c>
      <x:c r="N1785" s="0" t="s">
        <x:v>46</x:v>
      </x:c>
    </x:row>
    <x:row r="1786" spans="1:16">
      <x:c r="A1786" s="0" t="s">
        <x:v>6976</x:v>
      </x:c>
      <x:c r="B1786" s="0" t="s">
        <x:v>6977</x:v>
      </x:c>
      <x:c r="C1786" s="0" t="s">
        <x:v>6978</x:v>
      </x:c>
      <x:c r="E1786" s="0" t="s">
        <x:v>6979</x:v>
      </x:c>
      <x:c r="F1786" s="0" t="s">
        <x:v>45</x:v>
      </x:c>
      <x:c r="G1786" s="0" t="s">
        <x:v>19</x:v>
      </x:c>
      <x:c r="H1786" s="0" t="s">
        <x:v>20</x:v>
      </x:c>
      <x:c r="I1786" s="0" t="s">
        <x:v>21</x:v>
      </x:c>
      <x:c r="K1786" s="0">
        <x:f>hyperlink("https://icd.who.int/dev11/l-ichi/en#/http%3A%2F%2Fid.who.int%2Ficd%2Fentity%2F1247214585","browser")</x:f>
      </x:c>
      <x:c r="L1786" s="0">
        <x:f>hyperlink("https://icat2.azurewebsites.net/icat/?ontology=ICD&amp;tab=ClassesTab&amp;id=http%3A%2F%2Fwho.int%2Ficd%235547_512ebf36_bf6b_4d70_85da_cf2637062af4","iCat")</x:f>
      </x:c>
      <x:c r="M1786" s="0" t="s">
        <x:v>21</x:v>
      </x:c>
      <x:c r="N1786" s="0" t="s">
        <x:v>46</x:v>
      </x:c>
    </x:row>
    <x:row r="1787" spans="1:16">
      <x:c r="A1787" s="0" t="s">
        <x:v>6980</x:v>
      </x:c>
      <x:c r="B1787" s="0" t="s">
        <x:v>6981</x:v>
      </x:c>
      <x:c r="C1787" s="0" t="s">
        <x:v>6982</x:v>
      </x:c>
      <x:c r="E1787" s="0" t="s">
        <x:v>6983</x:v>
      </x:c>
      <x:c r="F1787" s="0" t="s">
        <x:v>45</x:v>
      </x:c>
      <x:c r="G1787" s="0" t="s">
        <x:v>19</x:v>
      </x:c>
      <x:c r="H1787" s="0" t="s">
        <x:v>20</x:v>
      </x:c>
      <x:c r="I1787" s="0" t="s">
        <x:v>21</x:v>
      </x:c>
      <x:c r="K1787" s="0">
        <x:f>hyperlink("https://icd.who.int/dev11/l-ichi/en#/http%3A%2F%2Fid.who.int%2Ficd%2Fentity%2F1695940951","browser")</x:f>
      </x:c>
      <x:c r="L1787" s="0">
        <x:f>hyperlink("https://icat2.azurewebsites.net/icat/?ontology=ICD&amp;tab=ClassesTab&amp;id=http%3A%2F%2Fwho.int%2Ficd%235554_512ebf36_bf6b_4d70_85da_cf2637062af4","iCat")</x:f>
      </x:c>
      <x:c r="M1787" s="0" t="s">
        <x:v>21</x:v>
      </x:c>
      <x:c r="N1787" s="0" t="s">
        <x:v>46</x:v>
      </x:c>
    </x:row>
    <x:row r="1788" spans="1:16">
      <x:c r="A1788" s="0" t="s">
        <x:v>6984</x:v>
      </x:c>
      <x:c r="B1788" s="0" t="s">
        <x:v>6985</x:v>
      </x:c>
      <x:c r="C1788" s="0" t="s">
        <x:v>6986</x:v>
      </x:c>
      <x:c r="E1788" s="0" t="s">
        <x:v>6987</x:v>
      </x:c>
      <x:c r="F1788" s="0" t="s">
        <x:v>45</x:v>
      </x:c>
      <x:c r="G1788" s="0" t="s">
        <x:v>19</x:v>
      </x:c>
      <x:c r="H1788" s="0" t="s">
        <x:v>20</x:v>
      </x:c>
      <x:c r="I1788" s="0" t="s">
        <x:v>21</x:v>
      </x:c>
      <x:c r="K1788" s="0">
        <x:f>hyperlink("https://icd.who.int/dev11/l-ichi/en#/http%3A%2F%2Fid.who.int%2Ficd%2Fentity%2F811202328","browser")</x:f>
      </x:c>
      <x:c r="L1788" s="0">
        <x:f>hyperlink("https://icat2.azurewebsites.net/icat/?ontology=ICD&amp;tab=ClassesTab&amp;id=http%3A%2F%2Fwho.int%2Ficd%235561_512ebf36_bf6b_4d70_85da_cf2637062af4","iCat")</x:f>
      </x:c>
      <x:c r="M1788" s="0" t="s">
        <x:v>21</x:v>
      </x:c>
      <x:c r="N1788" s="0" t="s">
        <x:v>46</x:v>
      </x:c>
    </x:row>
    <x:row r="1789" spans="1:16">
      <x:c r="A1789" s="0" t="s">
        <x:v>6988</x:v>
      </x:c>
      <x:c r="B1789" s="0" t="s">
        <x:v>6989</x:v>
      </x:c>
      <x:c r="C1789" s="0" t="s">
        <x:v>6990</x:v>
      </x:c>
      <x:c r="E1789" s="0" t="s">
        <x:v>6991</x:v>
      </x:c>
      <x:c r="F1789" s="0" t="s">
        <x:v>45</x:v>
      </x:c>
      <x:c r="G1789" s="0" t="s">
        <x:v>19</x:v>
      </x:c>
      <x:c r="H1789" s="0" t="s">
        <x:v>20</x:v>
      </x:c>
      <x:c r="I1789" s="0" t="s">
        <x:v>21</x:v>
      </x:c>
      <x:c r="K1789" s="0">
        <x:f>hyperlink("https://icd.who.int/dev11/l-ichi/en#/http%3A%2F%2Fid.who.int%2Ficd%2Fentity%2F1612852905","browser")</x:f>
      </x:c>
      <x:c r="L1789" s="0">
        <x:f>hyperlink("https://icat2.azurewebsites.net/icat/?ontology=ICD&amp;tab=ClassesTab&amp;id=http%3A%2F%2Fwho.int%2Ficd%235567_512ebf36_bf6b_4d70_85da_cf2637062af4","iCat")</x:f>
      </x:c>
      <x:c r="M1789" s="0" t="s">
        <x:v>21</x:v>
      </x:c>
      <x:c r="N1789" s="0" t="s">
        <x:v>46</x:v>
      </x:c>
    </x:row>
    <x:row r="1790" spans="1:16">
      <x:c r="A1790" s="0" t="s">
        <x:v>6992</x:v>
      </x:c>
      <x:c r="B1790" s="0" t="s">
        <x:v>6993</x:v>
      </x:c>
      <x:c r="C1790" s="0" t="s">
        <x:v>6994</x:v>
      </x:c>
      <x:c r="E1790" s="0" t="s">
        <x:v>6995</x:v>
      </x:c>
      <x:c r="F1790" s="0" t="s">
        <x:v>45</x:v>
      </x:c>
      <x:c r="G1790" s="0" t="s">
        <x:v>19</x:v>
      </x:c>
      <x:c r="H1790" s="0" t="s">
        <x:v>20</x:v>
      </x:c>
      <x:c r="I1790" s="0" t="s">
        <x:v>21</x:v>
      </x:c>
      <x:c r="K1790" s="0">
        <x:f>hyperlink("https://icd.who.int/dev11/l-ichi/en#/http%3A%2F%2Fid.who.int%2Ficd%2Fentity%2F1331876871","browser")</x:f>
      </x:c>
      <x:c r="L1790" s="0">
        <x:f>hyperlink("https://icat2.azurewebsites.net/icat/?ontology=ICD&amp;tab=ClassesTab&amp;id=http%3A%2F%2Fwho.int%2Ficd%235574_512ebf36_bf6b_4d70_85da_cf2637062af4","iCat")</x:f>
      </x:c>
      <x:c r="M1790" s="0" t="s">
        <x:v>21</x:v>
      </x:c>
      <x:c r="N1790" s="0" t="s">
        <x:v>46</x:v>
      </x:c>
    </x:row>
    <x:row r="1791" spans="1:16">
      <x:c r="A1791" s="0" t="s">
        <x:v>6996</x:v>
      </x:c>
      <x:c r="B1791" s="0" t="s">
        <x:v>6997</x:v>
      </x:c>
      <x:c r="D1791" s="0" t="s">
        <x:v>6998</x:v>
      </x:c>
      <x:c r="E1791" s="0" t="s">
        <x:v>6999</x:v>
      </x:c>
      <x:c r="F1791" s="0" t="s">
        <x:v>26</x:v>
      </x:c>
      <x:c r="G1791" s="0" t="s">
        <x:v>22</x:v>
      </x:c>
      <x:c r="H1791" s="0" t="s">
        <x:v>20</x:v>
      </x:c>
      <x:c r="I1791" s="0" t="s">
        <x:v>21</x:v>
      </x:c>
      <x:c r="K1791" s="0">
        <x:f>hyperlink("https://icd.who.int/dev11/l-ichi/en#/http%3A%2F%2Fid.who.int%2Ficd%2Fentity%2F100238108","browser")</x:f>
      </x:c>
      <x:c r="L1791" s="0">
        <x:f>hyperlink("https://icat2.azurewebsites.net/icat/?ontology=ICD&amp;tab=ClassesTab&amp;id=http%3A%2F%2Fwho.int%2Ficd%235586_512ebf36_bf6b_4d70_85da_cf2637062af4","iCat")</x:f>
      </x:c>
      <x:c r="M1791" s="0" t="s">
        <x:v>20</x:v>
      </x:c>
      <x:c r="N1791" s="0" t="s">
        <x:v>2677</x:v>
      </x:c>
    </x:row>
    <x:row r="1792" spans="1:16">
      <x:c r="A1792" s="0" t="s">
        <x:v>7000</x:v>
      </x:c>
      <x:c r="B1792" s="0" t="s">
        <x:v>7001</x:v>
      </x:c>
      <x:c r="C1792" s="0" t="s">
        <x:v>7002</x:v>
      </x:c>
      <x:c r="E1792" s="0" t="s">
        <x:v>7003</x:v>
      </x:c>
      <x:c r="F1792" s="0" t="s">
        <x:v>45</x:v>
      </x:c>
      <x:c r="G1792" s="0" t="s">
        <x:v>19</x:v>
      </x:c>
      <x:c r="H1792" s="0" t="s">
        <x:v>20</x:v>
      </x:c>
      <x:c r="I1792" s="0" t="s">
        <x:v>21</x:v>
      </x:c>
      <x:c r="K1792" s="0">
        <x:f>hyperlink("https://icd.who.int/dev11/l-ichi/en#/http%3A%2F%2Fid.who.int%2Ficd%2Fentity%2F1081928933","browser")</x:f>
      </x:c>
      <x:c r="L1792" s="0">
        <x:f>hyperlink("https://icat2.azurewebsites.net/icat/?ontology=ICD&amp;tab=ClassesTab&amp;id=http%3A%2F%2Fwho.int%2Ficd%235585_512ebf36_bf6b_4d70_85da_cf2637062af4","iCat")</x:f>
      </x:c>
      <x:c r="M1792" s="0" t="s">
        <x:v>21</x:v>
      </x:c>
      <x:c r="N1792" s="0" t="s">
        <x:v>46</x:v>
      </x:c>
    </x:row>
    <x:row r="1793" spans="1:16">
      <x:c r="A1793" s="0" t="s">
        <x:v>7004</x:v>
      </x:c>
      <x:c r="B1793" s="0" t="s">
        <x:v>7005</x:v>
      </x:c>
      <x:c r="C1793" s="0" t="s">
        <x:v>7006</x:v>
      </x:c>
      <x:c r="E1793" s="0" t="s">
        <x:v>7007</x:v>
      </x:c>
      <x:c r="F1793" s="0" t="s">
        <x:v>45</x:v>
      </x:c>
      <x:c r="G1793" s="0" t="s">
        <x:v>19</x:v>
      </x:c>
      <x:c r="H1793" s="0" t="s">
        <x:v>20</x:v>
      </x:c>
      <x:c r="I1793" s="0" t="s">
        <x:v>21</x:v>
      </x:c>
      <x:c r="K1793" s="0">
        <x:f>hyperlink("https://icd.who.int/dev11/l-ichi/en#/http%3A%2F%2Fid.who.int%2Ficd%2Fentity%2F1338336375","browser")</x:f>
      </x:c>
      <x:c r="L1793" s="0">
        <x:f>hyperlink("https://icat2.azurewebsites.net/icat/?ontology=ICD&amp;tab=ClassesTab&amp;id=http%3A%2F%2Fwho.int%2Ficd%235597_512ebf36_bf6b_4d70_85da_cf2637062af4","iCat")</x:f>
      </x:c>
      <x:c r="M1793" s="0" t="s">
        <x:v>21</x:v>
      </x:c>
      <x:c r="N1793" s="0" t="s">
        <x:v>46</x:v>
      </x:c>
    </x:row>
    <x:row r="1794" spans="1:16">
      <x:c r="A1794" s="0" t="s">
        <x:v>7008</x:v>
      </x:c>
      <x:c r="B1794" s="0" t="s">
        <x:v>7009</x:v>
      </x:c>
      <x:c r="C1794" s="0" t="s">
        <x:v>7010</x:v>
      </x:c>
      <x:c r="E1794" s="0" t="s">
        <x:v>7011</x:v>
      </x:c>
      <x:c r="F1794" s="0" t="s">
        <x:v>45</x:v>
      </x:c>
      <x:c r="G1794" s="0" t="s">
        <x:v>19</x:v>
      </x:c>
      <x:c r="H1794" s="0" t="s">
        <x:v>20</x:v>
      </x:c>
      <x:c r="I1794" s="0" t="s">
        <x:v>21</x:v>
      </x:c>
      <x:c r="K1794" s="0">
        <x:f>hyperlink("https://icd.who.int/dev11/l-ichi/en#/http%3A%2F%2Fid.who.int%2Ficd%2Fentity%2F518746948","browser")</x:f>
      </x:c>
      <x:c r="L1794" s="0">
        <x:f>hyperlink("https://icat2.azurewebsites.net/icat/?ontology=ICD&amp;tab=ClassesTab&amp;id=http%3A%2F%2Fwho.int%2Ficd%235604_512ebf36_bf6b_4d70_85da_cf2637062af4","iCat")</x:f>
      </x:c>
      <x:c r="M1794" s="0" t="s">
        <x:v>21</x:v>
      </x:c>
      <x:c r="N1794" s="0" t="s">
        <x:v>46</x:v>
      </x:c>
    </x:row>
    <x:row r="1795" spans="1:16">
      <x:c r="A1795" s="0" t="s">
        <x:v>7012</x:v>
      </x:c>
      <x:c r="B1795" s="0" t="s">
        <x:v>7013</x:v>
      </x:c>
      <x:c r="C1795" s="0" t="s">
        <x:v>7014</x:v>
      </x:c>
      <x:c r="E1795" s="0" t="s">
        <x:v>7015</x:v>
      </x:c>
      <x:c r="F1795" s="0" t="s">
        <x:v>45</x:v>
      </x:c>
      <x:c r="G1795" s="0" t="s">
        <x:v>19</x:v>
      </x:c>
      <x:c r="H1795" s="0" t="s">
        <x:v>20</x:v>
      </x:c>
      <x:c r="I1795" s="0" t="s">
        <x:v>21</x:v>
      </x:c>
      <x:c r="K1795" s="0">
        <x:f>hyperlink("https://icd.who.int/dev11/l-ichi/en#/http%3A%2F%2Fid.who.int%2Ficd%2Fentity%2F1093214823","browser")</x:f>
      </x:c>
      <x:c r="L1795" s="0">
        <x:f>hyperlink("https://icat2.azurewebsites.net/icat/?ontology=ICD&amp;tab=ClassesTab&amp;id=http%3A%2F%2Fwho.int%2Ficd%235610_512ebf36_bf6b_4d70_85da_cf2637062af4","iCat")</x:f>
      </x:c>
      <x:c r="M1795" s="0" t="s">
        <x:v>21</x:v>
      </x:c>
      <x:c r="N1795" s="0" t="s">
        <x:v>46</x:v>
      </x:c>
    </x:row>
    <x:row r="1796" spans="1:16">
      <x:c r="A1796" s="0" t="s">
        <x:v>7016</x:v>
      </x:c>
      <x:c r="B1796" s="0" t="s">
        <x:v>7017</x:v>
      </x:c>
      <x:c r="C1796" s="0" t="s">
        <x:v>7018</x:v>
      </x:c>
      <x:c r="E1796" s="0" t="s">
        <x:v>7019</x:v>
      </x:c>
      <x:c r="F1796" s="0" t="s">
        <x:v>45</x:v>
      </x:c>
      <x:c r="G1796" s="0" t="s">
        <x:v>19</x:v>
      </x:c>
      <x:c r="H1796" s="0" t="s">
        <x:v>20</x:v>
      </x:c>
      <x:c r="I1796" s="0" t="s">
        <x:v>21</x:v>
      </x:c>
      <x:c r="K1796" s="0">
        <x:f>hyperlink("https://icd.who.int/dev11/l-ichi/en#/http%3A%2F%2Fid.who.int%2Ficd%2Fentity%2F560009310","browser")</x:f>
      </x:c>
      <x:c r="L1796" s="0">
        <x:f>hyperlink("https://icat2.azurewebsites.net/icat/?ontology=ICD&amp;tab=ClassesTab&amp;id=http%3A%2F%2Fwho.int%2Ficd%235621_512ebf36_bf6b_4d70_85da_cf2637062af4","iCat")</x:f>
      </x:c>
      <x:c r="M1796" s="0" t="s">
        <x:v>21</x:v>
      </x:c>
      <x:c r="N1796" s="0" t="s">
        <x:v>46</x:v>
      </x:c>
    </x:row>
    <x:row r="1797" spans="1:16">
      <x:c r="A1797" s="0" t="s">
        <x:v>7020</x:v>
      </x:c>
      <x:c r="B1797" s="0" t="s">
        <x:v>7021</x:v>
      </x:c>
      <x:c r="C1797" s="0" t="s">
        <x:v>7022</x:v>
      </x:c>
      <x:c r="E1797" s="0" t="s">
        <x:v>7023</x:v>
      </x:c>
      <x:c r="F1797" s="0" t="s">
        <x:v>45</x:v>
      </x:c>
      <x:c r="G1797" s="0" t="s">
        <x:v>19</x:v>
      </x:c>
      <x:c r="H1797" s="0" t="s">
        <x:v>20</x:v>
      </x:c>
      <x:c r="I1797" s="0" t="s">
        <x:v>21</x:v>
      </x:c>
      <x:c r="K1797" s="0">
        <x:f>hyperlink("https://icd.who.int/dev11/l-ichi/en#/http%3A%2F%2Fid.who.int%2Ficd%2Fentity%2F1269073163","browser")</x:f>
      </x:c>
      <x:c r="L1797" s="0">
        <x:f>hyperlink("https://icat2.azurewebsites.net/icat/?ontology=ICD&amp;tab=ClassesTab&amp;id=http%3A%2F%2Fwho.int%2Ficd%235631_512ebf36_bf6b_4d70_85da_cf2637062af4","iCat")</x:f>
      </x:c>
      <x:c r="M1797" s="0" t="s">
        <x:v>21</x:v>
      </x:c>
      <x:c r="N1797" s="0" t="s">
        <x:v>46</x:v>
      </x:c>
    </x:row>
    <x:row r="1798" spans="1:16">
      <x:c r="A1798" s="0" t="s">
        <x:v>7024</x:v>
      </x:c>
      <x:c r="B1798" s="0" t="s">
        <x:v>7025</x:v>
      </x:c>
      <x:c r="C1798" s="0" t="s">
        <x:v>7026</x:v>
      </x:c>
      <x:c r="E1798" s="0" t="s">
        <x:v>7027</x:v>
      </x:c>
      <x:c r="F1798" s="0" t="s">
        <x:v>45</x:v>
      </x:c>
      <x:c r="G1798" s="0" t="s">
        <x:v>19</x:v>
      </x:c>
      <x:c r="H1798" s="0" t="s">
        <x:v>20</x:v>
      </x:c>
      <x:c r="I1798" s="0" t="s">
        <x:v>21</x:v>
      </x:c>
      <x:c r="K1798" s="0">
        <x:f>hyperlink("https://icd.who.int/dev11/l-ichi/en#/http%3A%2F%2Fid.who.int%2Ficd%2Fentity%2F635209314","browser")</x:f>
      </x:c>
      <x:c r="L1798" s="0">
        <x:f>hyperlink("https://icat2.azurewebsites.net/icat/?ontology=ICD&amp;tab=ClassesTab&amp;id=http%3A%2F%2Fwho.int%2Ficd%235638_512ebf36_bf6b_4d70_85da_cf2637062af4","iCat")</x:f>
      </x:c>
      <x:c r="M1798" s="0" t="s">
        <x:v>21</x:v>
      </x:c>
      <x:c r="N1798" s="0" t="s">
        <x:v>46</x:v>
      </x:c>
    </x:row>
    <x:row r="1799" spans="1:16">
      <x:c r="A1799" s="0" t="s">
        <x:v>7028</x:v>
      </x:c>
      <x:c r="B1799" s="0" t="s">
        <x:v>7029</x:v>
      </x:c>
      <x:c r="C1799" s="0" t="s">
        <x:v>7030</x:v>
      </x:c>
      <x:c r="E1799" s="0" t="s">
        <x:v>7031</x:v>
      </x:c>
      <x:c r="F1799" s="0" t="s">
        <x:v>45</x:v>
      </x:c>
      <x:c r="G1799" s="0" t="s">
        <x:v>19</x:v>
      </x:c>
      <x:c r="H1799" s="0" t="s">
        <x:v>20</x:v>
      </x:c>
      <x:c r="I1799" s="0" t="s">
        <x:v>21</x:v>
      </x:c>
      <x:c r="K1799" s="0">
        <x:f>hyperlink("https://icd.who.int/dev11/l-ichi/en#/http%3A%2F%2Fid.who.int%2Ficd%2Fentity%2F1316311653","browser")</x:f>
      </x:c>
      <x:c r="L1799" s="0">
        <x:f>hyperlink("https://icat2.azurewebsites.net/icat/?ontology=ICD&amp;tab=ClassesTab&amp;id=http%3A%2F%2Fwho.int%2Ficd%235645_512ebf36_bf6b_4d70_85da_cf2637062af4","iCat")</x:f>
      </x:c>
      <x:c r="M1799" s="0" t="s">
        <x:v>21</x:v>
      </x:c>
      <x:c r="N1799" s="0" t="s">
        <x:v>46</x:v>
      </x:c>
    </x:row>
    <x:row r="1800" spans="1:16">
      <x:c r="A1800" s="0" t="s">
        <x:v>7032</x:v>
      </x:c>
      <x:c r="B1800" s="0" t="s">
        <x:v>7033</x:v>
      </x:c>
      <x:c r="C1800" s="0" t="s">
        <x:v>7034</x:v>
      </x:c>
      <x:c r="E1800" s="0" t="s">
        <x:v>7035</x:v>
      </x:c>
      <x:c r="F1800" s="0" t="s">
        <x:v>45</x:v>
      </x:c>
      <x:c r="G1800" s="0" t="s">
        <x:v>19</x:v>
      </x:c>
      <x:c r="H1800" s="0" t="s">
        <x:v>20</x:v>
      </x:c>
      <x:c r="I1800" s="0" t="s">
        <x:v>21</x:v>
      </x:c>
      <x:c r="K1800" s="0">
        <x:f>hyperlink("https://icd.who.int/dev11/l-ichi/en#/http%3A%2F%2Fid.who.int%2Ficd%2Fentity%2F1103944439","browser")</x:f>
      </x:c>
      <x:c r="L1800" s="0">
        <x:f>hyperlink("https://icat2.azurewebsites.net/icat/?ontology=ICD&amp;tab=ClassesTab&amp;id=http%3A%2F%2Fwho.int%2Ficd%235657_512ebf36_bf6b_4d70_85da_cf2637062af4","iCat")</x:f>
      </x:c>
      <x:c r="M1800" s="0" t="s">
        <x:v>21</x:v>
      </x:c>
      <x:c r="N1800" s="0" t="s">
        <x:v>46</x:v>
      </x:c>
    </x:row>
    <x:row r="1801" spans="1:16">
      <x:c r="A1801" s="0" t="s">
        <x:v>7036</x:v>
      </x:c>
      <x:c r="B1801" s="0" t="s">
        <x:v>7037</x:v>
      </x:c>
      <x:c r="C1801" s="0" t="s">
        <x:v>7038</x:v>
      </x:c>
      <x:c r="E1801" s="0" t="s">
        <x:v>7039</x:v>
      </x:c>
      <x:c r="F1801" s="0" t="s">
        <x:v>45</x:v>
      </x:c>
      <x:c r="G1801" s="0" t="s">
        <x:v>19</x:v>
      </x:c>
      <x:c r="H1801" s="0" t="s">
        <x:v>20</x:v>
      </x:c>
      <x:c r="I1801" s="0" t="s">
        <x:v>21</x:v>
      </x:c>
      <x:c r="K1801" s="0">
        <x:f>hyperlink("https://icd.who.int/dev11/l-ichi/en#/http%3A%2F%2Fid.who.int%2Ficd%2Fentity%2F25008880","browser")</x:f>
      </x:c>
      <x:c r="L1801" s="0">
        <x:f>hyperlink("https://icat2.azurewebsites.net/icat/?ontology=ICD&amp;tab=ClassesTab&amp;id=http%3A%2F%2Fwho.int%2Ficd%235667_512ebf36_bf6b_4d70_85da_cf2637062af4","iCat")</x:f>
      </x:c>
      <x:c r="M1801" s="0" t="s">
        <x:v>21</x:v>
      </x:c>
      <x:c r="N1801" s="0" t="s">
        <x:v>46</x:v>
      </x:c>
    </x:row>
    <x:row r="1802" spans="1:16">
      <x:c r="A1802" s="0" t="s">
        <x:v>7040</x:v>
      </x:c>
      <x:c r="B1802" s="0" t="s">
        <x:v>7041</x:v>
      </x:c>
      <x:c r="C1802" s="0" t="s">
        <x:v>7042</x:v>
      </x:c>
      <x:c r="E1802" s="0" t="s">
        <x:v>7043</x:v>
      </x:c>
      <x:c r="F1802" s="0" t="s">
        <x:v>45</x:v>
      </x:c>
      <x:c r="G1802" s="0" t="s">
        <x:v>19</x:v>
      </x:c>
      <x:c r="H1802" s="0" t="s">
        <x:v>20</x:v>
      </x:c>
      <x:c r="I1802" s="0" t="s">
        <x:v>21</x:v>
      </x:c>
      <x:c r="K1802" s="0">
        <x:f>hyperlink("https://icd.who.int/dev11/l-ichi/en#/http%3A%2F%2Fid.who.int%2Ficd%2Fentity%2F1589627859","browser")</x:f>
      </x:c>
      <x:c r="L1802" s="0">
        <x:f>hyperlink("https://icat2.azurewebsites.net/icat/?ontology=ICD&amp;tab=ClassesTab&amp;id=http%3A%2F%2Fwho.int%2Ficd%235673_512ebf36_bf6b_4d70_85da_cf2637062af4","iCat")</x:f>
      </x:c>
      <x:c r="M1802" s="0" t="s">
        <x:v>21</x:v>
      </x:c>
      <x:c r="N1802" s="0" t="s">
        <x:v>46</x:v>
      </x:c>
    </x:row>
    <x:row r="1803" spans="1:16">
      <x:c r="A1803" s="0" t="s">
        <x:v>7044</x:v>
      </x:c>
      <x:c r="B1803" s="0" t="s">
        <x:v>7045</x:v>
      </x:c>
      <x:c r="C1803" s="0" t="s">
        <x:v>7046</x:v>
      </x:c>
      <x:c r="E1803" s="0" t="s">
        <x:v>7047</x:v>
      </x:c>
      <x:c r="F1803" s="0" t="s">
        <x:v>45</x:v>
      </x:c>
      <x:c r="G1803" s="0" t="s">
        <x:v>19</x:v>
      </x:c>
      <x:c r="H1803" s="0" t="s">
        <x:v>20</x:v>
      </x:c>
      <x:c r="I1803" s="0" t="s">
        <x:v>21</x:v>
      </x:c>
      <x:c r="K1803" s="0">
        <x:f>hyperlink("https://icd.who.int/dev11/l-ichi/en#/http%3A%2F%2Fid.who.int%2Ficd%2Fentity%2F337943754","browser")</x:f>
      </x:c>
      <x:c r="L1803" s="0">
        <x:f>hyperlink("https://icat2.azurewebsites.net/icat/?ontology=ICD&amp;tab=ClassesTab&amp;id=http%3A%2F%2Fwho.int%2Ficd%235681_512ebf36_bf6b_4d70_85da_cf2637062af4","iCat")</x:f>
      </x:c>
      <x:c r="M1803" s="0" t="s">
        <x:v>21</x:v>
      </x:c>
      <x:c r="N1803" s="0" t="s">
        <x:v>46</x:v>
      </x:c>
    </x:row>
    <x:row r="1804" spans="1:16">
      <x:c r="A1804" s="0" t="s">
        <x:v>7048</x:v>
      </x:c>
      <x:c r="B1804" s="0" t="s">
        <x:v>7049</x:v>
      </x:c>
      <x:c r="C1804" s="0" t="s">
        <x:v>7050</x:v>
      </x:c>
      <x:c r="E1804" s="0" t="s">
        <x:v>7051</x:v>
      </x:c>
      <x:c r="F1804" s="0" t="s">
        <x:v>45</x:v>
      </x:c>
      <x:c r="G1804" s="0" t="s">
        <x:v>19</x:v>
      </x:c>
      <x:c r="H1804" s="0" t="s">
        <x:v>20</x:v>
      </x:c>
      <x:c r="I1804" s="0" t="s">
        <x:v>21</x:v>
      </x:c>
      <x:c r="K1804" s="0">
        <x:f>hyperlink("https://icd.who.int/dev11/l-ichi/en#/http%3A%2F%2Fid.who.int%2Ficd%2Fentity%2F1147094393","browser")</x:f>
      </x:c>
      <x:c r="L1804" s="0">
        <x:f>hyperlink("https://icat2.azurewebsites.net/icat/?ontology=ICD&amp;tab=ClassesTab&amp;id=http%3A%2F%2Fwho.int%2Ficd%235687_512ebf36_bf6b_4d70_85da_cf2637062af4","iCat")</x:f>
      </x:c>
      <x:c r="M1804" s="0" t="s">
        <x:v>21</x:v>
      </x:c>
      <x:c r="N1804" s="0" t="s">
        <x:v>46</x:v>
      </x:c>
    </x:row>
    <x:row r="1805" spans="1:16">
      <x:c r="A1805" s="0" t="s">
        <x:v>7052</x:v>
      </x:c>
      <x:c r="B1805" s="0" t="s">
        <x:v>7053</x:v>
      </x:c>
      <x:c r="C1805" s="0" t="s">
        <x:v>7054</x:v>
      </x:c>
      <x:c r="E1805" s="0" t="s">
        <x:v>7055</x:v>
      </x:c>
      <x:c r="F1805" s="0" t="s">
        <x:v>45</x:v>
      </x:c>
      <x:c r="G1805" s="0" t="s">
        <x:v>19</x:v>
      </x:c>
      <x:c r="H1805" s="0" t="s">
        <x:v>20</x:v>
      </x:c>
      <x:c r="I1805" s="0" t="s">
        <x:v>21</x:v>
      </x:c>
      <x:c r="K1805" s="0">
        <x:f>hyperlink("https://icd.who.int/dev11/l-ichi/en#/http%3A%2F%2Fid.who.int%2Ficd%2Fentity%2F1590264861","browser")</x:f>
      </x:c>
      <x:c r="L1805" s="0">
        <x:f>hyperlink("https://icat2.azurewebsites.net/icat/?ontology=ICD&amp;tab=ClassesTab&amp;id=http%3A%2F%2Fwho.int%2Ficd%23450_63e30ea5_14bd_4823_bf2d_a6a05c9b9750","iCat")</x:f>
      </x:c>
      <x:c r="M1805" s="0" t="s">
        <x:v>21</x:v>
      </x:c>
      <x:c r="N1805" s="0" t="s">
        <x:v>46</x:v>
      </x:c>
    </x:row>
    <x:row r="1806" spans="1:16">
      <x:c r="A1806" s="0" t="s">
        <x:v>7056</x:v>
      </x:c>
      <x:c r="B1806" s="0" t="s">
        <x:v>7057</x:v>
      </x:c>
      <x:c r="C1806" s="0" t="s">
        <x:v>7058</x:v>
      </x:c>
      <x:c r="E1806" s="0" t="s">
        <x:v>7059</x:v>
      </x:c>
      <x:c r="F1806" s="0" t="s">
        <x:v>45</x:v>
      </x:c>
      <x:c r="G1806" s="0" t="s">
        <x:v>19</x:v>
      </x:c>
      <x:c r="H1806" s="0" t="s">
        <x:v>20</x:v>
      </x:c>
      <x:c r="I1806" s="0" t="s">
        <x:v>21</x:v>
      </x:c>
      <x:c r="K1806" s="0">
        <x:f>hyperlink("https://icd.who.int/dev11/l-ichi/en#/http%3A%2F%2Fid.who.int%2Ficd%2Fentity%2F241410580","browser")</x:f>
      </x:c>
      <x:c r="L1806" s="0">
        <x:f>hyperlink("https://icat2.azurewebsites.net/icat/?ontology=ICD&amp;tab=ClassesTab&amp;id=http%3A%2F%2Fwho.int%2Ficd%235696_512ebf36_bf6b_4d70_85da_cf2637062af4","iCat")</x:f>
      </x:c>
      <x:c r="M1806" s="0" t="s">
        <x:v>21</x:v>
      </x:c>
      <x:c r="N1806" s="0" t="s">
        <x:v>46</x:v>
      </x:c>
    </x:row>
    <x:row r="1807" spans="1:16">
      <x:c r="A1807" s="0" t="s">
        <x:v>7060</x:v>
      </x:c>
      <x:c r="B1807" s="0" t="s">
        <x:v>7061</x:v>
      </x:c>
      <x:c r="C1807" s="0" t="s">
        <x:v>7062</x:v>
      </x:c>
      <x:c r="E1807" s="0" t="s">
        <x:v>7063</x:v>
      </x:c>
      <x:c r="F1807" s="0" t="s">
        <x:v>45</x:v>
      </x:c>
      <x:c r="G1807" s="0" t="s">
        <x:v>19</x:v>
      </x:c>
      <x:c r="H1807" s="0" t="s">
        <x:v>20</x:v>
      </x:c>
      <x:c r="I1807" s="0" t="s">
        <x:v>21</x:v>
      </x:c>
      <x:c r="K1807" s="0">
        <x:f>hyperlink("https://icd.who.int/dev11/l-ichi/en#/http%3A%2F%2Fid.who.int%2Ficd%2Fentity%2F990866538","browser")</x:f>
      </x:c>
      <x:c r="L1807" s="0">
        <x:f>hyperlink("https://icat2.azurewebsites.net/icat/?ontology=ICD&amp;tab=ClassesTab&amp;id=http%3A%2F%2Fwho.int%2Ficd%235702_512ebf36_bf6b_4d70_85da_cf2637062af4","iCat")</x:f>
      </x:c>
      <x:c r="M1807" s="0" t="s">
        <x:v>21</x:v>
      </x:c>
      <x:c r="N1807" s="0" t="s">
        <x:v>46</x:v>
      </x:c>
    </x:row>
    <x:row r="1808" spans="1:16">
      <x:c r="A1808" s="0" t="s">
        <x:v>7064</x:v>
      </x:c>
      <x:c r="B1808" s="0" t="s">
        <x:v>7065</x:v>
      </x:c>
      <x:c r="D1808" s="0" t="s">
        <x:v>7066</x:v>
      </x:c>
      <x:c r="E1808" s="0" t="s">
        <x:v>7067</x:v>
      </x:c>
      <x:c r="F1808" s="0" t="s">
        <x:v>26</x:v>
      </x:c>
      <x:c r="G1808" s="0" t="s">
        <x:v>22</x:v>
      </x:c>
      <x:c r="H1808" s="0" t="s">
        <x:v>20</x:v>
      </x:c>
      <x:c r="I1808" s="0" t="s">
        <x:v>21</x:v>
      </x:c>
      <x:c r="K1808" s="0">
        <x:f>hyperlink("https://icd.who.int/dev11/l-ichi/en#/http%3A%2F%2Fid.who.int%2Ficd%2Fentity%2F806056644","browser")</x:f>
      </x:c>
      <x:c r="L1808" s="0">
        <x:f>hyperlink("https://icat2.azurewebsites.net/icat/?ontology=ICD&amp;tab=ClassesTab&amp;id=http%3A%2F%2Fwho.int%2Ficd%235709_512ebf36_bf6b_4d70_85da_cf2637062af4","iCat")</x:f>
      </x:c>
      <x:c r="M1808" s="0" t="s">
        <x:v>20</x:v>
      </x:c>
      <x:c r="N1808" s="0" t="s">
        <x:v>40</x:v>
      </x:c>
    </x:row>
    <x:row r="1809" spans="1:16">
      <x:c r="A1809" s="0" t="s">
        <x:v>7068</x:v>
      </x:c>
      <x:c r="B1809" s="0" t="s">
        <x:v>7069</x:v>
      </x:c>
      <x:c r="C1809" s="0" t="s">
        <x:v>7070</x:v>
      </x:c>
      <x:c r="E1809" s="0" t="s">
        <x:v>7071</x:v>
      </x:c>
      <x:c r="F1809" s="0" t="s">
        <x:v>45</x:v>
      </x:c>
      <x:c r="G1809" s="0" t="s">
        <x:v>19</x:v>
      </x:c>
      <x:c r="H1809" s="0" t="s">
        <x:v>20</x:v>
      </x:c>
      <x:c r="I1809" s="0" t="s">
        <x:v>21</x:v>
      </x:c>
      <x:c r="K1809" s="0">
        <x:f>hyperlink("https://icd.who.int/dev11/l-ichi/en#/http%3A%2F%2Fid.who.int%2Ficd%2Fentity%2F284295418","browser")</x:f>
      </x:c>
      <x:c r="L1809" s="0">
        <x:f>hyperlink("https://icat2.azurewebsites.net/icat/?ontology=ICD&amp;tab=ClassesTab&amp;id=http%3A%2F%2Fwho.int%2Ficd%235708_512ebf36_bf6b_4d70_85da_cf2637062af4","iCat")</x:f>
      </x:c>
      <x:c r="M1809" s="0" t="s">
        <x:v>21</x:v>
      </x:c>
      <x:c r="N1809" s="0" t="s">
        <x:v>46</x:v>
      </x:c>
    </x:row>
    <x:row r="1810" spans="1:16">
      <x:c r="A1810" s="0" t="s">
        <x:v>7072</x:v>
      </x:c>
      <x:c r="B1810" s="0" t="s">
        <x:v>7073</x:v>
      </x:c>
      <x:c r="C1810" s="0" t="s">
        <x:v>7074</x:v>
      </x:c>
      <x:c r="E1810" s="0" t="s">
        <x:v>7075</x:v>
      </x:c>
      <x:c r="F1810" s="0" t="s">
        <x:v>45</x:v>
      </x:c>
      <x:c r="G1810" s="0" t="s">
        <x:v>19</x:v>
      </x:c>
      <x:c r="H1810" s="0" t="s">
        <x:v>20</x:v>
      </x:c>
      <x:c r="I1810" s="0" t="s">
        <x:v>21</x:v>
      </x:c>
      <x:c r="K1810" s="0">
        <x:f>hyperlink("https://icd.who.int/dev11/l-ichi/en#/http%3A%2F%2Fid.who.int%2Ficd%2Fentity%2F1946658045","browser")</x:f>
      </x:c>
      <x:c r="L1810" s="0">
        <x:f>hyperlink("https://icat2.azurewebsites.net/icat/?ontology=ICD&amp;tab=ClassesTab&amp;id=http%3A%2F%2Fwho.int%2Ficd%235720_512ebf36_bf6b_4d70_85da_cf2637062af4","iCat")</x:f>
      </x:c>
      <x:c r="M1810" s="0" t="s">
        <x:v>21</x:v>
      </x:c>
      <x:c r="N1810" s="0" t="s">
        <x:v>46</x:v>
      </x:c>
    </x:row>
    <x:row r="1811" spans="1:16">
      <x:c r="A1811" s="0" t="s">
        <x:v>7076</x:v>
      </x:c>
      <x:c r="B1811" s="0" t="s">
        <x:v>7077</x:v>
      </x:c>
      <x:c r="C1811" s="0" t="s">
        <x:v>7078</x:v>
      </x:c>
      <x:c r="E1811" s="0" t="s">
        <x:v>7079</x:v>
      </x:c>
      <x:c r="F1811" s="0" t="s">
        <x:v>45</x:v>
      </x:c>
      <x:c r="G1811" s="0" t="s">
        <x:v>19</x:v>
      </x:c>
      <x:c r="H1811" s="0" t="s">
        <x:v>20</x:v>
      </x:c>
      <x:c r="I1811" s="0" t="s">
        <x:v>21</x:v>
      </x:c>
      <x:c r="K1811" s="0">
        <x:f>hyperlink("https://icd.who.int/dev11/l-ichi/en#/http%3A%2F%2Fid.who.int%2Ficd%2Fentity%2F612138318","browser")</x:f>
      </x:c>
      <x:c r="L1811" s="0">
        <x:f>hyperlink("https://icat2.azurewebsites.net/icat/?ontology=ICD&amp;tab=ClassesTab&amp;id=http%3A%2F%2Fwho.int%2Ficd%235726_512ebf36_bf6b_4d70_85da_cf2637062af4","iCat")</x:f>
      </x:c>
      <x:c r="M1811" s="0" t="s">
        <x:v>21</x:v>
      </x:c>
      <x:c r="N1811" s="0" t="s">
        <x:v>46</x:v>
      </x:c>
    </x:row>
    <x:row r="1812" spans="1:16">
      <x:c r="A1812" s="0" t="s">
        <x:v>7080</x:v>
      </x:c>
      <x:c r="B1812" s="0" t="s">
        <x:v>7081</x:v>
      </x:c>
      <x:c r="C1812" s="0" t="s">
        <x:v>7082</x:v>
      </x:c>
      <x:c r="E1812" s="0" t="s">
        <x:v>7083</x:v>
      </x:c>
      <x:c r="F1812" s="0" t="s">
        <x:v>45</x:v>
      </x:c>
      <x:c r="G1812" s="0" t="s">
        <x:v>19</x:v>
      </x:c>
      <x:c r="H1812" s="0" t="s">
        <x:v>20</x:v>
      </x:c>
      <x:c r="I1812" s="0" t="s">
        <x:v>21</x:v>
      </x:c>
      <x:c r="K1812" s="0">
        <x:f>hyperlink("https://icd.who.int/dev11/l-ichi/en#/http%3A%2F%2Fid.who.int%2Ficd%2Fentity%2F1531403859","browser")</x:f>
      </x:c>
      <x:c r="L1812" s="0">
        <x:f>hyperlink("https://icat2.azurewebsites.net/icat/?ontology=ICD&amp;tab=ClassesTab&amp;id=http%3A%2F%2Fwho.int%2Ficd%235733_512ebf36_bf6b_4d70_85da_cf2637062af4","iCat")</x:f>
      </x:c>
      <x:c r="M1812" s="0" t="s">
        <x:v>21</x:v>
      </x:c>
      <x:c r="N1812" s="0" t="s">
        <x:v>46</x:v>
      </x:c>
    </x:row>
    <x:row r="1813" spans="1:16">
      <x:c r="A1813" s="0" t="s">
        <x:v>7084</x:v>
      </x:c>
      <x:c r="B1813" s="0" t="s">
        <x:v>7085</x:v>
      </x:c>
      <x:c r="C1813" s="0" t="s">
        <x:v>7086</x:v>
      </x:c>
      <x:c r="E1813" s="0" t="s">
        <x:v>7087</x:v>
      </x:c>
      <x:c r="F1813" s="0" t="s">
        <x:v>45</x:v>
      </x:c>
      <x:c r="G1813" s="0" t="s">
        <x:v>19</x:v>
      </x:c>
      <x:c r="H1813" s="0" t="s">
        <x:v>20</x:v>
      </x:c>
      <x:c r="I1813" s="0" t="s">
        <x:v>21</x:v>
      </x:c>
      <x:c r="K1813" s="0">
        <x:f>hyperlink("https://icd.who.int/dev11/l-ichi/en#/http%3A%2F%2Fid.who.int%2Ficd%2Fentity%2F773071538","browser")</x:f>
      </x:c>
      <x:c r="L1813" s="0">
        <x:f>hyperlink("https://icat2.azurewebsites.net/icat/?ontology=ICD&amp;tab=ClassesTab&amp;id=http%3A%2F%2Fwho.int%2Ficd%235740_512ebf36_bf6b_4d70_85da_cf2637062af4","iCat")</x:f>
      </x:c>
      <x:c r="M1813" s="0" t="s">
        <x:v>21</x:v>
      </x:c>
      <x:c r="N1813" s="0" t="s">
        <x:v>46</x:v>
      </x:c>
    </x:row>
    <x:row r="1814" spans="1:16">
      <x:c r="A1814" s="0" t="s">
        <x:v>7088</x:v>
      </x:c>
      <x:c r="B1814" s="0" t="s">
        <x:v>7089</x:v>
      </x:c>
      <x:c r="D1814" s="0" t="s">
        <x:v>7090</x:v>
      </x:c>
      <x:c r="E1814" s="0" t="s">
        <x:v>7091</x:v>
      </x:c>
      <x:c r="F1814" s="0" t="s">
        <x:v>26</x:v>
      </x:c>
      <x:c r="G1814" s="0" t="s">
        <x:v>22</x:v>
      </x:c>
      <x:c r="H1814" s="0" t="s">
        <x:v>20</x:v>
      </x:c>
      <x:c r="I1814" s="0" t="s">
        <x:v>21</x:v>
      </x:c>
      <x:c r="K1814" s="0">
        <x:f>hyperlink("https://icd.who.int/dev11/l-ichi/en#/http%3A%2F%2Fid.who.int%2Ficd%2Fentity%2F1080828377","browser")</x:f>
      </x:c>
      <x:c r="L1814" s="0">
        <x:f>hyperlink("https://icat2.azurewebsites.net/icat/?ontology=ICD&amp;tab=ClassesTab&amp;id=http%3A%2F%2Fwho.int%2Ficd%235749_512ebf36_bf6b_4d70_85da_cf2637062af4","iCat")</x:f>
      </x:c>
      <x:c r="M1814" s="0" t="s">
        <x:v>20</x:v>
      </x:c>
      <x:c r="N1814" s="0" t="s">
        <x:v>584</x:v>
      </x:c>
    </x:row>
    <x:row r="1815" spans="1:16">
      <x:c r="A1815" s="0" t="s">
        <x:v>7092</x:v>
      </x:c>
      <x:c r="B1815" s="0" t="s">
        <x:v>7093</x:v>
      </x:c>
      <x:c r="C1815" s="0" t="s">
        <x:v>7094</x:v>
      </x:c>
      <x:c r="E1815" s="0" t="s">
        <x:v>7095</x:v>
      </x:c>
      <x:c r="F1815" s="0" t="s">
        <x:v>45</x:v>
      </x:c>
      <x:c r="G1815" s="0" t="s">
        <x:v>19</x:v>
      </x:c>
      <x:c r="H1815" s="0" t="s">
        <x:v>20</x:v>
      </x:c>
      <x:c r="I1815" s="0" t="s">
        <x:v>21</x:v>
      </x:c>
      <x:c r="K1815" s="0">
        <x:f>hyperlink("https://icd.who.int/dev11/l-ichi/en#/http%3A%2F%2Fid.who.int%2Ficd%2Fentity%2F1620399077","browser")</x:f>
      </x:c>
      <x:c r="L1815" s="0">
        <x:f>hyperlink("https://icat2.azurewebsites.net/icat/?ontology=ICD&amp;tab=ClassesTab&amp;id=http%3A%2F%2Fwho.int%2Ficd%235748_512ebf36_bf6b_4d70_85da_cf2637062af4","iCat")</x:f>
      </x:c>
      <x:c r="M1815" s="0" t="s">
        <x:v>21</x:v>
      </x:c>
      <x:c r="N1815" s="0" t="s">
        <x:v>46</x:v>
      </x:c>
    </x:row>
    <x:row r="1816" spans="1:16">
      <x:c r="A1816" s="0" t="s">
        <x:v>7096</x:v>
      </x:c>
      <x:c r="B1816" s="0" t="s">
        <x:v>7097</x:v>
      </x:c>
      <x:c r="C1816" s="0" t="s">
        <x:v>7098</x:v>
      </x:c>
      <x:c r="E1816" s="0" t="s">
        <x:v>7099</x:v>
      </x:c>
      <x:c r="F1816" s="0" t="s">
        <x:v>45</x:v>
      </x:c>
      <x:c r="G1816" s="0" t="s">
        <x:v>19</x:v>
      </x:c>
      <x:c r="H1816" s="0" t="s">
        <x:v>20</x:v>
      </x:c>
      <x:c r="I1816" s="0" t="s">
        <x:v>21</x:v>
      </x:c>
      <x:c r="K1816" s="0">
        <x:f>hyperlink("https://icd.who.int/dev11/l-ichi/en#/http%3A%2F%2Fid.who.int%2Ficd%2Fentity%2F614041054","browser")</x:f>
      </x:c>
      <x:c r="L1816" s="0">
        <x:f>hyperlink("https://icat2.azurewebsites.net/icat/?ontology=ICD&amp;tab=ClassesTab&amp;id=http%3A%2F%2Fwho.int%2Ficd%235761_512ebf36_bf6b_4d70_85da_cf2637062af4","iCat")</x:f>
      </x:c>
      <x:c r="M1816" s="0" t="s">
        <x:v>21</x:v>
      </x:c>
      <x:c r="N1816" s="0" t="s">
        <x:v>46</x:v>
      </x:c>
    </x:row>
    <x:row r="1817" spans="1:16">
      <x:c r="A1817" s="0" t="s">
        <x:v>7100</x:v>
      </x:c>
      <x:c r="B1817" s="0" t="s">
        <x:v>7101</x:v>
      </x:c>
      <x:c r="C1817" s="0" t="s">
        <x:v>7102</x:v>
      </x:c>
      <x:c r="E1817" s="0" t="s">
        <x:v>7103</x:v>
      </x:c>
      <x:c r="F1817" s="0" t="s">
        <x:v>45</x:v>
      </x:c>
      <x:c r="G1817" s="0" t="s">
        <x:v>19</x:v>
      </x:c>
      <x:c r="H1817" s="0" t="s">
        <x:v>20</x:v>
      </x:c>
      <x:c r="I1817" s="0" t="s">
        <x:v>21</x:v>
      </x:c>
      <x:c r="K1817" s="0">
        <x:f>hyperlink("https://icd.who.int/dev11/l-ichi/en#/http%3A%2F%2Fid.who.int%2Ficd%2Fentity%2F1256294069","browser")</x:f>
      </x:c>
      <x:c r="L1817" s="0">
        <x:f>hyperlink("https://icat2.azurewebsites.net/icat/?ontology=ICD&amp;tab=ClassesTab&amp;id=http%3A%2F%2Fwho.int%2Ficd%235768_512ebf36_bf6b_4d70_85da_cf2637062af4","iCat")</x:f>
      </x:c>
      <x:c r="M1817" s="0" t="s">
        <x:v>21</x:v>
      </x:c>
      <x:c r="N1817" s="0" t="s">
        <x:v>46</x:v>
      </x:c>
    </x:row>
    <x:row r="1818" spans="1:16">
      <x:c r="A1818" s="0" t="s">
        <x:v>7104</x:v>
      </x:c>
      <x:c r="B1818" s="0" t="s">
        <x:v>7105</x:v>
      </x:c>
      <x:c r="C1818" s="0" t="s">
        <x:v>7106</x:v>
      </x:c>
      <x:c r="E1818" s="0" t="s">
        <x:v>7107</x:v>
      </x:c>
      <x:c r="F1818" s="0" t="s">
        <x:v>45</x:v>
      </x:c>
      <x:c r="G1818" s="0" t="s">
        <x:v>19</x:v>
      </x:c>
      <x:c r="H1818" s="0" t="s">
        <x:v>20</x:v>
      </x:c>
      <x:c r="I1818" s="0" t="s">
        <x:v>21</x:v>
      </x:c>
      <x:c r="K1818" s="0">
        <x:f>hyperlink("https://icd.who.int/dev11/l-ichi/en#/http%3A%2F%2Fid.who.int%2Ficd%2Fentity%2F1094854761","browser")</x:f>
      </x:c>
      <x:c r="L1818" s="0">
        <x:f>hyperlink("https://icat2.azurewebsites.net/icat/?ontology=ICD&amp;tab=ClassesTab&amp;id=http%3A%2F%2Fwho.int%2Ficd%235780_512ebf36_bf6b_4d70_85da_cf2637062af4","iCat")</x:f>
      </x:c>
      <x:c r="M1818" s="0" t="s">
        <x:v>21</x:v>
      </x:c>
      <x:c r="N1818" s="0" t="s">
        <x:v>46</x:v>
      </x:c>
    </x:row>
    <x:row r="1819" spans="1:16">
      <x:c r="A1819" s="0" t="s">
        <x:v>7108</x:v>
      </x:c>
      <x:c r="B1819" s="0" t="s">
        <x:v>7109</x:v>
      </x:c>
      <x:c r="C1819" s="0" t="s">
        <x:v>7110</x:v>
      </x:c>
      <x:c r="E1819" s="0" t="s">
        <x:v>7111</x:v>
      </x:c>
      <x:c r="F1819" s="0" t="s">
        <x:v>45</x:v>
      </x:c>
      <x:c r="G1819" s="0" t="s">
        <x:v>19</x:v>
      </x:c>
      <x:c r="H1819" s="0" t="s">
        <x:v>20</x:v>
      </x:c>
      <x:c r="I1819" s="0" t="s">
        <x:v>21</x:v>
      </x:c>
      <x:c r="K1819" s="0">
        <x:f>hyperlink("https://icd.who.int/dev11/l-ichi/en#/http%3A%2F%2Fid.who.int%2Ficd%2Fentity%2F264460604","browser")</x:f>
      </x:c>
      <x:c r="L1819" s="0">
        <x:f>hyperlink("https://icat2.azurewebsites.net/icat/?ontology=ICD&amp;tab=ClassesTab&amp;id=http%3A%2F%2Fwho.int%2Ficd%235788_512ebf36_bf6b_4d70_85da_cf2637062af4","iCat")</x:f>
      </x:c>
      <x:c r="M1819" s="0" t="s">
        <x:v>21</x:v>
      </x:c>
      <x:c r="N1819" s="0" t="s">
        <x:v>46</x:v>
      </x:c>
    </x:row>
    <x:row r="1820" spans="1:16">
      <x:c r="A1820" s="0" t="s">
        <x:v>7112</x:v>
      </x:c>
      <x:c r="B1820" s="0" t="s">
        <x:v>7113</x:v>
      </x:c>
      <x:c r="C1820" s="0" t="s">
        <x:v>7114</x:v>
      </x:c>
      <x:c r="E1820" s="0" t="s">
        <x:v>7115</x:v>
      </x:c>
      <x:c r="F1820" s="0" t="s">
        <x:v>45</x:v>
      </x:c>
      <x:c r="G1820" s="0" t="s">
        <x:v>19</x:v>
      </x:c>
      <x:c r="H1820" s="0" t="s">
        <x:v>20</x:v>
      </x:c>
      <x:c r="I1820" s="0" t="s">
        <x:v>21</x:v>
      </x:c>
      <x:c r="K1820" s="0">
        <x:f>hyperlink("https://icd.who.int/dev11/l-ichi/en#/http%3A%2F%2Fid.who.int%2Ficd%2Fentity%2F1527060147","browser")</x:f>
      </x:c>
      <x:c r="L1820" s="0">
        <x:f>hyperlink("https://icat2.azurewebsites.net/icat/?ontology=ICD&amp;tab=ClassesTab&amp;id=http%3A%2F%2Fwho.int%2Ficd%235797_512ebf36_bf6b_4d70_85da_cf2637062af4","iCat")</x:f>
      </x:c>
      <x:c r="M1820" s="0" t="s">
        <x:v>21</x:v>
      </x:c>
      <x:c r="N1820" s="0" t="s">
        <x:v>46</x:v>
      </x:c>
    </x:row>
    <x:row r="1821" spans="1:16">
      <x:c r="A1821" s="0" t="s">
        <x:v>7116</x:v>
      </x:c>
      <x:c r="B1821" s="0" t="s">
        <x:v>7117</x:v>
      </x:c>
      <x:c r="C1821" s="0" t="s">
        <x:v>7118</x:v>
      </x:c>
      <x:c r="E1821" s="0" t="s">
        <x:v>7119</x:v>
      </x:c>
      <x:c r="F1821" s="0" t="s">
        <x:v>45</x:v>
      </x:c>
      <x:c r="G1821" s="0" t="s">
        <x:v>19</x:v>
      </x:c>
      <x:c r="H1821" s="0" t="s">
        <x:v>20</x:v>
      </x:c>
      <x:c r="I1821" s="0" t="s">
        <x:v>21</x:v>
      </x:c>
      <x:c r="K1821" s="0">
        <x:f>hyperlink("https://icd.who.int/dev11/l-ichi/en#/http%3A%2F%2Fid.who.int%2Ficd%2Fentity%2F1414311540","browser")</x:f>
      </x:c>
      <x:c r="L1821" s="0">
        <x:f>hyperlink("https://icat2.azurewebsites.net/icat/?ontology=ICD&amp;tab=ClassesTab&amp;id=http%3A%2F%2Fwho.int%2Ficd%23106_bf15315e_f1c5_45f6_9637_651657d70d50","iCat")</x:f>
      </x:c>
      <x:c r="M1821" s="0" t="s">
        <x:v>21</x:v>
      </x:c>
      <x:c r="N1821" s="0" t="s">
        <x:v>46</x:v>
      </x:c>
    </x:row>
    <x:row r="1822" spans="1:16">
      <x:c r="A1822" s="0" t="s">
        <x:v>7120</x:v>
      </x:c>
      <x:c r="B1822" s="0" t="s">
        <x:v>7121</x:v>
      </x:c>
      <x:c r="C1822" s="0" t="s">
        <x:v>7122</x:v>
      </x:c>
      <x:c r="E1822" s="0" t="s">
        <x:v>7123</x:v>
      </x:c>
      <x:c r="F1822" s="0" t="s">
        <x:v>45</x:v>
      </x:c>
      <x:c r="G1822" s="0" t="s">
        <x:v>19</x:v>
      </x:c>
      <x:c r="H1822" s="0" t="s">
        <x:v>20</x:v>
      </x:c>
      <x:c r="I1822" s="0" t="s">
        <x:v>21</x:v>
      </x:c>
      <x:c r="K1822" s="0">
        <x:f>hyperlink("https://icd.who.int/dev11/l-ichi/en#/http%3A%2F%2Fid.who.int%2Ficd%2Fentity%2F70744005","browser")</x:f>
      </x:c>
      <x:c r="L1822" s="0">
        <x:f>hyperlink("https://icat2.azurewebsites.net/icat/?ontology=ICD&amp;tab=ClassesTab&amp;id=http%3A%2F%2Fwho.int%2Ficd%23100_bf15315e_f1c5_45f6_9637_651657d70d50","iCat")</x:f>
      </x:c>
      <x:c r="M1822" s="0" t="s">
        <x:v>21</x:v>
      </x:c>
      <x:c r="N1822" s="0" t="s">
        <x:v>46</x:v>
      </x:c>
    </x:row>
    <x:row r="1823" spans="1:16">
      <x:c r="A1823" s="0" t="s">
        <x:v>7124</x:v>
      </x:c>
      <x:c r="B1823" s="0" t="s">
        <x:v>7125</x:v>
      </x:c>
      <x:c r="C1823" s="0" t="s">
        <x:v>7126</x:v>
      </x:c>
      <x:c r="E1823" s="0" t="s">
        <x:v>7127</x:v>
      </x:c>
      <x:c r="F1823" s="0" t="s">
        <x:v>45</x:v>
      </x:c>
      <x:c r="G1823" s="0" t="s">
        <x:v>19</x:v>
      </x:c>
      <x:c r="H1823" s="0" t="s">
        <x:v>20</x:v>
      </x:c>
      <x:c r="I1823" s="0" t="s">
        <x:v>21</x:v>
      </x:c>
      <x:c r="K1823" s="0">
        <x:f>hyperlink("https://icd.who.int/dev11/l-ichi/en#/http%3A%2F%2Fid.who.int%2Ficd%2Fentity%2F1841008212","browser")</x:f>
      </x:c>
      <x:c r="L1823" s="0">
        <x:f>hyperlink("https://icat2.azurewebsites.net/icat/?ontology=ICD&amp;tab=ClassesTab&amp;id=http%3A%2F%2Fwho.int%2Ficd%235803_512ebf36_bf6b_4d70_85da_cf2637062af4","iCat")</x:f>
      </x:c>
      <x:c r="M1823" s="0" t="s">
        <x:v>21</x:v>
      </x:c>
      <x:c r="N1823" s="0" t="s">
        <x:v>46</x:v>
      </x:c>
    </x:row>
    <x:row r="1824" spans="1:16">
      <x:c r="A1824" s="0" t="s">
        <x:v>7128</x:v>
      </x:c>
      <x:c r="B1824" s="0" t="s">
        <x:v>7129</x:v>
      </x:c>
      <x:c r="C1824" s="0" t="s">
        <x:v>7130</x:v>
      </x:c>
      <x:c r="E1824" s="0" t="s">
        <x:v>7131</x:v>
      </x:c>
      <x:c r="F1824" s="0" t="s">
        <x:v>45</x:v>
      </x:c>
      <x:c r="G1824" s="0" t="s">
        <x:v>19</x:v>
      </x:c>
      <x:c r="H1824" s="0" t="s">
        <x:v>20</x:v>
      </x:c>
      <x:c r="I1824" s="0" t="s">
        <x:v>21</x:v>
      </x:c>
      <x:c r="K1824" s="0">
        <x:f>hyperlink("https://icd.who.int/dev11/l-ichi/en#/http%3A%2F%2Fid.who.int%2Ficd%2Fentity%2F663185721","browser")</x:f>
      </x:c>
      <x:c r="L1824" s="0">
        <x:f>hyperlink("https://icat2.azurewebsites.net/icat/?ontology=ICD&amp;tab=ClassesTab&amp;id=http%3A%2F%2Fwho.int%2Ficd%235812_512ebf36_bf6b_4d70_85da_cf2637062af4","iCat")</x:f>
      </x:c>
      <x:c r="M1824" s="0" t="s">
        <x:v>21</x:v>
      </x:c>
      <x:c r="N1824" s="0" t="s">
        <x:v>46</x:v>
      </x:c>
    </x:row>
    <x:row r="1825" spans="1:16">
      <x:c r="A1825" s="0" t="s">
        <x:v>7132</x:v>
      </x:c>
      <x:c r="B1825" s="0" t="s">
        <x:v>7133</x:v>
      </x:c>
      <x:c r="C1825" s="0" t="s">
        <x:v>7134</x:v>
      </x:c>
      <x:c r="E1825" s="0" t="s">
        <x:v>7135</x:v>
      </x:c>
      <x:c r="F1825" s="0" t="s">
        <x:v>45</x:v>
      </x:c>
      <x:c r="G1825" s="0" t="s">
        <x:v>19</x:v>
      </x:c>
      <x:c r="H1825" s="0" t="s">
        <x:v>20</x:v>
      </x:c>
      <x:c r="I1825" s="0" t="s">
        <x:v>21</x:v>
      </x:c>
      <x:c r="K1825" s="0">
        <x:f>hyperlink("https://icd.who.int/dev11/l-ichi/en#/http%3A%2F%2Fid.who.int%2Ficd%2Fentity%2F193920855","browser")</x:f>
      </x:c>
      <x:c r="L1825" s="0">
        <x:f>hyperlink("https://icat2.azurewebsites.net/icat/?ontology=ICD&amp;tab=ClassesTab&amp;id=http%3A%2F%2Fwho.int%2Ficd%23112_bf15315e_f1c5_45f6_9637_651657d70d50","iCat")</x:f>
      </x:c>
      <x:c r="M1825" s="0" t="s">
        <x:v>21</x:v>
      </x:c>
      <x:c r="N1825" s="0" t="s">
        <x:v>46</x:v>
      </x:c>
    </x:row>
    <x:row r="1826" spans="1:16">
      <x:c r="A1826" s="0" t="s">
        <x:v>7136</x:v>
      </x:c>
      <x:c r="B1826" s="0" t="s">
        <x:v>7137</x:v>
      </x:c>
      <x:c r="C1826" s="0" t="s">
        <x:v>7138</x:v>
      </x:c>
      <x:c r="E1826" s="0" t="s">
        <x:v>7139</x:v>
      </x:c>
      <x:c r="F1826" s="0" t="s">
        <x:v>45</x:v>
      </x:c>
      <x:c r="G1826" s="0" t="s">
        <x:v>19</x:v>
      </x:c>
      <x:c r="H1826" s="0" t="s">
        <x:v>20</x:v>
      </x:c>
      <x:c r="I1826" s="0" t="s">
        <x:v>21</x:v>
      </x:c>
      <x:c r="K1826" s="0">
        <x:f>hyperlink("https://icd.who.int/dev11/l-ichi/en#/http%3A%2F%2Fid.who.int%2Ficd%2Fentity%2F746813333","browser")</x:f>
      </x:c>
      <x:c r="L1826" s="0">
        <x:f>hyperlink("https://icat2.azurewebsites.net/icat/?ontology=ICD&amp;tab=ClassesTab&amp;id=http%3A%2F%2Fwho.int%2Ficd%235819_512ebf36_bf6b_4d70_85da_cf2637062af4","iCat")</x:f>
      </x:c>
      <x:c r="M1826" s="0" t="s">
        <x:v>21</x:v>
      </x:c>
      <x:c r="N1826" s="0" t="s">
        <x:v>46</x:v>
      </x:c>
    </x:row>
    <x:row r="1827" spans="1:16">
      <x:c r="A1827" s="0" t="s">
        <x:v>7140</x:v>
      </x:c>
      <x:c r="B1827" s="0" t="s">
        <x:v>7141</x:v>
      </x:c>
      <x:c r="C1827" s="0" t="s">
        <x:v>7142</x:v>
      </x:c>
      <x:c r="E1827" s="0" t="s">
        <x:v>7143</x:v>
      </x:c>
      <x:c r="F1827" s="0" t="s">
        <x:v>45</x:v>
      </x:c>
      <x:c r="G1827" s="0" t="s">
        <x:v>19</x:v>
      </x:c>
      <x:c r="H1827" s="0" t="s">
        <x:v>20</x:v>
      </x:c>
      <x:c r="I1827" s="0" t="s">
        <x:v>21</x:v>
      </x:c>
      <x:c r="K1827" s="0">
        <x:f>hyperlink("https://icd.who.int/dev11/l-ichi/en#/http%3A%2F%2Fid.who.int%2Ficd%2Fentity%2F1754243502","browser")</x:f>
      </x:c>
      <x:c r="L1827" s="0">
        <x:f>hyperlink("https://icat2.azurewebsites.net/icat/?ontology=ICD&amp;tab=ClassesTab&amp;id=http%3A%2F%2Fwho.int%2Ficd%235830_512ebf36_bf6b_4d70_85da_cf2637062af4","iCat")</x:f>
      </x:c>
      <x:c r="M1827" s="0" t="s">
        <x:v>21</x:v>
      </x:c>
      <x:c r="N1827" s="0" t="s">
        <x:v>46</x:v>
      </x:c>
    </x:row>
    <x:row r="1828" spans="1:16">
      <x:c r="A1828" s="0" t="s">
        <x:v>7144</x:v>
      </x:c>
      <x:c r="B1828" s="0" t="s">
        <x:v>7145</x:v>
      </x:c>
      <x:c r="C1828" s="0" t="s">
        <x:v>7146</x:v>
      </x:c>
      <x:c r="E1828" s="0" t="s">
        <x:v>7147</x:v>
      </x:c>
      <x:c r="F1828" s="0" t="s">
        <x:v>45</x:v>
      </x:c>
      <x:c r="G1828" s="0" t="s">
        <x:v>19</x:v>
      </x:c>
      <x:c r="H1828" s="0" t="s">
        <x:v>20</x:v>
      </x:c>
      <x:c r="I1828" s="0" t="s">
        <x:v>21</x:v>
      </x:c>
      <x:c r="K1828" s="0">
        <x:f>hyperlink("https://icd.who.int/dev11/l-ichi/en#/http%3A%2F%2Fid.who.int%2Ficd%2Fentity%2F2023800972","browser")</x:f>
      </x:c>
      <x:c r="L1828" s="0">
        <x:f>hyperlink("https://icat2.azurewebsites.net/icat/?ontology=ICD&amp;tab=ClassesTab&amp;id=http%3A%2F%2Fwho.int%2Ficd%235841_512ebf36_bf6b_4d70_85da_cf2637062af4","iCat")</x:f>
      </x:c>
      <x:c r="M1828" s="0" t="s">
        <x:v>21</x:v>
      </x:c>
      <x:c r="N1828" s="0" t="s">
        <x:v>46</x:v>
      </x:c>
    </x:row>
    <x:row r="1829" spans="1:16">
      <x:c r="A1829" s="0" t="s">
        <x:v>7148</x:v>
      </x:c>
      <x:c r="B1829" s="0" t="s">
        <x:v>7149</x:v>
      </x:c>
      <x:c r="C1829" s="0" t="s">
        <x:v>7150</x:v>
      </x:c>
      <x:c r="E1829" s="0" t="s">
        <x:v>7151</x:v>
      </x:c>
      <x:c r="F1829" s="0" t="s">
        <x:v>45</x:v>
      </x:c>
      <x:c r="G1829" s="0" t="s">
        <x:v>19</x:v>
      </x:c>
      <x:c r="H1829" s="0" t="s">
        <x:v>20</x:v>
      </x:c>
      <x:c r="I1829" s="0" t="s">
        <x:v>21</x:v>
      </x:c>
      <x:c r="K1829" s="0">
        <x:f>hyperlink("https://icd.who.int/dev11/l-ichi/en#/http%3A%2F%2Fid.who.int%2Ficd%2Fentity%2F1474312740","browser")</x:f>
      </x:c>
      <x:c r="L1829" s="0">
        <x:f>hyperlink("https://icat2.azurewebsites.net/icat/?ontology=ICD&amp;tab=ClassesTab&amp;id=http%3A%2F%2Fwho.int%2Ficd%235852_512ebf36_bf6b_4d70_85da_cf2637062af4","iCat")</x:f>
      </x:c>
      <x:c r="M1829" s="0" t="s">
        <x:v>21</x:v>
      </x:c>
      <x:c r="N1829" s="0" t="s">
        <x:v>46</x:v>
      </x:c>
    </x:row>
    <x:row r="1830" spans="1:16">
      <x:c r="A1830" s="0" t="s">
        <x:v>7152</x:v>
      </x:c>
      <x:c r="B1830" s="0" t="s">
        <x:v>7153</x:v>
      </x:c>
      <x:c r="D1830" s="0" t="s">
        <x:v>7154</x:v>
      </x:c>
      <x:c r="E1830" s="0" t="s">
        <x:v>7155</x:v>
      </x:c>
      <x:c r="F1830" s="0" t="s">
        <x:v>26</x:v>
      </x:c>
      <x:c r="G1830" s="0" t="s">
        <x:v>22</x:v>
      </x:c>
      <x:c r="H1830" s="0" t="s">
        <x:v>20</x:v>
      </x:c>
      <x:c r="I1830" s="0" t="s">
        <x:v>21</x:v>
      </x:c>
      <x:c r="K1830" s="0">
        <x:f>hyperlink("https://icd.who.int/dev11/l-ichi/en#/http%3A%2F%2Fid.who.int%2Ficd%2Fentity%2F1193976722","browser")</x:f>
      </x:c>
      <x:c r="L1830" s="0">
        <x:f>hyperlink("https://icat2.azurewebsites.net/icat/?ontology=ICD&amp;tab=ClassesTab&amp;id=http%3A%2F%2Fwho.int%2Ficd%235864_512ebf36_bf6b_4d70_85da_cf2637062af4","iCat")</x:f>
      </x:c>
      <x:c r="M1830" s="0" t="s">
        <x:v>20</x:v>
      </x:c>
      <x:c r="N1830" s="0" t="s">
        <x:v>40</x:v>
      </x:c>
    </x:row>
    <x:row r="1831" spans="1:16">
      <x:c r="A1831" s="0" t="s">
        <x:v>7156</x:v>
      </x:c>
      <x:c r="B1831" s="0" t="s">
        <x:v>7157</x:v>
      </x:c>
      <x:c r="C1831" s="0" t="s">
        <x:v>7158</x:v>
      </x:c>
      <x:c r="E1831" s="0" t="s">
        <x:v>7159</x:v>
      </x:c>
      <x:c r="F1831" s="0" t="s">
        <x:v>45</x:v>
      </x:c>
      <x:c r="G1831" s="0" t="s">
        <x:v>19</x:v>
      </x:c>
      <x:c r="H1831" s="0" t="s">
        <x:v>20</x:v>
      </x:c>
      <x:c r="I1831" s="0" t="s">
        <x:v>21</x:v>
      </x:c>
      <x:c r="K1831" s="0">
        <x:f>hyperlink("https://icd.who.int/dev11/l-ichi/en#/http%3A%2F%2Fid.who.int%2Ficd%2Fentity%2F933759007","browser")</x:f>
      </x:c>
      <x:c r="L1831" s="0">
        <x:f>hyperlink("https://icat2.azurewebsites.net/icat/?ontology=ICD&amp;tab=ClassesTab&amp;id=http%3A%2F%2Fwho.int%2Ficd%235863_512ebf36_bf6b_4d70_85da_cf2637062af4","iCat")</x:f>
      </x:c>
      <x:c r="M1831" s="0" t="s">
        <x:v>21</x:v>
      </x:c>
      <x:c r="N1831" s="0" t="s">
        <x:v>46</x:v>
      </x:c>
    </x:row>
    <x:row r="1832" spans="1:16">
      <x:c r="A1832" s="0" t="s">
        <x:v>7160</x:v>
      </x:c>
      <x:c r="B1832" s="0" t="s">
        <x:v>7161</x:v>
      </x:c>
      <x:c r="C1832" s="0" t="s">
        <x:v>7162</x:v>
      </x:c>
      <x:c r="E1832" s="0" t="s">
        <x:v>7163</x:v>
      </x:c>
      <x:c r="F1832" s="0" t="s">
        <x:v>45</x:v>
      </x:c>
      <x:c r="G1832" s="0" t="s">
        <x:v>19</x:v>
      </x:c>
      <x:c r="H1832" s="0" t="s">
        <x:v>20</x:v>
      </x:c>
      <x:c r="I1832" s="0" t="s">
        <x:v>21</x:v>
      </x:c>
      <x:c r="K1832" s="0">
        <x:f>hyperlink("https://icd.who.int/dev11/l-ichi/en#/http%3A%2F%2Fid.who.int%2Ficd%2Fentity%2F219563257","browser")</x:f>
      </x:c>
      <x:c r="L1832" s="0">
        <x:f>hyperlink("https://icat2.azurewebsites.net/icat/?ontology=ICD&amp;tab=ClassesTab&amp;id=http%3A%2F%2Fwho.int%2Ficd%235875_512ebf36_bf6b_4d70_85da_cf2637062af4","iCat")</x:f>
      </x:c>
      <x:c r="M1832" s="0" t="s">
        <x:v>21</x:v>
      </x:c>
      <x:c r="N1832" s="0" t="s">
        <x:v>46</x:v>
      </x:c>
    </x:row>
    <x:row r="1833" spans="1:16">
      <x:c r="A1833" s="0" t="s">
        <x:v>7164</x:v>
      </x:c>
      <x:c r="B1833" s="0" t="s">
        <x:v>7165</x:v>
      </x:c>
      <x:c r="C1833" s="0" t="s">
        <x:v>7166</x:v>
      </x:c>
      <x:c r="E1833" s="0" t="s">
        <x:v>7167</x:v>
      </x:c>
      <x:c r="F1833" s="0" t="s">
        <x:v>45</x:v>
      </x:c>
      <x:c r="G1833" s="0" t="s">
        <x:v>19</x:v>
      </x:c>
      <x:c r="H1833" s="0" t="s">
        <x:v>20</x:v>
      </x:c>
      <x:c r="I1833" s="0" t="s">
        <x:v>21</x:v>
      </x:c>
      <x:c r="K1833" s="0">
        <x:f>hyperlink("https://icd.who.int/dev11/l-ichi/en#/http%3A%2F%2Fid.who.int%2Ficd%2Fentity%2F1921701782","browser")</x:f>
      </x:c>
      <x:c r="L1833" s="0">
        <x:f>hyperlink("https://icat2.azurewebsites.net/icat/?ontology=ICD&amp;tab=ClassesTab&amp;id=http%3A%2F%2Fwho.int%2Ficd%235883_512ebf36_bf6b_4d70_85da_cf2637062af4","iCat")</x:f>
      </x:c>
      <x:c r="M1833" s="0" t="s">
        <x:v>21</x:v>
      </x:c>
      <x:c r="N1833" s="0" t="s">
        <x:v>46</x:v>
      </x:c>
    </x:row>
    <x:row r="1834" spans="1:16">
      <x:c r="A1834" s="0" t="s">
        <x:v>7168</x:v>
      </x:c>
      <x:c r="B1834" s="0" t="s">
        <x:v>7169</x:v>
      </x:c>
      <x:c r="C1834" s="0" t="s">
        <x:v>7170</x:v>
      </x:c>
      <x:c r="E1834" s="0" t="s">
        <x:v>7171</x:v>
      </x:c>
      <x:c r="F1834" s="0" t="s">
        <x:v>45</x:v>
      </x:c>
      <x:c r="G1834" s="0" t="s">
        <x:v>19</x:v>
      </x:c>
      <x:c r="H1834" s="0" t="s">
        <x:v>20</x:v>
      </x:c>
      <x:c r="I1834" s="0" t="s">
        <x:v>21</x:v>
      </x:c>
      <x:c r="K1834" s="0">
        <x:f>hyperlink("https://icd.who.int/dev11/l-ichi/en#/http%3A%2F%2Fid.who.int%2Ficd%2Fentity%2F1573530938","browser")</x:f>
      </x:c>
      <x:c r="L1834" s="0">
        <x:f>hyperlink("https://icat2.azurewebsites.net/icat/?ontology=ICD&amp;tab=ClassesTab&amp;id=http%3A%2F%2Fwho.int%2Ficd%235890_512ebf36_bf6b_4d70_85da_cf2637062af4","iCat")</x:f>
      </x:c>
      <x:c r="M1834" s="0" t="s">
        <x:v>21</x:v>
      </x:c>
      <x:c r="N1834" s="0" t="s">
        <x:v>46</x:v>
      </x:c>
    </x:row>
    <x:row r="1835" spans="1:16">
      <x:c r="A1835" s="0" t="s">
        <x:v>7172</x:v>
      </x:c>
      <x:c r="B1835" s="0" t="s">
        <x:v>7173</x:v>
      </x:c>
      <x:c r="C1835" s="0" t="s">
        <x:v>7174</x:v>
      </x:c>
      <x:c r="E1835" s="0" t="s">
        <x:v>7175</x:v>
      </x:c>
      <x:c r="F1835" s="0" t="s">
        <x:v>45</x:v>
      </x:c>
      <x:c r="G1835" s="0" t="s">
        <x:v>19</x:v>
      </x:c>
      <x:c r="H1835" s="0" t="s">
        <x:v>20</x:v>
      </x:c>
      <x:c r="I1835" s="0" t="s">
        <x:v>21</x:v>
      </x:c>
      <x:c r="K1835" s="0">
        <x:f>hyperlink("https://icd.who.int/dev11/l-ichi/en#/http%3A%2F%2Fid.who.int%2Ficd%2Fentity%2F759727797","browser")</x:f>
      </x:c>
      <x:c r="L1835" s="0">
        <x:f>hyperlink("https://icat2.azurewebsites.net/icat/?ontology=ICD&amp;tab=ClassesTab&amp;id=http%3A%2F%2Fwho.int%2Ficd%235897_512ebf36_bf6b_4d70_85da_cf2637062af4","iCat")</x:f>
      </x:c>
      <x:c r="M1835" s="0" t="s">
        <x:v>21</x:v>
      </x:c>
      <x:c r="N1835" s="0" t="s">
        <x:v>46</x:v>
      </x:c>
    </x:row>
    <x:row r="1836" spans="1:16">
      <x:c r="B1836" s="0" t="s">
        <x:v>7176</x:v>
      </x:c>
      <x:c r="C1836" s="0" t="s">
        <x:v>7177</x:v>
      </x:c>
      <x:c r="E1836" s="0" t="s">
        <x:v>7178</x:v>
      </x:c>
      <x:c r="F1836" s="0" t="s">
        <x:v>45</x:v>
      </x:c>
      <x:c r="G1836" s="0" t="s">
        <x:v>19</x:v>
      </x:c>
      <x:c r="H1836" s="0" t="s">
        <x:v>21</x:v>
      </x:c>
      <x:c r="I1836" s="0" t="s">
        <x:v>21</x:v>
      </x:c>
      <x:c r="K1836" s="0">
        <x:f>hyperlink("https://icd.who.int/dev11/l-ichi/en#/http%3A%2F%2Fid.who.int%2Ficd%2Fentity%2F1378394908%2Fichi%2Fother","browser")</x:f>
      </x:c>
      <x:c r="L1836" s="0">
        <x:f>hyperlink("","iCat")</x:f>
      </x:c>
      <x:c r="M1836" s="0" t="s">
        <x:v>21</x:v>
      </x:c>
      <x:c r="N1836" s="0" t="s">
        <x:v>46</x:v>
      </x:c>
    </x:row>
    <x:row r="1837" spans="1:16">
      <x:c r="B1837" s="0" t="s">
        <x:v>7179</x:v>
      </x:c>
      <x:c r="C1837" s="0" t="s">
        <x:v>7180</x:v>
      </x:c>
      <x:c r="E1837" s="0" t="s">
        <x:v>7181</x:v>
      </x:c>
      <x:c r="F1837" s="0" t="s">
        <x:v>45</x:v>
      </x:c>
      <x:c r="G1837" s="0" t="s">
        <x:v>19</x:v>
      </x:c>
      <x:c r="H1837" s="0" t="s">
        <x:v>21</x:v>
      </x:c>
      <x:c r="I1837" s="0" t="s">
        <x:v>21</x:v>
      </x:c>
      <x:c r="K1837" s="0">
        <x:f>hyperlink("https://icd.who.int/dev11/l-ichi/en#/http%3A%2F%2Fid.who.int%2Ficd%2Fentity%2F1378394908%2Fichi%2Funspecified","browser")</x:f>
      </x:c>
      <x:c r="L1837" s="0">
        <x:f>hyperlink("","iCat")</x:f>
      </x:c>
      <x:c r="M1837" s="0" t="s">
        <x:v>21</x:v>
      </x:c>
      <x:c r="N1837" s="0" t="s">
        <x:v>46</x:v>
      </x:c>
    </x:row>
    <x:row r="1838" spans="1:16">
      <x:c r="A1838" s="0" t="s">
        <x:v>7182</x:v>
      </x:c>
      <x:c r="B1838" s="0" t="s">
        <x:v>7183</x:v>
      </x:c>
      <x:c r="D1838" s="0" t="s">
        <x:v>7184</x:v>
      </x:c>
      <x:c r="E1838" s="0" t="s">
        <x:v>7185</x:v>
      </x:c>
      <x:c r="F1838" s="0" t="s">
        <x:v>26</x:v>
      </x:c>
      <x:c r="G1838" s="0" t="s">
        <x:v>35</x:v>
      </x:c>
      <x:c r="H1838" s="0" t="s">
        <x:v>20</x:v>
      </x:c>
      <x:c r="I1838" s="0" t="s">
        <x:v>21</x:v>
      </x:c>
      <x:c r="K1838" s="0">
        <x:f>hyperlink("https://icd.who.int/dev11/l-ichi/en#/http%3A%2F%2Fid.who.int%2Ficd%2Fentity%2F2045100852","browser")</x:f>
      </x:c>
      <x:c r="L1838" s="0">
        <x:f>hyperlink("https://icat2.azurewebsites.net/icat/?ontology=ICD&amp;tab=ClassesTab&amp;id=http%3A%2F%2Fwho.int%2Ficd%235918_512ebf36_bf6b_4d70_85da_cf2637062af4","iCat")</x:f>
      </x:c>
      <x:c r="M1838" s="0" t="s">
        <x:v>20</x:v>
      </x:c>
      <x:c r="N1838" s="0" t="s">
        <x:v>119</x:v>
      </x:c>
    </x:row>
    <x:row r="1839" spans="1:16">
      <x:c r="A1839" s="0" t="s">
        <x:v>7186</x:v>
      </x:c>
      <x:c r="B1839" s="0" t="s">
        <x:v>7187</x:v>
      </x:c>
      <x:c r="D1839" s="0" t="s">
        <x:v>7188</x:v>
      </x:c>
      <x:c r="E1839" s="0" t="s">
        <x:v>7189</x:v>
      </x:c>
      <x:c r="F1839" s="0" t="s">
        <x:v>26</x:v>
      </x:c>
      <x:c r="G1839" s="0" t="s">
        <x:v>22</x:v>
      </x:c>
      <x:c r="H1839" s="0" t="s">
        <x:v>20</x:v>
      </x:c>
      <x:c r="I1839" s="0" t="s">
        <x:v>21</x:v>
      </x:c>
      <x:c r="K1839" s="0">
        <x:f>hyperlink("https://icd.who.int/dev11/l-ichi/en#/http%3A%2F%2Fid.who.int%2Ficd%2Fentity%2F1121072658","browser")</x:f>
      </x:c>
      <x:c r="L1839" s="0">
        <x:f>hyperlink("https://icat2.azurewebsites.net/icat/?ontology=ICD&amp;tab=ClassesTab&amp;id=http%3A%2F%2Fwho.int%2Ficd%235924_512ebf36_bf6b_4d70_85da_cf2637062af4","iCat")</x:f>
      </x:c>
      <x:c r="M1839" s="0" t="s">
        <x:v>20</x:v>
      </x:c>
      <x:c r="N1839" s="0" t="s">
        <x:v>7190</x:v>
      </x:c>
    </x:row>
    <x:row r="1840" spans="1:16">
      <x:c r="A1840" s="0" t="s">
        <x:v>7191</x:v>
      </x:c>
      <x:c r="B1840" s="0" t="s">
        <x:v>7192</x:v>
      </x:c>
      <x:c r="C1840" s="0" t="s">
        <x:v>7193</x:v>
      </x:c>
      <x:c r="E1840" s="0" t="s">
        <x:v>7194</x:v>
      </x:c>
      <x:c r="F1840" s="0" t="s">
        <x:v>45</x:v>
      </x:c>
      <x:c r="G1840" s="0" t="s">
        <x:v>19</x:v>
      </x:c>
      <x:c r="H1840" s="0" t="s">
        <x:v>20</x:v>
      </x:c>
      <x:c r="I1840" s="0" t="s">
        <x:v>21</x:v>
      </x:c>
      <x:c r="K1840" s="0">
        <x:f>hyperlink("https://icd.who.int/dev11/l-ichi/en#/http%3A%2F%2Fid.who.int%2Ficd%2Fentity%2F1206262252","browser")</x:f>
      </x:c>
      <x:c r="L1840" s="0">
        <x:f>hyperlink("https://icat2.azurewebsites.net/icat/?ontology=ICD&amp;tab=ClassesTab&amp;id=http%3A%2F%2Fwho.int%2Ficd%235917_512ebf36_bf6b_4d70_85da_cf2637062af4","iCat")</x:f>
      </x:c>
      <x:c r="M1840" s="0" t="s">
        <x:v>21</x:v>
      </x:c>
      <x:c r="N1840" s="0" t="s">
        <x:v>46</x:v>
      </x:c>
    </x:row>
    <x:row r="1841" spans="1:16">
      <x:c r="A1841" s="0" t="s">
        <x:v>7195</x:v>
      </x:c>
      <x:c r="B1841" s="0" t="s">
        <x:v>7196</x:v>
      </x:c>
      <x:c r="C1841" s="0" t="s">
        <x:v>7197</x:v>
      </x:c>
      <x:c r="E1841" s="0" t="s">
        <x:v>7198</x:v>
      </x:c>
      <x:c r="F1841" s="0" t="s">
        <x:v>45</x:v>
      </x:c>
      <x:c r="G1841" s="0" t="s">
        <x:v>19</x:v>
      </x:c>
      <x:c r="H1841" s="0" t="s">
        <x:v>20</x:v>
      </x:c>
      <x:c r="I1841" s="0" t="s">
        <x:v>21</x:v>
      </x:c>
      <x:c r="K1841" s="0">
        <x:f>hyperlink("https://icd.who.int/dev11/l-ichi/en#/http%3A%2F%2Fid.who.int%2Ficd%2Fentity%2F149868921","browser")</x:f>
      </x:c>
      <x:c r="L1841" s="0">
        <x:f>hyperlink("https://icat2.azurewebsites.net/icat/?ontology=ICD&amp;tab=ClassesTab&amp;id=http%3A%2F%2Fwho.int%2Ficd%235935_512ebf36_bf6b_4d70_85da_cf2637062af4","iCat")</x:f>
      </x:c>
      <x:c r="M1841" s="0" t="s">
        <x:v>21</x:v>
      </x:c>
      <x:c r="N1841" s="0" t="s">
        <x:v>46</x:v>
      </x:c>
    </x:row>
    <x:row r="1842" spans="1:16">
      <x:c r="A1842" s="0" t="s">
        <x:v>7199</x:v>
      </x:c>
      <x:c r="B1842" s="0" t="s">
        <x:v>7200</x:v>
      </x:c>
      <x:c r="C1842" s="0" t="s">
        <x:v>7201</x:v>
      </x:c>
      <x:c r="E1842" s="0" t="s">
        <x:v>7202</x:v>
      </x:c>
      <x:c r="F1842" s="0" t="s">
        <x:v>45</x:v>
      </x:c>
      <x:c r="G1842" s="0" t="s">
        <x:v>19</x:v>
      </x:c>
      <x:c r="H1842" s="0" t="s">
        <x:v>20</x:v>
      </x:c>
      <x:c r="I1842" s="0" t="s">
        <x:v>21</x:v>
      </x:c>
      <x:c r="K1842" s="0">
        <x:f>hyperlink("https://icd.who.int/dev11/l-ichi/en#/http%3A%2F%2Fid.who.int%2Ficd%2Fentity%2F1220176366","browser")</x:f>
      </x:c>
      <x:c r="L1842" s="0">
        <x:f>hyperlink("https://icat2.azurewebsites.net/icat/?ontology=ICD&amp;tab=ClassesTab&amp;id=http%3A%2F%2Fwho.int%2Ficd%235942_512ebf36_bf6b_4d70_85da_cf2637062af4","iCat")</x:f>
      </x:c>
      <x:c r="M1842" s="0" t="s">
        <x:v>21</x:v>
      </x:c>
      <x:c r="N1842" s="0" t="s">
        <x:v>46</x:v>
      </x:c>
    </x:row>
    <x:row r="1843" spans="1:16">
      <x:c r="A1843" s="0" t="s">
        <x:v>7203</x:v>
      </x:c>
      <x:c r="B1843" s="0" t="s">
        <x:v>7204</x:v>
      </x:c>
      <x:c r="C1843" s="0" t="s">
        <x:v>7205</x:v>
      </x:c>
      <x:c r="E1843" s="0" t="s">
        <x:v>7206</x:v>
      </x:c>
      <x:c r="F1843" s="0" t="s">
        <x:v>45</x:v>
      </x:c>
      <x:c r="G1843" s="0" t="s">
        <x:v>19</x:v>
      </x:c>
      <x:c r="H1843" s="0" t="s">
        <x:v>20</x:v>
      </x:c>
      <x:c r="I1843" s="0" t="s">
        <x:v>21</x:v>
      </x:c>
      <x:c r="K1843" s="0">
        <x:f>hyperlink("https://icd.who.int/dev11/l-ichi/en#/http%3A%2F%2Fid.who.int%2Ficd%2Fentity%2F1665598846","browser")</x:f>
      </x:c>
      <x:c r="L1843" s="0">
        <x:f>hyperlink("https://icat2.azurewebsites.net/icat/?ontology=ICD&amp;tab=ClassesTab&amp;id=http%3A%2F%2Fwho.int%2Ficd%235948_512ebf36_bf6b_4d70_85da_cf2637062af4","iCat")</x:f>
      </x:c>
      <x:c r="M1843" s="0" t="s">
        <x:v>21</x:v>
      </x:c>
      <x:c r="N1843" s="0" t="s">
        <x:v>46</x:v>
      </x:c>
    </x:row>
    <x:row r="1844" spans="1:16">
      <x:c r="A1844" s="0" t="s">
        <x:v>7207</x:v>
      </x:c>
      <x:c r="B1844" s="0" t="s">
        <x:v>7208</x:v>
      </x:c>
      <x:c r="C1844" s="0" t="s">
        <x:v>7209</x:v>
      </x:c>
      <x:c r="E1844" s="0" t="s">
        <x:v>7210</x:v>
      </x:c>
      <x:c r="F1844" s="0" t="s">
        <x:v>45</x:v>
      </x:c>
      <x:c r="G1844" s="0" t="s">
        <x:v>19</x:v>
      </x:c>
      <x:c r="H1844" s="0" t="s">
        <x:v>20</x:v>
      </x:c>
      <x:c r="I1844" s="0" t="s">
        <x:v>21</x:v>
      </x:c>
      <x:c r="K1844" s="0">
        <x:f>hyperlink("https://icd.who.int/dev11/l-ichi/en#/http%3A%2F%2Fid.who.int%2Ficd%2Fentity%2F954846957","browser")</x:f>
      </x:c>
      <x:c r="L1844" s="0">
        <x:f>hyperlink("https://icat2.azurewebsites.net/icat/?ontology=ICD&amp;tab=ClassesTab&amp;id=http%3A%2F%2Fwho.int%2Ficd%232749_4869915e_217e_423d_acb3_33c0f920ef4b","iCat")</x:f>
      </x:c>
      <x:c r="M1844" s="0" t="s">
        <x:v>21</x:v>
      </x:c>
      <x:c r="N1844" s="0" t="s">
        <x:v>46</x:v>
      </x:c>
    </x:row>
    <x:row r="1845" spans="1:16">
      <x:c r="A1845" s="0" t="s">
        <x:v>7211</x:v>
      </x:c>
      <x:c r="B1845" s="0" t="s">
        <x:v>7212</x:v>
      </x:c>
      <x:c r="C1845" s="0" t="s">
        <x:v>7213</x:v>
      </x:c>
      <x:c r="E1845" s="0" t="s">
        <x:v>7214</x:v>
      </x:c>
      <x:c r="F1845" s="0" t="s">
        <x:v>45</x:v>
      </x:c>
      <x:c r="G1845" s="0" t="s">
        <x:v>19</x:v>
      </x:c>
      <x:c r="H1845" s="0" t="s">
        <x:v>20</x:v>
      </x:c>
      <x:c r="I1845" s="0" t="s">
        <x:v>21</x:v>
      </x:c>
      <x:c r="K1845" s="0">
        <x:f>hyperlink("https://icd.who.int/dev11/l-ichi/en#/http%3A%2F%2Fid.who.int%2Ficd%2Fentity%2F393754829","browser")</x:f>
      </x:c>
      <x:c r="L1845" s="0">
        <x:f>hyperlink("https://icat2.azurewebsites.net/icat/?ontology=ICD&amp;tab=ClassesTab&amp;id=http%3A%2F%2Fwho.int%2Ficd%235956_512ebf36_bf6b_4d70_85da_cf2637062af4","iCat")</x:f>
      </x:c>
      <x:c r="M1845" s="0" t="s">
        <x:v>21</x:v>
      </x:c>
      <x:c r="N1845" s="0" t="s">
        <x:v>46</x:v>
      </x:c>
    </x:row>
    <x:row r="1846" spans="1:16">
      <x:c r="A1846" s="0" t="s">
        <x:v>7215</x:v>
      </x:c>
      <x:c r="B1846" s="0" t="s">
        <x:v>7216</x:v>
      </x:c>
      <x:c r="C1846" s="0" t="s">
        <x:v>7217</x:v>
      </x:c>
      <x:c r="E1846" s="0" t="s">
        <x:v>7218</x:v>
      </x:c>
      <x:c r="F1846" s="0" t="s">
        <x:v>45</x:v>
      </x:c>
      <x:c r="G1846" s="0" t="s">
        <x:v>19</x:v>
      </x:c>
      <x:c r="H1846" s="0" t="s">
        <x:v>20</x:v>
      </x:c>
      <x:c r="I1846" s="0" t="s">
        <x:v>21</x:v>
      </x:c>
      <x:c r="K1846" s="0">
        <x:f>hyperlink("https://icd.who.int/dev11/l-ichi/en#/http%3A%2F%2Fid.who.int%2Ficd%2Fentity%2F1657715904","browser")</x:f>
      </x:c>
      <x:c r="L1846" s="0">
        <x:f>hyperlink("https://icat2.azurewebsites.net/icat/?ontology=ICD&amp;tab=ClassesTab&amp;id=http%3A%2F%2Fwho.int%2Ficd%235962_512ebf36_bf6b_4d70_85da_cf2637062af4","iCat")</x:f>
      </x:c>
      <x:c r="M1846" s="0" t="s">
        <x:v>21</x:v>
      </x:c>
      <x:c r="N1846" s="0" t="s">
        <x:v>46</x:v>
      </x:c>
    </x:row>
    <x:row r="1847" spans="1:16">
      <x:c r="A1847" s="0" t="s">
        <x:v>7219</x:v>
      </x:c>
      <x:c r="B1847" s="0" t="s">
        <x:v>7220</x:v>
      </x:c>
      <x:c r="C1847" s="0" t="s">
        <x:v>7221</x:v>
      </x:c>
      <x:c r="E1847" s="0" t="s">
        <x:v>7222</x:v>
      </x:c>
      <x:c r="F1847" s="0" t="s">
        <x:v>45</x:v>
      </x:c>
      <x:c r="G1847" s="0" t="s">
        <x:v>19</x:v>
      </x:c>
      <x:c r="H1847" s="0" t="s">
        <x:v>20</x:v>
      </x:c>
      <x:c r="I1847" s="0" t="s">
        <x:v>21</x:v>
      </x:c>
      <x:c r="K1847" s="0">
        <x:f>hyperlink("https://icd.who.int/dev11/l-ichi/en#/http%3A%2F%2Fid.who.int%2Ficd%2Fentity%2F1228132400","browser")</x:f>
      </x:c>
      <x:c r="L1847" s="0">
        <x:f>hyperlink("https://icat2.azurewebsites.net/icat/?ontology=ICD&amp;tab=ClassesTab&amp;id=http%3A%2F%2Fwho.int%2Ficd%235968_512ebf36_bf6b_4d70_85da_cf2637062af4","iCat")</x:f>
      </x:c>
      <x:c r="M1847" s="0" t="s">
        <x:v>21</x:v>
      </x:c>
      <x:c r="N1847" s="0" t="s">
        <x:v>46</x:v>
      </x:c>
    </x:row>
    <x:row r="1848" spans="1:16">
      <x:c r="A1848" s="0" t="s">
        <x:v>7223</x:v>
      </x:c>
      <x:c r="B1848" s="0" t="s">
        <x:v>7224</x:v>
      </x:c>
      <x:c r="C1848" s="0" t="s">
        <x:v>7225</x:v>
      </x:c>
      <x:c r="E1848" s="0" t="s">
        <x:v>7226</x:v>
      </x:c>
      <x:c r="F1848" s="0" t="s">
        <x:v>45</x:v>
      </x:c>
      <x:c r="G1848" s="0" t="s">
        <x:v>19</x:v>
      </x:c>
      <x:c r="H1848" s="0" t="s">
        <x:v>20</x:v>
      </x:c>
      <x:c r="I1848" s="0" t="s">
        <x:v>21</x:v>
      </x:c>
      <x:c r="K1848" s="0">
        <x:f>hyperlink("https://icd.who.int/dev11/l-ichi/en#/http%3A%2F%2Fid.who.int%2Ficd%2Fentity%2F2022277734","browser")</x:f>
      </x:c>
      <x:c r="L1848" s="0">
        <x:f>hyperlink("https://icat2.azurewebsites.net/icat/?ontology=ICD&amp;tab=ClassesTab&amp;id=http%3A%2F%2Fwho.int%2Ficd%235975_512ebf36_bf6b_4d70_85da_cf2637062af4","iCat")</x:f>
      </x:c>
      <x:c r="M1848" s="0" t="s">
        <x:v>21</x:v>
      </x:c>
      <x:c r="N1848" s="0" t="s">
        <x:v>46</x:v>
      </x:c>
    </x:row>
    <x:row r="1849" spans="1:16">
      <x:c r="A1849" s="0" t="s">
        <x:v>7227</x:v>
      </x:c>
      <x:c r="B1849" s="0" t="s">
        <x:v>7228</x:v>
      </x:c>
      <x:c r="C1849" s="0" t="s">
        <x:v>7229</x:v>
      </x:c>
      <x:c r="E1849" s="0" t="s">
        <x:v>7230</x:v>
      </x:c>
      <x:c r="F1849" s="0" t="s">
        <x:v>45</x:v>
      </x:c>
      <x:c r="G1849" s="0" t="s">
        <x:v>19</x:v>
      </x:c>
      <x:c r="H1849" s="0" t="s">
        <x:v>20</x:v>
      </x:c>
      <x:c r="I1849" s="0" t="s">
        <x:v>21</x:v>
      </x:c>
      <x:c r="K1849" s="0">
        <x:f>hyperlink("https://icd.who.int/dev11/l-ichi/en#/http%3A%2F%2Fid.who.int%2Ficd%2Fentity%2F669803319","browser")</x:f>
      </x:c>
      <x:c r="L1849" s="0">
        <x:f>hyperlink("https://icat2.azurewebsites.net/icat/?ontology=ICD&amp;tab=ClassesTab&amp;id=http%3A%2F%2Fwho.int%2Ficd%235982_512ebf36_bf6b_4d70_85da_cf2637062af4","iCat")</x:f>
      </x:c>
      <x:c r="M1849" s="0" t="s">
        <x:v>21</x:v>
      </x:c>
      <x:c r="N1849" s="0" t="s">
        <x:v>46</x:v>
      </x:c>
    </x:row>
    <x:row r="1850" spans="1:16">
      <x:c r="A1850" s="0" t="s">
        <x:v>7231</x:v>
      </x:c>
      <x:c r="B1850" s="0" t="s">
        <x:v>7232</x:v>
      </x:c>
      <x:c r="C1850" s="0" t="s">
        <x:v>7233</x:v>
      </x:c>
      <x:c r="E1850" s="0" t="s">
        <x:v>7234</x:v>
      </x:c>
      <x:c r="F1850" s="0" t="s">
        <x:v>45</x:v>
      </x:c>
      <x:c r="G1850" s="0" t="s">
        <x:v>19</x:v>
      </x:c>
      <x:c r="H1850" s="0" t="s">
        <x:v>20</x:v>
      </x:c>
      <x:c r="I1850" s="0" t="s">
        <x:v>21</x:v>
      </x:c>
      <x:c r="K1850" s="0">
        <x:f>hyperlink("https://icd.who.int/dev11/l-ichi/en#/http%3A%2F%2Fid.who.int%2Ficd%2Fentity%2F676719525","browser")</x:f>
      </x:c>
      <x:c r="L1850" s="0">
        <x:f>hyperlink("https://icat2.azurewebsites.net/icat/?ontology=ICD&amp;tab=ClassesTab&amp;id=http%3A%2F%2Fwho.int%2Ficd%235990_512ebf36_bf6b_4d70_85da_cf2637062af4","iCat")</x:f>
      </x:c>
      <x:c r="M1850" s="0" t="s">
        <x:v>21</x:v>
      </x:c>
      <x:c r="N1850" s="0" t="s">
        <x:v>46</x:v>
      </x:c>
    </x:row>
    <x:row r="1851" spans="1:16">
      <x:c r="A1851" s="0" t="s">
        <x:v>7235</x:v>
      </x:c>
      <x:c r="B1851" s="0" t="s">
        <x:v>7236</x:v>
      </x:c>
      <x:c r="C1851" s="0" t="s">
        <x:v>7237</x:v>
      </x:c>
      <x:c r="E1851" s="0" t="s">
        <x:v>7238</x:v>
      </x:c>
      <x:c r="F1851" s="0" t="s">
        <x:v>45</x:v>
      </x:c>
      <x:c r="G1851" s="0" t="s">
        <x:v>19</x:v>
      </x:c>
      <x:c r="H1851" s="0" t="s">
        <x:v>20</x:v>
      </x:c>
      <x:c r="I1851" s="0" t="s">
        <x:v>21</x:v>
      </x:c>
      <x:c r="K1851" s="0">
        <x:f>hyperlink("https://icd.who.int/dev11/l-ichi/en#/http%3A%2F%2Fid.who.int%2Ficd%2Fentity%2F2016293396","browser")</x:f>
      </x:c>
      <x:c r="L1851" s="0">
        <x:f>hyperlink("https://icat2.azurewebsites.net/icat/?ontology=ICD&amp;tab=ClassesTab&amp;id=http%3A%2F%2Fwho.int%2Ficd%235996_512ebf36_bf6b_4d70_85da_cf2637062af4","iCat")</x:f>
      </x:c>
      <x:c r="M1851" s="0" t="s">
        <x:v>21</x:v>
      </x:c>
      <x:c r="N1851" s="0" t="s">
        <x:v>46</x:v>
      </x:c>
    </x:row>
    <x:row r="1852" spans="1:16">
      <x:c r="A1852" s="0" t="s">
        <x:v>7239</x:v>
      </x:c>
      <x:c r="B1852" s="0" t="s">
        <x:v>7240</x:v>
      </x:c>
      <x:c r="C1852" s="0" t="s">
        <x:v>7241</x:v>
      </x:c>
      <x:c r="E1852" s="0" t="s">
        <x:v>7242</x:v>
      </x:c>
      <x:c r="F1852" s="0" t="s">
        <x:v>45</x:v>
      </x:c>
      <x:c r="G1852" s="0" t="s">
        <x:v>19</x:v>
      </x:c>
      <x:c r="H1852" s="0" t="s">
        <x:v>20</x:v>
      </x:c>
      <x:c r="I1852" s="0" t="s">
        <x:v>21</x:v>
      </x:c>
      <x:c r="K1852" s="0">
        <x:f>hyperlink("https://icd.who.int/dev11/l-ichi/en#/http%3A%2F%2Fid.who.int%2Ficd%2Fentity%2F1461119122","browser")</x:f>
      </x:c>
      <x:c r="L1852" s="0">
        <x:f>hyperlink("https://icat2.azurewebsites.net/icat/?ontology=ICD&amp;tab=ClassesTab&amp;id=http%3A%2F%2Fwho.int%2Ficd%236002_512ebf36_bf6b_4d70_85da_cf2637062af4","iCat")</x:f>
      </x:c>
      <x:c r="M1852" s="0" t="s">
        <x:v>21</x:v>
      </x:c>
      <x:c r="N1852" s="0" t="s">
        <x:v>46</x:v>
      </x:c>
    </x:row>
    <x:row r="1853" spans="1:16">
      <x:c r="A1853" s="0" t="s">
        <x:v>7243</x:v>
      </x:c>
      <x:c r="B1853" s="0" t="s">
        <x:v>7244</x:v>
      </x:c>
      <x:c r="C1853" s="0" t="s">
        <x:v>7245</x:v>
      </x:c>
      <x:c r="E1853" s="0" t="s">
        <x:v>7246</x:v>
      </x:c>
      <x:c r="F1853" s="0" t="s">
        <x:v>45</x:v>
      </x:c>
      <x:c r="G1853" s="0" t="s">
        <x:v>19</x:v>
      </x:c>
      <x:c r="H1853" s="0" t="s">
        <x:v>20</x:v>
      </x:c>
      <x:c r="I1853" s="0" t="s">
        <x:v>21</x:v>
      </x:c>
      <x:c r="K1853" s="0">
        <x:f>hyperlink("https://icd.who.int/dev11/l-ichi/en#/http%3A%2F%2Fid.who.int%2Ficd%2Fentity%2F1544746560","browser")</x:f>
      </x:c>
      <x:c r="L1853" s="0">
        <x:f>hyperlink("https://icat2.azurewebsites.net/icat/?ontology=ICD&amp;tab=ClassesTab&amp;id=http%3A%2F%2Fwho.int%2Ficd%236009_512ebf36_bf6b_4d70_85da_cf2637062af4","iCat")</x:f>
      </x:c>
      <x:c r="M1853" s="0" t="s">
        <x:v>21</x:v>
      </x:c>
      <x:c r="N1853" s="0" t="s">
        <x:v>46</x:v>
      </x:c>
    </x:row>
    <x:row r="1854" spans="1:16">
      <x:c r="A1854" s="0" t="s">
        <x:v>7247</x:v>
      </x:c>
      <x:c r="B1854" s="0" t="s">
        <x:v>7248</x:v>
      </x:c>
      <x:c r="C1854" s="0" t="s">
        <x:v>7249</x:v>
      </x:c>
      <x:c r="E1854" s="0" t="s">
        <x:v>7250</x:v>
      </x:c>
      <x:c r="F1854" s="0" t="s">
        <x:v>45</x:v>
      </x:c>
      <x:c r="G1854" s="0" t="s">
        <x:v>19</x:v>
      </x:c>
      <x:c r="H1854" s="0" t="s">
        <x:v>20</x:v>
      </x:c>
      <x:c r="I1854" s="0" t="s">
        <x:v>21</x:v>
      </x:c>
      <x:c r="K1854" s="0">
        <x:f>hyperlink("https://icd.who.int/dev11/l-ichi/en#/http%3A%2F%2Fid.who.int%2Ficd%2Fentity%2F1297208904","browser")</x:f>
      </x:c>
      <x:c r="L1854" s="0">
        <x:f>hyperlink("https://icat2.azurewebsites.net/icat/?ontology=ICD&amp;tab=ClassesTab&amp;id=http%3A%2F%2Fwho.int%2Ficd%236015_512ebf36_bf6b_4d70_85da_cf2637062af4","iCat")</x:f>
      </x:c>
      <x:c r="M1854" s="0" t="s">
        <x:v>21</x:v>
      </x:c>
      <x:c r="N1854" s="0" t="s">
        <x:v>46</x:v>
      </x:c>
    </x:row>
    <x:row r="1855" spans="1:16">
      <x:c r="A1855" s="0" t="s">
        <x:v>7251</x:v>
      </x:c>
      <x:c r="B1855" s="0" t="s">
        <x:v>7252</x:v>
      </x:c>
      <x:c r="C1855" s="0" t="s">
        <x:v>7253</x:v>
      </x:c>
      <x:c r="E1855" s="0" t="s">
        <x:v>7254</x:v>
      </x:c>
      <x:c r="F1855" s="0" t="s">
        <x:v>45</x:v>
      </x:c>
      <x:c r="G1855" s="0" t="s">
        <x:v>19</x:v>
      </x:c>
      <x:c r="H1855" s="0" t="s">
        <x:v>20</x:v>
      </x:c>
      <x:c r="I1855" s="0" t="s">
        <x:v>21</x:v>
      </x:c>
      <x:c r="K1855" s="0">
        <x:f>hyperlink("https://icd.who.int/dev11/l-ichi/en#/http%3A%2F%2Fid.who.int%2Ficd%2Fentity%2F954683963","browser")</x:f>
      </x:c>
      <x:c r="L1855" s="0">
        <x:f>hyperlink("https://icat2.azurewebsites.net/icat/?ontology=ICD&amp;tab=ClassesTab&amp;id=http%3A%2F%2Fwho.int%2Ficd%236021_512ebf36_bf6b_4d70_85da_cf2637062af4","iCat")</x:f>
      </x:c>
      <x:c r="M1855" s="0" t="s">
        <x:v>21</x:v>
      </x:c>
      <x:c r="N1855" s="0" t="s">
        <x:v>46</x:v>
      </x:c>
    </x:row>
    <x:row r="1856" spans="1:16">
      <x:c r="A1856" s="0" t="s">
        <x:v>7255</x:v>
      </x:c>
      <x:c r="B1856" s="0" t="s">
        <x:v>7256</x:v>
      </x:c>
      <x:c r="C1856" s="0" t="s">
        <x:v>7257</x:v>
      </x:c>
      <x:c r="E1856" s="0" t="s">
        <x:v>7258</x:v>
      </x:c>
      <x:c r="F1856" s="0" t="s">
        <x:v>45</x:v>
      </x:c>
      <x:c r="G1856" s="0" t="s">
        <x:v>19</x:v>
      </x:c>
      <x:c r="H1856" s="0" t="s">
        <x:v>20</x:v>
      </x:c>
      <x:c r="I1856" s="0" t="s">
        <x:v>21</x:v>
      </x:c>
      <x:c r="K1856" s="0">
        <x:f>hyperlink("https://icd.who.int/dev11/l-ichi/en#/http%3A%2F%2Fid.who.int%2Ficd%2Fentity%2F1453281620","browser")</x:f>
      </x:c>
      <x:c r="L1856" s="0">
        <x:f>hyperlink("https://icat2.azurewebsites.net/icat/?ontology=ICD&amp;tab=ClassesTab&amp;id=http%3A%2F%2Fwho.int%2Ficd%236028_512ebf36_bf6b_4d70_85da_cf2637062af4","iCat")</x:f>
      </x:c>
      <x:c r="M1856" s="0" t="s">
        <x:v>21</x:v>
      </x:c>
      <x:c r="N1856" s="0" t="s">
        <x:v>46</x:v>
      </x:c>
    </x:row>
    <x:row r="1857" spans="1:16">
      <x:c r="A1857" s="0" t="s">
        <x:v>7259</x:v>
      </x:c>
      <x:c r="B1857" s="0" t="s">
        <x:v>7260</x:v>
      </x:c>
      <x:c r="D1857" s="0" t="s">
        <x:v>7261</x:v>
      </x:c>
      <x:c r="E1857" s="0" t="s">
        <x:v>7262</x:v>
      </x:c>
      <x:c r="F1857" s="0" t="s">
        <x:v>26</x:v>
      </x:c>
      <x:c r="G1857" s="0" t="s">
        <x:v>22</x:v>
      </x:c>
      <x:c r="H1857" s="0" t="s">
        <x:v>20</x:v>
      </x:c>
      <x:c r="I1857" s="0" t="s">
        <x:v>21</x:v>
      </x:c>
      <x:c r="K1857" s="0">
        <x:f>hyperlink("https://icd.who.int/dev11/l-ichi/en#/http%3A%2F%2Fid.who.int%2Ficd%2Fentity%2F1730478874","browser")</x:f>
      </x:c>
      <x:c r="L1857" s="0">
        <x:f>hyperlink("https://icat2.azurewebsites.net/icat/?ontology=ICD&amp;tab=ClassesTab&amp;id=http%3A%2F%2Fwho.int%2Ficd%236035_512ebf36_bf6b_4d70_85da_cf2637062af4","iCat")</x:f>
      </x:c>
      <x:c r="M1857" s="0" t="s">
        <x:v>20</x:v>
      </x:c>
      <x:c r="N1857" s="0" t="s">
        <x:v>684</x:v>
      </x:c>
    </x:row>
    <x:row r="1858" spans="1:16">
      <x:c r="A1858" s="0" t="s">
        <x:v>7263</x:v>
      </x:c>
      <x:c r="B1858" s="0" t="s">
        <x:v>7264</x:v>
      </x:c>
      <x:c r="C1858" s="0" t="s">
        <x:v>7265</x:v>
      </x:c>
      <x:c r="E1858" s="0" t="s">
        <x:v>7266</x:v>
      </x:c>
      <x:c r="F1858" s="0" t="s">
        <x:v>45</x:v>
      </x:c>
      <x:c r="G1858" s="0" t="s">
        <x:v>19</x:v>
      </x:c>
      <x:c r="H1858" s="0" t="s">
        <x:v>20</x:v>
      </x:c>
      <x:c r="I1858" s="0" t="s">
        <x:v>21</x:v>
      </x:c>
      <x:c r="K1858" s="0">
        <x:f>hyperlink("https://icd.who.int/dev11/l-ichi/en#/http%3A%2F%2Fid.who.int%2Ficd%2Fentity%2F1205629220","browser")</x:f>
      </x:c>
      <x:c r="L1858" s="0">
        <x:f>hyperlink("https://icat2.azurewebsites.net/icat/?ontology=ICD&amp;tab=ClassesTab&amp;id=http%3A%2F%2Fwho.int%2Ficd%236034_512ebf36_bf6b_4d70_85da_cf2637062af4","iCat")</x:f>
      </x:c>
      <x:c r="M1858" s="0" t="s">
        <x:v>21</x:v>
      </x:c>
      <x:c r="N1858" s="0" t="s">
        <x:v>46</x:v>
      </x:c>
    </x:row>
    <x:row r="1859" spans="1:16">
      <x:c r="A1859" s="0" t="s">
        <x:v>7267</x:v>
      </x:c>
      <x:c r="B1859" s="0" t="s">
        <x:v>7268</x:v>
      </x:c>
      <x:c r="C1859" s="0" t="s">
        <x:v>7269</x:v>
      </x:c>
      <x:c r="E1859" s="0" t="s">
        <x:v>7270</x:v>
      </x:c>
      <x:c r="F1859" s="0" t="s">
        <x:v>45</x:v>
      </x:c>
      <x:c r="G1859" s="0" t="s">
        <x:v>19</x:v>
      </x:c>
      <x:c r="H1859" s="0" t="s">
        <x:v>20</x:v>
      </x:c>
      <x:c r="I1859" s="0" t="s">
        <x:v>21</x:v>
      </x:c>
      <x:c r="K1859" s="0">
        <x:f>hyperlink("https://icd.who.int/dev11/l-ichi/en#/http%3A%2F%2Fid.who.int%2Ficd%2Fentity%2F309755899","browser")</x:f>
      </x:c>
      <x:c r="L1859" s="0">
        <x:f>hyperlink("https://icat2.azurewebsites.net/icat/?ontology=ICD&amp;tab=ClassesTab&amp;id=http%3A%2F%2Fwho.int%2Ficd%236046_512ebf36_bf6b_4d70_85da_cf2637062af4","iCat")</x:f>
      </x:c>
      <x:c r="M1859" s="0" t="s">
        <x:v>21</x:v>
      </x:c>
      <x:c r="N1859" s="0" t="s">
        <x:v>46</x:v>
      </x:c>
    </x:row>
    <x:row r="1860" spans="1:16">
      <x:c r="A1860" s="0" t="s">
        <x:v>7271</x:v>
      </x:c>
      <x:c r="B1860" s="0" t="s">
        <x:v>7272</x:v>
      </x:c>
      <x:c r="C1860" s="0" t="s">
        <x:v>7273</x:v>
      </x:c>
      <x:c r="E1860" s="0" t="s">
        <x:v>7274</x:v>
      </x:c>
      <x:c r="F1860" s="0" t="s">
        <x:v>45</x:v>
      </x:c>
      <x:c r="G1860" s="0" t="s">
        <x:v>19</x:v>
      </x:c>
      <x:c r="H1860" s="0" t="s">
        <x:v>20</x:v>
      </x:c>
      <x:c r="I1860" s="0" t="s">
        <x:v>21</x:v>
      </x:c>
      <x:c r="K1860" s="0">
        <x:f>hyperlink("https://icd.who.int/dev11/l-ichi/en#/http%3A%2F%2Fid.who.int%2Ficd%2Fentity%2F1303654104","browser")</x:f>
      </x:c>
      <x:c r="L1860" s="0">
        <x:f>hyperlink("https://icat2.azurewebsites.net/icat/?ontology=ICD&amp;tab=ClassesTab&amp;id=http%3A%2F%2Fwho.int%2Ficd%236052_512ebf36_bf6b_4d70_85da_cf2637062af4","iCat")</x:f>
      </x:c>
      <x:c r="M1860" s="0" t="s">
        <x:v>21</x:v>
      </x:c>
      <x:c r="N1860" s="0" t="s">
        <x:v>46</x:v>
      </x:c>
    </x:row>
    <x:row r="1861" spans="1:16">
      <x:c r="A1861" s="0" t="s">
        <x:v>7275</x:v>
      </x:c>
      <x:c r="B1861" s="0" t="s">
        <x:v>7276</x:v>
      </x:c>
      <x:c r="C1861" s="0" t="s">
        <x:v>7277</x:v>
      </x:c>
      <x:c r="E1861" s="0" t="s">
        <x:v>7278</x:v>
      </x:c>
      <x:c r="F1861" s="0" t="s">
        <x:v>45</x:v>
      </x:c>
      <x:c r="G1861" s="0" t="s">
        <x:v>19</x:v>
      </x:c>
      <x:c r="H1861" s="0" t="s">
        <x:v>20</x:v>
      </x:c>
      <x:c r="I1861" s="0" t="s">
        <x:v>21</x:v>
      </x:c>
      <x:c r="K1861" s="0">
        <x:f>hyperlink("https://icd.who.int/dev11/l-ichi/en#/http%3A%2F%2Fid.who.int%2Ficd%2Fentity%2F1716077128","browser")</x:f>
      </x:c>
      <x:c r="L1861" s="0">
        <x:f>hyperlink("https://icat2.azurewebsites.net/icat/?ontology=ICD&amp;tab=ClassesTab&amp;id=http%3A%2F%2Fwho.int%2Ficd%236058_512ebf36_bf6b_4d70_85da_cf2637062af4","iCat")</x:f>
      </x:c>
      <x:c r="M1861" s="0" t="s">
        <x:v>21</x:v>
      </x:c>
      <x:c r="N1861" s="0" t="s">
        <x:v>46</x:v>
      </x:c>
    </x:row>
    <x:row r="1862" spans="1:16">
      <x:c r="A1862" s="0" t="s">
        <x:v>7279</x:v>
      </x:c>
      <x:c r="B1862" s="0" t="s">
        <x:v>7280</x:v>
      </x:c>
      <x:c r="C1862" s="0" t="s">
        <x:v>7281</x:v>
      </x:c>
      <x:c r="E1862" s="0" t="s">
        <x:v>7282</x:v>
      </x:c>
      <x:c r="F1862" s="0" t="s">
        <x:v>45</x:v>
      </x:c>
      <x:c r="G1862" s="0" t="s">
        <x:v>19</x:v>
      </x:c>
      <x:c r="H1862" s="0" t="s">
        <x:v>20</x:v>
      </x:c>
      <x:c r="I1862" s="0" t="s">
        <x:v>21</x:v>
      </x:c>
      <x:c r="K1862" s="0">
        <x:f>hyperlink("https://icd.who.int/dev11/l-ichi/en#/http%3A%2F%2Fid.who.int%2Ficd%2Fentity%2F1568585582","browser")</x:f>
      </x:c>
      <x:c r="L1862" s="0">
        <x:f>hyperlink("https://icat2.azurewebsites.net/icat/?ontology=ICD&amp;tab=ClassesTab&amp;id=http%3A%2F%2Fwho.int%2Ficd%236064_512ebf36_bf6b_4d70_85da_cf2637062af4","iCat")</x:f>
      </x:c>
      <x:c r="M1862" s="0" t="s">
        <x:v>21</x:v>
      </x:c>
      <x:c r="N1862" s="0" t="s">
        <x:v>46</x:v>
      </x:c>
    </x:row>
    <x:row r="1863" spans="1:16">
      <x:c r="A1863" s="0" t="s">
        <x:v>7283</x:v>
      </x:c>
      <x:c r="B1863" s="0" t="s">
        <x:v>7284</x:v>
      </x:c>
      <x:c r="C1863" s="0" t="s">
        <x:v>7285</x:v>
      </x:c>
      <x:c r="E1863" s="0" t="s">
        <x:v>7286</x:v>
      </x:c>
      <x:c r="F1863" s="0" t="s">
        <x:v>45</x:v>
      </x:c>
      <x:c r="G1863" s="0" t="s">
        <x:v>19</x:v>
      </x:c>
      <x:c r="H1863" s="0" t="s">
        <x:v>20</x:v>
      </x:c>
      <x:c r="I1863" s="0" t="s">
        <x:v>21</x:v>
      </x:c>
      <x:c r="K1863" s="0">
        <x:f>hyperlink("https://icd.who.int/dev11/l-ichi/en#/http%3A%2F%2Fid.who.int%2Ficd%2Fentity%2F45934157","browser")</x:f>
      </x:c>
      <x:c r="L1863" s="0">
        <x:f>hyperlink("https://icat2.azurewebsites.net/icat/?ontology=ICD&amp;tab=ClassesTab&amp;id=http%3A%2F%2Fwho.int%2Ficd%236070_512ebf36_bf6b_4d70_85da_cf2637062af4","iCat")</x:f>
      </x:c>
      <x:c r="M1863" s="0" t="s">
        <x:v>21</x:v>
      </x:c>
      <x:c r="N1863" s="0" t="s">
        <x:v>46</x:v>
      </x:c>
    </x:row>
    <x:row r="1864" spans="1:16">
      <x:c r="A1864" s="0" t="s">
        <x:v>7287</x:v>
      </x:c>
      <x:c r="B1864" s="0" t="s">
        <x:v>7288</x:v>
      </x:c>
      <x:c r="C1864" s="0" t="s">
        <x:v>7289</x:v>
      </x:c>
      <x:c r="E1864" s="0" t="s">
        <x:v>7290</x:v>
      </x:c>
      <x:c r="F1864" s="0" t="s">
        <x:v>45</x:v>
      </x:c>
      <x:c r="G1864" s="0" t="s">
        <x:v>19</x:v>
      </x:c>
      <x:c r="H1864" s="0" t="s">
        <x:v>20</x:v>
      </x:c>
      <x:c r="I1864" s="0" t="s">
        <x:v>21</x:v>
      </x:c>
      <x:c r="K1864" s="0">
        <x:f>hyperlink("https://icd.who.int/dev11/l-ichi/en#/http%3A%2F%2Fid.who.int%2Ficd%2Fentity%2F1388789756","browser")</x:f>
      </x:c>
      <x:c r="L1864" s="0">
        <x:f>hyperlink("https://icat2.azurewebsites.net/icat/?ontology=ICD&amp;tab=ClassesTab&amp;id=http%3A%2F%2Fwho.int%2Ficd%236076_512ebf36_bf6b_4d70_85da_cf2637062af4","iCat")</x:f>
      </x:c>
      <x:c r="M1864" s="0" t="s">
        <x:v>21</x:v>
      </x:c>
      <x:c r="N1864" s="0" t="s">
        <x:v>46</x:v>
      </x:c>
    </x:row>
    <x:row r="1865" spans="1:16">
      <x:c r="A1865" s="0" t="s">
        <x:v>7291</x:v>
      </x:c>
      <x:c r="B1865" s="0" t="s">
        <x:v>7292</x:v>
      </x:c>
      <x:c r="C1865" s="0" t="s">
        <x:v>7293</x:v>
      </x:c>
      <x:c r="E1865" s="0" t="s">
        <x:v>7294</x:v>
      </x:c>
      <x:c r="F1865" s="0" t="s">
        <x:v>45</x:v>
      </x:c>
      <x:c r="G1865" s="0" t="s">
        <x:v>19</x:v>
      </x:c>
      <x:c r="H1865" s="0" t="s">
        <x:v>20</x:v>
      </x:c>
      <x:c r="I1865" s="0" t="s">
        <x:v>21</x:v>
      </x:c>
      <x:c r="K1865" s="0">
        <x:f>hyperlink("https://icd.who.int/dev11/l-ichi/en#/http%3A%2F%2Fid.who.int%2Ficd%2Fentity%2F1210560856","browser")</x:f>
      </x:c>
      <x:c r="L1865" s="0">
        <x:f>hyperlink("https://icat2.azurewebsites.net/icat/?ontology=ICD&amp;tab=ClassesTab&amp;id=http%3A%2F%2Fwho.int%2Ficd%236082_512ebf36_bf6b_4d70_85da_cf2637062af4","iCat")</x:f>
      </x:c>
      <x:c r="M1865" s="0" t="s">
        <x:v>21</x:v>
      </x:c>
      <x:c r="N1865" s="0" t="s">
        <x:v>46</x:v>
      </x:c>
    </x:row>
    <x:row r="1866" spans="1:16">
      <x:c r="A1866" s="0" t="s">
        <x:v>7295</x:v>
      </x:c>
      <x:c r="B1866" s="0" t="s">
        <x:v>7296</x:v>
      </x:c>
      <x:c r="C1866" s="0" t="s">
        <x:v>7297</x:v>
      </x:c>
      <x:c r="E1866" s="0" t="s">
        <x:v>7298</x:v>
      </x:c>
      <x:c r="F1866" s="0" t="s">
        <x:v>45</x:v>
      </x:c>
      <x:c r="G1866" s="0" t="s">
        <x:v>19</x:v>
      </x:c>
      <x:c r="H1866" s="0" t="s">
        <x:v>20</x:v>
      </x:c>
      <x:c r="I1866" s="0" t="s">
        <x:v>21</x:v>
      </x:c>
      <x:c r="K1866" s="0">
        <x:f>hyperlink("https://icd.who.int/dev11/l-ichi/en#/http%3A%2F%2Fid.who.int%2Ficd%2Fentity%2F1675288008","browser")</x:f>
      </x:c>
      <x:c r="L1866" s="0">
        <x:f>hyperlink("https://icat2.azurewebsites.net/icat/?ontology=ICD&amp;tab=ClassesTab&amp;id=http%3A%2F%2Fwho.int%2Ficd%236088_512ebf36_bf6b_4d70_85da_cf2637062af4","iCat")</x:f>
      </x:c>
      <x:c r="M1866" s="0" t="s">
        <x:v>21</x:v>
      </x:c>
      <x:c r="N1866" s="0" t="s">
        <x:v>46</x:v>
      </x:c>
    </x:row>
    <x:row r="1867" spans="1:16">
      <x:c r="A1867" s="0" t="s">
        <x:v>7299</x:v>
      </x:c>
      <x:c r="B1867" s="0" t="s">
        <x:v>7300</x:v>
      </x:c>
      <x:c r="C1867" s="0" t="s">
        <x:v>7301</x:v>
      </x:c>
      <x:c r="E1867" s="0" t="s">
        <x:v>7302</x:v>
      </x:c>
      <x:c r="F1867" s="0" t="s">
        <x:v>45</x:v>
      </x:c>
      <x:c r="G1867" s="0" t="s">
        <x:v>19</x:v>
      </x:c>
      <x:c r="H1867" s="0" t="s">
        <x:v>20</x:v>
      </x:c>
      <x:c r="I1867" s="0" t="s">
        <x:v>21</x:v>
      </x:c>
      <x:c r="K1867" s="0">
        <x:f>hyperlink("https://icd.who.int/dev11/l-ichi/en#/http%3A%2F%2Fid.who.int%2Ficd%2Fentity%2F1922694576","browser")</x:f>
      </x:c>
      <x:c r="L1867" s="0">
        <x:f>hyperlink("https://icat2.azurewebsites.net/icat/?ontology=ICD&amp;tab=ClassesTab&amp;id=http%3A%2F%2Fwho.int%2Ficd%236094_512ebf36_bf6b_4d70_85da_cf2637062af4","iCat")</x:f>
      </x:c>
      <x:c r="M1867" s="0" t="s">
        <x:v>21</x:v>
      </x:c>
      <x:c r="N1867" s="0" t="s">
        <x:v>46</x:v>
      </x:c>
    </x:row>
    <x:row r="1868" spans="1:16">
      <x:c r="A1868" s="0" t="s">
        <x:v>7303</x:v>
      </x:c>
      <x:c r="B1868" s="0" t="s">
        <x:v>7304</x:v>
      </x:c>
      <x:c r="C1868" s="0" t="s">
        <x:v>7305</x:v>
      </x:c>
      <x:c r="E1868" s="0" t="s">
        <x:v>7306</x:v>
      </x:c>
      <x:c r="F1868" s="0" t="s">
        <x:v>45</x:v>
      </x:c>
      <x:c r="G1868" s="0" t="s">
        <x:v>19</x:v>
      </x:c>
      <x:c r="H1868" s="0" t="s">
        <x:v>20</x:v>
      </x:c>
      <x:c r="I1868" s="0" t="s">
        <x:v>21</x:v>
      </x:c>
      <x:c r="K1868" s="0">
        <x:f>hyperlink("https://icd.who.int/dev11/l-ichi/en#/http%3A%2F%2Fid.who.int%2Ficd%2Fentity%2F1207251914","browser")</x:f>
      </x:c>
      <x:c r="L1868" s="0">
        <x:f>hyperlink("https://icat2.azurewebsites.net/icat/?ontology=ICD&amp;tab=ClassesTab&amp;id=http%3A%2F%2Fwho.int%2Ficd%236100_512ebf36_bf6b_4d70_85da_cf2637062af4","iCat")</x:f>
      </x:c>
      <x:c r="M1868" s="0" t="s">
        <x:v>21</x:v>
      </x:c>
      <x:c r="N1868" s="0" t="s">
        <x:v>46</x:v>
      </x:c>
    </x:row>
    <x:row r="1869" spans="1:16">
      <x:c r="A1869" s="0" t="s">
        <x:v>7307</x:v>
      </x:c>
      <x:c r="B1869" s="0" t="s">
        <x:v>7308</x:v>
      </x:c>
      <x:c r="C1869" s="0" t="s">
        <x:v>7309</x:v>
      </x:c>
      <x:c r="E1869" s="0" t="s">
        <x:v>7310</x:v>
      </x:c>
      <x:c r="F1869" s="0" t="s">
        <x:v>45</x:v>
      </x:c>
      <x:c r="G1869" s="0" t="s">
        <x:v>19</x:v>
      </x:c>
      <x:c r="H1869" s="0" t="s">
        <x:v>20</x:v>
      </x:c>
      <x:c r="I1869" s="0" t="s">
        <x:v>21</x:v>
      </x:c>
      <x:c r="K1869" s="0">
        <x:f>hyperlink("https://icd.who.int/dev11/l-ichi/en#/http%3A%2F%2Fid.who.int%2Ficd%2Fentity%2F930584647","browser")</x:f>
      </x:c>
      <x:c r="L1869" s="0">
        <x:f>hyperlink("https://icat2.azurewebsites.net/icat/?ontology=ICD&amp;tab=ClassesTab&amp;id=http%3A%2F%2Fwho.int%2Ficd%236107_512ebf36_bf6b_4d70_85da_cf2637062af4","iCat")</x:f>
      </x:c>
      <x:c r="M1869" s="0" t="s">
        <x:v>21</x:v>
      </x:c>
      <x:c r="N1869" s="0" t="s">
        <x:v>46</x:v>
      </x:c>
    </x:row>
    <x:row r="1870" spans="1:16">
      <x:c r="A1870" s="0" t="s">
        <x:v>7311</x:v>
      </x:c>
      <x:c r="B1870" s="0" t="s">
        <x:v>7312</x:v>
      </x:c>
      <x:c r="C1870" s="0" t="s">
        <x:v>7313</x:v>
      </x:c>
      <x:c r="E1870" s="0" t="s">
        <x:v>7314</x:v>
      </x:c>
      <x:c r="F1870" s="0" t="s">
        <x:v>45</x:v>
      </x:c>
      <x:c r="G1870" s="0" t="s">
        <x:v>19</x:v>
      </x:c>
      <x:c r="H1870" s="0" t="s">
        <x:v>20</x:v>
      </x:c>
      <x:c r="I1870" s="0" t="s">
        <x:v>21</x:v>
      </x:c>
      <x:c r="K1870" s="0">
        <x:f>hyperlink("https://icd.who.int/dev11/l-ichi/en#/http%3A%2F%2Fid.who.int%2Ficd%2Fentity%2F406282985","browser")</x:f>
      </x:c>
      <x:c r="L1870" s="0">
        <x:f>hyperlink("https://icat2.azurewebsites.net/icat/?ontology=ICD&amp;tab=ClassesTab&amp;id=http%3A%2F%2Fwho.int%2Ficd%236114_512ebf36_bf6b_4d70_85da_cf2637062af4","iCat")</x:f>
      </x:c>
      <x:c r="M1870" s="0" t="s">
        <x:v>21</x:v>
      </x:c>
      <x:c r="N1870" s="0" t="s">
        <x:v>46</x:v>
      </x:c>
    </x:row>
    <x:row r="1871" spans="1:16">
      <x:c r="A1871" s="0" t="s">
        <x:v>7315</x:v>
      </x:c>
      <x:c r="B1871" s="0" t="s">
        <x:v>7316</x:v>
      </x:c>
      <x:c r="D1871" s="0" t="s">
        <x:v>7317</x:v>
      </x:c>
      <x:c r="E1871" s="0" t="s">
        <x:v>7318</x:v>
      </x:c>
      <x:c r="F1871" s="0" t="s">
        <x:v>26</x:v>
      </x:c>
      <x:c r="G1871" s="0" t="s">
        <x:v>22</x:v>
      </x:c>
      <x:c r="H1871" s="0" t="s">
        <x:v>20</x:v>
      </x:c>
      <x:c r="I1871" s="0" t="s">
        <x:v>21</x:v>
      </x:c>
      <x:c r="K1871" s="0">
        <x:f>hyperlink("https://icd.who.int/dev11/l-ichi/en#/http%3A%2F%2Fid.who.int%2Ficd%2Fentity%2F1299748006","browser")</x:f>
      </x:c>
      <x:c r="L1871" s="0">
        <x:f>hyperlink("https://icat2.azurewebsites.net/icat/?ontology=ICD&amp;tab=ClassesTab&amp;id=http%3A%2F%2Fwho.int%2Ficd%236121_512ebf36_bf6b_4d70_85da_cf2637062af4","iCat")</x:f>
      </x:c>
      <x:c r="M1871" s="0" t="s">
        <x:v>20</x:v>
      </x:c>
      <x:c r="N1871" s="0" t="s">
        <x:v>7319</x:v>
      </x:c>
    </x:row>
    <x:row r="1872" spans="1:16">
      <x:c r="A1872" s="0" t="s">
        <x:v>7320</x:v>
      </x:c>
      <x:c r="B1872" s="0" t="s">
        <x:v>7321</x:v>
      </x:c>
      <x:c r="C1872" s="0" t="s">
        <x:v>7322</x:v>
      </x:c>
      <x:c r="E1872" s="0" t="s">
        <x:v>7323</x:v>
      </x:c>
      <x:c r="F1872" s="0" t="s">
        <x:v>45</x:v>
      </x:c>
      <x:c r="G1872" s="0" t="s">
        <x:v>19</x:v>
      </x:c>
      <x:c r="H1872" s="0" t="s">
        <x:v>20</x:v>
      </x:c>
      <x:c r="I1872" s="0" t="s">
        <x:v>21</x:v>
      </x:c>
      <x:c r="K1872" s="0">
        <x:f>hyperlink("https://icd.who.int/dev11/l-ichi/en#/http%3A%2F%2Fid.who.int%2Ficd%2Fentity%2F1837229724","browser")</x:f>
      </x:c>
      <x:c r="L1872" s="0">
        <x:f>hyperlink("https://icat2.azurewebsites.net/icat/?ontology=ICD&amp;tab=ClassesTab&amp;id=http%3A%2F%2Fwho.int%2Ficd%236120_512ebf36_bf6b_4d70_85da_cf2637062af4","iCat")</x:f>
      </x:c>
      <x:c r="M1872" s="0" t="s">
        <x:v>21</x:v>
      </x:c>
      <x:c r="N1872" s="0" t="s">
        <x:v>46</x:v>
      </x:c>
    </x:row>
    <x:row r="1873" spans="1:16">
      <x:c r="A1873" s="0" t="s">
        <x:v>7324</x:v>
      </x:c>
      <x:c r="B1873" s="0" t="s">
        <x:v>7325</x:v>
      </x:c>
      <x:c r="C1873" s="0" t="s">
        <x:v>7326</x:v>
      </x:c>
      <x:c r="E1873" s="0" t="s">
        <x:v>7327</x:v>
      </x:c>
      <x:c r="F1873" s="0" t="s">
        <x:v>45</x:v>
      </x:c>
      <x:c r="G1873" s="0" t="s">
        <x:v>19</x:v>
      </x:c>
      <x:c r="H1873" s="0" t="s">
        <x:v>20</x:v>
      </x:c>
      <x:c r="I1873" s="0" t="s">
        <x:v>21</x:v>
      </x:c>
      <x:c r="K1873" s="0">
        <x:f>hyperlink("https://icd.who.int/dev11/l-ichi/en#/http%3A%2F%2Fid.who.int%2Ficd%2Fentity%2F1647865354","browser")</x:f>
      </x:c>
      <x:c r="L1873" s="0">
        <x:f>hyperlink("https://icat2.azurewebsites.net/icat/?ontology=ICD&amp;tab=ClassesTab&amp;id=http%3A%2F%2Fwho.int%2Ficd%236132_512ebf36_bf6b_4d70_85da_cf2637062af4","iCat")</x:f>
      </x:c>
      <x:c r="M1873" s="0" t="s">
        <x:v>21</x:v>
      </x:c>
      <x:c r="N1873" s="0" t="s">
        <x:v>46</x:v>
      </x:c>
    </x:row>
    <x:row r="1874" spans="1:16">
      <x:c r="A1874" s="0" t="s">
        <x:v>7328</x:v>
      </x:c>
      <x:c r="B1874" s="0" t="s">
        <x:v>7329</x:v>
      </x:c>
      <x:c r="C1874" s="0" t="s">
        <x:v>7330</x:v>
      </x:c>
      <x:c r="E1874" s="0" t="s">
        <x:v>7331</x:v>
      </x:c>
      <x:c r="F1874" s="0" t="s">
        <x:v>45</x:v>
      </x:c>
      <x:c r="G1874" s="0" t="s">
        <x:v>19</x:v>
      </x:c>
      <x:c r="H1874" s="0" t="s">
        <x:v>20</x:v>
      </x:c>
      <x:c r="I1874" s="0" t="s">
        <x:v>21</x:v>
      </x:c>
      <x:c r="K1874" s="0">
        <x:f>hyperlink("https://icd.who.int/dev11/l-ichi/en#/http%3A%2F%2Fid.who.int%2Ficd%2Fentity%2F1237648026","browser")</x:f>
      </x:c>
      <x:c r="L1874" s="0">
        <x:f>hyperlink("https://icat2.azurewebsites.net/icat/?ontology=ICD&amp;tab=ClassesTab&amp;id=http%3A%2F%2Fwho.int%2Ficd%236138_512ebf36_bf6b_4d70_85da_cf2637062af4","iCat")</x:f>
      </x:c>
      <x:c r="M1874" s="0" t="s">
        <x:v>21</x:v>
      </x:c>
      <x:c r="N1874" s="0" t="s">
        <x:v>46</x:v>
      </x:c>
    </x:row>
    <x:row r="1875" spans="1:16">
      <x:c r="A1875" s="0" t="s">
        <x:v>7332</x:v>
      </x:c>
      <x:c r="B1875" s="0" t="s">
        <x:v>7333</x:v>
      </x:c>
      <x:c r="C1875" s="0" t="s">
        <x:v>7334</x:v>
      </x:c>
      <x:c r="E1875" s="0" t="s">
        <x:v>7335</x:v>
      </x:c>
      <x:c r="F1875" s="0" t="s">
        <x:v>45</x:v>
      </x:c>
      <x:c r="G1875" s="0" t="s">
        <x:v>19</x:v>
      </x:c>
      <x:c r="H1875" s="0" t="s">
        <x:v>20</x:v>
      </x:c>
      <x:c r="I1875" s="0" t="s">
        <x:v>21</x:v>
      </x:c>
      <x:c r="K1875" s="0">
        <x:f>hyperlink("https://icd.who.int/dev11/l-ichi/en#/http%3A%2F%2Fid.who.int%2Ficd%2Fentity%2F43361443","browser")</x:f>
      </x:c>
      <x:c r="L1875" s="0">
        <x:f>hyperlink("https://icat2.azurewebsites.net/icat/?ontology=ICD&amp;tab=ClassesTab&amp;id=http%3A%2F%2Fwho.int%2Ficd%236144_512ebf36_bf6b_4d70_85da_cf2637062af4","iCat")</x:f>
      </x:c>
      <x:c r="M1875" s="0" t="s">
        <x:v>21</x:v>
      </x:c>
      <x:c r="N1875" s="0" t="s">
        <x:v>46</x:v>
      </x:c>
    </x:row>
    <x:row r="1876" spans="1:16">
      <x:c r="A1876" s="0" t="s">
        <x:v>7336</x:v>
      </x:c>
      <x:c r="B1876" s="0" t="s">
        <x:v>7337</x:v>
      </x:c>
      <x:c r="C1876" s="0" t="s">
        <x:v>7338</x:v>
      </x:c>
      <x:c r="E1876" s="0" t="s">
        <x:v>7339</x:v>
      </x:c>
      <x:c r="F1876" s="0" t="s">
        <x:v>45</x:v>
      </x:c>
      <x:c r="G1876" s="0" t="s">
        <x:v>19</x:v>
      </x:c>
      <x:c r="H1876" s="0" t="s">
        <x:v>20</x:v>
      </x:c>
      <x:c r="I1876" s="0" t="s">
        <x:v>21</x:v>
      </x:c>
      <x:c r="K1876" s="0">
        <x:f>hyperlink("https://icd.who.int/dev11/l-ichi/en#/http%3A%2F%2Fid.who.int%2Ficd%2Fentity%2F670248995","browser")</x:f>
      </x:c>
      <x:c r="L1876" s="0">
        <x:f>hyperlink("https://icat2.azurewebsites.net/icat/?ontology=ICD&amp;tab=ClassesTab&amp;id=http%3A%2F%2Fwho.int%2Ficd%2315432_4869915e_217e_423d_acb3_33c0f920ef4b","iCat")</x:f>
      </x:c>
      <x:c r="M1876" s="0" t="s">
        <x:v>21</x:v>
      </x:c>
      <x:c r="N1876" s="0" t="s">
        <x:v>46</x:v>
      </x:c>
    </x:row>
    <x:row r="1877" spans="1:16">
      <x:c r="A1877" s="0" t="s">
        <x:v>7340</x:v>
      </x:c>
      <x:c r="B1877" s="0" t="s">
        <x:v>7341</x:v>
      </x:c>
      <x:c r="C1877" s="0" t="s">
        <x:v>7342</x:v>
      </x:c>
      <x:c r="E1877" s="0" t="s">
        <x:v>7343</x:v>
      </x:c>
      <x:c r="F1877" s="0" t="s">
        <x:v>45</x:v>
      </x:c>
      <x:c r="G1877" s="0" t="s">
        <x:v>19</x:v>
      </x:c>
      <x:c r="H1877" s="0" t="s">
        <x:v>20</x:v>
      </x:c>
      <x:c r="I1877" s="0" t="s">
        <x:v>21</x:v>
      </x:c>
      <x:c r="K1877" s="0">
        <x:f>hyperlink("https://icd.who.int/dev11/l-ichi/en#/http%3A%2F%2Fid.who.int%2Ficd%2Fentity%2F2016502016","browser")</x:f>
      </x:c>
      <x:c r="L1877" s="0">
        <x:f>hyperlink("https://icat2.azurewebsites.net/icat/?ontology=ICD&amp;tab=ClassesTab&amp;id=http%3A%2F%2Fwho.int%2Ficd%2315426_4869915e_217e_423d_acb3_33c0f920ef4b","iCat")</x:f>
      </x:c>
      <x:c r="M1877" s="0" t="s">
        <x:v>21</x:v>
      </x:c>
      <x:c r="N1877" s="0" t="s">
        <x:v>46</x:v>
      </x:c>
    </x:row>
    <x:row r="1878" spans="1:16">
      <x:c r="A1878" s="0" t="s">
        <x:v>7344</x:v>
      </x:c>
      <x:c r="B1878" s="0" t="s">
        <x:v>7345</x:v>
      </x:c>
      <x:c r="C1878" s="0" t="s">
        <x:v>7346</x:v>
      </x:c>
      <x:c r="E1878" s="0" t="s">
        <x:v>7347</x:v>
      </x:c>
      <x:c r="F1878" s="0" t="s">
        <x:v>45</x:v>
      </x:c>
      <x:c r="G1878" s="0" t="s">
        <x:v>19</x:v>
      </x:c>
      <x:c r="H1878" s="0" t="s">
        <x:v>20</x:v>
      </x:c>
      <x:c r="I1878" s="0" t="s">
        <x:v>21</x:v>
      </x:c>
      <x:c r="K1878" s="0">
        <x:f>hyperlink("https://icd.who.int/dev11/l-ichi/en#/http%3A%2F%2Fid.who.int%2Ficd%2Fentity%2F1566045568","browser")</x:f>
      </x:c>
      <x:c r="L1878" s="0">
        <x:f>hyperlink("https://icat2.azurewebsites.net/icat/?ontology=ICD&amp;tab=ClassesTab&amp;id=http%3A%2F%2Fwho.int%2Ficd%236150_512ebf36_bf6b_4d70_85da_cf2637062af4","iCat")</x:f>
      </x:c>
      <x:c r="M1878" s="0" t="s">
        <x:v>21</x:v>
      </x:c>
      <x:c r="N1878" s="0" t="s">
        <x:v>46</x:v>
      </x:c>
    </x:row>
    <x:row r="1879" spans="1:16">
      <x:c r="A1879" s="0" t="s">
        <x:v>7348</x:v>
      </x:c>
      <x:c r="B1879" s="0" t="s">
        <x:v>7349</x:v>
      </x:c>
      <x:c r="C1879" s="0" t="s">
        <x:v>7350</x:v>
      </x:c>
      <x:c r="E1879" s="0" t="s">
        <x:v>7351</x:v>
      </x:c>
      <x:c r="F1879" s="0" t="s">
        <x:v>45</x:v>
      </x:c>
      <x:c r="G1879" s="0" t="s">
        <x:v>19</x:v>
      </x:c>
      <x:c r="H1879" s="0" t="s">
        <x:v>20</x:v>
      </x:c>
      <x:c r="I1879" s="0" t="s">
        <x:v>21</x:v>
      </x:c>
      <x:c r="K1879" s="0">
        <x:f>hyperlink("https://icd.who.int/dev11/l-ichi/en#/http%3A%2F%2Fid.who.int%2Ficd%2Fentity%2F332825813","browser")</x:f>
      </x:c>
      <x:c r="L1879" s="0">
        <x:f>hyperlink("https://icat2.azurewebsites.net/icat/?ontology=ICD&amp;tab=ClassesTab&amp;id=http%3A%2F%2Fwho.int%2Ficd%236158_512ebf36_bf6b_4d70_85da_cf2637062af4","iCat")</x:f>
      </x:c>
      <x:c r="M1879" s="0" t="s">
        <x:v>21</x:v>
      </x:c>
      <x:c r="N1879" s="0" t="s">
        <x:v>46</x:v>
      </x:c>
    </x:row>
    <x:row r="1880" spans="1:16">
      <x:c r="A1880" s="0" t="s">
        <x:v>7352</x:v>
      </x:c>
      <x:c r="B1880" s="0" t="s">
        <x:v>7353</x:v>
      </x:c>
      <x:c r="C1880" s="0" t="s">
        <x:v>7354</x:v>
      </x:c>
      <x:c r="E1880" s="0" t="s">
        <x:v>7355</x:v>
      </x:c>
      <x:c r="F1880" s="0" t="s">
        <x:v>45</x:v>
      </x:c>
      <x:c r="G1880" s="0" t="s">
        <x:v>19</x:v>
      </x:c>
      <x:c r="H1880" s="0" t="s">
        <x:v>20</x:v>
      </x:c>
      <x:c r="I1880" s="0" t="s">
        <x:v>21</x:v>
      </x:c>
      <x:c r="K1880" s="0">
        <x:f>hyperlink("https://icd.who.int/dev11/l-ichi/en#/http%3A%2F%2Fid.who.int%2Ficd%2Fentity%2F1302162486","browser")</x:f>
      </x:c>
      <x:c r="L1880" s="0">
        <x:f>hyperlink("https://icat2.azurewebsites.net/icat/?ontology=ICD&amp;tab=ClassesTab&amp;id=http%3A%2F%2Fwho.int%2Ficd%236166_512ebf36_bf6b_4d70_85da_cf2637062af4","iCat")</x:f>
      </x:c>
      <x:c r="M1880" s="0" t="s">
        <x:v>21</x:v>
      </x:c>
      <x:c r="N1880" s="0" t="s">
        <x:v>46</x:v>
      </x:c>
    </x:row>
    <x:row r="1881" spans="1:16">
      <x:c r="A1881" s="0" t="s">
        <x:v>7356</x:v>
      </x:c>
      <x:c r="B1881" s="0" t="s">
        <x:v>7357</x:v>
      </x:c>
      <x:c r="C1881" s="0" t="s">
        <x:v>7358</x:v>
      </x:c>
      <x:c r="E1881" s="0" t="s">
        <x:v>7359</x:v>
      </x:c>
      <x:c r="F1881" s="0" t="s">
        <x:v>45</x:v>
      </x:c>
      <x:c r="G1881" s="0" t="s">
        <x:v>19</x:v>
      </x:c>
      <x:c r="H1881" s="0" t="s">
        <x:v>20</x:v>
      </x:c>
      <x:c r="I1881" s="0" t="s">
        <x:v>21</x:v>
      </x:c>
      <x:c r="K1881" s="0">
        <x:f>hyperlink("https://icd.who.int/dev11/l-ichi/en#/http%3A%2F%2Fid.who.int%2Ficd%2Fentity%2F1109714084","browser")</x:f>
      </x:c>
      <x:c r="L1881" s="0">
        <x:f>hyperlink("https://icat2.azurewebsites.net/icat/?ontology=ICD&amp;tab=ClassesTab&amp;id=http%3A%2F%2Fwho.int%2Ficd%236174_512ebf36_bf6b_4d70_85da_cf2637062af4","iCat")</x:f>
      </x:c>
      <x:c r="M1881" s="0" t="s">
        <x:v>21</x:v>
      </x:c>
      <x:c r="N1881" s="0" t="s">
        <x:v>46</x:v>
      </x:c>
    </x:row>
    <x:row r="1882" spans="1:16">
      <x:c r="A1882" s="0" t="s">
        <x:v>7360</x:v>
      </x:c>
      <x:c r="B1882" s="0" t="s">
        <x:v>7361</x:v>
      </x:c>
      <x:c r="C1882" s="0" t="s">
        <x:v>7362</x:v>
      </x:c>
      <x:c r="E1882" s="0" t="s">
        <x:v>7363</x:v>
      </x:c>
      <x:c r="F1882" s="0" t="s">
        <x:v>45</x:v>
      </x:c>
      <x:c r="G1882" s="0" t="s">
        <x:v>19</x:v>
      </x:c>
      <x:c r="H1882" s="0" t="s">
        <x:v>20</x:v>
      </x:c>
      <x:c r="I1882" s="0" t="s">
        <x:v>21</x:v>
      </x:c>
      <x:c r="K1882" s="0">
        <x:f>hyperlink("https://icd.who.int/dev11/l-ichi/en#/http%3A%2F%2Fid.who.int%2Ficd%2Fentity%2F1295703112","browser")</x:f>
      </x:c>
      <x:c r="L1882" s="0">
        <x:f>hyperlink("https://icat2.azurewebsites.net/icat/?ontology=ICD&amp;tab=ClassesTab&amp;id=http%3A%2F%2Fwho.int%2Ficd%236185_512ebf36_bf6b_4d70_85da_cf2637062af4","iCat")</x:f>
      </x:c>
      <x:c r="M1882" s="0" t="s">
        <x:v>21</x:v>
      </x:c>
      <x:c r="N1882" s="0" t="s">
        <x:v>46</x:v>
      </x:c>
    </x:row>
    <x:row r="1883" spans="1:16">
      <x:c r="A1883" s="0" t="s">
        <x:v>7364</x:v>
      </x:c>
      <x:c r="B1883" s="0" t="s">
        <x:v>7365</x:v>
      </x:c>
      <x:c r="C1883" s="0" t="s">
        <x:v>7366</x:v>
      </x:c>
      <x:c r="E1883" s="0" t="s">
        <x:v>7367</x:v>
      </x:c>
      <x:c r="F1883" s="0" t="s">
        <x:v>45</x:v>
      </x:c>
      <x:c r="G1883" s="0" t="s">
        <x:v>19</x:v>
      </x:c>
      <x:c r="H1883" s="0" t="s">
        <x:v>20</x:v>
      </x:c>
      <x:c r="I1883" s="0" t="s">
        <x:v>21</x:v>
      </x:c>
      <x:c r="K1883" s="0">
        <x:f>hyperlink("https://icd.who.int/dev11/l-ichi/en#/http%3A%2F%2Fid.who.int%2Ficd%2Fentity%2F2005176480","browser")</x:f>
      </x:c>
      <x:c r="L1883" s="0">
        <x:f>hyperlink("https://icat2.azurewebsites.net/icat/?ontology=ICD&amp;tab=ClassesTab&amp;id=http%3A%2F%2Fwho.int%2Ficd%236193_512ebf36_bf6b_4d70_85da_cf2637062af4","iCat")</x:f>
      </x:c>
      <x:c r="M1883" s="0" t="s">
        <x:v>21</x:v>
      </x:c>
      <x:c r="N1883" s="0" t="s">
        <x:v>46</x:v>
      </x:c>
    </x:row>
    <x:row r="1884" spans="1:16">
      <x:c r="A1884" s="0" t="s">
        <x:v>7368</x:v>
      </x:c>
      <x:c r="B1884" s="0" t="s">
        <x:v>7369</x:v>
      </x:c>
      <x:c r="C1884" s="0" t="s">
        <x:v>7370</x:v>
      </x:c>
      <x:c r="E1884" s="0" t="s">
        <x:v>7371</x:v>
      </x:c>
      <x:c r="F1884" s="0" t="s">
        <x:v>45</x:v>
      </x:c>
      <x:c r="G1884" s="0" t="s">
        <x:v>19</x:v>
      </x:c>
      <x:c r="H1884" s="0" t="s">
        <x:v>20</x:v>
      </x:c>
      <x:c r="I1884" s="0" t="s">
        <x:v>21</x:v>
      </x:c>
      <x:c r="K1884" s="0">
        <x:f>hyperlink("https://icd.who.int/dev11/l-ichi/en#/http%3A%2F%2Fid.who.int%2Ficd%2Fentity%2F1551498288","browser")</x:f>
      </x:c>
      <x:c r="L1884" s="0">
        <x:f>hyperlink("https://icat2.azurewebsites.net/icat/?ontology=ICD&amp;tab=ClassesTab&amp;id=http%3A%2F%2Fwho.int%2Ficd%236199_512ebf36_bf6b_4d70_85da_cf2637062af4","iCat")</x:f>
      </x:c>
      <x:c r="M1884" s="0" t="s">
        <x:v>21</x:v>
      </x:c>
      <x:c r="N1884" s="0" t="s">
        <x:v>46</x:v>
      </x:c>
    </x:row>
    <x:row r="1885" spans="1:16">
      <x:c r="A1885" s="0" t="s">
        <x:v>7372</x:v>
      </x:c>
      <x:c r="B1885" s="0" t="s">
        <x:v>7373</x:v>
      </x:c>
      <x:c r="C1885" s="0" t="s">
        <x:v>7374</x:v>
      </x:c>
      <x:c r="E1885" s="0" t="s">
        <x:v>7375</x:v>
      </x:c>
      <x:c r="F1885" s="0" t="s">
        <x:v>45</x:v>
      </x:c>
      <x:c r="G1885" s="0" t="s">
        <x:v>19</x:v>
      </x:c>
      <x:c r="H1885" s="0" t="s">
        <x:v>20</x:v>
      </x:c>
      <x:c r="I1885" s="0" t="s">
        <x:v>21</x:v>
      </x:c>
      <x:c r="K1885" s="0">
        <x:f>hyperlink("https://icd.who.int/dev11/l-ichi/en#/http%3A%2F%2Fid.who.int%2Ficd%2Fentity%2F861155803","browser")</x:f>
      </x:c>
      <x:c r="L1885" s="0">
        <x:f>hyperlink("https://icat2.azurewebsites.net/icat/?ontology=ICD&amp;tab=ClassesTab&amp;id=http%3A%2F%2Fwho.int%2Ficd%236205_512ebf36_bf6b_4d70_85da_cf2637062af4","iCat")</x:f>
      </x:c>
      <x:c r="M1885" s="0" t="s">
        <x:v>21</x:v>
      </x:c>
      <x:c r="N1885" s="0" t="s">
        <x:v>46</x:v>
      </x:c>
    </x:row>
    <x:row r="1886" spans="1:16">
      <x:c r="A1886" s="0" t="s">
        <x:v>7376</x:v>
      </x:c>
      <x:c r="B1886" s="0" t="s">
        <x:v>7377</x:v>
      </x:c>
      <x:c r="C1886" s="0" t="s">
        <x:v>7378</x:v>
      </x:c>
      <x:c r="E1886" s="0" t="s">
        <x:v>7379</x:v>
      </x:c>
      <x:c r="F1886" s="0" t="s">
        <x:v>45</x:v>
      </x:c>
      <x:c r="G1886" s="0" t="s">
        <x:v>19</x:v>
      </x:c>
      <x:c r="H1886" s="0" t="s">
        <x:v>20</x:v>
      </x:c>
      <x:c r="I1886" s="0" t="s">
        <x:v>21</x:v>
      </x:c>
      <x:c r="K1886" s="0">
        <x:f>hyperlink("https://icd.who.int/dev11/l-ichi/en#/http%3A%2F%2Fid.who.int%2Ficd%2Fentity%2F202267827","browser")</x:f>
      </x:c>
      <x:c r="L1886" s="0">
        <x:f>hyperlink("https://icat2.azurewebsites.net/icat/?ontology=ICD&amp;tab=ClassesTab&amp;id=http%3A%2F%2Fwho.int%2Ficd%2315438_4869915e_217e_423d_acb3_33c0f920ef4b","iCat")</x:f>
      </x:c>
      <x:c r="M1886" s="0" t="s">
        <x:v>21</x:v>
      </x:c>
      <x:c r="N1886" s="0" t="s">
        <x:v>46</x:v>
      </x:c>
    </x:row>
    <x:row r="1887" spans="1:16">
      <x:c r="A1887" s="0" t="s">
        <x:v>7380</x:v>
      </x:c>
      <x:c r="B1887" s="0" t="s">
        <x:v>7381</x:v>
      </x:c>
      <x:c r="C1887" s="0" t="s">
        <x:v>7382</x:v>
      </x:c>
      <x:c r="E1887" s="0" t="s">
        <x:v>7383</x:v>
      </x:c>
      <x:c r="F1887" s="0" t="s">
        <x:v>45</x:v>
      </x:c>
      <x:c r="G1887" s="0" t="s">
        <x:v>19</x:v>
      </x:c>
      <x:c r="H1887" s="0" t="s">
        <x:v>20</x:v>
      </x:c>
      <x:c r="I1887" s="0" t="s">
        <x:v>21</x:v>
      </x:c>
      <x:c r="K1887" s="0">
        <x:f>hyperlink("https://icd.who.int/dev11/l-ichi/en#/http%3A%2F%2Fid.who.int%2Ficd%2Fentity%2F1197406858","browser")</x:f>
      </x:c>
      <x:c r="L1887" s="0">
        <x:f>hyperlink("https://icat2.azurewebsites.net/icat/?ontology=ICD&amp;tab=ClassesTab&amp;id=http%3A%2F%2Fwho.int%2Ficd%2315444_4869915e_217e_423d_acb3_33c0f920ef4b","iCat")</x:f>
      </x:c>
      <x:c r="M1887" s="0" t="s">
        <x:v>21</x:v>
      </x:c>
      <x:c r="N1887" s="0" t="s">
        <x:v>46</x:v>
      </x:c>
    </x:row>
    <x:row r="1888" spans="1:16">
      <x:c r="A1888" s="0" t="s">
        <x:v>7384</x:v>
      </x:c>
      <x:c r="B1888" s="0" t="s">
        <x:v>7385</x:v>
      </x:c>
      <x:c r="C1888" s="0" t="s">
        <x:v>7386</x:v>
      </x:c>
      <x:c r="E1888" s="0" t="s">
        <x:v>7387</x:v>
      </x:c>
      <x:c r="F1888" s="0" t="s">
        <x:v>45</x:v>
      </x:c>
      <x:c r="G1888" s="0" t="s">
        <x:v>19</x:v>
      </x:c>
      <x:c r="H1888" s="0" t="s">
        <x:v>20</x:v>
      </x:c>
      <x:c r="I1888" s="0" t="s">
        <x:v>21</x:v>
      </x:c>
      <x:c r="K1888" s="0">
        <x:f>hyperlink("https://icd.who.int/dev11/l-ichi/en#/http%3A%2F%2Fid.who.int%2Ficd%2Fentity%2F1821794552","browser")</x:f>
      </x:c>
      <x:c r="L1888" s="0">
        <x:f>hyperlink("https://icat2.azurewebsites.net/icat/?ontology=ICD&amp;tab=ClassesTab&amp;id=http%3A%2F%2Fwho.int%2Ficd%236211_512ebf36_bf6b_4d70_85da_cf2637062af4","iCat")</x:f>
      </x:c>
      <x:c r="M1888" s="0" t="s">
        <x:v>21</x:v>
      </x:c>
      <x:c r="N1888" s="0" t="s">
        <x:v>46</x:v>
      </x:c>
    </x:row>
    <x:row r="1889" spans="1:16">
      <x:c r="A1889" s="0" t="s">
        <x:v>7388</x:v>
      </x:c>
      <x:c r="B1889" s="0" t="s">
        <x:v>7389</x:v>
      </x:c>
      <x:c r="C1889" s="0" t="s">
        <x:v>7390</x:v>
      </x:c>
      <x:c r="E1889" s="0" t="s">
        <x:v>7391</x:v>
      </x:c>
      <x:c r="F1889" s="0" t="s">
        <x:v>45</x:v>
      </x:c>
      <x:c r="G1889" s="0" t="s">
        <x:v>19</x:v>
      </x:c>
      <x:c r="H1889" s="0" t="s">
        <x:v>20</x:v>
      </x:c>
      <x:c r="I1889" s="0" t="s">
        <x:v>21</x:v>
      </x:c>
      <x:c r="K1889" s="0">
        <x:f>hyperlink("https://icd.who.int/dev11/l-ichi/en#/http%3A%2F%2Fid.who.int%2Ficd%2Fentity%2F571937197","browser")</x:f>
      </x:c>
      <x:c r="L1889" s="0">
        <x:f>hyperlink("https://icat2.azurewebsites.net/icat/?ontology=ICD&amp;tab=ClassesTab&amp;id=http%3A%2F%2Fwho.int%2Ficd%236219_512ebf36_bf6b_4d70_85da_cf2637062af4","iCat")</x:f>
      </x:c>
      <x:c r="M1889" s="0" t="s">
        <x:v>21</x:v>
      </x:c>
      <x:c r="N1889" s="0" t="s">
        <x:v>46</x:v>
      </x:c>
    </x:row>
    <x:row r="1890" spans="1:16">
      <x:c r="A1890" s="0" t="s">
        <x:v>7392</x:v>
      </x:c>
      <x:c r="B1890" s="0" t="s">
        <x:v>7393</x:v>
      </x:c>
      <x:c r="C1890" s="0" t="s">
        <x:v>7394</x:v>
      </x:c>
      <x:c r="E1890" s="0" t="s">
        <x:v>7395</x:v>
      </x:c>
      <x:c r="F1890" s="0" t="s">
        <x:v>45</x:v>
      </x:c>
      <x:c r="G1890" s="0" t="s">
        <x:v>19</x:v>
      </x:c>
      <x:c r="H1890" s="0" t="s">
        <x:v>20</x:v>
      </x:c>
      <x:c r="I1890" s="0" t="s">
        <x:v>21</x:v>
      </x:c>
      <x:c r="K1890" s="0">
        <x:f>hyperlink("https://icd.who.int/dev11/l-ichi/en#/http%3A%2F%2Fid.who.int%2Ficd%2Fentity%2F2086467918","browser")</x:f>
      </x:c>
      <x:c r="L1890" s="0">
        <x:f>hyperlink("https://icat2.azurewebsites.net/icat/?ontology=ICD&amp;tab=ClassesTab&amp;id=http%3A%2F%2Fwho.int%2Ficd%236227_512ebf36_bf6b_4d70_85da_cf2637062af4","iCat")</x:f>
      </x:c>
      <x:c r="M1890" s="0" t="s">
        <x:v>21</x:v>
      </x:c>
      <x:c r="N1890" s="0" t="s">
        <x:v>46</x:v>
      </x:c>
    </x:row>
    <x:row r="1891" spans="1:16">
      <x:c r="A1891" s="0" t="s">
        <x:v>7396</x:v>
      </x:c>
      <x:c r="B1891" s="0" t="s">
        <x:v>7397</x:v>
      </x:c>
      <x:c r="C1891" s="0" t="s">
        <x:v>7398</x:v>
      </x:c>
      <x:c r="E1891" s="0" t="s">
        <x:v>7399</x:v>
      </x:c>
      <x:c r="F1891" s="0" t="s">
        <x:v>45</x:v>
      </x:c>
      <x:c r="G1891" s="0" t="s">
        <x:v>19</x:v>
      </x:c>
      <x:c r="H1891" s="0" t="s">
        <x:v>20</x:v>
      </x:c>
      <x:c r="I1891" s="0" t="s">
        <x:v>21</x:v>
      </x:c>
      <x:c r="K1891" s="0">
        <x:f>hyperlink("https://icd.who.int/dev11/l-ichi/en#/http%3A%2F%2Fid.who.int%2Ficd%2Fentity%2F1944416732","browser")</x:f>
      </x:c>
      <x:c r="L1891" s="0">
        <x:f>hyperlink("https://icat2.azurewebsites.net/icat/?ontology=ICD&amp;tab=ClassesTab&amp;id=http%3A%2F%2Fwho.int%2Ficd%236235_512ebf36_bf6b_4d70_85da_cf2637062af4","iCat")</x:f>
      </x:c>
      <x:c r="M1891" s="0" t="s">
        <x:v>21</x:v>
      </x:c>
      <x:c r="N1891" s="0" t="s">
        <x:v>46</x:v>
      </x:c>
    </x:row>
    <x:row r="1892" spans="1:16">
      <x:c r="A1892" s="0" t="s">
        <x:v>7400</x:v>
      </x:c>
      <x:c r="B1892" s="0" t="s">
        <x:v>7401</x:v>
      </x:c>
      <x:c r="C1892" s="0" t="s">
        <x:v>7402</x:v>
      </x:c>
      <x:c r="E1892" s="0" t="s">
        <x:v>7403</x:v>
      </x:c>
      <x:c r="F1892" s="0" t="s">
        <x:v>45</x:v>
      </x:c>
      <x:c r="G1892" s="0" t="s">
        <x:v>19</x:v>
      </x:c>
      <x:c r="H1892" s="0" t="s">
        <x:v>20</x:v>
      </x:c>
      <x:c r="I1892" s="0" t="s">
        <x:v>21</x:v>
      </x:c>
      <x:c r="K1892" s="0">
        <x:f>hyperlink("https://icd.who.int/dev11/l-ichi/en#/http%3A%2F%2Fid.who.int%2Ficd%2Fentity%2F112594239","browser")</x:f>
      </x:c>
      <x:c r="L1892" s="0">
        <x:f>hyperlink("https://icat2.azurewebsites.net/icat/?ontology=ICD&amp;tab=ClassesTab&amp;id=http%3A%2F%2Fwho.int%2Ficd%236246_512ebf36_bf6b_4d70_85da_cf2637062af4","iCat")</x:f>
      </x:c>
      <x:c r="M1892" s="0" t="s">
        <x:v>21</x:v>
      </x:c>
      <x:c r="N1892" s="0" t="s">
        <x:v>46</x:v>
      </x:c>
    </x:row>
    <x:row r="1893" spans="1:16">
      <x:c r="A1893" s="0" t="s">
        <x:v>7404</x:v>
      </x:c>
      <x:c r="B1893" s="0" t="s">
        <x:v>7405</x:v>
      </x:c>
      <x:c r="C1893" s="0" t="s">
        <x:v>7406</x:v>
      </x:c>
      <x:c r="E1893" s="0" t="s">
        <x:v>7407</x:v>
      </x:c>
      <x:c r="F1893" s="0" t="s">
        <x:v>45</x:v>
      </x:c>
      <x:c r="G1893" s="0" t="s">
        <x:v>19</x:v>
      </x:c>
      <x:c r="H1893" s="0" t="s">
        <x:v>20</x:v>
      </x:c>
      <x:c r="I1893" s="0" t="s">
        <x:v>21</x:v>
      </x:c>
      <x:c r="K1893" s="0">
        <x:f>hyperlink("https://icd.who.int/dev11/l-ichi/en#/http%3A%2F%2Fid.who.int%2Ficd%2Fentity%2F704051089","browser")</x:f>
      </x:c>
      <x:c r="L1893" s="0">
        <x:f>hyperlink("https://icat2.azurewebsites.net/icat/?ontology=ICD&amp;tab=ClassesTab&amp;id=http%3A%2F%2Fwho.int%2Ficd%236255_512ebf36_bf6b_4d70_85da_cf2637062af4","iCat")</x:f>
      </x:c>
      <x:c r="M1893" s="0" t="s">
        <x:v>21</x:v>
      </x:c>
      <x:c r="N1893" s="0" t="s">
        <x:v>46</x:v>
      </x:c>
    </x:row>
    <x:row r="1894" spans="1:16">
      <x:c r="A1894" s="0" t="s">
        <x:v>7408</x:v>
      </x:c>
      <x:c r="B1894" s="0" t="s">
        <x:v>7409</x:v>
      </x:c>
      <x:c r="C1894" s="0" t="s">
        <x:v>7410</x:v>
      </x:c>
      <x:c r="E1894" s="0" t="s">
        <x:v>7411</x:v>
      </x:c>
      <x:c r="F1894" s="0" t="s">
        <x:v>45</x:v>
      </x:c>
      <x:c r="G1894" s="0" t="s">
        <x:v>19</x:v>
      </x:c>
      <x:c r="H1894" s="0" t="s">
        <x:v>20</x:v>
      </x:c>
      <x:c r="I1894" s="0" t="s">
        <x:v>21</x:v>
      </x:c>
      <x:c r="K1894" s="0">
        <x:f>hyperlink("https://icd.who.int/dev11/l-ichi/en#/http%3A%2F%2Fid.who.int%2Ficd%2Fentity%2F1547727844","browser")</x:f>
      </x:c>
      <x:c r="L1894" s="0">
        <x:f>hyperlink("https://icat2.azurewebsites.net/icat/?ontology=ICD&amp;tab=ClassesTab&amp;id=http%3A%2F%2Fwho.int%2Ficd%236261_512ebf36_bf6b_4d70_85da_cf2637062af4","iCat")</x:f>
      </x:c>
      <x:c r="M1894" s="0" t="s">
        <x:v>21</x:v>
      </x:c>
      <x:c r="N1894" s="0" t="s">
        <x:v>46</x:v>
      </x:c>
    </x:row>
    <x:row r="1895" spans="1:16">
      <x:c r="A1895" s="0" t="s">
        <x:v>7412</x:v>
      </x:c>
      <x:c r="B1895" s="0" t="s">
        <x:v>7413</x:v>
      </x:c>
      <x:c r="C1895" s="0" t="s">
        <x:v>7414</x:v>
      </x:c>
      <x:c r="E1895" s="0" t="s">
        <x:v>7415</x:v>
      </x:c>
      <x:c r="F1895" s="0" t="s">
        <x:v>45</x:v>
      </x:c>
      <x:c r="G1895" s="0" t="s">
        <x:v>19</x:v>
      </x:c>
      <x:c r="H1895" s="0" t="s">
        <x:v>20</x:v>
      </x:c>
      <x:c r="I1895" s="0" t="s">
        <x:v>21</x:v>
      </x:c>
      <x:c r="K1895" s="0">
        <x:f>hyperlink("https://icd.who.int/dev11/l-ichi/en#/http%3A%2F%2Fid.who.int%2Ficd%2Fentity%2F205236819","browser")</x:f>
      </x:c>
      <x:c r="L1895" s="0">
        <x:f>hyperlink("https://icat2.azurewebsites.net/icat/?ontology=ICD&amp;tab=ClassesTab&amp;id=http%3A%2F%2Fwho.int%2Ficd%236267_512ebf36_bf6b_4d70_85da_cf2637062af4","iCat")</x:f>
      </x:c>
      <x:c r="M1895" s="0" t="s">
        <x:v>21</x:v>
      </x:c>
      <x:c r="N1895" s="0" t="s">
        <x:v>46</x:v>
      </x:c>
    </x:row>
    <x:row r="1896" spans="1:16">
      <x:c r="A1896" s="0" t="s">
        <x:v>7416</x:v>
      </x:c>
      <x:c r="B1896" s="0" t="s">
        <x:v>7417</x:v>
      </x:c>
      <x:c r="C1896" s="0" t="s">
        <x:v>7418</x:v>
      </x:c>
      <x:c r="E1896" s="0" t="s">
        <x:v>7419</x:v>
      </x:c>
      <x:c r="F1896" s="0" t="s">
        <x:v>45</x:v>
      </x:c>
      <x:c r="G1896" s="0" t="s">
        <x:v>19</x:v>
      </x:c>
      <x:c r="H1896" s="0" t="s">
        <x:v>20</x:v>
      </x:c>
      <x:c r="I1896" s="0" t="s">
        <x:v>21</x:v>
      </x:c>
      <x:c r="K1896" s="0">
        <x:f>hyperlink("https://icd.who.int/dev11/l-ichi/en#/http%3A%2F%2Fid.who.int%2Ficd%2Fentity%2F412920747","browser")</x:f>
      </x:c>
      <x:c r="L1896" s="0">
        <x:f>hyperlink("https://icat2.azurewebsites.net/icat/?ontology=ICD&amp;tab=ClassesTab&amp;id=http%3A%2F%2Fwho.int%2Ficd%2315450_4869915e_217e_423d_acb3_33c0f920ef4b","iCat")</x:f>
      </x:c>
      <x:c r="M1896" s="0" t="s">
        <x:v>21</x:v>
      </x:c>
      <x:c r="N1896" s="0" t="s">
        <x:v>46</x:v>
      </x:c>
    </x:row>
    <x:row r="1897" spans="1:16">
      <x:c r="A1897" s="0" t="s">
        <x:v>7420</x:v>
      </x:c>
      <x:c r="B1897" s="0" t="s">
        <x:v>7421</x:v>
      </x:c>
      <x:c r="C1897" s="0" t="s">
        <x:v>7422</x:v>
      </x:c>
      <x:c r="E1897" s="0" t="s">
        <x:v>7423</x:v>
      </x:c>
      <x:c r="F1897" s="0" t="s">
        <x:v>45</x:v>
      </x:c>
      <x:c r="G1897" s="0" t="s">
        <x:v>19</x:v>
      </x:c>
      <x:c r="H1897" s="0" t="s">
        <x:v>20</x:v>
      </x:c>
      <x:c r="I1897" s="0" t="s">
        <x:v>21</x:v>
      </x:c>
      <x:c r="K1897" s="0">
        <x:f>hyperlink("https://icd.who.int/dev11/l-ichi/en#/http%3A%2F%2Fid.who.int%2Ficd%2Fentity%2F1223127580","browser")</x:f>
      </x:c>
      <x:c r="L1897" s="0">
        <x:f>hyperlink("https://icat2.azurewebsites.net/icat/?ontology=ICD&amp;tab=ClassesTab&amp;id=http%3A%2F%2Fwho.int%2Ficd%2315456_4869915e_217e_423d_acb3_33c0f920ef4b","iCat")</x:f>
      </x:c>
      <x:c r="M1897" s="0" t="s">
        <x:v>21</x:v>
      </x:c>
      <x:c r="N1897" s="0" t="s">
        <x:v>46</x:v>
      </x:c>
    </x:row>
    <x:row r="1898" spans="1:16">
      <x:c r="A1898" s="0" t="s">
        <x:v>7424</x:v>
      </x:c>
      <x:c r="B1898" s="0" t="s">
        <x:v>7425</x:v>
      </x:c>
      <x:c r="C1898" s="0" t="s">
        <x:v>7426</x:v>
      </x:c>
      <x:c r="E1898" s="0" t="s">
        <x:v>7427</x:v>
      </x:c>
      <x:c r="F1898" s="0" t="s">
        <x:v>45</x:v>
      </x:c>
      <x:c r="G1898" s="0" t="s">
        <x:v>19</x:v>
      </x:c>
      <x:c r="H1898" s="0" t="s">
        <x:v>20</x:v>
      </x:c>
      <x:c r="I1898" s="0" t="s">
        <x:v>21</x:v>
      </x:c>
      <x:c r="K1898" s="0">
        <x:f>hyperlink("https://icd.who.int/dev11/l-ichi/en#/http%3A%2F%2Fid.who.int%2Ficd%2Fentity%2F1408891762","browser")</x:f>
      </x:c>
      <x:c r="L1898" s="0">
        <x:f>hyperlink("https://icat2.azurewebsites.net/icat/?ontology=ICD&amp;tab=ClassesTab&amp;id=http%3A%2F%2Fwho.int%2Ficd%236273_512ebf36_bf6b_4d70_85da_cf2637062af4","iCat")</x:f>
      </x:c>
      <x:c r="M1898" s="0" t="s">
        <x:v>21</x:v>
      </x:c>
      <x:c r="N1898" s="0" t="s">
        <x:v>46</x:v>
      </x:c>
    </x:row>
    <x:row r="1899" spans="1:16">
      <x:c r="A1899" s="0" t="s">
        <x:v>7428</x:v>
      </x:c>
      <x:c r="B1899" s="0" t="s">
        <x:v>7429</x:v>
      </x:c>
      <x:c r="C1899" s="0" t="s">
        <x:v>7430</x:v>
      </x:c>
      <x:c r="E1899" s="0" t="s">
        <x:v>7431</x:v>
      </x:c>
      <x:c r="F1899" s="0" t="s">
        <x:v>45</x:v>
      </x:c>
      <x:c r="G1899" s="0" t="s">
        <x:v>19</x:v>
      </x:c>
      <x:c r="H1899" s="0" t="s">
        <x:v>20</x:v>
      </x:c>
      <x:c r="I1899" s="0" t="s">
        <x:v>21</x:v>
      </x:c>
      <x:c r="K1899" s="0">
        <x:f>hyperlink("https://icd.who.int/dev11/l-ichi/en#/http%3A%2F%2Fid.who.int%2Ficd%2Fentity%2F425897067","browser")</x:f>
      </x:c>
      <x:c r="L1899" s="0">
        <x:f>hyperlink("https://icat2.azurewebsites.net/icat/?ontology=ICD&amp;tab=ClassesTab&amp;id=http%3A%2F%2Fwho.int%2Ficd%236281_512ebf36_bf6b_4d70_85da_cf2637062af4","iCat")</x:f>
      </x:c>
      <x:c r="M1899" s="0" t="s">
        <x:v>21</x:v>
      </x:c>
      <x:c r="N1899" s="0" t="s">
        <x:v>46</x:v>
      </x:c>
    </x:row>
    <x:row r="1900" spans="1:16">
      <x:c r="A1900" s="0" t="s">
        <x:v>7432</x:v>
      </x:c>
      <x:c r="B1900" s="0" t="s">
        <x:v>7433</x:v>
      </x:c>
      <x:c r="C1900" s="0" t="s">
        <x:v>7434</x:v>
      </x:c>
      <x:c r="E1900" s="0" t="s">
        <x:v>7435</x:v>
      </x:c>
      <x:c r="F1900" s="0" t="s">
        <x:v>45</x:v>
      </x:c>
      <x:c r="G1900" s="0" t="s">
        <x:v>19</x:v>
      </x:c>
      <x:c r="H1900" s="0" t="s">
        <x:v>20</x:v>
      </x:c>
      <x:c r="I1900" s="0" t="s">
        <x:v>21</x:v>
      </x:c>
      <x:c r="K1900" s="0">
        <x:f>hyperlink("https://icd.who.int/dev11/l-ichi/en#/http%3A%2F%2Fid.who.int%2Ficd%2Fentity%2F1474551104","browser")</x:f>
      </x:c>
      <x:c r="L1900" s="0">
        <x:f>hyperlink("https://icat2.azurewebsites.net/icat/?ontology=ICD&amp;tab=ClassesTab&amp;id=http%3A%2F%2Fwho.int%2Ficd%236289_512ebf36_bf6b_4d70_85da_cf2637062af4","iCat")</x:f>
      </x:c>
      <x:c r="M1900" s="0" t="s">
        <x:v>21</x:v>
      </x:c>
      <x:c r="N1900" s="0" t="s">
        <x:v>46</x:v>
      </x:c>
    </x:row>
    <x:row r="1901" spans="1:16">
      <x:c r="A1901" s="0" t="s">
        <x:v>7436</x:v>
      </x:c>
      <x:c r="B1901" s="0" t="s">
        <x:v>7437</x:v>
      </x:c>
      <x:c r="C1901" s="0" t="s">
        <x:v>7438</x:v>
      </x:c>
      <x:c r="E1901" s="0" t="s">
        <x:v>7439</x:v>
      </x:c>
      <x:c r="F1901" s="0" t="s">
        <x:v>45</x:v>
      </x:c>
      <x:c r="G1901" s="0" t="s">
        <x:v>19</x:v>
      </x:c>
      <x:c r="H1901" s="0" t="s">
        <x:v>20</x:v>
      </x:c>
      <x:c r="I1901" s="0" t="s">
        <x:v>21</x:v>
      </x:c>
      <x:c r="K1901" s="0">
        <x:f>hyperlink("https://icd.who.int/dev11/l-ichi/en#/http%3A%2F%2Fid.who.int%2Ficd%2Fentity%2F601677965","browser")</x:f>
      </x:c>
      <x:c r="L1901" s="0">
        <x:f>hyperlink("https://icat2.azurewebsites.net/icat/?ontology=ICD&amp;tab=ClassesTab&amp;id=http%3A%2F%2Fwho.int%2Ficd%236297_512ebf36_bf6b_4d70_85da_cf2637062af4","iCat")</x:f>
      </x:c>
      <x:c r="M1901" s="0" t="s">
        <x:v>21</x:v>
      </x:c>
      <x:c r="N1901" s="0" t="s">
        <x:v>46</x:v>
      </x:c>
    </x:row>
    <x:row r="1902" spans="1:16">
      <x:c r="A1902" s="0" t="s">
        <x:v>7440</x:v>
      </x:c>
      <x:c r="B1902" s="0" t="s">
        <x:v>7441</x:v>
      </x:c>
      <x:c r="C1902" s="0" t="s">
        <x:v>7442</x:v>
      </x:c>
      <x:c r="E1902" s="0" t="s">
        <x:v>7443</x:v>
      </x:c>
      <x:c r="F1902" s="0" t="s">
        <x:v>45</x:v>
      </x:c>
      <x:c r="G1902" s="0" t="s">
        <x:v>19</x:v>
      </x:c>
      <x:c r="H1902" s="0" t="s">
        <x:v>20</x:v>
      </x:c>
      <x:c r="I1902" s="0" t="s">
        <x:v>21</x:v>
      </x:c>
      <x:c r="K1902" s="0">
        <x:f>hyperlink("https://icd.who.int/dev11/l-ichi/en#/http%3A%2F%2Fid.who.int%2Ficd%2Fentity%2F1028473447","browser")</x:f>
      </x:c>
      <x:c r="L1902" s="0">
        <x:f>hyperlink("https://icat2.azurewebsites.net/icat/?ontology=ICD&amp;tab=ClassesTab&amp;id=http%3A%2F%2Fwho.int%2Ficd%236309_512ebf36_bf6b_4d70_85da_cf2637062af4","iCat")</x:f>
      </x:c>
      <x:c r="M1902" s="0" t="s">
        <x:v>21</x:v>
      </x:c>
      <x:c r="N1902" s="0" t="s">
        <x:v>46</x:v>
      </x:c>
    </x:row>
    <x:row r="1903" spans="1:16">
      <x:c r="A1903" s="0" t="s">
        <x:v>7444</x:v>
      </x:c>
      <x:c r="B1903" s="0" t="s">
        <x:v>7445</x:v>
      </x:c>
      <x:c r="C1903" s="0" t="s">
        <x:v>7446</x:v>
      </x:c>
      <x:c r="E1903" s="0" t="s">
        <x:v>7447</x:v>
      </x:c>
      <x:c r="F1903" s="0" t="s">
        <x:v>45</x:v>
      </x:c>
      <x:c r="G1903" s="0" t="s">
        <x:v>19</x:v>
      </x:c>
      <x:c r="H1903" s="0" t="s">
        <x:v>20</x:v>
      </x:c>
      <x:c r="I1903" s="0" t="s">
        <x:v>21</x:v>
      </x:c>
      <x:c r="K1903" s="0">
        <x:f>hyperlink("https://icd.who.int/dev11/l-ichi/en#/http%3A%2F%2Fid.who.int%2Ficd%2Fentity%2F2034340958","browser")</x:f>
      </x:c>
      <x:c r="L1903" s="0">
        <x:f>hyperlink("https://icat2.azurewebsites.net/icat/?ontology=ICD&amp;tab=ClassesTab&amp;id=http%3A%2F%2Fwho.int%2Ficd%236320_512ebf36_bf6b_4d70_85da_cf2637062af4","iCat")</x:f>
      </x:c>
      <x:c r="M1903" s="0" t="s">
        <x:v>21</x:v>
      </x:c>
      <x:c r="N1903" s="0" t="s">
        <x:v>46</x:v>
      </x:c>
    </x:row>
    <x:row r="1904" spans="1:16">
      <x:c r="A1904" s="0" t="s">
        <x:v>7448</x:v>
      </x:c>
      <x:c r="B1904" s="0" t="s">
        <x:v>7449</x:v>
      </x:c>
      <x:c r="C1904" s="0" t="s">
        <x:v>7450</x:v>
      </x:c>
      <x:c r="E1904" s="0" t="s">
        <x:v>7451</x:v>
      </x:c>
      <x:c r="F1904" s="0" t="s">
        <x:v>45</x:v>
      </x:c>
      <x:c r="G1904" s="0" t="s">
        <x:v>19</x:v>
      </x:c>
      <x:c r="H1904" s="0" t="s">
        <x:v>20</x:v>
      </x:c>
      <x:c r="I1904" s="0" t="s">
        <x:v>21</x:v>
      </x:c>
      <x:c r="K1904" s="0">
        <x:f>hyperlink("https://icd.who.int/dev11/l-ichi/en#/http%3A%2F%2Fid.who.int%2Ficd%2Fentity%2F691686895","browser")</x:f>
      </x:c>
      <x:c r="L1904" s="0">
        <x:f>hyperlink("https://icat2.azurewebsites.net/icat/?ontology=ICD&amp;tab=ClassesTab&amp;id=http%3A%2F%2Fwho.int%2Ficd%236326_512ebf36_bf6b_4d70_85da_cf2637062af4","iCat")</x:f>
      </x:c>
      <x:c r="M1904" s="0" t="s">
        <x:v>21</x:v>
      </x:c>
      <x:c r="N1904" s="0" t="s">
        <x:v>46</x:v>
      </x:c>
    </x:row>
    <x:row r="1905" spans="1:16">
      <x:c r="A1905" s="0" t="s">
        <x:v>7452</x:v>
      </x:c>
      <x:c r="B1905" s="0" t="s">
        <x:v>7453</x:v>
      </x:c>
      <x:c r="C1905" s="0" t="s">
        <x:v>7454</x:v>
      </x:c>
      <x:c r="E1905" s="0" t="s">
        <x:v>7455</x:v>
      </x:c>
      <x:c r="F1905" s="0" t="s">
        <x:v>45</x:v>
      </x:c>
      <x:c r="G1905" s="0" t="s">
        <x:v>19</x:v>
      </x:c>
      <x:c r="H1905" s="0" t="s">
        <x:v>20</x:v>
      </x:c>
      <x:c r="I1905" s="0" t="s">
        <x:v>21</x:v>
      </x:c>
      <x:c r="K1905" s="0">
        <x:f>hyperlink("https://icd.who.int/dev11/l-ichi/en#/http%3A%2F%2Fid.who.int%2Ficd%2Fentity%2F1995971788","browser")</x:f>
      </x:c>
      <x:c r="L1905" s="0">
        <x:f>hyperlink("https://icat2.azurewebsites.net/icat/?ontology=ICD&amp;tab=ClassesTab&amp;id=http%3A%2F%2Fwho.int%2Ficd%236332_512ebf36_bf6b_4d70_85da_cf2637062af4","iCat")</x:f>
      </x:c>
      <x:c r="M1905" s="0" t="s">
        <x:v>21</x:v>
      </x:c>
      <x:c r="N1905" s="0" t="s">
        <x:v>46</x:v>
      </x:c>
    </x:row>
    <x:row r="1906" spans="1:16">
      <x:c r="A1906" s="0" t="s">
        <x:v>7456</x:v>
      </x:c>
      <x:c r="B1906" s="0" t="s">
        <x:v>7457</x:v>
      </x:c>
      <x:c r="C1906" s="0" t="s">
        <x:v>7458</x:v>
      </x:c>
      <x:c r="E1906" s="0" t="s">
        <x:v>7459</x:v>
      </x:c>
      <x:c r="F1906" s="0" t="s">
        <x:v>45</x:v>
      </x:c>
      <x:c r="G1906" s="0" t="s">
        <x:v>19</x:v>
      </x:c>
      <x:c r="H1906" s="0" t="s">
        <x:v>20</x:v>
      </x:c>
      <x:c r="I1906" s="0" t="s">
        <x:v>21</x:v>
      </x:c>
      <x:c r="K1906" s="0">
        <x:f>hyperlink("https://icd.who.int/dev11/l-ichi/en#/http%3A%2F%2Fid.who.int%2Ficd%2Fentity%2F1560637532","browser")</x:f>
      </x:c>
      <x:c r="L1906" s="0">
        <x:f>hyperlink("https://icat2.azurewebsites.net/icat/?ontology=ICD&amp;tab=ClassesTab&amp;id=http%3A%2F%2Fwho.int%2Ficd%236338_512ebf36_bf6b_4d70_85da_cf2637062af4","iCat")</x:f>
      </x:c>
      <x:c r="M1906" s="0" t="s">
        <x:v>21</x:v>
      </x:c>
      <x:c r="N1906" s="0" t="s">
        <x:v>46</x:v>
      </x:c>
    </x:row>
    <x:row r="1907" spans="1:16">
      <x:c r="A1907" s="0" t="s">
        <x:v>7460</x:v>
      </x:c>
      <x:c r="B1907" s="0" t="s">
        <x:v>7461</x:v>
      </x:c>
      <x:c r="C1907" s="0" t="s">
        <x:v>7462</x:v>
      </x:c>
      <x:c r="E1907" s="0" t="s">
        <x:v>7463</x:v>
      </x:c>
      <x:c r="F1907" s="0" t="s">
        <x:v>45</x:v>
      </x:c>
      <x:c r="G1907" s="0" t="s">
        <x:v>19</x:v>
      </x:c>
      <x:c r="H1907" s="0" t="s">
        <x:v>20</x:v>
      </x:c>
      <x:c r="I1907" s="0" t="s">
        <x:v>21</x:v>
      </x:c>
      <x:c r="K1907" s="0">
        <x:f>hyperlink("https://icd.who.int/dev11/l-ichi/en#/http%3A%2F%2Fid.who.int%2Ficd%2Fentity%2F1028781673","browser")</x:f>
      </x:c>
      <x:c r="L1907" s="0">
        <x:f>hyperlink("https://icat2.azurewebsites.net/icat/?ontology=ICD&amp;tab=ClassesTab&amp;id=http%3A%2F%2Fwho.int%2Ficd%2315462_4869915e_217e_423d_acb3_33c0f920ef4b","iCat")</x:f>
      </x:c>
      <x:c r="M1907" s="0" t="s">
        <x:v>21</x:v>
      </x:c>
      <x:c r="N1907" s="0" t="s">
        <x:v>46</x:v>
      </x:c>
    </x:row>
    <x:row r="1908" spans="1:16">
      <x:c r="A1908" s="0" t="s">
        <x:v>7464</x:v>
      </x:c>
      <x:c r="B1908" s="0" t="s">
        <x:v>7465</x:v>
      </x:c>
      <x:c r="C1908" s="0" t="s">
        <x:v>7466</x:v>
      </x:c>
      <x:c r="E1908" s="0" t="s">
        <x:v>7467</x:v>
      </x:c>
      <x:c r="F1908" s="0" t="s">
        <x:v>45</x:v>
      </x:c>
      <x:c r="G1908" s="0" t="s">
        <x:v>19</x:v>
      </x:c>
      <x:c r="H1908" s="0" t="s">
        <x:v>20</x:v>
      </x:c>
      <x:c r="I1908" s="0" t="s">
        <x:v>21</x:v>
      </x:c>
      <x:c r="K1908" s="0">
        <x:f>hyperlink("https://icd.who.int/dev11/l-ichi/en#/http%3A%2F%2Fid.who.int%2Ficd%2Fentity%2F917283931","browser")</x:f>
      </x:c>
      <x:c r="L1908" s="0">
        <x:f>hyperlink("https://icat2.azurewebsites.net/icat/?ontology=ICD&amp;tab=ClassesTab&amp;id=http%3A%2F%2Fwho.int%2Ficd%236345_512ebf36_bf6b_4d70_85da_cf2637062af4","iCat")</x:f>
      </x:c>
      <x:c r="M1908" s="0" t="s">
        <x:v>21</x:v>
      </x:c>
      <x:c r="N1908" s="0" t="s">
        <x:v>46</x:v>
      </x:c>
    </x:row>
    <x:row r="1909" spans="1:16">
      <x:c r="A1909" s="0" t="s">
        <x:v>7468</x:v>
      </x:c>
      <x:c r="B1909" s="0" t="s">
        <x:v>7469</x:v>
      </x:c>
      <x:c r="C1909" s="0" t="s">
        <x:v>7470</x:v>
      </x:c>
      <x:c r="E1909" s="0" t="s">
        <x:v>7471</x:v>
      </x:c>
      <x:c r="F1909" s="0" t="s">
        <x:v>45</x:v>
      </x:c>
      <x:c r="G1909" s="0" t="s">
        <x:v>19</x:v>
      </x:c>
      <x:c r="H1909" s="0" t="s">
        <x:v>20</x:v>
      </x:c>
      <x:c r="I1909" s="0" t="s">
        <x:v>21</x:v>
      </x:c>
      <x:c r="K1909" s="0">
        <x:f>hyperlink("https://icd.who.int/dev11/l-ichi/en#/http%3A%2F%2Fid.who.int%2Ficd%2Fentity%2F380410617","browser")</x:f>
      </x:c>
      <x:c r="L1909" s="0">
        <x:f>hyperlink("https://icat2.azurewebsites.net/icat/?ontology=ICD&amp;tab=ClassesTab&amp;id=http%3A%2F%2Fwho.int%2Ficd%2315468_4869915e_217e_423d_acb3_33c0f920ef4b","iCat")</x:f>
      </x:c>
      <x:c r="M1909" s="0" t="s">
        <x:v>21</x:v>
      </x:c>
      <x:c r="N1909" s="0" t="s">
        <x:v>46</x:v>
      </x:c>
    </x:row>
    <x:row r="1910" spans="1:16">
      <x:c r="A1910" s="0" t="s">
        <x:v>7472</x:v>
      </x:c>
      <x:c r="B1910" s="0" t="s">
        <x:v>7473</x:v>
      </x:c>
      <x:c r="C1910" s="0" t="s">
        <x:v>7474</x:v>
      </x:c>
      <x:c r="E1910" s="0" t="s">
        <x:v>7475</x:v>
      </x:c>
      <x:c r="F1910" s="0" t="s">
        <x:v>45</x:v>
      </x:c>
      <x:c r="G1910" s="0" t="s">
        <x:v>19</x:v>
      </x:c>
      <x:c r="H1910" s="0" t="s">
        <x:v>20</x:v>
      </x:c>
      <x:c r="I1910" s="0" t="s">
        <x:v>21</x:v>
      </x:c>
      <x:c r="K1910" s="0">
        <x:f>hyperlink("https://icd.who.int/dev11/l-ichi/en#/http%3A%2F%2Fid.who.int%2Ficd%2Fentity%2F1768879480","browser")</x:f>
      </x:c>
      <x:c r="L1910" s="0">
        <x:f>hyperlink("https://icat2.azurewebsites.net/icat/?ontology=ICD&amp;tab=ClassesTab&amp;id=http%3A%2F%2Fwho.int%2Ficd%236351_512ebf36_bf6b_4d70_85da_cf2637062af4","iCat")</x:f>
      </x:c>
      <x:c r="M1910" s="0" t="s">
        <x:v>21</x:v>
      </x:c>
      <x:c r="N1910" s="0" t="s">
        <x:v>46</x:v>
      </x:c>
    </x:row>
    <x:row r="1911" spans="1:16">
      <x:c r="A1911" s="0" t="s">
        <x:v>7476</x:v>
      </x:c>
      <x:c r="B1911" s="0" t="s">
        <x:v>7477</x:v>
      </x:c>
      <x:c r="C1911" s="0" t="s">
        <x:v>7478</x:v>
      </x:c>
      <x:c r="E1911" s="0" t="s">
        <x:v>7479</x:v>
      </x:c>
      <x:c r="F1911" s="0" t="s">
        <x:v>45</x:v>
      </x:c>
      <x:c r="G1911" s="0" t="s">
        <x:v>19</x:v>
      </x:c>
      <x:c r="H1911" s="0" t="s">
        <x:v>20</x:v>
      </x:c>
      <x:c r="I1911" s="0" t="s">
        <x:v>21</x:v>
      </x:c>
      <x:c r="K1911" s="0">
        <x:f>hyperlink("https://icd.who.int/dev11/l-ichi/en#/http%3A%2F%2Fid.who.int%2Ficd%2Fentity%2F670008365","browser")</x:f>
      </x:c>
      <x:c r="L1911" s="0">
        <x:f>hyperlink("https://icat2.azurewebsites.net/icat/?ontology=ICD&amp;tab=ClassesTab&amp;id=http%3A%2F%2Fwho.int%2Ficd%236359_512ebf36_bf6b_4d70_85da_cf2637062af4","iCat")</x:f>
      </x:c>
      <x:c r="M1911" s="0" t="s">
        <x:v>21</x:v>
      </x:c>
      <x:c r="N1911" s="0" t="s">
        <x:v>46</x:v>
      </x:c>
    </x:row>
    <x:row r="1912" spans="1:16">
      <x:c r="A1912" s="0" t="s">
        <x:v>7480</x:v>
      </x:c>
      <x:c r="B1912" s="0" t="s">
        <x:v>7481</x:v>
      </x:c>
      <x:c r="C1912" s="0" t="s">
        <x:v>7482</x:v>
      </x:c>
      <x:c r="E1912" s="0" t="s">
        <x:v>7483</x:v>
      </x:c>
      <x:c r="F1912" s="0" t="s">
        <x:v>45</x:v>
      </x:c>
      <x:c r="G1912" s="0" t="s">
        <x:v>19</x:v>
      </x:c>
      <x:c r="H1912" s="0" t="s">
        <x:v>20</x:v>
      </x:c>
      <x:c r="I1912" s="0" t="s">
        <x:v>21</x:v>
      </x:c>
      <x:c r="K1912" s="0">
        <x:f>hyperlink("https://icd.who.int/dev11/l-ichi/en#/http%3A%2F%2Fid.who.int%2Ficd%2Fentity%2F2040818894","browser")</x:f>
      </x:c>
      <x:c r="L1912" s="0">
        <x:f>hyperlink("https://icat2.azurewebsites.net/icat/?ontology=ICD&amp;tab=ClassesTab&amp;id=http%3A%2F%2Fwho.int%2Ficd%236367_512ebf36_bf6b_4d70_85da_cf2637062af4","iCat")</x:f>
      </x:c>
      <x:c r="M1912" s="0" t="s">
        <x:v>21</x:v>
      </x:c>
      <x:c r="N1912" s="0" t="s">
        <x:v>46</x:v>
      </x:c>
    </x:row>
    <x:row r="1913" spans="1:16">
      <x:c r="A1913" s="0" t="s">
        <x:v>7484</x:v>
      </x:c>
      <x:c r="B1913" s="0" t="s">
        <x:v>7485</x:v>
      </x:c>
      <x:c r="C1913" s="0" t="s">
        <x:v>7486</x:v>
      </x:c>
      <x:c r="E1913" s="0" t="s">
        <x:v>7487</x:v>
      </x:c>
      <x:c r="F1913" s="0" t="s">
        <x:v>45</x:v>
      </x:c>
      <x:c r="G1913" s="0" t="s">
        <x:v>19</x:v>
      </x:c>
      <x:c r="H1913" s="0" t="s">
        <x:v>20</x:v>
      </x:c>
      <x:c r="I1913" s="0" t="s">
        <x:v>21</x:v>
      </x:c>
      <x:c r="K1913" s="0">
        <x:f>hyperlink("https://icd.who.int/dev11/l-ichi/en#/http%3A%2F%2Fid.who.int%2Ficd%2Fentity%2F644234733","browser")</x:f>
      </x:c>
      <x:c r="L1913" s="0">
        <x:f>hyperlink("https://icat2.azurewebsites.net/icat/?ontology=ICD&amp;tab=ClassesTab&amp;id=http%3A%2F%2Fwho.int%2Ficd%236373_512ebf36_bf6b_4d70_85da_cf2637062af4","iCat")</x:f>
      </x:c>
      <x:c r="M1913" s="0" t="s">
        <x:v>21</x:v>
      </x:c>
      <x:c r="N1913" s="0" t="s">
        <x:v>46</x:v>
      </x:c>
    </x:row>
    <x:row r="1914" spans="1:16">
      <x:c r="A1914" s="0" t="s">
        <x:v>7488</x:v>
      </x:c>
      <x:c r="B1914" s="0" t="s">
        <x:v>7489</x:v>
      </x:c>
      <x:c r="C1914" s="0" t="s">
        <x:v>7490</x:v>
      </x:c>
      <x:c r="E1914" s="0" t="s">
        <x:v>7491</x:v>
      </x:c>
      <x:c r="F1914" s="0" t="s">
        <x:v>45</x:v>
      </x:c>
      <x:c r="G1914" s="0" t="s">
        <x:v>19</x:v>
      </x:c>
      <x:c r="H1914" s="0" t="s">
        <x:v>20</x:v>
      </x:c>
      <x:c r="I1914" s="0" t="s">
        <x:v>21</x:v>
      </x:c>
      <x:c r="K1914" s="0">
        <x:f>hyperlink("https://icd.who.int/dev11/l-ichi/en#/http%3A%2F%2Fid.who.int%2Ficd%2Fentity%2F1828547320","browser")</x:f>
      </x:c>
      <x:c r="L1914" s="0">
        <x:f>hyperlink("https://icat2.azurewebsites.net/icat/?ontology=ICD&amp;tab=ClassesTab&amp;id=http%3A%2F%2Fwho.int%2Ficd%236381_512ebf36_bf6b_4d70_85da_cf2637062af4","iCat")</x:f>
      </x:c>
      <x:c r="M1914" s="0" t="s">
        <x:v>21</x:v>
      </x:c>
      <x:c r="N1914" s="0" t="s">
        <x:v>46</x:v>
      </x:c>
    </x:row>
    <x:row r="1915" spans="1:16">
      <x:c r="A1915" s="0" t="s">
        <x:v>7492</x:v>
      </x:c>
      <x:c r="B1915" s="0" t="s">
        <x:v>7493</x:v>
      </x:c>
      <x:c r="C1915" s="0" t="s">
        <x:v>7494</x:v>
      </x:c>
      <x:c r="E1915" s="0" t="s">
        <x:v>7495</x:v>
      </x:c>
      <x:c r="F1915" s="0" t="s">
        <x:v>45</x:v>
      </x:c>
      <x:c r="G1915" s="0" t="s">
        <x:v>19</x:v>
      </x:c>
      <x:c r="H1915" s="0" t="s">
        <x:v>20</x:v>
      </x:c>
      <x:c r="I1915" s="0" t="s">
        <x:v>21</x:v>
      </x:c>
      <x:c r="K1915" s="0">
        <x:f>hyperlink("https://icd.who.int/dev11/l-ichi/en#/http%3A%2F%2Fid.who.int%2Ficd%2Fentity%2F1665458790","browser")</x:f>
      </x:c>
      <x:c r="L1915" s="0">
        <x:f>hyperlink("https://icat2.azurewebsites.net/icat/?ontology=ICD&amp;tab=ClassesTab&amp;id=http%3A%2F%2Fwho.int%2Ficd%236393_512ebf36_bf6b_4d70_85da_cf2637062af4","iCat")</x:f>
      </x:c>
      <x:c r="M1915" s="0" t="s">
        <x:v>21</x:v>
      </x:c>
      <x:c r="N1915" s="0" t="s">
        <x:v>46</x:v>
      </x:c>
    </x:row>
    <x:row r="1916" spans="1:16">
      <x:c r="A1916" s="0" t="s">
        <x:v>7496</x:v>
      </x:c>
      <x:c r="B1916" s="0" t="s">
        <x:v>7497</x:v>
      </x:c>
      <x:c r="C1916" s="0" t="s">
        <x:v>7498</x:v>
      </x:c>
      <x:c r="E1916" s="0" t="s">
        <x:v>7499</x:v>
      </x:c>
      <x:c r="F1916" s="0" t="s">
        <x:v>45</x:v>
      </x:c>
      <x:c r="G1916" s="0" t="s">
        <x:v>19</x:v>
      </x:c>
      <x:c r="H1916" s="0" t="s">
        <x:v>20</x:v>
      </x:c>
      <x:c r="I1916" s="0" t="s">
        <x:v>21</x:v>
      </x:c>
      <x:c r="K1916" s="0">
        <x:f>hyperlink("https://icd.who.int/dev11/l-ichi/en#/http%3A%2F%2Fid.who.int%2Ficd%2Fentity%2F1511584935","browser")</x:f>
      </x:c>
      <x:c r="L1916" s="0">
        <x:f>hyperlink("https://icat2.azurewebsites.net/icat/?ontology=ICD&amp;tab=ClassesTab&amp;id=http%3A%2F%2Fwho.int%2Ficd%236402_512ebf36_bf6b_4d70_85da_cf2637062af4","iCat")</x:f>
      </x:c>
      <x:c r="M1916" s="0" t="s">
        <x:v>21</x:v>
      </x:c>
      <x:c r="N1916" s="0" t="s">
        <x:v>46</x:v>
      </x:c>
    </x:row>
    <x:row r="1917" spans="1:16">
      <x:c r="A1917" s="0" t="s">
        <x:v>7500</x:v>
      </x:c>
      <x:c r="B1917" s="0" t="s">
        <x:v>7501</x:v>
      </x:c>
      <x:c r="C1917" s="0" t="s">
        <x:v>7502</x:v>
      </x:c>
      <x:c r="E1917" s="0" t="s">
        <x:v>7503</x:v>
      </x:c>
      <x:c r="F1917" s="0" t="s">
        <x:v>45</x:v>
      </x:c>
      <x:c r="G1917" s="0" t="s">
        <x:v>19</x:v>
      </x:c>
      <x:c r="H1917" s="0" t="s">
        <x:v>20</x:v>
      </x:c>
      <x:c r="I1917" s="0" t="s">
        <x:v>21</x:v>
      </x:c>
      <x:c r="K1917" s="0">
        <x:f>hyperlink("https://icd.who.int/dev11/l-ichi/en#/http%3A%2F%2Fid.who.int%2Ficd%2Fentity%2F1968705033","browser")</x:f>
      </x:c>
      <x:c r="L1917" s="0">
        <x:f>hyperlink("https://icat2.azurewebsites.net/icat/?ontology=ICD&amp;tab=ClassesTab&amp;id=http%3A%2F%2Fwho.int%2Ficd%236411_512ebf36_bf6b_4d70_85da_cf2637062af4","iCat")</x:f>
      </x:c>
      <x:c r="M1917" s="0" t="s">
        <x:v>21</x:v>
      </x:c>
      <x:c r="N1917" s="0" t="s">
        <x:v>46</x:v>
      </x:c>
    </x:row>
    <x:row r="1918" spans="1:16">
      <x:c r="A1918" s="0" t="s">
        <x:v>7504</x:v>
      </x:c>
      <x:c r="B1918" s="0" t="s">
        <x:v>7505</x:v>
      </x:c>
      <x:c r="C1918" s="0" t="s">
        <x:v>7506</x:v>
      </x:c>
      <x:c r="E1918" s="0" t="s">
        <x:v>7507</x:v>
      </x:c>
      <x:c r="F1918" s="0" t="s">
        <x:v>45</x:v>
      </x:c>
      <x:c r="G1918" s="0" t="s">
        <x:v>19</x:v>
      </x:c>
      <x:c r="H1918" s="0" t="s">
        <x:v>20</x:v>
      </x:c>
      <x:c r="I1918" s="0" t="s">
        <x:v>21</x:v>
      </x:c>
      <x:c r="K1918" s="0">
        <x:f>hyperlink("https://icd.who.int/dev11/l-ichi/en#/http%3A%2F%2Fid.who.int%2Ficd%2Fentity%2F1004109662","browser")</x:f>
      </x:c>
      <x:c r="L1918" s="0">
        <x:f>hyperlink("https://icat2.azurewebsites.net/icat/?ontology=ICD&amp;tab=ClassesTab&amp;id=http%3A%2F%2Fwho.int%2Ficd%236419_512ebf36_bf6b_4d70_85da_cf2637062af4","iCat")</x:f>
      </x:c>
      <x:c r="M1918" s="0" t="s">
        <x:v>21</x:v>
      </x:c>
      <x:c r="N1918" s="0" t="s">
        <x:v>46</x:v>
      </x:c>
    </x:row>
    <x:row r="1919" spans="1:16">
      <x:c r="A1919" s="0" t="s">
        <x:v>7508</x:v>
      </x:c>
      <x:c r="B1919" s="0" t="s">
        <x:v>7509</x:v>
      </x:c>
      <x:c r="C1919" s="0" t="s">
        <x:v>7510</x:v>
      </x:c>
      <x:c r="E1919" s="0" t="s">
        <x:v>7511</x:v>
      </x:c>
      <x:c r="F1919" s="0" t="s">
        <x:v>45</x:v>
      </x:c>
      <x:c r="G1919" s="0" t="s">
        <x:v>19</x:v>
      </x:c>
      <x:c r="H1919" s="0" t="s">
        <x:v>20</x:v>
      </x:c>
      <x:c r="I1919" s="0" t="s">
        <x:v>21</x:v>
      </x:c>
      <x:c r="K1919" s="0">
        <x:f>hyperlink("https://icd.who.int/dev11/l-ichi/en#/http%3A%2F%2Fid.who.int%2Ficd%2Fentity%2F15633020","browser")</x:f>
      </x:c>
      <x:c r="L1919" s="0">
        <x:f>hyperlink("https://icat2.azurewebsites.net/icat/?ontology=ICD&amp;tab=ClassesTab&amp;id=http%3A%2F%2Fwho.int%2Ficd%236425_512ebf36_bf6b_4d70_85da_cf2637062af4","iCat")</x:f>
      </x:c>
      <x:c r="M1919" s="0" t="s">
        <x:v>21</x:v>
      </x:c>
      <x:c r="N1919" s="0" t="s">
        <x:v>46</x:v>
      </x:c>
    </x:row>
    <x:row r="1920" spans="1:16">
      <x:c r="A1920" s="0" t="s">
        <x:v>7512</x:v>
      </x:c>
      <x:c r="B1920" s="0" t="s">
        <x:v>7513</x:v>
      </x:c>
      <x:c r="C1920" s="0" t="s">
        <x:v>7514</x:v>
      </x:c>
      <x:c r="E1920" s="0" t="s">
        <x:v>7515</x:v>
      </x:c>
      <x:c r="F1920" s="0" t="s">
        <x:v>45</x:v>
      </x:c>
      <x:c r="G1920" s="0" t="s">
        <x:v>19</x:v>
      </x:c>
      <x:c r="H1920" s="0" t="s">
        <x:v>20</x:v>
      </x:c>
      <x:c r="I1920" s="0" t="s">
        <x:v>21</x:v>
      </x:c>
      <x:c r="K1920" s="0">
        <x:f>hyperlink("https://icd.who.int/dev11/l-ichi/en#/http%3A%2F%2Fid.who.int%2Ficd%2Fentity%2F1596775257","browser")</x:f>
      </x:c>
      <x:c r="L1920" s="0">
        <x:f>hyperlink("https://icat2.azurewebsites.net/icat/?ontology=ICD&amp;tab=ClassesTab&amp;id=http%3A%2F%2Fwho.int%2Ficd%236431_512ebf36_bf6b_4d70_85da_cf2637062af4","iCat")</x:f>
      </x:c>
      <x:c r="M1920" s="0" t="s">
        <x:v>21</x:v>
      </x:c>
      <x:c r="N1920" s="0" t="s">
        <x:v>46</x:v>
      </x:c>
    </x:row>
    <x:row r="1921" spans="1:16">
      <x:c r="A1921" s="0" t="s">
        <x:v>7516</x:v>
      </x:c>
      <x:c r="B1921" s="0" t="s">
        <x:v>7517</x:v>
      </x:c>
      <x:c r="C1921" s="0" t="s">
        <x:v>7518</x:v>
      </x:c>
      <x:c r="E1921" s="0" t="s">
        <x:v>7519</x:v>
      </x:c>
      <x:c r="F1921" s="0" t="s">
        <x:v>45</x:v>
      </x:c>
      <x:c r="G1921" s="0" t="s">
        <x:v>19</x:v>
      </x:c>
      <x:c r="H1921" s="0" t="s">
        <x:v>20</x:v>
      </x:c>
      <x:c r="I1921" s="0" t="s">
        <x:v>21</x:v>
      </x:c>
      <x:c r="K1921" s="0">
        <x:f>hyperlink("https://icd.who.int/dev11/l-ichi/en#/http%3A%2F%2Fid.who.int%2Ficd%2Fentity%2F257360618","browser")</x:f>
      </x:c>
      <x:c r="L1921" s="0">
        <x:f>hyperlink("https://icat2.azurewebsites.net/icat/?ontology=ICD&amp;tab=ClassesTab&amp;id=http%3A%2F%2Fwho.int%2Ficd%236437_512ebf36_bf6b_4d70_85da_cf2637062af4","iCat")</x:f>
      </x:c>
      <x:c r="M1921" s="0" t="s">
        <x:v>21</x:v>
      </x:c>
      <x:c r="N1921" s="0" t="s">
        <x:v>46</x:v>
      </x:c>
    </x:row>
    <x:row r="1922" spans="1:16">
      <x:c r="A1922" s="0" t="s">
        <x:v>7520</x:v>
      </x:c>
      <x:c r="B1922" s="0" t="s">
        <x:v>7521</x:v>
      </x:c>
      <x:c r="C1922" s="0" t="s">
        <x:v>7522</x:v>
      </x:c>
      <x:c r="E1922" s="0" t="s">
        <x:v>7523</x:v>
      </x:c>
      <x:c r="F1922" s="0" t="s">
        <x:v>45</x:v>
      </x:c>
      <x:c r="G1922" s="0" t="s">
        <x:v>19</x:v>
      </x:c>
      <x:c r="H1922" s="0" t="s">
        <x:v>20</x:v>
      </x:c>
      <x:c r="I1922" s="0" t="s">
        <x:v>21</x:v>
      </x:c>
      <x:c r="K1922" s="0">
        <x:f>hyperlink("https://icd.who.int/dev11/l-ichi/en#/http%3A%2F%2Fid.who.int%2Ficd%2Fentity%2F133151375","browser")</x:f>
      </x:c>
      <x:c r="L1922" s="0">
        <x:f>hyperlink("https://icat2.azurewebsites.net/icat/?ontology=ICD&amp;tab=ClassesTab&amp;id=http%3A%2F%2Fwho.int%2Ficd%2315474_4869915e_217e_423d_acb3_33c0f920ef4b","iCat")</x:f>
      </x:c>
      <x:c r="M1922" s="0" t="s">
        <x:v>21</x:v>
      </x:c>
      <x:c r="N1922" s="0" t="s">
        <x:v>46</x:v>
      </x:c>
    </x:row>
    <x:row r="1923" spans="1:16">
      <x:c r="A1923" s="0" t="s">
        <x:v>7524</x:v>
      </x:c>
      <x:c r="B1923" s="0" t="s">
        <x:v>7525</x:v>
      </x:c>
      <x:c r="C1923" s="0" t="s">
        <x:v>7526</x:v>
      </x:c>
      <x:c r="E1923" s="0" t="s">
        <x:v>7527</x:v>
      </x:c>
      <x:c r="F1923" s="0" t="s">
        <x:v>45</x:v>
      </x:c>
      <x:c r="G1923" s="0" t="s">
        <x:v>19</x:v>
      </x:c>
      <x:c r="H1923" s="0" t="s">
        <x:v>20</x:v>
      </x:c>
      <x:c r="I1923" s="0" t="s">
        <x:v>21</x:v>
      </x:c>
      <x:c r="K1923" s="0">
        <x:f>hyperlink("https://icd.who.int/dev11/l-ichi/en#/http%3A%2F%2Fid.who.int%2Ficd%2Fentity%2F487535653","browser")</x:f>
      </x:c>
      <x:c r="L1923" s="0">
        <x:f>hyperlink("https://icat2.azurewebsites.net/icat/?ontology=ICD&amp;tab=ClassesTab&amp;id=http%3A%2F%2Fwho.int%2Ficd%2315480_4869915e_217e_423d_acb3_33c0f920ef4b","iCat")</x:f>
      </x:c>
      <x:c r="M1923" s="0" t="s">
        <x:v>21</x:v>
      </x:c>
      <x:c r="N1923" s="0" t="s">
        <x:v>46</x:v>
      </x:c>
    </x:row>
    <x:row r="1924" spans="1:16">
      <x:c r="A1924" s="0" t="s">
        <x:v>7528</x:v>
      </x:c>
      <x:c r="B1924" s="0" t="s">
        <x:v>7529</x:v>
      </x:c>
      <x:c r="C1924" s="0" t="s">
        <x:v>7530</x:v>
      </x:c>
      <x:c r="E1924" s="0" t="s">
        <x:v>7531</x:v>
      </x:c>
      <x:c r="F1924" s="0" t="s">
        <x:v>45</x:v>
      </x:c>
      <x:c r="G1924" s="0" t="s">
        <x:v>19</x:v>
      </x:c>
      <x:c r="H1924" s="0" t="s">
        <x:v>20</x:v>
      </x:c>
      <x:c r="I1924" s="0" t="s">
        <x:v>21</x:v>
      </x:c>
      <x:c r="K1924" s="0">
        <x:f>hyperlink("https://icd.who.int/dev11/l-ichi/en#/http%3A%2F%2Fid.who.int%2Ficd%2Fentity%2F2047114763","browser")</x:f>
      </x:c>
      <x:c r="L1924" s="0">
        <x:f>hyperlink("https://icat2.azurewebsites.net/icat/?ontology=ICD&amp;tab=ClassesTab&amp;id=http%3A%2F%2Fwho.int%2Ficd%236444_512ebf36_bf6b_4d70_85da_cf2637062af4","iCat")</x:f>
      </x:c>
      <x:c r="M1924" s="0" t="s">
        <x:v>21</x:v>
      </x:c>
      <x:c r="N1924" s="0" t="s">
        <x:v>46</x:v>
      </x:c>
    </x:row>
    <x:row r="1925" spans="1:16">
      <x:c r="A1925" s="0" t="s">
        <x:v>7532</x:v>
      </x:c>
      <x:c r="B1925" s="0" t="s">
        <x:v>7533</x:v>
      </x:c>
      <x:c r="C1925" s="0" t="s">
        <x:v>7534</x:v>
      </x:c>
      <x:c r="E1925" s="0" t="s">
        <x:v>7535</x:v>
      </x:c>
      <x:c r="F1925" s="0" t="s">
        <x:v>45</x:v>
      </x:c>
      <x:c r="G1925" s="0" t="s">
        <x:v>19</x:v>
      </x:c>
      <x:c r="H1925" s="0" t="s">
        <x:v>20</x:v>
      </x:c>
      <x:c r="I1925" s="0" t="s">
        <x:v>21</x:v>
      </x:c>
      <x:c r="K1925" s="0">
        <x:f>hyperlink("https://icd.who.int/dev11/l-ichi/en#/http%3A%2F%2Fid.who.int%2Ficd%2Fentity%2F88038678","browser")</x:f>
      </x:c>
      <x:c r="L1925" s="0">
        <x:f>hyperlink("https://icat2.azurewebsites.net/icat/?ontology=ICD&amp;tab=ClassesTab&amp;id=http%3A%2F%2Fwho.int%2Ficd%236451_512ebf36_bf6b_4d70_85da_cf2637062af4","iCat")</x:f>
      </x:c>
      <x:c r="M1925" s="0" t="s">
        <x:v>21</x:v>
      </x:c>
      <x:c r="N1925" s="0" t="s">
        <x:v>46</x:v>
      </x:c>
    </x:row>
    <x:row r="1926" spans="1:16">
      <x:c r="A1926" s="0" t="s">
        <x:v>7536</x:v>
      </x:c>
      <x:c r="B1926" s="0" t="s">
        <x:v>7537</x:v>
      </x:c>
      <x:c r="C1926" s="0" t="s">
        <x:v>7538</x:v>
      </x:c>
      <x:c r="E1926" s="0" t="s">
        <x:v>7539</x:v>
      </x:c>
      <x:c r="F1926" s="0" t="s">
        <x:v>45</x:v>
      </x:c>
      <x:c r="G1926" s="0" t="s">
        <x:v>19</x:v>
      </x:c>
      <x:c r="H1926" s="0" t="s">
        <x:v>20</x:v>
      </x:c>
      <x:c r="I1926" s="0" t="s">
        <x:v>21</x:v>
      </x:c>
      <x:c r="K1926" s="0">
        <x:f>hyperlink("https://icd.who.int/dev11/l-ichi/en#/http%3A%2F%2Fid.who.int%2Ficd%2Fentity%2F1270754369","browser")</x:f>
      </x:c>
      <x:c r="L1926" s="0">
        <x:f>hyperlink("https://icat2.azurewebsites.net/icat/?ontology=ICD&amp;tab=ClassesTab&amp;id=http%3A%2F%2Fwho.int%2Ficd%236459_512ebf36_bf6b_4d70_85da_cf2637062af4","iCat")</x:f>
      </x:c>
      <x:c r="M1926" s="0" t="s">
        <x:v>21</x:v>
      </x:c>
      <x:c r="N1926" s="0" t="s">
        <x:v>46</x:v>
      </x:c>
    </x:row>
    <x:row r="1927" spans="1:16">
      <x:c r="A1927" s="0" t="s">
        <x:v>7540</x:v>
      </x:c>
      <x:c r="B1927" s="0" t="s">
        <x:v>7541</x:v>
      </x:c>
      <x:c r="C1927" s="0" t="s">
        <x:v>7542</x:v>
      </x:c>
      <x:c r="E1927" s="0" t="s">
        <x:v>7543</x:v>
      </x:c>
      <x:c r="F1927" s="0" t="s">
        <x:v>45</x:v>
      </x:c>
      <x:c r="G1927" s="0" t="s">
        <x:v>19</x:v>
      </x:c>
      <x:c r="H1927" s="0" t="s">
        <x:v>20</x:v>
      </x:c>
      <x:c r="I1927" s="0" t="s">
        <x:v>21</x:v>
      </x:c>
      <x:c r="K1927" s="0">
        <x:f>hyperlink("https://icd.who.int/dev11/l-ichi/en#/http%3A%2F%2Fid.who.int%2Ficd%2Fentity%2F368428196","browser")</x:f>
      </x:c>
      <x:c r="L1927" s="0">
        <x:f>hyperlink("https://icat2.azurewebsites.net/icat/?ontology=ICD&amp;tab=ClassesTab&amp;id=http%3A%2F%2Fwho.int%2Ficd%236467_512ebf36_bf6b_4d70_85da_cf2637062af4","iCat")</x:f>
      </x:c>
      <x:c r="M1927" s="0" t="s">
        <x:v>21</x:v>
      </x:c>
      <x:c r="N1927" s="0" t="s">
        <x:v>46</x:v>
      </x:c>
    </x:row>
    <x:row r="1928" spans="1:16">
      <x:c r="A1928" s="0" t="s">
        <x:v>7544</x:v>
      </x:c>
      <x:c r="B1928" s="0" t="s">
        <x:v>7545</x:v>
      </x:c>
      <x:c r="C1928" s="0" t="s">
        <x:v>7546</x:v>
      </x:c>
      <x:c r="E1928" s="0" t="s">
        <x:v>7547</x:v>
      </x:c>
      <x:c r="F1928" s="0" t="s">
        <x:v>45</x:v>
      </x:c>
      <x:c r="G1928" s="0" t="s">
        <x:v>19</x:v>
      </x:c>
      <x:c r="H1928" s="0" t="s">
        <x:v>20</x:v>
      </x:c>
      <x:c r="I1928" s="0" t="s">
        <x:v>21</x:v>
      </x:c>
      <x:c r="K1928" s="0">
        <x:f>hyperlink("https://icd.who.int/dev11/l-ichi/en#/http%3A%2F%2Fid.who.int%2Ficd%2Fentity%2F2133873141","browser")</x:f>
      </x:c>
      <x:c r="L1928" s="0">
        <x:f>hyperlink("https://icat2.azurewebsites.net/icat/?ontology=ICD&amp;tab=ClassesTab&amp;id=http%3A%2F%2Fwho.int%2Ficd%236477_512ebf36_bf6b_4d70_85da_cf2637062af4","iCat")</x:f>
      </x:c>
      <x:c r="M1928" s="0" t="s">
        <x:v>21</x:v>
      </x:c>
      <x:c r="N1928" s="0" t="s">
        <x:v>46</x:v>
      </x:c>
    </x:row>
    <x:row r="1929" spans="1:16">
      <x:c r="A1929" s="0" t="s">
        <x:v>7548</x:v>
      </x:c>
      <x:c r="B1929" s="0" t="s">
        <x:v>7549</x:v>
      </x:c>
      <x:c r="C1929" s="0" t="s">
        <x:v>7550</x:v>
      </x:c>
      <x:c r="E1929" s="0" t="s">
        <x:v>7551</x:v>
      </x:c>
      <x:c r="F1929" s="0" t="s">
        <x:v>45</x:v>
      </x:c>
      <x:c r="G1929" s="0" t="s">
        <x:v>19</x:v>
      </x:c>
      <x:c r="H1929" s="0" t="s">
        <x:v>20</x:v>
      </x:c>
      <x:c r="I1929" s="0" t="s">
        <x:v>21</x:v>
      </x:c>
      <x:c r="K1929" s="0">
        <x:f>hyperlink("https://icd.who.int/dev11/l-ichi/en#/http%3A%2F%2Fid.who.int%2Ficd%2Fentity%2F1882089751","browser")</x:f>
      </x:c>
      <x:c r="L1929" s="0">
        <x:f>hyperlink("https://icat2.azurewebsites.net/icat/?ontology=ICD&amp;tab=ClassesTab&amp;id=http%3A%2F%2Fwho.int%2Ficd%236486_512ebf36_bf6b_4d70_85da_cf2637062af4","iCat")</x:f>
      </x:c>
      <x:c r="M1929" s="0" t="s">
        <x:v>21</x:v>
      </x:c>
      <x:c r="N1929" s="0" t="s">
        <x:v>46</x:v>
      </x:c>
    </x:row>
    <x:row r="1930" spans="1:16">
      <x:c r="A1930" s="0" t="s">
        <x:v>7552</x:v>
      </x:c>
      <x:c r="B1930" s="0" t="s">
        <x:v>7553</x:v>
      </x:c>
      <x:c r="C1930" s="0" t="s">
        <x:v>7554</x:v>
      </x:c>
      <x:c r="E1930" s="0" t="s">
        <x:v>7555</x:v>
      </x:c>
      <x:c r="F1930" s="0" t="s">
        <x:v>45</x:v>
      </x:c>
      <x:c r="G1930" s="0" t="s">
        <x:v>19</x:v>
      </x:c>
      <x:c r="H1930" s="0" t="s">
        <x:v>20</x:v>
      </x:c>
      <x:c r="I1930" s="0" t="s">
        <x:v>21</x:v>
      </x:c>
      <x:c r="K1930" s="0">
        <x:f>hyperlink("https://icd.who.int/dev11/l-ichi/en#/http%3A%2F%2Fid.who.int%2Ficd%2Fentity%2F1601082297","browser")</x:f>
      </x:c>
      <x:c r="L1930" s="0">
        <x:f>hyperlink("https://icat2.azurewebsites.net/icat/?ontology=ICD&amp;tab=ClassesTab&amp;id=http%3A%2F%2Fwho.int%2Ficd%236495_512ebf36_bf6b_4d70_85da_cf2637062af4","iCat")</x:f>
      </x:c>
      <x:c r="M1930" s="0" t="s">
        <x:v>21</x:v>
      </x:c>
      <x:c r="N1930" s="0" t="s">
        <x:v>46</x:v>
      </x:c>
    </x:row>
    <x:row r="1931" spans="1:16">
      <x:c r="A1931" s="0" t="s">
        <x:v>7556</x:v>
      </x:c>
      <x:c r="B1931" s="0" t="s">
        <x:v>7557</x:v>
      </x:c>
      <x:c r="C1931" s="0" t="s">
        <x:v>7558</x:v>
      </x:c>
      <x:c r="E1931" s="0" t="s">
        <x:v>7559</x:v>
      </x:c>
      <x:c r="F1931" s="0" t="s">
        <x:v>45</x:v>
      </x:c>
      <x:c r="G1931" s="0" t="s">
        <x:v>19</x:v>
      </x:c>
      <x:c r="H1931" s="0" t="s">
        <x:v>20</x:v>
      </x:c>
      <x:c r="I1931" s="0" t="s">
        <x:v>21</x:v>
      </x:c>
      <x:c r="K1931" s="0">
        <x:f>hyperlink("https://icd.who.int/dev11/l-ichi/en#/http%3A%2F%2Fid.who.int%2Ficd%2Fentity%2F259932168","browser")</x:f>
      </x:c>
      <x:c r="L1931" s="0">
        <x:f>hyperlink("https://icat2.azurewebsites.net/icat/?ontology=ICD&amp;tab=ClassesTab&amp;id=http%3A%2F%2Fwho.int%2Ficd%236503_512ebf36_bf6b_4d70_85da_cf2637062af4","iCat")</x:f>
      </x:c>
      <x:c r="M1931" s="0" t="s">
        <x:v>21</x:v>
      </x:c>
      <x:c r="N1931" s="0" t="s">
        <x:v>46</x:v>
      </x:c>
    </x:row>
    <x:row r="1932" spans="1:16">
      <x:c r="A1932" s="0" t="s">
        <x:v>7560</x:v>
      </x:c>
      <x:c r="B1932" s="0" t="s">
        <x:v>7561</x:v>
      </x:c>
      <x:c r="C1932" s="0" t="s">
        <x:v>7562</x:v>
      </x:c>
      <x:c r="E1932" s="0" t="s">
        <x:v>7563</x:v>
      </x:c>
      <x:c r="F1932" s="0" t="s">
        <x:v>45</x:v>
      </x:c>
      <x:c r="G1932" s="0" t="s">
        <x:v>19</x:v>
      </x:c>
      <x:c r="H1932" s="0" t="s">
        <x:v>20</x:v>
      </x:c>
      <x:c r="I1932" s="0" t="s">
        <x:v>21</x:v>
      </x:c>
      <x:c r="K1932" s="0">
        <x:f>hyperlink("https://icd.who.int/dev11/l-ichi/en#/http%3A%2F%2Fid.who.int%2Ficd%2Fentity%2F612576408","browser")</x:f>
      </x:c>
      <x:c r="L1932" s="0">
        <x:f>hyperlink("https://icat2.azurewebsites.net/icat/?ontology=ICD&amp;tab=ClassesTab&amp;id=http%3A%2F%2Fwho.int%2Ficd%236509_512ebf36_bf6b_4d70_85da_cf2637062af4","iCat")</x:f>
      </x:c>
      <x:c r="M1932" s="0" t="s">
        <x:v>21</x:v>
      </x:c>
      <x:c r="N1932" s="0" t="s">
        <x:v>46</x:v>
      </x:c>
    </x:row>
    <x:row r="1933" spans="1:16">
      <x:c r="A1933" s="0" t="s">
        <x:v>7564</x:v>
      </x:c>
      <x:c r="B1933" s="0" t="s">
        <x:v>7565</x:v>
      </x:c>
      <x:c r="C1933" s="0" t="s">
        <x:v>7566</x:v>
      </x:c>
      <x:c r="E1933" s="0" t="s">
        <x:v>7567</x:v>
      </x:c>
      <x:c r="F1933" s="0" t="s">
        <x:v>45</x:v>
      </x:c>
      <x:c r="G1933" s="0" t="s">
        <x:v>19</x:v>
      </x:c>
      <x:c r="H1933" s="0" t="s">
        <x:v>20</x:v>
      </x:c>
      <x:c r="I1933" s="0" t="s">
        <x:v>21</x:v>
      </x:c>
      <x:c r="K1933" s="0">
        <x:f>hyperlink("https://icd.who.int/dev11/l-ichi/en#/http%3A%2F%2Fid.who.int%2Ficd%2Fentity%2F901778656","browser")</x:f>
      </x:c>
      <x:c r="L1933" s="0">
        <x:f>hyperlink("https://icat2.azurewebsites.net/icat/?ontology=ICD&amp;tab=ClassesTab&amp;id=http%3A%2F%2Fwho.int%2Ficd%236515_512ebf36_bf6b_4d70_85da_cf2637062af4","iCat")</x:f>
      </x:c>
      <x:c r="M1933" s="0" t="s">
        <x:v>21</x:v>
      </x:c>
      <x:c r="N1933" s="0" t="s">
        <x:v>46</x:v>
      </x:c>
    </x:row>
    <x:row r="1934" spans="1:16">
      <x:c r="A1934" s="0" t="s">
        <x:v>7568</x:v>
      </x:c>
      <x:c r="B1934" s="0" t="s">
        <x:v>7569</x:v>
      </x:c>
      <x:c r="C1934" s="0" t="s">
        <x:v>7570</x:v>
      </x:c>
      <x:c r="E1934" s="0" t="s">
        <x:v>7571</x:v>
      </x:c>
      <x:c r="F1934" s="0" t="s">
        <x:v>45</x:v>
      </x:c>
      <x:c r="G1934" s="0" t="s">
        <x:v>19</x:v>
      </x:c>
      <x:c r="H1934" s="0" t="s">
        <x:v>20</x:v>
      </x:c>
      <x:c r="I1934" s="0" t="s">
        <x:v>21</x:v>
      </x:c>
      <x:c r="K1934" s="0">
        <x:f>hyperlink("https://icd.who.int/dev11/l-ichi/en#/http%3A%2F%2Fid.who.int%2Ficd%2Fentity%2F1081510035","browser")</x:f>
      </x:c>
      <x:c r="L1934" s="0">
        <x:f>hyperlink("https://icat2.azurewebsites.net/icat/?ontology=ICD&amp;tab=ClassesTab&amp;id=http%3A%2F%2Fwho.int%2Ficd%236521_512ebf36_bf6b_4d70_85da_cf2637062af4","iCat")</x:f>
      </x:c>
      <x:c r="M1934" s="0" t="s">
        <x:v>21</x:v>
      </x:c>
      <x:c r="N1934" s="0" t="s">
        <x:v>46</x:v>
      </x:c>
    </x:row>
    <x:row r="1935" spans="1:16">
      <x:c r="A1935" s="0" t="s">
        <x:v>7572</x:v>
      </x:c>
      <x:c r="B1935" s="0" t="s">
        <x:v>7573</x:v>
      </x:c>
      <x:c r="C1935" s="0" t="s">
        <x:v>7574</x:v>
      </x:c>
      <x:c r="E1935" s="0" t="s">
        <x:v>7575</x:v>
      </x:c>
      <x:c r="F1935" s="0" t="s">
        <x:v>45</x:v>
      </x:c>
      <x:c r="G1935" s="0" t="s">
        <x:v>19</x:v>
      </x:c>
      <x:c r="H1935" s="0" t="s">
        <x:v>20</x:v>
      </x:c>
      <x:c r="I1935" s="0" t="s">
        <x:v>21</x:v>
      </x:c>
      <x:c r="K1935" s="0">
        <x:f>hyperlink("https://icd.who.int/dev11/l-ichi/en#/http%3A%2F%2Fid.who.int%2Ficd%2Fentity%2F1299508628","browser")</x:f>
      </x:c>
      <x:c r="L1935" s="0">
        <x:f>hyperlink("https://icat2.azurewebsites.net/icat/?ontology=ICD&amp;tab=ClassesTab&amp;id=http%3A%2F%2Fwho.int%2Ficd%2315486_4869915e_217e_423d_acb3_33c0f920ef4b","iCat")</x:f>
      </x:c>
      <x:c r="M1935" s="0" t="s">
        <x:v>21</x:v>
      </x:c>
      <x:c r="N1935" s="0" t="s">
        <x:v>46</x:v>
      </x:c>
    </x:row>
    <x:row r="1936" spans="1:16">
      <x:c r="A1936" s="0" t="s">
        <x:v>7576</x:v>
      </x:c>
      <x:c r="B1936" s="0" t="s">
        <x:v>7577</x:v>
      </x:c>
      <x:c r="C1936" s="0" t="s">
        <x:v>7578</x:v>
      </x:c>
      <x:c r="E1936" s="0" t="s">
        <x:v>7579</x:v>
      </x:c>
      <x:c r="F1936" s="0" t="s">
        <x:v>45</x:v>
      </x:c>
      <x:c r="G1936" s="0" t="s">
        <x:v>19</x:v>
      </x:c>
      <x:c r="H1936" s="0" t="s">
        <x:v>20</x:v>
      </x:c>
      <x:c r="I1936" s="0" t="s">
        <x:v>21</x:v>
      </x:c>
      <x:c r="K1936" s="0">
        <x:f>hyperlink("https://icd.who.int/dev11/l-ichi/en#/http%3A%2F%2Fid.who.int%2Ficd%2Fentity%2F313965751","browser")</x:f>
      </x:c>
      <x:c r="L1936" s="0">
        <x:f>hyperlink("https://icat2.azurewebsites.net/icat/?ontology=ICD&amp;tab=ClassesTab&amp;id=http%3A%2F%2Fwho.int%2Ficd%2315492_4869915e_217e_423d_acb3_33c0f920ef4b","iCat")</x:f>
      </x:c>
      <x:c r="M1936" s="0" t="s">
        <x:v>21</x:v>
      </x:c>
      <x:c r="N1936" s="0" t="s">
        <x:v>46</x:v>
      </x:c>
    </x:row>
    <x:row r="1937" spans="1:16">
      <x:c r="A1937" s="0" t="s">
        <x:v>7580</x:v>
      </x:c>
      <x:c r="B1937" s="0" t="s">
        <x:v>7581</x:v>
      </x:c>
      <x:c r="C1937" s="0" t="s">
        <x:v>7582</x:v>
      </x:c>
      <x:c r="E1937" s="0" t="s">
        <x:v>7583</x:v>
      </x:c>
      <x:c r="F1937" s="0" t="s">
        <x:v>45</x:v>
      </x:c>
      <x:c r="G1937" s="0" t="s">
        <x:v>19</x:v>
      </x:c>
      <x:c r="H1937" s="0" t="s">
        <x:v>20</x:v>
      </x:c>
      <x:c r="I1937" s="0" t="s">
        <x:v>21</x:v>
      </x:c>
      <x:c r="K1937" s="0">
        <x:f>hyperlink("https://icd.who.int/dev11/l-ichi/en#/http%3A%2F%2Fid.who.int%2Ficd%2Fentity%2F269308196","browser")</x:f>
      </x:c>
      <x:c r="L1937" s="0">
        <x:f>hyperlink("https://icat2.azurewebsites.net/icat/?ontology=ICD&amp;tab=ClassesTab&amp;id=http%3A%2F%2Fwho.int%2Ficd%236527_512ebf36_bf6b_4d70_85da_cf2637062af4","iCat")</x:f>
      </x:c>
      <x:c r="M1937" s="0" t="s">
        <x:v>21</x:v>
      </x:c>
      <x:c r="N1937" s="0" t="s">
        <x:v>46</x:v>
      </x:c>
    </x:row>
    <x:row r="1938" spans="1:16">
      <x:c r="A1938" s="0" t="s">
        <x:v>7584</x:v>
      </x:c>
      <x:c r="B1938" s="0" t="s">
        <x:v>7585</x:v>
      </x:c>
      <x:c r="C1938" s="0" t="s">
        <x:v>7586</x:v>
      </x:c>
      <x:c r="E1938" s="0" t="s">
        <x:v>7587</x:v>
      </x:c>
      <x:c r="F1938" s="0" t="s">
        <x:v>45</x:v>
      </x:c>
      <x:c r="G1938" s="0" t="s">
        <x:v>19</x:v>
      </x:c>
      <x:c r="H1938" s="0" t="s">
        <x:v>20</x:v>
      </x:c>
      <x:c r="I1938" s="0" t="s">
        <x:v>21</x:v>
      </x:c>
      <x:c r="K1938" s="0">
        <x:f>hyperlink("https://icd.who.int/dev11/l-ichi/en#/http%3A%2F%2Fid.who.int%2Ficd%2Fentity%2F531945906","browser")</x:f>
      </x:c>
      <x:c r="L1938" s="0">
        <x:f>hyperlink("https://icat2.azurewebsites.net/icat/?ontology=ICD&amp;tab=ClassesTab&amp;id=http%3A%2F%2Fwho.int%2Ficd%236535_512ebf36_bf6b_4d70_85da_cf2637062af4","iCat")</x:f>
      </x:c>
      <x:c r="M1938" s="0" t="s">
        <x:v>21</x:v>
      </x:c>
      <x:c r="N1938" s="0" t="s">
        <x:v>46</x:v>
      </x:c>
    </x:row>
    <x:row r="1939" spans="1:16">
      <x:c r="A1939" s="0" t="s">
        <x:v>7588</x:v>
      </x:c>
      <x:c r="B1939" s="0" t="s">
        <x:v>7589</x:v>
      </x:c>
      <x:c r="C1939" s="0" t="s">
        <x:v>7590</x:v>
      </x:c>
      <x:c r="E1939" s="0" t="s">
        <x:v>7591</x:v>
      </x:c>
      <x:c r="F1939" s="0" t="s">
        <x:v>45</x:v>
      </x:c>
      <x:c r="G1939" s="0" t="s">
        <x:v>19</x:v>
      </x:c>
      <x:c r="H1939" s="0" t="s">
        <x:v>20</x:v>
      </x:c>
      <x:c r="I1939" s="0" t="s">
        <x:v>21</x:v>
      </x:c>
      <x:c r="K1939" s="0">
        <x:f>hyperlink("https://icd.who.int/dev11/l-ichi/en#/http%3A%2F%2Fid.who.int%2Ficd%2Fentity%2F2132349723","browser")</x:f>
      </x:c>
      <x:c r="L1939" s="0">
        <x:f>hyperlink("https://icat2.azurewebsites.net/icat/?ontology=ICD&amp;tab=ClassesTab&amp;id=http%3A%2F%2Fwho.int%2Ficd%236543_512ebf36_bf6b_4d70_85da_cf2637062af4","iCat")</x:f>
      </x:c>
      <x:c r="M1939" s="0" t="s">
        <x:v>21</x:v>
      </x:c>
      <x:c r="N1939" s="0" t="s">
        <x:v>46</x:v>
      </x:c>
    </x:row>
    <x:row r="1940" spans="1:16">
      <x:c r="A1940" s="0" t="s">
        <x:v>7592</x:v>
      </x:c>
      <x:c r="B1940" s="0" t="s">
        <x:v>7593</x:v>
      </x:c>
      <x:c r="C1940" s="0" t="s">
        <x:v>7594</x:v>
      </x:c>
      <x:c r="E1940" s="0" t="s">
        <x:v>7595</x:v>
      </x:c>
      <x:c r="F1940" s="0" t="s">
        <x:v>45</x:v>
      </x:c>
      <x:c r="G1940" s="0" t="s">
        <x:v>19</x:v>
      </x:c>
      <x:c r="H1940" s="0" t="s">
        <x:v>20</x:v>
      </x:c>
      <x:c r="I1940" s="0" t="s">
        <x:v>21</x:v>
      </x:c>
      <x:c r="K1940" s="0">
        <x:f>hyperlink("https://icd.who.int/dev11/l-ichi/en#/http%3A%2F%2Fid.who.int%2Ficd%2Fentity%2F1889573769","browser")</x:f>
      </x:c>
      <x:c r="L1940" s="0">
        <x:f>hyperlink("https://icat2.azurewebsites.net/icat/?ontology=ICD&amp;tab=ClassesTab&amp;id=http%3A%2F%2Fwho.int%2Ficd%236551_512ebf36_bf6b_4d70_85da_cf2637062af4","iCat")</x:f>
      </x:c>
      <x:c r="M1940" s="0" t="s">
        <x:v>21</x:v>
      </x:c>
      <x:c r="N1940" s="0" t="s">
        <x:v>46</x:v>
      </x:c>
    </x:row>
    <x:row r="1941" spans="1:16">
      <x:c r="A1941" s="0" t="s">
        <x:v>7596</x:v>
      </x:c>
      <x:c r="B1941" s="0" t="s">
        <x:v>7597</x:v>
      </x:c>
      <x:c r="C1941" s="0" t="s">
        <x:v>7598</x:v>
      </x:c>
      <x:c r="E1941" s="0" t="s">
        <x:v>7599</x:v>
      </x:c>
      <x:c r="F1941" s="0" t="s">
        <x:v>45</x:v>
      </x:c>
      <x:c r="G1941" s="0" t="s">
        <x:v>19</x:v>
      </x:c>
      <x:c r="H1941" s="0" t="s">
        <x:v>20</x:v>
      </x:c>
      <x:c r="I1941" s="0" t="s">
        <x:v>21</x:v>
      </x:c>
      <x:c r="K1941" s="0">
        <x:f>hyperlink("https://icd.who.int/dev11/l-ichi/en#/http%3A%2F%2Fid.who.int%2Ficd%2Fentity%2F1972679799","browser")</x:f>
      </x:c>
      <x:c r="L1941" s="0">
        <x:f>hyperlink("https://icat2.azurewebsites.net/icat/?ontology=ICD&amp;tab=ClassesTab&amp;id=http%3A%2F%2Fwho.int%2Ficd%236562_512ebf36_bf6b_4d70_85da_cf2637062af4","iCat")</x:f>
      </x:c>
      <x:c r="M1941" s="0" t="s">
        <x:v>21</x:v>
      </x:c>
      <x:c r="N1941" s="0" t="s">
        <x:v>46</x:v>
      </x:c>
    </x:row>
    <x:row r="1942" spans="1:16">
      <x:c r="A1942" s="0" t="s">
        <x:v>7600</x:v>
      </x:c>
      <x:c r="B1942" s="0" t="s">
        <x:v>7601</x:v>
      </x:c>
      <x:c r="C1942" s="0" t="s">
        <x:v>7602</x:v>
      </x:c>
      <x:c r="E1942" s="0" t="s">
        <x:v>7603</x:v>
      </x:c>
      <x:c r="F1942" s="0" t="s">
        <x:v>45</x:v>
      </x:c>
      <x:c r="G1942" s="0" t="s">
        <x:v>19</x:v>
      </x:c>
      <x:c r="H1942" s="0" t="s">
        <x:v>20</x:v>
      </x:c>
      <x:c r="I1942" s="0" t="s">
        <x:v>21</x:v>
      </x:c>
      <x:c r="K1942" s="0">
        <x:f>hyperlink("https://icd.who.int/dev11/l-ichi/en#/http%3A%2F%2Fid.who.int%2Ficd%2Fentity%2F2049785061","browser")</x:f>
      </x:c>
      <x:c r="L1942" s="0">
        <x:f>hyperlink("https://icat2.azurewebsites.net/icat/?ontology=ICD&amp;tab=ClassesTab&amp;id=http%3A%2F%2Fwho.int%2Ficd%236570_512ebf36_bf6b_4d70_85da_cf2637062af4","iCat")</x:f>
      </x:c>
      <x:c r="M1942" s="0" t="s">
        <x:v>21</x:v>
      </x:c>
      <x:c r="N1942" s="0" t="s">
        <x:v>46</x:v>
      </x:c>
    </x:row>
    <x:row r="1943" spans="1:16">
      <x:c r="A1943" s="0" t="s">
        <x:v>7604</x:v>
      </x:c>
      <x:c r="B1943" s="0" t="s">
        <x:v>7605</x:v>
      </x:c>
      <x:c r="C1943" s="0" t="s">
        <x:v>7606</x:v>
      </x:c>
      <x:c r="E1943" s="0" t="s">
        <x:v>7607</x:v>
      </x:c>
      <x:c r="F1943" s="0" t="s">
        <x:v>45</x:v>
      </x:c>
      <x:c r="G1943" s="0" t="s">
        <x:v>19</x:v>
      </x:c>
      <x:c r="H1943" s="0" t="s">
        <x:v>20</x:v>
      </x:c>
      <x:c r="I1943" s="0" t="s">
        <x:v>21</x:v>
      </x:c>
      <x:c r="K1943" s="0">
        <x:f>hyperlink("https://icd.who.int/dev11/l-ichi/en#/http%3A%2F%2Fid.who.int%2Ficd%2Fentity%2F341131148","browser")</x:f>
      </x:c>
      <x:c r="L1943" s="0">
        <x:f>hyperlink("https://icat2.azurewebsites.net/icat/?ontology=ICD&amp;tab=ClassesTab&amp;id=http%3A%2F%2Fwho.int%2Ficd%236579_512ebf36_bf6b_4d70_85da_cf2637062af4","iCat")</x:f>
      </x:c>
      <x:c r="M1943" s="0" t="s">
        <x:v>21</x:v>
      </x:c>
      <x:c r="N1943" s="0" t="s">
        <x:v>46</x:v>
      </x:c>
    </x:row>
    <x:row r="1944" spans="1:16">
      <x:c r="A1944" s="0" t="s">
        <x:v>7608</x:v>
      </x:c>
      <x:c r="B1944" s="0" t="s">
        <x:v>7609</x:v>
      </x:c>
      <x:c r="C1944" s="0" t="s">
        <x:v>7610</x:v>
      </x:c>
      <x:c r="E1944" s="0" t="s">
        <x:v>7611</x:v>
      </x:c>
      <x:c r="F1944" s="0" t="s">
        <x:v>45</x:v>
      </x:c>
      <x:c r="G1944" s="0" t="s">
        <x:v>19</x:v>
      </x:c>
      <x:c r="H1944" s="0" t="s">
        <x:v>20</x:v>
      </x:c>
      <x:c r="I1944" s="0" t="s">
        <x:v>21</x:v>
      </x:c>
      <x:c r="K1944" s="0">
        <x:f>hyperlink("https://icd.who.int/dev11/l-ichi/en#/http%3A%2F%2Fid.who.int%2Ficd%2Fentity%2F457901936","browser")</x:f>
      </x:c>
      <x:c r="L1944" s="0">
        <x:f>hyperlink("https://icat2.azurewebsites.net/icat/?ontology=ICD&amp;tab=ClassesTab&amp;id=http%3A%2F%2Fwho.int%2Ficd%236588_512ebf36_bf6b_4d70_85da_cf2637062af4","iCat")</x:f>
      </x:c>
      <x:c r="M1944" s="0" t="s">
        <x:v>21</x:v>
      </x:c>
      <x:c r="N1944" s="0" t="s">
        <x:v>46</x:v>
      </x:c>
    </x:row>
    <x:row r="1945" spans="1:16">
      <x:c r="A1945" s="0" t="s">
        <x:v>7612</x:v>
      </x:c>
      <x:c r="B1945" s="0" t="s">
        <x:v>7613</x:v>
      </x:c>
      <x:c r="C1945" s="0" t="s">
        <x:v>7614</x:v>
      </x:c>
      <x:c r="E1945" s="0" t="s">
        <x:v>7615</x:v>
      </x:c>
      <x:c r="F1945" s="0" t="s">
        <x:v>45</x:v>
      </x:c>
      <x:c r="G1945" s="0" t="s">
        <x:v>19</x:v>
      </x:c>
      <x:c r="H1945" s="0" t="s">
        <x:v>20</x:v>
      </x:c>
      <x:c r="I1945" s="0" t="s">
        <x:v>21</x:v>
      </x:c>
      <x:c r="K1945" s="0">
        <x:f>hyperlink("https://icd.who.int/dev11/l-ichi/en#/http%3A%2F%2Fid.who.int%2Ficd%2Fentity%2F168306456","browser")</x:f>
      </x:c>
      <x:c r="L1945" s="0">
        <x:f>hyperlink("https://icat2.azurewebsites.net/icat/?ontology=ICD&amp;tab=ClassesTab&amp;id=http%3A%2F%2Fwho.int%2Ficd%236594_512ebf36_bf6b_4d70_85da_cf2637062af4","iCat")</x:f>
      </x:c>
      <x:c r="M1945" s="0" t="s">
        <x:v>21</x:v>
      </x:c>
      <x:c r="N1945" s="0" t="s">
        <x:v>46</x:v>
      </x:c>
    </x:row>
    <x:row r="1946" spans="1:16">
      <x:c r="A1946" s="0" t="s">
        <x:v>7616</x:v>
      </x:c>
      <x:c r="B1946" s="0" t="s">
        <x:v>7617</x:v>
      </x:c>
      <x:c r="C1946" s="0" t="s">
        <x:v>7618</x:v>
      </x:c>
      <x:c r="E1946" s="0" t="s">
        <x:v>7619</x:v>
      </x:c>
      <x:c r="F1946" s="0" t="s">
        <x:v>45</x:v>
      </x:c>
      <x:c r="G1946" s="0" t="s">
        <x:v>19</x:v>
      </x:c>
      <x:c r="H1946" s="0" t="s">
        <x:v>20</x:v>
      </x:c>
      <x:c r="I1946" s="0" t="s">
        <x:v>21</x:v>
      </x:c>
      <x:c r="K1946" s="0">
        <x:f>hyperlink("https://icd.who.int/dev11/l-ichi/en#/http%3A%2F%2Fid.who.int%2Ficd%2Fentity%2F2078229015","browser")</x:f>
      </x:c>
      <x:c r="L1946" s="0">
        <x:f>hyperlink("https://icat2.azurewebsites.net/icat/?ontology=ICD&amp;tab=ClassesTab&amp;id=http%3A%2F%2Fwho.int%2Ficd%236606_512ebf36_bf6b_4d70_85da_cf2637062af4","iCat")</x:f>
      </x:c>
      <x:c r="M1946" s="0" t="s">
        <x:v>21</x:v>
      </x:c>
      <x:c r="N1946" s="0" t="s">
        <x:v>46</x:v>
      </x:c>
    </x:row>
    <x:row r="1947" spans="1:16">
      <x:c r="A1947" s="0" t="s">
        <x:v>7620</x:v>
      </x:c>
      <x:c r="B1947" s="0" t="s">
        <x:v>7621</x:v>
      </x:c>
      <x:c r="C1947" s="0" t="s">
        <x:v>7622</x:v>
      </x:c>
      <x:c r="E1947" s="0" t="s">
        <x:v>7623</x:v>
      </x:c>
      <x:c r="F1947" s="0" t="s">
        <x:v>45</x:v>
      </x:c>
      <x:c r="G1947" s="0" t="s">
        <x:v>19</x:v>
      </x:c>
      <x:c r="H1947" s="0" t="s">
        <x:v>20</x:v>
      </x:c>
      <x:c r="I1947" s="0" t="s">
        <x:v>21</x:v>
      </x:c>
      <x:c r="K1947" s="0">
        <x:f>hyperlink("https://icd.who.int/dev11/l-ichi/en#/http%3A%2F%2Fid.who.int%2Ficd%2Fentity%2F1952893573","browser")</x:f>
      </x:c>
      <x:c r="L1947" s="0">
        <x:f>hyperlink("https://icat2.azurewebsites.net/icat/?ontology=ICD&amp;tab=ClassesTab&amp;id=http%3A%2F%2Fwho.int%2Ficd%236614_512ebf36_bf6b_4d70_85da_cf2637062af4","iCat")</x:f>
      </x:c>
      <x:c r="M1947" s="0" t="s">
        <x:v>21</x:v>
      </x:c>
      <x:c r="N1947" s="0" t="s">
        <x:v>46</x:v>
      </x:c>
    </x:row>
    <x:row r="1948" spans="1:16">
      <x:c r="A1948" s="0" t="s">
        <x:v>7624</x:v>
      </x:c>
      <x:c r="B1948" s="0" t="s">
        <x:v>7625</x:v>
      </x:c>
      <x:c r="C1948" s="0" t="s">
        <x:v>7626</x:v>
      </x:c>
      <x:c r="E1948" s="0" t="s">
        <x:v>7627</x:v>
      </x:c>
      <x:c r="F1948" s="0" t="s">
        <x:v>45</x:v>
      </x:c>
      <x:c r="G1948" s="0" t="s">
        <x:v>19</x:v>
      </x:c>
      <x:c r="H1948" s="0" t="s">
        <x:v>20</x:v>
      </x:c>
      <x:c r="I1948" s="0" t="s">
        <x:v>21</x:v>
      </x:c>
      <x:c r="K1948" s="0">
        <x:f>hyperlink("https://icd.who.int/dev11/l-ichi/en#/http%3A%2F%2Fid.who.int%2Ficd%2Fentity%2F556350668","browser")</x:f>
      </x:c>
      <x:c r="L1948" s="0">
        <x:f>hyperlink("https://icat2.azurewebsites.net/icat/?ontology=ICD&amp;tab=ClassesTab&amp;id=http%3A%2F%2Fwho.int%2Ficd%236621_512ebf36_bf6b_4d70_85da_cf2637062af4","iCat")</x:f>
      </x:c>
      <x:c r="M1948" s="0" t="s">
        <x:v>21</x:v>
      </x:c>
      <x:c r="N1948" s="0" t="s">
        <x:v>46</x:v>
      </x:c>
    </x:row>
    <x:row r="1949" spans="1:16">
      <x:c r="A1949" s="0" t="s">
        <x:v>7628</x:v>
      </x:c>
      <x:c r="B1949" s="0" t="s">
        <x:v>7629</x:v>
      </x:c>
      <x:c r="C1949" s="0" t="s">
        <x:v>7630</x:v>
      </x:c>
      <x:c r="E1949" s="0" t="s">
        <x:v>7631</x:v>
      </x:c>
      <x:c r="F1949" s="0" t="s">
        <x:v>45</x:v>
      </x:c>
      <x:c r="G1949" s="0" t="s">
        <x:v>19</x:v>
      </x:c>
      <x:c r="H1949" s="0" t="s">
        <x:v>20</x:v>
      </x:c>
      <x:c r="I1949" s="0" t="s">
        <x:v>21</x:v>
      </x:c>
      <x:c r="K1949" s="0">
        <x:f>hyperlink("https://icd.who.int/dev11/l-ichi/en#/http%3A%2F%2Fid.who.int%2Ficd%2Fentity%2F1873300895","browser")</x:f>
      </x:c>
      <x:c r="L1949" s="0">
        <x:f>hyperlink("https://icat2.azurewebsites.net/icat/?ontology=ICD&amp;tab=ClassesTab&amp;id=http%3A%2F%2Fwho.int%2Ficd%236629_512ebf36_bf6b_4d70_85da_cf2637062af4","iCat")</x:f>
      </x:c>
      <x:c r="M1949" s="0" t="s">
        <x:v>21</x:v>
      </x:c>
      <x:c r="N1949" s="0" t="s">
        <x:v>46</x:v>
      </x:c>
    </x:row>
    <x:row r="1950" spans="1:16">
      <x:c r="A1950" s="0" t="s">
        <x:v>7632</x:v>
      </x:c>
      <x:c r="B1950" s="0" t="s">
        <x:v>7633</x:v>
      </x:c>
      <x:c r="C1950" s="0" t="s">
        <x:v>7634</x:v>
      </x:c>
      <x:c r="E1950" s="0" t="s">
        <x:v>7635</x:v>
      </x:c>
      <x:c r="F1950" s="0" t="s">
        <x:v>45</x:v>
      </x:c>
      <x:c r="G1950" s="0" t="s">
        <x:v>19</x:v>
      </x:c>
      <x:c r="H1950" s="0" t="s">
        <x:v>20</x:v>
      </x:c>
      <x:c r="I1950" s="0" t="s">
        <x:v>21</x:v>
      </x:c>
      <x:c r="K1950" s="0">
        <x:f>hyperlink("https://icd.who.int/dev11/l-ichi/en#/http%3A%2F%2Fid.who.int%2Ficd%2Fentity%2F997065234","browser")</x:f>
      </x:c>
      <x:c r="L1950" s="0">
        <x:f>hyperlink("https://icat2.azurewebsites.net/icat/?ontology=ICD&amp;tab=ClassesTab&amp;id=http%3A%2F%2Fwho.int%2Ficd%236636_512ebf36_bf6b_4d70_85da_cf2637062af4","iCat")</x:f>
      </x:c>
      <x:c r="M1950" s="0" t="s">
        <x:v>21</x:v>
      </x:c>
      <x:c r="N1950" s="0" t="s">
        <x:v>46</x:v>
      </x:c>
    </x:row>
    <x:row r="1951" spans="1:16">
      <x:c r="A1951" s="0" t="s">
        <x:v>7636</x:v>
      </x:c>
      <x:c r="B1951" s="0" t="s">
        <x:v>7637</x:v>
      </x:c>
      <x:c r="C1951" s="0" t="s">
        <x:v>7638</x:v>
      </x:c>
      <x:c r="E1951" s="0" t="s">
        <x:v>7639</x:v>
      </x:c>
      <x:c r="F1951" s="0" t="s">
        <x:v>45</x:v>
      </x:c>
      <x:c r="G1951" s="0" t="s">
        <x:v>19</x:v>
      </x:c>
      <x:c r="H1951" s="0" t="s">
        <x:v>20</x:v>
      </x:c>
      <x:c r="I1951" s="0" t="s">
        <x:v>21</x:v>
      </x:c>
      <x:c r="K1951" s="0">
        <x:f>hyperlink("https://icd.who.int/dev11/l-ichi/en#/http%3A%2F%2Fid.who.int%2Ficd%2Fentity%2F1312653043","browser")</x:f>
      </x:c>
      <x:c r="L1951" s="0">
        <x:f>hyperlink("https://icat2.azurewebsites.net/icat/?ontology=ICD&amp;tab=ClassesTab&amp;id=http%3A%2F%2Fwho.int%2Ficd%236645_512ebf36_bf6b_4d70_85da_cf2637062af4","iCat")</x:f>
      </x:c>
      <x:c r="M1951" s="0" t="s">
        <x:v>21</x:v>
      </x:c>
      <x:c r="N1951" s="0" t="s">
        <x:v>46</x:v>
      </x:c>
    </x:row>
    <x:row r="1952" spans="1:16">
      <x:c r="A1952" s="0" t="s">
        <x:v>7640</x:v>
      </x:c>
      <x:c r="B1952" s="0" t="s">
        <x:v>7641</x:v>
      </x:c>
      <x:c r="C1952" s="0" t="s">
        <x:v>7642</x:v>
      </x:c>
      <x:c r="E1952" s="0" t="s">
        <x:v>7643</x:v>
      </x:c>
      <x:c r="F1952" s="0" t="s">
        <x:v>45</x:v>
      </x:c>
      <x:c r="G1952" s="0" t="s">
        <x:v>19</x:v>
      </x:c>
      <x:c r="H1952" s="0" t="s">
        <x:v>20</x:v>
      </x:c>
      <x:c r="I1952" s="0" t="s">
        <x:v>21</x:v>
      </x:c>
      <x:c r="K1952" s="0">
        <x:f>hyperlink("https://icd.who.int/dev11/l-ichi/en#/http%3A%2F%2Fid.who.int%2Ficd%2Fentity%2F1954755093","browser")</x:f>
      </x:c>
      <x:c r="L1952" s="0">
        <x:f>hyperlink("https://icat2.azurewebsites.net/icat/?ontology=ICD&amp;tab=ClassesTab&amp;id=http%3A%2F%2Fwho.int%2Ficd%236653_512ebf36_bf6b_4d70_85da_cf2637062af4","iCat")</x:f>
      </x:c>
      <x:c r="M1952" s="0" t="s">
        <x:v>21</x:v>
      </x:c>
      <x:c r="N1952" s="0" t="s">
        <x:v>46</x:v>
      </x:c>
    </x:row>
    <x:row r="1953" spans="1:16">
      <x:c r="A1953" s="0" t="s">
        <x:v>7644</x:v>
      </x:c>
      <x:c r="B1953" s="0" t="s">
        <x:v>7645</x:v>
      </x:c>
      <x:c r="C1953" s="0" t="s">
        <x:v>7646</x:v>
      </x:c>
      <x:c r="E1953" s="0" t="s">
        <x:v>7647</x:v>
      </x:c>
      <x:c r="F1953" s="0" t="s">
        <x:v>45</x:v>
      </x:c>
      <x:c r="G1953" s="0" t="s">
        <x:v>19</x:v>
      </x:c>
      <x:c r="H1953" s="0" t="s">
        <x:v>20</x:v>
      </x:c>
      <x:c r="I1953" s="0" t="s">
        <x:v>21</x:v>
      </x:c>
      <x:c r="K1953" s="0">
        <x:f>hyperlink("https://icd.who.int/dev11/l-ichi/en#/http%3A%2F%2Fid.who.int%2Ficd%2Fentity%2F348848174","browser")</x:f>
      </x:c>
      <x:c r="L1953" s="0">
        <x:f>hyperlink("https://icat2.azurewebsites.net/icat/?ontology=ICD&amp;tab=ClassesTab&amp;id=http%3A%2F%2Fwho.int%2Ficd%236662_512ebf36_bf6b_4d70_85da_cf2637062af4","iCat")</x:f>
      </x:c>
      <x:c r="M1953" s="0" t="s">
        <x:v>21</x:v>
      </x:c>
      <x:c r="N1953" s="0" t="s">
        <x:v>46</x:v>
      </x:c>
    </x:row>
    <x:row r="1954" spans="1:16">
      <x:c r="A1954" s="0" t="s">
        <x:v>7648</x:v>
      </x:c>
      <x:c r="B1954" s="0" t="s">
        <x:v>7649</x:v>
      </x:c>
      <x:c r="C1954" s="0" t="s">
        <x:v>7650</x:v>
      </x:c>
      <x:c r="E1954" s="0" t="s">
        <x:v>7651</x:v>
      </x:c>
      <x:c r="F1954" s="0" t="s">
        <x:v>45</x:v>
      </x:c>
      <x:c r="G1954" s="0" t="s">
        <x:v>19</x:v>
      </x:c>
      <x:c r="H1954" s="0" t="s">
        <x:v>20</x:v>
      </x:c>
      <x:c r="I1954" s="0" t="s">
        <x:v>21</x:v>
      </x:c>
      <x:c r="K1954" s="0">
        <x:f>hyperlink("https://icd.who.int/dev11/l-ichi/en#/http%3A%2F%2Fid.who.int%2Ficd%2Fentity%2F533667460","browser")</x:f>
      </x:c>
      <x:c r="L1954" s="0">
        <x:f>hyperlink("https://icat2.azurewebsites.net/icat/?ontology=ICD&amp;tab=ClassesTab&amp;id=http%3A%2F%2Fwho.int%2Ficd%236669_512ebf36_bf6b_4d70_85da_cf2637062af4","iCat")</x:f>
      </x:c>
      <x:c r="M1954" s="0" t="s">
        <x:v>21</x:v>
      </x:c>
      <x:c r="N1954" s="0" t="s">
        <x:v>46</x:v>
      </x:c>
    </x:row>
    <x:row r="1955" spans="1:16">
      <x:c r="A1955" s="0" t="s">
        <x:v>7652</x:v>
      </x:c>
      <x:c r="B1955" s="0" t="s">
        <x:v>7653</x:v>
      </x:c>
      <x:c r="C1955" s="0" t="s">
        <x:v>7654</x:v>
      </x:c>
      <x:c r="E1955" s="0" t="s">
        <x:v>7655</x:v>
      </x:c>
      <x:c r="F1955" s="0" t="s">
        <x:v>45</x:v>
      </x:c>
      <x:c r="G1955" s="0" t="s">
        <x:v>19</x:v>
      </x:c>
      <x:c r="H1955" s="0" t="s">
        <x:v>20</x:v>
      </x:c>
      <x:c r="I1955" s="0" t="s">
        <x:v>21</x:v>
      </x:c>
      <x:c r="K1955" s="0">
        <x:f>hyperlink("https://icd.who.int/dev11/l-ichi/en#/http%3A%2F%2Fid.who.int%2Ficd%2Fentity%2F244072180","browser")</x:f>
      </x:c>
      <x:c r="L1955" s="0">
        <x:f>hyperlink("https://icat2.azurewebsites.net/icat/?ontology=ICD&amp;tab=ClassesTab&amp;id=http%3A%2F%2Fwho.int%2Ficd%236675_512ebf36_bf6b_4d70_85da_cf2637062af4","iCat")</x:f>
      </x:c>
      <x:c r="M1955" s="0" t="s">
        <x:v>21</x:v>
      </x:c>
      <x:c r="N1955" s="0" t="s">
        <x:v>46</x:v>
      </x:c>
    </x:row>
    <x:row r="1956" spans="1:16">
      <x:c r="A1956" s="0" t="s">
        <x:v>7656</x:v>
      </x:c>
      <x:c r="B1956" s="0" t="s">
        <x:v>7657</x:v>
      </x:c>
      <x:c r="C1956" s="0" t="s">
        <x:v>7658</x:v>
      </x:c>
      <x:c r="E1956" s="0" t="s">
        <x:v>7659</x:v>
      </x:c>
      <x:c r="F1956" s="0" t="s">
        <x:v>45</x:v>
      </x:c>
      <x:c r="G1956" s="0" t="s">
        <x:v>19</x:v>
      </x:c>
      <x:c r="H1956" s="0" t="s">
        <x:v>20</x:v>
      </x:c>
      <x:c r="I1956" s="0" t="s">
        <x:v>21</x:v>
      </x:c>
      <x:c r="K1956" s="0">
        <x:f>hyperlink("https://icd.who.int/dev11/l-ichi/en#/http%3A%2F%2Fid.who.int%2Ficd%2Fentity%2F342667360","browser")</x:f>
      </x:c>
      <x:c r="L1956" s="0">
        <x:f>hyperlink("https://icat2.azurewebsites.net/icat/?ontology=ICD&amp;tab=ClassesTab&amp;id=http%3A%2F%2Fwho.int%2Ficd%236681_512ebf36_bf6b_4d70_85da_cf2637062af4","iCat")</x:f>
      </x:c>
      <x:c r="M1956" s="0" t="s">
        <x:v>21</x:v>
      </x:c>
      <x:c r="N1956" s="0" t="s">
        <x:v>46</x:v>
      </x:c>
    </x:row>
    <x:row r="1957" spans="1:16">
      <x:c r="A1957" s="0" t="s">
        <x:v>7660</x:v>
      </x:c>
      <x:c r="B1957" s="0" t="s">
        <x:v>7661</x:v>
      </x:c>
      <x:c r="C1957" s="0" t="s">
        <x:v>7662</x:v>
      </x:c>
      <x:c r="E1957" s="0" t="s">
        <x:v>7663</x:v>
      </x:c>
      <x:c r="F1957" s="0" t="s">
        <x:v>45</x:v>
      </x:c>
      <x:c r="G1957" s="0" t="s">
        <x:v>19</x:v>
      </x:c>
      <x:c r="H1957" s="0" t="s">
        <x:v>20</x:v>
      </x:c>
      <x:c r="I1957" s="0" t="s">
        <x:v>21</x:v>
      </x:c>
      <x:c r="K1957" s="0">
        <x:f>hyperlink("https://icd.who.int/dev11/l-ichi/en#/http%3A%2F%2Fid.who.int%2Ficd%2Fentity%2F1142385135","browser")</x:f>
      </x:c>
      <x:c r="L1957" s="0">
        <x:f>hyperlink("https://icat2.azurewebsites.net/icat/?ontology=ICD&amp;tab=ClassesTab&amp;id=http%3A%2F%2Fwho.int%2Ficd%236687_512ebf36_bf6b_4d70_85da_cf2637062af4","iCat")</x:f>
      </x:c>
      <x:c r="M1957" s="0" t="s">
        <x:v>21</x:v>
      </x:c>
      <x:c r="N1957" s="0" t="s">
        <x:v>46</x:v>
      </x:c>
    </x:row>
    <x:row r="1958" spans="1:16">
      <x:c r="A1958" s="0" t="s">
        <x:v>7664</x:v>
      </x:c>
      <x:c r="B1958" s="0" t="s">
        <x:v>7665</x:v>
      </x:c>
      <x:c r="C1958" s="0" t="s">
        <x:v>7666</x:v>
      </x:c>
      <x:c r="E1958" s="0" t="s">
        <x:v>7667</x:v>
      </x:c>
      <x:c r="F1958" s="0" t="s">
        <x:v>45</x:v>
      </x:c>
      <x:c r="G1958" s="0" t="s">
        <x:v>19</x:v>
      </x:c>
      <x:c r="H1958" s="0" t="s">
        <x:v>20</x:v>
      </x:c>
      <x:c r="I1958" s="0" t="s">
        <x:v>21</x:v>
      </x:c>
      <x:c r="K1958" s="0">
        <x:f>hyperlink("https://icd.who.int/dev11/l-ichi/en#/http%3A%2F%2Fid.who.int%2Ficd%2Fentity%2F1800901441","browser")</x:f>
      </x:c>
      <x:c r="L1958" s="0">
        <x:f>hyperlink("https://icat2.azurewebsites.net/icat/?ontology=ICD&amp;tab=ClassesTab&amp;id=http%3A%2F%2Fwho.int%2Ficd%236694_512ebf36_bf6b_4d70_85da_cf2637062af4","iCat")</x:f>
      </x:c>
      <x:c r="M1958" s="0" t="s">
        <x:v>21</x:v>
      </x:c>
      <x:c r="N1958" s="0" t="s">
        <x:v>46</x:v>
      </x:c>
    </x:row>
    <x:row r="1959" spans="1:16">
      <x:c r="A1959" s="0" t="s">
        <x:v>7668</x:v>
      </x:c>
      <x:c r="B1959" s="0" t="s">
        <x:v>7669</x:v>
      </x:c>
      <x:c r="C1959" s="0" t="s">
        <x:v>7670</x:v>
      </x:c>
      <x:c r="E1959" s="0" t="s">
        <x:v>7671</x:v>
      </x:c>
      <x:c r="F1959" s="0" t="s">
        <x:v>45</x:v>
      </x:c>
      <x:c r="G1959" s="0" t="s">
        <x:v>19</x:v>
      </x:c>
      <x:c r="H1959" s="0" t="s">
        <x:v>20</x:v>
      </x:c>
      <x:c r="I1959" s="0" t="s">
        <x:v>21</x:v>
      </x:c>
      <x:c r="K1959" s="0">
        <x:f>hyperlink("https://icd.who.int/dev11/l-ichi/en#/http%3A%2F%2Fid.who.int%2Ficd%2Fentity%2F1799133519","browser")</x:f>
      </x:c>
      <x:c r="L1959" s="0">
        <x:f>hyperlink("https://icat2.azurewebsites.net/icat/?ontology=ICD&amp;tab=ClassesTab&amp;id=http%3A%2F%2Fwho.int%2Ficd%236704_512ebf36_bf6b_4d70_85da_cf2637062af4","iCat")</x:f>
      </x:c>
      <x:c r="M1959" s="0" t="s">
        <x:v>21</x:v>
      </x:c>
      <x:c r="N1959" s="0" t="s">
        <x:v>46</x:v>
      </x:c>
    </x:row>
    <x:row r="1960" spans="1:16">
      <x:c r="A1960" s="0" t="s">
        <x:v>7672</x:v>
      </x:c>
      <x:c r="B1960" s="0" t="s">
        <x:v>7673</x:v>
      </x:c>
      <x:c r="C1960" s="0" t="s">
        <x:v>7674</x:v>
      </x:c>
      <x:c r="E1960" s="0" t="s">
        <x:v>7675</x:v>
      </x:c>
      <x:c r="F1960" s="0" t="s">
        <x:v>45</x:v>
      </x:c>
      <x:c r="G1960" s="0" t="s">
        <x:v>19</x:v>
      </x:c>
      <x:c r="H1960" s="0" t="s">
        <x:v>20</x:v>
      </x:c>
      <x:c r="I1960" s="0" t="s">
        <x:v>21</x:v>
      </x:c>
      <x:c r="K1960" s="0">
        <x:f>hyperlink("https://icd.who.int/dev11/l-ichi/en#/http%3A%2F%2Fid.who.int%2Ficd%2Fentity%2F889112686","browser")</x:f>
      </x:c>
      <x:c r="L1960" s="0">
        <x:f>hyperlink("https://icat2.azurewebsites.net/icat/?ontology=ICD&amp;tab=ClassesTab&amp;id=http%3A%2F%2Fwho.int%2Ficd%236710_512ebf36_bf6b_4d70_85da_cf2637062af4","iCat")</x:f>
      </x:c>
      <x:c r="M1960" s="0" t="s">
        <x:v>21</x:v>
      </x:c>
      <x:c r="N1960" s="0" t="s">
        <x:v>46</x:v>
      </x:c>
    </x:row>
    <x:row r="1961" spans="1:16">
      <x:c r="A1961" s="0" t="s">
        <x:v>7676</x:v>
      </x:c>
      <x:c r="B1961" s="0" t="s">
        <x:v>7677</x:v>
      </x:c>
      <x:c r="C1961" s="0" t="s">
        <x:v>7678</x:v>
      </x:c>
      <x:c r="E1961" s="0" t="s">
        <x:v>7679</x:v>
      </x:c>
      <x:c r="F1961" s="0" t="s">
        <x:v>45</x:v>
      </x:c>
      <x:c r="G1961" s="0" t="s">
        <x:v>19</x:v>
      </x:c>
      <x:c r="H1961" s="0" t="s">
        <x:v>20</x:v>
      </x:c>
      <x:c r="I1961" s="0" t="s">
        <x:v>21</x:v>
      </x:c>
      <x:c r="K1961" s="0">
        <x:f>hyperlink("https://icd.who.int/dev11/l-ichi/en#/http%3A%2F%2Fid.who.int%2Ficd%2Fentity%2F1057619496","browser")</x:f>
      </x:c>
      <x:c r="L1961" s="0">
        <x:f>hyperlink("https://icat2.azurewebsites.net/icat/?ontology=ICD&amp;tab=ClassesTab&amp;id=http%3A%2F%2Fwho.int%2Ficd%2316093_4869915e_217e_423d_acb3_33c0f920ef4b","iCat")</x:f>
      </x:c>
      <x:c r="M1961" s="0" t="s">
        <x:v>21</x:v>
      </x:c>
      <x:c r="N1961" s="0" t="s">
        <x:v>46</x:v>
      </x:c>
    </x:row>
    <x:row r="1962" spans="1:16">
      <x:c r="A1962" s="0" t="s">
        <x:v>7680</x:v>
      </x:c>
      <x:c r="B1962" s="0" t="s">
        <x:v>7681</x:v>
      </x:c>
      <x:c r="C1962" s="0" t="s">
        <x:v>7682</x:v>
      </x:c>
      <x:c r="E1962" s="0" t="s">
        <x:v>7683</x:v>
      </x:c>
      <x:c r="F1962" s="0" t="s">
        <x:v>45</x:v>
      </x:c>
      <x:c r="G1962" s="0" t="s">
        <x:v>19</x:v>
      </x:c>
      <x:c r="H1962" s="0" t="s">
        <x:v>20</x:v>
      </x:c>
      <x:c r="I1962" s="0" t="s">
        <x:v>21</x:v>
      </x:c>
      <x:c r="K1962" s="0">
        <x:f>hyperlink("https://icd.who.int/dev11/l-ichi/en#/http%3A%2F%2Fid.who.int%2Ficd%2Fentity%2F1686442461","browser")</x:f>
      </x:c>
      <x:c r="L1962" s="0">
        <x:f>hyperlink("https://icat2.azurewebsites.net/icat/?ontology=ICD&amp;tab=ClassesTab&amp;id=http%3A%2F%2Fwho.int%2Ficd%236716_512ebf36_bf6b_4d70_85da_cf2637062af4","iCat")</x:f>
      </x:c>
      <x:c r="M1962" s="0" t="s">
        <x:v>21</x:v>
      </x:c>
      <x:c r="N1962" s="0" t="s">
        <x:v>46</x:v>
      </x:c>
    </x:row>
    <x:row r="1963" spans="1:16">
      <x:c r="A1963" s="0" t="s">
        <x:v>7684</x:v>
      </x:c>
      <x:c r="B1963" s="0" t="s">
        <x:v>7685</x:v>
      </x:c>
      <x:c r="C1963" s="0" t="s">
        <x:v>7686</x:v>
      </x:c>
      <x:c r="E1963" s="0" t="s">
        <x:v>7687</x:v>
      </x:c>
      <x:c r="F1963" s="0" t="s">
        <x:v>45</x:v>
      </x:c>
      <x:c r="G1963" s="0" t="s">
        <x:v>19</x:v>
      </x:c>
      <x:c r="H1963" s="0" t="s">
        <x:v>20</x:v>
      </x:c>
      <x:c r="I1963" s="0" t="s">
        <x:v>21</x:v>
      </x:c>
      <x:c r="K1963" s="0">
        <x:f>hyperlink("https://icd.who.int/dev11/l-ichi/en#/http%3A%2F%2Fid.who.int%2Ficd%2Fentity%2F288593326","browser")</x:f>
      </x:c>
      <x:c r="L1963" s="0">
        <x:f>hyperlink("https://icat2.azurewebsites.net/icat/?ontology=ICD&amp;tab=ClassesTab&amp;id=http%3A%2F%2Fwho.int%2Ficd%236722_512ebf36_bf6b_4d70_85da_cf2637062af4","iCat")</x:f>
      </x:c>
      <x:c r="M1963" s="0" t="s">
        <x:v>21</x:v>
      </x:c>
      <x:c r="N1963" s="0" t="s">
        <x:v>46</x:v>
      </x:c>
    </x:row>
    <x:row r="1964" spans="1:16">
      <x:c r="A1964" s="0" t="s">
        <x:v>7688</x:v>
      </x:c>
      <x:c r="B1964" s="0" t="s">
        <x:v>7689</x:v>
      </x:c>
      <x:c r="C1964" s="0" t="s">
        <x:v>7690</x:v>
      </x:c>
      <x:c r="E1964" s="0" t="s">
        <x:v>7691</x:v>
      </x:c>
      <x:c r="F1964" s="0" t="s">
        <x:v>45</x:v>
      </x:c>
      <x:c r="G1964" s="0" t="s">
        <x:v>19</x:v>
      </x:c>
      <x:c r="H1964" s="0" t="s">
        <x:v>20</x:v>
      </x:c>
      <x:c r="I1964" s="0" t="s">
        <x:v>21</x:v>
      </x:c>
      <x:c r="K1964" s="0">
        <x:f>hyperlink("https://icd.who.int/dev11/l-ichi/en#/http%3A%2F%2Fid.who.int%2Ficd%2Fentity%2F986642750","browser")</x:f>
      </x:c>
      <x:c r="L1964" s="0">
        <x:f>hyperlink("https://icat2.azurewebsites.net/icat/?ontology=ICD&amp;tab=ClassesTab&amp;id=http%3A%2F%2Fwho.int%2Ficd%236728_512ebf36_bf6b_4d70_85da_cf2637062af4","iCat")</x:f>
      </x:c>
      <x:c r="M1964" s="0" t="s">
        <x:v>21</x:v>
      </x:c>
      <x:c r="N1964" s="0" t="s">
        <x:v>46</x:v>
      </x:c>
    </x:row>
    <x:row r="1965" spans="1:16">
      <x:c r="A1965" s="0" t="s">
        <x:v>7692</x:v>
      </x:c>
      <x:c r="B1965" s="0" t="s">
        <x:v>7693</x:v>
      </x:c>
      <x:c r="C1965" s="0" t="s">
        <x:v>7694</x:v>
      </x:c>
      <x:c r="E1965" s="0" t="s">
        <x:v>7695</x:v>
      </x:c>
      <x:c r="F1965" s="0" t="s">
        <x:v>45</x:v>
      </x:c>
      <x:c r="G1965" s="0" t="s">
        <x:v>19</x:v>
      </x:c>
      <x:c r="H1965" s="0" t="s">
        <x:v>20</x:v>
      </x:c>
      <x:c r="I1965" s="0" t="s">
        <x:v>21</x:v>
      </x:c>
      <x:c r="K1965" s="0">
        <x:f>hyperlink("https://icd.who.int/dev11/l-ichi/en#/http%3A%2F%2Fid.who.int%2Ficd%2Fentity%2F192195444","browser")</x:f>
      </x:c>
      <x:c r="L1965" s="0">
        <x:f>hyperlink("https://icat2.azurewebsites.net/icat/?ontology=ICD&amp;tab=ClassesTab&amp;id=http%3A%2F%2Fwho.int%2Ficd%236735_512ebf36_bf6b_4d70_85da_cf2637062af4","iCat")</x:f>
      </x:c>
      <x:c r="M1965" s="0" t="s">
        <x:v>21</x:v>
      </x:c>
      <x:c r="N1965" s="0" t="s">
        <x:v>46</x:v>
      </x:c>
    </x:row>
    <x:row r="1966" spans="1:16">
      <x:c r="A1966" s="0" t="s">
        <x:v>7696</x:v>
      </x:c>
      <x:c r="B1966" s="0" t="s">
        <x:v>7697</x:v>
      </x:c>
      <x:c r="C1966" s="0" t="s">
        <x:v>7698</x:v>
      </x:c>
      <x:c r="E1966" s="0" t="s">
        <x:v>7699</x:v>
      </x:c>
      <x:c r="F1966" s="0" t="s">
        <x:v>45</x:v>
      </x:c>
      <x:c r="G1966" s="0" t="s">
        <x:v>19</x:v>
      </x:c>
      <x:c r="H1966" s="0" t="s">
        <x:v>20</x:v>
      </x:c>
      <x:c r="I1966" s="0" t="s">
        <x:v>21</x:v>
      </x:c>
      <x:c r="K1966" s="0">
        <x:f>hyperlink("https://icd.who.int/dev11/l-ichi/en#/http%3A%2F%2Fid.who.int%2Ficd%2Fentity%2F351572664","browser")</x:f>
      </x:c>
      <x:c r="L1966" s="0">
        <x:f>hyperlink("https://icat2.azurewebsites.net/icat/?ontology=ICD&amp;tab=ClassesTab&amp;id=http%3A%2F%2Fwho.int%2Ficd%2316099_4869915e_217e_423d_acb3_33c0f920ef4b","iCat")</x:f>
      </x:c>
      <x:c r="M1966" s="0" t="s">
        <x:v>21</x:v>
      </x:c>
      <x:c r="N1966" s="0" t="s">
        <x:v>46</x:v>
      </x:c>
    </x:row>
    <x:row r="1967" spans="1:16">
      <x:c r="A1967" s="0" t="s">
        <x:v>7700</x:v>
      </x:c>
      <x:c r="B1967" s="0" t="s">
        <x:v>7701</x:v>
      </x:c>
      <x:c r="C1967" s="0" t="s">
        <x:v>7702</x:v>
      </x:c>
      <x:c r="E1967" s="0" t="s">
        <x:v>7703</x:v>
      </x:c>
      <x:c r="F1967" s="0" t="s">
        <x:v>45</x:v>
      </x:c>
      <x:c r="G1967" s="0" t="s">
        <x:v>19</x:v>
      </x:c>
      <x:c r="H1967" s="0" t="s">
        <x:v>20</x:v>
      </x:c>
      <x:c r="I1967" s="0" t="s">
        <x:v>21</x:v>
      </x:c>
      <x:c r="K1967" s="0">
        <x:f>hyperlink("https://icd.who.int/dev11/l-ichi/en#/http%3A%2F%2Fid.who.int%2Ficd%2Fentity%2F245726234","browser")</x:f>
      </x:c>
      <x:c r="L1967" s="0">
        <x:f>hyperlink("https://icat2.azurewebsites.net/icat/?ontology=ICD&amp;tab=ClassesTab&amp;id=http%3A%2F%2Fwho.int%2Ficd%236741_512ebf36_bf6b_4d70_85da_cf2637062af4","iCat")</x:f>
      </x:c>
      <x:c r="M1967" s="0" t="s">
        <x:v>21</x:v>
      </x:c>
      <x:c r="N1967" s="0" t="s">
        <x:v>46</x:v>
      </x:c>
    </x:row>
    <x:row r="1968" spans="1:16">
      <x:c r="A1968" s="0" t="s">
        <x:v>7704</x:v>
      </x:c>
      <x:c r="B1968" s="0" t="s">
        <x:v>7705</x:v>
      </x:c>
      <x:c r="C1968" s="0" t="s">
        <x:v>7706</x:v>
      </x:c>
      <x:c r="E1968" s="0" t="s">
        <x:v>7707</x:v>
      </x:c>
      <x:c r="F1968" s="0" t="s">
        <x:v>45</x:v>
      </x:c>
      <x:c r="G1968" s="0" t="s">
        <x:v>19</x:v>
      </x:c>
      <x:c r="H1968" s="0" t="s">
        <x:v>20</x:v>
      </x:c>
      <x:c r="I1968" s="0" t="s">
        <x:v>21</x:v>
      </x:c>
      <x:c r="K1968" s="0">
        <x:f>hyperlink("https://icd.who.int/dev11/l-ichi/en#/http%3A%2F%2Fid.who.int%2Ficd%2Fentity%2F1591649707","browser")</x:f>
      </x:c>
      <x:c r="L1968" s="0">
        <x:f>hyperlink("https://icat2.azurewebsites.net/icat/?ontology=ICD&amp;tab=ClassesTab&amp;id=http%3A%2F%2Fwho.int%2Ficd%236747_512ebf36_bf6b_4d70_85da_cf2637062af4","iCat")</x:f>
      </x:c>
      <x:c r="M1968" s="0" t="s">
        <x:v>21</x:v>
      </x:c>
      <x:c r="N1968" s="0" t="s">
        <x:v>46</x:v>
      </x:c>
    </x:row>
    <x:row r="1969" spans="1:16">
      <x:c r="A1969" s="0" t="s">
        <x:v>7708</x:v>
      </x:c>
      <x:c r="B1969" s="0" t="s">
        <x:v>7709</x:v>
      </x:c>
      <x:c r="C1969" s="0" t="s">
        <x:v>7710</x:v>
      </x:c>
      <x:c r="E1969" s="0" t="s">
        <x:v>7711</x:v>
      </x:c>
      <x:c r="F1969" s="0" t="s">
        <x:v>45</x:v>
      </x:c>
      <x:c r="G1969" s="0" t="s">
        <x:v>19</x:v>
      </x:c>
      <x:c r="H1969" s="0" t="s">
        <x:v>20</x:v>
      </x:c>
      <x:c r="I1969" s="0" t="s">
        <x:v>21</x:v>
      </x:c>
      <x:c r="K1969" s="0">
        <x:f>hyperlink("https://icd.who.int/dev11/l-ichi/en#/http%3A%2F%2Fid.who.int%2Ficd%2Fentity%2F1367783028","browser")</x:f>
      </x:c>
      <x:c r="L1969" s="0">
        <x:f>hyperlink("https://icat2.azurewebsites.net/icat/?ontology=ICD&amp;tab=ClassesTab&amp;id=http%3A%2F%2Fwho.int%2Ficd%23225_dd4d4347_e398_43b9_84dd_c9611ca6abfa","iCat")</x:f>
      </x:c>
      <x:c r="M1969" s="0" t="s">
        <x:v>21</x:v>
      </x:c>
      <x:c r="N1969" s="0" t="s">
        <x:v>46</x:v>
      </x:c>
    </x:row>
    <x:row r="1970" spans="1:16">
      <x:c r="A1970" s="0" t="s">
        <x:v>7712</x:v>
      </x:c>
      <x:c r="B1970" s="0" t="s">
        <x:v>7713</x:v>
      </x:c>
      <x:c r="C1970" s="0" t="s">
        <x:v>7714</x:v>
      </x:c>
      <x:c r="E1970" s="0" t="s">
        <x:v>7715</x:v>
      </x:c>
      <x:c r="F1970" s="0" t="s">
        <x:v>45</x:v>
      </x:c>
      <x:c r="G1970" s="0" t="s">
        <x:v>19</x:v>
      </x:c>
      <x:c r="H1970" s="0" t="s">
        <x:v>20</x:v>
      </x:c>
      <x:c r="I1970" s="0" t="s">
        <x:v>21</x:v>
      </x:c>
      <x:c r="K1970" s="0">
        <x:f>hyperlink("https://icd.who.int/dev11/l-ichi/en#/http%3A%2F%2Fid.who.int%2Ficd%2Fentity%2F239396695","browser")</x:f>
      </x:c>
      <x:c r="L1970" s="0">
        <x:f>hyperlink("https://icat2.azurewebsites.net/icat/?ontology=ICD&amp;tab=ClassesTab&amp;id=http%3A%2F%2Fwho.int%2Ficd%23231_dd4d4347_e398_43b9_84dd_c9611ca6abfa","iCat")</x:f>
      </x:c>
      <x:c r="M1970" s="0" t="s">
        <x:v>21</x:v>
      </x:c>
      <x:c r="N1970" s="0" t="s">
        <x:v>46</x:v>
      </x:c>
    </x:row>
    <x:row r="1971" spans="1:16">
      <x:c r="A1971" s="0" t="s">
        <x:v>7716</x:v>
      </x:c>
      <x:c r="B1971" s="0" t="s">
        <x:v>7717</x:v>
      </x:c>
      <x:c r="C1971" s="0" t="s">
        <x:v>7718</x:v>
      </x:c>
      <x:c r="E1971" s="0" t="s">
        <x:v>7719</x:v>
      </x:c>
      <x:c r="F1971" s="0" t="s">
        <x:v>45</x:v>
      </x:c>
      <x:c r="G1971" s="0" t="s">
        <x:v>19</x:v>
      </x:c>
      <x:c r="H1971" s="0" t="s">
        <x:v>20</x:v>
      </x:c>
      <x:c r="I1971" s="0" t="s">
        <x:v>21</x:v>
      </x:c>
      <x:c r="K1971" s="0">
        <x:f>hyperlink("https://icd.who.int/dev11/l-ichi/en#/http%3A%2F%2Fid.who.int%2Ficd%2Fentity%2F18674824","browser")</x:f>
      </x:c>
      <x:c r="L1971" s="0">
        <x:f>hyperlink("https://icat2.azurewebsites.net/icat/?ontology=ICD&amp;tab=ClassesTab&amp;id=http%3A%2F%2Fwho.int%2Ficd%236753_512ebf36_bf6b_4d70_85da_cf2637062af4","iCat")</x:f>
      </x:c>
      <x:c r="M1971" s="0" t="s">
        <x:v>21</x:v>
      </x:c>
      <x:c r="N1971" s="0" t="s">
        <x:v>46</x:v>
      </x:c>
    </x:row>
    <x:row r="1972" spans="1:16">
      <x:c r="A1972" s="0" t="s">
        <x:v>7720</x:v>
      </x:c>
      <x:c r="B1972" s="0" t="s">
        <x:v>7721</x:v>
      </x:c>
      <x:c r="C1972" s="0" t="s">
        <x:v>7722</x:v>
      </x:c>
      <x:c r="E1972" s="0" t="s">
        <x:v>7723</x:v>
      </x:c>
      <x:c r="F1972" s="0" t="s">
        <x:v>45</x:v>
      </x:c>
      <x:c r="G1972" s="0" t="s">
        <x:v>19</x:v>
      </x:c>
      <x:c r="H1972" s="0" t="s">
        <x:v>20</x:v>
      </x:c>
      <x:c r="I1972" s="0" t="s">
        <x:v>21</x:v>
      </x:c>
      <x:c r="K1972" s="0">
        <x:f>hyperlink("https://icd.who.int/dev11/l-ichi/en#/http%3A%2F%2Fid.who.int%2Ficd%2Fentity%2F719427608","browser")</x:f>
      </x:c>
      <x:c r="L1972" s="0">
        <x:f>hyperlink("https://icat2.azurewebsites.net/icat/?ontology=ICD&amp;tab=ClassesTab&amp;id=http%3A%2F%2Fwho.int%2Ficd%236759_512ebf36_bf6b_4d70_85da_cf2637062af4","iCat")</x:f>
      </x:c>
      <x:c r="M1972" s="0" t="s">
        <x:v>21</x:v>
      </x:c>
      <x:c r="N1972" s="0" t="s">
        <x:v>46</x:v>
      </x:c>
    </x:row>
    <x:row r="1973" spans="1:16">
      <x:c r="A1973" s="0" t="s">
        <x:v>7724</x:v>
      </x:c>
      <x:c r="B1973" s="0" t="s">
        <x:v>7725</x:v>
      </x:c>
      <x:c r="C1973" s="0" t="s">
        <x:v>7726</x:v>
      </x:c>
      <x:c r="E1973" s="0" t="s">
        <x:v>7727</x:v>
      </x:c>
      <x:c r="F1973" s="0" t="s">
        <x:v>45</x:v>
      </x:c>
      <x:c r="G1973" s="0" t="s">
        <x:v>19</x:v>
      </x:c>
      <x:c r="H1973" s="0" t="s">
        <x:v>20</x:v>
      </x:c>
      <x:c r="I1973" s="0" t="s">
        <x:v>21</x:v>
      </x:c>
      <x:c r="K1973" s="0">
        <x:f>hyperlink("https://icd.who.int/dev11/l-ichi/en#/http%3A%2F%2Fid.who.int%2Ficd%2Fentity%2F1414726343","browser")</x:f>
      </x:c>
      <x:c r="L1973" s="0">
        <x:f>hyperlink("https://icat2.azurewebsites.net/icat/?ontology=ICD&amp;tab=ClassesTab&amp;id=http%3A%2F%2Fwho.int%2Ficd%236766_512ebf36_bf6b_4d70_85da_cf2637062af4","iCat")</x:f>
      </x:c>
      <x:c r="M1973" s="0" t="s">
        <x:v>21</x:v>
      </x:c>
      <x:c r="N1973" s="0" t="s">
        <x:v>46</x:v>
      </x:c>
    </x:row>
    <x:row r="1974" spans="1:16">
      <x:c r="A1974" s="0" t="s">
        <x:v>7728</x:v>
      </x:c>
      <x:c r="B1974" s="0" t="s">
        <x:v>7729</x:v>
      </x:c>
      <x:c r="C1974" s="0" t="s">
        <x:v>7730</x:v>
      </x:c>
      <x:c r="E1974" s="0" t="s">
        <x:v>7731</x:v>
      </x:c>
      <x:c r="F1974" s="0" t="s">
        <x:v>45</x:v>
      </x:c>
      <x:c r="G1974" s="0" t="s">
        <x:v>19</x:v>
      </x:c>
      <x:c r="H1974" s="0" t="s">
        <x:v>20</x:v>
      </x:c>
      <x:c r="I1974" s="0" t="s">
        <x:v>21</x:v>
      </x:c>
      <x:c r="K1974" s="0">
        <x:f>hyperlink("https://icd.who.int/dev11/l-ichi/en#/http%3A%2F%2Fid.who.int%2Ficd%2Fentity%2F1050056594","browser")</x:f>
      </x:c>
      <x:c r="L1974" s="0">
        <x:f>hyperlink("https://icat2.azurewebsites.net/icat/?ontology=ICD&amp;tab=ClassesTab&amp;id=http%3A%2F%2Fwho.int%2Ficd%236776_512ebf36_bf6b_4d70_85da_cf2637062af4","iCat")</x:f>
      </x:c>
      <x:c r="M1974" s="0" t="s">
        <x:v>21</x:v>
      </x:c>
      <x:c r="N1974" s="0" t="s">
        <x:v>46</x:v>
      </x:c>
    </x:row>
    <x:row r="1975" spans="1:16">
      <x:c r="A1975" s="0" t="s">
        <x:v>7732</x:v>
      </x:c>
      <x:c r="B1975" s="0" t="s">
        <x:v>7733</x:v>
      </x:c>
      <x:c r="D1975" s="0" t="s">
        <x:v>7734</x:v>
      </x:c>
      <x:c r="E1975" s="0" t="s">
        <x:v>7735</x:v>
      </x:c>
      <x:c r="F1975" s="0" t="s">
        <x:v>26</x:v>
      </x:c>
      <x:c r="G1975" s="0" t="s">
        <x:v>22</x:v>
      </x:c>
      <x:c r="H1975" s="0" t="s">
        <x:v>20</x:v>
      </x:c>
      <x:c r="I1975" s="0" t="s">
        <x:v>21</x:v>
      </x:c>
      <x:c r="K1975" s="0">
        <x:f>hyperlink("https://icd.who.int/dev11/l-ichi/en#/http%3A%2F%2Fid.who.int%2Ficd%2Fentity%2F76507912","browser")</x:f>
      </x:c>
      <x:c r="L1975" s="0">
        <x:f>hyperlink("https://icat2.azurewebsites.net/icat/?ontology=ICD&amp;tab=ClassesTab&amp;id=http%3A%2F%2Fwho.int%2Ficd%236783_512ebf36_bf6b_4d70_85da_cf2637062af4","iCat")</x:f>
      </x:c>
      <x:c r="M1975" s="0" t="s">
        <x:v>20</x:v>
      </x:c>
      <x:c r="N1975" s="0" t="s">
        <x:v>40</x:v>
      </x:c>
    </x:row>
    <x:row r="1976" spans="1:16">
      <x:c r="A1976" s="0" t="s">
        <x:v>7736</x:v>
      </x:c>
      <x:c r="B1976" s="0" t="s">
        <x:v>7737</x:v>
      </x:c>
      <x:c r="C1976" s="0" t="s">
        <x:v>7738</x:v>
      </x:c>
      <x:c r="E1976" s="0" t="s">
        <x:v>7739</x:v>
      </x:c>
      <x:c r="F1976" s="0" t="s">
        <x:v>45</x:v>
      </x:c>
      <x:c r="G1976" s="0" t="s">
        <x:v>19</x:v>
      </x:c>
      <x:c r="H1976" s="0" t="s">
        <x:v>20</x:v>
      </x:c>
      <x:c r="I1976" s="0" t="s">
        <x:v>21</x:v>
      </x:c>
      <x:c r="K1976" s="0">
        <x:f>hyperlink("https://icd.who.int/dev11/l-ichi/en#/http%3A%2F%2Fid.who.int%2Ficd%2Fentity%2F611719482","browser")</x:f>
      </x:c>
      <x:c r="L1976" s="0">
        <x:f>hyperlink("https://icat2.azurewebsites.net/icat/?ontology=ICD&amp;tab=ClassesTab&amp;id=http%3A%2F%2Fwho.int%2Ficd%236782_512ebf36_bf6b_4d70_85da_cf2637062af4","iCat")</x:f>
      </x:c>
      <x:c r="M1976" s="0" t="s">
        <x:v>21</x:v>
      </x:c>
      <x:c r="N1976" s="0" t="s">
        <x:v>46</x:v>
      </x:c>
    </x:row>
    <x:row r="1977" spans="1:16">
      <x:c r="A1977" s="0" t="s">
        <x:v>7740</x:v>
      </x:c>
      <x:c r="B1977" s="0" t="s">
        <x:v>7741</x:v>
      </x:c>
      <x:c r="C1977" s="0" t="s">
        <x:v>7742</x:v>
      </x:c>
      <x:c r="E1977" s="0" t="s">
        <x:v>7743</x:v>
      </x:c>
      <x:c r="F1977" s="0" t="s">
        <x:v>45</x:v>
      </x:c>
      <x:c r="G1977" s="0" t="s">
        <x:v>19</x:v>
      </x:c>
      <x:c r="H1977" s="0" t="s">
        <x:v>20</x:v>
      </x:c>
      <x:c r="I1977" s="0" t="s">
        <x:v>21</x:v>
      </x:c>
      <x:c r="K1977" s="0">
        <x:f>hyperlink("https://icd.who.int/dev11/l-ichi/en#/http%3A%2F%2Fid.who.int%2Ficd%2Fentity%2F2075412505","browser")</x:f>
      </x:c>
      <x:c r="L1977" s="0">
        <x:f>hyperlink("https://icat2.azurewebsites.net/icat/?ontology=ICD&amp;tab=ClassesTab&amp;id=http%3A%2F%2Fwho.int%2Ficd%236796_512ebf36_bf6b_4d70_85da_cf2637062af4","iCat")</x:f>
      </x:c>
      <x:c r="M1977" s="0" t="s">
        <x:v>21</x:v>
      </x:c>
      <x:c r="N1977" s="0" t="s">
        <x:v>46</x:v>
      </x:c>
    </x:row>
    <x:row r="1978" spans="1:16">
      <x:c r="A1978" s="0" t="s">
        <x:v>7744</x:v>
      </x:c>
      <x:c r="B1978" s="0" t="s">
        <x:v>7745</x:v>
      </x:c>
      <x:c r="C1978" s="0" t="s">
        <x:v>7746</x:v>
      </x:c>
      <x:c r="E1978" s="0" t="s">
        <x:v>7747</x:v>
      </x:c>
      <x:c r="F1978" s="0" t="s">
        <x:v>45</x:v>
      </x:c>
      <x:c r="G1978" s="0" t="s">
        <x:v>19</x:v>
      </x:c>
      <x:c r="H1978" s="0" t="s">
        <x:v>20</x:v>
      </x:c>
      <x:c r="I1978" s="0" t="s">
        <x:v>21</x:v>
      </x:c>
      <x:c r="K1978" s="0">
        <x:f>hyperlink("https://icd.who.int/dev11/l-ichi/en#/http%3A%2F%2Fid.who.int%2Ficd%2Fentity%2F1292554488","browser")</x:f>
      </x:c>
      <x:c r="L1978" s="0">
        <x:f>hyperlink("https://icat2.azurewebsites.net/icat/?ontology=ICD&amp;tab=ClassesTab&amp;id=http%3A%2F%2Fwho.int%2Ficd%236802_512ebf36_bf6b_4d70_85da_cf2637062af4","iCat")</x:f>
      </x:c>
      <x:c r="M1978" s="0" t="s">
        <x:v>21</x:v>
      </x:c>
      <x:c r="N1978" s="0" t="s">
        <x:v>46</x:v>
      </x:c>
    </x:row>
    <x:row r="1979" spans="1:16">
      <x:c r="A1979" s="0" t="s">
        <x:v>7748</x:v>
      </x:c>
      <x:c r="B1979" s="0" t="s">
        <x:v>7749</x:v>
      </x:c>
      <x:c r="C1979" s="0" t="s">
        <x:v>7750</x:v>
      </x:c>
      <x:c r="E1979" s="0" t="s">
        <x:v>7751</x:v>
      </x:c>
      <x:c r="F1979" s="0" t="s">
        <x:v>45</x:v>
      </x:c>
      <x:c r="G1979" s="0" t="s">
        <x:v>19</x:v>
      </x:c>
      <x:c r="H1979" s="0" t="s">
        <x:v>20</x:v>
      </x:c>
      <x:c r="I1979" s="0" t="s">
        <x:v>21</x:v>
      </x:c>
      <x:c r="K1979" s="0">
        <x:f>hyperlink("https://icd.who.int/dev11/l-ichi/en#/http%3A%2F%2Fid.who.int%2Ficd%2Fentity%2F1727511656","browser")</x:f>
      </x:c>
      <x:c r="L1979" s="0">
        <x:f>hyperlink("https://icat2.azurewebsites.net/icat/?ontology=ICD&amp;tab=ClassesTab&amp;id=http%3A%2F%2Fwho.int%2Ficd%236808_512ebf36_bf6b_4d70_85da_cf2637062af4","iCat")</x:f>
      </x:c>
      <x:c r="M1979" s="0" t="s">
        <x:v>21</x:v>
      </x:c>
      <x:c r="N1979" s="0" t="s">
        <x:v>46</x:v>
      </x:c>
    </x:row>
    <x:row r="1980" spans="1:16">
      <x:c r="A1980" s="0" t="s">
        <x:v>7752</x:v>
      </x:c>
      <x:c r="B1980" s="0" t="s">
        <x:v>7753</x:v>
      </x:c>
      <x:c r="C1980" s="0" t="s">
        <x:v>7754</x:v>
      </x:c>
      <x:c r="E1980" s="0" t="s">
        <x:v>7755</x:v>
      </x:c>
      <x:c r="F1980" s="0" t="s">
        <x:v>45</x:v>
      </x:c>
      <x:c r="G1980" s="0" t="s">
        <x:v>19</x:v>
      </x:c>
      <x:c r="H1980" s="0" t="s">
        <x:v>20</x:v>
      </x:c>
      <x:c r="I1980" s="0" t="s">
        <x:v>21</x:v>
      </x:c>
      <x:c r="K1980" s="0">
        <x:f>hyperlink("https://icd.who.int/dev11/l-ichi/en#/http%3A%2F%2Fid.who.int%2Ficd%2Fentity%2F2008325152","browser")</x:f>
      </x:c>
      <x:c r="L1980" s="0">
        <x:f>hyperlink("https://icat2.azurewebsites.net/icat/?ontology=ICD&amp;tab=ClassesTab&amp;id=http%3A%2F%2Fwho.int%2Ficd%236814_512ebf36_bf6b_4d70_85da_cf2637062af4","iCat")</x:f>
      </x:c>
      <x:c r="M1980" s="0" t="s">
        <x:v>21</x:v>
      </x:c>
      <x:c r="N1980" s="0" t="s">
        <x:v>46</x:v>
      </x:c>
    </x:row>
    <x:row r="1981" spans="1:16">
      <x:c r="A1981" s="0" t="s">
        <x:v>7756</x:v>
      </x:c>
      <x:c r="B1981" s="0" t="s">
        <x:v>7757</x:v>
      </x:c>
      <x:c r="D1981" s="0" t="s">
        <x:v>7758</x:v>
      </x:c>
      <x:c r="E1981" s="0" t="s">
        <x:v>7759</x:v>
      </x:c>
      <x:c r="F1981" s="0" t="s">
        <x:v>26</x:v>
      </x:c>
      <x:c r="G1981" s="0" t="s">
        <x:v>22</x:v>
      </x:c>
      <x:c r="H1981" s="0" t="s">
        <x:v>20</x:v>
      </x:c>
      <x:c r="I1981" s="0" t="s">
        <x:v>21</x:v>
      </x:c>
      <x:c r="K1981" s="0">
        <x:f>hyperlink("https://icd.who.int/dev11/l-ichi/en#/http%3A%2F%2Fid.who.int%2Ficd%2Fentity%2F402435621","browser")</x:f>
      </x:c>
      <x:c r="L1981" s="0">
        <x:f>hyperlink("https://icat2.azurewebsites.net/icat/?ontology=ICD&amp;tab=ClassesTab&amp;id=http%3A%2F%2Fwho.int%2Ficd%236825_512ebf36_bf6b_4d70_85da_cf2637062af4","iCat")</x:f>
      </x:c>
      <x:c r="M1981" s="0" t="s">
        <x:v>20</x:v>
      </x:c>
      <x:c r="N1981" s="0" t="s">
        <x:v>22</x:v>
      </x:c>
    </x:row>
    <x:row r="1982" spans="1:16">
      <x:c r="A1982" s="0" t="s">
        <x:v>7760</x:v>
      </x:c>
      <x:c r="B1982" s="0" t="s">
        <x:v>7761</x:v>
      </x:c>
      <x:c r="C1982" s="0" t="s">
        <x:v>7762</x:v>
      </x:c>
      <x:c r="E1982" s="0" t="s">
        <x:v>7763</x:v>
      </x:c>
      <x:c r="F1982" s="0" t="s">
        <x:v>45</x:v>
      </x:c>
      <x:c r="G1982" s="0" t="s">
        <x:v>19</x:v>
      </x:c>
      <x:c r="H1982" s="0" t="s">
        <x:v>20</x:v>
      </x:c>
      <x:c r="I1982" s="0" t="s">
        <x:v>21</x:v>
      </x:c>
      <x:c r="K1982" s="0">
        <x:f>hyperlink("https://icd.who.int/dev11/l-ichi/en#/http%3A%2F%2Fid.who.int%2Ficd%2Fentity%2F1695591348","browser")</x:f>
      </x:c>
      <x:c r="L1982" s="0">
        <x:f>hyperlink("https://icat2.azurewebsites.net/icat/?ontology=ICD&amp;tab=ClassesTab&amp;id=http%3A%2F%2Fwho.int%2Ficd%2338066_512ebf36_bf6b_4d70_85da_cf2637062af4","iCat")</x:f>
      </x:c>
      <x:c r="M1982" s="0" t="s">
        <x:v>21</x:v>
      </x:c>
      <x:c r="N1982" s="0" t="s">
        <x:v>46</x:v>
      </x:c>
    </x:row>
    <x:row r="1983" spans="1:16">
      <x:c r="A1983" s="0" t="s">
        <x:v>7764</x:v>
      </x:c>
      <x:c r="B1983" s="0" t="s">
        <x:v>7765</x:v>
      </x:c>
      <x:c r="C1983" s="0" t="s">
        <x:v>7766</x:v>
      </x:c>
      <x:c r="E1983" s="0" t="s">
        <x:v>7767</x:v>
      </x:c>
      <x:c r="F1983" s="0" t="s">
        <x:v>45</x:v>
      </x:c>
      <x:c r="G1983" s="0" t="s">
        <x:v>19</x:v>
      </x:c>
      <x:c r="H1983" s="0" t="s">
        <x:v>20</x:v>
      </x:c>
      <x:c r="I1983" s="0" t="s">
        <x:v>21</x:v>
      </x:c>
      <x:c r="K1983" s="0">
        <x:f>hyperlink("https://icd.who.int/dev11/l-ichi/en#/http%3A%2F%2Fid.who.int%2Ficd%2Fentity%2F923130905","browser")</x:f>
      </x:c>
      <x:c r="L1983" s="0">
        <x:f>hyperlink("https://icat2.azurewebsites.net/icat/?ontology=ICD&amp;tab=ClassesTab&amp;id=http%3A%2F%2Fwho.int%2Ficd%236824_512ebf36_bf6b_4d70_85da_cf2637062af4","iCat")</x:f>
      </x:c>
      <x:c r="M1983" s="0" t="s">
        <x:v>21</x:v>
      </x:c>
      <x:c r="N1983" s="0" t="s">
        <x:v>46</x:v>
      </x:c>
    </x:row>
    <x:row r="1984" spans="1:16">
      <x:c r="A1984" s="0" t="s">
        <x:v>7768</x:v>
      </x:c>
      <x:c r="B1984" s="0" t="s">
        <x:v>7769</x:v>
      </x:c>
      <x:c r="C1984" s="0" t="s">
        <x:v>7770</x:v>
      </x:c>
      <x:c r="E1984" s="0" t="s">
        <x:v>7771</x:v>
      </x:c>
      <x:c r="F1984" s="0" t="s">
        <x:v>45</x:v>
      </x:c>
      <x:c r="G1984" s="0" t="s">
        <x:v>19</x:v>
      </x:c>
      <x:c r="H1984" s="0" t="s">
        <x:v>20</x:v>
      </x:c>
      <x:c r="I1984" s="0" t="s">
        <x:v>21</x:v>
      </x:c>
      <x:c r="K1984" s="0">
        <x:f>hyperlink("https://icd.who.int/dev11/l-ichi/en#/http%3A%2F%2Fid.who.int%2Ficd%2Fentity%2F951866507","browser")</x:f>
      </x:c>
      <x:c r="L1984" s="0">
        <x:f>hyperlink("https://icat2.azurewebsites.net/icat/?ontology=ICD&amp;tab=ClassesTab&amp;id=http%3A%2F%2Fwho.int%2Ficd%236836_512ebf36_bf6b_4d70_85da_cf2637062af4","iCat")</x:f>
      </x:c>
      <x:c r="M1984" s="0" t="s">
        <x:v>21</x:v>
      </x:c>
      <x:c r="N1984" s="0" t="s">
        <x:v>46</x:v>
      </x:c>
    </x:row>
    <x:row r="1985" spans="1:16">
      <x:c r="A1985" s="0" t="s">
        <x:v>7772</x:v>
      </x:c>
      <x:c r="B1985" s="0" t="s">
        <x:v>7773</x:v>
      </x:c>
      <x:c r="C1985" s="0" t="s">
        <x:v>7774</x:v>
      </x:c>
      <x:c r="E1985" s="0" t="s">
        <x:v>7775</x:v>
      </x:c>
      <x:c r="F1985" s="0" t="s">
        <x:v>45</x:v>
      </x:c>
      <x:c r="G1985" s="0" t="s">
        <x:v>19</x:v>
      </x:c>
      <x:c r="H1985" s="0" t="s">
        <x:v>20</x:v>
      </x:c>
      <x:c r="I1985" s="0" t="s">
        <x:v>21</x:v>
      </x:c>
      <x:c r="K1985" s="0">
        <x:f>hyperlink("https://icd.who.int/dev11/l-ichi/en#/http%3A%2F%2Fid.who.int%2Ficd%2Fentity%2F1307519080","browser")</x:f>
      </x:c>
      <x:c r="L1985" s="0">
        <x:f>hyperlink("https://icat2.azurewebsites.net/icat/?ontology=ICD&amp;tab=ClassesTab&amp;id=http%3A%2F%2Fwho.int%2Ficd%236845_512ebf36_bf6b_4d70_85da_cf2637062af4","iCat")</x:f>
      </x:c>
      <x:c r="M1985" s="0" t="s">
        <x:v>21</x:v>
      </x:c>
      <x:c r="N1985" s="0" t="s">
        <x:v>46</x:v>
      </x:c>
    </x:row>
    <x:row r="1986" spans="1:16">
      <x:c r="A1986" s="0" t="s">
        <x:v>7776</x:v>
      </x:c>
      <x:c r="B1986" s="0" t="s">
        <x:v>7777</x:v>
      </x:c>
      <x:c r="D1986" s="0" t="s">
        <x:v>7778</x:v>
      </x:c>
      <x:c r="E1986" s="0" t="s">
        <x:v>7779</x:v>
      </x:c>
      <x:c r="F1986" s="0" t="s">
        <x:v>26</x:v>
      </x:c>
      <x:c r="G1986" s="0" t="s">
        <x:v>22</x:v>
      </x:c>
      <x:c r="H1986" s="0" t="s">
        <x:v>20</x:v>
      </x:c>
      <x:c r="I1986" s="0" t="s">
        <x:v>21</x:v>
      </x:c>
      <x:c r="K1986" s="0">
        <x:f>hyperlink("https://icd.who.int/dev11/l-ichi/en#/http%3A%2F%2Fid.who.int%2Ficd%2Fentity%2F1919241074","browser")</x:f>
      </x:c>
      <x:c r="L1986" s="0">
        <x:f>hyperlink("https://icat2.azurewebsites.net/icat/?ontology=ICD&amp;tab=ClassesTab&amp;id=http%3A%2F%2Fwho.int%2Ficd%236860_512ebf36_bf6b_4d70_85da_cf2637062af4","iCat")</x:f>
      </x:c>
      <x:c r="M1986" s="0" t="s">
        <x:v>20</x:v>
      </x:c>
      <x:c r="N1986" s="0" t="s">
        <x:v>7780</x:v>
      </x:c>
    </x:row>
    <x:row r="1987" spans="1:16">
      <x:c r="A1987" s="0" t="s">
        <x:v>7781</x:v>
      </x:c>
      <x:c r="B1987" s="0" t="s">
        <x:v>7782</x:v>
      </x:c>
      <x:c r="C1987" s="0" t="s">
        <x:v>7783</x:v>
      </x:c>
      <x:c r="E1987" s="0" t="s">
        <x:v>7784</x:v>
      </x:c>
      <x:c r="F1987" s="0" t="s">
        <x:v>45</x:v>
      </x:c>
      <x:c r="G1987" s="0" t="s">
        <x:v>19</x:v>
      </x:c>
      <x:c r="H1987" s="0" t="s">
        <x:v>20</x:v>
      </x:c>
      <x:c r="I1987" s="0" t="s">
        <x:v>21</x:v>
      </x:c>
      <x:c r="K1987" s="0">
        <x:f>hyperlink("https://icd.who.int/dev11/l-ichi/en#/http%3A%2F%2Fid.who.int%2Ficd%2Fentity%2F1554778144","browser")</x:f>
      </x:c>
      <x:c r="L1987" s="0">
        <x:f>hyperlink("https://icat2.azurewebsites.net/icat/?ontology=ICD&amp;tab=ClassesTab&amp;id=http%3A%2F%2Fwho.int%2Ficd%236859_512ebf36_bf6b_4d70_85da_cf2637062af4","iCat")</x:f>
      </x:c>
      <x:c r="M1987" s="0" t="s">
        <x:v>21</x:v>
      </x:c>
      <x:c r="N1987" s="0" t="s">
        <x:v>46</x:v>
      </x:c>
    </x:row>
    <x:row r="1988" spans="1:16">
      <x:c r="A1988" s="0" t="s">
        <x:v>7785</x:v>
      </x:c>
      <x:c r="B1988" s="0" t="s">
        <x:v>7786</x:v>
      </x:c>
      <x:c r="C1988" s="0" t="s">
        <x:v>7787</x:v>
      </x:c>
      <x:c r="E1988" s="0" t="s">
        <x:v>7788</x:v>
      </x:c>
      <x:c r="F1988" s="0" t="s">
        <x:v>45</x:v>
      </x:c>
      <x:c r="G1988" s="0" t="s">
        <x:v>19</x:v>
      </x:c>
      <x:c r="H1988" s="0" t="s">
        <x:v>20</x:v>
      </x:c>
      <x:c r="I1988" s="0" t="s">
        <x:v>21</x:v>
      </x:c>
      <x:c r="K1988" s="0">
        <x:f>hyperlink("https://icd.who.int/dev11/l-ichi/en#/http%3A%2F%2Fid.who.int%2Ficd%2Fentity%2F945400859","browser")</x:f>
      </x:c>
      <x:c r="L1988" s="0">
        <x:f>hyperlink("https://icat2.azurewebsites.net/icat/?ontology=ICD&amp;tab=ClassesTab&amp;id=http%3A%2F%2Fwho.int%2Ficd%236871_512ebf36_bf6b_4d70_85da_cf2637062af4","iCat")</x:f>
      </x:c>
      <x:c r="M1988" s="0" t="s">
        <x:v>21</x:v>
      </x:c>
      <x:c r="N1988" s="0" t="s">
        <x:v>46</x:v>
      </x:c>
    </x:row>
    <x:row r="1989" spans="1:16">
      <x:c r="A1989" s="0" t="s">
        <x:v>7789</x:v>
      </x:c>
      <x:c r="B1989" s="0" t="s">
        <x:v>7790</x:v>
      </x:c>
      <x:c r="C1989" s="0" t="s">
        <x:v>7791</x:v>
      </x:c>
      <x:c r="E1989" s="0" t="s">
        <x:v>7792</x:v>
      </x:c>
      <x:c r="F1989" s="0" t="s">
        <x:v>45</x:v>
      </x:c>
      <x:c r="G1989" s="0" t="s">
        <x:v>19</x:v>
      </x:c>
      <x:c r="H1989" s="0" t="s">
        <x:v>20</x:v>
      </x:c>
      <x:c r="I1989" s="0" t="s">
        <x:v>21</x:v>
      </x:c>
      <x:c r="K1989" s="0">
        <x:f>hyperlink("https://icd.who.int/dev11/l-ichi/en#/http%3A%2F%2Fid.who.int%2Ficd%2Fentity%2F1747088812","browser")</x:f>
      </x:c>
      <x:c r="L1989" s="0">
        <x:f>hyperlink("https://icat2.azurewebsites.net/icat/?ontology=ICD&amp;tab=ClassesTab&amp;id=http%3A%2F%2Fwho.int%2Ficd%236877_512ebf36_bf6b_4d70_85da_cf2637062af4","iCat")</x:f>
      </x:c>
      <x:c r="M1989" s="0" t="s">
        <x:v>21</x:v>
      </x:c>
      <x:c r="N1989" s="0" t="s">
        <x:v>46</x:v>
      </x:c>
    </x:row>
    <x:row r="1990" spans="1:16">
      <x:c r="A1990" s="0" t="s">
        <x:v>7793</x:v>
      </x:c>
      <x:c r="B1990" s="0" t="s">
        <x:v>7794</x:v>
      </x:c>
      <x:c r="C1990" s="0" t="s">
        <x:v>7795</x:v>
      </x:c>
      <x:c r="E1990" s="0" t="s">
        <x:v>7796</x:v>
      </x:c>
      <x:c r="F1990" s="0" t="s">
        <x:v>45</x:v>
      </x:c>
      <x:c r="G1990" s="0" t="s">
        <x:v>19</x:v>
      </x:c>
      <x:c r="H1990" s="0" t="s">
        <x:v>20</x:v>
      </x:c>
      <x:c r="I1990" s="0" t="s">
        <x:v>21</x:v>
      </x:c>
      <x:c r="K1990" s="0">
        <x:f>hyperlink("https://icd.who.int/dev11/l-ichi/en#/http%3A%2F%2Fid.who.int%2Ficd%2Fentity%2F582558385","browser")</x:f>
      </x:c>
      <x:c r="L1990" s="0">
        <x:f>hyperlink("https://icat2.azurewebsites.net/icat/?ontology=ICD&amp;tab=ClassesTab&amp;id=http%3A%2F%2Fwho.int%2Ficd%236885_512ebf36_bf6b_4d70_85da_cf2637062af4","iCat")</x:f>
      </x:c>
      <x:c r="M1990" s="0" t="s">
        <x:v>21</x:v>
      </x:c>
      <x:c r="N1990" s="0" t="s">
        <x:v>46</x:v>
      </x:c>
    </x:row>
    <x:row r="1991" spans="1:16">
      <x:c r="A1991" s="0" t="s">
        <x:v>7797</x:v>
      </x:c>
      <x:c r="B1991" s="0" t="s">
        <x:v>7798</x:v>
      </x:c>
      <x:c r="C1991" s="0" t="s">
        <x:v>7799</x:v>
      </x:c>
      <x:c r="E1991" s="0" t="s">
        <x:v>7800</x:v>
      </x:c>
      <x:c r="F1991" s="0" t="s">
        <x:v>45</x:v>
      </x:c>
      <x:c r="G1991" s="0" t="s">
        <x:v>19</x:v>
      </x:c>
      <x:c r="H1991" s="0" t="s">
        <x:v>20</x:v>
      </x:c>
      <x:c r="I1991" s="0" t="s">
        <x:v>21</x:v>
      </x:c>
      <x:c r="K1991" s="0">
        <x:f>hyperlink("https://icd.who.int/dev11/l-ichi/en#/http%3A%2F%2Fid.who.int%2Ficd%2Fentity%2F2105242514","browser")</x:f>
      </x:c>
      <x:c r="L1991" s="0">
        <x:f>hyperlink("https://icat2.azurewebsites.net/icat/?ontology=ICD&amp;tab=ClassesTab&amp;id=http%3A%2F%2Fwho.int%2Ficd%236891_512ebf36_bf6b_4d70_85da_cf2637062af4","iCat")</x:f>
      </x:c>
      <x:c r="M1991" s="0" t="s">
        <x:v>21</x:v>
      </x:c>
      <x:c r="N1991" s="0" t="s">
        <x:v>46</x:v>
      </x:c>
    </x:row>
    <x:row r="1992" spans="1:16">
      <x:c r="A1992" s="0" t="s">
        <x:v>7801</x:v>
      </x:c>
      <x:c r="B1992" s="0" t="s">
        <x:v>7802</x:v>
      </x:c>
      <x:c r="C1992" s="0" t="s">
        <x:v>7803</x:v>
      </x:c>
      <x:c r="E1992" s="0" t="s">
        <x:v>7804</x:v>
      </x:c>
      <x:c r="F1992" s="0" t="s">
        <x:v>45</x:v>
      </x:c>
      <x:c r="G1992" s="0" t="s">
        <x:v>19</x:v>
      </x:c>
      <x:c r="H1992" s="0" t="s">
        <x:v>20</x:v>
      </x:c>
      <x:c r="I1992" s="0" t="s">
        <x:v>21</x:v>
      </x:c>
      <x:c r="K1992" s="0">
        <x:f>hyperlink("https://icd.who.int/dev11/l-ichi/en#/http%3A%2F%2Fid.who.int%2Ficd%2Fentity%2F872022727","browser")</x:f>
      </x:c>
      <x:c r="L1992" s="0">
        <x:f>hyperlink("https://icat2.azurewebsites.net/icat/?ontology=ICD&amp;tab=ClassesTab&amp;id=http%3A%2F%2Fwho.int%2Ficd%236899_512ebf36_bf6b_4d70_85da_cf2637062af4","iCat")</x:f>
      </x:c>
      <x:c r="M1992" s="0" t="s">
        <x:v>21</x:v>
      </x:c>
      <x:c r="N1992" s="0" t="s">
        <x:v>46</x:v>
      </x:c>
    </x:row>
    <x:row r="1993" spans="1:16">
      <x:c r="A1993" s="0" t="s">
        <x:v>7805</x:v>
      </x:c>
      <x:c r="B1993" s="0" t="s">
        <x:v>7806</x:v>
      </x:c>
      <x:c r="C1993" s="0" t="s">
        <x:v>7807</x:v>
      </x:c>
      <x:c r="E1993" s="0" t="s">
        <x:v>7808</x:v>
      </x:c>
      <x:c r="F1993" s="0" t="s">
        <x:v>45</x:v>
      </x:c>
      <x:c r="G1993" s="0" t="s">
        <x:v>19</x:v>
      </x:c>
      <x:c r="H1993" s="0" t="s">
        <x:v>20</x:v>
      </x:c>
      <x:c r="I1993" s="0" t="s">
        <x:v>21</x:v>
      </x:c>
      <x:c r="K1993" s="0">
        <x:f>hyperlink("https://icd.who.int/dev11/l-ichi/en#/http%3A%2F%2Fid.who.int%2Ficd%2Fentity%2F762028077","browser")</x:f>
      </x:c>
      <x:c r="L1993" s="0">
        <x:f>hyperlink("https://icat2.azurewebsites.net/icat/?ontology=ICD&amp;tab=ClassesTab&amp;id=http%3A%2F%2Fwho.int%2Ficd%236907_512ebf36_bf6b_4d70_85da_cf2637062af4","iCat")</x:f>
      </x:c>
      <x:c r="M1993" s="0" t="s">
        <x:v>21</x:v>
      </x:c>
      <x:c r="N1993" s="0" t="s">
        <x:v>46</x:v>
      </x:c>
    </x:row>
    <x:row r="1994" spans="1:16">
      <x:c r="A1994" s="0" t="s">
        <x:v>7809</x:v>
      </x:c>
      <x:c r="B1994" s="0" t="s">
        <x:v>7810</x:v>
      </x:c>
      <x:c r="C1994" s="0" t="s">
        <x:v>7811</x:v>
      </x:c>
      <x:c r="E1994" s="0" t="s">
        <x:v>7812</x:v>
      </x:c>
      <x:c r="F1994" s="0" t="s">
        <x:v>45</x:v>
      </x:c>
      <x:c r="G1994" s="0" t="s">
        <x:v>19</x:v>
      </x:c>
      <x:c r="H1994" s="0" t="s">
        <x:v>20</x:v>
      </x:c>
      <x:c r="I1994" s="0" t="s">
        <x:v>21</x:v>
      </x:c>
      <x:c r="K1994" s="0">
        <x:f>hyperlink("https://icd.who.int/dev11/l-ichi/en#/http%3A%2F%2Fid.who.int%2Ficd%2Fentity%2F1733773128","browser")</x:f>
      </x:c>
      <x:c r="L1994" s="0">
        <x:f>hyperlink("https://icat2.azurewebsites.net/icat/?ontology=ICD&amp;tab=ClassesTab&amp;id=http%3A%2F%2Fwho.int%2Ficd%236916_512ebf36_bf6b_4d70_85da_cf2637062af4","iCat")</x:f>
      </x:c>
      <x:c r="M1994" s="0" t="s">
        <x:v>21</x:v>
      </x:c>
      <x:c r="N1994" s="0" t="s">
        <x:v>46</x:v>
      </x:c>
    </x:row>
    <x:row r="1995" spans="1:16">
      <x:c r="A1995" s="0" t="s">
        <x:v>7813</x:v>
      </x:c>
      <x:c r="B1995" s="0" t="s">
        <x:v>7814</x:v>
      </x:c>
      <x:c r="C1995" s="0" t="s">
        <x:v>7815</x:v>
      </x:c>
      <x:c r="E1995" s="0" t="s">
        <x:v>7816</x:v>
      </x:c>
      <x:c r="F1995" s="0" t="s">
        <x:v>45</x:v>
      </x:c>
      <x:c r="G1995" s="0" t="s">
        <x:v>19</x:v>
      </x:c>
      <x:c r="H1995" s="0" t="s">
        <x:v>20</x:v>
      </x:c>
      <x:c r="I1995" s="0" t="s">
        <x:v>21</x:v>
      </x:c>
      <x:c r="K1995" s="0">
        <x:f>hyperlink("https://icd.who.int/dev11/l-ichi/en#/http%3A%2F%2Fid.who.int%2Ficd%2Fentity%2F1117395588","browser")</x:f>
      </x:c>
      <x:c r="L1995" s="0">
        <x:f>hyperlink("https://icat2.azurewebsites.net/icat/?ontology=ICD&amp;tab=ClassesTab&amp;id=http%3A%2F%2Fwho.int%2Ficd%236924_512ebf36_bf6b_4d70_85da_cf2637062af4","iCat")</x:f>
      </x:c>
      <x:c r="M1995" s="0" t="s">
        <x:v>21</x:v>
      </x:c>
      <x:c r="N1995" s="0" t="s">
        <x:v>46</x:v>
      </x:c>
    </x:row>
    <x:row r="1996" spans="1:16">
      <x:c r="A1996" s="0" t="s">
        <x:v>7817</x:v>
      </x:c>
      <x:c r="B1996" s="0" t="s">
        <x:v>7818</x:v>
      </x:c>
      <x:c r="C1996" s="0" t="s">
        <x:v>7819</x:v>
      </x:c>
      <x:c r="E1996" s="0" t="s">
        <x:v>7820</x:v>
      </x:c>
      <x:c r="F1996" s="0" t="s">
        <x:v>45</x:v>
      </x:c>
      <x:c r="G1996" s="0" t="s">
        <x:v>19</x:v>
      </x:c>
      <x:c r="H1996" s="0" t="s">
        <x:v>20</x:v>
      </x:c>
      <x:c r="I1996" s="0" t="s">
        <x:v>21</x:v>
      </x:c>
      <x:c r="K1996" s="0">
        <x:f>hyperlink("https://icd.who.int/dev11/l-ichi/en#/http%3A%2F%2Fid.who.int%2Ficd%2Fentity%2F492325799","browser")</x:f>
      </x:c>
      <x:c r="L1996" s="0">
        <x:f>hyperlink("https://icat2.azurewebsites.net/icat/?ontology=ICD&amp;tab=ClassesTab&amp;id=http%3A%2F%2Fwho.int%2Ficd%236930_512ebf36_bf6b_4d70_85da_cf2637062af4","iCat")</x:f>
      </x:c>
      <x:c r="M1996" s="0" t="s">
        <x:v>21</x:v>
      </x:c>
      <x:c r="N1996" s="0" t="s">
        <x:v>46</x:v>
      </x:c>
    </x:row>
    <x:row r="1997" spans="1:16">
      <x:c r="A1997" s="0" t="s">
        <x:v>7821</x:v>
      </x:c>
      <x:c r="B1997" s="0" t="s">
        <x:v>7822</x:v>
      </x:c>
      <x:c r="C1997" s="0" t="s">
        <x:v>7823</x:v>
      </x:c>
      <x:c r="E1997" s="0" t="s">
        <x:v>7824</x:v>
      </x:c>
      <x:c r="F1997" s="0" t="s">
        <x:v>45</x:v>
      </x:c>
      <x:c r="G1997" s="0" t="s">
        <x:v>19</x:v>
      </x:c>
      <x:c r="H1997" s="0" t="s">
        <x:v>20</x:v>
      </x:c>
      <x:c r="I1997" s="0" t="s">
        <x:v>21</x:v>
      </x:c>
      <x:c r="K1997" s="0">
        <x:f>hyperlink("https://icd.who.int/dev11/l-ichi/en#/http%3A%2F%2Fid.who.int%2Ficd%2Fentity%2F1294176790","browser")</x:f>
      </x:c>
      <x:c r="L1997" s="0">
        <x:f>hyperlink("https://icat2.azurewebsites.net/icat/?ontology=ICD&amp;tab=ClassesTab&amp;id=http%3A%2F%2Fwho.int%2Ficd%236936_512ebf36_bf6b_4d70_85da_cf2637062af4","iCat")</x:f>
      </x:c>
      <x:c r="M1997" s="0" t="s">
        <x:v>21</x:v>
      </x:c>
      <x:c r="N1997" s="0" t="s">
        <x:v>46</x:v>
      </x:c>
    </x:row>
    <x:row r="1998" spans="1:16">
      <x:c r="A1998" s="0" t="s">
        <x:v>7825</x:v>
      </x:c>
      <x:c r="B1998" s="0" t="s">
        <x:v>7826</x:v>
      </x:c>
      <x:c r="C1998" s="0" t="s">
        <x:v>7827</x:v>
      </x:c>
      <x:c r="E1998" s="0" t="s">
        <x:v>7828</x:v>
      </x:c>
      <x:c r="F1998" s="0" t="s">
        <x:v>45</x:v>
      </x:c>
      <x:c r="G1998" s="0" t="s">
        <x:v>19</x:v>
      </x:c>
      <x:c r="H1998" s="0" t="s">
        <x:v>20</x:v>
      </x:c>
      <x:c r="I1998" s="0" t="s">
        <x:v>21</x:v>
      </x:c>
      <x:c r="K1998" s="0">
        <x:f>hyperlink("https://icd.who.int/dev11/l-ichi/en#/http%3A%2F%2Fid.who.int%2Ficd%2Fentity%2F1745565510","browser")</x:f>
      </x:c>
      <x:c r="L1998" s="0">
        <x:f>hyperlink("https://icat2.azurewebsites.net/icat/?ontology=ICD&amp;tab=ClassesTab&amp;id=http%3A%2F%2Fwho.int%2Ficd%236943_512ebf36_bf6b_4d70_85da_cf2637062af4","iCat")</x:f>
      </x:c>
      <x:c r="M1998" s="0" t="s">
        <x:v>21</x:v>
      </x:c>
      <x:c r="N1998" s="0" t="s">
        <x:v>46</x:v>
      </x:c>
    </x:row>
    <x:row r="1999" spans="1:16">
      <x:c r="A1999" s="0" t="s">
        <x:v>7829</x:v>
      </x:c>
      <x:c r="B1999" s="0" t="s">
        <x:v>7830</x:v>
      </x:c>
      <x:c r="C1999" s="0" t="s">
        <x:v>7831</x:v>
      </x:c>
      <x:c r="E1999" s="0" t="s">
        <x:v>7832</x:v>
      </x:c>
      <x:c r="F1999" s="0" t="s">
        <x:v>45</x:v>
      </x:c>
      <x:c r="G1999" s="0" t="s">
        <x:v>19</x:v>
      </x:c>
      <x:c r="H1999" s="0" t="s">
        <x:v>20</x:v>
      </x:c>
      <x:c r="I1999" s="0" t="s">
        <x:v>21</x:v>
      </x:c>
      <x:c r="K1999" s="0">
        <x:f>hyperlink("https://icd.who.int/dev11/l-ichi/en#/http%3A%2F%2Fid.who.int%2Ficd%2Fentity%2F1140218838","browser")</x:f>
      </x:c>
      <x:c r="L1999" s="0">
        <x:f>hyperlink("https://icat2.azurewebsites.net/icat/?ontology=ICD&amp;tab=ClassesTab&amp;id=http%3A%2F%2Fwho.int%2Ficd%236949_512ebf36_bf6b_4d70_85da_cf2637062af4","iCat")</x:f>
      </x:c>
      <x:c r="M1999" s="0" t="s">
        <x:v>21</x:v>
      </x:c>
      <x:c r="N1999" s="0" t="s">
        <x:v>46</x:v>
      </x:c>
    </x:row>
    <x:row r="2000" spans="1:16">
      <x:c r="A2000" s="0" t="s">
        <x:v>7833</x:v>
      </x:c>
      <x:c r="B2000" s="0" t="s">
        <x:v>7834</x:v>
      </x:c>
      <x:c r="C2000" s="0" t="s">
        <x:v>7835</x:v>
      </x:c>
      <x:c r="E2000" s="0" t="s">
        <x:v>7836</x:v>
      </x:c>
      <x:c r="F2000" s="0" t="s">
        <x:v>45</x:v>
      </x:c>
      <x:c r="G2000" s="0" t="s">
        <x:v>19</x:v>
      </x:c>
      <x:c r="H2000" s="0" t="s">
        <x:v>20</x:v>
      </x:c>
      <x:c r="I2000" s="0" t="s">
        <x:v>21</x:v>
      </x:c>
      <x:c r="K2000" s="0">
        <x:f>hyperlink("https://icd.who.int/dev11/l-ichi/en#/http%3A%2F%2Fid.who.int%2Ficd%2Fentity%2F389026907","browser")</x:f>
      </x:c>
      <x:c r="L2000" s="0">
        <x:f>hyperlink("https://icat2.azurewebsites.net/icat/?ontology=ICD&amp;tab=ClassesTab&amp;id=http%3A%2F%2Fwho.int%2Ficd%236956_512ebf36_bf6b_4d70_85da_cf2637062af4","iCat")</x:f>
      </x:c>
      <x:c r="M2000" s="0" t="s">
        <x:v>21</x:v>
      </x:c>
      <x:c r="N2000" s="0" t="s">
        <x:v>46</x:v>
      </x:c>
    </x:row>
    <x:row r="2001" spans="1:16">
      <x:c r="A2001" s="0" t="s">
        <x:v>7837</x:v>
      </x:c>
      <x:c r="B2001" s="0" t="s">
        <x:v>7838</x:v>
      </x:c>
      <x:c r="C2001" s="0" t="s">
        <x:v>7839</x:v>
      </x:c>
      <x:c r="E2001" s="0" t="s">
        <x:v>7840</x:v>
      </x:c>
      <x:c r="F2001" s="0" t="s">
        <x:v>45</x:v>
      </x:c>
      <x:c r="G2001" s="0" t="s">
        <x:v>19</x:v>
      </x:c>
      <x:c r="H2001" s="0" t="s">
        <x:v>20</x:v>
      </x:c>
      <x:c r="I2001" s="0" t="s">
        <x:v>21</x:v>
      </x:c>
      <x:c r="K2001" s="0">
        <x:f>hyperlink("https://icd.who.int/dev11/l-ichi/en#/http%3A%2F%2Fid.who.int%2Ficd%2Fentity%2F1652985898","browser")</x:f>
      </x:c>
      <x:c r="L2001" s="0">
        <x:f>hyperlink("https://icat2.azurewebsites.net/icat/?ontology=ICD&amp;tab=ClassesTab&amp;id=http%3A%2F%2Fwho.int%2Ficd%236962_512ebf36_bf6b_4d70_85da_cf2637062af4","iCat")</x:f>
      </x:c>
      <x:c r="M2001" s="0" t="s">
        <x:v>21</x:v>
      </x:c>
      <x:c r="N2001" s="0" t="s">
        <x:v>46</x:v>
      </x:c>
    </x:row>
    <x:row r="2002" spans="1:16">
      <x:c r="A2002" s="0" t="s">
        <x:v>7841</x:v>
      </x:c>
      <x:c r="B2002" s="0" t="s">
        <x:v>7842</x:v>
      </x:c>
      <x:c r="C2002" s="0" t="s">
        <x:v>7843</x:v>
      </x:c>
      <x:c r="E2002" s="0" t="s">
        <x:v>7844</x:v>
      </x:c>
      <x:c r="F2002" s="0" t="s">
        <x:v>45</x:v>
      </x:c>
      <x:c r="G2002" s="0" t="s">
        <x:v>19</x:v>
      </x:c>
      <x:c r="H2002" s="0" t="s">
        <x:v>20</x:v>
      </x:c>
      <x:c r="I2002" s="0" t="s">
        <x:v>21</x:v>
      </x:c>
      <x:c r="K2002" s="0">
        <x:f>hyperlink("https://icd.who.int/dev11/l-ichi/en#/http%3A%2F%2Fid.who.int%2Ficd%2Fentity%2F1832851644","browser")</x:f>
      </x:c>
      <x:c r="L2002" s="0">
        <x:f>hyperlink("https://icat2.azurewebsites.net/icat/?ontology=ICD&amp;tab=ClassesTab&amp;id=http%3A%2F%2Fwho.int%2Ficd%236970_512ebf36_bf6b_4d70_85da_cf2637062af4","iCat")</x:f>
      </x:c>
      <x:c r="M2002" s="0" t="s">
        <x:v>21</x:v>
      </x:c>
      <x:c r="N2002" s="0" t="s">
        <x:v>46</x:v>
      </x:c>
    </x:row>
    <x:row r="2003" spans="1:16">
      <x:c r="A2003" s="0" t="s">
        <x:v>7845</x:v>
      </x:c>
      <x:c r="B2003" s="0" t="s">
        <x:v>7846</x:v>
      </x:c>
      <x:c r="C2003" s="0" t="s">
        <x:v>7847</x:v>
      </x:c>
      <x:c r="E2003" s="0" t="s">
        <x:v>7848</x:v>
      </x:c>
      <x:c r="F2003" s="0" t="s">
        <x:v>45</x:v>
      </x:c>
      <x:c r="G2003" s="0" t="s">
        <x:v>19</x:v>
      </x:c>
      <x:c r="H2003" s="0" t="s">
        <x:v>20</x:v>
      </x:c>
      <x:c r="I2003" s="0" t="s">
        <x:v>21</x:v>
      </x:c>
      <x:c r="K2003" s="0">
        <x:f>hyperlink("https://icd.who.int/dev11/l-ichi/en#/http%3A%2F%2Fid.who.int%2Ficd%2Fentity%2F1027916043","browser")</x:f>
      </x:c>
      <x:c r="L2003" s="0">
        <x:f>hyperlink("https://icat2.azurewebsites.net/icat/?ontology=ICD&amp;tab=ClassesTab&amp;id=http%3A%2F%2Fwho.int%2Ficd%236976_512ebf36_bf6b_4d70_85da_cf2637062af4","iCat")</x:f>
      </x:c>
      <x:c r="M2003" s="0" t="s">
        <x:v>21</x:v>
      </x:c>
      <x:c r="N2003" s="0" t="s">
        <x:v>46</x:v>
      </x:c>
    </x:row>
    <x:row r="2004" spans="1:16">
      <x:c r="A2004" s="0" t="s">
        <x:v>7849</x:v>
      </x:c>
      <x:c r="B2004" s="0" t="s">
        <x:v>7850</x:v>
      </x:c>
      <x:c r="C2004" s="0" t="s">
        <x:v>7851</x:v>
      </x:c>
      <x:c r="E2004" s="0" t="s">
        <x:v>7852</x:v>
      </x:c>
      <x:c r="F2004" s="0" t="s">
        <x:v>45</x:v>
      </x:c>
      <x:c r="G2004" s="0" t="s">
        <x:v>19</x:v>
      </x:c>
      <x:c r="H2004" s="0" t="s">
        <x:v>20</x:v>
      </x:c>
      <x:c r="I2004" s="0" t="s">
        <x:v>21</x:v>
      </x:c>
      <x:c r="K2004" s="0">
        <x:f>hyperlink("https://icd.who.int/dev11/l-ichi/en#/http%3A%2F%2Fid.who.int%2Ficd%2Fentity%2F2011141648","browser")</x:f>
      </x:c>
      <x:c r="L2004" s="0">
        <x:f>hyperlink("https://icat2.azurewebsites.net/icat/?ontology=ICD&amp;tab=ClassesTab&amp;id=http%3A%2F%2Fwho.int%2Ficd%236984_512ebf36_bf6b_4d70_85da_cf2637062af4","iCat")</x:f>
      </x:c>
      <x:c r="M2004" s="0" t="s">
        <x:v>21</x:v>
      </x:c>
      <x:c r="N2004" s="0" t="s">
        <x:v>46</x:v>
      </x:c>
    </x:row>
    <x:row r="2005" spans="1:16">
      <x:c r="A2005" s="0" t="s">
        <x:v>7853</x:v>
      </x:c>
      <x:c r="B2005" s="0" t="s">
        <x:v>7854</x:v>
      </x:c>
      <x:c r="C2005" s="0" t="s">
        <x:v>7855</x:v>
      </x:c>
      <x:c r="E2005" s="0" t="s">
        <x:v>7856</x:v>
      </x:c>
      <x:c r="F2005" s="0" t="s">
        <x:v>45</x:v>
      </x:c>
      <x:c r="G2005" s="0" t="s">
        <x:v>19</x:v>
      </x:c>
      <x:c r="H2005" s="0" t="s">
        <x:v>20</x:v>
      </x:c>
      <x:c r="I2005" s="0" t="s">
        <x:v>21</x:v>
      </x:c>
      <x:c r="K2005" s="0">
        <x:f>hyperlink("https://icd.who.int/dev11/l-ichi/en#/http%3A%2F%2Fid.who.int%2Ficd%2Fentity%2F1298258680","browser")</x:f>
      </x:c>
      <x:c r="L2005" s="0">
        <x:f>hyperlink("https://icat2.azurewebsites.net/icat/?ontology=ICD&amp;tab=ClassesTab&amp;id=http%3A%2F%2Fwho.int%2Ficd%236992_512ebf36_bf6b_4d70_85da_cf2637062af4","iCat")</x:f>
      </x:c>
      <x:c r="M2005" s="0" t="s">
        <x:v>21</x:v>
      </x:c>
      <x:c r="N2005" s="0" t="s">
        <x:v>46</x:v>
      </x:c>
    </x:row>
    <x:row r="2006" spans="1:16">
      <x:c r="A2006" s="0" t="s">
        <x:v>7857</x:v>
      </x:c>
      <x:c r="B2006" s="0" t="s">
        <x:v>7858</x:v>
      </x:c>
      <x:c r="D2006" s="0" t="s">
        <x:v>7859</x:v>
      </x:c>
      <x:c r="E2006" s="0" t="s">
        <x:v>7860</x:v>
      </x:c>
      <x:c r="F2006" s="0" t="s">
        <x:v>26</x:v>
      </x:c>
      <x:c r="G2006" s="0" t="s">
        <x:v>22</x:v>
      </x:c>
      <x:c r="H2006" s="0" t="s">
        <x:v>20</x:v>
      </x:c>
      <x:c r="I2006" s="0" t="s">
        <x:v>21</x:v>
      </x:c>
      <x:c r="K2006" s="0">
        <x:f>hyperlink("https://icd.who.int/dev11/l-ichi/en#/http%3A%2F%2Fid.who.int%2Ficd%2Fentity%2F1535418072","browser")</x:f>
      </x:c>
      <x:c r="L2006" s="0">
        <x:f>hyperlink("https://icat2.azurewebsites.net/icat/?ontology=ICD&amp;tab=ClassesTab&amp;id=http%3A%2F%2Fwho.int%2Ficd%237001_512ebf36_bf6b_4d70_85da_cf2637062af4","iCat")</x:f>
      </x:c>
      <x:c r="M2006" s="0" t="s">
        <x:v>20</x:v>
      </x:c>
      <x:c r="N2006" s="0" t="s">
        <x:v>7861</x:v>
      </x:c>
    </x:row>
    <x:row r="2007" spans="1:16">
      <x:c r="A2007" s="0" t="s">
        <x:v>7862</x:v>
      </x:c>
      <x:c r="B2007" s="0" t="s">
        <x:v>7863</x:v>
      </x:c>
      <x:c r="C2007" s="0" t="s">
        <x:v>7864</x:v>
      </x:c>
      <x:c r="E2007" s="0" t="s">
        <x:v>7865</x:v>
      </x:c>
      <x:c r="F2007" s="0" t="s">
        <x:v>45</x:v>
      </x:c>
      <x:c r="G2007" s="0" t="s">
        <x:v>19</x:v>
      </x:c>
      <x:c r="H2007" s="0" t="s">
        <x:v>20</x:v>
      </x:c>
      <x:c r="I2007" s="0" t="s">
        <x:v>21</x:v>
      </x:c>
      <x:c r="K2007" s="0">
        <x:f>hyperlink("https://icd.who.int/dev11/l-ichi/en#/http%3A%2F%2Fid.who.int%2Ficd%2Fentity%2F2071850214","browser")</x:f>
      </x:c>
      <x:c r="L2007" s="0">
        <x:f>hyperlink("https://icat2.azurewebsites.net/icat/?ontology=ICD&amp;tab=ClassesTab&amp;id=http%3A%2F%2Fwho.int%2Ficd%237000_512ebf36_bf6b_4d70_85da_cf2637062af4","iCat")</x:f>
      </x:c>
      <x:c r="M2007" s="0" t="s">
        <x:v>21</x:v>
      </x:c>
      <x:c r="N2007" s="0" t="s">
        <x:v>46</x:v>
      </x:c>
    </x:row>
    <x:row r="2008" spans="1:16">
      <x:c r="A2008" s="0" t="s">
        <x:v>7866</x:v>
      </x:c>
      <x:c r="B2008" s="0" t="s">
        <x:v>7867</x:v>
      </x:c>
      <x:c r="C2008" s="0" t="s">
        <x:v>7868</x:v>
      </x:c>
      <x:c r="E2008" s="0" t="s">
        <x:v>7869</x:v>
      </x:c>
      <x:c r="F2008" s="0" t="s">
        <x:v>45</x:v>
      </x:c>
      <x:c r="G2008" s="0" t="s">
        <x:v>19</x:v>
      </x:c>
      <x:c r="H2008" s="0" t="s">
        <x:v>20</x:v>
      </x:c>
      <x:c r="I2008" s="0" t="s">
        <x:v>21</x:v>
      </x:c>
      <x:c r="K2008" s="0">
        <x:f>hyperlink("https://icd.who.int/dev11/l-ichi/en#/http%3A%2F%2Fid.who.int%2Ficd%2Fentity%2F1959027832","browser")</x:f>
      </x:c>
      <x:c r="L2008" s="0">
        <x:f>hyperlink("https://icat2.azurewebsites.net/icat/?ontology=ICD&amp;tab=ClassesTab&amp;id=http%3A%2F%2Fwho.int%2Ficd%237012_512ebf36_bf6b_4d70_85da_cf2637062af4","iCat")</x:f>
      </x:c>
      <x:c r="M2008" s="0" t="s">
        <x:v>21</x:v>
      </x:c>
      <x:c r="N2008" s="0" t="s">
        <x:v>46</x:v>
      </x:c>
    </x:row>
    <x:row r="2009" spans="1:16">
      <x:c r="A2009" s="0" t="s">
        <x:v>7870</x:v>
      </x:c>
      <x:c r="B2009" s="0" t="s">
        <x:v>7871</x:v>
      </x:c>
      <x:c r="C2009" s="0" t="s">
        <x:v>7872</x:v>
      </x:c>
      <x:c r="E2009" s="0" t="s">
        <x:v>7873</x:v>
      </x:c>
      <x:c r="F2009" s="0" t="s">
        <x:v>45</x:v>
      </x:c>
      <x:c r="G2009" s="0" t="s">
        <x:v>19</x:v>
      </x:c>
      <x:c r="H2009" s="0" t="s">
        <x:v>20</x:v>
      </x:c>
      <x:c r="I2009" s="0" t="s">
        <x:v>21</x:v>
      </x:c>
      <x:c r="K2009" s="0">
        <x:f>hyperlink("https://icd.who.int/dev11/l-ichi/en#/http%3A%2F%2Fid.who.int%2Ficd%2Fentity%2F2143320794","browser")</x:f>
      </x:c>
      <x:c r="L2009" s="0">
        <x:f>hyperlink("https://icat2.azurewebsites.net/icat/?ontology=ICD&amp;tab=ClassesTab&amp;id=http%3A%2F%2Fwho.int%2Ficd%237019_512ebf36_bf6b_4d70_85da_cf2637062af4","iCat")</x:f>
      </x:c>
      <x:c r="M2009" s="0" t="s">
        <x:v>21</x:v>
      </x:c>
      <x:c r="N2009" s="0" t="s">
        <x:v>46</x:v>
      </x:c>
    </x:row>
    <x:row r="2010" spans="1:16">
      <x:c r="A2010" s="0" t="s">
        <x:v>7874</x:v>
      </x:c>
      <x:c r="B2010" s="0" t="s">
        <x:v>7875</x:v>
      </x:c>
      <x:c r="C2010" s="0" t="s">
        <x:v>7876</x:v>
      </x:c>
      <x:c r="E2010" s="0" t="s">
        <x:v>7877</x:v>
      </x:c>
      <x:c r="F2010" s="0" t="s">
        <x:v>45</x:v>
      </x:c>
      <x:c r="G2010" s="0" t="s">
        <x:v>19</x:v>
      </x:c>
      <x:c r="H2010" s="0" t="s">
        <x:v>20</x:v>
      </x:c>
      <x:c r="I2010" s="0" t="s">
        <x:v>21</x:v>
      </x:c>
      <x:c r="K2010" s="0">
        <x:f>hyperlink("https://icd.who.int/dev11/l-ichi/en#/http%3A%2F%2Fid.who.int%2Ficd%2Fentity%2F24305669","browser")</x:f>
      </x:c>
      <x:c r="L2010" s="0">
        <x:f>hyperlink("https://icat2.azurewebsites.net/icat/?ontology=ICD&amp;tab=ClassesTab&amp;id=http%3A%2F%2Fwho.int%2Ficd%237026_512ebf36_bf6b_4d70_85da_cf2637062af4","iCat")</x:f>
      </x:c>
      <x:c r="M2010" s="0" t="s">
        <x:v>21</x:v>
      </x:c>
      <x:c r="N2010" s="0" t="s">
        <x:v>46</x:v>
      </x:c>
    </x:row>
    <x:row r="2011" spans="1:16">
      <x:c r="A2011" s="0" t="s">
        <x:v>7878</x:v>
      </x:c>
      <x:c r="B2011" s="0" t="s">
        <x:v>7879</x:v>
      </x:c>
      <x:c r="C2011" s="0" t="s">
        <x:v>7880</x:v>
      </x:c>
      <x:c r="E2011" s="0" t="s">
        <x:v>7881</x:v>
      </x:c>
      <x:c r="F2011" s="0" t="s">
        <x:v>45</x:v>
      </x:c>
      <x:c r="G2011" s="0" t="s">
        <x:v>19</x:v>
      </x:c>
      <x:c r="H2011" s="0" t="s">
        <x:v>20</x:v>
      </x:c>
      <x:c r="I2011" s="0" t="s">
        <x:v>21</x:v>
      </x:c>
      <x:c r="K2011" s="0">
        <x:f>hyperlink("https://icd.who.int/dev11/l-ichi/en#/http%3A%2F%2Fid.who.int%2Ficd%2Fentity%2F2118763292","browser")</x:f>
      </x:c>
      <x:c r="L2011" s="0">
        <x:f>hyperlink("https://icat2.azurewebsites.net/icat/?ontology=ICD&amp;tab=ClassesTab&amp;id=http%3A%2F%2Fwho.int%2Ficd%237033_512ebf36_bf6b_4d70_85da_cf2637062af4","iCat")</x:f>
      </x:c>
      <x:c r="M2011" s="0" t="s">
        <x:v>21</x:v>
      </x:c>
      <x:c r="N2011" s="0" t="s">
        <x:v>46</x:v>
      </x:c>
    </x:row>
    <x:row r="2012" spans="1:16">
      <x:c r="A2012" s="0" t="s">
        <x:v>7882</x:v>
      </x:c>
      <x:c r="B2012" s="0" t="s">
        <x:v>7883</x:v>
      </x:c>
      <x:c r="C2012" s="0" t="s">
        <x:v>7884</x:v>
      </x:c>
      <x:c r="E2012" s="0" t="s">
        <x:v>7885</x:v>
      </x:c>
      <x:c r="F2012" s="0" t="s">
        <x:v>45</x:v>
      </x:c>
      <x:c r="G2012" s="0" t="s">
        <x:v>19</x:v>
      </x:c>
      <x:c r="H2012" s="0" t="s">
        <x:v>20</x:v>
      </x:c>
      <x:c r="I2012" s="0" t="s">
        <x:v>21</x:v>
      </x:c>
      <x:c r="K2012" s="0">
        <x:f>hyperlink("https://icd.who.int/dev11/l-ichi/en#/http%3A%2F%2Fid.who.int%2Ficd%2Fentity%2F1437904780","browser")</x:f>
      </x:c>
      <x:c r="L2012" s="0">
        <x:f>hyperlink("https://icat2.azurewebsites.net/icat/?ontology=ICD&amp;tab=ClassesTab&amp;id=http%3A%2F%2Fwho.int%2Ficd%237039_512ebf36_bf6b_4d70_85da_cf2637062af4","iCat")</x:f>
      </x:c>
      <x:c r="M2012" s="0" t="s">
        <x:v>21</x:v>
      </x:c>
      <x:c r="N2012" s="0" t="s">
        <x:v>46</x:v>
      </x:c>
    </x:row>
    <x:row r="2013" spans="1:16">
      <x:c r="A2013" s="0" t="s">
        <x:v>7886</x:v>
      </x:c>
      <x:c r="B2013" s="0" t="s">
        <x:v>7887</x:v>
      </x:c>
      <x:c r="C2013" s="0" t="s">
        <x:v>7888</x:v>
      </x:c>
      <x:c r="E2013" s="0" t="s">
        <x:v>7889</x:v>
      </x:c>
      <x:c r="F2013" s="0" t="s">
        <x:v>45</x:v>
      </x:c>
      <x:c r="G2013" s="0" t="s">
        <x:v>19</x:v>
      </x:c>
      <x:c r="H2013" s="0" t="s">
        <x:v>20</x:v>
      </x:c>
      <x:c r="I2013" s="0" t="s">
        <x:v>21</x:v>
      </x:c>
      <x:c r="K2013" s="0">
        <x:f>hyperlink("https://icd.who.int/dev11/l-ichi/en#/http%3A%2F%2Fid.who.int%2Ficd%2Fentity%2F1533109832","browser")</x:f>
      </x:c>
      <x:c r="L2013" s="0">
        <x:f>hyperlink("https://icat2.azurewebsites.net/icat/?ontology=ICD&amp;tab=ClassesTab&amp;id=http%3A%2F%2Fwho.int%2Ficd%237046_512ebf36_bf6b_4d70_85da_cf2637062af4","iCat")</x:f>
      </x:c>
      <x:c r="M2013" s="0" t="s">
        <x:v>21</x:v>
      </x:c>
      <x:c r="N2013" s="0" t="s">
        <x:v>46</x:v>
      </x:c>
    </x:row>
    <x:row r="2014" spans="1:16">
      <x:c r="A2014" s="0" t="s">
        <x:v>7890</x:v>
      </x:c>
      <x:c r="B2014" s="0" t="s">
        <x:v>7891</x:v>
      </x:c>
      <x:c r="C2014" s="0" t="s">
        <x:v>7892</x:v>
      </x:c>
      <x:c r="E2014" s="0" t="s">
        <x:v>7893</x:v>
      </x:c>
      <x:c r="F2014" s="0" t="s">
        <x:v>45</x:v>
      </x:c>
      <x:c r="G2014" s="0" t="s">
        <x:v>19</x:v>
      </x:c>
      <x:c r="H2014" s="0" t="s">
        <x:v>20</x:v>
      </x:c>
      <x:c r="I2014" s="0" t="s">
        <x:v>21</x:v>
      </x:c>
      <x:c r="K2014" s="0">
        <x:f>hyperlink("https://icd.who.int/dev11/l-ichi/en#/http%3A%2F%2Fid.who.int%2Ficd%2Fentity%2F609895767","browser")</x:f>
      </x:c>
      <x:c r="L2014" s="0">
        <x:f>hyperlink("https://icat2.azurewebsites.net/icat/?ontology=ICD&amp;tab=ClassesTab&amp;id=http%3A%2F%2Fwho.int%2Ficd%237053_512ebf36_bf6b_4d70_85da_cf2637062af4","iCat")</x:f>
      </x:c>
      <x:c r="M2014" s="0" t="s">
        <x:v>21</x:v>
      </x:c>
      <x:c r="N2014" s="0" t="s">
        <x:v>46</x:v>
      </x:c>
    </x:row>
    <x:row r="2015" spans="1:16">
      <x:c r="A2015" s="0" t="s">
        <x:v>7894</x:v>
      </x:c>
      <x:c r="B2015" s="0" t="s">
        <x:v>7895</x:v>
      </x:c>
      <x:c r="C2015" s="0" t="s">
        <x:v>7896</x:v>
      </x:c>
      <x:c r="E2015" s="0" t="s">
        <x:v>7897</x:v>
      </x:c>
      <x:c r="F2015" s="0" t="s">
        <x:v>45</x:v>
      </x:c>
      <x:c r="G2015" s="0" t="s">
        <x:v>19</x:v>
      </x:c>
      <x:c r="H2015" s="0" t="s">
        <x:v>20</x:v>
      </x:c>
      <x:c r="I2015" s="0" t="s">
        <x:v>21</x:v>
      </x:c>
      <x:c r="K2015" s="0">
        <x:f>hyperlink("https://icd.who.int/dev11/l-ichi/en#/http%3A%2F%2Fid.who.int%2Ficd%2Fentity%2F560884393","browser")</x:f>
      </x:c>
      <x:c r="L2015" s="0">
        <x:f>hyperlink("https://icat2.azurewebsites.net/icat/?ontology=ICD&amp;tab=ClassesTab&amp;id=http%3A%2F%2Fwho.int%2Ficd%237060_512ebf36_bf6b_4d70_85da_cf2637062af4","iCat")</x:f>
      </x:c>
      <x:c r="M2015" s="0" t="s">
        <x:v>21</x:v>
      </x:c>
      <x:c r="N2015" s="0" t="s">
        <x:v>46</x:v>
      </x:c>
    </x:row>
    <x:row r="2016" spans="1:16">
      <x:c r="A2016" s="0" t="s">
        <x:v>7898</x:v>
      </x:c>
      <x:c r="B2016" s="0" t="s">
        <x:v>7899</x:v>
      </x:c>
      <x:c r="C2016" s="0" t="s">
        <x:v>7900</x:v>
      </x:c>
      <x:c r="E2016" s="0" t="s">
        <x:v>7901</x:v>
      </x:c>
      <x:c r="F2016" s="0" t="s">
        <x:v>45</x:v>
      </x:c>
      <x:c r="G2016" s="0" t="s">
        <x:v>19</x:v>
      </x:c>
      <x:c r="H2016" s="0" t="s">
        <x:v>20</x:v>
      </x:c>
      <x:c r="I2016" s="0" t="s">
        <x:v>21</x:v>
      </x:c>
      <x:c r="K2016" s="0">
        <x:f>hyperlink("https://icd.who.int/dev11/l-ichi/en#/http%3A%2F%2Fid.who.int%2Ficd%2Fentity%2F1374470436","browser")</x:f>
      </x:c>
      <x:c r="L2016" s="0">
        <x:f>hyperlink("https://icat2.azurewebsites.net/icat/?ontology=ICD&amp;tab=ClassesTab&amp;id=http%3A%2F%2Fwho.int%2Ficd%237067_512ebf36_bf6b_4d70_85da_cf2637062af4","iCat")</x:f>
      </x:c>
      <x:c r="M2016" s="0" t="s">
        <x:v>21</x:v>
      </x:c>
      <x:c r="N2016" s="0" t="s">
        <x:v>46</x:v>
      </x:c>
    </x:row>
    <x:row r="2017" spans="1:16">
      <x:c r="A2017" s="0" t="s">
        <x:v>7902</x:v>
      </x:c>
      <x:c r="B2017" s="0" t="s">
        <x:v>7903</x:v>
      </x:c>
      <x:c r="C2017" s="0" t="s">
        <x:v>7904</x:v>
      </x:c>
      <x:c r="E2017" s="0" t="s">
        <x:v>7905</x:v>
      </x:c>
      <x:c r="F2017" s="0" t="s">
        <x:v>45</x:v>
      </x:c>
      <x:c r="G2017" s="0" t="s">
        <x:v>19</x:v>
      </x:c>
      <x:c r="H2017" s="0" t="s">
        <x:v>20</x:v>
      </x:c>
      <x:c r="I2017" s="0" t="s">
        <x:v>21</x:v>
      </x:c>
      <x:c r="K2017" s="0">
        <x:f>hyperlink("https://icd.who.int/dev11/l-ichi/en#/http%3A%2F%2Fid.who.int%2Ficd%2Fentity%2F2125216652","browser")</x:f>
      </x:c>
      <x:c r="L2017" s="0">
        <x:f>hyperlink("https://icat2.azurewebsites.net/icat/?ontology=ICD&amp;tab=ClassesTab&amp;id=http%3A%2F%2Fwho.int%2Ficd%237074_512ebf36_bf6b_4d70_85da_cf2637062af4","iCat")</x:f>
      </x:c>
      <x:c r="M2017" s="0" t="s">
        <x:v>21</x:v>
      </x:c>
      <x:c r="N2017" s="0" t="s">
        <x:v>46</x:v>
      </x:c>
    </x:row>
    <x:row r="2018" spans="1:16">
      <x:c r="A2018" s="0" t="s">
        <x:v>7906</x:v>
      </x:c>
      <x:c r="B2018" s="0" t="s">
        <x:v>7907</x:v>
      </x:c>
      <x:c r="C2018" s="0" t="s">
        <x:v>7908</x:v>
      </x:c>
      <x:c r="E2018" s="0" t="s">
        <x:v>7909</x:v>
      </x:c>
      <x:c r="F2018" s="0" t="s">
        <x:v>45</x:v>
      </x:c>
      <x:c r="G2018" s="0" t="s">
        <x:v>19</x:v>
      </x:c>
      <x:c r="H2018" s="0" t="s">
        <x:v>20</x:v>
      </x:c>
      <x:c r="I2018" s="0" t="s">
        <x:v>21</x:v>
      </x:c>
      <x:c r="K2018" s="0">
        <x:f>hyperlink("https://icd.who.int/dev11/l-ichi/en#/http%3A%2F%2Fid.who.int%2Ficd%2Fentity%2F1152763678","browser")</x:f>
      </x:c>
      <x:c r="L2018" s="0">
        <x:f>hyperlink("https://icat2.azurewebsites.net/icat/?ontology=ICD&amp;tab=ClassesTab&amp;id=http%3A%2F%2Fwho.int%2Ficd%237081_512ebf36_bf6b_4d70_85da_cf2637062af4","iCat")</x:f>
      </x:c>
      <x:c r="M2018" s="0" t="s">
        <x:v>21</x:v>
      </x:c>
      <x:c r="N2018" s="0" t="s">
        <x:v>46</x:v>
      </x:c>
    </x:row>
    <x:row r="2019" spans="1:16">
      <x:c r="A2019" s="0" t="s">
        <x:v>7910</x:v>
      </x:c>
      <x:c r="B2019" s="0" t="s">
        <x:v>7911</x:v>
      </x:c>
      <x:c r="C2019" s="0" t="s">
        <x:v>7912</x:v>
      </x:c>
      <x:c r="E2019" s="0" t="s">
        <x:v>7913</x:v>
      </x:c>
      <x:c r="F2019" s="0" t="s">
        <x:v>45</x:v>
      </x:c>
      <x:c r="G2019" s="0" t="s">
        <x:v>19</x:v>
      </x:c>
      <x:c r="H2019" s="0" t="s">
        <x:v>20</x:v>
      </x:c>
      <x:c r="I2019" s="0" t="s">
        <x:v>21</x:v>
      </x:c>
      <x:c r="K2019" s="0">
        <x:f>hyperlink("https://icd.who.int/dev11/l-ichi/en#/http%3A%2F%2Fid.who.int%2Ficd%2Fentity%2F460822079","browser")</x:f>
      </x:c>
      <x:c r="L2019" s="0">
        <x:f>hyperlink("https://icat2.azurewebsites.net/icat/?ontology=ICD&amp;tab=ClassesTab&amp;id=http%3A%2F%2Fwho.int%2Ficd%237095_512ebf36_bf6b_4d70_85da_cf2637062af4","iCat")</x:f>
      </x:c>
      <x:c r="M2019" s="0" t="s">
        <x:v>21</x:v>
      </x:c>
      <x:c r="N2019" s="0" t="s">
        <x:v>46</x:v>
      </x:c>
    </x:row>
    <x:row r="2020" spans="1:16">
      <x:c r="A2020" s="0" t="s">
        <x:v>7914</x:v>
      </x:c>
      <x:c r="B2020" s="0" t="s">
        <x:v>7915</x:v>
      </x:c>
      <x:c r="C2020" s="0" t="s">
        <x:v>7916</x:v>
      </x:c>
      <x:c r="E2020" s="0" t="s">
        <x:v>7917</x:v>
      </x:c>
      <x:c r="F2020" s="0" t="s">
        <x:v>45</x:v>
      </x:c>
      <x:c r="G2020" s="0" t="s">
        <x:v>19</x:v>
      </x:c>
      <x:c r="H2020" s="0" t="s">
        <x:v>20</x:v>
      </x:c>
      <x:c r="I2020" s="0" t="s">
        <x:v>21</x:v>
      </x:c>
      <x:c r="K2020" s="0">
        <x:f>hyperlink("https://icd.who.int/dev11/l-ichi/en#/http%3A%2F%2Fid.who.int%2Ficd%2Fentity%2F1805531070","browser")</x:f>
      </x:c>
      <x:c r="L2020" s="0">
        <x:f>hyperlink("https://icat2.azurewebsites.net/icat/?ontology=ICD&amp;tab=ClassesTab&amp;id=http%3A%2F%2Fwho.int%2Ficd%237102_512ebf36_bf6b_4d70_85da_cf2637062af4","iCat")</x:f>
      </x:c>
      <x:c r="M2020" s="0" t="s">
        <x:v>21</x:v>
      </x:c>
      <x:c r="N2020" s="0" t="s">
        <x:v>46</x:v>
      </x:c>
    </x:row>
    <x:row r="2021" spans="1:16">
      <x:c r="A2021" s="0" t="s">
        <x:v>7918</x:v>
      </x:c>
      <x:c r="B2021" s="0" t="s">
        <x:v>7919</x:v>
      </x:c>
      <x:c r="C2021" s="0" t="s">
        <x:v>7920</x:v>
      </x:c>
      <x:c r="E2021" s="0" t="s">
        <x:v>7921</x:v>
      </x:c>
      <x:c r="F2021" s="0" t="s">
        <x:v>45</x:v>
      </x:c>
      <x:c r="G2021" s="0" t="s">
        <x:v>19</x:v>
      </x:c>
      <x:c r="H2021" s="0" t="s">
        <x:v>20</x:v>
      </x:c>
      <x:c r="I2021" s="0" t="s">
        <x:v>21</x:v>
      </x:c>
      <x:c r="K2021" s="0">
        <x:f>hyperlink("https://icd.who.int/dev11/l-ichi/en#/http%3A%2F%2Fid.who.int%2Ficd%2Fentity%2F1620715792","browser")</x:f>
      </x:c>
      <x:c r="L2021" s="0">
        <x:f>hyperlink("https://icat2.azurewebsites.net/icat/?ontology=ICD&amp;tab=ClassesTab&amp;id=http%3A%2F%2Fwho.int%2Ficd%237109_512ebf36_bf6b_4d70_85da_cf2637062af4","iCat")</x:f>
      </x:c>
      <x:c r="M2021" s="0" t="s">
        <x:v>21</x:v>
      </x:c>
      <x:c r="N2021" s="0" t="s">
        <x:v>46</x:v>
      </x:c>
    </x:row>
    <x:row r="2022" spans="1:16">
      <x:c r="A2022" s="0" t="s">
        <x:v>7922</x:v>
      </x:c>
      <x:c r="B2022" s="0" t="s">
        <x:v>7923</x:v>
      </x:c>
      <x:c r="C2022" s="0" t="s">
        <x:v>7924</x:v>
      </x:c>
      <x:c r="E2022" s="0" t="s">
        <x:v>7925</x:v>
      </x:c>
      <x:c r="F2022" s="0" t="s">
        <x:v>45</x:v>
      </x:c>
      <x:c r="G2022" s="0" t="s">
        <x:v>19</x:v>
      </x:c>
      <x:c r="H2022" s="0" t="s">
        <x:v>20</x:v>
      </x:c>
      <x:c r="I2022" s="0" t="s">
        <x:v>21</x:v>
      </x:c>
      <x:c r="K2022" s="0">
        <x:f>hyperlink("https://icd.who.int/dev11/l-ichi/en#/http%3A%2F%2Fid.who.int%2Ficd%2Fentity%2F878470815","browser")</x:f>
      </x:c>
      <x:c r="L2022" s="0">
        <x:f>hyperlink("https://icat2.azurewebsites.net/icat/?ontology=ICD&amp;tab=ClassesTab&amp;id=http%3A%2F%2Fwho.int%2Ficd%237116_512ebf36_bf6b_4d70_85da_cf2637062af4","iCat")</x:f>
      </x:c>
      <x:c r="M2022" s="0" t="s">
        <x:v>21</x:v>
      </x:c>
      <x:c r="N2022" s="0" t="s">
        <x:v>46</x:v>
      </x:c>
    </x:row>
    <x:row r="2023" spans="1:16">
      <x:c r="A2023" s="0" t="s">
        <x:v>7926</x:v>
      </x:c>
      <x:c r="B2023" s="0" t="s">
        <x:v>7927</x:v>
      </x:c>
      <x:c r="C2023" s="0" t="s">
        <x:v>7928</x:v>
      </x:c>
      <x:c r="E2023" s="0" t="s">
        <x:v>7929</x:v>
      </x:c>
      <x:c r="F2023" s="0" t="s">
        <x:v>45</x:v>
      </x:c>
      <x:c r="G2023" s="0" t="s">
        <x:v>19</x:v>
      </x:c>
      <x:c r="H2023" s="0" t="s">
        <x:v>20</x:v>
      </x:c>
      <x:c r="I2023" s="0" t="s">
        <x:v>21</x:v>
      </x:c>
      <x:c r="K2023" s="0">
        <x:f>hyperlink("https://icd.who.int/dev11/l-ichi/en#/http%3A%2F%2Fid.who.int%2Ficd%2Fentity%2F828918113","browser")</x:f>
      </x:c>
      <x:c r="L2023" s="0">
        <x:f>hyperlink("https://icat2.azurewebsites.net/icat/?ontology=ICD&amp;tab=ClassesTab&amp;id=http%3A%2F%2Fwho.int%2Ficd%237125_512ebf36_bf6b_4d70_85da_cf2637062af4","iCat")</x:f>
      </x:c>
      <x:c r="M2023" s="0" t="s">
        <x:v>21</x:v>
      </x:c>
      <x:c r="N2023" s="0" t="s">
        <x:v>46</x:v>
      </x:c>
    </x:row>
    <x:row r="2024" spans="1:16">
      <x:c r="A2024" s="0" t="s">
        <x:v>7930</x:v>
      </x:c>
      <x:c r="B2024" s="0" t="s">
        <x:v>7931</x:v>
      </x:c>
      <x:c r="C2024" s="0" t="s">
        <x:v>7932</x:v>
      </x:c>
      <x:c r="E2024" s="0" t="s">
        <x:v>7933</x:v>
      </x:c>
      <x:c r="F2024" s="0" t="s">
        <x:v>45</x:v>
      </x:c>
      <x:c r="G2024" s="0" t="s">
        <x:v>19</x:v>
      </x:c>
      <x:c r="H2024" s="0" t="s">
        <x:v>20</x:v>
      </x:c>
      <x:c r="I2024" s="0" t="s">
        <x:v>21</x:v>
      </x:c>
      <x:c r="K2024" s="0">
        <x:f>hyperlink("https://icd.who.int/dev11/l-ichi/en#/http%3A%2F%2Fid.who.int%2Ficd%2Fentity%2F198575495","browser")</x:f>
      </x:c>
      <x:c r="L2024" s="0">
        <x:f>hyperlink("https://icat2.azurewebsites.net/icat/?ontology=ICD&amp;tab=ClassesTab&amp;id=http%3A%2F%2Fwho.int%2Ficd%237133_512ebf36_bf6b_4d70_85da_cf2637062af4","iCat")</x:f>
      </x:c>
      <x:c r="M2024" s="0" t="s">
        <x:v>21</x:v>
      </x:c>
      <x:c r="N2024" s="0" t="s">
        <x:v>46</x:v>
      </x:c>
    </x:row>
    <x:row r="2025" spans="1:16">
      <x:c r="A2025" s="0" t="s">
        <x:v>7934</x:v>
      </x:c>
      <x:c r="B2025" s="0" t="s">
        <x:v>7935</x:v>
      </x:c>
      <x:c r="C2025" s="0" t="s">
        <x:v>7936</x:v>
      </x:c>
      <x:c r="E2025" s="0" t="s">
        <x:v>7937</x:v>
      </x:c>
      <x:c r="F2025" s="0" t="s">
        <x:v>45</x:v>
      </x:c>
      <x:c r="G2025" s="0" t="s">
        <x:v>19</x:v>
      </x:c>
      <x:c r="H2025" s="0" t="s">
        <x:v>20</x:v>
      </x:c>
      <x:c r="I2025" s="0" t="s">
        <x:v>21</x:v>
      </x:c>
      <x:c r="K2025" s="0">
        <x:f>hyperlink("https://icd.who.int/dev11/l-ichi/en#/http%3A%2F%2Fid.who.int%2Ficd%2Fentity%2F989861533","browser")</x:f>
      </x:c>
      <x:c r="L2025" s="0">
        <x:f>hyperlink("https://icat2.azurewebsites.net/icat/?ontology=ICD&amp;tab=ClassesTab&amp;id=http%3A%2F%2Fwho.int%2Ficd%237143_512ebf36_bf6b_4d70_85da_cf2637062af4","iCat")</x:f>
      </x:c>
      <x:c r="M2025" s="0" t="s">
        <x:v>21</x:v>
      </x:c>
      <x:c r="N2025" s="0" t="s">
        <x:v>46</x:v>
      </x:c>
    </x:row>
    <x:row r="2026" spans="1:16">
      <x:c r="A2026" s="0" t="s">
        <x:v>7938</x:v>
      </x:c>
      <x:c r="B2026" s="0" t="s">
        <x:v>7939</x:v>
      </x:c>
      <x:c r="C2026" s="0" t="s">
        <x:v>7940</x:v>
      </x:c>
      <x:c r="E2026" s="0" t="s">
        <x:v>7941</x:v>
      </x:c>
      <x:c r="F2026" s="0" t="s">
        <x:v>45</x:v>
      </x:c>
      <x:c r="G2026" s="0" t="s">
        <x:v>19</x:v>
      </x:c>
      <x:c r="H2026" s="0" t="s">
        <x:v>20</x:v>
      </x:c>
      <x:c r="I2026" s="0" t="s">
        <x:v>21</x:v>
      </x:c>
      <x:c r="K2026" s="0">
        <x:f>hyperlink("https://icd.who.int/dev11/l-ichi/en#/http%3A%2F%2Fid.who.int%2Ficd%2Fentity%2F1899819512","browser")</x:f>
      </x:c>
      <x:c r="L2026" s="0">
        <x:f>hyperlink("https://icat2.azurewebsites.net/icat/?ontology=ICD&amp;tab=ClassesTab&amp;id=http%3A%2F%2Fwho.int%2Ficd%237152_512ebf36_bf6b_4d70_85da_cf2637062af4","iCat")</x:f>
      </x:c>
      <x:c r="M2026" s="0" t="s">
        <x:v>21</x:v>
      </x:c>
      <x:c r="N2026" s="0" t="s">
        <x:v>46</x:v>
      </x:c>
    </x:row>
    <x:row r="2027" spans="1:16">
      <x:c r="A2027" s="0" t="s">
        <x:v>7942</x:v>
      </x:c>
      <x:c r="B2027" s="0" t="s">
        <x:v>7943</x:v>
      </x:c>
      <x:c r="C2027" s="0" t="s">
        <x:v>7944</x:v>
      </x:c>
      <x:c r="E2027" s="0" t="s">
        <x:v>7945</x:v>
      </x:c>
      <x:c r="F2027" s="0" t="s">
        <x:v>45</x:v>
      </x:c>
      <x:c r="G2027" s="0" t="s">
        <x:v>19</x:v>
      </x:c>
      <x:c r="H2027" s="0" t="s">
        <x:v>20</x:v>
      </x:c>
      <x:c r="I2027" s="0" t="s">
        <x:v>21</x:v>
      </x:c>
      <x:c r="K2027" s="0">
        <x:f>hyperlink("https://icd.who.int/dev11/l-ichi/en#/http%3A%2F%2Fid.who.int%2Ficd%2Fentity%2F2050551642","browser")</x:f>
      </x:c>
      <x:c r="L2027" s="0">
        <x:f>hyperlink("https://icat2.azurewebsites.net/icat/?ontology=ICD&amp;tab=ClassesTab&amp;id=http%3A%2F%2Fwho.int%2Ficd%237159_512ebf36_bf6b_4d70_85da_cf2637062af4","iCat")</x:f>
      </x:c>
      <x:c r="M2027" s="0" t="s">
        <x:v>21</x:v>
      </x:c>
      <x:c r="N2027" s="0" t="s">
        <x:v>46</x:v>
      </x:c>
    </x:row>
    <x:row r="2028" spans="1:16">
      <x:c r="A2028" s="0" t="s">
        <x:v>7946</x:v>
      </x:c>
      <x:c r="B2028" s="0" t="s">
        <x:v>7947</x:v>
      </x:c>
      <x:c r="C2028" s="0" t="s">
        <x:v>7948</x:v>
      </x:c>
      <x:c r="E2028" s="0" t="s">
        <x:v>7949</x:v>
      </x:c>
      <x:c r="F2028" s="0" t="s">
        <x:v>45</x:v>
      </x:c>
      <x:c r="G2028" s="0" t="s">
        <x:v>19</x:v>
      </x:c>
      <x:c r="H2028" s="0" t="s">
        <x:v>20</x:v>
      </x:c>
      <x:c r="I2028" s="0" t="s">
        <x:v>21</x:v>
      </x:c>
      <x:c r="K2028" s="0">
        <x:f>hyperlink("https://icd.who.int/dev11/l-ichi/en#/http%3A%2F%2Fid.who.int%2Ficd%2Fentity%2F76182917","browser")</x:f>
      </x:c>
      <x:c r="L2028" s="0">
        <x:f>hyperlink("https://icat2.azurewebsites.net/icat/?ontology=ICD&amp;tab=ClassesTab&amp;id=http%3A%2F%2Fwho.int%2Ficd%237166_512ebf36_bf6b_4d70_85da_cf2637062af4","iCat")</x:f>
      </x:c>
      <x:c r="M2028" s="0" t="s">
        <x:v>21</x:v>
      </x:c>
      <x:c r="N2028" s="0" t="s">
        <x:v>46</x:v>
      </x:c>
    </x:row>
    <x:row r="2029" spans="1:16">
      <x:c r="A2029" s="0" t="s">
        <x:v>7950</x:v>
      </x:c>
      <x:c r="B2029" s="0" t="s">
        <x:v>7951</x:v>
      </x:c>
      <x:c r="C2029" s="0" t="s">
        <x:v>7952</x:v>
      </x:c>
      <x:c r="E2029" s="0" t="s">
        <x:v>7953</x:v>
      </x:c>
      <x:c r="F2029" s="0" t="s">
        <x:v>45</x:v>
      </x:c>
      <x:c r="G2029" s="0" t="s">
        <x:v>19</x:v>
      </x:c>
      <x:c r="H2029" s="0" t="s">
        <x:v>20</x:v>
      </x:c>
      <x:c r="I2029" s="0" t="s">
        <x:v>21</x:v>
      </x:c>
      <x:c r="K2029" s="0">
        <x:f>hyperlink("https://icd.who.int/dev11/l-ichi/en#/http%3A%2F%2Fid.who.int%2Ficd%2Fentity%2F187956503","browser")</x:f>
      </x:c>
      <x:c r="L2029" s="0">
        <x:f>hyperlink("https://icat2.azurewebsites.net/icat/?ontology=ICD&amp;tab=ClassesTab&amp;id=http%3A%2F%2Fwho.int%2Ficd%237174_512ebf36_bf6b_4d70_85da_cf2637062af4","iCat")</x:f>
      </x:c>
      <x:c r="M2029" s="0" t="s">
        <x:v>21</x:v>
      </x:c>
      <x:c r="N2029" s="0" t="s">
        <x:v>46</x:v>
      </x:c>
    </x:row>
    <x:row r="2030" spans="1:16">
      <x:c r="A2030" s="0" t="s">
        <x:v>7954</x:v>
      </x:c>
      <x:c r="B2030" s="0" t="s">
        <x:v>7955</x:v>
      </x:c>
      <x:c r="C2030" s="0" t="s">
        <x:v>7956</x:v>
      </x:c>
      <x:c r="E2030" s="0" t="s">
        <x:v>7957</x:v>
      </x:c>
      <x:c r="F2030" s="0" t="s">
        <x:v>45</x:v>
      </x:c>
      <x:c r="G2030" s="0" t="s">
        <x:v>19</x:v>
      </x:c>
      <x:c r="H2030" s="0" t="s">
        <x:v>20</x:v>
      </x:c>
      <x:c r="I2030" s="0" t="s">
        <x:v>21</x:v>
      </x:c>
      <x:c r="K2030" s="0">
        <x:f>hyperlink("https://icd.who.int/dev11/l-ichi/en#/http%3A%2F%2Fid.who.int%2Ficd%2Fentity%2F824836481","browser")</x:f>
      </x:c>
      <x:c r="L2030" s="0">
        <x:f>hyperlink("https://icat2.azurewebsites.net/icat/?ontology=ICD&amp;tab=ClassesTab&amp;id=http%3A%2F%2Fwho.int%2Ficd%237181_512ebf36_bf6b_4d70_85da_cf2637062af4","iCat")</x:f>
      </x:c>
      <x:c r="M2030" s="0" t="s">
        <x:v>21</x:v>
      </x:c>
      <x:c r="N2030" s="0" t="s">
        <x:v>46</x:v>
      </x:c>
    </x:row>
    <x:row r="2031" spans="1:16">
      <x:c r="A2031" s="0" t="s">
        <x:v>7958</x:v>
      </x:c>
      <x:c r="B2031" s="0" t="s">
        <x:v>7959</x:v>
      </x:c>
      <x:c r="C2031" s="0" t="s">
        <x:v>7960</x:v>
      </x:c>
      <x:c r="E2031" s="0" t="s">
        <x:v>7961</x:v>
      </x:c>
      <x:c r="F2031" s="0" t="s">
        <x:v>45</x:v>
      </x:c>
      <x:c r="G2031" s="0" t="s">
        <x:v>19</x:v>
      </x:c>
      <x:c r="H2031" s="0" t="s">
        <x:v>20</x:v>
      </x:c>
      <x:c r="I2031" s="0" t="s">
        <x:v>21</x:v>
      </x:c>
      <x:c r="K2031" s="0">
        <x:f>hyperlink("https://icd.who.int/dev11/l-ichi/en#/http%3A%2F%2Fid.who.int%2Ficd%2Fentity%2F1599210216","browser")</x:f>
      </x:c>
      <x:c r="L2031" s="0">
        <x:f>hyperlink("https://icat2.azurewebsites.net/icat/?ontology=ICD&amp;tab=ClassesTab&amp;id=http%3A%2F%2Fwho.int%2Ficd%237188_512ebf36_bf6b_4d70_85da_cf2637062af4","iCat")</x:f>
      </x:c>
      <x:c r="M2031" s="0" t="s">
        <x:v>21</x:v>
      </x:c>
      <x:c r="N2031" s="0" t="s">
        <x:v>46</x:v>
      </x:c>
    </x:row>
    <x:row r="2032" spans="1:16">
      <x:c r="A2032" s="0" t="s">
        <x:v>7962</x:v>
      </x:c>
      <x:c r="B2032" s="0" t="s">
        <x:v>7963</x:v>
      </x:c>
      <x:c r="C2032" s="0" t="s">
        <x:v>7964</x:v>
      </x:c>
      <x:c r="E2032" s="0" t="s">
        <x:v>7965</x:v>
      </x:c>
      <x:c r="F2032" s="0" t="s">
        <x:v>45</x:v>
      </x:c>
      <x:c r="G2032" s="0" t="s">
        <x:v>19</x:v>
      </x:c>
      <x:c r="H2032" s="0" t="s">
        <x:v>20</x:v>
      </x:c>
      <x:c r="I2032" s="0" t="s">
        <x:v>21</x:v>
      </x:c>
      <x:c r="K2032" s="0">
        <x:f>hyperlink("https://icd.who.int/dev11/l-ichi/en#/http%3A%2F%2Fid.who.int%2Ficd%2Fentity%2F1860718754","browser")</x:f>
      </x:c>
      <x:c r="L2032" s="0">
        <x:f>hyperlink("https://icat2.azurewebsites.net/icat/?ontology=ICD&amp;tab=ClassesTab&amp;id=http%3A%2F%2Fwho.int%2Ficd%237195_512ebf36_bf6b_4d70_85da_cf2637062af4","iCat")</x:f>
      </x:c>
      <x:c r="M2032" s="0" t="s">
        <x:v>21</x:v>
      </x:c>
      <x:c r="N2032" s="0" t="s">
        <x:v>46</x:v>
      </x:c>
    </x:row>
    <x:row r="2033" spans="1:16">
      <x:c r="A2033" s="0" t="s">
        <x:v>7966</x:v>
      </x:c>
      <x:c r="B2033" s="0" t="s">
        <x:v>7967</x:v>
      </x:c>
      <x:c r="C2033" s="0" t="s">
        <x:v>7968</x:v>
      </x:c>
      <x:c r="E2033" s="0" t="s">
        <x:v>7969</x:v>
      </x:c>
      <x:c r="F2033" s="0" t="s">
        <x:v>45</x:v>
      </x:c>
      <x:c r="G2033" s="0" t="s">
        <x:v>19</x:v>
      </x:c>
      <x:c r="H2033" s="0" t="s">
        <x:v>20</x:v>
      </x:c>
      <x:c r="I2033" s="0" t="s">
        <x:v>21</x:v>
      </x:c>
      <x:c r="K2033" s="0">
        <x:f>hyperlink("https://icd.who.int/dev11/l-ichi/en#/http%3A%2F%2Fid.who.int%2Ficd%2Fentity%2F349023302","browser")</x:f>
      </x:c>
      <x:c r="L2033" s="0">
        <x:f>hyperlink("https://icat2.azurewebsites.net/icat/?ontology=ICD&amp;tab=ClassesTab&amp;id=http%3A%2F%2Fwho.int%2Ficd%237486_7353cc8f_16bd_4231_887a_95ea54e27297","iCat")</x:f>
      </x:c>
      <x:c r="M2033" s="0" t="s">
        <x:v>21</x:v>
      </x:c>
      <x:c r="N2033" s="0" t="s">
        <x:v>46</x:v>
      </x:c>
    </x:row>
    <x:row r="2034" spans="1:16">
      <x:c r="A2034" s="0" t="s">
        <x:v>7970</x:v>
      </x:c>
      <x:c r="B2034" s="0" t="s">
        <x:v>7971</x:v>
      </x:c>
      <x:c r="C2034" s="0" t="s">
        <x:v>7972</x:v>
      </x:c>
      <x:c r="E2034" s="0" t="s">
        <x:v>7973</x:v>
      </x:c>
      <x:c r="F2034" s="0" t="s">
        <x:v>45</x:v>
      </x:c>
      <x:c r="G2034" s="0" t="s">
        <x:v>19</x:v>
      </x:c>
      <x:c r="H2034" s="0" t="s">
        <x:v>20</x:v>
      </x:c>
      <x:c r="I2034" s="0" t="s">
        <x:v>21</x:v>
      </x:c>
      <x:c r="K2034" s="0">
        <x:f>hyperlink("https://icd.who.int/dev11/l-ichi/en#/http%3A%2F%2Fid.who.int%2Ficd%2Fentity%2F1257066153","browser")</x:f>
      </x:c>
      <x:c r="L2034" s="0">
        <x:f>hyperlink("https://icat2.azurewebsites.net/icat/?ontology=ICD&amp;tab=ClassesTab&amp;id=http%3A%2F%2Fwho.int%2Ficd%237528_7353cc8f_16bd_4231_887a_95ea54e27297","iCat")</x:f>
      </x:c>
      <x:c r="M2034" s="0" t="s">
        <x:v>21</x:v>
      </x:c>
      <x:c r="N2034" s="0" t="s">
        <x:v>46</x:v>
      </x:c>
    </x:row>
    <x:row r="2035" spans="1:16">
      <x:c r="A2035" s="0" t="s">
        <x:v>7974</x:v>
      </x:c>
      <x:c r="B2035" s="0" t="s">
        <x:v>7975</x:v>
      </x:c>
      <x:c r="D2035" s="0" t="s">
        <x:v>7976</x:v>
      </x:c>
      <x:c r="E2035" s="0" t="s">
        <x:v>7977</x:v>
      </x:c>
      <x:c r="F2035" s="0" t="s">
        <x:v>26</x:v>
      </x:c>
      <x:c r="G2035" s="0" t="s">
        <x:v>22</x:v>
      </x:c>
      <x:c r="H2035" s="0" t="s">
        <x:v>20</x:v>
      </x:c>
      <x:c r="I2035" s="0" t="s">
        <x:v>21</x:v>
      </x:c>
      <x:c r="K2035" s="0">
        <x:f>hyperlink("https://icd.who.int/dev11/l-ichi/en#/http%3A%2F%2Fid.who.int%2Ficd%2Fentity%2F708375001","browser")</x:f>
      </x:c>
      <x:c r="L2035" s="0">
        <x:f>hyperlink("https://icat2.azurewebsites.net/icat/?ontology=ICD&amp;tab=ClassesTab&amp;id=http%3A%2F%2Fwho.int%2Ficd%237203_512ebf36_bf6b_4d70_85da_cf2637062af4","iCat")</x:f>
      </x:c>
      <x:c r="M2035" s="0" t="s">
        <x:v>20</x:v>
      </x:c>
      <x:c r="N2035" s="0" t="s">
        <x:v>19</x:v>
      </x:c>
    </x:row>
    <x:row r="2036" spans="1:16">
      <x:c r="A2036" s="0" t="s">
        <x:v>7978</x:v>
      </x:c>
      <x:c r="B2036" s="0" t="s">
        <x:v>7979</x:v>
      </x:c>
      <x:c r="C2036" s="0" t="s">
        <x:v>7980</x:v>
      </x:c>
      <x:c r="E2036" s="0" t="s">
        <x:v>7981</x:v>
      </x:c>
      <x:c r="F2036" s="0" t="s">
        <x:v>45</x:v>
      </x:c>
      <x:c r="G2036" s="0" t="s">
        <x:v>19</x:v>
      </x:c>
      <x:c r="H2036" s="0" t="s">
        <x:v>20</x:v>
      </x:c>
      <x:c r="I2036" s="0" t="s">
        <x:v>21</x:v>
      </x:c>
      <x:c r="K2036" s="0">
        <x:f>hyperlink("https://icd.who.int/dev11/l-ichi/en#/http%3A%2F%2Fid.who.int%2Ficd%2Fentity%2F180454373","browser")</x:f>
      </x:c>
      <x:c r="L2036" s="0">
        <x:f>hyperlink("https://icat2.azurewebsites.net/icat/?ontology=ICD&amp;tab=ClassesTab&amp;id=http%3A%2F%2Fwho.int%2Ficd%237202_512ebf36_bf6b_4d70_85da_cf2637062af4","iCat")</x:f>
      </x:c>
      <x:c r="M2036" s="0" t="s">
        <x:v>21</x:v>
      </x:c>
      <x:c r="N2036" s="0" t="s">
        <x:v>46</x:v>
      </x:c>
    </x:row>
    <x:row r="2037" spans="1:16">
      <x:c r="B2037" s="0" t="s">
        <x:v>7982</x:v>
      </x:c>
      <x:c r="C2037" s="0" t="s">
        <x:v>7983</x:v>
      </x:c>
      <x:c r="E2037" s="0" t="s">
        <x:v>7984</x:v>
      </x:c>
      <x:c r="F2037" s="0" t="s">
        <x:v>45</x:v>
      </x:c>
      <x:c r="G2037" s="0" t="s">
        <x:v>19</x:v>
      </x:c>
      <x:c r="H2037" s="0" t="s">
        <x:v>21</x:v>
      </x:c>
      <x:c r="I2037" s="0" t="s">
        <x:v>21</x:v>
      </x:c>
      <x:c r="K2037" s="0">
        <x:f>hyperlink("https://icd.who.int/dev11/l-ichi/en#/http%3A%2F%2Fid.who.int%2Ficd%2Fentity%2F2045100852%2Fichi%2Fother","browser")</x:f>
      </x:c>
      <x:c r="L2037" s="0">
        <x:f>hyperlink("","iCat")</x:f>
      </x:c>
      <x:c r="M2037" s="0" t="s">
        <x:v>21</x:v>
      </x:c>
      <x:c r="N2037" s="0" t="s">
        <x:v>46</x:v>
      </x:c>
    </x:row>
    <x:row r="2038" spans="1:16">
      <x:c r="B2038" s="0" t="s">
        <x:v>7985</x:v>
      </x:c>
      <x:c r="C2038" s="0" t="s">
        <x:v>7986</x:v>
      </x:c>
      <x:c r="E2038" s="0" t="s">
        <x:v>7987</x:v>
      </x:c>
      <x:c r="F2038" s="0" t="s">
        <x:v>45</x:v>
      </x:c>
      <x:c r="G2038" s="0" t="s">
        <x:v>19</x:v>
      </x:c>
      <x:c r="H2038" s="0" t="s">
        <x:v>21</x:v>
      </x:c>
      <x:c r="I2038" s="0" t="s">
        <x:v>21</x:v>
      </x:c>
      <x:c r="K2038" s="0">
        <x:f>hyperlink("https://icd.who.int/dev11/l-ichi/en#/http%3A%2F%2Fid.who.int%2Ficd%2Fentity%2F2045100852%2Fichi%2Funspecified","browser")</x:f>
      </x:c>
      <x:c r="L2038" s="0">
        <x:f>hyperlink("","iCat")</x:f>
      </x:c>
      <x:c r="M2038" s="0" t="s">
        <x:v>21</x:v>
      </x:c>
      <x:c r="N2038" s="0" t="s">
        <x:v>46</x:v>
      </x:c>
    </x:row>
    <x:row r="2039" spans="1:16">
      <x:c r="A2039" s="0" t="s">
        <x:v>7988</x:v>
      </x:c>
      <x:c r="B2039" s="0" t="s">
        <x:v>7989</x:v>
      </x:c>
      <x:c r="D2039" s="0" t="s">
        <x:v>7990</x:v>
      </x:c>
      <x:c r="E2039" s="0" t="s">
        <x:v>7991</x:v>
      </x:c>
      <x:c r="F2039" s="0" t="s">
        <x:v>26</x:v>
      </x:c>
      <x:c r="G2039" s="0" t="s">
        <x:v>35</x:v>
      </x:c>
      <x:c r="H2039" s="0" t="s">
        <x:v>20</x:v>
      </x:c>
      <x:c r="I2039" s="0" t="s">
        <x:v>21</x:v>
      </x:c>
      <x:c r="K2039" s="0">
        <x:f>hyperlink("https://icd.who.int/dev11/l-ichi/en#/http%3A%2F%2Fid.who.int%2Ficd%2Fentity%2F733038617","browser")</x:f>
      </x:c>
      <x:c r="L2039" s="0">
        <x:f>hyperlink("https://icat2.azurewebsites.net/icat/?ontology=ICD&amp;tab=ClassesTab&amp;id=http%3A%2F%2Fwho.int%2Ficd%237229_512ebf36_bf6b_4d70_85da_cf2637062af4","iCat")</x:f>
      </x:c>
      <x:c r="M2039" s="0" t="s">
        <x:v>20</x:v>
      </x:c>
      <x:c r="N2039" s="0" t="s">
        <x:v>22</x:v>
      </x:c>
    </x:row>
    <x:row r="2040" spans="1:16">
      <x:c r="A2040" s="0" t="s">
        <x:v>7992</x:v>
      </x:c>
      <x:c r="B2040" s="0" t="s">
        <x:v>7993</x:v>
      </x:c>
      <x:c r="D2040" s="0" t="s">
        <x:v>7994</x:v>
      </x:c>
      <x:c r="E2040" s="0" t="s">
        <x:v>7995</x:v>
      </x:c>
      <x:c r="F2040" s="0" t="s">
        <x:v>26</x:v>
      </x:c>
      <x:c r="G2040" s="0" t="s">
        <x:v>22</x:v>
      </x:c>
      <x:c r="H2040" s="0" t="s">
        <x:v>20</x:v>
      </x:c>
      <x:c r="I2040" s="0" t="s">
        <x:v>21</x:v>
      </x:c>
      <x:c r="K2040" s="0">
        <x:f>hyperlink("https://icd.who.int/dev11/l-ichi/en#/http%3A%2F%2Fid.who.int%2Ficd%2Fentity%2F988964975","browser")</x:f>
      </x:c>
      <x:c r="L2040" s="0">
        <x:f>hyperlink("https://icat2.azurewebsites.net/icat/?ontology=ICD&amp;tab=ClassesTab&amp;id=http%3A%2F%2Fwho.int%2Ficd%237235_512ebf36_bf6b_4d70_85da_cf2637062af4","iCat")</x:f>
      </x:c>
      <x:c r="M2040" s="0" t="s">
        <x:v>20</x:v>
      </x:c>
      <x:c r="N2040" s="0" t="s">
        <x:v>7996</x:v>
      </x:c>
    </x:row>
    <x:row r="2041" spans="1:16">
      <x:c r="A2041" s="0" t="s">
        <x:v>7997</x:v>
      </x:c>
      <x:c r="B2041" s="0" t="s">
        <x:v>7998</x:v>
      </x:c>
      <x:c r="C2041" s="0" t="s">
        <x:v>7999</x:v>
      </x:c>
      <x:c r="E2041" s="0" t="s">
        <x:v>8000</x:v>
      </x:c>
      <x:c r="F2041" s="0" t="s">
        <x:v>45</x:v>
      </x:c>
      <x:c r="G2041" s="0" t="s">
        <x:v>19</x:v>
      </x:c>
      <x:c r="H2041" s="0" t="s">
        <x:v>20</x:v>
      </x:c>
      <x:c r="I2041" s="0" t="s">
        <x:v>21</x:v>
      </x:c>
      <x:c r="K2041" s="0">
        <x:f>hyperlink("https://icd.who.int/dev11/l-ichi/en#/http%3A%2F%2Fid.who.int%2Ficd%2Fentity%2F189282853","browser")</x:f>
      </x:c>
      <x:c r="L2041" s="0">
        <x:f>hyperlink("https://icat2.azurewebsites.net/icat/?ontology=ICD&amp;tab=ClassesTab&amp;id=http%3A%2F%2Fwho.int%2Ficd%237228_512ebf36_bf6b_4d70_85da_cf2637062af4","iCat")</x:f>
      </x:c>
      <x:c r="M2041" s="0" t="s">
        <x:v>21</x:v>
      </x:c>
      <x:c r="N2041" s="0" t="s">
        <x:v>46</x:v>
      </x:c>
    </x:row>
    <x:row r="2042" spans="1:16">
      <x:c r="A2042" s="0" t="s">
        <x:v>8001</x:v>
      </x:c>
      <x:c r="B2042" s="0" t="s">
        <x:v>8002</x:v>
      </x:c>
      <x:c r="C2042" s="0" t="s">
        <x:v>8003</x:v>
      </x:c>
      <x:c r="E2042" s="0" t="s">
        <x:v>8004</x:v>
      </x:c>
      <x:c r="F2042" s="0" t="s">
        <x:v>45</x:v>
      </x:c>
      <x:c r="G2042" s="0" t="s">
        <x:v>19</x:v>
      </x:c>
      <x:c r="H2042" s="0" t="s">
        <x:v>20</x:v>
      </x:c>
      <x:c r="I2042" s="0" t="s">
        <x:v>21</x:v>
      </x:c>
      <x:c r="K2042" s="0">
        <x:f>hyperlink("https://icd.who.int/dev11/l-ichi/en#/http%3A%2F%2Fid.who.int%2Ficd%2Fentity%2F1364966504","browser")</x:f>
      </x:c>
      <x:c r="L2042" s="0">
        <x:f>hyperlink("https://icat2.azurewebsites.net/icat/?ontology=ICD&amp;tab=ClassesTab&amp;id=http%3A%2F%2Fwho.int%2Ficd%237248_512ebf36_bf6b_4d70_85da_cf2637062af4","iCat")</x:f>
      </x:c>
      <x:c r="M2042" s="0" t="s">
        <x:v>21</x:v>
      </x:c>
      <x:c r="N2042" s="0" t="s">
        <x:v>46</x:v>
      </x:c>
    </x:row>
    <x:row r="2043" spans="1:16">
      <x:c r="A2043" s="0" t="s">
        <x:v>8005</x:v>
      </x:c>
      <x:c r="B2043" s="0" t="s">
        <x:v>8006</x:v>
      </x:c>
      <x:c r="C2043" s="0" t="s">
        <x:v>8007</x:v>
      </x:c>
      <x:c r="E2043" s="0" t="s">
        <x:v>8008</x:v>
      </x:c>
      <x:c r="F2043" s="0" t="s">
        <x:v>45</x:v>
      </x:c>
      <x:c r="G2043" s="0" t="s">
        <x:v>19</x:v>
      </x:c>
      <x:c r="H2043" s="0" t="s">
        <x:v>20</x:v>
      </x:c>
      <x:c r="I2043" s="0" t="s">
        <x:v>21</x:v>
      </x:c>
      <x:c r="K2043" s="0">
        <x:f>hyperlink("https://icd.who.int/dev11/l-ichi/en#/http%3A%2F%2Fid.who.int%2Ficd%2Fentity%2F94237671","browser")</x:f>
      </x:c>
      <x:c r="L2043" s="0">
        <x:f>hyperlink("https://icat2.azurewebsites.net/icat/?ontology=ICD&amp;tab=ClassesTab&amp;id=http%3A%2F%2Fwho.int%2Ficd%237257_512ebf36_bf6b_4d70_85da_cf2637062af4","iCat")</x:f>
      </x:c>
      <x:c r="M2043" s="0" t="s">
        <x:v>21</x:v>
      </x:c>
      <x:c r="N2043" s="0" t="s">
        <x:v>46</x:v>
      </x:c>
    </x:row>
    <x:row r="2044" spans="1:16">
      <x:c r="A2044" s="0" t="s">
        <x:v>8009</x:v>
      </x:c>
      <x:c r="B2044" s="0" t="s">
        <x:v>8010</x:v>
      </x:c>
      <x:c r="C2044" s="0" t="s">
        <x:v>8011</x:v>
      </x:c>
      <x:c r="E2044" s="0" t="s">
        <x:v>8012</x:v>
      </x:c>
      <x:c r="F2044" s="0" t="s">
        <x:v>45</x:v>
      </x:c>
      <x:c r="G2044" s="0" t="s">
        <x:v>19</x:v>
      </x:c>
      <x:c r="H2044" s="0" t="s">
        <x:v>20</x:v>
      </x:c>
      <x:c r="I2044" s="0" t="s">
        <x:v>21</x:v>
      </x:c>
      <x:c r="K2044" s="0">
        <x:f>hyperlink("https://icd.who.int/dev11/l-ichi/en#/http%3A%2F%2Fid.who.int%2Ficd%2Fentity%2F1881896852","browser")</x:f>
      </x:c>
      <x:c r="L2044" s="0">
        <x:f>hyperlink("https://icat2.azurewebsites.net/icat/?ontology=ICD&amp;tab=ClassesTab&amp;id=http%3A%2F%2Fwho.int%2Ficd%237263_512ebf36_bf6b_4d70_85da_cf2637062af4","iCat")</x:f>
      </x:c>
      <x:c r="M2044" s="0" t="s">
        <x:v>21</x:v>
      </x:c>
      <x:c r="N2044" s="0" t="s">
        <x:v>46</x:v>
      </x:c>
    </x:row>
    <x:row r="2045" spans="1:16">
      <x:c r="A2045" s="0" t="s">
        <x:v>8013</x:v>
      </x:c>
      <x:c r="B2045" s="0" t="s">
        <x:v>8014</x:v>
      </x:c>
      <x:c r="C2045" s="0" t="s">
        <x:v>8015</x:v>
      </x:c>
      <x:c r="E2045" s="0" t="s">
        <x:v>8016</x:v>
      </x:c>
      <x:c r="F2045" s="0" t="s">
        <x:v>45</x:v>
      </x:c>
      <x:c r="G2045" s="0" t="s">
        <x:v>19</x:v>
      </x:c>
      <x:c r="H2045" s="0" t="s">
        <x:v>20</x:v>
      </x:c>
      <x:c r="I2045" s="0" t="s">
        <x:v>21</x:v>
      </x:c>
      <x:c r="K2045" s="0">
        <x:f>hyperlink("https://icd.who.int/dev11/l-ichi/en#/http%3A%2F%2Fid.who.int%2Ficd%2Fentity%2F1540758276","browser")</x:f>
      </x:c>
      <x:c r="L2045" s="0">
        <x:f>hyperlink("https://icat2.azurewebsites.net/icat/?ontology=ICD&amp;tab=ClassesTab&amp;id=http%3A%2F%2Fwho.int%2Ficd%237269_512ebf36_bf6b_4d70_85da_cf2637062af4","iCat")</x:f>
      </x:c>
      <x:c r="M2045" s="0" t="s">
        <x:v>21</x:v>
      </x:c>
      <x:c r="N2045" s="0" t="s">
        <x:v>46</x:v>
      </x:c>
    </x:row>
    <x:row r="2046" spans="1:16">
      <x:c r="A2046" s="0" t="s">
        <x:v>8017</x:v>
      </x:c>
      <x:c r="B2046" s="0" t="s">
        <x:v>8018</x:v>
      </x:c>
      <x:c r="C2046" s="0" t="s">
        <x:v>8019</x:v>
      </x:c>
      <x:c r="E2046" s="0" t="s">
        <x:v>8020</x:v>
      </x:c>
      <x:c r="F2046" s="0" t="s">
        <x:v>45</x:v>
      </x:c>
      <x:c r="G2046" s="0" t="s">
        <x:v>19</x:v>
      </x:c>
      <x:c r="H2046" s="0" t="s">
        <x:v>20</x:v>
      </x:c>
      <x:c r="I2046" s="0" t="s">
        <x:v>21</x:v>
      </x:c>
      <x:c r="K2046" s="0">
        <x:f>hyperlink("https://icd.who.int/dev11/l-ichi/en#/http%3A%2F%2Fid.who.int%2Ficd%2Fentity%2F252728459","browser")</x:f>
      </x:c>
      <x:c r="L2046" s="0">
        <x:f>hyperlink("https://icat2.azurewebsites.net/icat/?ontology=ICD&amp;tab=ClassesTab&amp;id=http%3A%2F%2Fwho.int%2Ficd%237276_512ebf36_bf6b_4d70_85da_cf2637062af4","iCat")</x:f>
      </x:c>
      <x:c r="M2046" s="0" t="s">
        <x:v>21</x:v>
      </x:c>
      <x:c r="N2046" s="0" t="s">
        <x:v>46</x:v>
      </x:c>
    </x:row>
    <x:row r="2047" spans="1:16">
      <x:c r="A2047" s="0" t="s">
        <x:v>8021</x:v>
      </x:c>
      <x:c r="B2047" s="0" t="s">
        <x:v>8022</x:v>
      </x:c>
      <x:c r="C2047" s="0" t="s">
        <x:v>8023</x:v>
      </x:c>
      <x:c r="E2047" s="0" t="s">
        <x:v>8024</x:v>
      </x:c>
      <x:c r="F2047" s="0" t="s">
        <x:v>45</x:v>
      </x:c>
      <x:c r="G2047" s="0" t="s">
        <x:v>19</x:v>
      </x:c>
      <x:c r="H2047" s="0" t="s">
        <x:v>20</x:v>
      </x:c>
      <x:c r="I2047" s="0" t="s">
        <x:v>21</x:v>
      </x:c>
      <x:c r="K2047" s="0">
        <x:f>hyperlink("https://icd.who.int/dev11/l-ichi/en#/http%3A%2F%2Fid.who.int%2Ficd%2Fentity%2F889825309","browser")</x:f>
      </x:c>
      <x:c r="L2047" s="0">
        <x:f>hyperlink("https://icat2.azurewebsites.net/icat/?ontology=ICD&amp;tab=ClassesTab&amp;id=http%3A%2F%2Fwho.int%2Ficd%237283_512ebf36_bf6b_4d70_85da_cf2637062af4","iCat")</x:f>
      </x:c>
      <x:c r="M2047" s="0" t="s">
        <x:v>21</x:v>
      </x:c>
      <x:c r="N2047" s="0" t="s">
        <x:v>46</x:v>
      </x:c>
    </x:row>
    <x:row r="2048" spans="1:16">
      <x:c r="A2048" s="0" t="s">
        <x:v>8025</x:v>
      </x:c>
      <x:c r="B2048" s="0" t="s">
        <x:v>8026</x:v>
      </x:c>
      <x:c r="C2048" s="0" t="s">
        <x:v>8027</x:v>
      </x:c>
      <x:c r="E2048" s="0" t="s">
        <x:v>8028</x:v>
      </x:c>
      <x:c r="F2048" s="0" t="s">
        <x:v>45</x:v>
      </x:c>
      <x:c r="G2048" s="0" t="s">
        <x:v>19</x:v>
      </x:c>
      <x:c r="H2048" s="0" t="s">
        <x:v>20</x:v>
      </x:c>
      <x:c r="I2048" s="0" t="s">
        <x:v>21</x:v>
      </x:c>
      <x:c r="K2048" s="0">
        <x:f>hyperlink("https://icd.who.int/dev11/l-ichi/en#/http%3A%2F%2Fid.who.int%2Ficd%2Fentity%2F441012915","browser")</x:f>
      </x:c>
      <x:c r="L2048" s="0">
        <x:f>hyperlink("https://icat2.azurewebsites.net/icat/?ontology=ICD&amp;tab=ClassesTab&amp;id=http%3A%2F%2Fwho.int%2Ficd%237290_512ebf36_bf6b_4d70_85da_cf2637062af4","iCat")</x:f>
      </x:c>
      <x:c r="M2048" s="0" t="s">
        <x:v>21</x:v>
      </x:c>
      <x:c r="N2048" s="0" t="s">
        <x:v>46</x:v>
      </x:c>
    </x:row>
    <x:row r="2049" spans="1:16">
      <x:c r="A2049" s="0" t="s">
        <x:v>8029</x:v>
      </x:c>
      <x:c r="B2049" s="0" t="s">
        <x:v>8030</x:v>
      </x:c>
      <x:c r="C2049" s="0" t="s">
        <x:v>8031</x:v>
      </x:c>
      <x:c r="E2049" s="0" t="s">
        <x:v>8032</x:v>
      </x:c>
      <x:c r="F2049" s="0" t="s">
        <x:v>45</x:v>
      </x:c>
      <x:c r="G2049" s="0" t="s">
        <x:v>19</x:v>
      </x:c>
      <x:c r="H2049" s="0" t="s">
        <x:v>20</x:v>
      </x:c>
      <x:c r="I2049" s="0" t="s">
        <x:v>21</x:v>
      </x:c>
      <x:c r="K2049" s="0">
        <x:f>hyperlink("https://icd.who.int/dev11/l-ichi/en#/http%3A%2F%2Fid.who.int%2Ficd%2Fentity%2F1791752512","browser")</x:f>
      </x:c>
      <x:c r="L2049" s="0">
        <x:f>hyperlink("https://icat2.azurewebsites.net/icat/?ontology=ICD&amp;tab=ClassesTab&amp;id=http%3A%2F%2Fwho.int%2Ficd%237297_512ebf36_bf6b_4d70_85da_cf2637062af4","iCat")</x:f>
      </x:c>
      <x:c r="M2049" s="0" t="s">
        <x:v>21</x:v>
      </x:c>
      <x:c r="N2049" s="0" t="s">
        <x:v>46</x:v>
      </x:c>
    </x:row>
    <x:row r="2050" spans="1:16">
      <x:c r="A2050" s="0" t="s">
        <x:v>8033</x:v>
      </x:c>
      <x:c r="B2050" s="0" t="s">
        <x:v>8034</x:v>
      </x:c>
      <x:c r="C2050" s="0" t="s">
        <x:v>8035</x:v>
      </x:c>
      <x:c r="E2050" s="0" t="s">
        <x:v>8036</x:v>
      </x:c>
      <x:c r="F2050" s="0" t="s">
        <x:v>45</x:v>
      </x:c>
      <x:c r="G2050" s="0" t="s">
        <x:v>19</x:v>
      </x:c>
      <x:c r="H2050" s="0" t="s">
        <x:v>20</x:v>
      </x:c>
      <x:c r="I2050" s="0" t="s">
        <x:v>21</x:v>
      </x:c>
      <x:c r="K2050" s="0">
        <x:f>hyperlink("https://icd.who.int/dev11/l-ichi/en#/http%3A%2F%2Fid.who.int%2Ficd%2Fentity%2F790994121","browser")</x:f>
      </x:c>
      <x:c r="L2050" s="0">
        <x:f>hyperlink("https://icat2.azurewebsites.net/icat/?ontology=ICD&amp;tab=ClassesTab&amp;id=http%3A%2F%2Fwho.int%2Ficd%237304_512ebf36_bf6b_4d70_85da_cf2637062af4","iCat")</x:f>
      </x:c>
      <x:c r="M2050" s="0" t="s">
        <x:v>21</x:v>
      </x:c>
      <x:c r="N2050" s="0" t="s">
        <x:v>46</x:v>
      </x:c>
    </x:row>
    <x:row r="2051" spans="1:16">
      <x:c r="A2051" s="0" t="s">
        <x:v>8037</x:v>
      </x:c>
      <x:c r="B2051" s="0" t="s">
        <x:v>8038</x:v>
      </x:c>
      <x:c r="C2051" s="0" t="s">
        <x:v>8039</x:v>
      </x:c>
      <x:c r="E2051" s="0" t="s">
        <x:v>8040</x:v>
      </x:c>
      <x:c r="F2051" s="0" t="s">
        <x:v>45</x:v>
      </x:c>
      <x:c r="G2051" s="0" t="s">
        <x:v>19</x:v>
      </x:c>
      <x:c r="H2051" s="0" t="s">
        <x:v>20</x:v>
      </x:c>
      <x:c r="I2051" s="0" t="s">
        <x:v>21</x:v>
      </x:c>
      <x:c r="K2051" s="0">
        <x:f>hyperlink("https://icd.who.int/dev11/l-ichi/en#/http%3A%2F%2Fid.who.int%2Ficd%2Fentity%2F1344192472","browser")</x:f>
      </x:c>
      <x:c r="L2051" s="0">
        <x:f>hyperlink("https://icat2.azurewebsites.net/icat/?ontology=ICD&amp;tab=ClassesTab&amp;id=http%3A%2F%2Fwho.int%2Ficd%237311_512ebf36_bf6b_4d70_85da_cf2637062af4","iCat")</x:f>
      </x:c>
      <x:c r="M2051" s="0" t="s">
        <x:v>21</x:v>
      </x:c>
      <x:c r="N2051" s="0" t="s">
        <x:v>46</x:v>
      </x:c>
    </x:row>
    <x:row r="2052" spans="1:16">
      <x:c r="A2052" s="0" t="s">
        <x:v>8041</x:v>
      </x:c>
      <x:c r="B2052" s="0" t="s">
        <x:v>8042</x:v>
      </x:c>
      <x:c r="C2052" s="0" t="s">
        <x:v>8043</x:v>
      </x:c>
      <x:c r="E2052" s="0" t="s">
        <x:v>8044</x:v>
      </x:c>
      <x:c r="F2052" s="0" t="s">
        <x:v>45</x:v>
      </x:c>
      <x:c r="G2052" s="0" t="s">
        <x:v>19</x:v>
      </x:c>
      <x:c r="H2052" s="0" t="s">
        <x:v>20</x:v>
      </x:c>
      <x:c r="I2052" s="0" t="s">
        <x:v>21</x:v>
      </x:c>
      <x:c r="K2052" s="0">
        <x:f>hyperlink("https://icd.who.int/dev11/l-ichi/en#/http%3A%2F%2Fid.who.int%2Ficd%2Fentity%2F6645351","browser")</x:f>
      </x:c>
      <x:c r="L2052" s="0">
        <x:f>hyperlink("https://icat2.azurewebsites.net/icat/?ontology=ICD&amp;tab=ClassesTab&amp;id=http%3A%2F%2Fwho.int%2Ficd%237317_512ebf36_bf6b_4d70_85da_cf2637062af4","iCat")</x:f>
      </x:c>
      <x:c r="M2052" s="0" t="s">
        <x:v>21</x:v>
      </x:c>
      <x:c r="N2052" s="0" t="s">
        <x:v>46</x:v>
      </x:c>
    </x:row>
    <x:row r="2053" spans="1:16">
      <x:c r="A2053" s="0" t="s">
        <x:v>8045</x:v>
      </x:c>
      <x:c r="B2053" s="0" t="s">
        <x:v>8046</x:v>
      </x:c>
      <x:c r="C2053" s="0" t="s">
        <x:v>8047</x:v>
      </x:c>
      <x:c r="E2053" s="0" t="s">
        <x:v>8048</x:v>
      </x:c>
      <x:c r="F2053" s="0" t="s">
        <x:v>45</x:v>
      </x:c>
      <x:c r="G2053" s="0" t="s">
        <x:v>19</x:v>
      </x:c>
      <x:c r="H2053" s="0" t="s">
        <x:v>20</x:v>
      </x:c>
      <x:c r="I2053" s="0" t="s">
        <x:v>21</x:v>
      </x:c>
      <x:c r="K2053" s="0">
        <x:f>hyperlink("https://icd.who.int/dev11/l-ichi/en#/http%3A%2F%2Fid.who.int%2Ficd%2Fentity%2F89213337","browser")</x:f>
      </x:c>
      <x:c r="L2053" s="0">
        <x:f>hyperlink("https://icat2.azurewebsites.net/icat/?ontology=ICD&amp;tab=ClassesTab&amp;id=http%3A%2F%2Fwho.int%2Ficd%237324_512ebf36_bf6b_4d70_85da_cf2637062af4","iCat")</x:f>
      </x:c>
      <x:c r="M2053" s="0" t="s">
        <x:v>21</x:v>
      </x:c>
      <x:c r="N2053" s="0" t="s">
        <x:v>46</x:v>
      </x:c>
    </x:row>
    <x:row r="2054" spans="1:16">
      <x:c r="A2054" s="0" t="s">
        <x:v>8049</x:v>
      </x:c>
      <x:c r="B2054" s="0" t="s">
        <x:v>8050</x:v>
      </x:c>
      <x:c r="C2054" s="0" t="s">
        <x:v>8051</x:v>
      </x:c>
      <x:c r="E2054" s="0" t="s">
        <x:v>8052</x:v>
      </x:c>
      <x:c r="F2054" s="0" t="s">
        <x:v>45</x:v>
      </x:c>
      <x:c r="G2054" s="0" t="s">
        <x:v>19</x:v>
      </x:c>
      <x:c r="H2054" s="0" t="s">
        <x:v>20</x:v>
      </x:c>
      <x:c r="I2054" s="0" t="s">
        <x:v>21</x:v>
      </x:c>
      <x:c r="K2054" s="0">
        <x:f>hyperlink("https://icd.who.int/dev11/l-ichi/en#/http%3A%2F%2Fid.who.int%2Ficd%2Fentity%2F2053794438","browser")</x:f>
      </x:c>
      <x:c r="L2054" s="0">
        <x:f>hyperlink("https://icat2.azurewebsites.net/icat/?ontology=ICD&amp;tab=ClassesTab&amp;id=http%3A%2F%2Fwho.int%2Ficd%237331_512ebf36_bf6b_4d70_85da_cf2637062af4","iCat")</x:f>
      </x:c>
      <x:c r="M2054" s="0" t="s">
        <x:v>21</x:v>
      </x:c>
      <x:c r="N2054" s="0" t="s">
        <x:v>46</x:v>
      </x:c>
    </x:row>
    <x:row r="2055" spans="1:16">
      <x:c r="A2055" s="0" t="s">
        <x:v>8053</x:v>
      </x:c>
      <x:c r="B2055" s="0" t="s">
        <x:v>8054</x:v>
      </x:c>
      <x:c r="C2055" s="0" t="s">
        <x:v>8055</x:v>
      </x:c>
      <x:c r="E2055" s="0" t="s">
        <x:v>8056</x:v>
      </x:c>
      <x:c r="F2055" s="0" t="s">
        <x:v>45</x:v>
      </x:c>
      <x:c r="G2055" s="0" t="s">
        <x:v>19</x:v>
      </x:c>
      <x:c r="H2055" s="0" t="s">
        <x:v>20</x:v>
      </x:c>
      <x:c r="I2055" s="0" t="s">
        <x:v>21</x:v>
      </x:c>
      <x:c r="K2055" s="0">
        <x:f>hyperlink("https://icd.who.int/dev11/l-ichi/en#/http%3A%2F%2Fid.who.int%2Ficd%2Fentity%2F255399525","browser")</x:f>
      </x:c>
      <x:c r="L2055" s="0">
        <x:f>hyperlink("https://icat2.azurewebsites.net/icat/?ontology=ICD&amp;tab=ClassesTab&amp;id=http%3A%2F%2Fwho.int%2Ficd%237342_512ebf36_bf6b_4d70_85da_cf2637062af4","iCat")</x:f>
      </x:c>
      <x:c r="M2055" s="0" t="s">
        <x:v>21</x:v>
      </x:c>
      <x:c r="N2055" s="0" t="s">
        <x:v>46</x:v>
      </x:c>
    </x:row>
    <x:row r="2056" spans="1:16">
      <x:c r="A2056" s="0" t="s">
        <x:v>8057</x:v>
      </x:c>
      <x:c r="B2056" s="0" t="s">
        <x:v>8058</x:v>
      </x:c>
      <x:c r="C2056" s="0" t="s">
        <x:v>8059</x:v>
      </x:c>
      <x:c r="E2056" s="0" t="s">
        <x:v>8060</x:v>
      </x:c>
      <x:c r="F2056" s="0" t="s">
        <x:v>45</x:v>
      </x:c>
      <x:c r="G2056" s="0" t="s">
        <x:v>19</x:v>
      </x:c>
      <x:c r="H2056" s="0" t="s">
        <x:v>20</x:v>
      </x:c>
      <x:c r="I2056" s="0" t="s">
        <x:v>21</x:v>
      </x:c>
      <x:c r="K2056" s="0">
        <x:f>hyperlink("https://icd.who.int/dev11/l-ichi/en#/http%3A%2F%2Fid.who.int%2Ficd%2Fentity%2F616856309","browser")</x:f>
      </x:c>
      <x:c r="L2056" s="0">
        <x:f>hyperlink("https://icat2.azurewebsites.net/icat/?ontology=ICD&amp;tab=ClassesTab&amp;id=http%3A%2F%2Fwho.int%2Ficd%237348_512ebf36_bf6b_4d70_85da_cf2637062af4","iCat")</x:f>
      </x:c>
      <x:c r="M2056" s="0" t="s">
        <x:v>21</x:v>
      </x:c>
      <x:c r="N2056" s="0" t="s">
        <x:v>46</x:v>
      </x:c>
    </x:row>
    <x:row r="2057" spans="1:16">
      <x:c r="A2057" s="0" t="s">
        <x:v>8061</x:v>
      </x:c>
      <x:c r="B2057" s="0" t="s">
        <x:v>8062</x:v>
      </x:c>
      <x:c r="C2057" s="0" t="s">
        <x:v>8063</x:v>
      </x:c>
      <x:c r="E2057" s="0" t="s">
        <x:v>8064</x:v>
      </x:c>
      <x:c r="F2057" s="0" t="s">
        <x:v>45</x:v>
      </x:c>
      <x:c r="G2057" s="0" t="s">
        <x:v>19</x:v>
      </x:c>
      <x:c r="H2057" s="0" t="s">
        <x:v>20</x:v>
      </x:c>
      <x:c r="I2057" s="0" t="s">
        <x:v>21</x:v>
      </x:c>
      <x:c r="K2057" s="0">
        <x:f>hyperlink("https://icd.who.int/dev11/l-ichi/en#/http%3A%2F%2Fid.who.int%2Ficd%2Fentity%2F1358645064","browser")</x:f>
      </x:c>
      <x:c r="L2057" s="0">
        <x:f>hyperlink("https://icat2.azurewebsites.net/icat/?ontology=ICD&amp;tab=ClassesTab&amp;id=http%3A%2F%2Fwho.int%2Ficd%237356_512ebf36_bf6b_4d70_85da_cf2637062af4","iCat")</x:f>
      </x:c>
      <x:c r="M2057" s="0" t="s">
        <x:v>21</x:v>
      </x:c>
      <x:c r="N2057" s="0" t="s">
        <x:v>46</x:v>
      </x:c>
    </x:row>
    <x:row r="2058" spans="1:16">
      <x:c r="A2058" s="0" t="s">
        <x:v>8065</x:v>
      </x:c>
      <x:c r="B2058" s="0" t="s">
        <x:v>8066</x:v>
      </x:c>
      <x:c r="C2058" s="0" t="s">
        <x:v>8067</x:v>
      </x:c>
      <x:c r="E2058" s="0" t="s">
        <x:v>8068</x:v>
      </x:c>
      <x:c r="F2058" s="0" t="s">
        <x:v>45</x:v>
      </x:c>
      <x:c r="G2058" s="0" t="s">
        <x:v>19</x:v>
      </x:c>
      <x:c r="H2058" s="0" t="s">
        <x:v>20</x:v>
      </x:c>
      <x:c r="I2058" s="0" t="s">
        <x:v>21</x:v>
      </x:c>
      <x:c r="K2058" s="0">
        <x:f>hyperlink("https://icd.who.int/dev11/l-ichi/en#/http%3A%2F%2Fid.who.int%2Ficd%2Fentity%2F817067389","browser")</x:f>
      </x:c>
      <x:c r="L2058" s="0">
        <x:f>hyperlink("https://icat2.azurewebsites.net/icat/?ontology=ICD&amp;tab=ClassesTab&amp;id=http%3A%2F%2Fwho.int%2Ficd%237367_512ebf36_bf6b_4d70_85da_cf2637062af4","iCat")</x:f>
      </x:c>
      <x:c r="M2058" s="0" t="s">
        <x:v>21</x:v>
      </x:c>
      <x:c r="N2058" s="0" t="s">
        <x:v>46</x:v>
      </x:c>
    </x:row>
    <x:row r="2059" spans="1:16">
      <x:c r="A2059" s="0" t="s">
        <x:v>8069</x:v>
      </x:c>
      <x:c r="B2059" s="0" t="s">
        <x:v>8070</x:v>
      </x:c>
      <x:c r="C2059" s="0" t="s">
        <x:v>8071</x:v>
      </x:c>
      <x:c r="E2059" s="0" t="s">
        <x:v>8072</x:v>
      </x:c>
      <x:c r="F2059" s="0" t="s">
        <x:v>45</x:v>
      </x:c>
      <x:c r="G2059" s="0" t="s">
        <x:v>19</x:v>
      </x:c>
      <x:c r="H2059" s="0" t="s">
        <x:v>20</x:v>
      </x:c>
      <x:c r="I2059" s="0" t="s">
        <x:v>21</x:v>
      </x:c>
      <x:c r="K2059" s="0">
        <x:f>hyperlink("https://icd.who.int/dev11/l-ichi/en#/http%3A%2F%2Fid.who.int%2Ficd%2Fentity%2F2056229398","browser")</x:f>
      </x:c>
      <x:c r="L2059" s="0">
        <x:f>hyperlink("https://icat2.azurewebsites.net/icat/?ontology=ICD&amp;tab=ClassesTab&amp;id=http%3A%2F%2Fwho.int%2Ficd%237376_512ebf36_bf6b_4d70_85da_cf2637062af4","iCat")</x:f>
      </x:c>
      <x:c r="M2059" s="0" t="s">
        <x:v>21</x:v>
      </x:c>
      <x:c r="N2059" s="0" t="s">
        <x:v>46</x:v>
      </x:c>
    </x:row>
    <x:row r="2060" spans="1:16">
      <x:c r="A2060" s="0" t="s">
        <x:v>8073</x:v>
      </x:c>
      <x:c r="B2060" s="0" t="s">
        <x:v>8074</x:v>
      </x:c>
      <x:c r="C2060" s="0" t="s">
        <x:v>8075</x:v>
      </x:c>
      <x:c r="E2060" s="0" t="s">
        <x:v>8076</x:v>
      </x:c>
      <x:c r="F2060" s="0" t="s">
        <x:v>45</x:v>
      </x:c>
      <x:c r="G2060" s="0" t="s">
        <x:v>19</x:v>
      </x:c>
      <x:c r="H2060" s="0" t="s">
        <x:v>20</x:v>
      </x:c>
      <x:c r="I2060" s="0" t="s">
        <x:v>21</x:v>
      </x:c>
      <x:c r="K2060" s="0">
        <x:f>hyperlink("https://icd.who.int/dev11/l-ichi/en#/http%3A%2F%2Fid.who.int%2Ficd%2Fentity%2F1617894590","browser")</x:f>
      </x:c>
      <x:c r="L2060" s="0">
        <x:f>hyperlink("https://icat2.azurewebsites.net/icat/?ontology=ICD&amp;tab=ClassesTab&amp;id=http%3A%2F%2Fwho.int%2Ficd%237382_512ebf36_bf6b_4d70_85da_cf2637062af4","iCat")</x:f>
      </x:c>
      <x:c r="M2060" s="0" t="s">
        <x:v>21</x:v>
      </x:c>
      <x:c r="N2060" s="0" t="s">
        <x:v>46</x:v>
      </x:c>
    </x:row>
    <x:row r="2061" spans="1:16">
      <x:c r="A2061" s="0" t="s">
        <x:v>8077</x:v>
      </x:c>
      <x:c r="B2061" s="0" t="s">
        <x:v>8078</x:v>
      </x:c>
      <x:c r="C2061" s="0" t="s">
        <x:v>8079</x:v>
      </x:c>
      <x:c r="E2061" s="0" t="s">
        <x:v>8080</x:v>
      </x:c>
      <x:c r="F2061" s="0" t="s">
        <x:v>45</x:v>
      </x:c>
      <x:c r="G2061" s="0" t="s">
        <x:v>19</x:v>
      </x:c>
      <x:c r="H2061" s="0" t="s">
        <x:v>20</x:v>
      </x:c>
      <x:c r="I2061" s="0" t="s">
        <x:v>21</x:v>
      </x:c>
      <x:c r="K2061" s="0">
        <x:f>hyperlink("https://icd.who.int/dev11/l-ichi/en#/http%3A%2F%2Fid.who.int%2Ficd%2Fentity%2F1523667034","browser")</x:f>
      </x:c>
      <x:c r="L2061" s="0">
        <x:f>hyperlink("https://icat2.azurewebsites.net/icat/?ontology=ICD&amp;tab=ClassesTab&amp;id=http%3A%2F%2Fwho.int%2Ficd%237394_512ebf36_bf6b_4d70_85da_cf2637062af4","iCat")</x:f>
      </x:c>
      <x:c r="M2061" s="0" t="s">
        <x:v>21</x:v>
      </x:c>
      <x:c r="N2061" s="0" t="s">
        <x:v>46</x:v>
      </x:c>
    </x:row>
    <x:row r="2062" spans="1:16">
      <x:c r="A2062" s="0" t="s">
        <x:v>8081</x:v>
      </x:c>
      <x:c r="B2062" s="0" t="s">
        <x:v>8082</x:v>
      </x:c>
      <x:c r="C2062" s="0" t="s">
        <x:v>8083</x:v>
      </x:c>
      <x:c r="E2062" s="0" t="s">
        <x:v>8084</x:v>
      </x:c>
      <x:c r="F2062" s="0" t="s">
        <x:v>45</x:v>
      </x:c>
      <x:c r="G2062" s="0" t="s">
        <x:v>19</x:v>
      </x:c>
      <x:c r="H2062" s="0" t="s">
        <x:v>20</x:v>
      </x:c>
      <x:c r="I2062" s="0" t="s">
        <x:v>21</x:v>
      </x:c>
      <x:c r="K2062" s="0">
        <x:f>hyperlink("https://icd.who.int/dev11/l-ichi/en#/http%3A%2F%2Fid.who.int%2Ficd%2Fentity%2F871800616","browser")</x:f>
      </x:c>
      <x:c r="L2062" s="0">
        <x:f>hyperlink("https://icat2.azurewebsites.net/icat/?ontology=ICD&amp;tab=ClassesTab&amp;id=http%3A%2F%2Fwho.int%2Ficd%237403_512ebf36_bf6b_4d70_85da_cf2637062af4","iCat")</x:f>
      </x:c>
      <x:c r="M2062" s="0" t="s">
        <x:v>21</x:v>
      </x:c>
      <x:c r="N2062" s="0" t="s">
        <x:v>46</x:v>
      </x:c>
    </x:row>
    <x:row r="2063" spans="1:16">
      <x:c r="A2063" s="0" t="s">
        <x:v>8085</x:v>
      </x:c>
      <x:c r="B2063" s="0" t="s">
        <x:v>8086</x:v>
      </x:c>
      <x:c r="C2063" s="0" t="s">
        <x:v>8087</x:v>
      </x:c>
      <x:c r="E2063" s="0" t="s">
        <x:v>8088</x:v>
      </x:c>
      <x:c r="F2063" s="0" t="s">
        <x:v>45</x:v>
      </x:c>
      <x:c r="G2063" s="0" t="s">
        <x:v>19</x:v>
      </x:c>
      <x:c r="H2063" s="0" t="s">
        <x:v>20</x:v>
      </x:c>
      <x:c r="I2063" s="0" t="s">
        <x:v>21</x:v>
      </x:c>
      <x:c r="K2063" s="0">
        <x:f>hyperlink("https://icd.who.int/dev11/l-ichi/en#/http%3A%2F%2Fid.who.int%2Ficd%2Fentity%2F403436472","browser")</x:f>
      </x:c>
      <x:c r="L2063" s="0">
        <x:f>hyperlink("https://icat2.azurewebsites.net/icat/?ontology=ICD&amp;tab=ClassesTab&amp;id=http%3A%2F%2Fwho.int%2Ficd%237409_512ebf36_bf6b_4d70_85da_cf2637062af4","iCat")</x:f>
      </x:c>
      <x:c r="M2063" s="0" t="s">
        <x:v>21</x:v>
      </x:c>
      <x:c r="N2063" s="0" t="s">
        <x:v>46</x:v>
      </x:c>
    </x:row>
    <x:row r="2064" spans="1:16">
      <x:c r="A2064" s="0" t="s">
        <x:v>8089</x:v>
      </x:c>
      <x:c r="B2064" s="0" t="s">
        <x:v>8090</x:v>
      </x:c>
      <x:c r="C2064" s="0" t="s">
        <x:v>8091</x:v>
      </x:c>
      <x:c r="E2064" s="0" t="s">
        <x:v>8092</x:v>
      </x:c>
      <x:c r="F2064" s="0" t="s">
        <x:v>45</x:v>
      </x:c>
      <x:c r="G2064" s="0" t="s">
        <x:v>19</x:v>
      </x:c>
      <x:c r="H2064" s="0" t="s">
        <x:v>20</x:v>
      </x:c>
      <x:c r="I2064" s="0" t="s">
        <x:v>21</x:v>
      </x:c>
      <x:c r="K2064" s="0">
        <x:f>hyperlink("https://icd.who.int/dev11/l-ichi/en#/http%3A%2F%2Fid.who.int%2Ficd%2Fentity%2F155767760","browser")</x:f>
      </x:c>
      <x:c r="L2064" s="0">
        <x:f>hyperlink("https://icat2.azurewebsites.net/icat/?ontology=ICD&amp;tab=ClassesTab&amp;id=http%3A%2F%2Fwho.int%2Ficd%237415_512ebf36_bf6b_4d70_85da_cf2637062af4","iCat")</x:f>
      </x:c>
      <x:c r="M2064" s="0" t="s">
        <x:v>21</x:v>
      </x:c>
      <x:c r="N2064" s="0" t="s">
        <x:v>46</x:v>
      </x:c>
    </x:row>
    <x:row r="2065" spans="1:16">
      <x:c r="A2065" s="0" t="s">
        <x:v>8093</x:v>
      </x:c>
      <x:c r="B2065" s="0" t="s">
        <x:v>8094</x:v>
      </x:c>
      <x:c r="C2065" s="0" t="s">
        <x:v>8095</x:v>
      </x:c>
      <x:c r="E2065" s="0" t="s">
        <x:v>8096</x:v>
      </x:c>
      <x:c r="F2065" s="0" t="s">
        <x:v>45</x:v>
      </x:c>
      <x:c r="G2065" s="0" t="s">
        <x:v>19</x:v>
      </x:c>
      <x:c r="H2065" s="0" t="s">
        <x:v>20</x:v>
      </x:c>
      <x:c r="I2065" s="0" t="s">
        <x:v>21</x:v>
      </x:c>
      <x:c r="K2065" s="0">
        <x:f>hyperlink("https://icd.who.int/dev11/l-ichi/en#/http%3A%2F%2Fid.who.int%2Ficd%2Fentity%2F2097043389","browser")</x:f>
      </x:c>
      <x:c r="L2065" s="0">
        <x:f>hyperlink("https://icat2.azurewebsites.net/icat/?ontology=ICD&amp;tab=ClassesTab&amp;id=http%3A%2F%2Fwho.int%2Ficd%237421_512ebf36_bf6b_4d70_85da_cf2637062af4","iCat")</x:f>
      </x:c>
      <x:c r="M2065" s="0" t="s">
        <x:v>21</x:v>
      </x:c>
      <x:c r="N2065" s="0" t="s">
        <x:v>46</x:v>
      </x:c>
    </x:row>
    <x:row r="2066" spans="1:16">
      <x:c r="A2066" s="0" t="s">
        <x:v>8097</x:v>
      </x:c>
      <x:c r="B2066" s="0" t="s">
        <x:v>8098</x:v>
      </x:c>
      <x:c r="C2066" s="0" t="s">
        <x:v>8099</x:v>
      </x:c>
      <x:c r="E2066" s="0" t="s">
        <x:v>8100</x:v>
      </x:c>
      <x:c r="F2066" s="0" t="s">
        <x:v>45</x:v>
      </x:c>
      <x:c r="G2066" s="0" t="s">
        <x:v>19</x:v>
      </x:c>
      <x:c r="H2066" s="0" t="s">
        <x:v>20</x:v>
      </x:c>
      <x:c r="I2066" s="0" t="s">
        <x:v>21</x:v>
      </x:c>
      <x:c r="K2066" s="0">
        <x:f>hyperlink("https://icd.who.int/dev11/l-ichi/en#/http%3A%2F%2Fid.who.int%2Ficd%2Fentity%2F746950156","browser")</x:f>
      </x:c>
      <x:c r="L2066" s="0">
        <x:f>hyperlink("https://icat2.azurewebsites.net/icat/?ontology=ICD&amp;tab=ClassesTab&amp;id=http%3A%2F%2Fwho.int%2Ficd%237427_512ebf36_bf6b_4d70_85da_cf2637062af4","iCat")</x:f>
      </x:c>
      <x:c r="M2066" s="0" t="s">
        <x:v>21</x:v>
      </x:c>
      <x:c r="N2066" s="0" t="s">
        <x:v>46</x:v>
      </x:c>
    </x:row>
    <x:row r="2067" spans="1:16">
      <x:c r="A2067" s="0" t="s">
        <x:v>8101</x:v>
      </x:c>
      <x:c r="B2067" s="0" t="s">
        <x:v>8102</x:v>
      </x:c>
      <x:c r="C2067" s="0" t="s">
        <x:v>8103</x:v>
      </x:c>
      <x:c r="E2067" s="0" t="s">
        <x:v>8104</x:v>
      </x:c>
      <x:c r="F2067" s="0" t="s">
        <x:v>45</x:v>
      </x:c>
      <x:c r="G2067" s="0" t="s">
        <x:v>19</x:v>
      </x:c>
      <x:c r="H2067" s="0" t="s">
        <x:v>20</x:v>
      </x:c>
      <x:c r="I2067" s="0" t="s">
        <x:v>21</x:v>
      </x:c>
      <x:c r="K2067" s="0">
        <x:f>hyperlink("https://icd.who.int/dev11/l-ichi/en#/http%3A%2F%2Fid.who.int%2Ficd%2Fentity%2F1934090031","browser")</x:f>
      </x:c>
      <x:c r="L2067" s="0">
        <x:f>hyperlink("https://icat2.azurewebsites.net/icat/?ontology=ICD&amp;tab=ClassesTab&amp;id=http%3A%2F%2Fwho.int%2Ficd%237433_512ebf36_bf6b_4d70_85da_cf2637062af4","iCat")</x:f>
      </x:c>
      <x:c r="M2067" s="0" t="s">
        <x:v>21</x:v>
      </x:c>
      <x:c r="N2067" s="0" t="s">
        <x:v>46</x:v>
      </x:c>
    </x:row>
    <x:row r="2068" spans="1:16">
      <x:c r="A2068" s="0" t="s">
        <x:v>8105</x:v>
      </x:c>
      <x:c r="B2068" s="0" t="s">
        <x:v>8106</x:v>
      </x:c>
      <x:c r="C2068" s="0" t="s">
        <x:v>8107</x:v>
      </x:c>
      <x:c r="E2068" s="0" t="s">
        <x:v>8108</x:v>
      </x:c>
      <x:c r="F2068" s="0" t="s">
        <x:v>45</x:v>
      </x:c>
      <x:c r="G2068" s="0" t="s">
        <x:v>19</x:v>
      </x:c>
      <x:c r="H2068" s="0" t="s">
        <x:v>20</x:v>
      </x:c>
      <x:c r="I2068" s="0" t="s">
        <x:v>21</x:v>
      </x:c>
      <x:c r="K2068" s="0">
        <x:f>hyperlink("https://icd.who.int/dev11/l-ichi/en#/http%3A%2F%2Fid.who.int%2Ficd%2Fentity%2F653119984","browser")</x:f>
      </x:c>
      <x:c r="L2068" s="0">
        <x:f>hyperlink("https://icat2.azurewebsites.net/icat/?ontology=ICD&amp;tab=ClassesTab&amp;id=http%3A%2F%2Fwho.int%2Ficd%237441_512ebf36_bf6b_4d70_85da_cf2637062af4","iCat")</x:f>
      </x:c>
      <x:c r="M2068" s="0" t="s">
        <x:v>21</x:v>
      </x:c>
      <x:c r="N2068" s="0" t="s">
        <x:v>46</x:v>
      </x:c>
    </x:row>
    <x:row r="2069" spans="1:16">
      <x:c r="A2069" s="0" t="s">
        <x:v>8109</x:v>
      </x:c>
      <x:c r="B2069" s="0" t="s">
        <x:v>8110</x:v>
      </x:c>
      <x:c r="C2069" s="0" t="s">
        <x:v>8111</x:v>
      </x:c>
      <x:c r="E2069" s="0" t="s">
        <x:v>8112</x:v>
      </x:c>
      <x:c r="F2069" s="0" t="s">
        <x:v>45</x:v>
      </x:c>
      <x:c r="G2069" s="0" t="s">
        <x:v>19</x:v>
      </x:c>
      <x:c r="H2069" s="0" t="s">
        <x:v>20</x:v>
      </x:c>
      <x:c r="I2069" s="0" t="s">
        <x:v>21</x:v>
      </x:c>
      <x:c r="K2069" s="0">
        <x:f>hyperlink("https://icd.who.int/dev11/l-ichi/en#/http%3A%2F%2Fid.who.int%2Ficd%2Fentity%2F1989544001","browser")</x:f>
      </x:c>
      <x:c r="L2069" s="0">
        <x:f>hyperlink("https://icat2.azurewebsites.net/icat/?ontology=ICD&amp;tab=ClassesTab&amp;id=http%3A%2F%2Fwho.int%2Ficd%237447_512ebf36_bf6b_4d70_85da_cf2637062af4","iCat")</x:f>
      </x:c>
      <x:c r="M2069" s="0" t="s">
        <x:v>21</x:v>
      </x:c>
      <x:c r="N2069" s="0" t="s">
        <x:v>46</x:v>
      </x:c>
    </x:row>
    <x:row r="2070" spans="1:16">
      <x:c r="A2070" s="0" t="s">
        <x:v>8113</x:v>
      </x:c>
      <x:c r="B2070" s="0" t="s">
        <x:v>8114</x:v>
      </x:c>
      <x:c r="D2070" s="0" t="s">
        <x:v>8115</x:v>
      </x:c>
      <x:c r="E2070" s="0" t="s">
        <x:v>8116</x:v>
      </x:c>
      <x:c r="F2070" s="0" t="s">
        <x:v>26</x:v>
      </x:c>
      <x:c r="G2070" s="0" t="s">
        <x:v>22</x:v>
      </x:c>
      <x:c r="H2070" s="0" t="s">
        <x:v>20</x:v>
      </x:c>
      <x:c r="I2070" s="0" t="s">
        <x:v>21</x:v>
      </x:c>
      <x:c r="K2070" s="0">
        <x:f>hyperlink("https://icd.who.int/dev11/l-ichi/en#/http%3A%2F%2Fid.who.int%2Ficd%2Fentity%2F2033156307","browser")</x:f>
      </x:c>
      <x:c r="L2070" s="0">
        <x:f>hyperlink("https://icat2.azurewebsites.net/icat/?ontology=ICD&amp;tab=ClassesTab&amp;id=http%3A%2F%2Fwho.int%2Ficd%237455_512ebf36_bf6b_4d70_85da_cf2637062af4","iCat")</x:f>
      </x:c>
      <x:c r="M2070" s="0" t="s">
        <x:v>20</x:v>
      </x:c>
      <x:c r="N2070" s="0" t="s">
        <x:v>4366</x:v>
      </x:c>
    </x:row>
    <x:row r="2071" spans="1:16">
      <x:c r="A2071" s="0" t="s">
        <x:v>8117</x:v>
      </x:c>
      <x:c r="B2071" s="0" t="s">
        <x:v>8118</x:v>
      </x:c>
      <x:c r="C2071" s="0" t="s">
        <x:v>8119</x:v>
      </x:c>
      <x:c r="E2071" s="0" t="s">
        <x:v>8120</x:v>
      </x:c>
      <x:c r="F2071" s="0" t="s">
        <x:v>45</x:v>
      </x:c>
      <x:c r="G2071" s="0" t="s">
        <x:v>19</x:v>
      </x:c>
      <x:c r="H2071" s="0" t="s">
        <x:v>20</x:v>
      </x:c>
      <x:c r="I2071" s="0" t="s">
        <x:v>21</x:v>
      </x:c>
      <x:c r="K2071" s="0">
        <x:f>hyperlink("https://icd.who.int/dev11/l-ichi/en#/http%3A%2F%2Fid.who.int%2Ficd%2Fentity%2F1507259119","browser")</x:f>
      </x:c>
      <x:c r="L2071" s="0">
        <x:f>hyperlink("https://icat2.azurewebsites.net/icat/?ontology=ICD&amp;tab=ClassesTab&amp;id=http%3A%2F%2Fwho.int%2Ficd%237454_512ebf36_bf6b_4d70_85da_cf2637062af4","iCat")</x:f>
      </x:c>
      <x:c r="M2071" s="0" t="s">
        <x:v>21</x:v>
      </x:c>
      <x:c r="N2071" s="0" t="s">
        <x:v>46</x:v>
      </x:c>
    </x:row>
    <x:row r="2072" spans="1:16">
      <x:c r="A2072" s="0" t="s">
        <x:v>8121</x:v>
      </x:c>
      <x:c r="B2072" s="0" t="s">
        <x:v>8122</x:v>
      </x:c>
      <x:c r="C2072" s="0" t="s">
        <x:v>8123</x:v>
      </x:c>
      <x:c r="E2072" s="0" t="s">
        <x:v>8124</x:v>
      </x:c>
      <x:c r="F2072" s="0" t="s">
        <x:v>45</x:v>
      </x:c>
      <x:c r="G2072" s="0" t="s">
        <x:v>19</x:v>
      </x:c>
      <x:c r="H2072" s="0" t="s">
        <x:v>20</x:v>
      </x:c>
      <x:c r="I2072" s="0" t="s">
        <x:v>21</x:v>
      </x:c>
      <x:c r="K2072" s="0">
        <x:f>hyperlink("https://icd.who.int/dev11/l-ichi/en#/http%3A%2F%2Fid.who.int%2Ficd%2Fentity%2F1558371601","browser")</x:f>
      </x:c>
      <x:c r="L2072" s="0">
        <x:f>hyperlink("https://icat2.azurewebsites.net/icat/?ontology=ICD&amp;tab=ClassesTab&amp;id=http%3A%2F%2Fwho.int%2Ficd%237467_512ebf36_bf6b_4d70_85da_cf2637062af4","iCat")</x:f>
      </x:c>
      <x:c r="M2072" s="0" t="s">
        <x:v>21</x:v>
      </x:c>
      <x:c r="N2072" s="0" t="s">
        <x:v>46</x:v>
      </x:c>
    </x:row>
    <x:row r="2073" spans="1:16">
      <x:c r="A2073" s="0" t="s">
        <x:v>8125</x:v>
      </x:c>
      <x:c r="B2073" s="0" t="s">
        <x:v>8126</x:v>
      </x:c>
      <x:c r="C2073" s="0" t="s">
        <x:v>8127</x:v>
      </x:c>
      <x:c r="E2073" s="0" t="s">
        <x:v>8128</x:v>
      </x:c>
      <x:c r="F2073" s="0" t="s">
        <x:v>45</x:v>
      </x:c>
      <x:c r="G2073" s="0" t="s">
        <x:v>19</x:v>
      </x:c>
      <x:c r="H2073" s="0" t="s">
        <x:v>20</x:v>
      </x:c>
      <x:c r="I2073" s="0" t="s">
        <x:v>21</x:v>
      </x:c>
      <x:c r="K2073" s="0">
        <x:f>hyperlink("https://icd.who.int/dev11/l-ichi/en#/http%3A%2F%2Fid.who.int%2Ficd%2Fentity%2F1398494595","browser")</x:f>
      </x:c>
      <x:c r="L2073" s="0">
        <x:f>hyperlink("https://icat2.azurewebsites.net/icat/?ontology=ICD&amp;tab=ClassesTab&amp;id=http%3A%2F%2Fwho.int%2Ficd%237475_512ebf36_bf6b_4d70_85da_cf2637062af4","iCat")</x:f>
      </x:c>
      <x:c r="M2073" s="0" t="s">
        <x:v>21</x:v>
      </x:c>
      <x:c r="N2073" s="0" t="s">
        <x:v>46</x:v>
      </x:c>
    </x:row>
    <x:row r="2074" spans="1:16">
      <x:c r="A2074" s="0" t="s">
        <x:v>8129</x:v>
      </x:c>
      <x:c r="B2074" s="0" t="s">
        <x:v>8130</x:v>
      </x:c>
      <x:c r="C2074" s="0" t="s">
        <x:v>8131</x:v>
      </x:c>
      <x:c r="E2074" s="0" t="s">
        <x:v>8132</x:v>
      </x:c>
      <x:c r="F2074" s="0" t="s">
        <x:v>45</x:v>
      </x:c>
      <x:c r="G2074" s="0" t="s">
        <x:v>19</x:v>
      </x:c>
      <x:c r="H2074" s="0" t="s">
        <x:v>20</x:v>
      </x:c>
      <x:c r="I2074" s="0" t="s">
        <x:v>21</x:v>
      </x:c>
      <x:c r="K2074" s="0">
        <x:f>hyperlink("https://icd.who.int/dev11/l-ichi/en#/http%3A%2F%2Fid.who.int%2Ficd%2Fentity%2F751290094","browser")</x:f>
      </x:c>
      <x:c r="L2074" s="0">
        <x:f>hyperlink("https://icat2.azurewebsites.net/icat/?ontology=ICD&amp;tab=ClassesTab&amp;id=http%3A%2F%2Fwho.int%2Ficd%237483_512ebf36_bf6b_4d70_85da_cf2637062af4","iCat")</x:f>
      </x:c>
      <x:c r="M2074" s="0" t="s">
        <x:v>21</x:v>
      </x:c>
      <x:c r="N2074" s="0" t="s">
        <x:v>46</x:v>
      </x:c>
    </x:row>
    <x:row r="2075" spans="1:16">
      <x:c r="A2075" s="0" t="s">
        <x:v>8133</x:v>
      </x:c>
      <x:c r="B2075" s="0" t="s">
        <x:v>8134</x:v>
      </x:c>
      <x:c r="C2075" s="0" t="s">
        <x:v>8135</x:v>
      </x:c>
      <x:c r="E2075" s="0" t="s">
        <x:v>8136</x:v>
      </x:c>
      <x:c r="F2075" s="0" t="s">
        <x:v>45</x:v>
      </x:c>
      <x:c r="G2075" s="0" t="s">
        <x:v>19</x:v>
      </x:c>
      <x:c r="H2075" s="0" t="s">
        <x:v>20</x:v>
      </x:c>
      <x:c r="I2075" s="0" t="s">
        <x:v>21</x:v>
      </x:c>
      <x:c r="K2075" s="0">
        <x:f>hyperlink("https://icd.who.int/dev11/l-ichi/en#/http%3A%2F%2Fid.who.int%2Ficd%2Fentity%2F121285246","browser")</x:f>
      </x:c>
      <x:c r="L2075" s="0">
        <x:f>hyperlink("https://icat2.azurewebsites.net/icat/?ontology=ICD&amp;tab=ClassesTab&amp;id=http%3A%2F%2Fwho.int%2Ficd%237489_512ebf36_bf6b_4d70_85da_cf2637062af4","iCat")</x:f>
      </x:c>
      <x:c r="M2075" s="0" t="s">
        <x:v>21</x:v>
      </x:c>
      <x:c r="N2075" s="0" t="s">
        <x:v>46</x:v>
      </x:c>
    </x:row>
    <x:row r="2076" spans="1:16">
      <x:c r="A2076" s="0" t="s">
        <x:v>8137</x:v>
      </x:c>
      <x:c r="B2076" s="0" t="s">
        <x:v>8138</x:v>
      </x:c>
      <x:c r="C2076" s="0" t="s">
        <x:v>8139</x:v>
      </x:c>
      <x:c r="E2076" s="0" t="s">
        <x:v>8140</x:v>
      </x:c>
      <x:c r="F2076" s="0" t="s">
        <x:v>45</x:v>
      </x:c>
      <x:c r="G2076" s="0" t="s">
        <x:v>19</x:v>
      </x:c>
      <x:c r="H2076" s="0" t="s">
        <x:v>20</x:v>
      </x:c>
      <x:c r="I2076" s="0" t="s">
        <x:v>21</x:v>
      </x:c>
      <x:c r="K2076" s="0">
        <x:f>hyperlink("https://icd.who.int/dev11/l-ichi/en#/http%3A%2F%2Fid.who.int%2Ficd%2Fentity%2F961269799","browser")</x:f>
      </x:c>
      <x:c r="L2076" s="0">
        <x:f>hyperlink("https://icat2.azurewebsites.net/icat/?ontology=ICD&amp;tab=ClassesTab&amp;id=http%3A%2F%2Fwho.int%2Ficd%2315498_4869915e_217e_423d_acb3_33c0f920ef4b","iCat")</x:f>
      </x:c>
      <x:c r="M2076" s="0" t="s">
        <x:v>21</x:v>
      </x:c>
      <x:c r="N2076" s="0" t="s">
        <x:v>46</x:v>
      </x:c>
    </x:row>
    <x:row r="2077" spans="1:16">
      <x:c r="A2077" s="0" t="s">
        <x:v>8141</x:v>
      </x:c>
      <x:c r="B2077" s="0" t="s">
        <x:v>8142</x:v>
      </x:c>
      <x:c r="C2077" s="0" t="s">
        <x:v>8143</x:v>
      </x:c>
      <x:c r="E2077" s="0" t="s">
        <x:v>8144</x:v>
      </x:c>
      <x:c r="F2077" s="0" t="s">
        <x:v>45</x:v>
      </x:c>
      <x:c r="G2077" s="0" t="s">
        <x:v>19</x:v>
      </x:c>
      <x:c r="H2077" s="0" t="s">
        <x:v>20</x:v>
      </x:c>
      <x:c r="I2077" s="0" t="s">
        <x:v>21</x:v>
      </x:c>
      <x:c r="K2077" s="0">
        <x:f>hyperlink("https://icd.who.int/dev11/l-ichi/en#/http%3A%2F%2Fid.who.int%2Ficd%2Fentity%2F1292258583","browser")</x:f>
      </x:c>
      <x:c r="L2077" s="0">
        <x:f>hyperlink("https://icat2.azurewebsites.net/icat/?ontology=ICD&amp;tab=ClassesTab&amp;id=http%3A%2F%2Fwho.int%2Ficd%237498_512ebf36_bf6b_4d70_85da_cf2637062af4","iCat")</x:f>
      </x:c>
      <x:c r="M2077" s="0" t="s">
        <x:v>21</x:v>
      </x:c>
      <x:c r="N2077" s="0" t="s">
        <x:v>46</x:v>
      </x:c>
    </x:row>
    <x:row r="2078" spans="1:16">
      <x:c r="A2078" s="0" t="s">
        <x:v>8145</x:v>
      </x:c>
      <x:c r="B2078" s="0" t="s">
        <x:v>8146</x:v>
      </x:c>
      <x:c r="C2078" s="0" t="s">
        <x:v>8147</x:v>
      </x:c>
      <x:c r="E2078" s="0" t="s">
        <x:v>8148</x:v>
      </x:c>
      <x:c r="F2078" s="0" t="s">
        <x:v>45</x:v>
      </x:c>
      <x:c r="G2078" s="0" t="s">
        <x:v>19</x:v>
      </x:c>
      <x:c r="H2078" s="0" t="s">
        <x:v>20</x:v>
      </x:c>
      <x:c r="I2078" s="0" t="s">
        <x:v>21</x:v>
      </x:c>
      <x:c r="K2078" s="0">
        <x:f>hyperlink("https://icd.who.int/dev11/l-ichi/en#/http%3A%2F%2Fid.who.int%2Ficd%2Fentity%2F1936629185","browser")</x:f>
      </x:c>
      <x:c r="L2078" s="0">
        <x:f>hyperlink("https://icat2.azurewebsites.net/icat/?ontology=ICD&amp;tab=ClassesTab&amp;id=http%3A%2F%2Fwho.int%2Ficd%237507_512ebf36_bf6b_4d70_85da_cf2637062af4","iCat")</x:f>
      </x:c>
      <x:c r="M2078" s="0" t="s">
        <x:v>21</x:v>
      </x:c>
      <x:c r="N2078" s="0" t="s">
        <x:v>46</x:v>
      </x:c>
    </x:row>
    <x:row r="2079" spans="1:16">
      <x:c r="A2079" s="0" t="s">
        <x:v>8149</x:v>
      </x:c>
      <x:c r="B2079" s="0" t="s">
        <x:v>8150</x:v>
      </x:c>
      <x:c r="C2079" s="0" t="s">
        <x:v>8151</x:v>
      </x:c>
      <x:c r="E2079" s="0" t="s">
        <x:v>8152</x:v>
      </x:c>
      <x:c r="F2079" s="0" t="s">
        <x:v>45</x:v>
      </x:c>
      <x:c r="G2079" s="0" t="s">
        <x:v>19</x:v>
      </x:c>
      <x:c r="H2079" s="0" t="s">
        <x:v>20</x:v>
      </x:c>
      <x:c r="I2079" s="0" t="s">
        <x:v>21</x:v>
      </x:c>
      <x:c r="K2079" s="0">
        <x:f>hyperlink("https://icd.who.int/dev11/l-ichi/en#/http%3A%2F%2Fid.who.int%2Ficd%2Fentity%2F1546545007","browser")</x:f>
      </x:c>
      <x:c r="L2079" s="0">
        <x:f>hyperlink("https://icat2.azurewebsites.net/icat/?ontology=ICD&amp;tab=ClassesTab&amp;id=http%3A%2F%2Fwho.int%2Ficd%237514_512ebf36_bf6b_4d70_85da_cf2637062af4","iCat")</x:f>
      </x:c>
      <x:c r="M2079" s="0" t="s">
        <x:v>21</x:v>
      </x:c>
      <x:c r="N2079" s="0" t="s">
        <x:v>46</x:v>
      </x:c>
    </x:row>
    <x:row r="2080" spans="1:16">
      <x:c r="A2080" s="0" t="s">
        <x:v>8153</x:v>
      </x:c>
      <x:c r="B2080" s="0" t="s">
        <x:v>8154</x:v>
      </x:c>
      <x:c r="C2080" s="0" t="s">
        <x:v>8155</x:v>
      </x:c>
      <x:c r="E2080" s="0" t="s">
        <x:v>8156</x:v>
      </x:c>
      <x:c r="F2080" s="0" t="s">
        <x:v>45</x:v>
      </x:c>
      <x:c r="G2080" s="0" t="s">
        <x:v>19</x:v>
      </x:c>
      <x:c r="H2080" s="0" t="s">
        <x:v>20</x:v>
      </x:c>
      <x:c r="I2080" s="0" t="s">
        <x:v>21</x:v>
      </x:c>
      <x:c r="K2080" s="0">
        <x:f>hyperlink("https://icd.who.int/dev11/l-ichi/en#/http%3A%2F%2Fid.who.int%2Ficd%2Fentity%2F480192362","browser")</x:f>
      </x:c>
      <x:c r="L2080" s="0">
        <x:f>hyperlink("https://icat2.azurewebsites.net/icat/?ontology=ICD&amp;tab=ClassesTab&amp;id=http%3A%2F%2Fwho.int%2Ficd%237524_512ebf36_bf6b_4d70_85da_cf2637062af4","iCat")</x:f>
      </x:c>
      <x:c r="M2080" s="0" t="s">
        <x:v>21</x:v>
      </x:c>
      <x:c r="N2080" s="0" t="s">
        <x:v>46</x:v>
      </x:c>
    </x:row>
    <x:row r="2081" spans="1:16">
      <x:c r="A2081" s="0" t="s">
        <x:v>8157</x:v>
      </x:c>
      <x:c r="B2081" s="0" t="s">
        <x:v>8158</x:v>
      </x:c>
      <x:c r="C2081" s="0" t="s">
        <x:v>8159</x:v>
      </x:c>
      <x:c r="E2081" s="0" t="s">
        <x:v>8160</x:v>
      </x:c>
      <x:c r="F2081" s="0" t="s">
        <x:v>45</x:v>
      </x:c>
      <x:c r="G2081" s="0" t="s">
        <x:v>19</x:v>
      </x:c>
      <x:c r="H2081" s="0" t="s">
        <x:v>20</x:v>
      </x:c>
      <x:c r="I2081" s="0" t="s">
        <x:v>21</x:v>
      </x:c>
      <x:c r="K2081" s="0">
        <x:f>hyperlink("https://icd.who.int/dev11/l-ichi/en#/http%3A%2F%2Fid.who.int%2Ficd%2Fentity%2F639724430","browser")</x:f>
      </x:c>
      <x:c r="L2081" s="0">
        <x:f>hyperlink("https://icat2.azurewebsites.net/icat/?ontology=ICD&amp;tab=ClassesTab&amp;id=http%3A%2F%2Fwho.int%2Ficd%237532_512ebf36_bf6b_4d70_85da_cf2637062af4","iCat")</x:f>
      </x:c>
      <x:c r="M2081" s="0" t="s">
        <x:v>21</x:v>
      </x:c>
      <x:c r="N2081" s="0" t="s">
        <x:v>46</x:v>
      </x:c>
    </x:row>
    <x:row r="2082" spans="1:16">
      <x:c r="A2082" s="0" t="s">
        <x:v>8161</x:v>
      </x:c>
      <x:c r="B2082" s="0" t="s">
        <x:v>8162</x:v>
      </x:c>
      <x:c r="C2082" s="0" t="s">
        <x:v>8163</x:v>
      </x:c>
      <x:c r="E2082" s="0" t="s">
        <x:v>8164</x:v>
      </x:c>
      <x:c r="F2082" s="0" t="s">
        <x:v>45</x:v>
      </x:c>
      <x:c r="G2082" s="0" t="s">
        <x:v>19</x:v>
      </x:c>
      <x:c r="H2082" s="0" t="s">
        <x:v>20</x:v>
      </x:c>
      <x:c r="I2082" s="0" t="s">
        <x:v>21</x:v>
      </x:c>
      <x:c r="K2082" s="0">
        <x:f>hyperlink("https://icd.who.int/dev11/l-ichi/en#/http%3A%2F%2Fid.who.int%2Ficd%2Fentity%2F1938515281","browser")</x:f>
      </x:c>
      <x:c r="L2082" s="0">
        <x:f>hyperlink("https://icat2.azurewebsites.net/icat/?ontology=ICD&amp;tab=ClassesTab&amp;id=http%3A%2F%2Fwho.int%2Ficd%237540_512ebf36_bf6b_4d70_85da_cf2637062af4","iCat")</x:f>
      </x:c>
      <x:c r="M2082" s="0" t="s">
        <x:v>21</x:v>
      </x:c>
      <x:c r="N2082" s="0" t="s">
        <x:v>46</x:v>
      </x:c>
    </x:row>
    <x:row r="2083" spans="1:16">
      <x:c r="A2083" s="0" t="s">
        <x:v>8165</x:v>
      </x:c>
      <x:c r="B2083" s="0" t="s">
        <x:v>8166</x:v>
      </x:c>
      <x:c r="C2083" s="0" t="s">
        <x:v>8167</x:v>
      </x:c>
      <x:c r="E2083" s="0" t="s">
        <x:v>8168</x:v>
      </x:c>
      <x:c r="F2083" s="0" t="s">
        <x:v>45</x:v>
      </x:c>
      <x:c r="G2083" s="0" t="s">
        <x:v>19</x:v>
      </x:c>
      <x:c r="H2083" s="0" t="s">
        <x:v>20</x:v>
      </x:c>
      <x:c r="I2083" s="0" t="s">
        <x:v>21</x:v>
      </x:c>
      <x:c r="K2083" s="0">
        <x:f>hyperlink("https://icd.who.int/dev11/l-ichi/en#/http%3A%2F%2Fid.who.int%2Ficd%2Fentity%2F1024070662","browser")</x:f>
      </x:c>
      <x:c r="L2083" s="0">
        <x:f>hyperlink("https://icat2.azurewebsites.net/icat/?ontology=ICD&amp;tab=ClassesTab&amp;id=http%3A%2F%2Fwho.int%2Ficd%237548_512ebf36_bf6b_4d70_85da_cf2637062af4","iCat")</x:f>
      </x:c>
      <x:c r="M2083" s="0" t="s">
        <x:v>21</x:v>
      </x:c>
      <x:c r="N2083" s="0" t="s">
        <x:v>46</x:v>
      </x:c>
    </x:row>
    <x:row r="2084" spans="1:16">
      <x:c r="A2084" s="0" t="s">
        <x:v>8169</x:v>
      </x:c>
      <x:c r="B2084" s="0" t="s">
        <x:v>8170</x:v>
      </x:c>
      <x:c r="C2084" s="0" t="s">
        <x:v>8171</x:v>
      </x:c>
      <x:c r="E2084" s="0" t="s">
        <x:v>8172</x:v>
      </x:c>
      <x:c r="F2084" s="0" t="s">
        <x:v>45</x:v>
      </x:c>
      <x:c r="G2084" s="0" t="s">
        <x:v>19</x:v>
      </x:c>
      <x:c r="H2084" s="0" t="s">
        <x:v>20</x:v>
      </x:c>
      <x:c r="I2084" s="0" t="s">
        <x:v>21</x:v>
      </x:c>
      <x:c r="K2084" s="0">
        <x:f>hyperlink("https://icd.who.int/dev11/l-ichi/en#/http%3A%2F%2Fid.who.int%2Ficd%2Fentity%2F212878928","browser")</x:f>
      </x:c>
      <x:c r="L2084" s="0">
        <x:f>hyperlink("https://icat2.azurewebsites.net/icat/?ontology=ICD&amp;tab=ClassesTab&amp;id=http%3A%2F%2Fwho.int%2Ficd%237555_512ebf36_bf6b_4d70_85da_cf2637062af4","iCat")</x:f>
      </x:c>
      <x:c r="M2084" s="0" t="s">
        <x:v>21</x:v>
      </x:c>
      <x:c r="N2084" s="0" t="s">
        <x:v>46</x:v>
      </x:c>
    </x:row>
    <x:row r="2085" spans="1:16">
      <x:c r="A2085" s="0" t="s">
        <x:v>8173</x:v>
      </x:c>
      <x:c r="B2085" s="0" t="s">
        <x:v>8174</x:v>
      </x:c>
      <x:c r="C2085" s="0" t="s">
        <x:v>8175</x:v>
      </x:c>
      <x:c r="E2085" s="0" t="s">
        <x:v>8176</x:v>
      </x:c>
      <x:c r="F2085" s="0" t="s">
        <x:v>45</x:v>
      </x:c>
      <x:c r="G2085" s="0" t="s">
        <x:v>19</x:v>
      </x:c>
      <x:c r="H2085" s="0" t="s">
        <x:v>20</x:v>
      </x:c>
      <x:c r="I2085" s="0" t="s">
        <x:v>21</x:v>
      </x:c>
      <x:c r="K2085" s="0">
        <x:f>hyperlink("https://icd.who.int/dev11/l-ichi/en#/http%3A%2F%2Fid.who.int%2Ficd%2Fentity%2F1015262660","browser")</x:f>
      </x:c>
      <x:c r="L2085" s="0">
        <x:f>hyperlink("https://icat2.azurewebsites.net/icat/?ontology=ICD&amp;tab=ClassesTab&amp;id=http%3A%2F%2Fwho.int%2Ficd%237562_512ebf36_bf6b_4d70_85da_cf2637062af4","iCat")</x:f>
      </x:c>
      <x:c r="M2085" s="0" t="s">
        <x:v>21</x:v>
      </x:c>
      <x:c r="N2085" s="0" t="s">
        <x:v>46</x:v>
      </x:c>
    </x:row>
    <x:row r="2086" spans="1:16">
      <x:c r="A2086" s="0" t="s">
        <x:v>8177</x:v>
      </x:c>
      <x:c r="B2086" s="0" t="s">
        <x:v>8178</x:v>
      </x:c>
      <x:c r="C2086" s="0" t="s">
        <x:v>8179</x:v>
      </x:c>
      <x:c r="E2086" s="0" t="s">
        <x:v>8180</x:v>
      </x:c>
      <x:c r="F2086" s="0" t="s">
        <x:v>45</x:v>
      </x:c>
      <x:c r="G2086" s="0" t="s">
        <x:v>19</x:v>
      </x:c>
      <x:c r="H2086" s="0" t="s">
        <x:v>20</x:v>
      </x:c>
      <x:c r="I2086" s="0" t="s">
        <x:v>21</x:v>
      </x:c>
      <x:c r="K2086" s="0">
        <x:f>hyperlink("https://icd.who.int/dev11/l-ichi/en#/http%3A%2F%2Fid.who.int%2Ficd%2Fentity%2F859448662","browser")</x:f>
      </x:c>
      <x:c r="L2086" s="0">
        <x:f>hyperlink("https://icat2.azurewebsites.net/icat/?ontology=ICD&amp;tab=ClassesTab&amp;id=http%3A%2F%2Fwho.int%2Ficd%237570_512ebf36_bf6b_4d70_85da_cf2637062af4","iCat")</x:f>
      </x:c>
      <x:c r="M2086" s="0" t="s">
        <x:v>21</x:v>
      </x:c>
      <x:c r="N2086" s="0" t="s">
        <x:v>46</x:v>
      </x:c>
    </x:row>
    <x:row r="2087" spans="1:16">
      <x:c r="A2087" s="0" t="s">
        <x:v>8181</x:v>
      </x:c>
      <x:c r="B2087" s="0" t="s">
        <x:v>8182</x:v>
      </x:c>
      <x:c r="C2087" s="0" t="s">
        <x:v>8183</x:v>
      </x:c>
      <x:c r="E2087" s="0" t="s">
        <x:v>8184</x:v>
      </x:c>
      <x:c r="F2087" s="0" t="s">
        <x:v>45</x:v>
      </x:c>
      <x:c r="G2087" s="0" t="s">
        <x:v>19</x:v>
      </x:c>
      <x:c r="H2087" s="0" t="s">
        <x:v>20</x:v>
      </x:c>
      <x:c r="I2087" s="0" t="s">
        <x:v>21</x:v>
      </x:c>
      <x:c r="K2087" s="0">
        <x:f>hyperlink("https://icd.who.int/dev11/l-ichi/en#/http%3A%2F%2Fid.who.int%2Ficd%2Fentity%2F1665268967","browser")</x:f>
      </x:c>
      <x:c r="L2087" s="0">
        <x:f>hyperlink("https://icat2.azurewebsites.net/icat/?ontology=ICD&amp;tab=ClassesTab&amp;id=http%3A%2F%2Fwho.int%2Ficd%237576_512ebf36_bf6b_4d70_85da_cf2637062af4","iCat")</x:f>
      </x:c>
      <x:c r="M2087" s="0" t="s">
        <x:v>21</x:v>
      </x:c>
      <x:c r="N2087" s="0" t="s">
        <x:v>46</x:v>
      </x:c>
    </x:row>
    <x:row r="2088" spans="1:16">
      <x:c r="A2088" s="0" t="s">
        <x:v>8185</x:v>
      </x:c>
      <x:c r="B2088" s="0" t="s">
        <x:v>8186</x:v>
      </x:c>
      <x:c r="C2088" s="0" t="s">
        <x:v>8187</x:v>
      </x:c>
      <x:c r="E2088" s="0" t="s">
        <x:v>8188</x:v>
      </x:c>
      <x:c r="F2088" s="0" t="s">
        <x:v>45</x:v>
      </x:c>
      <x:c r="G2088" s="0" t="s">
        <x:v>19</x:v>
      </x:c>
      <x:c r="H2088" s="0" t="s">
        <x:v>20</x:v>
      </x:c>
      <x:c r="I2088" s="0" t="s">
        <x:v>21</x:v>
      </x:c>
      <x:c r="K2088" s="0">
        <x:f>hyperlink("https://icd.who.int/dev11/l-ichi/en#/http%3A%2F%2Fid.who.int%2Ficd%2Fentity%2F1457621219","browser")</x:f>
      </x:c>
      <x:c r="L2088" s="0">
        <x:f>hyperlink("https://icat2.azurewebsites.net/icat/?ontology=ICD&amp;tab=ClassesTab&amp;id=http%3A%2F%2Fwho.int%2Ficd%237591_512ebf36_bf6b_4d70_85da_cf2637062af4","iCat")</x:f>
      </x:c>
      <x:c r="M2088" s="0" t="s">
        <x:v>21</x:v>
      </x:c>
      <x:c r="N2088" s="0" t="s">
        <x:v>46</x:v>
      </x:c>
    </x:row>
    <x:row r="2089" spans="1:16">
      <x:c r="A2089" s="0" t="s">
        <x:v>8189</x:v>
      </x:c>
      <x:c r="B2089" s="0" t="s">
        <x:v>8190</x:v>
      </x:c>
      <x:c r="C2089" s="0" t="s">
        <x:v>8191</x:v>
      </x:c>
      <x:c r="E2089" s="0" t="s">
        <x:v>8192</x:v>
      </x:c>
      <x:c r="F2089" s="0" t="s">
        <x:v>45</x:v>
      </x:c>
      <x:c r="G2089" s="0" t="s">
        <x:v>19</x:v>
      </x:c>
      <x:c r="H2089" s="0" t="s">
        <x:v>20</x:v>
      </x:c>
      <x:c r="I2089" s="0" t="s">
        <x:v>21</x:v>
      </x:c>
      <x:c r="K2089" s="0">
        <x:f>hyperlink("https://icd.who.int/dev11/l-ichi/en#/http%3A%2F%2Fid.who.int%2Ficd%2Fentity%2F1614245514","browser")</x:f>
      </x:c>
      <x:c r="L2089" s="0">
        <x:f>hyperlink("https://icat2.azurewebsites.net/icat/?ontology=ICD&amp;tab=ClassesTab&amp;id=http%3A%2F%2Fwho.int%2Ficd%232131_d3ce4973_3502_42af_aa78_1041bc5626cd","iCat")</x:f>
      </x:c>
      <x:c r="M2089" s="0" t="s">
        <x:v>21</x:v>
      </x:c>
      <x:c r="N2089" s="0" t="s">
        <x:v>46</x:v>
      </x:c>
    </x:row>
    <x:row r="2090" spans="1:16">
      <x:c r="A2090" s="0" t="s">
        <x:v>8193</x:v>
      </x:c>
      <x:c r="B2090" s="0" t="s">
        <x:v>8194</x:v>
      </x:c>
      <x:c r="C2090" s="0" t="s">
        <x:v>8195</x:v>
      </x:c>
      <x:c r="E2090" s="0" t="s">
        <x:v>8196</x:v>
      </x:c>
      <x:c r="F2090" s="0" t="s">
        <x:v>45</x:v>
      </x:c>
      <x:c r="G2090" s="0" t="s">
        <x:v>19</x:v>
      </x:c>
      <x:c r="H2090" s="0" t="s">
        <x:v>20</x:v>
      </x:c>
      <x:c r="I2090" s="0" t="s">
        <x:v>21</x:v>
      </x:c>
      <x:c r="K2090" s="0">
        <x:f>hyperlink("https://icd.who.int/dev11/l-ichi/en#/http%3A%2F%2Fid.who.int%2Ficd%2Fentity%2F1112207401","browser")</x:f>
      </x:c>
      <x:c r="L2090" s="0">
        <x:f>hyperlink("https://icat2.azurewebsites.net/icat/?ontology=ICD&amp;tab=ClassesTab&amp;id=http%3A%2F%2Fwho.int%2Ficd%237601_512ebf36_bf6b_4d70_85da_cf2637062af4","iCat")</x:f>
      </x:c>
      <x:c r="M2090" s="0" t="s">
        <x:v>21</x:v>
      </x:c>
      <x:c r="N2090" s="0" t="s">
        <x:v>46</x:v>
      </x:c>
    </x:row>
    <x:row r="2091" spans="1:16">
      <x:c r="A2091" s="0" t="s">
        <x:v>8197</x:v>
      </x:c>
      <x:c r="B2091" s="0" t="s">
        <x:v>8198</x:v>
      </x:c>
      <x:c r="C2091" s="0" t="s">
        <x:v>8199</x:v>
      </x:c>
      <x:c r="E2091" s="0" t="s">
        <x:v>8200</x:v>
      </x:c>
      <x:c r="F2091" s="0" t="s">
        <x:v>45</x:v>
      </x:c>
      <x:c r="G2091" s="0" t="s">
        <x:v>19</x:v>
      </x:c>
      <x:c r="H2091" s="0" t="s">
        <x:v>20</x:v>
      </x:c>
      <x:c r="I2091" s="0" t="s">
        <x:v>21</x:v>
      </x:c>
      <x:c r="K2091" s="0">
        <x:f>hyperlink("https://icd.who.int/dev11/l-ichi/en#/http%3A%2F%2Fid.who.int%2Ficd%2Fentity%2F1030869816","browser")</x:f>
      </x:c>
      <x:c r="L2091" s="0">
        <x:f>hyperlink("https://icat2.azurewebsites.net/icat/?ontology=ICD&amp;tab=ClassesTab&amp;id=http%3A%2F%2Fwho.int%2Ficd%237614_512ebf36_bf6b_4d70_85da_cf2637062af4","iCat")</x:f>
      </x:c>
      <x:c r="M2091" s="0" t="s">
        <x:v>21</x:v>
      </x:c>
      <x:c r="N2091" s="0" t="s">
        <x:v>46</x:v>
      </x:c>
    </x:row>
    <x:row r="2092" spans="1:16">
      <x:c r="A2092" s="0" t="s">
        <x:v>8201</x:v>
      </x:c>
      <x:c r="B2092" s="0" t="s">
        <x:v>8202</x:v>
      </x:c>
      <x:c r="C2092" s="0" t="s">
        <x:v>8203</x:v>
      </x:c>
      <x:c r="E2092" s="0" t="s">
        <x:v>8204</x:v>
      </x:c>
      <x:c r="F2092" s="0" t="s">
        <x:v>45</x:v>
      </x:c>
      <x:c r="G2092" s="0" t="s">
        <x:v>19</x:v>
      </x:c>
      <x:c r="H2092" s="0" t="s">
        <x:v>20</x:v>
      </x:c>
      <x:c r="I2092" s="0" t="s">
        <x:v>21</x:v>
      </x:c>
      <x:c r="K2092" s="0">
        <x:f>hyperlink("https://icd.who.int/dev11/l-ichi/en#/http%3A%2F%2Fid.who.int%2Ficd%2Fentity%2F810334009","browser")</x:f>
      </x:c>
      <x:c r="L2092" s="0">
        <x:f>hyperlink("https://icat2.azurewebsites.net/icat/?ontology=ICD&amp;tab=ClassesTab&amp;id=http%3A%2F%2Fwho.int%2Ficd%232137_d3ce4973_3502_42af_aa78_1041bc5626cd","iCat")</x:f>
      </x:c>
      <x:c r="M2092" s="0" t="s">
        <x:v>21</x:v>
      </x:c>
      <x:c r="N2092" s="0" t="s">
        <x:v>46</x:v>
      </x:c>
    </x:row>
    <x:row r="2093" spans="1:16">
      <x:c r="A2093" s="0" t="s">
        <x:v>8205</x:v>
      </x:c>
      <x:c r="B2093" s="0" t="s">
        <x:v>8206</x:v>
      </x:c>
      <x:c r="C2093" s="0" t="s">
        <x:v>8207</x:v>
      </x:c>
      <x:c r="E2093" s="0" t="s">
        <x:v>8208</x:v>
      </x:c>
      <x:c r="F2093" s="0" t="s">
        <x:v>45</x:v>
      </x:c>
      <x:c r="G2093" s="0" t="s">
        <x:v>19</x:v>
      </x:c>
      <x:c r="H2093" s="0" t="s">
        <x:v>20</x:v>
      </x:c>
      <x:c r="I2093" s="0" t="s">
        <x:v>21</x:v>
      </x:c>
      <x:c r="K2093" s="0">
        <x:f>hyperlink("https://icd.who.int/dev11/l-ichi/en#/http%3A%2F%2Fid.who.int%2Ficd%2Fentity%2F939291740","browser")</x:f>
      </x:c>
      <x:c r="L2093" s="0">
        <x:f>hyperlink("https://icat2.azurewebsites.net/icat/?ontology=ICD&amp;tab=ClassesTab&amp;id=http%3A%2F%2Fwho.int%2Ficd%237635_512ebf36_bf6b_4d70_85da_cf2637062af4","iCat")</x:f>
      </x:c>
      <x:c r="M2093" s="0" t="s">
        <x:v>21</x:v>
      </x:c>
      <x:c r="N2093" s="0" t="s">
        <x:v>46</x:v>
      </x:c>
    </x:row>
    <x:row r="2094" spans="1:16">
      <x:c r="A2094" s="0" t="s">
        <x:v>8209</x:v>
      </x:c>
      <x:c r="B2094" s="0" t="s">
        <x:v>8210</x:v>
      </x:c>
      <x:c r="C2094" s="0" t="s">
        <x:v>8211</x:v>
      </x:c>
      <x:c r="E2094" s="0" t="s">
        <x:v>8212</x:v>
      </x:c>
      <x:c r="F2094" s="0" t="s">
        <x:v>45</x:v>
      </x:c>
      <x:c r="G2094" s="0" t="s">
        <x:v>19</x:v>
      </x:c>
      <x:c r="H2094" s="0" t="s">
        <x:v>20</x:v>
      </x:c>
      <x:c r="I2094" s="0" t="s">
        <x:v>21</x:v>
      </x:c>
      <x:c r="K2094" s="0">
        <x:f>hyperlink("https://icd.who.int/dev11/l-ichi/en#/http%3A%2F%2Fid.who.int%2Ficd%2Fentity%2F944110794","browser")</x:f>
      </x:c>
      <x:c r="L2094" s="0">
        <x:f>hyperlink("https://icat2.azurewebsites.net/icat/?ontology=ICD&amp;tab=ClassesTab&amp;id=http%3A%2F%2Fwho.int%2Ficd%237627_512ebf36_bf6b_4d70_85da_cf2637062af4","iCat")</x:f>
      </x:c>
      <x:c r="M2094" s="0" t="s">
        <x:v>21</x:v>
      </x:c>
      <x:c r="N2094" s="0" t="s">
        <x:v>46</x:v>
      </x:c>
    </x:row>
    <x:row r="2095" spans="1:16">
      <x:c r="A2095" s="0" t="s">
        <x:v>8213</x:v>
      </x:c>
      <x:c r="B2095" s="0" t="s">
        <x:v>8214</x:v>
      </x:c>
      <x:c r="C2095" s="0" t="s">
        <x:v>8215</x:v>
      </x:c>
      <x:c r="E2095" s="0" t="s">
        <x:v>8216</x:v>
      </x:c>
      <x:c r="F2095" s="0" t="s">
        <x:v>45</x:v>
      </x:c>
      <x:c r="G2095" s="0" t="s">
        <x:v>19</x:v>
      </x:c>
      <x:c r="H2095" s="0" t="s">
        <x:v>20</x:v>
      </x:c>
      <x:c r="I2095" s="0" t="s">
        <x:v>21</x:v>
      </x:c>
      <x:c r="K2095" s="0">
        <x:f>hyperlink("https://icd.who.int/dev11/l-ichi/en#/http%3A%2F%2Fid.who.int%2Ficd%2Fentity%2F2007551181","browser")</x:f>
      </x:c>
      <x:c r="L2095" s="0">
        <x:f>hyperlink("https://icat2.azurewebsites.net/icat/?ontology=ICD&amp;tab=ClassesTab&amp;id=http%3A%2F%2Fwho.int%2Ficd%237642_512ebf36_bf6b_4d70_85da_cf2637062af4","iCat")</x:f>
      </x:c>
      <x:c r="M2095" s="0" t="s">
        <x:v>21</x:v>
      </x:c>
      <x:c r="N2095" s="0" t="s">
        <x:v>46</x:v>
      </x:c>
    </x:row>
    <x:row r="2096" spans="1:16">
      <x:c r="A2096" s="0" t="s">
        <x:v>8217</x:v>
      </x:c>
      <x:c r="B2096" s="0" t="s">
        <x:v>8218</x:v>
      </x:c>
      <x:c r="C2096" s="0" t="s">
        <x:v>8219</x:v>
      </x:c>
      <x:c r="E2096" s="0" t="s">
        <x:v>8220</x:v>
      </x:c>
      <x:c r="F2096" s="0" t="s">
        <x:v>45</x:v>
      </x:c>
      <x:c r="G2096" s="0" t="s">
        <x:v>19</x:v>
      </x:c>
      <x:c r="H2096" s="0" t="s">
        <x:v>20</x:v>
      </x:c>
      <x:c r="I2096" s="0" t="s">
        <x:v>21</x:v>
      </x:c>
      <x:c r="K2096" s="0">
        <x:f>hyperlink("https://icd.who.int/dev11/l-ichi/en#/http%3A%2F%2Fid.who.int%2Ficd%2Fentity%2F1549115485","browser")</x:f>
      </x:c>
      <x:c r="L2096" s="0">
        <x:f>hyperlink("https://icat2.azurewebsites.net/icat/?ontology=ICD&amp;tab=ClassesTab&amp;id=http%3A%2F%2Fwho.int%2Ficd%237648_512ebf36_bf6b_4d70_85da_cf2637062af4","iCat")</x:f>
      </x:c>
      <x:c r="M2096" s="0" t="s">
        <x:v>21</x:v>
      </x:c>
      <x:c r="N2096" s="0" t="s">
        <x:v>46</x:v>
      </x:c>
    </x:row>
    <x:row r="2097" spans="1:16">
      <x:c r="A2097" s="0" t="s">
        <x:v>8221</x:v>
      </x:c>
      <x:c r="B2097" s="0" t="s">
        <x:v>8222</x:v>
      </x:c>
      <x:c r="C2097" s="0" t="s">
        <x:v>8223</x:v>
      </x:c>
      <x:c r="E2097" s="0" t="s">
        <x:v>8224</x:v>
      </x:c>
      <x:c r="F2097" s="0" t="s">
        <x:v>45</x:v>
      </x:c>
      <x:c r="G2097" s="0" t="s">
        <x:v>19</x:v>
      </x:c>
      <x:c r="H2097" s="0" t="s">
        <x:v>20</x:v>
      </x:c>
      <x:c r="I2097" s="0" t="s">
        <x:v>21</x:v>
      </x:c>
      <x:c r="K2097" s="0">
        <x:f>hyperlink("https://icd.who.int/dev11/l-ichi/en#/http%3A%2F%2Fid.who.int%2Ficd%2Fentity%2F1293320235","browser")</x:f>
      </x:c>
      <x:c r="L2097" s="0">
        <x:f>hyperlink("https://icat2.azurewebsites.net/icat/?ontology=ICD&amp;tab=ClassesTab&amp;id=http%3A%2F%2Fwho.int%2Ficd%237654_512ebf36_bf6b_4d70_85da_cf2637062af4","iCat")</x:f>
      </x:c>
      <x:c r="M2097" s="0" t="s">
        <x:v>21</x:v>
      </x:c>
      <x:c r="N2097" s="0" t="s">
        <x:v>46</x:v>
      </x:c>
    </x:row>
    <x:row r="2098" spans="1:16">
      <x:c r="A2098" s="0" t="s">
        <x:v>8225</x:v>
      </x:c>
      <x:c r="B2098" s="0" t="s">
        <x:v>8226</x:v>
      </x:c>
      <x:c r="C2098" s="0" t="s">
        <x:v>8227</x:v>
      </x:c>
      <x:c r="E2098" s="0" t="s">
        <x:v>8228</x:v>
      </x:c>
      <x:c r="F2098" s="0" t="s">
        <x:v>45</x:v>
      </x:c>
      <x:c r="G2098" s="0" t="s">
        <x:v>19</x:v>
      </x:c>
      <x:c r="H2098" s="0" t="s">
        <x:v>20</x:v>
      </x:c>
      <x:c r="I2098" s="0" t="s">
        <x:v>21</x:v>
      </x:c>
      <x:c r="K2098" s="0">
        <x:f>hyperlink("https://icd.who.int/dev11/l-ichi/en#/http%3A%2F%2Fid.who.int%2Ficd%2Fentity%2F950010970","browser")</x:f>
      </x:c>
      <x:c r="L2098" s="0">
        <x:f>hyperlink("https://icat2.azurewebsites.net/icat/?ontology=ICD&amp;tab=ClassesTab&amp;id=http%3A%2F%2Fwho.int%2Ficd%237660_512ebf36_bf6b_4d70_85da_cf2637062af4","iCat")</x:f>
      </x:c>
      <x:c r="M2098" s="0" t="s">
        <x:v>21</x:v>
      </x:c>
      <x:c r="N2098" s="0" t="s">
        <x:v>46</x:v>
      </x:c>
    </x:row>
    <x:row r="2099" spans="1:16">
      <x:c r="A2099" s="0" t="s">
        <x:v>8229</x:v>
      </x:c>
      <x:c r="B2099" s="0" t="s">
        <x:v>8230</x:v>
      </x:c>
      <x:c r="C2099" s="0" t="s">
        <x:v>8231</x:v>
      </x:c>
      <x:c r="E2099" s="0" t="s">
        <x:v>8232</x:v>
      </x:c>
      <x:c r="F2099" s="0" t="s">
        <x:v>45</x:v>
      </x:c>
      <x:c r="G2099" s="0" t="s">
        <x:v>19</x:v>
      </x:c>
      <x:c r="H2099" s="0" t="s">
        <x:v>20</x:v>
      </x:c>
      <x:c r="I2099" s="0" t="s">
        <x:v>21</x:v>
      </x:c>
      <x:c r="K2099" s="0">
        <x:f>hyperlink("https://icd.who.int/dev11/l-ichi/en#/http%3A%2F%2Fid.who.int%2Ficd%2Fentity%2F1981904141","browser")</x:f>
      </x:c>
      <x:c r="L2099" s="0">
        <x:f>hyperlink("https://icat2.azurewebsites.net/icat/?ontology=ICD&amp;tab=ClassesTab&amp;id=http%3A%2F%2Fwho.int%2Ficd%237668_512ebf36_bf6b_4d70_85da_cf2637062af4","iCat")</x:f>
      </x:c>
      <x:c r="M2099" s="0" t="s">
        <x:v>21</x:v>
      </x:c>
      <x:c r="N2099" s="0" t="s">
        <x:v>46</x:v>
      </x:c>
    </x:row>
    <x:row r="2100" spans="1:16">
      <x:c r="A2100" s="0" t="s">
        <x:v>8233</x:v>
      </x:c>
      <x:c r="B2100" s="0" t="s">
        <x:v>8234</x:v>
      </x:c>
      <x:c r="C2100" s="0" t="s">
        <x:v>8235</x:v>
      </x:c>
      <x:c r="E2100" s="0" t="s">
        <x:v>8236</x:v>
      </x:c>
      <x:c r="F2100" s="0" t="s">
        <x:v>45</x:v>
      </x:c>
      <x:c r="G2100" s="0" t="s">
        <x:v>19</x:v>
      </x:c>
      <x:c r="H2100" s="0" t="s">
        <x:v>20</x:v>
      </x:c>
      <x:c r="I2100" s="0" t="s">
        <x:v>21</x:v>
      </x:c>
      <x:c r="K2100" s="0">
        <x:f>hyperlink("https://icd.who.int/dev11/l-ichi/en#/http%3A%2F%2Fid.who.int%2Ficd%2Fentity%2F1201350471","browser")</x:f>
      </x:c>
      <x:c r="L2100" s="0">
        <x:f>hyperlink("https://icat2.azurewebsites.net/icat/?ontology=ICD&amp;tab=ClassesTab&amp;id=http%3A%2F%2Fwho.int%2Ficd%237675_512ebf36_bf6b_4d70_85da_cf2637062af4","iCat")</x:f>
      </x:c>
      <x:c r="M2100" s="0" t="s">
        <x:v>21</x:v>
      </x:c>
      <x:c r="N2100" s="0" t="s">
        <x:v>46</x:v>
      </x:c>
    </x:row>
    <x:row r="2101" spans="1:16">
      <x:c r="A2101" s="0" t="s">
        <x:v>8237</x:v>
      </x:c>
      <x:c r="B2101" s="0" t="s">
        <x:v>8238</x:v>
      </x:c>
      <x:c r="C2101" s="0" t="s">
        <x:v>8239</x:v>
      </x:c>
      <x:c r="E2101" s="0" t="s">
        <x:v>8240</x:v>
      </x:c>
      <x:c r="F2101" s="0" t="s">
        <x:v>45</x:v>
      </x:c>
      <x:c r="G2101" s="0" t="s">
        <x:v>19</x:v>
      </x:c>
      <x:c r="H2101" s="0" t="s">
        <x:v>20</x:v>
      </x:c>
      <x:c r="I2101" s="0" t="s">
        <x:v>21</x:v>
      </x:c>
      <x:c r="K2101" s="0">
        <x:f>hyperlink("https://icd.who.int/dev11/l-ichi/en#/http%3A%2F%2Fid.who.int%2Ficd%2Fentity%2F419350038","browser")</x:f>
      </x:c>
      <x:c r="L2101" s="0">
        <x:f>hyperlink("https://icat2.azurewebsites.net/icat/?ontology=ICD&amp;tab=ClassesTab&amp;id=http%3A%2F%2Fwho.int%2Ficd%237682_512ebf36_bf6b_4d70_85da_cf2637062af4","iCat")</x:f>
      </x:c>
      <x:c r="M2101" s="0" t="s">
        <x:v>21</x:v>
      </x:c>
      <x:c r="N2101" s="0" t="s">
        <x:v>46</x:v>
      </x:c>
    </x:row>
    <x:row r="2102" spans="1:16">
      <x:c r="A2102" s="0" t="s">
        <x:v>8241</x:v>
      </x:c>
      <x:c r="B2102" s="0" t="s">
        <x:v>8242</x:v>
      </x:c>
      <x:c r="C2102" s="0" t="s">
        <x:v>8243</x:v>
      </x:c>
      <x:c r="E2102" s="0" t="s">
        <x:v>8244</x:v>
      </x:c>
      <x:c r="F2102" s="0" t="s">
        <x:v>45</x:v>
      </x:c>
      <x:c r="G2102" s="0" t="s">
        <x:v>19</x:v>
      </x:c>
      <x:c r="H2102" s="0" t="s">
        <x:v>20</x:v>
      </x:c>
      <x:c r="I2102" s="0" t="s">
        <x:v>21</x:v>
      </x:c>
      <x:c r="K2102" s="0">
        <x:f>hyperlink("https://icd.who.int/dev11/l-ichi/en#/http%3A%2F%2Fid.who.int%2Ficd%2Fentity%2F335206584","browser")</x:f>
      </x:c>
      <x:c r="L2102" s="0">
        <x:f>hyperlink("https://icat2.azurewebsites.net/icat/?ontology=ICD&amp;tab=ClassesTab&amp;id=http%3A%2F%2Fwho.int%2Ficd%237689_512ebf36_bf6b_4d70_85da_cf2637062af4","iCat")</x:f>
      </x:c>
      <x:c r="M2102" s="0" t="s">
        <x:v>21</x:v>
      </x:c>
      <x:c r="N2102" s="0" t="s">
        <x:v>46</x:v>
      </x:c>
    </x:row>
    <x:row r="2103" spans="1:16">
      <x:c r="A2103" s="0" t="s">
        <x:v>8245</x:v>
      </x:c>
      <x:c r="B2103" s="0" t="s">
        <x:v>8246</x:v>
      </x:c>
      <x:c r="C2103" s="0" t="s">
        <x:v>8247</x:v>
      </x:c>
      <x:c r="E2103" s="0" t="s">
        <x:v>8248</x:v>
      </x:c>
      <x:c r="F2103" s="0" t="s">
        <x:v>45</x:v>
      </x:c>
      <x:c r="G2103" s="0" t="s">
        <x:v>19</x:v>
      </x:c>
      <x:c r="H2103" s="0" t="s">
        <x:v>20</x:v>
      </x:c>
      <x:c r="I2103" s="0" t="s">
        <x:v>21</x:v>
      </x:c>
      <x:c r="K2103" s="0">
        <x:f>hyperlink("https://icd.who.int/dev11/l-ichi/en#/http%3A%2F%2Fid.who.int%2Ficd%2Fentity%2F1195153207","browser")</x:f>
      </x:c>
      <x:c r="L2103" s="0">
        <x:f>hyperlink("https://icat2.azurewebsites.net/icat/?ontology=ICD&amp;tab=ClassesTab&amp;id=http%3A%2F%2Fwho.int%2Ficd%237696_512ebf36_bf6b_4d70_85da_cf2637062af4","iCat")</x:f>
      </x:c>
      <x:c r="M2103" s="0" t="s">
        <x:v>21</x:v>
      </x:c>
      <x:c r="N2103" s="0" t="s">
        <x:v>46</x:v>
      </x:c>
    </x:row>
    <x:row r="2104" spans="1:16">
      <x:c r="A2104" s="0" t="s">
        <x:v>8249</x:v>
      </x:c>
      <x:c r="B2104" s="0" t="s">
        <x:v>8250</x:v>
      </x:c>
      <x:c r="C2104" s="0" t="s">
        <x:v>8251</x:v>
      </x:c>
      <x:c r="E2104" s="0" t="s">
        <x:v>8252</x:v>
      </x:c>
      <x:c r="F2104" s="0" t="s">
        <x:v>45</x:v>
      </x:c>
      <x:c r="G2104" s="0" t="s">
        <x:v>19</x:v>
      </x:c>
      <x:c r="H2104" s="0" t="s">
        <x:v>20</x:v>
      </x:c>
      <x:c r="I2104" s="0" t="s">
        <x:v>21</x:v>
      </x:c>
      <x:c r="K2104" s="0">
        <x:f>hyperlink("https://icd.who.int/dev11/l-ichi/en#/http%3A%2F%2Fid.who.int%2Ficd%2Fentity%2F573276414","browser")</x:f>
      </x:c>
      <x:c r="L2104" s="0">
        <x:f>hyperlink("https://icat2.azurewebsites.net/icat/?ontology=ICD&amp;tab=ClassesTab&amp;id=http%3A%2F%2Fwho.int%2Ficd%237704_512ebf36_bf6b_4d70_85da_cf2637062af4","iCat")</x:f>
      </x:c>
      <x:c r="M2104" s="0" t="s">
        <x:v>21</x:v>
      </x:c>
      <x:c r="N2104" s="0" t="s">
        <x:v>46</x:v>
      </x:c>
    </x:row>
    <x:row r="2105" spans="1:16">
      <x:c r="A2105" s="0" t="s">
        <x:v>8253</x:v>
      </x:c>
      <x:c r="B2105" s="0" t="s">
        <x:v>8254</x:v>
      </x:c>
      <x:c r="C2105" s="0" t="s">
        <x:v>8255</x:v>
      </x:c>
      <x:c r="E2105" s="0" t="s">
        <x:v>8256</x:v>
      </x:c>
      <x:c r="F2105" s="0" t="s">
        <x:v>45</x:v>
      </x:c>
      <x:c r="G2105" s="0" t="s">
        <x:v>19</x:v>
      </x:c>
      <x:c r="H2105" s="0" t="s">
        <x:v>20</x:v>
      </x:c>
      <x:c r="I2105" s="0" t="s">
        <x:v>21</x:v>
      </x:c>
      <x:c r="K2105" s="0">
        <x:f>hyperlink("https://icd.who.int/dev11/l-ichi/en#/http%3A%2F%2Fid.who.int%2Ficd%2Fentity%2F946650664","browser")</x:f>
      </x:c>
      <x:c r="L2105" s="0">
        <x:f>hyperlink("https://icat2.azurewebsites.net/icat/?ontology=ICD&amp;tab=ClassesTab&amp;id=http%3A%2F%2Fwho.int%2Ficd%237713_512ebf36_bf6b_4d70_85da_cf2637062af4","iCat")</x:f>
      </x:c>
      <x:c r="M2105" s="0" t="s">
        <x:v>21</x:v>
      </x:c>
      <x:c r="N2105" s="0" t="s">
        <x:v>46</x:v>
      </x:c>
    </x:row>
    <x:row r="2106" spans="1:16">
      <x:c r="A2106" s="0" t="s">
        <x:v>8257</x:v>
      </x:c>
      <x:c r="B2106" s="0" t="s">
        <x:v>8258</x:v>
      </x:c>
      <x:c r="C2106" s="0" t="s">
        <x:v>8259</x:v>
      </x:c>
      <x:c r="E2106" s="0" t="s">
        <x:v>8260</x:v>
      </x:c>
      <x:c r="F2106" s="0" t="s">
        <x:v>45</x:v>
      </x:c>
      <x:c r="G2106" s="0" t="s">
        <x:v>19</x:v>
      </x:c>
      <x:c r="H2106" s="0" t="s">
        <x:v>20</x:v>
      </x:c>
      <x:c r="I2106" s="0" t="s">
        <x:v>21</x:v>
      </x:c>
      <x:c r="K2106" s="0">
        <x:f>hyperlink("https://icd.who.int/dev11/l-ichi/en#/http%3A%2F%2Fid.who.int%2Ficd%2Fentity%2F1913721450","browser")</x:f>
      </x:c>
      <x:c r="L2106" s="0">
        <x:f>hyperlink("https://icat2.azurewebsites.net/icat/?ontology=ICD&amp;tab=ClassesTab&amp;id=http%3A%2F%2Fwho.int%2Ficd%2316440_4869915e_217e_423d_acb3_33c0f920ef4b","iCat")</x:f>
      </x:c>
      <x:c r="M2106" s="0" t="s">
        <x:v>21</x:v>
      </x:c>
      <x:c r="N2106" s="0" t="s">
        <x:v>46</x:v>
      </x:c>
    </x:row>
    <x:row r="2107" spans="1:16">
      <x:c r="A2107" s="0" t="s">
        <x:v>8261</x:v>
      </x:c>
      <x:c r="B2107" s="0" t="s">
        <x:v>8262</x:v>
      </x:c>
      <x:c r="C2107" s="0" t="s">
        <x:v>8263</x:v>
      </x:c>
      <x:c r="E2107" s="0" t="s">
        <x:v>8264</x:v>
      </x:c>
      <x:c r="F2107" s="0" t="s">
        <x:v>45</x:v>
      </x:c>
      <x:c r="G2107" s="0" t="s">
        <x:v>19</x:v>
      </x:c>
      <x:c r="H2107" s="0" t="s">
        <x:v>20</x:v>
      </x:c>
      <x:c r="I2107" s="0" t="s">
        <x:v>21</x:v>
      </x:c>
      <x:c r="K2107" s="0">
        <x:f>hyperlink("https://icd.who.int/dev11/l-ichi/en#/http%3A%2F%2Fid.who.int%2Ficd%2Fentity%2F328323768","browser")</x:f>
      </x:c>
      <x:c r="L2107" s="0">
        <x:f>hyperlink("https://icat2.azurewebsites.net/icat/?ontology=ICD&amp;tab=ClassesTab&amp;id=http%3A%2F%2Fwho.int%2Ficd%237719_512ebf36_bf6b_4d70_85da_cf2637062af4","iCat")</x:f>
      </x:c>
      <x:c r="M2107" s="0" t="s">
        <x:v>21</x:v>
      </x:c>
      <x:c r="N2107" s="0" t="s">
        <x:v>46</x:v>
      </x:c>
    </x:row>
    <x:row r="2108" spans="1:16">
      <x:c r="A2108" s="0" t="s">
        <x:v>8265</x:v>
      </x:c>
      <x:c r="B2108" s="0" t="s">
        <x:v>8266</x:v>
      </x:c>
      <x:c r="C2108" s="0" t="s">
        <x:v>8267</x:v>
      </x:c>
      <x:c r="E2108" s="0" t="s">
        <x:v>8268</x:v>
      </x:c>
      <x:c r="F2108" s="0" t="s">
        <x:v>45</x:v>
      </x:c>
      <x:c r="G2108" s="0" t="s">
        <x:v>19</x:v>
      </x:c>
      <x:c r="H2108" s="0" t="s">
        <x:v>20</x:v>
      </x:c>
      <x:c r="I2108" s="0" t="s">
        <x:v>21</x:v>
      </x:c>
      <x:c r="K2108" s="0">
        <x:f>hyperlink("https://icd.who.int/dev11/l-ichi/en#/http%3A%2F%2Fid.who.int%2Ficd%2Fentity%2F1831028841","browser")</x:f>
      </x:c>
      <x:c r="L2108" s="0">
        <x:f>hyperlink("https://icat2.azurewebsites.net/icat/?ontology=ICD&amp;tab=ClassesTab&amp;id=http%3A%2F%2Fwho.int%2Ficd%237726_512ebf36_bf6b_4d70_85da_cf2637062af4","iCat")</x:f>
      </x:c>
      <x:c r="M2108" s="0" t="s">
        <x:v>21</x:v>
      </x:c>
      <x:c r="N2108" s="0" t="s">
        <x:v>46</x:v>
      </x:c>
    </x:row>
    <x:row r="2109" spans="1:16">
      <x:c r="A2109" s="0" t="s">
        <x:v>8269</x:v>
      </x:c>
      <x:c r="B2109" s="0" t="s">
        <x:v>8270</x:v>
      </x:c>
      <x:c r="C2109" s="0" t="s">
        <x:v>8271</x:v>
      </x:c>
      <x:c r="E2109" s="0" t="s">
        <x:v>8272</x:v>
      </x:c>
      <x:c r="F2109" s="0" t="s">
        <x:v>45</x:v>
      </x:c>
      <x:c r="G2109" s="0" t="s">
        <x:v>19</x:v>
      </x:c>
      <x:c r="H2109" s="0" t="s">
        <x:v>20</x:v>
      </x:c>
      <x:c r="I2109" s="0" t="s">
        <x:v>21</x:v>
      </x:c>
      <x:c r="K2109" s="0">
        <x:f>hyperlink("https://icd.who.int/dev11/l-ichi/en#/http%3A%2F%2Fid.who.int%2Ficd%2Fentity%2F1654309115","browser")</x:f>
      </x:c>
      <x:c r="L2109" s="0">
        <x:f>hyperlink("https://icat2.azurewebsites.net/icat/?ontology=ICD&amp;tab=ClassesTab&amp;id=http%3A%2F%2Fwho.int%2Ficd%237734_512ebf36_bf6b_4d70_85da_cf2637062af4","iCat")</x:f>
      </x:c>
      <x:c r="M2109" s="0" t="s">
        <x:v>21</x:v>
      </x:c>
      <x:c r="N2109" s="0" t="s">
        <x:v>46</x:v>
      </x:c>
    </x:row>
    <x:row r="2110" spans="1:16">
      <x:c r="A2110" s="0" t="s">
        <x:v>8273</x:v>
      </x:c>
      <x:c r="B2110" s="0" t="s">
        <x:v>8274</x:v>
      </x:c>
      <x:c r="C2110" s="0" t="s">
        <x:v>8275</x:v>
      </x:c>
      <x:c r="E2110" s="0" t="s">
        <x:v>8276</x:v>
      </x:c>
      <x:c r="F2110" s="0" t="s">
        <x:v>45</x:v>
      </x:c>
      <x:c r="G2110" s="0" t="s">
        <x:v>19</x:v>
      </x:c>
      <x:c r="H2110" s="0" t="s">
        <x:v>20</x:v>
      </x:c>
      <x:c r="I2110" s="0" t="s">
        <x:v>21</x:v>
      </x:c>
      <x:c r="K2110" s="0">
        <x:f>hyperlink("https://icd.who.int/dev11/l-ichi/en#/http%3A%2F%2Fid.who.int%2Ficd%2Fentity%2F1202873769","browser")</x:f>
      </x:c>
      <x:c r="L2110" s="0">
        <x:f>hyperlink("https://icat2.azurewebsites.net/icat/?ontology=ICD&amp;tab=ClassesTab&amp;id=http%3A%2F%2Fwho.int%2Ficd%237741_512ebf36_bf6b_4d70_85da_cf2637062af4","iCat")</x:f>
      </x:c>
      <x:c r="M2110" s="0" t="s">
        <x:v>21</x:v>
      </x:c>
      <x:c r="N2110" s="0" t="s">
        <x:v>46</x:v>
      </x:c>
    </x:row>
    <x:row r="2111" spans="1:16">
      <x:c r="A2111" s="0" t="s">
        <x:v>8277</x:v>
      </x:c>
      <x:c r="B2111" s="0" t="s">
        <x:v>8278</x:v>
      </x:c>
      <x:c r="C2111" s="0" t="s">
        <x:v>8279</x:v>
      </x:c>
      <x:c r="E2111" s="0" t="s">
        <x:v>8280</x:v>
      </x:c>
      <x:c r="F2111" s="0" t="s">
        <x:v>45</x:v>
      </x:c>
      <x:c r="G2111" s="0" t="s">
        <x:v>19</x:v>
      </x:c>
      <x:c r="H2111" s="0" t="s">
        <x:v>20</x:v>
      </x:c>
      <x:c r="I2111" s="0" t="s">
        <x:v>21</x:v>
      </x:c>
      <x:c r="K2111" s="0">
        <x:f>hyperlink("https://icd.who.int/dev11/l-ichi/en#/http%3A%2F%2Fid.who.int%2Ficd%2Fentity%2F399096856","browser")</x:f>
      </x:c>
      <x:c r="L2111" s="0">
        <x:f>hyperlink("https://icat2.azurewebsites.net/icat/?ontology=ICD&amp;tab=ClassesTab&amp;id=http%3A%2F%2Fwho.int%2Ficd%237747_512ebf36_bf6b_4d70_85da_cf2637062af4","iCat")</x:f>
      </x:c>
      <x:c r="M2111" s="0" t="s">
        <x:v>21</x:v>
      </x:c>
      <x:c r="N2111" s="0" t="s">
        <x:v>46</x:v>
      </x:c>
    </x:row>
    <x:row r="2112" spans="1:16">
      <x:c r="A2112" s="0" t="s">
        <x:v>8281</x:v>
      </x:c>
      <x:c r="B2112" s="0" t="s">
        <x:v>8282</x:v>
      </x:c>
      <x:c r="C2112" s="0" t="s">
        <x:v>8283</x:v>
      </x:c>
      <x:c r="E2112" s="0" t="s">
        <x:v>8284</x:v>
      </x:c>
      <x:c r="F2112" s="0" t="s">
        <x:v>45</x:v>
      </x:c>
      <x:c r="G2112" s="0" t="s">
        <x:v>19</x:v>
      </x:c>
      <x:c r="H2112" s="0" t="s">
        <x:v>20</x:v>
      </x:c>
      <x:c r="I2112" s="0" t="s">
        <x:v>21</x:v>
      </x:c>
      <x:c r="K2112" s="0">
        <x:f>hyperlink("https://icd.who.int/dev11/l-ichi/en#/http%3A%2F%2Fid.who.int%2Ficd%2Fentity%2F1208741179","browser")</x:f>
      </x:c>
      <x:c r="L2112" s="0">
        <x:f>hyperlink("https://icat2.azurewebsites.net/icat/?ontology=ICD&amp;tab=ClassesTab&amp;id=http%3A%2F%2Fwho.int%2Ficd%237753_512ebf36_bf6b_4d70_85da_cf2637062af4","iCat")</x:f>
      </x:c>
      <x:c r="M2112" s="0" t="s">
        <x:v>21</x:v>
      </x:c>
      <x:c r="N2112" s="0" t="s">
        <x:v>46</x:v>
      </x:c>
    </x:row>
    <x:row r="2113" spans="1:16">
      <x:c r="A2113" s="0" t="s">
        <x:v>8285</x:v>
      </x:c>
      <x:c r="B2113" s="0" t="s">
        <x:v>8286</x:v>
      </x:c>
      <x:c r="C2113" s="0" t="s">
        <x:v>8287</x:v>
      </x:c>
      <x:c r="E2113" s="0" t="s">
        <x:v>8288</x:v>
      </x:c>
      <x:c r="F2113" s="0" t="s">
        <x:v>45</x:v>
      </x:c>
      <x:c r="G2113" s="0" t="s">
        <x:v>19</x:v>
      </x:c>
      <x:c r="H2113" s="0" t="s">
        <x:v>20</x:v>
      </x:c>
      <x:c r="I2113" s="0" t="s">
        <x:v>21</x:v>
      </x:c>
      <x:c r="K2113" s="0">
        <x:f>hyperlink("https://icd.who.int/dev11/l-ichi/en#/http%3A%2F%2Fid.who.int%2Ficd%2Fentity%2F1296024261","browser")</x:f>
      </x:c>
      <x:c r="L2113" s="0">
        <x:f>hyperlink("https://icat2.azurewebsites.net/icat/?ontology=ICD&amp;tab=ClassesTab&amp;id=http%3A%2F%2Fwho.int%2Ficd%237760_512ebf36_bf6b_4d70_85da_cf2637062af4","iCat")</x:f>
      </x:c>
      <x:c r="M2113" s="0" t="s">
        <x:v>21</x:v>
      </x:c>
      <x:c r="N2113" s="0" t="s">
        <x:v>46</x:v>
      </x:c>
    </x:row>
    <x:row r="2114" spans="1:16">
      <x:c r="A2114" s="0" t="s">
        <x:v>8289</x:v>
      </x:c>
      <x:c r="B2114" s="0" t="s">
        <x:v>8290</x:v>
      </x:c>
      <x:c r="C2114" s="0" t="s">
        <x:v>8291</x:v>
      </x:c>
      <x:c r="E2114" s="0" t="s">
        <x:v>8292</x:v>
      </x:c>
      <x:c r="F2114" s="0" t="s">
        <x:v>45</x:v>
      </x:c>
      <x:c r="G2114" s="0" t="s">
        <x:v>19</x:v>
      </x:c>
      <x:c r="H2114" s="0" t="s">
        <x:v>20</x:v>
      </x:c>
      <x:c r="I2114" s="0" t="s">
        <x:v>21</x:v>
      </x:c>
      <x:c r="K2114" s="0">
        <x:f>hyperlink("https://icd.who.int/dev11/l-ichi/en#/http%3A%2F%2Fid.who.int%2Ficd%2Fentity%2F1035823434","browser")</x:f>
      </x:c>
      <x:c r="L2114" s="0">
        <x:f>hyperlink("https://icat2.azurewebsites.net/icat/?ontology=ICD&amp;tab=ClassesTab&amp;id=http%3A%2F%2Fwho.int%2Ficd%237767_512ebf36_bf6b_4d70_85da_cf2637062af4","iCat")</x:f>
      </x:c>
      <x:c r="M2114" s="0" t="s">
        <x:v>21</x:v>
      </x:c>
      <x:c r="N2114" s="0" t="s">
        <x:v>46</x:v>
      </x:c>
    </x:row>
    <x:row r="2115" spans="1:16">
      <x:c r="A2115" s="0" t="s">
        <x:v>8293</x:v>
      </x:c>
      <x:c r="B2115" s="0" t="s">
        <x:v>8294</x:v>
      </x:c>
      <x:c r="C2115" s="0" t="s">
        <x:v>8295</x:v>
      </x:c>
      <x:c r="E2115" s="0" t="s">
        <x:v>8296</x:v>
      </x:c>
      <x:c r="F2115" s="0" t="s">
        <x:v>45</x:v>
      </x:c>
      <x:c r="G2115" s="0" t="s">
        <x:v>19</x:v>
      </x:c>
      <x:c r="H2115" s="0" t="s">
        <x:v>20</x:v>
      </x:c>
      <x:c r="I2115" s="0" t="s">
        <x:v>21</x:v>
      </x:c>
      <x:c r="K2115" s="0">
        <x:f>hyperlink("https://icd.who.int/dev11/l-ichi/en#/http%3A%2F%2Fid.who.int%2Ficd%2Fentity%2F2004979235","browser")</x:f>
      </x:c>
      <x:c r="L2115" s="0">
        <x:f>hyperlink("https://icat2.azurewebsites.net/icat/?ontology=ICD&amp;tab=ClassesTab&amp;id=http%3A%2F%2Fwho.int%2Ficd%237776_512ebf36_bf6b_4d70_85da_cf2637062af4","iCat")</x:f>
      </x:c>
      <x:c r="M2115" s="0" t="s">
        <x:v>21</x:v>
      </x:c>
      <x:c r="N2115" s="0" t="s">
        <x:v>46</x:v>
      </x:c>
    </x:row>
    <x:row r="2116" spans="1:16">
      <x:c r="A2116" s="0" t="s">
        <x:v>8297</x:v>
      </x:c>
      <x:c r="B2116" s="0" t="s">
        <x:v>8298</x:v>
      </x:c>
      <x:c r="C2116" s="0" t="s">
        <x:v>8299</x:v>
      </x:c>
      <x:c r="E2116" s="0" t="s">
        <x:v>8300</x:v>
      </x:c>
      <x:c r="F2116" s="0" t="s">
        <x:v>45</x:v>
      </x:c>
      <x:c r="G2116" s="0" t="s">
        <x:v>19</x:v>
      </x:c>
      <x:c r="H2116" s="0" t="s">
        <x:v>20</x:v>
      </x:c>
      <x:c r="I2116" s="0" t="s">
        <x:v>21</x:v>
      </x:c>
      <x:c r="K2116" s="0">
        <x:f>hyperlink("https://icd.who.int/dev11/l-ichi/en#/http%3A%2F%2Fid.who.int%2Ficd%2Fentity%2F1301836469","browser")</x:f>
      </x:c>
      <x:c r="L2116" s="0">
        <x:f>hyperlink("https://icat2.azurewebsites.net/icat/?ontology=ICD&amp;tab=ClassesTab&amp;id=http%3A%2F%2Fwho.int%2Ficd%237783_512ebf36_bf6b_4d70_85da_cf2637062af4","iCat")</x:f>
      </x:c>
      <x:c r="M2116" s="0" t="s">
        <x:v>21</x:v>
      </x:c>
      <x:c r="N2116" s="0" t="s">
        <x:v>46</x:v>
      </x:c>
    </x:row>
    <x:row r="2117" spans="1:16">
      <x:c r="A2117" s="0" t="s">
        <x:v>8301</x:v>
      </x:c>
      <x:c r="B2117" s="0" t="s">
        <x:v>8302</x:v>
      </x:c>
      <x:c r="C2117" s="0" t="s">
        <x:v>8303</x:v>
      </x:c>
      <x:c r="E2117" s="0" t="s">
        <x:v>8304</x:v>
      </x:c>
      <x:c r="F2117" s="0" t="s">
        <x:v>45</x:v>
      </x:c>
      <x:c r="G2117" s="0" t="s">
        <x:v>19</x:v>
      </x:c>
      <x:c r="H2117" s="0" t="s">
        <x:v>20</x:v>
      </x:c>
      <x:c r="I2117" s="0" t="s">
        <x:v>21</x:v>
      </x:c>
      <x:c r="K2117" s="0">
        <x:f>hyperlink("https://icd.who.int/dev11/l-ichi/en#/http%3A%2F%2Fid.who.int%2Ficd%2Fentity%2F660465634","browser")</x:f>
      </x:c>
      <x:c r="L2117" s="0">
        <x:f>hyperlink("https://icat2.azurewebsites.net/icat/?ontology=ICD&amp;tab=ClassesTab&amp;id=http%3A%2F%2Fwho.int%2Ficd%237793_512ebf36_bf6b_4d70_85da_cf2637062af4","iCat")</x:f>
      </x:c>
      <x:c r="M2117" s="0" t="s">
        <x:v>21</x:v>
      </x:c>
      <x:c r="N2117" s="0" t="s">
        <x:v>46</x:v>
      </x:c>
    </x:row>
    <x:row r="2118" spans="1:16">
      <x:c r="A2118" s="0" t="s">
        <x:v>8305</x:v>
      </x:c>
      <x:c r="B2118" s="0" t="s">
        <x:v>8306</x:v>
      </x:c>
      <x:c r="C2118" s="0" t="s">
        <x:v>8307</x:v>
      </x:c>
      <x:c r="E2118" s="0" t="s">
        <x:v>8308</x:v>
      </x:c>
      <x:c r="F2118" s="0" t="s">
        <x:v>45</x:v>
      </x:c>
      <x:c r="G2118" s="0" t="s">
        <x:v>19</x:v>
      </x:c>
      <x:c r="H2118" s="0" t="s">
        <x:v>20</x:v>
      </x:c>
      <x:c r="I2118" s="0" t="s">
        <x:v>21</x:v>
      </x:c>
      <x:c r="K2118" s="0">
        <x:f>hyperlink("https://icd.who.int/dev11/l-ichi/en#/http%3A%2F%2Fid.who.int%2Ficd%2Fentity%2F1415975162","browser")</x:f>
      </x:c>
      <x:c r="L2118" s="0">
        <x:f>hyperlink("https://icat2.azurewebsites.net/icat/?ontology=ICD&amp;tab=ClassesTab&amp;id=http%3A%2F%2Fwho.int%2Ficd%237804_512ebf36_bf6b_4d70_85da_cf2637062af4","iCat")</x:f>
      </x:c>
      <x:c r="M2118" s="0" t="s">
        <x:v>21</x:v>
      </x:c>
      <x:c r="N2118" s="0" t="s">
        <x:v>46</x:v>
      </x:c>
    </x:row>
    <x:row r="2119" spans="1:16">
      <x:c r="A2119" s="0" t="s">
        <x:v>8309</x:v>
      </x:c>
      <x:c r="B2119" s="0" t="s">
        <x:v>8310</x:v>
      </x:c>
      <x:c r="C2119" s="0" t="s">
        <x:v>8311</x:v>
      </x:c>
      <x:c r="E2119" s="0" t="s">
        <x:v>8312</x:v>
      </x:c>
      <x:c r="F2119" s="0" t="s">
        <x:v>45</x:v>
      </x:c>
      <x:c r="G2119" s="0" t="s">
        <x:v>19</x:v>
      </x:c>
      <x:c r="H2119" s="0" t="s">
        <x:v>20</x:v>
      </x:c>
      <x:c r="I2119" s="0" t="s">
        <x:v>21</x:v>
      </x:c>
      <x:c r="K2119" s="0">
        <x:f>hyperlink("https://icd.who.int/dev11/l-ichi/en#/http%3A%2F%2Fid.who.int%2Ficd%2Fentity%2F195314137","browser")</x:f>
      </x:c>
      <x:c r="L2119" s="0">
        <x:f>hyperlink("https://icat2.azurewebsites.net/icat/?ontology=ICD&amp;tab=ClassesTab&amp;id=http%3A%2F%2Fwho.int%2Ficd%237810_512ebf36_bf6b_4d70_85da_cf2637062af4","iCat")</x:f>
      </x:c>
      <x:c r="M2119" s="0" t="s">
        <x:v>21</x:v>
      </x:c>
      <x:c r="N2119" s="0" t="s">
        <x:v>46</x:v>
      </x:c>
    </x:row>
    <x:row r="2120" spans="1:16">
      <x:c r="A2120" s="0" t="s">
        <x:v>8313</x:v>
      </x:c>
      <x:c r="B2120" s="0" t="s">
        <x:v>8314</x:v>
      </x:c>
      <x:c r="C2120" s="0" t="s">
        <x:v>8315</x:v>
      </x:c>
      <x:c r="E2120" s="0" t="s">
        <x:v>8316</x:v>
      </x:c>
      <x:c r="F2120" s="0" t="s">
        <x:v>45</x:v>
      </x:c>
      <x:c r="G2120" s="0" t="s">
        <x:v>19</x:v>
      </x:c>
      <x:c r="H2120" s="0" t="s">
        <x:v>20</x:v>
      </x:c>
      <x:c r="I2120" s="0" t="s">
        <x:v>21</x:v>
      </x:c>
      <x:c r="K2120" s="0">
        <x:f>hyperlink("https://icd.who.int/dev11/l-ichi/en#/http%3A%2F%2Fid.who.int%2Ficd%2Fentity%2F1541380200","browser")</x:f>
      </x:c>
      <x:c r="L2120" s="0">
        <x:f>hyperlink("https://icat2.azurewebsites.net/icat/?ontology=ICD&amp;tab=ClassesTab&amp;id=http%3A%2F%2Fwho.int%2Ficd%237816_512ebf36_bf6b_4d70_85da_cf2637062af4","iCat")</x:f>
      </x:c>
      <x:c r="M2120" s="0" t="s">
        <x:v>21</x:v>
      </x:c>
      <x:c r="N2120" s="0" t="s">
        <x:v>46</x:v>
      </x:c>
    </x:row>
    <x:row r="2121" spans="1:16">
      <x:c r="A2121" s="0" t="s">
        <x:v>8317</x:v>
      </x:c>
      <x:c r="B2121" s="0" t="s">
        <x:v>8318</x:v>
      </x:c>
      <x:c r="C2121" s="0" t="s">
        <x:v>8319</x:v>
      </x:c>
      <x:c r="E2121" s="0" t="s">
        <x:v>8320</x:v>
      </x:c>
      <x:c r="F2121" s="0" t="s">
        <x:v>45</x:v>
      </x:c>
      <x:c r="G2121" s="0" t="s">
        <x:v>19</x:v>
      </x:c>
      <x:c r="H2121" s="0" t="s">
        <x:v>20</x:v>
      </x:c>
      <x:c r="I2121" s="0" t="s">
        <x:v>21</x:v>
      </x:c>
      <x:c r="K2121" s="0">
        <x:f>hyperlink("https://icd.who.int/dev11/l-ichi/en#/http%3A%2F%2Fid.who.int%2Ficd%2Fentity%2F244346407","browser")</x:f>
      </x:c>
      <x:c r="L2121" s="0">
        <x:f>hyperlink("https://icat2.azurewebsites.net/icat/?ontology=ICD&amp;tab=ClassesTab&amp;id=http%3A%2F%2Fwho.int%2Ficd%237823_512ebf36_bf6b_4d70_85da_cf2637062af4","iCat")</x:f>
      </x:c>
      <x:c r="M2121" s="0" t="s">
        <x:v>21</x:v>
      </x:c>
      <x:c r="N2121" s="0" t="s">
        <x:v>46</x:v>
      </x:c>
    </x:row>
    <x:row r="2122" spans="1:16">
      <x:c r="A2122" s="0" t="s">
        <x:v>8321</x:v>
      </x:c>
      <x:c r="B2122" s="0" t="s">
        <x:v>8322</x:v>
      </x:c>
      <x:c r="C2122" s="0" t="s">
        <x:v>8323</x:v>
      </x:c>
      <x:c r="E2122" s="0" t="s">
        <x:v>8324</x:v>
      </x:c>
      <x:c r="F2122" s="0" t="s">
        <x:v>45</x:v>
      </x:c>
      <x:c r="G2122" s="0" t="s">
        <x:v>19</x:v>
      </x:c>
      <x:c r="H2122" s="0" t="s">
        <x:v>20</x:v>
      </x:c>
      <x:c r="I2122" s="0" t="s">
        <x:v>21</x:v>
      </x:c>
      <x:c r="K2122" s="0">
        <x:f>hyperlink("https://icd.who.int/dev11/l-ichi/en#/http%3A%2F%2Fid.who.int%2Ficd%2Fentity%2F627901111","browser")</x:f>
      </x:c>
      <x:c r="L2122" s="0">
        <x:f>hyperlink("https://icat2.azurewebsites.net/icat/?ontology=ICD&amp;tab=ClassesTab&amp;id=http%3A%2F%2Fwho.int%2Ficd%237829_512ebf36_bf6b_4d70_85da_cf2637062af4","iCat")</x:f>
      </x:c>
      <x:c r="M2122" s="0" t="s">
        <x:v>21</x:v>
      </x:c>
      <x:c r="N2122" s="0" t="s">
        <x:v>46</x:v>
      </x:c>
    </x:row>
    <x:row r="2123" spans="1:16">
      <x:c r="A2123" s="0" t="s">
        <x:v>8325</x:v>
      </x:c>
      <x:c r="B2123" s="0" t="s">
        <x:v>8326</x:v>
      </x:c>
      <x:c r="C2123" s="0" t="s">
        <x:v>8327</x:v>
      </x:c>
      <x:c r="E2123" s="0" t="s">
        <x:v>8328</x:v>
      </x:c>
      <x:c r="F2123" s="0" t="s">
        <x:v>45</x:v>
      </x:c>
      <x:c r="G2123" s="0" t="s">
        <x:v>19</x:v>
      </x:c>
      <x:c r="H2123" s="0" t="s">
        <x:v>20</x:v>
      </x:c>
      <x:c r="I2123" s="0" t="s">
        <x:v>21</x:v>
      </x:c>
      <x:c r="K2123" s="0">
        <x:f>hyperlink("https://icd.who.int/dev11/l-ichi/en#/http%3A%2F%2Fid.who.int%2Ficd%2Fentity%2F875438785","browser")</x:f>
      </x:c>
      <x:c r="L2123" s="0">
        <x:f>hyperlink("https://icat2.azurewebsites.net/icat/?ontology=ICD&amp;tab=ClassesTab&amp;id=http%3A%2F%2Fwho.int%2Ficd%237835_512ebf36_bf6b_4d70_85da_cf2637062af4","iCat")</x:f>
      </x:c>
      <x:c r="M2123" s="0" t="s">
        <x:v>21</x:v>
      </x:c>
      <x:c r="N2123" s="0" t="s">
        <x:v>46</x:v>
      </x:c>
    </x:row>
    <x:row r="2124" spans="1:16">
      <x:c r="A2124" s="0" t="s">
        <x:v>8329</x:v>
      </x:c>
      <x:c r="B2124" s="0" t="s">
        <x:v>8330</x:v>
      </x:c>
      <x:c r="D2124" s="0" t="s">
        <x:v>8331</x:v>
      </x:c>
      <x:c r="E2124" s="0" t="s">
        <x:v>8332</x:v>
      </x:c>
      <x:c r="F2124" s="0" t="s">
        <x:v>26</x:v>
      </x:c>
      <x:c r="G2124" s="0" t="s">
        <x:v>22</x:v>
      </x:c>
      <x:c r="H2124" s="0" t="s">
        <x:v>20</x:v>
      </x:c>
      <x:c r="I2124" s="0" t="s">
        <x:v>21</x:v>
      </x:c>
      <x:c r="K2124" s="0">
        <x:f>hyperlink("https://icd.who.int/dev11/l-ichi/en#/http%3A%2F%2Fid.who.int%2Ficd%2Fentity%2F1098735138","browser")</x:f>
      </x:c>
      <x:c r="L2124" s="0">
        <x:f>hyperlink("https://icat2.azurewebsites.net/icat/?ontology=ICD&amp;tab=ClassesTab&amp;id=http%3A%2F%2Fwho.int%2Ficd%237846_512ebf36_bf6b_4d70_85da_cf2637062af4","iCat")</x:f>
      </x:c>
      <x:c r="M2124" s="0" t="s">
        <x:v>20</x:v>
      </x:c>
      <x:c r="N2124" s="0" t="s">
        <x:v>8333</x:v>
      </x:c>
    </x:row>
    <x:row r="2125" spans="1:16">
      <x:c r="A2125" s="0" t="s">
        <x:v>8334</x:v>
      </x:c>
      <x:c r="B2125" s="0" t="s">
        <x:v>8335</x:v>
      </x:c>
      <x:c r="C2125" s="0" t="s">
        <x:v>8336</x:v>
      </x:c>
      <x:c r="E2125" s="0" t="s">
        <x:v>8337</x:v>
      </x:c>
      <x:c r="F2125" s="0" t="s">
        <x:v>45</x:v>
      </x:c>
      <x:c r="G2125" s="0" t="s">
        <x:v>19</x:v>
      </x:c>
      <x:c r="H2125" s="0" t="s">
        <x:v>20</x:v>
      </x:c>
      <x:c r="I2125" s="0" t="s">
        <x:v>21</x:v>
      </x:c>
      <x:c r="K2125" s="0">
        <x:f>hyperlink("https://icd.who.int/dev11/l-ichi/en#/http%3A%2F%2Fid.who.int%2Ficd%2Fentity%2F83374555","browser")</x:f>
      </x:c>
      <x:c r="L2125" s="0">
        <x:f>hyperlink("https://icat2.azurewebsites.net/icat/?ontology=ICD&amp;tab=ClassesTab&amp;id=http%3A%2F%2Fwho.int%2Ficd%237845_512ebf36_bf6b_4d70_85da_cf2637062af4","iCat")</x:f>
      </x:c>
      <x:c r="M2125" s="0" t="s">
        <x:v>21</x:v>
      </x:c>
      <x:c r="N2125" s="0" t="s">
        <x:v>46</x:v>
      </x:c>
    </x:row>
    <x:row r="2126" spans="1:16">
      <x:c r="A2126" s="0" t="s">
        <x:v>8338</x:v>
      </x:c>
      <x:c r="B2126" s="0" t="s">
        <x:v>8339</x:v>
      </x:c>
      <x:c r="C2126" s="0" t="s">
        <x:v>8340</x:v>
      </x:c>
      <x:c r="E2126" s="0" t="s">
        <x:v>8341</x:v>
      </x:c>
      <x:c r="F2126" s="0" t="s">
        <x:v>45</x:v>
      </x:c>
      <x:c r="G2126" s="0" t="s">
        <x:v>19</x:v>
      </x:c>
      <x:c r="H2126" s="0" t="s">
        <x:v>20</x:v>
      </x:c>
      <x:c r="I2126" s="0" t="s">
        <x:v>21</x:v>
      </x:c>
      <x:c r="K2126" s="0">
        <x:f>hyperlink("https://icd.who.int/dev11/l-ichi/en#/http%3A%2F%2Fid.who.int%2Ficd%2Fentity%2F1958092842","browser")</x:f>
      </x:c>
      <x:c r="L2126" s="0">
        <x:f>hyperlink("https://icat2.azurewebsites.net/icat/?ontology=ICD&amp;tab=ClassesTab&amp;id=http%3A%2F%2Fwho.int%2Ficd%237931_512ebf36_bf6b_4d70_85da_cf2637062af4","iCat")</x:f>
      </x:c>
      <x:c r="M2126" s="0" t="s">
        <x:v>21</x:v>
      </x:c>
      <x:c r="N2126" s="0" t="s">
        <x:v>46</x:v>
      </x:c>
    </x:row>
    <x:row r="2127" spans="1:16">
      <x:c r="A2127" s="0" t="s">
        <x:v>8342</x:v>
      </x:c>
      <x:c r="B2127" s="0" t="s">
        <x:v>8343</x:v>
      </x:c>
      <x:c r="C2127" s="0" t="s">
        <x:v>8344</x:v>
      </x:c>
      <x:c r="E2127" s="0" t="s">
        <x:v>8345</x:v>
      </x:c>
      <x:c r="F2127" s="0" t="s">
        <x:v>45</x:v>
      </x:c>
      <x:c r="G2127" s="0" t="s">
        <x:v>19</x:v>
      </x:c>
      <x:c r="H2127" s="0" t="s">
        <x:v>20</x:v>
      </x:c>
      <x:c r="I2127" s="0" t="s">
        <x:v>21</x:v>
      </x:c>
      <x:c r="K2127" s="0">
        <x:f>hyperlink("https://icd.who.int/dev11/l-ichi/en#/http%3A%2F%2Fid.who.int%2Ficd%2Fentity%2F885774929","browser")</x:f>
      </x:c>
      <x:c r="L2127" s="0">
        <x:f>hyperlink("https://icat2.azurewebsites.net/icat/?ontology=ICD&amp;tab=ClassesTab&amp;id=http%3A%2F%2Fwho.int%2Ficd%237872_512ebf36_bf6b_4d70_85da_cf2637062af4","iCat")</x:f>
      </x:c>
      <x:c r="M2127" s="0" t="s">
        <x:v>21</x:v>
      </x:c>
      <x:c r="N2127" s="0" t="s">
        <x:v>46</x:v>
      </x:c>
    </x:row>
    <x:row r="2128" spans="1:16">
      <x:c r="A2128" s="0" t="s">
        <x:v>8346</x:v>
      </x:c>
      <x:c r="B2128" s="0" t="s">
        <x:v>8347</x:v>
      </x:c>
      <x:c r="C2128" s="0" t="s">
        <x:v>8348</x:v>
      </x:c>
      <x:c r="E2128" s="0" t="s">
        <x:v>8349</x:v>
      </x:c>
      <x:c r="F2128" s="0" t="s">
        <x:v>45</x:v>
      </x:c>
      <x:c r="G2128" s="0" t="s">
        <x:v>19</x:v>
      </x:c>
      <x:c r="H2128" s="0" t="s">
        <x:v>20</x:v>
      </x:c>
      <x:c r="I2128" s="0" t="s">
        <x:v>21</x:v>
      </x:c>
      <x:c r="K2128" s="0">
        <x:f>hyperlink("https://icd.who.int/dev11/l-ichi/en#/http%3A%2F%2Fid.who.int%2Ficd%2Fentity%2F774591739","browser")</x:f>
      </x:c>
      <x:c r="L2128" s="0">
        <x:f>hyperlink("https://icat2.azurewebsites.net/icat/?ontology=ICD&amp;tab=ClassesTab&amp;id=http%3A%2F%2Fwho.int%2Ficd%237886_512ebf36_bf6b_4d70_85da_cf2637062af4","iCat")</x:f>
      </x:c>
      <x:c r="M2128" s="0" t="s">
        <x:v>21</x:v>
      </x:c>
      <x:c r="N2128" s="0" t="s">
        <x:v>46</x:v>
      </x:c>
    </x:row>
    <x:row r="2129" spans="1:16">
      <x:c r="A2129" s="0" t="s">
        <x:v>8350</x:v>
      </x:c>
      <x:c r="B2129" s="0" t="s">
        <x:v>8351</x:v>
      </x:c>
      <x:c r="C2129" s="0" t="s">
        <x:v>8352</x:v>
      </x:c>
      <x:c r="E2129" s="0" t="s">
        <x:v>8353</x:v>
      </x:c>
      <x:c r="F2129" s="0" t="s">
        <x:v>45</x:v>
      </x:c>
      <x:c r="G2129" s="0" t="s">
        <x:v>19</x:v>
      </x:c>
      <x:c r="H2129" s="0" t="s">
        <x:v>20</x:v>
      </x:c>
      <x:c r="I2129" s="0" t="s">
        <x:v>21</x:v>
      </x:c>
      <x:c r="K2129" s="0">
        <x:f>hyperlink("https://icd.who.int/dev11/l-ichi/en#/http%3A%2F%2Fid.who.int%2Ficd%2Fentity%2F563272809","browser")</x:f>
      </x:c>
      <x:c r="L2129" s="0">
        <x:f>hyperlink("https://icat2.azurewebsites.net/icat/?ontology=ICD&amp;tab=ClassesTab&amp;id=http%3A%2F%2Fwho.int%2Ficd%237894_512ebf36_bf6b_4d70_85da_cf2637062af4","iCat")</x:f>
      </x:c>
      <x:c r="M2129" s="0" t="s">
        <x:v>21</x:v>
      </x:c>
      <x:c r="N2129" s="0" t="s">
        <x:v>46</x:v>
      </x:c>
    </x:row>
    <x:row r="2130" spans="1:16">
      <x:c r="A2130" s="0" t="s">
        <x:v>8354</x:v>
      </x:c>
      <x:c r="B2130" s="0" t="s">
        <x:v>8355</x:v>
      </x:c>
      <x:c r="C2130" s="0" t="s">
        <x:v>8356</x:v>
      </x:c>
      <x:c r="E2130" s="0" t="s">
        <x:v>8357</x:v>
      </x:c>
      <x:c r="F2130" s="0" t="s">
        <x:v>45</x:v>
      </x:c>
      <x:c r="G2130" s="0" t="s">
        <x:v>19</x:v>
      </x:c>
      <x:c r="H2130" s="0" t="s">
        <x:v>20</x:v>
      </x:c>
      <x:c r="I2130" s="0" t="s">
        <x:v>21</x:v>
      </x:c>
      <x:c r="K2130" s="0">
        <x:f>hyperlink("https://icd.who.int/dev11/l-ichi/en#/http%3A%2F%2Fid.who.int%2Ficd%2Fentity%2F872898607","browser")</x:f>
      </x:c>
      <x:c r="L2130" s="0">
        <x:f>hyperlink("https://icat2.azurewebsites.net/icat/?ontology=ICD&amp;tab=ClassesTab&amp;id=http%3A%2F%2Fwho.int%2Ficd%237901_512ebf36_bf6b_4d70_85da_cf2637062af4","iCat")</x:f>
      </x:c>
      <x:c r="M2130" s="0" t="s">
        <x:v>21</x:v>
      </x:c>
      <x:c r="N2130" s="0" t="s">
        <x:v>46</x:v>
      </x:c>
    </x:row>
    <x:row r="2131" spans="1:16">
      <x:c r="A2131" s="0" t="s">
        <x:v>8358</x:v>
      </x:c>
      <x:c r="B2131" s="0" t="s">
        <x:v>8359</x:v>
      </x:c>
      <x:c r="C2131" s="0" t="s">
        <x:v>8360</x:v>
      </x:c>
      <x:c r="E2131" s="0" t="s">
        <x:v>8361</x:v>
      </x:c>
      <x:c r="F2131" s="0" t="s">
        <x:v>45</x:v>
      </x:c>
      <x:c r="G2131" s="0" t="s">
        <x:v>19</x:v>
      </x:c>
      <x:c r="H2131" s="0" t="s">
        <x:v>20</x:v>
      </x:c>
      <x:c r="I2131" s="0" t="s">
        <x:v>21</x:v>
      </x:c>
      <x:c r="K2131" s="0">
        <x:f>hyperlink("https://icd.who.int/dev11/l-ichi/en#/http%3A%2F%2Fid.who.int%2Ficd%2Fentity%2F1808085262","browser")</x:f>
      </x:c>
      <x:c r="L2131" s="0">
        <x:f>hyperlink("https://icat2.azurewebsites.net/icat/?ontology=ICD&amp;tab=ClassesTab&amp;id=http%3A%2F%2Fwho.int%2Ficd%237915_512ebf36_bf6b_4d70_85da_cf2637062af4","iCat")</x:f>
      </x:c>
      <x:c r="M2131" s="0" t="s">
        <x:v>21</x:v>
      </x:c>
      <x:c r="N2131" s="0" t="s">
        <x:v>46</x:v>
      </x:c>
    </x:row>
    <x:row r="2132" spans="1:16">
      <x:c r="A2132" s="0" t="s">
        <x:v>8362</x:v>
      </x:c>
      <x:c r="B2132" s="0" t="s">
        <x:v>8363</x:v>
      </x:c>
      <x:c r="C2132" s="0" t="s">
        <x:v>8364</x:v>
      </x:c>
      <x:c r="E2132" s="0" t="s">
        <x:v>8365</x:v>
      </x:c>
      <x:c r="F2132" s="0" t="s">
        <x:v>45</x:v>
      </x:c>
      <x:c r="G2132" s="0" t="s">
        <x:v>19</x:v>
      </x:c>
      <x:c r="H2132" s="0" t="s">
        <x:v>20</x:v>
      </x:c>
      <x:c r="I2132" s="0" t="s">
        <x:v>21</x:v>
      </x:c>
      <x:c r="K2132" s="0">
        <x:f>hyperlink("https://icd.who.int/dev11/l-ichi/en#/http%3A%2F%2Fid.who.int%2Ficd%2Fentity%2F1137784492","browser")</x:f>
      </x:c>
      <x:c r="L2132" s="0">
        <x:f>hyperlink("https://icat2.azurewebsites.net/icat/?ontology=ICD&amp;tab=ClassesTab&amp;id=http%3A%2F%2Fwho.int%2Ficd%232129_cfc38f98_96d4_4521_8015_8965fc5fb8e9","iCat")</x:f>
      </x:c>
      <x:c r="M2132" s="0" t="s">
        <x:v>21</x:v>
      </x:c>
      <x:c r="N2132" s="0" t="s">
        <x:v>46</x:v>
      </x:c>
    </x:row>
    <x:row r="2133" spans="1:16">
      <x:c r="A2133" s="0" t="s">
        <x:v>8366</x:v>
      </x:c>
      <x:c r="B2133" s="0" t="s">
        <x:v>8367</x:v>
      </x:c>
      <x:c r="C2133" s="0" t="s">
        <x:v>8368</x:v>
      </x:c>
      <x:c r="E2133" s="0" t="s">
        <x:v>8369</x:v>
      </x:c>
      <x:c r="F2133" s="0" t="s">
        <x:v>45</x:v>
      </x:c>
      <x:c r="G2133" s="0" t="s">
        <x:v>19</x:v>
      </x:c>
      <x:c r="H2133" s="0" t="s">
        <x:v>20</x:v>
      </x:c>
      <x:c r="I2133" s="0" t="s">
        <x:v>21</x:v>
      </x:c>
      <x:c r="K2133" s="0">
        <x:f>hyperlink("https://icd.who.int/dev11/l-ichi/en#/http%3A%2F%2Fid.who.int%2Ficd%2Fentity%2F449717057","browser")</x:f>
      </x:c>
      <x:c r="L2133" s="0">
        <x:f>hyperlink("https://icat2.azurewebsites.net/icat/?ontology=ICD&amp;tab=ClassesTab&amp;id=http%3A%2F%2Fwho.int%2Ficd%237938_512ebf36_bf6b_4d70_85da_cf2637062af4","iCat")</x:f>
      </x:c>
      <x:c r="M2133" s="0" t="s">
        <x:v>21</x:v>
      </x:c>
      <x:c r="N2133" s="0" t="s">
        <x:v>46</x:v>
      </x:c>
    </x:row>
    <x:row r="2134" spans="1:16">
      <x:c r="A2134" s="0" t="s">
        <x:v>8370</x:v>
      </x:c>
      <x:c r="B2134" s="0" t="s">
        <x:v>8371</x:v>
      </x:c>
      <x:c r="C2134" s="0" t="s">
        <x:v>8372</x:v>
      </x:c>
      <x:c r="E2134" s="0" t="s">
        <x:v>8373</x:v>
      </x:c>
      <x:c r="F2134" s="0" t="s">
        <x:v>45</x:v>
      </x:c>
      <x:c r="G2134" s="0" t="s">
        <x:v>19</x:v>
      </x:c>
      <x:c r="H2134" s="0" t="s">
        <x:v>20</x:v>
      </x:c>
      <x:c r="I2134" s="0" t="s">
        <x:v>21</x:v>
      </x:c>
      <x:c r="K2134" s="0">
        <x:f>hyperlink("https://icd.who.int/dev11/l-ichi/en#/http%3A%2F%2Fid.who.int%2Ficd%2Fentity%2F387414307","browser")</x:f>
      </x:c>
      <x:c r="L2134" s="0">
        <x:f>hyperlink("https://icat2.azurewebsites.net/icat/?ontology=ICD&amp;tab=ClassesTab&amp;id=http%3A%2F%2Fwho.int%2Ficd%232136_cfc38f98_96d4_4521_8015_8965fc5fb8e9","iCat")</x:f>
      </x:c>
      <x:c r="M2134" s="0" t="s">
        <x:v>21</x:v>
      </x:c>
      <x:c r="N2134" s="0" t="s">
        <x:v>46</x:v>
      </x:c>
    </x:row>
    <x:row r="2135" spans="1:16">
      <x:c r="A2135" s="0" t="s">
        <x:v>8374</x:v>
      </x:c>
      <x:c r="B2135" s="0" t="s">
        <x:v>8375</x:v>
      </x:c>
      <x:c r="C2135" s="0" t="s">
        <x:v>8376</x:v>
      </x:c>
      <x:c r="E2135" s="0" t="s">
        <x:v>8377</x:v>
      </x:c>
      <x:c r="F2135" s="0" t="s">
        <x:v>45</x:v>
      </x:c>
      <x:c r="G2135" s="0" t="s">
        <x:v>19</x:v>
      </x:c>
      <x:c r="H2135" s="0" t="s">
        <x:v>20</x:v>
      </x:c>
      <x:c r="I2135" s="0" t="s">
        <x:v>21</x:v>
      </x:c>
      <x:c r="K2135" s="0">
        <x:f>hyperlink("https://icd.who.int/dev11/l-ichi/en#/http%3A%2F%2Fid.who.int%2Ficd%2Fentity%2F337373827","browser")</x:f>
      </x:c>
      <x:c r="L2135" s="0">
        <x:f>hyperlink("https://icat2.azurewebsites.net/icat/?ontology=ICD&amp;tab=ClassesTab&amp;id=http%3A%2F%2Fwho.int%2Ficd%237947_512ebf36_bf6b_4d70_85da_cf2637062af4","iCat")</x:f>
      </x:c>
      <x:c r="M2135" s="0" t="s">
        <x:v>21</x:v>
      </x:c>
      <x:c r="N2135" s="0" t="s">
        <x:v>46</x:v>
      </x:c>
    </x:row>
    <x:row r="2136" spans="1:16">
      <x:c r="A2136" s="0" t="s">
        <x:v>8378</x:v>
      </x:c>
      <x:c r="B2136" s="0" t="s">
        <x:v>8379</x:v>
      </x:c>
      <x:c r="C2136" s="0" t="s">
        <x:v>8380</x:v>
      </x:c>
      <x:c r="E2136" s="0" t="s">
        <x:v>8381</x:v>
      </x:c>
      <x:c r="F2136" s="0" t="s">
        <x:v>45</x:v>
      </x:c>
      <x:c r="G2136" s="0" t="s">
        <x:v>19</x:v>
      </x:c>
      <x:c r="H2136" s="0" t="s">
        <x:v>20</x:v>
      </x:c>
      <x:c r="I2136" s="0" t="s">
        <x:v>21</x:v>
      </x:c>
      <x:c r="K2136" s="0">
        <x:f>hyperlink("https://icd.who.int/dev11/l-ichi/en#/http%3A%2F%2Fid.who.int%2Ficd%2Fentity%2F995823661","browser")</x:f>
      </x:c>
      <x:c r="L2136" s="0">
        <x:f>hyperlink("https://icat2.azurewebsites.net/icat/?ontology=ICD&amp;tab=ClassesTab&amp;id=http%3A%2F%2Fwho.int%2Ficd%237954_512ebf36_bf6b_4d70_85da_cf2637062af4","iCat")</x:f>
      </x:c>
      <x:c r="M2136" s="0" t="s">
        <x:v>21</x:v>
      </x:c>
      <x:c r="N2136" s="0" t="s">
        <x:v>46</x:v>
      </x:c>
    </x:row>
    <x:row r="2137" spans="1:16">
      <x:c r="A2137" s="0" t="s">
        <x:v>8382</x:v>
      </x:c>
      <x:c r="B2137" s="0" t="s">
        <x:v>8383</x:v>
      </x:c>
      <x:c r="C2137" s="0" t="s">
        <x:v>8384</x:v>
      </x:c>
      <x:c r="E2137" s="0" t="s">
        <x:v>8385</x:v>
      </x:c>
      <x:c r="F2137" s="0" t="s">
        <x:v>45</x:v>
      </x:c>
      <x:c r="G2137" s="0" t="s">
        <x:v>19</x:v>
      </x:c>
      <x:c r="H2137" s="0" t="s">
        <x:v>20</x:v>
      </x:c>
      <x:c r="I2137" s="0" t="s">
        <x:v>21</x:v>
      </x:c>
      <x:c r="K2137" s="0">
        <x:f>hyperlink("https://icd.who.int/dev11/l-ichi/en#/http%3A%2F%2Fid.who.int%2Ficd%2Fentity%2F1846863460","browser")</x:f>
      </x:c>
      <x:c r="L2137" s="0">
        <x:f>hyperlink("https://icat2.azurewebsites.net/icat/?ontology=ICD&amp;tab=ClassesTab&amp;id=http%3A%2F%2Fwho.int%2Ficd%237961_512ebf36_bf6b_4d70_85da_cf2637062af4","iCat")</x:f>
      </x:c>
      <x:c r="M2137" s="0" t="s">
        <x:v>21</x:v>
      </x:c>
      <x:c r="N2137" s="0" t="s">
        <x:v>46</x:v>
      </x:c>
    </x:row>
    <x:row r="2138" spans="1:16">
      <x:c r="A2138" s="0" t="s">
        <x:v>8386</x:v>
      </x:c>
      <x:c r="B2138" s="0" t="s">
        <x:v>8387</x:v>
      </x:c>
      <x:c r="C2138" s="0" t="s">
        <x:v>8388</x:v>
      </x:c>
      <x:c r="E2138" s="0" t="s">
        <x:v>8389</x:v>
      </x:c>
      <x:c r="F2138" s="0" t="s">
        <x:v>45</x:v>
      </x:c>
      <x:c r="G2138" s="0" t="s">
        <x:v>19</x:v>
      </x:c>
      <x:c r="H2138" s="0" t="s">
        <x:v>20</x:v>
      </x:c>
      <x:c r="I2138" s="0" t="s">
        <x:v>21</x:v>
      </x:c>
      <x:c r="K2138" s="0">
        <x:f>hyperlink("https://icd.who.int/dev11/l-ichi/en#/http%3A%2F%2Fid.who.int%2Ficd%2Fentity%2F1512835107","browser")</x:f>
      </x:c>
      <x:c r="L2138" s="0">
        <x:f>hyperlink("https://icat2.azurewebsites.net/icat/?ontology=ICD&amp;tab=ClassesTab&amp;id=http%3A%2F%2Fwho.int%2Ficd%23198_d85a204c_d00a_4566_a3b7_2d137a1891cf","iCat")</x:f>
      </x:c>
      <x:c r="M2138" s="0" t="s">
        <x:v>21</x:v>
      </x:c>
      <x:c r="N2138" s="0" t="s">
        <x:v>46</x:v>
      </x:c>
    </x:row>
    <x:row r="2139" spans="1:16">
      <x:c r="A2139" s="0" t="s">
        <x:v>8390</x:v>
      </x:c>
      <x:c r="B2139" s="0" t="s">
        <x:v>8391</x:v>
      </x:c>
      <x:c r="C2139" s="0" t="s">
        <x:v>8392</x:v>
      </x:c>
      <x:c r="E2139" s="0" t="s">
        <x:v>8393</x:v>
      </x:c>
      <x:c r="F2139" s="0" t="s">
        <x:v>45</x:v>
      </x:c>
      <x:c r="G2139" s="0" t="s">
        <x:v>19</x:v>
      </x:c>
      <x:c r="H2139" s="0" t="s">
        <x:v>20</x:v>
      </x:c>
      <x:c r="I2139" s="0" t="s">
        <x:v>21</x:v>
      </x:c>
      <x:c r="K2139" s="0">
        <x:f>hyperlink("https://icd.who.int/dev11/l-ichi/en#/http%3A%2F%2Fid.who.int%2Ficd%2Fentity%2F889308616","browser")</x:f>
      </x:c>
      <x:c r="L2139" s="0">
        <x:f>hyperlink("https://icat2.azurewebsites.net/icat/?ontology=ICD&amp;tab=ClassesTab&amp;id=http%3A%2F%2Fwho.int%2Ficd%23204_d85a204c_d00a_4566_a3b7_2d137a1891cf","iCat")</x:f>
      </x:c>
      <x:c r="M2139" s="0" t="s">
        <x:v>21</x:v>
      </x:c>
      <x:c r="N2139" s="0" t="s">
        <x:v>46</x:v>
      </x:c>
    </x:row>
    <x:row r="2140" spans="1:16">
      <x:c r="A2140" s="0" t="s">
        <x:v>8394</x:v>
      </x:c>
      <x:c r="B2140" s="0" t="s">
        <x:v>8395</x:v>
      </x:c>
      <x:c r="C2140" s="0" t="s">
        <x:v>8396</x:v>
      </x:c>
      <x:c r="E2140" s="0" t="s">
        <x:v>8397</x:v>
      </x:c>
      <x:c r="F2140" s="0" t="s">
        <x:v>45</x:v>
      </x:c>
      <x:c r="G2140" s="0" t="s">
        <x:v>19</x:v>
      </x:c>
      <x:c r="H2140" s="0" t="s">
        <x:v>20</x:v>
      </x:c>
      <x:c r="I2140" s="0" t="s">
        <x:v>21</x:v>
      </x:c>
      <x:c r="K2140" s="0">
        <x:f>hyperlink("https://icd.who.int/dev11/l-ichi/en#/http%3A%2F%2Fid.who.int%2Ficd%2Fentity%2F1791202539","browser")</x:f>
      </x:c>
      <x:c r="L2140" s="0">
        <x:f>hyperlink("https://icat2.azurewebsites.net/icat/?ontology=ICD&amp;tab=ClassesTab&amp;id=http%3A%2F%2Fwho.int%2Ficd%23210_d85a204c_d00a_4566_a3b7_2d137a1891cf","iCat")</x:f>
      </x:c>
      <x:c r="M2140" s="0" t="s">
        <x:v>21</x:v>
      </x:c>
      <x:c r="N2140" s="0" t="s">
        <x:v>46</x:v>
      </x:c>
    </x:row>
    <x:row r="2141" spans="1:16">
      <x:c r="A2141" s="0" t="s">
        <x:v>8398</x:v>
      </x:c>
      <x:c r="B2141" s="0" t="s">
        <x:v>8399</x:v>
      </x:c>
      <x:c r="C2141" s="0" t="s">
        <x:v>8400</x:v>
      </x:c>
      <x:c r="E2141" s="0" t="s">
        <x:v>8401</x:v>
      </x:c>
      <x:c r="F2141" s="0" t="s">
        <x:v>45</x:v>
      </x:c>
      <x:c r="G2141" s="0" t="s">
        <x:v>19</x:v>
      </x:c>
      <x:c r="H2141" s="0" t="s">
        <x:v>20</x:v>
      </x:c>
      <x:c r="I2141" s="0" t="s">
        <x:v>21</x:v>
      </x:c>
      <x:c r="K2141" s="0">
        <x:f>hyperlink("https://icd.who.int/dev11/l-ichi/en#/http%3A%2F%2Fid.who.int%2Ficd%2Fentity%2F985156954","browser")</x:f>
      </x:c>
      <x:c r="L2141" s="0">
        <x:f>hyperlink("https://icat2.azurewebsites.net/icat/?ontology=ICD&amp;tab=ClassesTab&amp;id=http%3A%2F%2Fwho.int%2Ficd%23216_d85a204c_d00a_4566_a3b7_2d137a1891cf","iCat")</x:f>
      </x:c>
      <x:c r="M2141" s="0" t="s">
        <x:v>21</x:v>
      </x:c>
      <x:c r="N2141" s="0" t="s">
        <x:v>46</x:v>
      </x:c>
    </x:row>
    <x:row r="2142" spans="1:16">
      <x:c r="A2142" s="0" t="s">
        <x:v>8402</x:v>
      </x:c>
      <x:c r="B2142" s="0" t="s">
        <x:v>8403</x:v>
      </x:c>
      <x:c r="C2142" s="0" t="s">
        <x:v>8404</x:v>
      </x:c>
      <x:c r="E2142" s="0" t="s">
        <x:v>8405</x:v>
      </x:c>
      <x:c r="F2142" s="0" t="s">
        <x:v>45</x:v>
      </x:c>
      <x:c r="G2142" s="0" t="s">
        <x:v>19</x:v>
      </x:c>
      <x:c r="H2142" s="0" t="s">
        <x:v>20</x:v>
      </x:c>
      <x:c r="I2142" s="0" t="s">
        <x:v>21</x:v>
      </x:c>
      <x:c r="K2142" s="0">
        <x:f>hyperlink("https://icd.who.int/dev11/l-ichi/en#/http%3A%2F%2Fid.who.int%2Ficd%2Fentity%2F1326369065","browser")</x:f>
      </x:c>
      <x:c r="L2142" s="0">
        <x:f>hyperlink("https://icat2.azurewebsites.net/icat/?ontology=ICD&amp;tab=ClassesTab&amp;id=http%3A%2F%2Fwho.int%2Ficd%23222_d85a204c_d00a_4566_a3b7_2d137a1891cf","iCat")</x:f>
      </x:c>
      <x:c r="M2142" s="0" t="s">
        <x:v>21</x:v>
      </x:c>
      <x:c r="N2142" s="0" t="s">
        <x:v>46</x:v>
      </x:c>
    </x:row>
    <x:row r="2143" spans="1:16">
      <x:c r="A2143" s="0" t="s">
        <x:v>8406</x:v>
      </x:c>
      <x:c r="B2143" s="0" t="s">
        <x:v>8407</x:v>
      </x:c>
      <x:c r="C2143" s="0" t="s">
        <x:v>8408</x:v>
      </x:c>
      <x:c r="E2143" s="0" t="s">
        <x:v>8409</x:v>
      </x:c>
      <x:c r="F2143" s="0" t="s">
        <x:v>45</x:v>
      </x:c>
      <x:c r="G2143" s="0" t="s">
        <x:v>19</x:v>
      </x:c>
      <x:c r="H2143" s="0" t="s">
        <x:v>20</x:v>
      </x:c>
      <x:c r="I2143" s="0" t="s">
        <x:v>21</x:v>
      </x:c>
      <x:c r="K2143" s="0">
        <x:f>hyperlink("https://icd.who.int/dev11/l-ichi/en#/http%3A%2F%2Fid.who.int%2Ficd%2Fentity%2F1693689273","browser")</x:f>
      </x:c>
      <x:c r="L2143" s="0">
        <x:f>hyperlink("https://icat2.azurewebsites.net/icat/?ontology=ICD&amp;tab=ClassesTab&amp;id=http%3A%2F%2Fwho.int%2Ficd%23228_d85a204c_d00a_4566_a3b7_2d137a1891cf","iCat")</x:f>
      </x:c>
      <x:c r="M2143" s="0" t="s">
        <x:v>21</x:v>
      </x:c>
      <x:c r="N2143" s="0" t="s">
        <x:v>46</x:v>
      </x:c>
    </x:row>
    <x:row r="2144" spans="1:16">
      <x:c r="A2144" s="0" t="s">
        <x:v>8410</x:v>
      </x:c>
      <x:c r="B2144" s="0" t="s">
        <x:v>8411</x:v>
      </x:c>
      <x:c r="C2144" s="0" t="s">
        <x:v>8412</x:v>
      </x:c>
      <x:c r="E2144" s="0" t="s">
        <x:v>8413</x:v>
      </x:c>
      <x:c r="F2144" s="0" t="s">
        <x:v>45</x:v>
      </x:c>
      <x:c r="G2144" s="0" t="s">
        <x:v>19</x:v>
      </x:c>
      <x:c r="H2144" s="0" t="s">
        <x:v>20</x:v>
      </x:c>
      <x:c r="I2144" s="0" t="s">
        <x:v>21</x:v>
      </x:c>
      <x:c r="K2144" s="0">
        <x:f>hyperlink("https://icd.who.int/dev11/l-ichi/en#/http%3A%2F%2Fid.who.int%2Ficd%2Fentity%2F606601481","browser")</x:f>
      </x:c>
      <x:c r="L2144" s="0">
        <x:f>hyperlink("https://icat2.azurewebsites.net/icat/?ontology=ICD&amp;tab=ClassesTab&amp;id=http%3A%2F%2Fwho.int%2Ficd%237970_512ebf36_bf6b_4d70_85da_cf2637062af4","iCat")</x:f>
      </x:c>
      <x:c r="M2144" s="0" t="s">
        <x:v>21</x:v>
      </x:c>
      <x:c r="N2144" s="0" t="s">
        <x:v>46</x:v>
      </x:c>
    </x:row>
    <x:row r="2145" spans="1:16">
      <x:c r="A2145" s="0" t="s">
        <x:v>8414</x:v>
      </x:c>
      <x:c r="B2145" s="0" t="s">
        <x:v>8415</x:v>
      </x:c>
      <x:c r="C2145" s="0" t="s">
        <x:v>8416</x:v>
      </x:c>
      <x:c r="E2145" s="0" t="s">
        <x:v>8417</x:v>
      </x:c>
      <x:c r="F2145" s="0" t="s">
        <x:v>45</x:v>
      </x:c>
      <x:c r="G2145" s="0" t="s">
        <x:v>19</x:v>
      </x:c>
      <x:c r="H2145" s="0" t="s">
        <x:v>20</x:v>
      </x:c>
      <x:c r="I2145" s="0" t="s">
        <x:v>21</x:v>
      </x:c>
      <x:c r="K2145" s="0">
        <x:f>hyperlink("https://icd.who.int/dev11/l-ichi/en#/http%3A%2F%2Fid.who.int%2Ficd%2Fentity%2F1420470916","browser")</x:f>
      </x:c>
      <x:c r="L2145" s="0">
        <x:f>hyperlink("https://icat2.azurewebsites.net/icat/?ontology=ICD&amp;tab=ClassesTab&amp;id=http%3A%2F%2Fwho.int%2Ficd%237977_512ebf36_bf6b_4d70_85da_cf2637062af4","iCat")</x:f>
      </x:c>
      <x:c r="M2145" s="0" t="s">
        <x:v>21</x:v>
      </x:c>
      <x:c r="N2145" s="0" t="s">
        <x:v>46</x:v>
      </x:c>
    </x:row>
    <x:row r="2146" spans="1:16">
      <x:c r="A2146" s="0" t="s">
        <x:v>8418</x:v>
      </x:c>
      <x:c r="B2146" s="0" t="s">
        <x:v>8419</x:v>
      </x:c>
      <x:c r="D2146" s="0" t="s">
        <x:v>8420</x:v>
      </x:c>
      <x:c r="E2146" s="0" t="s">
        <x:v>8421</x:v>
      </x:c>
      <x:c r="F2146" s="0" t="s">
        <x:v>26</x:v>
      </x:c>
      <x:c r="G2146" s="0" t="s">
        <x:v>22</x:v>
      </x:c>
      <x:c r="H2146" s="0" t="s">
        <x:v>20</x:v>
      </x:c>
      <x:c r="I2146" s="0" t="s">
        <x:v>21</x:v>
      </x:c>
      <x:c r="K2146" s="0">
        <x:f>hyperlink("https://icd.who.int/dev11/l-ichi/en#/http%3A%2F%2Fid.who.int%2Ficd%2Fentity%2F506592671","browser")</x:f>
      </x:c>
      <x:c r="L2146" s="0">
        <x:f>hyperlink("https://icat2.azurewebsites.net/icat/?ontology=ICD&amp;tab=ClassesTab&amp;id=http%3A%2F%2Fwho.int%2Ficd%237985_512ebf36_bf6b_4d70_85da_cf2637062af4","iCat")</x:f>
      </x:c>
      <x:c r="M2146" s="0" t="s">
        <x:v>20</x:v>
      </x:c>
      <x:c r="N2146" s="0" t="s">
        <x:v>19</x:v>
      </x:c>
    </x:row>
    <x:row r="2147" spans="1:16">
      <x:c r="A2147" s="0" t="s">
        <x:v>8422</x:v>
      </x:c>
      <x:c r="B2147" s="0" t="s">
        <x:v>8423</x:v>
      </x:c>
      <x:c r="C2147" s="0" t="s">
        <x:v>8424</x:v>
      </x:c>
      <x:c r="E2147" s="0" t="s">
        <x:v>8425</x:v>
      </x:c>
      <x:c r="F2147" s="0" t="s">
        <x:v>45</x:v>
      </x:c>
      <x:c r="G2147" s="0" t="s">
        <x:v>19</x:v>
      </x:c>
      <x:c r="H2147" s="0" t="s">
        <x:v>20</x:v>
      </x:c>
      <x:c r="I2147" s="0" t="s">
        <x:v>21</x:v>
      </x:c>
      <x:c r="K2147" s="0">
        <x:f>hyperlink("https://icd.who.int/dev11/l-ichi/en#/http%3A%2F%2Fid.who.int%2Ficd%2Fentity%2F1053331363","browser")</x:f>
      </x:c>
      <x:c r="L2147" s="0">
        <x:f>hyperlink("https://icat2.azurewebsites.net/icat/?ontology=ICD&amp;tab=ClassesTab&amp;id=http%3A%2F%2Fwho.int%2Ficd%237984_512ebf36_bf6b_4d70_85da_cf2637062af4","iCat")</x:f>
      </x:c>
      <x:c r="M2147" s="0" t="s">
        <x:v>21</x:v>
      </x:c>
      <x:c r="N2147" s="0" t="s">
        <x:v>46</x:v>
      </x:c>
    </x:row>
    <x:row r="2148" spans="1:16">
      <x:c r="B2148" s="0" t="s">
        <x:v>8426</x:v>
      </x:c>
      <x:c r="C2148" s="0" t="s">
        <x:v>8427</x:v>
      </x:c>
      <x:c r="E2148" s="0" t="s">
        <x:v>8428</x:v>
      </x:c>
      <x:c r="F2148" s="0" t="s">
        <x:v>45</x:v>
      </x:c>
      <x:c r="G2148" s="0" t="s">
        <x:v>19</x:v>
      </x:c>
      <x:c r="H2148" s="0" t="s">
        <x:v>21</x:v>
      </x:c>
      <x:c r="I2148" s="0" t="s">
        <x:v>21</x:v>
      </x:c>
      <x:c r="K2148" s="0">
        <x:f>hyperlink("https://icd.who.int/dev11/l-ichi/en#/http%3A%2F%2Fid.who.int%2Ficd%2Fentity%2F733038617%2Fichi%2Fother","browser")</x:f>
      </x:c>
      <x:c r="L2148" s="0">
        <x:f>hyperlink("","iCat")</x:f>
      </x:c>
      <x:c r="M2148" s="0" t="s">
        <x:v>21</x:v>
      </x:c>
      <x:c r="N2148" s="0" t="s">
        <x:v>46</x:v>
      </x:c>
    </x:row>
    <x:row r="2149" spans="1:16">
      <x:c r="B2149" s="0" t="s">
        <x:v>8429</x:v>
      </x:c>
      <x:c r="C2149" s="0" t="s">
        <x:v>8430</x:v>
      </x:c>
      <x:c r="E2149" s="0" t="s">
        <x:v>8431</x:v>
      </x:c>
      <x:c r="F2149" s="0" t="s">
        <x:v>45</x:v>
      </x:c>
      <x:c r="G2149" s="0" t="s">
        <x:v>19</x:v>
      </x:c>
      <x:c r="H2149" s="0" t="s">
        <x:v>21</x:v>
      </x:c>
      <x:c r="I2149" s="0" t="s">
        <x:v>21</x:v>
      </x:c>
      <x:c r="K2149" s="0">
        <x:f>hyperlink("https://icd.who.int/dev11/l-ichi/en#/http%3A%2F%2Fid.who.int%2Ficd%2Fentity%2F733038617%2Fichi%2Funspecified","browser")</x:f>
      </x:c>
      <x:c r="L2149" s="0">
        <x:f>hyperlink("","iCat")</x:f>
      </x:c>
      <x:c r="M2149" s="0" t="s">
        <x:v>21</x:v>
      </x:c>
      <x:c r="N2149" s="0" t="s">
        <x:v>46</x:v>
      </x:c>
    </x:row>
    <x:row r="2150" spans="1:16">
      <x:c r="A2150" s="0" t="s">
        <x:v>8432</x:v>
      </x:c>
      <x:c r="B2150" s="0" t="s">
        <x:v>8433</x:v>
      </x:c>
      <x:c r="D2150" s="0" t="s">
        <x:v>8434</x:v>
      </x:c>
      <x:c r="E2150" s="0" t="s">
        <x:v>8435</x:v>
      </x:c>
      <x:c r="F2150" s="0" t="s">
        <x:v>26</x:v>
      </x:c>
      <x:c r="G2150" s="0" t="s">
        <x:v>35</x:v>
      </x:c>
      <x:c r="H2150" s="0" t="s">
        <x:v>20</x:v>
      </x:c>
      <x:c r="I2150" s="0" t="s">
        <x:v>21</x:v>
      </x:c>
      <x:c r="K2150" s="0">
        <x:f>hyperlink("https://icd.who.int/dev11/l-ichi/en#/http%3A%2F%2Fid.who.int%2Ficd%2Fentity%2F1582405162","browser")</x:f>
      </x:c>
      <x:c r="L2150" s="0">
        <x:f>hyperlink("https://icat2.azurewebsites.net/icat/?ontology=ICD&amp;tab=ClassesTab&amp;id=http%3A%2F%2Fwho.int%2Ficd%238018_512ebf36_bf6b_4d70_85da_cf2637062af4","iCat")</x:f>
      </x:c>
      <x:c r="M2150" s="0" t="s">
        <x:v>20</x:v>
      </x:c>
      <x:c r="N2150" s="0" t="s">
        <x:v>584</x:v>
      </x:c>
    </x:row>
    <x:row r="2151" spans="1:16">
      <x:c r="A2151" s="0" t="s">
        <x:v>8436</x:v>
      </x:c>
      <x:c r="B2151" s="0" t="s">
        <x:v>8437</x:v>
      </x:c>
      <x:c r="D2151" s="0" t="s">
        <x:v>8438</x:v>
      </x:c>
      <x:c r="E2151" s="0" t="s">
        <x:v>8439</x:v>
      </x:c>
      <x:c r="F2151" s="0" t="s">
        <x:v>26</x:v>
      </x:c>
      <x:c r="G2151" s="0" t="s">
        <x:v>22</x:v>
      </x:c>
      <x:c r="H2151" s="0" t="s">
        <x:v>20</x:v>
      </x:c>
      <x:c r="I2151" s="0" t="s">
        <x:v>21</x:v>
      </x:c>
      <x:c r="K2151" s="0">
        <x:f>hyperlink("https://icd.who.int/dev11/l-ichi/en#/http%3A%2F%2Fid.who.int%2Ficd%2Fentity%2F1701208848","browser")</x:f>
      </x:c>
      <x:c r="L2151" s="0">
        <x:f>hyperlink("https://icat2.azurewebsites.net/icat/?ontology=ICD&amp;tab=ClassesTab&amp;id=http%3A%2F%2Fwho.int%2Ficd%238024_512ebf36_bf6b_4d70_85da_cf2637062af4","iCat")</x:f>
      </x:c>
      <x:c r="M2151" s="0" t="s">
        <x:v>20</x:v>
      </x:c>
      <x:c r="N2151" s="0" t="s">
        <x:v>8440</x:v>
      </x:c>
    </x:row>
    <x:row r="2152" spans="1:16">
      <x:c r="A2152" s="0" t="s">
        <x:v>8441</x:v>
      </x:c>
      <x:c r="B2152" s="0" t="s">
        <x:v>8442</x:v>
      </x:c>
      <x:c r="C2152" s="0" t="s">
        <x:v>8443</x:v>
      </x:c>
      <x:c r="E2152" s="0" t="s">
        <x:v>8444</x:v>
      </x:c>
      <x:c r="F2152" s="0" t="s">
        <x:v>45</x:v>
      </x:c>
      <x:c r="G2152" s="0" t="s">
        <x:v>19</x:v>
      </x:c>
      <x:c r="H2152" s="0" t="s">
        <x:v>20</x:v>
      </x:c>
      <x:c r="I2152" s="0" t="s">
        <x:v>21</x:v>
      </x:c>
      <x:c r="K2152" s="0">
        <x:f>hyperlink("https://icd.who.int/dev11/l-ichi/en#/http%3A%2F%2Fid.who.int%2Ficd%2Fentity%2F1616006386","browser")</x:f>
      </x:c>
      <x:c r="L2152" s="0">
        <x:f>hyperlink("https://icat2.azurewebsites.net/icat/?ontology=ICD&amp;tab=ClassesTab&amp;id=http%3A%2F%2Fwho.int%2Ficd%238017_512ebf36_bf6b_4d70_85da_cf2637062af4","iCat")</x:f>
      </x:c>
      <x:c r="M2152" s="0" t="s">
        <x:v>21</x:v>
      </x:c>
      <x:c r="N2152" s="0" t="s">
        <x:v>46</x:v>
      </x:c>
    </x:row>
    <x:row r="2153" spans="1:16">
      <x:c r="A2153" s="0" t="s">
        <x:v>8445</x:v>
      </x:c>
      <x:c r="B2153" s="0" t="s">
        <x:v>8446</x:v>
      </x:c>
      <x:c r="C2153" s="0" t="s">
        <x:v>8447</x:v>
      </x:c>
      <x:c r="E2153" s="0" t="s">
        <x:v>8448</x:v>
      </x:c>
      <x:c r="F2153" s="0" t="s">
        <x:v>45</x:v>
      </x:c>
      <x:c r="G2153" s="0" t="s">
        <x:v>19</x:v>
      </x:c>
      <x:c r="H2153" s="0" t="s">
        <x:v>20</x:v>
      </x:c>
      <x:c r="I2153" s="0" t="s">
        <x:v>21</x:v>
      </x:c>
      <x:c r="K2153" s="0">
        <x:f>hyperlink("https://icd.who.int/dev11/l-ichi/en#/http%3A%2F%2Fid.who.int%2Ficd%2Fentity%2F713773835","browser")</x:f>
      </x:c>
      <x:c r="L2153" s="0">
        <x:f>hyperlink("https://icat2.azurewebsites.net/icat/?ontology=ICD&amp;tab=ClassesTab&amp;id=http%3A%2F%2Fwho.int%2Ficd%238041_512ebf36_bf6b_4d70_85da_cf2637062af4","iCat")</x:f>
      </x:c>
      <x:c r="M2153" s="0" t="s">
        <x:v>21</x:v>
      </x:c>
      <x:c r="N2153" s="0" t="s">
        <x:v>46</x:v>
      </x:c>
    </x:row>
    <x:row r="2154" spans="1:16">
      <x:c r="A2154" s="0" t="s">
        <x:v>8449</x:v>
      </x:c>
      <x:c r="B2154" s="0" t="s">
        <x:v>8450</x:v>
      </x:c>
      <x:c r="C2154" s="0" t="s">
        <x:v>8451</x:v>
      </x:c>
      <x:c r="E2154" s="0" t="s">
        <x:v>8452</x:v>
      </x:c>
      <x:c r="F2154" s="0" t="s">
        <x:v>45</x:v>
      </x:c>
      <x:c r="G2154" s="0" t="s">
        <x:v>19</x:v>
      </x:c>
      <x:c r="H2154" s="0" t="s">
        <x:v>20</x:v>
      </x:c>
      <x:c r="I2154" s="0" t="s">
        <x:v>21</x:v>
      </x:c>
      <x:c r="K2154" s="0">
        <x:f>hyperlink("https://icd.who.int/dev11/l-ichi/en#/http%3A%2F%2Fid.who.int%2Ficd%2Fentity%2F2062584508","browser")</x:f>
      </x:c>
      <x:c r="L2154" s="0">
        <x:f>hyperlink("https://icat2.azurewebsites.net/icat/?ontology=ICD&amp;tab=ClassesTab&amp;id=http%3A%2F%2Fwho.int%2Ficd%238047_512ebf36_bf6b_4d70_85da_cf2637062af4","iCat")</x:f>
      </x:c>
      <x:c r="M2154" s="0" t="s">
        <x:v>21</x:v>
      </x:c>
      <x:c r="N2154" s="0" t="s">
        <x:v>46</x:v>
      </x:c>
    </x:row>
    <x:row r="2155" spans="1:16">
      <x:c r="A2155" s="0" t="s">
        <x:v>8453</x:v>
      </x:c>
      <x:c r="B2155" s="0" t="s">
        <x:v>8454</x:v>
      </x:c>
      <x:c r="C2155" s="0" t="s">
        <x:v>8455</x:v>
      </x:c>
      <x:c r="E2155" s="0" t="s">
        <x:v>8456</x:v>
      </x:c>
      <x:c r="F2155" s="0" t="s">
        <x:v>45</x:v>
      </x:c>
      <x:c r="G2155" s="0" t="s">
        <x:v>19</x:v>
      </x:c>
      <x:c r="H2155" s="0" t="s">
        <x:v>20</x:v>
      </x:c>
      <x:c r="I2155" s="0" t="s">
        <x:v>21</x:v>
      </x:c>
      <x:c r="K2155" s="0">
        <x:f>hyperlink("https://icd.who.int/dev11/l-ichi/en#/http%3A%2F%2Fid.who.int%2Ficd%2Fentity%2F624090009","browser")</x:f>
      </x:c>
      <x:c r="L2155" s="0">
        <x:f>hyperlink("https://icat2.azurewebsites.net/icat/?ontology=ICD&amp;tab=ClassesTab&amp;id=http%3A%2F%2Fwho.int%2Ficd%238053_512ebf36_bf6b_4d70_85da_cf2637062af4","iCat")</x:f>
      </x:c>
      <x:c r="M2155" s="0" t="s">
        <x:v>21</x:v>
      </x:c>
      <x:c r="N2155" s="0" t="s">
        <x:v>46</x:v>
      </x:c>
    </x:row>
    <x:row r="2156" spans="1:16">
      <x:c r="A2156" s="0" t="s">
        <x:v>8457</x:v>
      </x:c>
      <x:c r="B2156" s="0" t="s">
        <x:v>8458</x:v>
      </x:c>
      <x:c r="C2156" s="0" t="s">
        <x:v>8459</x:v>
      </x:c>
      <x:c r="E2156" s="0" t="s">
        <x:v>8460</x:v>
      </x:c>
      <x:c r="F2156" s="0" t="s">
        <x:v>45</x:v>
      </x:c>
      <x:c r="G2156" s="0" t="s">
        <x:v>19</x:v>
      </x:c>
      <x:c r="H2156" s="0" t="s">
        <x:v>20</x:v>
      </x:c>
      <x:c r="I2156" s="0" t="s">
        <x:v>21</x:v>
      </x:c>
      <x:c r="K2156" s="0">
        <x:f>hyperlink("https://icd.who.int/dev11/l-ichi/en#/http%3A%2F%2Fid.who.int%2Ficd%2Fentity%2F248493833","browser")</x:f>
      </x:c>
      <x:c r="L2156" s="0">
        <x:f>hyperlink("https://icat2.azurewebsites.net/icat/?ontology=ICD&amp;tab=ClassesTab&amp;id=http%3A%2F%2Fwho.int%2Ficd%238059_512ebf36_bf6b_4d70_85da_cf2637062af4","iCat")</x:f>
      </x:c>
      <x:c r="M2156" s="0" t="s">
        <x:v>21</x:v>
      </x:c>
      <x:c r="N2156" s="0" t="s">
        <x:v>46</x:v>
      </x:c>
    </x:row>
    <x:row r="2157" spans="1:16">
      <x:c r="A2157" s="0" t="s">
        <x:v>8461</x:v>
      </x:c>
      <x:c r="B2157" s="0" t="s">
        <x:v>8462</x:v>
      </x:c>
      <x:c r="C2157" s="0" t="s">
        <x:v>8463</x:v>
      </x:c>
      <x:c r="E2157" s="0" t="s">
        <x:v>8464</x:v>
      </x:c>
      <x:c r="F2157" s="0" t="s">
        <x:v>45</x:v>
      </x:c>
      <x:c r="G2157" s="0" t="s">
        <x:v>19</x:v>
      </x:c>
      <x:c r="H2157" s="0" t="s">
        <x:v>20</x:v>
      </x:c>
      <x:c r="I2157" s="0" t="s">
        <x:v>21</x:v>
      </x:c>
      <x:c r="K2157" s="0">
        <x:f>hyperlink("https://icd.who.int/dev11/l-ichi/en#/http%3A%2F%2Fid.who.int%2Ficd%2Fentity%2F794461285","browser")</x:f>
      </x:c>
      <x:c r="L2157" s="0">
        <x:f>hyperlink("https://icat2.azurewebsites.net/icat/?ontology=ICD&amp;tab=ClassesTab&amp;id=http%3A%2F%2Fwho.int%2Ficd%238035_512ebf36_bf6b_4d70_85da_cf2637062af4","iCat")</x:f>
      </x:c>
      <x:c r="M2157" s="0" t="s">
        <x:v>21</x:v>
      </x:c>
      <x:c r="N2157" s="0" t="s">
        <x:v>46</x:v>
      </x:c>
    </x:row>
    <x:row r="2158" spans="1:16">
      <x:c r="A2158" s="0" t="s">
        <x:v>8465</x:v>
      </x:c>
      <x:c r="B2158" s="0" t="s">
        <x:v>8466</x:v>
      </x:c>
      <x:c r="C2158" s="0" t="s">
        <x:v>8467</x:v>
      </x:c>
      <x:c r="E2158" s="0" t="s">
        <x:v>8468</x:v>
      </x:c>
      <x:c r="F2158" s="0" t="s">
        <x:v>45</x:v>
      </x:c>
      <x:c r="G2158" s="0" t="s">
        <x:v>19</x:v>
      </x:c>
      <x:c r="H2158" s="0" t="s">
        <x:v>20</x:v>
      </x:c>
      <x:c r="I2158" s="0" t="s">
        <x:v>21</x:v>
      </x:c>
      <x:c r="K2158" s="0">
        <x:f>hyperlink("https://icd.who.int/dev11/l-ichi/en#/http%3A%2F%2Fid.who.int%2Ficd%2Fentity%2F905462319","browser")</x:f>
      </x:c>
      <x:c r="L2158" s="0">
        <x:f>hyperlink("https://icat2.azurewebsites.net/icat/?ontology=ICD&amp;tab=ClassesTab&amp;id=http%3A%2F%2Fwho.int%2Ficd%238065_512ebf36_bf6b_4d70_85da_cf2637062af4","iCat")</x:f>
      </x:c>
      <x:c r="M2158" s="0" t="s">
        <x:v>21</x:v>
      </x:c>
      <x:c r="N2158" s="0" t="s">
        <x:v>46</x:v>
      </x:c>
    </x:row>
    <x:row r="2159" spans="1:16">
      <x:c r="A2159" s="0" t="s">
        <x:v>8469</x:v>
      </x:c>
      <x:c r="B2159" s="0" t="s">
        <x:v>8470</x:v>
      </x:c>
      <x:c r="C2159" s="0" t="s">
        <x:v>8471</x:v>
      </x:c>
      <x:c r="E2159" s="0" t="s">
        <x:v>8472</x:v>
      </x:c>
      <x:c r="F2159" s="0" t="s">
        <x:v>45</x:v>
      </x:c>
      <x:c r="G2159" s="0" t="s">
        <x:v>19</x:v>
      </x:c>
      <x:c r="H2159" s="0" t="s">
        <x:v>20</x:v>
      </x:c>
      <x:c r="I2159" s="0" t="s">
        <x:v>21</x:v>
      </x:c>
      <x:c r="K2159" s="0">
        <x:f>hyperlink("https://icd.who.int/dev11/l-ichi/en#/http%3A%2F%2Fid.who.int%2Ficd%2Fentity%2F448313473","browser")</x:f>
      </x:c>
      <x:c r="L2159" s="0">
        <x:f>hyperlink("https://icat2.azurewebsites.net/icat/?ontology=ICD&amp;tab=ClassesTab&amp;id=http%3A%2F%2Fwho.int%2Ficd%238076_512ebf36_bf6b_4d70_85da_cf2637062af4","iCat")</x:f>
      </x:c>
      <x:c r="M2159" s="0" t="s">
        <x:v>21</x:v>
      </x:c>
      <x:c r="N2159" s="0" t="s">
        <x:v>46</x:v>
      </x:c>
    </x:row>
    <x:row r="2160" spans="1:16">
      <x:c r="A2160" s="0" t="s">
        <x:v>8473</x:v>
      </x:c>
      <x:c r="B2160" s="0" t="s">
        <x:v>8474</x:v>
      </x:c>
      <x:c r="C2160" s="0" t="s">
        <x:v>8475</x:v>
      </x:c>
      <x:c r="E2160" s="0" t="s">
        <x:v>8476</x:v>
      </x:c>
      <x:c r="F2160" s="0" t="s">
        <x:v>45</x:v>
      </x:c>
      <x:c r="G2160" s="0" t="s">
        <x:v>19</x:v>
      </x:c>
      <x:c r="H2160" s="0" t="s">
        <x:v>20</x:v>
      </x:c>
      <x:c r="I2160" s="0" t="s">
        <x:v>21</x:v>
      </x:c>
      <x:c r="K2160" s="0">
        <x:f>hyperlink("https://icd.who.int/dev11/l-ichi/en#/http%3A%2F%2Fid.who.int%2Ficd%2Fentity%2F1617329141","browser")</x:f>
      </x:c>
      <x:c r="L2160" s="0">
        <x:f>hyperlink("https://icat2.azurewebsites.net/icat/?ontology=ICD&amp;tab=ClassesTab&amp;id=http%3A%2F%2Fwho.int%2Ficd%23375_bdd70b8e_8a2a_40a7_80ae_a6a41ed79fbc","iCat")</x:f>
      </x:c>
      <x:c r="M2160" s="0" t="s">
        <x:v>21</x:v>
      </x:c>
      <x:c r="N2160" s="0" t="s">
        <x:v>46</x:v>
      </x:c>
    </x:row>
    <x:row r="2161" spans="1:16">
      <x:c r="A2161" s="0" t="s">
        <x:v>8477</x:v>
      </x:c>
      <x:c r="B2161" s="0" t="s">
        <x:v>8478</x:v>
      </x:c>
      <x:c r="C2161" s="0" t="s">
        <x:v>8479</x:v>
      </x:c>
      <x:c r="E2161" s="0" t="s">
        <x:v>8480</x:v>
      </x:c>
      <x:c r="F2161" s="0" t="s">
        <x:v>45</x:v>
      </x:c>
      <x:c r="G2161" s="0" t="s">
        <x:v>19</x:v>
      </x:c>
      <x:c r="H2161" s="0" t="s">
        <x:v>20</x:v>
      </x:c>
      <x:c r="I2161" s="0" t="s">
        <x:v>21</x:v>
      </x:c>
      <x:c r="K2161" s="0">
        <x:f>hyperlink("https://icd.who.int/dev11/l-ichi/en#/http%3A%2F%2Fid.who.int%2Ficd%2Fentity%2F5781035","browser")</x:f>
      </x:c>
      <x:c r="L2161" s="0">
        <x:f>hyperlink("https://icat2.azurewebsites.net/icat/?ontology=ICD&amp;tab=ClassesTab&amp;id=http%3A%2F%2Fwho.int%2Ficd%238082_512ebf36_bf6b_4d70_85da_cf2637062af4","iCat")</x:f>
      </x:c>
      <x:c r="M2161" s="0" t="s">
        <x:v>21</x:v>
      </x:c>
      <x:c r="N2161" s="0" t="s">
        <x:v>46</x:v>
      </x:c>
    </x:row>
    <x:row r="2162" spans="1:16">
      <x:c r="A2162" s="0" t="s">
        <x:v>8481</x:v>
      </x:c>
      <x:c r="B2162" s="0" t="s">
        <x:v>8482</x:v>
      </x:c>
      <x:c r="C2162" s="0" t="s">
        <x:v>8483</x:v>
      </x:c>
      <x:c r="E2162" s="0" t="s">
        <x:v>8484</x:v>
      </x:c>
      <x:c r="F2162" s="0" t="s">
        <x:v>45</x:v>
      </x:c>
      <x:c r="G2162" s="0" t="s">
        <x:v>19</x:v>
      </x:c>
      <x:c r="H2162" s="0" t="s">
        <x:v>20</x:v>
      </x:c>
      <x:c r="I2162" s="0" t="s">
        <x:v>21</x:v>
      </x:c>
      <x:c r="K2162" s="0">
        <x:f>hyperlink("https://icd.who.int/dev11/l-ichi/en#/http%3A%2F%2Fid.who.int%2Ficd%2Fentity%2F790154373","browser")</x:f>
      </x:c>
      <x:c r="L2162" s="0">
        <x:f>hyperlink("https://icat2.azurewebsites.net/icat/?ontology=ICD&amp;tab=ClassesTab&amp;id=http%3A%2F%2Fwho.int%2Ficd%238091_512ebf36_bf6b_4d70_85da_cf2637062af4","iCat")</x:f>
      </x:c>
      <x:c r="M2162" s="0" t="s">
        <x:v>21</x:v>
      </x:c>
      <x:c r="N2162" s="0" t="s">
        <x:v>46</x:v>
      </x:c>
    </x:row>
    <x:row r="2163" spans="1:16">
      <x:c r="A2163" s="0" t="s">
        <x:v>8485</x:v>
      </x:c>
      <x:c r="B2163" s="0" t="s">
        <x:v>8486</x:v>
      </x:c>
      <x:c r="C2163" s="0" t="s">
        <x:v>8487</x:v>
      </x:c>
      <x:c r="E2163" s="0" t="s">
        <x:v>8488</x:v>
      </x:c>
      <x:c r="F2163" s="0" t="s">
        <x:v>45</x:v>
      </x:c>
      <x:c r="G2163" s="0" t="s">
        <x:v>19</x:v>
      </x:c>
      <x:c r="H2163" s="0" t="s">
        <x:v>20</x:v>
      </x:c>
      <x:c r="I2163" s="0" t="s">
        <x:v>21</x:v>
      </x:c>
      <x:c r="K2163" s="0">
        <x:f>hyperlink("https://icd.who.int/dev11/l-ichi/en#/http%3A%2F%2Fid.who.int%2Ficd%2Fentity%2F982347971","browser")</x:f>
      </x:c>
      <x:c r="L2163" s="0">
        <x:f>hyperlink("https://icat2.azurewebsites.net/icat/?ontology=ICD&amp;tab=ClassesTab&amp;id=http%3A%2F%2Fwho.int%2Ficd%238104_512ebf36_bf6b_4d70_85da_cf2637062af4","iCat")</x:f>
      </x:c>
      <x:c r="M2163" s="0" t="s">
        <x:v>21</x:v>
      </x:c>
      <x:c r="N2163" s="0" t="s">
        <x:v>46</x:v>
      </x:c>
    </x:row>
    <x:row r="2164" spans="1:16">
      <x:c r="A2164" s="0" t="s">
        <x:v>8489</x:v>
      </x:c>
      <x:c r="B2164" s="0" t="s">
        <x:v>8490</x:v>
      </x:c>
      <x:c r="C2164" s="0" t="s">
        <x:v>8491</x:v>
      </x:c>
      <x:c r="E2164" s="0" t="s">
        <x:v>8492</x:v>
      </x:c>
      <x:c r="F2164" s="0" t="s">
        <x:v>45</x:v>
      </x:c>
      <x:c r="G2164" s="0" t="s">
        <x:v>19</x:v>
      </x:c>
      <x:c r="H2164" s="0" t="s">
        <x:v>20</x:v>
      </x:c>
      <x:c r="I2164" s="0" t="s">
        <x:v>21</x:v>
      </x:c>
      <x:c r="K2164" s="0">
        <x:f>hyperlink("https://icd.who.int/dev11/l-ichi/en#/http%3A%2F%2Fid.who.int%2Ficd%2Fentity%2F1346954644","browser")</x:f>
      </x:c>
      <x:c r="L2164" s="0">
        <x:f>hyperlink("https://icat2.azurewebsites.net/icat/?ontology=ICD&amp;tab=ClassesTab&amp;id=http%3A%2F%2Fwho.int%2Ficd%238114_512ebf36_bf6b_4d70_85da_cf2637062af4","iCat")</x:f>
      </x:c>
      <x:c r="M2164" s="0" t="s">
        <x:v>21</x:v>
      </x:c>
      <x:c r="N2164" s="0" t="s">
        <x:v>46</x:v>
      </x:c>
    </x:row>
    <x:row r="2165" spans="1:16">
      <x:c r="A2165" s="0" t="s">
        <x:v>8493</x:v>
      </x:c>
      <x:c r="B2165" s="0" t="s">
        <x:v>8494</x:v>
      </x:c>
      <x:c r="C2165" s="0" t="s">
        <x:v>8495</x:v>
      </x:c>
      <x:c r="E2165" s="0" t="s">
        <x:v>8496</x:v>
      </x:c>
      <x:c r="F2165" s="0" t="s">
        <x:v>45</x:v>
      </x:c>
      <x:c r="G2165" s="0" t="s">
        <x:v>19</x:v>
      </x:c>
      <x:c r="H2165" s="0" t="s">
        <x:v>20</x:v>
      </x:c>
      <x:c r="I2165" s="0" t="s">
        <x:v>21</x:v>
      </x:c>
      <x:c r="K2165" s="0">
        <x:f>hyperlink("https://icd.who.int/dev11/l-ichi/en#/http%3A%2F%2Fid.who.int%2Ficd%2Fentity%2F637428199","browser")</x:f>
      </x:c>
      <x:c r="L2165" s="0">
        <x:f>hyperlink("https://icat2.azurewebsites.net/icat/?ontology=ICD&amp;tab=ClassesTab&amp;id=http%3A%2F%2Fwho.int%2Ficd%238120_512ebf36_bf6b_4d70_85da_cf2637062af4","iCat")</x:f>
      </x:c>
      <x:c r="M2165" s="0" t="s">
        <x:v>21</x:v>
      </x:c>
      <x:c r="N2165" s="0" t="s">
        <x:v>46</x:v>
      </x:c>
    </x:row>
    <x:row r="2166" spans="1:16">
      <x:c r="A2166" s="0" t="s">
        <x:v>8497</x:v>
      </x:c>
      <x:c r="B2166" s="0" t="s">
        <x:v>8498</x:v>
      </x:c>
      <x:c r="C2166" s="0" t="s">
        <x:v>8499</x:v>
      </x:c>
      <x:c r="E2166" s="0" t="s">
        <x:v>8500</x:v>
      </x:c>
      <x:c r="F2166" s="0" t="s">
        <x:v>45</x:v>
      </x:c>
      <x:c r="G2166" s="0" t="s">
        <x:v>19</x:v>
      </x:c>
      <x:c r="H2166" s="0" t="s">
        <x:v>20</x:v>
      </x:c>
      <x:c r="I2166" s="0" t="s">
        <x:v>21</x:v>
      </x:c>
      <x:c r="K2166" s="0">
        <x:f>hyperlink("https://icd.who.int/dev11/l-ichi/en#/http%3A%2F%2Fid.who.int%2Ficd%2Fentity%2F2050764998","browser")</x:f>
      </x:c>
      <x:c r="L2166" s="0">
        <x:f>hyperlink("https://icat2.azurewebsites.net/icat/?ontology=ICD&amp;tab=ClassesTab&amp;id=http%3A%2F%2Fwho.int%2Ficd%238134_512ebf36_bf6b_4d70_85da_cf2637062af4","iCat")</x:f>
      </x:c>
      <x:c r="M2166" s="0" t="s">
        <x:v>21</x:v>
      </x:c>
      <x:c r="N2166" s="0" t="s">
        <x:v>46</x:v>
      </x:c>
    </x:row>
    <x:row r="2167" spans="1:16">
      <x:c r="A2167" s="0" t="s">
        <x:v>8501</x:v>
      </x:c>
      <x:c r="B2167" s="0" t="s">
        <x:v>8502</x:v>
      </x:c>
      <x:c r="C2167" s="0" t="s">
        <x:v>8503</x:v>
      </x:c>
      <x:c r="E2167" s="0" t="s">
        <x:v>8504</x:v>
      </x:c>
      <x:c r="F2167" s="0" t="s">
        <x:v>45</x:v>
      </x:c>
      <x:c r="G2167" s="0" t="s">
        <x:v>19</x:v>
      </x:c>
      <x:c r="H2167" s="0" t="s">
        <x:v>20</x:v>
      </x:c>
      <x:c r="I2167" s="0" t="s">
        <x:v>21</x:v>
      </x:c>
      <x:c r="K2167" s="0">
        <x:f>hyperlink("https://icd.who.int/dev11/l-ichi/en#/http%3A%2F%2Fid.who.int%2Ficd%2Fentity%2F258952231","browser")</x:f>
      </x:c>
      <x:c r="L2167" s="0">
        <x:f>hyperlink("https://icat2.azurewebsites.net/icat/?ontology=ICD&amp;tab=ClassesTab&amp;id=http%3A%2F%2Fwho.int%2Ficd%238147_512ebf36_bf6b_4d70_85da_cf2637062af4","iCat")</x:f>
      </x:c>
      <x:c r="M2167" s="0" t="s">
        <x:v>21</x:v>
      </x:c>
      <x:c r="N2167" s="0" t="s">
        <x:v>46</x:v>
      </x:c>
    </x:row>
    <x:row r="2168" spans="1:16">
      <x:c r="A2168" s="0" t="s">
        <x:v>8505</x:v>
      </x:c>
      <x:c r="B2168" s="0" t="s">
        <x:v>8506</x:v>
      </x:c>
      <x:c r="C2168" s="0" t="s">
        <x:v>8507</x:v>
      </x:c>
      <x:c r="E2168" s="0" t="s">
        <x:v>8508</x:v>
      </x:c>
      <x:c r="F2168" s="0" t="s">
        <x:v>45</x:v>
      </x:c>
      <x:c r="G2168" s="0" t="s">
        <x:v>19</x:v>
      </x:c>
      <x:c r="H2168" s="0" t="s">
        <x:v>20</x:v>
      </x:c>
      <x:c r="I2168" s="0" t="s">
        <x:v>21</x:v>
      </x:c>
      <x:c r="K2168" s="0">
        <x:f>hyperlink("https://icd.who.int/dev11/l-ichi/en#/http%3A%2F%2Fid.who.int%2Ficd%2Fentity%2F1436103418","browser")</x:f>
      </x:c>
      <x:c r="L2168" s="0">
        <x:f>hyperlink("https://icat2.azurewebsites.net/icat/?ontology=ICD&amp;tab=ClassesTab&amp;id=http%3A%2F%2Fwho.int%2Ficd%238160_512ebf36_bf6b_4d70_85da_cf2637062af4","iCat")</x:f>
      </x:c>
      <x:c r="M2168" s="0" t="s">
        <x:v>21</x:v>
      </x:c>
      <x:c r="N2168" s="0" t="s">
        <x:v>46</x:v>
      </x:c>
    </x:row>
    <x:row r="2169" spans="1:16">
      <x:c r="A2169" s="0" t="s">
        <x:v>8509</x:v>
      </x:c>
      <x:c r="B2169" s="0" t="s">
        <x:v>8510</x:v>
      </x:c>
      <x:c r="C2169" s="0" t="s">
        <x:v>8511</x:v>
      </x:c>
      <x:c r="E2169" s="0" t="s">
        <x:v>8512</x:v>
      </x:c>
      <x:c r="F2169" s="0" t="s">
        <x:v>45</x:v>
      </x:c>
      <x:c r="G2169" s="0" t="s">
        <x:v>19</x:v>
      </x:c>
      <x:c r="H2169" s="0" t="s">
        <x:v>20</x:v>
      </x:c>
      <x:c r="I2169" s="0" t="s">
        <x:v>21</x:v>
      </x:c>
      <x:c r="K2169" s="0">
        <x:f>hyperlink("https://icd.who.int/dev11/l-ichi/en#/http%3A%2F%2Fid.who.int%2Ficd%2Fentity%2F2061092950","browser")</x:f>
      </x:c>
      <x:c r="L2169" s="0">
        <x:f>hyperlink("https://icat2.azurewebsites.net/icat/?ontology=ICD&amp;tab=ClassesTab&amp;id=http%3A%2F%2Fwho.int%2Ficd%238173_512ebf36_bf6b_4d70_85da_cf2637062af4","iCat")</x:f>
      </x:c>
      <x:c r="M2169" s="0" t="s">
        <x:v>21</x:v>
      </x:c>
      <x:c r="N2169" s="0" t="s">
        <x:v>46</x:v>
      </x:c>
    </x:row>
    <x:row r="2170" spans="1:16">
      <x:c r="A2170" s="0" t="s">
        <x:v>8513</x:v>
      </x:c>
      <x:c r="B2170" s="0" t="s">
        <x:v>8514</x:v>
      </x:c>
      <x:c r="C2170" s="0" t="s">
        <x:v>8515</x:v>
      </x:c>
      <x:c r="E2170" s="0" t="s">
        <x:v>8516</x:v>
      </x:c>
      <x:c r="F2170" s="0" t="s">
        <x:v>45</x:v>
      </x:c>
      <x:c r="G2170" s="0" t="s">
        <x:v>19</x:v>
      </x:c>
      <x:c r="H2170" s="0" t="s">
        <x:v>20</x:v>
      </x:c>
      <x:c r="I2170" s="0" t="s">
        <x:v>21</x:v>
      </x:c>
      <x:c r="K2170" s="0">
        <x:f>hyperlink("https://icd.who.int/dev11/l-ichi/en#/http%3A%2F%2Fid.who.int%2Ficd%2Fentity%2F72700105","browser")</x:f>
      </x:c>
      <x:c r="L2170" s="0">
        <x:f>hyperlink("https://icat2.azurewebsites.net/icat/?ontology=ICD&amp;tab=ClassesTab&amp;id=http%3A%2F%2Fwho.int%2Ficd%235948_c351bd26_e8bd_46f1_9e61_43f767fec9b3","iCat")</x:f>
      </x:c>
      <x:c r="M2170" s="0" t="s">
        <x:v>21</x:v>
      </x:c>
      <x:c r="N2170" s="0" t="s">
        <x:v>46</x:v>
      </x:c>
    </x:row>
    <x:row r="2171" spans="1:16">
      <x:c r="A2171" s="0" t="s">
        <x:v>8517</x:v>
      </x:c>
      <x:c r="B2171" s="0" t="s">
        <x:v>8518</x:v>
      </x:c>
      <x:c r="C2171" s="0" t="s">
        <x:v>8519</x:v>
      </x:c>
      <x:c r="E2171" s="0" t="s">
        <x:v>8520</x:v>
      </x:c>
      <x:c r="F2171" s="0" t="s">
        <x:v>45</x:v>
      </x:c>
      <x:c r="G2171" s="0" t="s">
        <x:v>19</x:v>
      </x:c>
      <x:c r="H2171" s="0" t="s">
        <x:v>20</x:v>
      </x:c>
      <x:c r="I2171" s="0" t="s">
        <x:v>21</x:v>
      </x:c>
      <x:c r="K2171" s="0">
        <x:f>hyperlink("https://icd.who.int/dev11/l-ichi/en#/http%3A%2F%2Fid.who.int%2Ficd%2Fentity%2F2130301729","browser")</x:f>
      </x:c>
      <x:c r="L2171" s="0">
        <x:f>hyperlink("https://icat2.azurewebsites.net/icat/?ontology=ICD&amp;tab=ClassesTab&amp;id=http%3A%2F%2Fwho.int%2Ficd%238670_7353cc8f_16bd_4231_887a_95ea54e27297","iCat")</x:f>
      </x:c>
      <x:c r="M2171" s="0" t="s">
        <x:v>21</x:v>
      </x:c>
      <x:c r="N2171" s="0" t="s">
        <x:v>46</x:v>
      </x:c>
    </x:row>
    <x:row r="2172" spans="1:16">
      <x:c r="A2172" s="0" t="s">
        <x:v>8521</x:v>
      </x:c>
      <x:c r="B2172" s="0" t="s">
        <x:v>8522</x:v>
      </x:c>
      <x:c r="C2172" s="0" t="s">
        <x:v>8523</x:v>
      </x:c>
      <x:c r="E2172" s="0" t="s">
        <x:v>8524</x:v>
      </x:c>
      <x:c r="F2172" s="0" t="s">
        <x:v>45</x:v>
      </x:c>
      <x:c r="G2172" s="0" t="s">
        <x:v>19</x:v>
      </x:c>
      <x:c r="H2172" s="0" t="s">
        <x:v>20</x:v>
      </x:c>
      <x:c r="I2172" s="0" t="s">
        <x:v>21</x:v>
      </x:c>
      <x:c r="K2172" s="0">
        <x:f>hyperlink("https://icd.who.int/dev11/l-ichi/en#/http%3A%2F%2Fid.who.int%2Ficd%2Fentity%2F1073420253","browser")</x:f>
      </x:c>
      <x:c r="L2172" s="0">
        <x:f>hyperlink("https://icat2.azurewebsites.net/icat/?ontology=ICD&amp;tab=ClassesTab&amp;id=http%3A%2F%2Fwho.int%2Ficd%238193_512ebf36_bf6b_4d70_85da_cf2637062af4","iCat")</x:f>
      </x:c>
      <x:c r="M2172" s="0" t="s">
        <x:v>21</x:v>
      </x:c>
      <x:c r="N2172" s="0" t="s">
        <x:v>46</x:v>
      </x:c>
    </x:row>
    <x:row r="2173" spans="1:16">
      <x:c r="A2173" s="0" t="s">
        <x:v>8525</x:v>
      </x:c>
      <x:c r="B2173" s="0" t="s">
        <x:v>8526</x:v>
      </x:c>
      <x:c r="C2173" s="0" t="s">
        <x:v>8527</x:v>
      </x:c>
      <x:c r="E2173" s="0" t="s">
        <x:v>8528</x:v>
      </x:c>
      <x:c r="F2173" s="0" t="s">
        <x:v>45</x:v>
      </x:c>
      <x:c r="G2173" s="0" t="s">
        <x:v>19</x:v>
      </x:c>
      <x:c r="H2173" s="0" t="s">
        <x:v>20</x:v>
      </x:c>
      <x:c r="I2173" s="0" t="s">
        <x:v>21</x:v>
      </x:c>
      <x:c r="K2173" s="0">
        <x:f>hyperlink("https://icd.who.int/dev11/l-ichi/en#/http%3A%2F%2Fid.who.int%2Ficd%2Fentity%2F1859453166","browser")</x:f>
      </x:c>
      <x:c r="L2173" s="0">
        <x:f>hyperlink("https://icat2.azurewebsites.net/icat/?ontology=ICD&amp;tab=ClassesTab&amp;id=http%3A%2F%2Fwho.int%2Ficd%238200_512ebf36_bf6b_4d70_85da_cf2637062af4","iCat")</x:f>
      </x:c>
      <x:c r="M2173" s="0" t="s">
        <x:v>21</x:v>
      </x:c>
      <x:c r="N2173" s="0" t="s">
        <x:v>46</x:v>
      </x:c>
    </x:row>
    <x:row r="2174" spans="1:16">
      <x:c r="A2174" s="0" t="s">
        <x:v>8529</x:v>
      </x:c>
      <x:c r="B2174" s="0" t="s">
        <x:v>8530</x:v>
      </x:c>
      <x:c r="C2174" s="0" t="s">
        <x:v>8531</x:v>
      </x:c>
      <x:c r="E2174" s="0" t="s">
        <x:v>8532</x:v>
      </x:c>
      <x:c r="F2174" s="0" t="s">
        <x:v>45</x:v>
      </x:c>
      <x:c r="G2174" s="0" t="s">
        <x:v>19</x:v>
      </x:c>
      <x:c r="H2174" s="0" t="s">
        <x:v>20</x:v>
      </x:c>
      <x:c r="I2174" s="0" t="s">
        <x:v>21</x:v>
      </x:c>
      <x:c r="K2174" s="0">
        <x:f>hyperlink("https://icd.who.int/dev11/l-ichi/en#/http%3A%2F%2Fid.who.int%2Ficd%2Fentity%2F1051646303","browser")</x:f>
      </x:c>
      <x:c r="L2174" s="0">
        <x:f>hyperlink("https://icat2.azurewebsites.net/icat/?ontology=ICD&amp;tab=ClassesTab&amp;id=http%3A%2F%2Fwho.int%2Ficd%238206_512ebf36_bf6b_4d70_85da_cf2637062af4","iCat")</x:f>
      </x:c>
      <x:c r="M2174" s="0" t="s">
        <x:v>21</x:v>
      </x:c>
      <x:c r="N2174" s="0" t="s">
        <x:v>46</x:v>
      </x:c>
    </x:row>
    <x:row r="2175" spans="1:16">
      <x:c r="A2175" s="0" t="s">
        <x:v>8533</x:v>
      </x:c>
      <x:c r="B2175" s="0" t="s">
        <x:v>8534</x:v>
      </x:c>
      <x:c r="C2175" s="0" t="s">
        <x:v>8535</x:v>
      </x:c>
      <x:c r="E2175" s="0" t="s">
        <x:v>8536</x:v>
      </x:c>
      <x:c r="F2175" s="0" t="s">
        <x:v>45</x:v>
      </x:c>
      <x:c r="G2175" s="0" t="s">
        <x:v>19</x:v>
      </x:c>
      <x:c r="H2175" s="0" t="s">
        <x:v>20</x:v>
      </x:c>
      <x:c r="I2175" s="0" t="s">
        <x:v>21</x:v>
      </x:c>
      <x:c r="K2175" s="0">
        <x:f>hyperlink("https://icd.who.int/dev11/l-ichi/en#/http%3A%2F%2Fid.who.int%2Ficd%2Fentity%2F1634502780","browser")</x:f>
      </x:c>
      <x:c r="L2175" s="0">
        <x:f>hyperlink("https://icat2.azurewebsites.net/icat/?ontology=ICD&amp;tab=ClassesTab&amp;id=http%3A%2F%2Fwho.int%2Ficd%238212_512ebf36_bf6b_4d70_85da_cf2637062af4","iCat")</x:f>
      </x:c>
      <x:c r="M2175" s="0" t="s">
        <x:v>21</x:v>
      </x:c>
      <x:c r="N2175" s="0" t="s">
        <x:v>46</x:v>
      </x:c>
    </x:row>
    <x:row r="2176" spans="1:16">
      <x:c r="A2176" s="0" t="s">
        <x:v>8537</x:v>
      </x:c>
      <x:c r="B2176" s="0" t="s">
        <x:v>8538</x:v>
      </x:c>
      <x:c r="C2176" s="0" t="s">
        <x:v>8539</x:v>
      </x:c>
      <x:c r="E2176" s="0" t="s">
        <x:v>8540</x:v>
      </x:c>
      <x:c r="F2176" s="0" t="s">
        <x:v>45</x:v>
      </x:c>
      <x:c r="G2176" s="0" t="s">
        <x:v>19</x:v>
      </x:c>
      <x:c r="H2176" s="0" t="s">
        <x:v>20</x:v>
      </x:c>
      <x:c r="I2176" s="0" t="s">
        <x:v>21</x:v>
      </x:c>
      <x:c r="K2176" s="0">
        <x:f>hyperlink("https://icd.who.int/dev11/l-ichi/en#/http%3A%2F%2Fid.who.int%2Ficd%2Fentity%2F1611089086","browser")</x:f>
      </x:c>
      <x:c r="L2176" s="0">
        <x:f>hyperlink("https://icat2.azurewebsites.net/icat/?ontology=ICD&amp;tab=ClassesTab&amp;id=http%3A%2F%2Fwho.int%2Ficd%235983_c351bd26_e8bd_46f1_9e61_43f767fec9b3","iCat")</x:f>
      </x:c>
      <x:c r="M2176" s="0" t="s">
        <x:v>21</x:v>
      </x:c>
      <x:c r="N2176" s="0" t="s">
        <x:v>46</x:v>
      </x:c>
    </x:row>
    <x:row r="2177" spans="1:16">
      <x:c r="A2177" s="0" t="s">
        <x:v>8541</x:v>
      </x:c>
      <x:c r="B2177" s="0" t="s">
        <x:v>8542</x:v>
      </x:c>
      <x:c r="C2177" s="0" t="s">
        <x:v>8543</x:v>
      </x:c>
      <x:c r="E2177" s="0" t="s">
        <x:v>8544</x:v>
      </x:c>
      <x:c r="F2177" s="0" t="s">
        <x:v>45</x:v>
      </x:c>
      <x:c r="G2177" s="0" t="s">
        <x:v>19</x:v>
      </x:c>
      <x:c r="H2177" s="0" t="s">
        <x:v>20</x:v>
      </x:c>
      <x:c r="I2177" s="0" t="s">
        <x:v>21</x:v>
      </x:c>
      <x:c r="K2177" s="0">
        <x:f>hyperlink("https://icd.who.int/dev11/l-ichi/en#/http%3A%2F%2Fid.who.int%2Ficd%2Fentity%2F1906708938","browser")</x:f>
      </x:c>
      <x:c r="L2177" s="0">
        <x:f>hyperlink("https://icat2.azurewebsites.net/icat/?ontology=ICD&amp;tab=ClassesTab&amp;id=http%3A%2F%2Fwho.int%2Ficd%238224_512ebf36_bf6b_4d70_85da_cf2637062af4","iCat")</x:f>
      </x:c>
      <x:c r="M2177" s="0" t="s">
        <x:v>21</x:v>
      </x:c>
      <x:c r="N2177" s="0" t="s">
        <x:v>46</x:v>
      </x:c>
    </x:row>
    <x:row r="2178" spans="1:16">
      <x:c r="A2178" s="0" t="s">
        <x:v>8545</x:v>
      </x:c>
      <x:c r="B2178" s="0" t="s">
        <x:v>8546</x:v>
      </x:c>
      <x:c r="D2178" s="0" t="s">
        <x:v>8547</x:v>
      </x:c>
      <x:c r="E2178" s="0" t="s">
        <x:v>8548</x:v>
      </x:c>
      <x:c r="F2178" s="0" t="s">
        <x:v>26</x:v>
      </x:c>
      <x:c r="G2178" s="0" t="s">
        <x:v>22</x:v>
      </x:c>
      <x:c r="H2178" s="0" t="s">
        <x:v>20</x:v>
      </x:c>
      <x:c r="I2178" s="0" t="s">
        <x:v>21</x:v>
      </x:c>
      <x:c r="K2178" s="0">
        <x:f>hyperlink("https://icd.who.int/dev11/l-ichi/en#/http%3A%2F%2Fid.who.int%2Ficd%2Fentity%2F245183189","browser")</x:f>
      </x:c>
      <x:c r="L2178" s="0">
        <x:f>hyperlink("https://icat2.azurewebsites.net/icat/?ontology=ICD&amp;tab=ClassesTab&amp;id=http%3A%2F%2Fwho.int%2Ficd%238231_512ebf36_bf6b_4d70_85da_cf2637062af4","iCat")</x:f>
      </x:c>
      <x:c r="M2178" s="0" t="s">
        <x:v>20</x:v>
      </x:c>
      <x:c r="N2178" s="0" t="s">
        <x:v>8549</x:v>
      </x:c>
    </x:row>
    <x:row r="2179" spans="1:16">
      <x:c r="A2179" s="0" t="s">
        <x:v>8550</x:v>
      </x:c>
      <x:c r="B2179" s="0" t="s">
        <x:v>8551</x:v>
      </x:c>
      <x:c r="C2179" s="0" t="s">
        <x:v>8552</x:v>
      </x:c>
      <x:c r="E2179" s="0" t="s">
        <x:v>8553</x:v>
      </x:c>
      <x:c r="F2179" s="0" t="s">
        <x:v>45</x:v>
      </x:c>
      <x:c r="G2179" s="0" t="s">
        <x:v>19</x:v>
      </x:c>
      <x:c r="H2179" s="0" t="s">
        <x:v>20</x:v>
      </x:c>
      <x:c r="I2179" s="0" t="s">
        <x:v>21</x:v>
      </x:c>
      <x:c r="K2179" s="0">
        <x:f>hyperlink("https://icd.who.int/dev11/l-ichi/en#/http%3A%2F%2Fid.who.int%2Ficd%2Fentity%2F778322153","browser")</x:f>
      </x:c>
      <x:c r="L2179" s="0">
        <x:f>hyperlink("https://icat2.azurewebsites.net/icat/?ontology=ICD&amp;tab=ClassesTab&amp;id=http%3A%2F%2Fwho.int%2Ficd%238230_512ebf36_bf6b_4d70_85da_cf2637062af4","iCat")</x:f>
      </x:c>
      <x:c r="M2179" s="0" t="s">
        <x:v>21</x:v>
      </x:c>
      <x:c r="N2179" s="0" t="s">
        <x:v>46</x:v>
      </x:c>
    </x:row>
    <x:row r="2180" spans="1:16">
      <x:c r="A2180" s="0" t="s">
        <x:v>8554</x:v>
      </x:c>
      <x:c r="B2180" s="0" t="s">
        <x:v>8555</x:v>
      </x:c>
      <x:c r="C2180" s="0" t="s">
        <x:v>8556</x:v>
      </x:c>
      <x:c r="E2180" s="0" t="s">
        <x:v>8557</x:v>
      </x:c>
      <x:c r="F2180" s="0" t="s">
        <x:v>45</x:v>
      </x:c>
      <x:c r="G2180" s="0" t="s">
        <x:v>19</x:v>
      </x:c>
      <x:c r="H2180" s="0" t="s">
        <x:v>20</x:v>
      </x:c>
      <x:c r="I2180" s="0" t="s">
        <x:v>21</x:v>
      </x:c>
      <x:c r="K2180" s="0">
        <x:f>hyperlink("https://icd.who.int/dev11/l-ichi/en#/http%3A%2F%2Fid.who.int%2Ficd%2Fentity%2F1530346508","browser")</x:f>
      </x:c>
      <x:c r="L2180" s="0">
        <x:f>hyperlink("https://icat2.azurewebsites.net/icat/?ontology=ICD&amp;tab=ClassesTab&amp;id=http%3A%2F%2Fwho.int%2Ficd%238243_512ebf36_bf6b_4d70_85da_cf2637062af4","iCat")</x:f>
      </x:c>
      <x:c r="M2180" s="0" t="s">
        <x:v>21</x:v>
      </x:c>
      <x:c r="N2180" s="0" t="s">
        <x:v>46</x:v>
      </x:c>
    </x:row>
    <x:row r="2181" spans="1:16">
      <x:c r="A2181" s="0" t="s">
        <x:v>8558</x:v>
      </x:c>
      <x:c r="B2181" s="0" t="s">
        <x:v>8559</x:v>
      </x:c>
      <x:c r="C2181" s="0" t="s">
        <x:v>8560</x:v>
      </x:c>
      <x:c r="E2181" s="0" t="s">
        <x:v>8561</x:v>
      </x:c>
      <x:c r="F2181" s="0" t="s">
        <x:v>45</x:v>
      </x:c>
      <x:c r="G2181" s="0" t="s">
        <x:v>19</x:v>
      </x:c>
      <x:c r="H2181" s="0" t="s">
        <x:v>20</x:v>
      </x:c>
      <x:c r="I2181" s="0" t="s">
        <x:v>21</x:v>
      </x:c>
      <x:c r="K2181" s="0">
        <x:f>hyperlink("https://icd.who.int/dev11/l-ichi/en#/http%3A%2F%2Fid.who.int%2Ficd%2Fentity%2F1418638490","browser")</x:f>
      </x:c>
      <x:c r="L2181" s="0">
        <x:f>hyperlink("https://icat2.azurewebsites.net/icat/?ontology=ICD&amp;tab=ClassesTab&amp;id=http%3A%2F%2Fwho.int%2Ficd%238251_512ebf36_bf6b_4d70_85da_cf2637062af4","iCat")</x:f>
      </x:c>
      <x:c r="M2181" s="0" t="s">
        <x:v>21</x:v>
      </x:c>
      <x:c r="N2181" s="0" t="s">
        <x:v>46</x:v>
      </x:c>
    </x:row>
    <x:row r="2182" spans="1:16">
      <x:c r="A2182" s="0" t="s">
        <x:v>8562</x:v>
      </x:c>
      <x:c r="B2182" s="0" t="s">
        <x:v>8563</x:v>
      </x:c>
      <x:c r="C2182" s="0" t="s">
        <x:v>8564</x:v>
      </x:c>
      <x:c r="E2182" s="0" t="s">
        <x:v>8565</x:v>
      </x:c>
      <x:c r="F2182" s="0" t="s">
        <x:v>45</x:v>
      </x:c>
      <x:c r="G2182" s="0" t="s">
        <x:v>19</x:v>
      </x:c>
      <x:c r="H2182" s="0" t="s">
        <x:v>20</x:v>
      </x:c>
      <x:c r="I2182" s="0" t="s">
        <x:v>21</x:v>
      </x:c>
      <x:c r="K2182" s="0">
        <x:f>hyperlink("https://icd.who.int/dev11/l-ichi/en#/http%3A%2F%2Fid.who.int%2Ficd%2Fentity%2F339735711","browser")</x:f>
      </x:c>
      <x:c r="L2182" s="0">
        <x:f>hyperlink("https://icat2.azurewebsites.net/icat/?ontology=ICD&amp;tab=ClassesTab&amp;id=http%3A%2F%2Fwho.int%2Ficd%238261_512ebf36_bf6b_4d70_85da_cf2637062af4","iCat")</x:f>
      </x:c>
      <x:c r="M2182" s="0" t="s">
        <x:v>21</x:v>
      </x:c>
      <x:c r="N2182" s="0" t="s">
        <x:v>46</x:v>
      </x:c>
    </x:row>
    <x:row r="2183" spans="1:16">
      <x:c r="A2183" s="0" t="s">
        <x:v>8566</x:v>
      </x:c>
      <x:c r="B2183" s="0" t="s">
        <x:v>8567</x:v>
      </x:c>
      <x:c r="C2183" s="0" t="s">
        <x:v>8568</x:v>
      </x:c>
      <x:c r="E2183" s="0" t="s">
        <x:v>8569</x:v>
      </x:c>
      <x:c r="F2183" s="0" t="s">
        <x:v>45</x:v>
      </x:c>
      <x:c r="G2183" s="0" t="s">
        <x:v>19</x:v>
      </x:c>
      <x:c r="H2183" s="0" t="s">
        <x:v>20</x:v>
      </x:c>
      <x:c r="I2183" s="0" t="s">
        <x:v>21</x:v>
      </x:c>
      <x:c r="K2183" s="0">
        <x:f>hyperlink("https://icd.who.int/dev11/l-ichi/en#/http%3A%2F%2Fid.who.int%2Ficd%2Fentity%2F1145318704","browser")</x:f>
      </x:c>
      <x:c r="L2183" s="0">
        <x:f>hyperlink("https://icat2.azurewebsites.net/icat/?ontology=ICD&amp;tab=ClassesTab&amp;id=http%3A%2F%2Fwho.int%2Ficd%238267_512ebf36_bf6b_4d70_85da_cf2637062af4","iCat")</x:f>
      </x:c>
      <x:c r="M2183" s="0" t="s">
        <x:v>21</x:v>
      </x:c>
      <x:c r="N2183" s="0" t="s">
        <x:v>46</x:v>
      </x:c>
    </x:row>
    <x:row r="2184" spans="1:16">
      <x:c r="A2184" s="0" t="s">
        <x:v>8570</x:v>
      </x:c>
      <x:c r="B2184" s="0" t="s">
        <x:v>8571</x:v>
      </x:c>
      <x:c r="C2184" s="0" t="s">
        <x:v>8572</x:v>
      </x:c>
      <x:c r="E2184" s="0" t="s">
        <x:v>8573</x:v>
      </x:c>
      <x:c r="F2184" s="0" t="s">
        <x:v>45</x:v>
      </x:c>
      <x:c r="G2184" s="0" t="s">
        <x:v>19</x:v>
      </x:c>
      <x:c r="H2184" s="0" t="s">
        <x:v>20</x:v>
      </x:c>
      <x:c r="I2184" s="0" t="s">
        <x:v>21</x:v>
      </x:c>
      <x:c r="K2184" s="0">
        <x:f>hyperlink("https://icd.who.int/dev11/l-ichi/en#/http%3A%2F%2Fid.who.int%2Ficd%2Fentity%2F242797125","browser")</x:f>
      </x:c>
      <x:c r="L2184" s="0">
        <x:f>hyperlink("https://icat2.azurewebsites.net/icat/?ontology=ICD&amp;tab=ClassesTab&amp;id=http%3A%2F%2Fwho.int%2Ficd%238276_512ebf36_bf6b_4d70_85da_cf2637062af4","iCat")</x:f>
      </x:c>
      <x:c r="M2184" s="0" t="s">
        <x:v>21</x:v>
      </x:c>
      <x:c r="N2184" s="0" t="s">
        <x:v>46</x:v>
      </x:c>
    </x:row>
    <x:row r="2185" spans="1:16">
      <x:c r="A2185" s="0" t="s">
        <x:v>8574</x:v>
      </x:c>
      <x:c r="B2185" s="0" t="s">
        <x:v>8575</x:v>
      </x:c>
      <x:c r="C2185" s="0" t="s">
        <x:v>8576</x:v>
      </x:c>
      <x:c r="E2185" s="0" t="s">
        <x:v>8577</x:v>
      </x:c>
      <x:c r="F2185" s="0" t="s">
        <x:v>45</x:v>
      </x:c>
      <x:c r="G2185" s="0" t="s">
        <x:v>19</x:v>
      </x:c>
      <x:c r="H2185" s="0" t="s">
        <x:v>20</x:v>
      </x:c>
      <x:c r="I2185" s="0" t="s">
        <x:v>21</x:v>
      </x:c>
      <x:c r="K2185" s="0">
        <x:f>hyperlink("https://icd.who.int/dev11/l-ichi/en#/http%3A%2F%2Fid.who.int%2Ficd%2Fentity%2F564101275","browser")</x:f>
      </x:c>
      <x:c r="L2185" s="0">
        <x:f>hyperlink("https://icat2.azurewebsites.net/icat/?ontology=ICD&amp;tab=ClassesTab&amp;id=http%3A%2F%2Fwho.int%2Ficd%238286_512ebf36_bf6b_4d70_85da_cf2637062af4","iCat")</x:f>
      </x:c>
      <x:c r="M2185" s="0" t="s">
        <x:v>21</x:v>
      </x:c>
      <x:c r="N2185" s="0" t="s">
        <x:v>46</x:v>
      </x:c>
    </x:row>
    <x:row r="2186" spans="1:16">
      <x:c r="A2186" s="0" t="s">
        <x:v>8578</x:v>
      </x:c>
      <x:c r="B2186" s="0" t="s">
        <x:v>8579</x:v>
      </x:c>
      <x:c r="C2186" s="0" t="s">
        <x:v>8580</x:v>
      </x:c>
      <x:c r="E2186" s="0" t="s">
        <x:v>8581</x:v>
      </x:c>
      <x:c r="F2186" s="0" t="s">
        <x:v>45</x:v>
      </x:c>
      <x:c r="G2186" s="0" t="s">
        <x:v>19</x:v>
      </x:c>
      <x:c r="H2186" s="0" t="s">
        <x:v>20</x:v>
      </x:c>
      <x:c r="I2186" s="0" t="s">
        <x:v>21</x:v>
      </x:c>
      <x:c r="K2186" s="0">
        <x:f>hyperlink("https://icd.who.int/dev11/l-ichi/en#/http%3A%2F%2Fid.who.int%2Ficd%2Fentity%2F1805871090","browser")</x:f>
      </x:c>
      <x:c r="L2186" s="0">
        <x:f>hyperlink("https://icat2.azurewebsites.net/icat/?ontology=ICD&amp;tab=ClassesTab&amp;id=http%3A%2F%2Fwho.int%2Ficd%238297_512ebf36_bf6b_4d70_85da_cf2637062af4","iCat")</x:f>
      </x:c>
      <x:c r="M2186" s="0" t="s">
        <x:v>21</x:v>
      </x:c>
      <x:c r="N2186" s="0" t="s">
        <x:v>46</x:v>
      </x:c>
    </x:row>
    <x:row r="2187" spans="1:16">
      <x:c r="A2187" s="0" t="s">
        <x:v>8582</x:v>
      </x:c>
      <x:c r="B2187" s="0" t="s">
        <x:v>8583</x:v>
      </x:c>
      <x:c r="C2187" s="0" t="s">
        <x:v>8584</x:v>
      </x:c>
      <x:c r="E2187" s="0" t="s">
        <x:v>8585</x:v>
      </x:c>
      <x:c r="F2187" s="0" t="s">
        <x:v>45</x:v>
      </x:c>
      <x:c r="G2187" s="0" t="s">
        <x:v>19</x:v>
      </x:c>
      <x:c r="H2187" s="0" t="s">
        <x:v>20</x:v>
      </x:c>
      <x:c r="I2187" s="0" t="s">
        <x:v>21</x:v>
      </x:c>
      <x:c r="K2187" s="0">
        <x:f>hyperlink("https://icd.who.int/dev11/l-ichi/en#/http%3A%2F%2Fid.who.int%2Ficd%2Fentity%2F1261510596","browser")</x:f>
      </x:c>
      <x:c r="L2187" s="0">
        <x:f>hyperlink("https://icat2.azurewebsites.net/icat/?ontology=ICD&amp;tab=ClassesTab&amp;id=http%3A%2F%2Fwho.int%2Ficd%238306_512ebf36_bf6b_4d70_85da_cf2637062af4","iCat")</x:f>
      </x:c>
      <x:c r="M2187" s="0" t="s">
        <x:v>21</x:v>
      </x:c>
      <x:c r="N2187" s="0" t="s">
        <x:v>46</x:v>
      </x:c>
    </x:row>
    <x:row r="2188" spans="1:16">
      <x:c r="A2188" s="0" t="s">
        <x:v>8586</x:v>
      </x:c>
      <x:c r="B2188" s="0" t="s">
        <x:v>8587</x:v>
      </x:c>
      <x:c r="C2188" s="0" t="s">
        <x:v>8588</x:v>
      </x:c>
      <x:c r="E2188" s="0" t="s">
        <x:v>8589</x:v>
      </x:c>
      <x:c r="F2188" s="0" t="s">
        <x:v>45</x:v>
      </x:c>
      <x:c r="G2188" s="0" t="s">
        <x:v>19</x:v>
      </x:c>
      <x:c r="H2188" s="0" t="s">
        <x:v>20</x:v>
      </x:c>
      <x:c r="I2188" s="0" t="s">
        <x:v>21</x:v>
      </x:c>
      <x:c r="K2188" s="0">
        <x:f>hyperlink("https://icd.who.int/dev11/l-ichi/en#/http%3A%2F%2Fid.who.int%2Ficd%2Fentity%2F1149802322","browser")</x:f>
      </x:c>
      <x:c r="L2188" s="0">
        <x:f>hyperlink("https://icat2.azurewebsites.net/icat/?ontology=ICD&amp;tab=ClassesTab&amp;id=http%3A%2F%2Fwho.int%2Ficd%238314_512ebf36_bf6b_4d70_85da_cf2637062af4","iCat")</x:f>
      </x:c>
      <x:c r="M2188" s="0" t="s">
        <x:v>21</x:v>
      </x:c>
      <x:c r="N2188" s="0" t="s">
        <x:v>46</x:v>
      </x:c>
    </x:row>
    <x:row r="2189" spans="1:16">
      <x:c r="A2189" s="0" t="s">
        <x:v>8590</x:v>
      </x:c>
      <x:c r="B2189" s="0" t="s">
        <x:v>8591</x:v>
      </x:c>
      <x:c r="C2189" s="0" t="s">
        <x:v>8592</x:v>
      </x:c>
      <x:c r="E2189" s="0" t="s">
        <x:v>8593</x:v>
      </x:c>
      <x:c r="F2189" s="0" t="s">
        <x:v>45</x:v>
      </x:c>
      <x:c r="G2189" s="0" t="s">
        <x:v>19</x:v>
      </x:c>
      <x:c r="H2189" s="0" t="s">
        <x:v>20</x:v>
      </x:c>
      <x:c r="I2189" s="0" t="s">
        <x:v>21</x:v>
      </x:c>
      <x:c r="K2189" s="0">
        <x:f>hyperlink("https://icd.who.int/dev11/l-ichi/en#/http%3A%2F%2Fid.who.int%2Ficd%2Fentity%2F1958444250","browser")</x:f>
      </x:c>
      <x:c r="L2189" s="0">
        <x:f>hyperlink("https://icat2.azurewebsites.net/icat/?ontology=ICD&amp;tab=ClassesTab&amp;id=http%3A%2F%2Fwho.int%2Ficd%238323_512ebf36_bf6b_4d70_85da_cf2637062af4","iCat")</x:f>
      </x:c>
      <x:c r="M2189" s="0" t="s">
        <x:v>21</x:v>
      </x:c>
      <x:c r="N2189" s="0" t="s">
        <x:v>46</x:v>
      </x:c>
    </x:row>
    <x:row r="2190" spans="1:16">
      <x:c r="A2190" s="0" t="s">
        <x:v>8594</x:v>
      </x:c>
      <x:c r="B2190" s="0" t="s">
        <x:v>8595</x:v>
      </x:c>
      <x:c r="C2190" s="0" t="s">
        <x:v>8596</x:v>
      </x:c>
      <x:c r="E2190" s="0" t="s">
        <x:v>8597</x:v>
      </x:c>
      <x:c r="F2190" s="0" t="s">
        <x:v>45</x:v>
      </x:c>
      <x:c r="G2190" s="0" t="s">
        <x:v>19</x:v>
      </x:c>
      <x:c r="H2190" s="0" t="s">
        <x:v>20</x:v>
      </x:c>
      <x:c r="I2190" s="0" t="s">
        <x:v>21</x:v>
      </x:c>
      <x:c r="K2190" s="0">
        <x:f>hyperlink("https://icd.who.int/dev11/l-ichi/en#/http%3A%2F%2Fid.who.int%2Ficd%2Fentity%2F1598427210","browser")</x:f>
      </x:c>
      <x:c r="L2190" s="0">
        <x:f>hyperlink("https://icat2.azurewebsites.net/icat/?ontology=ICD&amp;tab=ClassesTab&amp;id=http%3A%2F%2Fwho.int%2Ficd%238329_512ebf36_bf6b_4d70_85da_cf2637062af4","iCat")</x:f>
      </x:c>
      <x:c r="M2190" s="0" t="s">
        <x:v>21</x:v>
      </x:c>
      <x:c r="N2190" s="0" t="s">
        <x:v>46</x:v>
      </x:c>
    </x:row>
    <x:row r="2191" spans="1:16">
      <x:c r="A2191" s="0" t="s">
        <x:v>8598</x:v>
      </x:c>
      <x:c r="B2191" s="0" t="s">
        <x:v>8599</x:v>
      </x:c>
      <x:c r="C2191" s="0" t="s">
        <x:v>8600</x:v>
      </x:c>
      <x:c r="E2191" s="0" t="s">
        <x:v>8601</x:v>
      </x:c>
      <x:c r="F2191" s="0" t="s">
        <x:v>45</x:v>
      </x:c>
      <x:c r="G2191" s="0" t="s">
        <x:v>19</x:v>
      </x:c>
      <x:c r="H2191" s="0" t="s">
        <x:v>20</x:v>
      </x:c>
      <x:c r="I2191" s="0" t="s">
        <x:v>21</x:v>
      </x:c>
      <x:c r="K2191" s="0">
        <x:f>hyperlink("https://icd.who.int/dev11/l-ichi/en#/http%3A%2F%2Fid.who.int%2Ficd%2Fentity%2F1308962878","browser")</x:f>
      </x:c>
      <x:c r="L2191" s="0">
        <x:f>hyperlink("https://icat2.azurewebsites.net/icat/?ontology=ICD&amp;tab=ClassesTab&amp;id=http%3A%2F%2Fwho.int%2Ficd%238335_512ebf36_bf6b_4d70_85da_cf2637062af4","iCat")</x:f>
      </x:c>
      <x:c r="M2191" s="0" t="s">
        <x:v>21</x:v>
      </x:c>
      <x:c r="N2191" s="0" t="s">
        <x:v>46</x:v>
      </x:c>
    </x:row>
    <x:row r="2192" spans="1:16">
      <x:c r="A2192" s="0" t="s">
        <x:v>8602</x:v>
      </x:c>
      <x:c r="B2192" s="0" t="s">
        <x:v>8603</x:v>
      </x:c>
      <x:c r="C2192" s="0" t="s">
        <x:v>8604</x:v>
      </x:c>
      <x:c r="E2192" s="0" t="s">
        <x:v>8605</x:v>
      </x:c>
      <x:c r="F2192" s="0" t="s">
        <x:v>45</x:v>
      </x:c>
      <x:c r="G2192" s="0" t="s">
        <x:v>19</x:v>
      </x:c>
      <x:c r="H2192" s="0" t="s">
        <x:v>20</x:v>
      </x:c>
      <x:c r="I2192" s="0" t="s">
        <x:v>21</x:v>
      </x:c>
      <x:c r="K2192" s="0">
        <x:f>hyperlink("https://icd.who.int/dev11/l-ichi/en#/http%3A%2F%2Fid.who.int%2Ficd%2Fentity%2F782826135","browser")</x:f>
      </x:c>
      <x:c r="L2192" s="0">
        <x:f>hyperlink("https://icat2.azurewebsites.net/icat/?ontology=ICD&amp;tab=ClassesTab&amp;id=http%3A%2F%2Fwho.int%2Ficd%238343_512ebf36_bf6b_4d70_85da_cf2637062af4","iCat")</x:f>
      </x:c>
      <x:c r="M2192" s="0" t="s">
        <x:v>21</x:v>
      </x:c>
      <x:c r="N2192" s="0" t="s">
        <x:v>46</x:v>
      </x:c>
    </x:row>
    <x:row r="2193" spans="1:16">
      <x:c r="A2193" s="0" t="s">
        <x:v>8606</x:v>
      </x:c>
      <x:c r="B2193" s="0" t="s">
        <x:v>8607</x:v>
      </x:c>
      <x:c r="C2193" s="0" t="s">
        <x:v>8608</x:v>
      </x:c>
      <x:c r="E2193" s="0" t="s">
        <x:v>8609</x:v>
      </x:c>
      <x:c r="F2193" s="0" t="s">
        <x:v>45</x:v>
      </x:c>
      <x:c r="G2193" s="0" t="s">
        <x:v>19</x:v>
      </x:c>
      <x:c r="H2193" s="0" t="s">
        <x:v>20</x:v>
      </x:c>
      <x:c r="I2193" s="0" t="s">
        <x:v>21</x:v>
      </x:c>
      <x:c r="K2193" s="0">
        <x:f>hyperlink("https://icd.who.int/dev11/l-ichi/en#/http%3A%2F%2Fid.who.int%2Ficd%2Fentity%2F554791429","browser")</x:f>
      </x:c>
      <x:c r="L2193" s="0">
        <x:f>hyperlink("https://icat2.azurewebsites.net/icat/?ontology=ICD&amp;tab=ClassesTab&amp;id=http%3A%2F%2Fwho.int%2Ficd%238351_512ebf36_bf6b_4d70_85da_cf2637062af4","iCat")</x:f>
      </x:c>
      <x:c r="M2193" s="0" t="s">
        <x:v>21</x:v>
      </x:c>
      <x:c r="N2193" s="0" t="s">
        <x:v>46</x:v>
      </x:c>
    </x:row>
    <x:row r="2194" spans="1:16">
      <x:c r="A2194" s="0" t="s">
        <x:v>8610</x:v>
      </x:c>
      <x:c r="B2194" s="0" t="s">
        <x:v>8611</x:v>
      </x:c>
      <x:c r="C2194" s="0" t="s">
        <x:v>8612</x:v>
      </x:c>
      <x:c r="E2194" s="0" t="s">
        <x:v>8613</x:v>
      </x:c>
      <x:c r="F2194" s="0" t="s">
        <x:v>45</x:v>
      </x:c>
      <x:c r="G2194" s="0" t="s">
        <x:v>19</x:v>
      </x:c>
      <x:c r="H2194" s="0" t="s">
        <x:v>20</x:v>
      </x:c>
      <x:c r="I2194" s="0" t="s">
        <x:v>21</x:v>
      </x:c>
      <x:c r="K2194" s="0">
        <x:f>hyperlink("https://icd.who.int/dev11/l-ichi/en#/http%3A%2F%2Fid.who.int%2Ficd%2Fentity%2F1902816180","browser")</x:f>
      </x:c>
      <x:c r="L2194" s="0">
        <x:f>hyperlink("https://icat2.azurewebsites.net/icat/?ontology=ICD&amp;tab=ClassesTab&amp;id=http%3A%2F%2Fwho.int%2Ficd%238357_512ebf36_bf6b_4d70_85da_cf2637062af4","iCat")</x:f>
      </x:c>
      <x:c r="M2194" s="0" t="s">
        <x:v>21</x:v>
      </x:c>
      <x:c r="N2194" s="0" t="s">
        <x:v>46</x:v>
      </x:c>
    </x:row>
    <x:row r="2195" spans="1:16">
      <x:c r="A2195" s="0" t="s">
        <x:v>8614</x:v>
      </x:c>
      <x:c r="B2195" s="0" t="s">
        <x:v>8615</x:v>
      </x:c>
      <x:c r="C2195" s="0" t="s">
        <x:v>8616</x:v>
      </x:c>
      <x:c r="E2195" s="0" t="s">
        <x:v>8617</x:v>
      </x:c>
      <x:c r="F2195" s="0" t="s">
        <x:v>45</x:v>
      </x:c>
      <x:c r="G2195" s="0" t="s">
        <x:v>19</x:v>
      </x:c>
      <x:c r="H2195" s="0" t="s">
        <x:v>20</x:v>
      </x:c>
      <x:c r="I2195" s="0" t="s">
        <x:v>21</x:v>
      </x:c>
      <x:c r="K2195" s="0">
        <x:f>hyperlink("https://icd.who.int/dev11/l-ichi/en#/http%3A%2F%2Fid.who.int%2Ficd%2Fentity%2F1952351306","browser")</x:f>
      </x:c>
      <x:c r="L2195" s="0">
        <x:f>hyperlink("https://icat2.azurewebsites.net/icat/?ontology=ICD&amp;tab=ClassesTab&amp;id=http%3A%2F%2Fwho.int%2Ficd%238364_512ebf36_bf6b_4d70_85da_cf2637062af4","iCat")</x:f>
      </x:c>
      <x:c r="M2195" s="0" t="s">
        <x:v>21</x:v>
      </x:c>
      <x:c r="N2195" s="0" t="s">
        <x:v>46</x:v>
      </x:c>
    </x:row>
    <x:row r="2196" spans="1:16">
      <x:c r="A2196" s="0" t="s">
        <x:v>8618</x:v>
      </x:c>
      <x:c r="B2196" s="0" t="s">
        <x:v>8619</x:v>
      </x:c>
      <x:c r="C2196" s="0" t="s">
        <x:v>8620</x:v>
      </x:c>
      <x:c r="E2196" s="0" t="s">
        <x:v>8621</x:v>
      </x:c>
      <x:c r="F2196" s="0" t="s">
        <x:v>45</x:v>
      </x:c>
      <x:c r="G2196" s="0" t="s">
        <x:v>19</x:v>
      </x:c>
      <x:c r="H2196" s="0" t="s">
        <x:v>20</x:v>
      </x:c>
      <x:c r="I2196" s="0" t="s">
        <x:v>21</x:v>
      </x:c>
      <x:c r="K2196" s="0">
        <x:f>hyperlink("https://icd.who.int/dev11/l-ichi/en#/http%3A%2F%2Fid.who.int%2Ficd%2Fentity%2F1323354286","browser")</x:f>
      </x:c>
      <x:c r="L2196" s="0">
        <x:f>hyperlink("https://icat2.azurewebsites.net/icat/?ontology=ICD&amp;tab=ClassesTab&amp;id=http%3A%2F%2Fwho.int%2Ficd%238372_512ebf36_bf6b_4d70_85da_cf2637062af4","iCat")</x:f>
      </x:c>
      <x:c r="M2196" s="0" t="s">
        <x:v>21</x:v>
      </x:c>
      <x:c r="N2196" s="0" t="s">
        <x:v>46</x:v>
      </x:c>
    </x:row>
    <x:row r="2197" spans="1:16">
      <x:c r="A2197" s="0" t="s">
        <x:v>8622</x:v>
      </x:c>
      <x:c r="B2197" s="0" t="s">
        <x:v>8623</x:v>
      </x:c>
      <x:c r="C2197" s="0" t="s">
        <x:v>8624</x:v>
      </x:c>
      <x:c r="E2197" s="0" t="s">
        <x:v>8625</x:v>
      </x:c>
      <x:c r="F2197" s="0" t="s">
        <x:v>45</x:v>
      </x:c>
      <x:c r="G2197" s="0" t="s">
        <x:v>19</x:v>
      </x:c>
      <x:c r="H2197" s="0" t="s">
        <x:v>20</x:v>
      </x:c>
      <x:c r="I2197" s="0" t="s">
        <x:v>21</x:v>
      </x:c>
      <x:c r="K2197" s="0">
        <x:f>hyperlink("https://icd.who.int/dev11/l-ichi/en#/http%3A%2F%2Fid.who.int%2Ficd%2Fentity%2F1107226702","browser")</x:f>
      </x:c>
      <x:c r="L2197" s="0">
        <x:f>hyperlink("https://icat2.azurewebsites.net/icat/?ontology=ICD&amp;tab=ClassesTab&amp;id=http%3A%2F%2Fwho.int%2Ficd%238383_512ebf36_bf6b_4d70_85da_cf2637062af4","iCat")</x:f>
      </x:c>
      <x:c r="M2197" s="0" t="s">
        <x:v>21</x:v>
      </x:c>
      <x:c r="N2197" s="0" t="s">
        <x:v>46</x:v>
      </x:c>
    </x:row>
    <x:row r="2198" spans="1:16">
      <x:c r="A2198" s="0" t="s">
        <x:v>8626</x:v>
      </x:c>
      <x:c r="B2198" s="0" t="s">
        <x:v>8627</x:v>
      </x:c>
      <x:c r="C2198" s="0" t="s">
        <x:v>8628</x:v>
      </x:c>
      <x:c r="E2198" s="0" t="s">
        <x:v>8629</x:v>
      </x:c>
      <x:c r="F2198" s="0" t="s">
        <x:v>45</x:v>
      </x:c>
      <x:c r="G2198" s="0" t="s">
        <x:v>19</x:v>
      </x:c>
      <x:c r="H2198" s="0" t="s">
        <x:v>20</x:v>
      </x:c>
      <x:c r="I2198" s="0" t="s">
        <x:v>21</x:v>
      </x:c>
      <x:c r="K2198" s="0">
        <x:f>hyperlink("https://icd.who.int/dev11/l-ichi/en#/http%3A%2F%2Fid.who.int%2Ficd%2Fentity%2F2067840170","browser")</x:f>
      </x:c>
      <x:c r="L2198" s="0">
        <x:f>hyperlink("https://icat2.azurewebsites.net/icat/?ontology=ICD&amp;tab=ClassesTab&amp;id=http%3A%2F%2Fwho.int%2Ficd%238395_512ebf36_bf6b_4d70_85da_cf2637062af4","iCat")</x:f>
      </x:c>
      <x:c r="M2198" s="0" t="s">
        <x:v>21</x:v>
      </x:c>
      <x:c r="N2198" s="0" t="s">
        <x:v>46</x:v>
      </x:c>
    </x:row>
    <x:row r="2199" spans="1:16">
      <x:c r="A2199" s="0" t="s">
        <x:v>8630</x:v>
      </x:c>
      <x:c r="B2199" s="0" t="s">
        <x:v>8631</x:v>
      </x:c>
      <x:c r="C2199" s="0" t="s">
        <x:v>8632</x:v>
      </x:c>
      <x:c r="E2199" s="0" t="s">
        <x:v>8633</x:v>
      </x:c>
      <x:c r="F2199" s="0" t="s">
        <x:v>45</x:v>
      </x:c>
      <x:c r="G2199" s="0" t="s">
        <x:v>19</x:v>
      </x:c>
      <x:c r="H2199" s="0" t="s">
        <x:v>20</x:v>
      </x:c>
      <x:c r="I2199" s="0" t="s">
        <x:v>21</x:v>
      </x:c>
      <x:c r="K2199" s="0">
        <x:f>hyperlink("https://icd.who.int/dev11/l-ichi/en#/http%3A%2F%2Fid.who.int%2Ficd%2Fentity%2F308769756","browser")</x:f>
      </x:c>
      <x:c r="L2199" s="0">
        <x:f>hyperlink("https://icat2.azurewebsites.net/icat/?ontology=ICD&amp;tab=ClassesTab&amp;id=http%3A%2F%2Fwho.int%2Ficd%238402_512ebf36_bf6b_4d70_85da_cf2637062af4","iCat")</x:f>
      </x:c>
      <x:c r="M2199" s="0" t="s">
        <x:v>21</x:v>
      </x:c>
      <x:c r="N2199" s="0" t="s">
        <x:v>46</x:v>
      </x:c>
    </x:row>
    <x:row r="2200" spans="1:16">
      <x:c r="A2200" s="0" t="s">
        <x:v>8634</x:v>
      </x:c>
      <x:c r="B2200" s="0" t="s">
        <x:v>8635</x:v>
      </x:c>
      <x:c r="C2200" s="0" t="s">
        <x:v>8636</x:v>
      </x:c>
      <x:c r="E2200" s="0" t="s">
        <x:v>8637</x:v>
      </x:c>
      <x:c r="F2200" s="0" t="s">
        <x:v>45</x:v>
      </x:c>
      <x:c r="G2200" s="0" t="s">
        <x:v>19</x:v>
      </x:c>
      <x:c r="H2200" s="0" t="s">
        <x:v>20</x:v>
      </x:c>
      <x:c r="I2200" s="0" t="s">
        <x:v>21</x:v>
      </x:c>
      <x:c r="K2200" s="0">
        <x:f>hyperlink("https://icd.who.int/dev11/l-ichi/en#/http%3A%2F%2Fid.who.int%2Ficd%2Fentity%2F890884149","browser")</x:f>
      </x:c>
      <x:c r="L2200" s="0">
        <x:f>hyperlink("https://icat2.azurewebsites.net/icat/?ontology=ICD&amp;tab=ClassesTab&amp;id=http%3A%2F%2Fwho.int%2Ficd%236105_c351bd26_e8bd_46f1_9e61_43f767fec9b3","iCat")</x:f>
      </x:c>
      <x:c r="M2200" s="0" t="s">
        <x:v>21</x:v>
      </x:c>
      <x:c r="N2200" s="0" t="s">
        <x:v>46</x:v>
      </x:c>
    </x:row>
    <x:row r="2201" spans="1:16">
      <x:c r="A2201" s="0" t="s">
        <x:v>8638</x:v>
      </x:c>
      <x:c r="B2201" s="0" t="s">
        <x:v>8639</x:v>
      </x:c>
      <x:c r="C2201" s="0" t="s">
        <x:v>8640</x:v>
      </x:c>
      <x:c r="E2201" s="0" t="s">
        <x:v>8641</x:v>
      </x:c>
      <x:c r="F2201" s="0" t="s">
        <x:v>45</x:v>
      </x:c>
      <x:c r="G2201" s="0" t="s">
        <x:v>19</x:v>
      </x:c>
      <x:c r="H2201" s="0" t="s">
        <x:v>20</x:v>
      </x:c>
      <x:c r="I2201" s="0" t="s">
        <x:v>21</x:v>
      </x:c>
      <x:c r="K2201" s="0">
        <x:f>hyperlink("https://icd.who.int/dev11/l-ichi/en#/http%3A%2F%2Fid.who.int%2Ficd%2Fentity%2F425946486","browser")</x:f>
      </x:c>
      <x:c r="L2201" s="0">
        <x:f>hyperlink("https://icat2.azurewebsites.net/icat/?ontology=ICD&amp;tab=ClassesTab&amp;id=http%3A%2F%2Fwho.int%2Ficd%238409_512ebf36_bf6b_4d70_85da_cf2637062af4","iCat")</x:f>
      </x:c>
      <x:c r="M2201" s="0" t="s">
        <x:v>21</x:v>
      </x:c>
      <x:c r="N2201" s="0" t="s">
        <x:v>46</x:v>
      </x:c>
    </x:row>
    <x:row r="2202" spans="1:16">
      <x:c r="A2202" s="0" t="s">
        <x:v>8642</x:v>
      </x:c>
      <x:c r="B2202" s="0" t="s">
        <x:v>8643</x:v>
      </x:c>
      <x:c r="C2202" s="0" t="s">
        <x:v>8644</x:v>
      </x:c>
      <x:c r="E2202" s="0" t="s">
        <x:v>8645</x:v>
      </x:c>
      <x:c r="F2202" s="0" t="s">
        <x:v>45</x:v>
      </x:c>
      <x:c r="G2202" s="0" t="s">
        <x:v>19</x:v>
      </x:c>
      <x:c r="H2202" s="0" t="s">
        <x:v>20</x:v>
      </x:c>
      <x:c r="I2202" s="0" t="s">
        <x:v>21</x:v>
      </x:c>
      <x:c r="K2202" s="0">
        <x:f>hyperlink("https://icd.who.int/dev11/l-ichi/en#/http%3A%2F%2Fid.who.int%2Ficd%2Fentity%2F215618164","browser")</x:f>
      </x:c>
      <x:c r="L2202" s="0">
        <x:f>hyperlink("https://icat2.azurewebsites.net/icat/?ontology=ICD&amp;tab=ClassesTab&amp;id=http%3A%2F%2Fwho.int%2Ficd%231235_97087496_4a82_4efa_a45a_b3256f81bd7e","iCat")</x:f>
      </x:c>
      <x:c r="M2202" s="0" t="s">
        <x:v>21</x:v>
      </x:c>
      <x:c r="N2202" s="0" t="s">
        <x:v>46</x:v>
      </x:c>
    </x:row>
    <x:row r="2203" spans="1:16">
      <x:c r="A2203" s="0" t="s">
        <x:v>8646</x:v>
      </x:c>
      <x:c r="B2203" s="0" t="s">
        <x:v>8647</x:v>
      </x:c>
      <x:c r="C2203" s="0" t="s">
        <x:v>8648</x:v>
      </x:c>
      <x:c r="E2203" s="0" t="s">
        <x:v>8649</x:v>
      </x:c>
      <x:c r="F2203" s="0" t="s">
        <x:v>45</x:v>
      </x:c>
      <x:c r="G2203" s="0" t="s">
        <x:v>19</x:v>
      </x:c>
      <x:c r="H2203" s="0" t="s">
        <x:v>20</x:v>
      </x:c>
      <x:c r="I2203" s="0" t="s">
        <x:v>21</x:v>
      </x:c>
      <x:c r="K2203" s="0">
        <x:f>hyperlink("https://icd.who.int/dev11/l-ichi/en#/http%3A%2F%2Fid.who.int%2Ficd%2Fentity%2F136334594","browser")</x:f>
      </x:c>
      <x:c r="L2203" s="0">
        <x:f>hyperlink("https://icat2.azurewebsites.net/icat/?ontology=ICD&amp;tab=ClassesTab&amp;id=http%3A%2F%2Fwho.int%2Ficd%238415_512ebf36_bf6b_4d70_85da_cf2637062af4","iCat")</x:f>
      </x:c>
      <x:c r="M2203" s="0" t="s">
        <x:v>21</x:v>
      </x:c>
      <x:c r="N2203" s="0" t="s">
        <x:v>46</x:v>
      </x:c>
    </x:row>
    <x:row r="2204" spans="1:16">
      <x:c r="A2204" s="0" t="s">
        <x:v>8650</x:v>
      </x:c>
      <x:c r="B2204" s="0" t="s">
        <x:v>8651</x:v>
      </x:c>
      <x:c r="C2204" s="0" t="s">
        <x:v>8652</x:v>
      </x:c>
      <x:c r="E2204" s="0" t="s">
        <x:v>8653</x:v>
      </x:c>
      <x:c r="F2204" s="0" t="s">
        <x:v>45</x:v>
      </x:c>
      <x:c r="G2204" s="0" t="s">
        <x:v>19</x:v>
      </x:c>
      <x:c r="H2204" s="0" t="s">
        <x:v>20</x:v>
      </x:c>
      <x:c r="I2204" s="0" t="s">
        <x:v>21</x:v>
      </x:c>
      <x:c r="K2204" s="0">
        <x:f>hyperlink("https://icd.who.int/dev11/l-ichi/en#/http%3A%2F%2Fid.who.int%2Ficd%2Fentity%2F2107033971","browser")</x:f>
      </x:c>
      <x:c r="L2204" s="0">
        <x:f>hyperlink("https://icat2.azurewebsites.net/icat/?ontology=ICD&amp;tab=ClassesTab&amp;id=http%3A%2F%2Fwho.int%2Ficd%238421_512ebf36_bf6b_4d70_85da_cf2637062af4","iCat")</x:f>
      </x:c>
      <x:c r="M2204" s="0" t="s">
        <x:v>21</x:v>
      </x:c>
      <x:c r="N2204" s="0" t="s">
        <x:v>46</x:v>
      </x:c>
    </x:row>
    <x:row r="2205" spans="1:16">
      <x:c r="A2205" s="0" t="s">
        <x:v>8654</x:v>
      </x:c>
      <x:c r="B2205" s="0" t="s">
        <x:v>8655</x:v>
      </x:c>
      <x:c r="C2205" s="0" t="s">
        <x:v>8656</x:v>
      </x:c>
      <x:c r="E2205" s="0" t="s">
        <x:v>8657</x:v>
      </x:c>
      <x:c r="F2205" s="0" t="s">
        <x:v>45</x:v>
      </x:c>
      <x:c r="G2205" s="0" t="s">
        <x:v>19</x:v>
      </x:c>
      <x:c r="H2205" s="0" t="s">
        <x:v>20</x:v>
      </x:c>
      <x:c r="I2205" s="0" t="s">
        <x:v>21</x:v>
      </x:c>
      <x:c r="K2205" s="0">
        <x:f>hyperlink("https://icd.who.int/dev11/l-ichi/en#/http%3A%2F%2Fid.who.int%2Ficd%2Fentity%2F1174605199","browser")</x:f>
      </x:c>
      <x:c r="L2205" s="0">
        <x:f>hyperlink("https://icat2.azurewebsites.net/icat/?ontology=ICD&amp;tab=ClassesTab&amp;id=http%3A%2F%2Fwho.int%2Ficd%231263_97087496_4a82_4efa_a45a_b3256f81bd7e","iCat")</x:f>
      </x:c>
      <x:c r="M2205" s="0" t="s">
        <x:v>21</x:v>
      </x:c>
      <x:c r="N2205" s="0" t="s">
        <x:v>46</x:v>
      </x:c>
    </x:row>
    <x:row r="2206" spans="1:16">
      <x:c r="A2206" s="0" t="s">
        <x:v>8658</x:v>
      </x:c>
      <x:c r="B2206" s="0" t="s">
        <x:v>8659</x:v>
      </x:c>
      <x:c r="C2206" s="0" t="s">
        <x:v>8660</x:v>
      </x:c>
      <x:c r="E2206" s="0" t="s">
        <x:v>8661</x:v>
      </x:c>
      <x:c r="F2206" s="0" t="s">
        <x:v>45</x:v>
      </x:c>
      <x:c r="G2206" s="0" t="s">
        <x:v>19</x:v>
      </x:c>
      <x:c r="H2206" s="0" t="s">
        <x:v>20</x:v>
      </x:c>
      <x:c r="I2206" s="0" t="s">
        <x:v>21</x:v>
      </x:c>
      <x:c r="K2206" s="0">
        <x:f>hyperlink("https://icd.who.int/dev11/l-ichi/en#/http%3A%2F%2Fid.who.int%2Ficd%2Fentity%2F1389769693","browser")</x:f>
      </x:c>
      <x:c r="L2206" s="0">
        <x:f>hyperlink("https://icat2.azurewebsites.net/icat/?ontology=ICD&amp;tab=ClassesTab&amp;id=http%3A%2F%2Fwho.int%2Ficd%238432_512ebf36_bf6b_4d70_85da_cf2637062af4","iCat")</x:f>
      </x:c>
      <x:c r="M2206" s="0" t="s">
        <x:v>21</x:v>
      </x:c>
      <x:c r="N2206" s="0" t="s">
        <x:v>46</x:v>
      </x:c>
    </x:row>
    <x:row r="2207" spans="1:16">
      <x:c r="A2207" s="0" t="s">
        <x:v>8662</x:v>
      </x:c>
      <x:c r="B2207" s="0" t="s">
        <x:v>8663</x:v>
      </x:c>
      <x:c r="C2207" s="0" t="s">
        <x:v>8664</x:v>
      </x:c>
      <x:c r="E2207" s="0" t="s">
        <x:v>8665</x:v>
      </x:c>
      <x:c r="F2207" s="0" t="s">
        <x:v>45</x:v>
      </x:c>
      <x:c r="G2207" s="0" t="s">
        <x:v>19</x:v>
      </x:c>
      <x:c r="H2207" s="0" t="s">
        <x:v>20</x:v>
      </x:c>
      <x:c r="I2207" s="0" t="s">
        <x:v>21</x:v>
      </x:c>
      <x:c r="K2207" s="0">
        <x:f>hyperlink("https://icd.who.int/dev11/l-ichi/en#/http%3A%2F%2Fid.who.int%2Ficd%2Fentity%2F2032885581","browser")</x:f>
      </x:c>
      <x:c r="L2207" s="0">
        <x:f>hyperlink("https://icat2.azurewebsites.net/icat/?ontology=ICD&amp;tab=ClassesTab&amp;id=http%3A%2F%2Fwho.int%2Ficd%238438_512ebf36_bf6b_4d70_85da_cf2637062af4","iCat")</x:f>
      </x:c>
      <x:c r="M2207" s="0" t="s">
        <x:v>21</x:v>
      </x:c>
      <x:c r="N2207" s="0" t="s">
        <x:v>46</x:v>
      </x:c>
    </x:row>
    <x:row r="2208" spans="1:16">
      <x:c r="A2208" s="0" t="s">
        <x:v>8666</x:v>
      </x:c>
      <x:c r="B2208" s="0" t="s">
        <x:v>8667</x:v>
      </x:c>
      <x:c r="C2208" s="0" t="s">
        <x:v>8668</x:v>
      </x:c>
      <x:c r="E2208" s="0" t="s">
        <x:v>8669</x:v>
      </x:c>
      <x:c r="F2208" s="0" t="s">
        <x:v>45</x:v>
      </x:c>
      <x:c r="G2208" s="0" t="s">
        <x:v>19</x:v>
      </x:c>
      <x:c r="H2208" s="0" t="s">
        <x:v>20</x:v>
      </x:c>
      <x:c r="I2208" s="0" t="s">
        <x:v>21</x:v>
      </x:c>
      <x:c r="K2208" s="0">
        <x:f>hyperlink("https://icd.who.int/dev11/l-ichi/en#/http%3A%2F%2Fid.who.int%2Ficd%2Fentity%2F2013173391","browser")</x:f>
      </x:c>
      <x:c r="L2208" s="0">
        <x:f>hyperlink("https://icat2.azurewebsites.net/icat/?ontology=ICD&amp;tab=ClassesTab&amp;id=http%3A%2F%2Fwho.int%2Ficd%238447_512ebf36_bf6b_4d70_85da_cf2637062af4","iCat")</x:f>
      </x:c>
      <x:c r="M2208" s="0" t="s">
        <x:v>21</x:v>
      </x:c>
      <x:c r="N2208" s="0" t="s">
        <x:v>46</x:v>
      </x:c>
    </x:row>
    <x:row r="2209" spans="1:16">
      <x:c r="A2209" s="0" t="s">
        <x:v>8670</x:v>
      </x:c>
      <x:c r="B2209" s="0" t="s">
        <x:v>8671</x:v>
      </x:c>
      <x:c r="C2209" s="0" t="s">
        <x:v>8672</x:v>
      </x:c>
      <x:c r="E2209" s="0" t="s">
        <x:v>8673</x:v>
      </x:c>
      <x:c r="F2209" s="0" t="s">
        <x:v>45</x:v>
      </x:c>
      <x:c r="G2209" s="0" t="s">
        <x:v>19</x:v>
      </x:c>
      <x:c r="H2209" s="0" t="s">
        <x:v>20</x:v>
      </x:c>
      <x:c r="I2209" s="0" t="s">
        <x:v>21</x:v>
      </x:c>
      <x:c r="K2209" s="0">
        <x:f>hyperlink("https://icd.who.int/dev11/l-ichi/en#/http%3A%2F%2Fid.who.int%2Ficd%2Fentity%2F675071916","browser")</x:f>
      </x:c>
      <x:c r="L2209" s="0">
        <x:f>hyperlink("https://icat2.azurewebsites.net/icat/?ontology=ICD&amp;tab=ClassesTab&amp;id=http%3A%2F%2Fwho.int%2Ficd%238453_512ebf36_bf6b_4d70_85da_cf2637062af4","iCat")</x:f>
      </x:c>
      <x:c r="M2209" s="0" t="s">
        <x:v>21</x:v>
      </x:c>
      <x:c r="N2209" s="0" t="s">
        <x:v>46</x:v>
      </x:c>
    </x:row>
    <x:row r="2210" spans="1:16">
      <x:c r="A2210" s="0" t="s">
        <x:v>8674</x:v>
      </x:c>
      <x:c r="B2210" s="0" t="s">
        <x:v>8675</x:v>
      </x:c>
      <x:c r="C2210" s="0" t="s">
        <x:v>8676</x:v>
      </x:c>
      <x:c r="E2210" s="0" t="s">
        <x:v>8677</x:v>
      </x:c>
      <x:c r="F2210" s="0" t="s">
        <x:v>45</x:v>
      </x:c>
      <x:c r="G2210" s="0" t="s">
        <x:v>19</x:v>
      </x:c>
      <x:c r="H2210" s="0" t="s">
        <x:v>20</x:v>
      </x:c>
      <x:c r="I2210" s="0" t="s">
        <x:v>21</x:v>
      </x:c>
      <x:c r="K2210" s="0">
        <x:f>hyperlink("https://icd.who.int/dev11/l-ichi/en#/http%3A%2F%2Fid.who.int%2Ficd%2Fentity%2F63023932","browser")</x:f>
      </x:c>
      <x:c r="L2210" s="0">
        <x:f>hyperlink("https://icat2.azurewebsites.net/icat/?ontology=ICD&amp;tab=ClassesTab&amp;id=http%3A%2F%2Fwho.int%2Ficd%238459_512ebf36_bf6b_4d70_85da_cf2637062af4","iCat")</x:f>
      </x:c>
      <x:c r="M2210" s="0" t="s">
        <x:v>21</x:v>
      </x:c>
      <x:c r="N2210" s="0" t="s">
        <x:v>46</x:v>
      </x:c>
    </x:row>
    <x:row r="2211" spans="1:16">
      <x:c r="A2211" s="0" t="s">
        <x:v>8678</x:v>
      </x:c>
      <x:c r="B2211" s="0" t="s">
        <x:v>8679</x:v>
      </x:c>
      <x:c r="C2211" s="0" t="s">
        <x:v>8680</x:v>
      </x:c>
      <x:c r="E2211" s="0" t="s">
        <x:v>8681</x:v>
      </x:c>
      <x:c r="F2211" s="0" t="s">
        <x:v>45</x:v>
      </x:c>
      <x:c r="G2211" s="0" t="s">
        <x:v>19</x:v>
      </x:c>
      <x:c r="H2211" s="0" t="s">
        <x:v>20</x:v>
      </x:c>
      <x:c r="I2211" s="0" t="s">
        <x:v>21</x:v>
      </x:c>
      <x:c r="K2211" s="0">
        <x:f>hyperlink("https://icd.who.int/dev11/l-ichi/en#/http%3A%2F%2Fid.who.int%2Ficd%2Fentity%2F1569342431","browser")</x:f>
      </x:c>
      <x:c r="L2211" s="0">
        <x:f>hyperlink("https://icat2.azurewebsites.net/icat/?ontology=ICD&amp;tab=ClassesTab&amp;id=http%3A%2F%2Fwho.int%2Ficd%238467_512ebf36_bf6b_4d70_85da_cf2637062af4","iCat")</x:f>
      </x:c>
      <x:c r="M2211" s="0" t="s">
        <x:v>21</x:v>
      </x:c>
      <x:c r="N2211" s="0" t="s">
        <x:v>46</x:v>
      </x:c>
    </x:row>
    <x:row r="2212" spans="1:16">
      <x:c r="A2212" s="0" t="s">
        <x:v>8682</x:v>
      </x:c>
      <x:c r="B2212" s="0" t="s">
        <x:v>8683</x:v>
      </x:c>
      <x:c r="C2212" s="0" t="s">
        <x:v>8684</x:v>
      </x:c>
      <x:c r="E2212" s="0" t="s">
        <x:v>8685</x:v>
      </x:c>
      <x:c r="F2212" s="0" t="s">
        <x:v>45</x:v>
      </x:c>
      <x:c r="G2212" s="0" t="s">
        <x:v>19</x:v>
      </x:c>
      <x:c r="H2212" s="0" t="s">
        <x:v>20</x:v>
      </x:c>
      <x:c r="I2212" s="0" t="s">
        <x:v>21</x:v>
      </x:c>
      <x:c r="K2212" s="0">
        <x:f>hyperlink("https://icd.who.int/dev11/l-ichi/en#/http%3A%2F%2Fid.who.int%2Ficd%2Fentity%2F38277886","browser")</x:f>
      </x:c>
      <x:c r="L2212" s="0">
        <x:f>hyperlink("https://icat2.azurewebsites.net/icat/?ontology=ICD&amp;tab=ClassesTab&amp;id=http%3A%2F%2Fwho.int%2Ficd%238473_512ebf36_bf6b_4d70_85da_cf2637062af4","iCat")</x:f>
      </x:c>
      <x:c r="M2212" s="0" t="s">
        <x:v>21</x:v>
      </x:c>
      <x:c r="N2212" s="0" t="s">
        <x:v>46</x:v>
      </x:c>
    </x:row>
    <x:row r="2213" spans="1:16">
      <x:c r="A2213" s="0" t="s">
        <x:v>8686</x:v>
      </x:c>
      <x:c r="B2213" s="0" t="s">
        <x:v>8687</x:v>
      </x:c>
      <x:c r="C2213" s="0" t="s">
        <x:v>8688</x:v>
      </x:c>
      <x:c r="E2213" s="0" t="s">
        <x:v>8689</x:v>
      </x:c>
      <x:c r="F2213" s="0" t="s">
        <x:v>45</x:v>
      </x:c>
      <x:c r="G2213" s="0" t="s">
        <x:v>19</x:v>
      </x:c>
      <x:c r="H2213" s="0" t="s">
        <x:v>20</x:v>
      </x:c>
      <x:c r="I2213" s="0" t="s">
        <x:v>21</x:v>
      </x:c>
      <x:c r="K2213" s="0">
        <x:f>hyperlink("https://icd.who.int/dev11/l-ichi/en#/http%3A%2F%2Fid.who.int%2Ficd%2Fentity%2F699760238","browser")</x:f>
      </x:c>
      <x:c r="L2213" s="0">
        <x:f>hyperlink("https://icat2.azurewebsites.net/icat/?ontology=ICD&amp;tab=ClassesTab&amp;id=http%3A%2F%2Fwho.int%2Ficd%238479_512ebf36_bf6b_4d70_85da_cf2637062af4","iCat")</x:f>
      </x:c>
      <x:c r="M2213" s="0" t="s">
        <x:v>21</x:v>
      </x:c>
      <x:c r="N2213" s="0" t="s">
        <x:v>46</x:v>
      </x:c>
    </x:row>
    <x:row r="2214" spans="1:16">
      <x:c r="A2214" s="0" t="s">
        <x:v>8690</x:v>
      </x:c>
      <x:c r="B2214" s="0" t="s">
        <x:v>8691</x:v>
      </x:c>
      <x:c r="C2214" s="0" t="s">
        <x:v>8692</x:v>
      </x:c>
      <x:c r="E2214" s="0" t="s">
        <x:v>8693</x:v>
      </x:c>
      <x:c r="F2214" s="0" t="s">
        <x:v>45</x:v>
      </x:c>
      <x:c r="G2214" s="0" t="s">
        <x:v>19</x:v>
      </x:c>
      <x:c r="H2214" s="0" t="s">
        <x:v>20</x:v>
      </x:c>
      <x:c r="I2214" s="0" t="s">
        <x:v>21</x:v>
      </x:c>
      <x:c r="K2214" s="0">
        <x:f>hyperlink("https://icd.who.int/dev11/l-ichi/en#/http%3A%2F%2Fid.who.int%2Ficd%2Fentity%2F386995396","browser")</x:f>
      </x:c>
      <x:c r="L2214" s="0">
        <x:f>hyperlink("https://icat2.azurewebsites.net/icat/?ontology=ICD&amp;tab=ClassesTab&amp;id=http%3A%2F%2Fwho.int%2Ficd%238495_512ebf36_bf6b_4d70_85da_cf2637062af4","iCat")</x:f>
      </x:c>
      <x:c r="M2214" s="0" t="s">
        <x:v>21</x:v>
      </x:c>
      <x:c r="N2214" s="0" t="s">
        <x:v>46</x:v>
      </x:c>
    </x:row>
    <x:row r="2215" spans="1:16">
      <x:c r="A2215" s="0" t="s">
        <x:v>8694</x:v>
      </x:c>
      <x:c r="B2215" s="0" t="s">
        <x:v>8695</x:v>
      </x:c>
      <x:c r="C2215" s="0" t="s">
        <x:v>8696</x:v>
      </x:c>
      <x:c r="E2215" s="0" t="s">
        <x:v>8697</x:v>
      </x:c>
      <x:c r="F2215" s="0" t="s">
        <x:v>45</x:v>
      </x:c>
      <x:c r="G2215" s="0" t="s">
        <x:v>19</x:v>
      </x:c>
      <x:c r="H2215" s="0" t="s">
        <x:v>20</x:v>
      </x:c>
      <x:c r="I2215" s="0" t="s">
        <x:v>21</x:v>
      </x:c>
      <x:c r="K2215" s="0">
        <x:f>hyperlink("https://icd.who.int/dev11/l-ichi/en#/http%3A%2F%2Fid.who.int%2Ficd%2Fentity%2F1744352583","browser")</x:f>
      </x:c>
      <x:c r="L2215" s="0">
        <x:f>hyperlink("https://icat2.azurewebsites.net/icat/?ontology=ICD&amp;tab=ClassesTab&amp;id=http%3A%2F%2Fwho.int%2Ficd%238502_512ebf36_bf6b_4d70_85da_cf2637062af4","iCat")</x:f>
      </x:c>
      <x:c r="M2215" s="0" t="s">
        <x:v>21</x:v>
      </x:c>
      <x:c r="N2215" s="0" t="s">
        <x:v>46</x:v>
      </x:c>
    </x:row>
    <x:row r="2216" spans="1:16">
      <x:c r="A2216" s="0" t="s">
        <x:v>8698</x:v>
      </x:c>
      <x:c r="B2216" s="0" t="s">
        <x:v>8699</x:v>
      </x:c>
      <x:c r="D2216" s="0" t="s">
        <x:v>8700</x:v>
      </x:c>
      <x:c r="E2216" s="0" t="s">
        <x:v>8701</x:v>
      </x:c>
      <x:c r="F2216" s="0" t="s">
        <x:v>26</x:v>
      </x:c>
      <x:c r="G2216" s="0" t="s">
        <x:v>22</x:v>
      </x:c>
      <x:c r="H2216" s="0" t="s">
        <x:v>20</x:v>
      </x:c>
      <x:c r="I2216" s="0" t="s">
        <x:v>21</x:v>
      </x:c>
      <x:c r="K2216" s="0">
        <x:f>hyperlink("https://icd.who.int/dev11/l-ichi/en#/http%3A%2F%2Fid.who.int%2Ficd%2Fentity%2F222109714","browser")</x:f>
      </x:c>
      <x:c r="L2216" s="0">
        <x:f>hyperlink("https://icat2.azurewebsites.net/icat/?ontology=ICD&amp;tab=ClassesTab&amp;id=http%3A%2F%2Fwho.int%2Ficd%238512_512ebf36_bf6b_4d70_85da_cf2637062af4","iCat")</x:f>
      </x:c>
      <x:c r="M2216" s="0" t="s">
        <x:v>20</x:v>
      </x:c>
      <x:c r="N2216" s="0" t="s">
        <x:v>8702</x:v>
      </x:c>
    </x:row>
    <x:row r="2217" spans="1:16">
      <x:c r="A2217" s="0" t="s">
        <x:v>8703</x:v>
      </x:c>
      <x:c r="B2217" s="0" t="s">
        <x:v>8704</x:v>
      </x:c>
      <x:c r="C2217" s="0" t="s">
        <x:v>8705</x:v>
      </x:c>
      <x:c r="E2217" s="0" t="s">
        <x:v>8706</x:v>
      </x:c>
      <x:c r="F2217" s="0" t="s">
        <x:v>45</x:v>
      </x:c>
      <x:c r="G2217" s="0" t="s">
        <x:v>19</x:v>
      </x:c>
      <x:c r="H2217" s="0" t="s">
        <x:v>20</x:v>
      </x:c>
      <x:c r="I2217" s="0" t="s">
        <x:v>21</x:v>
      </x:c>
      <x:c r="K2217" s="0">
        <x:f>hyperlink("https://icd.who.int/dev11/l-ichi/en#/http%3A%2F%2Fid.who.int%2Ficd%2Fentity%2F1220038633","browser")</x:f>
      </x:c>
      <x:c r="L2217" s="0">
        <x:f>hyperlink("https://icat2.azurewebsites.net/icat/?ontology=ICD&amp;tab=ClassesTab&amp;id=http%3A%2F%2Fwho.int%2Ficd%238511_512ebf36_bf6b_4d70_85da_cf2637062af4","iCat")</x:f>
      </x:c>
      <x:c r="M2217" s="0" t="s">
        <x:v>21</x:v>
      </x:c>
      <x:c r="N2217" s="0" t="s">
        <x:v>46</x:v>
      </x:c>
    </x:row>
    <x:row r="2218" spans="1:16">
      <x:c r="A2218" s="0" t="s">
        <x:v>8707</x:v>
      </x:c>
      <x:c r="B2218" s="0" t="s">
        <x:v>8708</x:v>
      </x:c>
      <x:c r="C2218" s="0" t="s">
        <x:v>8709</x:v>
      </x:c>
      <x:c r="E2218" s="0" t="s">
        <x:v>8710</x:v>
      </x:c>
      <x:c r="F2218" s="0" t="s">
        <x:v>45</x:v>
      </x:c>
      <x:c r="G2218" s="0" t="s">
        <x:v>19</x:v>
      </x:c>
      <x:c r="H2218" s="0" t="s">
        <x:v>20</x:v>
      </x:c>
      <x:c r="I2218" s="0" t="s">
        <x:v>21</x:v>
      </x:c>
      <x:c r="K2218" s="0">
        <x:f>hyperlink("https://icd.who.int/dev11/l-ichi/en#/http%3A%2F%2Fid.who.int%2Ficd%2Fentity%2F1836388907","browser")</x:f>
      </x:c>
      <x:c r="L2218" s="0">
        <x:f>hyperlink("https://icat2.azurewebsites.net/icat/?ontology=ICD&amp;tab=ClassesTab&amp;id=http%3A%2F%2Fwho.int%2Ficd%238523_512ebf36_bf6b_4d70_85da_cf2637062af4","iCat")</x:f>
      </x:c>
      <x:c r="M2218" s="0" t="s">
        <x:v>21</x:v>
      </x:c>
      <x:c r="N2218" s="0" t="s">
        <x:v>46</x:v>
      </x:c>
    </x:row>
    <x:row r="2219" spans="1:16">
      <x:c r="A2219" s="0" t="s">
        <x:v>8711</x:v>
      </x:c>
      <x:c r="B2219" s="0" t="s">
        <x:v>8712</x:v>
      </x:c>
      <x:c r="C2219" s="0" t="s">
        <x:v>8713</x:v>
      </x:c>
      <x:c r="E2219" s="0" t="s">
        <x:v>8714</x:v>
      </x:c>
      <x:c r="F2219" s="0" t="s">
        <x:v>45</x:v>
      </x:c>
      <x:c r="G2219" s="0" t="s">
        <x:v>19</x:v>
      </x:c>
      <x:c r="H2219" s="0" t="s">
        <x:v>20</x:v>
      </x:c>
      <x:c r="I2219" s="0" t="s">
        <x:v>21</x:v>
      </x:c>
      <x:c r="K2219" s="0">
        <x:f>hyperlink("https://icd.who.int/dev11/l-ichi/en#/http%3A%2F%2Fid.who.int%2Ficd%2Fentity%2F1999777009","browser")</x:f>
      </x:c>
      <x:c r="L2219" s="0">
        <x:f>hyperlink("https://icat2.azurewebsites.net/icat/?ontology=ICD&amp;tab=ClassesTab&amp;id=http%3A%2F%2Fwho.int%2Ficd%238534_512ebf36_bf6b_4d70_85da_cf2637062af4","iCat")</x:f>
      </x:c>
      <x:c r="M2219" s="0" t="s">
        <x:v>21</x:v>
      </x:c>
      <x:c r="N2219" s="0" t="s">
        <x:v>46</x:v>
      </x:c>
    </x:row>
    <x:row r="2220" spans="1:16">
      <x:c r="A2220" s="0" t="s">
        <x:v>8715</x:v>
      </x:c>
      <x:c r="B2220" s="0" t="s">
        <x:v>8716</x:v>
      </x:c>
      <x:c r="C2220" s="0" t="s">
        <x:v>8717</x:v>
      </x:c>
      <x:c r="E2220" s="0" t="s">
        <x:v>8718</x:v>
      </x:c>
      <x:c r="F2220" s="0" t="s">
        <x:v>45</x:v>
      </x:c>
      <x:c r="G2220" s="0" t="s">
        <x:v>19</x:v>
      </x:c>
      <x:c r="H2220" s="0" t="s">
        <x:v>20</x:v>
      </x:c>
      <x:c r="I2220" s="0" t="s">
        <x:v>21</x:v>
      </x:c>
      <x:c r="K2220" s="0">
        <x:f>hyperlink("https://icd.who.int/dev11/l-ichi/en#/http%3A%2F%2Fid.who.int%2Ficd%2Fentity%2F1927543711","browser")</x:f>
      </x:c>
      <x:c r="L2220" s="0">
        <x:f>hyperlink("https://icat2.azurewebsites.net/icat/?ontology=ICD&amp;tab=ClassesTab&amp;id=http%3A%2F%2Fwho.int%2Ficd%238540_512ebf36_bf6b_4d70_85da_cf2637062af4","iCat")</x:f>
      </x:c>
      <x:c r="M2220" s="0" t="s">
        <x:v>21</x:v>
      </x:c>
      <x:c r="N2220" s="0" t="s">
        <x:v>46</x:v>
      </x:c>
    </x:row>
    <x:row r="2221" spans="1:16">
      <x:c r="A2221" s="0" t="s">
        <x:v>8719</x:v>
      </x:c>
      <x:c r="B2221" s="0" t="s">
        <x:v>8720</x:v>
      </x:c>
      <x:c r="C2221" s="0" t="s">
        <x:v>8721</x:v>
      </x:c>
      <x:c r="E2221" s="0" t="s">
        <x:v>8722</x:v>
      </x:c>
      <x:c r="F2221" s="0" t="s">
        <x:v>45</x:v>
      </x:c>
      <x:c r="G2221" s="0" t="s">
        <x:v>19</x:v>
      </x:c>
      <x:c r="H2221" s="0" t="s">
        <x:v>20</x:v>
      </x:c>
      <x:c r="I2221" s="0" t="s">
        <x:v>21</x:v>
      </x:c>
      <x:c r="K2221" s="0">
        <x:f>hyperlink("https://icd.who.int/dev11/l-ichi/en#/http%3A%2F%2Fid.who.int%2Ficd%2Fentity%2F315928663","browser")</x:f>
      </x:c>
      <x:c r="L2221" s="0">
        <x:f>hyperlink("https://icat2.azurewebsites.net/icat/?ontology=ICD&amp;tab=ClassesTab&amp;id=http%3A%2F%2Fwho.int%2Ficd%23363_3b0b6506_a80b_4e85_a49a_d913a462e33d","iCat")</x:f>
      </x:c>
      <x:c r="M2221" s="0" t="s">
        <x:v>21</x:v>
      </x:c>
      <x:c r="N2221" s="0" t="s">
        <x:v>46</x:v>
      </x:c>
    </x:row>
    <x:row r="2222" spans="1:16">
      <x:c r="A2222" s="0" t="s">
        <x:v>8723</x:v>
      </x:c>
      <x:c r="B2222" s="0" t="s">
        <x:v>8724</x:v>
      </x:c>
      <x:c r="C2222" s="0" t="s">
        <x:v>8725</x:v>
      </x:c>
      <x:c r="E2222" s="0" t="s">
        <x:v>8726</x:v>
      </x:c>
      <x:c r="F2222" s="0" t="s">
        <x:v>45</x:v>
      </x:c>
      <x:c r="G2222" s="0" t="s">
        <x:v>19</x:v>
      </x:c>
      <x:c r="H2222" s="0" t="s">
        <x:v>20</x:v>
      </x:c>
      <x:c r="I2222" s="0" t="s">
        <x:v>21</x:v>
      </x:c>
      <x:c r="K2222" s="0">
        <x:f>hyperlink("https://icd.who.int/dev11/l-ichi/en#/http%3A%2F%2Fid.who.int%2Ficd%2Fentity%2F39931924","browser")</x:f>
      </x:c>
      <x:c r="L2222" s="0">
        <x:f>hyperlink("https://icat2.azurewebsites.net/icat/?ontology=ICD&amp;tab=ClassesTab&amp;id=http%3A%2F%2Fwho.int%2Ficd%238547_512ebf36_bf6b_4d70_85da_cf2637062af4","iCat")</x:f>
      </x:c>
      <x:c r="M2222" s="0" t="s">
        <x:v>21</x:v>
      </x:c>
      <x:c r="N2222" s="0" t="s">
        <x:v>46</x:v>
      </x:c>
    </x:row>
    <x:row r="2223" spans="1:16">
      <x:c r="A2223" s="0" t="s">
        <x:v>8727</x:v>
      </x:c>
      <x:c r="B2223" s="0" t="s">
        <x:v>8728</x:v>
      </x:c>
      <x:c r="C2223" s="0" t="s">
        <x:v>8729</x:v>
      </x:c>
      <x:c r="E2223" s="0" t="s">
        <x:v>8730</x:v>
      </x:c>
      <x:c r="F2223" s="0" t="s">
        <x:v>45</x:v>
      </x:c>
      <x:c r="G2223" s="0" t="s">
        <x:v>19</x:v>
      </x:c>
      <x:c r="H2223" s="0" t="s">
        <x:v>20</x:v>
      </x:c>
      <x:c r="I2223" s="0" t="s">
        <x:v>21</x:v>
      </x:c>
      <x:c r="K2223" s="0">
        <x:f>hyperlink("https://icd.who.int/dev11/l-ichi/en#/http%3A%2F%2Fid.who.int%2Ficd%2Fentity%2F1570963761","browser")</x:f>
      </x:c>
      <x:c r="L2223" s="0">
        <x:f>hyperlink("https://icat2.azurewebsites.net/icat/?ontology=ICD&amp;tab=ClassesTab&amp;id=http%3A%2F%2Fwho.int%2Ficd%238553_512ebf36_bf6b_4d70_85da_cf2637062af4","iCat")</x:f>
      </x:c>
      <x:c r="M2223" s="0" t="s">
        <x:v>21</x:v>
      </x:c>
      <x:c r="N2223" s="0" t="s">
        <x:v>46</x:v>
      </x:c>
    </x:row>
    <x:row r="2224" spans="1:16">
      <x:c r="A2224" s="0" t="s">
        <x:v>8731</x:v>
      </x:c>
      <x:c r="B2224" s="0" t="s">
        <x:v>8732</x:v>
      </x:c>
      <x:c r="C2224" s="0" t="s">
        <x:v>8733</x:v>
      </x:c>
      <x:c r="E2224" s="0" t="s">
        <x:v>8734</x:v>
      </x:c>
      <x:c r="F2224" s="0" t="s">
        <x:v>45</x:v>
      </x:c>
      <x:c r="G2224" s="0" t="s">
        <x:v>19</x:v>
      </x:c>
      <x:c r="H2224" s="0" t="s">
        <x:v>20</x:v>
      </x:c>
      <x:c r="I2224" s="0" t="s">
        <x:v>21</x:v>
      </x:c>
      <x:c r="K2224" s="0">
        <x:f>hyperlink("https://icd.who.int/dev11/l-ichi/en#/http%3A%2F%2Fid.who.int%2Ficd%2Fentity%2F1486302927","browser")</x:f>
      </x:c>
      <x:c r="L2224" s="0">
        <x:f>hyperlink("https://icat2.azurewebsites.net/icat/?ontology=ICD&amp;tab=ClassesTab&amp;id=http%3A%2F%2Fwho.int%2Ficd%238560_512ebf36_bf6b_4d70_85da_cf2637062af4","iCat")</x:f>
      </x:c>
      <x:c r="M2224" s="0" t="s">
        <x:v>21</x:v>
      </x:c>
      <x:c r="N2224" s="0" t="s">
        <x:v>46</x:v>
      </x:c>
    </x:row>
    <x:row r="2225" spans="1:16">
      <x:c r="A2225" s="0" t="s">
        <x:v>8735</x:v>
      </x:c>
      <x:c r="B2225" s="0" t="s">
        <x:v>8736</x:v>
      </x:c>
      <x:c r="C2225" s="0" t="s">
        <x:v>8737</x:v>
      </x:c>
      <x:c r="E2225" s="0" t="s">
        <x:v>8738</x:v>
      </x:c>
      <x:c r="F2225" s="0" t="s">
        <x:v>45</x:v>
      </x:c>
      <x:c r="G2225" s="0" t="s">
        <x:v>19</x:v>
      </x:c>
      <x:c r="H2225" s="0" t="s">
        <x:v>20</x:v>
      </x:c>
      <x:c r="I2225" s="0" t="s">
        <x:v>21</x:v>
      </x:c>
      <x:c r="K2225" s="0">
        <x:f>hyperlink("https://icd.who.int/dev11/l-ichi/en#/http%3A%2F%2Fid.who.int%2Ficd%2Fentity%2F183913863","browser")</x:f>
      </x:c>
      <x:c r="L2225" s="0">
        <x:f>hyperlink("https://icat2.azurewebsites.net/icat/?ontology=ICD&amp;tab=ClassesTab&amp;id=http%3A%2F%2Fwho.int%2Ficd%239540_4869915e_217e_423d_acb3_33c0f920ef4b","iCat")</x:f>
      </x:c>
      <x:c r="M2225" s="0" t="s">
        <x:v>21</x:v>
      </x:c>
      <x:c r="N2225" s="0" t="s">
        <x:v>46</x:v>
      </x:c>
    </x:row>
    <x:row r="2226" spans="1:16">
      <x:c r="A2226" s="0" t="s">
        <x:v>8739</x:v>
      </x:c>
      <x:c r="B2226" s="0" t="s">
        <x:v>8740</x:v>
      </x:c>
      <x:c r="C2226" s="0" t="s">
        <x:v>8741</x:v>
      </x:c>
      <x:c r="E2226" s="0" t="s">
        <x:v>8742</x:v>
      </x:c>
      <x:c r="F2226" s="0" t="s">
        <x:v>45</x:v>
      </x:c>
      <x:c r="G2226" s="0" t="s">
        <x:v>19</x:v>
      </x:c>
      <x:c r="H2226" s="0" t="s">
        <x:v>20</x:v>
      </x:c>
      <x:c r="I2226" s="0" t="s">
        <x:v>21</x:v>
      </x:c>
      <x:c r="K2226" s="0">
        <x:f>hyperlink("https://icd.who.int/dev11/l-ichi/en#/http%3A%2F%2Fid.who.int%2Ficd%2Fentity%2F149747584","browser")</x:f>
      </x:c>
      <x:c r="L2226" s="0">
        <x:f>hyperlink("https://icat2.azurewebsites.net/icat/?ontology=ICD&amp;tab=ClassesTab&amp;id=http%3A%2F%2Fwho.int%2Ficd%238566_512ebf36_bf6b_4d70_85da_cf2637062af4","iCat")</x:f>
      </x:c>
      <x:c r="M2226" s="0" t="s">
        <x:v>21</x:v>
      </x:c>
      <x:c r="N2226" s="0" t="s">
        <x:v>46</x:v>
      </x:c>
    </x:row>
    <x:row r="2227" spans="1:16">
      <x:c r="A2227" s="0" t="s">
        <x:v>8743</x:v>
      </x:c>
      <x:c r="B2227" s="0" t="s">
        <x:v>8744</x:v>
      </x:c>
      <x:c r="C2227" s="0" t="s">
        <x:v>8745</x:v>
      </x:c>
      <x:c r="E2227" s="0" t="s">
        <x:v>8746</x:v>
      </x:c>
      <x:c r="F2227" s="0" t="s">
        <x:v>45</x:v>
      </x:c>
      <x:c r="G2227" s="0" t="s">
        <x:v>19</x:v>
      </x:c>
      <x:c r="H2227" s="0" t="s">
        <x:v>20</x:v>
      </x:c>
      <x:c r="I2227" s="0" t="s">
        <x:v>21</x:v>
      </x:c>
      <x:c r="K2227" s="0">
        <x:f>hyperlink("https://icd.who.int/dev11/l-ichi/en#/http%3A%2F%2Fid.who.int%2Ficd%2Fentity%2F1462675037","browser")</x:f>
      </x:c>
      <x:c r="L2227" s="0">
        <x:f>hyperlink("https://icat2.azurewebsites.net/icat/?ontology=ICD&amp;tab=ClassesTab&amp;id=http%3A%2F%2Fwho.int%2Ficd%238572_512ebf36_bf6b_4d70_85da_cf2637062af4","iCat")</x:f>
      </x:c>
      <x:c r="M2227" s="0" t="s">
        <x:v>21</x:v>
      </x:c>
      <x:c r="N2227" s="0" t="s">
        <x:v>46</x:v>
      </x:c>
    </x:row>
    <x:row r="2228" spans="1:16">
      <x:c r="A2228" s="0" t="s">
        <x:v>8747</x:v>
      </x:c>
      <x:c r="B2228" s="0" t="s">
        <x:v>8748</x:v>
      </x:c>
      <x:c r="C2228" s="0" t="s">
        <x:v>8749</x:v>
      </x:c>
      <x:c r="E2228" s="0" t="s">
        <x:v>8750</x:v>
      </x:c>
      <x:c r="F2228" s="0" t="s">
        <x:v>45</x:v>
      </x:c>
      <x:c r="G2228" s="0" t="s">
        <x:v>19</x:v>
      </x:c>
      <x:c r="H2228" s="0" t="s">
        <x:v>20</x:v>
      </x:c>
      <x:c r="I2228" s="0" t="s">
        <x:v>21</x:v>
      </x:c>
      <x:c r="K2228" s="0">
        <x:f>hyperlink("https://icd.who.int/dev11/l-ichi/en#/http%3A%2F%2Fid.who.int%2Ficd%2Fentity%2F1664768652","browser")</x:f>
      </x:c>
      <x:c r="L2228" s="0">
        <x:f>hyperlink("https://icat2.azurewebsites.net/icat/?ontology=ICD&amp;tab=ClassesTab&amp;id=http%3A%2F%2Fwho.int%2Ficd%23309_3b0b6506_a80b_4e85_a49a_d913a462e33d","iCat")</x:f>
      </x:c>
      <x:c r="M2228" s="0" t="s">
        <x:v>21</x:v>
      </x:c>
      <x:c r="N2228" s="0" t="s">
        <x:v>46</x:v>
      </x:c>
    </x:row>
    <x:row r="2229" spans="1:16">
      <x:c r="A2229" s="0" t="s">
        <x:v>8751</x:v>
      </x:c>
      <x:c r="B2229" s="0" t="s">
        <x:v>8752</x:v>
      </x:c>
      <x:c r="C2229" s="0" t="s">
        <x:v>8753</x:v>
      </x:c>
      <x:c r="E2229" s="0" t="s">
        <x:v>8754</x:v>
      </x:c>
      <x:c r="F2229" s="0" t="s">
        <x:v>45</x:v>
      </x:c>
      <x:c r="G2229" s="0" t="s">
        <x:v>19</x:v>
      </x:c>
      <x:c r="H2229" s="0" t="s">
        <x:v>20</x:v>
      </x:c>
      <x:c r="I2229" s="0" t="s">
        <x:v>21</x:v>
      </x:c>
      <x:c r="K2229" s="0">
        <x:f>hyperlink("https://icd.who.int/dev11/l-ichi/en#/http%3A%2F%2Fid.who.int%2Ficd%2Fentity%2F1028424572","browser")</x:f>
      </x:c>
      <x:c r="L2229" s="0">
        <x:f>hyperlink("https://icat2.azurewebsites.net/icat/?ontology=ICD&amp;tab=ClassesTab&amp;id=http%3A%2F%2Fwho.int%2Ficd%238581_512ebf36_bf6b_4d70_85da_cf2637062af4","iCat")</x:f>
      </x:c>
      <x:c r="M2229" s="0" t="s">
        <x:v>21</x:v>
      </x:c>
      <x:c r="N2229" s="0" t="s">
        <x:v>46</x:v>
      </x:c>
    </x:row>
    <x:row r="2230" spans="1:16">
      <x:c r="A2230" s="0" t="s">
        <x:v>8755</x:v>
      </x:c>
      <x:c r="B2230" s="0" t="s">
        <x:v>8756</x:v>
      </x:c>
      <x:c r="C2230" s="0" t="s">
        <x:v>8757</x:v>
      </x:c>
      <x:c r="E2230" s="0" t="s">
        <x:v>8758</x:v>
      </x:c>
      <x:c r="F2230" s="0" t="s">
        <x:v>45</x:v>
      </x:c>
      <x:c r="G2230" s="0" t="s">
        <x:v>19</x:v>
      </x:c>
      <x:c r="H2230" s="0" t="s">
        <x:v>20</x:v>
      </x:c>
      <x:c r="I2230" s="0" t="s">
        <x:v>21</x:v>
      </x:c>
      <x:c r="K2230" s="0">
        <x:f>hyperlink("https://icd.who.int/dev11/l-ichi/en#/http%3A%2F%2Fid.who.int%2Ficd%2Fentity%2F1832344267","browser")</x:f>
      </x:c>
      <x:c r="L2230" s="0">
        <x:f>hyperlink("https://icat2.azurewebsites.net/icat/?ontology=ICD&amp;tab=ClassesTab&amp;id=http%3A%2F%2Fwho.int%2Ficd%238587_512ebf36_bf6b_4d70_85da_cf2637062af4","iCat")</x:f>
      </x:c>
      <x:c r="M2230" s="0" t="s">
        <x:v>21</x:v>
      </x:c>
      <x:c r="N2230" s="0" t="s">
        <x:v>46</x:v>
      </x:c>
    </x:row>
    <x:row r="2231" spans="1:16">
      <x:c r="A2231" s="0" t="s">
        <x:v>8759</x:v>
      </x:c>
      <x:c r="B2231" s="0" t="s">
        <x:v>8760</x:v>
      </x:c>
      <x:c r="C2231" s="0" t="s">
        <x:v>8761</x:v>
      </x:c>
      <x:c r="E2231" s="0" t="s">
        <x:v>8762</x:v>
      </x:c>
      <x:c r="F2231" s="0" t="s">
        <x:v>45</x:v>
      </x:c>
      <x:c r="G2231" s="0" t="s">
        <x:v>19</x:v>
      </x:c>
      <x:c r="H2231" s="0" t="s">
        <x:v>20</x:v>
      </x:c>
      <x:c r="I2231" s="0" t="s">
        <x:v>21</x:v>
      </x:c>
      <x:c r="K2231" s="0">
        <x:f>hyperlink("https://icd.who.int/dev11/l-ichi/en#/http%3A%2F%2Fid.who.int%2Ficd%2Fentity%2F655080866","browser")</x:f>
      </x:c>
      <x:c r="L2231" s="0">
        <x:f>hyperlink("https://icat2.azurewebsites.net/icat/?ontology=ICD&amp;tab=ClassesTab&amp;id=http%3A%2F%2Fwho.int%2Ficd%238596_512ebf36_bf6b_4d70_85da_cf2637062af4","iCat")</x:f>
      </x:c>
      <x:c r="M2231" s="0" t="s">
        <x:v>21</x:v>
      </x:c>
      <x:c r="N2231" s="0" t="s">
        <x:v>46</x:v>
      </x:c>
    </x:row>
    <x:row r="2232" spans="1:16">
      <x:c r="A2232" s="0" t="s">
        <x:v>8763</x:v>
      </x:c>
      <x:c r="B2232" s="0" t="s">
        <x:v>8764</x:v>
      </x:c>
      <x:c r="C2232" s="0" t="s">
        <x:v>8765</x:v>
      </x:c>
      <x:c r="E2232" s="0" t="s">
        <x:v>8766</x:v>
      </x:c>
      <x:c r="F2232" s="0" t="s">
        <x:v>45</x:v>
      </x:c>
      <x:c r="G2232" s="0" t="s">
        <x:v>19</x:v>
      </x:c>
      <x:c r="H2232" s="0" t="s">
        <x:v>20</x:v>
      </x:c>
      <x:c r="I2232" s="0" t="s">
        <x:v>21</x:v>
      </x:c>
      <x:c r="K2232" s="0">
        <x:f>hyperlink("https://icd.who.int/dev11/l-ichi/en#/http%3A%2F%2Fid.who.int%2Ficd%2Fentity%2F1457313967","browser")</x:f>
      </x:c>
      <x:c r="L2232" s="0">
        <x:f>hyperlink("https://icat2.azurewebsites.net/icat/?ontology=ICD&amp;tab=ClassesTab&amp;id=http%3A%2F%2Fwho.int%2Ficd%238604_512ebf36_bf6b_4d70_85da_cf2637062af4","iCat")</x:f>
      </x:c>
      <x:c r="M2232" s="0" t="s">
        <x:v>21</x:v>
      </x:c>
      <x:c r="N2232" s="0" t="s">
        <x:v>46</x:v>
      </x:c>
    </x:row>
    <x:row r="2233" spans="1:16">
      <x:c r="A2233" s="0" t="s">
        <x:v>8767</x:v>
      </x:c>
      <x:c r="B2233" s="0" t="s">
        <x:v>8768</x:v>
      </x:c>
      <x:c r="C2233" s="0" t="s">
        <x:v>8769</x:v>
      </x:c>
      <x:c r="E2233" s="0" t="s">
        <x:v>8770</x:v>
      </x:c>
      <x:c r="F2233" s="0" t="s">
        <x:v>45</x:v>
      </x:c>
      <x:c r="G2233" s="0" t="s">
        <x:v>19</x:v>
      </x:c>
      <x:c r="H2233" s="0" t="s">
        <x:v>20</x:v>
      </x:c>
      <x:c r="I2233" s="0" t="s">
        <x:v>21</x:v>
      </x:c>
      <x:c r="K2233" s="0">
        <x:f>hyperlink("https://icd.who.int/dev11/l-ichi/en#/http%3A%2F%2Fid.who.int%2Ficd%2Fentity%2F1818399817","browser")</x:f>
      </x:c>
      <x:c r="L2233" s="0">
        <x:f>hyperlink("https://icat2.azurewebsites.net/icat/?ontology=ICD&amp;tab=ClassesTab&amp;id=http%3A%2F%2Fwho.int%2Ficd%238612_512ebf36_bf6b_4d70_85da_cf2637062af4","iCat")</x:f>
      </x:c>
      <x:c r="M2233" s="0" t="s">
        <x:v>21</x:v>
      </x:c>
      <x:c r="N2233" s="0" t="s">
        <x:v>46</x:v>
      </x:c>
    </x:row>
    <x:row r="2234" spans="1:16">
      <x:c r="A2234" s="0" t="s">
        <x:v>8771</x:v>
      </x:c>
      <x:c r="B2234" s="0" t="s">
        <x:v>8772</x:v>
      </x:c>
      <x:c r="C2234" s="0" t="s">
        <x:v>8773</x:v>
      </x:c>
      <x:c r="E2234" s="0" t="s">
        <x:v>8774</x:v>
      </x:c>
      <x:c r="F2234" s="0" t="s">
        <x:v>45</x:v>
      </x:c>
      <x:c r="G2234" s="0" t="s">
        <x:v>19</x:v>
      </x:c>
      <x:c r="H2234" s="0" t="s">
        <x:v>20</x:v>
      </x:c>
      <x:c r="I2234" s="0" t="s">
        <x:v>21</x:v>
      </x:c>
      <x:c r="K2234" s="0">
        <x:f>hyperlink("https://icd.who.int/dev11/l-ichi/en#/http%3A%2F%2Fid.who.int%2Ficd%2Fentity%2F244011907","browser")</x:f>
      </x:c>
      <x:c r="L2234" s="0">
        <x:f>hyperlink("https://icat2.azurewebsites.net/icat/?ontology=ICD&amp;tab=ClassesTab&amp;id=http%3A%2F%2Fwho.int%2Ficd%239219_7353cc8f_16bd_4231_887a_95ea54e27297","iCat")</x:f>
      </x:c>
      <x:c r="M2234" s="0" t="s">
        <x:v>21</x:v>
      </x:c>
      <x:c r="N2234" s="0" t="s">
        <x:v>46</x:v>
      </x:c>
    </x:row>
    <x:row r="2235" spans="1:16">
      <x:c r="A2235" s="0" t="s">
        <x:v>8775</x:v>
      </x:c>
      <x:c r="B2235" s="0" t="s">
        <x:v>8776</x:v>
      </x:c>
      <x:c r="C2235" s="0" t="s">
        <x:v>8777</x:v>
      </x:c>
      <x:c r="E2235" s="0" t="s">
        <x:v>8778</x:v>
      </x:c>
      <x:c r="F2235" s="0" t="s">
        <x:v>45</x:v>
      </x:c>
      <x:c r="G2235" s="0" t="s">
        <x:v>19</x:v>
      </x:c>
      <x:c r="H2235" s="0" t="s">
        <x:v>20</x:v>
      </x:c>
      <x:c r="I2235" s="0" t="s">
        <x:v>21</x:v>
      </x:c>
      <x:c r="K2235" s="0">
        <x:f>hyperlink("https://icd.who.int/dev11/l-ichi/en#/http%3A%2F%2Fid.who.int%2Ficd%2Fentity%2F1930528109","browser")</x:f>
      </x:c>
      <x:c r="L2235" s="0">
        <x:f>hyperlink("https://icat2.azurewebsites.net/icat/?ontology=ICD&amp;tab=ClassesTab&amp;id=http%3A%2F%2Fwho.int%2Ficd%238636_512ebf36_bf6b_4d70_85da_cf2637062af4","iCat")</x:f>
      </x:c>
      <x:c r="M2235" s="0" t="s">
        <x:v>21</x:v>
      </x:c>
      <x:c r="N2235" s="0" t="s">
        <x:v>46</x:v>
      </x:c>
    </x:row>
    <x:row r="2236" spans="1:16">
      <x:c r="A2236" s="0" t="s">
        <x:v>8779</x:v>
      </x:c>
      <x:c r="B2236" s="0" t="s">
        <x:v>8780</x:v>
      </x:c>
      <x:c r="C2236" s="0" t="s">
        <x:v>8781</x:v>
      </x:c>
      <x:c r="E2236" s="0" t="s">
        <x:v>8782</x:v>
      </x:c>
      <x:c r="F2236" s="0" t="s">
        <x:v>45</x:v>
      </x:c>
      <x:c r="G2236" s="0" t="s">
        <x:v>19</x:v>
      </x:c>
      <x:c r="H2236" s="0" t="s">
        <x:v>20</x:v>
      </x:c>
      <x:c r="I2236" s="0" t="s">
        <x:v>21</x:v>
      </x:c>
      <x:c r="K2236" s="0">
        <x:f>hyperlink("https://icd.who.int/dev11/l-ichi/en#/http%3A%2F%2Fid.who.int%2Ficd%2Fentity%2F649825204","browser")</x:f>
      </x:c>
      <x:c r="L2236" s="0">
        <x:f>hyperlink("https://icat2.azurewebsites.net/icat/?ontology=ICD&amp;tab=ClassesTab&amp;id=http%3A%2F%2Fwho.int%2Ficd%238644_512ebf36_bf6b_4d70_85da_cf2637062af4","iCat")</x:f>
      </x:c>
      <x:c r="M2236" s="0" t="s">
        <x:v>21</x:v>
      </x:c>
      <x:c r="N2236" s="0" t="s">
        <x:v>46</x:v>
      </x:c>
    </x:row>
    <x:row r="2237" spans="1:16">
      <x:c r="A2237" s="0" t="s">
        <x:v>8783</x:v>
      </x:c>
      <x:c r="B2237" s="0" t="s">
        <x:v>8784</x:v>
      </x:c>
      <x:c r="C2237" s="0" t="s">
        <x:v>8785</x:v>
      </x:c>
      <x:c r="E2237" s="0" t="s">
        <x:v>8786</x:v>
      </x:c>
      <x:c r="F2237" s="0" t="s">
        <x:v>45</x:v>
      </x:c>
      <x:c r="G2237" s="0" t="s">
        <x:v>19</x:v>
      </x:c>
      <x:c r="H2237" s="0" t="s">
        <x:v>20</x:v>
      </x:c>
      <x:c r="I2237" s="0" t="s">
        <x:v>21</x:v>
      </x:c>
      <x:c r="K2237" s="0">
        <x:f>hyperlink("https://icd.who.int/dev11/l-ichi/en#/http%3A%2F%2Fid.who.int%2Ficd%2Fentity%2F1501604013","browser")</x:f>
      </x:c>
      <x:c r="L2237" s="0">
        <x:f>hyperlink("https://icat2.azurewebsites.net/icat/?ontology=ICD&amp;tab=ClassesTab&amp;id=http%3A%2F%2Fwho.int%2Ficd%238651_512ebf36_bf6b_4d70_85da_cf2637062af4","iCat")</x:f>
      </x:c>
      <x:c r="M2237" s="0" t="s">
        <x:v>21</x:v>
      </x:c>
      <x:c r="N2237" s="0" t="s">
        <x:v>46</x:v>
      </x:c>
    </x:row>
    <x:row r="2238" spans="1:16">
      <x:c r="A2238" s="0" t="s">
        <x:v>8787</x:v>
      </x:c>
      <x:c r="B2238" s="0" t="s">
        <x:v>8788</x:v>
      </x:c>
      <x:c r="C2238" s="0" t="s">
        <x:v>8789</x:v>
      </x:c>
      <x:c r="E2238" s="0" t="s">
        <x:v>8790</x:v>
      </x:c>
      <x:c r="F2238" s="0" t="s">
        <x:v>45</x:v>
      </x:c>
      <x:c r="G2238" s="0" t="s">
        <x:v>19</x:v>
      </x:c>
      <x:c r="H2238" s="0" t="s">
        <x:v>20</x:v>
      </x:c>
      <x:c r="I2238" s="0" t="s">
        <x:v>21</x:v>
      </x:c>
      <x:c r="K2238" s="0">
        <x:f>hyperlink("https://icd.who.int/dev11/l-ichi/en#/http%3A%2F%2Fid.who.int%2Ficd%2Fentity%2F1087023854","browser")</x:f>
      </x:c>
      <x:c r="L2238" s="0">
        <x:f>hyperlink("https://icat2.azurewebsites.net/icat/?ontology=ICD&amp;tab=ClassesTab&amp;id=http%3A%2F%2Fwho.int%2Ficd%239551_4869915e_217e_423d_acb3_33c0f920ef4b","iCat")</x:f>
      </x:c>
      <x:c r="M2238" s="0" t="s">
        <x:v>21</x:v>
      </x:c>
      <x:c r="N2238" s="0" t="s">
        <x:v>46</x:v>
      </x:c>
    </x:row>
    <x:row r="2239" spans="1:16">
      <x:c r="A2239" s="0" t="s">
        <x:v>8791</x:v>
      </x:c>
      <x:c r="B2239" s="0" t="s">
        <x:v>8792</x:v>
      </x:c>
      <x:c r="C2239" s="0" t="s">
        <x:v>8793</x:v>
      </x:c>
      <x:c r="E2239" s="0" t="s">
        <x:v>8794</x:v>
      </x:c>
      <x:c r="F2239" s="0" t="s">
        <x:v>45</x:v>
      </x:c>
      <x:c r="G2239" s="0" t="s">
        <x:v>19</x:v>
      </x:c>
      <x:c r="H2239" s="0" t="s">
        <x:v>20</x:v>
      </x:c>
      <x:c r="I2239" s="0" t="s">
        <x:v>21</x:v>
      </x:c>
      <x:c r="K2239" s="0">
        <x:f>hyperlink("https://icd.who.int/dev11/l-ichi/en#/http%3A%2F%2Fid.who.int%2Ficd%2Fentity%2F1371289356","browser")</x:f>
      </x:c>
      <x:c r="L2239" s="0">
        <x:f>hyperlink("https://icat2.azurewebsites.net/icat/?ontology=ICD&amp;tab=ClassesTab&amp;id=http%3A%2F%2Fwho.int%2Ficd%239086_7353cc8f_16bd_4231_887a_95ea54e27297","iCat")</x:f>
      </x:c>
      <x:c r="M2239" s="0" t="s">
        <x:v>21</x:v>
      </x:c>
      <x:c r="N2239" s="0" t="s">
        <x:v>46</x:v>
      </x:c>
    </x:row>
    <x:row r="2240" spans="1:16">
      <x:c r="A2240" s="0" t="s">
        <x:v>8795</x:v>
      </x:c>
      <x:c r="B2240" s="0" t="s">
        <x:v>8796</x:v>
      </x:c>
      <x:c r="C2240" s="0" t="s">
        <x:v>8797</x:v>
      </x:c>
      <x:c r="E2240" s="0" t="s">
        <x:v>8798</x:v>
      </x:c>
      <x:c r="F2240" s="0" t="s">
        <x:v>45</x:v>
      </x:c>
      <x:c r="G2240" s="0" t="s">
        <x:v>19</x:v>
      </x:c>
      <x:c r="H2240" s="0" t="s">
        <x:v>20</x:v>
      </x:c>
      <x:c r="I2240" s="0" t="s">
        <x:v>21</x:v>
      </x:c>
      <x:c r="K2240" s="0">
        <x:f>hyperlink("https://icd.who.int/dev11/l-ichi/en#/http%3A%2F%2Fid.who.int%2Ficd%2Fentity%2F2072418554","browser")</x:f>
      </x:c>
      <x:c r="L2240" s="0">
        <x:f>hyperlink("https://icat2.azurewebsites.net/icat/?ontology=ICD&amp;tab=ClassesTab&amp;id=http%3A%2F%2Fwho.int%2Ficd%239631_4869915e_217e_423d_acb3_33c0f920ef4b","iCat")</x:f>
      </x:c>
      <x:c r="M2240" s="0" t="s">
        <x:v>21</x:v>
      </x:c>
      <x:c r="N2240" s="0" t="s">
        <x:v>46</x:v>
      </x:c>
    </x:row>
    <x:row r="2241" spans="1:16">
      <x:c r="A2241" s="0" t="s">
        <x:v>8799</x:v>
      </x:c>
      <x:c r="B2241" s="0" t="s">
        <x:v>8800</x:v>
      </x:c>
      <x:c r="C2241" s="0" t="s">
        <x:v>8801</x:v>
      </x:c>
      <x:c r="E2241" s="0" t="s">
        <x:v>8802</x:v>
      </x:c>
      <x:c r="F2241" s="0" t="s">
        <x:v>45</x:v>
      </x:c>
      <x:c r="G2241" s="0" t="s">
        <x:v>19</x:v>
      </x:c>
      <x:c r="H2241" s="0" t="s">
        <x:v>20</x:v>
      </x:c>
      <x:c r="I2241" s="0" t="s">
        <x:v>21</x:v>
      </x:c>
      <x:c r="K2241" s="0">
        <x:f>hyperlink("https://icd.who.int/dev11/l-ichi/en#/http%3A%2F%2Fid.who.int%2Ficd%2Fentity%2F422701226","browser")</x:f>
      </x:c>
      <x:c r="L2241" s="0">
        <x:f>hyperlink("https://icat2.azurewebsites.net/icat/?ontology=ICD&amp;tab=ClassesTab&amp;id=http%3A%2F%2Fwho.int%2Ficd%238661_512ebf36_bf6b_4d70_85da_cf2637062af4","iCat")</x:f>
      </x:c>
      <x:c r="M2241" s="0" t="s">
        <x:v>21</x:v>
      </x:c>
      <x:c r="N2241" s="0" t="s">
        <x:v>46</x:v>
      </x:c>
    </x:row>
    <x:row r="2242" spans="1:16">
      <x:c r="A2242" s="0" t="s">
        <x:v>8803</x:v>
      </x:c>
      <x:c r="B2242" s="0" t="s">
        <x:v>8804</x:v>
      </x:c>
      <x:c r="C2242" s="0" t="s">
        <x:v>8805</x:v>
      </x:c>
      <x:c r="E2242" s="0" t="s">
        <x:v>8806</x:v>
      </x:c>
      <x:c r="F2242" s="0" t="s">
        <x:v>45</x:v>
      </x:c>
      <x:c r="G2242" s="0" t="s">
        <x:v>19</x:v>
      </x:c>
      <x:c r="H2242" s="0" t="s">
        <x:v>20</x:v>
      </x:c>
      <x:c r="I2242" s="0" t="s">
        <x:v>21</x:v>
      </x:c>
      <x:c r="K2242" s="0">
        <x:f>hyperlink("https://icd.who.int/dev11/l-ichi/en#/http%3A%2F%2Fid.who.int%2Ficd%2Fentity%2F1229599003","browser")</x:f>
      </x:c>
      <x:c r="L2242" s="0">
        <x:f>hyperlink("https://icat2.azurewebsites.net/icat/?ontology=ICD&amp;tab=ClassesTab&amp;id=http%3A%2F%2Fwho.int%2Ficd%238667_512ebf36_bf6b_4d70_85da_cf2637062af4","iCat")</x:f>
      </x:c>
      <x:c r="M2242" s="0" t="s">
        <x:v>21</x:v>
      </x:c>
      <x:c r="N2242" s="0" t="s">
        <x:v>46</x:v>
      </x:c>
    </x:row>
    <x:row r="2243" spans="1:16">
      <x:c r="A2243" s="0" t="s">
        <x:v>8807</x:v>
      </x:c>
      <x:c r="B2243" s="0" t="s">
        <x:v>8808</x:v>
      </x:c>
      <x:c r="C2243" s="0" t="s">
        <x:v>8809</x:v>
      </x:c>
      <x:c r="E2243" s="0" t="s">
        <x:v>8810</x:v>
      </x:c>
      <x:c r="F2243" s="0" t="s">
        <x:v>45</x:v>
      </x:c>
      <x:c r="G2243" s="0" t="s">
        <x:v>19</x:v>
      </x:c>
      <x:c r="H2243" s="0" t="s">
        <x:v>20</x:v>
      </x:c>
      <x:c r="I2243" s="0" t="s">
        <x:v>21</x:v>
      </x:c>
      <x:c r="K2243" s="0">
        <x:f>hyperlink("https://icd.who.int/dev11/l-ichi/en#/http%3A%2F%2Fid.who.int%2Ficd%2Fentity%2F452098911","browser")</x:f>
      </x:c>
      <x:c r="L2243" s="0">
        <x:f>hyperlink("https://icat2.azurewebsites.net/icat/?ontology=ICD&amp;tab=ClassesTab&amp;id=http%3A%2F%2Fwho.int%2Ficd%2393_0e0e282e_2c9b_4003_91b3_eda3c562ea05","iCat")</x:f>
      </x:c>
      <x:c r="M2243" s="0" t="s">
        <x:v>21</x:v>
      </x:c>
      <x:c r="N2243" s="0" t="s">
        <x:v>46</x:v>
      </x:c>
    </x:row>
    <x:row r="2244" spans="1:16">
      <x:c r="A2244" s="0" t="s">
        <x:v>8811</x:v>
      </x:c>
      <x:c r="B2244" s="0" t="s">
        <x:v>8812</x:v>
      </x:c>
      <x:c r="C2244" s="0" t="s">
        <x:v>8813</x:v>
      </x:c>
      <x:c r="E2244" s="0" t="s">
        <x:v>8814</x:v>
      </x:c>
      <x:c r="F2244" s="0" t="s">
        <x:v>45</x:v>
      </x:c>
      <x:c r="G2244" s="0" t="s">
        <x:v>19</x:v>
      </x:c>
      <x:c r="H2244" s="0" t="s">
        <x:v>20</x:v>
      </x:c>
      <x:c r="I2244" s="0" t="s">
        <x:v>21</x:v>
      </x:c>
      <x:c r="K2244" s="0">
        <x:f>hyperlink("https://icd.who.int/dev11/l-ichi/en#/http%3A%2F%2Fid.who.int%2Ficd%2Fentity%2F378036280","browser")</x:f>
      </x:c>
      <x:c r="L2244" s="0">
        <x:f>hyperlink("https://icat2.azurewebsites.net/icat/?ontology=ICD&amp;tab=ClassesTab&amp;id=http%3A%2F%2Fwho.int%2Ficd%238673_512ebf36_bf6b_4d70_85da_cf2637062af4","iCat")</x:f>
      </x:c>
      <x:c r="M2244" s="0" t="s">
        <x:v>21</x:v>
      </x:c>
      <x:c r="N2244" s="0" t="s">
        <x:v>46</x:v>
      </x:c>
    </x:row>
    <x:row r="2245" spans="1:16">
      <x:c r="A2245" s="0" t="s">
        <x:v>8815</x:v>
      </x:c>
      <x:c r="B2245" s="0" t="s">
        <x:v>8816</x:v>
      </x:c>
      <x:c r="C2245" s="0" t="s">
        <x:v>8817</x:v>
      </x:c>
      <x:c r="E2245" s="0" t="s">
        <x:v>8818</x:v>
      </x:c>
      <x:c r="F2245" s="0" t="s">
        <x:v>45</x:v>
      </x:c>
      <x:c r="G2245" s="0" t="s">
        <x:v>19</x:v>
      </x:c>
      <x:c r="H2245" s="0" t="s">
        <x:v>20</x:v>
      </x:c>
      <x:c r="I2245" s="0" t="s">
        <x:v>21</x:v>
      </x:c>
      <x:c r="K2245" s="0">
        <x:f>hyperlink("https://icd.who.int/dev11/l-ichi/en#/http%3A%2F%2Fid.who.int%2Ficd%2Fentity%2F1544763171","browser")</x:f>
      </x:c>
      <x:c r="L2245" s="0">
        <x:f>hyperlink("https://icat2.azurewebsites.net/icat/?ontology=ICD&amp;tab=ClassesTab&amp;id=http%3A%2F%2Fwho.int%2Ficd%238681_512ebf36_bf6b_4d70_85da_cf2637062af4","iCat")</x:f>
      </x:c>
      <x:c r="M2245" s="0" t="s">
        <x:v>21</x:v>
      </x:c>
      <x:c r="N2245" s="0" t="s">
        <x:v>46</x:v>
      </x:c>
    </x:row>
    <x:row r="2246" spans="1:16">
      <x:c r="A2246" s="0" t="s">
        <x:v>8819</x:v>
      </x:c>
      <x:c r="B2246" s="0" t="s">
        <x:v>8820</x:v>
      </x:c>
      <x:c r="C2246" s="0" t="s">
        <x:v>8821</x:v>
      </x:c>
      <x:c r="E2246" s="0" t="s">
        <x:v>8822</x:v>
      </x:c>
      <x:c r="F2246" s="0" t="s">
        <x:v>45</x:v>
      </x:c>
      <x:c r="G2246" s="0" t="s">
        <x:v>19</x:v>
      </x:c>
      <x:c r="H2246" s="0" t="s">
        <x:v>20</x:v>
      </x:c>
      <x:c r="I2246" s="0" t="s">
        <x:v>21</x:v>
      </x:c>
      <x:c r="K2246" s="0">
        <x:f>hyperlink("https://icd.who.int/dev11/l-ichi/en#/http%3A%2F%2Fid.who.int%2Ficd%2Fentity%2F311576182","browser")</x:f>
      </x:c>
      <x:c r="L2246" s="0">
        <x:f>hyperlink("https://icat2.azurewebsites.net/icat/?ontology=ICD&amp;tab=ClassesTab&amp;id=http%3A%2F%2Fwho.int%2Ficd%238689_512ebf36_bf6b_4d70_85da_cf2637062af4","iCat")</x:f>
      </x:c>
      <x:c r="M2246" s="0" t="s">
        <x:v>21</x:v>
      </x:c>
      <x:c r="N2246" s="0" t="s">
        <x:v>46</x:v>
      </x:c>
    </x:row>
    <x:row r="2247" spans="1:16">
      <x:c r="A2247" s="0" t="s">
        <x:v>8823</x:v>
      </x:c>
      <x:c r="B2247" s="0" t="s">
        <x:v>8824</x:v>
      </x:c>
      <x:c r="C2247" s="0" t="s">
        <x:v>8825</x:v>
      </x:c>
      <x:c r="E2247" s="0" t="s">
        <x:v>8826</x:v>
      </x:c>
      <x:c r="F2247" s="0" t="s">
        <x:v>45</x:v>
      </x:c>
      <x:c r="G2247" s="0" t="s">
        <x:v>19</x:v>
      </x:c>
      <x:c r="H2247" s="0" t="s">
        <x:v>20</x:v>
      </x:c>
      <x:c r="I2247" s="0" t="s">
        <x:v>21</x:v>
      </x:c>
      <x:c r="K2247" s="0">
        <x:f>hyperlink("https://icd.who.int/dev11/l-ichi/en#/http%3A%2F%2Fid.who.int%2Ficd%2Fentity%2F1179912697","browser")</x:f>
      </x:c>
      <x:c r="L2247" s="0">
        <x:f>hyperlink("https://icat2.azurewebsites.net/icat/?ontology=ICD&amp;tab=ClassesTab&amp;id=http%3A%2F%2Fwho.int%2Ficd%238696_512ebf36_bf6b_4d70_85da_cf2637062af4","iCat")</x:f>
      </x:c>
      <x:c r="M2247" s="0" t="s">
        <x:v>21</x:v>
      </x:c>
      <x:c r="N2247" s="0" t="s">
        <x:v>46</x:v>
      </x:c>
    </x:row>
    <x:row r="2248" spans="1:16">
      <x:c r="A2248" s="0" t="s">
        <x:v>8827</x:v>
      </x:c>
      <x:c r="B2248" s="0" t="s">
        <x:v>8828</x:v>
      </x:c>
      <x:c r="C2248" s="0" t="s">
        <x:v>8829</x:v>
      </x:c>
      <x:c r="E2248" s="0" t="s">
        <x:v>8830</x:v>
      </x:c>
      <x:c r="F2248" s="0" t="s">
        <x:v>45</x:v>
      </x:c>
      <x:c r="G2248" s="0" t="s">
        <x:v>19</x:v>
      </x:c>
      <x:c r="H2248" s="0" t="s">
        <x:v>20</x:v>
      </x:c>
      <x:c r="I2248" s="0" t="s">
        <x:v>21</x:v>
      </x:c>
      <x:c r="K2248" s="0">
        <x:f>hyperlink("https://icd.who.int/dev11/l-ichi/en#/http%3A%2F%2Fid.who.int%2Ficd%2Fentity%2F591601204","browser")</x:f>
      </x:c>
      <x:c r="L2248" s="0">
        <x:f>hyperlink("https://icat2.azurewebsites.net/icat/?ontology=ICD&amp;tab=ClassesTab&amp;id=http%3A%2F%2Fwho.int%2Ficd%238704_512ebf36_bf6b_4d70_85da_cf2637062af4","iCat")</x:f>
      </x:c>
      <x:c r="M2248" s="0" t="s">
        <x:v>21</x:v>
      </x:c>
      <x:c r="N2248" s="0" t="s">
        <x:v>46</x:v>
      </x:c>
    </x:row>
    <x:row r="2249" spans="1:16">
      <x:c r="A2249" s="0" t="s">
        <x:v>8831</x:v>
      </x:c>
      <x:c r="B2249" s="0" t="s">
        <x:v>8832</x:v>
      </x:c>
      <x:c r="C2249" s="0" t="s">
        <x:v>8833</x:v>
      </x:c>
      <x:c r="E2249" s="0" t="s">
        <x:v>8834</x:v>
      </x:c>
      <x:c r="F2249" s="0" t="s">
        <x:v>45</x:v>
      </x:c>
      <x:c r="G2249" s="0" t="s">
        <x:v>19</x:v>
      </x:c>
      <x:c r="H2249" s="0" t="s">
        <x:v>20</x:v>
      </x:c>
      <x:c r="I2249" s="0" t="s">
        <x:v>21</x:v>
      </x:c>
      <x:c r="K2249" s="0">
        <x:f>hyperlink("https://icd.who.int/dev11/l-ichi/en#/http%3A%2F%2Fid.who.int%2Ficd%2Fentity%2F2088849169","browser")</x:f>
      </x:c>
      <x:c r="L2249" s="0">
        <x:f>hyperlink("https://icat2.azurewebsites.net/icat/?ontology=ICD&amp;tab=ClassesTab&amp;id=http%3A%2F%2Fwho.int%2Ficd%238710_512ebf36_bf6b_4d70_85da_cf2637062af4","iCat")</x:f>
      </x:c>
      <x:c r="M2249" s="0" t="s">
        <x:v>21</x:v>
      </x:c>
      <x:c r="N2249" s="0" t="s">
        <x:v>46</x:v>
      </x:c>
    </x:row>
    <x:row r="2250" spans="1:16">
      <x:c r="A2250" s="0" t="s">
        <x:v>8835</x:v>
      </x:c>
      <x:c r="B2250" s="0" t="s">
        <x:v>8836</x:v>
      </x:c>
      <x:c r="C2250" s="0" t="s">
        <x:v>8837</x:v>
      </x:c>
      <x:c r="E2250" s="0" t="s">
        <x:v>8838</x:v>
      </x:c>
      <x:c r="F2250" s="0" t="s">
        <x:v>45</x:v>
      </x:c>
      <x:c r="G2250" s="0" t="s">
        <x:v>19</x:v>
      </x:c>
      <x:c r="H2250" s="0" t="s">
        <x:v>20</x:v>
      </x:c>
      <x:c r="I2250" s="0" t="s">
        <x:v>21</x:v>
      </x:c>
      <x:c r="K2250" s="0">
        <x:f>hyperlink("https://icd.who.int/dev11/l-ichi/en#/http%3A%2F%2Fid.who.int%2Ficd%2Fentity%2F280064861","browser")</x:f>
      </x:c>
      <x:c r="L2250" s="0">
        <x:f>hyperlink("https://icat2.azurewebsites.net/icat/?ontology=ICD&amp;tab=ClassesTab&amp;id=http%3A%2F%2Fwho.int%2Ficd%239557_4869915e_217e_423d_acb3_33c0f920ef4b","iCat")</x:f>
      </x:c>
      <x:c r="M2250" s="0" t="s">
        <x:v>21</x:v>
      </x:c>
      <x:c r="N2250" s="0" t="s">
        <x:v>46</x:v>
      </x:c>
    </x:row>
    <x:row r="2251" spans="1:16">
      <x:c r="A2251" s="0" t="s">
        <x:v>8839</x:v>
      </x:c>
      <x:c r="B2251" s="0" t="s">
        <x:v>8840</x:v>
      </x:c>
      <x:c r="C2251" s="0" t="s">
        <x:v>8841</x:v>
      </x:c>
      <x:c r="E2251" s="0" t="s">
        <x:v>8842</x:v>
      </x:c>
      <x:c r="F2251" s="0" t="s">
        <x:v>45</x:v>
      </x:c>
      <x:c r="G2251" s="0" t="s">
        <x:v>19</x:v>
      </x:c>
      <x:c r="H2251" s="0" t="s">
        <x:v>20</x:v>
      </x:c>
      <x:c r="I2251" s="0" t="s">
        <x:v>21</x:v>
      </x:c>
      <x:c r="K2251" s="0">
        <x:f>hyperlink("https://icd.who.int/dev11/l-ichi/en#/http%3A%2F%2Fid.who.int%2Ficd%2Fentity%2F1009782552","browser")</x:f>
      </x:c>
      <x:c r="L2251" s="0">
        <x:f>hyperlink("https://icat2.azurewebsites.net/icat/?ontology=ICD&amp;tab=ClassesTab&amp;id=http%3A%2F%2Fwho.int%2Ficd%238720_512ebf36_bf6b_4d70_85da_cf2637062af4","iCat")</x:f>
      </x:c>
      <x:c r="M2251" s="0" t="s">
        <x:v>21</x:v>
      </x:c>
      <x:c r="N2251" s="0" t="s">
        <x:v>46</x:v>
      </x:c>
    </x:row>
    <x:row r="2252" spans="1:16">
      <x:c r="A2252" s="0" t="s">
        <x:v>8843</x:v>
      </x:c>
      <x:c r="B2252" s="0" t="s">
        <x:v>8844</x:v>
      </x:c>
      <x:c r="C2252" s="0" t="s">
        <x:v>8845</x:v>
      </x:c>
      <x:c r="E2252" s="0" t="s">
        <x:v>8846</x:v>
      </x:c>
      <x:c r="F2252" s="0" t="s">
        <x:v>45</x:v>
      </x:c>
      <x:c r="G2252" s="0" t="s">
        <x:v>19</x:v>
      </x:c>
      <x:c r="H2252" s="0" t="s">
        <x:v>20</x:v>
      </x:c>
      <x:c r="I2252" s="0" t="s">
        <x:v>21</x:v>
      </x:c>
      <x:c r="K2252" s="0">
        <x:f>hyperlink("https://icd.who.int/dev11/l-ichi/en#/http%3A%2F%2Fid.who.int%2Ficd%2Fentity%2F1816909479","browser")</x:f>
      </x:c>
      <x:c r="L2252" s="0">
        <x:f>hyperlink("https://icat2.azurewebsites.net/icat/?ontology=ICD&amp;tab=ClassesTab&amp;id=http%3A%2F%2Fwho.int%2Ficd%238726_512ebf36_bf6b_4d70_85da_cf2637062af4","iCat")</x:f>
      </x:c>
      <x:c r="M2252" s="0" t="s">
        <x:v>21</x:v>
      </x:c>
      <x:c r="N2252" s="0" t="s">
        <x:v>46</x:v>
      </x:c>
    </x:row>
    <x:row r="2253" spans="1:16">
      <x:c r="A2253" s="0" t="s">
        <x:v>8847</x:v>
      </x:c>
      <x:c r="B2253" s="0" t="s">
        <x:v>8848</x:v>
      </x:c>
      <x:c r="C2253" s="0" t="s">
        <x:v>8849</x:v>
      </x:c>
      <x:c r="E2253" s="0" t="s">
        <x:v>8850</x:v>
      </x:c>
      <x:c r="F2253" s="0" t="s">
        <x:v>45</x:v>
      </x:c>
      <x:c r="G2253" s="0" t="s">
        <x:v>19</x:v>
      </x:c>
      <x:c r="H2253" s="0" t="s">
        <x:v>20</x:v>
      </x:c>
      <x:c r="I2253" s="0" t="s">
        <x:v>21</x:v>
      </x:c>
      <x:c r="K2253" s="0">
        <x:f>hyperlink("https://icd.who.int/dev11/l-ichi/en#/http%3A%2F%2Fid.who.int%2Ficd%2Fentity%2F864651142","browser")</x:f>
      </x:c>
      <x:c r="L2253" s="0">
        <x:f>hyperlink("https://icat2.azurewebsites.net/icat/?ontology=ICD&amp;tab=ClassesTab&amp;id=http%3A%2F%2Fwho.int%2Ficd%238732_512ebf36_bf6b_4d70_85da_cf2637062af4","iCat")</x:f>
      </x:c>
      <x:c r="M2253" s="0" t="s">
        <x:v>21</x:v>
      </x:c>
      <x:c r="N2253" s="0" t="s">
        <x:v>46</x:v>
      </x:c>
    </x:row>
    <x:row r="2254" spans="1:16">
      <x:c r="A2254" s="0" t="s">
        <x:v>8851</x:v>
      </x:c>
      <x:c r="B2254" s="0" t="s">
        <x:v>8852</x:v>
      </x:c>
      <x:c r="C2254" s="0" t="s">
        <x:v>8853</x:v>
      </x:c>
      <x:c r="E2254" s="0" t="s">
        <x:v>8854</x:v>
      </x:c>
      <x:c r="F2254" s="0" t="s">
        <x:v>45</x:v>
      </x:c>
      <x:c r="G2254" s="0" t="s">
        <x:v>19</x:v>
      </x:c>
      <x:c r="H2254" s="0" t="s">
        <x:v>20</x:v>
      </x:c>
      <x:c r="I2254" s="0" t="s">
        <x:v>21</x:v>
      </x:c>
      <x:c r="K2254" s="0">
        <x:f>hyperlink("https://icd.who.int/dev11/l-ichi/en#/http%3A%2F%2Fid.who.int%2Ficd%2Fentity%2F1713604955","browser")</x:f>
      </x:c>
      <x:c r="L2254" s="0">
        <x:f>hyperlink("https://icat2.azurewebsites.net/icat/?ontology=ICD&amp;tab=ClassesTab&amp;id=http%3A%2F%2Fwho.int%2Ficd%238740_512ebf36_bf6b_4d70_85da_cf2637062af4","iCat")</x:f>
      </x:c>
      <x:c r="M2254" s="0" t="s">
        <x:v>21</x:v>
      </x:c>
      <x:c r="N2254" s="0" t="s">
        <x:v>46</x:v>
      </x:c>
    </x:row>
    <x:row r="2255" spans="1:16">
      <x:c r="A2255" s="0" t="s">
        <x:v>8855</x:v>
      </x:c>
      <x:c r="B2255" s="0" t="s">
        <x:v>8856</x:v>
      </x:c>
      <x:c r="C2255" s="0" t="s">
        <x:v>8857</x:v>
      </x:c>
      <x:c r="E2255" s="0" t="s">
        <x:v>8858</x:v>
      </x:c>
      <x:c r="F2255" s="0" t="s">
        <x:v>45</x:v>
      </x:c>
      <x:c r="G2255" s="0" t="s">
        <x:v>19</x:v>
      </x:c>
      <x:c r="H2255" s="0" t="s">
        <x:v>20</x:v>
      </x:c>
      <x:c r="I2255" s="0" t="s">
        <x:v>21</x:v>
      </x:c>
      <x:c r="K2255" s="0">
        <x:f>hyperlink("https://icd.who.int/dev11/l-ichi/en#/http%3A%2F%2Fid.who.int%2Ficd%2Fentity%2F911757548","browser")</x:f>
      </x:c>
      <x:c r="L2255" s="0">
        <x:f>hyperlink("https://icat2.azurewebsites.net/icat/?ontology=ICD&amp;tab=ClassesTab&amp;id=http%3A%2F%2Fwho.int%2Ficd%238746_512ebf36_bf6b_4d70_85da_cf2637062af4","iCat")</x:f>
      </x:c>
      <x:c r="M2255" s="0" t="s">
        <x:v>21</x:v>
      </x:c>
      <x:c r="N2255" s="0" t="s">
        <x:v>46</x:v>
      </x:c>
    </x:row>
    <x:row r="2256" spans="1:16">
      <x:c r="A2256" s="0" t="s">
        <x:v>8859</x:v>
      </x:c>
      <x:c r="B2256" s="0" t="s">
        <x:v>8860</x:v>
      </x:c>
      <x:c r="C2256" s="0" t="s">
        <x:v>8861</x:v>
      </x:c>
      <x:c r="E2256" s="0" t="s">
        <x:v>8862</x:v>
      </x:c>
      <x:c r="F2256" s="0" t="s">
        <x:v>45</x:v>
      </x:c>
      <x:c r="G2256" s="0" t="s">
        <x:v>19</x:v>
      </x:c>
      <x:c r="H2256" s="0" t="s">
        <x:v>20</x:v>
      </x:c>
      <x:c r="I2256" s="0" t="s">
        <x:v>21</x:v>
      </x:c>
      <x:c r="K2256" s="0">
        <x:f>hyperlink("https://icd.who.int/dev11/l-ichi/en#/http%3A%2F%2Fid.who.int%2Ficd%2Fentity%2F690700752","browser")</x:f>
      </x:c>
      <x:c r="L2256" s="0">
        <x:f>hyperlink("https://icat2.azurewebsites.net/icat/?ontology=ICD&amp;tab=ClassesTab&amp;id=http%3A%2F%2Fwho.int%2Ficd%238762_512ebf36_bf6b_4d70_85da_cf2637062af4","iCat")</x:f>
      </x:c>
      <x:c r="M2256" s="0" t="s">
        <x:v>21</x:v>
      </x:c>
      <x:c r="N2256" s="0" t="s">
        <x:v>46</x:v>
      </x:c>
    </x:row>
    <x:row r="2257" spans="1:16">
      <x:c r="A2257" s="0" t="s">
        <x:v>8863</x:v>
      </x:c>
      <x:c r="B2257" s="0" t="s">
        <x:v>8864</x:v>
      </x:c>
      <x:c r="C2257" s="0" t="s">
        <x:v>8865</x:v>
      </x:c>
      <x:c r="E2257" s="0" t="s">
        <x:v>8866</x:v>
      </x:c>
      <x:c r="F2257" s="0" t="s">
        <x:v>45</x:v>
      </x:c>
      <x:c r="G2257" s="0" t="s">
        <x:v>19</x:v>
      </x:c>
      <x:c r="H2257" s="0" t="s">
        <x:v>20</x:v>
      </x:c>
      <x:c r="I2257" s="0" t="s">
        <x:v>21</x:v>
      </x:c>
      <x:c r="K2257" s="0">
        <x:f>hyperlink("https://icd.who.int/dev11/l-ichi/en#/http%3A%2F%2Fid.who.int%2Ficd%2Fentity%2F47590752","browser")</x:f>
      </x:c>
      <x:c r="L2257" s="0">
        <x:f>hyperlink("https://icat2.azurewebsites.net/icat/?ontology=ICD&amp;tab=ClassesTab&amp;id=http%3A%2F%2Fwho.int%2Ficd%238768_512ebf36_bf6b_4d70_85da_cf2637062af4","iCat")</x:f>
      </x:c>
      <x:c r="M2257" s="0" t="s">
        <x:v>21</x:v>
      </x:c>
      <x:c r="N2257" s="0" t="s">
        <x:v>46</x:v>
      </x:c>
    </x:row>
    <x:row r="2258" spans="1:16">
      <x:c r="A2258" s="0" t="s">
        <x:v>8867</x:v>
      </x:c>
      <x:c r="B2258" s="0" t="s">
        <x:v>8868</x:v>
      </x:c>
      <x:c r="C2258" s="0" t="s">
        <x:v>8869</x:v>
      </x:c>
      <x:c r="E2258" s="0" t="s">
        <x:v>8870</x:v>
      </x:c>
      <x:c r="F2258" s="0" t="s">
        <x:v>45</x:v>
      </x:c>
      <x:c r="G2258" s="0" t="s">
        <x:v>19</x:v>
      </x:c>
      <x:c r="H2258" s="0" t="s">
        <x:v>20</x:v>
      </x:c>
      <x:c r="I2258" s="0" t="s">
        <x:v>21</x:v>
      </x:c>
      <x:c r="K2258" s="0">
        <x:f>hyperlink("https://icd.who.int/dev11/l-ichi/en#/http%3A%2F%2Fid.who.int%2Ficd%2Fentity%2F862748438","browser")</x:f>
      </x:c>
      <x:c r="L2258" s="0">
        <x:f>hyperlink("https://icat2.azurewebsites.net/icat/?ontology=ICD&amp;tab=ClassesTab&amp;id=http%3A%2F%2Fwho.int%2Ficd%238775_512ebf36_bf6b_4d70_85da_cf2637062af4","iCat")</x:f>
      </x:c>
      <x:c r="M2258" s="0" t="s">
        <x:v>21</x:v>
      </x:c>
      <x:c r="N2258" s="0" t="s">
        <x:v>46</x:v>
      </x:c>
    </x:row>
    <x:row r="2259" spans="1:16">
      <x:c r="A2259" s="0" t="s">
        <x:v>8871</x:v>
      </x:c>
      <x:c r="B2259" s="0" t="s">
        <x:v>8872</x:v>
      </x:c>
      <x:c r="C2259" s="0" t="s">
        <x:v>8873</x:v>
      </x:c>
      <x:c r="E2259" s="0" t="s">
        <x:v>8874</x:v>
      </x:c>
      <x:c r="F2259" s="0" t="s">
        <x:v>45</x:v>
      </x:c>
      <x:c r="G2259" s="0" t="s">
        <x:v>19</x:v>
      </x:c>
      <x:c r="H2259" s="0" t="s">
        <x:v>20</x:v>
      </x:c>
      <x:c r="I2259" s="0" t="s">
        <x:v>21</x:v>
      </x:c>
      <x:c r="K2259" s="0">
        <x:f>hyperlink("https://icd.who.int/dev11/l-ichi/en#/http%3A%2F%2Fid.who.int%2Ficd%2Fentity%2F1695020846","browser")</x:f>
      </x:c>
      <x:c r="L2259" s="0">
        <x:f>hyperlink("https://icat2.azurewebsites.net/icat/?ontology=ICD&amp;tab=ClassesTab&amp;id=http%3A%2F%2Fwho.int%2Ficd%239563_4869915e_217e_423d_acb3_33c0f920ef4b","iCat")</x:f>
      </x:c>
      <x:c r="M2259" s="0" t="s">
        <x:v>21</x:v>
      </x:c>
      <x:c r="N2259" s="0" t="s">
        <x:v>46</x:v>
      </x:c>
    </x:row>
    <x:row r="2260" spans="1:16">
      <x:c r="A2260" s="0" t="s">
        <x:v>8875</x:v>
      </x:c>
      <x:c r="B2260" s="0" t="s">
        <x:v>8876</x:v>
      </x:c>
      <x:c r="C2260" s="0" t="s">
        <x:v>8877</x:v>
      </x:c>
      <x:c r="E2260" s="0" t="s">
        <x:v>8878</x:v>
      </x:c>
      <x:c r="F2260" s="0" t="s">
        <x:v>45</x:v>
      </x:c>
      <x:c r="G2260" s="0" t="s">
        <x:v>19</x:v>
      </x:c>
      <x:c r="H2260" s="0" t="s">
        <x:v>20</x:v>
      </x:c>
      <x:c r="I2260" s="0" t="s">
        <x:v>21</x:v>
      </x:c>
      <x:c r="K2260" s="0">
        <x:f>hyperlink("https://icd.who.int/dev11/l-ichi/en#/http%3A%2F%2Fid.who.int%2Ficd%2Fentity%2F1290857595","browser")</x:f>
      </x:c>
      <x:c r="L2260" s="0">
        <x:f>hyperlink("https://icat2.azurewebsites.net/icat/?ontology=ICD&amp;tab=ClassesTab&amp;id=http%3A%2F%2Fwho.int%2Ficd%238783_512ebf36_bf6b_4d70_85da_cf2637062af4","iCat")</x:f>
      </x:c>
      <x:c r="M2260" s="0" t="s">
        <x:v>21</x:v>
      </x:c>
      <x:c r="N2260" s="0" t="s">
        <x:v>46</x:v>
      </x:c>
    </x:row>
    <x:row r="2261" spans="1:16">
      <x:c r="A2261" s="0" t="s">
        <x:v>8879</x:v>
      </x:c>
      <x:c r="B2261" s="0" t="s">
        <x:v>8880</x:v>
      </x:c>
      <x:c r="C2261" s="0" t="s">
        <x:v>8881</x:v>
      </x:c>
      <x:c r="E2261" s="0" t="s">
        <x:v>8882</x:v>
      </x:c>
      <x:c r="F2261" s="0" t="s">
        <x:v>45</x:v>
      </x:c>
      <x:c r="G2261" s="0" t="s">
        <x:v>19</x:v>
      </x:c>
      <x:c r="H2261" s="0" t="s">
        <x:v>20</x:v>
      </x:c>
      <x:c r="I2261" s="0" t="s">
        <x:v>21</x:v>
      </x:c>
      <x:c r="K2261" s="0">
        <x:f>hyperlink("https://icd.who.int/dev11/l-ichi/en#/http%3A%2F%2Fid.who.int%2Ficd%2Fentity%2F1667536628","browser")</x:f>
      </x:c>
      <x:c r="L2261" s="0">
        <x:f>hyperlink("https://icat2.azurewebsites.net/icat/?ontology=ICD&amp;tab=ClassesTab&amp;id=http%3A%2F%2Fwho.int%2Ficd%237992_c351bd26_e8bd_46f1_9e61_43f767fec9b3","iCat")</x:f>
      </x:c>
      <x:c r="M2261" s="0" t="s">
        <x:v>21</x:v>
      </x:c>
      <x:c r="N2261" s="0" t="s">
        <x:v>46</x:v>
      </x:c>
    </x:row>
    <x:row r="2262" spans="1:16">
      <x:c r="A2262" s="0" t="s">
        <x:v>8883</x:v>
      </x:c>
      <x:c r="B2262" s="0" t="s">
        <x:v>8884</x:v>
      </x:c>
      <x:c r="C2262" s="0" t="s">
        <x:v>8885</x:v>
      </x:c>
      <x:c r="E2262" s="0" t="s">
        <x:v>8886</x:v>
      </x:c>
      <x:c r="F2262" s="0" t="s">
        <x:v>45</x:v>
      </x:c>
      <x:c r="G2262" s="0" t="s">
        <x:v>19</x:v>
      </x:c>
      <x:c r="H2262" s="0" t="s">
        <x:v>20</x:v>
      </x:c>
      <x:c r="I2262" s="0" t="s">
        <x:v>21</x:v>
      </x:c>
      <x:c r="K2262" s="0">
        <x:f>hyperlink("https://icd.who.int/dev11/l-ichi/en#/http%3A%2F%2Fid.who.int%2Ficd%2Fentity%2F870588898","browser")</x:f>
      </x:c>
      <x:c r="L2262" s="0">
        <x:f>hyperlink("https://icat2.azurewebsites.net/icat/?ontology=ICD&amp;tab=ClassesTab&amp;id=http%3A%2F%2Fwho.int%2Ficd%239446_7353cc8f_16bd_4231_887a_95ea54e27297","iCat")</x:f>
      </x:c>
      <x:c r="M2262" s="0" t="s">
        <x:v>21</x:v>
      </x:c>
      <x:c r="N2262" s="0" t="s">
        <x:v>46</x:v>
      </x:c>
    </x:row>
    <x:row r="2263" spans="1:16">
      <x:c r="A2263" s="0" t="s">
        <x:v>8887</x:v>
      </x:c>
      <x:c r="B2263" s="0" t="s">
        <x:v>8888</x:v>
      </x:c>
      <x:c r="C2263" s="0" t="s">
        <x:v>8889</x:v>
      </x:c>
      <x:c r="E2263" s="0" t="s">
        <x:v>8890</x:v>
      </x:c>
      <x:c r="F2263" s="0" t="s">
        <x:v>45</x:v>
      </x:c>
      <x:c r="G2263" s="0" t="s">
        <x:v>19</x:v>
      </x:c>
      <x:c r="H2263" s="0" t="s">
        <x:v>20</x:v>
      </x:c>
      <x:c r="I2263" s="0" t="s">
        <x:v>21</x:v>
      </x:c>
      <x:c r="K2263" s="0">
        <x:f>hyperlink("https://icd.who.int/dev11/l-ichi/en#/http%3A%2F%2Fid.who.int%2Ficd%2Fentity%2F2023257117","browser")</x:f>
      </x:c>
      <x:c r="L2263" s="0">
        <x:f>hyperlink("https://icat2.azurewebsites.net/icat/?ontology=ICD&amp;tab=ClassesTab&amp;id=http%3A%2F%2Fwho.int%2Ficd%239942_4869915e_217e_423d_acb3_33c0f920ef4b","iCat")</x:f>
      </x:c>
      <x:c r="M2263" s="0" t="s">
        <x:v>21</x:v>
      </x:c>
      <x:c r="N2263" s="0" t="s">
        <x:v>46</x:v>
      </x:c>
    </x:row>
    <x:row r="2264" spans="1:16">
      <x:c r="A2264" s="0" t="s">
        <x:v>8891</x:v>
      </x:c>
      <x:c r="B2264" s="0" t="s">
        <x:v>8892</x:v>
      </x:c>
      <x:c r="C2264" s="0" t="s">
        <x:v>8893</x:v>
      </x:c>
      <x:c r="E2264" s="0" t="s">
        <x:v>8894</x:v>
      </x:c>
      <x:c r="F2264" s="0" t="s">
        <x:v>45</x:v>
      </x:c>
      <x:c r="G2264" s="0" t="s">
        <x:v>19</x:v>
      </x:c>
      <x:c r="H2264" s="0" t="s">
        <x:v>20</x:v>
      </x:c>
      <x:c r="I2264" s="0" t="s">
        <x:v>21</x:v>
      </x:c>
      <x:c r="K2264" s="0">
        <x:f>hyperlink("https://icd.who.int/dev11/l-ichi/en#/http%3A%2F%2Fid.who.int%2Ficd%2Fentity%2F694985401","browser")</x:f>
      </x:c>
      <x:c r="L2264" s="0">
        <x:f>hyperlink("https://icat2.azurewebsites.net/icat/?ontology=ICD&amp;tab=ClassesTab&amp;id=http%3A%2F%2Fwho.int%2Ficd%238069_c351bd26_e8bd_46f1_9e61_43f767fec9b3","iCat")</x:f>
      </x:c>
      <x:c r="M2264" s="0" t="s">
        <x:v>21</x:v>
      </x:c>
      <x:c r="N2264" s="0" t="s">
        <x:v>46</x:v>
      </x:c>
    </x:row>
    <x:row r="2265" spans="1:16">
      <x:c r="A2265" s="0" t="s">
        <x:v>8895</x:v>
      </x:c>
      <x:c r="B2265" s="0" t="s">
        <x:v>8896</x:v>
      </x:c>
      <x:c r="C2265" s="0" t="s">
        <x:v>8897</x:v>
      </x:c>
      <x:c r="E2265" s="0" t="s">
        <x:v>8898</x:v>
      </x:c>
      <x:c r="F2265" s="0" t="s">
        <x:v>45</x:v>
      </x:c>
      <x:c r="G2265" s="0" t="s">
        <x:v>19</x:v>
      </x:c>
      <x:c r="H2265" s="0" t="s">
        <x:v>20</x:v>
      </x:c>
      <x:c r="I2265" s="0" t="s">
        <x:v>21</x:v>
      </x:c>
      <x:c r="K2265" s="0">
        <x:f>hyperlink("https://icd.who.int/dev11/l-ichi/en#/http%3A%2F%2Fid.who.int%2Ficd%2Fentity%2F1728938219","browser")</x:f>
      </x:c>
      <x:c r="L2265" s="0">
        <x:f>hyperlink("https://icat2.azurewebsites.net/icat/?ontology=ICD&amp;tab=ClassesTab&amp;id=http%3A%2F%2Fwho.int%2Ficd%238789_512ebf36_bf6b_4d70_85da_cf2637062af4","iCat")</x:f>
      </x:c>
      <x:c r="M2265" s="0" t="s">
        <x:v>21</x:v>
      </x:c>
      <x:c r="N2265" s="0" t="s">
        <x:v>46</x:v>
      </x:c>
    </x:row>
    <x:row r="2266" spans="1:16">
      <x:c r="A2266" s="0" t="s">
        <x:v>8899</x:v>
      </x:c>
      <x:c r="B2266" s="0" t="s">
        <x:v>8900</x:v>
      </x:c>
      <x:c r="C2266" s="0" t="s">
        <x:v>8901</x:v>
      </x:c>
      <x:c r="E2266" s="0" t="s">
        <x:v>8902</x:v>
      </x:c>
      <x:c r="F2266" s="0" t="s">
        <x:v>45</x:v>
      </x:c>
      <x:c r="G2266" s="0" t="s">
        <x:v>19</x:v>
      </x:c>
      <x:c r="H2266" s="0" t="s">
        <x:v>20</x:v>
      </x:c>
      <x:c r="I2266" s="0" t="s">
        <x:v>21</x:v>
      </x:c>
      <x:c r="K2266" s="0">
        <x:f>hyperlink("https://icd.who.int/dev11/l-ichi/en#/http%3A%2F%2Fid.who.int%2Ficd%2Fentity%2F1984864413","browser")</x:f>
      </x:c>
      <x:c r="L2266" s="0">
        <x:f>hyperlink("https://icat2.azurewebsites.net/icat/?ontology=ICD&amp;tab=ClassesTab&amp;id=http%3A%2F%2Fwho.int%2Ficd%238795_512ebf36_bf6b_4d70_85da_cf2637062af4","iCat")</x:f>
      </x:c>
      <x:c r="M2266" s="0" t="s">
        <x:v>21</x:v>
      </x:c>
      <x:c r="N2266" s="0" t="s">
        <x:v>46</x:v>
      </x:c>
    </x:row>
    <x:row r="2267" spans="1:16">
      <x:c r="A2267" s="0" t="s">
        <x:v>8903</x:v>
      </x:c>
      <x:c r="B2267" s="0" t="s">
        <x:v>8904</x:v>
      </x:c>
      <x:c r="C2267" s="0" t="s">
        <x:v>8905</x:v>
      </x:c>
      <x:c r="E2267" s="0" t="s">
        <x:v>8906</x:v>
      </x:c>
      <x:c r="F2267" s="0" t="s">
        <x:v>45</x:v>
      </x:c>
      <x:c r="G2267" s="0" t="s">
        <x:v>19</x:v>
      </x:c>
      <x:c r="H2267" s="0" t="s">
        <x:v>20</x:v>
      </x:c>
      <x:c r="I2267" s="0" t="s">
        <x:v>21</x:v>
      </x:c>
      <x:c r="K2267" s="0">
        <x:f>hyperlink("https://icd.who.int/dev11/l-ichi/en#/http%3A%2F%2Fid.who.int%2Ficd%2Fentity%2F100133659","browser")</x:f>
      </x:c>
      <x:c r="L2267" s="0">
        <x:f>hyperlink("https://icat2.azurewebsites.net/icat/?ontology=ICD&amp;tab=ClassesTab&amp;id=http%3A%2F%2Fwho.int%2Ficd%2340_eda17130_b608_4098_a5ba_0f7570e07ce1","iCat")</x:f>
      </x:c>
      <x:c r="M2267" s="0" t="s">
        <x:v>21</x:v>
      </x:c>
      <x:c r="N2267" s="0" t="s">
        <x:v>46</x:v>
      </x:c>
    </x:row>
    <x:row r="2268" spans="1:16">
      <x:c r="A2268" s="0" t="s">
        <x:v>8907</x:v>
      </x:c>
      <x:c r="B2268" s="0" t="s">
        <x:v>8908</x:v>
      </x:c>
      <x:c r="C2268" s="0" t="s">
        <x:v>8909</x:v>
      </x:c>
      <x:c r="E2268" s="0" t="s">
        <x:v>8910</x:v>
      </x:c>
      <x:c r="F2268" s="0" t="s">
        <x:v>45</x:v>
      </x:c>
      <x:c r="G2268" s="0" t="s">
        <x:v>19</x:v>
      </x:c>
      <x:c r="H2268" s="0" t="s">
        <x:v>20</x:v>
      </x:c>
      <x:c r="I2268" s="0" t="s">
        <x:v>21</x:v>
      </x:c>
      <x:c r="K2268" s="0">
        <x:f>hyperlink("https://icd.who.int/dev11/l-ichi/en#/http%3A%2F%2Fid.who.int%2Ficd%2Fentity%2F1427017268","browser")</x:f>
      </x:c>
      <x:c r="L2268" s="0">
        <x:f>hyperlink("https://icat2.azurewebsites.net/icat/?ontology=ICD&amp;tab=ClassesTab&amp;id=http%3A%2F%2Fwho.int%2Ficd%238804_512ebf36_bf6b_4d70_85da_cf2637062af4","iCat")</x:f>
      </x:c>
      <x:c r="M2268" s="0" t="s">
        <x:v>21</x:v>
      </x:c>
      <x:c r="N2268" s="0" t="s">
        <x:v>46</x:v>
      </x:c>
    </x:row>
    <x:row r="2269" spans="1:16">
      <x:c r="A2269" s="0" t="s">
        <x:v>8911</x:v>
      </x:c>
      <x:c r="B2269" s="0" t="s">
        <x:v>8912</x:v>
      </x:c>
      <x:c r="C2269" s="0" t="s">
        <x:v>8913</x:v>
      </x:c>
      <x:c r="E2269" s="0" t="s">
        <x:v>8914</x:v>
      </x:c>
      <x:c r="F2269" s="0" t="s">
        <x:v>45</x:v>
      </x:c>
      <x:c r="G2269" s="0" t="s">
        <x:v>19</x:v>
      </x:c>
      <x:c r="H2269" s="0" t="s">
        <x:v>20</x:v>
      </x:c>
      <x:c r="I2269" s="0" t="s">
        <x:v>21</x:v>
      </x:c>
      <x:c r="K2269" s="0">
        <x:f>hyperlink("https://icd.who.int/dev11/l-ichi/en#/http%3A%2F%2Fid.who.int%2Ficd%2Fentity%2F1873855188","browser")</x:f>
      </x:c>
      <x:c r="L2269" s="0">
        <x:f>hyperlink("https://icat2.azurewebsites.net/icat/?ontology=ICD&amp;tab=ClassesTab&amp;id=http%3A%2F%2Fwho.int%2Ficd%238812_512ebf36_bf6b_4d70_85da_cf2637062af4","iCat")</x:f>
      </x:c>
      <x:c r="M2269" s="0" t="s">
        <x:v>21</x:v>
      </x:c>
      <x:c r="N2269" s="0" t="s">
        <x:v>46</x:v>
      </x:c>
    </x:row>
    <x:row r="2270" spans="1:16">
      <x:c r="A2270" s="0" t="s">
        <x:v>8915</x:v>
      </x:c>
      <x:c r="B2270" s="0" t="s">
        <x:v>8916</x:v>
      </x:c>
      <x:c r="C2270" s="0" t="s">
        <x:v>8917</x:v>
      </x:c>
      <x:c r="E2270" s="0" t="s">
        <x:v>8918</x:v>
      </x:c>
      <x:c r="F2270" s="0" t="s">
        <x:v>45</x:v>
      </x:c>
      <x:c r="G2270" s="0" t="s">
        <x:v>19</x:v>
      </x:c>
      <x:c r="H2270" s="0" t="s">
        <x:v>20</x:v>
      </x:c>
      <x:c r="I2270" s="0" t="s">
        <x:v>21</x:v>
      </x:c>
      <x:c r="K2270" s="0">
        <x:f>hyperlink("https://icd.who.int/dev11/l-ichi/en#/http%3A%2F%2Fid.who.int%2Ficd%2Fentity%2F1689574526","browser")</x:f>
      </x:c>
      <x:c r="L2270" s="0">
        <x:f>hyperlink("https://icat2.azurewebsites.net/icat/?ontology=ICD&amp;tab=ClassesTab&amp;id=http%3A%2F%2Fwho.int%2Ficd%238819_512ebf36_bf6b_4d70_85da_cf2637062af4","iCat")</x:f>
      </x:c>
      <x:c r="M2270" s="0" t="s">
        <x:v>21</x:v>
      </x:c>
      <x:c r="N2270" s="0" t="s">
        <x:v>46</x:v>
      </x:c>
    </x:row>
    <x:row r="2271" spans="1:16">
      <x:c r="A2271" s="0" t="s">
        <x:v>8919</x:v>
      </x:c>
      <x:c r="B2271" s="0" t="s">
        <x:v>8920</x:v>
      </x:c>
      <x:c r="C2271" s="0" t="s">
        <x:v>8921</x:v>
      </x:c>
      <x:c r="E2271" s="0" t="s">
        <x:v>8922</x:v>
      </x:c>
      <x:c r="F2271" s="0" t="s">
        <x:v>45</x:v>
      </x:c>
      <x:c r="G2271" s="0" t="s">
        <x:v>19</x:v>
      </x:c>
      <x:c r="H2271" s="0" t="s">
        <x:v>20</x:v>
      </x:c>
      <x:c r="I2271" s="0" t="s">
        <x:v>21</x:v>
      </x:c>
      <x:c r="K2271" s="0">
        <x:f>hyperlink("https://icd.who.int/dev11/l-ichi/en#/http%3A%2F%2Fid.who.int%2Ficd%2Fentity%2F1602431320","browser")</x:f>
      </x:c>
      <x:c r="L2271" s="0">
        <x:f>hyperlink("https://icat2.azurewebsites.net/icat/?ontology=ICD&amp;tab=ClassesTab&amp;id=http%3A%2F%2Fwho.int%2Ficd%238825_512ebf36_bf6b_4d70_85da_cf2637062af4","iCat")</x:f>
      </x:c>
      <x:c r="M2271" s="0" t="s">
        <x:v>21</x:v>
      </x:c>
      <x:c r="N2271" s="0" t="s">
        <x:v>46</x:v>
      </x:c>
    </x:row>
    <x:row r="2272" spans="1:16">
      <x:c r="A2272" s="0" t="s">
        <x:v>8923</x:v>
      </x:c>
      <x:c r="B2272" s="0" t="s">
        <x:v>8924</x:v>
      </x:c>
      <x:c r="D2272" s="0" t="s">
        <x:v>8925</x:v>
      </x:c>
      <x:c r="E2272" s="0" t="s">
        <x:v>8926</x:v>
      </x:c>
      <x:c r="F2272" s="0" t="s">
        <x:v>26</x:v>
      </x:c>
      <x:c r="G2272" s="0" t="s">
        <x:v>22</x:v>
      </x:c>
      <x:c r="H2272" s="0" t="s">
        <x:v>20</x:v>
      </x:c>
      <x:c r="I2272" s="0" t="s">
        <x:v>21</x:v>
      </x:c>
      <x:c r="K2272" s="0">
        <x:f>hyperlink("https://icd.who.int/dev11/l-ichi/en#/http%3A%2F%2Fid.who.int%2Ficd%2Fentity%2F1170478978","browser")</x:f>
      </x:c>
      <x:c r="L2272" s="0">
        <x:f>hyperlink("https://icat2.azurewebsites.net/icat/?ontology=ICD&amp;tab=ClassesTab&amp;id=http%3A%2F%2Fwho.int%2Ficd%238832_512ebf36_bf6b_4d70_85da_cf2637062af4","iCat")</x:f>
      </x:c>
      <x:c r="M2272" s="0" t="s">
        <x:v>20</x:v>
      </x:c>
      <x:c r="N2272" s="0" t="s">
        <x:v>8549</x:v>
      </x:c>
    </x:row>
    <x:row r="2273" spans="1:16">
      <x:c r="A2273" s="0" t="s">
        <x:v>8927</x:v>
      </x:c>
      <x:c r="B2273" s="0" t="s">
        <x:v>8928</x:v>
      </x:c>
      <x:c r="C2273" s="0" t="s">
        <x:v>8929</x:v>
      </x:c>
      <x:c r="E2273" s="0" t="s">
        <x:v>8930</x:v>
      </x:c>
      <x:c r="F2273" s="0" t="s">
        <x:v>45</x:v>
      </x:c>
      <x:c r="G2273" s="0" t="s">
        <x:v>19</x:v>
      </x:c>
      <x:c r="H2273" s="0" t="s">
        <x:v>20</x:v>
      </x:c>
      <x:c r="I2273" s="0" t="s">
        <x:v>21</x:v>
      </x:c>
      <x:c r="K2273" s="0">
        <x:f>hyperlink("https://icd.who.int/dev11/l-ichi/en#/http%3A%2F%2Fid.who.int%2Ficd%2Fentity%2F4290683","browser")</x:f>
      </x:c>
      <x:c r="L2273" s="0">
        <x:f>hyperlink("https://icat2.azurewebsites.net/icat/?ontology=ICD&amp;tab=ClassesTab&amp;id=http%3A%2F%2Fwho.int%2Ficd%238831_512ebf36_bf6b_4d70_85da_cf2637062af4","iCat")</x:f>
      </x:c>
      <x:c r="M2273" s="0" t="s">
        <x:v>21</x:v>
      </x:c>
      <x:c r="N2273" s="0" t="s">
        <x:v>46</x:v>
      </x:c>
    </x:row>
    <x:row r="2274" spans="1:16">
      <x:c r="A2274" s="0" t="s">
        <x:v>8931</x:v>
      </x:c>
      <x:c r="B2274" s="0" t="s">
        <x:v>8932</x:v>
      </x:c>
      <x:c r="C2274" s="0" t="s">
        <x:v>8933</x:v>
      </x:c>
      <x:c r="E2274" s="0" t="s">
        <x:v>8934</x:v>
      </x:c>
      <x:c r="F2274" s="0" t="s">
        <x:v>45</x:v>
      </x:c>
      <x:c r="G2274" s="0" t="s">
        <x:v>19</x:v>
      </x:c>
      <x:c r="H2274" s="0" t="s">
        <x:v>20</x:v>
      </x:c>
      <x:c r="I2274" s="0" t="s">
        <x:v>21</x:v>
      </x:c>
      <x:c r="K2274" s="0">
        <x:f>hyperlink("https://icd.who.int/dev11/l-ichi/en#/http%3A%2F%2Fid.who.int%2Ficd%2Fentity%2F627694889","browser")</x:f>
      </x:c>
      <x:c r="L2274" s="0">
        <x:f>hyperlink("https://icat2.azurewebsites.net/icat/?ontology=ICD&amp;tab=ClassesTab&amp;id=http%3A%2F%2Fwho.int%2Ficd%238844_512ebf36_bf6b_4d70_85da_cf2637062af4","iCat")</x:f>
      </x:c>
      <x:c r="M2274" s="0" t="s">
        <x:v>21</x:v>
      </x:c>
      <x:c r="N2274" s="0" t="s">
        <x:v>46</x:v>
      </x:c>
    </x:row>
    <x:row r="2275" spans="1:16">
      <x:c r="A2275" s="0" t="s">
        <x:v>8935</x:v>
      </x:c>
      <x:c r="B2275" s="0" t="s">
        <x:v>8936</x:v>
      </x:c>
      <x:c r="C2275" s="0" t="s">
        <x:v>8937</x:v>
      </x:c>
      <x:c r="E2275" s="0" t="s">
        <x:v>8938</x:v>
      </x:c>
      <x:c r="F2275" s="0" t="s">
        <x:v>45</x:v>
      </x:c>
      <x:c r="G2275" s="0" t="s">
        <x:v>19</x:v>
      </x:c>
      <x:c r="H2275" s="0" t="s">
        <x:v>20</x:v>
      </x:c>
      <x:c r="I2275" s="0" t="s">
        <x:v>21</x:v>
      </x:c>
      <x:c r="K2275" s="0">
        <x:f>hyperlink("https://icd.who.int/dev11/l-ichi/en#/http%3A%2F%2Fid.who.int%2Ficd%2Fentity%2F875232607","browser")</x:f>
      </x:c>
      <x:c r="L2275" s="0">
        <x:f>hyperlink("https://icat2.azurewebsites.net/icat/?ontology=ICD&amp;tab=ClassesTab&amp;id=http%3A%2F%2Fwho.int%2Ficd%238858_512ebf36_bf6b_4d70_85da_cf2637062af4","iCat")</x:f>
      </x:c>
      <x:c r="M2275" s="0" t="s">
        <x:v>21</x:v>
      </x:c>
      <x:c r="N2275" s="0" t="s">
        <x:v>46</x:v>
      </x:c>
    </x:row>
    <x:row r="2276" spans="1:16">
      <x:c r="A2276" s="0" t="s">
        <x:v>8939</x:v>
      </x:c>
      <x:c r="B2276" s="0" t="s">
        <x:v>8940</x:v>
      </x:c>
      <x:c r="C2276" s="0" t="s">
        <x:v>8941</x:v>
      </x:c>
      <x:c r="E2276" s="0" t="s">
        <x:v>8942</x:v>
      </x:c>
      <x:c r="F2276" s="0" t="s">
        <x:v>45</x:v>
      </x:c>
      <x:c r="G2276" s="0" t="s">
        <x:v>19</x:v>
      </x:c>
      <x:c r="H2276" s="0" t="s">
        <x:v>20</x:v>
      </x:c>
      <x:c r="I2276" s="0" t="s">
        <x:v>21</x:v>
      </x:c>
      <x:c r="K2276" s="0">
        <x:f>hyperlink("https://icd.who.int/dev11/l-ichi/en#/http%3A%2F%2Fid.who.int%2Ficd%2Fentity%2F253560953","browser")</x:f>
      </x:c>
      <x:c r="L2276" s="0">
        <x:f>hyperlink("https://icat2.azurewebsites.net/icat/?ontology=ICD&amp;tab=ClassesTab&amp;id=http%3A%2F%2Fwho.int%2Ficd%238864_512ebf36_bf6b_4d70_85da_cf2637062af4","iCat")</x:f>
      </x:c>
      <x:c r="M2276" s="0" t="s">
        <x:v>21</x:v>
      </x:c>
      <x:c r="N2276" s="0" t="s">
        <x:v>46</x:v>
      </x:c>
    </x:row>
    <x:row r="2277" spans="1:16">
      <x:c r="A2277" s="0" t="s">
        <x:v>8943</x:v>
      </x:c>
      <x:c r="B2277" s="0" t="s">
        <x:v>8944</x:v>
      </x:c>
      <x:c r="C2277" s="0" t="s">
        <x:v>8945</x:v>
      </x:c>
      <x:c r="E2277" s="0" t="s">
        <x:v>8946</x:v>
      </x:c>
      <x:c r="F2277" s="0" t="s">
        <x:v>45</x:v>
      </x:c>
      <x:c r="G2277" s="0" t="s">
        <x:v>19</x:v>
      </x:c>
      <x:c r="H2277" s="0" t="s">
        <x:v>20</x:v>
      </x:c>
      <x:c r="I2277" s="0" t="s">
        <x:v>21</x:v>
      </x:c>
      <x:c r="K2277" s="0">
        <x:f>hyperlink("https://icd.who.int/dev11/l-ichi/en#/http%3A%2F%2Fid.who.int%2Ficd%2Fentity%2F1708694832","browser")</x:f>
      </x:c>
      <x:c r="L2277" s="0">
        <x:f>hyperlink("https://icat2.azurewebsites.net/icat/?ontology=ICD&amp;tab=ClassesTab&amp;id=http%3A%2F%2Fwho.int%2Ficd%238874_512ebf36_bf6b_4d70_85da_cf2637062af4","iCat")</x:f>
      </x:c>
      <x:c r="M2277" s="0" t="s">
        <x:v>21</x:v>
      </x:c>
      <x:c r="N2277" s="0" t="s">
        <x:v>46</x:v>
      </x:c>
    </x:row>
    <x:row r="2278" spans="1:16">
      <x:c r="A2278" s="0" t="s">
        <x:v>8947</x:v>
      </x:c>
      <x:c r="B2278" s="0" t="s">
        <x:v>8948</x:v>
      </x:c>
      <x:c r="C2278" s="0" t="s">
        <x:v>8949</x:v>
      </x:c>
      <x:c r="E2278" s="0" t="s">
        <x:v>8950</x:v>
      </x:c>
      <x:c r="F2278" s="0" t="s">
        <x:v>45</x:v>
      </x:c>
      <x:c r="G2278" s="0" t="s">
        <x:v>19</x:v>
      </x:c>
      <x:c r="H2278" s="0" t="s">
        <x:v>20</x:v>
      </x:c>
      <x:c r="I2278" s="0" t="s">
        <x:v>21</x:v>
      </x:c>
      <x:c r="K2278" s="0">
        <x:f>hyperlink("https://icd.who.int/dev11/l-ichi/en#/http%3A%2F%2Fid.who.int%2Ficd%2Fentity%2F1606508986","browser")</x:f>
      </x:c>
      <x:c r="L2278" s="0">
        <x:f>hyperlink("https://icat2.azurewebsites.net/icat/?ontology=ICD&amp;tab=ClassesTab&amp;id=http%3A%2F%2Fwho.int%2Ficd%238881_512ebf36_bf6b_4d70_85da_cf2637062af4","iCat")</x:f>
      </x:c>
      <x:c r="M2278" s="0" t="s">
        <x:v>21</x:v>
      </x:c>
      <x:c r="N2278" s="0" t="s">
        <x:v>46</x:v>
      </x:c>
    </x:row>
    <x:row r="2279" spans="1:16">
      <x:c r="A2279" s="0" t="s">
        <x:v>8951</x:v>
      </x:c>
      <x:c r="B2279" s="0" t="s">
        <x:v>8952</x:v>
      </x:c>
      <x:c r="C2279" s="0" t="s">
        <x:v>8953</x:v>
      </x:c>
      <x:c r="E2279" s="0" t="s">
        <x:v>8954</x:v>
      </x:c>
      <x:c r="F2279" s="0" t="s">
        <x:v>45</x:v>
      </x:c>
      <x:c r="G2279" s="0" t="s">
        <x:v>19</x:v>
      </x:c>
      <x:c r="H2279" s="0" t="s">
        <x:v>20</x:v>
      </x:c>
      <x:c r="I2279" s="0" t="s">
        <x:v>21</x:v>
      </x:c>
      <x:c r="K2279" s="0">
        <x:f>hyperlink("https://icd.who.int/dev11/l-ichi/en#/http%3A%2F%2Fid.who.int%2Ficd%2Fentity%2F263895049","browser")</x:f>
      </x:c>
      <x:c r="L2279" s="0">
        <x:f>hyperlink("https://icat2.azurewebsites.net/icat/?ontology=ICD&amp;tab=ClassesTab&amp;id=http%3A%2F%2Fwho.int%2Ficd%238887_512ebf36_bf6b_4d70_85da_cf2637062af4","iCat")</x:f>
      </x:c>
      <x:c r="M2279" s="0" t="s">
        <x:v>21</x:v>
      </x:c>
      <x:c r="N2279" s="0" t="s">
        <x:v>46</x:v>
      </x:c>
    </x:row>
    <x:row r="2280" spans="1:16">
      <x:c r="A2280" s="0" t="s">
        <x:v>8955</x:v>
      </x:c>
      <x:c r="B2280" s="0" t="s">
        <x:v>8956</x:v>
      </x:c>
      <x:c r="C2280" s="0" t="s">
        <x:v>8957</x:v>
      </x:c>
      <x:c r="E2280" s="0" t="s">
        <x:v>8958</x:v>
      </x:c>
      <x:c r="F2280" s="0" t="s">
        <x:v>45</x:v>
      </x:c>
      <x:c r="G2280" s="0" t="s">
        <x:v>19</x:v>
      </x:c>
      <x:c r="H2280" s="0" t="s">
        <x:v>20</x:v>
      </x:c>
      <x:c r="I2280" s="0" t="s">
        <x:v>21</x:v>
      </x:c>
      <x:c r="K2280" s="0">
        <x:f>hyperlink("https://icd.who.int/dev11/l-ichi/en#/http%3A%2F%2Fid.who.int%2Ficd%2Fentity%2F209051","browser")</x:f>
      </x:c>
      <x:c r="L2280" s="0">
        <x:f>hyperlink("https://icat2.azurewebsites.net/icat/?ontology=ICD&amp;tab=ClassesTab&amp;id=http%3A%2F%2Fwho.int%2Ficd%238895_512ebf36_bf6b_4d70_85da_cf2637062af4","iCat")</x:f>
      </x:c>
      <x:c r="M2280" s="0" t="s">
        <x:v>21</x:v>
      </x:c>
      <x:c r="N2280" s="0" t="s">
        <x:v>46</x:v>
      </x:c>
    </x:row>
    <x:row r="2281" spans="1:16">
      <x:c r="A2281" s="0" t="s">
        <x:v>8959</x:v>
      </x:c>
      <x:c r="B2281" s="0" t="s">
        <x:v>8960</x:v>
      </x:c>
      <x:c r="C2281" s="0" t="s">
        <x:v>8961</x:v>
      </x:c>
      <x:c r="E2281" s="0" t="s">
        <x:v>8962</x:v>
      </x:c>
      <x:c r="F2281" s="0" t="s">
        <x:v>45</x:v>
      </x:c>
      <x:c r="G2281" s="0" t="s">
        <x:v>19</x:v>
      </x:c>
      <x:c r="H2281" s="0" t="s">
        <x:v>20</x:v>
      </x:c>
      <x:c r="I2281" s="0" t="s">
        <x:v>21</x:v>
      </x:c>
      <x:c r="K2281" s="0">
        <x:f>hyperlink("https://icd.who.int/dev11/l-ichi/en#/http%3A%2F%2Fid.who.int%2Ficd%2Fentity%2F896532193","browser")</x:f>
      </x:c>
      <x:c r="L2281" s="0">
        <x:f>hyperlink("https://icat2.azurewebsites.net/icat/?ontology=ICD&amp;tab=ClassesTab&amp;id=http%3A%2F%2Fwho.int%2Ficd%238901_512ebf36_bf6b_4d70_85da_cf2637062af4","iCat")</x:f>
      </x:c>
      <x:c r="M2281" s="0" t="s">
        <x:v>21</x:v>
      </x:c>
      <x:c r="N2281" s="0" t="s">
        <x:v>46</x:v>
      </x:c>
    </x:row>
    <x:row r="2282" spans="1:16">
      <x:c r="A2282" s="0" t="s">
        <x:v>8963</x:v>
      </x:c>
      <x:c r="B2282" s="0" t="s">
        <x:v>8964</x:v>
      </x:c>
      <x:c r="C2282" s="0" t="s">
        <x:v>8965</x:v>
      </x:c>
      <x:c r="E2282" s="0" t="s">
        <x:v>8966</x:v>
      </x:c>
      <x:c r="F2282" s="0" t="s">
        <x:v>45</x:v>
      </x:c>
      <x:c r="G2282" s="0" t="s">
        <x:v>19</x:v>
      </x:c>
      <x:c r="H2282" s="0" t="s">
        <x:v>20</x:v>
      </x:c>
      <x:c r="I2282" s="0" t="s">
        <x:v>21</x:v>
      </x:c>
      <x:c r="K2282" s="0">
        <x:f>hyperlink("https://icd.who.int/dev11/l-ichi/en#/http%3A%2F%2Fid.who.int%2Ficd%2Fentity%2F1695819602","browser")</x:f>
      </x:c>
      <x:c r="L2282" s="0">
        <x:f>hyperlink("https://icat2.azurewebsites.net/icat/?ontology=ICD&amp;tab=ClassesTab&amp;id=http%3A%2F%2Fwho.int%2Ficd%238907_512ebf36_bf6b_4d70_85da_cf2637062af4","iCat")</x:f>
      </x:c>
      <x:c r="M2282" s="0" t="s">
        <x:v>21</x:v>
      </x:c>
      <x:c r="N2282" s="0" t="s">
        <x:v>46</x:v>
      </x:c>
    </x:row>
    <x:row r="2283" spans="1:16">
      <x:c r="A2283" s="0" t="s">
        <x:v>8967</x:v>
      </x:c>
      <x:c r="B2283" s="0" t="s">
        <x:v>8968</x:v>
      </x:c>
      <x:c r="C2283" s="0" t="s">
        <x:v>8969</x:v>
      </x:c>
      <x:c r="E2283" s="0" t="s">
        <x:v>8970</x:v>
      </x:c>
      <x:c r="F2283" s="0" t="s">
        <x:v>45</x:v>
      </x:c>
      <x:c r="G2283" s="0" t="s">
        <x:v>19</x:v>
      </x:c>
      <x:c r="H2283" s="0" t="s">
        <x:v>20</x:v>
      </x:c>
      <x:c r="I2283" s="0" t="s">
        <x:v>21</x:v>
      </x:c>
      <x:c r="K2283" s="0">
        <x:f>hyperlink("https://icd.who.int/dev11/l-ichi/en#/http%3A%2F%2Fid.who.int%2Ficd%2Fentity%2F1789767620","browser")</x:f>
      </x:c>
      <x:c r="L2283" s="0">
        <x:f>hyperlink("https://icat2.azurewebsites.net/icat/?ontology=ICD&amp;tab=ClassesTab&amp;id=http%3A%2F%2Fwho.int%2Ficd%238915_512ebf36_bf6b_4d70_85da_cf2637062af4","iCat")</x:f>
      </x:c>
      <x:c r="M2283" s="0" t="s">
        <x:v>21</x:v>
      </x:c>
      <x:c r="N2283" s="0" t="s">
        <x:v>46</x:v>
      </x:c>
    </x:row>
    <x:row r="2284" spans="1:16">
      <x:c r="A2284" s="0" t="s">
        <x:v>8971</x:v>
      </x:c>
      <x:c r="B2284" s="0" t="s">
        <x:v>8972</x:v>
      </x:c>
      <x:c r="C2284" s="0" t="s">
        <x:v>8973</x:v>
      </x:c>
      <x:c r="E2284" s="0" t="s">
        <x:v>8974</x:v>
      </x:c>
      <x:c r="F2284" s="0" t="s">
        <x:v>45</x:v>
      </x:c>
      <x:c r="G2284" s="0" t="s">
        <x:v>19</x:v>
      </x:c>
      <x:c r="H2284" s="0" t="s">
        <x:v>20</x:v>
      </x:c>
      <x:c r="I2284" s="0" t="s">
        <x:v>21</x:v>
      </x:c>
      <x:c r="K2284" s="0">
        <x:f>hyperlink("https://icd.who.int/dev11/l-ichi/en#/http%3A%2F%2Fid.who.int%2Ficd%2Fentity%2F521874353","browser")</x:f>
      </x:c>
      <x:c r="L2284" s="0">
        <x:f>hyperlink("https://icat2.azurewebsites.net/icat/?ontology=ICD&amp;tab=ClassesTab&amp;id=http%3A%2F%2Fwho.int%2Ficd%238921_512ebf36_bf6b_4d70_85da_cf2637062af4","iCat")</x:f>
      </x:c>
      <x:c r="M2284" s="0" t="s">
        <x:v>21</x:v>
      </x:c>
      <x:c r="N2284" s="0" t="s">
        <x:v>46</x:v>
      </x:c>
    </x:row>
    <x:row r="2285" spans="1:16">
      <x:c r="A2285" s="0" t="s">
        <x:v>8975</x:v>
      </x:c>
      <x:c r="B2285" s="0" t="s">
        <x:v>8976</x:v>
      </x:c>
      <x:c r="C2285" s="0" t="s">
        <x:v>8977</x:v>
      </x:c>
      <x:c r="E2285" s="0" t="s">
        <x:v>8978</x:v>
      </x:c>
      <x:c r="F2285" s="0" t="s">
        <x:v>45</x:v>
      </x:c>
      <x:c r="G2285" s="0" t="s">
        <x:v>19</x:v>
      </x:c>
      <x:c r="H2285" s="0" t="s">
        <x:v>20</x:v>
      </x:c>
      <x:c r="I2285" s="0" t="s">
        <x:v>21</x:v>
      </x:c>
      <x:c r="K2285" s="0">
        <x:f>hyperlink("https://icd.who.int/dev11/l-ichi/en#/http%3A%2F%2Fid.who.int%2Ficd%2Fentity%2F811323679","browser")</x:f>
      </x:c>
      <x:c r="L2285" s="0">
        <x:f>hyperlink("https://icat2.azurewebsites.net/icat/?ontology=ICD&amp;tab=ClassesTab&amp;id=http%3A%2F%2Fwho.int%2Ficd%238932_512ebf36_bf6b_4d70_85da_cf2637062af4","iCat")</x:f>
      </x:c>
      <x:c r="M2285" s="0" t="s">
        <x:v>21</x:v>
      </x:c>
      <x:c r="N2285" s="0" t="s">
        <x:v>46</x:v>
      </x:c>
    </x:row>
    <x:row r="2286" spans="1:16">
      <x:c r="A2286" s="0" t="s">
        <x:v>8979</x:v>
      </x:c>
      <x:c r="B2286" s="0" t="s">
        <x:v>8980</x:v>
      </x:c>
      <x:c r="C2286" s="0" t="s">
        <x:v>8981</x:v>
      </x:c>
      <x:c r="E2286" s="0" t="s">
        <x:v>8982</x:v>
      </x:c>
      <x:c r="F2286" s="0" t="s">
        <x:v>45</x:v>
      </x:c>
      <x:c r="G2286" s="0" t="s">
        <x:v>19</x:v>
      </x:c>
      <x:c r="H2286" s="0" t="s">
        <x:v>20</x:v>
      </x:c>
      <x:c r="I2286" s="0" t="s">
        <x:v>21</x:v>
      </x:c>
      <x:c r="K2286" s="0">
        <x:f>hyperlink("https://icd.who.int/dev11/l-ichi/en#/http%3A%2F%2Fid.who.int%2Ficd%2Fentity%2F463912335","browser")</x:f>
      </x:c>
      <x:c r="L2286" s="0">
        <x:f>hyperlink("https://icat2.azurewebsites.net/icat/?ontology=ICD&amp;tab=ClassesTab&amp;id=http%3A%2F%2Fwho.int%2Ficd%238938_512ebf36_bf6b_4d70_85da_cf2637062af4","iCat")</x:f>
      </x:c>
      <x:c r="M2286" s="0" t="s">
        <x:v>21</x:v>
      </x:c>
      <x:c r="N2286" s="0" t="s">
        <x:v>46</x:v>
      </x:c>
    </x:row>
    <x:row r="2287" spans="1:16">
      <x:c r="A2287" s="0" t="s">
        <x:v>8983</x:v>
      </x:c>
      <x:c r="B2287" s="0" t="s">
        <x:v>8984</x:v>
      </x:c>
      <x:c r="C2287" s="0" t="s">
        <x:v>8985</x:v>
      </x:c>
      <x:c r="E2287" s="0" t="s">
        <x:v>8986</x:v>
      </x:c>
      <x:c r="F2287" s="0" t="s">
        <x:v>45</x:v>
      </x:c>
      <x:c r="G2287" s="0" t="s">
        <x:v>19</x:v>
      </x:c>
      <x:c r="H2287" s="0" t="s">
        <x:v>20</x:v>
      </x:c>
      <x:c r="I2287" s="0" t="s">
        <x:v>21</x:v>
      </x:c>
      <x:c r="K2287" s="0">
        <x:f>hyperlink("https://icd.who.int/dev11/l-ichi/en#/http%3A%2F%2Fid.who.int%2Ficd%2Fentity%2F898238065","browser")</x:f>
      </x:c>
      <x:c r="L2287" s="0">
        <x:f>hyperlink("https://icat2.azurewebsites.net/icat/?ontology=ICD&amp;tab=ClassesTab&amp;id=http%3A%2F%2Fwho.int%2Ficd%238946_512ebf36_bf6b_4d70_85da_cf2637062af4","iCat")</x:f>
      </x:c>
      <x:c r="M2287" s="0" t="s">
        <x:v>21</x:v>
      </x:c>
      <x:c r="N2287" s="0" t="s">
        <x:v>46</x:v>
      </x:c>
    </x:row>
    <x:row r="2288" spans="1:16">
      <x:c r="A2288" s="0" t="s">
        <x:v>8987</x:v>
      </x:c>
      <x:c r="B2288" s="0" t="s">
        <x:v>8988</x:v>
      </x:c>
      <x:c r="C2288" s="0" t="s">
        <x:v>8989</x:v>
      </x:c>
      <x:c r="E2288" s="0" t="s">
        <x:v>8990</x:v>
      </x:c>
      <x:c r="F2288" s="0" t="s">
        <x:v>45</x:v>
      </x:c>
      <x:c r="G2288" s="0" t="s">
        <x:v>19</x:v>
      </x:c>
      <x:c r="H2288" s="0" t="s">
        <x:v>20</x:v>
      </x:c>
      <x:c r="I2288" s="0" t="s">
        <x:v>21</x:v>
      </x:c>
      <x:c r="K2288" s="0">
        <x:f>hyperlink("https://icd.who.int/dev11/l-ichi/en#/http%3A%2F%2Fid.who.int%2Ficd%2Fentity%2F1599050534","browser")</x:f>
      </x:c>
      <x:c r="L2288" s="0">
        <x:f>hyperlink("https://icat2.azurewebsites.net/icat/?ontology=ICD&amp;tab=ClassesTab&amp;id=http%3A%2F%2Fwho.int%2Ficd%238956_512ebf36_bf6b_4d70_85da_cf2637062af4","iCat")</x:f>
      </x:c>
      <x:c r="M2288" s="0" t="s">
        <x:v>21</x:v>
      </x:c>
      <x:c r="N2288" s="0" t="s">
        <x:v>46</x:v>
      </x:c>
    </x:row>
    <x:row r="2289" spans="1:16">
      <x:c r="A2289" s="0" t="s">
        <x:v>8991</x:v>
      </x:c>
      <x:c r="B2289" s="0" t="s">
        <x:v>8992</x:v>
      </x:c>
      <x:c r="C2289" s="0" t="s">
        <x:v>8993</x:v>
      </x:c>
      <x:c r="E2289" s="0" t="s">
        <x:v>8994</x:v>
      </x:c>
      <x:c r="F2289" s="0" t="s">
        <x:v>45</x:v>
      </x:c>
      <x:c r="G2289" s="0" t="s">
        <x:v>19</x:v>
      </x:c>
      <x:c r="H2289" s="0" t="s">
        <x:v>20</x:v>
      </x:c>
      <x:c r="I2289" s="0" t="s">
        <x:v>21</x:v>
      </x:c>
      <x:c r="K2289" s="0">
        <x:f>hyperlink("https://icd.who.int/dev11/l-ichi/en#/http%3A%2F%2Fid.who.int%2Ficd%2Fentity%2F96071163","browser")</x:f>
      </x:c>
      <x:c r="L2289" s="0">
        <x:f>hyperlink("https://icat2.azurewebsites.net/icat/?ontology=ICD&amp;tab=ClassesTab&amp;id=http%3A%2F%2Fwho.int%2Ficd%238971_512ebf36_bf6b_4d70_85da_cf2637062af4","iCat")</x:f>
      </x:c>
      <x:c r="M2289" s="0" t="s">
        <x:v>21</x:v>
      </x:c>
      <x:c r="N2289" s="0" t="s">
        <x:v>46</x:v>
      </x:c>
    </x:row>
    <x:row r="2290" spans="1:16">
      <x:c r="A2290" s="0" t="s">
        <x:v>8995</x:v>
      </x:c>
      <x:c r="B2290" s="0" t="s">
        <x:v>8996</x:v>
      </x:c>
      <x:c r="C2290" s="0" t="s">
        <x:v>8997</x:v>
      </x:c>
      <x:c r="E2290" s="0" t="s">
        <x:v>8998</x:v>
      </x:c>
      <x:c r="F2290" s="0" t="s">
        <x:v>45</x:v>
      </x:c>
      <x:c r="G2290" s="0" t="s">
        <x:v>19</x:v>
      </x:c>
      <x:c r="H2290" s="0" t="s">
        <x:v>20</x:v>
      </x:c>
      <x:c r="I2290" s="0" t="s">
        <x:v>21</x:v>
      </x:c>
      <x:c r="K2290" s="0">
        <x:f>hyperlink("https://icd.who.int/dev11/l-ichi/en#/http%3A%2F%2Fid.who.int%2Ficd%2Fentity%2F178771225","browser")</x:f>
      </x:c>
      <x:c r="L2290" s="0">
        <x:f>hyperlink("https://icat2.azurewebsites.net/icat/?ontology=ICD&amp;tab=ClassesTab&amp;id=http%3A%2F%2Fwho.int%2Ficd%238980_512ebf36_bf6b_4d70_85da_cf2637062af4","iCat")</x:f>
      </x:c>
      <x:c r="M2290" s="0" t="s">
        <x:v>21</x:v>
      </x:c>
      <x:c r="N2290" s="0" t="s">
        <x:v>46</x:v>
      </x:c>
    </x:row>
    <x:row r="2291" spans="1:16">
      <x:c r="A2291" s="0" t="s">
        <x:v>8999</x:v>
      </x:c>
      <x:c r="B2291" s="0" t="s">
        <x:v>9000</x:v>
      </x:c>
      <x:c r="C2291" s="0" t="s">
        <x:v>9001</x:v>
      </x:c>
      <x:c r="E2291" s="0" t="s">
        <x:v>9002</x:v>
      </x:c>
      <x:c r="F2291" s="0" t="s">
        <x:v>45</x:v>
      </x:c>
      <x:c r="G2291" s="0" t="s">
        <x:v>19</x:v>
      </x:c>
      <x:c r="H2291" s="0" t="s">
        <x:v>20</x:v>
      </x:c>
      <x:c r="I2291" s="0" t="s">
        <x:v>21</x:v>
      </x:c>
      <x:c r="K2291" s="0">
        <x:f>hyperlink("https://icd.who.int/dev11/l-ichi/en#/http%3A%2F%2Fid.who.int%2Ficd%2Fentity%2F1524370602","browser")</x:f>
      </x:c>
      <x:c r="L2291" s="0">
        <x:f>hyperlink("https://icat2.azurewebsites.net/icat/?ontology=ICD&amp;tab=ClassesTab&amp;id=http%3A%2F%2Fwho.int%2Ficd%238986_512ebf36_bf6b_4d70_85da_cf2637062af4","iCat")</x:f>
      </x:c>
      <x:c r="M2291" s="0" t="s">
        <x:v>21</x:v>
      </x:c>
      <x:c r="N2291" s="0" t="s">
        <x:v>46</x:v>
      </x:c>
    </x:row>
    <x:row r="2292" spans="1:16">
      <x:c r="A2292" s="0" t="s">
        <x:v>9003</x:v>
      </x:c>
      <x:c r="B2292" s="0" t="s">
        <x:v>9004</x:v>
      </x:c>
      <x:c r="C2292" s="0" t="s">
        <x:v>9005</x:v>
      </x:c>
      <x:c r="E2292" s="0" t="s">
        <x:v>9006</x:v>
      </x:c>
      <x:c r="F2292" s="0" t="s">
        <x:v>45</x:v>
      </x:c>
      <x:c r="G2292" s="0" t="s">
        <x:v>19</x:v>
      </x:c>
      <x:c r="H2292" s="0" t="s">
        <x:v>20</x:v>
      </x:c>
      <x:c r="I2292" s="0" t="s">
        <x:v>21</x:v>
      </x:c>
      <x:c r="K2292" s="0">
        <x:f>hyperlink("https://icd.who.int/dev11/l-ichi/en#/http%3A%2F%2Fid.who.int%2Ficd%2Fentity%2F236602151","browser")</x:f>
      </x:c>
      <x:c r="L2292" s="0">
        <x:f>hyperlink("https://icat2.azurewebsites.net/icat/?ontology=ICD&amp;tab=ClassesTab&amp;id=http%3A%2F%2Fwho.int%2Ficd%238999_512ebf36_bf6b_4d70_85da_cf2637062af4","iCat")</x:f>
      </x:c>
      <x:c r="M2292" s="0" t="s">
        <x:v>21</x:v>
      </x:c>
      <x:c r="N2292" s="0" t="s">
        <x:v>46</x:v>
      </x:c>
    </x:row>
    <x:row r="2293" spans="1:16">
      <x:c r="A2293" s="0" t="s">
        <x:v>9007</x:v>
      </x:c>
      <x:c r="B2293" s="0" t="s">
        <x:v>9008</x:v>
      </x:c>
      <x:c r="C2293" s="0" t="s">
        <x:v>9009</x:v>
      </x:c>
      <x:c r="E2293" s="0" t="s">
        <x:v>9010</x:v>
      </x:c>
      <x:c r="F2293" s="0" t="s">
        <x:v>45</x:v>
      </x:c>
      <x:c r="G2293" s="0" t="s">
        <x:v>19</x:v>
      </x:c>
      <x:c r="H2293" s="0" t="s">
        <x:v>20</x:v>
      </x:c>
      <x:c r="I2293" s="0" t="s">
        <x:v>21</x:v>
      </x:c>
      <x:c r="K2293" s="0">
        <x:f>hyperlink("https://icd.who.int/dev11/l-ichi/en#/http%3A%2F%2Fid.who.int%2Ficd%2Fentity%2F1018946315","browser")</x:f>
      </x:c>
      <x:c r="L2293" s="0">
        <x:f>hyperlink("https://icat2.azurewebsites.net/icat/?ontology=ICD&amp;tab=ClassesTab&amp;id=http%3A%2F%2Fwho.int%2Ficd%239012_512ebf36_bf6b_4d70_85da_cf2637062af4","iCat")</x:f>
      </x:c>
      <x:c r="M2293" s="0" t="s">
        <x:v>21</x:v>
      </x:c>
      <x:c r="N2293" s="0" t="s">
        <x:v>46</x:v>
      </x:c>
    </x:row>
    <x:row r="2294" spans="1:16">
      <x:c r="A2294" s="0" t="s">
        <x:v>9011</x:v>
      </x:c>
      <x:c r="B2294" s="0" t="s">
        <x:v>9012</x:v>
      </x:c>
      <x:c r="C2294" s="0" t="s">
        <x:v>9013</x:v>
      </x:c>
      <x:c r="E2294" s="0" t="s">
        <x:v>9014</x:v>
      </x:c>
      <x:c r="F2294" s="0" t="s">
        <x:v>45</x:v>
      </x:c>
      <x:c r="G2294" s="0" t="s">
        <x:v>19</x:v>
      </x:c>
      <x:c r="H2294" s="0" t="s">
        <x:v>20</x:v>
      </x:c>
      <x:c r="I2294" s="0" t="s">
        <x:v>21</x:v>
      </x:c>
      <x:c r="K2294" s="0">
        <x:f>hyperlink("https://icd.who.int/dev11/l-ichi/en#/http%3A%2F%2Fid.who.int%2Ficd%2Fentity%2F390500251","browser")</x:f>
      </x:c>
      <x:c r="L2294" s="0">
        <x:f>hyperlink("https://icat2.azurewebsites.net/icat/?ontology=ICD&amp;tab=ClassesTab&amp;id=http%3A%2F%2Fwho.int%2Ficd%239018_512ebf36_bf6b_4d70_85da_cf2637062af4","iCat")</x:f>
      </x:c>
      <x:c r="M2294" s="0" t="s">
        <x:v>21</x:v>
      </x:c>
      <x:c r="N2294" s="0" t="s">
        <x:v>46</x:v>
      </x:c>
    </x:row>
    <x:row r="2295" spans="1:16">
      <x:c r="A2295" s="0" t="s">
        <x:v>9015</x:v>
      </x:c>
      <x:c r="B2295" s="0" t="s">
        <x:v>9016</x:v>
      </x:c>
      <x:c r="C2295" s="0" t="s">
        <x:v>9017</x:v>
      </x:c>
      <x:c r="E2295" s="0" t="s">
        <x:v>9018</x:v>
      </x:c>
      <x:c r="F2295" s="0" t="s">
        <x:v>45</x:v>
      </x:c>
      <x:c r="G2295" s="0" t="s">
        <x:v>19</x:v>
      </x:c>
      <x:c r="H2295" s="0" t="s">
        <x:v>20</x:v>
      </x:c>
      <x:c r="I2295" s="0" t="s">
        <x:v>21</x:v>
      </x:c>
      <x:c r="K2295" s="0">
        <x:f>hyperlink("https://icd.who.int/dev11/l-ichi/en#/http%3A%2F%2Fid.who.int%2Ficd%2Fentity%2F1941121952","browser")</x:f>
      </x:c>
      <x:c r="L2295" s="0">
        <x:f>hyperlink("https://icat2.azurewebsites.net/icat/?ontology=ICD&amp;tab=ClassesTab&amp;id=http%3A%2F%2Fwho.int%2Ficd%239030_512ebf36_bf6b_4d70_85da_cf2637062af4","iCat")</x:f>
      </x:c>
      <x:c r="M2295" s="0" t="s">
        <x:v>21</x:v>
      </x:c>
      <x:c r="N2295" s="0" t="s">
        <x:v>46</x:v>
      </x:c>
    </x:row>
    <x:row r="2296" spans="1:16">
      <x:c r="A2296" s="0" t="s">
        <x:v>9019</x:v>
      </x:c>
      <x:c r="B2296" s="0" t="s">
        <x:v>9020</x:v>
      </x:c>
      <x:c r="C2296" s="0" t="s">
        <x:v>9021</x:v>
      </x:c>
      <x:c r="E2296" s="0" t="s">
        <x:v>9022</x:v>
      </x:c>
      <x:c r="F2296" s="0" t="s">
        <x:v>45</x:v>
      </x:c>
      <x:c r="G2296" s="0" t="s">
        <x:v>19</x:v>
      </x:c>
      <x:c r="H2296" s="0" t="s">
        <x:v>20</x:v>
      </x:c>
      <x:c r="I2296" s="0" t="s">
        <x:v>21</x:v>
      </x:c>
      <x:c r="K2296" s="0">
        <x:f>hyperlink("https://icd.who.int/dev11/l-ichi/en#/http%3A%2F%2Fid.who.int%2Ficd%2Fentity%2F233064913","browser")</x:f>
      </x:c>
      <x:c r="L2296" s="0">
        <x:f>hyperlink("https://icat2.azurewebsites.net/icat/?ontology=ICD&amp;tab=ClassesTab&amp;id=http%3A%2F%2Fwho.int%2Ficd%239048_512ebf36_bf6b_4d70_85da_cf2637062af4","iCat")</x:f>
      </x:c>
      <x:c r="M2296" s="0" t="s">
        <x:v>21</x:v>
      </x:c>
      <x:c r="N2296" s="0" t="s">
        <x:v>46</x:v>
      </x:c>
    </x:row>
    <x:row r="2297" spans="1:16">
      <x:c r="A2297" s="0" t="s">
        <x:v>9023</x:v>
      </x:c>
      <x:c r="B2297" s="0" t="s">
        <x:v>9024</x:v>
      </x:c>
      <x:c r="C2297" s="0" t="s">
        <x:v>9025</x:v>
      </x:c>
      <x:c r="E2297" s="0" t="s">
        <x:v>9026</x:v>
      </x:c>
      <x:c r="F2297" s="0" t="s">
        <x:v>45</x:v>
      </x:c>
      <x:c r="G2297" s="0" t="s">
        <x:v>19</x:v>
      </x:c>
      <x:c r="H2297" s="0" t="s">
        <x:v>20</x:v>
      </x:c>
      <x:c r="I2297" s="0" t="s">
        <x:v>21</x:v>
      </x:c>
      <x:c r="K2297" s="0">
        <x:f>hyperlink("https://icd.who.int/dev11/l-ichi/en#/http%3A%2F%2Fid.who.int%2Ficd%2Fentity%2F1495402078","browser")</x:f>
      </x:c>
      <x:c r="L2297" s="0">
        <x:f>hyperlink("https://icat2.azurewebsites.net/icat/?ontology=ICD&amp;tab=ClassesTab&amp;id=http%3A%2F%2Fwho.int%2Ficd%239057_512ebf36_bf6b_4d70_85da_cf2637062af4","iCat")</x:f>
      </x:c>
      <x:c r="M2297" s="0" t="s">
        <x:v>21</x:v>
      </x:c>
      <x:c r="N2297" s="0" t="s">
        <x:v>46</x:v>
      </x:c>
    </x:row>
    <x:row r="2298" spans="1:16">
      <x:c r="A2298" s="0" t="s">
        <x:v>9027</x:v>
      </x:c>
      <x:c r="B2298" s="0" t="s">
        <x:v>9028</x:v>
      </x:c>
      <x:c r="C2298" s="0" t="s">
        <x:v>9029</x:v>
      </x:c>
      <x:c r="E2298" s="0" t="s">
        <x:v>9030</x:v>
      </x:c>
      <x:c r="F2298" s="0" t="s">
        <x:v>45</x:v>
      </x:c>
      <x:c r="G2298" s="0" t="s">
        <x:v>19</x:v>
      </x:c>
      <x:c r="H2298" s="0" t="s">
        <x:v>20</x:v>
      </x:c>
      <x:c r="I2298" s="0" t="s">
        <x:v>21</x:v>
      </x:c>
      <x:c r="K2298" s="0">
        <x:f>hyperlink("https://icd.who.int/dev11/l-ichi/en#/http%3A%2F%2Fid.who.int%2Ficd%2Fentity%2F1544956320","browser")</x:f>
      </x:c>
      <x:c r="L2298" s="0">
        <x:f>hyperlink("https://icat2.azurewebsites.net/icat/?ontology=ICD&amp;tab=ClassesTab&amp;id=http%3A%2F%2Fwho.int%2Ficd%239064_512ebf36_bf6b_4d70_85da_cf2637062af4","iCat")</x:f>
      </x:c>
      <x:c r="M2298" s="0" t="s">
        <x:v>21</x:v>
      </x:c>
      <x:c r="N2298" s="0" t="s">
        <x:v>46</x:v>
      </x:c>
    </x:row>
    <x:row r="2299" spans="1:16">
      <x:c r="A2299" s="0" t="s">
        <x:v>9031</x:v>
      </x:c>
      <x:c r="B2299" s="0" t="s">
        <x:v>9032</x:v>
      </x:c>
      <x:c r="C2299" s="0" t="s">
        <x:v>9033</x:v>
      </x:c>
      <x:c r="E2299" s="0" t="s">
        <x:v>9034</x:v>
      </x:c>
      <x:c r="F2299" s="0" t="s">
        <x:v>45</x:v>
      </x:c>
      <x:c r="G2299" s="0" t="s">
        <x:v>19</x:v>
      </x:c>
      <x:c r="H2299" s="0" t="s">
        <x:v>20</x:v>
      </x:c>
      <x:c r="I2299" s="0" t="s">
        <x:v>21</x:v>
      </x:c>
      <x:c r="K2299" s="0">
        <x:f>hyperlink("https://icd.who.int/dev11/l-ichi/en#/http%3A%2F%2Fid.who.int%2Ficd%2Fentity%2F1229926298","browser")</x:f>
      </x:c>
      <x:c r="L2299" s="0">
        <x:f>hyperlink("https://icat2.azurewebsites.net/icat/?ontology=ICD&amp;tab=ClassesTab&amp;id=http%3A%2F%2Fwho.int%2Ficd%239082_512ebf36_bf6b_4d70_85da_cf2637062af4","iCat")</x:f>
      </x:c>
      <x:c r="M2299" s="0" t="s">
        <x:v>21</x:v>
      </x:c>
      <x:c r="N2299" s="0" t="s">
        <x:v>46</x:v>
      </x:c>
    </x:row>
    <x:row r="2300" spans="1:16">
      <x:c r="A2300" s="0" t="s">
        <x:v>9035</x:v>
      </x:c>
      <x:c r="B2300" s="0" t="s">
        <x:v>9036</x:v>
      </x:c>
      <x:c r="C2300" s="0" t="s">
        <x:v>9037</x:v>
      </x:c>
      <x:c r="E2300" s="0" t="s">
        <x:v>9038</x:v>
      </x:c>
      <x:c r="F2300" s="0" t="s">
        <x:v>45</x:v>
      </x:c>
      <x:c r="G2300" s="0" t="s">
        <x:v>19</x:v>
      </x:c>
      <x:c r="H2300" s="0" t="s">
        <x:v>20</x:v>
      </x:c>
      <x:c r="I2300" s="0" t="s">
        <x:v>21</x:v>
      </x:c>
      <x:c r="K2300" s="0">
        <x:f>hyperlink("https://icd.who.int/dev11/l-ichi/en#/http%3A%2F%2Fid.who.int%2Ficd%2Fentity%2F1655849738","browser")</x:f>
      </x:c>
      <x:c r="L2300" s="0">
        <x:f>hyperlink("https://icat2.azurewebsites.net/icat/?ontology=ICD&amp;tab=ClassesTab&amp;id=http%3A%2F%2Fwho.int%2Ficd%239088_512ebf36_bf6b_4d70_85da_cf2637062af4","iCat")</x:f>
      </x:c>
      <x:c r="M2300" s="0" t="s">
        <x:v>21</x:v>
      </x:c>
      <x:c r="N2300" s="0" t="s">
        <x:v>46</x:v>
      </x:c>
    </x:row>
    <x:row r="2301" spans="1:16">
      <x:c r="A2301" s="0" t="s">
        <x:v>9039</x:v>
      </x:c>
      <x:c r="B2301" s="0" t="s">
        <x:v>9040</x:v>
      </x:c>
      <x:c r="C2301" s="0" t="s">
        <x:v>9041</x:v>
      </x:c>
      <x:c r="E2301" s="0" t="s">
        <x:v>9042</x:v>
      </x:c>
      <x:c r="F2301" s="0" t="s">
        <x:v>45</x:v>
      </x:c>
      <x:c r="G2301" s="0" t="s">
        <x:v>19</x:v>
      </x:c>
      <x:c r="H2301" s="0" t="s">
        <x:v>20</x:v>
      </x:c>
      <x:c r="I2301" s="0" t="s">
        <x:v>21</x:v>
      </x:c>
      <x:c r="K2301" s="0">
        <x:f>hyperlink("https://icd.who.int/dev11/l-ichi/en#/http%3A%2F%2Fid.who.int%2Ficd%2Fentity%2F1393037636","browser")</x:f>
      </x:c>
      <x:c r="L2301" s="0">
        <x:f>hyperlink("https://icat2.azurewebsites.net/icat/?ontology=ICD&amp;tab=ClassesTab&amp;id=http%3A%2F%2Fwho.int%2Ficd%239095_512ebf36_bf6b_4d70_85da_cf2637062af4","iCat")</x:f>
      </x:c>
      <x:c r="M2301" s="0" t="s">
        <x:v>21</x:v>
      </x:c>
      <x:c r="N2301" s="0" t="s">
        <x:v>46</x:v>
      </x:c>
    </x:row>
    <x:row r="2302" spans="1:16">
      <x:c r="A2302" s="0" t="s">
        <x:v>9043</x:v>
      </x:c>
      <x:c r="B2302" s="0" t="s">
        <x:v>9044</x:v>
      </x:c>
      <x:c r="C2302" s="0" t="s">
        <x:v>9045</x:v>
      </x:c>
      <x:c r="E2302" s="0" t="s">
        <x:v>9046</x:v>
      </x:c>
      <x:c r="F2302" s="0" t="s">
        <x:v>45</x:v>
      </x:c>
      <x:c r="G2302" s="0" t="s">
        <x:v>19</x:v>
      </x:c>
      <x:c r="H2302" s="0" t="s">
        <x:v>20</x:v>
      </x:c>
      <x:c r="I2302" s="0" t="s">
        <x:v>21</x:v>
      </x:c>
      <x:c r="K2302" s="0">
        <x:f>hyperlink("https://icd.who.int/dev11/l-ichi/en#/http%3A%2F%2Fid.who.int%2Ficd%2Fentity%2F51954429","browser")</x:f>
      </x:c>
      <x:c r="L2302" s="0">
        <x:f>hyperlink("https://icat2.azurewebsites.net/icat/?ontology=ICD&amp;tab=ClassesTab&amp;id=http%3A%2F%2Fwho.int%2Ficd%239103_512ebf36_bf6b_4d70_85da_cf2637062af4","iCat")</x:f>
      </x:c>
      <x:c r="M2302" s="0" t="s">
        <x:v>21</x:v>
      </x:c>
      <x:c r="N2302" s="0" t="s">
        <x:v>46</x:v>
      </x:c>
    </x:row>
    <x:row r="2303" spans="1:16">
      <x:c r="A2303" s="0" t="s">
        <x:v>9047</x:v>
      </x:c>
      <x:c r="B2303" s="0" t="s">
        <x:v>9048</x:v>
      </x:c>
      <x:c r="C2303" s="0" t="s">
        <x:v>9049</x:v>
      </x:c>
      <x:c r="E2303" s="0" t="s">
        <x:v>9050</x:v>
      </x:c>
      <x:c r="F2303" s="0" t="s">
        <x:v>45</x:v>
      </x:c>
      <x:c r="G2303" s="0" t="s">
        <x:v>19</x:v>
      </x:c>
      <x:c r="H2303" s="0" t="s">
        <x:v>20</x:v>
      </x:c>
      <x:c r="I2303" s="0" t="s">
        <x:v>21</x:v>
      </x:c>
      <x:c r="K2303" s="0">
        <x:f>hyperlink("https://icd.who.int/dev11/l-ichi/en#/http%3A%2F%2Fid.who.int%2Ficd%2Fentity%2F1776113580","browser")</x:f>
      </x:c>
      <x:c r="L2303" s="0">
        <x:f>hyperlink("https://icat2.azurewebsites.net/icat/?ontology=ICD&amp;tab=ClassesTab&amp;id=http%3A%2F%2Fwho.int%2Ficd%239113_512ebf36_bf6b_4d70_85da_cf2637062af4","iCat")</x:f>
      </x:c>
      <x:c r="M2303" s="0" t="s">
        <x:v>21</x:v>
      </x:c>
      <x:c r="N2303" s="0" t="s">
        <x:v>46</x:v>
      </x:c>
    </x:row>
    <x:row r="2304" spans="1:16">
      <x:c r="A2304" s="0" t="s">
        <x:v>9051</x:v>
      </x:c>
      <x:c r="B2304" s="0" t="s">
        <x:v>9052</x:v>
      </x:c>
      <x:c r="C2304" s="0" t="s">
        <x:v>9053</x:v>
      </x:c>
      <x:c r="E2304" s="0" t="s">
        <x:v>9054</x:v>
      </x:c>
      <x:c r="F2304" s="0" t="s">
        <x:v>45</x:v>
      </x:c>
      <x:c r="G2304" s="0" t="s">
        <x:v>19</x:v>
      </x:c>
      <x:c r="H2304" s="0" t="s">
        <x:v>20</x:v>
      </x:c>
      <x:c r="I2304" s="0" t="s">
        <x:v>21</x:v>
      </x:c>
      <x:c r="K2304" s="0">
        <x:f>hyperlink("https://icd.who.int/dev11/l-ichi/en#/http%3A%2F%2Fid.who.int%2Ficd%2Fentity%2F1109408572","browser")</x:f>
      </x:c>
      <x:c r="L2304" s="0">
        <x:f>hyperlink("https://icat2.azurewebsites.net/icat/?ontology=ICD&amp;tab=ClassesTab&amp;id=http%3A%2F%2Fwho.int%2Ficd%239119_512ebf36_bf6b_4d70_85da_cf2637062af4","iCat")</x:f>
      </x:c>
      <x:c r="M2304" s="0" t="s">
        <x:v>21</x:v>
      </x:c>
      <x:c r="N2304" s="0" t="s">
        <x:v>46</x:v>
      </x:c>
    </x:row>
    <x:row r="2305" spans="1:16">
      <x:c r="A2305" s="0" t="s">
        <x:v>9055</x:v>
      </x:c>
      <x:c r="B2305" s="0" t="s">
        <x:v>9056</x:v>
      </x:c>
      <x:c r="C2305" s="0" t="s">
        <x:v>9057</x:v>
      </x:c>
      <x:c r="E2305" s="0" t="s">
        <x:v>9058</x:v>
      </x:c>
      <x:c r="F2305" s="0" t="s">
        <x:v>45</x:v>
      </x:c>
      <x:c r="G2305" s="0" t="s">
        <x:v>19</x:v>
      </x:c>
      <x:c r="H2305" s="0" t="s">
        <x:v>20</x:v>
      </x:c>
      <x:c r="I2305" s="0" t="s">
        <x:v>21</x:v>
      </x:c>
      <x:c r="K2305" s="0">
        <x:f>hyperlink("https://icd.who.int/dev11/l-ichi/en#/http%3A%2F%2Fid.who.int%2Ficd%2Fentity%2F1016242661","browser")</x:f>
      </x:c>
      <x:c r="L2305" s="0">
        <x:f>hyperlink("https://icat2.azurewebsites.net/icat/?ontology=ICD&amp;tab=ClassesTab&amp;id=http%3A%2F%2Fwho.int%2Ficd%239126_512ebf36_bf6b_4d70_85da_cf2637062af4","iCat")</x:f>
      </x:c>
      <x:c r="M2305" s="0" t="s">
        <x:v>21</x:v>
      </x:c>
      <x:c r="N2305" s="0" t="s">
        <x:v>46</x:v>
      </x:c>
    </x:row>
    <x:row r="2306" spans="1:16">
      <x:c r="A2306" s="0" t="s">
        <x:v>9059</x:v>
      </x:c>
      <x:c r="B2306" s="0" t="s">
        <x:v>9060</x:v>
      </x:c>
      <x:c r="C2306" s="0" t="s">
        <x:v>9061</x:v>
      </x:c>
      <x:c r="E2306" s="0" t="s">
        <x:v>9062</x:v>
      </x:c>
      <x:c r="F2306" s="0" t="s">
        <x:v>45</x:v>
      </x:c>
      <x:c r="G2306" s="0" t="s">
        <x:v>19</x:v>
      </x:c>
      <x:c r="H2306" s="0" t="s">
        <x:v>20</x:v>
      </x:c>
      <x:c r="I2306" s="0" t="s">
        <x:v>21</x:v>
      </x:c>
      <x:c r="K2306" s="0">
        <x:f>hyperlink("https://icd.who.int/dev11/l-ichi/en#/http%3A%2F%2Fid.who.int%2Ficd%2Fentity%2F332553035","browser")</x:f>
      </x:c>
      <x:c r="L2306" s="0">
        <x:f>hyperlink("https://icat2.azurewebsites.net/icat/?ontology=ICD&amp;tab=ClassesTab&amp;id=http%3A%2F%2Fwho.int%2Ficd%239135_512ebf36_bf6b_4d70_85da_cf2637062af4","iCat")</x:f>
      </x:c>
      <x:c r="M2306" s="0" t="s">
        <x:v>21</x:v>
      </x:c>
      <x:c r="N2306" s="0" t="s">
        <x:v>46</x:v>
      </x:c>
    </x:row>
    <x:row r="2307" spans="1:16">
      <x:c r="A2307" s="0" t="s">
        <x:v>9063</x:v>
      </x:c>
      <x:c r="B2307" s="0" t="s">
        <x:v>9064</x:v>
      </x:c>
      <x:c r="C2307" s="0" t="s">
        <x:v>9065</x:v>
      </x:c>
      <x:c r="E2307" s="0" t="s">
        <x:v>9066</x:v>
      </x:c>
      <x:c r="F2307" s="0" t="s">
        <x:v>45</x:v>
      </x:c>
      <x:c r="G2307" s="0" t="s">
        <x:v>19</x:v>
      </x:c>
      <x:c r="H2307" s="0" t="s">
        <x:v>20</x:v>
      </x:c>
      <x:c r="I2307" s="0" t="s">
        <x:v>21</x:v>
      </x:c>
      <x:c r="K2307" s="0">
        <x:f>hyperlink("https://icd.who.int/dev11/l-ichi/en#/http%3A%2F%2Fid.who.int%2Ficd%2Fentity%2F587483217","browser")</x:f>
      </x:c>
      <x:c r="L2307" s="0">
        <x:f>hyperlink("https://icat2.azurewebsites.net/icat/?ontology=ICD&amp;tab=ClassesTab&amp;id=http%3A%2F%2Fwho.int%2Ficd%239145_512ebf36_bf6b_4d70_85da_cf2637062af4","iCat")</x:f>
      </x:c>
      <x:c r="M2307" s="0" t="s">
        <x:v>21</x:v>
      </x:c>
      <x:c r="N2307" s="0" t="s">
        <x:v>46</x:v>
      </x:c>
    </x:row>
    <x:row r="2308" spans="1:16">
      <x:c r="A2308" s="0" t="s">
        <x:v>9067</x:v>
      </x:c>
      <x:c r="B2308" s="0" t="s">
        <x:v>9068</x:v>
      </x:c>
      <x:c r="C2308" s="0" t="s">
        <x:v>9069</x:v>
      </x:c>
      <x:c r="E2308" s="0" t="s">
        <x:v>9070</x:v>
      </x:c>
      <x:c r="F2308" s="0" t="s">
        <x:v>45</x:v>
      </x:c>
      <x:c r="G2308" s="0" t="s">
        <x:v>19</x:v>
      </x:c>
      <x:c r="H2308" s="0" t="s">
        <x:v>20</x:v>
      </x:c>
      <x:c r="I2308" s="0" t="s">
        <x:v>21</x:v>
      </x:c>
      <x:c r="K2308" s="0">
        <x:f>hyperlink("https://icd.who.int/dev11/l-ichi/en#/http%3A%2F%2Fid.who.int%2Ficd%2Fentity%2F431621303","browser")</x:f>
      </x:c>
      <x:c r="L2308" s="0">
        <x:f>hyperlink("https://icat2.azurewebsites.net/icat/?ontology=ICD&amp;tab=ClassesTab&amp;id=http%3A%2F%2Fwho.int%2Ficd%239153_512ebf36_bf6b_4d70_85da_cf2637062af4","iCat")</x:f>
      </x:c>
      <x:c r="M2308" s="0" t="s">
        <x:v>21</x:v>
      </x:c>
      <x:c r="N2308" s="0" t="s">
        <x:v>46</x:v>
      </x:c>
    </x:row>
    <x:row r="2309" spans="1:16">
      <x:c r="A2309" s="0" t="s">
        <x:v>9071</x:v>
      </x:c>
      <x:c r="B2309" s="0" t="s">
        <x:v>9072</x:v>
      </x:c>
      <x:c r="C2309" s="0" t="s">
        <x:v>9073</x:v>
      </x:c>
      <x:c r="E2309" s="0" t="s">
        <x:v>9074</x:v>
      </x:c>
      <x:c r="F2309" s="0" t="s">
        <x:v>45</x:v>
      </x:c>
      <x:c r="G2309" s="0" t="s">
        <x:v>19</x:v>
      </x:c>
      <x:c r="H2309" s="0" t="s">
        <x:v>20</x:v>
      </x:c>
      <x:c r="I2309" s="0" t="s">
        <x:v>21</x:v>
      </x:c>
      <x:c r="K2309" s="0">
        <x:f>hyperlink("https://icd.who.int/dev11/l-ichi/en#/http%3A%2F%2Fid.who.int%2Ficd%2Fentity%2F1014454645","browser")</x:f>
      </x:c>
      <x:c r="L2309" s="0">
        <x:f>hyperlink("https://icat2.azurewebsites.net/icat/?ontology=ICD&amp;tab=ClassesTab&amp;id=http%3A%2F%2Fwho.int%2Ficd%239161_512ebf36_bf6b_4d70_85da_cf2637062af4","iCat")</x:f>
      </x:c>
      <x:c r="M2309" s="0" t="s">
        <x:v>21</x:v>
      </x:c>
      <x:c r="N2309" s="0" t="s">
        <x:v>46</x:v>
      </x:c>
    </x:row>
    <x:row r="2310" spans="1:16">
      <x:c r="A2310" s="0" t="s">
        <x:v>9075</x:v>
      </x:c>
      <x:c r="B2310" s="0" t="s">
        <x:v>9076</x:v>
      </x:c>
      <x:c r="D2310" s="0" t="s">
        <x:v>9077</x:v>
      </x:c>
      <x:c r="E2310" s="0" t="s">
        <x:v>9078</x:v>
      </x:c>
      <x:c r="F2310" s="0" t="s">
        <x:v>26</x:v>
      </x:c>
      <x:c r="G2310" s="0" t="s">
        <x:v>22</x:v>
      </x:c>
      <x:c r="H2310" s="0" t="s">
        <x:v>20</x:v>
      </x:c>
      <x:c r="I2310" s="0" t="s">
        <x:v>21</x:v>
      </x:c>
      <x:c r="K2310" s="0">
        <x:f>hyperlink("https://icd.who.int/dev11/l-ichi/en#/http%3A%2F%2Fid.who.int%2Ficd%2Fentity%2F1376737822","browser")</x:f>
      </x:c>
      <x:c r="L2310" s="0">
        <x:f>hyperlink("https://icat2.azurewebsites.net/icat/?ontology=ICD&amp;tab=ClassesTab&amp;id=http%3A%2F%2Fwho.int%2Ficd%239168_512ebf36_bf6b_4d70_85da_cf2637062af4","iCat")</x:f>
      </x:c>
      <x:c r="M2310" s="0" t="s">
        <x:v>20</x:v>
      </x:c>
      <x:c r="N2310" s="0" t="s">
        <x:v>9079</x:v>
      </x:c>
    </x:row>
    <x:row r="2311" spans="1:16">
      <x:c r="A2311" s="0" t="s">
        <x:v>9080</x:v>
      </x:c>
      <x:c r="B2311" s="0" t="s">
        <x:v>9081</x:v>
      </x:c>
      <x:c r="C2311" s="0" t="s">
        <x:v>9082</x:v>
      </x:c>
      <x:c r="E2311" s="0" t="s">
        <x:v>9083</x:v>
      </x:c>
      <x:c r="F2311" s="0" t="s">
        <x:v>45</x:v>
      </x:c>
      <x:c r="G2311" s="0" t="s">
        <x:v>19</x:v>
      </x:c>
      <x:c r="H2311" s="0" t="s">
        <x:v>20</x:v>
      </x:c>
      <x:c r="I2311" s="0" t="s">
        <x:v>21</x:v>
      </x:c>
      <x:c r="K2311" s="0">
        <x:f>hyperlink("https://icd.who.int/dev11/l-ichi/en#/http%3A%2F%2Fid.who.int%2Ficd%2Fentity%2F1812758726","browser")</x:f>
      </x:c>
      <x:c r="L2311" s="0">
        <x:f>hyperlink("https://icat2.azurewebsites.net/icat/?ontology=ICD&amp;tab=ClassesTab&amp;id=http%3A%2F%2Fwho.int%2Ficd%239167_512ebf36_bf6b_4d70_85da_cf2637062af4","iCat")</x:f>
      </x:c>
      <x:c r="M2311" s="0" t="s">
        <x:v>21</x:v>
      </x:c>
      <x:c r="N2311" s="0" t="s">
        <x:v>46</x:v>
      </x:c>
    </x:row>
    <x:row r="2312" spans="1:16">
      <x:c r="A2312" s="0" t="s">
        <x:v>9084</x:v>
      </x:c>
      <x:c r="B2312" s="0" t="s">
        <x:v>9085</x:v>
      </x:c>
      <x:c r="C2312" s="0" t="s">
        <x:v>9086</x:v>
      </x:c>
      <x:c r="E2312" s="0" t="s">
        <x:v>9087</x:v>
      </x:c>
      <x:c r="F2312" s="0" t="s">
        <x:v>45</x:v>
      </x:c>
      <x:c r="G2312" s="0" t="s">
        <x:v>19</x:v>
      </x:c>
      <x:c r="H2312" s="0" t="s">
        <x:v>20</x:v>
      </x:c>
      <x:c r="I2312" s="0" t="s">
        <x:v>21</x:v>
      </x:c>
      <x:c r="K2312" s="0">
        <x:f>hyperlink("https://icd.who.int/dev11/l-ichi/en#/http%3A%2F%2Fid.who.int%2Ficd%2Fentity%2F1504507074","browser")</x:f>
      </x:c>
      <x:c r="L2312" s="0">
        <x:f>hyperlink("https://icat2.azurewebsites.net/icat/?ontology=ICD&amp;tab=ClassesTab&amp;id=http%3A%2F%2Fwho.int%2Ficd%239180_512ebf36_bf6b_4d70_85da_cf2637062af4","iCat")</x:f>
      </x:c>
      <x:c r="M2312" s="0" t="s">
        <x:v>21</x:v>
      </x:c>
      <x:c r="N2312" s="0" t="s">
        <x:v>46</x:v>
      </x:c>
    </x:row>
    <x:row r="2313" spans="1:16">
      <x:c r="A2313" s="0" t="s">
        <x:v>9088</x:v>
      </x:c>
      <x:c r="B2313" s="0" t="s">
        <x:v>9089</x:v>
      </x:c>
      <x:c r="C2313" s="0" t="s">
        <x:v>9090</x:v>
      </x:c>
      <x:c r="E2313" s="0" t="s">
        <x:v>9091</x:v>
      </x:c>
      <x:c r="F2313" s="0" t="s">
        <x:v>45</x:v>
      </x:c>
      <x:c r="G2313" s="0" t="s">
        <x:v>19</x:v>
      </x:c>
      <x:c r="H2313" s="0" t="s">
        <x:v>20</x:v>
      </x:c>
      <x:c r="I2313" s="0" t="s">
        <x:v>21</x:v>
      </x:c>
      <x:c r="K2313" s="0">
        <x:f>hyperlink("https://icd.who.int/dev11/l-ichi/en#/http%3A%2F%2Fid.who.int%2Ficd%2Fentity%2F328209323","browser")</x:f>
      </x:c>
      <x:c r="L2313" s="0">
        <x:f>hyperlink("https://icat2.azurewebsites.net/icat/?ontology=ICD&amp;tab=ClassesTab&amp;id=http%3A%2F%2Fwho.int%2Ficd%239191_512ebf36_bf6b_4d70_85da_cf2637062af4","iCat")</x:f>
      </x:c>
      <x:c r="M2313" s="0" t="s">
        <x:v>21</x:v>
      </x:c>
      <x:c r="N2313" s="0" t="s">
        <x:v>46</x:v>
      </x:c>
    </x:row>
    <x:row r="2314" spans="1:16">
      <x:c r="A2314" s="0" t="s">
        <x:v>9092</x:v>
      </x:c>
      <x:c r="B2314" s="0" t="s">
        <x:v>9093</x:v>
      </x:c>
      <x:c r="C2314" s="0" t="s">
        <x:v>9094</x:v>
      </x:c>
      <x:c r="E2314" s="0" t="s">
        <x:v>9095</x:v>
      </x:c>
      <x:c r="F2314" s="0" t="s">
        <x:v>45</x:v>
      </x:c>
      <x:c r="G2314" s="0" t="s">
        <x:v>19</x:v>
      </x:c>
      <x:c r="H2314" s="0" t="s">
        <x:v>20</x:v>
      </x:c>
      <x:c r="I2314" s="0" t="s">
        <x:v>21</x:v>
      </x:c>
      <x:c r="K2314" s="0">
        <x:f>hyperlink("https://icd.who.int/dev11/l-ichi/en#/http%3A%2F%2Fid.who.int%2Ficd%2Fentity%2F1561420542","browser")</x:f>
      </x:c>
      <x:c r="L2314" s="0">
        <x:f>hyperlink("https://icat2.azurewebsites.net/icat/?ontology=ICD&amp;tab=ClassesTab&amp;id=http%3A%2F%2Fwho.int%2Ficd%239199_512ebf36_bf6b_4d70_85da_cf2637062af4","iCat")</x:f>
      </x:c>
      <x:c r="M2314" s="0" t="s">
        <x:v>21</x:v>
      </x:c>
      <x:c r="N2314" s="0" t="s">
        <x:v>46</x:v>
      </x:c>
    </x:row>
    <x:row r="2315" spans="1:16">
      <x:c r="A2315" s="0" t="s">
        <x:v>9096</x:v>
      </x:c>
      <x:c r="B2315" s="0" t="s">
        <x:v>9097</x:v>
      </x:c>
      <x:c r="C2315" s="0" t="s">
        <x:v>9098</x:v>
      </x:c>
      <x:c r="E2315" s="0" t="s">
        <x:v>9099</x:v>
      </x:c>
      <x:c r="F2315" s="0" t="s">
        <x:v>45</x:v>
      </x:c>
      <x:c r="G2315" s="0" t="s">
        <x:v>19</x:v>
      </x:c>
      <x:c r="H2315" s="0" t="s">
        <x:v>20</x:v>
      </x:c>
      <x:c r="I2315" s="0" t="s">
        <x:v>21</x:v>
      </x:c>
      <x:c r="K2315" s="0">
        <x:f>hyperlink("https://icd.who.int/dev11/l-ichi/en#/http%3A%2F%2Fid.who.int%2Ficd%2Fentity%2F842837781","browser")</x:f>
      </x:c>
      <x:c r="L2315" s="0">
        <x:f>hyperlink("https://icat2.azurewebsites.net/icat/?ontology=ICD&amp;tab=ClassesTab&amp;id=http%3A%2F%2Fwho.int%2Ficd%239205_512ebf36_bf6b_4d70_85da_cf2637062af4","iCat")</x:f>
      </x:c>
      <x:c r="M2315" s="0" t="s">
        <x:v>21</x:v>
      </x:c>
      <x:c r="N2315" s="0" t="s">
        <x:v>46</x:v>
      </x:c>
    </x:row>
    <x:row r="2316" spans="1:16">
      <x:c r="A2316" s="0" t="s">
        <x:v>9100</x:v>
      </x:c>
      <x:c r="B2316" s="0" t="s">
        <x:v>9101</x:v>
      </x:c>
      <x:c r="C2316" s="0" t="s">
        <x:v>9102</x:v>
      </x:c>
      <x:c r="E2316" s="0" t="s">
        <x:v>9103</x:v>
      </x:c>
      <x:c r="F2316" s="0" t="s">
        <x:v>45</x:v>
      </x:c>
      <x:c r="G2316" s="0" t="s">
        <x:v>19</x:v>
      </x:c>
      <x:c r="H2316" s="0" t="s">
        <x:v>20</x:v>
      </x:c>
      <x:c r="I2316" s="0" t="s">
        <x:v>21</x:v>
      </x:c>
      <x:c r="K2316" s="0">
        <x:f>hyperlink("https://icd.who.int/dev11/l-ichi/en#/http%3A%2F%2Fid.who.int%2Ficd%2Fentity%2F1845427766","browser")</x:f>
      </x:c>
      <x:c r="L2316" s="0">
        <x:f>hyperlink("https://icat2.azurewebsites.net/icat/?ontology=ICD&amp;tab=ClassesTab&amp;id=http%3A%2F%2Fwho.int%2Ficd%239211_512ebf36_bf6b_4d70_85da_cf2637062af4","iCat")</x:f>
      </x:c>
      <x:c r="M2316" s="0" t="s">
        <x:v>21</x:v>
      </x:c>
      <x:c r="N2316" s="0" t="s">
        <x:v>46</x:v>
      </x:c>
    </x:row>
    <x:row r="2317" spans="1:16">
      <x:c r="A2317" s="0" t="s">
        <x:v>9104</x:v>
      </x:c>
      <x:c r="B2317" s="0" t="s">
        <x:v>9105</x:v>
      </x:c>
      <x:c r="C2317" s="0" t="s">
        <x:v>9106</x:v>
      </x:c>
      <x:c r="E2317" s="0" t="s">
        <x:v>9107</x:v>
      </x:c>
      <x:c r="F2317" s="0" t="s">
        <x:v>45</x:v>
      </x:c>
      <x:c r="G2317" s="0" t="s">
        <x:v>19</x:v>
      </x:c>
      <x:c r="H2317" s="0" t="s">
        <x:v>20</x:v>
      </x:c>
      <x:c r="I2317" s="0" t="s">
        <x:v>21</x:v>
      </x:c>
      <x:c r="K2317" s="0">
        <x:f>hyperlink("https://icd.who.int/dev11/l-ichi/en#/http%3A%2F%2Fid.who.int%2Ficd%2Fentity%2F59178335","browser")</x:f>
      </x:c>
      <x:c r="L2317" s="0">
        <x:f>hyperlink("https://icat2.azurewebsites.net/icat/?ontology=ICD&amp;tab=ClassesTab&amp;id=http%3A%2F%2Fwho.int%2Ficd%239218_512ebf36_bf6b_4d70_85da_cf2637062af4","iCat")</x:f>
      </x:c>
      <x:c r="M2317" s="0" t="s">
        <x:v>21</x:v>
      </x:c>
      <x:c r="N2317" s="0" t="s">
        <x:v>46</x:v>
      </x:c>
    </x:row>
    <x:row r="2318" spans="1:16">
      <x:c r="A2318" s="0" t="s">
        <x:v>9108</x:v>
      </x:c>
      <x:c r="B2318" s="0" t="s">
        <x:v>9109</x:v>
      </x:c>
      <x:c r="C2318" s="0" t="s">
        <x:v>9110</x:v>
      </x:c>
      <x:c r="E2318" s="0" t="s">
        <x:v>9111</x:v>
      </x:c>
      <x:c r="F2318" s="0" t="s">
        <x:v>45</x:v>
      </x:c>
      <x:c r="G2318" s="0" t="s">
        <x:v>19</x:v>
      </x:c>
      <x:c r="H2318" s="0" t="s">
        <x:v>20</x:v>
      </x:c>
      <x:c r="I2318" s="0" t="s">
        <x:v>21</x:v>
      </x:c>
      <x:c r="K2318" s="0">
        <x:f>hyperlink("https://icd.who.int/dev11/l-ichi/en#/http%3A%2F%2Fid.who.int%2Ficd%2Fentity%2F2100586368","browser")</x:f>
      </x:c>
      <x:c r="L2318" s="0">
        <x:f>hyperlink("https://icat2.azurewebsites.net/icat/?ontology=ICD&amp;tab=ClassesTab&amp;id=http%3A%2F%2Fwho.int%2Ficd%239227_512ebf36_bf6b_4d70_85da_cf2637062af4","iCat")</x:f>
      </x:c>
      <x:c r="M2318" s="0" t="s">
        <x:v>21</x:v>
      </x:c>
      <x:c r="N2318" s="0" t="s">
        <x:v>46</x:v>
      </x:c>
    </x:row>
    <x:row r="2319" spans="1:16">
      <x:c r="A2319" s="0" t="s">
        <x:v>9112</x:v>
      </x:c>
      <x:c r="B2319" s="0" t="s">
        <x:v>9113</x:v>
      </x:c>
      <x:c r="C2319" s="0" t="s">
        <x:v>9114</x:v>
      </x:c>
      <x:c r="E2319" s="0" t="s">
        <x:v>9115</x:v>
      </x:c>
      <x:c r="F2319" s="0" t="s">
        <x:v>45</x:v>
      </x:c>
      <x:c r="G2319" s="0" t="s">
        <x:v>19</x:v>
      </x:c>
      <x:c r="H2319" s="0" t="s">
        <x:v>20</x:v>
      </x:c>
      <x:c r="I2319" s="0" t="s">
        <x:v>21</x:v>
      </x:c>
      <x:c r="K2319" s="0">
        <x:f>hyperlink("https://icd.who.int/dev11/l-ichi/en#/http%3A%2F%2Fid.who.int%2Ficd%2Fentity%2F586561187","browser")</x:f>
      </x:c>
      <x:c r="L2319" s="0">
        <x:f>hyperlink("https://icat2.azurewebsites.net/icat/?ontology=ICD&amp;tab=ClassesTab&amp;id=http%3A%2F%2Fwho.int%2Ficd%239233_512ebf36_bf6b_4d70_85da_cf2637062af4","iCat")</x:f>
      </x:c>
      <x:c r="M2319" s="0" t="s">
        <x:v>21</x:v>
      </x:c>
      <x:c r="N2319" s="0" t="s">
        <x:v>46</x:v>
      </x:c>
    </x:row>
    <x:row r="2320" spans="1:16">
      <x:c r="A2320" s="0" t="s">
        <x:v>9116</x:v>
      </x:c>
      <x:c r="B2320" s="0" t="s">
        <x:v>9117</x:v>
      </x:c>
      <x:c r="C2320" s="0" t="s">
        <x:v>9118</x:v>
      </x:c>
      <x:c r="E2320" s="0" t="s">
        <x:v>9119</x:v>
      </x:c>
      <x:c r="F2320" s="0" t="s">
        <x:v>45</x:v>
      </x:c>
      <x:c r="G2320" s="0" t="s">
        <x:v>19</x:v>
      </x:c>
      <x:c r="H2320" s="0" t="s">
        <x:v>20</x:v>
      </x:c>
      <x:c r="I2320" s="0" t="s">
        <x:v>21</x:v>
      </x:c>
      <x:c r="K2320" s="0">
        <x:f>hyperlink("https://icd.who.int/dev11/l-ichi/en#/http%3A%2F%2Fid.who.int%2Ficd%2Fentity%2F523984679","browser")</x:f>
      </x:c>
      <x:c r="L2320" s="0">
        <x:f>hyperlink("https://icat2.azurewebsites.net/icat/?ontology=ICD&amp;tab=ClassesTab&amp;id=http%3A%2F%2Fwho.int%2Ficd%239320_c351bd26_e8bd_46f1_9e61_43f767fec9b3","iCat")</x:f>
      </x:c>
      <x:c r="M2320" s="0" t="s">
        <x:v>21</x:v>
      </x:c>
      <x:c r="N2320" s="0" t="s">
        <x:v>46</x:v>
      </x:c>
    </x:row>
    <x:row r="2321" spans="1:16">
      <x:c r="A2321" s="0" t="s">
        <x:v>9120</x:v>
      </x:c>
      <x:c r="B2321" s="0" t="s">
        <x:v>9121</x:v>
      </x:c>
      <x:c r="C2321" s="0" t="s">
        <x:v>9122</x:v>
      </x:c>
      <x:c r="E2321" s="0" t="s">
        <x:v>9123</x:v>
      </x:c>
      <x:c r="F2321" s="0" t="s">
        <x:v>45</x:v>
      </x:c>
      <x:c r="G2321" s="0" t="s">
        <x:v>19</x:v>
      </x:c>
      <x:c r="H2321" s="0" t="s">
        <x:v>20</x:v>
      </x:c>
      <x:c r="I2321" s="0" t="s">
        <x:v>21</x:v>
      </x:c>
      <x:c r="K2321" s="0">
        <x:f>hyperlink("https://icd.who.int/dev11/l-ichi/en#/http%3A%2F%2Fid.who.int%2Ficd%2Fentity%2F1113324554","browser")</x:f>
      </x:c>
      <x:c r="L2321" s="0">
        <x:f>hyperlink("https://icat2.azurewebsites.net/icat/?ontology=ICD&amp;tab=ClassesTab&amp;id=http%3A%2F%2Fwho.int%2Ficd%239245_512ebf36_bf6b_4d70_85da_cf2637062af4","iCat")</x:f>
      </x:c>
      <x:c r="M2321" s="0" t="s">
        <x:v>21</x:v>
      </x:c>
      <x:c r="N2321" s="0" t="s">
        <x:v>46</x:v>
      </x:c>
    </x:row>
    <x:row r="2322" spans="1:16">
      <x:c r="A2322" s="0" t="s">
        <x:v>9124</x:v>
      </x:c>
      <x:c r="B2322" s="0" t="s">
        <x:v>9125</x:v>
      </x:c>
      <x:c r="C2322" s="0" t="s">
        <x:v>9126</x:v>
      </x:c>
      <x:c r="E2322" s="0" t="s">
        <x:v>9127</x:v>
      </x:c>
      <x:c r="F2322" s="0" t="s">
        <x:v>45</x:v>
      </x:c>
      <x:c r="G2322" s="0" t="s">
        <x:v>19</x:v>
      </x:c>
      <x:c r="H2322" s="0" t="s">
        <x:v>20</x:v>
      </x:c>
      <x:c r="I2322" s="0" t="s">
        <x:v>21</x:v>
      </x:c>
      <x:c r="K2322" s="0">
        <x:f>hyperlink("https://icd.who.int/dev11/l-ichi/en#/http%3A%2F%2Fid.who.int%2Ficd%2Fentity%2F1478279892","browser")</x:f>
      </x:c>
      <x:c r="L2322" s="0">
        <x:f>hyperlink("https://icat2.azurewebsites.net/icat/?ontology=ICD&amp;tab=ClassesTab&amp;id=http%3A%2F%2Fwho.int%2Ficd%239252_512ebf36_bf6b_4d70_85da_cf2637062af4","iCat")</x:f>
      </x:c>
      <x:c r="M2322" s="0" t="s">
        <x:v>21</x:v>
      </x:c>
      <x:c r="N2322" s="0" t="s">
        <x:v>46</x:v>
      </x:c>
    </x:row>
    <x:row r="2323" spans="1:16">
      <x:c r="A2323" s="0" t="s">
        <x:v>9128</x:v>
      </x:c>
      <x:c r="B2323" s="0" t="s">
        <x:v>9129</x:v>
      </x:c>
      <x:c r="C2323" s="0" t="s">
        <x:v>9130</x:v>
      </x:c>
      <x:c r="E2323" s="0" t="s">
        <x:v>9131</x:v>
      </x:c>
      <x:c r="F2323" s="0" t="s">
        <x:v>45</x:v>
      </x:c>
      <x:c r="G2323" s="0" t="s">
        <x:v>19</x:v>
      </x:c>
      <x:c r="H2323" s="0" t="s">
        <x:v>20</x:v>
      </x:c>
      <x:c r="I2323" s="0" t="s">
        <x:v>21</x:v>
      </x:c>
      <x:c r="K2323" s="0">
        <x:f>hyperlink("https://icd.who.int/dev11/l-ichi/en#/http%3A%2F%2Fid.who.int%2Ficd%2Fentity%2F1944170052","browser")</x:f>
      </x:c>
      <x:c r="L2323" s="0">
        <x:f>hyperlink("https://icat2.azurewebsites.net/icat/?ontology=ICD&amp;tab=ClassesTab&amp;id=http%3A%2F%2Fwho.int%2Ficd%239258_512ebf36_bf6b_4d70_85da_cf2637062af4","iCat")</x:f>
      </x:c>
      <x:c r="M2323" s="0" t="s">
        <x:v>21</x:v>
      </x:c>
      <x:c r="N2323" s="0" t="s">
        <x:v>46</x:v>
      </x:c>
    </x:row>
    <x:row r="2324" spans="1:16">
      <x:c r="A2324" s="0" t="s">
        <x:v>9132</x:v>
      </x:c>
      <x:c r="B2324" s="0" t="s">
        <x:v>9133</x:v>
      </x:c>
      <x:c r="C2324" s="0" t="s">
        <x:v>9134</x:v>
      </x:c>
      <x:c r="E2324" s="0" t="s">
        <x:v>9135</x:v>
      </x:c>
      <x:c r="F2324" s="0" t="s">
        <x:v>45</x:v>
      </x:c>
      <x:c r="G2324" s="0" t="s">
        <x:v>19</x:v>
      </x:c>
      <x:c r="H2324" s="0" t="s">
        <x:v>20</x:v>
      </x:c>
      <x:c r="I2324" s="0" t="s">
        <x:v>21</x:v>
      </x:c>
      <x:c r="K2324" s="0">
        <x:f>hyperlink("https://icd.who.int/dev11/l-ichi/en#/http%3A%2F%2Fid.who.int%2Ficd%2Fentity%2F1222007654","browser")</x:f>
      </x:c>
      <x:c r="L2324" s="0">
        <x:f>hyperlink("https://icat2.azurewebsites.net/icat/?ontology=ICD&amp;tab=ClassesTab&amp;id=http%3A%2F%2Fwho.int%2Ficd%239264_512ebf36_bf6b_4d70_85da_cf2637062af4","iCat")</x:f>
      </x:c>
      <x:c r="M2324" s="0" t="s">
        <x:v>21</x:v>
      </x:c>
      <x:c r="N2324" s="0" t="s">
        <x:v>46</x:v>
      </x:c>
    </x:row>
    <x:row r="2325" spans="1:16">
      <x:c r="A2325" s="0" t="s">
        <x:v>9136</x:v>
      </x:c>
      <x:c r="B2325" s="0" t="s">
        <x:v>9137</x:v>
      </x:c>
      <x:c r="C2325" s="0" t="s">
        <x:v>9138</x:v>
      </x:c>
      <x:c r="E2325" s="0" t="s">
        <x:v>9139</x:v>
      </x:c>
      <x:c r="F2325" s="0" t="s">
        <x:v>45</x:v>
      </x:c>
      <x:c r="G2325" s="0" t="s">
        <x:v>19</x:v>
      </x:c>
      <x:c r="H2325" s="0" t="s">
        <x:v>20</x:v>
      </x:c>
      <x:c r="I2325" s="0" t="s">
        <x:v>21</x:v>
      </x:c>
      <x:c r="K2325" s="0">
        <x:f>hyperlink("https://icd.who.int/dev11/l-ichi/en#/http%3A%2F%2Fid.who.int%2Ficd%2Fentity%2F1919424386","browser")</x:f>
      </x:c>
      <x:c r="L2325" s="0">
        <x:f>hyperlink("https://icat2.azurewebsites.net/icat/?ontology=ICD&amp;tab=ClassesTab&amp;id=http%3A%2F%2Fwho.int%2Ficd%239272_512ebf36_bf6b_4d70_85da_cf2637062af4","iCat")</x:f>
      </x:c>
      <x:c r="M2325" s="0" t="s">
        <x:v>21</x:v>
      </x:c>
      <x:c r="N2325" s="0" t="s">
        <x:v>46</x:v>
      </x:c>
    </x:row>
    <x:row r="2326" spans="1:16">
      <x:c r="A2326" s="0" t="s">
        <x:v>9140</x:v>
      </x:c>
      <x:c r="B2326" s="0" t="s">
        <x:v>9141</x:v>
      </x:c>
      <x:c r="C2326" s="0" t="s">
        <x:v>9142</x:v>
      </x:c>
      <x:c r="E2326" s="0" t="s">
        <x:v>9143</x:v>
      </x:c>
      <x:c r="F2326" s="0" t="s">
        <x:v>45</x:v>
      </x:c>
      <x:c r="G2326" s="0" t="s">
        <x:v>19</x:v>
      </x:c>
      <x:c r="H2326" s="0" t="s">
        <x:v>20</x:v>
      </x:c>
      <x:c r="I2326" s="0" t="s">
        <x:v>21</x:v>
      </x:c>
      <x:c r="K2326" s="0">
        <x:f>hyperlink("https://icd.who.int/dev11/l-ichi/en#/http%3A%2F%2Fid.who.int%2Ficd%2Fentity%2F2037123376","browser")</x:f>
      </x:c>
      <x:c r="L2326" s="0">
        <x:f>hyperlink("https://icat2.azurewebsites.net/icat/?ontology=ICD&amp;tab=ClassesTab&amp;id=http%3A%2F%2Fwho.int%2Ficd%239279_512ebf36_bf6b_4d70_85da_cf2637062af4","iCat")</x:f>
      </x:c>
      <x:c r="M2326" s="0" t="s">
        <x:v>21</x:v>
      </x:c>
      <x:c r="N2326" s="0" t="s">
        <x:v>46</x:v>
      </x:c>
    </x:row>
    <x:row r="2327" spans="1:16">
      <x:c r="A2327" s="0" t="s">
        <x:v>9144</x:v>
      </x:c>
      <x:c r="B2327" s="0" t="s">
        <x:v>9145</x:v>
      </x:c>
      <x:c r="C2327" s="0" t="s">
        <x:v>9146</x:v>
      </x:c>
      <x:c r="E2327" s="0" t="s">
        <x:v>9147</x:v>
      </x:c>
      <x:c r="F2327" s="0" t="s">
        <x:v>45</x:v>
      </x:c>
      <x:c r="G2327" s="0" t="s">
        <x:v>19</x:v>
      </x:c>
      <x:c r="H2327" s="0" t="s">
        <x:v>20</x:v>
      </x:c>
      <x:c r="I2327" s="0" t="s">
        <x:v>21</x:v>
      </x:c>
      <x:c r="K2327" s="0">
        <x:f>hyperlink("https://icd.who.int/dev11/l-ichi/en#/http%3A%2F%2Fid.who.int%2Ficd%2Fentity%2F1753782570","browser")</x:f>
      </x:c>
      <x:c r="L2327" s="0">
        <x:f>hyperlink("https://icat2.azurewebsites.net/icat/?ontology=ICD&amp;tab=ClassesTab&amp;id=http%3A%2F%2Fwho.int%2Ficd%239286_512ebf36_bf6b_4d70_85da_cf2637062af4","iCat")</x:f>
      </x:c>
      <x:c r="M2327" s="0" t="s">
        <x:v>21</x:v>
      </x:c>
      <x:c r="N2327" s="0" t="s">
        <x:v>46</x:v>
      </x:c>
    </x:row>
    <x:row r="2328" spans="1:16">
      <x:c r="A2328" s="0" t="s">
        <x:v>9148</x:v>
      </x:c>
      <x:c r="B2328" s="0" t="s">
        <x:v>9149</x:v>
      </x:c>
      <x:c r="C2328" s="0" t="s">
        <x:v>9150</x:v>
      </x:c>
      <x:c r="E2328" s="0" t="s">
        <x:v>9151</x:v>
      </x:c>
      <x:c r="F2328" s="0" t="s">
        <x:v>45</x:v>
      </x:c>
      <x:c r="G2328" s="0" t="s">
        <x:v>19</x:v>
      </x:c>
      <x:c r="H2328" s="0" t="s">
        <x:v>20</x:v>
      </x:c>
      <x:c r="I2328" s="0" t="s">
        <x:v>21</x:v>
      </x:c>
      <x:c r="K2328" s="0">
        <x:f>hyperlink("https://icd.who.int/dev11/l-ichi/en#/http%3A%2F%2Fid.who.int%2Ficd%2Fentity%2F1731269052","browser")</x:f>
      </x:c>
      <x:c r="L2328" s="0">
        <x:f>hyperlink("https://icat2.azurewebsites.net/icat/?ontology=ICD&amp;tab=ClassesTab&amp;id=http%3A%2F%2Fwho.int%2Ficd%239294_512ebf36_bf6b_4d70_85da_cf2637062af4","iCat")</x:f>
      </x:c>
      <x:c r="M2328" s="0" t="s">
        <x:v>21</x:v>
      </x:c>
      <x:c r="N2328" s="0" t="s">
        <x:v>46</x:v>
      </x:c>
    </x:row>
    <x:row r="2329" spans="1:16">
      <x:c r="A2329" s="0" t="s">
        <x:v>9152</x:v>
      </x:c>
      <x:c r="B2329" s="0" t="s">
        <x:v>9153</x:v>
      </x:c>
      <x:c r="C2329" s="0" t="s">
        <x:v>9154</x:v>
      </x:c>
      <x:c r="E2329" s="0" t="s">
        <x:v>9155</x:v>
      </x:c>
      <x:c r="F2329" s="0" t="s">
        <x:v>45</x:v>
      </x:c>
      <x:c r="G2329" s="0" t="s">
        <x:v>19</x:v>
      </x:c>
      <x:c r="H2329" s="0" t="s">
        <x:v>20</x:v>
      </x:c>
      <x:c r="I2329" s="0" t="s">
        <x:v>21</x:v>
      </x:c>
      <x:c r="K2329" s="0">
        <x:f>hyperlink("https://icd.who.int/dev11/l-ichi/en#/http%3A%2F%2Fid.who.int%2Ficd%2Fentity%2F1381883842","browser")</x:f>
      </x:c>
      <x:c r="L2329" s="0">
        <x:f>hyperlink("https://icat2.azurewebsites.net/icat/?ontology=ICD&amp;tab=ClassesTab&amp;id=http%3A%2F%2Fwho.int%2Ficd%239300_512ebf36_bf6b_4d70_85da_cf2637062af4","iCat")</x:f>
      </x:c>
      <x:c r="M2329" s="0" t="s">
        <x:v>21</x:v>
      </x:c>
      <x:c r="N2329" s="0" t="s">
        <x:v>46</x:v>
      </x:c>
    </x:row>
    <x:row r="2330" spans="1:16">
      <x:c r="A2330" s="0" t="s">
        <x:v>9156</x:v>
      </x:c>
      <x:c r="B2330" s="0" t="s">
        <x:v>9157</x:v>
      </x:c>
      <x:c r="C2330" s="0" t="s">
        <x:v>9158</x:v>
      </x:c>
      <x:c r="E2330" s="0" t="s">
        <x:v>9159</x:v>
      </x:c>
      <x:c r="F2330" s="0" t="s">
        <x:v>45</x:v>
      </x:c>
      <x:c r="G2330" s="0" t="s">
        <x:v>19</x:v>
      </x:c>
      <x:c r="H2330" s="0" t="s">
        <x:v>20</x:v>
      </x:c>
      <x:c r="I2330" s="0" t="s">
        <x:v>21</x:v>
      </x:c>
      <x:c r="K2330" s="0">
        <x:f>hyperlink("https://icd.who.int/dev11/l-ichi/en#/http%3A%2F%2Fid.who.int%2Ficd%2Fentity%2F36046449","browser")</x:f>
      </x:c>
      <x:c r="L2330" s="0">
        <x:f>hyperlink("https://icat2.azurewebsites.net/icat/?ontology=ICD&amp;tab=ClassesTab&amp;id=http%3A%2F%2Fwho.int%2Ficd%239306_512ebf36_bf6b_4d70_85da_cf2637062af4","iCat")</x:f>
      </x:c>
      <x:c r="M2330" s="0" t="s">
        <x:v>21</x:v>
      </x:c>
      <x:c r="N2330" s="0" t="s">
        <x:v>46</x:v>
      </x:c>
    </x:row>
    <x:row r="2331" spans="1:16">
      <x:c r="A2331" s="0" t="s">
        <x:v>9160</x:v>
      </x:c>
      <x:c r="B2331" s="0" t="s">
        <x:v>9161</x:v>
      </x:c>
      <x:c r="C2331" s="0" t="s">
        <x:v>9162</x:v>
      </x:c>
      <x:c r="E2331" s="0" t="s">
        <x:v>9163</x:v>
      </x:c>
      <x:c r="F2331" s="0" t="s">
        <x:v>45</x:v>
      </x:c>
      <x:c r="G2331" s="0" t="s">
        <x:v>19</x:v>
      </x:c>
      <x:c r="H2331" s="0" t="s">
        <x:v>20</x:v>
      </x:c>
      <x:c r="I2331" s="0" t="s">
        <x:v>21</x:v>
      </x:c>
      <x:c r="K2331" s="0">
        <x:f>hyperlink("https://icd.who.int/dev11/l-ichi/en#/http%3A%2F%2Fid.who.int%2Ficd%2Fentity%2F7910125","browser")</x:f>
      </x:c>
      <x:c r="L2331" s="0">
        <x:f>hyperlink("https://icat2.azurewebsites.net/icat/?ontology=ICD&amp;tab=ClassesTab&amp;id=http%3A%2F%2Fwho.int%2Ficd%23296_94acc4f6_b696_4796_914a_62879ddd4f65","iCat")</x:f>
      </x:c>
      <x:c r="M2331" s="0" t="s">
        <x:v>21</x:v>
      </x:c>
      <x:c r="N2331" s="0" t="s">
        <x:v>46</x:v>
      </x:c>
    </x:row>
    <x:row r="2332" spans="1:16">
      <x:c r="A2332" s="0" t="s">
        <x:v>9164</x:v>
      </x:c>
      <x:c r="B2332" s="0" t="s">
        <x:v>9165</x:v>
      </x:c>
      <x:c r="C2332" s="0" t="s">
        <x:v>9166</x:v>
      </x:c>
      <x:c r="E2332" s="0" t="s">
        <x:v>9167</x:v>
      </x:c>
      <x:c r="F2332" s="0" t="s">
        <x:v>45</x:v>
      </x:c>
      <x:c r="G2332" s="0" t="s">
        <x:v>19</x:v>
      </x:c>
      <x:c r="H2332" s="0" t="s">
        <x:v>20</x:v>
      </x:c>
      <x:c r="I2332" s="0" t="s">
        <x:v>21</x:v>
      </x:c>
      <x:c r="K2332" s="0">
        <x:f>hyperlink("https://icd.who.int/dev11/l-ichi/en#/http%3A%2F%2Fid.who.int%2Ficd%2Fentity%2F1575245652","browser")</x:f>
      </x:c>
      <x:c r="L2332" s="0">
        <x:f>hyperlink("https://icat2.azurewebsites.net/icat/?ontology=ICD&amp;tab=ClassesTab&amp;id=http%3A%2F%2Fwho.int%2Ficd%239312_512ebf36_bf6b_4d70_85da_cf2637062af4","iCat")</x:f>
      </x:c>
      <x:c r="M2332" s="0" t="s">
        <x:v>21</x:v>
      </x:c>
      <x:c r="N2332" s="0" t="s">
        <x:v>46</x:v>
      </x:c>
    </x:row>
    <x:row r="2333" spans="1:16">
      <x:c r="A2333" s="0" t="s">
        <x:v>9168</x:v>
      </x:c>
      <x:c r="B2333" s="0" t="s">
        <x:v>9169</x:v>
      </x:c>
      <x:c r="C2333" s="0" t="s">
        <x:v>9170</x:v>
      </x:c>
      <x:c r="E2333" s="0" t="s">
        <x:v>9171</x:v>
      </x:c>
      <x:c r="F2333" s="0" t="s">
        <x:v>45</x:v>
      </x:c>
      <x:c r="G2333" s="0" t="s">
        <x:v>19</x:v>
      </x:c>
      <x:c r="H2333" s="0" t="s">
        <x:v>20</x:v>
      </x:c>
      <x:c r="I2333" s="0" t="s">
        <x:v>21</x:v>
      </x:c>
      <x:c r="K2333" s="0">
        <x:f>hyperlink("https://icd.who.int/dev11/l-ichi/en#/http%3A%2F%2Fid.who.int%2Ficd%2Fentity%2F1792421300","browser")</x:f>
      </x:c>
      <x:c r="L2333" s="0">
        <x:f>hyperlink("https://icat2.azurewebsites.net/icat/?ontology=ICD&amp;tab=ClassesTab&amp;id=http%3A%2F%2Fwho.int%2Ficd%23316_94acc4f6_b696_4796_914a_62879ddd4f65","iCat")</x:f>
      </x:c>
      <x:c r="M2333" s="0" t="s">
        <x:v>21</x:v>
      </x:c>
      <x:c r="N2333" s="0" t="s">
        <x:v>46</x:v>
      </x:c>
    </x:row>
    <x:row r="2334" spans="1:16">
      <x:c r="A2334" s="0" t="s">
        <x:v>9172</x:v>
      </x:c>
      <x:c r="B2334" s="0" t="s">
        <x:v>9173</x:v>
      </x:c>
      <x:c r="C2334" s="0" t="s">
        <x:v>9174</x:v>
      </x:c>
      <x:c r="E2334" s="0" t="s">
        <x:v>9175</x:v>
      </x:c>
      <x:c r="F2334" s="0" t="s">
        <x:v>45</x:v>
      </x:c>
      <x:c r="G2334" s="0" t="s">
        <x:v>19</x:v>
      </x:c>
      <x:c r="H2334" s="0" t="s">
        <x:v>20</x:v>
      </x:c>
      <x:c r="I2334" s="0" t="s">
        <x:v>21</x:v>
      </x:c>
      <x:c r="K2334" s="0">
        <x:f>hyperlink("https://icd.who.int/dev11/l-ichi/en#/http%3A%2F%2Fid.who.int%2Ficd%2Fentity%2F1981365188","browser")</x:f>
      </x:c>
      <x:c r="L2334" s="0">
        <x:f>hyperlink("https://icat2.azurewebsites.net/icat/?ontology=ICD&amp;tab=ClassesTab&amp;id=http%3A%2F%2Fwho.int%2Ficd%239318_512ebf36_bf6b_4d70_85da_cf2637062af4","iCat")</x:f>
      </x:c>
      <x:c r="M2334" s="0" t="s">
        <x:v>21</x:v>
      </x:c>
      <x:c r="N2334" s="0" t="s">
        <x:v>46</x:v>
      </x:c>
    </x:row>
    <x:row r="2335" spans="1:16">
      <x:c r="A2335" s="0" t="s">
        <x:v>9176</x:v>
      </x:c>
      <x:c r="B2335" s="0" t="s">
        <x:v>9177</x:v>
      </x:c>
      <x:c r="C2335" s="0" t="s">
        <x:v>9178</x:v>
      </x:c>
      <x:c r="E2335" s="0" t="s">
        <x:v>9179</x:v>
      </x:c>
      <x:c r="F2335" s="0" t="s">
        <x:v>45</x:v>
      </x:c>
      <x:c r="G2335" s="0" t="s">
        <x:v>19</x:v>
      </x:c>
      <x:c r="H2335" s="0" t="s">
        <x:v>20</x:v>
      </x:c>
      <x:c r="I2335" s="0" t="s">
        <x:v>21</x:v>
      </x:c>
      <x:c r="K2335" s="0">
        <x:f>hyperlink("https://icd.who.int/dev11/l-ichi/en#/http%3A%2F%2Fid.who.int%2Ficd%2Fentity%2F1842855128","browser")</x:f>
      </x:c>
      <x:c r="L2335" s="0">
        <x:f>hyperlink("https://icat2.azurewebsites.net/icat/?ontology=ICD&amp;tab=ClassesTab&amp;id=http%3A%2F%2Fwho.int%2Ficd%239325_512ebf36_bf6b_4d70_85da_cf2637062af4","iCat")</x:f>
      </x:c>
      <x:c r="M2335" s="0" t="s">
        <x:v>21</x:v>
      </x:c>
      <x:c r="N2335" s="0" t="s">
        <x:v>46</x:v>
      </x:c>
    </x:row>
    <x:row r="2336" spans="1:16">
      <x:c r="A2336" s="0" t="s">
        <x:v>9180</x:v>
      </x:c>
      <x:c r="B2336" s="0" t="s">
        <x:v>9181</x:v>
      </x:c>
      <x:c r="C2336" s="0" t="s">
        <x:v>9182</x:v>
      </x:c>
      <x:c r="E2336" s="0" t="s">
        <x:v>9183</x:v>
      </x:c>
      <x:c r="F2336" s="0" t="s">
        <x:v>45</x:v>
      </x:c>
      <x:c r="G2336" s="0" t="s">
        <x:v>19</x:v>
      </x:c>
      <x:c r="H2336" s="0" t="s">
        <x:v>20</x:v>
      </x:c>
      <x:c r="I2336" s="0" t="s">
        <x:v>21</x:v>
      </x:c>
      <x:c r="K2336" s="0">
        <x:f>hyperlink("https://icd.who.int/dev11/l-ichi/en#/http%3A%2F%2Fid.who.int%2Ficd%2Fentity%2F840297979","browser")</x:f>
      </x:c>
      <x:c r="L2336" s="0">
        <x:f>hyperlink("https://icat2.azurewebsites.net/icat/?ontology=ICD&amp;tab=ClassesTab&amp;id=http%3A%2F%2Fwho.int%2Ficd%239331_512ebf36_bf6b_4d70_85da_cf2637062af4","iCat")</x:f>
      </x:c>
      <x:c r="M2336" s="0" t="s">
        <x:v>21</x:v>
      </x:c>
      <x:c r="N2336" s="0" t="s">
        <x:v>46</x:v>
      </x:c>
    </x:row>
    <x:row r="2337" spans="1:16">
      <x:c r="A2337" s="0" t="s">
        <x:v>9184</x:v>
      </x:c>
      <x:c r="B2337" s="0" t="s">
        <x:v>9185</x:v>
      </x:c>
      <x:c r="C2337" s="0" t="s">
        <x:v>9186</x:v>
      </x:c>
      <x:c r="E2337" s="0" t="s">
        <x:v>9187</x:v>
      </x:c>
      <x:c r="F2337" s="0" t="s">
        <x:v>45</x:v>
      </x:c>
      <x:c r="G2337" s="0" t="s">
        <x:v>19</x:v>
      </x:c>
      <x:c r="H2337" s="0" t="s">
        <x:v>20</x:v>
      </x:c>
      <x:c r="I2337" s="0" t="s">
        <x:v>21</x:v>
      </x:c>
      <x:c r="K2337" s="0">
        <x:f>hyperlink("https://icd.who.int/dev11/l-ichi/en#/http%3A%2F%2Fid.who.int%2Ficd%2Fentity%2F1910691398","browser")</x:f>
      </x:c>
      <x:c r="L2337" s="0">
        <x:f>hyperlink("https://icat2.azurewebsites.net/icat/?ontology=ICD&amp;tab=ClassesTab&amp;id=http%3A%2F%2Fwho.int%2Ficd%2311168_c351bd26_e8bd_46f1_9e61_43f767fec9b3","iCat")</x:f>
      </x:c>
      <x:c r="M2337" s="0" t="s">
        <x:v>21</x:v>
      </x:c>
      <x:c r="N2337" s="0" t="s">
        <x:v>46</x:v>
      </x:c>
    </x:row>
    <x:row r="2338" spans="1:16">
      <x:c r="A2338" s="0" t="s">
        <x:v>9188</x:v>
      </x:c>
      <x:c r="B2338" s="0" t="s">
        <x:v>9189</x:v>
      </x:c>
      <x:c r="C2338" s="0" t="s">
        <x:v>9190</x:v>
      </x:c>
      <x:c r="E2338" s="0" t="s">
        <x:v>9191</x:v>
      </x:c>
      <x:c r="F2338" s="0" t="s">
        <x:v>45</x:v>
      </x:c>
      <x:c r="G2338" s="0" t="s">
        <x:v>19</x:v>
      </x:c>
      <x:c r="H2338" s="0" t="s">
        <x:v>20</x:v>
      </x:c>
      <x:c r="I2338" s="0" t="s">
        <x:v>21</x:v>
      </x:c>
      <x:c r="K2338" s="0">
        <x:f>hyperlink("https://icd.who.int/dev11/l-ichi/en#/http%3A%2F%2Fid.who.int%2Ficd%2Fentity%2F574262493","browser")</x:f>
      </x:c>
      <x:c r="L2338" s="0">
        <x:f>hyperlink("https://icat2.azurewebsites.net/icat/?ontology=ICD&amp;tab=ClassesTab&amp;id=http%3A%2F%2Fwho.int%2Ficd%239340_512ebf36_bf6b_4d70_85da_cf2637062af4","iCat")</x:f>
      </x:c>
      <x:c r="M2338" s="0" t="s">
        <x:v>21</x:v>
      </x:c>
      <x:c r="N2338" s="0" t="s">
        <x:v>46</x:v>
      </x:c>
    </x:row>
    <x:row r="2339" spans="1:16">
      <x:c r="A2339" s="0" t="s">
        <x:v>9192</x:v>
      </x:c>
      <x:c r="B2339" s="0" t="s">
        <x:v>9193</x:v>
      </x:c>
      <x:c r="C2339" s="0" t="s">
        <x:v>9194</x:v>
      </x:c>
      <x:c r="E2339" s="0" t="s">
        <x:v>9195</x:v>
      </x:c>
      <x:c r="F2339" s="0" t="s">
        <x:v>45</x:v>
      </x:c>
      <x:c r="G2339" s="0" t="s">
        <x:v>19</x:v>
      </x:c>
      <x:c r="H2339" s="0" t="s">
        <x:v>20</x:v>
      </x:c>
      <x:c r="I2339" s="0" t="s">
        <x:v>21</x:v>
      </x:c>
      <x:c r="K2339" s="0">
        <x:f>hyperlink("https://icd.who.int/dev11/l-ichi/en#/http%3A%2F%2Fid.who.int%2Ficd%2Fentity%2F1824259466","browser")</x:f>
      </x:c>
      <x:c r="L2339" s="0">
        <x:f>hyperlink("https://icat2.azurewebsites.net/icat/?ontology=ICD&amp;tab=ClassesTab&amp;id=http%3A%2F%2Fwho.int%2Ficd%239348_512ebf36_bf6b_4d70_85da_cf2637062af4","iCat")</x:f>
      </x:c>
      <x:c r="M2339" s="0" t="s">
        <x:v>21</x:v>
      </x:c>
      <x:c r="N2339" s="0" t="s">
        <x:v>46</x:v>
      </x:c>
    </x:row>
    <x:row r="2340" spans="1:16">
      <x:c r="A2340" s="0" t="s">
        <x:v>9196</x:v>
      </x:c>
      <x:c r="B2340" s="0" t="s">
        <x:v>9197</x:v>
      </x:c>
      <x:c r="C2340" s="0" t="s">
        <x:v>9198</x:v>
      </x:c>
      <x:c r="E2340" s="0" t="s">
        <x:v>9199</x:v>
      </x:c>
      <x:c r="F2340" s="0" t="s">
        <x:v>45</x:v>
      </x:c>
      <x:c r="G2340" s="0" t="s">
        <x:v>19</x:v>
      </x:c>
      <x:c r="H2340" s="0" t="s">
        <x:v>20</x:v>
      </x:c>
      <x:c r="I2340" s="0" t="s">
        <x:v>21</x:v>
      </x:c>
      <x:c r="K2340" s="0">
        <x:f>hyperlink("https://icd.who.int/dev11/l-ichi/en#/http%3A%2F%2Fid.who.int%2Ficd%2Fentity%2F411353147","browser")</x:f>
      </x:c>
      <x:c r="L2340" s="0">
        <x:f>hyperlink("https://icat2.azurewebsites.net/icat/?ontology=ICD&amp;tab=ClassesTab&amp;id=http%3A%2F%2Fwho.int%2Ficd%239356_512ebf36_bf6b_4d70_85da_cf2637062af4","iCat")</x:f>
      </x:c>
      <x:c r="M2340" s="0" t="s">
        <x:v>21</x:v>
      </x:c>
      <x:c r="N2340" s="0" t="s">
        <x:v>46</x:v>
      </x:c>
    </x:row>
    <x:row r="2341" spans="1:16">
      <x:c r="A2341" s="0" t="s">
        <x:v>9200</x:v>
      </x:c>
      <x:c r="B2341" s="0" t="s">
        <x:v>9201</x:v>
      </x:c>
      <x:c r="C2341" s="0" t="s">
        <x:v>9202</x:v>
      </x:c>
      <x:c r="E2341" s="0" t="s">
        <x:v>9203</x:v>
      </x:c>
      <x:c r="F2341" s="0" t="s">
        <x:v>45</x:v>
      </x:c>
      <x:c r="G2341" s="0" t="s">
        <x:v>19</x:v>
      </x:c>
      <x:c r="H2341" s="0" t="s">
        <x:v>20</x:v>
      </x:c>
      <x:c r="I2341" s="0" t="s">
        <x:v>21</x:v>
      </x:c>
      <x:c r="K2341" s="0">
        <x:f>hyperlink("https://icd.who.int/dev11/l-ichi/en#/http%3A%2F%2Fid.who.int%2Ficd%2Fentity%2F1832010824","browser")</x:f>
      </x:c>
      <x:c r="L2341" s="0">
        <x:f>hyperlink("https://icat2.azurewebsites.net/icat/?ontology=ICD&amp;tab=ClassesTab&amp;id=http%3A%2F%2Fwho.int%2Ficd%239362_512ebf36_bf6b_4d70_85da_cf2637062af4","iCat")</x:f>
      </x:c>
      <x:c r="M2341" s="0" t="s">
        <x:v>21</x:v>
      </x:c>
      <x:c r="N2341" s="0" t="s">
        <x:v>46</x:v>
      </x:c>
    </x:row>
    <x:row r="2342" spans="1:16">
      <x:c r="A2342" s="0" t="s">
        <x:v>9204</x:v>
      </x:c>
      <x:c r="B2342" s="0" t="s">
        <x:v>9205</x:v>
      </x:c>
      <x:c r="C2342" s="0" t="s">
        <x:v>9206</x:v>
      </x:c>
      <x:c r="E2342" s="0" t="s">
        <x:v>9207</x:v>
      </x:c>
      <x:c r="F2342" s="0" t="s">
        <x:v>45</x:v>
      </x:c>
      <x:c r="G2342" s="0" t="s">
        <x:v>19</x:v>
      </x:c>
      <x:c r="H2342" s="0" t="s">
        <x:v>20</x:v>
      </x:c>
      <x:c r="I2342" s="0" t="s">
        <x:v>21</x:v>
      </x:c>
      <x:c r="K2342" s="0">
        <x:f>hyperlink("https://icd.who.int/dev11/l-ichi/en#/http%3A%2F%2Fid.who.int%2Ficd%2Fentity%2F1187981528","browser")</x:f>
      </x:c>
      <x:c r="L2342" s="0">
        <x:f>hyperlink("https://icat2.azurewebsites.net/icat/?ontology=ICD&amp;tab=ClassesTab&amp;id=http%3A%2F%2Fwho.int%2Ficd%239368_512ebf36_bf6b_4d70_85da_cf2637062af4","iCat")</x:f>
      </x:c>
      <x:c r="M2342" s="0" t="s">
        <x:v>21</x:v>
      </x:c>
      <x:c r="N2342" s="0" t="s">
        <x:v>46</x:v>
      </x:c>
    </x:row>
    <x:row r="2343" spans="1:16">
      <x:c r="A2343" s="0" t="s">
        <x:v>9208</x:v>
      </x:c>
      <x:c r="B2343" s="0" t="s">
        <x:v>9209</x:v>
      </x:c>
      <x:c r="C2343" s="0" t="s">
        <x:v>9210</x:v>
      </x:c>
      <x:c r="E2343" s="0" t="s">
        <x:v>9211</x:v>
      </x:c>
      <x:c r="F2343" s="0" t="s">
        <x:v>45</x:v>
      </x:c>
      <x:c r="G2343" s="0" t="s">
        <x:v>19</x:v>
      </x:c>
      <x:c r="H2343" s="0" t="s">
        <x:v>20</x:v>
      </x:c>
      <x:c r="I2343" s="0" t="s">
        <x:v>21</x:v>
      </x:c>
      <x:c r="K2343" s="0">
        <x:f>hyperlink("https://icd.who.int/dev11/l-ichi/en#/http%3A%2F%2Fid.who.int%2Ficd%2Fentity%2F2004187794","browser")</x:f>
      </x:c>
      <x:c r="L2343" s="0">
        <x:f>hyperlink("https://icat2.azurewebsites.net/icat/?ontology=ICD&amp;tab=ClassesTab&amp;id=http%3A%2F%2Fwho.int%2Ficd%239375_512ebf36_bf6b_4d70_85da_cf2637062af4","iCat")</x:f>
      </x:c>
      <x:c r="M2343" s="0" t="s">
        <x:v>21</x:v>
      </x:c>
      <x:c r="N2343" s="0" t="s">
        <x:v>46</x:v>
      </x:c>
    </x:row>
    <x:row r="2344" spans="1:16">
      <x:c r="A2344" s="0" t="s">
        <x:v>9212</x:v>
      </x:c>
      <x:c r="B2344" s="0" t="s">
        <x:v>9213</x:v>
      </x:c>
      <x:c r="C2344" s="0" t="s">
        <x:v>9214</x:v>
      </x:c>
      <x:c r="E2344" s="0" t="s">
        <x:v>9215</x:v>
      </x:c>
      <x:c r="F2344" s="0" t="s">
        <x:v>45</x:v>
      </x:c>
      <x:c r="G2344" s="0" t="s">
        <x:v>19</x:v>
      </x:c>
      <x:c r="H2344" s="0" t="s">
        <x:v>20</x:v>
      </x:c>
      <x:c r="I2344" s="0" t="s">
        <x:v>21</x:v>
      </x:c>
      <x:c r="K2344" s="0">
        <x:f>hyperlink("https://icd.who.int/dev11/l-ichi/en#/http%3A%2F%2Fid.who.int%2Ficd%2Fentity%2F672177089","browser")</x:f>
      </x:c>
      <x:c r="L2344" s="0">
        <x:f>hyperlink("https://icat2.azurewebsites.net/icat/?ontology=ICD&amp;tab=ClassesTab&amp;id=http%3A%2F%2Fwho.int%2Ficd%239382_512ebf36_bf6b_4d70_85da_cf2637062af4","iCat")</x:f>
      </x:c>
      <x:c r="M2344" s="0" t="s">
        <x:v>21</x:v>
      </x:c>
      <x:c r="N2344" s="0" t="s">
        <x:v>46</x:v>
      </x:c>
    </x:row>
    <x:row r="2345" spans="1:16">
      <x:c r="A2345" s="0" t="s">
        <x:v>9216</x:v>
      </x:c>
      <x:c r="B2345" s="0" t="s">
        <x:v>9217</x:v>
      </x:c>
      <x:c r="C2345" s="0" t="s">
        <x:v>9218</x:v>
      </x:c>
      <x:c r="E2345" s="0" t="s">
        <x:v>9219</x:v>
      </x:c>
      <x:c r="F2345" s="0" t="s">
        <x:v>45</x:v>
      </x:c>
      <x:c r="G2345" s="0" t="s">
        <x:v>19</x:v>
      </x:c>
      <x:c r="H2345" s="0" t="s">
        <x:v>20</x:v>
      </x:c>
      <x:c r="I2345" s="0" t="s">
        <x:v>21</x:v>
      </x:c>
      <x:c r="K2345" s="0">
        <x:f>hyperlink("https://icd.who.int/dev11/l-ichi/en#/http%3A%2F%2Fid.who.int%2Ficd%2Fentity%2F665391955","browser")</x:f>
      </x:c>
      <x:c r="L2345" s="0">
        <x:f>hyperlink("https://icat2.azurewebsites.net/icat/?ontology=ICD&amp;tab=ClassesTab&amp;id=http%3A%2F%2Fwho.int%2Ficd%239390_512ebf36_bf6b_4d70_85da_cf2637062af4","iCat")</x:f>
      </x:c>
      <x:c r="M2345" s="0" t="s">
        <x:v>21</x:v>
      </x:c>
      <x:c r="N2345" s="0" t="s">
        <x:v>46</x:v>
      </x:c>
    </x:row>
    <x:row r="2346" spans="1:16">
      <x:c r="A2346" s="0" t="s">
        <x:v>9220</x:v>
      </x:c>
      <x:c r="B2346" s="0" t="s">
        <x:v>9221</x:v>
      </x:c>
      <x:c r="C2346" s="0" t="s">
        <x:v>9222</x:v>
      </x:c>
      <x:c r="E2346" s="0" t="s">
        <x:v>9223</x:v>
      </x:c>
      <x:c r="F2346" s="0" t="s">
        <x:v>45</x:v>
      </x:c>
      <x:c r="G2346" s="0" t="s">
        <x:v>19</x:v>
      </x:c>
      <x:c r="H2346" s="0" t="s">
        <x:v>20</x:v>
      </x:c>
      <x:c r="I2346" s="0" t="s">
        <x:v>21</x:v>
      </x:c>
      <x:c r="K2346" s="0">
        <x:f>hyperlink("https://icd.who.int/dev11/l-ichi/en#/http%3A%2F%2Fid.who.int%2Ficd%2Fentity%2F2010303204","browser")</x:f>
      </x:c>
      <x:c r="L2346" s="0">
        <x:f>hyperlink("https://icat2.azurewebsites.net/icat/?ontology=ICD&amp;tab=ClassesTab&amp;id=http%3A%2F%2Fwho.int%2Ficd%239396_512ebf36_bf6b_4d70_85da_cf2637062af4","iCat")</x:f>
      </x:c>
      <x:c r="M2346" s="0" t="s">
        <x:v>21</x:v>
      </x:c>
      <x:c r="N2346" s="0" t="s">
        <x:v>46</x:v>
      </x:c>
    </x:row>
    <x:row r="2347" spans="1:16">
      <x:c r="A2347" s="0" t="s">
        <x:v>9224</x:v>
      </x:c>
      <x:c r="B2347" s="0" t="s">
        <x:v>9225</x:v>
      </x:c>
      <x:c r="C2347" s="0" t="s">
        <x:v>9226</x:v>
      </x:c>
      <x:c r="E2347" s="0" t="s">
        <x:v>9227</x:v>
      </x:c>
      <x:c r="F2347" s="0" t="s">
        <x:v>45</x:v>
      </x:c>
      <x:c r="G2347" s="0" t="s">
        <x:v>19</x:v>
      </x:c>
      <x:c r="H2347" s="0" t="s">
        <x:v>20</x:v>
      </x:c>
      <x:c r="I2347" s="0" t="s">
        <x:v>21</x:v>
      </x:c>
      <x:c r="K2347" s="0">
        <x:f>hyperlink("https://icd.who.int/dev11/l-ichi/en#/http%3A%2F%2Fid.who.int%2Ficd%2Fentity%2F1534093929","browser")</x:f>
      </x:c>
      <x:c r="L2347" s="0">
        <x:f>hyperlink("https://icat2.azurewebsites.net/icat/?ontology=ICD&amp;tab=ClassesTab&amp;id=http%3A%2F%2Fwho.int%2Ficd%239402_512ebf36_bf6b_4d70_85da_cf2637062af4","iCat")</x:f>
      </x:c>
      <x:c r="M2347" s="0" t="s">
        <x:v>21</x:v>
      </x:c>
      <x:c r="N2347" s="0" t="s">
        <x:v>46</x:v>
      </x:c>
    </x:row>
    <x:row r="2348" spans="1:16">
      <x:c r="A2348" s="0" t="s">
        <x:v>9228</x:v>
      </x:c>
      <x:c r="B2348" s="0" t="s">
        <x:v>9229</x:v>
      </x:c>
      <x:c r="C2348" s="0" t="s">
        <x:v>9230</x:v>
      </x:c>
      <x:c r="E2348" s="0" t="s">
        <x:v>9231</x:v>
      </x:c>
      <x:c r="F2348" s="0" t="s">
        <x:v>45</x:v>
      </x:c>
      <x:c r="G2348" s="0" t="s">
        <x:v>19</x:v>
      </x:c>
      <x:c r="H2348" s="0" t="s">
        <x:v>20</x:v>
      </x:c>
      <x:c r="I2348" s="0" t="s">
        <x:v>21</x:v>
      </x:c>
      <x:c r="K2348" s="0">
        <x:f>hyperlink("https://icd.who.int/dev11/l-ichi/en#/http%3A%2F%2Fid.who.int%2Ficd%2Fentity%2F1888290553","browser")</x:f>
      </x:c>
      <x:c r="L2348" s="0">
        <x:f>hyperlink("https://icat2.azurewebsites.net/icat/?ontology=ICD&amp;tab=ClassesTab&amp;id=http%3A%2F%2Fwho.int%2Ficd%239408_512ebf36_bf6b_4d70_85da_cf2637062af4","iCat")</x:f>
      </x:c>
      <x:c r="M2348" s="0" t="s">
        <x:v>21</x:v>
      </x:c>
      <x:c r="N2348" s="0" t="s">
        <x:v>46</x:v>
      </x:c>
    </x:row>
    <x:row r="2349" spans="1:16">
      <x:c r="A2349" s="0" t="s">
        <x:v>9232</x:v>
      </x:c>
      <x:c r="B2349" s="0" t="s">
        <x:v>9233</x:v>
      </x:c>
      <x:c r="C2349" s="0" t="s">
        <x:v>9234</x:v>
      </x:c>
      <x:c r="E2349" s="0" t="s">
        <x:v>9235</x:v>
      </x:c>
      <x:c r="F2349" s="0" t="s">
        <x:v>45</x:v>
      </x:c>
      <x:c r="G2349" s="0" t="s">
        <x:v>19</x:v>
      </x:c>
      <x:c r="H2349" s="0" t="s">
        <x:v>20</x:v>
      </x:c>
      <x:c r="I2349" s="0" t="s">
        <x:v>21</x:v>
      </x:c>
      <x:c r="K2349" s="0">
        <x:f>hyperlink("https://icd.who.int/dev11/l-ichi/en#/http%3A%2F%2Fid.who.int%2Ficd%2Fentity%2F1434252972","browser")</x:f>
      </x:c>
      <x:c r="L2349" s="0">
        <x:f>hyperlink("https://icat2.azurewebsites.net/icat/?ontology=ICD&amp;tab=ClassesTab&amp;id=http%3A%2F%2Fwho.int%2Ficd%231254_94acc4f6_b696_4796_914a_62879ddd4f65","iCat")</x:f>
      </x:c>
      <x:c r="M2349" s="0" t="s">
        <x:v>21</x:v>
      </x:c>
      <x:c r="N2349" s="0" t="s">
        <x:v>46</x:v>
      </x:c>
    </x:row>
    <x:row r="2350" spans="1:16">
      <x:c r="A2350" s="0" t="s">
        <x:v>9236</x:v>
      </x:c>
      <x:c r="B2350" s="0" t="s">
        <x:v>9237</x:v>
      </x:c>
      <x:c r="C2350" s="0" t="s">
        <x:v>9238</x:v>
      </x:c>
      <x:c r="E2350" s="0" t="s">
        <x:v>9239</x:v>
      </x:c>
      <x:c r="F2350" s="0" t="s">
        <x:v>45</x:v>
      </x:c>
      <x:c r="G2350" s="0" t="s">
        <x:v>19</x:v>
      </x:c>
      <x:c r="H2350" s="0" t="s">
        <x:v>20</x:v>
      </x:c>
      <x:c r="I2350" s="0" t="s">
        <x:v>21</x:v>
      </x:c>
      <x:c r="K2350" s="0">
        <x:f>hyperlink("https://icd.who.int/dev11/l-ichi/en#/http%3A%2F%2Fid.who.int%2Ficd%2Fentity%2F1640900239","browser")</x:f>
      </x:c>
      <x:c r="L2350" s="0">
        <x:f>hyperlink("https://icat2.azurewebsites.net/icat/?ontology=ICD&amp;tab=ClassesTab&amp;id=http%3A%2F%2Fwho.int%2Ficd%239414_512ebf36_bf6b_4d70_85da_cf2637062af4","iCat")</x:f>
      </x:c>
      <x:c r="M2350" s="0" t="s">
        <x:v>21</x:v>
      </x:c>
      <x:c r="N2350" s="0" t="s">
        <x:v>46</x:v>
      </x:c>
    </x:row>
    <x:row r="2351" spans="1:16">
      <x:c r="A2351" s="0" t="s">
        <x:v>9240</x:v>
      </x:c>
      <x:c r="B2351" s="0" t="s">
        <x:v>9241</x:v>
      </x:c>
      <x:c r="C2351" s="0" t="s">
        <x:v>9242</x:v>
      </x:c>
      <x:c r="E2351" s="0" t="s">
        <x:v>9243</x:v>
      </x:c>
      <x:c r="F2351" s="0" t="s">
        <x:v>45</x:v>
      </x:c>
      <x:c r="G2351" s="0" t="s">
        <x:v>19</x:v>
      </x:c>
      <x:c r="H2351" s="0" t="s">
        <x:v>20</x:v>
      </x:c>
      <x:c r="I2351" s="0" t="s">
        <x:v>21</x:v>
      </x:c>
      <x:c r="K2351" s="0">
        <x:f>hyperlink("https://icd.who.int/dev11/l-ichi/en#/http%3A%2F%2Fid.who.int%2Ficd%2Fentity%2F880922816","browser")</x:f>
      </x:c>
      <x:c r="L2351" s="0">
        <x:f>hyperlink("https://icat2.azurewebsites.net/icat/?ontology=ICD&amp;tab=ClassesTab&amp;id=http%3A%2F%2Fwho.int%2Ficd%239421_512ebf36_bf6b_4d70_85da_cf2637062af4","iCat")</x:f>
      </x:c>
      <x:c r="M2351" s="0" t="s">
        <x:v>21</x:v>
      </x:c>
      <x:c r="N2351" s="0" t="s">
        <x:v>46</x:v>
      </x:c>
    </x:row>
    <x:row r="2352" spans="1:16">
      <x:c r="A2352" s="0" t="s">
        <x:v>9244</x:v>
      </x:c>
      <x:c r="B2352" s="0" t="s">
        <x:v>9245</x:v>
      </x:c>
      <x:c r="C2352" s="0" t="s">
        <x:v>9246</x:v>
      </x:c>
      <x:c r="E2352" s="0" t="s">
        <x:v>9247</x:v>
      </x:c>
      <x:c r="F2352" s="0" t="s">
        <x:v>45</x:v>
      </x:c>
      <x:c r="G2352" s="0" t="s">
        <x:v>19</x:v>
      </x:c>
      <x:c r="H2352" s="0" t="s">
        <x:v>20</x:v>
      </x:c>
      <x:c r="I2352" s="0" t="s">
        <x:v>21</x:v>
      </x:c>
      <x:c r="K2352" s="0">
        <x:f>hyperlink("https://icd.who.int/dev11/l-ichi/en#/http%3A%2F%2Fid.who.int%2Ficd%2Fentity%2F1694108017","browser")</x:f>
      </x:c>
      <x:c r="L2352" s="0">
        <x:f>hyperlink("https://icat2.azurewebsites.net/icat/?ontology=ICD&amp;tab=ClassesTab&amp;id=http%3A%2F%2Fwho.int%2Ficd%239427_512ebf36_bf6b_4d70_85da_cf2637062af4","iCat")</x:f>
      </x:c>
      <x:c r="M2352" s="0" t="s">
        <x:v>21</x:v>
      </x:c>
      <x:c r="N2352" s="0" t="s">
        <x:v>46</x:v>
      </x:c>
    </x:row>
    <x:row r="2353" spans="1:16">
      <x:c r="A2353" s="0" t="s">
        <x:v>9248</x:v>
      </x:c>
      <x:c r="B2353" s="0" t="s">
        <x:v>9249</x:v>
      </x:c>
      <x:c r="C2353" s="0" t="s">
        <x:v>9250</x:v>
      </x:c>
      <x:c r="E2353" s="0" t="s">
        <x:v>9251</x:v>
      </x:c>
      <x:c r="F2353" s="0" t="s">
        <x:v>45</x:v>
      </x:c>
      <x:c r="G2353" s="0" t="s">
        <x:v>19</x:v>
      </x:c>
      <x:c r="H2353" s="0" t="s">
        <x:v>20</x:v>
      </x:c>
      <x:c r="I2353" s="0" t="s">
        <x:v>21</x:v>
      </x:c>
      <x:c r="K2353" s="0">
        <x:f>hyperlink("https://icd.who.int/dev11/l-ichi/en#/http%3A%2F%2Fid.who.int%2Ficd%2Fentity%2F1799586275","browser")</x:f>
      </x:c>
      <x:c r="L2353" s="0">
        <x:f>hyperlink("https://icat2.azurewebsites.net/icat/?ontology=ICD&amp;tab=ClassesTab&amp;id=http%3A%2F%2Fwho.int%2Ficd%239435_512ebf36_bf6b_4d70_85da_cf2637062af4","iCat")</x:f>
      </x:c>
      <x:c r="M2353" s="0" t="s">
        <x:v>21</x:v>
      </x:c>
      <x:c r="N2353" s="0" t="s">
        <x:v>46</x:v>
      </x:c>
    </x:row>
    <x:row r="2354" spans="1:16">
      <x:c r="A2354" s="0" t="s">
        <x:v>9252</x:v>
      </x:c>
      <x:c r="B2354" s="0" t="s">
        <x:v>9253</x:v>
      </x:c>
      <x:c r="C2354" s="0" t="s">
        <x:v>9254</x:v>
      </x:c>
      <x:c r="E2354" s="0" t="s">
        <x:v>9255</x:v>
      </x:c>
      <x:c r="F2354" s="0" t="s">
        <x:v>45</x:v>
      </x:c>
      <x:c r="G2354" s="0" t="s">
        <x:v>19</x:v>
      </x:c>
      <x:c r="H2354" s="0" t="s">
        <x:v>20</x:v>
      </x:c>
      <x:c r="I2354" s="0" t="s">
        <x:v>21</x:v>
      </x:c>
      <x:c r="K2354" s="0">
        <x:f>hyperlink("https://icd.who.int/dev11/l-ichi/en#/http%3A%2F%2Fid.who.int%2Ficd%2Fentity%2F200166218","browser")</x:f>
      </x:c>
      <x:c r="L2354" s="0">
        <x:f>hyperlink("https://icat2.azurewebsites.net/icat/?ontology=ICD&amp;tab=ClassesTab&amp;id=http%3A%2F%2Fwho.int%2Ficd%239443_512ebf36_bf6b_4d70_85da_cf2637062af4","iCat")</x:f>
      </x:c>
      <x:c r="M2354" s="0" t="s">
        <x:v>21</x:v>
      </x:c>
      <x:c r="N2354" s="0" t="s">
        <x:v>46</x:v>
      </x:c>
    </x:row>
    <x:row r="2355" spans="1:16">
      <x:c r="A2355" s="0" t="s">
        <x:v>9256</x:v>
      </x:c>
      <x:c r="B2355" s="0" t="s">
        <x:v>9257</x:v>
      </x:c>
      <x:c r="C2355" s="0" t="s">
        <x:v>9258</x:v>
      </x:c>
      <x:c r="E2355" s="0" t="s">
        <x:v>9259</x:v>
      </x:c>
      <x:c r="F2355" s="0" t="s">
        <x:v>45</x:v>
      </x:c>
      <x:c r="G2355" s="0" t="s">
        <x:v>19</x:v>
      </x:c>
      <x:c r="H2355" s="0" t="s">
        <x:v>20</x:v>
      </x:c>
      <x:c r="I2355" s="0" t="s">
        <x:v>21</x:v>
      </x:c>
      <x:c r="K2355" s="0">
        <x:f>hyperlink("https://icd.who.int/dev11/l-ichi/en#/http%3A%2F%2Fid.who.int%2Ficd%2Fentity%2F72860636","browser")</x:f>
      </x:c>
      <x:c r="L2355" s="0">
        <x:f>hyperlink("https://icat2.azurewebsites.net/icat/?ontology=ICD&amp;tab=ClassesTab&amp;id=http%3A%2F%2Fwho.int%2Ficd%239451_512ebf36_bf6b_4d70_85da_cf2637062af4","iCat")</x:f>
      </x:c>
      <x:c r="M2355" s="0" t="s">
        <x:v>21</x:v>
      </x:c>
      <x:c r="N2355" s="0" t="s">
        <x:v>46</x:v>
      </x:c>
    </x:row>
    <x:row r="2356" spans="1:16">
      <x:c r="A2356" s="0" t="s">
        <x:v>9260</x:v>
      </x:c>
      <x:c r="B2356" s="0" t="s">
        <x:v>9261</x:v>
      </x:c>
      <x:c r="C2356" s="0" t="s">
        <x:v>9262</x:v>
      </x:c>
      <x:c r="E2356" s="0" t="s">
        <x:v>9263</x:v>
      </x:c>
      <x:c r="F2356" s="0" t="s">
        <x:v>45</x:v>
      </x:c>
      <x:c r="G2356" s="0" t="s">
        <x:v>19</x:v>
      </x:c>
      <x:c r="H2356" s="0" t="s">
        <x:v>20</x:v>
      </x:c>
      <x:c r="I2356" s="0" t="s">
        <x:v>21</x:v>
      </x:c>
      <x:c r="K2356" s="0">
        <x:f>hyperlink("https://icd.who.int/dev11/l-ichi/en#/http%3A%2F%2Fid.who.int%2Ficd%2Fentity%2F1155957725","browser")</x:f>
      </x:c>
      <x:c r="L2356" s="0">
        <x:f>hyperlink("https://icat2.azurewebsites.net/icat/?ontology=ICD&amp;tab=ClassesTab&amp;id=http%3A%2F%2Fwho.int%2Ficd%239461_512ebf36_bf6b_4d70_85da_cf2637062af4","iCat")</x:f>
      </x:c>
      <x:c r="M2356" s="0" t="s">
        <x:v>21</x:v>
      </x:c>
      <x:c r="N2356" s="0" t="s">
        <x:v>46</x:v>
      </x:c>
    </x:row>
    <x:row r="2357" spans="1:16">
      <x:c r="A2357" s="0" t="s">
        <x:v>9264</x:v>
      </x:c>
      <x:c r="B2357" s="0" t="s">
        <x:v>9265</x:v>
      </x:c>
      <x:c r="C2357" s="0" t="s">
        <x:v>9266</x:v>
      </x:c>
      <x:c r="E2357" s="0" t="s">
        <x:v>9267</x:v>
      </x:c>
      <x:c r="F2357" s="0" t="s">
        <x:v>45</x:v>
      </x:c>
      <x:c r="G2357" s="0" t="s">
        <x:v>19</x:v>
      </x:c>
      <x:c r="H2357" s="0" t="s">
        <x:v>20</x:v>
      </x:c>
      <x:c r="I2357" s="0" t="s">
        <x:v>21</x:v>
      </x:c>
      <x:c r="K2357" s="0">
        <x:f>hyperlink("https://icd.who.int/dev11/l-ichi/en#/http%3A%2F%2Fid.who.int%2Ficd%2Fentity%2F345856622","browser")</x:f>
      </x:c>
      <x:c r="L2357" s="0">
        <x:f>hyperlink("https://icat2.azurewebsites.net/icat/?ontology=ICD&amp;tab=ClassesTab&amp;id=http%3A%2F%2Fwho.int%2Ficd%239467_512ebf36_bf6b_4d70_85da_cf2637062af4","iCat")</x:f>
      </x:c>
      <x:c r="M2357" s="0" t="s">
        <x:v>21</x:v>
      </x:c>
      <x:c r="N2357" s="0" t="s">
        <x:v>46</x:v>
      </x:c>
    </x:row>
    <x:row r="2358" spans="1:16">
      <x:c r="A2358" s="0" t="s">
        <x:v>9268</x:v>
      </x:c>
      <x:c r="B2358" s="0" t="s">
        <x:v>9269</x:v>
      </x:c>
      <x:c r="C2358" s="0" t="s">
        <x:v>9270</x:v>
      </x:c>
      <x:c r="E2358" s="0" t="s">
        <x:v>9271</x:v>
      </x:c>
      <x:c r="F2358" s="0" t="s">
        <x:v>45</x:v>
      </x:c>
      <x:c r="G2358" s="0" t="s">
        <x:v>19</x:v>
      </x:c>
      <x:c r="H2358" s="0" t="s">
        <x:v>20</x:v>
      </x:c>
      <x:c r="I2358" s="0" t="s">
        <x:v>21</x:v>
      </x:c>
      <x:c r="K2358" s="0">
        <x:f>hyperlink("https://icd.who.int/dev11/l-ichi/en#/http%3A%2F%2Fid.who.int%2Ficd%2Fentity%2F1501576893","browser")</x:f>
      </x:c>
      <x:c r="L2358" s="0">
        <x:f>hyperlink("https://icat2.azurewebsites.net/icat/?ontology=ICD&amp;tab=ClassesTab&amp;id=http%3A%2F%2Fwho.int%2Ficd%2311617_7353cc8f_16bd_4231_887a_95ea54e27297","iCat")</x:f>
      </x:c>
      <x:c r="M2358" s="0" t="s">
        <x:v>21</x:v>
      </x:c>
      <x:c r="N2358" s="0" t="s">
        <x:v>46</x:v>
      </x:c>
    </x:row>
    <x:row r="2359" spans="1:16">
      <x:c r="A2359" s="0" t="s">
        <x:v>9272</x:v>
      </x:c>
      <x:c r="B2359" s="0" t="s">
        <x:v>9273</x:v>
      </x:c>
      <x:c r="C2359" s="0" t="s">
        <x:v>9274</x:v>
      </x:c>
      <x:c r="E2359" s="0" t="s">
        <x:v>9275</x:v>
      </x:c>
      <x:c r="F2359" s="0" t="s">
        <x:v>45</x:v>
      </x:c>
      <x:c r="G2359" s="0" t="s">
        <x:v>19</x:v>
      </x:c>
      <x:c r="H2359" s="0" t="s">
        <x:v>20</x:v>
      </x:c>
      <x:c r="I2359" s="0" t="s">
        <x:v>21</x:v>
      </x:c>
      <x:c r="K2359" s="0">
        <x:f>hyperlink("https://icd.who.int/dev11/l-ichi/en#/http%3A%2F%2Fid.who.int%2Ficd%2Fentity%2F168585135","browser")</x:f>
      </x:c>
      <x:c r="L2359" s="0">
        <x:f>hyperlink("https://icat2.azurewebsites.net/icat/?ontology=ICD&amp;tab=ClassesTab&amp;id=http%3A%2F%2Fwho.int%2Ficd%231581_97087496_4a82_4efa_a45a_b3256f81bd7e","iCat")</x:f>
      </x:c>
      <x:c r="M2359" s="0" t="s">
        <x:v>21</x:v>
      </x:c>
      <x:c r="N2359" s="0" t="s">
        <x:v>46</x:v>
      </x:c>
    </x:row>
    <x:row r="2360" spans="1:16">
      <x:c r="A2360" s="0" t="s">
        <x:v>9276</x:v>
      </x:c>
      <x:c r="B2360" s="0" t="s">
        <x:v>9277</x:v>
      </x:c>
      <x:c r="C2360" s="0" t="s">
        <x:v>9278</x:v>
      </x:c>
      <x:c r="E2360" s="0" t="s">
        <x:v>9279</x:v>
      </x:c>
      <x:c r="F2360" s="0" t="s">
        <x:v>45</x:v>
      </x:c>
      <x:c r="G2360" s="0" t="s">
        <x:v>19</x:v>
      </x:c>
      <x:c r="H2360" s="0" t="s">
        <x:v>20</x:v>
      </x:c>
      <x:c r="I2360" s="0" t="s">
        <x:v>21</x:v>
      </x:c>
      <x:c r="K2360" s="0">
        <x:f>hyperlink("https://icd.who.int/dev11/l-ichi/en#/http%3A%2F%2Fid.who.int%2Ficd%2Fentity%2F1517796896","browser")</x:f>
      </x:c>
      <x:c r="L2360" s="0">
        <x:f>hyperlink("https://icat2.azurewebsites.net/icat/?ontology=ICD&amp;tab=ClassesTab&amp;id=http%3A%2F%2Fwho.int%2Ficd%231587_97087496_4a82_4efa_a45a_b3256f81bd7e","iCat")</x:f>
      </x:c>
      <x:c r="M2360" s="0" t="s">
        <x:v>21</x:v>
      </x:c>
      <x:c r="N2360" s="0" t="s">
        <x:v>46</x:v>
      </x:c>
    </x:row>
    <x:row r="2361" spans="1:16">
      <x:c r="A2361" s="0" t="s">
        <x:v>9280</x:v>
      </x:c>
      <x:c r="B2361" s="0" t="s">
        <x:v>9281</x:v>
      </x:c>
      <x:c r="C2361" s="0" t="s">
        <x:v>9282</x:v>
      </x:c>
      <x:c r="E2361" s="0" t="s">
        <x:v>9283</x:v>
      </x:c>
      <x:c r="F2361" s="0" t="s">
        <x:v>45</x:v>
      </x:c>
      <x:c r="G2361" s="0" t="s">
        <x:v>19</x:v>
      </x:c>
      <x:c r="H2361" s="0" t="s">
        <x:v>20</x:v>
      </x:c>
      <x:c r="I2361" s="0" t="s">
        <x:v>21</x:v>
      </x:c>
      <x:c r="K2361" s="0">
        <x:f>hyperlink("https://icd.who.int/dev11/l-ichi/en#/http%3A%2F%2Fid.who.int%2Ficd%2Fentity%2F596675756","browser")</x:f>
      </x:c>
      <x:c r="L2361" s="0">
        <x:f>hyperlink("https://icat2.azurewebsites.net/icat/?ontology=ICD&amp;tab=ClassesTab&amp;id=http%3A%2F%2Fwho.int%2Ficd%232282_97087496_4a82_4efa_a45a_b3256f81bd7e","iCat")</x:f>
      </x:c>
      <x:c r="M2361" s="0" t="s">
        <x:v>21</x:v>
      </x:c>
      <x:c r="N2361" s="0" t="s">
        <x:v>46</x:v>
      </x:c>
    </x:row>
    <x:row r="2362" spans="1:16">
      <x:c r="A2362" s="0" t="s">
        <x:v>9284</x:v>
      </x:c>
      <x:c r="B2362" s="0" t="s">
        <x:v>9285</x:v>
      </x:c>
      <x:c r="C2362" s="0" t="s">
        <x:v>9286</x:v>
      </x:c>
      <x:c r="E2362" s="0" t="s">
        <x:v>9287</x:v>
      </x:c>
      <x:c r="F2362" s="0" t="s">
        <x:v>45</x:v>
      </x:c>
      <x:c r="G2362" s="0" t="s">
        <x:v>19</x:v>
      </x:c>
      <x:c r="H2362" s="0" t="s">
        <x:v>20</x:v>
      </x:c>
      <x:c r="I2362" s="0" t="s">
        <x:v>21</x:v>
      </x:c>
      <x:c r="K2362" s="0">
        <x:f>hyperlink("https://icd.who.int/dev11/l-ichi/en#/http%3A%2F%2Fid.who.int%2Ficd%2Fentity%2F1030832847","browser")</x:f>
      </x:c>
      <x:c r="L2362" s="0">
        <x:f>hyperlink("https://icat2.azurewebsites.net/icat/?ontology=ICD&amp;tab=ClassesTab&amp;id=http%3A%2F%2Fwho.int%2Ficd%23461_2458c621_13a9_4018_84d7_a04ee4f7aacc","iCat")</x:f>
      </x:c>
      <x:c r="M2362" s="0" t="s">
        <x:v>21</x:v>
      </x:c>
      <x:c r="N2362" s="0" t="s">
        <x:v>46</x:v>
      </x:c>
    </x:row>
    <x:row r="2363" spans="1:16">
      <x:c r="A2363" s="0" t="s">
        <x:v>9288</x:v>
      </x:c>
      <x:c r="B2363" s="0" t="s">
        <x:v>9289</x:v>
      </x:c>
      <x:c r="C2363" s="0" t="s">
        <x:v>9290</x:v>
      </x:c>
      <x:c r="E2363" s="0" t="s">
        <x:v>9291</x:v>
      </x:c>
      <x:c r="F2363" s="0" t="s">
        <x:v>45</x:v>
      </x:c>
      <x:c r="G2363" s="0" t="s">
        <x:v>19</x:v>
      </x:c>
      <x:c r="H2363" s="0" t="s">
        <x:v>20</x:v>
      </x:c>
      <x:c r="I2363" s="0" t="s">
        <x:v>21</x:v>
      </x:c>
      <x:c r="K2363" s="0">
        <x:f>hyperlink("https://icd.who.int/dev11/l-ichi/en#/http%3A%2F%2Fid.who.int%2Ficd%2Fentity%2F1264520015","browser")</x:f>
      </x:c>
      <x:c r="L2363" s="0">
        <x:f>hyperlink("https://icat2.azurewebsites.net/icat/?ontology=ICD&amp;tab=ClassesTab&amp;id=http%3A%2F%2Fwho.int%2Ficd%239473_512ebf36_bf6b_4d70_85da_cf2637062af4","iCat")</x:f>
      </x:c>
      <x:c r="M2363" s="0" t="s">
        <x:v>21</x:v>
      </x:c>
      <x:c r="N2363" s="0" t="s">
        <x:v>46</x:v>
      </x:c>
    </x:row>
    <x:row r="2364" spans="1:16">
      <x:c r="A2364" s="0" t="s">
        <x:v>9292</x:v>
      </x:c>
      <x:c r="B2364" s="0" t="s">
        <x:v>9293</x:v>
      </x:c>
      <x:c r="C2364" s="0" t="s">
        <x:v>9294</x:v>
      </x:c>
      <x:c r="E2364" s="0" t="s">
        <x:v>9295</x:v>
      </x:c>
      <x:c r="F2364" s="0" t="s">
        <x:v>45</x:v>
      </x:c>
      <x:c r="G2364" s="0" t="s">
        <x:v>19</x:v>
      </x:c>
      <x:c r="H2364" s="0" t="s">
        <x:v>20</x:v>
      </x:c>
      <x:c r="I2364" s="0" t="s">
        <x:v>21</x:v>
      </x:c>
      <x:c r="K2364" s="0">
        <x:f>hyperlink("https://icd.who.int/dev11/l-ichi/en#/http%3A%2F%2Fid.who.int%2Ficd%2Fentity%2F1145123757","browser")</x:f>
      </x:c>
      <x:c r="L2364" s="0">
        <x:f>hyperlink("https://icat2.azurewebsites.net/icat/?ontology=ICD&amp;tab=ClassesTab&amp;id=http%3A%2F%2Fwho.int%2Ficd%239482_512ebf36_bf6b_4d70_85da_cf2637062af4","iCat")</x:f>
      </x:c>
      <x:c r="M2364" s="0" t="s">
        <x:v>21</x:v>
      </x:c>
      <x:c r="N2364" s="0" t="s">
        <x:v>46</x:v>
      </x:c>
    </x:row>
    <x:row r="2365" spans="1:16">
      <x:c r="A2365" s="0" t="s">
        <x:v>9296</x:v>
      </x:c>
      <x:c r="B2365" s="0" t="s">
        <x:v>9297</x:v>
      </x:c>
      <x:c r="C2365" s="0" t="s">
        <x:v>9298</x:v>
      </x:c>
      <x:c r="E2365" s="0" t="s">
        <x:v>9299</x:v>
      </x:c>
      <x:c r="F2365" s="0" t="s">
        <x:v>45</x:v>
      </x:c>
      <x:c r="G2365" s="0" t="s">
        <x:v>19</x:v>
      </x:c>
      <x:c r="H2365" s="0" t="s">
        <x:v>20</x:v>
      </x:c>
      <x:c r="I2365" s="0" t="s">
        <x:v>21</x:v>
      </x:c>
      <x:c r="K2365" s="0">
        <x:f>hyperlink("https://icd.who.int/dev11/l-ichi/en#/http%3A%2F%2Fid.who.int%2Ficd%2Fentity%2F1874616125","browser")</x:f>
      </x:c>
      <x:c r="L2365" s="0">
        <x:f>hyperlink("https://icat2.azurewebsites.net/icat/?ontology=ICD&amp;tab=ClassesTab&amp;id=http%3A%2F%2Fwho.int%2Ficd%239488_512ebf36_bf6b_4d70_85da_cf2637062af4","iCat")</x:f>
      </x:c>
      <x:c r="M2365" s="0" t="s">
        <x:v>21</x:v>
      </x:c>
      <x:c r="N2365" s="0" t="s">
        <x:v>46</x:v>
      </x:c>
    </x:row>
    <x:row r="2366" spans="1:16">
      <x:c r="A2366" s="0" t="s">
        <x:v>9300</x:v>
      </x:c>
      <x:c r="B2366" s="0" t="s">
        <x:v>9301</x:v>
      </x:c>
      <x:c r="C2366" s="0" t="s">
        <x:v>9302</x:v>
      </x:c>
      <x:c r="E2366" s="0" t="s">
        <x:v>9303</x:v>
      </x:c>
      <x:c r="F2366" s="0" t="s">
        <x:v>45</x:v>
      </x:c>
      <x:c r="G2366" s="0" t="s">
        <x:v>19</x:v>
      </x:c>
      <x:c r="H2366" s="0" t="s">
        <x:v>20</x:v>
      </x:c>
      <x:c r="I2366" s="0" t="s">
        <x:v>21</x:v>
      </x:c>
      <x:c r="K2366" s="0">
        <x:f>hyperlink("https://icd.who.int/dev11/l-ichi/en#/http%3A%2F%2Fid.who.int%2Ficd%2Fentity%2F1791601102","browser")</x:f>
      </x:c>
      <x:c r="L2366" s="0">
        <x:f>hyperlink("https://icat2.azurewebsites.net/icat/?ontology=ICD&amp;tab=ClassesTab&amp;id=http%3A%2F%2Fwho.int%2Ficd%2311112_c351bd26_e8bd_46f1_9e61_43f767fec9b3","iCat")</x:f>
      </x:c>
      <x:c r="M2366" s="0" t="s">
        <x:v>21</x:v>
      </x:c>
      <x:c r="N2366" s="0" t="s">
        <x:v>46</x:v>
      </x:c>
    </x:row>
    <x:row r="2367" spans="1:16">
      <x:c r="A2367" s="0" t="s">
        <x:v>9304</x:v>
      </x:c>
      <x:c r="B2367" s="0" t="s">
        <x:v>9305</x:v>
      </x:c>
      <x:c r="C2367" s="0" t="s">
        <x:v>9306</x:v>
      </x:c>
      <x:c r="E2367" s="0" t="s">
        <x:v>9307</x:v>
      </x:c>
      <x:c r="F2367" s="0" t="s">
        <x:v>45</x:v>
      </x:c>
      <x:c r="G2367" s="0" t="s">
        <x:v>19</x:v>
      </x:c>
      <x:c r="H2367" s="0" t="s">
        <x:v>20</x:v>
      </x:c>
      <x:c r="I2367" s="0" t="s">
        <x:v>21</x:v>
      </x:c>
      <x:c r="K2367" s="0">
        <x:f>hyperlink("https://icd.who.int/dev11/l-ichi/en#/http%3A%2F%2Fid.who.int%2Ficd%2Fentity%2F2130673483","browser")</x:f>
      </x:c>
      <x:c r="L2367" s="0">
        <x:f>hyperlink("https://icat2.azurewebsites.net/icat/?ontology=ICD&amp;tab=ClassesTab&amp;id=http%3A%2F%2Fwho.int%2Ficd%239494_512ebf36_bf6b_4d70_85da_cf2637062af4","iCat")</x:f>
      </x:c>
      <x:c r="M2367" s="0" t="s">
        <x:v>21</x:v>
      </x:c>
      <x:c r="N2367" s="0" t="s">
        <x:v>46</x:v>
      </x:c>
    </x:row>
    <x:row r="2368" spans="1:16">
      <x:c r="A2368" s="0" t="s">
        <x:v>9308</x:v>
      </x:c>
      <x:c r="B2368" s="0" t="s">
        <x:v>9309</x:v>
      </x:c>
      <x:c r="C2368" s="0" t="s">
        <x:v>9310</x:v>
      </x:c>
      <x:c r="E2368" s="0" t="s">
        <x:v>9311</x:v>
      </x:c>
      <x:c r="F2368" s="0" t="s">
        <x:v>45</x:v>
      </x:c>
      <x:c r="G2368" s="0" t="s">
        <x:v>19</x:v>
      </x:c>
      <x:c r="H2368" s="0" t="s">
        <x:v>20</x:v>
      </x:c>
      <x:c r="I2368" s="0" t="s">
        <x:v>21</x:v>
      </x:c>
      <x:c r="K2368" s="0">
        <x:f>hyperlink("https://icd.who.int/dev11/l-ichi/en#/http%3A%2F%2Fid.who.int%2Ficd%2Fentity%2F640158783","browser")</x:f>
      </x:c>
      <x:c r="L2368" s="0">
        <x:f>hyperlink("https://icat2.azurewebsites.net/icat/?ontology=ICD&amp;tab=ClassesTab&amp;id=http%3A%2F%2Fwho.int%2Ficd%2315670_4869915e_217e_423d_acb3_33c0f920ef4b","iCat")</x:f>
      </x:c>
      <x:c r="M2368" s="0" t="s">
        <x:v>21</x:v>
      </x:c>
      <x:c r="N2368" s="0" t="s">
        <x:v>46</x:v>
      </x:c>
    </x:row>
    <x:row r="2369" spans="1:16">
      <x:c r="A2369" s="0" t="s">
        <x:v>9312</x:v>
      </x:c>
      <x:c r="B2369" s="0" t="s">
        <x:v>9313</x:v>
      </x:c>
      <x:c r="C2369" s="0" t="s">
        <x:v>9314</x:v>
      </x:c>
      <x:c r="E2369" s="0" t="s">
        <x:v>9315</x:v>
      </x:c>
      <x:c r="F2369" s="0" t="s">
        <x:v>45</x:v>
      </x:c>
      <x:c r="G2369" s="0" t="s">
        <x:v>19</x:v>
      </x:c>
      <x:c r="H2369" s="0" t="s">
        <x:v>20</x:v>
      </x:c>
      <x:c r="I2369" s="0" t="s">
        <x:v>21</x:v>
      </x:c>
      <x:c r="K2369" s="0">
        <x:f>hyperlink("https://icd.who.int/dev11/l-ichi/en#/http%3A%2F%2Fid.who.int%2Ficd%2Fentity%2F1802158861","browser")</x:f>
      </x:c>
      <x:c r="L2369" s="0">
        <x:f>hyperlink("https://icat2.azurewebsites.net/icat/?ontology=ICD&amp;tab=ClassesTab&amp;id=http%3A%2F%2Fwho.int%2Ficd%239501_512ebf36_bf6b_4d70_85da_cf2637062af4","iCat")</x:f>
      </x:c>
      <x:c r="M2369" s="0" t="s">
        <x:v>21</x:v>
      </x:c>
      <x:c r="N2369" s="0" t="s">
        <x:v>46</x:v>
      </x:c>
    </x:row>
    <x:row r="2370" spans="1:16">
      <x:c r="A2370" s="0" t="s">
        <x:v>9316</x:v>
      </x:c>
      <x:c r="B2370" s="0" t="s">
        <x:v>9317</x:v>
      </x:c>
      <x:c r="C2370" s="0" t="s">
        <x:v>9318</x:v>
      </x:c>
      <x:c r="E2370" s="0" t="s">
        <x:v>9319</x:v>
      </x:c>
      <x:c r="F2370" s="0" t="s">
        <x:v>45</x:v>
      </x:c>
      <x:c r="G2370" s="0" t="s">
        <x:v>19</x:v>
      </x:c>
      <x:c r="H2370" s="0" t="s">
        <x:v>20</x:v>
      </x:c>
      <x:c r="I2370" s="0" t="s">
        <x:v>21</x:v>
      </x:c>
      <x:c r="K2370" s="0">
        <x:f>hyperlink("https://icd.who.int/dev11/l-ichi/en#/http%3A%2F%2Fid.who.int%2Ficd%2Fentity%2F85114980","browser")</x:f>
      </x:c>
      <x:c r="L2370" s="0">
        <x:f>hyperlink("https://icat2.azurewebsites.net/icat/?ontology=ICD&amp;tab=ClassesTab&amp;id=http%3A%2F%2Fwho.int%2Ficd%239508_512ebf36_bf6b_4d70_85da_cf2637062af4","iCat")</x:f>
      </x:c>
      <x:c r="M2370" s="0" t="s">
        <x:v>21</x:v>
      </x:c>
      <x:c r="N2370" s="0" t="s">
        <x:v>46</x:v>
      </x:c>
    </x:row>
    <x:row r="2371" spans="1:16">
      <x:c r="A2371" s="0" t="s">
        <x:v>9320</x:v>
      </x:c>
      <x:c r="B2371" s="0" t="s">
        <x:v>9321</x:v>
      </x:c>
      <x:c r="C2371" s="0" t="s">
        <x:v>9322</x:v>
      </x:c>
      <x:c r="E2371" s="0" t="s">
        <x:v>9323</x:v>
      </x:c>
      <x:c r="F2371" s="0" t="s">
        <x:v>45</x:v>
      </x:c>
      <x:c r="G2371" s="0" t="s">
        <x:v>19</x:v>
      </x:c>
      <x:c r="H2371" s="0" t="s">
        <x:v>20</x:v>
      </x:c>
      <x:c r="I2371" s="0" t="s">
        <x:v>21</x:v>
      </x:c>
      <x:c r="K2371" s="0">
        <x:f>hyperlink("https://icd.who.int/dev11/l-ichi/en#/http%3A%2F%2Fid.who.int%2Ficd%2Fentity%2F340910100","browser")</x:f>
      </x:c>
      <x:c r="L2371" s="0">
        <x:f>hyperlink("https://icat2.azurewebsites.net/icat/?ontology=ICD&amp;tab=ClassesTab&amp;id=http%3A%2F%2Fwho.int%2Ficd%239514_512ebf36_bf6b_4d70_85da_cf2637062af4","iCat")</x:f>
      </x:c>
      <x:c r="M2371" s="0" t="s">
        <x:v>21</x:v>
      </x:c>
      <x:c r="N2371" s="0" t="s">
        <x:v>46</x:v>
      </x:c>
    </x:row>
    <x:row r="2372" spans="1:16">
      <x:c r="A2372" s="0" t="s">
        <x:v>9324</x:v>
      </x:c>
      <x:c r="B2372" s="0" t="s">
        <x:v>9325</x:v>
      </x:c>
      <x:c r="C2372" s="0" t="s">
        <x:v>9326</x:v>
      </x:c>
      <x:c r="E2372" s="0" t="s">
        <x:v>9327</x:v>
      </x:c>
      <x:c r="F2372" s="0" t="s">
        <x:v>45</x:v>
      </x:c>
      <x:c r="G2372" s="0" t="s">
        <x:v>19</x:v>
      </x:c>
      <x:c r="H2372" s="0" t="s">
        <x:v>20</x:v>
      </x:c>
      <x:c r="I2372" s="0" t="s">
        <x:v>21</x:v>
      </x:c>
      <x:c r="K2372" s="0">
        <x:f>hyperlink("https://icd.who.int/dev11/l-ichi/en#/http%3A%2F%2Fid.who.int%2Ficd%2Fentity%2F610405272","browser")</x:f>
      </x:c>
      <x:c r="L2372" s="0">
        <x:f>hyperlink("https://icat2.azurewebsites.net/icat/?ontology=ICD&amp;tab=ClassesTab&amp;id=http%3A%2F%2Fwho.int%2Ficd%239523_512ebf36_bf6b_4d70_85da_cf2637062af4","iCat")</x:f>
      </x:c>
      <x:c r="M2372" s="0" t="s">
        <x:v>21</x:v>
      </x:c>
      <x:c r="N2372" s="0" t="s">
        <x:v>46</x:v>
      </x:c>
    </x:row>
    <x:row r="2373" spans="1:16">
      <x:c r="A2373" s="0" t="s">
        <x:v>9328</x:v>
      </x:c>
      <x:c r="B2373" s="0" t="s">
        <x:v>9329</x:v>
      </x:c>
      <x:c r="C2373" s="0" t="s">
        <x:v>9330</x:v>
      </x:c>
      <x:c r="E2373" s="0" t="s">
        <x:v>9331</x:v>
      </x:c>
      <x:c r="F2373" s="0" t="s">
        <x:v>45</x:v>
      </x:c>
      <x:c r="G2373" s="0" t="s">
        <x:v>19</x:v>
      </x:c>
      <x:c r="H2373" s="0" t="s">
        <x:v>20</x:v>
      </x:c>
      <x:c r="I2373" s="0" t="s">
        <x:v>21</x:v>
      </x:c>
      <x:c r="K2373" s="0">
        <x:f>hyperlink("https://icd.who.int/dev11/l-ichi/en#/http%3A%2F%2Fid.who.int%2Ficd%2Fentity%2F1895929857","browser")</x:f>
      </x:c>
      <x:c r="L2373" s="0">
        <x:f>hyperlink("https://icat2.azurewebsites.net/icat/?ontology=ICD&amp;tab=ClassesTab&amp;id=http%3A%2F%2Fwho.int%2Ficd%2310828_4869915e_217e_423d_acb3_33c0f920ef4b","iCat")</x:f>
      </x:c>
      <x:c r="M2373" s="0" t="s">
        <x:v>21</x:v>
      </x:c>
      <x:c r="N2373" s="0" t="s">
        <x:v>46</x:v>
      </x:c>
    </x:row>
    <x:row r="2374" spans="1:16">
      <x:c r="A2374" s="0" t="s">
        <x:v>9332</x:v>
      </x:c>
      <x:c r="B2374" s="0" t="s">
        <x:v>9333</x:v>
      </x:c>
      <x:c r="C2374" s="0" t="s">
        <x:v>9334</x:v>
      </x:c>
      <x:c r="E2374" s="0" t="s">
        <x:v>9335</x:v>
      </x:c>
      <x:c r="F2374" s="0" t="s">
        <x:v>45</x:v>
      </x:c>
      <x:c r="G2374" s="0" t="s">
        <x:v>19</x:v>
      </x:c>
      <x:c r="H2374" s="0" t="s">
        <x:v>20</x:v>
      </x:c>
      <x:c r="I2374" s="0" t="s">
        <x:v>21</x:v>
      </x:c>
      <x:c r="K2374" s="0">
        <x:f>hyperlink("https://icd.who.int/dev11/l-ichi/en#/http%3A%2F%2Fid.who.int%2Ficd%2Fentity%2F1005904428","browser")</x:f>
      </x:c>
      <x:c r="L2374" s="0">
        <x:f>hyperlink("https://icat2.azurewebsites.net/icat/?ontology=ICD&amp;tab=ClassesTab&amp;id=http%3A%2F%2Fwho.int%2Ficd%239540_512ebf36_bf6b_4d70_85da_cf2637062af4","iCat")</x:f>
      </x:c>
      <x:c r="M2374" s="0" t="s">
        <x:v>21</x:v>
      </x:c>
      <x:c r="N2374" s="0" t="s">
        <x:v>46</x:v>
      </x:c>
    </x:row>
    <x:row r="2375" spans="1:16">
      <x:c r="A2375" s="0" t="s">
        <x:v>9336</x:v>
      </x:c>
      <x:c r="B2375" s="0" t="s">
        <x:v>9337</x:v>
      </x:c>
      <x:c r="C2375" s="0" t="s">
        <x:v>9338</x:v>
      </x:c>
      <x:c r="E2375" s="0" t="s">
        <x:v>9339</x:v>
      </x:c>
      <x:c r="F2375" s="0" t="s">
        <x:v>45</x:v>
      </x:c>
      <x:c r="G2375" s="0" t="s">
        <x:v>19</x:v>
      </x:c>
      <x:c r="H2375" s="0" t="s">
        <x:v>20</x:v>
      </x:c>
      <x:c r="I2375" s="0" t="s">
        <x:v>21</x:v>
      </x:c>
      <x:c r="K2375" s="0">
        <x:f>hyperlink("https://icd.who.int/dev11/l-ichi/en#/http%3A%2F%2Fid.who.int%2Ficd%2Fentity%2F877488830","browser")</x:f>
      </x:c>
      <x:c r="L2375" s="0">
        <x:f>hyperlink("https://icat2.azurewebsites.net/icat/?ontology=ICD&amp;tab=ClassesTab&amp;id=http%3A%2F%2Fwho.int%2Ficd%239552_512ebf36_bf6b_4d70_85da_cf2637062af4","iCat")</x:f>
      </x:c>
      <x:c r="M2375" s="0" t="s">
        <x:v>21</x:v>
      </x:c>
      <x:c r="N2375" s="0" t="s">
        <x:v>46</x:v>
      </x:c>
    </x:row>
    <x:row r="2376" spans="1:16">
      <x:c r="A2376" s="0" t="s">
        <x:v>9340</x:v>
      </x:c>
      <x:c r="B2376" s="0" t="s">
        <x:v>9341</x:v>
      </x:c>
      <x:c r="C2376" s="0" t="s">
        <x:v>9342</x:v>
      </x:c>
      <x:c r="E2376" s="0" t="s">
        <x:v>9343</x:v>
      </x:c>
      <x:c r="F2376" s="0" t="s">
        <x:v>45</x:v>
      </x:c>
      <x:c r="G2376" s="0" t="s">
        <x:v>19</x:v>
      </x:c>
      <x:c r="H2376" s="0" t="s">
        <x:v>20</x:v>
      </x:c>
      <x:c r="I2376" s="0" t="s">
        <x:v>21</x:v>
      </x:c>
      <x:c r="K2376" s="0">
        <x:f>hyperlink("https://icd.who.int/dev11/l-ichi/en#/http%3A%2F%2Fid.who.int%2Ficd%2Fentity%2F596587100","browser")</x:f>
      </x:c>
      <x:c r="L2376" s="0">
        <x:f>hyperlink("https://icat2.azurewebsites.net/icat/?ontology=ICD&amp;tab=ClassesTab&amp;id=http%3A%2F%2Fwho.int%2Ficd%2311631_7353cc8f_16bd_4231_887a_95ea54e27297","iCat")</x:f>
      </x:c>
      <x:c r="M2376" s="0" t="s">
        <x:v>21</x:v>
      </x:c>
      <x:c r="N2376" s="0" t="s">
        <x:v>46</x:v>
      </x:c>
    </x:row>
    <x:row r="2377" spans="1:16">
      <x:c r="A2377" s="0" t="s">
        <x:v>9344</x:v>
      </x:c>
      <x:c r="B2377" s="0" t="s">
        <x:v>9345</x:v>
      </x:c>
      <x:c r="C2377" s="0" t="s">
        <x:v>9346</x:v>
      </x:c>
      <x:c r="E2377" s="0" t="s">
        <x:v>9347</x:v>
      </x:c>
      <x:c r="F2377" s="0" t="s">
        <x:v>45</x:v>
      </x:c>
      <x:c r="G2377" s="0" t="s">
        <x:v>19</x:v>
      </x:c>
      <x:c r="H2377" s="0" t="s">
        <x:v>20</x:v>
      </x:c>
      <x:c r="I2377" s="0" t="s">
        <x:v>21</x:v>
      </x:c>
      <x:c r="K2377" s="0">
        <x:f>hyperlink("https://icd.who.int/dev11/l-ichi/en#/http%3A%2F%2Fid.who.int%2Ficd%2Fentity%2F531629614","browser")</x:f>
      </x:c>
      <x:c r="L2377" s="0">
        <x:f>hyperlink("https://icat2.azurewebsites.net/icat/?ontology=ICD&amp;tab=ClassesTab&amp;id=http%3A%2F%2Fwho.int%2Ficd%239558_512ebf36_bf6b_4d70_85da_cf2637062af4","iCat")</x:f>
      </x:c>
      <x:c r="M2377" s="0" t="s">
        <x:v>21</x:v>
      </x:c>
      <x:c r="N2377" s="0" t="s">
        <x:v>46</x:v>
      </x:c>
    </x:row>
    <x:row r="2378" spans="1:16">
      <x:c r="A2378" s="0" t="s">
        <x:v>9348</x:v>
      </x:c>
      <x:c r="B2378" s="0" t="s">
        <x:v>9349</x:v>
      </x:c>
      <x:c r="C2378" s="0" t="s">
        <x:v>9350</x:v>
      </x:c>
      <x:c r="E2378" s="0" t="s">
        <x:v>9351</x:v>
      </x:c>
      <x:c r="F2378" s="0" t="s">
        <x:v>45</x:v>
      </x:c>
      <x:c r="G2378" s="0" t="s">
        <x:v>19</x:v>
      </x:c>
      <x:c r="H2378" s="0" t="s">
        <x:v>20</x:v>
      </x:c>
      <x:c r="I2378" s="0" t="s">
        <x:v>21</x:v>
      </x:c>
      <x:c r="K2378" s="0">
        <x:f>hyperlink("https://icd.who.int/dev11/l-ichi/en#/http%3A%2F%2Fid.who.int%2Ficd%2Fentity%2F1107029709","browser")</x:f>
      </x:c>
      <x:c r="L2378" s="0">
        <x:f>hyperlink("https://icat2.azurewebsites.net/icat/?ontology=ICD&amp;tab=ClassesTab&amp;id=http%3A%2F%2Fwho.int%2Ficd%239566_512ebf36_bf6b_4d70_85da_cf2637062af4","iCat")</x:f>
      </x:c>
      <x:c r="M2378" s="0" t="s">
        <x:v>21</x:v>
      </x:c>
      <x:c r="N2378" s="0" t="s">
        <x:v>46</x:v>
      </x:c>
    </x:row>
    <x:row r="2379" spans="1:16">
      <x:c r="A2379" s="0" t="s">
        <x:v>9352</x:v>
      </x:c>
      <x:c r="B2379" s="0" t="s">
        <x:v>9353</x:v>
      </x:c>
      <x:c r="C2379" s="0" t="s">
        <x:v>9354</x:v>
      </x:c>
      <x:c r="E2379" s="0" t="s">
        <x:v>9355</x:v>
      </x:c>
      <x:c r="F2379" s="0" t="s">
        <x:v>45</x:v>
      </x:c>
      <x:c r="G2379" s="0" t="s">
        <x:v>19</x:v>
      </x:c>
      <x:c r="H2379" s="0" t="s">
        <x:v>20</x:v>
      </x:c>
      <x:c r="I2379" s="0" t="s">
        <x:v>21</x:v>
      </x:c>
      <x:c r="K2379" s="0">
        <x:f>hyperlink("https://icd.who.int/dev11/l-ichi/en#/http%3A%2F%2Fid.who.int%2Ficd%2Fentity%2F1099151378","browser")</x:f>
      </x:c>
      <x:c r="L2379" s="0">
        <x:f>hyperlink("https://icat2.azurewebsites.net/icat/?ontology=ICD&amp;tab=ClassesTab&amp;id=http%3A%2F%2Fwho.int%2Ficd%2311337_c351bd26_e8bd_46f1_9e61_43f767fec9b3","iCat")</x:f>
      </x:c>
      <x:c r="M2379" s="0" t="s">
        <x:v>21</x:v>
      </x:c>
      <x:c r="N2379" s="0" t="s">
        <x:v>46</x:v>
      </x:c>
    </x:row>
    <x:row r="2380" spans="1:16">
      <x:c r="A2380" s="0" t="s">
        <x:v>9356</x:v>
      </x:c>
      <x:c r="B2380" s="0" t="s">
        <x:v>9357</x:v>
      </x:c>
      <x:c r="C2380" s="0" t="s">
        <x:v>9358</x:v>
      </x:c>
      <x:c r="E2380" s="0" t="s">
        <x:v>9359</x:v>
      </x:c>
      <x:c r="F2380" s="0" t="s">
        <x:v>45</x:v>
      </x:c>
      <x:c r="G2380" s="0" t="s">
        <x:v>19</x:v>
      </x:c>
      <x:c r="H2380" s="0" t="s">
        <x:v>20</x:v>
      </x:c>
      <x:c r="I2380" s="0" t="s">
        <x:v>21</x:v>
      </x:c>
      <x:c r="K2380" s="0">
        <x:f>hyperlink("https://icd.who.int/dev11/l-ichi/en#/http%3A%2F%2Fid.who.int%2Ficd%2Fentity%2F1046307741","browser")</x:f>
      </x:c>
      <x:c r="L2380" s="0">
        <x:f>hyperlink("https://icat2.azurewebsites.net/icat/?ontology=ICD&amp;tab=ClassesTab&amp;id=http%3A%2F%2Fwho.int%2Ficd%2311365_c351bd26_e8bd_46f1_9e61_43f767fec9b3","iCat")</x:f>
      </x:c>
      <x:c r="M2380" s="0" t="s">
        <x:v>21</x:v>
      </x:c>
      <x:c r="N2380" s="0" t="s">
        <x:v>46</x:v>
      </x:c>
    </x:row>
    <x:row r="2381" spans="1:16">
      <x:c r="A2381" s="0" t="s">
        <x:v>9360</x:v>
      </x:c>
      <x:c r="B2381" s="0" t="s">
        <x:v>9361</x:v>
      </x:c>
      <x:c r="C2381" s="0" t="s">
        <x:v>9362</x:v>
      </x:c>
      <x:c r="E2381" s="0" t="s">
        <x:v>9363</x:v>
      </x:c>
      <x:c r="F2381" s="0" t="s">
        <x:v>45</x:v>
      </x:c>
      <x:c r="G2381" s="0" t="s">
        <x:v>19</x:v>
      </x:c>
      <x:c r="H2381" s="0" t="s">
        <x:v>20</x:v>
      </x:c>
      <x:c r="I2381" s="0" t="s">
        <x:v>21</x:v>
      </x:c>
      <x:c r="K2381" s="0">
        <x:f>hyperlink("https://icd.who.int/dev11/l-ichi/en#/http%3A%2F%2Fid.who.int%2Ficd%2Fentity%2F1056625645","browser")</x:f>
      </x:c>
      <x:c r="L2381" s="0">
        <x:f>hyperlink("https://icat2.azurewebsites.net/icat/?ontology=ICD&amp;tab=ClassesTab&amp;id=http%3A%2F%2Fwho.int%2Ficd%2311386_c351bd26_e8bd_46f1_9e61_43f767fec9b3","iCat")</x:f>
      </x:c>
      <x:c r="M2381" s="0" t="s">
        <x:v>21</x:v>
      </x:c>
      <x:c r="N2381" s="0" t="s">
        <x:v>46</x:v>
      </x:c>
    </x:row>
    <x:row r="2382" spans="1:16">
      <x:c r="A2382" s="0" t="s">
        <x:v>9364</x:v>
      </x:c>
      <x:c r="B2382" s="0" t="s">
        <x:v>9365</x:v>
      </x:c>
      <x:c r="C2382" s="0" t="s">
        <x:v>9366</x:v>
      </x:c>
      <x:c r="E2382" s="0" t="s">
        <x:v>9367</x:v>
      </x:c>
      <x:c r="F2382" s="0" t="s">
        <x:v>45</x:v>
      </x:c>
      <x:c r="G2382" s="0" t="s">
        <x:v>19</x:v>
      </x:c>
      <x:c r="H2382" s="0" t="s">
        <x:v>20</x:v>
      </x:c>
      <x:c r="I2382" s="0" t="s">
        <x:v>21</x:v>
      </x:c>
      <x:c r="K2382" s="0">
        <x:f>hyperlink("https://icd.who.int/dev11/l-ichi/en#/http%3A%2F%2Fid.who.int%2Ficd%2Fentity%2F1835225209","browser")</x:f>
      </x:c>
      <x:c r="L2382" s="0">
        <x:f>hyperlink("https://icat2.azurewebsites.net/icat/?ontology=ICD&amp;tab=ClassesTab&amp;id=http%3A%2F%2Fwho.int%2Ficd%2311407_c351bd26_e8bd_46f1_9e61_43f767fec9b3","iCat")</x:f>
      </x:c>
      <x:c r="M2382" s="0" t="s">
        <x:v>21</x:v>
      </x:c>
      <x:c r="N2382" s="0" t="s">
        <x:v>46</x:v>
      </x:c>
    </x:row>
    <x:row r="2383" spans="1:16">
      <x:c r="A2383" s="0" t="s">
        <x:v>9368</x:v>
      </x:c>
      <x:c r="B2383" s="0" t="s">
        <x:v>9369</x:v>
      </x:c>
      <x:c r="C2383" s="0" t="s">
        <x:v>9370</x:v>
      </x:c>
      <x:c r="E2383" s="0" t="s">
        <x:v>9371</x:v>
      </x:c>
      <x:c r="F2383" s="0" t="s">
        <x:v>45</x:v>
      </x:c>
      <x:c r="G2383" s="0" t="s">
        <x:v>19</x:v>
      </x:c>
      <x:c r="H2383" s="0" t="s">
        <x:v>20</x:v>
      </x:c>
      <x:c r="I2383" s="0" t="s">
        <x:v>21</x:v>
      </x:c>
      <x:c r="K2383" s="0">
        <x:f>hyperlink("https://icd.who.int/dev11/l-ichi/en#/http%3A%2F%2Fid.who.int%2Ficd%2Fentity%2F1052822994","browser")</x:f>
      </x:c>
      <x:c r="L2383" s="0">
        <x:f>hyperlink("https://icat2.azurewebsites.net/icat/?ontology=ICD&amp;tab=ClassesTab&amp;id=http%3A%2F%2Fwho.int%2Ficd%239573_512ebf36_bf6b_4d70_85da_cf2637062af4","iCat")</x:f>
      </x:c>
      <x:c r="M2383" s="0" t="s">
        <x:v>21</x:v>
      </x:c>
      <x:c r="N2383" s="0" t="s">
        <x:v>46</x:v>
      </x:c>
    </x:row>
    <x:row r="2384" spans="1:16">
      <x:c r="A2384" s="0" t="s">
        <x:v>9372</x:v>
      </x:c>
      <x:c r="B2384" s="0" t="s">
        <x:v>9373</x:v>
      </x:c>
      <x:c r="C2384" s="0" t="s">
        <x:v>9374</x:v>
      </x:c>
      <x:c r="E2384" s="0" t="s">
        <x:v>9375</x:v>
      </x:c>
      <x:c r="F2384" s="0" t="s">
        <x:v>45</x:v>
      </x:c>
      <x:c r="G2384" s="0" t="s">
        <x:v>19</x:v>
      </x:c>
      <x:c r="H2384" s="0" t="s">
        <x:v>20</x:v>
      </x:c>
      <x:c r="I2384" s="0" t="s">
        <x:v>21</x:v>
      </x:c>
      <x:c r="K2384" s="0">
        <x:f>hyperlink("https://icd.who.int/dev11/l-ichi/en#/http%3A%2F%2Fid.who.int%2Ficd%2Fentity%2F1096572605","browser")</x:f>
      </x:c>
      <x:c r="L2384" s="0">
        <x:f>hyperlink("https://icat2.azurewebsites.net/icat/?ontology=ICD&amp;tab=ClassesTab&amp;id=http%3A%2F%2Fwho.int%2Ficd%239585_512ebf36_bf6b_4d70_85da_cf2637062af4","iCat")</x:f>
      </x:c>
      <x:c r="M2384" s="0" t="s">
        <x:v>21</x:v>
      </x:c>
      <x:c r="N2384" s="0" t="s">
        <x:v>46</x:v>
      </x:c>
    </x:row>
    <x:row r="2385" spans="1:16">
      <x:c r="A2385" s="0" t="s">
        <x:v>9376</x:v>
      </x:c>
      <x:c r="B2385" s="0" t="s">
        <x:v>9377</x:v>
      </x:c>
      <x:c r="C2385" s="0" t="s">
        <x:v>9378</x:v>
      </x:c>
      <x:c r="E2385" s="0" t="s">
        <x:v>9379</x:v>
      </x:c>
      <x:c r="F2385" s="0" t="s">
        <x:v>45</x:v>
      </x:c>
      <x:c r="G2385" s="0" t="s">
        <x:v>19</x:v>
      </x:c>
      <x:c r="H2385" s="0" t="s">
        <x:v>20</x:v>
      </x:c>
      <x:c r="I2385" s="0" t="s">
        <x:v>21</x:v>
      </x:c>
      <x:c r="K2385" s="0">
        <x:f>hyperlink("https://icd.who.int/dev11/l-ichi/en#/http%3A%2F%2Fid.who.int%2Ficd%2Fentity%2F513675166","browser")</x:f>
      </x:c>
      <x:c r="L2385" s="0">
        <x:f>hyperlink("https://icat2.azurewebsites.net/icat/?ontology=ICD&amp;tab=ClassesTab&amp;id=http%3A%2F%2Fwho.int%2Ficd%239591_512ebf36_bf6b_4d70_85da_cf2637062af4","iCat")</x:f>
      </x:c>
      <x:c r="M2385" s="0" t="s">
        <x:v>21</x:v>
      </x:c>
      <x:c r="N2385" s="0" t="s">
        <x:v>46</x:v>
      </x:c>
    </x:row>
    <x:row r="2386" spans="1:16">
      <x:c r="A2386" s="0" t="s">
        <x:v>9380</x:v>
      </x:c>
      <x:c r="B2386" s="0" t="s">
        <x:v>9381</x:v>
      </x:c>
      <x:c r="C2386" s="0" t="s">
        <x:v>9382</x:v>
      </x:c>
      <x:c r="E2386" s="0" t="s">
        <x:v>9383</x:v>
      </x:c>
      <x:c r="F2386" s="0" t="s">
        <x:v>45</x:v>
      </x:c>
      <x:c r="G2386" s="0" t="s">
        <x:v>19</x:v>
      </x:c>
      <x:c r="H2386" s="0" t="s">
        <x:v>20</x:v>
      </x:c>
      <x:c r="I2386" s="0" t="s">
        <x:v>21</x:v>
      </x:c>
      <x:c r="K2386" s="0">
        <x:f>hyperlink("https://icd.who.int/dev11/l-ichi/en#/http%3A%2F%2Fid.who.int%2Ficd%2Fentity%2F1894124791","browser")</x:f>
      </x:c>
      <x:c r="L2386" s="0">
        <x:f>hyperlink("https://icat2.azurewebsites.net/icat/?ontology=ICD&amp;tab=ClassesTab&amp;id=http%3A%2F%2Fwho.int%2Ficd%239598_512ebf36_bf6b_4d70_85da_cf2637062af4","iCat")</x:f>
      </x:c>
      <x:c r="M2386" s="0" t="s">
        <x:v>21</x:v>
      </x:c>
      <x:c r="N2386" s="0" t="s">
        <x:v>46</x:v>
      </x:c>
    </x:row>
    <x:row r="2387" spans="1:16">
      <x:c r="A2387" s="0" t="s">
        <x:v>9384</x:v>
      </x:c>
      <x:c r="B2387" s="0" t="s">
        <x:v>9385</x:v>
      </x:c>
      <x:c r="C2387" s="0" t="s">
        <x:v>9386</x:v>
      </x:c>
      <x:c r="E2387" s="0" t="s">
        <x:v>9387</x:v>
      </x:c>
      <x:c r="F2387" s="0" t="s">
        <x:v>45</x:v>
      </x:c>
      <x:c r="G2387" s="0" t="s">
        <x:v>19</x:v>
      </x:c>
      <x:c r="H2387" s="0" t="s">
        <x:v>20</x:v>
      </x:c>
      <x:c r="I2387" s="0" t="s">
        <x:v>21</x:v>
      </x:c>
      <x:c r="K2387" s="0">
        <x:f>hyperlink("https://icd.who.int/dev11/l-ichi/en#/http%3A%2F%2Fid.who.int%2Ficd%2Fentity%2F2058869977","browser")</x:f>
      </x:c>
      <x:c r="L2387" s="0">
        <x:f>hyperlink("https://icat2.azurewebsites.net/icat/?ontology=ICD&amp;tab=ClassesTab&amp;id=http%3A%2F%2Fwho.int%2Ficd%239606_512ebf36_bf6b_4d70_85da_cf2637062af4","iCat")</x:f>
      </x:c>
      <x:c r="M2387" s="0" t="s">
        <x:v>21</x:v>
      </x:c>
      <x:c r="N2387" s="0" t="s">
        <x:v>46</x:v>
      </x:c>
    </x:row>
    <x:row r="2388" spans="1:16">
      <x:c r="A2388" s="0" t="s">
        <x:v>9388</x:v>
      </x:c>
      <x:c r="B2388" s="0" t="s">
        <x:v>9389</x:v>
      </x:c>
      <x:c r="C2388" s="0" t="s">
        <x:v>9390</x:v>
      </x:c>
      <x:c r="E2388" s="0" t="s">
        <x:v>9391</x:v>
      </x:c>
      <x:c r="F2388" s="0" t="s">
        <x:v>45</x:v>
      </x:c>
      <x:c r="G2388" s="0" t="s">
        <x:v>19</x:v>
      </x:c>
      <x:c r="H2388" s="0" t="s">
        <x:v>20</x:v>
      </x:c>
      <x:c r="I2388" s="0" t="s">
        <x:v>21</x:v>
      </x:c>
      <x:c r="K2388" s="0">
        <x:f>hyperlink("https://icd.who.int/dev11/l-ichi/en#/http%3A%2F%2Fid.who.int%2Ficd%2Fentity%2F628461052","browser")</x:f>
      </x:c>
      <x:c r="L2388" s="0">
        <x:f>hyperlink("https://icat2.azurewebsites.net/icat/?ontology=ICD&amp;tab=ClassesTab&amp;id=http%3A%2F%2Fwho.int%2Ficd%239612_512ebf36_bf6b_4d70_85da_cf2637062af4","iCat")</x:f>
      </x:c>
      <x:c r="M2388" s="0" t="s">
        <x:v>21</x:v>
      </x:c>
      <x:c r="N2388" s="0" t="s">
        <x:v>46</x:v>
      </x:c>
    </x:row>
    <x:row r="2389" spans="1:16">
      <x:c r="A2389" s="0" t="s">
        <x:v>9392</x:v>
      </x:c>
      <x:c r="B2389" s="0" t="s">
        <x:v>9393</x:v>
      </x:c>
      <x:c r="C2389" s="0" t="s">
        <x:v>9394</x:v>
      </x:c>
      <x:c r="E2389" s="0" t="s">
        <x:v>9395</x:v>
      </x:c>
      <x:c r="F2389" s="0" t="s">
        <x:v>45</x:v>
      </x:c>
      <x:c r="G2389" s="0" t="s">
        <x:v>19</x:v>
      </x:c>
      <x:c r="H2389" s="0" t="s">
        <x:v>20</x:v>
      </x:c>
      <x:c r="I2389" s="0" t="s">
        <x:v>21</x:v>
      </x:c>
      <x:c r="K2389" s="0">
        <x:f>hyperlink("https://icd.who.int/dev11/l-ichi/en#/http%3A%2F%2Fid.who.int%2Ficd%2Fentity%2F446167687","browser")</x:f>
      </x:c>
      <x:c r="L2389" s="0">
        <x:f>hyperlink("https://icat2.azurewebsites.net/icat/?ontology=ICD&amp;tab=ClassesTab&amp;id=http%3A%2F%2Fwho.int%2Ficd%232_daad0bf0_ff4e_4553_92d6_19c72048c1a7","iCat")</x:f>
      </x:c>
      <x:c r="M2389" s="0" t="s">
        <x:v>21</x:v>
      </x:c>
      <x:c r="N2389" s="0" t="s">
        <x:v>46</x:v>
      </x:c>
    </x:row>
    <x:row r="2390" spans="1:16">
      <x:c r="A2390" s="0" t="s">
        <x:v>9396</x:v>
      </x:c>
      <x:c r="B2390" s="0" t="s">
        <x:v>9397</x:v>
      </x:c>
      <x:c r="C2390" s="0" t="s">
        <x:v>9398</x:v>
      </x:c>
      <x:c r="E2390" s="0" t="s">
        <x:v>9399</x:v>
      </x:c>
      <x:c r="F2390" s="0" t="s">
        <x:v>45</x:v>
      </x:c>
      <x:c r="G2390" s="0" t="s">
        <x:v>19</x:v>
      </x:c>
      <x:c r="H2390" s="0" t="s">
        <x:v>20</x:v>
      </x:c>
      <x:c r="I2390" s="0" t="s">
        <x:v>21</x:v>
      </x:c>
      <x:c r="K2390" s="0">
        <x:f>hyperlink("https://icd.who.int/dev11/l-ichi/en#/http%3A%2F%2Fid.who.int%2Ficd%2Fentity%2F829068823","browser")</x:f>
      </x:c>
      <x:c r="L2390" s="0">
        <x:f>hyperlink("https://icat2.azurewebsites.net/icat/?ontology=ICD&amp;tab=ClassesTab&amp;id=http%3A%2F%2Fwho.int%2Ficd%238_daad0bf0_ff4e_4553_92d6_19c72048c1a7","iCat")</x:f>
      </x:c>
      <x:c r="M2390" s="0" t="s">
        <x:v>21</x:v>
      </x:c>
      <x:c r="N2390" s="0" t="s">
        <x:v>46</x:v>
      </x:c>
    </x:row>
    <x:row r="2391" spans="1:16">
      <x:c r="A2391" s="0" t="s">
        <x:v>9400</x:v>
      </x:c>
      <x:c r="B2391" s="0" t="s">
        <x:v>9401</x:v>
      </x:c>
      <x:c r="C2391" s="0" t="s">
        <x:v>9402</x:v>
      </x:c>
      <x:c r="E2391" s="0" t="s">
        <x:v>9403</x:v>
      </x:c>
      <x:c r="F2391" s="0" t="s">
        <x:v>45</x:v>
      </x:c>
      <x:c r="G2391" s="0" t="s">
        <x:v>19</x:v>
      </x:c>
      <x:c r="H2391" s="0" t="s">
        <x:v>20</x:v>
      </x:c>
      <x:c r="I2391" s="0" t="s">
        <x:v>21</x:v>
      </x:c>
      <x:c r="K2391" s="0">
        <x:f>hyperlink("https://icd.who.int/dev11/l-ichi/en#/http%3A%2F%2Fid.who.int%2Ficd%2Fentity%2F779195222","browser")</x:f>
      </x:c>
      <x:c r="L2391" s="0">
        <x:f>hyperlink("https://icat2.azurewebsites.net/icat/?ontology=ICD&amp;tab=ClassesTab&amp;id=http%3A%2F%2Fwho.int%2Ficd%239619_512ebf36_bf6b_4d70_85da_cf2637062af4","iCat")</x:f>
      </x:c>
      <x:c r="M2391" s="0" t="s">
        <x:v>21</x:v>
      </x:c>
      <x:c r="N2391" s="0" t="s">
        <x:v>46</x:v>
      </x:c>
    </x:row>
    <x:row r="2392" spans="1:16">
      <x:c r="A2392" s="0" t="s">
        <x:v>9404</x:v>
      </x:c>
      <x:c r="B2392" s="0" t="s">
        <x:v>9405</x:v>
      </x:c>
      <x:c r="C2392" s="0" t="s">
        <x:v>9406</x:v>
      </x:c>
      <x:c r="E2392" s="0" t="s">
        <x:v>9407</x:v>
      </x:c>
      <x:c r="F2392" s="0" t="s">
        <x:v>45</x:v>
      </x:c>
      <x:c r="G2392" s="0" t="s">
        <x:v>19</x:v>
      </x:c>
      <x:c r="H2392" s="0" t="s">
        <x:v>20</x:v>
      </x:c>
      <x:c r="I2392" s="0" t="s">
        <x:v>21</x:v>
      </x:c>
      <x:c r="K2392" s="0">
        <x:f>hyperlink("https://icd.who.int/dev11/l-ichi/en#/http%3A%2F%2Fid.who.int%2Ficd%2Fentity%2F1354959241","browser")</x:f>
      </x:c>
      <x:c r="L2392" s="0">
        <x:f>hyperlink("https://icat2.azurewebsites.net/icat/?ontology=ICD&amp;tab=ClassesTab&amp;id=http%3A%2F%2Fwho.int%2Ficd%239626_512ebf36_bf6b_4d70_85da_cf2637062af4","iCat")</x:f>
      </x:c>
      <x:c r="M2392" s="0" t="s">
        <x:v>21</x:v>
      </x:c>
      <x:c r="N2392" s="0" t="s">
        <x:v>46</x:v>
      </x:c>
    </x:row>
    <x:row r="2393" spans="1:16">
      <x:c r="A2393" s="0" t="s">
        <x:v>9408</x:v>
      </x:c>
      <x:c r="B2393" s="0" t="s">
        <x:v>9409</x:v>
      </x:c>
      <x:c r="C2393" s="0" t="s">
        <x:v>9410</x:v>
      </x:c>
      <x:c r="E2393" s="0" t="s">
        <x:v>9411</x:v>
      </x:c>
      <x:c r="F2393" s="0" t="s">
        <x:v>45</x:v>
      </x:c>
      <x:c r="G2393" s="0" t="s">
        <x:v>19</x:v>
      </x:c>
      <x:c r="H2393" s="0" t="s">
        <x:v>20</x:v>
      </x:c>
      <x:c r="I2393" s="0" t="s">
        <x:v>21</x:v>
      </x:c>
      <x:c r="K2393" s="0">
        <x:f>hyperlink("https://icd.who.int/dev11/l-ichi/en#/http%3A%2F%2Fid.who.int%2Ficd%2Fentity%2F251746474","browser")</x:f>
      </x:c>
      <x:c r="L2393" s="0">
        <x:f>hyperlink("https://icat2.azurewebsites.net/icat/?ontology=ICD&amp;tab=ClassesTab&amp;id=http%3A%2F%2Fwho.int%2Ficd%239632_512ebf36_bf6b_4d70_85da_cf2637062af4","iCat")</x:f>
      </x:c>
      <x:c r="M2393" s="0" t="s">
        <x:v>21</x:v>
      </x:c>
      <x:c r="N2393" s="0" t="s">
        <x:v>46</x:v>
      </x:c>
    </x:row>
    <x:row r="2394" spans="1:16">
      <x:c r="A2394" s="0" t="s">
        <x:v>9412</x:v>
      </x:c>
      <x:c r="B2394" s="0" t="s">
        <x:v>9413</x:v>
      </x:c>
      <x:c r="C2394" s="0" t="s">
        <x:v>9414</x:v>
      </x:c>
      <x:c r="E2394" s="0" t="s">
        <x:v>9415</x:v>
      </x:c>
      <x:c r="F2394" s="0" t="s">
        <x:v>45</x:v>
      </x:c>
      <x:c r="G2394" s="0" t="s">
        <x:v>19</x:v>
      </x:c>
      <x:c r="H2394" s="0" t="s">
        <x:v>20</x:v>
      </x:c>
      <x:c r="I2394" s="0" t="s">
        <x:v>21</x:v>
      </x:c>
      <x:c r="K2394" s="0">
        <x:f>hyperlink("https://icd.who.int/dev11/l-ichi/en#/http%3A%2F%2Fid.who.int%2Ficd%2Fentity%2F67454472","browser")</x:f>
      </x:c>
      <x:c r="L2394" s="0">
        <x:f>hyperlink("https://icat2.azurewebsites.net/icat/?ontology=ICD&amp;tab=ClassesTab&amp;id=http%3A%2F%2Fwho.int%2Ficd%239639_512ebf36_bf6b_4d70_85da_cf2637062af4","iCat")</x:f>
      </x:c>
      <x:c r="M2394" s="0" t="s">
        <x:v>21</x:v>
      </x:c>
      <x:c r="N2394" s="0" t="s">
        <x:v>46</x:v>
      </x:c>
    </x:row>
    <x:row r="2395" spans="1:16">
      <x:c r="A2395" s="0" t="s">
        <x:v>9416</x:v>
      </x:c>
      <x:c r="B2395" s="0" t="s">
        <x:v>9417</x:v>
      </x:c>
      <x:c r="C2395" s="0" t="s">
        <x:v>9418</x:v>
      </x:c>
      <x:c r="E2395" s="0" t="s">
        <x:v>9419</x:v>
      </x:c>
      <x:c r="F2395" s="0" t="s">
        <x:v>45</x:v>
      </x:c>
      <x:c r="G2395" s="0" t="s">
        <x:v>19</x:v>
      </x:c>
      <x:c r="H2395" s="0" t="s">
        <x:v>20</x:v>
      </x:c>
      <x:c r="I2395" s="0" t="s">
        <x:v>21</x:v>
      </x:c>
      <x:c r="K2395" s="0">
        <x:f>hyperlink("https://icd.who.int/dev11/l-ichi/en#/http%3A%2F%2Fid.who.int%2Ficd%2Fentity%2F1331028029","browser")</x:f>
      </x:c>
      <x:c r="L2395" s="0">
        <x:f>hyperlink("https://icat2.azurewebsites.net/icat/?ontology=ICD&amp;tab=ClassesTab&amp;id=http%3A%2F%2Fwho.int%2Ficd%239645_512ebf36_bf6b_4d70_85da_cf2637062af4","iCat")</x:f>
      </x:c>
      <x:c r="M2395" s="0" t="s">
        <x:v>21</x:v>
      </x:c>
      <x:c r="N2395" s="0" t="s">
        <x:v>46</x:v>
      </x:c>
    </x:row>
    <x:row r="2396" spans="1:16">
      <x:c r="A2396" s="0" t="s">
        <x:v>9420</x:v>
      </x:c>
      <x:c r="B2396" s="0" t="s">
        <x:v>9421</x:v>
      </x:c>
      <x:c r="C2396" s="0" t="s">
        <x:v>9422</x:v>
      </x:c>
      <x:c r="E2396" s="0" t="s">
        <x:v>9423</x:v>
      </x:c>
      <x:c r="F2396" s="0" t="s">
        <x:v>45</x:v>
      </x:c>
      <x:c r="G2396" s="0" t="s">
        <x:v>19</x:v>
      </x:c>
      <x:c r="H2396" s="0" t="s">
        <x:v>20</x:v>
      </x:c>
      <x:c r="I2396" s="0" t="s">
        <x:v>21</x:v>
      </x:c>
      <x:c r="K2396" s="0">
        <x:f>hyperlink("https://icd.who.int/dev11/l-ichi/en#/http%3A%2F%2Fid.who.int%2Ficd%2Fentity%2F630224236","browser")</x:f>
      </x:c>
      <x:c r="L2396" s="0">
        <x:f>hyperlink("https://icat2.azurewebsites.net/icat/?ontology=ICD&amp;tab=ClassesTab&amp;id=http%3A%2F%2Fwho.int%2Ficd%239655_512ebf36_bf6b_4d70_85da_cf2637062af4","iCat")</x:f>
      </x:c>
      <x:c r="M2396" s="0" t="s">
        <x:v>21</x:v>
      </x:c>
      <x:c r="N2396" s="0" t="s">
        <x:v>46</x:v>
      </x:c>
    </x:row>
    <x:row r="2397" spans="1:16">
      <x:c r="A2397" s="0" t="s">
        <x:v>9424</x:v>
      </x:c>
      <x:c r="B2397" s="0" t="s">
        <x:v>9425</x:v>
      </x:c>
      <x:c r="C2397" s="0" t="s">
        <x:v>9426</x:v>
      </x:c>
      <x:c r="E2397" s="0" t="s">
        <x:v>9427</x:v>
      </x:c>
      <x:c r="F2397" s="0" t="s">
        <x:v>45</x:v>
      </x:c>
      <x:c r="G2397" s="0" t="s">
        <x:v>19</x:v>
      </x:c>
      <x:c r="H2397" s="0" t="s">
        <x:v>20</x:v>
      </x:c>
      <x:c r="I2397" s="0" t="s">
        <x:v>21</x:v>
      </x:c>
      <x:c r="K2397" s="0">
        <x:f>hyperlink("https://icd.who.int/dev11/l-ichi/en#/http%3A%2F%2Fid.who.int%2Ficd%2Fentity%2F1187770525","browser")</x:f>
      </x:c>
      <x:c r="L2397" s="0">
        <x:f>hyperlink("https://icat2.azurewebsites.net/icat/?ontology=ICD&amp;tab=ClassesTab&amp;id=http%3A%2F%2Fwho.int%2Ficd%2314_daad0bf0_ff4e_4553_92d6_19c72048c1a7","iCat")</x:f>
      </x:c>
      <x:c r="M2397" s="0" t="s">
        <x:v>21</x:v>
      </x:c>
      <x:c r="N2397" s="0" t="s">
        <x:v>46</x:v>
      </x:c>
    </x:row>
    <x:row r="2398" spans="1:16">
      <x:c r="A2398" s="0" t="s">
        <x:v>9428</x:v>
      </x:c>
      <x:c r="B2398" s="0" t="s">
        <x:v>9429</x:v>
      </x:c>
      <x:c r="C2398" s="0" t="s">
        <x:v>9430</x:v>
      </x:c>
      <x:c r="E2398" s="0" t="s">
        <x:v>9431</x:v>
      </x:c>
      <x:c r="F2398" s="0" t="s">
        <x:v>45</x:v>
      </x:c>
      <x:c r="G2398" s="0" t="s">
        <x:v>19</x:v>
      </x:c>
      <x:c r="H2398" s="0" t="s">
        <x:v>20</x:v>
      </x:c>
      <x:c r="I2398" s="0" t="s">
        <x:v>21</x:v>
      </x:c>
      <x:c r="K2398" s="0">
        <x:f>hyperlink("https://icd.who.int/dev11/l-ichi/en#/http%3A%2F%2Fid.who.int%2Ficd%2Fentity%2F863859950","browser")</x:f>
      </x:c>
      <x:c r="L2398" s="0">
        <x:f>hyperlink("https://icat2.azurewebsites.net/icat/?ontology=ICD&amp;tab=ClassesTab&amp;id=http%3A%2F%2Fwho.int%2Ficd%2320_daad0bf0_ff4e_4553_92d6_19c72048c1a7","iCat")</x:f>
      </x:c>
      <x:c r="M2398" s="0" t="s">
        <x:v>21</x:v>
      </x:c>
      <x:c r="N2398" s="0" t="s">
        <x:v>46</x:v>
      </x:c>
    </x:row>
    <x:row r="2399" spans="1:16">
      <x:c r="A2399" s="0" t="s">
        <x:v>9432</x:v>
      </x:c>
      <x:c r="B2399" s="0" t="s">
        <x:v>9433</x:v>
      </x:c>
      <x:c r="C2399" s="0" t="s">
        <x:v>9434</x:v>
      </x:c>
      <x:c r="E2399" s="0" t="s">
        <x:v>9435</x:v>
      </x:c>
      <x:c r="F2399" s="0" t="s">
        <x:v>45</x:v>
      </x:c>
      <x:c r="G2399" s="0" t="s">
        <x:v>19</x:v>
      </x:c>
      <x:c r="H2399" s="0" t="s">
        <x:v>20</x:v>
      </x:c>
      <x:c r="I2399" s="0" t="s">
        <x:v>21</x:v>
      </x:c>
      <x:c r="K2399" s="0">
        <x:f>hyperlink("https://icd.who.int/dev11/l-ichi/en#/http%3A%2F%2Fid.who.int%2Ficd%2Fentity%2F1344729369","browser")</x:f>
      </x:c>
      <x:c r="L2399" s="0">
        <x:f>hyperlink("https://icat2.azurewebsites.net/icat/?ontology=ICD&amp;tab=ClassesTab&amp;id=http%3A%2F%2Fwho.int%2Ficd%239661_512ebf36_bf6b_4d70_85da_cf2637062af4","iCat")</x:f>
      </x:c>
      <x:c r="M2399" s="0" t="s">
        <x:v>21</x:v>
      </x:c>
      <x:c r="N2399" s="0" t="s">
        <x:v>46</x:v>
      </x:c>
    </x:row>
    <x:row r="2400" spans="1:16">
      <x:c r="A2400" s="0" t="s">
        <x:v>9436</x:v>
      </x:c>
      <x:c r="B2400" s="0" t="s">
        <x:v>9437</x:v>
      </x:c>
      <x:c r="C2400" s="0" t="s">
        <x:v>9438</x:v>
      </x:c>
      <x:c r="E2400" s="0" t="s">
        <x:v>9439</x:v>
      </x:c>
      <x:c r="F2400" s="0" t="s">
        <x:v>45</x:v>
      </x:c>
      <x:c r="G2400" s="0" t="s">
        <x:v>19</x:v>
      </x:c>
      <x:c r="H2400" s="0" t="s">
        <x:v>20</x:v>
      </x:c>
      <x:c r="I2400" s="0" t="s">
        <x:v>21</x:v>
      </x:c>
      <x:c r="K2400" s="0">
        <x:f>hyperlink("https://icd.who.int/dev11/l-ichi/en#/http%3A%2F%2Fid.who.int%2Ficd%2Fentity%2F1046409840","browser")</x:f>
      </x:c>
      <x:c r="L2400" s="0">
        <x:f>hyperlink("https://icat2.azurewebsites.net/icat/?ontology=ICD&amp;tab=ClassesTab&amp;id=http%3A%2F%2Fwho.int%2Ficd%239668_512ebf36_bf6b_4d70_85da_cf2637062af4","iCat")</x:f>
      </x:c>
      <x:c r="M2400" s="0" t="s">
        <x:v>21</x:v>
      </x:c>
      <x:c r="N2400" s="0" t="s">
        <x:v>46</x:v>
      </x:c>
    </x:row>
    <x:row r="2401" spans="1:16">
      <x:c r="A2401" s="0" t="s">
        <x:v>9440</x:v>
      </x:c>
      <x:c r="B2401" s="0" t="s">
        <x:v>9441</x:v>
      </x:c>
      <x:c r="C2401" s="0" t="s">
        <x:v>9442</x:v>
      </x:c>
      <x:c r="E2401" s="0" t="s">
        <x:v>9443</x:v>
      </x:c>
      <x:c r="F2401" s="0" t="s">
        <x:v>45</x:v>
      </x:c>
      <x:c r="G2401" s="0" t="s">
        <x:v>19</x:v>
      </x:c>
      <x:c r="H2401" s="0" t="s">
        <x:v>20</x:v>
      </x:c>
      <x:c r="I2401" s="0" t="s">
        <x:v>21</x:v>
      </x:c>
      <x:c r="K2401" s="0">
        <x:f>hyperlink("https://icd.who.int/dev11/l-ichi/en#/http%3A%2F%2Fid.who.int%2Ficd%2Fentity%2F1951123676","browser")</x:f>
      </x:c>
      <x:c r="L2401" s="0">
        <x:f>hyperlink("https://icat2.azurewebsites.net/icat/?ontology=ICD&amp;tab=ClassesTab&amp;id=http%3A%2F%2Fwho.int%2Ficd%231735_97087496_4a82_4efa_a45a_b3256f81bd7e","iCat")</x:f>
      </x:c>
      <x:c r="M2401" s="0" t="s">
        <x:v>21</x:v>
      </x:c>
      <x:c r="N2401" s="0" t="s">
        <x:v>46</x:v>
      </x:c>
    </x:row>
    <x:row r="2402" spans="1:16">
      <x:c r="A2402" s="0" t="s">
        <x:v>9444</x:v>
      </x:c>
      <x:c r="B2402" s="0" t="s">
        <x:v>9445</x:v>
      </x:c>
      <x:c r="C2402" s="0" t="s">
        <x:v>9446</x:v>
      </x:c>
      <x:c r="E2402" s="0" t="s">
        <x:v>9447</x:v>
      </x:c>
      <x:c r="F2402" s="0" t="s">
        <x:v>45</x:v>
      </x:c>
      <x:c r="G2402" s="0" t="s">
        <x:v>19</x:v>
      </x:c>
      <x:c r="H2402" s="0" t="s">
        <x:v>20</x:v>
      </x:c>
      <x:c r="I2402" s="0" t="s">
        <x:v>21</x:v>
      </x:c>
      <x:c r="K2402" s="0">
        <x:f>hyperlink("https://icd.who.int/dev11/l-ichi/en#/http%3A%2F%2Fid.who.int%2Ficd%2Fentity%2F266641466","browser")</x:f>
      </x:c>
      <x:c r="L2402" s="0">
        <x:f>hyperlink("https://icat2.azurewebsites.net/icat/?ontology=ICD&amp;tab=ClassesTab&amp;id=http%3A%2F%2Fwho.int%2Ficd%239675_512ebf36_bf6b_4d70_85da_cf2637062af4","iCat")</x:f>
      </x:c>
      <x:c r="M2402" s="0" t="s">
        <x:v>21</x:v>
      </x:c>
      <x:c r="N2402" s="0" t="s">
        <x:v>46</x:v>
      </x:c>
    </x:row>
    <x:row r="2403" spans="1:16">
      <x:c r="A2403" s="0" t="s">
        <x:v>9448</x:v>
      </x:c>
      <x:c r="B2403" s="0" t="s">
        <x:v>9449</x:v>
      </x:c>
      <x:c r="C2403" s="0" t="s">
        <x:v>9450</x:v>
      </x:c>
      <x:c r="E2403" s="0" t="s">
        <x:v>9451</x:v>
      </x:c>
      <x:c r="F2403" s="0" t="s">
        <x:v>45</x:v>
      </x:c>
      <x:c r="G2403" s="0" t="s">
        <x:v>19</x:v>
      </x:c>
      <x:c r="H2403" s="0" t="s">
        <x:v>20</x:v>
      </x:c>
      <x:c r="I2403" s="0" t="s">
        <x:v>21</x:v>
      </x:c>
      <x:c r="K2403" s="0">
        <x:f>hyperlink("https://icd.who.int/dev11/l-ichi/en#/http%3A%2F%2Fid.who.int%2Ficd%2Fentity%2F16423130","browser")</x:f>
      </x:c>
      <x:c r="L2403" s="0">
        <x:f>hyperlink("https://icat2.azurewebsites.net/icat/?ontology=ICD&amp;tab=ClassesTab&amp;id=http%3A%2F%2Fwho.int%2Ficd%239684_512ebf36_bf6b_4d70_85da_cf2637062af4","iCat")</x:f>
      </x:c>
      <x:c r="M2403" s="0" t="s">
        <x:v>21</x:v>
      </x:c>
      <x:c r="N2403" s="0" t="s">
        <x:v>46</x:v>
      </x:c>
    </x:row>
    <x:row r="2404" spans="1:16">
      <x:c r="A2404" s="0" t="s">
        <x:v>9452</x:v>
      </x:c>
      <x:c r="B2404" s="0" t="s">
        <x:v>9453</x:v>
      </x:c>
      <x:c r="C2404" s="0" t="s">
        <x:v>9454</x:v>
      </x:c>
      <x:c r="E2404" s="0" t="s">
        <x:v>9455</x:v>
      </x:c>
      <x:c r="F2404" s="0" t="s">
        <x:v>45</x:v>
      </x:c>
      <x:c r="G2404" s="0" t="s">
        <x:v>19</x:v>
      </x:c>
      <x:c r="H2404" s="0" t="s">
        <x:v>20</x:v>
      </x:c>
      <x:c r="I2404" s="0" t="s">
        <x:v>21</x:v>
      </x:c>
      <x:c r="K2404" s="0">
        <x:f>hyperlink("https://icd.who.int/dev11/l-ichi/en#/http%3A%2F%2Fid.who.int%2Ficd%2Fentity%2F1597557243","browser")</x:f>
      </x:c>
      <x:c r="L2404" s="0">
        <x:f>hyperlink("https://icat2.azurewebsites.net/icat/?ontology=ICD&amp;tab=ClassesTab&amp;id=http%3A%2F%2Fwho.int%2Ficd%239690_512ebf36_bf6b_4d70_85da_cf2637062af4","iCat")</x:f>
      </x:c>
      <x:c r="M2404" s="0" t="s">
        <x:v>21</x:v>
      </x:c>
      <x:c r="N2404" s="0" t="s">
        <x:v>46</x:v>
      </x:c>
    </x:row>
    <x:row r="2405" spans="1:16">
      <x:c r="A2405" s="0" t="s">
        <x:v>9456</x:v>
      </x:c>
      <x:c r="B2405" s="0" t="s">
        <x:v>9457</x:v>
      </x:c>
      <x:c r="C2405" s="0" t="s">
        <x:v>9458</x:v>
      </x:c>
      <x:c r="E2405" s="0" t="s">
        <x:v>9459</x:v>
      </x:c>
      <x:c r="F2405" s="0" t="s">
        <x:v>45</x:v>
      </x:c>
      <x:c r="G2405" s="0" t="s">
        <x:v>19</x:v>
      </x:c>
      <x:c r="H2405" s="0" t="s">
        <x:v>20</x:v>
      </x:c>
      <x:c r="I2405" s="0" t="s">
        <x:v>21</x:v>
      </x:c>
      <x:c r="K2405" s="0">
        <x:f>hyperlink("https://icd.who.int/dev11/l-ichi/en#/http%3A%2F%2Fid.who.int%2Ficd%2Fentity%2F256053324","browser")</x:f>
      </x:c>
      <x:c r="L2405" s="0">
        <x:f>hyperlink("https://icat2.azurewebsites.net/icat/?ontology=ICD&amp;tab=ClassesTab&amp;id=http%3A%2F%2Fwho.int%2Ficd%239696_512ebf36_bf6b_4d70_85da_cf2637062af4","iCat")</x:f>
      </x:c>
      <x:c r="M2405" s="0" t="s">
        <x:v>21</x:v>
      </x:c>
      <x:c r="N2405" s="0" t="s">
        <x:v>46</x:v>
      </x:c>
    </x:row>
    <x:row r="2406" spans="1:16">
      <x:c r="A2406" s="0" t="s">
        <x:v>9460</x:v>
      </x:c>
      <x:c r="B2406" s="0" t="s">
        <x:v>9461</x:v>
      </x:c>
      <x:c r="C2406" s="0" t="s">
        <x:v>9462</x:v>
      </x:c>
      <x:c r="E2406" s="0" t="s">
        <x:v>9463</x:v>
      </x:c>
      <x:c r="F2406" s="0" t="s">
        <x:v>45</x:v>
      </x:c>
      <x:c r="G2406" s="0" t="s">
        <x:v>19</x:v>
      </x:c>
      <x:c r="H2406" s="0" t="s">
        <x:v>20</x:v>
      </x:c>
      <x:c r="I2406" s="0" t="s">
        <x:v>21</x:v>
      </x:c>
      <x:c r="K2406" s="0">
        <x:f>hyperlink("https://icd.who.int/dev11/l-ichi/en#/http%3A%2F%2Fid.who.int%2Ficd%2Fentity%2F636105375","browser")</x:f>
      </x:c>
      <x:c r="L2406" s="0">
        <x:f>hyperlink("https://icat2.azurewebsites.net/icat/?ontology=ICD&amp;tab=ClassesTab&amp;id=http%3A%2F%2Fwho.int%2Ficd%23460_9cb148af_e986_4d06_87bf_7927c7f3fec1","iCat")</x:f>
      </x:c>
      <x:c r="M2406" s="0" t="s">
        <x:v>21</x:v>
      </x:c>
      <x:c r="N2406" s="0" t="s">
        <x:v>46</x:v>
      </x:c>
    </x:row>
    <x:row r="2407" spans="1:16">
      <x:c r="A2407" s="0" t="s">
        <x:v>9464</x:v>
      </x:c>
      <x:c r="B2407" s="0" t="s">
        <x:v>9465</x:v>
      </x:c>
      <x:c r="C2407" s="0" t="s">
        <x:v>9466</x:v>
      </x:c>
      <x:c r="E2407" s="0" t="s">
        <x:v>9467</x:v>
      </x:c>
      <x:c r="F2407" s="0" t="s">
        <x:v>45</x:v>
      </x:c>
      <x:c r="G2407" s="0" t="s">
        <x:v>19</x:v>
      </x:c>
      <x:c r="H2407" s="0" t="s">
        <x:v>20</x:v>
      </x:c>
      <x:c r="I2407" s="0" t="s">
        <x:v>21</x:v>
      </x:c>
      <x:c r="K2407" s="0">
        <x:f>hyperlink("https://icd.who.int/dev11/l-ichi/en#/http%3A%2F%2Fid.who.int%2Ficd%2Fentity%2F976215602","browser")</x:f>
      </x:c>
      <x:c r="L2407" s="0">
        <x:f>hyperlink("https://icat2.azurewebsites.net/icat/?ontology=ICD&amp;tab=ClassesTab&amp;id=http%3A%2F%2Fwho.int%2Ficd%239702_512ebf36_bf6b_4d70_85da_cf2637062af4","iCat")</x:f>
      </x:c>
      <x:c r="M2407" s="0" t="s">
        <x:v>21</x:v>
      </x:c>
      <x:c r="N2407" s="0" t="s">
        <x:v>46</x:v>
      </x:c>
    </x:row>
    <x:row r="2408" spans="1:16">
      <x:c r="A2408" s="0" t="s">
        <x:v>9468</x:v>
      </x:c>
      <x:c r="B2408" s="0" t="s">
        <x:v>9469</x:v>
      </x:c>
      <x:c r="C2408" s="0" t="s">
        <x:v>9470</x:v>
      </x:c>
      <x:c r="E2408" s="0" t="s">
        <x:v>9471</x:v>
      </x:c>
      <x:c r="F2408" s="0" t="s">
        <x:v>45</x:v>
      </x:c>
      <x:c r="G2408" s="0" t="s">
        <x:v>19</x:v>
      </x:c>
      <x:c r="H2408" s="0" t="s">
        <x:v>20</x:v>
      </x:c>
      <x:c r="I2408" s="0" t="s">
        <x:v>21</x:v>
      </x:c>
      <x:c r="K2408" s="0">
        <x:f>hyperlink("https://icd.who.int/dev11/l-ichi/en#/http%3A%2F%2Fid.who.int%2Ficd%2Fentity%2F824950940","browser")</x:f>
      </x:c>
      <x:c r="L2408" s="0">
        <x:f>hyperlink("https://icat2.azurewebsites.net/icat/?ontology=ICD&amp;tab=ClassesTab&amp;id=http%3A%2F%2Fwho.int%2Ficd%239709_512ebf36_bf6b_4d70_85da_cf2637062af4","iCat")</x:f>
      </x:c>
      <x:c r="M2408" s="0" t="s">
        <x:v>21</x:v>
      </x:c>
      <x:c r="N2408" s="0" t="s">
        <x:v>46</x:v>
      </x:c>
    </x:row>
    <x:row r="2409" spans="1:16">
      <x:c r="A2409" s="0" t="s">
        <x:v>9472</x:v>
      </x:c>
      <x:c r="B2409" s="0" t="s">
        <x:v>9473</x:v>
      </x:c>
      <x:c r="C2409" s="0" t="s">
        <x:v>9474</x:v>
      </x:c>
      <x:c r="E2409" s="0" t="s">
        <x:v>9475</x:v>
      </x:c>
      <x:c r="F2409" s="0" t="s">
        <x:v>45</x:v>
      </x:c>
      <x:c r="G2409" s="0" t="s">
        <x:v>19</x:v>
      </x:c>
      <x:c r="H2409" s="0" t="s">
        <x:v>20</x:v>
      </x:c>
      <x:c r="I2409" s="0" t="s">
        <x:v>21</x:v>
      </x:c>
      <x:c r="K2409" s="0">
        <x:f>hyperlink("https://icd.who.int/dev11/l-ichi/en#/http%3A%2F%2Fid.who.int%2Ficd%2Fentity%2F2065115127","browser")</x:f>
      </x:c>
      <x:c r="L2409" s="0">
        <x:f>hyperlink("https://icat2.azurewebsites.net/icat/?ontology=ICD&amp;tab=ClassesTab&amp;id=http%3A%2F%2Fwho.int%2Ficd%239718_512ebf36_bf6b_4d70_85da_cf2637062af4","iCat")</x:f>
      </x:c>
      <x:c r="M2409" s="0" t="s">
        <x:v>21</x:v>
      </x:c>
      <x:c r="N2409" s="0" t="s">
        <x:v>46</x:v>
      </x:c>
    </x:row>
    <x:row r="2410" spans="1:16">
      <x:c r="A2410" s="0" t="s">
        <x:v>9476</x:v>
      </x:c>
      <x:c r="B2410" s="0" t="s">
        <x:v>9477</x:v>
      </x:c>
      <x:c r="C2410" s="0" t="s">
        <x:v>9478</x:v>
      </x:c>
      <x:c r="E2410" s="0" t="s">
        <x:v>9479</x:v>
      </x:c>
      <x:c r="F2410" s="0" t="s">
        <x:v>45</x:v>
      </x:c>
      <x:c r="G2410" s="0" t="s">
        <x:v>19</x:v>
      </x:c>
      <x:c r="H2410" s="0" t="s">
        <x:v>20</x:v>
      </x:c>
      <x:c r="I2410" s="0" t="s">
        <x:v>21</x:v>
      </x:c>
      <x:c r="K2410" s="0">
        <x:f>hyperlink("https://icd.who.int/dev11/l-ichi/en#/http%3A%2F%2Fid.who.int%2Ficd%2Fentity%2F1075892945","browser")</x:f>
      </x:c>
      <x:c r="L2410" s="0">
        <x:f>hyperlink("https://icat2.azurewebsites.net/icat/?ontology=ICD&amp;tab=ClassesTab&amp;id=http%3A%2F%2Fwho.int%2Ficd%239724_512ebf36_bf6b_4d70_85da_cf2637062af4","iCat")</x:f>
      </x:c>
      <x:c r="M2410" s="0" t="s">
        <x:v>21</x:v>
      </x:c>
      <x:c r="N2410" s="0" t="s">
        <x:v>46</x:v>
      </x:c>
    </x:row>
    <x:row r="2411" spans="1:16">
      <x:c r="A2411" s="0" t="s">
        <x:v>9480</x:v>
      </x:c>
      <x:c r="B2411" s="0" t="s">
        <x:v>9481</x:v>
      </x:c>
      <x:c r="C2411" s="0" t="s">
        <x:v>9482</x:v>
      </x:c>
      <x:c r="E2411" s="0" t="s">
        <x:v>9483</x:v>
      </x:c>
      <x:c r="F2411" s="0" t="s">
        <x:v>45</x:v>
      </x:c>
      <x:c r="G2411" s="0" t="s">
        <x:v>19</x:v>
      </x:c>
      <x:c r="H2411" s="0" t="s">
        <x:v>20</x:v>
      </x:c>
      <x:c r="I2411" s="0" t="s">
        <x:v>21</x:v>
      </x:c>
      <x:c r="K2411" s="0">
        <x:f>hyperlink("https://icd.who.int/dev11/l-ichi/en#/http%3A%2F%2Fid.who.int%2Ficd%2Fentity%2F1661381983","browser")</x:f>
      </x:c>
      <x:c r="L2411" s="0">
        <x:f>hyperlink("https://icat2.azurewebsites.net/icat/?ontology=ICD&amp;tab=ClassesTab&amp;id=http%3A%2F%2Fwho.int%2Ficd%2326_daad0bf0_ff4e_4553_92d6_19c72048c1a7","iCat")</x:f>
      </x:c>
      <x:c r="M2411" s="0" t="s">
        <x:v>21</x:v>
      </x:c>
      <x:c r="N2411" s="0" t="s">
        <x:v>46</x:v>
      </x:c>
    </x:row>
    <x:row r="2412" spans="1:16">
      <x:c r="A2412" s="0" t="s">
        <x:v>9484</x:v>
      </x:c>
      <x:c r="B2412" s="0" t="s">
        <x:v>9485</x:v>
      </x:c>
      <x:c r="C2412" s="0" t="s">
        <x:v>9486</x:v>
      </x:c>
      <x:c r="E2412" s="0" t="s">
        <x:v>9487</x:v>
      </x:c>
      <x:c r="F2412" s="0" t="s">
        <x:v>45</x:v>
      </x:c>
      <x:c r="G2412" s="0" t="s">
        <x:v>19</x:v>
      </x:c>
      <x:c r="H2412" s="0" t="s">
        <x:v>20</x:v>
      </x:c>
      <x:c r="I2412" s="0" t="s">
        <x:v>21</x:v>
      </x:c>
      <x:c r="K2412" s="0">
        <x:f>hyperlink("https://icd.who.int/dev11/l-ichi/en#/http%3A%2F%2Fid.who.int%2Ficd%2Fentity%2F1019542652","browser")</x:f>
      </x:c>
      <x:c r="L2412" s="0">
        <x:f>hyperlink("https://icat2.azurewebsites.net/icat/?ontology=ICD&amp;tab=ClassesTab&amp;id=http%3A%2F%2Fwho.int%2Ficd%2332_daad0bf0_ff4e_4553_92d6_19c72048c1a7","iCat")</x:f>
      </x:c>
      <x:c r="M2412" s="0" t="s">
        <x:v>21</x:v>
      </x:c>
      <x:c r="N2412" s="0" t="s">
        <x:v>46</x:v>
      </x:c>
    </x:row>
    <x:row r="2413" spans="1:16">
      <x:c r="A2413" s="0" t="s">
        <x:v>9488</x:v>
      </x:c>
      <x:c r="B2413" s="0" t="s">
        <x:v>9489</x:v>
      </x:c>
      <x:c r="C2413" s="0" t="s">
        <x:v>9490</x:v>
      </x:c>
      <x:c r="E2413" s="0" t="s">
        <x:v>9491</x:v>
      </x:c>
      <x:c r="F2413" s="0" t="s">
        <x:v>45</x:v>
      </x:c>
      <x:c r="G2413" s="0" t="s">
        <x:v>19</x:v>
      </x:c>
      <x:c r="H2413" s="0" t="s">
        <x:v>20</x:v>
      </x:c>
      <x:c r="I2413" s="0" t="s">
        <x:v>21</x:v>
      </x:c>
      <x:c r="K2413" s="0">
        <x:f>hyperlink("https://icd.who.int/dev11/l-ichi/en#/http%3A%2F%2Fid.who.int%2Ficd%2Fentity%2F1058795984","browser")</x:f>
      </x:c>
      <x:c r="L2413" s="0">
        <x:f>hyperlink("https://icat2.azurewebsites.net/icat/?ontology=ICD&amp;tab=ClassesTab&amp;id=http%3A%2F%2Fwho.int%2Ficd%239731_512ebf36_bf6b_4d70_85da_cf2637062af4","iCat")</x:f>
      </x:c>
      <x:c r="M2413" s="0" t="s">
        <x:v>21</x:v>
      </x:c>
      <x:c r="N2413" s="0" t="s">
        <x:v>46</x:v>
      </x:c>
    </x:row>
    <x:row r="2414" spans="1:16">
      <x:c r="A2414" s="0" t="s">
        <x:v>9492</x:v>
      </x:c>
      <x:c r="B2414" s="0" t="s">
        <x:v>9493</x:v>
      </x:c>
      <x:c r="C2414" s="0" t="s">
        <x:v>9494</x:v>
      </x:c>
      <x:c r="E2414" s="0" t="s">
        <x:v>9495</x:v>
      </x:c>
      <x:c r="F2414" s="0" t="s">
        <x:v>45</x:v>
      </x:c>
      <x:c r="G2414" s="0" t="s">
        <x:v>19</x:v>
      </x:c>
      <x:c r="H2414" s="0" t="s">
        <x:v>20</x:v>
      </x:c>
      <x:c r="I2414" s="0" t="s">
        <x:v>21</x:v>
      </x:c>
      <x:c r="K2414" s="0">
        <x:f>hyperlink("https://icd.who.int/dev11/l-ichi/en#/http%3A%2F%2Fid.who.int%2Ficd%2Fentity%2F1365504679","browser")</x:f>
      </x:c>
      <x:c r="L2414" s="0">
        <x:f>hyperlink("https://icat2.azurewebsites.net/icat/?ontology=ICD&amp;tab=ClassesTab&amp;id=http%3A%2F%2Fwho.int%2Ficd%239738_512ebf36_bf6b_4d70_85da_cf2637062af4","iCat")</x:f>
      </x:c>
      <x:c r="M2414" s="0" t="s">
        <x:v>21</x:v>
      </x:c>
      <x:c r="N2414" s="0" t="s">
        <x:v>46</x:v>
      </x:c>
    </x:row>
    <x:row r="2415" spans="1:16">
      <x:c r="A2415" s="0" t="s">
        <x:v>9496</x:v>
      </x:c>
      <x:c r="B2415" s="0" t="s">
        <x:v>9497</x:v>
      </x:c>
      <x:c r="C2415" s="0" t="s">
        <x:v>9498</x:v>
      </x:c>
      <x:c r="E2415" s="0" t="s">
        <x:v>9499</x:v>
      </x:c>
      <x:c r="F2415" s="0" t="s">
        <x:v>45</x:v>
      </x:c>
      <x:c r="G2415" s="0" t="s">
        <x:v>19</x:v>
      </x:c>
      <x:c r="H2415" s="0" t="s">
        <x:v>20</x:v>
      </x:c>
      <x:c r="I2415" s="0" t="s">
        <x:v>21</x:v>
      </x:c>
      <x:c r="K2415" s="0">
        <x:f>hyperlink("https://icd.who.int/dev11/l-ichi/en#/http%3A%2F%2Fid.who.int%2Ficd%2Fentity%2F2135902553","browser")</x:f>
      </x:c>
      <x:c r="L2415" s="0">
        <x:f>hyperlink("https://icat2.azurewebsites.net/icat/?ontology=ICD&amp;tab=ClassesTab&amp;id=http%3A%2F%2Fwho.int%2Ficd%239746_512ebf36_bf6b_4d70_85da_cf2637062af4","iCat")</x:f>
      </x:c>
      <x:c r="M2415" s="0" t="s">
        <x:v>21</x:v>
      </x:c>
      <x:c r="N2415" s="0" t="s">
        <x:v>46</x:v>
      </x:c>
    </x:row>
    <x:row r="2416" spans="1:16">
      <x:c r="A2416" s="0" t="s">
        <x:v>9500</x:v>
      </x:c>
      <x:c r="B2416" s="0" t="s">
        <x:v>9501</x:v>
      </x:c>
      <x:c r="C2416" s="0" t="s">
        <x:v>9502</x:v>
      </x:c>
      <x:c r="E2416" s="0" t="s">
        <x:v>9503</x:v>
      </x:c>
      <x:c r="F2416" s="0" t="s">
        <x:v>45</x:v>
      </x:c>
      <x:c r="G2416" s="0" t="s">
        <x:v>19</x:v>
      </x:c>
      <x:c r="H2416" s="0" t="s">
        <x:v>20</x:v>
      </x:c>
      <x:c r="I2416" s="0" t="s">
        <x:v>21</x:v>
      </x:c>
      <x:c r="K2416" s="0">
        <x:f>hyperlink("https://icd.who.int/dev11/l-ichi/en#/http%3A%2F%2Fid.who.int%2Ficd%2Fentity%2F546117756","browser")</x:f>
      </x:c>
      <x:c r="L2416" s="0">
        <x:f>hyperlink("https://icat2.azurewebsites.net/icat/?ontology=ICD&amp;tab=ClassesTab&amp;id=http%3A%2F%2Fwho.int%2Ficd%239752_512ebf36_bf6b_4d70_85da_cf2637062af4","iCat")</x:f>
      </x:c>
      <x:c r="M2416" s="0" t="s">
        <x:v>21</x:v>
      </x:c>
      <x:c r="N2416" s="0" t="s">
        <x:v>46</x:v>
      </x:c>
    </x:row>
    <x:row r="2417" spans="1:16">
      <x:c r="A2417" s="0" t="s">
        <x:v>9504</x:v>
      </x:c>
      <x:c r="B2417" s="0" t="s">
        <x:v>9505</x:v>
      </x:c>
      <x:c r="C2417" s="0" t="s">
        <x:v>9506</x:v>
      </x:c>
      <x:c r="E2417" s="0" t="s">
        <x:v>9507</x:v>
      </x:c>
      <x:c r="F2417" s="0" t="s">
        <x:v>45</x:v>
      </x:c>
      <x:c r="G2417" s="0" t="s">
        <x:v>19</x:v>
      </x:c>
      <x:c r="H2417" s="0" t="s">
        <x:v>20</x:v>
      </x:c>
      <x:c r="I2417" s="0" t="s">
        <x:v>21</x:v>
      </x:c>
      <x:c r="K2417" s="0">
        <x:f>hyperlink("https://icd.who.int/dev11/l-ichi/en#/http%3A%2F%2Fid.who.int%2Ficd%2Fentity%2F191919340","browser")</x:f>
      </x:c>
      <x:c r="L2417" s="0">
        <x:f>hyperlink("https://icat2.azurewebsites.net/icat/?ontology=ICD&amp;tab=ClassesTab&amp;id=http%3A%2F%2Fwho.int%2Ficd%239758_512ebf36_bf6b_4d70_85da_cf2637062af4","iCat")</x:f>
      </x:c>
      <x:c r="M2417" s="0" t="s">
        <x:v>21</x:v>
      </x:c>
      <x:c r="N2417" s="0" t="s">
        <x:v>46</x:v>
      </x:c>
    </x:row>
    <x:row r="2418" spans="1:16">
      <x:c r="A2418" s="0" t="s">
        <x:v>9508</x:v>
      </x:c>
      <x:c r="B2418" s="0" t="s">
        <x:v>9509</x:v>
      </x:c>
      <x:c r="C2418" s="0" t="s">
        <x:v>9510</x:v>
      </x:c>
      <x:c r="E2418" s="0" t="s">
        <x:v>9511</x:v>
      </x:c>
      <x:c r="F2418" s="0" t="s">
        <x:v>45</x:v>
      </x:c>
      <x:c r="G2418" s="0" t="s">
        <x:v>19</x:v>
      </x:c>
      <x:c r="H2418" s="0" t="s">
        <x:v>20</x:v>
      </x:c>
      <x:c r="I2418" s="0" t="s">
        <x:v>21</x:v>
      </x:c>
      <x:c r="K2418" s="0">
        <x:f>hyperlink("https://icd.who.int/dev11/l-ichi/en#/http%3A%2F%2Fid.who.int%2Ficd%2Fentity%2F809992654","browser")</x:f>
      </x:c>
      <x:c r="L2418" s="0">
        <x:f>hyperlink("https://icat2.azurewebsites.net/icat/?ontology=ICD&amp;tab=ClassesTab&amp;id=http%3A%2F%2Fwho.int%2Ficd%239764_512ebf36_bf6b_4d70_85da_cf2637062af4","iCat")</x:f>
      </x:c>
      <x:c r="M2418" s="0" t="s">
        <x:v>21</x:v>
      </x:c>
      <x:c r="N2418" s="0" t="s">
        <x:v>46</x:v>
      </x:c>
    </x:row>
    <x:row r="2419" spans="1:16">
      <x:c r="A2419" s="0" t="s">
        <x:v>9512</x:v>
      </x:c>
      <x:c r="B2419" s="0" t="s">
        <x:v>9513</x:v>
      </x:c>
      <x:c r="C2419" s="0" t="s">
        <x:v>9514</x:v>
      </x:c>
      <x:c r="E2419" s="0" t="s">
        <x:v>9515</x:v>
      </x:c>
      <x:c r="F2419" s="0" t="s">
        <x:v>45</x:v>
      </x:c>
      <x:c r="G2419" s="0" t="s">
        <x:v>19</x:v>
      </x:c>
      <x:c r="H2419" s="0" t="s">
        <x:v>20</x:v>
      </x:c>
      <x:c r="I2419" s="0" t="s">
        <x:v>21</x:v>
      </x:c>
      <x:c r="K2419" s="0">
        <x:f>hyperlink("https://icd.who.int/dev11/l-ichi/en#/http%3A%2F%2Fid.who.int%2Ficd%2Fentity%2F1871040751","browser")</x:f>
      </x:c>
      <x:c r="L2419" s="0">
        <x:f>hyperlink("https://icat2.azurewebsites.net/icat/?ontology=ICD&amp;tab=ClassesTab&amp;id=http%3A%2F%2Fwho.int%2Ficd%239770_512ebf36_bf6b_4d70_85da_cf2637062af4","iCat")</x:f>
      </x:c>
      <x:c r="M2419" s="0" t="s">
        <x:v>21</x:v>
      </x:c>
      <x:c r="N2419" s="0" t="s">
        <x:v>46</x:v>
      </x:c>
    </x:row>
    <x:row r="2420" spans="1:16">
      <x:c r="A2420" s="0" t="s">
        <x:v>9516</x:v>
      </x:c>
      <x:c r="B2420" s="0" t="s">
        <x:v>9517</x:v>
      </x:c>
      <x:c r="C2420" s="0" t="s">
        <x:v>9518</x:v>
      </x:c>
      <x:c r="E2420" s="0" t="s">
        <x:v>9519</x:v>
      </x:c>
      <x:c r="F2420" s="0" t="s">
        <x:v>45</x:v>
      </x:c>
      <x:c r="G2420" s="0" t="s">
        <x:v>19</x:v>
      </x:c>
      <x:c r="H2420" s="0" t="s">
        <x:v>20</x:v>
      </x:c>
      <x:c r="I2420" s="0" t="s">
        <x:v>21</x:v>
      </x:c>
      <x:c r="K2420" s="0">
        <x:f>hyperlink("https://icd.who.int/dev11/l-ichi/en#/http%3A%2F%2Fid.who.int%2Ficd%2Fentity%2F1073613152","browser")</x:f>
      </x:c>
      <x:c r="L2420" s="0">
        <x:f>hyperlink("https://icat2.azurewebsites.net/icat/?ontology=ICD&amp;tab=ClassesTab&amp;id=http%3A%2F%2Fwho.int%2Ficd%239776_512ebf36_bf6b_4d70_85da_cf2637062af4","iCat")</x:f>
      </x:c>
      <x:c r="M2420" s="0" t="s">
        <x:v>21</x:v>
      </x:c>
      <x:c r="N2420" s="0" t="s">
        <x:v>46</x:v>
      </x:c>
    </x:row>
    <x:row r="2421" spans="1:16">
      <x:c r="A2421" s="0" t="s">
        <x:v>9520</x:v>
      </x:c>
      <x:c r="B2421" s="0" t="s">
        <x:v>9521</x:v>
      </x:c>
      <x:c r="C2421" s="0" t="s">
        <x:v>9522</x:v>
      </x:c>
      <x:c r="E2421" s="0" t="s">
        <x:v>9523</x:v>
      </x:c>
      <x:c r="F2421" s="0" t="s">
        <x:v>45</x:v>
      </x:c>
      <x:c r="G2421" s="0" t="s">
        <x:v>19</x:v>
      </x:c>
      <x:c r="H2421" s="0" t="s">
        <x:v>20</x:v>
      </x:c>
      <x:c r="I2421" s="0" t="s">
        <x:v>21</x:v>
      </x:c>
      <x:c r="K2421" s="0">
        <x:f>hyperlink("https://icd.who.int/dev11/l-ichi/en#/http%3A%2F%2Fid.who.int%2Ficd%2Fentity%2F1407537022","browser")</x:f>
      </x:c>
      <x:c r="L2421" s="0">
        <x:f>hyperlink("https://icat2.azurewebsites.net/icat/?ontology=ICD&amp;tab=ClassesTab&amp;id=http%3A%2F%2Fwho.int%2Ficd%2315518_4869915e_217e_423d_acb3_33c0f920ef4b","iCat")</x:f>
      </x:c>
      <x:c r="M2421" s="0" t="s">
        <x:v>21</x:v>
      </x:c>
      <x:c r="N2421" s="0" t="s">
        <x:v>46</x:v>
      </x:c>
    </x:row>
    <x:row r="2422" spans="1:16">
      <x:c r="A2422" s="0" t="s">
        <x:v>9524</x:v>
      </x:c>
      <x:c r="B2422" s="0" t="s">
        <x:v>9525</x:v>
      </x:c>
      <x:c r="C2422" s="0" t="s">
        <x:v>9526</x:v>
      </x:c>
      <x:c r="E2422" s="0" t="s">
        <x:v>9527</x:v>
      </x:c>
      <x:c r="F2422" s="0" t="s">
        <x:v>45</x:v>
      </x:c>
      <x:c r="G2422" s="0" t="s">
        <x:v>19</x:v>
      </x:c>
      <x:c r="H2422" s="0" t="s">
        <x:v>20</x:v>
      </x:c>
      <x:c r="I2422" s="0" t="s">
        <x:v>21</x:v>
      </x:c>
      <x:c r="K2422" s="0">
        <x:f>hyperlink("https://icd.who.int/dev11/l-ichi/en#/http%3A%2F%2Fid.who.int%2Ficd%2Fentity%2F1864523935","browser")</x:f>
      </x:c>
      <x:c r="L2422" s="0">
        <x:f>hyperlink("https://icat2.azurewebsites.net/icat/?ontology=ICD&amp;tab=ClassesTab&amp;id=http%3A%2F%2Fwho.int%2Ficd%239793_512ebf36_bf6b_4d70_85da_cf2637062af4","iCat")</x:f>
      </x:c>
      <x:c r="M2422" s="0" t="s">
        <x:v>21</x:v>
      </x:c>
      <x:c r="N2422" s="0" t="s">
        <x:v>46</x:v>
      </x:c>
    </x:row>
    <x:row r="2423" spans="1:16">
      <x:c r="A2423" s="0" t="s">
        <x:v>9528</x:v>
      </x:c>
      <x:c r="B2423" s="0" t="s">
        <x:v>9529</x:v>
      </x:c>
      <x:c r="C2423" s="0" t="s">
        <x:v>9530</x:v>
      </x:c>
      <x:c r="E2423" s="0" t="s">
        <x:v>9531</x:v>
      </x:c>
      <x:c r="F2423" s="0" t="s">
        <x:v>45</x:v>
      </x:c>
      <x:c r="G2423" s="0" t="s">
        <x:v>19</x:v>
      </x:c>
      <x:c r="H2423" s="0" t="s">
        <x:v>20</x:v>
      </x:c>
      <x:c r="I2423" s="0" t="s">
        <x:v>21</x:v>
      </x:c>
      <x:c r="K2423" s="0">
        <x:f>hyperlink("https://icd.who.int/dev11/l-ichi/en#/http%3A%2F%2Fid.who.int%2Ficd%2Fentity%2F689853427","browser")</x:f>
      </x:c>
      <x:c r="L2423" s="0">
        <x:f>hyperlink("https://icat2.azurewebsites.net/icat/?ontology=ICD&amp;tab=ClassesTab&amp;id=http%3A%2F%2Fwho.int%2Ficd%239800_512ebf36_bf6b_4d70_85da_cf2637062af4","iCat")</x:f>
      </x:c>
      <x:c r="M2423" s="0" t="s">
        <x:v>21</x:v>
      </x:c>
      <x:c r="N2423" s="0" t="s">
        <x:v>46</x:v>
      </x:c>
    </x:row>
    <x:row r="2424" spans="1:16">
      <x:c r="A2424" s="0" t="s">
        <x:v>9532</x:v>
      </x:c>
      <x:c r="B2424" s="0" t="s">
        <x:v>9533</x:v>
      </x:c>
      <x:c r="C2424" s="0" t="s">
        <x:v>9534</x:v>
      </x:c>
      <x:c r="E2424" s="0" t="s">
        <x:v>9535</x:v>
      </x:c>
      <x:c r="F2424" s="0" t="s">
        <x:v>45</x:v>
      </x:c>
      <x:c r="G2424" s="0" t="s">
        <x:v>19</x:v>
      </x:c>
      <x:c r="H2424" s="0" t="s">
        <x:v>20</x:v>
      </x:c>
      <x:c r="I2424" s="0" t="s">
        <x:v>21</x:v>
      </x:c>
      <x:c r="K2424" s="0">
        <x:f>hyperlink("https://icd.who.int/dev11/l-ichi/en#/http%3A%2F%2Fid.who.int%2Ficd%2Fentity%2F106867037","browser")</x:f>
      </x:c>
      <x:c r="L2424" s="0">
        <x:f>hyperlink("https://icat2.azurewebsites.net/icat/?ontology=ICD&amp;tab=ClassesTab&amp;id=http%3A%2F%2Fwho.int%2Ficd%239813_512ebf36_bf6b_4d70_85da_cf2637062af4","iCat")</x:f>
      </x:c>
      <x:c r="M2424" s="0" t="s">
        <x:v>21</x:v>
      </x:c>
      <x:c r="N2424" s="0" t="s">
        <x:v>46</x:v>
      </x:c>
    </x:row>
    <x:row r="2425" spans="1:16">
      <x:c r="A2425" s="0" t="s">
        <x:v>9536</x:v>
      </x:c>
      <x:c r="B2425" s="0" t="s">
        <x:v>9537</x:v>
      </x:c>
      <x:c r="C2425" s="0" t="s">
        <x:v>9538</x:v>
      </x:c>
      <x:c r="E2425" s="0" t="s">
        <x:v>9539</x:v>
      </x:c>
      <x:c r="F2425" s="0" t="s">
        <x:v>45</x:v>
      </x:c>
      <x:c r="G2425" s="0" t="s">
        <x:v>19</x:v>
      </x:c>
      <x:c r="H2425" s="0" t="s">
        <x:v>20</x:v>
      </x:c>
      <x:c r="I2425" s="0" t="s">
        <x:v>21</x:v>
      </x:c>
      <x:c r="K2425" s="0">
        <x:f>hyperlink("https://icd.who.int/dev11/l-ichi/en#/http%3A%2F%2Fid.who.int%2Ficd%2Fentity%2F765707725","browser")</x:f>
      </x:c>
      <x:c r="L2425" s="0">
        <x:f>hyperlink("https://icat2.azurewebsites.net/icat/?ontology=ICD&amp;tab=ClassesTab&amp;id=http%3A%2F%2Fwho.int%2Ficd%239819_512ebf36_bf6b_4d70_85da_cf2637062af4","iCat")</x:f>
      </x:c>
      <x:c r="M2425" s="0" t="s">
        <x:v>21</x:v>
      </x:c>
      <x:c r="N2425" s="0" t="s">
        <x:v>46</x:v>
      </x:c>
    </x:row>
    <x:row r="2426" spans="1:16">
      <x:c r="A2426" s="0" t="s">
        <x:v>9540</x:v>
      </x:c>
      <x:c r="B2426" s="0" t="s">
        <x:v>9541</x:v>
      </x:c>
      <x:c r="C2426" s="0" t="s">
        <x:v>9542</x:v>
      </x:c>
      <x:c r="E2426" s="0" t="s">
        <x:v>9543</x:v>
      </x:c>
      <x:c r="F2426" s="0" t="s">
        <x:v>45</x:v>
      </x:c>
      <x:c r="G2426" s="0" t="s">
        <x:v>19</x:v>
      </x:c>
      <x:c r="H2426" s="0" t="s">
        <x:v>20</x:v>
      </x:c>
      <x:c r="I2426" s="0" t="s">
        <x:v>21</x:v>
      </x:c>
      <x:c r="K2426" s="0">
        <x:f>hyperlink("https://icd.who.int/dev11/l-ichi/en#/http%3A%2F%2Fid.who.int%2Ficd%2Fentity%2F378810603","browser")</x:f>
      </x:c>
      <x:c r="L2426" s="0">
        <x:f>hyperlink("https://icat2.azurewebsites.net/icat/?ontology=ICD&amp;tab=ClassesTab&amp;id=http%3A%2F%2Fwho.int%2Ficd%239825_512ebf36_bf6b_4d70_85da_cf2637062af4","iCat")</x:f>
      </x:c>
      <x:c r="M2426" s="0" t="s">
        <x:v>21</x:v>
      </x:c>
      <x:c r="N2426" s="0" t="s">
        <x:v>46</x:v>
      </x:c>
    </x:row>
    <x:row r="2427" spans="1:16">
      <x:c r="A2427" s="0" t="s">
        <x:v>9544</x:v>
      </x:c>
      <x:c r="B2427" s="0" t="s">
        <x:v>9545</x:v>
      </x:c>
      <x:c r="C2427" s="0" t="s">
        <x:v>9546</x:v>
      </x:c>
      <x:c r="E2427" s="0" t="s">
        <x:v>9547</x:v>
      </x:c>
      <x:c r="F2427" s="0" t="s">
        <x:v>45</x:v>
      </x:c>
      <x:c r="G2427" s="0" t="s">
        <x:v>19</x:v>
      </x:c>
      <x:c r="H2427" s="0" t="s">
        <x:v>20</x:v>
      </x:c>
      <x:c r="I2427" s="0" t="s">
        <x:v>21</x:v>
      </x:c>
      <x:c r="K2427" s="0">
        <x:f>hyperlink("https://icd.who.int/dev11/l-ichi/en#/http%3A%2F%2Fid.who.int%2Ficd%2Fentity%2F530342904","browser")</x:f>
      </x:c>
      <x:c r="L2427" s="0">
        <x:f>hyperlink("https://icat2.azurewebsites.net/icat/?ontology=ICD&amp;tab=ClassesTab&amp;id=http%3A%2F%2Fwho.int%2Ficd%2310866_4869915e_217e_423d_acb3_33c0f920ef4b","iCat")</x:f>
      </x:c>
      <x:c r="M2427" s="0" t="s">
        <x:v>21</x:v>
      </x:c>
      <x:c r="N2427" s="0" t="s">
        <x:v>46</x:v>
      </x:c>
    </x:row>
    <x:row r="2428" spans="1:16">
      <x:c r="A2428" s="0" t="s">
        <x:v>9548</x:v>
      </x:c>
      <x:c r="B2428" s="0" t="s">
        <x:v>9549</x:v>
      </x:c>
      <x:c r="C2428" s="0" t="s">
        <x:v>9550</x:v>
      </x:c>
      <x:c r="E2428" s="0" t="s">
        <x:v>9551</x:v>
      </x:c>
      <x:c r="F2428" s="0" t="s">
        <x:v>45</x:v>
      </x:c>
      <x:c r="G2428" s="0" t="s">
        <x:v>19</x:v>
      </x:c>
      <x:c r="H2428" s="0" t="s">
        <x:v>20</x:v>
      </x:c>
      <x:c r="I2428" s="0" t="s">
        <x:v>21</x:v>
      </x:c>
      <x:c r="K2428" s="0">
        <x:f>hyperlink("https://icd.who.int/dev11/l-ichi/en#/http%3A%2F%2Fid.who.int%2Ficd%2Fentity%2F215158321","browser")</x:f>
      </x:c>
      <x:c r="L2428" s="0">
        <x:f>hyperlink("https://icat2.azurewebsites.net/icat/?ontology=ICD&amp;tab=ClassesTab&amp;id=http%3A%2F%2Fwho.int%2Ficd%239832_512ebf36_bf6b_4d70_85da_cf2637062af4","iCat")</x:f>
      </x:c>
      <x:c r="M2428" s="0" t="s">
        <x:v>21</x:v>
      </x:c>
      <x:c r="N2428" s="0" t="s">
        <x:v>46</x:v>
      </x:c>
    </x:row>
    <x:row r="2429" spans="1:16">
      <x:c r="A2429" s="0" t="s">
        <x:v>9552</x:v>
      </x:c>
      <x:c r="B2429" s="0" t="s">
        <x:v>9553</x:v>
      </x:c>
      <x:c r="C2429" s="0" t="s">
        <x:v>9554</x:v>
      </x:c>
      <x:c r="E2429" s="0" t="s">
        <x:v>9555</x:v>
      </x:c>
      <x:c r="F2429" s="0" t="s">
        <x:v>45</x:v>
      </x:c>
      <x:c r="G2429" s="0" t="s">
        <x:v>19</x:v>
      </x:c>
      <x:c r="H2429" s="0" t="s">
        <x:v>20</x:v>
      </x:c>
      <x:c r="I2429" s="0" t="s">
        <x:v>21</x:v>
      </x:c>
      <x:c r="K2429" s="0">
        <x:f>hyperlink("https://icd.who.int/dev11/l-ichi/en#/http%3A%2F%2Fid.who.int%2Ficd%2Fentity%2F1283962534","browser")</x:f>
      </x:c>
      <x:c r="L2429" s="0">
        <x:f>hyperlink("https://icat2.azurewebsites.net/icat/?ontology=ICD&amp;tab=ClassesTab&amp;id=http%3A%2F%2Fwho.int%2Ficd%239845_512ebf36_bf6b_4d70_85da_cf2637062af4","iCat")</x:f>
      </x:c>
      <x:c r="M2429" s="0" t="s">
        <x:v>21</x:v>
      </x:c>
      <x:c r="N2429" s="0" t="s">
        <x:v>46</x:v>
      </x:c>
    </x:row>
    <x:row r="2430" spans="1:16">
      <x:c r="A2430" s="0" t="s">
        <x:v>9556</x:v>
      </x:c>
      <x:c r="B2430" s="0" t="s">
        <x:v>9557</x:v>
      </x:c>
      <x:c r="C2430" s="0" t="s">
        <x:v>9558</x:v>
      </x:c>
      <x:c r="E2430" s="0" t="s">
        <x:v>9559</x:v>
      </x:c>
      <x:c r="F2430" s="0" t="s">
        <x:v>45</x:v>
      </x:c>
      <x:c r="G2430" s="0" t="s">
        <x:v>19</x:v>
      </x:c>
      <x:c r="H2430" s="0" t="s">
        <x:v>20</x:v>
      </x:c>
      <x:c r="I2430" s="0" t="s">
        <x:v>21</x:v>
      </x:c>
      <x:c r="K2430" s="0">
        <x:f>hyperlink("https://icd.who.int/dev11/l-ichi/en#/http%3A%2F%2Fid.who.int%2Ficd%2Fentity%2F112939469","browser")</x:f>
      </x:c>
      <x:c r="L2430" s="0">
        <x:f>hyperlink("https://icat2.azurewebsites.net/icat/?ontology=ICD&amp;tab=ClassesTab&amp;id=http%3A%2F%2Fwho.int%2Ficd%239854_512ebf36_bf6b_4d70_85da_cf2637062af4","iCat")</x:f>
      </x:c>
      <x:c r="M2430" s="0" t="s">
        <x:v>21</x:v>
      </x:c>
      <x:c r="N2430" s="0" t="s">
        <x:v>46</x:v>
      </x:c>
    </x:row>
    <x:row r="2431" spans="1:16">
      <x:c r="A2431" s="0" t="s">
        <x:v>9560</x:v>
      </x:c>
      <x:c r="B2431" s="0" t="s">
        <x:v>9561</x:v>
      </x:c>
      <x:c r="C2431" s="0" t="s">
        <x:v>9562</x:v>
      </x:c>
      <x:c r="E2431" s="0" t="s">
        <x:v>9563</x:v>
      </x:c>
      <x:c r="F2431" s="0" t="s">
        <x:v>45</x:v>
      </x:c>
      <x:c r="G2431" s="0" t="s">
        <x:v>19</x:v>
      </x:c>
      <x:c r="H2431" s="0" t="s">
        <x:v>20</x:v>
      </x:c>
      <x:c r="I2431" s="0" t="s">
        <x:v>21</x:v>
      </x:c>
      <x:c r="K2431" s="0">
        <x:f>hyperlink("https://icd.who.int/dev11/l-ichi/en#/http%3A%2F%2Fid.who.int%2Ficd%2Fentity%2F1175065034","browser")</x:f>
      </x:c>
      <x:c r="L2431" s="0">
        <x:f>hyperlink("https://icat2.azurewebsites.net/icat/?ontology=ICD&amp;tab=ClassesTab&amp;id=http%3A%2F%2Fwho.int%2Ficd%239864_512ebf36_bf6b_4d70_85da_cf2637062af4","iCat")</x:f>
      </x:c>
      <x:c r="M2431" s="0" t="s">
        <x:v>21</x:v>
      </x:c>
      <x:c r="N2431" s="0" t="s">
        <x:v>46</x:v>
      </x:c>
    </x:row>
    <x:row r="2432" spans="1:16">
      <x:c r="A2432" s="0" t="s">
        <x:v>9564</x:v>
      </x:c>
      <x:c r="B2432" s="0" t="s">
        <x:v>9565</x:v>
      </x:c>
      <x:c r="C2432" s="0" t="s">
        <x:v>9566</x:v>
      </x:c>
      <x:c r="E2432" s="0" t="s">
        <x:v>9567</x:v>
      </x:c>
      <x:c r="F2432" s="0" t="s">
        <x:v>45</x:v>
      </x:c>
      <x:c r="G2432" s="0" t="s">
        <x:v>19</x:v>
      </x:c>
      <x:c r="H2432" s="0" t="s">
        <x:v>20</x:v>
      </x:c>
      <x:c r="I2432" s="0" t="s">
        <x:v>21</x:v>
      </x:c>
      <x:c r="K2432" s="0">
        <x:f>hyperlink("https://icd.who.int/dev11/l-ichi/en#/http%3A%2F%2Fid.who.int%2Ficd%2Fentity%2F959525589","browser")</x:f>
      </x:c>
      <x:c r="L2432" s="0">
        <x:f>hyperlink("https://icat2.azurewebsites.net/icat/?ontology=ICD&amp;tab=ClassesTab&amp;id=http%3A%2F%2Fwho.int%2Ficd%239871_512ebf36_bf6b_4d70_85da_cf2637062af4","iCat")</x:f>
      </x:c>
      <x:c r="M2432" s="0" t="s">
        <x:v>21</x:v>
      </x:c>
      <x:c r="N2432" s="0" t="s">
        <x:v>46</x:v>
      </x:c>
    </x:row>
    <x:row r="2433" spans="1:16">
      <x:c r="A2433" s="0" t="s">
        <x:v>9568</x:v>
      </x:c>
      <x:c r="B2433" s="0" t="s">
        <x:v>9569</x:v>
      </x:c>
      <x:c r="C2433" s="0" t="s">
        <x:v>9570</x:v>
      </x:c>
      <x:c r="E2433" s="0" t="s">
        <x:v>9571</x:v>
      </x:c>
      <x:c r="F2433" s="0" t="s">
        <x:v>45</x:v>
      </x:c>
      <x:c r="G2433" s="0" t="s">
        <x:v>19</x:v>
      </x:c>
      <x:c r="H2433" s="0" t="s">
        <x:v>20</x:v>
      </x:c>
      <x:c r="I2433" s="0" t="s">
        <x:v>21</x:v>
      </x:c>
      <x:c r="K2433" s="0">
        <x:f>hyperlink("https://icd.who.int/dev11/l-ichi/en#/http%3A%2F%2Fid.who.int%2Ficd%2Fentity%2F389648620","browser")</x:f>
      </x:c>
      <x:c r="L2433" s="0">
        <x:f>hyperlink("https://icat2.azurewebsites.net/icat/?ontology=ICD&amp;tab=ClassesTab&amp;id=http%3A%2F%2Fwho.int%2Ficd%2338_daad0bf0_ff4e_4553_92d6_19c72048c1a7","iCat")</x:f>
      </x:c>
      <x:c r="M2433" s="0" t="s">
        <x:v>21</x:v>
      </x:c>
      <x:c r="N2433" s="0" t="s">
        <x:v>46</x:v>
      </x:c>
    </x:row>
    <x:row r="2434" spans="1:16">
      <x:c r="A2434" s="0" t="s">
        <x:v>9572</x:v>
      </x:c>
      <x:c r="B2434" s="0" t="s">
        <x:v>9573</x:v>
      </x:c>
      <x:c r="C2434" s="0" t="s">
        <x:v>9574</x:v>
      </x:c>
      <x:c r="E2434" s="0" t="s">
        <x:v>9575</x:v>
      </x:c>
      <x:c r="F2434" s="0" t="s">
        <x:v>45</x:v>
      </x:c>
      <x:c r="G2434" s="0" t="s">
        <x:v>19</x:v>
      </x:c>
      <x:c r="H2434" s="0" t="s">
        <x:v>20</x:v>
      </x:c>
      <x:c r="I2434" s="0" t="s">
        <x:v>21</x:v>
      </x:c>
      <x:c r="K2434" s="0">
        <x:f>hyperlink("https://icd.who.int/dev11/l-ichi/en#/http%3A%2F%2Fid.who.int%2Ficd%2Fentity%2F1550399191","browser")</x:f>
      </x:c>
      <x:c r="L2434" s="0">
        <x:f>hyperlink("https://icat2.azurewebsites.net/icat/?ontology=ICD&amp;tab=ClassesTab&amp;id=http%3A%2F%2Fwho.int%2Ficd%2344_daad0bf0_ff4e_4553_92d6_19c72048c1a7","iCat")</x:f>
      </x:c>
      <x:c r="M2434" s="0" t="s">
        <x:v>21</x:v>
      </x:c>
      <x:c r="N2434" s="0" t="s">
        <x:v>46</x:v>
      </x:c>
    </x:row>
    <x:row r="2435" spans="1:16">
      <x:c r="A2435" s="0" t="s">
        <x:v>9576</x:v>
      </x:c>
      <x:c r="B2435" s="0" t="s">
        <x:v>9577</x:v>
      </x:c>
      <x:c r="C2435" s="0" t="s">
        <x:v>9578</x:v>
      </x:c>
      <x:c r="E2435" s="0" t="s">
        <x:v>9579</x:v>
      </x:c>
      <x:c r="F2435" s="0" t="s">
        <x:v>45</x:v>
      </x:c>
      <x:c r="G2435" s="0" t="s">
        <x:v>19</x:v>
      </x:c>
      <x:c r="H2435" s="0" t="s">
        <x:v>20</x:v>
      </x:c>
      <x:c r="I2435" s="0" t="s">
        <x:v>21</x:v>
      </x:c>
      <x:c r="K2435" s="0">
        <x:f>hyperlink("https://icd.who.int/dev11/l-ichi/en#/http%3A%2F%2Fid.who.int%2Ficd%2Fentity%2F1766517606","browser")</x:f>
      </x:c>
      <x:c r="L2435" s="0">
        <x:f>hyperlink("https://icat2.azurewebsites.net/icat/?ontology=ICD&amp;tab=ClassesTab&amp;id=http%3A%2F%2Fwho.int%2Ficd%239877_512ebf36_bf6b_4d70_85da_cf2637062af4","iCat")</x:f>
      </x:c>
      <x:c r="M2435" s="0" t="s">
        <x:v>21</x:v>
      </x:c>
      <x:c r="N2435" s="0" t="s">
        <x:v>46</x:v>
      </x:c>
    </x:row>
    <x:row r="2436" spans="1:16">
      <x:c r="A2436" s="0" t="s">
        <x:v>9580</x:v>
      </x:c>
      <x:c r="B2436" s="0" t="s">
        <x:v>9581</x:v>
      </x:c>
      <x:c r="C2436" s="0" t="s">
        <x:v>9582</x:v>
      </x:c>
      <x:c r="E2436" s="0" t="s">
        <x:v>9583</x:v>
      </x:c>
      <x:c r="F2436" s="0" t="s">
        <x:v>45</x:v>
      </x:c>
      <x:c r="G2436" s="0" t="s">
        <x:v>19</x:v>
      </x:c>
      <x:c r="H2436" s="0" t="s">
        <x:v>20</x:v>
      </x:c>
      <x:c r="I2436" s="0" t="s">
        <x:v>21</x:v>
      </x:c>
      <x:c r="K2436" s="0">
        <x:f>hyperlink("https://icd.who.int/dev11/l-ichi/en#/http%3A%2F%2Fid.who.int%2Ficd%2Fentity%2F600947839","browser")</x:f>
      </x:c>
      <x:c r="L2436" s="0">
        <x:f>hyperlink("https://icat2.azurewebsites.net/icat/?ontology=ICD&amp;tab=ClassesTab&amp;id=http%3A%2F%2Fwho.int%2Ficd%239885_512ebf36_bf6b_4d70_85da_cf2637062af4","iCat")</x:f>
      </x:c>
      <x:c r="M2436" s="0" t="s">
        <x:v>21</x:v>
      </x:c>
      <x:c r="N2436" s="0" t="s">
        <x:v>46</x:v>
      </x:c>
    </x:row>
    <x:row r="2437" spans="1:16">
      <x:c r="A2437" s="0" t="s">
        <x:v>9584</x:v>
      </x:c>
      <x:c r="B2437" s="0" t="s">
        <x:v>9585</x:v>
      </x:c>
      <x:c r="C2437" s="0" t="s">
        <x:v>9586</x:v>
      </x:c>
      <x:c r="E2437" s="0" t="s">
        <x:v>9587</x:v>
      </x:c>
      <x:c r="F2437" s="0" t="s">
        <x:v>45</x:v>
      </x:c>
      <x:c r="G2437" s="0" t="s">
        <x:v>19</x:v>
      </x:c>
      <x:c r="H2437" s="0" t="s">
        <x:v>20</x:v>
      </x:c>
      <x:c r="I2437" s="0" t="s">
        <x:v>21</x:v>
      </x:c>
      <x:c r="K2437" s="0">
        <x:f>hyperlink("https://icd.who.int/dev11/l-ichi/en#/http%3A%2F%2Fid.who.int%2Ficd%2Fentity%2F966165157","browser")</x:f>
      </x:c>
      <x:c r="L2437" s="0">
        <x:f>hyperlink("https://icat2.azurewebsites.net/icat/?ontology=ICD&amp;tab=ClassesTab&amp;id=http%3A%2F%2Fwho.int%2Ficd%239892_512ebf36_bf6b_4d70_85da_cf2637062af4","iCat")</x:f>
      </x:c>
      <x:c r="M2437" s="0" t="s">
        <x:v>21</x:v>
      </x:c>
      <x:c r="N2437" s="0" t="s">
        <x:v>46</x:v>
      </x:c>
    </x:row>
    <x:row r="2438" spans="1:16">
      <x:c r="A2438" s="0" t="s">
        <x:v>9588</x:v>
      </x:c>
      <x:c r="B2438" s="0" t="s">
        <x:v>9589</x:v>
      </x:c>
      <x:c r="C2438" s="0" t="s">
        <x:v>9590</x:v>
      </x:c>
      <x:c r="E2438" s="0" t="s">
        <x:v>9591</x:v>
      </x:c>
      <x:c r="F2438" s="0" t="s">
        <x:v>45</x:v>
      </x:c>
      <x:c r="G2438" s="0" t="s">
        <x:v>19</x:v>
      </x:c>
      <x:c r="H2438" s="0" t="s">
        <x:v>20</x:v>
      </x:c>
      <x:c r="I2438" s="0" t="s">
        <x:v>21</x:v>
      </x:c>
      <x:c r="K2438" s="0">
        <x:f>hyperlink("https://icd.who.int/dev11/l-ichi/en#/http%3A%2F%2Fid.who.int%2Ficd%2Fentity%2F848469001","browser")</x:f>
      </x:c>
      <x:c r="L2438" s="0">
        <x:f>hyperlink("https://icat2.azurewebsites.net/icat/?ontology=ICD&amp;tab=ClassesTab&amp;id=http%3A%2F%2Fwho.int%2Ficd%239899_512ebf36_bf6b_4d70_85da_cf2637062af4","iCat")</x:f>
      </x:c>
      <x:c r="M2438" s="0" t="s">
        <x:v>21</x:v>
      </x:c>
      <x:c r="N2438" s="0" t="s">
        <x:v>46</x:v>
      </x:c>
    </x:row>
    <x:row r="2439" spans="1:16">
      <x:c r="A2439" s="0" t="s">
        <x:v>9592</x:v>
      </x:c>
      <x:c r="B2439" s="0" t="s">
        <x:v>9593</x:v>
      </x:c>
      <x:c r="C2439" s="0" t="s">
        <x:v>9594</x:v>
      </x:c>
      <x:c r="E2439" s="0" t="s">
        <x:v>9595</x:v>
      </x:c>
      <x:c r="F2439" s="0" t="s">
        <x:v>45</x:v>
      </x:c>
      <x:c r="G2439" s="0" t="s">
        <x:v>19</x:v>
      </x:c>
      <x:c r="H2439" s="0" t="s">
        <x:v>20</x:v>
      </x:c>
      <x:c r="I2439" s="0" t="s">
        <x:v>21</x:v>
      </x:c>
      <x:c r="K2439" s="0">
        <x:f>hyperlink("https://icd.who.int/dev11/l-ichi/en#/http%3A%2F%2Fid.who.int%2Ficd%2Fentity%2F1233068838","browser")</x:f>
      </x:c>
      <x:c r="L2439" s="0">
        <x:f>hyperlink("https://icat2.azurewebsites.net/icat/?ontology=ICD&amp;tab=ClassesTab&amp;id=http%3A%2F%2Fwho.int%2Ficd%239905_512ebf36_bf6b_4d70_85da_cf2637062af4","iCat")</x:f>
      </x:c>
      <x:c r="M2439" s="0" t="s">
        <x:v>21</x:v>
      </x:c>
      <x:c r="N2439" s="0" t="s">
        <x:v>46</x:v>
      </x:c>
    </x:row>
    <x:row r="2440" spans="1:16">
      <x:c r="A2440" s="0" t="s">
        <x:v>9596</x:v>
      </x:c>
      <x:c r="B2440" s="0" t="s">
        <x:v>9597</x:v>
      </x:c>
      <x:c r="C2440" s="0" t="s">
        <x:v>9598</x:v>
      </x:c>
      <x:c r="E2440" s="0" t="s">
        <x:v>9599</x:v>
      </x:c>
      <x:c r="F2440" s="0" t="s">
        <x:v>45</x:v>
      </x:c>
      <x:c r="G2440" s="0" t="s">
        <x:v>19</x:v>
      </x:c>
      <x:c r="H2440" s="0" t="s">
        <x:v>20</x:v>
      </x:c>
      <x:c r="I2440" s="0" t="s">
        <x:v>21</x:v>
      </x:c>
      <x:c r="K2440" s="0">
        <x:f>hyperlink("https://icd.who.int/dev11/l-ichi/en#/http%3A%2F%2Fid.who.int%2Ficd%2Fentity%2F1396186620","browser")</x:f>
      </x:c>
      <x:c r="L2440" s="0">
        <x:f>hyperlink("https://icat2.azurewebsites.net/icat/?ontology=ICD&amp;tab=ClassesTab&amp;id=http%3A%2F%2Fwho.int%2Ficd%239912_512ebf36_bf6b_4d70_85da_cf2637062af4","iCat")</x:f>
      </x:c>
      <x:c r="M2440" s="0" t="s">
        <x:v>21</x:v>
      </x:c>
      <x:c r="N2440" s="0" t="s">
        <x:v>46</x:v>
      </x:c>
    </x:row>
    <x:row r="2441" spans="1:16">
      <x:c r="A2441" s="0" t="s">
        <x:v>9600</x:v>
      </x:c>
      <x:c r="B2441" s="0" t="s">
        <x:v>9601</x:v>
      </x:c>
      <x:c r="C2441" s="0" t="s">
        <x:v>9602</x:v>
      </x:c>
      <x:c r="E2441" s="0" t="s">
        <x:v>9603</x:v>
      </x:c>
      <x:c r="F2441" s="0" t="s">
        <x:v>45</x:v>
      </x:c>
      <x:c r="G2441" s="0" t="s">
        <x:v>19</x:v>
      </x:c>
      <x:c r="H2441" s="0" t="s">
        <x:v>20</x:v>
      </x:c>
      <x:c r="I2441" s="0" t="s">
        <x:v>21</x:v>
      </x:c>
      <x:c r="K2441" s="0">
        <x:f>hyperlink("https://icd.who.int/dev11/l-ichi/en#/http%3A%2F%2Fid.who.int%2Ficd%2Fentity%2F1995784256","browser")</x:f>
      </x:c>
      <x:c r="L2441" s="0">
        <x:f>hyperlink("https://icat2.azurewebsites.net/icat/?ontology=ICD&amp;tab=ClassesTab&amp;id=http%3A%2F%2Fwho.int%2Ficd%239920_512ebf36_bf6b_4d70_85da_cf2637062af4","iCat")</x:f>
      </x:c>
      <x:c r="M2441" s="0" t="s">
        <x:v>21</x:v>
      </x:c>
      <x:c r="N2441" s="0" t="s">
        <x:v>46</x:v>
      </x:c>
    </x:row>
    <x:row r="2442" spans="1:16">
      <x:c r="A2442" s="0" t="s">
        <x:v>9604</x:v>
      </x:c>
      <x:c r="B2442" s="0" t="s">
        <x:v>9605</x:v>
      </x:c>
      <x:c r="C2442" s="0" t="s">
        <x:v>9606</x:v>
      </x:c>
      <x:c r="E2442" s="0" t="s">
        <x:v>9607</x:v>
      </x:c>
      <x:c r="F2442" s="0" t="s">
        <x:v>45</x:v>
      </x:c>
      <x:c r="G2442" s="0" t="s">
        <x:v>19</x:v>
      </x:c>
      <x:c r="H2442" s="0" t="s">
        <x:v>20</x:v>
      </x:c>
      <x:c r="I2442" s="0" t="s">
        <x:v>21</x:v>
      </x:c>
      <x:c r="K2442" s="0">
        <x:f>hyperlink("https://icd.who.int/dev11/l-ichi/en#/http%3A%2F%2Fid.who.int%2Ficd%2Fentity%2F947138923","browser")</x:f>
      </x:c>
      <x:c r="L2442" s="0">
        <x:f>hyperlink("https://icat2.azurewebsites.net/icat/?ontology=ICD&amp;tab=ClassesTab&amp;id=http%3A%2F%2Fwho.int%2Ficd%239928_512ebf36_bf6b_4d70_85da_cf2637062af4","iCat")</x:f>
      </x:c>
      <x:c r="M2442" s="0" t="s">
        <x:v>21</x:v>
      </x:c>
      <x:c r="N2442" s="0" t="s">
        <x:v>46</x:v>
      </x:c>
    </x:row>
    <x:row r="2443" spans="1:16">
      <x:c r="A2443" s="0" t="s">
        <x:v>9608</x:v>
      </x:c>
      <x:c r="B2443" s="0" t="s">
        <x:v>9609</x:v>
      </x:c>
      <x:c r="C2443" s="0" t="s">
        <x:v>9610</x:v>
      </x:c>
      <x:c r="E2443" s="0" t="s">
        <x:v>9611</x:v>
      </x:c>
      <x:c r="F2443" s="0" t="s">
        <x:v>45</x:v>
      </x:c>
      <x:c r="G2443" s="0" t="s">
        <x:v>19</x:v>
      </x:c>
      <x:c r="H2443" s="0" t="s">
        <x:v>20</x:v>
      </x:c>
      <x:c r="I2443" s="0" t="s">
        <x:v>21</x:v>
      </x:c>
      <x:c r="K2443" s="0">
        <x:f>hyperlink("https://icd.who.int/dev11/l-ichi/en#/http%3A%2F%2Fid.who.int%2Ficd%2Fentity%2F691474717","browser")</x:f>
      </x:c>
      <x:c r="L2443" s="0">
        <x:f>hyperlink("https://icat2.azurewebsites.net/icat/?ontology=ICD&amp;tab=ClassesTab&amp;id=http%3A%2F%2Fwho.int%2Ficd%239934_512ebf36_bf6b_4d70_85da_cf2637062af4","iCat")</x:f>
      </x:c>
      <x:c r="M2443" s="0" t="s">
        <x:v>21</x:v>
      </x:c>
      <x:c r="N2443" s="0" t="s">
        <x:v>46</x:v>
      </x:c>
    </x:row>
    <x:row r="2444" spans="1:16">
      <x:c r="A2444" s="0" t="s">
        <x:v>9612</x:v>
      </x:c>
      <x:c r="B2444" s="0" t="s">
        <x:v>9613</x:v>
      </x:c>
      <x:c r="C2444" s="0" t="s">
        <x:v>9614</x:v>
      </x:c>
      <x:c r="E2444" s="0" t="s">
        <x:v>9615</x:v>
      </x:c>
      <x:c r="F2444" s="0" t="s">
        <x:v>45</x:v>
      </x:c>
      <x:c r="G2444" s="0" t="s">
        <x:v>19</x:v>
      </x:c>
      <x:c r="H2444" s="0" t="s">
        <x:v>20</x:v>
      </x:c>
      <x:c r="I2444" s="0" t="s">
        <x:v>21</x:v>
      </x:c>
      <x:c r="K2444" s="0">
        <x:f>hyperlink("https://icd.who.int/dev11/l-ichi/en#/http%3A%2F%2Fid.who.int%2Ficd%2Fentity%2F203404367","browser")</x:f>
      </x:c>
      <x:c r="L2444" s="0">
        <x:f>hyperlink("https://icat2.azurewebsites.net/icat/?ontology=ICD&amp;tab=ClassesTab&amp;id=http%3A%2F%2Fwho.int%2Ficd%239941_512ebf36_bf6b_4d70_85da_cf2637062af4","iCat")</x:f>
      </x:c>
      <x:c r="M2444" s="0" t="s">
        <x:v>21</x:v>
      </x:c>
      <x:c r="N2444" s="0" t="s">
        <x:v>46</x:v>
      </x:c>
    </x:row>
    <x:row r="2445" spans="1:16">
      <x:c r="A2445" s="0" t="s">
        <x:v>9616</x:v>
      </x:c>
      <x:c r="B2445" s="0" t="s">
        <x:v>9617</x:v>
      </x:c>
      <x:c r="C2445" s="0" t="s">
        <x:v>9618</x:v>
      </x:c>
      <x:c r="E2445" s="0" t="s">
        <x:v>9619</x:v>
      </x:c>
      <x:c r="F2445" s="0" t="s">
        <x:v>45</x:v>
      </x:c>
      <x:c r="G2445" s="0" t="s">
        <x:v>19</x:v>
      </x:c>
      <x:c r="H2445" s="0" t="s">
        <x:v>20</x:v>
      </x:c>
      <x:c r="I2445" s="0" t="s">
        <x:v>21</x:v>
      </x:c>
      <x:c r="K2445" s="0">
        <x:f>hyperlink("https://icd.who.int/dev11/l-ichi/en#/http%3A%2F%2Fid.who.int%2Ficd%2Fentity%2F1650964262","browser")</x:f>
      </x:c>
      <x:c r="L2445" s="0">
        <x:f>hyperlink("https://icat2.azurewebsites.net/icat/?ontology=ICD&amp;tab=ClassesTab&amp;id=http%3A%2F%2Fwho.int%2Ficd%239948_512ebf36_bf6b_4d70_85da_cf2637062af4","iCat")</x:f>
      </x:c>
      <x:c r="M2445" s="0" t="s">
        <x:v>21</x:v>
      </x:c>
      <x:c r="N2445" s="0" t="s">
        <x:v>46</x:v>
      </x:c>
    </x:row>
    <x:row r="2446" spans="1:16">
      <x:c r="A2446" s="0" t="s">
        <x:v>9620</x:v>
      </x:c>
      <x:c r="B2446" s="0" t="s">
        <x:v>9621</x:v>
      </x:c>
      <x:c r="C2446" s="0" t="s">
        <x:v>9622</x:v>
      </x:c>
      <x:c r="E2446" s="0" t="s">
        <x:v>9623</x:v>
      </x:c>
      <x:c r="F2446" s="0" t="s">
        <x:v>45</x:v>
      </x:c>
      <x:c r="G2446" s="0" t="s">
        <x:v>19</x:v>
      </x:c>
      <x:c r="H2446" s="0" t="s">
        <x:v>20</x:v>
      </x:c>
      <x:c r="I2446" s="0" t="s">
        <x:v>21</x:v>
      </x:c>
      <x:c r="K2446" s="0">
        <x:f>hyperlink("https://icd.who.int/dev11/l-ichi/en#/http%3A%2F%2Fid.who.int%2Ficd%2Fentity%2F1566596755","browser")</x:f>
      </x:c>
      <x:c r="L2446" s="0">
        <x:f>hyperlink("https://icat2.azurewebsites.net/icat/?ontology=ICD&amp;tab=ClassesTab&amp;id=http%3A%2F%2Fwho.int%2Ficd%232219_97087496_4a82_4efa_a45a_b3256f81bd7e","iCat")</x:f>
      </x:c>
      <x:c r="M2446" s="0" t="s">
        <x:v>21</x:v>
      </x:c>
      <x:c r="N2446" s="0" t="s">
        <x:v>46</x:v>
      </x:c>
    </x:row>
    <x:row r="2447" spans="1:16">
      <x:c r="A2447" s="0" t="s">
        <x:v>9624</x:v>
      </x:c>
      <x:c r="B2447" s="0" t="s">
        <x:v>9625</x:v>
      </x:c>
      <x:c r="C2447" s="0" t="s">
        <x:v>9626</x:v>
      </x:c>
      <x:c r="E2447" s="0" t="s">
        <x:v>9627</x:v>
      </x:c>
      <x:c r="F2447" s="0" t="s">
        <x:v>45</x:v>
      </x:c>
      <x:c r="G2447" s="0" t="s">
        <x:v>19</x:v>
      </x:c>
      <x:c r="H2447" s="0" t="s">
        <x:v>20</x:v>
      </x:c>
      <x:c r="I2447" s="0" t="s">
        <x:v>21</x:v>
      </x:c>
      <x:c r="K2447" s="0">
        <x:f>hyperlink("https://icd.who.int/dev11/l-ichi/en#/http%3A%2F%2Fid.who.int%2Ficd%2Fentity%2F144843377","browser")</x:f>
      </x:c>
      <x:c r="L2447" s="0">
        <x:f>hyperlink("https://icat2.azurewebsites.net/icat/?ontology=ICD&amp;tab=ClassesTab&amp;id=http%3A%2F%2Fwho.int%2Ficd%239958_512ebf36_bf6b_4d70_85da_cf2637062af4","iCat")</x:f>
      </x:c>
      <x:c r="M2447" s="0" t="s">
        <x:v>21</x:v>
      </x:c>
      <x:c r="N2447" s="0" t="s">
        <x:v>46</x:v>
      </x:c>
    </x:row>
    <x:row r="2448" spans="1:16">
      <x:c r="A2448" s="0" t="s">
        <x:v>9628</x:v>
      </x:c>
      <x:c r="B2448" s="0" t="s">
        <x:v>9629</x:v>
      </x:c>
      <x:c r="C2448" s="0" t="s">
        <x:v>9630</x:v>
      </x:c>
      <x:c r="E2448" s="0" t="s">
        <x:v>9631</x:v>
      </x:c>
      <x:c r="F2448" s="0" t="s">
        <x:v>45</x:v>
      </x:c>
      <x:c r="G2448" s="0" t="s">
        <x:v>19</x:v>
      </x:c>
      <x:c r="H2448" s="0" t="s">
        <x:v>20</x:v>
      </x:c>
      <x:c r="I2448" s="0" t="s">
        <x:v>21</x:v>
      </x:c>
      <x:c r="K2448" s="0">
        <x:f>hyperlink("https://icd.who.int/dev11/l-ichi/en#/http%3A%2F%2Fid.who.int%2Ficd%2Fentity%2F325887339","browser")</x:f>
      </x:c>
      <x:c r="L2448" s="0">
        <x:f>hyperlink("https://icat2.azurewebsites.net/icat/?ontology=ICD&amp;tab=ClassesTab&amp;id=http%3A%2F%2Fwho.int%2Ficd%239965_512ebf36_bf6b_4d70_85da_cf2637062af4","iCat")</x:f>
      </x:c>
      <x:c r="M2448" s="0" t="s">
        <x:v>21</x:v>
      </x:c>
      <x:c r="N2448" s="0" t="s">
        <x:v>46</x:v>
      </x:c>
    </x:row>
    <x:row r="2449" spans="1:16">
      <x:c r="A2449" s="0" t="s">
        <x:v>9632</x:v>
      </x:c>
      <x:c r="B2449" s="0" t="s">
        <x:v>9633</x:v>
      </x:c>
      <x:c r="C2449" s="0" t="s">
        <x:v>9634</x:v>
      </x:c>
      <x:c r="E2449" s="0" t="s">
        <x:v>9635</x:v>
      </x:c>
      <x:c r="F2449" s="0" t="s">
        <x:v>45</x:v>
      </x:c>
      <x:c r="G2449" s="0" t="s">
        <x:v>19</x:v>
      </x:c>
      <x:c r="H2449" s="0" t="s">
        <x:v>20</x:v>
      </x:c>
      <x:c r="I2449" s="0" t="s">
        <x:v>21</x:v>
      </x:c>
      <x:c r="K2449" s="0">
        <x:f>hyperlink("https://icd.who.int/dev11/l-ichi/en#/http%3A%2F%2Fid.who.int%2Ficd%2Fentity%2F701688205","browser")</x:f>
      </x:c>
      <x:c r="L2449" s="0">
        <x:f>hyperlink("https://icat2.azurewebsites.net/icat/?ontology=ICD&amp;tab=ClassesTab&amp;id=http%3A%2F%2Fwho.int%2Ficd%239973_512ebf36_bf6b_4d70_85da_cf2637062af4","iCat")</x:f>
      </x:c>
      <x:c r="M2449" s="0" t="s">
        <x:v>21</x:v>
      </x:c>
      <x:c r="N2449" s="0" t="s">
        <x:v>46</x:v>
      </x:c>
    </x:row>
    <x:row r="2450" spans="1:16">
      <x:c r="A2450" s="0" t="s">
        <x:v>9636</x:v>
      </x:c>
      <x:c r="B2450" s="0" t="s">
        <x:v>9637</x:v>
      </x:c>
      <x:c r="C2450" s="0" t="s">
        <x:v>9638</x:v>
      </x:c>
      <x:c r="E2450" s="0" t="s">
        <x:v>9639</x:v>
      </x:c>
      <x:c r="F2450" s="0" t="s">
        <x:v>45</x:v>
      </x:c>
      <x:c r="G2450" s="0" t="s">
        <x:v>19</x:v>
      </x:c>
      <x:c r="H2450" s="0" t="s">
        <x:v>20</x:v>
      </x:c>
      <x:c r="I2450" s="0" t="s">
        <x:v>21</x:v>
      </x:c>
      <x:c r="K2450" s="0">
        <x:f>hyperlink("https://icd.who.int/dev11/l-ichi/en#/http%3A%2F%2Fid.who.int%2Ficd%2Fentity%2F1665777302","browser")</x:f>
      </x:c>
      <x:c r="L2450" s="0">
        <x:f>hyperlink("https://icat2.azurewebsites.net/icat/?ontology=ICD&amp;tab=ClassesTab&amp;id=http%3A%2F%2Fwho.int%2Ficd%239981_512ebf36_bf6b_4d70_85da_cf2637062af4","iCat")</x:f>
      </x:c>
      <x:c r="M2450" s="0" t="s">
        <x:v>21</x:v>
      </x:c>
      <x:c r="N2450" s="0" t="s">
        <x:v>46</x:v>
      </x:c>
    </x:row>
    <x:row r="2451" spans="1:16">
      <x:c r="A2451" s="0" t="s">
        <x:v>9640</x:v>
      </x:c>
      <x:c r="B2451" s="0" t="s">
        <x:v>9641</x:v>
      </x:c>
      <x:c r="C2451" s="0" t="s">
        <x:v>9642</x:v>
      </x:c>
      <x:c r="E2451" s="0" t="s">
        <x:v>9643</x:v>
      </x:c>
      <x:c r="F2451" s="0" t="s">
        <x:v>45</x:v>
      </x:c>
      <x:c r="G2451" s="0" t="s">
        <x:v>19</x:v>
      </x:c>
      <x:c r="H2451" s="0" t="s">
        <x:v>20</x:v>
      </x:c>
      <x:c r="I2451" s="0" t="s">
        <x:v>21</x:v>
      </x:c>
      <x:c r="K2451" s="0">
        <x:f>hyperlink("https://icd.who.int/dev11/l-ichi/en#/http%3A%2F%2Fid.who.int%2Ficd%2Fentity%2F1275675706","browser")</x:f>
      </x:c>
      <x:c r="L2451" s="0">
        <x:f>hyperlink("https://icat2.azurewebsites.net/icat/?ontology=ICD&amp;tab=ClassesTab&amp;id=http%3A%2F%2Fwho.int%2Ficd%239992_512ebf36_bf6b_4d70_85da_cf2637062af4","iCat")</x:f>
      </x:c>
      <x:c r="M2451" s="0" t="s">
        <x:v>21</x:v>
      </x:c>
      <x:c r="N2451" s="0" t="s">
        <x:v>46</x:v>
      </x:c>
    </x:row>
    <x:row r="2452" spans="1:16">
      <x:c r="A2452" s="0" t="s">
        <x:v>9644</x:v>
      </x:c>
      <x:c r="B2452" s="0" t="s">
        <x:v>9645</x:v>
      </x:c>
      <x:c r="C2452" s="0" t="s">
        <x:v>9646</x:v>
      </x:c>
      <x:c r="E2452" s="0" t="s">
        <x:v>9647</x:v>
      </x:c>
      <x:c r="F2452" s="0" t="s">
        <x:v>45</x:v>
      </x:c>
      <x:c r="G2452" s="0" t="s">
        <x:v>19</x:v>
      </x:c>
      <x:c r="H2452" s="0" t="s">
        <x:v>20</x:v>
      </x:c>
      <x:c r="I2452" s="0" t="s">
        <x:v>21</x:v>
      </x:c>
      <x:c r="K2452" s="0">
        <x:f>hyperlink("https://icd.who.int/dev11/l-ichi/en#/http%3A%2F%2Fid.who.int%2Ficd%2Fentity%2F1744054442","browser")</x:f>
      </x:c>
      <x:c r="L2452" s="0">
        <x:f>hyperlink("https://icat2.azurewebsites.net/icat/?ontology=ICD&amp;tab=ClassesTab&amp;id=http%3A%2F%2Fwho.int%2Ficd%239998_512ebf36_bf6b_4d70_85da_cf2637062af4","iCat")</x:f>
      </x:c>
      <x:c r="M2452" s="0" t="s">
        <x:v>21</x:v>
      </x:c>
      <x:c r="N2452" s="0" t="s">
        <x:v>46</x:v>
      </x:c>
    </x:row>
    <x:row r="2453" spans="1:16">
      <x:c r="A2453" s="0" t="s">
        <x:v>9648</x:v>
      </x:c>
      <x:c r="B2453" s="0" t="s">
        <x:v>9649</x:v>
      </x:c>
      <x:c r="C2453" s="0" t="s">
        <x:v>9650</x:v>
      </x:c>
      <x:c r="E2453" s="0" t="s">
        <x:v>9651</x:v>
      </x:c>
      <x:c r="F2453" s="0" t="s">
        <x:v>45</x:v>
      </x:c>
      <x:c r="G2453" s="0" t="s">
        <x:v>19</x:v>
      </x:c>
      <x:c r="H2453" s="0" t="s">
        <x:v>20</x:v>
      </x:c>
      <x:c r="I2453" s="0" t="s">
        <x:v>21</x:v>
      </x:c>
      <x:c r="K2453" s="0">
        <x:f>hyperlink("https://icd.who.int/dev11/l-ichi/en#/http%3A%2F%2Fid.who.int%2Ficd%2Fentity%2F1855025782","browser")</x:f>
      </x:c>
      <x:c r="L2453" s="0">
        <x:f>hyperlink("https://icat2.azurewebsites.net/icat/?ontology=ICD&amp;tab=ClassesTab&amp;id=http%3A%2F%2Fwho.int%2Ficd%2310006_512ebf36_bf6b_4d70_85da_cf2637062af4","iCat")</x:f>
      </x:c>
      <x:c r="M2453" s="0" t="s">
        <x:v>21</x:v>
      </x:c>
      <x:c r="N2453" s="0" t="s">
        <x:v>46</x:v>
      </x:c>
    </x:row>
    <x:row r="2454" spans="1:16">
      <x:c r="A2454" s="0" t="s">
        <x:v>9652</x:v>
      </x:c>
      <x:c r="B2454" s="0" t="s">
        <x:v>9653</x:v>
      </x:c>
      <x:c r="C2454" s="0" t="s">
        <x:v>9654</x:v>
      </x:c>
      <x:c r="E2454" s="0" t="s">
        <x:v>9655</x:v>
      </x:c>
      <x:c r="F2454" s="0" t="s">
        <x:v>45</x:v>
      </x:c>
      <x:c r="G2454" s="0" t="s">
        <x:v>19</x:v>
      </x:c>
      <x:c r="H2454" s="0" t="s">
        <x:v>20</x:v>
      </x:c>
      <x:c r="I2454" s="0" t="s">
        <x:v>21</x:v>
      </x:c>
      <x:c r="K2454" s="0">
        <x:f>hyperlink("https://icd.who.int/dev11/l-ichi/en#/http%3A%2F%2Fid.who.int%2Ficd%2Fentity%2F827532119","browser")</x:f>
      </x:c>
      <x:c r="L2454" s="0">
        <x:f>hyperlink("https://icat2.azurewebsites.net/icat/?ontology=ICD&amp;tab=ClassesTab&amp;id=http%3A%2F%2Fwho.int%2Ficd%2310012_512ebf36_bf6b_4d70_85da_cf2637062af4","iCat")</x:f>
      </x:c>
      <x:c r="M2454" s="0" t="s">
        <x:v>21</x:v>
      </x:c>
      <x:c r="N2454" s="0" t="s">
        <x:v>46</x:v>
      </x:c>
    </x:row>
    <x:row r="2455" spans="1:16">
      <x:c r="A2455" s="0" t="s">
        <x:v>9656</x:v>
      </x:c>
      <x:c r="B2455" s="0" t="s">
        <x:v>9657</x:v>
      </x:c>
      <x:c r="C2455" s="0" t="s">
        <x:v>9658</x:v>
      </x:c>
      <x:c r="E2455" s="0" t="s">
        <x:v>9659</x:v>
      </x:c>
      <x:c r="F2455" s="0" t="s">
        <x:v>45</x:v>
      </x:c>
      <x:c r="G2455" s="0" t="s">
        <x:v>19</x:v>
      </x:c>
      <x:c r="H2455" s="0" t="s">
        <x:v>20</x:v>
      </x:c>
      <x:c r="I2455" s="0" t="s">
        <x:v>21</x:v>
      </x:c>
      <x:c r="K2455" s="0">
        <x:f>hyperlink("https://icd.who.int/dev11/l-ichi/en#/http%3A%2F%2Fid.who.int%2Ficd%2Fentity%2F447631303","browser")</x:f>
      </x:c>
      <x:c r="L2455" s="0">
        <x:f>hyperlink("https://icat2.azurewebsites.net/icat/?ontology=ICD&amp;tab=ClassesTab&amp;id=http%3A%2F%2Fwho.int%2Ficd%2310018_512ebf36_bf6b_4d70_85da_cf2637062af4","iCat")</x:f>
      </x:c>
      <x:c r="M2455" s="0" t="s">
        <x:v>21</x:v>
      </x:c>
      <x:c r="N2455" s="0" t="s">
        <x:v>46</x:v>
      </x:c>
    </x:row>
    <x:row r="2456" spans="1:16">
      <x:c r="A2456" s="0" t="s">
        <x:v>9660</x:v>
      </x:c>
      <x:c r="B2456" s="0" t="s">
        <x:v>9661</x:v>
      </x:c>
      <x:c r="C2456" s="0" t="s">
        <x:v>9662</x:v>
      </x:c>
      <x:c r="E2456" s="0" t="s">
        <x:v>9663</x:v>
      </x:c>
      <x:c r="F2456" s="0" t="s">
        <x:v>45</x:v>
      </x:c>
      <x:c r="G2456" s="0" t="s">
        <x:v>19</x:v>
      </x:c>
      <x:c r="H2456" s="0" t="s">
        <x:v>20</x:v>
      </x:c>
      <x:c r="I2456" s="0" t="s">
        <x:v>21</x:v>
      </x:c>
      <x:c r="K2456" s="0">
        <x:f>hyperlink("https://icd.who.int/dev11/l-ichi/en#/http%3A%2F%2Fid.who.int%2Ficd%2Fentity%2F563722977","browser")</x:f>
      </x:c>
      <x:c r="L2456" s="0">
        <x:f>hyperlink("https://icat2.azurewebsites.net/icat/?ontology=ICD&amp;tab=ClassesTab&amp;id=http%3A%2F%2Fwho.int%2Ficd%2310024_512ebf36_bf6b_4d70_85da_cf2637062af4","iCat")</x:f>
      </x:c>
      <x:c r="M2456" s="0" t="s">
        <x:v>21</x:v>
      </x:c>
      <x:c r="N2456" s="0" t="s">
        <x:v>46</x:v>
      </x:c>
    </x:row>
    <x:row r="2457" spans="1:16">
      <x:c r="A2457" s="0" t="s">
        <x:v>9664</x:v>
      </x:c>
      <x:c r="B2457" s="0" t="s">
        <x:v>9665</x:v>
      </x:c>
      <x:c r="C2457" s="0" t="s">
        <x:v>9666</x:v>
      </x:c>
      <x:c r="E2457" s="0" t="s">
        <x:v>9667</x:v>
      </x:c>
      <x:c r="F2457" s="0" t="s">
        <x:v>45</x:v>
      </x:c>
      <x:c r="G2457" s="0" t="s">
        <x:v>19</x:v>
      </x:c>
      <x:c r="H2457" s="0" t="s">
        <x:v>20</x:v>
      </x:c>
      <x:c r="I2457" s="0" t="s">
        <x:v>21</x:v>
      </x:c>
      <x:c r="K2457" s="0">
        <x:f>hyperlink("https://icd.who.int/dev11/l-ichi/en#/http%3A%2F%2Fid.who.int%2Ficd%2Fentity%2F1587714558","browser")</x:f>
      </x:c>
      <x:c r="L2457" s="0">
        <x:f>hyperlink("https://icat2.azurewebsites.net/icat/?ontology=ICD&amp;tab=ClassesTab&amp;id=http%3A%2F%2Fwho.int%2Ficd%2310031_512ebf36_bf6b_4d70_85da_cf2637062af4","iCat")</x:f>
      </x:c>
      <x:c r="M2457" s="0" t="s">
        <x:v>21</x:v>
      </x:c>
      <x:c r="N2457" s="0" t="s">
        <x:v>46</x:v>
      </x:c>
    </x:row>
    <x:row r="2458" spans="1:16">
      <x:c r="A2458" s="0" t="s">
        <x:v>9668</x:v>
      </x:c>
      <x:c r="B2458" s="0" t="s">
        <x:v>9669</x:v>
      </x:c>
      <x:c r="C2458" s="0" t="s">
        <x:v>9670</x:v>
      </x:c>
      <x:c r="E2458" s="0" t="s">
        <x:v>9671</x:v>
      </x:c>
      <x:c r="F2458" s="0" t="s">
        <x:v>45</x:v>
      </x:c>
      <x:c r="G2458" s="0" t="s">
        <x:v>19</x:v>
      </x:c>
      <x:c r="H2458" s="0" t="s">
        <x:v>20</x:v>
      </x:c>
      <x:c r="I2458" s="0" t="s">
        <x:v>21</x:v>
      </x:c>
      <x:c r="K2458" s="0">
        <x:f>hyperlink("https://icd.who.int/dev11/l-ichi/en#/http%3A%2F%2Fid.who.int%2Ficd%2Fentity%2F819632791","browser")</x:f>
      </x:c>
      <x:c r="L2458" s="0">
        <x:f>hyperlink("https://icat2.azurewebsites.net/icat/?ontology=ICD&amp;tab=ClassesTab&amp;id=http%3A%2F%2Fwho.int%2Ficd%2310038_512ebf36_bf6b_4d70_85da_cf2637062af4","iCat")</x:f>
      </x:c>
      <x:c r="M2458" s="0" t="s">
        <x:v>21</x:v>
      </x:c>
      <x:c r="N2458" s="0" t="s">
        <x:v>46</x:v>
      </x:c>
    </x:row>
    <x:row r="2459" spans="1:16">
      <x:c r="A2459" s="0" t="s">
        <x:v>9672</x:v>
      </x:c>
      <x:c r="B2459" s="0" t="s">
        <x:v>9673</x:v>
      </x:c>
      <x:c r="C2459" s="0" t="s">
        <x:v>9674</x:v>
      </x:c>
      <x:c r="E2459" s="0" t="s">
        <x:v>9675</x:v>
      </x:c>
      <x:c r="F2459" s="0" t="s">
        <x:v>45</x:v>
      </x:c>
      <x:c r="G2459" s="0" t="s">
        <x:v>19</x:v>
      </x:c>
      <x:c r="H2459" s="0" t="s">
        <x:v>20</x:v>
      </x:c>
      <x:c r="I2459" s="0" t="s">
        <x:v>21</x:v>
      </x:c>
      <x:c r="K2459" s="0">
        <x:f>hyperlink("https://icd.who.int/dev11/l-ichi/en#/http%3A%2F%2Fid.who.int%2Ficd%2Fentity%2F821645","browser")</x:f>
      </x:c>
      <x:c r="L2459" s="0">
        <x:f>hyperlink("https://icat2.azurewebsites.net/icat/?ontology=ICD&amp;tab=ClassesTab&amp;id=http%3A%2F%2Fwho.int%2Ficd%2310048_512ebf36_bf6b_4d70_85da_cf2637062af4","iCat")</x:f>
      </x:c>
      <x:c r="M2459" s="0" t="s">
        <x:v>21</x:v>
      </x:c>
      <x:c r="N2459" s="0" t="s">
        <x:v>46</x:v>
      </x:c>
    </x:row>
    <x:row r="2460" spans="1:16">
      <x:c r="A2460" s="0" t="s">
        <x:v>9676</x:v>
      </x:c>
      <x:c r="B2460" s="0" t="s">
        <x:v>9677</x:v>
      </x:c>
      <x:c r="C2460" s="0" t="s">
        <x:v>9678</x:v>
      </x:c>
      <x:c r="E2460" s="0" t="s">
        <x:v>9679</x:v>
      </x:c>
      <x:c r="F2460" s="0" t="s">
        <x:v>45</x:v>
      </x:c>
      <x:c r="G2460" s="0" t="s">
        <x:v>19</x:v>
      </x:c>
      <x:c r="H2460" s="0" t="s">
        <x:v>20</x:v>
      </x:c>
      <x:c r="I2460" s="0" t="s">
        <x:v>21</x:v>
      </x:c>
      <x:c r="K2460" s="0">
        <x:f>hyperlink("https://icd.who.int/dev11/l-ichi/en#/http%3A%2F%2Fid.who.int%2Ficd%2Fentity%2F1791565018","browser")</x:f>
      </x:c>
      <x:c r="L2460" s="0">
        <x:f>hyperlink("https://icat2.azurewebsites.net/icat/?ontology=ICD&amp;tab=ClassesTab&amp;id=http%3A%2F%2Fwho.int%2Ficd%2310058_512ebf36_bf6b_4d70_85da_cf2637062af4","iCat")</x:f>
      </x:c>
      <x:c r="M2460" s="0" t="s">
        <x:v>21</x:v>
      </x:c>
      <x:c r="N2460" s="0" t="s">
        <x:v>46</x:v>
      </x:c>
    </x:row>
    <x:row r="2461" spans="1:16">
      <x:c r="A2461" s="0" t="s">
        <x:v>9680</x:v>
      </x:c>
      <x:c r="B2461" s="0" t="s">
        <x:v>9681</x:v>
      </x:c>
      <x:c r="C2461" s="0" t="s">
        <x:v>9682</x:v>
      </x:c>
      <x:c r="E2461" s="0" t="s">
        <x:v>9683</x:v>
      </x:c>
      <x:c r="F2461" s="0" t="s">
        <x:v>45</x:v>
      </x:c>
      <x:c r="G2461" s="0" t="s">
        <x:v>19</x:v>
      </x:c>
      <x:c r="H2461" s="0" t="s">
        <x:v>20</x:v>
      </x:c>
      <x:c r="I2461" s="0" t="s">
        <x:v>21</x:v>
      </x:c>
      <x:c r="K2461" s="0">
        <x:f>hyperlink("https://icd.who.int/dev11/l-ichi/en#/http%3A%2F%2Fid.who.int%2Ficd%2Fentity%2F1486613916","browser")</x:f>
      </x:c>
      <x:c r="L2461" s="0">
        <x:f>hyperlink("https://icat2.azurewebsites.net/icat/?ontology=ICD&amp;tab=ClassesTab&amp;id=http%3A%2F%2Fwho.int%2Ficd%23477_4869915e_217e_423d_acb3_33c0f920ef4b","iCat")</x:f>
      </x:c>
      <x:c r="M2461" s="0" t="s">
        <x:v>21</x:v>
      </x:c>
      <x:c r="N2461" s="0" t="s">
        <x:v>46</x:v>
      </x:c>
    </x:row>
    <x:row r="2462" spans="1:16">
      <x:c r="A2462" s="0" t="s">
        <x:v>9684</x:v>
      </x:c>
      <x:c r="B2462" s="0" t="s">
        <x:v>9685</x:v>
      </x:c>
      <x:c r="C2462" s="0" t="s">
        <x:v>9686</x:v>
      </x:c>
      <x:c r="E2462" s="0" t="s">
        <x:v>9687</x:v>
      </x:c>
      <x:c r="F2462" s="0" t="s">
        <x:v>45</x:v>
      </x:c>
      <x:c r="G2462" s="0" t="s">
        <x:v>19</x:v>
      </x:c>
      <x:c r="H2462" s="0" t="s">
        <x:v>20</x:v>
      </x:c>
      <x:c r="I2462" s="0" t="s">
        <x:v>21</x:v>
      </x:c>
      <x:c r="K2462" s="0">
        <x:f>hyperlink("https://icd.who.int/dev11/l-ichi/en#/http%3A%2F%2Fid.who.int%2Ficd%2Fentity%2F1375660540","browser")</x:f>
      </x:c>
      <x:c r="L2462" s="0">
        <x:f>hyperlink("https://icat2.azurewebsites.net/icat/?ontology=ICD&amp;tab=ClassesTab&amp;id=http%3A%2F%2Fwho.int%2Ficd%2310064_512ebf36_bf6b_4d70_85da_cf2637062af4","iCat")</x:f>
      </x:c>
      <x:c r="M2462" s="0" t="s">
        <x:v>21</x:v>
      </x:c>
      <x:c r="N2462" s="0" t="s">
        <x:v>46</x:v>
      </x:c>
    </x:row>
    <x:row r="2463" spans="1:16">
      <x:c r="A2463" s="0" t="s">
        <x:v>9688</x:v>
      </x:c>
      <x:c r="B2463" s="0" t="s">
        <x:v>9689</x:v>
      </x:c>
      <x:c r="D2463" s="0" t="s">
        <x:v>9690</x:v>
      </x:c>
      <x:c r="E2463" s="0" t="s">
        <x:v>9691</x:v>
      </x:c>
      <x:c r="F2463" s="0" t="s">
        <x:v>26</x:v>
      </x:c>
      <x:c r="G2463" s="0" t="s">
        <x:v>22</x:v>
      </x:c>
      <x:c r="H2463" s="0" t="s">
        <x:v>20</x:v>
      </x:c>
      <x:c r="I2463" s="0" t="s">
        <x:v>21</x:v>
      </x:c>
      <x:c r="K2463" s="0">
        <x:f>hyperlink("https://icd.who.int/dev11/l-ichi/en#/http%3A%2F%2Fid.who.int%2Ficd%2Fentity%2F1581736302","browser")</x:f>
      </x:c>
      <x:c r="L2463" s="0">
        <x:f>hyperlink("https://icat2.azurewebsites.net/icat/?ontology=ICD&amp;tab=ClassesTab&amp;id=http%3A%2F%2Fwho.int%2Ficd%2310076_512ebf36_bf6b_4d70_85da_cf2637062af4","iCat")</x:f>
      </x:c>
      <x:c r="M2463" s="0" t="s">
        <x:v>20</x:v>
      </x:c>
      <x:c r="N2463" s="0" t="s">
        <x:v>4583</x:v>
      </x:c>
    </x:row>
    <x:row r="2464" spans="1:16">
      <x:c r="A2464" s="0" t="s">
        <x:v>9692</x:v>
      </x:c>
      <x:c r="B2464" s="0" t="s">
        <x:v>9693</x:v>
      </x:c>
      <x:c r="C2464" s="0" t="s">
        <x:v>9694</x:v>
      </x:c>
      <x:c r="E2464" s="0" t="s">
        <x:v>9695</x:v>
      </x:c>
      <x:c r="F2464" s="0" t="s">
        <x:v>45</x:v>
      </x:c>
      <x:c r="G2464" s="0" t="s">
        <x:v>19</x:v>
      </x:c>
      <x:c r="H2464" s="0" t="s">
        <x:v>20</x:v>
      </x:c>
      <x:c r="I2464" s="0" t="s">
        <x:v>21</x:v>
      </x:c>
      <x:c r="K2464" s="0">
        <x:f>hyperlink("https://icd.who.int/dev11/l-ichi/en#/http%3A%2F%2Fid.who.int%2Ficd%2Fentity%2F465702551","browser")</x:f>
      </x:c>
      <x:c r="L2464" s="0">
        <x:f>hyperlink("https://icat2.azurewebsites.net/icat/?ontology=ICD&amp;tab=ClassesTab&amp;id=http%3A%2F%2Fwho.int%2Ficd%2310075_512ebf36_bf6b_4d70_85da_cf2637062af4","iCat")</x:f>
      </x:c>
      <x:c r="M2464" s="0" t="s">
        <x:v>21</x:v>
      </x:c>
      <x:c r="N2464" s="0" t="s">
        <x:v>46</x:v>
      </x:c>
    </x:row>
    <x:row r="2465" spans="1:16">
      <x:c r="A2465" s="0" t="s">
        <x:v>9696</x:v>
      </x:c>
      <x:c r="B2465" s="0" t="s">
        <x:v>9697</x:v>
      </x:c>
      <x:c r="C2465" s="0" t="s">
        <x:v>9698</x:v>
      </x:c>
      <x:c r="E2465" s="0" t="s">
        <x:v>9699</x:v>
      </x:c>
      <x:c r="F2465" s="0" t="s">
        <x:v>45</x:v>
      </x:c>
      <x:c r="G2465" s="0" t="s">
        <x:v>19</x:v>
      </x:c>
      <x:c r="H2465" s="0" t="s">
        <x:v>20</x:v>
      </x:c>
      <x:c r="I2465" s="0" t="s">
        <x:v>21</x:v>
      </x:c>
      <x:c r="K2465" s="0">
        <x:f>hyperlink("https://icd.who.int/dev11/l-ichi/en#/http%3A%2F%2Fid.who.int%2Ficd%2Fentity%2F1260283736","browser")</x:f>
      </x:c>
      <x:c r="L2465" s="0">
        <x:f>hyperlink("https://icat2.azurewebsites.net/icat/?ontology=ICD&amp;tab=ClassesTab&amp;id=http%3A%2F%2Fwho.int%2Ficd%2310090_512ebf36_bf6b_4d70_85da_cf2637062af4","iCat")</x:f>
      </x:c>
      <x:c r="M2465" s="0" t="s">
        <x:v>21</x:v>
      </x:c>
      <x:c r="N2465" s="0" t="s">
        <x:v>46</x:v>
      </x:c>
    </x:row>
    <x:row r="2466" spans="1:16">
      <x:c r="A2466" s="0" t="s">
        <x:v>9700</x:v>
      </x:c>
      <x:c r="B2466" s="0" t="s">
        <x:v>9701</x:v>
      </x:c>
      <x:c r="C2466" s="0" t="s">
        <x:v>9702</x:v>
      </x:c>
      <x:c r="E2466" s="0" t="s">
        <x:v>9703</x:v>
      </x:c>
      <x:c r="F2466" s="0" t="s">
        <x:v>45</x:v>
      </x:c>
      <x:c r="G2466" s="0" t="s">
        <x:v>19</x:v>
      </x:c>
      <x:c r="H2466" s="0" t="s">
        <x:v>20</x:v>
      </x:c>
      <x:c r="I2466" s="0" t="s">
        <x:v>21</x:v>
      </x:c>
      <x:c r="K2466" s="0">
        <x:f>hyperlink("https://icd.who.int/dev11/l-ichi/en#/http%3A%2F%2Fid.who.int%2Ficd%2Fentity%2F459652839","browser")</x:f>
      </x:c>
      <x:c r="L2466" s="0">
        <x:f>hyperlink("https://icat2.azurewebsites.net/icat/?ontology=ICD&amp;tab=ClassesTab&amp;id=http%3A%2F%2Fwho.int%2Ficd%2310096_512ebf36_bf6b_4d70_85da_cf2637062af4","iCat")</x:f>
      </x:c>
      <x:c r="M2466" s="0" t="s">
        <x:v>21</x:v>
      </x:c>
      <x:c r="N2466" s="0" t="s">
        <x:v>46</x:v>
      </x:c>
    </x:row>
    <x:row r="2467" spans="1:16">
      <x:c r="A2467" s="0" t="s">
        <x:v>9704</x:v>
      </x:c>
      <x:c r="B2467" s="0" t="s">
        <x:v>9705</x:v>
      </x:c>
      <x:c r="C2467" s="0" t="s">
        <x:v>9706</x:v>
      </x:c>
      <x:c r="E2467" s="0" t="s">
        <x:v>9707</x:v>
      </x:c>
      <x:c r="F2467" s="0" t="s">
        <x:v>45</x:v>
      </x:c>
      <x:c r="G2467" s="0" t="s">
        <x:v>19</x:v>
      </x:c>
      <x:c r="H2467" s="0" t="s">
        <x:v>20</x:v>
      </x:c>
      <x:c r="I2467" s="0" t="s">
        <x:v>21</x:v>
      </x:c>
      <x:c r="K2467" s="0">
        <x:f>hyperlink("https://icd.who.int/dev11/l-ichi/en#/http%3A%2F%2Fid.who.int%2Ficd%2Fentity%2F453948649","browser")</x:f>
      </x:c>
      <x:c r="L2467" s="0">
        <x:f>hyperlink("https://icat2.azurewebsites.net/icat/?ontology=ICD&amp;tab=ClassesTab&amp;id=http%3A%2F%2Fwho.int%2Ficd%2310106_512ebf36_bf6b_4d70_85da_cf2637062af4","iCat")</x:f>
      </x:c>
      <x:c r="M2467" s="0" t="s">
        <x:v>21</x:v>
      </x:c>
      <x:c r="N2467" s="0" t="s">
        <x:v>46</x:v>
      </x:c>
    </x:row>
    <x:row r="2468" spans="1:16">
      <x:c r="A2468" s="0" t="s">
        <x:v>9708</x:v>
      </x:c>
      <x:c r="B2468" s="0" t="s">
        <x:v>9709</x:v>
      </x:c>
      <x:c r="C2468" s="0" t="s">
        <x:v>9710</x:v>
      </x:c>
      <x:c r="E2468" s="0" t="s">
        <x:v>9711</x:v>
      </x:c>
      <x:c r="F2468" s="0" t="s">
        <x:v>45</x:v>
      </x:c>
      <x:c r="G2468" s="0" t="s">
        <x:v>19</x:v>
      </x:c>
      <x:c r="H2468" s="0" t="s">
        <x:v>20</x:v>
      </x:c>
      <x:c r="I2468" s="0" t="s">
        <x:v>21</x:v>
      </x:c>
      <x:c r="K2468" s="0">
        <x:f>hyperlink("https://icd.who.int/dev11/l-ichi/en#/http%3A%2F%2Fid.who.int%2Ficd%2Fentity%2F1681233912","browser")</x:f>
      </x:c>
      <x:c r="L2468" s="0">
        <x:f>hyperlink("https://icat2.azurewebsites.net/icat/?ontology=ICD&amp;tab=ClassesTab&amp;id=http%3A%2F%2Fwho.int%2Ficd%2310113_512ebf36_bf6b_4d70_85da_cf2637062af4","iCat")</x:f>
      </x:c>
      <x:c r="M2468" s="0" t="s">
        <x:v>21</x:v>
      </x:c>
      <x:c r="N2468" s="0" t="s">
        <x:v>46</x:v>
      </x:c>
    </x:row>
    <x:row r="2469" spans="1:16">
      <x:c r="A2469" s="0" t="s">
        <x:v>9712</x:v>
      </x:c>
      <x:c r="B2469" s="0" t="s">
        <x:v>9713</x:v>
      </x:c>
      <x:c r="C2469" s="0" t="s">
        <x:v>9714</x:v>
      </x:c>
      <x:c r="E2469" s="0" t="s">
        <x:v>9715</x:v>
      </x:c>
      <x:c r="F2469" s="0" t="s">
        <x:v>45</x:v>
      </x:c>
      <x:c r="G2469" s="0" t="s">
        <x:v>19</x:v>
      </x:c>
      <x:c r="H2469" s="0" t="s">
        <x:v>20</x:v>
      </x:c>
      <x:c r="I2469" s="0" t="s">
        <x:v>21</x:v>
      </x:c>
      <x:c r="K2469" s="0">
        <x:f>hyperlink("https://icd.who.int/dev11/l-ichi/en#/http%3A%2F%2Fid.who.int%2Ficd%2Fentity%2F1627502602","browser")</x:f>
      </x:c>
      <x:c r="L2469" s="0">
        <x:f>hyperlink("https://icat2.azurewebsites.net/icat/?ontology=ICD&amp;tab=ClassesTab&amp;id=http%3A%2F%2Fwho.int%2Ficd%2310120_512ebf36_bf6b_4d70_85da_cf2637062af4","iCat")</x:f>
      </x:c>
      <x:c r="M2469" s="0" t="s">
        <x:v>21</x:v>
      </x:c>
      <x:c r="N2469" s="0" t="s">
        <x:v>46</x:v>
      </x:c>
    </x:row>
    <x:row r="2470" spans="1:16">
      <x:c r="A2470" s="0" t="s">
        <x:v>9716</x:v>
      </x:c>
      <x:c r="B2470" s="0" t="s">
        <x:v>9717</x:v>
      </x:c>
      <x:c r="C2470" s="0" t="s">
        <x:v>9718</x:v>
      </x:c>
      <x:c r="E2470" s="0" t="s">
        <x:v>9719</x:v>
      </x:c>
      <x:c r="F2470" s="0" t="s">
        <x:v>45</x:v>
      </x:c>
      <x:c r="G2470" s="0" t="s">
        <x:v>19</x:v>
      </x:c>
      <x:c r="H2470" s="0" t="s">
        <x:v>20</x:v>
      </x:c>
      <x:c r="I2470" s="0" t="s">
        <x:v>21</x:v>
      </x:c>
      <x:c r="K2470" s="0">
        <x:f>hyperlink("https://icd.who.int/dev11/l-ichi/en#/http%3A%2F%2Fid.who.int%2Ficd%2Fentity%2F796969309","browser")</x:f>
      </x:c>
      <x:c r="L2470" s="0">
        <x:f>hyperlink("https://icat2.azurewebsites.net/icat/?ontology=ICD&amp;tab=ClassesTab&amp;id=http%3A%2F%2Fwho.int%2Ficd%2310128_512ebf36_bf6b_4d70_85da_cf2637062af4","iCat")</x:f>
      </x:c>
      <x:c r="M2470" s="0" t="s">
        <x:v>21</x:v>
      </x:c>
      <x:c r="N2470" s="0" t="s">
        <x:v>46</x:v>
      </x:c>
    </x:row>
    <x:row r="2471" spans="1:16">
      <x:c r="A2471" s="0" t="s">
        <x:v>9720</x:v>
      </x:c>
      <x:c r="B2471" s="0" t="s">
        <x:v>9721</x:v>
      </x:c>
      <x:c r="C2471" s="0" t="s">
        <x:v>9722</x:v>
      </x:c>
      <x:c r="E2471" s="0" t="s">
        <x:v>9723</x:v>
      </x:c>
      <x:c r="F2471" s="0" t="s">
        <x:v>45</x:v>
      </x:c>
      <x:c r="G2471" s="0" t="s">
        <x:v>19</x:v>
      </x:c>
      <x:c r="H2471" s="0" t="s">
        <x:v>20</x:v>
      </x:c>
      <x:c r="I2471" s="0" t="s">
        <x:v>21</x:v>
      </x:c>
      <x:c r="K2471" s="0">
        <x:f>hyperlink("https://icd.who.int/dev11/l-ichi/en#/http%3A%2F%2Fid.who.int%2Ficd%2Fentity%2F507157271","browser")</x:f>
      </x:c>
      <x:c r="L2471" s="0">
        <x:f>hyperlink("https://icat2.azurewebsites.net/icat/?ontology=ICD&amp;tab=ClassesTab&amp;id=http%3A%2F%2Fwho.int%2Ficd%2310135_512ebf36_bf6b_4d70_85da_cf2637062af4","iCat")</x:f>
      </x:c>
      <x:c r="M2471" s="0" t="s">
        <x:v>21</x:v>
      </x:c>
      <x:c r="N2471" s="0" t="s">
        <x:v>46</x:v>
      </x:c>
    </x:row>
    <x:row r="2472" spans="1:16">
      <x:c r="A2472" s="0" t="s">
        <x:v>9724</x:v>
      </x:c>
      <x:c r="B2472" s="0" t="s">
        <x:v>9725</x:v>
      </x:c>
      <x:c r="C2472" s="0" t="s">
        <x:v>9726</x:v>
      </x:c>
      <x:c r="E2472" s="0" t="s">
        <x:v>9727</x:v>
      </x:c>
      <x:c r="F2472" s="0" t="s">
        <x:v>45</x:v>
      </x:c>
      <x:c r="G2472" s="0" t="s">
        <x:v>19</x:v>
      </x:c>
      <x:c r="H2472" s="0" t="s">
        <x:v>20</x:v>
      </x:c>
      <x:c r="I2472" s="0" t="s">
        <x:v>21</x:v>
      </x:c>
      <x:c r="K2472" s="0">
        <x:f>hyperlink("https://icd.who.int/dev11/l-ichi/en#/http%3A%2F%2Fid.who.int%2Ficd%2Fentity%2F1584276352","browser")</x:f>
      </x:c>
      <x:c r="L2472" s="0">
        <x:f>hyperlink("https://icat2.azurewebsites.net/icat/?ontology=ICD&amp;tab=ClassesTab&amp;id=http%3A%2F%2Fwho.int%2Ficd%2310142_512ebf36_bf6b_4d70_85da_cf2637062af4","iCat")</x:f>
      </x:c>
      <x:c r="M2472" s="0" t="s">
        <x:v>21</x:v>
      </x:c>
      <x:c r="N2472" s="0" t="s">
        <x:v>46</x:v>
      </x:c>
    </x:row>
    <x:row r="2473" spans="1:16">
      <x:c r="A2473" s="0" t="s">
        <x:v>9728</x:v>
      </x:c>
      <x:c r="B2473" s="0" t="s">
        <x:v>9729</x:v>
      </x:c>
      <x:c r="C2473" s="0" t="s">
        <x:v>9730</x:v>
      </x:c>
      <x:c r="E2473" s="0" t="s">
        <x:v>9731</x:v>
      </x:c>
      <x:c r="F2473" s="0" t="s">
        <x:v>45</x:v>
      </x:c>
      <x:c r="G2473" s="0" t="s">
        <x:v>19</x:v>
      </x:c>
      <x:c r="H2473" s="0" t="s">
        <x:v>20</x:v>
      </x:c>
      <x:c r="I2473" s="0" t="s">
        <x:v>21</x:v>
      </x:c>
      <x:c r="K2473" s="0">
        <x:f>hyperlink("https://icd.who.int/dev11/l-ichi/en#/http%3A%2F%2Fid.who.int%2Ficd%2Fentity%2F1433025838","browser")</x:f>
      </x:c>
      <x:c r="L2473" s="0">
        <x:f>hyperlink("https://icat2.azurewebsites.net/icat/?ontology=ICD&amp;tab=ClassesTab&amp;id=http%3A%2F%2Fwho.int%2Ficd%2310149_512ebf36_bf6b_4d70_85da_cf2637062af4","iCat")</x:f>
      </x:c>
      <x:c r="M2473" s="0" t="s">
        <x:v>21</x:v>
      </x:c>
      <x:c r="N2473" s="0" t="s">
        <x:v>46</x:v>
      </x:c>
    </x:row>
    <x:row r="2474" spans="1:16">
      <x:c r="A2474" s="0" t="s">
        <x:v>9732</x:v>
      </x:c>
      <x:c r="B2474" s="0" t="s">
        <x:v>9733</x:v>
      </x:c>
      <x:c r="C2474" s="0" t="s">
        <x:v>9734</x:v>
      </x:c>
      <x:c r="E2474" s="0" t="s">
        <x:v>9735</x:v>
      </x:c>
      <x:c r="F2474" s="0" t="s">
        <x:v>45</x:v>
      </x:c>
      <x:c r="G2474" s="0" t="s">
        <x:v>19</x:v>
      </x:c>
      <x:c r="H2474" s="0" t="s">
        <x:v>20</x:v>
      </x:c>
      <x:c r="I2474" s="0" t="s">
        <x:v>21</x:v>
      </x:c>
      <x:c r="K2474" s="0">
        <x:f>hyperlink("https://icd.who.int/dev11/l-ichi/en#/http%3A%2F%2Fid.who.int%2Ficd%2Fentity%2F28078755","browser")</x:f>
      </x:c>
      <x:c r="L2474" s="0">
        <x:f>hyperlink("https://icat2.azurewebsites.net/icat/?ontology=ICD&amp;tab=ClassesTab&amp;id=http%3A%2F%2Fwho.int%2Ficd%2310156_512ebf36_bf6b_4d70_85da_cf2637062af4","iCat")</x:f>
      </x:c>
      <x:c r="M2474" s="0" t="s">
        <x:v>21</x:v>
      </x:c>
      <x:c r="N2474" s="0" t="s">
        <x:v>46</x:v>
      </x:c>
    </x:row>
    <x:row r="2475" spans="1:16">
      <x:c r="A2475" s="0" t="s">
        <x:v>9736</x:v>
      </x:c>
      <x:c r="B2475" s="0" t="s">
        <x:v>9737</x:v>
      </x:c>
      <x:c r="C2475" s="0" t="s">
        <x:v>9738</x:v>
      </x:c>
      <x:c r="E2475" s="0" t="s">
        <x:v>9739</x:v>
      </x:c>
      <x:c r="F2475" s="0" t="s">
        <x:v>45</x:v>
      </x:c>
      <x:c r="G2475" s="0" t="s">
        <x:v>19</x:v>
      </x:c>
      <x:c r="H2475" s="0" t="s">
        <x:v>20</x:v>
      </x:c>
      <x:c r="I2475" s="0" t="s">
        <x:v>21</x:v>
      </x:c>
      <x:c r="K2475" s="0">
        <x:f>hyperlink("https://icd.who.int/dev11/l-ichi/en#/http%3A%2F%2Fid.who.int%2Ficd%2Fentity%2F1424196844","browser")</x:f>
      </x:c>
      <x:c r="L2475" s="0">
        <x:f>hyperlink("https://icat2.azurewebsites.net/icat/?ontology=ICD&amp;tab=ClassesTab&amp;id=http%3A%2F%2Fwho.int%2Ficd%2310163_512ebf36_bf6b_4d70_85da_cf2637062af4","iCat")</x:f>
      </x:c>
      <x:c r="M2475" s="0" t="s">
        <x:v>21</x:v>
      </x:c>
      <x:c r="N2475" s="0" t="s">
        <x:v>46</x:v>
      </x:c>
    </x:row>
    <x:row r="2476" spans="1:16">
      <x:c r="A2476" s="0" t="s">
        <x:v>9740</x:v>
      </x:c>
      <x:c r="B2476" s="0" t="s">
        <x:v>9741</x:v>
      </x:c>
      <x:c r="C2476" s="0" t="s">
        <x:v>9742</x:v>
      </x:c>
      <x:c r="E2476" s="0" t="s">
        <x:v>9743</x:v>
      </x:c>
      <x:c r="F2476" s="0" t="s">
        <x:v>45</x:v>
      </x:c>
      <x:c r="G2476" s="0" t="s">
        <x:v>19</x:v>
      </x:c>
      <x:c r="H2476" s="0" t="s">
        <x:v>20</x:v>
      </x:c>
      <x:c r="I2476" s="0" t="s">
        <x:v>21</x:v>
      </x:c>
      <x:c r="K2476" s="0">
        <x:f>hyperlink("https://icd.who.int/dev11/l-ichi/en#/http%3A%2F%2Fid.who.int%2Ficd%2Fentity%2F2074312260","browser")</x:f>
      </x:c>
      <x:c r="L2476" s="0">
        <x:f>hyperlink("https://icat2.azurewebsites.net/icat/?ontology=ICD&amp;tab=ClassesTab&amp;id=http%3A%2F%2Fwho.int%2Ficd%2310170_512ebf36_bf6b_4d70_85da_cf2637062af4","iCat")</x:f>
      </x:c>
      <x:c r="M2476" s="0" t="s">
        <x:v>21</x:v>
      </x:c>
      <x:c r="N2476" s="0" t="s">
        <x:v>46</x:v>
      </x:c>
    </x:row>
    <x:row r="2477" spans="1:16">
      <x:c r="A2477" s="0" t="s">
        <x:v>9744</x:v>
      </x:c>
      <x:c r="B2477" s="0" t="s">
        <x:v>9745</x:v>
      </x:c>
      <x:c r="C2477" s="0" t="s">
        <x:v>9746</x:v>
      </x:c>
      <x:c r="E2477" s="0" t="s">
        <x:v>9747</x:v>
      </x:c>
      <x:c r="F2477" s="0" t="s">
        <x:v>45</x:v>
      </x:c>
      <x:c r="G2477" s="0" t="s">
        <x:v>19</x:v>
      </x:c>
      <x:c r="H2477" s="0" t="s">
        <x:v>20</x:v>
      </x:c>
      <x:c r="I2477" s="0" t="s">
        <x:v>21</x:v>
      </x:c>
      <x:c r="K2477" s="0">
        <x:f>hyperlink("https://icd.who.int/dev11/l-ichi/en#/http%3A%2F%2Fid.who.int%2Ficd%2Fentity%2F1048682955","browser")</x:f>
      </x:c>
      <x:c r="L2477" s="0">
        <x:f>hyperlink("https://icat2.azurewebsites.net/icat/?ontology=ICD&amp;tab=ClassesTab&amp;id=http%3A%2F%2Fwho.int%2Ficd%2310190_512ebf36_bf6b_4d70_85da_cf2637062af4","iCat")</x:f>
      </x:c>
      <x:c r="M2477" s="0" t="s">
        <x:v>21</x:v>
      </x:c>
      <x:c r="N2477" s="0" t="s">
        <x:v>46</x:v>
      </x:c>
    </x:row>
    <x:row r="2478" spans="1:16">
      <x:c r="A2478" s="0" t="s">
        <x:v>9748</x:v>
      </x:c>
      <x:c r="B2478" s="0" t="s">
        <x:v>9749</x:v>
      </x:c>
      <x:c r="C2478" s="0" t="s">
        <x:v>9750</x:v>
      </x:c>
      <x:c r="E2478" s="0" t="s">
        <x:v>9751</x:v>
      </x:c>
      <x:c r="F2478" s="0" t="s">
        <x:v>45</x:v>
      </x:c>
      <x:c r="G2478" s="0" t="s">
        <x:v>19</x:v>
      </x:c>
      <x:c r="H2478" s="0" t="s">
        <x:v>20</x:v>
      </x:c>
      <x:c r="I2478" s="0" t="s">
        <x:v>21</x:v>
      </x:c>
      <x:c r="K2478" s="0">
        <x:f>hyperlink("https://icd.who.int/dev11/l-ichi/en#/http%3A%2F%2Fid.who.int%2Ficd%2Fentity%2F825764185","browser")</x:f>
      </x:c>
      <x:c r="L2478" s="0">
        <x:f>hyperlink("https://icat2.azurewebsites.net/icat/?ontology=ICD&amp;tab=ClassesTab&amp;id=http%3A%2F%2Fwho.int%2Ficd%2310182_512ebf36_bf6b_4d70_85da_cf2637062af4","iCat")</x:f>
      </x:c>
      <x:c r="M2478" s="0" t="s">
        <x:v>21</x:v>
      </x:c>
      <x:c r="N2478" s="0" t="s">
        <x:v>46</x:v>
      </x:c>
    </x:row>
    <x:row r="2479" spans="1:16">
      <x:c r="A2479" s="0" t="s">
        <x:v>9752</x:v>
      </x:c>
      <x:c r="B2479" s="0" t="s">
        <x:v>9753</x:v>
      </x:c>
      <x:c r="C2479" s="0" t="s">
        <x:v>9754</x:v>
      </x:c>
      <x:c r="E2479" s="0" t="s">
        <x:v>9755</x:v>
      </x:c>
      <x:c r="F2479" s="0" t="s">
        <x:v>45</x:v>
      </x:c>
      <x:c r="G2479" s="0" t="s">
        <x:v>19</x:v>
      </x:c>
      <x:c r="H2479" s="0" t="s">
        <x:v>20</x:v>
      </x:c>
      <x:c r="I2479" s="0" t="s">
        <x:v>21</x:v>
      </x:c>
      <x:c r="K2479" s="0">
        <x:f>hyperlink("https://icd.who.int/dev11/l-ichi/en#/http%3A%2F%2Fid.who.int%2Ficd%2Fentity%2F181644093","browser")</x:f>
      </x:c>
      <x:c r="L2479" s="0">
        <x:f>hyperlink("https://icat2.azurewebsites.net/icat/?ontology=ICD&amp;tab=ClassesTab&amp;id=http%3A%2F%2Fwho.int%2Ficd%2310201_512ebf36_bf6b_4d70_85da_cf2637062af4","iCat")</x:f>
      </x:c>
      <x:c r="M2479" s="0" t="s">
        <x:v>21</x:v>
      </x:c>
      <x:c r="N2479" s="0" t="s">
        <x:v>46</x:v>
      </x:c>
    </x:row>
    <x:row r="2480" spans="1:16">
      <x:c r="A2480" s="0" t="s">
        <x:v>9756</x:v>
      </x:c>
      <x:c r="B2480" s="0" t="s">
        <x:v>9757</x:v>
      </x:c>
      <x:c r="C2480" s="0" t="s">
        <x:v>9758</x:v>
      </x:c>
      <x:c r="E2480" s="0" t="s">
        <x:v>9759</x:v>
      </x:c>
      <x:c r="F2480" s="0" t="s">
        <x:v>45</x:v>
      </x:c>
      <x:c r="G2480" s="0" t="s">
        <x:v>19</x:v>
      </x:c>
      <x:c r="H2480" s="0" t="s">
        <x:v>20</x:v>
      </x:c>
      <x:c r="I2480" s="0" t="s">
        <x:v>21</x:v>
      </x:c>
      <x:c r="K2480" s="0">
        <x:f>hyperlink("https://icd.who.int/dev11/l-ichi/en#/http%3A%2F%2Fid.who.int%2Ficd%2Fentity%2F1146280552","browser")</x:f>
      </x:c>
      <x:c r="L2480" s="0">
        <x:f>hyperlink("https://icat2.azurewebsites.net/icat/?ontology=ICD&amp;tab=ClassesTab&amp;id=http%3A%2F%2Fwho.int%2Ficd%2310209_512ebf36_bf6b_4d70_85da_cf2637062af4","iCat")</x:f>
      </x:c>
      <x:c r="M2480" s="0" t="s">
        <x:v>21</x:v>
      </x:c>
      <x:c r="N2480" s="0" t="s">
        <x:v>46</x:v>
      </x:c>
    </x:row>
    <x:row r="2481" spans="1:16">
      <x:c r="A2481" s="0" t="s">
        <x:v>9760</x:v>
      </x:c>
      <x:c r="B2481" s="0" t="s">
        <x:v>9761</x:v>
      </x:c>
      <x:c r="C2481" s="0" t="s">
        <x:v>9762</x:v>
      </x:c>
      <x:c r="E2481" s="0" t="s">
        <x:v>9763</x:v>
      </x:c>
      <x:c r="F2481" s="0" t="s">
        <x:v>45</x:v>
      </x:c>
      <x:c r="G2481" s="0" t="s">
        <x:v>19</x:v>
      </x:c>
      <x:c r="H2481" s="0" t="s">
        <x:v>20</x:v>
      </x:c>
      <x:c r="I2481" s="0" t="s">
        <x:v>21</x:v>
      </x:c>
      <x:c r="K2481" s="0">
        <x:f>hyperlink("https://icd.who.int/dev11/l-ichi/en#/http%3A%2F%2Fid.who.int%2Ficd%2Fentity%2F1427241504","browser")</x:f>
      </x:c>
      <x:c r="L2481" s="0">
        <x:f>hyperlink("https://icat2.azurewebsites.net/icat/?ontology=ICD&amp;tab=ClassesTab&amp;id=http%3A%2F%2Fwho.int%2Ficd%2310215_512ebf36_bf6b_4d70_85da_cf2637062af4","iCat")</x:f>
      </x:c>
      <x:c r="M2481" s="0" t="s">
        <x:v>21</x:v>
      </x:c>
      <x:c r="N2481" s="0" t="s">
        <x:v>46</x:v>
      </x:c>
    </x:row>
    <x:row r="2482" spans="1:16">
      <x:c r="A2482" s="0" t="s">
        <x:v>9764</x:v>
      </x:c>
      <x:c r="B2482" s="0" t="s">
        <x:v>9765</x:v>
      </x:c>
      <x:c r="C2482" s="0" t="s">
        <x:v>9766</x:v>
      </x:c>
      <x:c r="E2482" s="0" t="s">
        <x:v>9767</x:v>
      </x:c>
      <x:c r="F2482" s="0" t="s">
        <x:v>45</x:v>
      </x:c>
      <x:c r="G2482" s="0" t="s">
        <x:v>19</x:v>
      </x:c>
      <x:c r="H2482" s="0" t="s">
        <x:v>20</x:v>
      </x:c>
      <x:c r="I2482" s="0" t="s">
        <x:v>21</x:v>
      </x:c>
      <x:c r="K2482" s="0">
        <x:f>hyperlink("https://icd.who.int/dev11/l-ichi/en#/http%3A%2F%2Fid.who.int%2Ficd%2Fentity%2F1344656866","browser")</x:f>
      </x:c>
      <x:c r="L2482" s="0">
        <x:f>hyperlink("https://icat2.azurewebsites.net/icat/?ontology=ICD&amp;tab=ClassesTab&amp;id=http%3A%2F%2Fwho.int%2Ficd%2310226_512ebf36_bf6b_4d70_85da_cf2637062af4","iCat")</x:f>
      </x:c>
      <x:c r="M2482" s="0" t="s">
        <x:v>21</x:v>
      </x:c>
      <x:c r="N2482" s="0" t="s">
        <x:v>46</x:v>
      </x:c>
    </x:row>
    <x:row r="2483" spans="1:16">
      <x:c r="A2483" s="0" t="s">
        <x:v>9768</x:v>
      </x:c>
      <x:c r="B2483" s="0" t="s">
        <x:v>9769</x:v>
      </x:c>
      <x:c r="C2483" s="0" t="s">
        <x:v>9770</x:v>
      </x:c>
      <x:c r="E2483" s="0" t="s">
        <x:v>9771</x:v>
      </x:c>
      <x:c r="F2483" s="0" t="s">
        <x:v>45</x:v>
      </x:c>
      <x:c r="G2483" s="0" t="s">
        <x:v>19</x:v>
      </x:c>
      <x:c r="H2483" s="0" t="s">
        <x:v>20</x:v>
      </x:c>
      <x:c r="I2483" s="0" t="s">
        <x:v>21</x:v>
      </x:c>
      <x:c r="K2483" s="0">
        <x:f>hyperlink("https://icd.who.int/dev11/l-ichi/en#/http%3A%2F%2Fid.who.int%2Ficd%2Fentity%2F790558463","browser")</x:f>
      </x:c>
      <x:c r="L2483" s="0">
        <x:f>hyperlink("https://icat2.azurewebsites.net/icat/?ontology=ICD&amp;tab=ClassesTab&amp;id=http%3A%2F%2Fwho.int%2Ficd%2310233_512ebf36_bf6b_4d70_85da_cf2637062af4","iCat")</x:f>
      </x:c>
      <x:c r="M2483" s="0" t="s">
        <x:v>21</x:v>
      </x:c>
      <x:c r="N2483" s="0" t="s">
        <x:v>46</x:v>
      </x:c>
    </x:row>
    <x:row r="2484" spans="1:16">
      <x:c r="A2484" s="0" t="s">
        <x:v>9772</x:v>
      </x:c>
      <x:c r="B2484" s="0" t="s">
        <x:v>9773</x:v>
      </x:c>
      <x:c r="C2484" s="0" t="s">
        <x:v>9774</x:v>
      </x:c>
      <x:c r="E2484" s="0" t="s">
        <x:v>9775</x:v>
      </x:c>
      <x:c r="F2484" s="0" t="s">
        <x:v>45</x:v>
      </x:c>
      <x:c r="G2484" s="0" t="s">
        <x:v>19</x:v>
      </x:c>
      <x:c r="H2484" s="0" t="s">
        <x:v>20</x:v>
      </x:c>
      <x:c r="I2484" s="0" t="s">
        <x:v>21</x:v>
      </x:c>
      <x:c r="K2484" s="0">
        <x:f>hyperlink("https://icd.who.int/dev11/l-ichi/en#/http%3A%2F%2Fid.who.int%2Ficd%2Fentity%2F533259749","browser")</x:f>
      </x:c>
      <x:c r="L2484" s="0">
        <x:f>hyperlink("https://icat2.azurewebsites.net/icat/?ontology=ICD&amp;tab=ClassesTab&amp;id=http%3A%2F%2Fwho.int%2Ficd%2310243_512ebf36_bf6b_4d70_85da_cf2637062af4","iCat")</x:f>
      </x:c>
      <x:c r="M2484" s="0" t="s">
        <x:v>21</x:v>
      </x:c>
      <x:c r="N2484" s="0" t="s">
        <x:v>46</x:v>
      </x:c>
    </x:row>
    <x:row r="2485" spans="1:16">
      <x:c r="A2485" s="0" t="s">
        <x:v>9776</x:v>
      </x:c>
      <x:c r="B2485" s="0" t="s">
        <x:v>9777</x:v>
      </x:c>
      <x:c r="C2485" s="0" t="s">
        <x:v>9778</x:v>
      </x:c>
      <x:c r="E2485" s="0" t="s">
        <x:v>9779</x:v>
      </x:c>
      <x:c r="F2485" s="0" t="s">
        <x:v>45</x:v>
      </x:c>
      <x:c r="G2485" s="0" t="s">
        <x:v>19</x:v>
      </x:c>
      <x:c r="H2485" s="0" t="s">
        <x:v>20</x:v>
      </x:c>
      <x:c r="I2485" s="0" t="s">
        <x:v>21</x:v>
      </x:c>
      <x:c r="K2485" s="0">
        <x:f>hyperlink("https://icd.who.int/dev11/l-ichi/en#/http%3A%2F%2Fid.who.int%2Ficd%2Fentity%2F275869047","browser")</x:f>
      </x:c>
      <x:c r="L2485" s="0">
        <x:f>hyperlink("https://icat2.azurewebsites.net/icat/?ontology=ICD&amp;tab=ClassesTab&amp;id=http%3A%2F%2Fwho.int%2Ficd%2310251_512ebf36_bf6b_4d70_85da_cf2637062af4","iCat")</x:f>
      </x:c>
      <x:c r="M2485" s="0" t="s">
        <x:v>21</x:v>
      </x:c>
      <x:c r="N2485" s="0" t="s">
        <x:v>46</x:v>
      </x:c>
    </x:row>
    <x:row r="2486" spans="1:16">
      <x:c r="A2486" s="0" t="s">
        <x:v>9780</x:v>
      </x:c>
      <x:c r="B2486" s="0" t="s">
        <x:v>9781</x:v>
      </x:c>
      <x:c r="C2486" s="0" t="s">
        <x:v>9782</x:v>
      </x:c>
      <x:c r="E2486" s="0" t="s">
        <x:v>9783</x:v>
      </x:c>
      <x:c r="F2486" s="0" t="s">
        <x:v>45</x:v>
      </x:c>
      <x:c r="G2486" s="0" t="s">
        <x:v>19</x:v>
      </x:c>
      <x:c r="H2486" s="0" t="s">
        <x:v>20</x:v>
      </x:c>
      <x:c r="I2486" s="0" t="s">
        <x:v>21</x:v>
      </x:c>
      <x:c r="K2486" s="0">
        <x:f>hyperlink("https://icd.who.int/dev11/l-ichi/en#/http%3A%2F%2Fid.who.int%2Ficd%2Fentity%2F356860553","browser")</x:f>
      </x:c>
      <x:c r="L2486" s="0">
        <x:f>hyperlink("https://icat2.azurewebsites.net/icat/?ontology=ICD&amp;tab=ClassesTab&amp;id=http%3A%2F%2Fwho.int%2Ficd%2310262_512ebf36_bf6b_4d70_85da_cf2637062af4","iCat")</x:f>
      </x:c>
      <x:c r="M2486" s="0" t="s">
        <x:v>21</x:v>
      </x:c>
      <x:c r="N2486" s="0" t="s">
        <x:v>46</x:v>
      </x:c>
    </x:row>
    <x:row r="2487" spans="1:16">
      <x:c r="A2487" s="0" t="s">
        <x:v>9784</x:v>
      </x:c>
      <x:c r="B2487" s="0" t="s">
        <x:v>9785</x:v>
      </x:c>
      <x:c r="C2487" s="0" t="s">
        <x:v>9786</x:v>
      </x:c>
      <x:c r="E2487" s="0" t="s">
        <x:v>9787</x:v>
      </x:c>
      <x:c r="F2487" s="0" t="s">
        <x:v>45</x:v>
      </x:c>
      <x:c r="G2487" s="0" t="s">
        <x:v>19</x:v>
      </x:c>
      <x:c r="H2487" s="0" t="s">
        <x:v>20</x:v>
      </x:c>
      <x:c r="I2487" s="0" t="s">
        <x:v>21</x:v>
      </x:c>
      <x:c r="K2487" s="0">
        <x:f>hyperlink("https://icd.who.int/dev11/l-ichi/en#/http%3A%2F%2Fid.who.int%2Ficd%2Fentity%2F528627693","browser")</x:f>
      </x:c>
      <x:c r="L2487" s="0">
        <x:f>hyperlink("https://icat2.azurewebsites.net/icat/?ontology=ICD&amp;tab=ClassesTab&amp;id=http%3A%2F%2Fwho.int%2Ficd%23261_bf15315e_f1c5_45f6_9637_651657d70d50","iCat")</x:f>
      </x:c>
      <x:c r="M2487" s="0" t="s">
        <x:v>21</x:v>
      </x:c>
      <x:c r="N2487" s="0" t="s">
        <x:v>46</x:v>
      </x:c>
    </x:row>
    <x:row r="2488" spans="1:16">
      <x:c r="A2488" s="0" t="s">
        <x:v>9788</x:v>
      </x:c>
      <x:c r="B2488" s="0" t="s">
        <x:v>9789</x:v>
      </x:c>
      <x:c r="C2488" s="0" t="s">
        <x:v>9790</x:v>
      </x:c>
      <x:c r="E2488" s="0" t="s">
        <x:v>9791</x:v>
      </x:c>
      <x:c r="F2488" s="0" t="s">
        <x:v>45</x:v>
      </x:c>
      <x:c r="G2488" s="0" t="s">
        <x:v>19</x:v>
      </x:c>
      <x:c r="H2488" s="0" t="s">
        <x:v>20</x:v>
      </x:c>
      <x:c r="I2488" s="0" t="s">
        <x:v>21</x:v>
      </x:c>
      <x:c r="K2488" s="0">
        <x:f>hyperlink("https://icd.who.int/dev11/l-ichi/en#/http%3A%2F%2Fid.who.int%2Ficd%2Fentity%2F507599909","browser")</x:f>
      </x:c>
      <x:c r="L2488" s="0">
        <x:f>hyperlink("https://icat2.azurewebsites.net/icat/?ontology=ICD&amp;tab=ClassesTab&amp;id=http%3A%2F%2Fwho.int%2Ficd%2310269_512ebf36_bf6b_4d70_85da_cf2637062af4","iCat")</x:f>
      </x:c>
      <x:c r="M2488" s="0" t="s">
        <x:v>21</x:v>
      </x:c>
      <x:c r="N2488" s="0" t="s">
        <x:v>46</x:v>
      </x:c>
    </x:row>
    <x:row r="2489" spans="1:16">
      <x:c r="A2489" s="0" t="s">
        <x:v>9792</x:v>
      </x:c>
      <x:c r="B2489" s="0" t="s">
        <x:v>9793</x:v>
      </x:c>
      <x:c r="D2489" s="0" t="s">
        <x:v>9794</x:v>
      </x:c>
      <x:c r="E2489" s="0" t="s">
        <x:v>9795</x:v>
      </x:c>
      <x:c r="F2489" s="0" t="s">
        <x:v>26</x:v>
      </x:c>
      <x:c r="G2489" s="0" t="s">
        <x:v>22</x:v>
      </x:c>
      <x:c r="H2489" s="0" t="s">
        <x:v>20</x:v>
      </x:c>
      <x:c r="I2489" s="0" t="s">
        <x:v>21</x:v>
      </x:c>
      <x:c r="K2489" s="0">
        <x:f>hyperlink("https://icd.who.int/dev11/l-ichi/en#/http%3A%2F%2Fid.who.int%2Ficd%2Fentity%2F855796633","browser")</x:f>
      </x:c>
      <x:c r="L2489" s="0">
        <x:f>hyperlink("https://icat2.azurewebsites.net/icat/?ontology=ICD&amp;tab=ClassesTab&amp;id=http%3A%2F%2Fwho.int%2Ficd%239000_512ebf36_bf6b_4d70_85da_cf2637062af4","iCat")</x:f>
      </x:c>
      <x:c r="M2489" s="0" t="s">
        <x:v>20</x:v>
      </x:c>
      <x:c r="N2489" s="0" t="s">
        <x:v>9796</x:v>
      </x:c>
    </x:row>
    <x:row r="2490" spans="1:16">
      <x:c r="A2490" s="0" t="s">
        <x:v>9797</x:v>
      </x:c>
      <x:c r="B2490" s="0" t="s">
        <x:v>9798</x:v>
      </x:c>
      <x:c r="C2490" s="0" t="s">
        <x:v>9799</x:v>
      </x:c>
      <x:c r="E2490" s="0" t="s">
        <x:v>9800</x:v>
      </x:c>
      <x:c r="F2490" s="0" t="s">
        <x:v>45</x:v>
      </x:c>
      <x:c r="G2490" s="0" t="s">
        <x:v>19</x:v>
      </x:c>
      <x:c r="H2490" s="0" t="s">
        <x:v>20</x:v>
      </x:c>
      <x:c r="I2490" s="0" t="s">
        <x:v>21</x:v>
      </x:c>
      <x:c r="K2490" s="0">
        <x:f>hyperlink("https://icd.who.int/dev11/l-ichi/en#/http%3A%2F%2Fid.who.int%2Ficd%2Fentity%2F1250366380","browser")</x:f>
      </x:c>
      <x:c r="L2490" s="0">
        <x:f>hyperlink("https://icat2.azurewebsites.net/icat/?ontology=ICD&amp;tab=ClassesTab&amp;id=http%3A%2F%2Fwho.int%2Ficd%2310276_512ebf36_bf6b_4d70_85da_cf2637062af4","iCat")</x:f>
      </x:c>
      <x:c r="M2490" s="0" t="s">
        <x:v>21</x:v>
      </x:c>
      <x:c r="N2490" s="0" t="s">
        <x:v>46</x:v>
      </x:c>
    </x:row>
    <x:row r="2491" spans="1:16">
      <x:c r="A2491" s="0" t="s">
        <x:v>9801</x:v>
      </x:c>
      <x:c r="B2491" s="0" t="s">
        <x:v>9802</x:v>
      </x:c>
      <x:c r="C2491" s="0" t="s">
        <x:v>9803</x:v>
      </x:c>
      <x:c r="E2491" s="0" t="s">
        <x:v>9804</x:v>
      </x:c>
      <x:c r="F2491" s="0" t="s">
        <x:v>45</x:v>
      </x:c>
      <x:c r="G2491" s="0" t="s">
        <x:v>19</x:v>
      </x:c>
      <x:c r="H2491" s="0" t="s">
        <x:v>20</x:v>
      </x:c>
      <x:c r="I2491" s="0" t="s">
        <x:v>21</x:v>
      </x:c>
      <x:c r="K2491" s="0">
        <x:f>hyperlink("https://icd.who.int/dev11/l-ichi/en#/http%3A%2F%2Fid.who.int%2Ficd%2Fentity%2F1348967680","browser")</x:f>
      </x:c>
      <x:c r="L2491" s="0">
        <x:f>hyperlink("https://icat2.azurewebsites.net/icat/?ontology=ICD&amp;tab=ClassesTab&amp;id=http%3A%2F%2Fwho.int%2Ficd%2310282_512ebf36_bf6b_4d70_85da_cf2637062af4","iCat")</x:f>
      </x:c>
      <x:c r="M2491" s="0" t="s">
        <x:v>21</x:v>
      </x:c>
      <x:c r="N2491" s="0" t="s">
        <x:v>46</x:v>
      </x:c>
    </x:row>
    <x:row r="2492" spans="1:16">
      <x:c r="A2492" s="0" t="s">
        <x:v>9805</x:v>
      </x:c>
      <x:c r="B2492" s="0" t="s">
        <x:v>9806</x:v>
      </x:c>
      <x:c r="C2492" s="0" t="s">
        <x:v>9807</x:v>
      </x:c>
      <x:c r="E2492" s="0" t="s">
        <x:v>9808</x:v>
      </x:c>
      <x:c r="F2492" s="0" t="s">
        <x:v>45</x:v>
      </x:c>
      <x:c r="G2492" s="0" t="s">
        <x:v>19</x:v>
      </x:c>
      <x:c r="H2492" s="0" t="s">
        <x:v>20</x:v>
      </x:c>
      <x:c r="I2492" s="0" t="s">
        <x:v>21</x:v>
      </x:c>
      <x:c r="K2492" s="0">
        <x:f>hyperlink("https://icd.who.int/dev11/l-ichi/en#/http%3A%2F%2Fid.who.int%2Ficd%2Fentity%2F2133288880","browser")</x:f>
      </x:c>
      <x:c r="L2492" s="0">
        <x:f>hyperlink("https://icat2.azurewebsites.net/icat/?ontology=ICD&amp;tab=ClassesTab&amp;id=http%3A%2F%2Fwho.int%2Ficd%2310291_512ebf36_bf6b_4d70_85da_cf2637062af4","iCat")</x:f>
      </x:c>
      <x:c r="M2492" s="0" t="s">
        <x:v>21</x:v>
      </x:c>
      <x:c r="N2492" s="0" t="s">
        <x:v>46</x:v>
      </x:c>
    </x:row>
    <x:row r="2493" spans="1:16">
      <x:c r="A2493" s="0" t="s">
        <x:v>9809</x:v>
      </x:c>
      <x:c r="B2493" s="0" t="s">
        <x:v>9810</x:v>
      </x:c>
      <x:c r="C2493" s="0" t="s">
        <x:v>9811</x:v>
      </x:c>
      <x:c r="E2493" s="0" t="s">
        <x:v>9812</x:v>
      </x:c>
      <x:c r="F2493" s="0" t="s">
        <x:v>45</x:v>
      </x:c>
      <x:c r="G2493" s="0" t="s">
        <x:v>19</x:v>
      </x:c>
      <x:c r="H2493" s="0" t="s">
        <x:v>20</x:v>
      </x:c>
      <x:c r="I2493" s="0" t="s">
        <x:v>21</x:v>
      </x:c>
      <x:c r="K2493" s="0">
        <x:f>hyperlink("https://icd.who.int/dev11/l-ichi/en#/http%3A%2F%2Fid.who.int%2Ficd%2Fentity%2F991469675","browser")</x:f>
      </x:c>
      <x:c r="L2493" s="0">
        <x:f>hyperlink("https://icat2.azurewebsites.net/icat/?ontology=ICD&amp;tab=ClassesTab&amp;id=http%3A%2F%2Fwho.int%2Ficd%2311597_4869915e_217e_423d_acb3_33c0f920ef4b","iCat")</x:f>
      </x:c>
      <x:c r="M2493" s="0" t="s">
        <x:v>21</x:v>
      </x:c>
      <x:c r="N2493" s="0" t="s">
        <x:v>46</x:v>
      </x:c>
    </x:row>
    <x:row r="2494" spans="1:16">
      <x:c r="A2494" s="0" t="s">
        <x:v>9813</x:v>
      </x:c>
      <x:c r="B2494" s="0" t="s">
        <x:v>9814</x:v>
      </x:c>
      <x:c r="C2494" s="0" t="s">
        <x:v>9815</x:v>
      </x:c>
      <x:c r="E2494" s="0" t="s">
        <x:v>9816</x:v>
      </x:c>
      <x:c r="F2494" s="0" t="s">
        <x:v>45</x:v>
      </x:c>
      <x:c r="G2494" s="0" t="s">
        <x:v>19</x:v>
      </x:c>
      <x:c r="H2494" s="0" t="s">
        <x:v>20</x:v>
      </x:c>
      <x:c r="I2494" s="0" t="s">
        <x:v>21</x:v>
      </x:c>
      <x:c r="K2494" s="0">
        <x:f>hyperlink("https://icd.who.int/dev11/l-ichi/en#/http%3A%2F%2Fid.who.int%2Ficd%2Fentity%2F986251865","browser")</x:f>
      </x:c>
      <x:c r="L2494" s="0">
        <x:f>hyperlink("https://icat2.azurewebsites.net/icat/?ontology=ICD&amp;tab=ClassesTab&amp;id=http%3A%2F%2Fwho.int%2Ficd%2310302_512ebf36_bf6b_4d70_85da_cf2637062af4","iCat")</x:f>
      </x:c>
      <x:c r="M2494" s="0" t="s">
        <x:v>21</x:v>
      </x:c>
      <x:c r="N2494" s="0" t="s">
        <x:v>46</x:v>
      </x:c>
    </x:row>
    <x:row r="2495" spans="1:16">
      <x:c r="A2495" s="0" t="s">
        <x:v>9817</x:v>
      </x:c>
      <x:c r="B2495" s="0" t="s">
        <x:v>9818</x:v>
      </x:c>
      <x:c r="C2495" s="0" t="s">
        <x:v>9819</x:v>
      </x:c>
      <x:c r="E2495" s="0" t="s">
        <x:v>9820</x:v>
      </x:c>
      <x:c r="F2495" s="0" t="s">
        <x:v>45</x:v>
      </x:c>
      <x:c r="G2495" s="0" t="s">
        <x:v>19</x:v>
      </x:c>
      <x:c r="H2495" s="0" t="s">
        <x:v>20</x:v>
      </x:c>
      <x:c r="I2495" s="0" t="s">
        <x:v>21</x:v>
      </x:c>
      <x:c r="K2495" s="0">
        <x:f>hyperlink("https://icd.who.int/dev11/l-ichi/en#/http%3A%2F%2Fid.who.int%2Ficd%2Fentity%2F835525877","browser")</x:f>
      </x:c>
      <x:c r="L2495" s="0">
        <x:f>hyperlink("https://icat2.azurewebsites.net/icat/?ontology=ICD&amp;tab=ClassesTab&amp;id=http%3A%2F%2Fwho.int%2Ficd%2310309_512ebf36_bf6b_4d70_85da_cf2637062af4","iCat")</x:f>
      </x:c>
      <x:c r="M2495" s="0" t="s">
        <x:v>21</x:v>
      </x:c>
      <x:c r="N2495" s="0" t="s">
        <x:v>46</x:v>
      </x:c>
    </x:row>
    <x:row r="2496" spans="1:16">
      <x:c r="A2496" s="0" t="s">
        <x:v>9821</x:v>
      </x:c>
      <x:c r="B2496" s="0" t="s">
        <x:v>9822</x:v>
      </x:c>
      <x:c r="C2496" s="0" t="s">
        <x:v>9823</x:v>
      </x:c>
      <x:c r="E2496" s="0" t="s">
        <x:v>9824</x:v>
      </x:c>
      <x:c r="F2496" s="0" t="s">
        <x:v>45</x:v>
      </x:c>
      <x:c r="G2496" s="0" t="s">
        <x:v>19</x:v>
      </x:c>
      <x:c r="H2496" s="0" t="s">
        <x:v>20</x:v>
      </x:c>
      <x:c r="I2496" s="0" t="s">
        <x:v>21</x:v>
      </x:c>
      <x:c r="K2496" s="0">
        <x:f>hyperlink("https://icd.who.int/dev11/l-ichi/en#/http%3A%2F%2Fid.who.int%2Ficd%2Fentity%2F2079456160","browser")</x:f>
      </x:c>
      <x:c r="L2496" s="0">
        <x:f>hyperlink("https://icat2.azurewebsites.net/icat/?ontology=ICD&amp;tab=ClassesTab&amp;id=http%3A%2F%2Fwho.int%2Ficd%2310318_512ebf36_bf6b_4d70_85da_cf2637062af4","iCat")</x:f>
      </x:c>
      <x:c r="M2496" s="0" t="s">
        <x:v>21</x:v>
      </x:c>
      <x:c r="N2496" s="0" t="s">
        <x:v>46</x:v>
      </x:c>
    </x:row>
    <x:row r="2497" spans="1:16">
      <x:c r="A2497" s="0" t="s">
        <x:v>9825</x:v>
      </x:c>
      <x:c r="B2497" s="0" t="s">
        <x:v>9826</x:v>
      </x:c>
      <x:c r="C2497" s="0" t="s">
        <x:v>9827</x:v>
      </x:c>
      <x:c r="E2497" s="0" t="s">
        <x:v>9828</x:v>
      </x:c>
      <x:c r="F2497" s="0" t="s">
        <x:v>45</x:v>
      </x:c>
      <x:c r="G2497" s="0" t="s">
        <x:v>19</x:v>
      </x:c>
      <x:c r="H2497" s="0" t="s">
        <x:v>20</x:v>
      </x:c>
      <x:c r="I2497" s="0" t="s">
        <x:v>21</x:v>
      </x:c>
      <x:c r="K2497" s="0">
        <x:f>hyperlink("https://icd.who.int/dev11/l-ichi/en#/http%3A%2F%2Fid.who.int%2Ficd%2Fentity%2F2143564628","browser")</x:f>
      </x:c>
      <x:c r="L2497" s="0">
        <x:f>hyperlink("https://icat2.azurewebsites.net/icat/?ontology=ICD&amp;tab=ClassesTab&amp;id=http%3A%2F%2Fwho.int%2Ficd%2311032_7353cc8f_16bd_4231_887a_95ea54e27297","iCat")</x:f>
      </x:c>
      <x:c r="M2497" s="0" t="s">
        <x:v>21</x:v>
      </x:c>
      <x:c r="N2497" s="0" t="s">
        <x:v>46</x:v>
      </x:c>
    </x:row>
    <x:row r="2498" spans="1:16">
      <x:c r="A2498" s="0" t="s">
        <x:v>9829</x:v>
      </x:c>
      <x:c r="B2498" s="0" t="s">
        <x:v>9830</x:v>
      </x:c>
      <x:c r="C2498" s="0" t="s">
        <x:v>9831</x:v>
      </x:c>
      <x:c r="E2498" s="0" t="s">
        <x:v>9832</x:v>
      </x:c>
      <x:c r="F2498" s="0" t="s">
        <x:v>45</x:v>
      </x:c>
      <x:c r="G2498" s="0" t="s">
        <x:v>19</x:v>
      </x:c>
      <x:c r="H2498" s="0" t="s">
        <x:v>20</x:v>
      </x:c>
      <x:c r="I2498" s="0" t="s">
        <x:v>21</x:v>
      </x:c>
      <x:c r="K2498" s="0">
        <x:f>hyperlink("https://icd.who.int/dev11/l-ichi/en#/http%3A%2F%2Fid.who.int%2Ficd%2Fentity%2F465160613","browser")</x:f>
      </x:c>
      <x:c r="L2498" s="0">
        <x:f>hyperlink("https://icat2.azurewebsites.net/icat/?ontology=ICD&amp;tab=ClassesTab&amp;id=http%3A%2F%2Fwho.int%2Ficd%2310329_512ebf36_bf6b_4d70_85da_cf2637062af4","iCat")</x:f>
      </x:c>
      <x:c r="M2498" s="0" t="s">
        <x:v>21</x:v>
      </x:c>
      <x:c r="N2498" s="0" t="s">
        <x:v>46</x:v>
      </x:c>
    </x:row>
    <x:row r="2499" spans="1:16">
      <x:c r="A2499" s="0" t="s">
        <x:v>9833</x:v>
      </x:c>
      <x:c r="B2499" s="0" t="s">
        <x:v>9834</x:v>
      </x:c>
      <x:c r="C2499" s="0" t="s">
        <x:v>9835</x:v>
      </x:c>
      <x:c r="E2499" s="0" t="s">
        <x:v>9836</x:v>
      </x:c>
      <x:c r="F2499" s="0" t="s">
        <x:v>45</x:v>
      </x:c>
      <x:c r="G2499" s="0" t="s">
        <x:v>19</x:v>
      </x:c>
      <x:c r="H2499" s="0" t="s">
        <x:v>20</x:v>
      </x:c>
      <x:c r="I2499" s="0" t="s">
        <x:v>21</x:v>
      </x:c>
      <x:c r="K2499" s="0">
        <x:f>hyperlink("https://icd.who.int/dev11/l-ichi/en#/http%3A%2F%2Fid.who.int%2Ficd%2Fentity%2F1599137550","browser")</x:f>
      </x:c>
      <x:c r="L2499" s="0">
        <x:f>hyperlink("https://icat2.azurewebsites.net/icat/?ontology=ICD&amp;tab=ClassesTab&amp;id=http%3A%2F%2Fwho.int%2Ficd%2310347_512ebf36_bf6b_4d70_85da_cf2637062af4","iCat")</x:f>
      </x:c>
      <x:c r="M2499" s="0" t="s">
        <x:v>21</x:v>
      </x:c>
      <x:c r="N2499" s="0" t="s">
        <x:v>46</x:v>
      </x:c>
    </x:row>
    <x:row r="2500" spans="1:16">
      <x:c r="A2500" s="0" t="s">
        <x:v>9837</x:v>
      </x:c>
      <x:c r="B2500" s="0" t="s">
        <x:v>9838</x:v>
      </x:c>
      <x:c r="C2500" s="0" t="s">
        <x:v>9839</x:v>
      </x:c>
      <x:c r="E2500" s="0" t="s">
        <x:v>9840</x:v>
      </x:c>
      <x:c r="F2500" s="0" t="s">
        <x:v>45</x:v>
      </x:c>
      <x:c r="G2500" s="0" t="s">
        <x:v>19</x:v>
      </x:c>
      <x:c r="H2500" s="0" t="s">
        <x:v>20</x:v>
      </x:c>
      <x:c r="I2500" s="0" t="s">
        <x:v>21</x:v>
      </x:c>
      <x:c r="K2500" s="0">
        <x:f>hyperlink("https://icd.who.int/dev11/l-ichi/en#/http%3A%2F%2Fid.who.int%2Ficd%2Fentity%2F9614895","browser")</x:f>
      </x:c>
      <x:c r="L2500" s="0">
        <x:f>hyperlink("https://icat2.azurewebsites.net/icat/?ontology=ICD&amp;tab=ClassesTab&amp;id=http%3A%2F%2Fwho.int%2Ficd%2310353_512ebf36_bf6b_4d70_85da_cf2637062af4","iCat")</x:f>
      </x:c>
      <x:c r="M2500" s="0" t="s">
        <x:v>21</x:v>
      </x:c>
      <x:c r="N2500" s="0" t="s">
        <x:v>46</x:v>
      </x:c>
    </x:row>
    <x:row r="2501" spans="1:16">
      <x:c r="A2501" s="0" t="s">
        <x:v>9841</x:v>
      </x:c>
      <x:c r="B2501" s="0" t="s">
        <x:v>9842</x:v>
      </x:c>
      <x:c r="C2501" s="0" t="s">
        <x:v>9843</x:v>
      </x:c>
      <x:c r="E2501" s="0" t="s">
        <x:v>9844</x:v>
      </x:c>
      <x:c r="F2501" s="0" t="s">
        <x:v>45</x:v>
      </x:c>
      <x:c r="G2501" s="0" t="s">
        <x:v>19</x:v>
      </x:c>
      <x:c r="H2501" s="0" t="s">
        <x:v>20</x:v>
      </x:c>
      <x:c r="I2501" s="0" t="s">
        <x:v>21</x:v>
      </x:c>
      <x:c r="K2501" s="0">
        <x:f>hyperlink("https://icd.who.int/dev11/l-ichi/en#/http%3A%2F%2Fid.who.int%2Ficd%2Fentity%2F492151361","browser")</x:f>
      </x:c>
      <x:c r="L2501" s="0">
        <x:f>hyperlink("https://icat2.azurewebsites.net/icat/?ontology=ICD&amp;tab=ClassesTab&amp;id=http%3A%2F%2Fwho.int%2Ficd%238268_c351bd26_e8bd_46f1_9e61_43f767fec9b3","iCat")</x:f>
      </x:c>
      <x:c r="M2501" s="0" t="s">
        <x:v>21</x:v>
      </x:c>
      <x:c r="N2501" s="0" t="s">
        <x:v>46</x:v>
      </x:c>
    </x:row>
    <x:row r="2502" spans="1:16">
      <x:c r="A2502" s="0" t="s">
        <x:v>9845</x:v>
      </x:c>
      <x:c r="B2502" s="0" t="s">
        <x:v>9846</x:v>
      </x:c>
      <x:c r="C2502" s="0" t="s">
        <x:v>9847</x:v>
      </x:c>
      <x:c r="E2502" s="0" t="s">
        <x:v>9848</x:v>
      </x:c>
      <x:c r="F2502" s="0" t="s">
        <x:v>45</x:v>
      </x:c>
      <x:c r="G2502" s="0" t="s">
        <x:v>19</x:v>
      </x:c>
      <x:c r="H2502" s="0" t="s">
        <x:v>20</x:v>
      </x:c>
      <x:c r="I2502" s="0" t="s">
        <x:v>21</x:v>
      </x:c>
      <x:c r="K2502" s="0">
        <x:f>hyperlink("https://icd.who.int/dev11/l-ichi/en#/http%3A%2F%2Fid.who.int%2Ficd%2Fentity%2F94804433","browser")</x:f>
      </x:c>
      <x:c r="L2502" s="0">
        <x:f>hyperlink("https://icat2.azurewebsites.net/icat/?ontology=ICD&amp;tab=ClassesTab&amp;id=http%3A%2F%2Fwho.int%2Ficd%2310360_512ebf36_bf6b_4d70_85da_cf2637062af4","iCat")</x:f>
      </x:c>
      <x:c r="M2502" s="0" t="s">
        <x:v>21</x:v>
      </x:c>
      <x:c r="N2502" s="0" t="s">
        <x:v>46</x:v>
      </x:c>
    </x:row>
    <x:row r="2503" spans="1:16">
      <x:c r="A2503" s="0" t="s">
        <x:v>9849</x:v>
      </x:c>
      <x:c r="B2503" s="0" t="s">
        <x:v>9850</x:v>
      </x:c>
      <x:c r="C2503" s="0" t="s">
        <x:v>9851</x:v>
      </x:c>
      <x:c r="E2503" s="0" t="s">
        <x:v>9852</x:v>
      </x:c>
      <x:c r="F2503" s="0" t="s">
        <x:v>45</x:v>
      </x:c>
      <x:c r="G2503" s="0" t="s">
        <x:v>19</x:v>
      </x:c>
      <x:c r="H2503" s="0" t="s">
        <x:v>20</x:v>
      </x:c>
      <x:c r="I2503" s="0" t="s">
        <x:v>21</x:v>
      </x:c>
      <x:c r="K2503" s="0">
        <x:f>hyperlink("https://icd.who.int/dev11/l-ichi/en#/http%3A%2F%2Fid.who.int%2Ficd%2Fentity%2F1965306460","browser")</x:f>
      </x:c>
      <x:c r="L2503" s="0">
        <x:f>hyperlink("https://icat2.azurewebsites.net/icat/?ontology=ICD&amp;tab=ClassesTab&amp;id=http%3A%2F%2Fwho.int%2Ficd%2310367_512ebf36_bf6b_4d70_85da_cf2637062af4","iCat")</x:f>
      </x:c>
      <x:c r="M2503" s="0" t="s">
        <x:v>21</x:v>
      </x:c>
      <x:c r="N2503" s="0" t="s">
        <x:v>46</x:v>
      </x:c>
    </x:row>
    <x:row r="2504" spans="1:16">
      <x:c r="A2504" s="0" t="s">
        <x:v>9853</x:v>
      </x:c>
      <x:c r="B2504" s="0" t="s">
        <x:v>9854</x:v>
      </x:c>
      <x:c r="C2504" s="0" t="s">
        <x:v>9855</x:v>
      </x:c>
      <x:c r="E2504" s="0" t="s">
        <x:v>9856</x:v>
      </x:c>
      <x:c r="F2504" s="0" t="s">
        <x:v>45</x:v>
      </x:c>
      <x:c r="G2504" s="0" t="s">
        <x:v>19</x:v>
      </x:c>
      <x:c r="H2504" s="0" t="s">
        <x:v>20</x:v>
      </x:c>
      <x:c r="I2504" s="0" t="s">
        <x:v>21</x:v>
      </x:c>
      <x:c r="K2504" s="0">
        <x:f>hyperlink("https://icd.who.int/dev11/l-ichi/en#/http%3A%2F%2Fid.who.int%2Ficd%2Fentity%2F2057157326","browser")</x:f>
      </x:c>
      <x:c r="L2504" s="0">
        <x:f>hyperlink("https://icat2.azurewebsites.net/icat/?ontology=ICD&amp;tab=ClassesTab&amp;id=http%3A%2F%2Fwho.int%2Ficd%2310375_512ebf36_bf6b_4d70_85da_cf2637062af4","iCat")</x:f>
      </x:c>
      <x:c r="M2504" s="0" t="s">
        <x:v>21</x:v>
      </x:c>
      <x:c r="N2504" s="0" t="s">
        <x:v>46</x:v>
      </x:c>
    </x:row>
    <x:row r="2505" spans="1:16">
      <x:c r="A2505" s="0" t="s">
        <x:v>9857</x:v>
      </x:c>
      <x:c r="B2505" s="0" t="s">
        <x:v>9858</x:v>
      </x:c>
      <x:c r="C2505" s="0" t="s">
        <x:v>9859</x:v>
      </x:c>
      <x:c r="E2505" s="0" t="s">
        <x:v>9860</x:v>
      </x:c>
      <x:c r="F2505" s="0" t="s">
        <x:v>45</x:v>
      </x:c>
      <x:c r="G2505" s="0" t="s">
        <x:v>19</x:v>
      </x:c>
      <x:c r="H2505" s="0" t="s">
        <x:v>20</x:v>
      </x:c>
      <x:c r="I2505" s="0" t="s">
        <x:v>21</x:v>
      </x:c>
      <x:c r="K2505" s="0">
        <x:f>hyperlink("https://icd.who.int/dev11/l-ichi/en#/http%3A%2F%2Fid.who.int%2Ficd%2Fentity%2F637033373","browser")</x:f>
      </x:c>
      <x:c r="L2505" s="0">
        <x:f>hyperlink("https://icat2.azurewebsites.net/icat/?ontology=ICD&amp;tab=ClassesTab&amp;id=http%3A%2F%2Fwho.int%2Ficd%2310382_512ebf36_bf6b_4d70_85da_cf2637062af4","iCat")</x:f>
      </x:c>
      <x:c r="M2505" s="0" t="s">
        <x:v>21</x:v>
      </x:c>
      <x:c r="N2505" s="0" t="s">
        <x:v>46</x:v>
      </x:c>
    </x:row>
    <x:row r="2506" spans="1:16">
      <x:c r="A2506" s="0" t="s">
        <x:v>9861</x:v>
      </x:c>
      <x:c r="B2506" s="0" t="s">
        <x:v>9862</x:v>
      </x:c>
      <x:c r="C2506" s="0" t="s">
        <x:v>9863</x:v>
      </x:c>
      <x:c r="E2506" s="0" t="s">
        <x:v>9864</x:v>
      </x:c>
      <x:c r="F2506" s="0" t="s">
        <x:v>45</x:v>
      </x:c>
      <x:c r="G2506" s="0" t="s">
        <x:v>19</x:v>
      </x:c>
      <x:c r="H2506" s="0" t="s">
        <x:v>20</x:v>
      </x:c>
      <x:c r="I2506" s="0" t="s">
        <x:v>21</x:v>
      </x:c>
      <x:c r="K2506" s="0">
        <x:f>hyperlink("https://icd.who.int/dev11/l-ichi/en#/http%3A%2F%2Fid.who.int%2Ficd%2Fentity%2F708956943","browser")</x:f>
      </x:c>
      <x:c r="L2506" s="0">
        <x:f>hyperlink("https://icat2.azurewebsites.net/icat/?ontology=ICD&amp;tab=ClassesTab&amp;id=http%3A%2F%2Fwho.int%2Ficd%2310390_512ebf36_bf6b_4d70_85da_cf2637062af4","iCat")</x:f>
      </x:c>
      <x:c r="M2506" s="0" t="s">
        <x:v>21</x:v>
      </x:c>
      <x:c r="N2506" s="0" t="s">
        <x:v>46</x:v>
      </x:c>
    </x:row>
    <x:row r="2507" spans="1:16">
      <x:c r="A2507" s="0" t="s">
        <x:v>9865</x:v>
      </x:c>
      <x:c r="B2507" s="0" t="s">
        <x:v>9866</x:v>
      </x:c>
      <x:c r="C2507" s="0" t="s">
        <x:v>9867</x:v>
      </x:c>
      <x:c r="E2507" s="0" t="s">
        <x:v>9868</x:v>
      </x:c>
      <x:c r="F2507" s="0" t="s">
        <x:v>45</x:v>
      </x:c>
      <x:c r="G2507" s="0" t="s">
        <x:v>19</x:v>
      </x:c>
      <x:c r="H2507" s="0" t="s">
        <x:v>20</x:v>
      </x:c>
      <x:c r="I2507" s="0" t="s">
        <x:v>21</x:v>
      </x:c>
      <x:c r="K2507" s="0">
        <x:f>hyperlink("https://icd.who.int/dev11/l-ichi/en#/http%3A%2F%2Fid.who.int%2Ficd%2Fentity%2F1522759810","browser")</x:f>
      </x:c>
      <x:c r="L2507" s="0">
        <x:f>hyperlink("https://icat2.azurewebsites.net/icat/?ontology=ICD&amp;tab=ClassesTab&amp;id=http%3A%2F%2Fwho.int%2Ficd%2310397_512ebf36_bf6b_4d70_85da_cf2637062af4","iCat")</x:f>
      </x:c>
      <x:c r="M2507" s="0" t="s">
        <x:v>21</x:v>
      </x:c>
      <x:c r="N2507" s="0" t="s">
        <x:v>46</x:v>
      </x:c>
    </x:row>
    <x:row r="2508" spans="1:16">
      <x:c r="A2508" s="0" t="s">
        <x:v>9869</x:v>
      </x:c>
      <x:c r="B2508" s="0" t="s">
        <x:v>9870</x:v>
      </x:c>
      <x:c r="C2508" s="0" t="s">
        <x:v>9871</x:v>
      </x:c>
      <x:c r="E2508" s="0" t="s">
        <x:v>9872</x:v>
      </x:c>
      <x:c r="F2508" s="0" t="s">
        <x:v>45</x:v>
      </x:c>
      <x:c r="G2508" s="0" t="s">
        <x:v>19</x:v>
      </x:c>
      <x:c r="H2508" s="0" t="s">
        <x:v>20</x:v>
      </x:c>
      <x:c r="I2508" s="0" t="s">
        <x:v>21</x:v>
      </x:c>
      <x:c r="K2508" s="0">
        <x:f>hyperlink("https://icd.who.int/dev11/l-ichi/en#/http%3A%2F%2Fid.who.int%2Ficd%2Fentity%2F115569542","browser")</x:f>
      </x:c>
      <x:c r="L2508" s="0">
        <x:f>hyperlink("https://icat2.azurewebsites.net/icat/?ontology=ICD&amp;tab=ClassesTab&amp;id=http%3A%2F%2Fwho.int%2Ficd%2310404_512ebf36_bf6b_4d70_85da_cf2637062af4","iCat")</x:f>
      </x:c>
      <x:c r="M2508" s="0" t="s">
        <x:v>21</x:v>
      </x:c>
      <x:c r="N2508" s="0" t="s">
        <x:v>46</x:v>
      </x:c>
    </x:row>
    <x:row r="2509" spans="1:16">
      <x:c r="A2509" s="0" t="s">
        <x:v>9873</x:v>
      </x:c>
      <x:c r="B2509" s="0" t="s">
        <x:v>9874</x:v>
      </x:c>
      <x:c r="C2509" s="0" t="s">
        <x:v>9875</x:v>
      </x:c>
      <x:c r="E2509" s="0" t="s">
        <x:v>9876</x:v>
      </x:c>
      <x:c r="F2509" s="0" t="s">
        <x:v>45</x:v>
      </x:c>
      <x:c r="G2509" s="0" t="s">
        <x:v>19</x:v>
      </x:c>
      <x:c r="H2509" s="0" t="s">
        <x:v>20</x:v>
      </x:c>
      <x:c r="I2509" s="0" t="s">
        <x:v>21</x:v>
      </x:c>
      <x:c r="K2509" s="0">
        <x:f>hyperlink("https://icd.who.int/dev11/l-ichi/en#/http%3A%2F%2Fid.who.int%2Ficd%2Fentity%2F2044219547","browser")</x:f>
      </x:c>
      <x:c r="L2509" s="0">
        <x:f>hyperlink("https://icat2.azurewebsites.net/icat/?ontology=ICD&amp;tab=ClassesTab&amp;id=http%3A%2F%2Fwho.int%2Ficd%2310411_512ebf36_bf6b_4d70_85da_cf2637062af4","iCat")</x:f>
      </x:c>
      <x:c r="M2509" s="0" t="s">
        <x:v>21</x:v>
      </x:c>
      <x:c r="N2509" s="0" t="s">
        <x:v>46</x:v>
      </x:c>
    </x:row>
    <x:row r="2510" spans="1:16">
      <x:c r="A2510" s="0" t="s">
        <x:v>9877</x:v>
      </x:c>
      <x:c r="B2510" s="0" t="s">
        <x:v>9878</x:v>
      </x:c>
      <x:c r="C2510" s="0" t="s">
        <x:v>9879</x:v>
      </x:c>
      <x:c r="E2510" s="0" t="s">
        <x:v>9880</x:v>
      </x:c>
      <x:c r="F2510" s="0" t="s">
        <x:v>45</x:v>
      </x:c>
      <x:c r="G2510" s="0" t="s">
        <x:v>19</x:v>
      </x:c>
      <x:c r="H2510" s="0" t="s">
        <x:v>20</x:v>
      </x:c>
      <x:c r="I2510" s="0" t="s">
        <x:v>21</x:v>
      </x:c>
      <x:c r="K2510" s="0">
        <x:f>hyperlink("https://icd.who.int/dev11/l-ichi/en#/http%3A%2F%2Fid.who.int%2Ficd%2Fentity%2F396383218","browser")</x:f>
      </x:c>
      <x:c r="L2510" s="0">
        <x:f>hyperlink("https://icat2.azurewebsites.net/icat/?ontology=ICD&amp;tab=ClassesTab&amp;id=http%3A%2F%2Fwho.int%2Ficd%2310418_512ebf36_bf6b_4d70_85da_cf2637062af4","iCat")</x:f>
      </x:c>
      <x:c r="M2510" s="0" t="s">
        <x:v>21</x:v>
      </x:c>
      <x:c r="N2510" s="0" t="s">
        <x:v>46</x:v>
      </x:c>
    </x:row>
    <x:row r="2511" spans="1:16">
      <x:c r="A2511" s="0" t="s">
        <x:v>9881</x:v>
      </x:c>
      <x:c r="B2511" s="0" t="s">
        <x:v>9882</x:v>
      </x:c>
      <x:c r="C2511" s="0" t="s">
        <x:v>9883</x:v>
      </x:c>
      <x:c r="E2511" s="0" t="s">
        <x:v>9884</x:v>
      </x:c>
      <x:c r="F2511" s="0" t="s">
        <x:v>45</x:v>
      </x:c>
      <x:c r="G2511" s="0" t="s">
        <x:v>19</x:v>
      </x:c>
      <x:c r="H2511" s="0" t="s">
        <x:v>20</x:v>
      </x:c>
      <x:c r="I2511" s="0" t="s">
        <x:v>21</x:v>
      </x:c>
      <x:c r="K2511" s="0">
        <x:f>hyperlink("https://icd.who.int/dev11/l-ichi/en#/http%3A%2F%2Fid.who.int%2Ficd%2Fentity%2F748136148","browser")</x:f>
      </x:c>
      <x:c r="L2511" s="0">
        <x:f>hyperlink("https://icat2.azurewebsites.net/icat/?ontology=ICD&amp;tab=ClassesTab&amp;id=http%3A%2F%2Fwho.int%2Ficd%2310424_512ebf36_bf6b_4d70_85da_cf2637062af4","iCat")</x:f>
      </x:c>
      <x:c r="M2511" s="0" t="s">
        <x:v>21</x:v>
      </x:c>
      <x:c r="N2511" s="0" t="s">
        <x:v>46</x:v>
      </x:c>
    </x:row>
    <x:row r="2512" spans="1:16">
      <x:c r="A2512" s="0" t="s">
        <x:v>9885</x:v>
      </x:c>
      <x:c r="B2512" s="0" t="s">
        <x:v>9886</x:v>
      </x:c>
      <x:c r="C2512" s="0" t="s">
        <x:v>9887</x:v>
      </x:c>
      <x:c r="E2512" s="0" t="s">
        <x:v>9888</x:v>
      </x:c>
      <x:c r="F2512" s="0" t="s">
        <x:v>45</x:v>
      </x:c>
      <x:c r="G2512" s="0" t="s">
        <x:v>19</x:v>
      </x:c>
      <x:c r="H2512" s="0" t="s">
        <x:v>20</x:v>
      </x:c>
      <x:c r="I2512" s="0" t="s">
        <x:v>21</x:v>
      </x:c>
      <x:c r="K2512" s="0">
        <x:f>hyperlink("https://icd.who.int/dev11/l-ichi/en#/http%3A%2F%2Fid.who.int%2Ficd%2Fentity%2F1403815371","browser")</x:f>
      </x:c>
      <x:c r="L2512" s="0">
        <x:f>hyperlink("https://icat2.azurewebsites.net/icat/?ontology=ICD&amp;tab=ClassesTab&amp;id=http%3A%2F%2Fwho.int%2Ficd%2310431_512ebf36_bf6b_4d70_85da_cf2637062af4","iCat")</x:f>
      </x:c>
      <x:c r="M2512" s="0" t="s">
        <x:v>21</x:v>
      </x:c>
      <x:c r="N2512" s="0" t="s">
        <x:v>46</x:v>
      </x:c>
    </x:row>
    <x:row r="2513" spans="1:16">
      <x:c r="A2513" s="0" t="s">
        <x:v>9889</x:v>
      </x:c>
      <x:c r="B2513" s="0" t="s">
        <x:v>9890</x:v>
      </x:c>
      <x:c r="C2513" s="0" t="s">
        <x:v>9891</x:v>
      </x:c>
      <x:c r="E2513" s="0" t="s">
        <x:v>9892</x:v>
      </x:c>
      <x:c r="F2513" s="0" t="s">
        <x:v>45</x:v>
      </x:c>
      <x:c r="G2513" s="0" t="s">
        <x:v>19</x:v>
      </x:c>
      <x:c r="H2513" s="0" t="s">
        <x:v>20</x:v>
      </x:c>
      <x:c r="I2513" s="0" t="s">
        <x:v>21</x:v>
      </x:c>
      <x:c r="K2513" s="0">
        <x:f>hyperlink("https://icd.who.int/dev11/l-ichi/en#/http%3A%2F%2Fid.who.int%2Ficd%2Fentity%2F1668978385","browser")</x:f>
      </x:c>
      <x:c r="L2513" s="0">
        <x:f>hyperlink("https://icat2.azurewebsites.net/icat/?ontology=ICD&amp;tab=ClassesTab&amp;id=http%3A%2F%2Fwho.int%2Ficd%2310441_512ebf36_bf6b_4d70_85da_cf2637062af4","iCat")</x:f>
      </x:c>
      <x:c r="M2513" s="0" t="s">
        <x:v>21</x:v>
      </x:c>
      <x:c r="N2513" s="0" t="s">
        <x:v>46</x:v>
      </x:c>
    </x:row>
    <x:row r="2514" spans="1:16">
      <x:c r="A2514" s="0" t="s">
        <x:v>9893</x:v>
      </x:c>
      <x:c r="B2514" s="0" t="s">
        <x:v>9894</x:v>
      </x:c>
      <x:c r="C2514" s="0" t="s">
        <x:v>9895</x:v>
      </x:c>
      <x:c r="E2514" s="0" t="s">
        <x:v>9896</x:v>
      </x:c>
      <x:c r="F2514" s="0" t="s">
        <x:v>45</x:v>
      </x:c>
      <x:c r="G2514" s="0" t="s">
        <x:v>19</x:v>
      </x:c>
      <x:c r="H2514" s="0" t="s">
        <x:v>20</x:v>
      </x:c>
      <x:c r="I2514" s="0" t="s">
        <x:v>21</x:v>
      </x:c>
      <x:c r="K2514" s="0">
        <x:f>hyperlink("https://icd.who.int/dev11/l-ichi/en#/http%3A%2F%2Fid.who.int%2Ficd%2Fentity%2F771483526","browser")</x:f>
      </x:c>
      <x:c r="L2514" s="0">
        <x:f>hyperlink("https://icat2.azurewebsites.net/icat/?ontology=ICD&amp;tab=ClassesTab&amp;id=http%3A%2F%2Fwho.int%2Ficd%2310449_512ebf36_bf6b_4d70_85da_cf2637062af4","iCat")</x:f>
      </x:c>
      <x:c r="M2514" s="0" t="s">
        <x:v>21</x:v>
      </x:c>
      <x:c r="N2514" s="0" t="s">
        <x:v>46</x:v>
      </x:c>
    </x:row>
    <x:row r="2515" spans="1:16">
      <x:c r="A2515" s="0" t="s">
        <x:v>9897</x:v>
      </x:c>
      <x:c r="B2515" s="0" t="s">
        <x:v>9898</x:v>
      </x:c>
      <x:c r="C2515" s="0" t="s">
        <x:v>9899</x:v>
      </x:c>
      <x:c r="E2515" s="0" t="s">
        <x:v>9900</x:v>
      </x:c>
      <x:c r="F2515" s="0" t="s">
        <x:v>45</x:v>
      </x:c>
      <x:c r="G2515" s="0" t="s">
        <x:v>19</x:v>
      </x:c>
      <x:c r="H2515" s="0" t="s">
        <x:v>20</x:v>
      </x:c>
      <x:c r="I2515" s="0" t="s">
        <x:v>21</x:v>
      </x:c>
      <x:c r="K2515" s="0">
        <x:f>hyperlink("https://icd.who.int/dev11/l-ichi/en#/http%3A%2F%2Fid.who.int%2Ficd%2Fentity%2F2034083851","browser")</x:f>
      </x:c>
      <x:c r="L2515" s="0">
        <x:f>hyperlink("https://icat2.azurewebsites.net/icat/?ontology=ICD&amp;tab=ClassesTab&amp;id=http%3A%2F%2Fwho.int%2Ficd%2310456_512ebf36_bf6b_4d70_85da_cf2637062af4","iCat")</x:f>
      </x:c>
      <x:c r="M2515" s="0" t="s">
        <x:v>21</x:v>
      </x:c>
      <x:c r="N2515" s="0" t="s">
        <x:v>46</x:v>
      </x:c>
    </x:row>
    <x:row r="2516" spans="1:16">
      <x:c r="A2516" s="0" t="s">
        <x:v>9901</x:v>
      </x:c>
      <x:c r="B2516" s="0" t="s">
        <x:v>9902</x:v>
      </x:c>
      <x:c r="C2516" s="0" t="s">
        <x:v>9903</x:v>
      </x:c>
      <x:c r="E2516" s="0" t="s">
        <x:v>9904</x:v>
      </x:c>
      <x:c r="F2516" s="0" t="s">
        <x:v>45</x:v>
      </x:c>
      <x:c r="G2516" s="0" t="s">
        <x:v>19</x:v>
      </x:c>
      <x:c r="H2516" s="0" t="s">
        <x:v>20</x:v>
      </x:c>
      <x:c r="I2516" s="0" t="s">
        <x:v>21</x:v>
      </x:c>
      <x:c r="K2516" s="0">
        <x:f>hyperlink("https://icd.who.int/dev11/l-ichi/en#/http%3A%2F%2Fid.who.int%2Ficd%2Fentity%2F1559295433","browser")</x:f>
      </x:c>
      <x:c r="L2516" s="0">
        <x:f>hyperlink("https://icat2.azurewebsites.net/icat/?ontology=ICD&amp;tab=ClassesTab&amp;id=http%3A%2F%2Fwho.int%2Ficd%2310464_512ebf36_bf6b_4d70_85da_cf2637062af4","iCat")</x:f>
      </x:c>
      <x:c r="M2516" s="0" t="s">
        <x:v>21</x:v>
      </x:c>
      <x:c r="N2516" s="0" t="s">
        <x:v>46</x:v>
      </x:c>
    </x:row>
    <x:row r="2517" spans="1:16">
      <x:c r="A2517" s="0" t="s">
        <x:v>9905</x:v>
      </x:c>
      <x:c r="B2517" s="0" t="s">
        <x:v>9906</x:v>
      </x:c>
      <x:c r="C2517" s="0" t="s">
        <x:v>9907</x:v>
      </x:c>
      <x:c r="E2517" s="0" t="s">
        <x:v>9908</x:v>
      </x:c>
      <x:c r="F2517" s="0" t="s">
        <x:v>45</x:v>
      </x:c>
      <x:c r="G2517" s="0" t="s">
        <x:v>19</x:v>
      </x:c>
      <x:c r="H2517" s="0" t="s">
        <x:v>20</x:v>
      </x:c>
      <x:c r="I2517" s="0" t="s">
        <x:v>21</x:v>
      </x:c>
      <x:c r="K2517" s="0">
        <x:f>hyperlink("https://icd.who.int/dev11/l-ichi/en#/http%3A%2F%2Fid.who.int%2Ficd%2Fentity%2F53650668","browser")</x:f>
      </x:c>
      <x:c r="L2517" s="0">
        <x:f>hyperlink("https://icat2.azurewebsites.net/icat/?ontology=ICD&amp;tab=ClassesTab&amp;id=http%3A%2F%2Fwho.int%2Ficd%2310470_512ebf36_bf6b_4d70_85da_cf2637062af4","iCat")</x:f>
      </x:c>
      <x:c r="M2517" s="0" t="s">
        <x:v>21</x:v>
      </x:c>
      <x:c r="N2517" s="0" t="s">
        <x:v>46</x:v>
      </x:c>
    </x:row>
    <x:row r="2518" spans="1:16">
      <x:c r="A2518" s="0" t="s">
        <x:v>9909</x:v>
      </x:c>
      <x:c r="B2518" s="0" t="s">
        <x:v>9910</x:v>
      </x:c>
      <x:c r="C2518" s="0" t="s">
        <x:v>9911</x:v>
      </x:c>
      <x:c r="E2518" s="0" t="s">
        <x:v>9912</x:v>
      </x:c>
      <x:c r="F2518" s="0" t="s">
        <x:v>45</x:v>
      </x:c>
      <x:c r="G2518" s="0" t="s">
        <x:v>19</x:v>
      </x:c>
      <x:c r="H2518" s="0" t="s">
        <x:v>20</x:v>
      </x:c>
      <x:c r="I2518" s="0" t="s">
        <x:v>21</x:v>
      </x:c>
      <x:c r="K2518" s="0">
        <x:f>hyperlink("https://icd.who.int/dev11/l-ichi/en#/http%3A%2F%2Fid.who.int%2Ficd%2Fentity%2F1940918119","browser")</x:f>
      </x:c>
      <x:c r="L2518" s="0">
        <x:f>hyperlink("https://icat2.azurewebsites.net/icat/?ontology=ICD&amp;tab=ClassesTab&amp;id=http%3A%2F%2Fwho.int%2Ficd%2310477_512ebf36_bf6b_4d70_85da_cf2637062af4","iCat")</x:f>
      </x:c>
      <x:c r="M2518" s="0" t="s">
        <x:v>21</x:v>
      </x:c>
      <x:c r="N2518" s="0" t="s">
        <x:v>46</x:v>
      </x:c>
    </x:row>
    <x:row r="2519" spans="1:16">
      <x:c r="A2519" s="0" t="s">
        <x:v>9913</x:v>
      </x:c>
      <x:c r="B2519" s="0" t="s">
        <x:v>9914</x:v>
      </x:c>
      <x:c r="C2519" s="0" t="s">
        <x:v>9915</x:v>
      </x:c>
      <x:c r="E2519" s="0" t="s">
        <x:v>9916</x:v>
      </x:c>
      <x:c r="F2519" s="0" t="s">
        <x:v>45</x:v>
      </x:c>
      <x:c r="G2519" s="0" t="s">
        <x:v>19</x:v>
      </x:c>
      <x:c r="H2519" s="0" t="s">
        <x:v>20</x:v>
      </x:c>
      <x:c r="I2519" s="0" t="s">
        <x:v>21</x:v>
      </x:c>
      <x:c r="K2519" s="0">
        <x:f>hyperlink("https://icd.who.int/dev11/l-ichi/en#/http%3A%2F%2Fid.who.int%2Ficd%2Fentity%2F1766883789","browser")</x:f>
      </x:c>
      <x:c r="L2519" s="0">
        <x:f>hyperlink("https://icat2.azurewebsites.net/icat/?ontology=ICD&amp;tab=ClassesTab&amp;id=http%3A%2F%2Fwho.int%2Ficd%2310483_512ebf36_bf6b_4d70_85da_cf2637062af4","iCat")</x:f>
      </x:c>
      <x:c r="M2519" s="0" t="s">
        <x:v>21</x:v>
      </x:c>
      <x:c r="N2519" s="0" t="s">
        <x:v>46</x:v>
      </x:c>
    </x:row>
    <x:row r="2520" spans="1:16">
      <x:c r="A2520" s="0" t="s">
        <x:v>9917</x:v>
      </x:c>
      <x:c r="B2520" s="0" t="s">
        <x:v>9918</x:v>
      </x:c>
      <x:c r="C2520" s="0" t="s">
        <x:v>9919</x:v>
      </x:c>
      <x:c r="E2520" s="0" t="s">
        <x:v>9920</x:v>
      </x:c>
      <x:c r="F2520" s="0" t="s">
        <x:v>45</x:v>
      </x:c>
      <x:c r="G2520" s="0" t="s">
        <x:v>19</x:v>
      </x:c>
      <x:c r="H2520" s="0" t="s">
        <x:v>20</x:v>
      </x:c>
      <x:c r="I2520" s="0" t="s">
        <x:v>21</x:v>
      </x:c>
      <x:c r="K2520" s="0">
        <x:f>hyperlink("https://icd.who.int/dev11/l-ichi/en#/http%3A%2F%2Fid.who.int%2Ficd%2Fentity%2F1118694749","browser")</x:f>
      </x:c>
      <x:c r="L2520" s="0">
        <x:f>hyperlink("https://icat2.azurewebsites.net/icat/?ontology=ICD&amp;tab=ClassesTab&amp;id=http%3A%2F%2Fwho.int%2Ficd%2310489_512ebf36_bf6b_4d70_85da_cf2637062af4","iCat")</x:f>
      </x:c>
      <x:c r="M2520" s="0" t="s">
        <x:v>21</x:v>
      </x:c>
      <x:c r="N2520" s="0" t="s">
        <x:v>46</x:v>
      </x:c>
    </x:row>
    <x:row r="2521" spans="1:16">
      <x:c r="A2521" s="0" t="s">
        <x:v>9921</x:v>
      </x:c>
      <x:c r="B2521" s="0" t="s">
        <x:v>9922</x:v>
      </x:c>
      <x:c r="C2521" s="0" t="s">
        <x:v>9923</x:v>
      </x:c>
      <x:c r="E2521" s="0" t="s">
        <x:v>9924</x:v>
      </x:c>
      <x:c r="F2521" s="0" t="s">
        <x:v>45</x:v>
      </x:c>
      <x:c r="G2521" s="0" t="s">
        <x:v>19</x:v>
      </x:c>
      <x:c r="H2521" s="0" t="s">
        <x:v>20</x:v>
      </x:c>
      <x:c r="I2521" s="0" t="s">
        <x:v>21</x:v>
      </x:c>
      <x:c r="K2521" s="0">
        <x:f>hyperlink("https://icd.who.int/dev11/l-ichi/en#/http%3A%2F%2Fid.who.int%2Ficd%2Fentity%2F1408159019","browser")</x:f>
      </x:c>
      <x:c r="L2521" s="0">
        <x:f>hyperlink("https://icat2.azurewebsites.net/icat/?ontology=ICD&amp;tab=ClassesTab&amp;id=http%3A%2F%2Fwho.int%2Ficd%2310495_512ebf36_bf6b_4d70_85da_cf2637062af4","iCat")</x:f>
      </x:c>
      <x:c r="M2521" s="0" t="s">
        <x:v>21</x:v>
      </x:c>
      <x:c r="N2521" s="0" t="s">
        <x:v>46</x:v>
      </x:c>
    </x:row>
    <x:row r="2522" spans="1:16">
      <x:c r="A2522" s="0" t="s">
        <x:v>9925</x:v>
      </x:c>
      <x:c r="B2522" s="0" t="s">
        <x:v>9926</x:v>
      </x:c>
      <x:c r="C2522" s="0" t="s">
        <x:v>9927</x:v>
      </x:c>
      <x:c r="E2522" s="0" t="s">
        <x:v>9928</x:v>
      </x:c>
      <x:c r="F2522" s="0" t="s">
        <x:v>45</x:v>
      </x:c>
      <x:c r="G2522" s="0" t="s">
        <x:v>19</x:v>
      </x:c>
      <x:c r="H2522" s="0" t="s">
        <x:v>20</x:v>
      </x:c>
      <x:c r="I2522" s="0" t="s">
        <x:v>21</x:v>
      </x:c>
      <x:c r="K2522" s="0">
        <x:f>hyperlink("https://icd.who.int/dev11/l-ichi/en#/http%3A%2F%2Fid.who.int%2Ficd%2Fentity%2F1719796561","browser")</x:f>
      </x:c>
      <x:c r="L2522" s="0">
        <x:f>hyperlink("https://icat2.azurewebsites.net/icat/?ontology=ICD&amp;tab=ClassesTab&amp;id=http%3A%2F%2Fwho.int%2Ficd%2310501_512ebf36_bf6b_4d70_85da_cf2637062af4","iCat")</x:f>
      </x:c>
      <x:c r="M2522" s="0" t="s">
        <x:v>21</x:v>
      </x:c>
      <x:c r="N2522" s="0" t="s">
        <x:v>46</x:v>
      </x:c>
    </x:row>
    <x:row r="2523" spans="1:16">
      <x:c r="A2523" s="0" t="s">
        <x:v>9929</x:v>
      </x:c>
      <x:c r="B2523" s="0" t="s">
        <x:v>9930</x:v>
      </x:c>
      <x:c r="C2523" s="0" t="s">
        <x:v>9931</x:v>
      </x:c>
      <x:c r="E2523" s="0" t="s">
        <x:v>9932</x:v>
      </x:c>
      <x:c r="F2523" s="0" t="s">
        <x:v>45</x:v>
      </x:c>
      <x:c r="G2523" s="0" t="s">
        <x:v>19</x:v>
      </x:c>
      <x:c r="H2523" s="0" t="s">
        <x:v>20</x:v>
      </x:c>
      <x:c r="I2523" s="0" t="s">
        <x:v>21</x:v>
      </x:c>
      <x:c r="K2523" s="0">
        <x:f>hyperlink("https://icd.who.int/dev11/l-ichi/en#/http%3A%2F%2Fid.who.int%2Ficd%2Fentity%2F150601784","browser")</x:f>
      </x:c>
      <x:c r="L2523" s="0">
        <x:f>hyperlink("https://icat2.azurewebsites.net/icat/?ontology=ICD&amp;tab=ClassesTab&amp;id=http%3A%2F%2Fwho.int%2Ficd%2310508_512ebf36_bf6b_4d70_85da_cf2637062af4","iCat")</x:f>
      </x:c>
      <x:c r="M2523" s="0" t="s">
        <x:v>21</x:v>
      </x:c>
      <x:c r="N2523" s="0" t="s">
        <x:v>46</x:v>
      </x:c>
    </x:row>
    <x:row r="2524" spans="1:16">
      <x:c r="A2524" s="0" t="s">
        <x:v>9933</x:v>
      </x:c>
      <x:c r="B2524" s="0" t="s">
        <x:v>9934</x:v>
      </x:c>
      <x:c r="C2524" s="0" t="s">
        <x:v>9935</x:v>
      </x:c>
      <x:c r="E2524" s="0" t="s">
        <x:v>9936</x:v>
      </x:c>
      <x:c r="F2524" s="0" t="s">
        <x:v>45</x:v>
      </x:c>
      <x:c r="G2524" s="0" t="s">
        <x:v>19</x:v>
      </x:c>
      <x:c r="H2524" s="0" t="s">
        <x:v>20</x:v>
      </x:c>
      <x:c r="I2524" s="0" t="s">
        <x:v>21</x:v>
      </x:c>
      <x:c r="K2524" s="0">
        <x:f>hyperlink("https://icd.who.int/dev11/l-ichi/en#/http%3A%2F%2Fid.who.int%2Ficd%2Fentity%2F431562832","browser")</x:f>
      </x:c>
      <x:c r="L2524" s="0">
        <x:f>hyperlink("https://icat2.azurewebsites.net/icat/?ontology=ICD&amp;tab=ClassesTab&amp;id=http%3A%2F%2Fwho.int%2Ficd%2310514_512ebf36_bf6b_4d70_85da_cf2637062af4","iCat")</x:f>
      </x:c>
      <x:c r="M2524" s="0" t="s">
        <x:v>21</x:v>
      </x:c>
      <x:c r="N2524" s="0" t="s">
        <x:v>46</x:v>
      </x:c>
    </x:row>
    <x:row r="2525" spans="1:16">
      <x:c r="A2525" s="0" t="s">
        <x:v>9937</x:v>
      </x:c>
      <x:c r="B2525" s="0" t="s">
        <x:v>9938</x:v>
      </x:c>
      <x:c r="C2525" s="0" t="s">
        <x:v>9939</x:v>
      </x:c>
      <x:c r="E2525" s="0" t="s">
        <x:v>9940</x:v>
      </x:c>
      <x:c r="F2525" s="0" t="s">
        <x:v>45</x:v>
      </x:c>
      <x:c r="G2525" s="0" t="s">
        <x:v>19</x:v>
      </x:c>
      <x:c r="H2525" s="0" t="s">
        <x:v>20</x:v>
      </x:c>
      <x:c r="I2525" s="0" t="s">
        <x:v>21</x:v>
      </x:c>
      <x:c r="K2525" s="0">
        <x:f>hyperlink("https://icd.who.int/dev11/l-ichi/en#/http%3A%2F%2Fid.who.int%2Ficd%2Fentity%2F696961988","browser")</x:f>
      </x:c>
      <x:c r="L2525" s="0">
        <x:f>hyperlink("https://icat2.azurewebsites.net/icat/?ontology=ICD&amp;tab=ClassesTab&amp;id=http%3A%2F%2Fwho.int%2Ficd%2310523_512ebf36_bf6b_4d70_85da_cf2637062af4","iCat")</x:f>
      </x:c>
      <x:c r="M2525" s="0" t="s">
        <x:v>21</x:v>
      </x:c>
      <x:c r="N2525" s="0" t="s">
        <x:v>46</x:v>
      </x:c>
    </x:row>
    <x:row r="2526" spans="1:16">
      <x:c r="A2526" s="0" t="s">
        <x:v>9941</x:v>
      </x:c>
      <x:c r="B2526" s="0" t="s">
        <x:v>9942</x:v>
      </x:c>
      <x:c r="C2526" s="0" t="s">
        <x:v>9943</x:v>
      </x:c>
      <x:c r="E2526" s="0" t="s">
        <x:v>9944</x:v>
      </x:c>
      <x:c r="F2526" s="0" t="s">
        <x:v>45</x:v>
      </x:c>
      <x:c r="G2526" s="0" t="s">
        <x:v>19</x:v>
      </x:c>
      <x:c r="H2526" s="0" t="s">
        <x:v>20</x:v>
      </x:c>
      <x:c r="I2526" s="0" t="s">
        <x:v>21</x:v>
      </x:c>
      <x:c r="K2526" s="0">
        <x:f>hyperlink("https://icd.who.int/dev11/l-ichi/en#/http%3A%2F%2Fid.who.int%2Ficd%2Fentity%2F41396052","browser")</x:f>
      </x:c>
      <x:c r="L2526" s="0">
        <x:f>hyperlink("https://icat2.azurewebsites.net/icat/?ontology=ICD&amp;tab=ClassesTab&amp;id=http%3A%2F%2Fwho.int%2Ficd%2310529_512ebf36_bf6b_4d70_85da_cf2637062af4","iCat")</x:f>
      </x:c>
      <x:c r="M2526" s="0" t="s">
        <x:v>21</x:v>
      </x:c>
      <x:c r="N2526" s="0" t="s">
        <x:v>46</x:v>
      </x:c>
    </x:row>
    <x:row r="2527" spans="1:16">
      <x:c r="A2527" s="0" t="s">
        <x:v>9945</x:v>
      </x:c>
      <x:c r="B2527" s="0" t="s">
        <x:v>9946</x:v>
      </x:c>
      <x:c r="C2527" s="0" t="s">
        <x:v>9947</x:v>
      </x:c>
      <x:c r="E2527" s="0" t="s">
        <x:v>9948</x:v>
      </x:c>
      <x:c r="F2527" s="0" t="s">
        <x:v>45</x:v>
      </x:c>
      <x:c r="G2527" s="0" t="s">
        <x:v>19</x:v>
      </x:c>
      <x:c r="H2527" s="0" t="s">
        <x:v>20</x:v>
      </x:c>
      <x:c r="I2527" s="0" t="s">
        <x:v>21</x:v>
      </x:c>
      <x:c r="K2527" s="0">
        <x:f>hyperlink("https://icd.who.int/dev11/l-ichi/en#/http%3A%2F%2Fid.who.int%2Ficd%2Fentity%2F1454500059","browser")</x:f>
      </x:c>
      <x:c r="L2527" s="0">
        <x:f>hyperlink("https://icat2.azurewebsites.net/icat/?ontology=ICD&amp;tab=ClassesTab&amp;id=http%3A%2F%2Fwho.int%2Ficd%2310536_512ebf36_bf6b_4d70_85da_cf2637062af4","iCat")</x:f>
      </x:c>
      <x:c r="M2527" s="0" t="s">
        <x:v>21</x:v>
      </x:c>
      <x:c r="N2527" s="0" t="s">
        <x:v>46</x:v>
      </x:c>
    </x:row>
    <x:row r="2528" spans="1:16">
      <x:c r="A2528" s="0" t="s">
        <x:v>9949</x:v>
      </x:c>
      <x:c r="B2528" s="0" t="s">
        <x:v>9950</x:v>
      </x:c>
      <x:c r="C2528" s="0" t="s">
        <x:v>9951</x:v>
      </x:c>
      <x:c r="E2528" s="0" t="s">
        <x:v>9952</x:v>
      </x:c>
      <x:c r="F2528" s="0" t="s">
        <x:v>45</x:v>
      </x:c>
      <x:c r="G2528" s="0" t="s">
        <x:v>19</x:v>
      </x:c>
      <x:c r="H2528" s="0" t="s">
        <x:v>20</x:v>
      </x:c>
      <x:c r="I2528" s="0" t="s">
        <x:v>21</x:v>
      </x:c>
      <x:c r="K2528" s="0">
        <x:f>hyperlink("https://icd.who.int/dev11/l-ichi/en#/http%3A%2F%2Fid.who.int%2Ficd%2Fentity%2F1939426697","browser")</x:f>
      </x:c>
      <x:c r="L2528" s="0">
        <x:f>hyperlink("https://icat2.azurewebsites.net/icat/?ontology=ICD&amp;tab=ClassesTab&amp;id=http%3A%2F%2Fwho.int%2Ficd%2310543_512ebf36_bf6b_4d70_85da_cf2637062af4","iCat")</x:f>
      </x:c>
      <x:c r="M2528" s="0" t="s">
        <x:v>21</x:v>
      </x:c>
      <x:c r="N2528" s="0" t="s">
        <x:v>46</x:v>
      </x:c>
    </x:row>
    <x:row r="2529" spans="1:16">
      <x:c r="A2529" s="0" t="s">
        <x:v>9953</x:v>
      </x:c>
      <x:c r="B2529" s="0" t="s">
        <x:v>9954</x:v>
      </x:c>
      <x:c r="C2529" s="0" t="s">
        <x:v>9955</x:v>
      </x:c>
      <x:c r="E2529" s="0" t="s">
        <x:v>9956</x:v>
      </x:c>
      <x:c r="F2529" s="0" t="s">
        <x:v>45</x:v>
      </x:c>
      <x:c r="G2529" s="0" t="s">
        <x:v>19</x:v>
      </x:c>
      <x:c r="H2529" s="0" t="s">
        <x:v>20</x:v>
      </x:c>
      <x:c r="I2529" s="0" t="s">
        <x:v>21</x:v>
      </x:c>
      <x:c r="K2529" s="0">
        <x:f>hyperlink("https://icd.who.int/dev11/l-ichi/en#/http%3A%2F%2Fid.who.int%2Ficd%2Fentity%2F1482957081","browser")</x:f>
      </x:c>
      <x:c r="L2529" s="0">
        <x:f>hyperlink("https://icat2.azurewebsites.net/icat/?ontology=ICD&amp;tab=ClassesTab&amp;id=http%3A%2F%2Fwho.int%2Ficd%2310549_512ebf36_bf6b_4d70_85da_cf2637062af4","iCat")</x:f>
      </x:c>
      <x:c r="M2529" s="0" t="s">
        <x:v>21</x:v>
      </x:c>
      <x:c r="N2529" s="0" t="s">
        <x:v>46</x:v>
      </x:c>
    </x:row>
    <x:row r="2530" spans="1:16">
      <x:c r="A2530" s="0" t="s">
        <x:v>9957</x:v>
      </x:c>
      <x:c r="B2530" s="0" t="s">
        <x:v>9958</x:v>
      </x:c>
      <x:c r="C2530" s="0" t="s">
        <x:v>9959</x:v>
      </x:c>
      <x:c r="E2530" s="0" t="s">
        <x:v>9960</x:v>
      </x:c>
      <x:c r="F2530" s="0" t="s">
        <x:v>45</x:v>
      </x:c>
      <x:c r="G2530" s="0" t="s">
        <x:v>19</x:v>
      </x:c>
      <x:c r="H2530" s="0" t="s">
        <x:v>20</x:v>
      </x:c>
      <x:c r="I2530" s="0" t="s">
        <x:v>21</x:v>
      </x:c>
      <x:c r="K2530" s="0">
        <x:f>hyperlink("https://icd.who.int/dev11/l-ichi/en#/http%3A%2F%2Fid.who.int%2Ficd%2Fentity%2F211971736","browser")</x:f>
      </x:c>
      <x:c r="L2530" s="0">
        <x:f>hyperlink("https://icat2.azurewebsites.net/icat/?ontology=ICD&amp;tab=ClassesTab&amp;id=http%3A%2F%2Fwho.int%2Ficd%2310556_512ebf36_bf6b_4d70_85da_cf2637062af4","iCat")</x:f>
      </x:c>
      <x:c r="M2530" s="0" t="s">
        <x:v>21</x:v>
      </x:c>
      <x:c r="N2530" s="0" t="s">
        <x:v>46</x:v>
      </x:c>
    </x:row>
    <x:row r="2531" spans="1:16">
      <x:c r="A2531" s="0" t="s">
        <x:v>9961</x:v>
      </x:c>
      <x:c r="B2531" s="0" t="s">
        <x:v>9962</x:v>
      </x:c>
      <x:c r="C2531" s="0" t="s">
        <x:v>9963</x:v>
      </x:c>
      <x:c r="E2531" s="0" t="s">
        <x:v>9964</x:v>
      </x:c>
      <x:c r="F2531" s="0" t="s">
        <x:v>45</x:v>
      </x:c>
      <x:c r="G2531" s="0" t="s">
        <x:v>19</x:v>
      </x:c>
      <x:c r="H2531" s="0" t="s">
        <x:v>20</x:v>
      </x:c>
      <x:c r="I2531" s="0" t="s">
        <x:v>21</x:v>
      </x:c>
      <x:c r="K2531" s="0">
        <x:f>hyperlink("https://icd.who.int/dev11/l-ichi/en#/http%3A%2F%2Fid.who.int%2Ficd%2Fentity%2F2031413989","browser")</x:f>
      </x:c>
      <x:c r="L2531" s="0">
        <x:f>hyperlink("https://icat2.azurewebsites.net/icat/?ontology=ICD&amp;tab=ClassesTab&amp;id=http%3A%2F%2Fwho.int%2Ficd%2310562_512ebf36_bf6b_4d70_85da_cf2637062af4","iCat")</x:f>
      </x:c>
      <x:c r="M2531" s="0" t="s">
        <x:v>21</x:v>
      </x:c>
      <x:c r="N2531" s="0" t="s">
        <x:v>46</x:v>
      </x:c>
    </x:row>
    <x:row r="2532" spans="1:16">
      <x:c r="A2532" s="0" t="s">
        <x:v>9965</x:v>
      </x:c>
      <x:c r="B2532" s="0" t="s">
        <x:v>9966</x:v>
      </x:c>
      <x:c r="C2532" s="0" t="s">
        <x:v>9967</x:v>
      </x:c>
      <x:c r="E2532" s="0" t="s">
        <x:v>9968</x:v>
      </x:c>
      <x:c r="F2532" s="0" t="s">
        <x:v>45</x:v>
      </x:c>
      <x:c r="G2532" s="0" t="s">
        <x:v>19</x:v>
      </x:c>
      <x:c r="H2532" s="0" t="s">
        <x:v>20</x:v>
      </x:c>
      <x:c r="I2532" s="0" t="s">
        <x:v>21</x:v>
      </x:c>
      <x:c r="K2532" s="0">
        <x:f>hyperlink("https://icd.who.int/dev11/l-ichi/en#/http%3A%2F%2Fid.who.int%2Ficd%2Fentity%2F1666438207","browser")</x:f>
      </x:c>
      <x:c r="L2532" s="0">
        <x:f>hyperlink("https://icat2.azurewebsites.net/icat/?ontology=ICD&amp;tab=ClassesTab&amp;id=http%3A%2F%2Fwho.int%2Ficd%2310575_512ebf36_bf6b_4d70_85da_cf2637062af4","iCat")</x:f>
      </x:c>
      <x:c r="M2532" s="0" t="s">
        <x:v>21</x:v>
      </x:c>
      <x:c r="N2532" s="0" t="s">
        <x:v>46</x:v>
      </x:c>
    </x:row>
    <x:row r="2533" spans="1:16">
      <x:c r="A2533" s="0" t="s">
        <x:v>9969</x:v>
      </x:c>
      <x:c r="B2533" s="0" t="s">
        <x:v>9970</x:v>
      </x:c>
      <x:c r="D2533" s="0" t="s">
        <x:v>9971</x:v>
      </x:c>
      <x:c r="E2533" s="0" t="s">
        <x:v>9972</x:v>
      </x:c>
      <x:c r="F2533" s="0" t="s">
        <x:v>26</x:v>
      </x:c>
      <x:c r="G2533" s="0" t="s">
        <x:v>22</x:v>
      </x:c>
      <x:c r="H2533" s="0" t="s">
        <x:v>20</x:v>
      </x:c>
      <x:c r="I2533" s="0" t="s">
        <x:v>21</x:v>
      </x:c>
      <x:c r="K2533" s="0">
        <x:f>hyperlink("https://icd.who.int/dev11/l-ichi/en#/http%3A%2F%2Fid.who.int%2Ficd%2Fentity%2F853177214","browser")</x:f>
      </x:c>
      <x:c r="L2533" s="0">
        <x:f>hyperlink("https://icat2.azurewebsites.net/icat/?ontology=ICD&amp;tab=ClassesTab&amp;id=http%3A%2F%2Fwho.int%2Ficd%2310605_512ebf36_bf6b_4d70_85da_cf2637062af4","iCat")</x:f>
      </x:c>
      <x:c r="M2533" s="0" t="s">
        <x:v>20</x:v>
      </x:c>
      <x:c r="N2533" s="0" t="s">
        <x:v>8333</x:v>
      </x:c>
    </x:row>
    <x:row r="2534" spans="1:16">
      <x:c r="A2534" s="0" t="s">
        <x:v>9973</x:v>
      </x:c>
      <x:c r="B2534" s="0" t="s">
        <x:v>9974</x:v>
      </x:c>
      <x:c r="C2534" s="0" t="s">
        <x:v>9975</x:v>
      </x:c>
      <x:c r="E2534" s="0" t="s">
        <x:v>9976</x:v>
      </x:c>
      <x:c r="F2534" s="0" t="s">
        <x:v>45</x:v>
      </x:c>
      <x:c r="G2534" s="0" t="s">
        <x:v>19</x:v>
      </x:c>
      <x:c r="H2534" s="0" t="s">
        <x:v>20</x:v>
      </x:c>
      <x:c r="I2534" s="0" t="s">
        <x:v>21</x:v>
      </x:c>
      <x:c r="K2534" s="0">
        <x:f>hyperlink("https://icd.who.int/dev11/l-ichi/en#/http%3A%2F%2Fid.who.int%2Ficd%2Fentity%2F304283968","browser")</x:f>
      </x:c>
      <x:c r="L2534" s="0">
        <x:f>hyperlink("https://icat2.azurewebsites.net/icat/?ontology=ICD&amp;tab=ClassesTab&amp;id=http%3A%2F%2Fwho.int%2Ficd%2310604_512ebf36_bf6b_4d70_85da_cf2637062af4","iCat")</x:f>
      </x:c>
      <x:c r="M2534" s="0" t="s">
        <x:v>21</x:v>
      </x:c>
      <x:c r="N2534" s="0" t="s">
        <x:v>46</x:v>
      </x:c>
    </x:row>
    <x:row r="2535" spans="1:16">
      <x:c r="A2535" s="0" t="s">
        <x:v>9977</x:v>
      </x:c>
      <x:c r="B2535" s="0" t="s">
        <x:v>9978</x:v>
      </x:c>
      <x:c r="C2535" s="0" t="s">
        <x:v>9979</x:v>
      </x:c>
      <x:c r="E2535" s="0" t="s">
        <x:v>9980</x:v>
      </x:c>
      <x:c r="F2535" s="0" t="s">
        <x:v>45</x:v>
      </x:c>
      <x:c r="G2535" s="0" t="s">
        <x:v>19</x:v>
      </x:c>
      <x:c r="H2535" s="0" t="s">
        <x:v>20</x:v>
      </x:c>
      <x:c r="I2535" s="0" t="s">
        <x:v>21</x:v>
      </x:c>
      <x:c r="K2535" s="0">
        <x:f>hyperlink("https://icd.who.int/dev11/l-ichi/en#/http%3A%2F%2Fid.who.int%2Ficd%2Fentity%2F1029962736","browser")</x:f>
      </x:c>
      <x:c r="L2535" s="0">
        <x:f>hyperlink("https://icat2.azurewebsites.net/icat/?ontology=ICD&amp;tab=ClassesTab&amp;id=http%3A%2F%2Fwho.int%2Ficd%2310617_512ebf36_bf6b_4d70_85da_cf2637062af4","iCat")</x:f>
      </x:c>
      <x:c r="M2535" s="0" t="s">
        <x:v>21</x:v>
      </x:c>
      <x:c r="N2535" s="0" t="s">
        <x:v>46</x:v>
      </x:c>
    </x:row>
    <x:row r="2536" spans="1:16">
      <x:c r="A2536" s="0" t="s">
        <x:v>9981</x:v>
      </x:c>
      <x:c r="B2536" s="0" t="s">
        <x:v>9982</x:v>
      </x:c>
      <x:c r="C2536" s="0" t="s">
        <x:v>9983</x:v>
      </x:c>
      <x:c r="E2536" s="0" t="s">
        <x:v>9984</x:v>
      </x:c>
      <x:c r="F2536" s="0" t="s">
        <x:v>45</x:v>
      </x:c>
      <x:c r="G2536" s="0" t="s">
        <x:v>19</x:v>
      </x:c>
      <x:c r="H2536" s="0" t="s">
        <x:v>20</x:v>
      </x:c>
      <x:c r="I2536" s="0" t="s">
        <x:v>21</x:v>
      </x:c>
      <x:c r="K2536" s="0">
        <x:f>hyperlink("https://icd.who.int/dev11/l-ichi/en#/http%3A%2F%2Fid.who.int%2Ficd%2Fentity%2F1221951389","browser")</x:f>
      </x:c>
      <x:c r="L2536" s="0">
        <x:f>hyperlink("https://icat2.azurewebsites.net/icat/?ontology=ICD&amp;tab=ClassesTab&amp;id=http%3A%2F%2Fwho.int%2Ficd%2310623_512ebf36_bf6b_4d70_85da_cf2637062af4","iCat")</x:f>
      </x:c>
      <x:c r="M2536" s="0" t="s">
        <x:v>21</x:v>
      </x:c>
      <x:c r="N2536" s="0" t="s">
        <x:v>46</x:v>
      </x:c>
    </x:row>
    <x:row r="2537" spans="1:16">
      <x:c r="A2537" s="0" t="s">
        <x:v>9985</x:v>
      </x:c>
      <x:c r="B2537" s="0" t="s">
        <x:v>9986</x:v>
      </x:c>
      <x:c r="C2537" s="0" t="s">
        <x:v>9987</x:v>
      </x:c>
      <x:c r="E2537" s="0" t="s">
        <x:v>9988</x:v>
      </x:c>
      <x:c r="F2537" s="0" t="s">
        <x:v>45</x:v>
      </x:c>
      <x:c r="G2537" s="0" t="s">
        <x:v>19</x:v>
      </x:c>
      <x:c r="H2537" s="0" t="s">
        <x:v>20</x:v>
      </x:c>
      <x:c r="I2537" s="0" t="s">
        <x:v>21</x:v>
      </x:c>
      <x:c r="K2537" s="0">
        <x:f>hyperlink("https://icd.who.int/dev11/l-ichi/en#/http%3A%2F%2Fid.who.int%2Ficd%2Fentity%2F788571925","browser")</x:f>
      </x:c>
      <x:c r="L2537" s="0">
        <x:f>hyperlink("https://icat2.azurewebsites.net/icat/?ontology=ICD&amp;tab=ClassesTab&amp;id=http%3A%2F%2Fwho.int%2Ficd%2314797_4869915e_217e_423d_acb3_33c0f920ef4b","iCat")</x:f>
      </x:c>
      <x:c r="M2537" s="0" t="s">
        <x:v>21</x:v>
      </x:c>
      <x:c r="N2537" s="0" t="s">
        <x:v>46</x:v>
      </x:c>
    </x:row>
    <x:row r="2538" spans="1:16">
      <x:c r="A2538" s="0" t="s">
        <x:v>9989</x:v>
      </x:c>
      <x:c r="B2538" s="0" t="s">
        <x:v>9990</x:v>
      </x:c>
      <x:c r="C2538" s="0" t="s">
        <x:v>9991</x:v>
      </x:c>
      <x:c r="E2538" s="0" t="s">
        <x:v>9992</x:v>
      </x:c>
      <x:c r="F2538" s="0" t="s">
        <x:v>45</x:v>
      </x:c>
      <x:c r="G2538" s="0" t="s">
        <x:v>19</x:v>
      </x:c>
      <x:c r="H2538" s="0" t="s">
        <x:v>20</x:v>
      </x:c>
      <x:c r="I2538" s="0" t="s">
        <x:v>21</x:v>
      </x:c>
      <x:c r="K2538" s="0">
        <x:f>hyperlink("https://icd.who.int/dev11/l-ichi/en#/http%3A%2F%2Fid.who.int%2Ficd%2Fentity%2F431898612","browser")</x:f>
      </x:c>
      <x:c r="L2538" s="0">
        <x:f>hyperlink("https://icat2.azurewebsites.net/icat/?ontology=ICD&amp;tab=ClassesTab&amp;id=http%3A%2F%2Fwho.int%2Ficd%2314803_4869915e_217e_423d_acb3_33c0f920ef4b","iCat")</x:f>
      </x:c>
      <x:c r="M2538" s="0" t="s">
        <x:v>21</x:v>
      </x:c>
      <x:c r="N2538" s="0" t="s">
        <x:v>46</x:v>
      </x:c>
    </x:row>
    <x:row r="2539" spans="1:16">
      <x:c r="A2539" s="0" t="s">
        <x:v>9993</x:v>
      </x:c>
      <x:c r="B2539" s="0" t="s">
        <x:v>9994</x:v>
      </x:c>
      <x:c r="C2539" s="0" t="s">
        <x:v>9995</x:v>
      </x:c>
      <x:c r="E2539" s="0" t="s">
        <x:v>9996</x:v>
      </x:c>
      <x:c r="F2539" s="0" t="s">
        <x:v>45</x:v>
      </x:c>
      <x:c r="G2539" s="0" t="s">
        <x:v>19</x:v>
      </x:c>
      <x:c r="H2539" s="0" t="s">
        <x:v>20</x:v>
      </x:c>
      <x:c r="I2539" s="0" t="s">
        <x:v>21</x:v>
      </x:c>
      <x:c r="K2539" s="0">
        <x:f>hyperlink("https://icd.who.int/dev11/l-ichi/en#/http%3A%2F%2Fid.who.int%2Ficd%2Fentity%2F1663570701","browser")</x:f>
      </x:c>
      <x:c r="L2539" s="0">
        <x:f>hyperlink("https://icat2.azurewebsites.net/icat/?ontology=ICD&amp;tab=ClassesTab&amp;id=http%3A%2F%2Fwho.int%2Ficd%2310629_512ebf36_bf6b_4d70_85da_cf2637062af4","iCat")</x:f>
      </x:c>
      <x:c r="M2539" s="0" t="s">
        <x:v>21</x:v>
      </x:c>
      <x:c r="N2539" s="0" t="s">
        <x:v>46</x:v>
      </x:c>
    </x:row>
    <x:row r="2540" spans="1:16">
      <x:c r="A2540" s="0" t="s">
        <x:v>9997</x:v>
      </x:c>
      <x:c r="B2540" s="0" t="s">
        <x:v>9998</x:v>
      </x:c>
      <x:c r="C2540" s="0" t="s">
        <x:v>9999</x:v>
      </x:c>
      <x:c r="E2540" s="0" t="s">
        <x:v>10000</x:v>
      </x:c>
      <x:c r="F2540" s="0" t="s">
        <x:v>45</x:v>
      </x:c>
      <x:c r="G2540" s="0" t="s">
        <x:v>19</x:v>
      </x:c>
      <x:c r="H2540" s="0" t="s">
        <x:v>20</x:v>
      </x:c>
      <x:c r="I2540" s="0" t="s">
        <x:v>21</x:v>
      </x:c>
      <x:c r="K2540" s="0">
        <x:f>hyperlink("https://icd.who.int/dev11/l-ichi/en#/http%3A%2F%2Fid.who.int%2Ficd%2Fentity%2F1919628155","browser")</x:f>
      </x:c>
      <x:c r="L2540" s="0">
        <x:f>hyperlink("https://icat2.azurewebsites.net/icat/?ontology=ICD&amp;tab=ClassesTab&amp;id=http%3A%2F%2Fwho.int%2Ficd%2310635_512ebf36_bf6b_4d70_85da_cf2637062af4","iCat")</x:f>
      </x:c>
      <x:c r="M2540" s="0" t="s">
        <x:v>21</x:v>
      </x:c>
      <x:c r="N2540" s="0" t="s">
        <x:v>46</x:v>
      </x:c>
    </x:row>
    <x:row r="2541" spans="1:16">
      <x:c r="A2541" s="0" t="s">
        <x:v>10001</x:v>
      </x:c>
      <x:c r="B2541" s="0" t="s">
        <x:v>10002</x:v>
      </x:c>
      <x:c r="C2541" s="0" t="s">
        <x:v>10003</x:v>
      </x:c>
      <x:c r="E2541" s="0" t="s">
        <x:v>10004</x:v>
      </x:c>
      <x:c r="F2541" s="0" t="s">
        <x:v>45</x:v>
      </x:c>
      <x:c r="G2541" s="0" t="s">
        <x:v>19</x:v>
      </x:c>
      <x:c r="H2541" s="0" t="s">
        <x:v>20</x:v>
      </x:c>
      <x:c r="I2541" s="0" t="s">
        <x:v>21</x:v>
      </x:c>
      <x:c r="K2541" s="0">
        <x:f>hyperlink("https://icd.who.int/dev11/l-ichi/en#/http%3A%2F%2Fid.who.int%2Ficd%2Fentity%2F2008736789","browser")</x:f>
      </x:c>
      <x:c r="L2541" s="0">
        <x:f>hyperlink("https://icat2.azurewebsites.net/icat/?ontology=ICD&amp;tab=ClassesTab&amp;id=http%3A%2F%2Fwho.int%2Ficd%2310641_512ebf36_bf6b_4d70_85da_cf2637062af4","iCat")</x:f>
      </x:c>
      <x:c r="M2541" s="0" t="s">
        <x:v>21</x:v>
      </x:c>
      <x:c r="N2541" s="0" t="s">
        <x:v>46</x:v>
      </x:c>
    </x:row>
    <x:row r="2542" spans="1:16">
      <x:c r="A2542" s="0" t="s">
        <x:v>10005</x:v>
      </x:c>
      <x:c r="B2542" s="0" t="s">
        <x:v>10006</x:v>
      </x:c>
      <x:c r="C2542" s="0" t="s">
        <x:v>10007</x:v>
      </x:c>
      <x:c r="E2542" s="0" t="s">
        <x:v>10008</x:v>
      </x:c>
      <x:c r="F2542" s="0" t="s">
        <x:v>45</x:v>
      </x:c>
      <x:c r="G2542" s="0" t="s">
        <x:v>19</x:v>
      </x:c>
      <x:c r="H2542" s="0" t="s">
        <x:v>20</x:v>
      </x:c>
      <x:c r="I2542" s="0" t="s">
        <x:v>21</x:v>
      </x:c>
      <x:c r="K2542" s="0">
        <x:f>hyperlink("https://icd.who.int/dev11/l-ichi/en#/http%3A%2F%2Fid.who.int%2Ficd%2Fentity%2F1032192896","browser")</x:f>
      </x:c>
      <x:c r="L2542" s="0">
        <x:f>hyperlink("https://icat2.azurewebsites.net/icat/?ontology=ICD&amp;tab=ClassesTab&amp;id=http%3A%2F%2Fwho.int%2Ficd%2310650_512ebf36_bf6b_4d70_85da_cf2637062af4","iCat")</x:f>
      </x:c>
      <x:c r="M2542" s="0" t="s">
        <x:v>21</x:v>
      </x:c>
      <x:c r="N2542" s="0" t="s">
        <x:v>46</x:v>
      </x:c>
    </x:row>
    <x:row r="2543" spans="1:16">
      <x:c r="A2543" s="0" t="s">
        <x:v>10009</x:v>
      </x:c>
      <x:c r="B2543" s="0" t="s">
        <x:v>10010</x:v>
      </x:c>
      <x:c r="C2543" s="0" t="s">
        <x:v>10011</x:v>
      </x:c>
      <x:c r="E2543" s="0" t="s">
        <x:v>10012</x:v>
      </x:c>
      <x:c r="F2543" s="0" t="s">
        <x:v>45</x:v>
      </x:c>
      <x:c r="G2543" s="0" t="s">
        <x:v>19</x:v>
      </x:c>
      <x:c r="H2543" s="0" t="s">
        <x:v>20</x:v>
      </x:c>
      <x:c r="I2543" s="0" t="s">
        <x:v>21</x:v>
      </x:c>
      <x:c r="K2543" s="0">
        <x:f>hyperlink("https://icd.who.int/dev11/l-ichi/en#/http%3A%2F%2Fid.who.int%2Ficd%2Fentity%2F1409155095","browser")</x:f>
      </x:c>
      <x:c r="L2543" s="0">
        <x:f>hyperlink("https://icat2.azurewebsites.net/icat/?ontology=ICD&amp;tab=ClassesTab&amp;id=http%3A%2F%2Fwho.int%2Ficd%2310659_512ebf36_bf6b_4d70_85da_cf2637062af4","iCat")</x:f>
      </x:c>
      <x:c r="M2543" s="0" t="s">
        <x:v>21</x:v>
      </x:c>
      <x:c r="N2543" s="0" t="s">
        <x:v>46</x:v>
      </x:c>
    </x:row>
    <x:row r="2544" spans="1:16">
      <x:c r="A2544" s="0" t="s">
        <x:v>10013</x:v>
      </x:c>
      <x:c r="B2544" s="0" t="s">
        <x:v>10014</x:v>
      </x:c>
      <x:c r="C2544" s="0" t="s">
        <x:v>10015</x:v>
      </x:c>
      <x:c r="E2544" s="0" t="s">
        <x:v>10016</x:v>
      </x:c>
      <x:c r="F2544" s="0" t="s">
        <x:v>45</x:v>
      </x:c>
      <x:c r="G2544" s="0" t="s">
        <x:v>19</x:v>
      </x:c>
      <x:c r="H2544" s="0" t="s">
        <x:v>20</x:v>
      </x:c>
      <x:c r="I2544" s="0" t="s">
        <x:v>21</x:v>
      </x:c>
      <x:c r="K2544" s="0">
        <x:f>hyperlink("https://icd.who.int/dev11/l-ichi/en#/http%3A%2F%2Fid.who.int%2Ficd%2Fentity%2F1758065969","browser")</x:f>
      </x:c>
      <x:c r="L2544" s="0">
        <x:f>hyperlink("https://icat2.azurewebsites.net/icat/?ontology=ICD&amp;tab=ClassesTab&amp;id=http%3A%2F%2Fwho.int%2Ficd%2310665_512ebf36_bf6b_4d70_85da_cf2637062af4","iCat")</x:f>
      </x:c>
      <x:c r="M2544" s="0" t="s">
        <x:v>21</x:v>
      </x:c>
      <x:c r="N2544" s="0" t="s">
        <x:v>46</x:v>
      </x:c>
    </x:row>
    <x:row r="2545" spans="1:16">
      <x:c r="A2545" s="0" t="s">
        <x:v>10017</x:v>
      </x:c>
      <x:c r="B2545" s="0" t="s">
        <x:v>10018</x:v>
      </x:c>
      <x:c r="C2545" s="0" t="s">
        <x:v>10019</x:v>
      </x:c>
      <x:c r="E2545" s="0" t="s">
        <x:v>10020</x:v>
      </x:c>
      <x:c r="F2545" s="0" t="s">
        <x:v>45</x:v>
      </x:c>
      <x:c r="G2545" s="0" t="s">
        <x:v>19</x:v>
      </x:c>
      <x:c r="H2545" s="0" t="s">
        <x:v>20</x:v>
      </x:c>
      <x:c r="I2545" s="0" t="s">
        <x:v>21</x:v>
      </x:c>
      <x:c r="K2545" s="0">
        <x:f>hyperlink("https://icd.who.int/dev11/l-ichi/en#/http%3A%2F%2Fid.who.int%2Ficd%2Fentity%2F816982857","browser")</x:f>
      </x:c>
      <x:c r="L2545" s="0">
        <x:f>hyperlink("https://icat2.azurewebsites.net/icat/?ontology=ICD&amp;tab=ClassesTab&amp;id=http%3A%2F%2Fwho.int%2Ficd%231597_97087496_4a82_4efa_a45a_b3256f81bd7e","iCat")</x:f>
      </x:c>
      <x:c r="M2545" s="0" t="s">
        <x:v>21</x:v>
      </x:c>
      <x:c r="N2545" s="0" t="s">
        <x:v>46</x:v>
      </x:c>
    </x:row>
    <x:row r="2546" spans="1:16">
      <x:c r="A2546" s="0" t="s">
        <x:v>10021</x:v>
      </x:c>
      <x:c r="B2546" s="0" t="s">
        <x:v>10022</x:v>
      </x:c>
      <x:c r="C2546" s="0" t="s">
        <x:v>10023</x:v>
      </x:c>
      <x:c r="E2546" s="0" t="s">
        <x:v>10024</x:v>
      </x:c>
      <x:c r="F2546" s="0" t="s">
        <x:v>45</x:v>
      </x:c>
      <x:c r="G2546" s="0" t="s">
        <x:v>19</x:v>
      </x:c>
      <x:c r="H2546" s="0" t="s">
        <x:v>20</x:v>
      </x:c>
      <x:c r="I2546" s="0" t="s">
        <x:v>21</x:v>
      </x:c>
      <x:c r="K2546" s="0">
        <x:f>hyperlink("https://icd.who.int/dev11/l-ichi/en#/http%3A%2F%2Fid.who.int%2Ficd%2Fentity%2F586486364","browser")</x:f>
      </x:c>
      <x:c r="L2546" s="0">
        <x:f>hyperlink("https://icat2.azurewebsites.net/icat/?ontology=ICD&amp;tab=ClassesTab&amp;id=http%3A%2F%2Fwho.int%2Ficd%2310674_512ebf36_bf6b_4d70_85da_cf2637062af4","iCat")</x:f>
      </x:c>
      <x:c r="M2546" s="0" t="s">
        <x:v>21</x:v>
      </x:c>
      <x:c r="N2546" s="0" t="s">
        <x:v>46</x:v>
      </x:c>
    </x:row>
    <x:row r="2547" spans="1:16">
      <x:c r="A2547" s="0" t="s">
        <x:v>10025</x:v>
      </x:c>
      <x:c r="B2547" s="0" t="s">
        <x:v>10026</x:v>
      </x:c>
      <x:c r="C2547" s="0" t="s">
        <x:v>10027</x:v>
      </x:c>
      <x:c r="E2547" s="0" t="s">
        <x:v>10028</x:v>
      </x:c>
      <x:c r="F2547" s="0" t="s">
        <x:v>45</x:v>
      </x:c>
      <x:c r="G2547" s="0" t="s">
        <x:v>19</x:v>
      </x:c>
      <x:c r="H2547" s="0" t="s">
        <x:v>20</x:v>
      </x:c>
      <x:c r="I2547" s="0" t="s">
        <x:v>21</x:v>
      </x:c>
      <x:c r="K2547" s="0">
        <x:f>hyperlink("https://icd.who.int/dev11/l-ichi/en#/http%3A%2F%2Fid.who.int%2Ficd%2Fentity%2F2106651401","browser")</x:f>
      </x:c>
      <x:c r="L2547" s="0">
        <x:f>hyperlink("https://icat2.azurewebsites.net/icat/?ontology=ICD&amp;tab=ClassesTab&amp;id=http%3A%2F%2Fwho.int%2Ficd%2310683_512ebf36_bf6b_4d70_85da_cf2637062af4","iCat")</x:f>
      </x:c>
      <x:c r="M2547" s="0" t="s">
        <x:v>21</x:v>
      </x:c>
      <x:c r="N2547" s="0" t="s">
        <x:v>46</x:v>
      </x:c>
    </x:row>
    <x:row r="2548" spans="1:16">
      <x:c r="A2548" s="0" t="s">
        <x:v>10029</x:v>
      </x:c>
      <x:c r="B2548" s="0" t="s">
        <x:v>10030</x:v>
      </x:c>
      <x:c r="C2548" s="0" t="s">
        <x:v>10031</x:v>
      </x:c>
      <x:c r="E2548" s="0" t="s">
        <x:v>10032</x:v>
      </x:c>
      <x:c r="F2548" s="0" t="s">
        <x:v>45</x:v>
      </x:c>
      <x:c r="G2548" s="0" t="s">
        <x:v>19</x:v>
      </x:c>
      <x:c r="H2548" s="0" t="s">
        <x:v>20</x:v>
      </x:c>
      <x:c r="I2548" s="0" t="s">
        <x:v>21</x:v>
      </x:c>
      <x:c r="K2548" s="0">
        <x:f>hyperlink("https://icd.who.int/dev11/l-ichi/en#/http%3A%2F%2Fid.who.int%2Ficd%2Fentity%2F1915321243","browser")</x:f>
      </x:c>
      <x:c r="L2548" s="0">
        <x:f>hyperlink("https://icat2.azurewebsites.net/icat/?ontology=ICD&amp;tab=ClassesTab&amp;id=http%3A%2F%2Fwho.int%2Ficd%2310691_512ebf36_bf6b_4d70_85da_cf2637062af4","iCat")</x:f>
      </x:c>
      <x:c r="M2548" s="0" t="s">
        <x:v>21</x:v>
      </x:c>
      <x:c r="N2548" s="0" t="s">
        <x:v>46</x:v>
      </x:c>
    </x:row>
    <x:row r="2549" spans="1:16">
      <x:c r="A2549" s="0" t="s">
        <x:v>10033</x:v>
      </x:c>
      <x:c r="B2549" s="0" t="s">
        <x:v>10034</x:v>
      </x:c>
      <x:c r="C2549" s="0" t="s">
        <x:v>10035</x:v>
      </x:c>
      <x:c r="E2549" s="0" t="s">
        <x:v>10036</x:v>
      </x:c>
      <x:c r="F2549" s="0" t="s">
        <x:v>45</x:v>
      </x:c>
      <x:c r="G2549" s="0" t="s">
        <x:v>19</x:v>
      </x:c>
      <x:c r="H2549" s="0" t="s">
        <x:v>20</x:v>
      </x:c>
      <x:c r="I2549" s="0" t="s">
        <x:v>21</x:v>
      </x:c>
      <x:c r="K2549" s="0">
        <x:f>hyperlink("https://icd.who.int/dev11/l-ichi/en#/http%3A%2F%2Fid.who.int%2Ficd%2Fentity%2F475101426","browser")</x:f>
      </x:c>
      <x:c r="L2549" s="0">
        <x:f>hyperlink("https://icat2.azurewebsites.net/icat/?ontology=ICD&amp;tab=ClassesTab&amp;id=http%3A%2F%2Fwho.int%2Ficd%2310698_512ebf36_bf6b_4d70_85da_cf2637062af4","iCat")</x:f>
      </x:c>
      <x:c r="M2549" s="0" t="s">
        <x:v>21</x:v>
      </x:c>
      <x:c r="N2549" s="0" t="s">
        <x:v>46</x:v>
      </x:c>
    </x:row>
    <x:row r="2550" spans="1:16">
      <x:c r="A2550" s="0" t="s">
        <x:v>10037</x:v>
      </x:c>
      <x:c r="B2550" s="0" t="s">
        <x:v>10038</x:v>
      </x:c>
      <x:c r="C2550" s="0" t="s">
        <x:v>10039</x:v>
      </x:c>
      <x:c r="E2550" s="0" t="s">
        <x:v>10040</x:v>
      </x:c>
      <x:c r="F2550" s="0" t="s">
        <x:v>45</x:v>
      </x:c>
      <x:c r="G2550" s="0" t="s">
        <x:v>19</x:v>
      </x:c>
      <x:c r="H2550" s="0" t="s">
        <x:v>20</x:v>
      </x:c>
      <x:c r="I2550" s="0" t="s">
        <x:v>21</x:v>
      </x:c>
      <x:c r="K2550" s="0">
        <x:f>hyperlink("https://icd.who.int/dev11/l-ichi/en#/http%3A%2F%2Fid.who.int%2Ficd%2Fentity%2F1740425181","browser")</x:f>
      </x:c>
      <x:c r="L2550" s="0">
        <x:f>hyperlink("https://icat2.azurewebsites.net/icat/?ontology=ICD&amp;tab=ClassesTab&amp;id=http%3A%2F%2Fwho.int%2Ficd%2310704_512ebf36_bf6b_4d70_85da_cf2637062af4","iCat")</x:f>
      </x:c>
      <x:c r="M2550" s="0" t="s">
        <x:v>21</x:v>
      </x:c>
      <x:c r="N2550" s="0" t="s">
        <x:v>46</x:v>
      </x:c>
    </x:row>
    <x:row r="2551" spans="1:16">
      <x:c r="A2551" s="0" t="s">
        <x:v>10041</x:v>
      </x:c>
      <x:c r="B2551" s="0" t="s">
        <x:v>10042</x:v>
      </x:c>
      <x:c r="C2551" s="0" t="s">
        <x:v>10043</x:v>
      </x:c>
      <x:c r="E2551" s="0" t="s">
        <x:v>10044</x:v>
      </x:c>
      <x:c r="F2551" s="0" t="s">
        <x:v>45</x:v>
      </x:c>
      <x:c r="G2551" s="0" t="s">
        <x:v>19</x:v>
      </x:c>
      <x:c r="H2551" s="0" t="s">
        <x:v>20</x:v>
      </x:c>
      <x:c r="I2551" s="0" t="s">
        <x:v>21</x:v>
      </x:c>
      <x:c r="K2551" s="0">
        <x:f>hyperlink("https://icd.who.int/dev11/l-ichi/en#/http%3A%2F%2Fid.who.int%2Ficd%2Fentity%2F1901503948","browser")</x:f>
      </x:c>
      <x:c r="L2551" s="0">
        <x:f>hyperlink("https://icat2.azurewebsites.net/icat/?ontology=ICD&amp;tab=ClassesTab&amp;id=http%3A%2F%2Fwho.int%2Ficd%231632_97087496_4a82_4efa_a45a_b3256f81bd7e","iCat")</x:f>
      </x:c>
      <x:c r="M2551" s="0" t="s">
        <x:v>21</x:v>
      </x:c>
      <x:c r="N2551" s="0" t="s">
        <x:v>46</x:v>
      </x:c>
    </x:row>
    <x:row r="2552" spans="1:16">
      <x:c r="A2552" s="0" t="s">
        <x:v>10045</x:v>
      </x:c>
      <x:c r="B2552" s="0" t="s">
        <x:v>10046</x:v>
      </x:c>
      <x:c r="C2552" s="0" t="s">
        <x:v>10047</x:v>
      </x:c>
      <x:c r="E2552" s="0" t="s">
        <x:v>10048</x:v>
      </x:c>
      <x:c r="F2552" s="0" t="s">
        <x:v>45</x:v>
      </x:c>
      <x:c r="G2552" s="0" t="s">
        <x:v>19</x:v>
      </x:c>
      <x:c r="H2552" s="0" t="s">
        <x:v>20</x:v>
      </x:c>
      <x:c r="I2552" s="0" t="s">
        <x:v>21</x:v>
      </x:c>
      <x:c r="K2552" s="0">
        <x:f>hyperlink("https://icd.who.int/dev11/l-ichi/en#/http%3A%2F%2Fid.who.int%2Ficd%2Fentity%2F1521207644","browser")</x:f>
      </x:c>
      <x:c r="L2552" s="0">
        <x:f>hyperlink("https://icat2.azurewebsites.net/icat/?ontology=ICD&amp;tab=ClassesTab&amp;id=http%3A%2F%2Fwho.int%2Ficd%231638_97087496_4a82_4efa_a45a_b3256f81bd7e","iCat")</x:f>
      </x:c>
      <x:c r="M2552" s="0" t="s">
        <x:v>21</x:v>
      </x:c>
      <x:c r="N2552" s="0" t="s">
        <x:v>46</x:v>
      </x:c>
    </x:row>
    <x:row r="2553" spans="1:16">
      <x:c r="A2553" s="0" t="s">
        <x:v>10049</x:v>
      </x:c>
      <x:c r="B2553" s="0" t="s">
        <x:v>10050</x:v>
      </x:c>
      <x:c r="C2553" s="0" t="s">
        <x:v>10051</x:v>
      </x:c>
      <x:c r="E2553" s="0" t="s">
        <x:v>10052</x:v>
      </x:c>
      <x:c r="F2553" s="0" t="s">
        <x:v>45</x:v>
      </x:c>
      <x:c r="G2553" s="0" t="s">
        <x:v>19</x:v>
      </x:c>
      <x:c r="H2553" s="0" t="s">
        <x:v>20</x:v>
      </x:c>
      <x:c r="I2553" s="0" t="s">
        <x:v>21</x:v>
      </x:c>
      <x:c r="K2553" s="0">
        <x:f>hyperlink("https://icd.who.int/dev11/l-ichi/en#/http%3A%2F%2Fid.who.int%2Ficd%2Fentity%2F1348296715","browser")</x:f>
      </x:c>
      <x:c r="L2553" s="0">
        <x:f>hyperlink("https://icat2.azurewebsites.net/icat/?ontology=ICD&amp;tab=ClassesTab&amp;id=http%3A%2F%2Fwho.int%2Ficd%231361_d85a204c_d00a_4566_a3b7_2d137a1891cf","iCat")</x:f>
      </x:c>
      <x:c r="M2553" s="0" t="s">
        <x:v>21</x:v>
      </x:c>
      <x:c r="N2553" s="0" t="s">
        <x:v>46</x:v>
      </x:c>
    </x:row>
    <x:row r="2554" spans="1:16">
      <x:c r="A2554" s="0" t="s">
        <x:v>10053</x:v>
      </x:c>
      <x:c r="B2554" s="0" t="s">
        <x:v>10054</x:v>
      </x:c>
      <x:c r="C2554" s="0" t="s">
        <x:v>10055</x:v>
      </x:c>
      <x:c r="E2554" s="0" t="s">
        <x:v>10056</x:v>
      </x:c>
      <x:c r="F2554" s="0" t="s">
        <x:v>45</x:v>
      </x:c>
      <x:c r="G2554" s="0" t="s">
        <x:v>19</x:v>
      </x:c>
      <x:c r="H2554" s="0" t="s">
        <x:v>20</x:v>
      </x:c>
      <x:c r="I2554" s="0" t="s">
        <x:v>21</x:v>
      </x:c>
      <x:c r="K2554" s="0">
        <x:f>hyperlink("https://icd.who.int/dev11/l-ichi/en#/http%3A%2F%2Fid.who.int%2Ficd%2Fentity%2F2537916","browser")</x:f>
      </x:c>
      <x:c r="L2554" s="0">
        <x:f>hyperlink("https://icat2.azurewebsites.net/icat/?ontology=ICD&amp;tab=ClassesTab&amp;id=http%3A%2F%2Fwho.int%2Ficd%231367_d85a204c_d00a_4566_a3b7_2d137a1891cf","iCat")</x:f>
      </x:c>
      <x:c r="M2554" s="0" t="s">
        <x:v>21</x:v>
      </x:c>
      <x:c r="N2554" s="0" t="s">
        <x:v>46</x:v>
      </x:c>
    </x:row>
    <x:row r="2555" spans="1:16">
      <x:c r="A2555" s="0" t="s">
        <x:v>10057</x:v>
      </x:c>
      <x:c r="B2555" s="0" t="s">
        <x:v>10058</x:v>
      </x:c>
      <x:c r="D2555" s="0" t="s">
        <x:v>10059</x:v>
      </x:c>
      <x:c r="E2555" s="0" t="s">
        <x:v>10060</x:v>
      </x:c>
      <x:c r="F2555" s="0" t="s">
        <x:v>26</x:v>
      </x:c>
      <x:c r="G2555" s="0" t="s">
        <x:v>22</x:v>
      </x:c>
      <x:c r="H2555" s="0" t="s">
        <x:v>20</x:v>
      </x:c>
      <x:c r="I2555" s="0" t="s">
        <x:v>21</x:v>
      </x:c>
      <x:c r="K2555" s="0">
        <x:f>hyperlink("https://icd.who.int/dev11/l-ichi/en#/http%3A%2F%2Fid.who.int%2Ficd%2Fentity%2F226054794","browser")</x:f>
      </x:c>
      <x:c r="L2555" s="0">
        <x:f>hyperlink("https://icat2.azurewebsites.net/icat/?ontology=ICD&amp;tab=ClassesTab&amp;id=http%3A%2F%2Fwho.int%2Ficd%2310714_512ebf36_bf6b_4d70_85da_cf2637062af4","iCat")</x:f>
      </x:c>
      <x:c r="M2555" s="0" t="s">
        <x:v>20</x:v>
      </x:c>
      <x:c r="N2555" s="0" t="s">
        <x:v>8702</x:v>
      </x:c>
    </x:row>
    <x:row r="2556" spans="1:16">
      <x:c r="A2556" s="0" t="s">
        <x:v>10061</x:v>
      </x:c>
      <x:c r="B2556" s="0" t="s">
        <x:v>10062</x:v>
      </x:c>
      <x:c r="C2556" s="0" t="s">
        <x:v>10063</x:v>
      </x:c>
      <x:c r="E2556" s="0" t="s">
        <x:v>10064</x:v>
      </x:c>
      <x:c r="F2556" s="0" t="s">
        <x:v>45</x:v>
      </x:c>
      <x:c r="G2556" s="0" t="s">
        <x:v>19</x:v>
      </x:c>
      <x:c r="H2556" s="0" t="s">
        <x:v>20</x:v>
      </x:c>
      <x:c r="I2556" s="0" t="s">
        <x:v>21</x:v>
      </x:c>
      <x:c r="K2556" s="0">
        <x:f>hyperlink("https://icd.who.int/dev11/l-ichi/en#/http%3A%2F%2Fid.who.int%2Ficd%2Fentity%2F2113665287","browser")</x:f>
      </x:c>
      <x:c r="L2556" s="0">
        <x:f>hyperlink("https://icat2.azurewebsites.net/icat/?ontology=ICD&amp;tab=ClassesTab&amp;id=http%3A%2F%2Fwho.int%2Ficd%2310713_512ebf36_bf6b_4d70_85da_cf2637062af4","iCat")</x:f>
      </x:c>
      <x:c r="M2556" s="0" t="s">
        <x:v>21</x:v>
      </x:c>
      <x:c r="N2556" s="0" t="s">
        <x:v>46</x:v>
      </x:c>
    </x:row>
    <x:row r="2557" spans="1:16">
      <x:c r="A2557" s="0" t="s">
        <x:v>10065</x:v>
      </x:c>
      <x:c r="B2557" s="0" t="s">
        <x:v>10066</x:v>
      </x:c>
      <x:c r="C2557" s="0" t="s">
        <x:v>10067</x:v>
      </x:c>
      <x:c r="E2557" s="0" t="s">
        <x:v>10068</x:v>
      </x:c>
      <x:c r="F2557" s="0" t="s">
        <x:v>45</x:v>
      </x:c>
      <x:c r="G2557" s="0" t="s">
        <x:v>19</x:v>
      </x:c>
      <x:c r="H2557" s="0" t="s">
        <x:v>20</x:v>
      </x:c>
      <x:c r="I2557" s="0" t="s">
        <x:v>21</x:v>
      </x:c>
      <x:c r="K2557" s="0">
        <x:f>hyperlink("https://icd.who.int/dev11/l-ichi/en#/http%3A%2F%2Fid.who.int%2Ficd%2Fentity%2F911124396","browser")</x:f>
      </x:c>
      <x:c r="L2557" s="0">
        <x:f>hyperlink("https://icat2.azurewebsites.net/icat/?ontology=ICD&amp;tab=ClassesTab&amp;id=http%3A%2F%2Fwho.int%2Ficd%2310728_512ebf36_bf6b_4d70_85da_cf2637062af4","iCat")</x:f>
      </x:c>
      <x:c r="M2557" s="0" t="s">
        <x:v>21</x:v>
      </x:c>
      <x:c r="N2557" s="0" t="s">
        <x:v>46</x:v>
      </x:c>
    </x:row>
    <x:row r="2558" spans="1:16">
      <x:c r="A2558" s="0" t="s">
        <x:v>10069</x:v>
      </x:c>
      <x:c r="B2558" s="0" t="s">
        <x:v>10070</x:v>
      </x:c>
      <x:c r="C2558" s="0" t="s">
        <x:v>10071</x:v>
      </x:c>
      <x:c r="E2558" s="0" t="s">
        <x:v>10072</x:v>
      </x:c>
      <x:c r="F2558" s="0" t="s">
        <x:v>45</x:v>
      </x:c>
      <x:c r="G2558" s="0" t="s">
        <x:v>19</x:v>
      </x:c>
      <x:c r="H2558" s="0" t="s">
        <x:v>20</x:v>
      </x:c>
      <x:c r="I2558" s="0" t="s">
        <x:v>21</x:v>
      </x:c>
      <x:c r="K2558" s="0">
        <x:f>hyperlink("https://icd.who.int/dev11/l-ichi/en#/http%3A%2F%2Fid.who.int%2Ficd%2Fentity%2F1653139491","browser")</x:f>
      </x:c>
      <x:c r="L2558" s="0">
        <x:f>hyperlink("https://icat2.azurewebsites.net/icat/?ontology=ICD&amp;tab=ClassesTab&amp;id=http%3A%2F%2Fwho.int%2Ficd%2310737_512ebf36_bf6b_4d70_85da_cf2637062af4","iCat")</x:f>
      </x:c>
      <x:c r="M2558" s="0" t="s">
        <x:v>21</x:v>
      </x:c>
      <x:c r="N2558" s="0" t="s">
        <x:v>46</x:v>
      </x:c>
    </x:row>
    <x:row r="2559" spans="1:16">
      <x:c r="A2559" s="0" t="s">
        <x:v>10073</x:v>
      </x:c>
      <x:c r="B2559" s="0" t="s">
        <x:v>10074</x:v>
      </x:c>
      <x:c r="C2559" s="0" t="s">
        <x:v>10075</x:v>
      </x:c>
      <x:c r="E2559" s="0" t="s">
        <x:v>10076</x:v>
      </x:c>
      <x:c r="F2559" s="0" t="s">
        <x:v>45</x:v>
      </x:c>
      <x:c r="G2559" s="0" t="s">
        <x:v>19</x:v>
      </x:c>
      <x:c r="H2559" s="0" t="s">
        <x:v>20</x:v>
      </x:c>
      <x:c r="I2559" s="0" t="s">
        <x:v>21</x:v>
      </x:c>
      <x:c r="K2559" s="0">
        <x:f>hyperlink("https://icd.who.int/dev11/l-ichi/en#/http%3A%2F%2Fid.who.int%2Ficd%2Fentity%2F1733902157","browser")</x:f>
      </x:c>
      <x:c r="L2559" s="0">
        <x:f>hyperlink("https://icat2.azurewebsites.net/icat/?ontology=ICD&amp;tab=ClassesTab&amp;id=http%3A%2F%2Fwho.int%2Ficd%2310743_512ebf36_bf6b_4d70_85da_cf2637062af4","iCat")</x:f>
      </x:c>
      <x:c r="M2559" s="0" t="s">
        <x:v>21</x:v>
      </x:c>
      <x:c r="N2559" s="0" t="s">
        <x:v>46</x:v>
      </x:c>
    </x:row>
    <x:row r="2560" spans="1:16">
      <x:c r="A2560" s="0" t="s">
        <x:v>10077</x:v>
      </x:c>
      <x:c r="B2560" s="0" t="s">
        <x:v>10078</x:v>
      </x:c>
      <x:c r="C2560" s="0" t="s">
        <x:v>10079</x:v>
      </x:c>
      <x:c r="E2560" s="0" t="s">
        <x:v>10080</x:v>
      </x:c>
      <x:c r="F2560" s="0" t="s">
        <x:v>45</x:v>
      </x:c>
      <x:c r="G2560" s="0" t="s">
        <x:v>19</x:v>
      </x:c>
      <x:c r="H2560" s="0" t="s">
        <x:v>20</x:v>
      </x:c>
      <x:c r="I2560" s="0" t="s">
        <x:v>21</x:v>
      </x:c>
      <x:c r="K2560" s="0">
        <x:f>hyperlink("https://icd.who.int/dev11/l-ichi/en#/http%3A%2F%2Fid.who.int%2Ficd%2Fentity%2F301690727","browser")</x:f>
      </x:c>
      <x:c r="L2560" s="0">
        <x:f>hyperlink("https://icat2.azurewebsites.net/icat/?ontology=ICD&amp;tab=ClassesTab&amp;id=http%3A%2F%2Fwho.int%2Ficd%231644_97087496_4a82_4efa_a45a_b3256f81bd7e","iCat")</x:f>
      </x:c>
      <x:c r="M2560" s="0" t="s">
        <x:v>21</x:v>
      </x:c>
      <x:c r="N2560" s="0" t="s">
        <x:v>46</x:v>
      </x:c>
    </x:row>
    <x:row r="2561" spans="1:16">
      <x:c r="A2561" s="0" t="s">
        <x:v>10081</x:v>
      </x:c>
      <x:c r="B2561" s="0" t="s">
        <x:v>10082</x:v>
      </x:c>
      <x:c r="C2561" s="0" t="s">
        <x:v>10083</x:v>
      </x:c>
      <x:c r="E2561" s="0" t="s">
        <x:v>10084</x:v>
      </x:c>
      <x:c r="F2561" s="0" t="s">
        <x:v>45</x:v>
      </x:c>
      <x:c r="G2561" s="0" t="s">
        <x:v>19</x:v>
      </x:c>
      <x:c r="H2561" s="0" t="s">
        <x:v>20</x:v>
      </x:c>
      <x:c r="I2561" s="0" t="s">
        <x:v>21</x:v>
      </x:c>
      <x:c r="K2561" s="0">
        <x:f>hyperlink("https://icd.who.int/dev11/l-ichi/en#/http%3A%2F%2Fid.who.int%2Ficd%2Fentity%2F1312374342","browser")</x:f>
      </x:c>
      <x:c r="L2561" s="0">
        <x:f>hyperlink("https://icat2.azurewebsites.net/icat/?ontology=ICD&amp;tab=ClassesTab&amp;id=http%3A%2F%2Fwho.int%2Ficd%231650_97087496_4a82_4efa_a45a_b3256f81bd7e","iCat")</x:f>
      </x:c>
      <x:c r="M2561" s="0" t="s">
        <x:v>21</x:v>
      </x:c>
      <x:c r="N2561" s="0" t="s">
        <x:v>46</x:v>
      </x:c>
    </x:row>
    <x:row r="2562" spans="1:16">
      <x:c r="A2562" s="0" t="s">
        <x:v>10085</x:v>
      </x:c>
      <x:c r="B2562" s="0" t="s">
        <x:v>10086</x:v>
      </x:c>
      <x:c r="C2562" s="0" t="s">
        <x:v>10087</x:v>
      </x:c>
      <x:c r="E2562" s="0" t="s">
        <x:v>10088</x:v>
      </x:c>
      <x:c r="F2562" s="0" t="s">
        <x:v>45</x:v>
      </x:c>
      <x:c r="G2562" s="0" t="s">
        <x:v>19</x:v>
      </x:c>
      <x:c r="H2562" s="0" t="s">
        <x:v>20</x:v>
      </x:c>
      <x:c r="I2562" s="0" t="s">
        <x:v>21</x:v>
      </x:c>
      <x:c r="K2562" s="0">
        <x:f>hyperlink("https://icd.who.int/dev11/l-ichi/en#/http%3A%2F%2Fid.who.int%2Ficd%2Fentity%2F1285837789","browser")</x:f>
      </x:c>
      <x:c r="L2562" s="0">
        <x:f>hyperlink("https://icat2.azurewebsites.net/icat/?ontology=ICD&amp;tab=ClassesTab&amp;id=http%3A%2F%2Fwho.int%2Ficd%2310749_512ebf36_bf6b_4d70_85da_cf2637062af4","iCat")</x:f>
      </x:c>
      <x:c r="M2562" s="0" t="s">
        <x:v>21</x:v>
      </x:c>
      <x:c r="N2562" s="0" t="s">
        <x:v>46</x:v>
      </x:c>
    </x:row>
    <x:row r="2563" spans="1:16">
      <x:c r="A2563" s="0" t="s">
        <x:v>10089</x:v>
      </x:c>
      <x:c r="B2563" s="0" t="s">
        <x:v>10090</x:v>
      </x:c>
      <x:c r="C2563" s="0" t="s">
        <x:v>10091</x:v>
      </x:c>
      <x:c r="E2563" s="0" t="s">
        <x:v>10092</x:v>
      </x:c>
      <x:c r="F2563" s="0" t="s">
        <x:v>45</x:v>
      </x:c>
      <x:c r="G2563" s="0" t="s">
        <x:v>19</x:v>
      </x:c>
      <x:c r="H2563" s="0" t="s">
        <x:v>20</x:v>
      </x:c>
      <x:c r="I2563" s="0" t="s">
        <x:v>21</x:v>
      </x:c>
      <x:c r="K2563" s="0">
        <x:f>hyperlink("https://icd.who.int/dev11/l-ichi/en#/http%3A%2F%2Fid.who.int%2Ficd%2Fentity%2F110671032","browser")</x:f>
      </x:c>
      <x:c r="L2563" s="0">
        <x:f>hyperlink("https://icat2.azurewebsites.net/icat/?ontology=ICD&amp;tab=ClassesTab&amp;id=http%3A%2F%2Fwho.int%2Ficd%2310758_512ebf36_bf6b_4d70_85da_cf2637062af4","iCat")</x:f>
      </x:c>
      <x:c r="M2563" s="0" t="s">
        <x:v>21</x:v>
      </x:c>
      <x:c r="N2563" s="0" t="s">
        <x:v>46</x:v>
      </x:c>
    </x:row>
    <x:row r="2564" spans="1:16">
      <x:c r="A2564" s="0" t="s">
        <x:v>10093</x:v>
      </x:c>
      <x:c r="B2564" s="0" t="s">
        <x:v>10094</x:v>
      </x:c>
      <x:c r="C2564" s="0" t="s">
        <x:v>10095</x:v>
      </x:c>
      <x:c r="E2564" s="0" t="s">
        <x:v>10096</x:v>
      </x:c>
      <x:c r="F2564" s="0" t="s">
        <x:v>45</x:v>
      </x:c>
      <x:c r="G2564" s="0" t="s">
        <x:v>19</x:v>
      </x:c>
      <x:c r="H2564" s="0" t="s">
        <x:v>20</x:v>
      </x:c>
      <x:c r="I2564" s="0" t="s">
        <x:v>21</x:v>
      </x:c>
      <x:c r="K2564" s="0">
        <x:f>hyperlink("https://icd.who.int/dev11/l-ichi/en#/http%3A%2F%2Fid.who.int%2Ficd%2Fentity%2F1034895762","browser")</x:f>
      </x:c>
      <x:c r="L2564" s="0">
        <x:f>hyperlink("https://icat2.azurewebsites.net/icat/?ontology=ICD&amp;tab=ClassesTab&amp;id=http%3A%2F%2Fwho.int%2Ficd%2310764_512ebf36_bf6b_4d70_85da_cf2637062af4","iCat")</x:f>
      </x:c>
      <x:c r="M2564" s="0" t="s">
        <x:v>21</x:v>
      </x:c>
      <x:c r="N2564" s="0" t="s">
        <x:v>46</x:v>
      </x:c>
    </x:row>
    <x:row r="2565" spans="1:16">
      <x:c r="A2565" s="0" t="s">
        <x:v>10097</x:v>
      </x:c>
      <x:c r="B2565" s="0" t="s">
        <x:v>10098</x:v>
      </x:c>
      <x:c r="C2565" s="0" t="s">
        <x:v>10099</x:v>
      </x:c>
      <x:c r="E2565" s="0" t="s">
        <x:v>10100</x:v>
      </x:c>
      <x:c r="F2565" s="0" t="s">
        <x:v>45</x:v>
      </x:c>
      <x:c r="G2565" s="0" t="s">
        <x:v>19</x:v>
      </x:c>
      <x:c r="H2565" s="0" t="s">
        <x:v>20</x:v>
      </x:c>
      <x:c r="I2565" s="0" t="s">
        <x:v>21</x:v>
      </x:c>
      <x:c r="K2565" s="0">
        <x:f>hyperlink("https://icd.who.int/dev11/l-ichi/en#/http%3A%2F%2Fid.who.int%2Ficd%2Fentity%2F1651314867","browser")</x:f>
      </x:c>
      <x:c r="L2565" s="0">
        <x:f>hyperlink("https://icat2.azurewebsites.net/icat/?ontology=ICD&amp;tab=ClassesTab&amp;id=http%3A%2F%2Fwho.int%2Ficd%2310770_512ebf36_bf6b_4d70_85da_cf2637062af4","iCat")</x:f>
      </x:c>
      <x:c r="M2565" s="0" t="s">
        <x:v>21</x:v>
      </x:c>
      <x:c r="N2565" s="0" t="s">
        <x:v>46</x:v>
      </x:c>
    </x:row>
    <x:row r="2566" spans="1:16">
      <x:c r="A2566" s="0" t="s">
        <x:v>10101</x:v>
      </x:c>
      <x:c r="B2566" s="0" t="s">
        <x:v>10102</x:v>
      </x:c>
      <x:c r="C2566" s="0" t="s">
        <x:v>10103</x:v>
      </x:c>
      <x:c r="E2566" s="0" t="s">
        <x:v>10104</x:v>
      </x:c>
      <x:c r="F2566" s="0" t="s">
        <x:v>45</x:v>
      </x:c>
      <x:c r="G2566" s="0" t="s">
        <x:v>19</x:v>
      </x:c>
      <x:c r="H2566" s="0" t="s">
        <x:v>20</x:v>
      </x:c>
      <x:c r="I2566" s="0" t="s">
        <x:v>21</x:v>
      </x:c>
      <x:c r="K2566" s="0">
        <x:f>hyperlink("https://icd.who.int/dev11/l-ichi/en#/http%3A%2F%2Fid.who.int%2Ficd%2Fentity%2F840354052","browser")</x:f>
      </x:c>
      <x:c r="L2566" s="0">
        <x:f>hyperlink("https://icat2.azurewebsites.net/icat/?ontology=ICD&amp;tab=ClassesTab&amp;id=http%3A%2F%2Fwho.int%2Ficd%2310776_512ebf36_bf6b_4d70_85da_cf2637062af4","iCat")</x:f>
      </x:c>
      <x:c r="M2566" s="0" t="s">
        <x:v>21</x:v>
      </x:c>
      <x:c r="N2566" s="0" t="s">
        <x:v>46</x:v>
      </x:c>
    </x:row>
    <x:row r="2567" spans="1:16">
      <x:c r="A2567" s="0" t="s">
        <x:v>10105</x:v>
      </x:c>
      <x:c r="B2567" s="0" t="s">
        <x:v>10106</x:v>
      </x:c>
      <x:c r="C2567" s="0" t="s">
        <x:v>10107</x:v>
      </x:c>
      <x:c r="E2567" s="0" t="s">
        <x:v>10108</x:v>
      </x:c>
      <x:c r="F2567" s="0" t="s">
        <x:v>45</x:v>
      </x:c>
      <x:c r="G2567" s="0" t="s">
        <x:v>19</x:v>
      </x:c>
      <x:c r="H2567" s="0" t="s">
        <x:v>20</x:v>
      </x:c>
      <x:c r="I2567" s="0" t="s">
        <x:v>21</x:v>
      </x:c>
      <x:c r="K2567" s="0">
        <x:f>hyperlink("https://icd.who.int/dev11/l-ichi/en#/http%3A%2F%2Fid.who.int%2Ficd%2Fentity%2F502367198","browser")</x:f>
      </x:c>
      <x:c r="L2567" s="0">
        <x:f>hyperlink("https://icat2.azurewebsites.net/icat/?ontology=ICD&amp;tab=ClassesTab&amp;id=http%3A%2F%2Fwho.int%2Ficd%2310786_512ebf36_bf6b_4d70_85da_cf2637062af4","iCat")</x:f>
      </x:c>
      <x:c r="M2567" s="0" t="s">
        <x:v>21</x:v>
      </x:c>
      <x:c r="N2567" s="0" t="s">
        <x:v>46</x:v>
      </x:c>
    </x:row>
    <x:row r="2568" spans="1:16">
      <x:c r="A2568" s="0" t="s">
        <x:v>10109</x:v>
      </x:c>
      <x:c r="B2568" s="0" t="s">
        <x:v>10110</x:v>
      </x:c>
      <x:c r="C2568" s="0" t="s">
        <x:v>10111</x:v>
      </x:c>
      <x:c r="E2568" s="0" t="s">
        <x:v>10112</x:v>
      </x:c>
      <x:c r="F2568" s="0" t="s">
        <x:v>45</x:v>
      </x:c>
      <x:c r="G2568" s="0" t="s">
        <x:v>19</x:v>
      </x:c>
      <x:c r="H2568" s="0" t="s">
        <x:v>20</x:v>
      </x:c>
      <x:c r="I2568" s="0" t="s">
        <x:v>21</x:v>
      </x:c>
      <x:c r="K2568" s="0">
        <x:f>hyperlink("https://icd.who.int/dev11/l-ichi/en#/http%3A%2F%2Fid.who.int%2Ficd%2Fentity%2F1110692607","browser")</x:f>
      </x:c>
      <x:c r="L2568" s="0">
        <x:f>hyperlink("https://icat2.azurewebsites.net/icat/?ontology=ICD&amp;tab=ClassesTab&amp;id=http%3A%2F%2Fwho.int%2Ficd%2310792_512ebf36_bf6b_4d70_85da_cf2637062af4","iCat")</x:f>
      </x:c>
      <x:c r="M2568" s="0" t="s">
        <x:v>21</x:v>
      </x:c>
      <x:c r="N2568" s="0" t="s">
        <x:v>46</x:v>
      </x:c>
    </x:row>
    <x:row r="2569" spans="1:16">
      <x:c r="A2569" s="0" t="s">
        <x:v>10113</x:v>
      </x:c>
      <x:c r="B2569" s="0" t="s">
        <x:v>10114</x:v>
      </x:c>
      <x:c r="C2569" s="0" t="s">
        <x:v>10115</x:v>
      </x:c>
      <x:c r="E2569" s="0" t="s">
        <x:v>10116</x:v>
      </x:c>
      <x:c r="F2569" s="0" t="s">
        <x:v>45</x:v>
      </x:c>
      <x:c r="G2569" s="0" t="s">
        <x:v>19</x:v>
      </x:c>
      <x:c r="H2569" s="0" t="s">
        <x:v>20</x:v>
      </x:c>
      <x:c r="I2569" s="0" t="s">
        <x:v>21</x:v>
      </x:c>
      <x:c r="K2569" s="0">
        <x:f>hyperlink("https://icd.who.int/dev11/l-ichi/en#/http%3A%2F%2Fid.who.int%2Ficd%2Fentity%2F620139439","browser")</x:f>
      </x:c>
      <x:c r="L2569" s="0">
        <x:f>hyperlink("https://icat2.azurewebsites.net/icat/?ontology=ICD&amp;tab=ClassesTab&amp;id=http%3A%2F%2Fwho.int%2Ficd%2310800_512ebf36_bf6b_4d70_85da_cf2637062af4","iCat")</x:f>
      </x:c>
      <x:c r="M2569" s="0" t="s">
        <x:v>21</x:v>
      </x:c>
      <x:c r="N2569" s="0" t="s">
        <x:v>46</x:v>
      </x:c>
    </x:row>
    <x:row r="2570" spans="1:16">
      <x:c r="A2570" s="0" t="s">
        <x:v>10117</x:v>
      </x:c>
      <x:c r="B2570" s="0" t="s">
        <x:v>10118</x:v>
      </x:c>
      <x:c r="C2570" s="0" t="s">
        <x:v>10119</x:v>
      </x:c>
      <x:c r="E2570" s="0" t="s">
        <x:v>10120</x:v>
      </x:c>
      <x:c r="F2570" s="0" t="s">
        <x:v>45</x:v>
      </x:c>
      <x:c r="G2570" s="0" t="s">
        <x:v>19</x:v>
      </x:c>
      <x:c r="H2570" s="0" t="s">
        <x:v>20</x:v>
      </x:c>
      <x:c r="I2570" s="0" t="s">
        <x:v>21</x:v>
      </x:c>
      <x:c r="K2570" s="0">
        <x:f>hyperlink("https://icd.who.int/dev11/l-ichi/en#/http%3A%2F%2Fid.who.int%2Ficd%2Fentity%2F1955416608","browser")</x:f>
      </x:c>
      <x:c r="L2570" s="0">
        <x:f>hyperlink("https://icat2.azurewebsites.net/icat/?ontology=ICD&amp;tab=ClassesTab&amp;id=http%3A%2F%2Fwho.int%2Ficd%2310806_512ebf36_bf6b_4d70_85da_cf2637062af4","iCat")</x:f>
      </x:c>
      <x:c r="M2570" s="0" t="s">
        <x:v>21</x:v>
      </x:c>
      <x:c r="N2570" s="0" t="s">
        <x:v>46</x:v>
      </x:c>
    </x:row>
    <x:row r="2571" spans="1:16">
      <x:c r="A2571" s="0" t="s">
        <x:v>10121</x:v>
      </x:c>
      <x:c r="B2571" s="0" t="s">
        <x:v>10122</x:v>
      </x:c>
      <x:c r="C2571" s="0" t="s">
        <x:v>10123</x:v>
      </x:c>
      <x:c r="E2571" s="0" t="s">
        <x:v>10124</x:v>
      </x:c>
      <x:c r="F2571" s="0" t="s">
        <x:v>45</x:v>
      </x:c>
      <x:c r="G2571" s="0" t="s">
        <x:v>19</x:v>
      </x:c>
      <x:c r="H2571" s="0" t="s">
        <x:v>20</x:v>
      </x:c>
      <x:c r="I2571" s="0" t="s">
        <x:v>21</x:v>
      </x:c>
      <x:c r="K2571" s="0">
        <x:f>hyperlink("https://icd.who.int/dev11/l-ichi/en#/http%3A%2F%2Fid.who.int%2Ficd%2Fentity%2F508092233","browser")</x:f>
      </x:c>
      <x:c r="L2571" s="0">
        <x:f>hyperlink("https://icat2.azurewebsites.net/icat/?ontology=ICD&amp;tab=ClassesTab&amp;id=http%3A%2F%2Fwho.int%2Ficd%2310816_512ebf36_bf6b_4d70_85da_cf2637062af4","iCat")</x:f>
      </x:c>
      <x:c r="M2571" s="0" t="s">
        <x:v>21</x:v>
      </x:c>
      <x:c r="N2571" s="0" t="s">
        <x:v>46</x:v>
      </x:c>
    </x:row>
    <x:row r="2572" spans="1:16">
      <x:c r="A2572" s="0" t="s">
        <x:v>10125</x:v>
      </x:c>
      <x:c r="B2572" s="0" t="s">
        <x:v>10126</x:v>
      </x:c>
      <x:c r="C2572" s="0" t="s">
        <x:v>10127</x:v>
      </x:c>
      <x:c r="E2572" s="0" t="s">
        <x:v>10128</x:v>
      </x:c>
      <x:c r="F2572" s="0" t="s">
        <x:v>45</x:v>
      </x:c>
      <x:c r="G2572" s="0" t="s">
        <x:v>19</x:v>
      </x:c>
      <x:c r="H2572" s="0" t="s">
        <x:v>20</x:v>
      </x:c>
      <x:c r="I2572" s="0" t="s">
        <x:v>21</x:v>
      </x:c>
      <x:c r="K2572" s="0">
        <x:f>hyperlink("https://icd.who.int/dev11/l-ichi/en#/http%3A%2F%2Fid.who.int%2Ficd%2Fentity%2F1811831612","browser")</x:f>
      </x:c>
      <x:c r="L2572" s="0">
        <x:f>hyperlink("https://icat2.azurewebsites.net/icat/?ontology=ICD&amp;tab=ClassesTab&amp;id=http%3A%2F%2Fwho.int%2Ficd%2310822_512ebf36_bf6b_4d70_85da_cf2637062af4","iCat")</x:f>
      </x:c>
      <x:c r="M2572" s="0" t="s">
        <x:v>21</x:v>
      </x:c>
      <x:c r="N2572" s="0" t="s">
        <x:v>46</x:v>
      </x:c>
    </x:row>
    <x:row r="2573" spans="1:16">
      <x:c r="A2573" s="0" t="s">
        <x:v>10129</x:v>
      </x:c>
      <x:c r="B2573" s="0" t="s">
        <x:v>10130</x:v>
      </x:c>
      <x:c r="C2573" s="0" t="s">
        <x:v>10131</x:v>
      </x:c>
      <x:c r="E2573" s="0" t="s">
        <x:v>10132</x:v>
      </x:c>
      <x:c r="F2573" s="0" t="s">
        <x:v>45</x:v>
      </x:c>
      <x:c r="G2573" s="0" t="s">
        <x:v>19</x:v>
      </x:c>
      <x:c r="H2573" s="0" t="s">
        <x:v>20</x:v>
      </x:c>
      <x:c r="I2573" s="0" t="s">
        <x:v>21</x:v>
      </x:c>
      <x:c r="K2573" s="0">
        <x:f>hyperlink("https://icd.who.int/dev11/l-ichi/en#/http%3A%2F%2Fid.who.int%2Ficd%2Fentity%2F1073952684","browser")</x:f>
      </x:c>
      <x:c r="L2573" s="0">
        <x:f>hyperlink("https://icat2.azurewebsites.net/icat/?ontology=ICD&amp;tab=ClassesTab&amp;id=http%3A%2F%2Fwho.int%2Ficd%2310828_512ebf36_bf6b_4d70_85da_cf2637062af4","iCat")</x:f>
      </x:c>
      <x:c r="M2573" s="0" t="s">
        <x:v>21</x:v>
      </x:c>
      <x:c r="N2573" s="0" t="s">
        <x:v>46</x:v>
      </x:c>
    </x:row>
    <x:row r="2574" spans="1:16">
      <x:c r="A2574" s="0" t="s">
        <x:v>10133</x:v>
      </x:c>
      <x:c r="B2574" s="0" t="s">
        <x:v>10134</x:v>
      </x:c>
      <x:c r="C2574" s="0" t="s">
        <x:v>10135</x:v>
      </x:c>
      <x:c r="E2574" s="0" t="s">
        <x:v>10136</x:v>
      </x:c>
      <x:c r="F2574" s="0" t="s">
        <x:v>45</x:v>
      </x:c>
      <x:c r="G2574" s="0" t="s">
        <x:v>19</x:v>
      </x:c>
      <x:c r="H2574" s="0" t="s">
        <x:v>20</x:v>
      </x:c>
      <x:c r="I2574" s="0" t="s">
        <x:v>21</x:v>
      </x:c>
      <x:c r="K2574" s="0">
        <x:f>hyperlink("https://icd.who.int/dev11/l-ichi/en#/http%3A%2F%2Fid.who.int%2Ficd%2Fentity%2F1363154908","browser")</x:f>
      </x:c>
      <x:c r="L2574" s="0">
        <x:f>hyperlink("https://icat2.azurewebsites.net/icat/?ontology=ICD&amp;tab=ClassesTab&amp;id=http%3A%2F%2Fwho.int%2Ficd%2310834_512ebf36_bf6b_4d70_85da_cf2637062af4","iCat")</x:f>
      </x:c>
      <x:c r="M2574" s="0" t="s">
        <x:v>21</x:v>
      </x:c>
      <x:c r="N2574" s="0" t="s">
        <x:v>46</x:v>
      </x:c>
    </x:row>
    <x:row r="2575" spans="1:16">
      <x:c r="A2575" s="0" t="s">
        <x:v>10137</x:v>
      </x:c>
      <x:c r="B2575" s="0" t="s">
        <x:v>10138</x:v>
      </x:c>
      <x:c r="C2575" s="0" t="s">
        <x:v>10139</x:v>
      </x:c>
      <x:c r="E2575" s="0" t="s">
        <x:v>10140</x:v>
      </x:c>
      <x:c r="F2575" s="0" t="s">
        <x:v>45</x:v>
      </x:c>
      <x:c r="G2575" s="0" t="s">
        <x:v>19</x:v>
      </x:c>
      <x:c r="H2575" s="0" t="s">
        <x:v>20</x:v>
      </x:c>
      <x:c r="I2575" s="0" t="s">
        <x:v>21</x:v>
      </x:c>
      <x:c r="K2575" s="0">
        <x:f>hyperlink("https://icd.who.int/dev11/l-ichi/en#/http%3A%2F%2Fid.who.int%2Ficd%2Fentity%2F1891825206","browser")</x:f>
      </x:c>
      <x:c r="L2575" s="0">
        <x:f>hyperlink("https://icat2.azurewebsites.net/icat/?ontology=ICD&amp;tab=ClassesTab&amp;id=http%3A%2F%2Fwho.int%2Ficd%2314783_4869915e_217e_423d_acb3_33c0f920ef4b","iCat")</x:f>
      </x:c>
      <x:c r="M2575" s="0" t="s">
        <x:v>21</x:v>
      </x:c>
      <x:c r="N2575" s="0" t="s">
        <x:v>46</x:v>
      </x:c>
    </x:row>
    <x:row r="2576" spans="1:16">
      <x:c r="A2576" s="0" t="s">
        <x:v>10141</x:v>
      </x:c>
      <x:c r="B2576" s="0" t="s">
        <x:v>10142</x:v>
      </x:c>
      <x:c r="C2576" s="0" t="s">
        <x:v>10143</x:v>
      </x:c>
      <x:c r="E2576" s="0" t="s">
        <x:v>10144</x:v>
      </x:c>
      <x:c r="F2576" s="0" t="s">
        <x:v>45</x:v>
      </x:c>
      <x:c r="G2576" s="0" t="s">
        <x:v>19</x:v>
      </x:c>
      <x:c r="H2576" s="0" t="s">
        <x:v>20</x:v>
      </x:c>
      <x:c r="I2576" s="0" t="s">
        <x:v>21</x:v>
      </x:c>
      <x:c r="K2576" s="0">
        <x:f>hyperlink("https://icd.who.int/dev11/l-ichi/en#/http%3A%2F%2Fid.who.int%2Ficd%2Fentity%2F1418838194","browser")</x:f>
      </x:c>
      <x:c r="L2576" s="0">
        <x:f>hyperlink("https://icat2.azurewebsites.net/icat/?ontology=ICD&amp;tab=ClassesTab&amp;id=http%3A%2F%2Fwho.int%2Ficd%2310840_512ebf36_bf6b_4d70_85da_cf2637062af4","iCat")</x:f>
      </x:c>
      <x:c r="M2576" s="0" t="s">
        <x:v>21</x:v>
      </x:c>
      <x:c r="N2576" s="0" t="s">
        <x:v>46</x:v>
      </x:c>
    </x:row>
    <x:row r="2577" spans="1:16">
      <x:c r="A2577" s="0" t="s">
        <x:v>10145</x:v>
      </x:c>
      <x:c r="B2577" s="0" t="s">
        <x:v>10146</x:v>
      </x:c>
      <x:c r="C2577" s="0" t="s">
        <x:v>10147</x:v>
      </x:c>
      <x:c r="E2577" s="0" t="s">
        <x:v>10148</x:v>
      </x:c>
      <x:c r="F2577" s="0" t="s">
        <x:v>45</x:v>
      </x:c>
      <x:c r="G2577" s="0" t="s">
        <x:v>19</x:v>
      </x:c>
      <x:c r="H2577" s="0" t="s">
        <x:v>20</x:v>
      </x:c>
      <x:c r="I2577" s="0" t="s">
        <x:v>21</x:v>
      </x:c>
      <x:c r="K2577" s="0">
        <x:f>hyperlink("https://icd.who.int/dev11/l-ichi/en#/http%3A%2F%2Fid.who.int%2Ficd%2Fentity%2F82450691","browser")</x:f>
      </x:c>
      <x:c r="L2577" s="0">
        <x:f>hyperlink("https://icat2.azurewebsites.net/icat/?ontology=ICD&amp;tab=ClassesTab&amp;id=http%3A%2F%2Fwho.int%2Ficd%2310846_512ebf36_bf6b_4d70_85da_cf2637062af4","iCat")</x:f>
      </x:c>
      <x:c r="M2577" s="0" t="s">
        <x:v>21</x:v>
      </x:c>
      <x:c r="N2577" s="0" t="s">
        <x:v>46</x:v>
      </x:c>
    </x:row>
    <x:row r="2578" spans="1:16">
      <x:c r="A2578" s="0" t="s">
        <x:v>10149</x:v>
      </x:c>
      <x:c r="B2578" s="0" t="s">
        <x:v>10150</x:v>
      </x:c>
      <x:c r="C2578" s="0" t="s">
        <x:v>10151</x:v>
      </x:c>
      <x:c r="E2578" s="0" t="s">
        <x:v>10152</x:v>
      </x:c>
      <x:c r="F2578" s="0" t="s">
        <x:v>45</x:v>
      </x:c>
      <x:c r="G2578" s="0" t="s">
        <x:v>19</x:v>
      </x:c>
      <x:c r="H2578" s="0" t="s">
        <x:v>20</x:v>
      </x:c>
      <x:c r="I2578" s="0" t="s">
        <x:v>21</x:v>
      </x:c>
      <x:c r="K2578" s="0">
        <x:f>hyperlink("https://icd.who.int/dev11/l-ichi/en#/http%3A%2F%2Fid.who.int%2Ficd%2Fentity%2F1529366560","browser")</x:f>
      </x:c>
      <x:c r="L2578" s="0">
        <x:f>hyperlink("https://icat2.azurewebsites.net/icat/?ontology=ICD&amp;tab=ClassesTab&amp;id=http%3A%2F%2Fwho.int%2Ficd%2310852_512ebf36_bf6b_4d70_85da_cf2637062af4","iCat")</x:f>
      </x:c>
      <x:c r="M2578" s="0" t="s">
        <x:v>21</x:v>
      </x:c>
      <x:c r="N2578" s="0" t="s">
        <x:v>46</x:v>
      </x:c>
    </x:row>
    <x:row r="2579" spans="1:16">
      <x:c r="A2579" s="0" t="s">
        <x:v>10153</x:v>
      </x:c>
      <x:c r="B2579" s="0" t="s">
        <x:v>10154</x:v>
      </x:c>
      <x:c r="C2579" s="0" t="s">
        <x:v>10155</x:v>
      </x:c>
      <x:c r="E2579" s="0" t="s">
        <x:v>10156</x:v>
      </x:c>
      <x:c r="F2579" s="0" t="s">
        <x:v>45</x:v>
      </x:c>
      <x:c r="G2579" s="0" t="s">
        <x:v>19</x:v>
      </x:c>
      <x:c r="H2579" s="0" t="s">
        <x:v>20</x:v>
      </x:c>
      <x:c r="I2579" s="0" t="s">
        <x:v>21</x:v>
      </x:c>
      <x:c r="K2579" s="0">
        <x:f>hyperlink("https://icd.who.int/dev11/l-ichi/en#/http%3A%2F%2Fid.who.int%2Ficd%2Fentity%2F843273060","browser")</x:f>
      </x:c>
      <x:c r="L2579" s="0">
        <x:f>hyperlink("https://icat2.azurewebsites.net/icat/?ontology=ICD&amp;tab=ClassesTab&amp;id=http%3A%2F%2Fwho.int%2Ficd%2314809_4869915e_217e_423d_acb3_33c0f920ef4b","iCat")</x:f>
      </x:c>
      <x:c r="M2579" s="0" t="s">
        <x:v>21</x:v>
      </x:c>
      <x:c r="N2579" s="0" t="s">
        <x:v>46</x:v>
      </x:c>
    </x:row>
    <x:row r="2580" spans="1:16">
      <x:c r="A2580" s="0" t="s">
        <x:v>10157</x:v>
      </x:c>
      <x:c r="B2580" s="0" t="s">
        <x:v>10158</x:v>
      </x:c>
      <x:c r="C2580" s="0" t="s">
        <x:v>10159</x:v>
      </x:c>
      <x:c r="E2580" s="0" t="s">
        <x:v>10160</x:v>
      </x:c>
      <x:c r="F2580" s="0" t="s">
        <x:v>45</x:v>
      </x:c>
      <x:c r="G2580" s="0" t="s">
        <x:v>19</x:v>
      </x:c>
      <x:c r="H2580" s="0" t="s">
        <x:v>20</x:v>
      </x:c>
      <x:c r="I2580" s="0" t="s">
        <x:v>21</x:v>
      </x:c>
      <x:c r="K2580" s="0">
        <x:f>hyperlink("https://icd.who.int/dev11/l-ichi/en#/http%3A%2F%2Fid.who.int%2Ficd%2Fentity%2F587232020","browser")</x:f>
      </x:c>
      <x:c r="L2580" s="0">
        <x:f>hyperlink("https://icat2.azurewebsites.net/icat/?ontology=ICD&amp;tab=ClassesTab&amp;id=http%3A%2F%2Fwho.int%2Ficd%2314815_4869915e_217e_423d_acb3_33c0f920ef4b","iCat")</x:f>
      </x:c>
      <x:c r="M2580" s="0" t="s">
        <x:v>21</x:v>
      </x:c>
      <x:c r="N2580" s="0" t="s">
        <x:v>46</x:v>
      </x:c>
    </x:row>
    <x:row r="2581" spans="1:16">
      <x:c r="A2581" s="0" t="s">
        <x:v>10161</x:v>
      </x:c>
      <x:c r="B2581" s="0" t="s">
        <x:v>10162</x:v>
      </x:c>
      <x:c r="C2581" s="0" t="s">
        <x:v>10163</x:v>
      </x:c>
      <x:c r="E2581" s="0" t="s">
        <x:v>10164</x:v>
      </x:c>
      <x:c r="F2581" s="0" t="s">
        <x:v>45</x:v>
      </x:c>
      <x:c r="G2581" s="0" t="s">
        <x:v>19</x:v>
      </x:c>
      <x:c r="H2581" s="0" t="s">
        <x:v>20</x:v>
      </x:c>
      <x:c r="I2581" s="0" t="s">
        <x:v>21</x:v>
      </x:c>
      <x:c r="K2581" s="0">
        <x:f>hyperlink("https://icd.who.int/dev11/l-ichi/en#/http%3A%2F%2Fid.who.int%2Ficd%2Fentity%2F507701237","browser")</x:f>
      </x:c>
      <x:c r="L2581" s="0">
        <x:f>hyperlink("https://icat2.azurewebsites.net/icat/?ontology=ICD&amp;tab=ClassesTab&amp;id=http%3A%2F%2Fwho.int%2Ficd%231656_97087496_4a82_4efa_a45a_b3256f81bd7e","iCat")</x:f>
      </x:c>
      <x:c r="M2581" s="0" t="s">
        <x:v>21</x:v>
      </x:c>
      <x:c r="N2581" s="0" t="s">
        <x:v>46</x:v>
      </x:c>
    </x:row>
    <x:row r="2582" spans="1:16">
      <x:c r="A2582" s="0" t="s">
        <x:v>10165</x:v>
      </x:c>
      <x:c r="B2582" s="0" t="s">
        <x:v>10166</x:v>
      </x:c>
      <x:c r="C2582" s="0" t="s">
        <x:v>10167</x:v>
      </x:c>
      <x:c r="E2582" s="0" t="s">
        <x:v>10168</x:v>
      </x:c>
      <x:c r="F2582" s="0" t="s">
        <x:v>45</x:v>
      </x:c>
      <x:c r="G2582" s="0" t="s">
        <x:v>19</x:v>
      </x:c>
      <x:c r="H2582" s="0" t="s">
        <x:v>20</x:v>
      </x:c>
      <x:c r="I2582" s="0" t="s">
        <x:v>21</x:v>
      </x:c>
      <x:c r="K2582" s="0">
        <x:f>hyperlink("https://icd.who.int/dev11/l-ichi/en#/http%3A%2F%2Fid.who.int%2Ficd%2Fentity%2F1893016752","browser")</x:f>
      </x:c>
      <x:c r="L2582" s="0">
        <x:f>hyperlink("https://icat2.azurewebsites.net/icat/?ontology=ICD&amp;tab=ClassesTab&amp;id=http%3A%2F%2Fwho.int%2Ficd%2310858_512ebf36_bf6b_4d70_85da_cf2637062af4","iCat")</x:f>
      </x:c>
      <x:c r="M2582" s="0" t="s">
        <x:v>21</x:v>
      </x:c>
      <x:c r="N2582" s="0" t="s">
        <x:v>46</x:v>
      </x:c>
    </x:row>
    <x:row r="2583" spans="1:16">
      <x:c r="A2583" s="0" t="s">
        <x:v>10169</x:v>
      </x:c>
      <x:c r="B2583" s="0" t="s">
        <x:v>10170</x:v>
      </x:c>
      <x:c r="C2583" s="0" t="s">
        <x:v>10171</x:v>
      </x:c>
      <x:c r="E2583" s="0" t="s">
        <x:v>10172</x:v>
      </x:c>
      <x:c r="F2583" s="0" t="s">
        <x:v>45</x:v>
      </x:c>
      <x:c r="G2583" s="0" t="s">
        <x:v>19</x:v>
      </x:c>
      <x:c r="H2583" s="0" t="s">
        <x:v>20</x:v>
      </x:c>
      <x:c r="I2583" s="0" t="s">
        <x:v>21</x:v>
      </x:c>
      <x:c r="K2583" s="0">
        <x:f>hyperlink("https://icd.who.int/dev11/l-ichi/en#/http%3A%2F%2Fid.who.int%2Ficd%2Fentity%2F722958176","browser")</x:f>
      </x:c>
      <x:c r="L2583" s="0">
        <x:f>hyperlink("https://icat2.azurewebsites.net/icat/?ontology=ICD&amp;tab=ClassesTab&amp;id=http%3A%2F%2Fwho.int%2Ficd%23100_0368fbe2_93a4_4815_a335_62c65beafc84","iCat")</x:f>
      </x:c>
      <x:c r="M2583" s="0" t="s">
        <x:v>21</x:v>
      </x:c>
      <x:c r="N2583" s="0" t="s">
        <x:v>46</x:v>
      </x:c>
    </x:row>
    <x:row r="2584" spans="1:16">
      <x:c r="A2584" s="0" t="s">
        <x:v>10173</x:v>
      </x:c>
      <x:c r="B2584" s="0" t="s">
        <x:v>10174</x:v>
      </x:c>
      <x:c r="C2584" s="0" t="s">
        <x:v>10175</x:v>
      </x:c>
      <x:c r="E2584" s="0" t="s">
        <x:v>10176</x:v>
      </x:c>
      <x:c r="F2584" s="0" t="s">
        <x:v>45</x:v>
      </x:c>
      <x:c r="G2584" s="0" t="s">
        <x:v>19</x:v>
      </x:c>
      <x:c r="H2584" s="0" t="s">
        <x:v>20</x:v>
      </x:c>
      <x:c r="I2584" s="0" t="s">
        <x:v>21</x:v>
      </x:c>
      <x:c r="K2584" s="0">
        <x:f>hyperlink("https://icd.who.int/dev11/l-ichi/en#/http%3A%2F%2Fid.who.int%2Ficd%2Fentity%2F1273155990","browser")</x:f>
      </x:c>
      <x:c r="L2584" s="0">
        <x:f>hyperlink("https://icat2.azurewebsites.net/icat/?ontology=ICD&amp;tab=ClassesTab&amp;id=http%3A%2F%2Fwho.int%2Ficd%2310864_512ebf36_bf6b_4d70_85da_cf2637062af4","iCat")</x:f>
      </x:c>
      <x:c r="M2584" s="0" t="s">
        <x:v>21</x:v>
      </x:c>
      <x:c r="N2584" s="0" t="s">
        <x:v>46</x:v>
      </x:c>
    </x:row>
    <x:row r="2585" spans="1:16">
      <x:c r="A2585" s="0" t="s">
        <x:v>10177</x:v>
      </x:c>
      <x:c r="B2585" s="0" t="s">
        <x:v>10178</x:v>
      </x:c>
      <x:c r="C2585" s="0" t="s">
        <x:v>10179</x:v>
      </x:c>
      <x:c r="E2585" s="0" t="s">
        <x:v>10180</x:v>
      </x:c>
      <x:c r="F2585" s="0" t="s">
        <x:v>45</x:v>
      </x:c>
      <x:c r="G2585" s="0" t="s">
        <x:v>19</x:v>
      </x:c>
      <x:c r="H2585" s="0" t="s">
        <x:v>20</x:v>
      </x:c>
      <x:c r="I2585" s="0" t="s">
        <x:v>21</x:v>
      </x:c>
      <x:c r="K2585" s="0">
        <x:f>hyperlink("https://icd.who.int/dev11/l-ichi/en#/http%3A%2F%2Fid.who.int%2Ficd%2Fentity%2F1360559039","browser")</x:f>
      </x:c>
      <x:c r="L2585" s="0">
        <x:f>hyperlink("https://icat2.azurewebsites.net/icat/?ontology=ICD&amp;tab=ClassesTab&amp;id=http%3A%2F%2Fwho.int%2Ficd%23126_0368fbe2_93a4_4815_a335_62c65beafc84","iCat")</x:f>
      </x:c>
      <x:c r="M2585" s="0" t="s">
        <x:v>21</x:v>
      </x:c>
      <x:c r="N2585" s="0" t="s">
        <x:v>46</x:v>
      </x:c>
    </x:row>
    <x:row r="2586" spans="1:16">
      <x:c r="A2586" s="0" t="s">
        <x:v>10181</x:v>
      </x:c>
      <x:c r="B2586" s="0" t="s">
        <x:v>10182</x:v>
      </x:c>
      <x:c r="C2586" s="0" t="s">
        <x:v>10183</x:v>
      </x:c>
      <x:c r="E2586" s="0" t="s">
        <x:v>10184</x:v>
      </x:c>
      <x:c r="F2586" s="0" t="s">
        <x:v>45</x:v>
      </x:c>
      <x:c r="G2586" s="0" t="s">
        <x:v>19</x:v>
      </x:c>
      <x:c r="H2586" s="0" t="s">
        <x:v>20</x:v>
      </x:c>
      <x:c r="I2586" s="0" t="s">
        <x:v>21</x:v>
      </x:c>
      <x:c r="K2586" s="0">
        <x:f>hyperlink("https://icd.who.int/dev11/l-ichi/en#/http%3A%2F%2Fid.who.int%2Ficd%2Fentity%2F337674421","browser")</x:f>
      </x:c>
      <x:c r="L2586" s="0">
        <x:f>hyperlink("https://icat2.azurewebsites.net/icat/?ontology=ICD&amp;tab=ClassesTab&amp;id=http%3A%2F%2Fwho.int%2Ficd%2310870_512ebf36_bf6b_4d70_85da_cf2637062af4","iCat")</x:f>
      </x:c>
      <x:c r="M2586" s="0" t="s">
        <x:v>21</x:v>
      </x:c>
      <x:c r="N2586" s="0" t="s">
        <x:v>46</x:v>
      </x:c>
    </x:row>
    <x:row r="2587" spans="1:16">
      <x:c r="A2587" s="0" t="s">
        <x:v>10185</x:v>
      </x:c>
      <x:c r="B2587" s="0" t="s">
        <x:v>10186</x:v>
      </x:c>
      <x:c r="C2587" s="0" t="s">
        <x:v>10187</x:v>
      </x:c>
      <x:c r="E2587" s="0" t="s">
        <x:v>10188</x:v>
      </x:c>
      <x:c r="F2587" s="0" t="s">
        <x:v>45</x:v>
      </x:c>
      <x:c r="G2587" s="0" t="s">
        <x:v>19</x:v>
      </x:c>
      <x:c r="H2587" s="0" t="s">
        <x:v>20</x:v>
      </x:c>
      <x:c r="I2587" s="0" t="s">
        <x:v>21</x:v>
      </x:c>
      <x:c r="K2587" s="0">
        <x:f>hyperlink("https://icd.who.int/dev11/l-ichi/en#/http%3A%2F%2Fid.who.int%2Ficd%2Fentity%2F1688349498","browser")</x:f>
      </x:c>
      <x:c r="L2587" s="0">
        <x:f>hyperlink("https://icat2.azurewebsites.net/icat/?ontology=ICD&amp;tab=ClassesTab&amp;id=http%3A%2F%2Fwho.int%2Ficd%2310877_512ebf36_bf6b_4d70_85da_cf2637062af4","iCat")</x:f>
      </x:c>
      <x:c r="M2587" s="0" t="s">
        <x:v>21</x:v>
      </x:c>
      <x:c r="N2587" s="0" t="s">
        <x:v>46</x:v>
      </x:c>
    </x:row>
    <x:row r="2588" spans="1:16">
      <x:c r="A2588" s="0" t="s">
        <x:v>10189</x:v>
      </x:c>
      <x:c r="B2588" s="0" t="s">
        <x:v>10190</x:v>
      </x:c>
      <x:c r="C2588" s="0" t="s">
        <x:v>10191</x:v>
      </x:c>
      <x:c r="E2588" s="0" t="s">
        <x:v>10192</x:v>
      </x:c>
      <x:c r="F2588" s="0" t="s">
        <x:v>45</x:v>
      </x:c>
      <x:c r="G2588" s="0" t="s">
        <x:v>19</x:v>
      </x:c>
      <x:c r="H2588" s="0" t="s">
        <x:v>20</x:v>
      </x:c>
      <x:c r="I2588" s="0" t="s">
        <x:v>21</x:v>
      </x:c>
      <x:c r="K2588" s="0">
        <x:f>hyperlink("https://icd.who.int/dev11/l-ichi/en#/http%3A%2F%2Fid.who.int%2Ficd%2Fentity%2F247467551","browser")</x:f>
      </x:c>
      <x:c r="L2588" s="0">
        <x:f>hyperlink("https://icat2.azurewebsites.net/icat/?ontology=ICD&amp;tab=ClassesTab&amp;id=http%3A%2F%2Fwho.int%2Ficd%2310884_512ebf36_bf6b_4d70_85da_cf2637062af4","iCat")</x:f>
      </x:c>
      <x:c r="M2588" s="0" t="s">
        <x:v>21</x:v>
      </x:c>
      <x:c r="N2588" s="0" t="s">
        <x:v>46</x:v>
      </x:c>
    </x:row>
    <x:row r="2589" spans="1:16">
      <x:c r="A2589" s="0" t="s">
        <x:v>10193</x:v>
      </x:c>
      <x:c r="B2589" s="0" t="s">
        <x:v>10194</x:v>
      </x:c>
      <x:c r="C2589" s="0" t="s">
        <x:v>10195</x:v>
      </x:c>
      <x:c r="E2589" s="0" t="s">
        <x:v>10196</x:v>
      </x:c>
      <x:c r="F2589" s="0" t="s">
        <x:v>45</x:v>
      </x:c>
      <x:c r="G2589" s="0" t="s">
        <x:v>19</x:v>
      </x:c>
      <x:c r="H2589" s="0" t="s">
        <x:v>20</x:v>
      </x:c>
      <x:c r="I2589" s="0" t="s">
        <x:v>21</x:v>
      </x:c>
      <x:c r="K2589" s="0">
        <x:f>hyperlink("https://icd.who.int/dev11/l-ichi/en#/http%3A%2F%2Fid.who.int%2Ficd%2Fentity%2F2070720239","browser")</x:f>
      </x:c>
      <x:c r="L2589" s="0">
        <x:f>hyperlink("https://icat2.azurewebsites.net/icat/?ontology=ICD&amp;tab=ClassesTab&amp;id=http%3A%2F%2Fwho.int%2Ficd%23106_0368fbe2_93a4_4815_a335_62c65beafc84","iCat")</x:f>
      </x:c>
      <x:c r="M2589" s="0" t="s">
        <x:v>21</x:v>
      </x:c>
      <x:c r="N2589" s="0" t="s">
        <x:v>46</x:v>
      </x:c>
    </x:row>
    <x:row r="2590" spans="1:16">
      <x:c r="A2590" s="0" t="s">
        <x:v>10197</x:v>
      </x:c>
      <x:c r="B2590" s="0" t="s">
        <x:v>10198</x:v>
      </x:c>
      <x:c r="C2590" s="0" t="s">
        <x:v>10199</x:v>
      </x:c>
      <x:c r="E2590" s="0" t="s">
        <x:v>10200</x:v>
      </x:c>
      <x:c r="F2590" s="0" t="s">
        <x:v>45</x:v>
      </x:c>
      <x:c r="G2590" s="0" t="s">
        <x:v>19</x:v>
      </x:c>
      <x:c r="H2590" s="0" t="s">
        <x:v>20</x:v>
      </x:c>
      <x:c r="I2590" s="0" t="s">
        <x:v>21</x:v>
      </x:c>
      <x:c r="K2590" s="0">
        <x:f>hyperlink("https://icd.who.int/dev11/l-ichi/en#/http%3A%2F%2Fid.who.int%2Ficd%2Fentity%2F1912286464","browser")</x:f>
      </x:c>
      <x:c r="L2590" s="0">
        <x:f>hyperlink("https://icat2.azurewebsites.net/icat/?ontology=ICD&amp;tab=ClassesTab&amp;id=http%3A%2F%2Fwho.int%2Ficd%2310891_512ebf36_bf6b_4d70_85da_cf2637062af4","iCat")</x:f>
      </x:c>
      <x:c r="M2590" s="0" t="s">
        <x:v>21</x:v>
      </x:c>
      <x:c r="N2590" s="0" t="s">
        <x:v>46</x:v>
      </x:c>
    </x:row>
    <x:row r="2591" spans="1:16">
      <x:c r="A2591" s="0" t="s">
        <x:v>10201</x:v>
      </x:c>
      <x:c r="B2591" s="0" t="s">
        <x:v>10202</x:v>
      </x:c>
      <x:c r="C2591" s="0" t="s">
        <x:v>10203</x:v>
      </x:c>
      <x:c r="E2591" s="0" t="s">
        <x:v>10204</x:v>
      </x:c>
      <x:c r="F2591" s="0" t="s">
        <x:v>45</x:v>
      </x:c>
      <x:c r="G2591" s="0" t="s">
        <x:v>19</x:v>
      </x:c>
      <x:c r="H2591" s="0" t="s">
        <x:v>20</x:v>
      </x:c>
      <x:c r="I2591" s="0" t="s">
        <x:v>21</x:v>
      </x:c>
      <x:c r="K2591" s="0">
        <x:f>hyperlink("https://icd.who.int/dev11/l-ichi/en#/http%3A%2F%2Fid.who.int%2Ficd%2Fentity%2F1985205648","browser")</x:f>
      </x:c>
      <x:c r="L2591" s="0">
        <x:f>hyperlink("https://icat2.azurewebsites.net/icat/?ontology=ICD&amp;tab=ClassesTab&amp;id=http%3A%2F%2Fwho.int%2Ficd%2315676_4869915e_217e_423d_acb3_33c0f920ef4b","iCat")</x:f>
      </x:c>
      <x:c r="M2591" s="0" t="s">
        <x:v>21</x:v>
      </x:c>
      <x:c r="N2591" s="0" t="s">
        <x:v>46</x:v>
      </x:c>
    </x:row>
    <x:row r="2592" spans="1:16">
      <x:c r="A2592" s="0" t="s">
        <x:v>10205</x:v>
      </x:c>
      <x:c r="B2592" s="0" t="s">
        <x:v>10206</x:v>
      </x:c>
      <x:c r="C2592" s="0" t="s">
        <x:v>10207</x:v>
      </x:c>
      <x:c r="E2592" s="0" t="s">
        <x:v>10208</x:v>
      </x:c>
      <x:c r="F2592" s="0" t="s">
        <x:v>45</x:v>
      </x:c>
      <x:c r="G2592" s="0" t="s">
        <x:v>19</x:v>
      </x:c>
      <x:c r="H2592" s="0" t="s">
        <x:v>20</x:v>
      </x:c>
      <x:c r="I2592" s="0" t="s">
        <x:v>21</x:v>
      </x:c>
      <x:c r="K2592" s="0">
        <x:f>hyperlink("https://icd.who.int/dev11/l-ichi/en#/http%3A%2F%2Fid.who.int%2Ficd%2Fentity%2F1120962053","browser")</x:f>
      </x:c>
      <x:c r="L2592" s="0">
        <x:f>hyperlink("https://icat2.azurewebsites.net/icat/?ontology=ICD&amp;tab=ClassesTab&amp;id=http%3A%2F%2Fwho.int%2Ficd%2311531_7353cc8f_16bd_4231_887a_95ea54e27297","iCat")</x:f>
      </x:c>
      <x:c r="M2592" s="0" t="s">
        <x:v>21</x:v>
      </x:c>
      <x:c r="N2592" s="0" t="s">
        <x:v>46</x:v>
      </x:c>
    </x:row>
    <x:row r="2593" spans="1:16">
      <x:c r="A2593" s="0" t="s">
        <x:v>10209</x:v>
      </x:c>
      <x:c r="B2593" s="0" t="s">
        <x:v>10210</x:v>
      </x:c>
      <x:c r="C2593" s="0" t="s">
        <x:v>10211</x:v>
      </x:c>
      <x:c r="E2593" s="0" t="s">
        <x:v>10212</x:v>
      </x:c>
      <x:c r="F2593" s="0" t="s">
        <x:v>45</x:v>
      </x:c>
      <x:c r="G2593" s="0" t="s">
        <x:v>19</x:v>
      </x:c>
      <x:c r="H2593" s="0" t="s">
        <x:v>20</x:v>
      </x:c>
      <x:c r="I2593" s="0" t="s">
        <x:v>21</x:v>
      </x:c>
      <x:c r="K2593" s="0">
        <x:f>hyperlink("https://icd.who.int/dev11/l-ichi/en#/http%3A%2F%2Fid.who.int%2Ficd%2Fentity%2F1684967752","browser")</x:f>
      </x:c>
      <x:c r="L2593" s="0">
        <x:f>hyperlink("https://icat2.azurewebsites.net/icat/?ontology=ICD&amp;tab=ClassesTab&amp;id=http%3A%2F%2Fwho.int%2Ficd%2310904_512ebf36_bf6b_4d70_85da_cf2637062af4","iCat")</x:f>
      </x:c>
      <x:c r="M2593" s="0" t="s">
        <x:v>21</x:v>
      </x:c>
      <x:c r="N2593" s="0" t="s">
        <x:v>46</x:v>
      </x:c>
    </x:row>
    <x:row r="2594" spans="1:16">
      <x:c r="A2594" s="0" t="s">
        <x:v>10213</x:v>
      </x:c>
      <x:c r="B2594" s="0" t="s">
        <x:v>10214</x:v>
      </x:c>
      <x:c r="C2594" s="0" t="s">
        <x:v>10215</x:v>
      </x:c>
      <x:c r="E2594" s="0" t="s">
        <x:v>10216</x:v>
      </x:c>
      <x:c r="F2594" s="0" t="s">
        <x:v>45</x:v>
      </x:c>
      <x:c r="G2594" s="0" t="s">
        <x:v>19</x:v>
      </x:c>
      <x:c r="H2594" s="0" t="s">
        <x:v>20</x:v>
      </x:c>
      <x:c r="I2594" s="0" t="s">
        <x:v>21</x:v>
      </x:c>
      <x:c r="K2594" s="0">
        <x:f>hyperlink("https://icd.who.int/dev11/l-ichi/en#/http%3A%2F%2Fid.who.int%2Ficd%2Fentity%2F1590746528","browser")</x:f>
      </x:c>
      <x:c r="L2594" s="0">
        <x:f>hyperlink("https://icat2.azurewebsites.net/icat/?ontology=ICD&amp;tab=ClassesTab&amp;id=http%3A%2F%2Fwho.int%2Ficd%2310912_512ebf36_bf6b_4d70_85da_cf2637062af4","iCat")</x:f>
      </x:c>
      <x:c r="M2594" s="0" t="s">
        <x:v>21</x:v>
      </x:c>
      <x:c r="N2594" s="0" t="s">
        <x:v>46</x:v>
      </x:c>
    </x:row>
    <x:row r="2595" spans="1:16">
      <x:c r="A2595" s="0" t="s">
        <x:v>10217</x:v>
      </x:c>
      <x:c r="B2595" s="0" t="s">
        <x:v>10218</x:v>
      </x:c>
      <x:c r="C2595" s="0" t="s">
        <x:v>10219</x:v>
      </x:c>
      <x:c r="E2595" s="0" t="s">
        <x:v>10220</x:v>
      </x:c>
      <x:c r="F2595" s="0" t="s">
        <x:v>45</x:v>
      </x:c>
      <x:c r="G2595" s="0" t="s">
        <x:v>19</x:v>
      </x:c>
      <x:c r="H2595" s="0" t="s">
        <x:v>20</x:v>
      </x:c>
      <x:c r="I2595" s="0" t="s">
        <x:v>21</x:v>
      </x:c>
      <x:c r="K2595" s="0">
        <x:f>hyperlink("https://icd.who.int/dev11/l-ichi/en#/http%3A%2F%2Fid.who.int%2Ficd%2Fentity%2F1965928752","browser")</x:f>
      </x:c>
      <x:c r="L2595" s="0">
        <x:f>hyperlink("https://icat2.azurewebsites.net/icat/?ontology=ICD&amp;tab=ClassesTab&amp;id=http%3A%2F%2Fwho.int%2Ficd%2310918_512ebf36_bf6b_4d70_85da_cf2637062af4","iCat")</x:f>
      </x:c>
      <x:c r="M2595" s="0" t="s">
        <x:v>21</x:v>
      </x:c>
      <x:c r="N2595" s="0" t="s">
        <x:v>46</x:v>
      </x:c>
    </x:row>
    <x:row r="2596" spans="1:16">
      <x:c r="A2596" s="0" t="s">
        <x:v>10221</x:v>
      </x:c>
      <x:c r="B2596" s="0" t="s">
        <x:v>10222</x:v>
      </x:c>
      <x:c r="C2596" s="0" t="s">
        <x:v>10223</x:v>
      </x:c>
      <x:c r="E2596" s="0" t="s">
        <x:v>10224</x:v>
      </x:c>
      <x:c r="F2596" s="0" t="s">
        <x:v>45</x:v>
      </x:c>
      <x:c r="G2596" s="0" t="s">
        <x:v>19</x:v>
      </x:c>
      <x:c r="H2596" s="0" t="s">
        <x:v>20</x:v>
      </x:c>
      <x:c r="I2596" s="0" t="s">
        <x:v>21</x:v>
      </x:c>
      <x:c r="K2596" s="0">
        <x:f>hyperlink("https://icd.who.int/dev11/l-ichi/en#/http%3A%2F%2Fid.who.int%2Ficd%2Fentity%2F1310344214","browser")</x:f>
      </x:c>
      <x:c r="L2596" s="0">
        <x:f>hyperlink("https://icat2.azurewebsites.net/icat/?ontology=ICD&amp;tab=ClassesTab&amp;id=http%3A%2F%2Fwho.int%2Ficd%2310924_512ebf36_bf6b_4d70_85da_cf2637062af4","iCat")</x:f>
      </x:c>
      <x:c r="M2596" s="0" t="s">
        <x:v>21</x:v>
      </x:c>
      <x:c r="N2596" s="0" t="s">
        <x:v>46</x:v>
      </x:c>
    </x:row>
    <x:row r="2597" spans="1:16">
      <x:c r="A2597" s="0" t="s">
        <x:v>10225</x:v>
      </x:c>
      <x:c r="B2597" s="0" t="s">
        <x:v>10226</x:v>
      </x:c>
      <x:c r="C2597" s="0" t="s">
        <x:v>10227</x:v>
      </x:c>
      <x:c r="E2597" s="0" t="s">
        <x:v>10228</x:v>
      </x:c>
      <x:c r="F2597" s="0" t="s">
        <x:v>45</x:v>
      </x:c>
      <x:c r="G2597" s="0" t="s">
        <x:v>19</x:v>
      </x:c>
      <x:c r="H2597" s="0" t="s">
        <x:v>20</x:v>
      </x:c>
      <x:c r="I2597" s="0" t="s">
        <x:v>21</x:v>
      </x:c>
      <x:c r="K2597" s="0">
        <x:f>hyperlink("https://icd.who.int/dev11/l-ichi/en#/http%3A%2F%2Fid.who.int%2Ficd%2Fentity%2F299373877","browser")</x:f>
      </x:c>
      <x:c r="L2597" s="0">
        <x:f>hyperlink("https://icat2.azurewebsites.net/icat/?ontology=ICD&amp;tab=ClassesTab&amp;id=http%3A%2F%2Fwho.int%2Ficd%2310930_512ebf36_bf6b_4d70_85da_cf2637062af4","iCat")</x:f>
      </x:c>
      <x:c r="M2597" s="0" t="s">
        <x:v>21</x:v>
      </x:c>
      <x:c r="N2597" s="0" t="s">
        <x:v>46</x:v>
      </x:c>
    </x:row>
    <x:row r="2598" spans="1:16">
      <x:c r="A2598" s="0" t="s">
        <x:v>10229</x:v>
      </x:c>
      <x:c r="B2598" s="0" t="s">
        <x:v>10230</x:v>
      </x:c>
      <x:c r="C2598" s="0" t="s">
        <x:v>10231</x:v>
      </x:c>
      <x:c r="E2598" s="0" t="s">
        <x:v>10232</x:v>
      </x:c>
      <x:c r="F2598" s="0" t="s">
        <x:v>45</x:v>
      </x:c>
      <x:c r="G2598" s="0" t="s">
        <x:v>19</x:v>
      </x:c>
      <x:c r="H2598" s="0" t="s">
        <x:v>20</x:v>
      </x:c>
      <x:c r="I2598" s="0" t="s">
        <x:v>21</x:v>
      </x:c>
      <x:c r="K2598" s="0">
        <x:f>hyperlink("https://icd.who.int/dev11/l-ichi/en#/http%3A%2F%2Fid.who.int%2Ficd%2Fentity%2F1101253764","browser")</x:f>
      </x:c>
      <x:c r="L2598" s="0">
        <x:f>hyperlink("https://icat2.azurewebsites.net/icat/?ontology=ICD&amp;tab=ClassesTab&amp;id=http%3A%2F%2Fwho.int%2Ficd%2310936_512ebf36_bf6b_4d70_85da_cf2637062af4","iCat")</x:f>
      </x:c>
      <x:c r="M2598" s="0" t="s">
        <x:v>21</x:v>
      </x:c>
      <x:c r="N2598" s="0" t="s">
        <x:v>46</x:v>
      </x:c>
    </x:row>
    <x:row r="2599" spans="1:16">
      <x:c r="A2599" s="0" t="s">
        <x:v>10233</x:v>
      </x:c>
      <x:c r="B2599" s="0" t="s">
        <x:v>10234</x:v>
      </x:c>
      <x:c r="C2599" s="0" t="s">
        <x:v>10235</x:v>
      </x:c>
      <x:c r="E2599" s="0" t="s">
        <x:v>10236</x:v>
      </x:c>
      <x:c r="F2599" s="0" t="s">
        <x:v>45</x:v>
      </x:c>
      <x:c r="G2599" s="0" t="s">
        <x:v>19</x:v>
      </x:c>
      <x:c r="H2599" s="0" t="s">
        <x:v>20</x:v>
      </x:c>
      <x:c r="I2599" s="0" t="s">
        <x:v>21</x:v>
      </x:c>
      <x:c r="K2599" s="0">
        <x:f>hyperlink("https://icd.who.int/dev11/l-ichi/en#/http%3A%2F%2Fid.who.int%2Ficd%2Fentity%2F1811178374","browser")</x:f>
      </x:c>
      <x:c r="L2599" s="0">
        <x:f>hyperlink("https://icat2.azurewebsites.net/icat/?ontology=ICD&amp;tab=ClassesTab&amp;id=http%3A%2F%2Fwho.int%2Ficd%231662_97087496_4a82_4efa_a45a_b3256f81bd7e","iCat")</x:f>
      </x:c>
      <x:c r="M2599" s="0" t="s">
        <x:v>21</x:v>
      </x:c>
      <x:c r="N2599" s="0" t="s">
        <x:v>46</x:v>
      </x:c>
    </x:row>
    <x:row r="2600" spans="1:16">
      <x:c r="A2600" s="0" t="s">
        <x:v>10237</x:v>
      </x:c>
      <x:c r="B2600" s="0" t="s">
        <x:v>10238</x:v>
      </x:c>
      <x:c r="C2600" s="0" t="s">
        <x:v>10239</x:v>
      </x:c>
      <x:c r="E2600" s="0" t="s">
        <x:v>10240</x:v>
      </x:c>
      <x:c r="F2600" s="0" t="s">
        <x:v>45</x:v>
      </x:c>
      <x:c r="G2600" s="0" t="s">
        <x:v>19</x:v>
      </x:c>
      <x:c r="H2600" s="0" t="s">
        <x:v>20</x:v>
      </x:c>
      <x:c r="I2600" s="0" t="s">
        <x:v>21</x:v>
      </x:c>
      <x:c r="K2600" s="0">
        <x:f>hyperlink("https://icd.who.int/dev11/l-ichi/en#/http%3A%2F%2Fid.who.int%2Ficd%2Fentity%2F1074335510","browser")</x:f>
      </x:c>
      <x:c r="L2600" s="0">
        <x:f>hyperlink("https://icat2.azurewebsites.net/icat/?ontology=ICD&amp;tab=ClassesTab&amp;id=http%3A%2F%2Fwho.int%2Ficd%231668_97087496_4a82_4efa_a45a_b3256f81bd7e","iCat")</x:f>
      </x:c>
      <x:c r="M2600" s="0" t="s">
        <x:v>21</x:v>
      </x:c>
      <x:c r="N2600" s="0" t="s">
        <x:v>46</x:v>
      </x:c>
    </x:row>
    <x:row r="2601" spans="1:16">
      <x:c r="A2601" s="0" t="s">
        <x:v>10241</x:v>
      </x:c>
      <x:c r="B2601" s="0" t="s">
        <x:v>10242</x:v>
      </x:c>
      <x:c r="C2601" s="0" t="s">
        <x:v>10243</x:v>
      </x:c>
      <x:c r="E2601" s="0" t="s">
        <x:v>10244</x:v>
      </x:c>
      <x:c r="F2601" s="0" t="s">
        <x:v>45</x:v>
      </x:c>
      <x:c r="G2601" s="0" t="s">
        <x:v>19</x:v>
      </x:c>
      <x:c r="H2601" s="0" t="s">
        <x:v>20</x:v>
      </x:c>
      <x:c r="I2601" s="0" t="s">
        <x:v>21</x:v>
      </x:c>
      <x:c r="K2601" s="0">
        <x:f>hyperlink("https://icd.who.int/dev11/l-ichi/en#/http%3A%2F%2Fid.who.int%2Ficd%2Fentity%2F1608837273","browser")</x:f>
      </x:c>
      <x:c r="L2601" s="0">
        <x:f>hyperlink("https://icat2.azurewebsites.net/icat/?ontology=ICD&amp;tab=ClassesTab&amp;id=http%3A%2F%2Fwho.int%2Ficd%231373_d85a204c_d00a_4566_a3b7_2d137a1891cf","iCat")</x:f>
      </x:c>
      <x:c r="M2601" s="0" t="s">
        <x:v>21</x:v>
      </x:c>
      <x:c r="N2601" s="0" t="s">
        <x:v>46</x:v>
      </x:c>
    </x:row>
    <x:row r="2602" spans="1:16">
      <x:c r="A2602" s="0" t="s">
        <x:v>10245</x:v>
      </x:c>
      <x:c r="B2602" s="0" t="s">
        <x:v>10246</x:v>
      </x:c>
      <x:c r="C2602" s="0" t="s">
        <x:v>10247</x:v>
      </x:c>
      <x:c r="E2602" s="0" t="s">
        <x:v>10248</x:v>
      </x:c>
      <x:c r="F2602" s="0" t="s">
        <x:v>45</x:v>
      </x:c>
      <x:c r="G2602" s="0" t="s">
        <x:v>19</x:v>
      </x:c>
      <x:c r="H2602" s="0" t="s">
        <x:v>20</x:v>
      </x:c>
      <x:c r="I2602" s="0" t="s">
        <x:v>21</x:v>
      </x:c>
      <x:c r="K2602" s="0">
        <x:f>hyperlink("https://icd.who.int/dev11/l-ichi/en#/http%3A%2F%2Fid.who.int%2Ficd%2Fentity%2F1947829257","browser")</x:f>
      </x:c>
      <x:c r="L2602" s="0">
        <x:f>hyperlink("https://icat2.azurewebsites.net/icat/?ontology=ICD&amp;tab=ClassesTab&amp;id=http%3A%2F%2Fwho.int%2Ficd%231379_d85a204c_d00a_4566_a3b7_2d137a1891cf","iCat")</x:f>
      </x:c>
      <x:c r="M2602" s="0" t="s">
        <x:v>21</x:v>
      </x:c>
      <x:c r="N2602" s="0" t="s">
        <x:v>46</x:v>
      </x:c>
    </x:row>
    <x:row r="2603" spans="1:16">
      <x:c r="A2603" s="0" t="s">
        <x:v>10249</x:v>
      </x:c>
      <x:c r="B2603" s="0" t="s">
        <x:v>10250</x:v>
      </x:c>
      <x:c r="C2603" s="0" t="s">
        <x:v>10251</x:v>
      </x:c>
      <x:c r="E2603" s="0" t="s">
        <x:v>10252</x:v>
      </x:c>
      <x:c r="F2603" s="0" t="s">
        <x:v>45</x:v>
      </x:c>
      <x:c r="G2603" s="0" t="s">
        <x:v>19</x:v>
      </x:c>
      <x:c r="H2603" s="0" t="s">
        <x:v>20</x:v>
      </x:c>
      <x:c r="I2603" s="0" t="s">
        <x:v>21</x:v>
      </x:c>
      <x:c r="K2603" s="0">
        <x:f>hyperlink("https://icd.who.int/dev11/l-ichi/en#/http%3A%2F%2Fid.who.int%2Ficd%2Fentity%2F1148328938","browser")</x:f>
      </x:c>
      <x:c r="L2603" s="0">
        <x:f>hyperlink("https://icat2.azurewebsites.net/icat/?ontology=ICD&amp;tab=ClassesTab&amp;id=http%3A%2F%2Fwho.int%2Ficd%2310942_512ebf36_bf6b_4d70_85da_cf2637062af4","iCat")</x:f>
      </x:c>
      <x:c r="M2603" s="0" t="s">
        <x:v>21</x:v>
      </x:c>
      <x:c r="N2603" s="0" t="s">
        <x:v>46</x:v>
      </x:c>
    </x:row>
    <x:row r="2604" spans="1:16">
      <x:c r="A2604" s="0" t="s">
        <x:v>10253</x:v>
      </x:c>
      <x:c r="B2604" s="0" t="s">
        <x:v>10254</x:v>
      </x:c>
      <x:c r="C2604" s="0" t="s">
        <x:v>10255</x:v>
      </x:c>
      <x:c r="E2604" s="0" t="s">
        <x:v>10256</x:v>
      </x:c>
      <x:c r="F2604" s="0" t="s">
        <x:v>45</x:v>
      </x:c>
      <x:c r="G2604" s="0" t="s">
        <x:v>19</x:v>
      </x:c>
      <x:c r="H2604" s="0" t="s">
        <x:v>20</x:v>
      </x:c>
      <x:c r="I2604" s="0" t="s">
        <x:v>21</x:v>
      </x:c>
      <x:c r="K2604" s="0">
        <x:f>hyperlink("https://icd.who.int/dev11/l-ichi/en#/http%3A%2F%2Fid.who.int%2Ficd%2Fentity%2F1271632760","browser")</x:f>
      </x:c>
      <x:c r="L2604" s="0">
        <x:f>hyperlink("https://icat2.azurewebsites.net/icat/?ontology=ICD&amp;tab=ClassesTab&amp;id=http%3A%2F%2Fwho.int%2Ficd%2310950_512ebf36_bf6b_4d70_85da_cf2637062af4","iCat")</x:f>
      </x:c>
      <x:c r="M2604" s="0" t="s">
        <x:v>21</x:v>
      </x:c>
      <x:c r="N2604" s="0" t="s">
        <x:v>46</x:v>
      </x:c>
    </x:row>
    <x:row r="2605" spans="1:16">
      <x:c r="A2605" s="0" t="s">
        <x:v>10257</x:v>
      </x:c>
      <x:c r="B2605" s="0" t="s">
        <x:v>10258</x:v>
      </x:c>
      <x:c r="C2605" s="0" t="s">
        <x:v>10259</x:v>
      </x:c>
      <x:c r="E2605" s="0" t="s">
        <x:v>10260</x:v>
      </x:c>
      <x:c r="F2605" s="0" t="s">
        <x:v>45</x:v>
      </x:c>
      <x:c r="G2605" s="0" t="s">
        <x:v>19</x:v>
      </x:c>
      <x:c r="H2605" s="0" t="s">
        <x:v>20</x:v>
      </x:c>
      <x:c r="I2605" s="0" t="s">
        <x:v>21</x:v>
      </x:c>
      <x:c r="K2605" s="0">
        <x:f>hyperlink("https://icd.who.int/dev11/l-ichi/en#/http%3A%2F%2Fid.who.int%2Ficd%2Fentity%2F464538313","browser")</x:f>
      </x:c>
      <x:c r="L2605" s="0">
        <x:f>hyperlink("https://icat2.azurewebsites.net/icat/?ontology=ICD&amp;tab=ClassesTab&amp;id=http%3A%2F%2Fwho.int%2Ficd%2310956_512ebf36_bf6b_4d70_85da_cf2637062af4","iCat")</x:f>
      </x:c>
      <x:c r="M2605" s="0" t="s">
        <x:v>21</x:v>
      </x:c>
      <x:c r="N2605" s="0" t="s">
        <x:v>46</x:v>
      </x:c>
    </x:row>
    <x:row r="2606" spans="1:16">
      <x:c r="A2606" s="0" t="s">
        <x:v>10261</x:v>
      </x:c>
      <x:c r="B2606" s="0" t="s">
        <x:v>10262</x:v>
      </x:c>
      <x:c r="C2606" s="0" t="s">
        <x:v>10263</x:v>
      </x:c>
      <x:c r="E2606" s="0" t="s">
        <x:v>10264</x:v>
      </x:c>
      <x:c r="F2606" s="0" t="s">
        <x:v>45</x:v>
      </x:c>
      <x:c r="G2606" s="0" t="s">
        <x:v>19</x:v>
      </x:c>
      <x:c r="H2606" s="0" t="s">
        <x:v>20</x:v>
      </x:c>
      <x:c r="I2606" s="0" t="s">
        <x:v>21</x:v>
      </x:c>
      <x:c r="K2606" s="0">
        <x:f>hyperlink("https://icd.who.int/dev11/l-ichi/en#/http%3A%2F%2Fid.who.int%2Ficd%2Fentity%2F1325382790","browser")</x:f>
      </x:c>
      <x:c r="L2606" s="0">
        <x:f>hyperlink("https://icat2.azurewebsites.net/icat/?ontology=ICD&amp;tab=ClassesTab&amp;id=http%3A%2F%2Fwho.int%2Ficd%2310963_512ebf36_bf6b_4d70_85da_cf2637062af4","iCat")</x:f>
      </x:c>
      <x:c r="M2606" s="0" t="s">
        <x:v>21</x:v>
      </x:c>
      <x:c r="N2606" s="0" t="s">
        <x:v>46</x:v>
      </x:c>
    </x:row>
    <x:row r="2607" spans="1:16">
      <x:c r="A2607" s="0" t="s">
        <x:v>10265</x:v>
      </x:c>
      <x:c r="B2607" s="0" t="s">
        <x:v>10266</x:v>
      </x:c>
      <x:c r="C2607" s="0" t="s">
        <x:v>10267</x:v>
      </x:c>
      <x:c r="E2607" s="0" t="s">
        <x:v>10268</x:v>
      </x:c>
      <x:c r="F2607" s="0" t="s">
        <x:v>45</x:v>
      </x:c>
      <x:c r="G2607" s="0" t="s">
        <x:v>19</x:v>
      </x:c>
      <x:c r="H2607" s="0" t="s">
        <x:v>20</x:v>
      </x:c>
      <x:c r="I2607" s="0" t="s">
        <x:v>21</x:v>
      </x:c>
      <x:c r="K2607" s="0">
        <x:f>hyperlink("https://icd.who.int/dev11/l-ichi/en#/http%3A%2F%2Fid.who.int%2Ficd%2Fentity%2F1694683158","browser")</x:f>
      </x:c>
      <x:c r="L2607" s="0">
        <x:f>hyperlink("https://icat2.azurewebsites.net/icat/?ontology=ICD&amp;tab=ClassesTab&amp;id=http%3A%2F%2Fwho.int%2Ficd%2310969_512ebf36_bf6b_4d70_85da_cf2637062af4","iCat")</x:f>
      </x:c>
      <x:c r="M2607" s="0" t="s">
        <x:v>21</x:v>
      </x:c>
      <x:c r="N2607" s="0" t="s">
        <x:v>46</x:v>
      </x:c>
    </x:row>
    <x:row r="2608" spans="1:16">
      <x:c r="A2608" s="0" t="s">
        <x:v>10269</x:v>
      </x:c>
      <x:c r="B2608" s="0" t="s">
        <x:v>10270</x:v>
      </x:c>
      <x:c r="C2608" s="0" t="s">
        <x:v>10271</x:v>
      </x:c>
      <x:c r="E2608" s="0" t="s">
        <x:v>10272</x:v>
      </x:c>
      <x:c r="F2608" s="0" t="s">
        <x:v>45</x:v>
      </x:c>
      <x:c r="G2608" s="0" t="s">
        <x:v>19</x:v>
      </x:c>
      <x:c r="H2608" s="0" t="s">
        <x:v>20</x:v>
      </x:c>
      <x:c r="I2608" s="0" t="s">
        <x:v>21</x:v>
      </x:c>
      <x:c r="K2608" s="0">
        <x:f>hyperlink("https://icd.who.int/dev11/l-ichi/en#/http%3A%2F%2Fid.who.int%2Ficd%2Fentity%2F834969497","browser")</x:f>
      </x:c>
      <x:c r="L2608" s="0">
        <x:f>hyperlink("https://icat2.azurewebsites.net/icat/?ontology=ICD&amp;tab=ClassesTab&amp;id=http%3A%2F%2Fwho.int%2Ficd%2310976_512ebf36_bf6b_4d70_85da_cf2637062af4","iCat")</x:f>
      </x:c>
      <x:c r="M2608" s="0" t="s">
        <x:v>21</x:v>
      </x:c>
      <x:c r="N2608" s="0" t="s">
        <x:v>46</x:v>
      </x:c>
    </x:row>
    <x:row r="2609" spans="1:16">
      <x:c r="A2609" s="0" t="s">
        <x:v>10273</x:v>
      </x:c>
      <x:c r="B2609" s="0" t="s">
        <x:v>10274</x:v>
      </x:c>
      <x:c r="C2609" s="0" t="s">
        <x:v>10275</x:v>
      </x:c>
      <x:c r="E2609" s="0" t="s">
        <x:v>10276</x:v>
      </x:c>
      <x:c r="F2609" s="0" t="s">
        <x:v>45</x:v>
      </x:c>
      <x:c r="G2609" s="0" t="s">
        <x:v>19</x:v>
      </x:c>
      <x:c r="H2609" s="0" t="s">
        <x:v>20</x:v>
      </x:c>
      <x:c r="I2609" s="0" t="s">
        <x:v>21</x:v>
      </x:c>
      <x:c r="K2609" s="0">
        <x:f>hyperlink("https://icd.who.int/dev11/l-ichi/en#/http%3A%2F%2Fid.who.int%2Ficd%2Fentity%2F1922401410","browser")</x:f>
      </x:c>
      <x:c r="L2609" s="0">
        <x:f>hyperlink("https://icat2.azurewebsites.net/icat/?ontology=ICD&amp;tab=ClassesTab&amp;id=http%3A%2F%2Fwho.int%2Ficd%2315533_4869915e_217e_423d_acb3_33c0f920ef4b","iCat")</x:f>
      </x:c>
      <x:c r="M2609" s="0" t="s">
        <x:v>21</x:v>
      </x:c>
      <x:c r="N2609" s="0" t="s">
        <x:v>46</x:v>
      </x:c>
    </x:row>
    <x:row r="2610" spans="1:16">
      <x:c r="A2610" s="0" t="s">
        <x:v>10277</x:v>
      </x:c>
      <x:c r="B2610" s="0" t="s">
        <x:v>10278</x:v>
      </x:c>
      <x:c r="C2610" s="0" t="s">
        <x:v>10279</x:v>
      </x:c>
      <x:c r="E2610" s="0" t="s">
        <x:v>10280</x:v>
      </x:c>
      <x:c r="F2610" s="0" t="s">
        <x:v>45</x:v>
      </x:c>
      <x:c r="G2610" s="0" t="s">
        <x:v>19</x:v>
      </x:c>
      <x:c r="H2610" s="0" t="s">
        <x:v>20</x:v>
      </x:c>
      <x:c r="I2610" s="0" t="s">
        <x:v>21</x:v>
      </x:c>
      <x:c r="K2610" s="0">
        <x:f>hyperlink("https://icd.who.int/dev11/l-ichi/en#/http%3A%2F%2Fid.who.int%2Ficd%2Fentity%2F723783987","browser")</x:f>
      </x:c>
      <x:c r="L2610" s="0">
        <x:f>hyperlink("https://icat2.azurewebsites.net/icat/?ontology=ICD&amp;tab=ClassesTab&amp;id=http%3A%2F%2Fwho.int%2Ficd%2310982_512ebf36_bf6b_4d70_85da_cf2637062af4","iCat")</x:f>
      </x:c>
      <x:c r="M2610" s="0" t="s">
        <x:v>21</x:v>
      </x:c>
      <x:c r="N2610" s="0" t="s">
        <x:v>46</x:v>
      </x:c>
    </x:row>
    <x:row r="2611" spans="1:16">
      <x:c r="A2611" s="0" t="s">
        <x:v>10281</x:v>
      </x:c>
      <x:c r="B2611" s="0" t="s">
        <x:v>10282</x:v>
      </x:c>
      <x:c r="D2611" s="0" t="s">
        <x:v>10283</x:v>
      </x:c>
      <x:c r="E2611" s="0" t="s">
        <x:v>10284</x:v>
      </x:c>
      <x:c r="F2611" s="0" t="s">
        <x:v>26</x:v>
      </x:c>
      <x:c r="G2611" s="0" t="s">
        <x:v>22</x:v>
      </x:c>
      <x:c r="H2611" s="0" t="s">
        <x:v>20</x:v>
      </x:c>
      <x:c r="I2611" s="0" t="s">
        <x:v>21</x:v>
      </x:c>
      <x:c r="K2611" s="0">
        <x:f>hyperlink("https://icd.who.int/dev11/l-ichi/en#/http%3A%2F%2Fid.who.int%2Ficd%2Fentity%2F538972063","browser")</x:f>
      </x:c>
      <x:c r="L2611" s="0">
        <x:f>hyperlink("https://icat2.azurewebsites.net/icat/?ontology=ICD&amp;tab=ClassesTab&amp;id=http%3A%2F%2Fwho.int%2Ficd%2310989_512ebf36_bf6b_4d70_85da_cf2637062af4","iCat")</x:f>
      </x:c>
      <x:c r="M2611" s="0" t="s">
        <x:v>20</x:v>
      </x:c>
      <x:c r="N2611" s="0" t="s">
        <x:v>7996</x:v>
      </x:c>
    </x:row>
    <x:row r="2612" spans="1:16">
      <x:c r="A2612" s="0" t="s">
        <x:v>10285</x:v>
      </x:c>
      <x:c r="B2612" s="0" t="s">
        <x:v>10286</x:v>
      </x:c>
      <x:c r="C2612" s="0" t="s">
        <x:v>10287</x:v>
      </x:c>
      <x:c r="E2612" s="0" t="s">
        <x:v>10288</x:v>
      </x:c>
      <x:c r="F2612" s="0" t="s">
        <x:v>45</x:v>
      </x:c>
      <x:c r="G2612" s="0" t="s">
        <x:v>19</x:v>
      </x:c>
      <x:c r="H2612" s="0" t="s">
        <x:v>20</x:v>
      </x:c>
      <x:c r="I2612" s="0" t="s">
        <x:v>21</x:v>
      </x:c>
      <x:c r="K2612" s="0">
        <x:f>hyperlink("https://icd.who.int/dev11/l-ichi/en#/http%3A%2F%2Fid.who.int%2Ficd%2Fentity%2F1828547885","browser")</x:f>
      </x:c>
      <x:c r="L2612" s="0">
        <x:f>hyperlink("https://icat2.azurewebsites.net/icat/?ontology=ICD&amp;tab=ClassesTab&amp;id=http%3A%2F%2Fwho.int%2Ficd%2390_daad0bf0_ff4e_4553_92d6_19c72048c1a7","iCat")</x:f>
      </x:c>
      <x:c r="M2612" s="0" t="s">
        <x:v>21</x:v>
      </x:c>
      <x:c r="N2612" s="0" t="s">
        <x:v>46</x:v>
      </x:c>
    </x:row>
    <x:row r="2613" spans="1:16">
      <x:c r="A2613" s="0" t="s">
        <x:v>10289</x:v>
      </x:c>
      <x:c r="B2613" s="0" t="s">
        <x:v>10290</x:v>
      </x:c>
      <x:c r="C2613" s="0" t="s">
        <x:v>10291</x:v>
      </x:c>
      <x:c r="E2613" s="0" t="s">
        <x:v>10292</x:v>
      </x:c>
      <x:c r="F2613" s="0" t="s">
        <x:v>45</x:v>
      </x:c>
      <x:c r="G2613" s="0" t="s">
        <x:v>19</x:v>
      </x:c>
      <x:c r="H2613" s="0" t="s">
        <x:v>20</x:v>
      </x:c>
      <x:c r="I2613" s="0" t="s">
        <x:v>21</x:v>
      </x:c>
      <x:c r="K2613" s="0">
        <x:f>hyperlink("https://icd.who.int/dev11/l-ichi/en#/http%3A%2F%2Fid.who.int%2Ficd%2Fentity%2F1015461022","browser")</x:f>
      </x:c>
      <x:c r="L2613" s="0">
        <x:f>hyperlink("https://icat2.azurewebsites.net/icat/?ontology=ICD&amp;tab=ClassesTab&amp;id=http%3A%2F%2Fwho.int%2Ficd%2396_daad0bf0_ff4e_4553_92d6_19c72048c1a7","iCat")</x:f>
      </x:c>
      <x:c r="M2613" s="0" t="s">
        <x:v>21</x:v>
      </x:c>
      <x:c r="N2613" s="0" t="s">
        <x:v>46</x:v>
      </x:c>
    </x:row>
    <x:row r="2614" spans="1:16">
      <x:c r="A2614" s="0" t="s">
        <x:v>10293</x:v>
      </x:c>
      <x:c r="B2614" s="0" t="s">
        <x:v>10294</x:v>
      </x:c>
      <x:c r="C2614" s="0" t="s">
        <x:v>10295</x:v>
      </x:c>
      <x:c r="E2614" s="0" t="s">
        <x:v>10296</x:v>
      </x:c>
      <x:c r="F2614" s="0" t="s">
        <x:v>45</x:v>
      </x:c>
      <x:c r="G2614" s="0" t="s">
        <x:v>19</x:v>
      </x:c>
      <x:c r="H2614" s="0" t="s">
        <x:v>20</x:v>
      </x:c>
      <x:c r="I2614" s="0" t="s">
        <x:v>21</x:v>
      </x:c>
      <x:c r="K2614" s="0">
        <x:f>hyperlink("https://icd.who.int/dev11/l-ichi/en#/http%3A%2F%2Fid.who.int%2Ficd%2Fentity%2F14253475","browser")</x:f>
      </x:c>
      <x:c r="L2614" s="0">
        <x:f>hyperlink("https://icat2.azurewebsites.net/icat/?ontology=ICD&amp;tab=ClassesTab&amp;id=http%3A%2F%2Fwho.int%2Ficd%2310988_512ebf36_bf6b_4d70_85da_cf2637062af4","iCat")</x:f>
      </x:c>
      <x:c r="M2614" s="0" t="s">
        <x:v>21</x:v>
      </x:c>
      <x:c r="N2614" s="0" t="s">
        <x:v>46</x:v>
      </x:c>
    </x:row>
    <x:row r="2615" spans="1:16">
      <x:c r="A2615" s="0" t="s">
        <x:v>10297</x:v>
      </x:c>
      <x:c r="B2615" s="0" t="s">
        <x:v>10298</x:v>
      </x:c>
      <x:c r="C2615" s="0" t="s">
        <x:v>10299</x:v>
      </x:c>
      <x:c r="E2615" s="0" t="s">
        <x:v>10300</x:v>
      </x:c>
      <x:c r="F2615" s="0" t="s">
        <x:v>45</x:v>
      </x:c>
      <x:c r="G2615" s="0" t="s">
        <x:v>19</x:v>
      </x:c>
      <x:c r="H2615" s="0" t="s">
        <x:v>20</x:v>
      </x:c>
      <x:c r="I2615" s="0" t="s">
        <x:v>21</x:v>
      </x:c>
      <x:c r="K2615" s="0">
        <x:f>hyperlink("https://icd.who.int/dev11/l-ichi/en#/http%3A%2F%2Fid.who.int%2Ficd%2Fentity%2F2013115000","browser")</x:f>
      </x:c>
      <x:c r="L2615" s="0">
        <x:f>hyperlink("https://icat2.azurewebsites.net/icat/?ontology=ICD&amp;tab=ClassesTab&amp;id=http%3A%2F%2Fwho.int%2Ficd%2311000_512ebf36_bf6b_4d70_85da_cf2637062af4","iCat")</x:f>
      </x:c>
      <x:c r="M2615" s="0" t="s">
        <x:v>21</x:v>
      </x:c>
      <x:c r="N2615" s="0" t="s">
        <x:v>46</x:v>
      </x:c>
    </x:row>
    <x:row r="2616" spans="1:16">
      <x:c r="A2616" s="0" t="s">
        <x:v>10301</x:v>
      </x:c>
      <x:c r="B2616" s="0" t="s">
        <x:v>10302</x:v>
      </x:c>
      <x:c r="C2616" s="0" t="s">
        <x:v>10303</x:v>
      </x:c>
      <x:c r="E2616" s="0" t="s">
        <x:v>10304</x:v>
      </x:c>
      <x:c r="F2616" s="0" t="s">
        <x:v>45</x:v>
      </x:c>
      <x:c r="G2616" s="0" t="s">
        <x:v>19</x:v>
      </x:c>
      <x:c r="H2616" s="0" t="s">
        <x:v>20</x:v>
      </x:c>
      <x:c r="I2616" s="0" t="s">
        <x:v>21</x:v>
      </x:c>
      <x:c r="K2616" s="0">
        <x:f>hyperlink("https://icd.who.int/dev11/l-ichi/en#/http%3A%2F%2Fid.who.int%2Ficd%2Fentity%2F663120839","browser")</x:f>
      </x:c>
      <x:c r="L2616" s="0">
        <x:f>hyperlink("https://icat2.azurewebsites.net/icat/?ontology=ICD&amp;tab=ClassesTab&amp;id=http%3A%2F%2Fwho.int%2Ficd%2311006_512ebf36_bf6b_4d70_85da_cf2637062af4","iCat")</x:f>
      </x:c>
      <x:c r="M2616" s="0" t="s">
        <x:v>21</x:v>
      </x:c>
      <x:c r="N2616" s="0" t="s">
        <x:v>46</x:v>
      </x:c>
    </x:row>
    <x:row r="2617" spans="1:16">
      <x:c r="A2617" s="0" t="s">
        <x:v>10305</x:v>
      </x:c>
      <x:c r="B2617" s="0" t="s">
        <x:v>10306</x:v>
      </x:c>
      <x:c r="C2617" s="0" t="s">
        <x:v>10307</x:v>
      </x:c>
      <x:c r="E2617" s="0" t="s">
        <x:v>10308</x:v>
      </x:c>
      <x:c r="F2617" s="0" t="s">
        <x:v>45</x:v>
      </x:c>
      <x:c r="G2617" s="0" t="s">
        <x:v>19</x:v>
      </x:c>
      <x:c r="H2617" s="0" t="s">
        <x:v>20</x:v>
      </x:c>
      <x:c r="I2617" s="0" t="s">
        <x:v>21</x:v>
      </x:c>
      <x:c r="K2617" s="0">
        <x:f>hyperlink("https://icd.who.int/dev11/l-ichi/en#/http%3A%2F%2Fid.who.int%2Ficd%2Fentity%2F1454831457","browser")</x:f>
      </x:c>
      <x:c r="L2617" s="0">
        <x:f>hyperlink("https://icat2.azurewebsites.net/icat/?ontology=ICD&amp;tab=ClassesTab&amp;id=http%3A%2F%2Fwho.int%2Ficd%2314821_4869915e_217e_423d_acb3_33c0f920ef4b","iCat")</x:f>
      </x:c>
      <x:c r="M2617" s="0" t="s">
        <x:v>21</x:v>
      </x:c>
      <x:c r="N2617" s="0" t="s">
        <x:v>46</x:v>
      </x:c>
    </x:row>
    <x:row r="2618" spans="1:16">
      <x:c r="A2618" s="0" t="s">
        <x:v>10309</x:v>
      </x:c>
      <x:c r="B2618" s="0" t="s">
        <x:v>10310</x:v>
      </x:c>
      <x:c r="C2618" s="0" t="s">
        <x:v>10311</x:v>
      </x:c>
      <x:c r="E2618" s="0" t="s">
        <x:v>10312</x:v>
      </x:c>
      <x:c r="F2618" s="0" t="s">
        <x:v>45</x:v>
      </x:c>
      <x:c r="G2618" s="0" t="s">
        <x:v>19</x:v>
      </x:c>
      <x:c r="H2618" s="0" t="s">
        <x:v>20</x:v>
      </x:c>
      <x:c r="I2618" s="0" t="s">
        <x:v>21</x:v>
      </x:c>
      <x:c r="K2618" s="0">
        <x:f>hyperlink("https://icd.who.int/dev11/l-ichi/en#/http%3A%2F%2Fid.who.int%2Ficd%2Fentity%2F114110160","browser")</x:f>
      </x:c>
      <x:c r="L2618" s="0">
        <x:f>hyperlink("https://icat2.azurewebsites.net/icat/?ontology=ICD&amp;tab=ClassesTab&amp;id=http%3A%2F%2Fwho.int%2Ficd%2314827_4869915e_217e_423d_acb3_33c0f920ef4b","iCat")</x:f>
      </x:c>
      <x:c r="M2618" s="0" t="s">
        <x:v>21</x:v>
      </x:c>
      <x:c r="N2618" s="0" t="s">
        <x:v>46</x:v>
      </x:c>
    </x:row>
    <x:row r="2619" spans="1:16">
      <x:c r="A2619" s="0" t="s">
        <x:v>10313</x:v>
      </x:c>
      <x:c r="B2619" s="0" t="s">
        <x:v>10314</x:v>
      </x:c>
      <x:c r="C2619" s="0" t="s">
        <x:v>10315</x:v>
      </x:c>
      <x:c r="E2619" s="0" t="s">
        <x:v>10316</x:v>
      </x:c>
      <x:c r="F2619" s="0" t="s">
        <x:v>45</x:v>
      </x:c>
      <x:c r="G2619" s="0" t="s">
        <x:v>19</x:v>
      </x:c>
      <x:c r="H2619" s="0" t="s">
        <x:v>20</x:v>
      </x:c>
      <x:c r="I2619" s="0" t="s">
        <x:v>21</x:v>
      </x:c>
      <x:c r="K2619" s="0">
        <x:f>hyperlink("https://icd.who.int/dev11/l-ichi/en#/http%3A%2F%2Fid.who.int%2Ficd%2Fentity%2F875967141","browser")</x:f>
      </x:c>
      <x:c r="L2619" s="0">
        <x:f>hyperlink("https://icat2.azurewebsites.net/icat/?ontology=ICD&amp;tab=ClassesTab&amp;id=http%3A%2F%2Fwho.int%2Ficd%231676_97087496_4a82_4efa_a45a_b3256f81bd7e","iCat")</x:f>
      </x:c>
      <x:c r="M2619" s="0" t="s">
        <x:v>21</x:v>
      </x:c>
      <x:c r="N2619" s="0" t="s">
        <x:v>46</x:v>
      </x:c>
    </x:row>
    <x:row r="2620" spans="1:16">
      <x:c r="A2620" s="0" t="s">
        <x:v>10317</x:v>
      </x:c>
      <x:c r="B2620" s="0" t="s">
        <x:v>10318</x:v>
      </x:c>
      <x:c r="C2620" s="0" t="s">
        <x:v>10319</x:v>
      </x:c>
      <x:c r="E2620" s="0" t="s">
        <x:v>10320</x:v>
      </x:c>
      <x:c r="F2620" s="0" t="s">
        <x:v>45</x:v>
      </x:c>
      <x:c r="G2620" s="0" t="s">
        <x:v>19</x:v>
      </x:c>
      <x:c r="H2620" s="0" t="s">
        <x:v>20</x:v>
      </x:c>
      <x:c r="I2620" s="0" t="s">
        <x:v>21</x:v>
      </x:c>
      <x:c r="K2620" s="0">
        <x:f>hyperlink("https://icd.who.int/dev11/l-ichi/en#/http%3A%2F%2Fid.who.int%2Ficd%2Fentity%2F2017737446","browser")</x:f>
      </x:c>
      <x:c r="L2620" s="0">
        <x:f>hyperlink("https://icat2.azurewebsites.net/icat/?ontology=ICD&amp;tab=ClassesTab&amp;id=http%3A%2F%2Fwho.int%2Ficd%2311012_512ebf36_bf6b_4d70_85da_cf2637062af4","iCat")</x:f>
      </x:c>
      <x:c r="M2620" s="0" t="s">
        <x:v>21</x:v>
      </x:c>
      <x:c r="N2620" s="0" t="s">
        <x:v>46</x:v>
      </x:c>
    </x:row>
    <x:row r="2621" spans="1:16">
      <x:c r="A2621" s="0" t="s">
        <x:v>10321</x:v>
      </x:c>
      <x:c r="B2621" s="0" t="s">
        <x:v>10322</x:v>
      </x:c>
      <x:c r="C2621" s="0" t="s">
        <x:v>10323</x:v>
      </x:c>
      <x:c r="E2621" s="0" t="s">
        <x:v>10324</x:v>
      </x:c>
      <x:c r="F2621" s="0" t="s">
        <x:v>45</x:v>
      </x:c>
      <x:c r="G2621" s="0" t="s">
        <x:v>19</x:v>
      </x:c>
      <x:c r="H2621" s="0" t="s">
        <x:v>20</x:v>
      </x:c>
      <x:c r="I2621" s="0" t="s">
        <x:v>21</x:v>
      </x:c>
      <x:c r="K2621" s="0">
        <x:f>hyperlink("https://icd.who.int/dev11/l-ichi/en#/http%3A%2F%2Fid.who.int%2Ficd%2Fentity%2F1404655222","browser")</x:f>
      </x:c>
      <x:c r="L2621" s="0">
        <x:f>hyperlink("https://icat2.azurewebsites.net/icat/?ontology=ICD&amp;tab=ClassesTab&amp;id=http%3A%2F%2Fwho.int%2Ficd%2311018_512ebf36_bf6b_4d70_85da_cf2637062af4","iCat")</x:f>
      </x:c>
      <x:c r="M2621" s="0" t="s">
        <x:v>21</x:v>
      </x:c>
      <x:c r="N2621" s="0" t="s">
        <x:v>46</x:v>
      </x:c>
    </x:row>
    <x:row r="2622" spans="1:16">
      <x:c r="A2622" s="0" t="s">
        <x:v>10325</x:v>
      </x:c>
      <x:c r="B2622" s="0" t="s">
        <x:v>10326</x:v>
      </x:c>
      <x:c r="C2622" s="0" t="s">
        <x:v>10327</x:v>
      </x:c>
      <x:c r="E2622" s="0" t="s">
        <x:v>10328</x:v>
      </x:c>
      <x:c r="F2622" s="0" t="s">
        <x:v>45</x:v>
      </x:c>
      <x:c r="G2622" s="0" t="s">
        <x:v>19</x:v>
      </x:c>
      <x:c r="H2622" s="0" t="s">
        <x:v>20</x:v>
      </x:c>
      <x:c r="I2622" s="0" t="s">
        <x:v>21</x:v>
      </x:c>
      <x:c r="K2622" s="0">
        <x:f>hyperlink("https://icd.who.int/dev11/l-ichi/en#/http%3A%2F%2Fid.who.int%2Ficd%2Fentity%2F1754178388","browser")</x:f>
      </x:c>
      <x:c r="L2622" s="0">
        <x:f>hyperlink("https://icat2.azurewebsites.net/icat/?ontology=ICD&amp;tab=ClassesTab&amp;id=http%3A%2F%2Fwho.int%2Ficd%2311024_512ebf36_bf6b_4d70_85da_cf2637062af4","iCat")</x:f>
      </x:c>
      <x:c r="M2622" s="0" t="s">
        <x:v>21</x:v>
      </x:c>
      <x:c r="N2622" s="0" t="s">
        <x:v>46</x:v>
      </x:c>
    </x:row>
    <x:row r="2623" spans="1:16">
      <x:c r="A2623" s="0" t="s">
        <x:v>10329</x:v>
      </x:c>
      <x:c r="B2623" s="0" t="s">
        <x:v>10330</x:v>
      </x:c>
      <x:c r="C2623" s="0" t="s">
        <x:v>10331</x:v>
      </x:c>
      <x:c r="E2623" s="0" t="s">
        <x:v>10332</x:v>
      </x:c>
      <x:c r="F2623" s="0" t="s">
        <x:v>45</x:v>
      </x:c>
      <x:c r="G2623" s="0" t="s">
        <x:v>19</x:v>
      </x:c>
      <x:c r="H2623" s="0" t="s">
        <x:v>20</x:v>
      </x:c>
      <x:c r="I2623" s="0" t="s">
        <x:v>21</x:v>
      </x:c>
      <x:c r="K2623" s="0">
        <x:f>hyperlink("https://icd.who.int/dev11/l-ichi/en#/http%3A%2F%2Fid.who.int%2Ficd%2Fentity%2F927789681","browser")</x:f>
      </x:c>
      <x:c r="L2623" s="0">
        <x:f>hyperlink("https://icat2.azurewebsites.net/icat/?ontology=ICD&amp;tab=ClassesTab&amp;id=http%3A%2F%2Fwho.int%2Ficd%2311030_512ebf36_bf6b_4d70_85da_cf2637062af4","iCat")</x:f>
      </x:c>
      <x:c r="M2623" s="0" t="s">
        <x:v>21</x:v>
      </x:c>
      <x:c r="N2623" s="0" t="s">
        <x:v>46</x:v>
      </x:c>
    </x:row>
    <x:row r="2624" spans="1:16">
      <x:c r="A2624" s="0" t="s">
        <x:v>10333</x:v>
      </x:c>
      <x:c r="B2624" s="0" t="s">
        <x:v>10334</x:v>
      </x:c>
      <x:c r="C2624" s="0" t="s">
        <x:v>10335</x:v>
      </x:c>
      <x:c r="E2624" s="0" t="s">
        <x:v>10336</x:v>
      </x:c>
      <x:c r="F2624" s="0" t="s">
        <x:v>45</x:v>
      </x:c>
      <x:c r="G2624" s="0" t="s">
        <x:v>19</x:v>
      </x:c>
      <x:c r="H2624" s="0" t="s">
        <x:v>20</x:v>
      </x:c>
      <x:c r="I2624" s="0" t="s">
        <x:v>21</x:v>
      </x:c>
      <x:c r="K2624" s="0">
        <x:f>hyperlink("https://icd.who.int/dev11/l-ichi/en#/http%3A%2F%2Fid.who.int%2Ficd%2Fentity%2F1731668930","browser")</x:f>
      </x:c>
      <x:c r="L2624" s="0">
        <x:f>hyperlink("https://icat2.azurewebsites.net/icat/?ontology=ICD&amp;tab=ClassesTab&amp;id=http%3A%2F%2Fwho.int%2Ficd%2311036_512ebf36_bf6b_4d70_85da_cf2637062af4","iCat")</x:f>
      </x:c>
      <x:c r="M2624" s="0" t="s">
        <x:v>21</x:v>
      </x:c>
      <x:c r="N2624" s="0" t="s">
        <x:v>46</x:v>
      </x:c>
    </x:row>
    <x:row r="2625" spans="1:16">
      <x:c r="A2625" s="0" t="s">
        <x:v>10337</x:v>
      </x:c>
      <x:c r="B2625" s="0" t="s">
        <x:v>10338</x:v>
      </x:c>
      <x:c r="C2625" s="0" t="s">
        <x:v>10339</x:v>
      </x:c>
      <x:c r="E2625" s="0" t="s">
        <x:v>10340</x:v>
      </x:c>
      <x:c r="F2625" s="0" t="s">
        <x:v>45</x:v>
      </x:c>
      <x:c r="G2625" s="0" t="s">
        <x:v>19</x:v>
      </x:c>
      <x:c r="H2625" s="0" t="s">
        <x:v>20</x:v>
      </x:c>
      <x:c r="I2625" s="0" t="s">
        <x:v>21</x:v>
      </x:c>
      <x:c r="K2625" s="0">
        <x:f>hyperlink("https://icd.who.int/dev11/l-ichi/en#/http%3A%2F%2Fid.who.int%2Ficd%2Fentity%2F634561187","browser")</x:f>
      </x:c>
      <x:c r="L2625" s="0">
        <x:f>hyperlink("https://icat2.azurewebsites.net/icat/?ontology=ICD&amp;tab=ClassesTab&amp;id=http%3A%2F%2Fwho.int%2Ficd%231689_97087496_4a82_4efa_a45a_b3256f81bd7e","iCat")</x:f>
      </x:c>
      <x:c r="M2625" s="0" t="s">
        <x:v>21</x:v>
      </x:c>
      <x:c r="N2625" s="0" t="s">
        <x:v>46</x:v>
      </x:c>
    </x:row>
    <x:row r="2626" spans="1:16">
      <x:c r="A2626" s="0" t="s">
        <x:v>10341</x:v>
      </x:c>
      <x:c r="B2626" s="0" t="s">
        <x:v>10342</x:v>
      </x:c>
      <x:c r="C2626" s="0" t="s">
        <x:v>10343</x:v>
      </x:c>
      <x:c r="E2626" s="0" t="s">
        <x:v>10344</x:v>
      </x:c>
      <x:c r="F2626" s="0" t="s">
        <x:v>45</x:v>
      </x:c>
      <x:c r="G2626" s="0" t="s">
        <x:v>19</x:v>
      </x:c>
      <x:c r="H2626" s="0" t="s">
        <x:v>20</x:v>
      </x:c>
      <x:c r="I2626" s="0" t="s">
        <x:v>21</x:v>
      </x:c>
      <x:c r="K2626" s="0">
        <x:f>hyperlink("https://icd.who.int/dev11/l-ichi/en#/http%3A%2F%2Fid.who.int%2Ficd%2Fentity%2F686877636","browser")</x:f>
      </x:c>
      <x:c r="L2626" s="0">
        <x:f>hyperlink("https://icat2.azurewebsites.net/icat/?ontology=ICD&amp;tab=ClassesTab&amp;id=http%3A%2F%2Fwho.int%2Ficd%2311566_7353cc8f_16bd_4231_887a_95ea54e27297","iCat")</x:f>
      </x:c>
      <x:c r="M2626" s="0" t="s">
        <x:v>21</x:v>
      </x:c>
      <x:c r="N2626" s="0" t="s">
        <x:v>46</x:v>
      </x:c>
    </x:row>
    <x:row r="2627" spans="1:16">
      <x:c r="A2627" s="0" t="s">
        <x:v>10345</x:v>
      </x:c>
      <x:c r="B2627" s="0" t="s">
        <x:v>10346</x:v>
      </x:c>
      <x:c r="C2627" s="0" t="s">
        <x:v>10347</x:v>
      </x:c>
      <x:c r="E2627" s="0" t="s">
        <x:v>10348</x:v>
      </x:c>
      <x:c r="F2627" s="0" t="s">
        <x:v>45</x:v>
      </x:c>
      <x:c r="G2627" s="0" t="s">
        <x:v>19</x:v>
      </x:c>
      <x:c r="H2627" s="0" t="s">
        <x:v>20</x:v>
      </x:c>
      <x:c r="I2627" s="0" t="s">
        <x:v>21</x:v>
      </x:c>
      <x:c r="K2627" s="0">
        <x:f>hyperlink("https://icd.who.int/dev11/l-ichi/en#/http%3A%2F%2Fid.who.int%2Ficd%2Fentity%2F1302726144","browser")</x:f>
      </x:c>
      <x:c r="L2627" s="0">
        <x:f>hyperlink("https://icat2.azurewebsites.net/icat/?ontology=ICD&amp;tab=ClassesTab&amp;id=http%3A%2F%2Fwho.int%2Ficd%2311051_512ebf36_bf6b_4d70_85da_cf2637062af4","iCat")</x:f>
      </x:c>
      <x:c r="M2627" s="0" t="s">
        <x:v>21</x:v>
      </x:c>
      <x:c r="N2627" s="0" t="s">
        <x:v>46</x:v>
      </x:c>
    </x:row>
    <x:row r="2628" spans="1:16">
      <x:c r="A2628" s="0" t="s">
        <x:v>10349</x:v>
      </x:c>
      <x:c r="B2628" s="0" t="s">
        <x:v>10350</x:v>
      </x:c>
      <x:c r="C2628" s="0" t="s">
        <x:v>10351</x:v>
      </x:c>
      <x:c r="E2628" s="0" t="s">
        <x:v>10352</x:v>
      </x:c>
      <x:c r="F2628" s="0" t="s">
        <x:v>45</x:v>
      </x:c>
      <x:c r="G2628" s="0" t="s">
        <x:v>19</x:v>
      </x:c>
      <x:c r="H2628" s="0" t="s">
        <x:v>20</x:v>
      </x:c>
      <x:c r="I2628" s="0" t="s">
        <x:v>21</x:v>
      </x:c>
      <x:c r="K2628" s="0">
        <x:f>hyperlink("https://icd.who.int/dev11/l-ichi/en#/http%3A%2F%2Fid.who.int%2Ficd%2Fentity%2F601752937","browser")</x:f>
      </x:c>
      <x:c r="L2628" s="0">
        <x:f>hyperlink("https://icat2.azurewebsites.net/icat/?ontology=ICD&amp;tab=ClassesTab&amp;id=http%3A%2F%2Fwho.int%2Ficd%2311058_512ebf36_bf6b_4d70_85da_cf2637062af4","iCat")</x:f>
      </x:c>
      <x:c r="M2628" s="0" t="s">
        <x:v>21</x:v>
      </x:c>
      <x:c r="N2628" s="0" t="s">
        <x:v>46</x:v>
      </x:c>
    </x:row>
    <x:row r="2629" spans="1:16">
      <x:c r="A2629" s="0" t="s">
        <x:v>10353</x:v>
      </x:c>
      <x:c r="B2629" s="0" t="s">
        <x:v>10354</x:v>
      </x:c>
      <x:c r="C2629" s="0" t="s">
        <x:v>10355</x:v>
      </x:c>
      <x:c r="E2629" s="0" t="s">
        <x:v>10356</x:v>
      </x:c>
      <x:c r="F2629" s="0" t="s">
        <x:v>45</x:v>
      </x:c>
      <x:c r="G2629" s="0" t="s">
        <x:v>19</x:v>
      </x:c>
      <x:c r="H2629" s="0" t="s">
        <x:v>20</x:v>
      </x:c>
      <x:c r="I2629" s="0" t="s">
        <x:v>21</x:v>
      </x:c>
      <x:c r="K2629" s="0">
        <x:f>hyperlink("https://icd.who.int/dev11/l-ichi/en#/http%3A%2F%2Fid.who.int%2Ficd%2Fentity%2F2106977676","browser")</x:f>
      </x:c>
      <x:c r="L2629" s="0">
        <x:f>hyperlink("https://icat2.azurewebsites.net/icat/?ontology=ICD&amp;tab=ClassesTab&amp;id=http%3A%2F%2Fwho.int%2Ficd%2311066_512ebf36_bf6b_4d70_85da_cf2637062af4","iCat")</x:f>
      </x:c>
      <x:c r="M2629" s="0" t="s">
        <x:v>21</x:v>
      </x:c>
      <x:c r="N2629" s="0" t="s">
        <x:v>46</x:v>
      </x:c>
    </x:row>
    <x:row r="2630" spans="1:16">
      <x:c r="A2630" s="0" t="s">
        <x:v>10357</x:v>
      </x:c>
      <x:c r="B2630" s="0" t="s">
        <x:v>10358</x:v>
      </x:c>
      <x:c r="C2630" s="0" t="s">
        <x:v>10359</x:v>
      </x:c>
      <x:c r="E2630" s="0" t="s">
        <x:v>10360</x:v>
      </x:c>
      <x:c r="F2630" s="0" t="s">
        <x:v>45</x:v>
      </x:c>
      <x:c r="G2630" s="0" t="s">
        <x:v>19</x:v>
      </x:c>
      <x:c r="H2630" s="0" t="s">
        <x:v>20</x:v>
      </x:c>
      <x:c r="I2630" s="0" t="s">
        <x:v>21</x:v>
      </x:c>
      <x:c r="K2630" s="0">
        <x:f>hyperlink("https://icd.who.int/dev11/l-ichi/en#/http%3A%2F%2Fid.who.int%2Ficd%2Fentity%2F1915512090","browser")</x:f>
      </x:c>
      <x:c r="L2630" s="0">
        <x:f>hyperlink("https://icat2.azurewebsites.net/icat/?ontology=ICD&amp;tab=ClassesTab&amp;id=http%3A%2F%2Fwho.int%2Ficd%2311074_512ebf36_bf6b_4d70_85da_cf2637062af4","iCat")</x:f>
      </x:c>
      <x:c r="M2630" s="0" t="s">
        <x:v>21</x:v>
      </x:c>
      <x:c r="N2630" s="0" t="s">
        <x:v>46</x:v>
      </x:c>
    </x:row>
    <x:row r="2631" spans="1:16">
      <x:c r="A2631" s="0" t="s">
        <x:v>10361</x:v>
      </x:c>
      <x:c r="B2631" s="0" t="s">
        <x:v>10362</x:v>
      </x:c>
      <x:c r="C2631" s="0" t="s">
        <x:v>10363</x:v>
      </x:c>
      <x:c r="E2631" s="0" t="s">
        <x:v>10364</x:v>
      </x:c>
      <x:c r="F2631" s="0" t="s">
        <x:v>45</x:v>
      </x:c>
      <x:c r="G2631" s="0" t="s">
        <x:v>19</x:v>
      </x:c>
      <x:c r="H2631" s="0" t="s">
        <x:v>20</x:v>
      </x:c>
      <x:c r="I2631" s="0" t="s">
        <x:v>21</x:v>
      </x:c>
      <x:c r="K2631" s="0">
        <x:f>hyperlink("https://icd.who.int/dev11/l-ichi/en#/http%3A%2F%2Fid.who.int%2Ficd%2Fentity%2F1758260146","browser")</x:f>
      </x:c>
      <x:c r="L2631" s="0">
        <x:f>hyperlink("https://icat2.azurewebsites.net/icat/?ontology=ICD&amp;tab=ClassesTab&amp;id=http%3A%2F%2Fwho.int%2Ficd%2311080_512ebf36_bf6b_4d70_85da_cf2637062af4","iCat")</x:f>
      </x:c>
      <x:c r="M2631" s="0" t="s">
        <x:v>21</x:v>
      </x:c>
      <x:c r="N2631" s="0" t="s">
        <x:v>46</x:v>
      </x:c>
    </x:row>
    <x:row r="2632" spans="1:16">
      <x:c r="A2632" s="0" t="s">
        <x:v>10365</x:v>
      </x:c>
      <x:c r="B2632" s="0" t="s">
        <x:v>10366</x:v>
      </x:c>
      <x:c r="C2632" s="0" t="s">
        <x:v>10367</x:v>
      </x:c>
      <x:c r="E2632" s="0" t="s">
        <x:v>10368</x:v>
      </x:c>
      <x:c r="F2632" s="0" t="s">
        <x:v>45</x:v>
      </x:c>
      <x:c r="G2632" s="0" t="s">
        <x:v>19</x:v>
      </x:c>
      <x:c r="H2632" s="0" t="s">
        <x:v>20</x:v>
      </x:c>
      <x:c r="I2632" s="0" t="s">
        <x:v>21</x:v>
      </x:c>
      <x:c r="K2632" s="0">
        <x:f>hyperlink("https://icd.who.int/dev11/l-ichi/en#/http%3A%2F%2Fid.who.int%2Ficd%2Fentity%2F33377455","browser")</x:f>
      </x:c>
      <x:c r="L2632" s="0">
        <x:f>hyperlink("https://icat2.azurewebsites.net/icat/?ontology=ICD&amp;tab=ClassesTab&amp;id=http%3A%2F%2Fwho.int%2Ficd%231701_97087496_4a82_4efa_a45a_b3256f81bd7e","iCat")</x:f>
      </x:c>
      <x:c r="M2632" s="0" t="s">
        <x:v>21</x:v>
      </x:c>
      <x:c r="N2632" s="0" t="s">
        <x:v>46</x:v>
      </x:c>
    </x:row>
    <x:row r="2633" spans="1:16">
      <x:c r="A2633" s="0" t="s">
        <x:v>10369</x:v>
      </x:c>
      <x:c r="B2633" s="0" t="s">
        <x:v>10370</x:v>
      </x:c>
      <x:c r="C2633" s="0" t="s">
        <x:v>10371</x:v>
      </x:c>
      <x:c r="E2633" s="0" t="s">
        <x:v>10372</x:v>
      </x:c>
      <x:c r="F2633" s="0" t="s">
        <x:v>45</x:v>
      </x:c>
      <x:c r="G2633" s="0" t="s">
        <x:v>19</x:v>
      </x:c>
      <x:c r="H2633" s="0" t="s">
        <x:v>20</x:v>
      </x:c>
      <x:c r="I2633" s="0" t="s">
        <x:v>21</x:v>
      </x:c>
      <x:c r="K2633" s="0">
        <x:f>hyperlink("https://icd.who.int/dev11/l-ichi/en#/http%3A%2F%2Fid.who.int%2Ficd%2Fentity%2F1367774496","browser")</x:f>
      </x:c>
      <x:c r="L2633" s="0">
        <x:f>hyperlink("https://icat2.azurewebsites.net/icat/?ontology=ICD&amp;tab=ClassesTab&amp;id=http%3A%2F%2Fwho.int%2Ficd%231707_97087496_4a82_4efa_a45a_b3256f81bd7e","iCat")</x:f>
      </x:c>
      <x:c r="M2633" s="0" t="s">
        <x:v>21</x:v>
      </x:c>
      <x:c r="N2633" s="0" t="s">
        <x:v>46</x:v>
      </x:c>
    </x:row>
    <x:row r="2634" spans="1:16">
      <x:c r="A2634" s="0" t="s">
        <x:v>10373</x:v>
      </x:c>
      <x:c r="B2634" s="0" t="s">
        <x:v>10374</x:v>
      </x:c>
      <x:c r="C2634" s="0" t="s">
        <x:v>10375</x:v>
      </x:c>
      <x:c r="E2634" s="0" t="s">
        <x:v>10376</x:v>
      </x:c>
      <x:c r="F2634" s="0" t="s">
        <x:v>45</x:v>
      </x:c>
      <x:c r="G2634" s="0" t="s">
        <x:v>19</x:v>
      </x:c>
      <x:c r="H2634" s="0" t="s">
        <x:v>20</x:v>
      </x:c>
      <x:c r="I2634" s="0" t="s">
        <x:v>21</x:v>
      </x:c>
      <x:c r="K2634" s="0">
        <x:f>hyperlink("https://icd.who.int/dev11/l-ichi/en#/http%3A%2F%2Fid.who.int%2Ficd%2Fentity%2F544766968","browser")</x:f>
      </x:c>
      <x:c r="L2634" s="0">
        <x:f>hyperlink("https://icat2.azurewebsites.net/icat/?ontology=ICD&amp;tab=ClassesTab&amp;id=http%3A%2F%2Fwho.int%2Ficd%231385_d85a204c_d00a_4566_a3b7_2d137a1891cf","iCat")</x:f>
      </x:c>
      <x:c r="M2634" s="0" t="s">
        <x:v>21</x:v>
      </x:c>
      <x:c r="N2634" s="0" t="s">
        <x:v>46</x:v>
      </x:c>
    </x:row>
    <x:row r="2635" spans="1:16">
      <x:c r="A2635" s="0" t="s">
        <x:v>10377</x:v>
      </x:c>
      <x:c r="B2635" s="0" t="s">
        <x:v>10378</x:v>
      </x:c>
      <x:c r="C2635" s="0" t="s">
        <x:v>10379</x:v>
      </x:c>
      <x:c r="E2635" s="0" t="s">
        <x:v>10380</x:v>
      </x:c>
      <x:c r="F2635" s="0" t="s">
        <x:v>45</x:v>
      </x:c>
      <x:c r="G2635" s="0" t="s">
        <x:v>19</x:v>
      </x:c>
      <x:c r="H2635" s="0" t="s">
        <x:v>20</x:v>
      </x:c>
      <x:c r="I2635" s="0" t="s">
        <x:v>21</x:v>
      </x:c>
      <x:c r="K2635" s="0">
        <x:f>hyperlink("https://icd.who.int/dev11/l-ichi/en#/http%3A%2F%2Fid.who.int%2Ficd%2Fentity%2F2142907093","browser")</x:f>
      </x:c>
      <x:c r="L2635" s="0">
        <x:f>hyperlink("https://icat2.azurewebsites.net/icat/?ontology=ICD&amp;tab=ClassesTab&amp;id=http%3A%2F%2Fwho.int%2Ficd%231391_d85a204c_d00a_4566_a3b7_2d137a1891cf","iCat")</x:f>
      </x:c>
      <x:c r="M2635" s="0" t="s">
        <x:v>21</x:v>
      </x:c>
      <x:c r="N2635" s="0" t="s">
        <x:v>46</x:v>
      </x:c>
    </x:row>
    <x:row r="2636" spans="1:16">
      <x:c r="A2636" s="0" t="s">
        <x:v>10381</x:v>
      </x:c>
      <x:c r="B2636" s="0" t="s">
        <x:v>10382</x:v>
      </x:c>
      <x:c r="C2636" s="0" t="s">
        <x:v>10383</x:v>
      </x:c>
      <x:c r="E2636" s="0" t="s">
        <x:v>10384</x:v>
      </x:c>
      <x:c r="F2636" s="0" t="s">
        <x:v>45</x:v>
      </x:c>
      <x:c r="G2636" s="0" t="s">
        <x:v>19</x:v>
      </x:c>
      <x:c r="H2636" s="0" t="s">
        <x:v>20</x:v>
      </x:c>
      <x:c r="I2636" s="0" t="s">
        <x:v>21</x:v>
      </x:c>
      <x:c r="K2636" s="0">
        <x:f>hyperlink("https://icd.who.int/dev11/l-ichi/en#/http%3A%2F%2Fid.who.int%2Ficd%2Fentity%2F881951445","browser")</x:f>
      </x:c>
      <x:c r="L2636" s="0">
        <x:f>hyperlink("https://icat2.azurewebsites.net/icat/?ontology=ICD&amp;tab=ClassesTab&amp;id=http%3A%2F%2Fwho.int%2Ficd%231695_97087496_4a82_4efa_a45a_b3256f81bd7e","iCat")</x:f>
      </x:c>
      <x:c r="M2636" s="0" t="s">
        <x:v>21</x:v>
      </x:c>
      <x:c r="N2636" s="0" t="s">
        <x:v>46</x:v>
      </x:c>
    </x:row>
    <x:row r="2637" spans="1:16">
      <x:c r="A2637" s="0" t="s">
        <x:v>10385</x:v>
      </x:c>
      <x:c r="B2637" s="0" t="s">
        <x:v>10386</x:v>
      </x:c>
      <x:c r="C2637" s="0" t="s">
        <x:v>10387</x:v>
      </x:c>
      <x:c r="E2637" s="0" t="s">
        <x:v>10388</x:v>
      </x:c>
      <x:c r="F2637" s="0" t="s">
        <x:v>45</x:v>
      </x:c>
      <x:c r="G2637" s="0" t="s">
        <x:v>19</x:v>
      </x:c>
      <x:c r="H2637" s="0" t="s">
        <x:v>20</x:v>
      </x:c>
      <x:c r="I2637" s="0" t="s">
        <x:v>21</x:v>
      </x:c>
      <x:c r="K2637" s="0">
        <x:f>hyperlink("https://icd.who.int/dev11/l-ichi/en#/http%3A%2F%2Fid.who.int%2Ficd%2Fentity%2F951529987","browser")</x:f>
      </x:c>
      <x:c r="L2637" s="0">
        <x:f>hyperlink("https://icat2.azurewebsites.net/icat/?ontology=ICD&amp;tab=ClassesTab&amp;id=http%3A%2F%2Fwho.int%2Ficd%2311086_512ebf36_bf6b_4d70_85da_cf2637062af4","iCat")</x:f>
      </x:c>
      <x:c r="M2637" s="0" t="s">
        <x:v>21</x:v>
      </x:c>
      <x:c r="N2637" s="0" t="s">
        <x:v>46</x:v>
      </x:c>
    </x:row>
    <x:row r="2638" spans="1:16">
      <x:c r="A2638" s="0" t="s">
        <x:v>10389</x:v>
      </x:c>
      <x:c r="B2638" s="0" t="s">
        <x:v>10390</x:v>
      </x:c>
      <x:c r="C2638" s="0" t="s">
        <x:v>10391</x:v>
      </x:c>
      <x:c r="E2638" s="0" t="s">
        <x:v>10392</x:v>
      </x:c>
      <x:c r="F2638" s="0" t="s">
        <x:v>45</x:v>
      </x:c>
      <x:c r="G2638" s="0" t="s">
        <x:v>19</x:v>
      </x:c>
      <x:c r="H2638" s="0" t="s">
        <x:v>20</x:v>
      </x:c>
      <x:c r="I2638" s="0" t="s">
        <x:v>21</x:v>
      </x:c>
      <x:c r="K2638" s="0">
        <x:f>hyperlink("https://icd.who.int/dev11/l-ichi/en#/http%3A%2F%2Fid.who.int%2Ficd%2Fentity%2F1735746336","browser")</x:f>
      </x:c>
      <x:c r="L2638" s="0">
        <x:f>hyperlink("https://icat2.azurewebsites.net/icat/?ontology=ICD&amp;tab=ClassesTab&amp;id=http%3A%2F%2Fwho.int%2Ficd%2311092_512ebf36_bf6b_4d70_85da_cf2637062af4","iCat")</x:f>
      </x:c>
      <x:c r="M2638" s="0" t="s">
        <x:v>21</x:v>
      </x:c>
      <x:c r="N2638" s="0" t="s">
        <x:v>46</x:v>
      </x:c>
    </x:row>
    <x:row r="2639" spans="1:16">
      <x:c r="A2639" s="0" t="s">
        <x:v>10393</x:v>
      </x:c>
      <x:c r="B2639" s="0" t="s">
        <x:v>10394</x:v>
      </x:c>
      <x:c r="C2639" s="0" t="s">
        <x:v>10395</x:v>
      </x:c>
      <x:c r="E2639" s="0" t="s">
        <x:v>10396</x:v>
      </x:c>
      <x:c r="F2639" s="0" t="s">
        <x:v>45</x:v>
      </x:c>
      <x:c r="G2639" s="0" t="s">
        <x:v>19</x:v>
      </x:c>
      <x:c r="H2639" s="0" t="s">
        <x:v>20</x:v>
      </x:c>
      <x:c r="I2639" s="0" t="s">
        <x:v>21</x:v>
      </x:c>
      <x:c r="K2639" s="0">
        <x:f>hyperlink("https://icd.who.int/dev11/l-ichi/en#/http%3A%2F%2Fid.who.int%2Ficd%2Fentity%2F1053283297","browser")</x:f>
      </x:c>
      <x:c r="L2639" s="0">
        <x:f>hyperlink("https://icat2.azurewebsites.net/icat/?ontology=ICD&amp;tab=ClassesTab&amp;id=http%3A%2F%2Fwho.int%2Ficd%23285_7d3164e7_57ed_4b09_bb56_286e36e953fb","iCat")</x:f>
      </x:c>
      <x:c r="M2639" s="0" t="s">
        <x:v>21</x:v>
      </x:c>
      <x:c r="N2639" s="0" t="s">
        <x:v>46</x:v>
      </x:c>
    </x:row>
    <x:row r="2640" spans="1:16">
      <x:c r="A2640" s="0" t="s">
        <x:v>10397</x:v>
      </x:c>
      <x:c r="B2640" s="0" t="s">
        <x:v>10398</x:v>
      </x:c>
      <x:c r="C2640" s="0" t="s">
        <x:v>10399</x:v>
      </x:c>
      <x:c r="E2640" s="0" t="s">
        <x:v>10400</x:v>
      </x:c>
      <x:c r="F2640" s="0" t="s">
        <x:v>45</x:v>
      </x:c>
      <x:c r="G2640" s="0" t="s">
        <x:v>19</x:v>
      </x:c>
      <x:c r="H2640" s="0" t="s">
        <x:v>20</x:v>
      </x:c>
      <x:c r="I2640" s="0" t="s">
        <x:v>21</x:v>
      </x:c>
      <x:c r="K2640" s="0">
        <x:f>hyperlink("https://icd.who.int/dev11/l-ichi/en#/http%3A%2F%2Fid.who.int%2Ficd%2Fentity%2F1346951510","browser")</x:f>
      </x:c>
      <x:c r="L2640" s="0">
        <x:f>hyperlink("https://icat2.azurewebsites.net/icat/?ontology=ICD&amp;tab=ClassesTab&amp;id=http%3A%2F%2Fwho.int%2Ficd%231267_94acc4f6_b696_4796_914a_62879ddd4f65","iCat")</x:f>
      </x:c>
      <x:c r="M2640" s="0" t="s">
        <x:v>21</x:v>
      </x:c>
      <x:c r="N2640" s="0" t="s">
        <x:v>46</x:v>
      </x:c>
    </x:row>
    <x:row r="2641" spans="1:16">
      <x:c r="A2641" s="0" t="s">
        <x:v>10401</x:v>
      </x:c>
      <x:c r="B2641" s="0" t="s">
        <x:v>10402</x:v>
      </x:c>
      <x:c r="D2641" s="0" t="s">
        <x:v>10403</x:v>
      </x:c>
      <x:c r="E2641" s="0" t="s">
        <x:v>10404</x:v>
      </x:c>
      <x:c r="F2641" s="0" t="s">
        <x:v>26</x:v>
      </x:c>
      <x:c r="G2641" s="0" t="s">
        <x:v>22</x:v>
      </x:c>
      <x:c r="H2641" s="0" t="s">
        <x:v>20</x:v>
      </x:c>
      <x:c r="I2641" s="0" t="s">
        <x:v>21</x:v>
      </x:c>
      <x:c r="K2641" s="0">
        <x:f>hyperlink("https://icd.who.int/dev11/l-ichi/en#/http%3A%2F%2Fid.who.int%2Ficd%2Fentity%2F1819377038","browser")</x:f>
      </x:c>
      <x:c r="L2641" s="0">
        <x:f>hyperlink("https://icat2.azurewebsites.net/icat/?ontology=ICD&amp;tab=ClassesTab&amp;id=http%3A%2F%2Fwho.int%2Ficd%2311099_512ebf36_bf6b_4d70_85da_cf2637062af4","iCat")</x:f>
      </x:c>
      <x:c r="M2641" s="0" t="s">
        <x:v>20</x:v>
      </x:c>
      <x:c r="N2641" s="0" t="s">
        <x:v>10405</x:v>
      </x:c>
    </x:row>
    <x:row r="2642" spans="1:16">
      <x:c r="A2642" s="0" t="s">
        <x:v>10406</x:v>
      </x:c>
      <x:c r="B2642" s="0" t="s">
        <x:v>10407</x:v>
      </x:c>
      <x:c r="C2642" s="0" t="s">
        <x:v>10408</x:v>
      </x:c>
      <x:c r="E2642" s="0" t="s">
        <x:v>10409</x:v>
      </x:c>
      <x:c r="F2642" s="0" t="s">
        <x:v>45</x:v>
      </x:c>
      <x:c r="G2642" s="0" t="s">
        <x:v>19</x:v>
      </x:c>
      <x:c r="H2642" s="0" t="s">
        <x:v>20</x:v>
      </x:c>
      <x:c r="I2642" s="0" t="s">
        <x:v>21</x:v>
      </x:c>
      <x:c r="K2642" s="0">
        <x:f>hyperlink("https://icd.who.int/dev11/l-ichi/en#/http%3A%2F%2Fid.who.int%2Ficd%2Fentity%2F1283985328","browser")</x:f>
      </x:c>
      <x:c r="L2642" s="0">
        <x:f>hyperlink("https://icat2.azurewebsites.net/icat/?ontology=ICD&amp;tab=ClassesTab&amp;id=http%3A%2F%2Fwho.int%2Ficd%2311098_512ebf36_bf6b_4d70_85da_cf2637062af4","iCat")</x:f>
      </x:c>
      <x:c r="M2642" s="0" t="s">
        <x:v>21</x:v>
      </x:c>
      <x:c r="N2642" s="0" t="s">
        <x:v>46</x:v>
      </x:c>
    </x:row>
    <x:row r="2643" spans="1:16">
      <x:c r="A2643" s="0" t="s">
        <x:v>10410</x:v>
      </x:c>
      <x:c r="B2643" s="0" t="s">
        <x:v>10411</x:v>
      </x:c>
      <x:c r="C2643" s="0" t="s">
        <x:v>10412</x:v>
      </x:c>
      <x:c r="E2643" s="0" t="s">
        <x:v>10413</x:v>
      </x:c>
      <x:c r="F2643" s="0" t="s">
        <x:v>45</x:v>
      </x:c>
      <x:c r="G2643" s="0" t="s">
        <x:v>19</x:v>
      </x:c>
      <x:c r="H2643" s="0" t="s">
        <x:v>20</x:v>
      </x:c>
      <x:c r="I2643" s="0" t="s">
        <x:v>21</x:v>
      </x:c>
      <x:c r="K2643" s="0">
        <x:f>hyperlink("https://icd.who.int/dev11/l-ichi/en#/http%3A%2F%2Fid.who.int%2Ficd%2Fentity%2F1755832766","browser")</x:f>
      </x:c>
      <x:c r="L2643" s="0">
        <x:f>hyperlink("https://icat2.azurewebsites.net/icat/?ontology=ICD&amp;tab=ClassesTab&amp;id=http%3A%2F%2Fwho.int%2Ficd%2311110_512ebf36_bf6b_4d70_85da_cf2637062af4","iCat")</x:f>
      </x:c>
      <x:c r="M2643" s="0" t="s">
        <x:v>21</x:v>
      </x:c>
      <x:c r="N2643" s="0" t="s">
        <x:v>46</x:v>
      </x:c>
    </x:row>
    <x:row r="2644" spans="1:16">
      <x:c r="A2644" s="0" t="s">
        <x:v>10414</x:v>
      </x:c>
      <x:c r="B2644" s="0" t="s">
        <x:v>10415</x:v>
      </x:c>
      <x:c r="C2644" s="0" t="s">
        <x:v>10416</x:v>
      </x:c>
      <x:c r="E2644" s="0" t="s">
        <x:v>10417</x:v>
      </x:c>
      <x:c r="F2644" s="0" t="s">
        <x:v>45</x:v>
      </x:c>
      <x:c r="G2644" s="0" t="s">
        <x:v>19</x:v>
      </x:c>
      <x:c r="H2644" s="0" t="s">
        <x:v>20</x:v>
      </x:c>
      <x:c r="I2644" s="0" t="s">
        <x:v>21</x:v>
      </x:c>
      <x:c r="K2644" s="0">
        <x:f>hyperlink("https://icd.who.int/dev11/l-ichi/en#/http%3A%2F%2Fid.who.int%2Ficd%2Fentity%2F405097009","browser")</x:f>
      </x:c>
      <x:c r="L2644" s="0">
        <x:f>hyperlink("https://icat2.azurewebsites.net/icat/?ontology=ICD&amp;tab=ClassesTab&amp;id=http%3A%2F%2Fwho.int%2Ficd%2311117_512ebf36_bf6b_4d70_85da_cf2637062af4","iCat")</x:f>
      </x:c>
      <x:c r="M2644" s="0" t="s">
        <x:v>21</x:v>
      </x:c>
      <x:c r="N2644" s="0" t="s">
        <x:v>46</x:v>
      </x:c>
    </x:row>
    <x:row r="2645" spans="1:16">
      <x:c r="A2645" s="0" t="s">
        <x:v>10418</x:v>
      </x:c>
      <x:c r="B2645" s="0" t="s">
        <x:v>10419</x:v>
      </x:c>
      <x:c r="C2645" s="0" t="s">
        <x:v>10420</x:v>
      </x:c>
      <x:c r="E2645" s="0" t="s">
        <x:v>10421</x:v>
      </x:c>
      <x:c r="F2645" s="0" t="s">
        <x:v>45</x:v>
      </x:c>
      <x:c r="G2645" s="0" t="s">
        <x:v>19</x:v>
      </x:c>
      <x:c r="H2645" s="0" t="s">
        <x:v>20</x:v>
      </x:c>
      <x:c r="I2645" s="0" t="s">
        <x:v>21</x:v>
      </x:c>
      <x:c r="K2645" s="0">
        <x:f>hyperlink("https://icd.who.int/dev11/l-ichi/en#/http%3A%2F%2Fid.who.int%2Ficd%2Fentity%2F1038620659","browser")</x:f>
      </x:c>
      <x:c r="L2645" s="0">
        <x:f>hyperlink("https://icat2.azurewebsites.net/icat/?ontology=ICD&amp;tab=ClassesTab&amp;id=http%3A%2F%2Fwho.int%2Ficd%2311125_512ebf36_bf6b_4d70_85da_cf2637062af4","iCat")</x:f>
      </x:c>
      <x:c r="M2645" s="0" t="s">
        <x:v>21</x:v>
      </x:c>
      <x:c r="N2645" s="0" t="s">
        <x:v>46</x:v>
      </x:c>
    </x:row>
    <x:row r="2646" spans="1:16">
      <x:c r="A2646" s="0" t="s">
        <x:v>10422</x:v>
      </x:c>
      <x:c r="B2646" s="0" t="s">
        <x:v>10423</x:v>
      </x:c>
      <x:c r="C2646" s="0" t="s">
        <x:v>10424</x:v>
      </x:c>
      <x:c r="E2646" s="0" t="s">
        <x:v>10425</x:v>
      </x:c>
      <x:c r="F2646" s="0" t="s">
        <x:v>45</x:v>
      </x:c>
      <x:c r="G2646" s="0" t="s">
        <x:v>19</x:v>
      </x:c>
      <x:c r="H2646" s="0" t="s">
        <x:v>20</x:v>
      </x:c>
      <x:c r="I2646" s="0" t="s">
        <x:v>21</x:v>
      </x:c>
      <x:c r="K2646" s="0">
        <x:f>hyperlink("https://icd.who.int/dev11/l-ichi/en#/http%3A%2F%2Fid.who.int%2Ficd%2Fentity%2F1646937810","browser")</x:f>
      </x:c>
      <x:c r="L2646" s="0">
        <x:f>hyperlink("https://icat2.azurewebsites.net/icat/?ontology=ICD&amp;tab=ClassesTab&amp;id=http%3A%2F%2Fwho.int%2Ficd%2311131_512ebf36_bf6b_4d70_85da_cf2637062af4","iCat")</x:f>
      </x:c>
      <x:c r="M2646" s="0" t="s">
        <x:v>21</x:v>
      </x:c>
      <x:c r="N2646" s="0" t="s">
        <x:v>46</x:v>
      </x:c>
    </x:row>
    <x:row r="2647" spans="1:16">
      <x:c r="A2647" s="0" t="s">
        <x:v>10426</x:v>
      </x:c>
      <x:c r="B2647" s="0" t="s">
        <x:v>10427</x:v>
      </x:c>
      <x:c r="C2647" s="0" t="s">
        <x:v>10428</x:v>
      </x:c>
      <x:c r="E2647" s="0" t="s">
        <x:v>10429</x:v>
      </x:c>
      <x:c r="F2647" s="0" t="s">
        <x:v>45</x:v>
      </x:c>
      <x:c r="G2647" s="0" t="s">
        <x:v>19</x:v>
      </x:c>
      <x:c r="H2647" s="0" t="s">
        <x:v>20</x:v>
      </x:c>
      <x:c r="I2647" s="0" t="s">
        <x:v>21</x:v>
      </x:c>
      <x:c r="K2647" s="0">
        <x:f>hyperlink("https://icd.who.int/dev11/l-ichi/en#/http%3A%2F%2Fid.who.int%2Ficd%2Fentity%2F1494188019","browser")</x:f>
      </x:c>
      <x:c r="L2647" s="0">
        <x:f>hyperlink("https://icat2.azurewebsites.net/icat/?ontology=ICD&amp;tab=ClassesTab&amp;id=http%3A%2F%2Fwho.int%2Ficd%2314833_4869915e_217e_423d_acb3_33c0f920ef4b","iCat")</x:f>
      </x:c>
      <x:c r="M2647" s="0" t="s">
        <x:v>21</x:v>
      </x:c>
      <x:c r="N2647" s="0" t="s">
        <x:v>46</x:v>
      </x:c>
    </x:row>
    <x:row r="2648" spans="1:16">
      <x:c r="A2648" s="0" t="s">
        <x:v>10430</x:v>
      </x:c>
      <x:c r="B2648" s="0" t="s">
        <x:v>10431</x:v>
      </x:c>
      <x:c r="C2648" s="0" t="s">
        <x:v>10432</x:v>
      </x:c>
      <x:c r="E2648" s="0" t="s">
        <x:v>10433</x:v>
      </x:c>
      <x:c r="F2648" s="0" t="s">
        <x:v>45</x:v>
      </x:c>
      <x:c r="G2648" s="0" t="s">
        <x:v>19</x:v>
      </x:c>
      <x:c r="H2648" s="0" t="s">
        <x:v>20</x:v>
      </x:c>
      <x:c r="I2648" s="0" t="s">
        <x:v>21</x:v>
      </x:c>
      <x:c r="K2648" s="0">
        <x:f>hyperlink("https://icd.who.int/dev11/l-ichi/en#/http%3A%2F%2Fid.who.int%2Ficd%2Fentity%2F1928467299","browser")</x:f>
      </x:c>
      <x:c r="L2648" s="0">
        <x:f>hyperlink("https://icat2.azurewebsites.net/icat/?ontology=ICD&amp;tab=ClassesTab&amp;id=http%3A%2F%2Fwho.int%2Ficd%2314839_4869915e_217e_423d_acb3_33c0f920ef4b","iCat")</x:f>
      </x:c>
      <x:c r="M2648" s="0" t="s">
        <x:v>21</x:v>
      </x:c>
      <x:c r="N2648" s="0" t="s">
        <x:v>46</x:v>
      </x:c>
    </x:row>
    <x:row r="2649" spans="1:16">
      <x:c r="A2649" s="0" t="s">
        <x:v>10434</x:v>
      </x:c>
      <x:c r="B2649" s="0" t="s">
        <x:v>10435</x:v>
      </x:c>
      <x:c r="C2649" s="0" t="s">
        <x:v>10436</x:v>
      </x:c>
      <x:c r="E2649" s="0" t="s">
        <x:v>10437</x:v>
      </x:c>
      <x:c r="F2649" s="0" t="s">
        <x:v>45</x:v>
      </x:c>
      <x:c r="G2649" s="0" t="s">
        <x:v>19</x:v>
      </x:c>
      <x:c r="H2649" s="0" t="s">
        <x:v>20</x:v>
      </x:c>
      <x:c r="I2649" s="0" t="s">
        <x:v>21</x:v>
      </x:c>
      <x:c r="K2649" s="0">
        <x:f>hyperlink("https://icd.who.int/dev11/l-ichi/en#/http%3A%2F%2Fid.who.int%2Ficd%2Fentity%2F1451341999","browser")</x:f>
      </x:c>
      <x:c r="L2649" s="0">
        <x:f>hyperlink("https://icat2.azurewebsites.net/icat/?ontology=ICD&amp;tab=ClassesTab&amp;id=http%3A%2F%2Fwho.int%2Ficd%232255_97087496_4a82_4efa_a45a_b3256f81bd7e","iCat")</x:f>
      </x:c>
      <x:c r="M2649" s="0" t="s">
        <x:v>21</x:v>
      </x:c>
      <x:c r="N2649" s="0" t="s">
        <x:v>46</x:v>
      </x:c>
    </x:row>
    <x:row r="2650" spans="1:16">
      <x:c r="A2650" s="0" t="s">
        <x:v>10438</x:v>
      </x:c>
      <x:c r="B2650" s="0" t="s">
        <x:v>10439</x:v>
      </x:c>
      <x:c r="C2650" s="0" t="s">
        <x:v>10440</x:v>
      </x:c>
      <x:c r="E2650" s="0" t="s">
        <x:v>10441</x:v>
      </x:c>
      <x:c r="F2650" s="0" t="s">
        <x:v>45</x:v>
      </x:c>
      <x:c r="G2650" s="0" t="s">
        <x:v>19</x:v>
      </x:c>
      <x:c r="H2650" s="0" t="s">
        <x:v>20</x:v>
      </x:c>
      <x:c r="I2650" s="0" t="s">
        <x:v>21</x:v>
      </x:c>
      <x:c r="K2650" s="0">
        <x:f>hyperlink("https://icd.who.int/dev11/l-ichi/en#/http%3A%2F%2Fid.who.int%2Ficd%2Fentity%2F844210017","browser")</x:f>
      </x:c>
      <x:c r="L2650" s="0">
        <x:f>hyperlink("https://icat2.azurewebsites.net/icat/?ontology=ICD&amp;tab=ClassesTab&amp;id=http%3A%2F%2Fwho.int%2Ficd%2311137_512ebf36_bf6b_4d70_85da_cf2637062af4","iCat")</x:f>
      </x:c>
      <x:c r="M2650" s="0" t="s">
        <x:v>21</x:v>
      </x:c>
      <x:c r="N2650" s="0" t="s">
        <x:v>46</x:v>
      </x:c>
    </x:row>
    <x:row r="2651" spans="1:16">
      <x:c r="A2651" s="0" t="s">
        <x:v>10442</x:v>
      </x:c>
      <x:c r="B2651" s="0" t="s">
        <x:v>10443</x:v>
      </x:c>
      <x:c r="C2651" s="0" t="s">
        <x:v>10444</x:v>
      </x:c>
      <x:c r="E2651" s="0" t="s">
        <x:v>10445</x:v>
      </x:c>
      <x:c r="F2651" s="0" t="s">
        <x:v>45</x:v>
      </x:c>
      <x:c r="G2651" s="0" t="s">
        <x:v>19</x:v>
      </x:c>
      <x:c r="H2651" s="0" t="s">
        <x:v>20</x:v>
      </x:c>
      <x:c r="I2651" s="0" t="s">
        <x:v>21</x:v>
      </x:c>
      <x:c r="K2651" s="0">
        <x:f>hyperlink("https://icd.who.int/dev11/l-ichi/en#/http%3A%2F%2Fid.who.int%2Ficd%2Fentity%2F931153935","browser")</x:f>
      </x:c>
      <x:c r="L2651" s="0">
        <x:f>hyperlink("https://icat2.azurewebsites.net/icat/?ontology=ICD&amp;tab=ClassesTab&amp;id=http%3A%2F%2Fwho.int%2Ficd%2311143_512ebf36_bf6b_4d70_85da_cf2637062af4","iCat")</x:f>
      </x:c>
      <x:c r="M2651" s="0" t="s">
        <x:v>21</x:v>
      </x:c>
      <x:c r="N2651" s="0" t="s">
        <x:v>46</x:v>
      </x:c>
    </x:row>
    <x:row r="2652" spans="1:16">
      <x:c r="A2652" s="0" t="s">
        <x:v>10446</x:v>
      </x:c>
      <x:c r="B2652" s="0" t="s">
        <x:v>10447</x:v>
      </x:c>
      <x:c r="C2652" s="0" t="s">
        <x:v>10448</x:v>
      </x:c>
      <x:c r="E2652" s="0" t="s">
        <x:v>10449</x:v>
      </x:c>
      <x:c r="F2652" s="0" t="s">
        <x:v>45</x:v>
      </x:c>
      <x:c r="G2652" s="0" t="s">
        <x:v>19</x:v>
      </x:c>
      <x:c r="H2652" s="0" t="s">
        <x:v>20</x:v>
      </x:c>
      <x:c r="I2652" s="0" t="s">
        <x:v>21</x:v>
      </x:c>
      <x:c r="K2652" s="0">
        <x:f>hyperlink("https://icd.who.int/dev11/l-ichi/en#/http%3A%2F%2Fid.who.int%2Ficd%2Fentity%2F477963423","browser")</x:f>
      </x:c>
      <x:c r="L2652" s="0">
        <x:f>hyperlink("https://icat2.azurewebsites.net/icat/?ontology=ICD&amp;tab=ClassesTab&amp;id=http%3A%2F%2Fwho.int%2Ficd%2311149_512ebf36_bf6b_4d70_85da_cf2637062af4","iCat")</x:f>
      </x:c>
      <x:c r="M2652" s="0" t="s">
        <x:v>21</x:v>
      </x:c>
      <x:c r="N2652" s="0" t="s">
        <x:v>46</x:v>
      </x:c>
    </x:row>
    <x:row r="2653" spans="1:16">
      <x:c r="A2653" s="0" t="s">
        <x:v>10450</x:v>
      </x:c>
      <x:c r="B2653" s="0" t="s">
        <x:v>10451</x:v>
      </x:c>
      <x:c r="C2653" s="0" t="s">
        <x:v>10452</x:v>
      </x:c>
      <x:c r="E2653" s="0" t="s">
        <x:v>10453</x:v>
      </x:c>
      <x:c r="F2653" s="0" t="s">
        <x:v>45</x:v>
      </x:c>
      <x:c r="G2653" s="0" t="s">
        <x:v>19</x:v>
      </x:c>
      <x:c r="H2653" s="0" t="s">
        <x:v>20</x:v>
      </x:c>
      <x:c r="I2653" s="0" t="s">
        <x:v>21</x:v>
      </x:c>
      <x:c r="K2653" s="0">
        <x:f>hyperlink("https://icd.who.int/dev11/l-ichi/en#/http%3A%2F%2Fid.who.int%2Ficd%2Fentity%2F222168297","browser")</x:f>
      </x:c>
      <x:c r="L2653" s="0">
        <x:f>hyperlink("https://icat2.azurewebsites.net/icat/?ontology=ICD&amp;tab=ClassesTab&amp;id=http%3A%2F%2Fwho.int%2Ficd%2311155_512ebf36_bf6b_4d70_85da_cf2637062af4","iCat")</x:f>
      </x:c>
      <x:c r="M2653" s="0" t="s">
        <x:v>21</x:v>
      </x:c>
      <x:c r="N2653" s="0" t="s">
        <x:v>46</x:v>
      </x:c>
    </x:row>
    <x:row r="2654" spans="1:16">
      <x:c r="A2654" s="0" t="s">
        <x:v>10454</x:v>
      </x:c>
      <x:c r="B2654" s="0" t="s">
        <x:v>10455</x:v>
      </x:c>
      <x:c r="C2654" s="0" t="s">
        <x:v>10456</x:v>
      </x:c>
      <x:c r="E2654" s="0" t="s">
        <x:v>10457</x:v>
      </x:c>
      <x:c r="F2654" s="0" t="s">
        <x:v>45</x:v>
      </x:c>
      <x:c r="G2654" s="0" t="s">
        <x:v>19</x:v>
      </x:c>
      <x:c r="H2654" s="0" t="s">
        <x:v>20</x:v>
      </x:c>
      <x:c r="I2654" s="0" t="s">
        <x:v>21</x:v>
      </x:c>
      <x:c r="K2654" s="0">
        <x:f>hyperlink("https://icd.who.int/dev11/l-ichi/en#/http%3A%2F%2Fid.who.int%2Ficd%2Fentity%2F2022211740","browser")</x:f>
      </x:c>
      <x:c r="L2654" s="0">
        <x:f>hyperlink("https://icat2.azurewebsites.net/icat/?ontology=ICD&amp;tab=ClassesTab&amp;id=http%3A%2F%2Fwho.int%2Ficd%2311161_512ebf36_bf6b_4d70_85da_cf2637062af4","iCat")</x:f>
      </x:c>
      <x:c r="M2654" s="0" t="s">
        <x:v>21</x:v>
      </x:c>
      <x:c r="N2654" s="0" t="s">
        <x:v>46</x:v>
      </x:c>
    </x:row>
    <x:row r="2655" spans="1:16">
      <x:c r="A2655" s="0" t="s">
        <x:v>10458</x:v>
      </x:c>
      <x:c r="B2655" s="0" t="s">
        <x:v>10459</x:v>
      </x:c>
      <x:c r="C2655" s="0" t="s">
        <x:v>10460</x:v>
      </x:c>
      <x:c r="E2655" s="0" t="s">
        <x:v>10461</x:v>
      </x:c>
      <x:c r="F2655" s="0" t="s">
        <x:v>45</x:v>
      </x:c>
      <x:c r="G2655" s="0" t="s">
        <x:v>19</x:v>
      </x:c>
      <x:c r="H2655" s="0" t="s">
        <x:v>20</x:v>
      </x:c>
      <x:c r="I2655" s="0" t="s">
        <x:v>21</x:v>
      </x:c>
      <x:c r="K2655" s="0">
        <x:f>hyperlink("https://icd.who.int/dev11/l-ichi/en#/http%3A%2F%2Fid.who.int%2Ficd%2Fentity%2F384861171","browser")</x:f>
      </x:c>
      <x:c r="L2655" s="0">
        <x:f>hyperlink("https://icat2.azurewebsites.net/icat/?ontology=ICD&amp;tab=ClassesTab&amp;id=http%3A%2F%2Fwho.int%2Ficd%2311168_512ebf36_bf6b_4d70_85da_cf2637062af4","iCat")</x:f>
      </x:c>
      <x:c r="M2655" s="0" t="s">
        <x:v>21</x:v>
      </x:c>
      <x:c r="N2655" s="0" t="s">
        <x:v>46</x:v>
      </x:c>
    </x:row>
    <x:row r="2656" spans="1:16">
      <x:c r="A2656" s="0" t="s">
        <x:v>10462</x:v>
      </x:c>
      <x:c r="B2656" s="0" t="s">
        <x:v>10463</x:v>
      </x:c>
      <x:c r="C2656" s="0" t="s">
        <x:v>10464</x:v>
      </x:c>
      <x:c r="E2656" s="0" t="s">
        <x:v>10465</x:v>
      </x:c>
      <x:c r="F2656" s="0" t="s">
        <x:v>45</x:v>
      </x:c>
      <x:c r="G2656" s="0" t="s">
        <x:v>19</x:v>
      </x:c>
      <x:c r="H2656" s="0" t="s">
        <x:v>20</x:v>
      </x:c>
      <x:c r="I2656" s="0" t="s">
        <x:v>21</x:v>
      </x:c>
      <x:c r="K2656" s="0">
        <x:f>hyperlink("https://icd.who.int/dev11/l-ichi/en#/http%3A%2F%2Fid.who.int%2Ficd%2Fentity%2F129213317","browser")</x:f>
      </x:c>
      <x:c r="L2656" s="0">
        <x:f>hyperlink("https://icat2.azurewebsites.net/icat/?ontology=ICD&amp;tab=ClassesTab&amp;id=http%3A%2F%2Fwho.int%2Ficd%2311174_512ebf36_bf6b_4d70_85da_cf2637062af4","iCat")</x:f>
      </x:c>
      <x:c r="M2656" s="0" t="s">
        <x:v>21</x:v>
      </x:c>
      <x:c r="N2656" s="0" t="s">
        <x:v>46</x:v>
      </x:c>
    </x:row>
    <x:row r="2657" spans="1:16">
      <x:c r="A2657" s="0" t="s">
        <x:v>10466</x:v>
      </x:c>
      <x:c r="B2657" s="0" t="s">
        <x:v>10467</x:v>
      </x:c>
      <x:c r="C2657" s="0" t="s">
        <x:v>10468</x:v>
      </x:c>
      <x:c r="E2657" s="0" t="s">
        <x:v>10469</x:v>
      </x:c>
      <x:c r="F2657" s="0" t="s">
        <x:v>45</x:v>
      </x:c>
      <x:c r="G2657" s="0" t="s">
        <x:v>19</x:v>
      </x:c>
      <x:c r="H2657" s="0" t="s">
        <x:v>20</x:v>
      </x:c>
      <x:c r="I2657" s="0" t="s">
        <x:v>21</x:v>
      </x:c>
      <x:c r="K2657" s="0">
        <x:f>hyperlink("https://icd.who.int/dev11/l-ichi/en#/http%3A%2F%2Fid.who.int%2Ficd%2Fentity%2F491990319","browser")</x:f>
      </x:c>
      <x:c r="L2657" s="0">
        <x:f>hyperlink("https://icat2.azurewebsites.net/icat/?ontology=ICD&amp;tab=ClassesTab&amp;id=http%3A%2F%2Fwho.int%2Ficd%2311180_512ebf36_bf6b_4d70_85da_cf2637062af4","iCat")</x:f>
      </x:c>
      <x:c r="M2657" s="0" t="s">
        <x:v>21</x:v>
      </x:c>
      <x:c r="N2657" s="0" t="s">
        <x:v>46</x:v>
      </x:c>
    </x:row>
    <x:row r="2658" spans="1:16">
      <x:c r="A2658" s="0" t="s">
        <x:v>10470</x:v>
      </x:c>
      <x:c r="B2658" s="0" t="s">
        <x:v>10471</x:v>
      </x:c>
      <x:c r="C2658" s="0" t="s">
        <x:v>10472</x:v>
      </x:c>
      <x:c r="E2658" s="0" t="s">
        <x:v>10473</x:v>
      </x:c>
      <x:c r="F2658" s="0" t="s">
        <x:v>45</x:v>
      </x:c>
      <x:c r="G2658" s="0" t="s">
        <x:v>19</x:v>
      </x:c>
      <x:c r="H2658" s="0" t="s">
        <x:v>20</x:v>
      </x:c>
      <x:c r="I2658" s="0" t="s">
        <x:v>21</x:v>
      </x:c>
      <x:c r="K2658" s="0">
        <x:f>hyperlink("https://icd.who.int/dev11/l-ichi/en#/http%3A%2F%2Fid.who.int%2Ficd%2Fentity%2F1294529696","browser")</x:f>
      </x:c>
      <x:c r="L2658" s="0">
        <x:f>hyperlink("https://icat2.azurewebsites.net/icat/?ontology=ICD&amp;tab=ClassesTab&amp;id=http%3A%2F%2Fwho.int%2Ficd%2311186_512ebf36_bf6b_4d70_85da_cf2637062af4","iCat")</x:f>
      </x:c>
      <x:c r="M2658" s="0" t="s">
        <x:v>21</x:v>
      </x:c>
      <x:c r="N2658" s="0" t="s">
        <x:v>46</x:v>
      </x:c>
    </x:row>
    <x:row r="2659" spans="1:16">
      <x:c r="A2659" s="0" t="s">
        <x:v>10474</x:v>
      </x:c>
      <x:c r="B2659" s="0" t="s">
        <x:v>10475</x:v>
      </x:c>
      <x:c r="C2659" s="0" t="s">
        <x:v>10476</x:v>
      </x:c>
      <x:c r="E2659" s="0" t="s">
        <x:v>10477</x:v>
      </x:c>
      <x:c r="F2659" s="0" t="s">
        <x:v>45</x:v>
      </x:c>
      <x:c r="G2659" s="0" t="s">
        <x:v>19</x:v>
      </x:c>
      <x:c r="H2659" s="0" t="s">
        <x:v>20</x:v>
      </x:c>
      <x:c r="I2659" s="0" t="s">
        <x:v>21</x:v>
      </x:c>
      <x:c r="K2659" s="0">
        <x:f>hyperlink("https://icd.who.int/dev11/l-ichi/en#/http%3A%2F%2Fid.who.int%2Ficd%2Fentity%2F840161153","browser")</x:f>
      </x:c>
      <x:c r="L2659" s="0">
        <x:f>hyperlink("https://icat2.azurewebsites.net/icat/?ontology=ICD&amp;tab=ClassesTab&amp;id=http%3A%2F%2Fwho.int%2Ficd%2311193_512ebf36_bf6b_4d70_85da_cf2637062af4","iCat")</x:f>
      </x:c>
      <x:c r="M2659" s="0" t="s">
        <x:v>21</x:v>
      </x:c>
      <x:c r="N2659" s="0" t="s">
        <x:v>46</x:v>
      </x:c>
    </x:row>
    <x:row r="2660" spans="1:16">
      <x:c r="A2660" s="0" t="s">
        <x:v>10478</x:v>
      </x:c>
      <x:c r="B2660" s="0" t="s">
        <x:v>10479</x:v>
      </x:c>
      <x:c r="C2660" s="0" t="s">
        <x:v>10480</x:v>
      </x:c>
      <x:c r="E2660" s="0" t="s">
        <x:v>10481</x:v>
      </x:c>
      <x:c r="F2660" s="0" t="s">
        <x:v>45</x:v>
      </x:c>
      <x:c r="G2660" s="0" t="s">
        <x:v>19</x:v>
      </x:c>
      <x:c r="H2660" s="0" t="s">
        <x:v>20</x:v>
      </x:c>
      <x:c r="I2660" s="0" t="s">
        <x:v>21</x:v>
      </x:c>
      <x:c r="K2660" s="0">
        <x:f>hyperlink("https://icd.who.int/dev11/l-ichi/en#/http%3A%2F%2Fid.who.int%2Ficd%2Fentity%2F435075857","browser")</x:f>
      </x:c>
      <x:c r="L2660" s="0">
        <x:f>hyperlink("https://icat2.azurewebsites.net/icat/?ontology=ICD&amp;tab=ClassesTab&amp;id=http%3A%2F%2Fwho.int%2Ficd%2311199_512ebf36_bf6b_4d70_85da_cf2637062af4","iCat")</x:f>
      </x:c>
      <x:c r="M2660" s="0" t="s">
        <x:v>21</x:v>
      </x:c>
      <x:c r="N2660" s="0" t="s">
        <x:v>46</x:v>
      </x:c>
    </x:row>
    <x:row r="2661" spans="1:16">
      <x:c r="A2661" s="0" t="s">
        <x:v>10482</x:v>
      </x:c>
      <x:c r="B2661" s="0" t="s">
        <x:v>10483</x:v>
      </x:c>
      <x:c r="C2661" s="0" t="s">
        <x:v>10484</x:v>
      </x:c>
      <x:c r="E2661" s="0" t="s">
        <x:v>10485</x:v>
      </x:c>
      <x:c r="F2661" s="0" t="s">
        <x:v>45</x:v>
      </x:c>
      <x:c r="G2661" s="0" t="s">
        <x:v>19</x:v>
      </x:c>
      <x:c r="H2661" s="0" t="s">
        <x:v>20</x:v>
      </x:c>
      <x:c r="I2661" s="0" t="s">
        <x:v>21</x:v>
      </x:c>
      <x:c r="K2661" s="0">
        <x:f>hyperlink("https://icd.who.int/dev11/l-ichi/en#/http%3A%2F%2Fid.who.int%2Ficd%2Fentity%2F1992521466","browser")</x:f>
      </x:c>
      <x:c r="L2661" s="0">
        <x:f>hyperlink("https://icat2.azurewebsites.net/icat/?ontology=ICD&amp;tab=ClassesTab&amp;id=http%3A%2F%2Fwho.int%2Ficd%2311205_512ebf36_bf6b_4d70_85da_cf2637062af4","iCat")</x:f>
      </x:c>
      <x:c r="M2661" s="0" t="s">
        <x:v>21</x:v>
      </x:c>
      <x:c r="N2661" s="0" t="s">
        <x:v>46</x:v>
      </x:c>
    </x:row>
    <x:row r="2662" spans="1:16">
      <x:c r="A2662" s="0" t="s">
        <x:v>10486</x:v>
      </x:c>
      <x:c r="B2662" s="0" t="s">
        <x:v>10487</x:v>
      </x:c>
      <x:c r="C2662" s="0" t="s">
        <x:v>10488</x:v>
      </x:c>
      <x:c r="E2662" s="0" t="s">
        <x:v>10489</x:v>
      </x:c>
      <x:c r="F2662" s="0" t="s">
        <x:v>45</x:v>
      </x:c>
      <x:c r="G2662" s="0" t="s">
        <x:v>19</x:v>
      </x:c>
      <x:c r="H2662" s="0" t="s">
        <x:v>20</x:v>
      </x:c>
      <x:c r="I2662" s="0" t="s">
        <x:v>21</x:v>
      </x:c>
      <x:c r="K2662" s="0">
        <x:f>hyperlink("https://icd.who.int/dev11/l-ichi/en#/http%3A%2F%2Fid.who.int%2Ficd%2Fentity%2F687941593","browser")</x:f>
      </x:c>
      <x:c r="L2662" s="0">
        <x:f>hyperlink("https://icat2.azurewebsites.net/icat/?ontology=ICD&amp;tab=ClassesTab&amp;id=http%3A%2F%2Fwho.int%2Ficd%2311211_512ebf36_bf6b_4d70_85da_cf2637062af4","iCat")</x:f>
      </x:c>
      <x:c r="M2662" s="0" t="s">
        <x:v>21</x:v>
      </x:c>
      <x:c r="N2662" s="0" t="s">
        <x:v>46</x:v>
      </x:c>
    </x:row>
    <x:row r="2663" spans="1:16">
      <x:c r="A2663" s="0" t="s">
        <x:v>10490</x:v>
      </x:c>
      <x:c r="B2663" s="0" t="s">
        <x:v>10491</x:v>
      </x:c>
      <x:c r="C2663" s="0" t="s">
        <x:v>10492</x:v>
      </x:c>
      <x:c r="E2663" s="0" t="s">
        <x:v>10493</x:v>
      </x:c>
      <x:c r="F2663" s="0" t="s">
        <x:v>45</x:v>
      </x:c>
      <x:c r="G2663" s="0" t="s">
        <x:v>19</x:v>
      </x:c>
      <x:c r="H2663" s="0" t="s">
        <x:v>20</x:v>
      </x:c>
      <x:c r="I2663" s="0" t="s">
        <x:v>21</x:v>
      </x:c>
      <x:c r="K2663" s="0">
        <x:f>hyperlink("https://icd.who.int/dev11/l-ichi/en#/http%3A%2F%2Fid.who.int%2Ficd%2Fentity%2F1199121584","browser")</x:f>
      </x:c>
      <x:c r="L2663" s="0">
        <x:f>hyperlink("https://icat2.azurewebsites.net/icat/?ontology=ICD&amp;tab=ClassesTab&amp;id=http%3A%2F%2Fwho.int%2Ficd%2311218_512ebf36_bf6b_4d70_85da_cf2637062af4","iCat")</x:f>
      </x:c>
      <x:c r="M2663" s="0" t="s">
        <x:v>21</x:v>
      </x:c>
      <x:c r="N2663" s="0" t="s">
        <x:v>46</x:v>
      </x:c>
    </x:row>
    <x:row r="2664" spans="1:16">
      <x:c r="A2664" s="0" t="s">
        <x:v>10494</x:v>
      </x:c>
      <x:c r="B2664" s="0" t="s">
        <x:v>10495</x:v>
      </x:c>
      <x:c r="C2664" s="0" t="s">
        <x:v>10496</x:v>
      </x:c>
      <x:c r="E2664" s="0" t="s">
        <x:v>10497</x:v>
      </x:c>
      <x:c r="F2664" s="0" t="s">
        <x:v>45</x:v>
      </x:c>
      <x:c r="G2664" s="0" t="s">
        <x:v>19</x:v>
      </x:c>
      <x:c r="H2664" s="0" t="s">
        <x:v>20</x:v>
      </x:c>
      <x:c r="I2664" s="0" t="s">
        <x:v>21</x:v>
      </x:c>
      <x:c r="K2664" s="0">
        <x:f>hyperlink("https://icd.who.int/dev11/l-ichi/en#/http%3A%2F%2Fid.who.int%2Ficd%2Fentity%2F2085540246","browser")</x:f>
      </x:c>
      <x:c r="L2664" s="0">
        <x:f>hyperlink("https://icat2.azurewebsites.net/icat/?ontology=ICD&amp;tab=ClassesTab&amp;id=http%3A%2F%2Fwho.int%2Ficd%2311224_512ebf36_bf6b_4d70_85da_cf2637062af4","iCat")</x:f>
      </x:c>
      <x:c r="M2664" s="0" t="s">
        <x:v>21</x:v>
      </x:c>
      <x:c r="N2664" s="0" t="s">
        <x:v>46</x:v>
      </x:c>
    </x:row>
    <x:row r="2665" spans="1:16">
      <x:c r="A2665" s="0" t="s">
        <x:v>10498</x:v>
      </x:c>
      <x:c r="B2665" s="0" t="s">
        <x:v>10499</x:v>
      </x:c>
      <x:c r="C2665" s="0" t="s">
        <x:v>10500</x:v>
      </x:c>
      <x:c r="E2665" s="0" t="s">
        <x:v>10501</x:v>
      </x:c>
      <x:c r="F2665" s="0" t="s">
        <x:v>45</x:v>
      </x:c>
      <x:c r="G2665" s="0" t="s">
        <x:v>19</x:v>
      </x:c>
      <x:c r="H2665" s="0" t="s">
        <x:v>20</x:v>
      </x:c>
      <x:c r="I2665" s="0" t="s">
        <x:v>21</x:v>
      </x:c>
      <x:c r="K2665" s="0">
        <x:f>hyperlink("https://icd.who.int/dev11/l-ichi/en#/http%3A%2F%2Fid.who.int%2Ficd%2Fentity%2F801239910","browser")</x:f>
      </x:c>
      <x:c r="L2665" s="0">
        <x:f>hyperlink("https://icat2.azurewebsites.net/icat/?ontology=ICD&amp;tab=ClassesTab&amp;id=http%3A%2F%2Fwho.int%2Ficd%231397_d85a204c_d00a_4566_a3b7_2d137a1891cf","iCat")</x:f>
      </x:c>
      <x:c r="M2665" s="0" t="s">
        <x:v>21</x:v>
      </x:c>
      <x:c r="N2665" s="0" t="s">
        <x:v>46</x:v>
      </x:c>
    </x:row>
    <x:row r="2666" spans="1:16">
      <x:c r="A2666" s="0" t="s">
        <x:v>10502</x:v>
      </x:c>
      <x:c r="B2666" s="0" t="s">
        <x:v>10503</x:v>
      </x:c>
      <x:c r="C2666" s="0" t="s">
        <x:v>10504</x:v>
      </x:c>
      <x:c r="E2666" s="0" t="s">
        <x:v>10505</x:v>
      </x:c>
      <x:c r="F2666" s="0" t="s">
        <x:v>45</x:v>
      </x:c>
      <x:c r="G2666" s="0" t="s">
        <x:v>19</x:v>
      </x:c>
      <x:c r="H2666" s="0" t="s">
        <x:v>20</x:v>
      </x:c>
      <x:c r="I2666" s="0" t="s">
        <x:v>21</x:v>
      </x:c>
      <x:c r="K2666" s="0">
        <x:f>hyperlink("https://icd.who.int/dev11/l-ichi/en#/http%3A%2F%2Fid.who.int%2Ficd%2Fentity%2F56841199","browser")</x:f>
      </x:c>
      <x:c r="L2666" s="0">
        <x:f>hyperlink("https://icat2.azurewebsites.net/icat/?ontology=ICD&amp;tab=ClassesTab&amp;id=http%3A%2F%2Fwho.int%2Ficd%231403_d85a204c_d00a_4566_a3b7_2d137a1891cf","iCat")</x:f>
      </x:c>
      <x:c r="M2666" s="0" t="s">
        <x:v>21</x:v>
      </x:c>
      <x:c r="N2666" s="0" t="s">
        <x:v>46</x:v>
      </x:c>
    </x:row>
    <x:row r="2667" spans="1:16">
      <x:c r="A2667" s="0" t="s">
        <x:v>10506</x:v>
      </x:c>
      <x:c r="B2667" s="0" t="s">
        <x:v>10507</x:v>
      </x:c>
      <x:c r="C2667" s="0" t="s">
        <x:v>10508</x:v>
      </x:c>
      <x:c r="E2667" s="0" t="s">
        <x:v>10509</x:v>
      </x:c>
      <x:c r="F2667" s="0" t="s">
        <x:v>45</x:v>
      </x:c>
      <x:c r="G2667" s="0" t="s">
        <x:v>19</x:v>
      </x:c>
      <x:c r="H2667" s="0" t="s">
        <x:v>20</x:v>
      </x:c>
      <x:c r="I2667" s="0" t="s">
        <x:v>21</x:v>
      </x:c>
      <x:c r="K2667" s="0">
        <x:f>hyperlink("https://icd.who.int/dev11/l-ichi/en#/http%3A%2F%2Fid.who.int%2Ficd%2Fentity%2F590822622","browser")</x:f>
      </x:c>
      <x:c r="L2667" s="0">
        <x:f>hyperlink("https://icat2.azurewebsites.net/icat/?ontology=ICD&amp;tab=ClassesTab&amp;id=http%3A%2F%2Fwho.int%2Ficd%232261_97087496_4a82_4efa_a45a_b3256f81bd7e","iCat")</x:f>
      </x:c>
      <x:c r="M2667" s="0" t="s">
        <x:v>21</x:v>
      </x:c>
      <x:c r="N2667" s="0" t="s">
        <x:v>46</x:v>
      </x:c>
    </x:row>
    <x:row r="2668" spans="1:16">
      <x:c r="A2668" s="0" t="s">
        <x:v>10510</x:v>
      </x:c>
      <x:c r="B2668" s="0" t="s">
        <x:v>10511</x:v>
      </x:c>
      <x:c r="C2668" s="0" t="s">
        <x:v>10512</x:v>
      </x:c>
      <x:c r="E2668" s="0" t="s">
        <x:v>10513</x:v>
      </x:c>
      <x:c r="F2668" s="0" t="s">
        <x:v>45</x:v>
      </x:c>
      <x:c r="G2668" s="0" t="s">
        <x:v>19</x:v>
      </x:c>
      <x:c r="H2668" s="0" t="s">
        <x:v>20</x:v>
      </x:c>
      <x:c r="I2668" s="0" t="s">
        <x:v>21</x:v>
      </x:c>
      <x:c r="K2668" s="0">
        <x:f>hyperlink("https://icd.who.int/dev11/l-ichi/en#/http%3A%2F%2Fid.who.int%2Ficd%2Fentity%2F1293291986","browser")</x:f>
      </x:c>
      <x:c r="L2668" s="0">
        <x:f>hyperlink("https://icat2.azurewebsites.net/icat/?ontology=ICD&amp;tab=ClassesTab&amp;id=http%3A%2F%2Fwho.int%2Ficd%23421_2458c621_13a9_4018_84d7_a04ee4f7aacc","iCat")</x:f>
      </x:c>
      <x:c r="M2668" s="0" t="s">
        <x:v>21</x:v>
      </x:c>
      <x:c r="N2668" s="0" t="s">
        <x:v>46</x:v>
      </x:c>
    </x:row>
    <x:row r="2669" spans="1:16">
      <x:c r="A2669" s="0" t="s">
        <x:v>10514</x:v>
      </x:c>
      <x:c r="B2669" s="0" t="s">
        <x:v>10515</x:v>
      </x:c>
      <x:c r="C2669" s="0" t="s">
        <x:v>10516</x:v>
      </x:c>
      <x:c r="E2669" s="0" t="s">
        <x:v>10517</x:v>
      </x:c>
      <x:c r="F2669" s="0" t="s">
        <x:v>45</x:v>
      </x:c>
      <x:c r="G2669" s="0" t="s">
        <x:v>19</x:v>
      </x:c>
      <x:c r="H2669" s="0" t="s">
        <x:v>20</x:v>
      </x:c>
      <x:c r="I2669" s="0" t="s">
        <x:v>21</x:v>
      </x:c>
      <x:c r="K2669" s="0">
        <x:f>hyperlink("https://icd.who.int/dev11/l-ichi/en#/http%3A%2F%2Fid.who.int%2Ficd%2Fentity%2F596410549","browser")</x:f>
      </x:c>
      <x:c r="L2669" s="0">
        <x:f>hyperlink("https://icat2.azurewebsites.net/icat/?ontology=ICD&amp;tab=ClassesTab&amp;id=http%3A%2F%2Fwho.int%2Ficd%2311230_512ebf36_bf6b_4d70_85da_cf2637062af4","iCat")</x:f>
      </x:c>
      <x:c r="M2669" s="0" t="s">
        <x:v>21</x:v>
      </x:c>
      <x:c r="N2669" s="0" t="s">
        <x:v>46</x:v>
      </x:c>
    </x:row>
    <x:row r="2670" spans="1:16">
      <x:c r="A2670" s="0" t="s">
        <x:v>10518</x:v>
      </x:c>
      <x:c r="B2670" s="0" t="s">
        <x:v>10519</x:v>
      </x:c>
      <x:c r="C2670" s="0" t="s">
        <x:v>10520</x:v>
      </x:c>
      <x:c r="E2670" s="0" t="s">
        <x:v>10521</x:v>
      </x:c>
      <x:c r="F2670" s="0" t="s">
        <x:v>45</x:v>
      </x:c>
      <x:c r="G2670" s="0" t="s">
        <x:v>19</x:v>
      </x:c>
      <x:c r="H2670" s="0" t="s">
        <x:v>20</x:v>
      </x:c>
      <x:c r="I2670" s="0" t="s">
        <x:v>21</x:v>
      </x:c>
      <x:c r="K2670" s="0">
        <x:f>hyperlink("https://icd.who.int/dev11/l-ichi/en#/http%3A%2F%2Fid.who.int%2Ficd%2Fentity%2F380459414","browser")</x:f>
      </x:c>
      <x:c r="L2670" s="0">
        <x:f>hyperlink("https://icat2.azurewebsites.net/icat/?ontology=ICD&amp;tab=ClassesTab&amp;id=http%3A%2F%2Fwho.int%2Ficd%23189_97087496_4a82_4efa_a45a_b3256f81bd7e","iCat")</x:f>
      </x:c>
      <x:c r="M2670" s="0" t="s">
        <x:v>21</x:v>
      </x:c>
      <x:c r="N2670" s="0" t="s">
        <x:v>46</x:v>
      </x:c>
    </x:row>
    <x:row r="2671" spans="1:16">
      <x:c r="A2671" s="0" t="s">
        <x:v>10522</x:v>
      </x:c>
      <x:c r="B2671" s="0" t="s">
        <x:v>10523</x:v>
      </x:c>
      <x:c r="C2671" s="0" t="s">
        <x:v>10524</x:v>
      </x:c>
      <x:c r="E2671" s="0" t="s">
        <x:v>10525</x:v>
      </x:c>
      <x:c r="F2671" s="0" t="s">
        <x:v>45</x:v>
      </x:c>
      <x:c r="G2671" s="0" t="s">
        <x:v>19</x:v>
      </x:c>
      <x:c r="H2671" s="0" t="s">
        <x:v>20</x:v>
      </x:c>
      <x:c r="I2671" s="0" t="s">
        <x:v>21</x:v>
      </x:c>
      <x:c r="K2671" s="0">
        <x:f>hyperlink("https://icd.who.int/dev11/l-ichi/en#/http%3A%2F%2Fid.who.int%2Ficd%2Fentity%2F1230049852","browser")</x:f>
      </x:c>
      <x:c r="L2671" s="0">
        <x:f>hyperlink("https://icat2.azurewebsites.net/icat/?ontology=ICD&amp;tab=ClassesTab&amp;id=http%3A%2F%2Fwho.int%2Ficd%2316113_7353cc8f_16bd_4231_887a_95ea54e27297","iCat")</x:f>
      </x:c>
      <x:c r="M2671" s="0" t="s">
        <x:v>21</x:v>
      </x:c>
      <x:c r="N2671" s="0" t="s">
        <x:v>46</x:v>
      </x:c>
    </x:row>
    <x:row r="2672" spans="1:16">
      <x:c r="A2672" s="0" t="s">
        <x:v>10526</x:v>
      </x:c>
      <x:c r="B2672" s="0" t="s">
        <x:v>10527</x:v>
      </x:c>
      <x:c r="C2672" s="0" t="s">
        <x:v>10528</x:v>
      </x:c>
      <x:c r="E2672" s="0" t="s">
        <x:v>10529</x:v>
      </x:c>
      <x:c r="F2672" s="0" t="s">
        <x:v>45</x:v>
      </x:c>
      <x:c r="G2672" s="0" t="s">
        <x:v>19</x:v>
      </x:c>
      <x:c r="H2672" s="0" t="s">
        <x:v>20</x:v>
      </x:c>
      <x:c r="I2672" s="0" t="s">
        <x:v>21</x:v>
      </x:c>
      <x:c r="K2672" s="0">
        <x:f>hyperlink("https://icd.who.int/dev11/l-ichi/en#/http%3A%2F%2Fid.who.int%2Ficd%2Fentity%2F1945590020","browser")</x:f>
      </x:c>
      <x:c r="L2672" s="0">
        <x:f>hyperlink("https://icat2.azurewebsites.net/icat/?ontology=ICD&amp;tab=ClassesTab&amp;id=http%3A%2F%2Fwho.int%2Ficd%2311236_512ebf36_bf6b_4d70_85da_cf2637062af4","iCat")</x:f>
      </x:c>
      <x:c r="M2672" s="0" t="s">
        <x:v>21</x:v>
      </x:c>
      <x:c r="N2672" s="0" t="s">
        <x:v>46</x:v>
      </x:c>
    </x:row>
    <x:row r="2673" spans="1:16">
      <x:c r="A2673" s="0" t="s">
        <x:v>10530</x:v>
      </x:c>
      <x:c r="B2673" s="0" t="s">
        <x:v>10531</x:v>
      </x:c>
      <x:c r="C2673" s="0" t="s">
        <x:v>10532</x:v>
      </x:c>
      <x:c r="E2673" s="0" t="s">
        <x:v>10533</x:v>
      </x:c>
      <x:c r="F2673" s="0" t="s">
        <x:v>45</x:v>
      </x:c>
      <x:c r="G2673" s="0" t="s">
        <x:v>19</x:v>
      </x:c>
      <x:c r="H2673" s="0" t="s">
        <x:v>20</x:v>
      </x:c>
      <x:c r="I2673" s="0" t="s">
        <x:v>21</x:v>
      </x:c>
      <x:c r="K2673" s="0">
        <x:f>hyperlink("https://icd.who.int/dev11/l-ichi/en#/http%3A%2F%2Fid.who.int%2Ficd%2Fentity%2F1982238314","browser")</x:f>
      </x:c>
      <x:c r="L2673" s="0">
        <x:f>hyperlink("https://icat2.azurewebsites.net/icat/?ontology=ICD&amp;tab=ClassesTab&amp;id=http%3A%2F%2Fwho.int%2Ficd%2311242_512ebf36_bf6b_4d70_85da_cf2637062af4","iCat")</x:f>
      </x:c>
      <x:c r="M2673" s="0" t="s">
        <x:v>21</x:v>
      </x:c>
      <x:c r="N2673" s="0" t="s">
        <x:v>46</x:v>
      </x:c>
    </x:row>
    <x:row r="2674" spans="1:16">
      <x:c r="A2674" s="0" t="s">
        <x:v>10534</x:v>
      </x:c>
      <x:c r="B2674" s="0" t="s">
        <x:v>10535</x:v>
      </x:c>
      <x:c r="C2674" s="0" t="s">
        <x:v>10536</x:v>
      </x:c>
      <x:c r="E2674" s="0" t="s">
        <x:v>10537</x:v>
      </x:c>
      <x:c r="F2674" s="0" t="s">
        <x:v>45</x:v>
      </x:c>
      <x:c r="G2674" s="0" t="s">
        <x:v>19</x:v>
      </x:c>
      <x:c r="H2674" s="0" t="s">
        <x:v>20</x:v>
      </x:c>
      <x:c r="I2674" s="0" t="s">
        <x:v>21</x:v>
      </x:c>
      <x:c r="K2674" s="0">
        <x:f>hyperlink("https://icd.who.int/dev11/l-ichi/en#/http%3A%2F%2Fid.who.int%2Ficd%2Fentity%2F1574691578","browser")</x:f>
      </x:c>
      <x:c r="L2674" s="0">
        <x:f>hyperlink("https://icat2.azurewebsites.net/icat/?ontology=ICD&amp;tab=ClassesTab&amp;id=http%3A%2F%2Fwho.int%2Ficd%2311248_512ebf36_bf6b_4d70_85da_cf2637062af4","iCat")</x:f>
      </x:c>
      <x:c r="M2674" s="0" t="s">
        <x:v>21</x:v>
      </x:c>
      <x:c r="N2674" s="0" t="s">
        <x:v>46</x:v>
      </x:c>
    </x:row>
    <x:row r="2675" spans="1:16">
      <x:c r="A2675" s="0" t="s">
        <x:v>10538</x:v>
      </x:c>
      <x:c r="B2675" s="0" t="s">
        <x:v>10539</x:v>
      </x:c>
      <x:c r="C2675" s="0" t="s">
        <x:v>10540</x:v>
      </x:c>
      <x:c r="E2675" s="0" t="s">
        <x:v>10541</x:v>
      </x:c>
      <x:c r="F2675" s="0" t="s">
        <x:v>45</x:v>
      </x:c>
      <x:c r="G2675" s="0" t="s">
        <x:v>19</x:v>
      </x:c>
      <x:c r="H2675" s="0" t="s">
        <x:v>20</x:v>
      </x:c>
      <x:c r="I2675" s="0" t="s">
        <x:v>21</x:v>
      </x:c>
      <x:c r="K2675" s="0">
        <x:f>hyperlink("https://icd.who.int/dev11/l-ichi/en#/http%3A%2F%2Fid.who.int%2Ficd%2Fentity%2F1285079694","browser")</x:f>
      </x:c>
      <x:c r="L2675" s="0">
        <x:f>hyperlink("https://icat2.azurewebsites.net/icat/?ontology=ICD&amp;tab=ClassesTab&amp;id=http%3A%2F%2Fwho.int%2Ficd%2311254_512ebf36_bf6b_4d70_85da_cf2637062af4","iCat")</x:f>
      </x:c>
      <x:c r="M2675" s="0" t="s">
        <x:v>21</x:v>
      </x:c>
      <x:c r="N2675" s="0" t="s">
        <x:v>46</x:v>
      </x:c>
    </x:row>
    <x:row r="2676" spans="1:16">
      <x:c r="A2676" s="0" t="s">
        <x:v>10542</x:v>
      </x:c>
      <x:c r="B2676" s="0" t="s">
        <x:v>10543</x:v>
      </x:c>
      <x:c r="C2676" s="0" t="s">
        <x:v>10544</x:v>
      </x:c>
      <x:c r="E2676" s="0" t="s">
        <x:v>10545</x:v>
      </x:c>
      <x:c r="F2676" s="0" t="s">
        <x:v>45</x:v>
      </x:c>
      <x:c r="G2676" s="0" t="s">
        <x:v>19</x:v>
      </x:c>
      <x:c r="H2676" s="0" t="s">
        <x:v>20</x:v>
      </x:c>
      <x:c r="I2676" s="0" t="s">
        <x:v>21</x:v>
      </x:c>
      <x:c r="K2676" s="0">
        <x:f>hyperlink("https://icd.who.int/dev11/l-ichi/en#/http%3A%2F%2Fid.who.int%2Ficd%2Fentity%2F959334143","browser")</x:f>
      </x:c>
      <x:c r="L2676" s="0">
        <x:f>hyperlink("https://icat2.azurewebsites.net/icat/?ontology=ICD&amp;tab=ClassesTab&amp;id=http%3A%2F%2Fwho.int%2Ficd%2311260_512ebf36_bf6b_4d70_85da_cf2637062af4","iCat")</x:f>
      </x:c>
      <x:c r="M2676" s="0" t="s">
        <x:v>21</x:v>
      </x:c>
      <x:c r="N2676" s="0" t="s">
        <x:v>46</x:v>
      </x:c>
    </x:row>
    <x:row r="2677" spans="1:16">
      <x:c r="A2677" s="0" t="s">
        <x:v>10546</x:v>
      </x:c>
      <x:c r="B2677" s="0" t="s">
        <x:v>10547</x:v>
      </x:c>
      <x:c r="C2677" s="0" t="s">
        <x:v>10548</x:v>
      </x:c>
      <x:c r="E2677" s="0" t="s">
        <x:v>10549</x:v>
      </x:c>
      <x:c r="F2677" s="0" t="s">
        <x:v>45</x:v>
      </x:c>
      <x:c r="G2677" s="0" t="s">
        <x:v>19</x:v>
      </x:c>
      <x:c r="H2677" s="0" t="s">
        <x:v>20</x:v>
      </x:c>
      <x:c r="I2677" s="0" t="s">
        <x:v>21</x:v>
      </x:c>
      <x:c r="K2677" s="0">
        <x:f>hyperlink("https://icd.who.int/dev11/l-ichi/en#/http%3A%2F%2Fid.who.int%2Ficd%2Fentity%2F1767219022","browser")</x:f>
      </x:c>
      <x:c r="L2677" s="0">
        <x:f>hyperlink("https://icat2.azurewebsites.net/icat/?ontology=ICD&amp;tab=ClassesTab&amp;id=http%3A%2F%2Fwho.int%2Ficd%2311266_512ebf36_bf6b_4d70_85da_cf2637062af4","iCat")</x:f>
      </x:c>
      <x:c r="M2677" s="0" t="s">
        <x:v>21</x:v>
      </x:c>
      <x:c r="N2677" s="0" t="s">
        <x:v>46</x:v>
      </x:c>
    </x:row>
    <x:row r="2678" spans="1:16">
      <x:c r="A2678" s="0" t="s">
        <x:v>10550</x:v>
      </x:c>
      <x:c r="B2678" s="0" t="s">
        <x:v>10551</x:v>
      </x:c>
      <x:c r="C2678" s="0" t="s">
        <x:v>10552</x:v>
      </x:c>
      <x:c r="E2678" s="0" t="s">
        <x:v>10553</x:v>
      </x:c>
      <x:c r="F2678" s="0" t="s">
        <x:v>45</x:v>
      </x:c>
      <x:c r="G2678" s="0" t="s">
        <x:v>19</x:v>
      </x:c>
      <x:c r="H2678" s="0" t="s">
        <x:v>20</x:v>
      </x:c>
      <x:c r="I2678" s="0" t="s">
        <x:v>21</x:v>
      </x:c>
      <x:c r="K2678" s="0">
        <x:f>hyperlink("https://icd.who.int/dev11/l-ichi/en#/http%3A%2F%2Fid.who.int%2Ficd%2Fentity%2F915918445","browser")</x:f>
      </x:c>
      <x:c r="L2678" s="0">
        <x:f>hyperlink("https://icat2.azurewebsites.net/icat/?ontology=ICD&amp;tab=ClassesTab&amp;id=http%3A%2F%2Fwho.int%2Ficd%2311272_512ebf36_bf6b_4d70_85da_cf2637062af4","iCat")</x:f>
      </x:c>
      <x:c r="M2678" s="0" t="s">
        <x:v>21</x:v>
      </x:c>
      <x:c r="N2678" s="0" t="s">
        <x:v>46</x:v>
      </x:c>
    </x:row>
    <x:row r="2679" spans="1:16">
      <x:c r="A2679" s="0" t="s">
        <x:v>10554</x:v>
      </x:c>
      <x:c r="B2679" s="0" t="s">
        <x:v>10555</x:v>
      </x:c>
      <x:c r="C2679" s="0" t="s">
        <x:v>10556</x:v>
      </x:c>
      <x:c r="E2679" s="0" t="s">
        <x:v>10557</x:v>
      </x:c>
      <x:c r="F2679" s="0" t="s">
        <x:v>45</x:v>
      </x:c>
      <x:c r="G2679" s="0" t="s">
        <x:v>19</x:v>
      </x:c>
      <x:c r="H2679" s="0" t="s">
        <x:v>20</x:v>
      </x:c>
      <x:c r="I2679" s="0" t="s">
        <x:v>21</x:v>
      </x:c>
      <x:c r="K2679" s="0">
        <x:f>hyperlink("https://icd.who.int/dev11/l-ichi/en#/http%3A%2F%2Fid.who.int%2Ficd%2Fentity%2F1225481474","browser")</x:f>
      </x:c>
      <x:c r="L2679" s="0">
        <x:f>hyperlink("https://icat2.azurewebsites.net/icat/?ontology=ICD&amp;tab=ClassesTab&amp;id=http%3A%2F%2Fwho.int%2Ficd%2311284_512ebf36_bf6b_4d70_85da_cf2637062af4","iCat")</x:f>
      </x:c>
      <x:c r="M2679" s="0" t="s">
        <x:v>21</x:v>
      </x:c>
      <x:c r="N2679" s="0" t="s">
        <x:v>46</x:v>
      </x:c>
    </x:row>
    <x:row r="2680" spans="1:16">
      <x:c r="A2680" s="0" t="s">
        <x:v>10558</x:v>
      </x:c>
      <x:c r="B2680" s="0" t="s">
        <x:v>10559</x:v>
      </x:c>
      <x:c r="C2680" s="0" t="s">
        <x:v>10560</x:v>
      </x:c>
      <x:c r="E2680" s="0" t="s">
        <x:v>10561</x:v>
      </x:c>
      <x:c r="F2680" s="0" t="s">
        <x:v>45</x:v>
      </x:c>
      <x:c r="G2680" s="0" t="s">
        <x:v>19</x:v>
      </x:c>
      <x:c r="H2680" s="0" t="s">
        <x:v>20</x:v>
      </x:c>
      <x:c r="I2680" s="0" t="s">
        <x:v>21</x:v>
      </x:c>
      <x:c r="K2680" s="0">
        <x:f>hyperlink("https://icd.who.int/dev11/l-ichi/en#/http%3A%2F%2Fid.who.int%2Ficd%2Fentity%2F382274593","browser")</x:f>
      </x:c>
      <x:c r="L2680" s="0">
        <x:f>hyperlink("https://icat2.azurewebsites.net/icat/?ontology=ICD&amp;tab=ClassesTab&amp;id=http%3A%2F%2Fwho.int%2Ficd%2311290_512ebf36_bf6b_4d70_85da_cf2637062af4","iCat")</x:f>
      </x:c>
      <x:c r="M2680" s="0" t="s">
        <x:v>21</x:v>
      </x:c>
      <x:c r="N2680" s="0" t="s">
        <x:v>46</x:v>
      </x:c>
    </x:row>
    <x:row r="2681" spans="1:16">
      <x:c r="A2681" s="0" t="s">
        <x:v>10562</x:v>
      </x:c>
      <x:c r="B2681" s="0" t="s">
        <x:v>10563</x:v>
      </x:c>
      <x:c r="C2681" s="0" t="s">
        <x:v>10564</x:v>
      </x:c>
      <x:c r="E2681" s="0" t="s">
        <x:v>10565</x:v>
      </x:c>
      <x:c r="F2681" s="0" t="s">
        <x:v>45</x:v>
      </x:c>
      <x:c r="G2681" s="0" t="s">
        <x:v>19</x:v>
      </x:c>
      <x:c r="H2681" s="0" t="s">
        <x:v>20</x:v>
      </x:c>
      <x:c r="I2681" s="0" t="s">
        <x:v>21</x:v>
      </x:c>
      <x:c r="K2681" s="0">
        <x:f>hyperlink("https://icd.who.int/dev11/l-ichi/en#/http%3A%2F%2Fid.who.int%2Ficd%2Fentity%2F1186125200","browser")</x:f>
      </x:c>
      <x:c r="L2681" s="0">
        <x:f>hyperlink("https://icat2.azurewebsites.net/icat/?ontology=ICD&amp;tab=ClassesTab&amp;id=http%3A%2F%2Fwho.int%2Ficd%2311296_512ebf36_bf6b_4d70_85da_cf2637062af4","iCat")</x:f>
      </x:c>
      <x:c r="M2681" s="0" t="s">
        <x:v>21</x:v>
      </x:c>
      <x:c r="N2681" s="0" t="s">
        <x:v>46</x:v>
      </x:c>
    </x:row>
    <x:row r="2682" spans="1:16">
      <x:c r="A2682" s="0" t="s">
        <x:v>10566</x:v>
      </x:c>
      <x:c r="B2682" s="0" t="s">
        <x:v>10567</x:v>
      </x:c>
      <x:c r="C2682" s="0" t="s">
        <x:v>10568</x:v>
      </x:c>
      <x:c r="E2682" s="0" t="s">
        <x:v>10569</x:v>
      </x:c>
      <x:c r="F2682" s="0" t="s">
        <x:v>45</x:v>
      </x:c>
      <x:c r="G2682" s="0" t="s">
        <x:v>19</x:v>
      </x:c>
      <x:c r="H2682" s="0" t="s">
        <x:v>20</x:v>
      </x:c>
      <x:c r="I2682" s="0" t="s">
        <x:v>21</x:v>
      </x:c>
      <x:c r="K2682" s="0">
        <x:f>hyperlink("https://icd.who.int/dev11/l-ichi/en#/http%3A%2F%2Fid.who.int%2Ficd%2Fentity%2F598065755","browser")</x:f>
      </x:c>
      <x:c r="L2682" s="0">
        <x:f>hyperlink("https://icat2.azurewebsites.net/icat/?ontology=ICD&amp;tab=ClassesTab&amp;id=http%3A%2F%2Fwho.int%2Ficd%2311304_512ebf36_bf6b_4d70_85da_cf2637062af4","iCat")</x:f>
      </x:c>
      <x:c r="M2682" s="0" t="s">
        <x:v>21</x:v>
      </x:c>
      <x:c r="N2682" s="0" t="s">
        <x:v>46</x:v>
      </x:c>
    </x:row>
    <x:row r="2683" spans="1:16">
      <x:c r="A2683" s="0" t="s">
        <x:v>10570</x:v>
      </x:c>
      <x:c r="B2683" s="0" t="s">
        <x:v>10571</x:v>
      </x:c>
      <x:c r="C2683" s="0" t="s">
        <x:v>10572</x:v>
      </x:c>
      <x:c r="E2683" s="0" t="s">
        <x:v>10573</x:v>
      </x:c>
      <x:c r="F2683" s="0" t="s">
        <x:v>45</x:v>
      </x:c>
      <x:c r="G2683" s="0" t="s">
        <x:v>19</x:v>
      </x:c>
      <x:c r="H2683" s="0" t="s">
        <x:v>20</x:v>
      </x:c>
      <x:c r="I2683" s="0" t="s">
        <x:v>21</x:v>
      </x:c>
      <x:c r="K2683" s="0">
        <x:f>hyperlink("https://icd.who.int/dev11/l-ichi/en#/http%3A%2F%2Fid.who.int%2Ficd%2Fentity%2F2087162744","browser")</x:f>
      </x:c>
      <x:c r="L2683" s="0">
        <x:f>hyperlink("https://icat2.azurewebsites.net/icat/?ontology=ICD&amp;tab=ClassesTab&amp;id=http%3A%2F%2Fwho.int%2Ficd%2311310_512ebf36_bf6b_4d70_85da_cf2637062af4","iCat")</x:f>
      </x:c>
      <x:c r="M2683" s="0" t="s">
        <x:v>21</x:v>
      </x:c>
      <x:c r="N2683" s="0" t="s">
        <x:v>46</x:v>
      </x:c>
    </x:row>
    <x:row r="2684" spans="1:16">
      <x:c r="A2684" s="0" t="s">
        <x:v>10574</x:v>
      </x:c>
      <x:c r="B2684" s="0" t="s">
        <x:v>10575</x:v>
      </x:c>
      <x:c r="C2684" s="0" t="s">
        <x:v>10576</x:v>
      </x:c>
      <x:c r="E2684" s="0" t="s">
        <x:v>10577</x:v>
      </x:c>
      <x:c r="F2684" s="0" t="s">
        <x:v>45</x:v>
      </x:c>
      <x:c r="G2684" s="0" t="s">
        <x:v>19</x:v>
      </x:c>
      <x:c r="H2684" s="0" t="s">
        <x:v>20</x:v>
      </x:c>
      <x:c r="I2684" s="0" t="s">
        <x:v>21</x:v>
      </x:c>
      <x:c r="K2684" s="0">
        <x:f>hyperlink("https://icd.who.int/dev11/l-ichi/en#/http%3A%2F%2Fid.who.int%2Ficd%2Fentity%2F853991981","browser")</x:f>
      </x:c>
      <x:c r="L2684" s="0">
        <x:f>hyperlink("https://icat2.azurewebsites.net/icat/?ontology=ICD&amp;tab=ClassesTab&amp;id=http%3A%2F%2Fwho.int%2Ficd%2311318_512ebf36_bf6b_4d70_85da_cf2637062af4","iCat")</x:f>
      </x:c>
      <x:c r="M2684" s="0" t="s">
        <x:v>21</x:v>
      </x:c>
      <x:c r="N2684" s="0" t="s">
        <x:v>46</x:v>
      </x:c>
    </x:row>
    <x:row r="2685" spans="1:16">
      <x:c r="A2685" s="0" t="s">
        <x:v>10578</x:v>
      </x:c>
      <x:c r="B2685" s="0" t="s">
        <x:v>10579</x:v>
      </x:c>
      <x:c r="C2685" s="0" t="s">
        <x:v>10580</x:v>
      </x:c>
      <x:c r="E2685" s="0" t="s">
        <x:v>10581</x:v>
      </x:c>
      <x:c r="F2685" s="0" t="s">
        <x:v>45</x:v>
      </x:c>
      <x:c r="G2685" s="0" t="s">
        <x:v>19</x:v>
      </x:c>
      <x:c r="H2685" s="0" t="s">
        <x:v>20</x:v>
      </x:c>
      <x:c r="I2685" s="0" t="s">
        <x:v>21</x:v>
      </x:c>
      <x:c r="K2685" s="0">
        <x:f>hyperlink("https://icd.who.int/dev11/l-ichi/en#/http%3A%2F%2Fid.who.int%2Ficd%2Fentity%2F1823279822","browser")</x:f>
      </x:c>
      <x:c r="L2685" s="0">
        <x:f>hyperlink("https://icat2.azurewebsites.net/icat/?ontology=ICD&amp;tab=ClassesTab&amp;id=http%3A%2F%2Fwho.int%2Ficd%2311326_512ebf36_bf6b_4d70_85da_cf2637062af4","iCat")</x:f>
      </x:c>
      <x:c r="M2685" s="0" t="s">
        <x:v>21</x:v>
      </x:c>
      <x:c r="N2685" s="0" t="s">
        <x:v>46</x:v>
      </x:c>
    </x:row>
    <x:row r="2686" spans="1:16">
      <x:c r="A2686" s="0" t="s">
        <x:v>10582</x:v>
      </x:c>
      <x:c r="B2686" s="0" t="s">
        <x:v>10583</x:v>
      </x:c>
      <x:c r="D2686" s="0" t="s">
        <x:v>10584</x:v>
      </x:c>
      <x:c r="E2686" s="0" t="s">
        <x:v>10585</x:v>
      </x:c>
      <x:c r="F2686" s="0" t="s">
        <x:v>26</x:v>
      </x:c>
      <x:c r="G2686" s="0" t="s">
        <x:v>22</x:v>
      </x:c>
      <x:c r="H2686" s="0" t="s">
        <x:v>20</x:v>
      </x:c>
      <x:c r="I2686" s="0" t="s">
        <x:v>21</x:v>
      </x:c>
      <x:c r="K2686" s="0">
        <x:f>hyperlink("https://icd.who.int/dev11/l-ichi/en#/http%3A%2F%2Fid.who.int%2Ficd%2Fentity%2F1662288476","browser")</x:f>
      </x:c>
      <x:c r="L2686" s="0">
        <x:f>hyperlink("https://icat2.azurewebsites.net/icat/?ontology=ICD&amp;tab=ClassesTab&amp;id=http%3A%2F%2Fwho.int%2Ficd%2311334_512ebf36_bf6b_4d70_85da_cf2637062af4","iCat")</x:f>
      </x:c>
      <x:c r="M2686" s="0" t="s">
        <x:v>20</x:v>
      </x:c>
      <x:c r="N2686" s="0" t="s">
        <x:v>10586</x:v>
      </x:c>
    </x:row>
    <x:row r="2687" spans="1:16">
      <x:c r="A2687" s="0" t="s">
        <x:v>10587</x:v>
      </x:c>
      <x:c r="B2687" s="0" t="s">
        <x:v>10588</x:v>
      </x:c>
      <x:c r="C2687" s="0" t="s">
        <x:v>10589</x:v>
      </x:c>
      <x:c r="E2687" s="0" t="s">
        <x:v>10590</x:v>
      </x:c>
      <x:c r="F2687" s="0" t="s">
        <x:v>45</x:v>
      </x:c>
      <x:c r="G2687" s="0" t="s">
        <x:v>19</x:v>
      </x:c>
      <x:c r="H2687" s="0" t="s">
        <x:v>20</x:v>
      </x:c>
      <x:c r="I2687" s="0" t="s">
        <x:v>21</x:v>
      </x:c>
      <x:c r="K2687" s="0">
        <x:f>hyperlink("https://icd.who.int/dev11/l-ichi/en#/http%3A%2F%2Fid.who.int%2Ficd%2Fentity%2F111101964","browser")</x:f>
      </x:c>
      <x:c r="L2687" s="0">
        <x:f>hyperlink("https://icat2.azurewebsites.net/icat/?ontology=ICD&amp;tab=ClassesTab&amp;id=http%3A%2F%2Fwho.int%2Ficd%2363_daad0bf0_ff4e_4553_92d6_19c72048c1a7","iCat")</x:f>
      </x:c>
      <x:c r="M2687" s="0" t="s">
        <x:v>21</x:v>
      </x:c>
      <x:c r="N2687" s="0" t="s">
        <x:v>46</x:v>
      </x:c>
    </x:row>
    <x:row r="2688" spans="1:16">
      <x:c r="A2688" s="0" t="s">
        <x:v>10591</x:v>
      </x:c>
      <x:c r="B2688" s="0" t="s">
        <x:v>10592</x:v>
      </x:c>
      <x:c r="C2688" s="0" t="s">
        <x:v>10593</x:v>
      </x:c>
      <x:c r="E2688" s="0" t="s">
        <x:v>10594</x:v>
      </x:c>
      <x:c r="F2688" s="0" t="s">
        <x:v>45</x:v>
      </x:c>
      <x:c r="G2688" s="0" t="s">
        <x:v>19</x:v>
      </x:c>
      <x:c r="H2688" s="0" t="s">
        <x:v>20</x:v>
      </x:c>
      <x:c r="I2688" s="0" t="s">
        <x:v>21</x:v>
      </x:c>
      <x:c r="K2688" s="0">
        <x:f>hyperlink("https://icd.who.int/dev11/l-ichi/en#/http%3A%2F%2Fid.who.int%2Ficd%2Fentity%2F761406620","browser")</x:f>
      </x:c>
      <x:c r="L2688" s="0">
        <x:f>hyperlink("https://icat2.azurewebsites.net/icat/?ontology=ICD&amp;tab=ClassesTab&amp;id=http%3A%2F%2Fwho.int%2Ficd%2369_daad0bf0_ff4e_4553_92d6_19c72048c1a7","iCat")</x:f>
      </x:c>
      <x:c r="M2688" s="0" t="s">
        <x:v>21</x:v>
      </x:c>
      <x:c r="N2688" s="0" t="s">
        <x:v>46</x:v>
      </x:c>
    </x:row>
    <x:row r="2689" spans="1:16">
      <x:c r="A2689" s="0" t="s">
        <x:v>10595</x:v>
      </x:c>
      <x:c r="B2689" s="0" t="s">
        <x:v>10596</x:v>
      </x:c>
      <x:c r="C2689" s="0" t="s">
        <x:v>10597</x:v>
      </x:c>
      <x:c r="E2689" s="0" t="s">
        <x:v>10598</x:v>
      </x:c>
      <x:c r="F2689" s="0" t="s">
        <x:v>45</x:v>
      </x:c>
      <x:c r="G2689" s="0" t="s">
        <x:v>19</x:v>
      </x:c>
      <x:c r="H2689" s="0" t="s">
        <x:v>20</x:v>
      </x:c>
      <x:c r="I2689" s="0" t="s">
        <x:v>21</x:v>
      </x:c>
      <x:c r="K2689" s="0">
        <x:f>hyperlink("https://icd.who.int/dev11/l-ichi/en#/http%3A%2F%2Fid.who.int%2Ficd%2Fentity%2F328608209","browser")</x:f>
      </x:c>
      <x:c r="L2689" s="0">
        <x:f>hyperlink("https://icat2.azurewebsites.net/icat/?ontology=ICD&amp;tab=ClassesTab&amp;id=http%3A%2F%2Fwho.int%2Ficd%2311333_512ebf36_bf6b_4d70_85da_cf2637062af4","iCat")</x:f>
      </x:c>
      <x:c r="M2689" s="0" t="s">
        <x:v>21</x:v>
      </x:c>
      <x:c r="N2689" s="0" t="s">
        <x:v>46</x:v>
      </x:c>
    </x:row>
    <x:row r="2690" spans="1:16">
      <x:c r="A2690" s="0" t="s">
        <x:v>10599</x:v>
      </x:c>
      <x:c r="B2690" s="0" t="s">
        <x:v>10600</x:v>
      </x:c>
      <x:c r="C2690" s="0" t="s">
        <x:v>10601</x:v>
      </x:c>
      <x:c r="E2690" s="0" t="s">
        <x:v>10602</x:v>
      </x:c>
      <x:c r="F2690" s="0" t="s">
        <x:v>45</x:v>
      </x:c>
      <x:c r="G2690" s="0" t="s">
        <x:v>19</x:v>
      </x:c>
      <x:c r="H2690" s="0" t="s">
        <x:v>20</x:v>
      </x:c>
      <x:c r="I2690" s="0" t="s">
        <x:v>21</x:v>
      </x:c>
      <x:c r="K2690" s="0">
        <x:f>hyperlink("https://icd.who.int/dev11/l-ichi/en#/http%3A%2F%2Fid.who.int%2Ficd%2Fentity%2F373817023","browser")</x:f>
      </x:c>
      <x:c r="L2690" s="0">
        <x:f>hyperlink("https://icat2.azurewebsites.net/icat/?ontology=ICD&amp;tab=ClassesTab&amp;id=http%3A%2F%2Fwho.int%2Ficd%2311347_512ebf36_bf6b_4d70_85da_cf2637062af4","iCat")</x:f>
      </x:c>
      <x:c r="M2690" s="0" t="s">
        <x:v>21</x:v>
      </x:c>
      <x:c r="N2690" s="0" t="s">
        <x:v>46</x:v>
      </x:c>
    </x:row>
    <x:row r="2691" spans="1:16">
      <x:c r="A2691" s="0" t="s">
        <x:v>10603</x:v>
      </x:c>
      <x:c r="B2691" s="0" t="s">
        <x:v>10604</x:v>
      </x:c>
      <x:c r="C2691" s="0" t="s">
        <x:v>10605</x:v>
      </x:c>
      <x:c r="E2691" s="0" t="s">
        <x:v>10606</x:v>
      </x:c>
      <x:c r="F2691" s="0" t="s">
        <x:v>45</x:v>
      </x:c>
      <x:c r="G2691" s="0" t="s">
        <x:v>19</x:v>
      </x:c>
      <x:c r="H2691" s="0" t="s">
        <x:v>20</x:v>
      </x:c>
      <x:c r="I2691" s="0" t="s">
        <x:v>21</x:v>
      </x:c>
      <x:c r="K2691" s="0">
        <x:f>hyperlink("https://icd.who.int/dev11/l-ichi/en#/http%3A%2F%2Fid.who.int%2Ficd%2Fentity%2F1233498014","browser")</x:f>
      </x:c>
      <x:c r="L2691" s="0">
        <x:f>hyperlink("https://icat2.azurewebsites.net/icat/?ontology=ICD&amp;tab=ClassesTab&amp;id=http%3A%2F%2Fwho.int%2Ficd%2311353_512ebf36_bf6b_4d70_85da_cf2637062af4","iCat")</x:f>
      </x:c>
      <x:c r="M2691" s="0" t="s">
        <x:v>21</x:v>
      </x:c>
      <x:c r="N2691" s="0" t="s">
        <x:v>46</x:v>
      </x:c>
    </x:row>
    <x:row r="2692" spans="1:16">
      <x:c r="A2692" s="0" t="s">
        <x:v>10607</x:v>
      </x:c>
      <x:c r="B2692" s="0" t="s">
        <x:v>10608</x:v>
      </x:c>
      <x:c r="C2692" s="0" t="s">
        <x:v>10609</x:v>
      </x:c>
      <x:c r="E2692" s="0" t="s">
        <x:v>10610</x:v>
      </x:c>
      <x:c r="F2692" s="0" t="s">
        <x:v>45</x:v>
      </x:c>
      <x:c r="G2692" s="0" t="s">
        <x:v>19</x:v>
      </x:c>
      <x:c r="H2692" s="0" t="s">
        <x:v>20</x:v>
      </x:c>
      <x:c r="I2692" s="0" t="s">
        <x:v>21</x:v>
      </x:c>
      <x:c r="K2692" s="0">
        <x:f>hyperlink("https://icd.who.int/dev11/l-ichi/en#/http%3A%2F%2Fid.who.int%2Ficd%2Fentity%2F966964570","browser")</x:f>
      </x:c>
      <x:c r="L2692" s="0">
        <x:f>hyperlink("https://icat2.azurewebsites.net/icat/?ontology=ICD&amp;tab=ClassesTab&amp;id=http%3A%2F%2Fwho.int%2Ficd%2314845_4869915e_217e_423d_acb3_33c0f920ef4b","iCat")</x:f>
      </x:c>
      <x:c r="M2692" s="0" t="s">
        <x:v>21</x:v>
      </x:c>
      <x:c r="N2692" s="0" t="s">
        <x:v>46</x:v>
      </x:c>
    </x:row>
    <x:row r="2693" spans="1:16">
      <x:c r="A2693" s="0" t="s">
        <x:v>10611</x:v>
      </x:c>
      <x:c r="B2693" s="0" t="s">
        <x:v>10612</x:v>
      </x:c>
      <x:c r="C2693" s="0" t="s">
        <x:v>10613</x:v>
      </x:c>
      <x:c r="E2693" s="0" t="s">
        <x:v>10614</x:v>
      </x:c>
      <x:c r="F2693" s="0" t="s">
        <x:v>45</x:v>
      </x:c>
      <x:c r="G2693" s="0" t="s">
        <x:v>19</x:v>
      </x:c>
      <x:c r="H2693" s="0" t="s">
        <x:v>20</x:v>
      </x:c>
      <x:c r="I2693" s="0" t="s">
        <x:v>21</x:v>
      </x:c>
      <x:c r="K2693" s="0">
        <x:f>hyperlink("https://icd.who.int/dev11/l-ichi/en#/http%3A%2F%2Fid.who.int%2Ficd%2Fentity%2F1717625979","browser")</x:f>
      </x:c>
      <x:c r="L2693" s="0">
        <x:f>hyperlink("https://icat2.azurewebsites.net/icat/?ontology=ICD&amp;tab=ClassesTab&amp;id=http%3A%2F%2Fwho.int%2Ficd%2314851_4869915e_217e_423d_acb3_33c0f920ef4b","iCat")</x:f>
      </x:c>
      <x:c r="M2693" s="0" t="s">
        <x:v>21</x:v>
      </x:c>
      <x:c r="N2693" s="0" t="s">
        <x:v>46</x:v>
      </x:c>
    </x:row>
    <x:row r="2694" spans="1:16">
      <x:c r="A2694" s="0" t="s">
        <x:v>10615</x:v>
      </x:c>
      <x:c r="B2694" s="0" t="s">
        <x:v>10616</x:v>
      </x:c>
      <x:c r="C2694" s="0" t="s">
        <x:v>10617</x:v>
      </x:c>
      <x:c r="E2694" s="0" t="s">
        <x:v>10618</x:v>
      </x:c>
      <x:c r="F2694" s="0" t="s">
        <x:v>45</x:v>
      </x:c>
      <x:c r="G2694" s="0" t="s">
        <x:v>19</x:v>
      </x:c>
      <x:c r="H2694" s="0" t="s">
        <x:v>20</x:v>
      </x:c>
      <x:c r="I2694" s="0" t="s">
        <x:v>21</x:v>
      </x:c>
      <x:c r="K2694" s="0">
        <x:f>hyperlink("https://icd.who.int/dev11/l-ichi/en#/http%3A%2F%2Fid.who.int%2Ficd%2Fentity%2F1652081422","browser")</x:f>
      </x:c>
      <x:c r="L2694" s="0">
        <x:f>hyperlink("https://icat2.azurewebsites.net/icat/?ontology=ICD&amp;tab=ClassesTab&amp;id=http%3A%2F%2Fwho.int%2Ficd%2311359_512ebf36_bf6b_4d70_85da_cf2637062af4","iCat")</x:f>
      </x:c>
      <x:c r="M2694" s="0" t="s">
        <x:v>21</x:v>
      </x:c>
      <x:c r="N2694" s="0" t="s">
        <x:v>46</x:v>
      </x:c>
    </x:row>
    <x:row r="2695" spans="1:16">
      <x:c r="A2695" s="0" t="s">
        <x:v>10619</x:v>
      </x:c>
      <x:c r="B2695" s="0" t="s">
        <x:v>10620</x:v>
      </x:c>
      <x:c r="C2695" s="0" t="s">
        <x:v>10621</x:v>
      </x:c>
      <x:c r="E2695" s="0" t="s">
        <x:v>10622</x:v>
      </x:c>
      <x:c r="F2695" s="0" t="s">
        <x:v>45</x:v>
      </x:c>
      <x:c r="G2695" s="0" t="s">
        <x:v>19</x:v>
      </x:c>
      <x:c r="H2695" s="0" t="s">
        <x:v>20</x:v>
      </x:c>
      <x:c r="I2695" s="0" t="s">
        <x:v>21</x:v>
      </x:c>
      <x:c r="K2695" s="0">
        <x:f>hyperlink("https://icd.who.int/dev11/l-ichi/en#/http%3A%2F%2Fid.who.int%2Ficd%2Fentity%2F483023315","browser")</x:f>
      </x:c>
      <x:c r="L2695" s="0">
        <x:f>hyperlink("https://icat2.azurewebsites.net/icat/?ontology=ICD&amp;tab=ClassesTab&amp;id=http%3A%2F%2Fwho.int%2Ficd%2311366_512ebf36_bf6b_4d70_85da_cf2637062af4","iCat")</x:f>
      </x:c>
      <x:c r="M2695" s="0" t="s">
        <x:v>21</x:v>
      </x:c>
      <x:c r="N2695" s="0" t="s">
        <x:v>46</x:v>
      </x:c>
    </x:row>
    <x:row r="2696" spans="1:16">
      <x:c r="A2696" s="0" t="s">
        <x:v>10623</x:v>
      </x:c>
      <x:c r="B2696" s="0" t="s">
        <x:v>10624</x:v>
      </x:c>
      <x:c r="C2696" s="0" t="s">
        <x:v>10625</x:v>
      </x:c>
      <x:c r="E2696" s="0" t="s">
        <x:v>10626</x:v>
      </x:c>
      <x:c r="F2696" s="0" t="s">
        <x:v>45</x:v>
      </x:c>
      <x:c r="G2696" s="0" t="s">
        <x:v>19</x:v>
      </x:c>
      <x:c r="H2696" s="0" t="s">
        <x:v>20</x:v>
      </x:c>
      <x:c r="I2696" s="0" t="s">
        <x:v>21</x:v>
      </x:c>
      <x:c r="K2696" s="0">
        <x:f>hyperlink("https://icd.who.int/dev11/l-ichi/en#/http%3A%2F%2Fid.who.int%2Ficd%2Fentity%2F1124600050","browser")</x:f>
      </x:c>
      <x:c r="L2696" s="0">
        <x:f>hyperlink("https://icat2.azurewebsites.net/icat/?ontology=ICD&amp;tab=ClassesTab&amp;id=http%3A%2F%2Fwho.int%2Ficd%2311372_512ebf36_bf6b_4d70_85da_cf2637062af4","iCat")</x:f>
      </x:c>
      <x:c r="M2696" s="0" t="s">
        <x:v>21</x:v>
      </x:c>
      <x:c r="N2696" s="0" t="s">
        <x:v>46</x:v>
      </x:c>
    </x:row>
    <x:row r="2697" spans="1:16">
      <x:c r="A2697" s="0" t="s">
        <x:v>10627</x:v>
      </x:c>
      <x:c r="B2697" s="0" t="s">
        <x:v>10628</x:v>
      </x:c>
      <x:c r="C2697" s="0" t="s">
        <x:v>10629</x:v>
      </x:c>
      <x:c r="E2697" s="0" t="s">
        <x:v>10630</x:v>
      </x:c>
      <x:c r="F2697" s="0" t="s">
        <x:v>45</x:v>
      </x:c>
      <x:c r="G2697" s="0" t="s">
        <x:v>19</x:v>
      </x:c>
      <x:c r="H2697" s="0" t="s">
        <x:v>20</x:v>
      </x:c>
      <x:c r="I2697" s="0" t="s">
        <x:v>21</x:v>
      </x:c>
      <x:c r="K2697" s="0">
        <x:f>hyperlink("https://icd.who.int/dev11/l-ichi/en#/http%3A%2F%2Fid.who.int%2Ficd%2Fentity%2F1760912482","browser")</x:f>
      </x:c>
      <x:c r="L2697" s="0">
        <x:f>hyperlink("https://icat2.azurewebsites.net/icat/?ontology=ICD&amp;tab=ClassesTab&amp;id=http%3A%2F%2Fwho.int%2Ficd%2311378_512ebf36_bf6b_4d70_85da_cf2637062af4","iCat")</x:f>
      </x:c>
      <x:c r="M2697" s="0" t="s">
        <x:v>21</x:v>
      </x:c>
      <x:c r="N2697" s="0" t="s">
        <x:v>46</x:v>
      </x:c>
    </x:row>
    <x:row r="2698" spans="1:16">
      <x:c r="A2698" s="0" t="s">
        <x:v>10631</x:v>
      </x:c>
      <x:c r="B2698" s="0" t="s">
        <x:v>10632</x:v>
      </x:c>
      <x:c r="C2698" s="0" t="s">
        <x:v>10633</x:v>
      </x:c>
      <x:c r="E2698" s="0" t="s">
        <x:v>10634</x:v>
      </x:c>
      <x:c r="F2698" s="0" t="s">
        <x:v>45</x:v>
      </x:c>
      <x:c r="G2698" s="0" t="s">
        <x:v>19</x:v>
      </x:c>
      <x:c r="H2698" s="0" t="s">
        <x:v>20</x:v>
      </x:c>
      <x:c r="I2698" s="0" t="s">
        <x:v>21</x:v>
      </x:c>
      <x:c r="K2698" s="0">
        <x:f>hyperlink("https://icd.who.int/dev11/l-ichi/en#/http%3A%2F%2Fid.who.int%2Ficd%2Fentity%2F1568159329","browser")</x:f>
      </x:c>
      <x:c r="L2698" s="0">
        <x:f>hyperlink("https://icat2.azurewebsites.net/icat/?ontology=ICD&amp;tab=ClassesTab&amp;id=http%3A%2F%2Fwho.int%2Ficd%23108_334d9ea3_924d_474e_87eb_4d7debb1b362","iCat")</x:f>
      </x:c>
      <x:c r="M2698" s="0" t="s">
        <x:v>21</x:v>
      </x:c>
      <x:c r="N2698" s="0" t="s">
        <x:v>46</x:v>
      </x:c>
    </x:row>
    <x:row r="2699" spans="1:16">
      <x:c r="A2699" s="0" t="s">
        <x:v>10635</x:v>
      </x:c>
      <x:c r="B2699" s="0" t="s">
        <x:v>10636</x:v>
      </x:c>
      <x:c r="C2699" s="0" t="s">
        <x:v>10637</x:v>
      </x:c>
      <x:c r="E2699" s="0" t="s">
        <x:v>10638</x:v>
      </x:c>
      <x:c r="F2699" s="0" t="s">
        <x:v>45</x:v>
      </x:c>
      <x:c r="G2699" s="0" t="s">
        <x:v>19</x:v>
      </x:c>
      <x:c r="H2699" s="0" t="s">
        <x:v>20</x:v>
      </x:c>
      <x:c r="I2699" s="0" t="s">
        <x:v>21</x:v>
      </x:c>
      <x:c r="K2699" s="0">
        <x:f>hyperlink("https://icd.who.int/dev11/l-ichi/en#/http%3A%2F%2Fid.who.int%2Ficd%2Fentity%2F1016372127","browser")</x:f>
      </x:c>
      <x:c r="L2699" s="0">
        <x:f>hyperlink("https://icat2.azurewebsites.net/icat/?ontology=ICD&amp;tab=ClassesTab&amp;id=http%3A%2F%2Fwho.int%2Ficd%2311384_512ebf36_bf6b_4d70_85da_cf2637062af4","iCat")</x:f>
      </x:c>
      <x:c r="M2699" s="0" t="s">
        <x:v>21</x:v>
      </x:c>
      <x:c r="N2699" s="0" t="s">
        <x:v>46</x:v>
      </x:c>
    </x:row>
    <x:row r="2700" spans="1:16">
      <x:c r="A2700" s="0" t="s">
        <x:v>10639</x:v>
      </x:c>
      <x:c r="B2700" s="0" t="s">
        <x:v>10640</x:v>
      </x:c>
      <x:c r="C2700" s="0" t="s">
        <x:v>10641</x:v>
      </x:c>
      <x:c r="E2700" s="0" t="s">
        <x:v>10642</x:v>
      </x:c>
      <x:c r="F2700" s="0" t="s">
        <x:v>45</x:v>
      </x:c>
      <x:c r="G2700" s="0" t="s">
        <x:v>19</x:v>
      </x:c>
      <x:c r="H2700" s="0" t="s">
        <x:v>20</x:v>
      </x:c>
      <x:c r="I2700" s="0" t="s">
        <x:v>21</x:v>
      </x:c>
      <x:c r="K2700" s="0">
        <x:f>hyperlink("https://icd.who.int/dev11/l-ichi/en#/http%3A%2F%2Fid.who.int%2Ficd%2Fentity%2F1666632382","browser")</x:f>
      </x:c>
      <x:c r="L2700" s="0">
        <x:f>hyperlink("https://icat2.azurewebsites.net/icat/?ontology=ICD&amp;tab=ClassesTab&amp;id=http%3A%2F%2Fwho.int%2Ficd%2311390_512ebf36_bf6b_4d70_85da_cf2637062af4","iCat")</x:f>
      </x:c>
      <x:c r="M2700" s="0" t="s">
        <x:v>21</x:v>
      </x:c>
      <x:c r="N2700" s="0" t="s">
        <x:v>46</x:v>
      </x:c>
    </x:row>
    <x:row r="2701" spans="1:16">
      <x:c r="A2701" s="0" t="s">
        <x:v>10643</x:v>
      </x:c>
      <x:c r="B2701" s="0" t="s">
        <x:v>10644</x:v>
      </x:c>
      <x:c r="C2701" s="0" t="s">
        <x:v>10645</x:v>
      </x:c>
      <x:c r="E2701" s="0" t="s">
        <x:v>10646</x:v>
      </x:c>
      <x:c r="F2701" s="0" t="s">
        <x:v>45</x:v>
      </x:c>
      <x:c r="G2701" s="0" t="s">
        <x:v>19</x:v>
      </x:c>
      <x:c r="H2701" s="0" t="s">
        <x:v>20</x:v>
      </x:c>
      <x:c r="I2701" s="0" t="s">
        <x:v>21</x:v>
      </x:c>
      <x:c r="K2701" s="0">
        <x:f>hyperlink("https://icd.who.int/dev11/l-ichi/en#/http%3A%2F%2Fid.who.int%2Ficd%2Fentity%2F858592013","browser")</x:f>
      </x:c>
      <x:c r="L2701" s="0">
        <x:f>hyperlink("https://icat2.azurewebsites.net/icat/?ontology=ICD&amp;tab=ClassesTab&amp;id=http%3A%2F%2Fwho.int%2Ficd%2311396_512ebf36_bf6b_4d70_85da_cf2637062af4","iCat")</x:f>
      </x:c>
      <x:c r="M2701" s="0" t="s">
        <x:v>21</x:v>
      </x:c>
      <x:c r="N2701" s="0" t="s">
        <x:v>46</x:v>
      </x:c>
    </x:row>
    <x:row r="2702" spans="1:16">
      <x:c r="A2702" s="0" t="s">
        <x:v>10647</x:v>
      </x:c>
      <x:c r="B2702" s="0" t="s">
        <x:v>10648</x:v>
      </x:c>
      <x:c r="C2702" s="0" t="s">
        <x:v>10649</x:v>
      </x:c>
      <x:c r="E2702" s="0" t="s">
        <x:v>10650</x:v>
      </x:c>
      <x:c r="F2702" s="0" t="s">
        <x:v>45</x:v>
      </x:c>
      <x:c r="G2702" s="0" t="s">
        <x:v>19</x:v>
      </x:c>
      <x:c r="H2702" s="0" t="s">
        <x:v>20</x:v>
      </x:c>
      <x:c r="I2702" s="0" t="s">
        <x:v>21</x:v>
      </x:c>
      <x:c r="K2702" s="0">
        <x:f>hyperlink("https://icd.who.int/dev11/l-ichi/en#/http%3A%2F%2Fid.who.int%2Ficd%2Fentity%2F529511304","browser")</x:f>
      </x:c>
      <x:c r="L2702" s="0">
        <x:f>hyperlink("https://icat2.azurewebsites.net/icat/?ontology=ICD&amp;tab=ClassesTab&amp;id=http%3A%2F%2Fwho.int%2Ficd%2311402_512ebf36_bf6b_4d70_85da_cf2637062af4","iCat")</x:f>
      </x:c>
      <x:c r="M2702" s="0" t="s">
        <x:v>21</x:v>
      </x:c>
      <x:c r="N2702" s="0" t="s">
        <x:v>46</x:v>
      </x:c>
    </x:row>
    <x:row r="2703" spans="1:16">
      <x:c r="A2703" s="0" t="s">
        <x:v>10651</x:v>
      </x:c>
      <x:c r="B2703" s="0" t="s">
        <x:v>10652</x:v>
      </x:c>
      <x:c r="C2703" s="0" t="s">
        <x:v>10653</x:v>
      </x:c>
      <x:c r="E2703" s="0" t="s">
        <x:v>10654</x:v>
      </x:c>
      <x:c r="F2703" s="0" t="s">
        <x:v>45</x:v>
      </x:c>
      <x:c r="G2703" s="0" t="s">
        <x:v>19</x:v>
      </x:c>
      <x:c r="H2703" s="0" t="s">
        <x:v>20</x:v>
      </x:c>
      <x:c r="I2703" s="0" t="s">
        <x:v>21</x:v>
      </x:c>
      <x:c r="K2703" s="0">
        <x:f>hyperlink("https://icd.who.int/dev11/l-ichi/en#/http%3A%2F%2Fid.who.int%2Ficd%2Fentity%2F879943448","browser")</x:f>
      </x:c>
      <x:c r="L2703" s="0">
        <x:f>hyperlink("https://icat2.azurewebsites.net/icat/?ontology=ICD&amp;tab=ClassesTab&amp;id=http%3A%2F%2Fwho.int%2Ficd%2311408_512ebf36_bf6b_4d70_85da_cf2637062af4","iCat")</x:f>
      </x:c>
      <x:c r="M2703" s="0" t="s">
        <x:v>21</x:v>
      </x:c>
      <x:c r="N2703" s="0" t="s">
        <x:v>46</x:v>
      </x:c>
    </x:row>
    <x:row r="2704" spans="1:16">
      <x:c r="A2704" s="0" t="s">
        <x:v>10655</x:v>
      </x:c>
      <x:c r="B2704" s="0" t="s">
        <x:v>10656</x:v>
      </x:c>
      <x:c r="C2704" s="0" t="s">
        <x:v>10657</x:v>
      </x:c>
      <x:c r="E2704" s="0" t="s">
        <x:v>10658</x:v>
      </x:c>
      <x:c r="F2704" s="0" t="s">
        <x:v>45</x:v>
      </x:c>
      <x:c r="G2704" s="0" t="s">
        <x:v>19</x:v>
      </x:c>
      <x:c r="H2704" s="0" t="s">
        <x:v>20</x:v>
      </x:c>
      <x:c r="I2704" s="0" t="s">
        <x:v>21</x:v>
      </x:c>
      <x:c r="K2704" s="0">
        <x:f>hyperlink("https://icd.who.int/dev11/l-ichi/en#/http%3A%2F%2Fid.who.int%2Ficd%2Fentity%2F624033632","browser")</x:f>
      </x:c>
      <x:c r="L2704" s="0">
        <x:f>hyperlink("https://icat2.azurewebsites.net/icat/?ontology=ICD&amp;tab=ClassesTab&amp;id=http%3A%2F%2Fwho.int%2Ficd%2311414_512ebf36_bf6b_4d70_85da_cf2637062af4","iCat")</x:f>
      </x:c>
      <x:c r="M2704" s="0" t="s">
        <x:v>21</x:v>
      </x:c>
      <x:c r="N2704" s="0" t="s">
        <x:v>46</x:v>
      </x:c>
    </x:row>
    <x:row r="2705" spans="1:16">
      <x:c r="A2705" s="0" t="s">
        <x:v>10659</x:v>
      </x:c>
      <x:c r="B2705" s="0" t="s">
        <x:v>10660</x:v>
      </x:c>
      <x:c r="C2705" s="0" t="s">
        <x:v>10661</x:v>
      </x:c>
      <x:c r="E2705" s="0" t="s">
        <x:v>10662</x:v>
      </x:c>
      <x:c r="F2705" s="0" t="s">
        <x:v>45</x:v>
      </x:c>
      <x:c r="G2705" s="0" t="s">
        <x:v>19</x:v>
      </x:c>
      <x:c r="H2705" s="0" t="s">
        <x:v>20</x:v>
      </x:c>
      <x:c r="I2705" s="0" t="s">
        <x:v>21</x:v>
      </x:c>
      <x:c r="K2705" s="0">
        <x:f>hyperlink("https://icd.who.int/dev11/l-ichi/en#/http%3A%2F%2Fid.who.int%2Ficd%2Fentity%2F1351056147","browser")</x:f>
      </x:c>
      <x:c r="L2705" s="0">
        <x:f>hyperlink("https://icat2.azurewebsites.net/icat/?ontology=ICD&amp;tab=ClassesTab&amp;id=http%3A%2F%2Fwho.int%2Ficd%2311420_512ebf36_bf6b_4d70_85da_cf2637062af4","iCat")</x:f>
      </x:c>
      <x:c r="M2705" s="0" t="s">
        <x:v>21</x:v>
      </x:c>
      <x:c r="N2705" s="0" t="s">
        <x:v>46</x:v>
      </x:c>
    </x:row>
    <x:row r="2706" spans="1:16">
      <x:c r="A2706" s="0" t="s">
        <x:v>10663</x:v>
      </x:c>
      <x:c r="B2706" s="0" t="s">
        <x:v>10664</x:v>
      </x:c>
      <x:c r="C2706" s="0" t="s">
        <x:v>10665</x:v>
      </x:c>
      <x:c r="E2706" s="0" t="s">
        <x:v>10666</x:v>
      </x:c>
      <x:c r="F2706" s="0" t="s">
        <x:v>45</x:v>
      </x:c>
      <x:c r="G2706" s="0" t="s">
        <x:v>19</x:v>
      </x:c>
      <x:c r="H2706" s="0" t="s">
        <x:v>20</x:v>
      </x:c>
      <x:c r="I2706" s="0" t="s">
        <x:v>21</x:v>
      </x:c>
      <x:c r="K2706" s="0">
        <x:f>hyperlink("https://icd.who.int/dev11/l-ichi/en#/http%3A%2F%2Fid.who.int%2Ficd%2Fentity%2F977464900","browser")</x:f>
      </x:c>
      <x:c r="L2706" s="0">
        <x:f>hyperlink("https://icat2.azurewebsites.net/icat/?ontology=ICD&amp;tab=ClassesTab&amp;id=http%3A%2F%2Fwho.int%2Ficd%2311430_512ebf36_bf6b_4d70_85da_cf2637062af4","iCat")</x:f>
      </x:c>
      <x:c r="M2706" s="0" t="s">
        <x:v>21</x:v>
      </x:c>
      <x:c r="N2706" s="0" t="s">
        <x:v>46</x:v>
      </x:c>
    </x:row>
    <x:row r="2707" spans="1:16">
      <x:c r="A2707" s="0" t="s">
        <x:v>10667</x:v>
      </x:c>
      <x:c r="B2707" s="0" t="s">
        <x:v>10668</x:v>
      </x:c>
      <x:c r="C2707" s="0" t="s">
        <x:v>10669</x:v>
      </x:c>
      <x:c r="E2707" s="0" t="s">
        <x:v>10670</x:v>
      </x:c>
      <x:c r="F2707" s="0" t="s">
        <x:v>45</x:v>
      </x:c>
      <x:c r="G2707" s="0" t="s">
        <x:v>19</x:v>
      </x:c>
      <x:c r="H2707" s="0" t="s">
        <x:v>20</x:v>
      </x:c>
      <x:c r="I2707" s="0" t="s">
        <x:v>21</x:v>
      </x:c>
      <x:c r="K2707" s="0">
        <x:f>hyperlink("https://icd.who.int/dev11/l-ichi/en#/http%3A%2F%2Fid.who.int%2Ficd%2Fentity%2F1782134773","browser")</x:f>
      </x:c>
      <x:c r="L2707" s="0">
        <x:f>hyperlink("https://icat2.azurewebsites.net/icat/?ontology=ICD&amp;tab=ClassesTab&amp;id=http%3A%2F%2Fwho.int%2Ficd%2311436_512ebf36_bf6b_4d70_85da_cf2637062af4","iCat")</x:f>
      </x:c>
      <x:c r="M2707" s="0" t="s">
        <x:v>21</x:v>
      </x:c>
      <x:c r="N2707" s="0" t="s">
        <x:v>46</x:v>
      </x:c>
    </x:row>
    <x:row r="2708" spans="1:16">
      <x:c r="A2708" s="0" t="s">
        <x:v>10671</x:v>
      </x:c>
      <x:c r="B2708" s="0" t="s">
        <x:v>10672</x:v>
      </x:c>
      <x:c r="C2708" s="0" t="s">
        <x:v>10673</x:v>
      </x:c>
      <x:c r="E2708" s="0" t="s">
        <x:v>10674</x:v>
      </x:c>
      <x:c r="F2708" s="0" t="s">
        <x:v>45</x:v>
      </x:c>
      <x:c r="G2708" s="0" t="s">
        <x:v>19</x:v>
      </x:c>
      <x:c r="H2708" s="0" t="s">
        <x:v>20</x:v>
      </x:c>
      <x:c r="I2708" s="0" t="s">
        <x:v>21</x:v>
      </x:c>
      <x:c r="K2708" s="0">
        <x:f>hyperlink("https://icd.who.int/dev11/l-ichi/en#/http%3A%2F%2Fid.who.int%2Ficd%2Fentity%2F1877532827","browser")</x:f>
      </x:c>
      <x:c r="L2708" s="0">
        <x:f>hyperlink("https://icat2.azurewebsites.net/icat/?ontology=ICD&amp;tab=ClassesTab&amp;id=http%3A%2F%2Fwho.int%2Ficd%2311442_512ebf36_bf6b_4d70_85da_cf2637062af4","iCat")</x:f>
      </x:c>
      <x:c r="M2708" s="0" t="s">
        <x:v>21</x:v>
      </x:c>
      <x:c r="N2708" s="0" t="s">
        <x:v>46</x:v>
      </x:c>
    </x:row>
    <x:row r="2709" spans="1:16">
      <x:c r="A2709" s="0" t="s">
        <x:v>10675</x:v>
      </x:c>
      <x:c r="B2709" s="0" t="s">
        <x:v>10676</x:v>
      </x:c>
      <x:c r="C2709" s="0" t="s">
        <x:v>10677</x:v>
      </x:c>
      <x:c r="E2709" s="0" t="s">
        <x:v>10678</x:v>
      </x:c>
      <x:c r="F2709" s="0" t="s">
        <x:v>45</x:v>
      </x:c>
      <x:c r="G2709" s="0" t="s">
        <x:v>19</x:v>
      </x:c>
      <x:c r="H2709" s="0" t="s">
        <x:v>20</x:v>
      </x:c>
      <x:c r="I2709" s="0" t="s">
        <x:v>21</x:v>
      </x:c>
      <x:c r="K2709" s="0">
        <x:f>hyperlink("https://icd.who.int/dev11/l-ichi/en#/http%3A%2F%2Fid.who.int%2Ficd%2Fentity%2F1142262795","browser")</x:f>
      </x:c>
      <x:c r="L2709" s="0">
        <x:f>hyperlink("https://icat2.azurewebsites.net/icat/?ontology=ICD&amp;tab=ClassesTab&amp;id=http%3A%2F%2Fwho.int%2Ficd%2311448_512ebf36_bf6b_4d70_85da_cf2637062af4","iCat")</x:f>
      </x:c>
      <x:c r="M2709" s="0" t="s">
        <x:v>21</x:v>
      </x:c>
      <x:c r="N2709" s="0" t="s">
        <x:v>46</x:v>
      </x:c>
    </x:row>
    <x:row r="2710" spans="1:16">
      <x:c r="A2710" s="0" t="s">
        <x:v>10679</x:v>
      </x:c>
      <x:c r="B2710" s="0" t="s">
        <x:v>10680</x:v>
      </x:c>
      <x:c r="C2710" s="0" t="s">
        <x:v>10681</x:v>
      </x:c>
      <x:c r="E2710" s="0" t="s">
        <x:v>10682</x:v>
      </x:c>
      <x:c r="F2710" s="0" t="s">
        <x:v>45</x:v>
      </x:c>
      <x:c r="G2710" s="0" t="s">
        <x:v>19</x:v>
      </x:c>
      <x:c r="H2710" s="0" t="s">
        <x:v>20</x:v>
      </x:c>
      <x:c r="I2710" s="0" t="s">
        <x:v>21</x:v>
      </x:c>
      <x:c r="K2710" s="0">
        <x:f>hyperlink("https://icd.who.int/dev11/l-ichi/en#/http%3A%2F%2Fid.who.int%2Ficd%2Fentity%2F1431743613","browser")</x:f>
      </x:c>
      <x:c r="L2710" s="0">
        <x:f>hyperlink("https://icat2.azurewebsites.net/icat/?ontology=ICD&amp;tab=ClassesTab&amp;id=http%3A%2F%2Fwho.int%2Ficd%2311454_512ebf36_bf6b_4d70_85da_cf2637062af4","iCat")</x:f>
      </x:c>
      <x:c r="M2710" s="0" t="s">
        <x:v>21</x:v>
      </x:c>
      <x:c r="N2710" s="0" t="s">
        <x:v>46</x:v>
      </x:c>
    </x:row>
    <x:row r="2711" spans="1:16">
      <x:c r="A2711" s="0" t="s">
        <x:v>10683</x:v>
      </x:c>
      <x:c r="B2711" s="0" t="s">
        <x:v>10684</x:v>
      </x:c>
      <x:c r="C2711" s="0" t="s">
        <x:v>10685</x:v>
      </x:c>
      <x:c r="E2711" s="0" t="s">
        <x:v>10686</x:v>
      </x:c>
      <x:c r="F2711" s="0" t="s">
        <x:v>45</x:v>
      </x:c>
      <x:c r="G2711" s="0" t="s">
        <x:v>19</x:v>
      </x:c>
      <x:c r="H2711" s="0" t="s">
        <x:v>20</x:v>
      </x:c>
      <x:c r="I2711" s="0" t="s">
        <x:v>21</x:v>
      </x:c>
      <x:c r="K2711" s="0">
        <x:f>hyperlink("https://icd.who.int/dev11/l-ichi/en#/http%3A%2F%2Fid.who.int%2Ficd%2Fentity%2F551561230","browser")</x:f>
      </x:c>
      <x:c r="L2711" s="0">
        <x:f>hyperlink("https://icat2.azurewebsites.net/icat/?ontology=ICD&amp;tab=ClassesTab&amp;id=http%3A%2F%2Fwho.int%2Ficd%2311460_512ebf36_bf6b_4d70_85da_cf2637062af4","iCat")</x:f>
      </x:c>
      <x:c r="M2711" s="0" t="s">
        <x:v>21</x:v>
      </x:c>
      <x:c r="N2711" s="0" t="s">
        <x:v>46</x:v>
      </x:c>
    </x:row>
    <x:row r="2712" spans="1:16">
      <x:c r="A2712" s="0" t="s">
        <x:v>10687</x:v>
      </x:c>
      <x:c r="B2712" s="0" t="s">
        <x:v>10688</x:v>
      </x:c>
      <x:c r="C2712" s="0" t="s">
        <x:v>10689</x:v>
      </x:c>
      <x:c r="E2712" s="0" t="s">
        <x:v>10690</x:v>
      </x:c>
      <x:c r="F2712" s="0" t="s">
        <x:v>45</x:v>
      </x:c>
      <x:c r="G2712" s="0" t="s">
        <x:v>19</x:v>
      </x:c>
      <x:c r="H2712" s="0" t="s">
        <x:v>20</x:v>
      </x:c>
      <x:c r="I2712" s="0" t="s">
        <x:v>21</x:v>
      </x:c>
      <x:c r="K2712" s="0">
        <x:f>hyperlink("https://icd.who.int/dev11/l-ichi/en#/http%3A%2F%2Fid.who.int%2Ficd%2Fentity%2F681459583","browser")</x:f>
      </x:c>
      <x:c r="L2712" s="0">
        <x:f>hyperlink("https://icat2.azurewebsites.net/icat/?ontology=ICD&amp;tab=ClassesTab&amp;id=http%3A%2F%2Fwho.int%2Ficd%231409_d85a204c_d00a_4566_a3b7_2d137a1891cf","iCat")</x:f>
      </x:c>
      <x:c r="M2712" s="0" t="s">
        <x:v>21</x:v>
      </x:c>
      <x:c r="N2712" s="0" t="s">
        <x:v>46</x:v>
      </x:c>
    </x:row>
    <x:row r="2713" spans="1:16">
      <x:c r="A2713" s="0" t="s">
        <x:v>10691</x:v>
      </x:c>
      <x:c r="B2713" s="0" t="s">
        <x:v>10692</x:v>
      </x:c>
      <x:c r="C2713" s="0" t="s">
        <x:v>10693</x:v>
      </x:c>
      <x:c r="E2713" s="0" t="s">
        <x:v>10694</x:v>
      </x:c>
      <x:c r="F2713" s="0" t="s">
        <x:v>45</x:v>
      </x:c>
      <x:c r="G2713" s="0" t="s">
        <x:v>19</x:v>
      </x:c>
      <x:c r="H2713" s="0" t="s">
        <x:v>20</x:v>
      </x:c>
      <x:c r="I2713" s="0" t="s">
        <x:v>21</x:v>
      </x:c>
      <x:c r="K2713" s="0">
        <x:f>hyperlink("https://icd.who.int/dev11/l-ichi/en#/http%3A%2F%2Fid.who.int%2Ficd%2Fentity%2F970792713","browser")</x:f>
      </x:c>
      <x:c r="L2713" s="0">
        <x:f>hyperlink("https://icat2.azurewebsites.net/icat/?ontology=ICD&amp;tab=ClassesTab&amp;id=http%3A%2F%2Fwho.int%2Ficd%231415_d85a204c_d00a_4566_a3b7_2d137a1891cf","iCat")</x:f>
      </x:c>
      <x:c r="M2713" s="0" t="s">
        <x:v>21</x:v>
      </x:c>
      <x:c r="N2713" s="0" t="s">
        <x:v>46</x:v>
      </x:c>
    </x:row>
    <x:row r="2714" spans="1:16">
      <x:c r="A2714" s="0" t="s">
        <x:v>10695</x:v>
      </x:c>
      <x:c r="B2714" s="0" t="s">
        <x:v>10696</x:v>
      </x:c>
      <x:c r="C2714" s="0" t="s">
        <x:v>10697</x:v>
      </x:c>
      <x:c r="E2714" s="0" t="s">
        <x:v>10698</x:v>
      </x:c>
      <x:c r="F2714" s="0" t="s">
        <x:v>45</x:v>
      </x:c>
      <x:c r="G2714" s="0" t="s">
        <x:v>19</x:v>
      </x:c>
      <x:c r="H2714" s="0" t="s">
        <x:v>20</x:v>
      </x:c>
      <x:c r="I2714" s="0" t="s">
        <x:v>21</x:v>
      </x:c>
      <x:c r="K2714" s="0">
        <x:f>hyperlink("https://icd.who.int/dev11/l-ichi/en#/http%3A%2F%2Fid.who.int%2Ficd%2Fentity%2F680825346","browser")</x:f>
      </x:c>
      <x:c r="L2714" s="0">
        <x:f>hyperlink("https://icat2.azurewebsites.net/icat/?ontology=ICD&amp;tab=ClassesTab&amp;id=http%3A%2F%2Fwho.int%2Ficd%232289_97087496_4a82_4efa_a45a_b3256f81bd7e","iCat")</x:f>
      </x:c>
      <x:c r="M2714" s="0" t="s">
        <x:v>21</x:v>
      </x:c>
      <x:c r="N2714" s="0" t="s">
        <x:v>46</x:v>
      </x:c>
    </x:row>
    <x:row r="2715" spans="1:16">
      <x:c r="A2715" s="0" t="s">
        <x:v>10699</x:v>
      </x:c>
      <x:c r="B2715" s="0" t="s">
        <x:v>10700</x:v>
      </x:c>
      <x:c r="C2715" s="0" t="s">
        <x:v>10701</x:v>
      </x:c>
      <x:c r="E2715" s="0" t="s">
        <x:v>10702</x:v>
      </x:c>
      <x:c r="F2715" s="0" t="s">
        <x:v>45</x:v>
      </x:c>
      <x:c r="G2715" s="0" t="s">
        <x:v>19</x:v>
      </x:c>
      <x:c r="H2715" s="0" t="s">
        <x:v>20</x:v>
      </x:c>
      <x:c r="I2715" s="0" t="s">
        <x:v>21</x:v>
      </x:c>
      <x:c r="K2715" s="0">
        <x:f>hyperlink("https://icd.who.int/dev11/l-ichi/en#/http%3A%2F%2Fid.who.int%2Ficd%2Fentity%2F1889268159","browser")</x:f>
      </x:c>
      <x:c r="L2715" s="0">
        <x:f>hyperlink("https://icat2.azurewebsites.net/icat/?ontology=ICD&amp;tab=ClassesTab&amp;id=http%3A%2F%2Fwho.int%2Ficd%2311466_512ebf36_bf6b_4d70_85da_cf2637062af4","iCat")</x:f>
      </x:c>
      <x:c r="M2715" s="0" t="s">
        <x:v>21</x:v>
      </x:c>
      <x:c r="N2715" s="0" t="s">
        <x:v>46</x:v>
      </x:c>
    </x:row>
    <x:row r="2716" spans="1:16">
      <x:c r="A2716" s="0" t="s">
        <x:v>10703</x:v>
      </x:c>
      <x:c r="B2716" s="0" t="s">
        <x:v>10704</x:v>
      </x:c>
      <x:c r="C2716" s="0" t="s">
        <x:v>10705</x:v>
      </x:c>
      <x:c r="E2716" s="0" t="s">
        <x:v>10706</x:v>
      </x:c>
      <x:c r="F2716" s="0" t="s">
        <x:v>45</x:v>
      </x:c>
      <x:c r="G2716" s="0" t="s">
        <x:v>19</x:v>
      </x:c>
      <x:c r="H2716" s="0" t="s">
        <x:v>20</x:v>
      </x:c>
      <x:c r="I2716" s="0" t="s">
        <x:v>21</x:v>
      </x:c>
      <x:c r="K2716" s="0">
        <x:f>hyperlink("https://icd.who.int/dev11/l-ichi/en#/http%3A%2F%2Fid.who.int%2Ficd%2Fentity%2F794402972","browser")</x:f>
      </x:c>
      <x:c r="L2716" s="0">
        <x:f>hyperlink("https://icat2.azurewebsites.net/icat/?ontology=ICD&amp;tab=ClassesTab&amp;id=http%3A%2F%2Fwho.int%2Ficd%2311472_512ebf36_bf6b_4d70_85da_cf2637062af4","iCat")</x:f>
      </x:c>
      <x:c r="M2716" s="0" t="s">
        <x:v>21</x:v>
      </x:c>
      <x:c r="N2716" s="0" t="s">
        <x:v>46</x:v>
      </x:c>
    </x:row>
    <x:row r="2717" spans="1:16">
      <x:c r="A2717" s="0" t="s">
        <x:v>10707</x:v>
      </x:c>
      <x:c r="B2717" s="0" t="s">
        <x:v>10708</x:v>
      </x:c>
      <x:c r="C2717" s="0" t="s">
        <x:v>10709</x:v>
      </x:c>
      <x:c r="E2717" s="0" t="s">
        <x:v>10710</x:v>
      </x:c>
      <x:c r="F2717" s="0" t="s">
        <x:v>45</x:v>
      </x:c>
      <x:c r="G2717" s="0" t="s">
        <x:v>19</x:v>
      </x:c>
      <x:c r="H2717" s="0" t="s">
        <x:v>20</x:v>
      </x:c>
      <x:c r="I2717" s="0" t="s">
        <x:v>21</x:v>
      </x:c>
      <x:c r="K2717" s="0">
        <x:f>hyperlink("https://icd.who.int/dev11/l-ichi/en#/http%3A%2F%2Fid.who.int%2Ficd%2Fentity%2F77909004","browser")</x:f>
      </x:c>
      <x:c r="L2717" s="0">
        <x:f>hyperlink("https://icat2.azurewebsites.net/icat/?ontology=ICD&amp;tab=ClassesTab&amp;id=http%3A%2F%2Fwho.int%2Ficd%2311478_512ebf36_bf6b_4d70_85da_cf2637062af4","iCat")</x:f>
      </x:c>
      <x:c r="M2717" s="0" t="s">
        <x:v>21</x:v>
      </x:c>
      <x:c r="N2717" s="0" t="s">
        <x:v>46</x:v>
      </x:c>
    </x:row>
    <x:row r="2718" spans="1:16">
      <x:c r="A2718" s="0" t="s">
        <x:v>10711</x:v>
      </x:c>
      <x:c r="B2718" s="0" t="s">
        <x:v>10712</x:v>
      </x:c>
      <x:c r="C2718" s="0" t="s">
        <x:v>10713</x:v>
      </x:c>
      <x:c r="E2718" s="0" t="s">
        <x:v>10714</x:v>
      </x:c>
      <x:c r="F2718" s="0" t="s">
        <x:v>45</x:v>
      </x:c>
      <x:c r="G2718" s="0" t="s">
        <x:v>19</x:v>
      </x:c>
      <x:c r="H2718" s="0" t="s">
        <x:v>20</x:v>
      </x:c>
      <x:c r="I2718" s="0" t="s">
        <x:v>21</x:v>
      </x:c>
      <x:c r="K2718" s="0">
        <x:f>hyperlink("https://icd.who.int/dev11/l-ichi/en#/http%3A%2F%2Fid.who.int%2Ficd%2Fentity%2F1355101171","browser")</x:f>
      </x:c>
      <x:c r="L2718" s="0">
        <x:f>hyperlink("https://icat2.azurewebsites.net/icat/?ontology=ICD&amp;tab=ClassesTab&amp;id=http%3A%2F%2Fwho.int%2Ficd%2311484_512ebf36_bf6b_4d70_85da_cf2637062af4","iCat")</x:f>
      </x:c>
      <x:c r="M2718" s="0" t="s">
        <x:v>21</x:v>
      </x:c>
      <x:c r="N2718" s="0" t="s">
        <x:v>46</x:v>
      </x:c>
    </x:row>
    <x:row r="2719" spans="1:16">
      <x:c r="A2719" s="0" t="s">
        <x:v>10715</x:v>
      </x:c>
      <x:c r="B2719" s="0" t="s">
        <x:v>10716</x:v>
      </x:c>
      <x:c r="C2719" s="0" t="s">
        <x:v>10717</x:v>
      </x:c>
      <x:c r="E2719" s="0" t="s">
        <x:v>10718</x:v>
      </x:c>
      <x:c r="F2719" s="0" t="s">
        <x:v>45</x:v>
      </x:c>
      <x:c r="G2719" s="0" t="s">
        <x:v>19</x:v>
      </x:c>
      <x:c r="H2719" s="0" t="s">
        <x:v>20</x:v>
      </x:c>
      <x:c r="I2719" s="0" t="s">
        <x:v>21</x:v>
      </x:c>
      <x:c r="K2719" s="0">
        <x:f>hyperlink("https://icd.who.int/dev11/l-ichi/en#/http%3A%2F%2Fid.who.int%2Ficd%2Fentity%2F1476700484","browser")</x:f>
      </x:c>
      <x:c r="L2719" s="0">
        <x:f>hyperlink("https://icat2.azurewebsites.net/icat/?ontology=ICD&amp;tab=ClassesTab&amp;id=http%3A%2F%2Fwho.int%2Ficd%2315554_4869915e_217e_423d_acb3_33c0f920ef4b","iCat")</x:f>
      </x:c>
      <x:c r="M2719" s="0" t="s">
        <x:v>21</x:v>
      </x:c>
      <x:c r="N2719" s="0" t="s">
        <x:v>46</x:v>
      </x:c>
    </x:row>
    <x:row r="2720" spans="1:16">
      <x:c r="A2720" s="0" t="s">
        <x:v>10719</x:v>
      </x:c>
      <x:c r="B2720" s="0" t="s">
        <x:v>10720</x:v>
      </x:c>
      <x:c r="C2720" s="0" t="s">
        <x:v>10721</x:v>
      </x:c>
      <x:c r="E2720" s="0" t="s">
        <x:v>10722</x:v>
      </x:c>
      <x:c r="F2720" s="0" t="s">
        <x:v>45</x:v>
      </x:c>
      <x:c r="G2720" s="0" t="s">
        <x:v>19</x:v>
      </x:c>
      <x:c r="H2720" s="0" t="s">
        <x:v>20</x:v>
      </x:c>
      <x:c r="I2720" s="0" t="s">
        <x:v>21</x:v>
      </x:c>
      <x:c r="K2720" s="0">
        <x:f>hyperlink("https://icd.who.int/dev11/l-ichi/en#/http%3A%2F%2Fid.who.int%2Ficd%2Fentity%2F452580504","browser")</x:f>
      </x:c>
      <x:c r="L2720" s="0">
        <x:f>hyperlink("https://icat2.azurewebsites.net/icat/?ontology=ICD&amp;tab=ClassesTab&amp;id=http%3A%2F%2Fwho.int%2Ficd%2311495_512ebf36_bf6b_4d70_85da_cf2637062af4","iCat")</x:f>
      </x:c>
      <x:c r="M2720" s="0" t="s">
        <x:v>21</x:v>
      </x:c>
      <x:c r="N2720" s="0" t="s">
        <x:v>46</x:v>
      </x:c>
    </x:row>
    <x:row r="2721" spans="1:16">
      <x:c r="A2721" s="0" t="s">
        <x:v>10723</x:v>
      </x:c>
      <x:c r="B2721" s="0" t="s">
        <x:v>10724</x:v>
      </x:c>
      <x:c r="C2721" s="0" t="s">
        <x:v>10725</x:v>
      </x:c>
      <x:c r="E2721" s="0" t="s">
        <x:v>10726</x:v>
      </x:c>
      <x:c r="F2721" s="0" t="s">
        <x:v>45</x:v>
      </x:c>
      <x:c r="G2721" s="0" t="s">
        <x:v>19</x:v>
      </x:c>
      <x:c r="H2721" s="0" t="s">
        <x:v>20</x:v>
      </x:c>
      <x:c r="I2721" s="0" t="s">
        <x:v>21</x:v>
      </x:c>
      <x:c r="K2721" s="0">
        <x:f>hyperlink("https://icd.who.int/dev11/l-ichi/en#/http%3A%2F%2Fid.who.int%2Ficd%2Fentity%2F1595388271","browser")</x:f>
      </x:c>
      <x:c r="L2721" s="0">
        <x:f>hyperlink("https://icat2.azurewebsites.net/icat/?ontology=ICD&amp;tab=ClassesTab&amp;id=http%3A%2F%2Fwho.int%2Ficd%2311506_512ebf36_bf6b_4d70_85da_cf2637062af4","iCat")</x:f>
      </x:c>
      <x:c r="M2721" s="0" t="s">
        <x:v>21</x:v>
      </x:c>
      <x:c r="N2721" s="0" t="s">
        <x:v>46</x:v>
      </x:c>
    </x:row>
    <x:row r="2722" spans="1:16">
      <x:c r="A2722" s="0" t="s">
        <x:v>10727</x:v>
      </x:c>
      <x:c r="B2722" s="0" t="s">
        <x:v>10728</x:v>
      </x:c>
      <x:c r="C2722" s="0" t="s">
        <x:v>10729</x:v>
      </x:c>
      <x:c r="E2722" s="0" t="s">
        <x:v>10730</x:v>
      </x:c>
      <x:c r="F2722" s="0" t="s">
        <x:v>45</x:v>
      </x:c>
      <x:c r="G2722" s="0" t="s">
        <x:v>19</x:v>
      </x:c>
      <x:c r="H2722" s="0" t="s">
        <x:v>20</x:v>
      </x:c>
      <x:c r="I2722" s="0" t="s">
        <x:v>21</x:v>
      </x:c>
      <x:c r="K2722" s="0">
        <x:f>hyperlink("https://icd.who.int/dev11/l-ichi/en#/http%3A%2F%2Fid.who.int%2Ficd%2Fentity%2F14016590","browser")</x:f>
      </x:c>
      <x:c r="L2722" s="0">
        <x:f>hyperlink("https://icat2.azurewebsites.net/icat/?ontology=ICD&amp;tab=ClassesTab&amp;id=http%3A%2F%2Fwho.int%2Ficd%2311512_512ebf36_bf6b_4d70_85da_cf2637062af4","iCat")</x:f>
      </x:c>
      <x:c r="M2722" s="0" t="s">
        <x:v>21</x:v>
      </x:c>
      <x:c r="N2722" s="0" t="s">
        <x:v>46</x:v>
      </x:c>
    </x:row>
    <x:row r="2723" spans="1:16">
      <x:c r="A2723" s="0" t="s">
        <x:v>10731</x:v>
      </x:c>
      <x:c r="B2723" s="0" t="s">
        <x:v>10732</x:v>
      </x:c>
      <x:c r="C2723" s="0" t="s">
        <x:v>10733</x:v>
      </x:c>
      <x:c r="E2723" s="0" t="s">
        <x:v>10734</x:v>
      </x:c>
      <x:c r="F2723" s="0" t="s">
        <x:v>45</x:v>
      </x:c>
      <x:c r="G2723" s="0" t="s">
        <x:v>19</x:v>
      </x:c>
      <x:c r="H2723" s="0" t="s">
        <x:v>20</x:v>
      </x:c>
      <x:c r="I2723" s="0" t="s">
        <x:v>21</x:v>
      </x:c>
      <x:c r="K2723" s="0">
        <x:f>hyperlink("https://icd.who.int/dev11/l-ichi/en#/http%3A%2F%2Fid.who.int%2Ficd%2Fentity%2F1282120572","browser")</x:f>
      </x:c>
      <x:c r="L2723" s="0">
        <x:f>hyperlink("https://icat2.azurewebsites.net/icat/?ontology=ICD&amp;tab=ClassesTab&amp;id=http%3A%2F%2Fwho.int%2Ficd%231421_d85a204c_d00a_4566_a3b7_2d137a1891cf","iCat")</x:f>
      </x:c>
      <x:c r="M2723" s="0" t="s">
        <x:v>21</x:v>
      </x:c>
      <x:c r="N2723" s="0" t="s">
        <x:v>46</x:v>
      </x:c>
    </x:row>
    <x:row r="2724" spans="1:16">
      <x:c r="A2724" s="0" t="s">
        <x:v>10735</x:v>
      </x:c>
      <x:c r="B2724" s="0" t="s">
        <x:v>10736</x:v>
      </x:c>
      <x:c r="C2724" s="0" t="s">
        <x:v>10737</x:v>
      </x:c>
      <x:c r="E2724" s="0" t="s">
        <x:v>10738</x:v>
      </x:c>
      <x:c r="F2724" s="0" t="s">
        <x:v>45</x:v>
      </x:c>
      <x:c r="G2724" s="0" t="s">
        <x:v>19</x:v>
      </x:c>
      <x:c r="H2724" s="0" t="s">
        <x:v>20</x:v>
      </x:c>
      <x:c r="I2724" s="0" t="s">
        <x:v>21</x:v>
      </x:c>
      <x:c r="K2724" s="0">
        <x:f>hyperlink("https://icd.who.int/dev11/l-ichi/en#/http%3A%2F%2Fid.who.int%2Ficd%2Fentity%2F470827723","browser")</x:f>
      </x:c>
      <x:c r="L2724" s="0">
        <x:f>hyperlink("https://icat2.azurewebsites.net/icat/?ontology=ICD&amp;tab=ClassesTab&amp;id=http%3A%2F%2Fwho.int%2Ficd%231427_d85a204c_d00a_4566_a3b7_2d137a1891cf","iCat")</x:f>
      </x:c>
      <x:c r="M2724" s="0" t="s">
        <x:v>21</x:v>
      </x:c>
      <x:c r="N2724" s="0" t="s">
        <x:v>46</x:v>
      </x:c>
    </x:row>
    <x:row r="2725" spans="1:16">
      <x:c r="A2725" s="0" t="s">
        <x:v>10739</x:v>
      </x:c>
      <x:c r="B2725" s="0" t="s">
        <x:v>10740</x:v>
      </x:c>
      <x:c r="C2725" s="0" t="s">
        <x:v>10741</x:v>
      </x:c>
      <x:c r="E2725" s="0" t="s">
        <x:v>10742</x:v>
      </x:c>
      <x:c r="F2725" s="0" t="s">
        <x:v>45</x:v>
      </x:c>
      <x:c r="G2725" s="0" t="s">
        <x:v>19</x:v>
      </x:c>
      <x:c r="H2725" s="0" t="s">
        <x:v>20</x:v>
      </x:c>
      <x:c r="I2725" s="0" t="s">
        <x:v>21</x:v>
      </x:c>
      <x:c r="K2725" s="0">
        <x:f>hyperlink("https://icd.who.int/dev11/l-ichi/en#/http%3A%2F%2Fid.who.int%2Ficd%2Fentity%2F622378382","browser")</x:f>
      </x:c>
      <x:c r="L2725" s="0">
        <x:f>hyperlink("https://icat2.azurewebsites.net/icat/?ontology=ICD&amp;tab=ClassesTab&amp;id=http%3A%2F%2Fwho.int%2Ficd%2311520_512ebf36_bf6b_4d70_85da_cf2637062af4","iCat")</x:f>
      </x:c>
      <x:c r="M2725" s="0" t="s">
        <x:v>21</x:v>
      </x:c>
      <x:c r="N2725" s="0" t="s">
        <x:v>46</x:v>
      </x:c>
    </x:row>
    <x:row r="2726" spans="1:16">
      <x:c r="A2726" s="0" t="s">
        <x:v>10743</x:v>
      </x:c>
      <x:c r="B2726" s="0" t="s">
        <x:v>10744</x:v>
      </x:c>
      <x:c r="C2726" s="0" t="s">
        <x:v>10745</x:v>
      </x:c>
      <x:c r="E2726" s="0" t="s">
        <x:v>10746</x:v>
      </x:c>
      <x:c r="F2726" s="0" t="s">
        <x:v>45</x:v>
      </x:c>
      <x:c r="G2726" s="0" t="s">
        <x:v>19</x:v>
      </x:c>
      <x:c r="H2726" s="0" t="s">
        <x:v>20</x:v>
      </x:c>
      <x:c r="I2726" s="0" t="s">
        <x:v>21</x:v>
      </x:c>
      <x:c r="K2726" s="0">
        <x:f>hyperlink("https://icd.who.int/dev11/l-ichi/en#/http%3A%2F%2Fid.who.int%2Ficd%2Fentity%2F1969447999","browser")</x:f>
      </x:c>
      <x:c r="L2726" s="0">
        <x:f>hyperlink("https://icat2.azurewebsites.net/icat/?ontology=ICD&amp;tab=ClassesTab&amp;id=http%3A%2F%2Fwho.int%2Ficd%2311526_512ebf36_bf6b_4d70_85da_cf2637062af4","iCat")</x:f>
      </x:c>
      <x:c r="M2726" s="0" t="s">
        <x:v>21</x:v>
      </x:c>
      <x:c r="N2726" s="0" t="s">
        <x:v>46</x:v>
      </x:c>
    </x:row>
    <x:row r="2727" spans="1:16">
      <x:c r="A2727" s="0" t="s">
        <x:v>10747</x:v>
      </x:c>
      <x:c r="B2727" s="0" t="s">
        <x:v>10748</x:v>
      </x:c>
      <x:c r="C2727" s="0" t="s">
        <x:v>10749</x:v>
      </x:c>
      <x:c r="E2727" s="0" t="s">
        <x:v>10750</x:v>
      </x:c>
      <x:c r="F2727" s="0" t="s">
        <x:v>45</x:v>
      </x:c>
      <x:c r="G2727" s="0" t="s">
        <x:v>19</x:v>
      </x:c>
      <x:c r="H2727" s="0" t="s">
        <x:v>20</x:v>
      </x:c>
      <x:c r="I2727" s="0" t="s">
        <x:v>21</x:v>
      </x:c>
      <x:c r="K2727" s="0">
        <x:f>hyperlink("https://icd.who.int/dev11/l-ichi/en#/http%3A%2F%2Fid.who.int%2Ficd%2Fentity%2F2840305","browser")</x:f>
      </x:c>
      <x:c r="L2727" s="0">
        <x:f>hyperlink("https://icat2.azurewebsites.net/icat/?ontology=ICD&amp;tab=ClassesTab&amp;id=http%3A%2F%2Fwho.int%2Ficd%2340_e02c2df3_77b6_419a_b43f_c4531334dd70","iCat")</x:f>
      </x:c>
      <x:c r="M2727" s="0" t="s">
        <x:v>21</x:v>
      </x:c>
      <x:c r="N2727" s="0" t="s">
        <x:v>46</x:v>
      </x:c>
    </x:row>
    <x:row r="2728" spans="1:16">
      <x:c r="A2728" s="0" t="s">
        <x:v>10751</x:v>
      </x:c>
      <x:c r="B2728" s="0" t="s">
        <x:v>10752</x:v>
      </x:c>
      <x:c r="C2728" s="0" t="s">
        <x:v>10753</x:v>
      </x:c>
      <x:c r="E2728" s="0" t="s">
        <x:v>10754</x:v>
      </x:c>
      <x:c r="F2728" s="0" t="s">
        <x:v>45</x:v>
      </x:c>
      <x:c r="G2728" s="0" t="s">
        <x:v>19</x:v>
      </x:c>
      <x:c r="H2728" s="0" t="s">
        <x:v>20</x:v>
      </x:c>
      <x:c r="I2728" s="0" t="s">
        <x:v>21</x:v>
      </x:c>
      <x:c r="K2728" s="0">
        <x:f>hyperlink("https://icd.who.int/dev11/l-ichi/en#/http%3A%2F%2Fid.who.int%2Ficd%2Fentity%2F715207964","browser")</x:f>
      </x:c>
      <x:c r="L2728" s="0">
        <x:f>hyperlink("https://icat2.azurewebsites.net/icat/?ontology=ICD&amp;tab=ClassesTab&amp;id=http%3A%2F%2Fwho.int%2Ficd%2311532_512ebf36_bf6b_4d70_85da_cf2637062af4","iCat")</x:f>
      </x:c>
      <x:c r="M2728" s="0" t="s">
        <x:v>21</x:v>
      </x:c>
      <x:c r="N2728" s="0" t="s">
        <x:v>46</x:v>
      </x:c>
    </x:row>
    <x:row r="2729" spans="1:16">
      <x:c r="A2729" s="0" t="s">
        <x:v>10755</x:v>
      </x:c>
      <x:c r="B2729" s="0" t="s">
        <x:v>10756</x:v>
      </x:c>
      <x:c r="C2729" s="0" t="s">
        <x:v>10757</x:v>
      </x:c>
      <x:c r="E2729" s="0" t="s">
        <x:v>10758</x:v>
      </x:c>
      <x:c r="F2729" s="0" t="s">
        <x:v>45</x:v>
      </x:c>
      <x:c r="G2729" s="0" t="s">
        <x:v>19</x:v>
      </x:c>
      <x:c r="H2729" s="0" t="s">
        <x:v>20</x:v>
      </x:c>
      <x:c r="I2729" s="0" t="s">
        <x:v>21</x:v>
      </x:c>
      <x:c r="K2729" s="0">
        <x:f>hyperlink("https://icd.who.int/dev11/l-ichi/en#/http%3A%2F%2Fid.who.int%2Ficd%2Fentity%2F2131442627","browser")</x:f>
      </x:c>
      <x:c r="L2729" s="0">
        <x:f>hyperlink("https://icat2.azurewebsites.net/icat/?ontology=ICD&amp;tab=ClassesTab&amp;id=http%3A%2F%2Fwho.int%2Ficd%2311540_512ebf36_bf6b_4d70_85da_cf2637062af4","iCat")</x:f>
      </x:c>
      <x:c r="M2729" s="0" t="s">
        <x:v>21</x:v>
      </x:c>
      <x:c r="N2729" s="0" t="s">
        <x:v>46</x:v>
      </x:c>
    </x:row>
    <x:row r="2730" spans="1:16">
      <x:c r="A2730" s="0" t="s">
        <x:v>10759</x:v>
      </x:c>
      <x:c r="B2730" s="0" t="s">
        <x:v>10760</x:v>
      </x:c>
      <x:c r="C2730" s="0" t="s">
        <x:v>10761</x:v>
      </x:c>
      <x:c r="E2730" s="0" t="s">
        <x:v>10762</x:v>
      </x:c>
      <x:c r="F2730" s="0" t="s">
        <x:v>45</x:v>
      </x:c>
      <x:c r="G2730" s="0" t="s">
        <x:v>19</x:v>
      </x:c>
      <x:c r="H2730" s="0" t="s">
        <x:v>20</x:v>
      </x:c>
      <x:c r="I2730" s="0" t="s">
        <x:v>21</x:v>
      </x:c>
      <x:c r="K2730" s="0">
        <x:f>hyperlink("https://icd.who.int/dev11/l-ichi/en#/http%3A%2F%2Fid.who.int%2Ficd%2Fentity%2F260673616","browser")</x:f>
      </x:c>
      <x:c r="L2730" s="0">
        <x:f>hyperlink("https://icat2.azurewebsites.net/icat/?ontology=ICD&amp;tab=ClassesTab&amp;id=http%3A%2F%2Fwho.int%2Ficd%2311547_512ebf36_bf6b_4d70_85da_cf2637062af4","iCat")</x:f>
      </x:c>
      <x:c r="M2730" s="0" t="s">
        <x:v>21</x:v>
      </x:c>
      <x:c r="N2730" s="0" t="s">
        <x:v>46</x:v>
      </x:c>
    </x:row>
    <x:row r="2731" spans="1:16">
      <x:c r="A2731" s="0" t="s">
        <x:v>10763</x:v>
      </x:c>
      <x:c r="B2731" s="0" t="s">
        <x:v>10764</x:v>
      </x:c>
      <x:c r="C2731" s="0" t="s">
        <x:v>10765</x:v>
      </x:c>
      <x:c r="E2731" s="0" t="s">
        <x:v>10766</x:v>
      </x:c>
      <x:c r="F2731" s="0" t="s">
        <x:v>45</x:v>
      </x:c>
      <x:c r="G2731" s="0" t="s">
        <x:v>19</x:v>
      </x:c>
      <x:c r="H2731" s="0" t="s">
        <x:v>20</x:v>
      </x:c>
      <x:c r="I2731" s="0" t="s">
        <x:v>21</x:v>
      </x:c>
      <x:c r="K2731" s="0">
        <x:f>hyperlink("https://icd.who.int/dev11/l-ichi/en#/http%3A%2F%2Fid.who.int%2Ficd%2Fentity%2F1919974418","browser")</x:f>
      </x:c>
      <x:c r="L2731" s="0">
        <x:f>hyperlink("https://icat2.azurewebsites.net/icat/?ontology=ICD&amp;tab=ClassesTab&amp;id=http%3A%2F%2Fwho.int%2Ficd%2315574_4869915e_217e_423d_acb3_33c0f920ef4b","iCat")</x:f>
      </x:c>
      <x:c r="M2731" s="0" t="s">
        <x:v>21</x:v>
      </x:c>
      <x:c r="N2731" s="0" t="s">
        <x:v>46</x:v>
      </x:c>
    </x:row>
    <x:row r="2732" spans="1:16">
      <x:c r="A2732" s="0" t="s">
        <x:v>10767</x:v>
      </x:c>
      <x:c r="B2732" s="0" t="s">
        <x:v>10768</x:v>
      </x:c>
      <x:c r="C2732" s="0" t="s">
        <x:v>10769</x:v>
      </x:c>
      <x:c r="E2732" s="0" t="s">
        <x:v>10770</x:v>
      </x:c>
      <x:c r="F2732" s="0" t="s">
        <x:v>45</x:v>
      </x:c>
      <x:c r="G2732" s="0" t="s">
        <x:v>19</x:v>
      </x:c>
      <x:c r="H2732" s="0" t="s">
        <x:v>20</x:v>
      </x:c>
      <x:c r="I2732" s="0" t="s">
        <x:v>21</x:v>
      </x:c>
      <x:c r="K2732" s="0">
        <x:f>hyperlink("https://icd.who.int/dev11/l-ichi/en#/http%3A%2F%2Fid.who.int%2Ficd%2Fentity%2F1347141997","browser")</x:f>
      </x:c>
      <x:c r="L2732" s="0">
        <x:f>hyperlink("https://icat2.azurewebsites.net/icat/?ontology=ICD&amp;tab=ClassesTab&amp;id=http%3A%2F%2Fwho.int%2Ficd%2311553_512ebf36_bf6b_4d70_85da_cf2637062af4","iCat")</x:f>
      </x:c>
      <x:c r="M2732" s="0" t="s">
        <x:v>21</x:v>
      </x:c>
      <x:c r="N2732" s="0" t="s">
        <x:v>46</x:v>
      </x:c>
    </x:row>
    <x:row r="2733" spans="1:16">
      <x:c r="A2733" s="0" t="s">
        <x:v>10771</x:v>
      </x:c>
      <x:c r="B2733" s="0" t="s">
        <x:v>10772</x:v>
      </x:c>
      <x:c r="C2733" s="0" t="s">
        <x:v>10773</x:v>
      </x:c>
      <x:c r="E2733" s="0" t="s">
        <x:v>10774</x:v>
      </x:c>
      <x:c r="F2733" s="0" t="s">
        <x:v>45</x:v>
      </x:c>
      <x:c r="G2733" s="0" t="s">
        <x:v>19</x:v>
      </x:c>
      <x:c r="H2733" s="0" t="s">
        <x:v>20</x:v>
      </x:c>
      <x:c r="I2733" s="0" t="s">
        <x:v>21</x:v>
      </x:c>
      <x:c r="K2733" s="0">
        <x:f>hyperlink("https://icd.who.int/dev11/l-ichi/en#/http%3A%2F%2Fid.who.int%2Ficd%2Fentity%2F1434447507","browser")</x:f>
      </x:c>
      <x:c r="L2733" s="0">
        <x:f>hyperlink("https://icat2.azurewebsites.net/icat/?ontology=ICD&amp;tab=ClassesTab&amp;id=http%3A%2F%2Fwho.int%2Ficd%2311560_512ebf36_bf6b_4d70_85da_cf2637062af4","iCat")</x:f>
      </x:c>
      <x:c r="M2733" s="0" t="s">
        <x:v>21</x:v>
      </x:c>
      <x:c r="N2733" s="0" t="s">
        <x:v>46</x:v>
      </x:c>
    </x:row>
    <x:row r="2734" spans="1:16">
      <x:c r="A2734" s="0" t="s">
        <x:v>10775</x:v>
      </x:c>
      <x:c r="B2734" s="0" t="s">
        <x:v>10776</x:v>
      </x:c>
      <x:c r="C2734" s="0" t="s">
        <x:v>10777</x:v>
      </x:c>
      <x:c r="E2734" s="0" t="s">
        <x:v>10778</x:v>
      </x:c>
      <x:c r="F2734" s="0" t="s">
        <x:v>45</x:v>
      </x:c>
      <x:c r="G2734" s="0" t="s">
        <x:v>19</x:v>
      </x:c>
      <x:c r="H2734" s="0" t="s">
        <x:v>20</x:v>
      </x:c>
      <x:c r="I2734" s="0" t="s">
        <x:v>21</x:v>
      </x:c>
      <x:c r="K2734" s="0">
        <x:f>hyperlink("https://icd.who.int/dev11/l-ichi/en#/http%3A%2F%2Fid.who.int%2Ficd%2Fentity%2F637355294","browser")</x:f>
      </x:c>
      <x:c r="L2734" s="0">
        <x:f>hyperlink("https://icat2.azurewebsites.net/icat/?ontology=ICD&amp;tab=ClassesTab&amp;id=http%3A%2F%2Fwho.int%2Ficd%2311567_512ebf36_bf6b_4d70_85da_cf2637062af4","iCat")</x:f>
      </x:c>
      <x:c r="M2734" s="0" t="s">
        <x:v>21</x:v>
      </x:c>
      <x:c r="N2734" s="0" t="s">
        <x:v>46</x:v>
      </x:c>
    </x:row>
    <x:row r="2735" spans="1:16">
      <x:c r="A2735" s="0" t="s">
        <x:v>10779</x:v>
      </x:c>
      <x:c r="B2735" s="0" t="s">
        <x:v>10780</x:v>
      </x:c>
      <x:c r="C2735" s="0" t="s">
        <x:v>10781</x:v>
      </x:c>
      <x:c r="E2735" s="0" t="s">
        <x:v>10782</x:v>
      </x:c>
      <x:c r="F2735" s="0" t="s">
        <x:v>45</x:v>
      </x:c>
      <x:c r="G2735" s="0" t="s">
        <x:v>19</x:v>
      </x:c>
      <x:c r="H2735" s="0" t="s">
        <x:v>20</x:v>
      </x:c>
      <x:c r="I2735" s="0" t="s">
        <x:v>21</x:v>
      </x:c>
      <x:c r="K2735" s="0">
        <x:f>hyperlink("https://icd.who.int/dev11/l-ichi/en#/http%3A%2F%2Fid.who.int%2Ficd%2Fentity%2F2050954301","browser")</x:f>
      </x:c>
      <x:c r="L2735" s="0">
        <x:f>hyperlink("https://icat2.azurewebsites.net/icat/?ontology=ICD&amp;tab=ClassesTab&amp;id=http%3A%2F%2Fwho.int%2Ficd%2311573_512ebf36_bf6b_4d70_85da_cf2637062af4","iCat")</x:f>
      </x:c>
      <x:c r="M2735" s="0" t="s">
        <x:v>21</x:v>
      </x:c>
      <x:c r="N2735" s="0" t="s">
        <x:v>46</x:v>
      </x:c>
    </x:row>
    <x:row r="2736" spans="1:16">
      <x:c r="A2736" s="0" t="s">
        <x:v>10783</x:v>
      </x:c>
      <x:c r="B2736" s="0" t="s">
        <x:v>10784</x:v>
      </x:c>
      <x:c r="D2736" s="0" t="s">
        <x:v>10785</x:v>
      </x:c>
      <x:c r="E2736" s="0" t="s">
        <x:v>10786</x:v>
      </x:c>
      <x:c r="F2736" s="0" t="s">
        <x:v>26</x:v>
      </x:c>
      <x:c r="G2736" s="0" t="s">
        <x:v>22</x:v>
      </x:c>
      <x:c r="H2736" s="0" t="s">
        <x:v>20</x:v>
      </x:c>
      <x:c r="I2736" s="0" t="s">
        <x:v>21</x:v>
      </x:c>
      <x:c r="K2736" s="0">
        <x:f>hyperlink("https://icd.who.int/dev11/l-ichi/en#/http%3A%2F%2Fid.who.int%2Ficd%2Fentity%2F274542874","browser")</x:f>
      </x:c>
      <x:c r="L2736" s="0">
        <x:f>hyperlink("https://icat2.azurewebsites.net/icat/?ontology=ICD&amp;tab=ClassesTab&amp;id=http%3A%2F%2Fwho.int%2Ficd%2311580_512ebf36_bf6b_4d70_85da_cf2637062af4","iCat")</x:f>
      </x:c>
      <x:c r="M2736" s="0" t="s">
        <x:v>20</x:v>
      </x:c>
      <x:c r="N2736" s="0" t="s">
        <x:v>10787</x:v>
      </x:c>
    </x:row>
    <x:row r="2737" spans="1:16">
      <x:c r="A2737" s="0" t="s">
        <x:v>10788</x:v>
      </x:c>
      <x:c r="B2737" s="0" t="s">
        <x:v>10789</x:v>
      </x:c>
      <x:c r="C2737" s="0" t="s">
        <x:v>10790</x:v>
      </x:c>
      <x:c r="E2737" s="0" t="s">
        <x:v>10791</x:v>
      </x:c>
      <x:c r="F2737" s="0" t="s">
        <x:v>45</x:v>
      </x:c>
      <x:c r="G2737" s="0" t="s">
        <x:v>19</x:v>
      </x:c>
      <x:c r="H2737" s="0" t="s">
        <x:v>20</x:v>
      </x:c>
      <x:c r="I2737" s="0" t="s">
        <x:v>21</x:v>
      </x:c>
      <x:c r="K2737" s="0">
        <x:f>hyperlink("https://icd.who.int/dev11/l-ichi/en#/http%3A%2F%2Fid.who.int%2Ficd%2Fentity%2F1734263793","browser")</x:f>
      </x:c>
      <x:c r="L2737" s="0">
        <x:f>hyperlink("https://icat2.azurewebsites.net/icat/?ontology=ICD&amp;tab=ClassesTab&amp;id=http%3A%2F%2Fwho.int%2Ficd%2378_daad0bf0_ff4e_4553_92d6_19c72048c1a7","iCat")</x:f>
      </x:c>
      <x:c r="M2737" s="0" t="s">
        <x:v>21</x:v>
      </x:c>
      <x:c r="N2737" s="0" t="s">
        <x:v>46</x:v>
      </x:c>
    </x:row>
    <x:row r="2738" spans="1:16">
      <x:c r="A2738" s="0" t="s">
        <x:v>10792</x:v>
      </x:c>
      <x:c r="B2738" s="0" t="s">
        <x:v>10793</x:v>
      </x:c>
      <x:c r="C2738" s="0" t="s">
        <x:v>10794</x:v>
      </x:c>
      <x:c r="E2738" s="0" t="s">
        <x:v>10795</x:v>
      </x:c>
      <x:c r="F2738" s="0" t="s">
        <x:v>45</x:v>
      </x:c>
      <x:c r="G2738" s="0" t="s">
        <x:v>19</x:v>
      </x:c>
      <x:c r="H2738" s="0" t="s">
        <x:v>20</x:v>
      </x:c>
      <x:c r="I2738" s="0" t="s">
        <x:v>21</x:v>
      </x:c>
      <x:c r="K2738" s="0">
        <x:f>hyperlink("https://icd.who.int/dev11/l-ichi/en#/http%3A%2F%2Fid.who.int%2Ficd%2Fentity%2F859782160","browser")</x:f>
      </x:c>
      <x:c r="L2738" s="0">
        <x:f>hyperlink("https://icat2.azurewebsites.net/icat/?ontology=ICD&amp;tab=ClassesTab&amp;id=http%3A%2F%2Fwho.int%2Ficd%2384_daad0bf0_ff4e_4553_92d6_19c72048c1a7","iCat")</x:f>
      </x:c>
      <x:c r="M2738" s="0" t="s">
        <x:v>21</x:v>
      </x:c>
      <x:c r="N2738" s="0" t="s">
        <x:v>46</x:v>
      </x:c>
    </x:row>
    <x:row r="2739" spans="1:16">
      <x:c r="A2739" s="0" t="s">
        <x:v>10796</x:v>
      </x:c>
      <x:c r="B2739" s="0" t="s">
        <x:v>10797</x:v>
      </x:c>
      <x:c r="C2739" s="0" t="s">
        <x:v>10798</x:v>
      </x:c>
      <x:c r="E2739" s="0" t="s">
        <x:v>10799</x:v>
      </x:c>
      <x:c r="F2739" s="0" t="s">
        <x:v>45</x:v>
      </x:c>
      <x:c r="G2739" s="0" t="s">
        <x:v>19</x:v>
      </x:c>
      <x:c r="H2739" s="0" t="s">
        <x:v>20</x:v>
      </x:c>
      <x:c r="I2739" s="0" t="s">
        <x:v>21</x:v>
      </x:c>
      <x:c r="K2739" s="0">
        <x:f>hyperlink("https://icd.who.int/dev11/l-ichi/en#/http%3A%2F%2Fid.who.int%2Ficd%2Fentity%2F1371699373","browser")</x:f>
      </x:c>
      <x:c r="L2739" s="0">
        <x:f>hyperlink("https://icat2.azurewebsites.net/icat/?ontology=ICD&amp;tab=ClassesTab&amp;id=http%3A%2F%2Fwho.int%2Ficd%2311579_512ebf36_bf6b_4d70_85da_cf2637062af4","iCat")</x:f>
      </x:c>
      <x:c r="M2739" s="0" t="s">
        <x:v>21</x:v>
      </x:c>
      <x:c r="N2739" s="0" t="s">
        <x:v>46</x:v>
      </x:c>
    </x:row>
    <x:row r="2740" spans="1:16">
      <x:c r="A2740" s="0" t="s">
        <x:v>10800</x:v>
      </x:c>
      <x:c r="B2740" s="0" t="s">
        <x:v>10801</x:v>
      </x:c>
      <x:c r="C2740" s="0" t="s">
        <x:v>10802</x:v>
      </x:c>
      <x:c r="E2740" s="0" t="s">
        <x:v>10803</x:v>
      </x:c>
      <x:c r="F2740" s="0" t="s">
        <x:v>45</x:v>
      </x:c>
      <x:c r="G2740" s="0" t="s">
        <x:v>19</x:v>
      </x:c>
      <x:c r="H2740" s="0" t="s">
        <x:v>20</x:v>
      </x:c>
      <x:c r="I2740" s="0" t="s">
        <x:v>21</x:v>
      </x:c>
      <x:c r="K2740" s="0">
        <x:f>hyperlink("https://icd.who.int/dev11/l-ichi/en#/http%3A%2F%2Fid.who.int%2Ficd%2Fentity%2F536799900","browser")</x:f>
      </x:c>
      <x:c r="L2740" s="0">
        <x:f>hyperlink("https://icat2.azurewebsites.net/icat/?ontology=ICD&amp;tab=ClassesTab&amp;id=http%3A%2F%2Fwho.int%2Ficd%2310389_4869915e_217e_423d_acb3_33c0f920ef4b","iCat")</x:f>
      </x:c>
      <x:c r="M2740" s="0" t="s">
        <x:v>21</x:v>
      </x:c>
      <x:c r="N2740" s="0" t="s">
        <x:v>46</x:v>
      </x:c>
    </x:row>
    <x:row r="2741" spans="1:16">
      <x:c r="A2741" s="0" t="s">
        <x:v>10804</x:v>
      </x:c>
      <x:c r="B2741" s="0" t="s">
        <x:v>10805</x:v>
      </x:c>
      <x:c r="C2741" s="0" t="s">
        <x:v>10806</x:v>
      </x:c>
      <x:c r="E2741" s="0" t="s">
        <x:v>10807</x:v>
      </x:c>
      <x:c r="F2741" s="0" t="s">
        <x:v>45</x:v>
      </x:c>
      <x:c r="G2741" s="0" t="s">
        <x:v>19</x:v>
      </x:c>
      <x:c r="H2741" s="0" t="s">
        <x:v>20</x:v>
      </x:c>
      <x:c r="I2741" s="0" t="s">
        <x:v>21</x:v>
      </x:c>
      <x:c r="K2741" s="0">
        <x:f>hyperlink("https://icd.who.int/dev11/l-ichi/en#/http%3A%2F%2Fid.who.int%2Ficd%2Fentity%2F247319276","browser")</x:f>
      </x:c>
      <x:c r="L2741" s="0">
        <x:f>hyperlink("https://icat2.azurewebsites.net/icat/?ontology=ICD&amp;tab=ClassesTab&amp;id=http%3A%2F%2Fwho.int%2Ficd%2310395_4869915e_217e_423d_acb3_33c0f920ef4b","iCat")</x:f>
      </x:c>
      <x:c r="M2741" s="0" t="s">
        <x:v>21</x:v>
      </x:c>
      <x:c r="N2741" s="0" t="s">
        <x:v>46</x:v>
      </x:c>
    </x:row>
    <x:row r="2742" spans="1:16">
      <x:c r="A2742" s="0" t="s">
        <x:v>10808</x:v>
      </x:c>
      <x:c r="B2742" s="0" t="s">
        <x:v>10809</x:v>
      </x:c>
      <x:c r="C2742" s="0" t="s">
        <x:v>10810</x:v>
      </x:c>
      <x:c r="E2742" s="0" t="s">
        <x:v>10811</x:v>
      </x:c>
      <x:c r="F2742" s="0" t="s">
        <x:v>45</x:v>
      </x:c>
      <x:c r="G2742" s="0" t="s">
        <x:v>19</x:v>
      </x:c>
      <x:c r="H2742" s="0" t="s">
        <x:v>20</x:v>
      </x:c>
      <x:c r="I2742" s="0" t="s">
        <x:v>21</x:v>
      </x:c>
      <x:c r="K2742" s="0">
        <x:f>hyperlink("https://icd.who.int/dev11/l-ichi/en#/http%3A%2F%2Fid.who.int%2Ficd%2Fentity%2F907754956","browser")</x:f>
      </x:c>
      <x:c r="L2742" s="0">
        <x:f>hyperlink("https://icat2.azurewebsites.net/icat/?ontology=ICD&amp;tab=ClassesTab&amp;id=http%3A%2F%2Fwho.int%2Ficd%2314857_4869915e_217e_423d_acb3_33c0f920ef4b","iCat")</x:f>
      </x:c>
      <x:c r="M2742" s="0" t="s">
        <x:v>21</x:v>
      </x:c>
      <x:c r="N2742" s="0" t="s">
        <x:v>46</x:v>
      </x:c>
    </x:row>
    <x:row r="2743" spans="1:16">
      <x:c r="A2743" s="0" t="s">
        <x:v>10812</x:v>
      </x:c>
      <x:c r="B2743" s="0" t="s">
        <x:v>10813</x:v>
      </x:c>
      <x:c r="C2743" s="0" t="s">
        <x:v>10814</x:v>
      </x:c>
      <x:c r="E2743" s="0" t="s">
        <x:v>10815</x:v>
      </x:c>
      <x:c r="F2743" s="0" t="s">
        <x:v>45</x:v>
      </x:c>
      <x:c r="G2743" s="0" t="s">
        <x:v>19</x:v>
      </x:c>
      <x:c r="H2743" s="0" t="s">
        <x:v>20</x:v>
      </x:c>
      <x:c r="I2743" s="0" t="s">
        <x:v>21</x:v>
      </x:c>
      <x:c r="K2743" s="0">
        <x:f>hyperlink("https://icd.who.int/dev11/l-ichi/en#/http%3A%2F%2Fid.who.int%2Ficd%2Fentity%2F1135458745","browser")</x:f>
      </x:c>
      <x:c r="L2743" s="0">
        <x:f>hyperlink("https://icat2.azurewebsites.net/icat/?ontology=ICD&amp;tab=ClassesTab&amp;id=http%3A%2F%2Fwho.int%2Ficd%2314863_4869915e_217e_423d_acb3_33c0f920ef4b","iCat")</x:f>
      </x:c>
      <x:c r="M2743" s="0" t="s">
        <x:v>21</x:v>
      </x:c>
      <x:c r="N2743" s="0" t="s">
        <x:v>46</x:v>
      </x:c>
    </x:row>
    <x:row r="2744" spans="1:16">
      <x:c r="A2744" s="0" t="s">
        <x:v>10816</x:v>
      </x:c>
      <x:c r="B2744" s="0" t="s">
        <x:v>10817</x:v>
      </x:c>
      <x:c r="C2744" s="0" t="s">
        <x:v>10818</x:v>
      </x:c>
      <x:c r="E2744" s="0" t="s">
        <x:v>10819</x:v>
      </x:c>
      <x:c r="F2744" s="0" t="s">
        <x:v>45</x:v>
      </x:c>
      <x:c r="G2744" s="0" t="s">
        <x:v>19</x:v>
      </x:c>
      <x:c r="H2744" s="0" t="s">
        <x:v>20</x:v>
      </x:c>
      <x:c r="I2744" s="0" t="s">
        <x:v>21</x:v>
      </x:c>
      <x:c r="K2744" s="0">
        <x:f>hyperlink("https://icd.who.int/dev11/l-ichi/en#/http%3A%2F%2Fid.who.int%2Ficd%2Fentity%2F1197701028","browser")</x:f>
      </x:c>
      <x:c r="L2744" s="0">
        <x:f>hyperlink("https://icat2.azurewebsites.net/icat/?ontology=ICD&amp;tab=ClassesTab&amp;id=http%3A%2F%2Fwho.int%2Ficd%2310403_4869915e_217e_423d_acb3_33c0f920ef4b","iCat")</x:f>
      </x:c>
      <x:c r="M2744" s="0" t="s">
        <x:v>21</x:v>
      </x:c>
      <x:c r="N2744" s="0" t="s">
        <x:v>46</x:v>
      </x:c>
    </x:row>
    <x:row r="2745" spans="1:16">
      <x:c r="A2745" s="0" t="s">
        <x:v>10820</x:v>
      </x:c>
      <x:c r="B2745" s="0" t="s">
        <x:v>10821</x:v>
      </x:c>
      <x:c r="C2745" s="0" t="s">
        <x:v>10822</x:v>
      </x:c>
      <x:c r="E2745" s="0" t="s">
        <x:v>10823</x:v>
      </x:c>
      <x:c r="F2745" s="0" t="s">
        <x:v>45</x:v>
      </x:c>
      <x:c r="G2745" s="0" t="s">
        <x:v>19</x:v>
      </x:c>
      <x:c r="H2745" s="0" t="s">
        <x:v>20</x:v>
      </x:c>
      <x:c r="I2745" s="0" t="s">
        <x:v>21</x:v>
      </x:c>
      <x:c r="K2745" s="0">
        <x:f>hyperlink("https://icd.who.int/dev11/l-ichi/en#/http%3A%2F%2Fid.who.int%2Ficd%2Fentity%2F535083400","browser")</x:f>
      </x:c>
      <x:c r="L2745" s="0">
        <x:f>hyperlink("https://icat2.azurewebsites.net/icat/?ontology=ICD&amp;tab=ClassesTab&amp;id=http%3A%2F%2Fwho.int%2Ficd%2311592_512ebf36_bf6b_4d70_85da_cf2637062af4","iCat")</x:f>
      </x:c>
      <x:c r="M2745" s="0" t="s">
        <x:v>21</x:v>
      </x:c>
      <x:c r="N2745" s="0" t="s">
        <x:v>46</x:v>
      </x:c>
    </x:row>
    <x:row r="2746" spans="1:16">
      <x:c r="A2746" s="0" t="s">
        <x:v>10824</x:v>
      </x:c>
      <x:c r="B2746" s="0" t="s">
        <x:v>10825</x:v>
      </x:c>
      <x:c r="C2746" s="0" t="s">
        <x:v>10826</x:v>
      </x:c>
      <x:c r="E2746" s="0" t="s">
        <x:v>10827</x:v>
      </x:c>
      <x:c r="F2746" s="0" t="s">
        <x:v>45</x:v>
      </x:c>
      <x:c r="G2746" s="0" t="s">
        <x:v>19</x:v>
      </x:c>
      <x:c r="H2746" s="0" t="s">
        <x:v>20</x:v>
      </x:c>
      <x:c r="I2746" s="0" t="s">
        <x:v>21</x:v>
      </x:c>
      <x:c r="K2746" s="0">
        <x:f>hyperlink("https://icd.who.int/dev11/l-ichi/en#/http%3A%2F%2Fid.who.int%2Ficd%2Fentity%2F874108184","browser")</x:f>
      </x:c>
      <x:c r="L2746" s="0">
        <x:f>hyperlink("https://icat2.azurewebsites.net/icat/?ontology=ICD&amp;tab=ClassesTab&amp;id=http%3A%2F%2Fwho.int%2Ficd%2311598_512ebf36_bf6b_4d70_85da_cf2637062af4","iCat")</x:f>
      </x:c>
      <x:c r="M2746" s="0" t="s">
        <x:v>21</x:v>
      </x:c>
      <x:c r="N2746" s="0" t="s">
        <x:v>46</x:v>
      </x:c>
    </x:row>
    <x:row r="2747" spans="1:16">
      <x:c r="A2747" s="0" t="s">
        <x:v>10828</x:v>
      </x:c>
      <x:c r="B2747" s="0" t="s">
        <x:v>10829</x:v>
      </x:c>
      <x:c r="C2747" s="0" t="s">
        <x:v>10830</x:v>
      </x:c>
      <x:c r="E2747" s="0" t="s">
        <x:v>10831</x:v>
      </x:c>
      <x:c r="F2747" s="0" t="s">
        <x:v>45</x:v>
      </x:c>
      <x:c r="G2747" s="0" t="s">
        <x:v>19</x:v>
      </x:c>
      <x:c r="H2747" s="0" t="s">
        <x:v>20</x:v>
      </x:c>
      <x:c r="I2747" s="0" t="s">
        <x:v>21</x:v>
      </x:c>
      <x:c r="K2747" s="0">
        <x:f>hyperlink("https://icd.who.int/dev11/l-ichi/en#/http%3A%2F%2Fid.who.int%2Ficd%2Fentity%2F1530140915","browser")</x:f>
      </x:c>
      <x:c r="L2747" s="0">
        <x:f>hyperlink("https://icat2.azurewebsites.net/icat/?ontology=ICD&amp;tab=ClassesTab&amp;id=http%3A%2F%2Fwho.int%2Ficd%2311604_512ebf36_bf6b_4d70_85da_cf2637062af4","iCat")</x:f>
      </x:c>
      <x:c r="M2747" s="0" t="s">
        <x:v>21</x:v>
      </x:c>
      <x:c r="N2747" s="0" t="s">
        <x:v>46</x:v>
      </x:c>
    </x:row>
    <x:row r="2748" spans="1:16">
      <x:c r="A2748" s="0" t="s">
        <x:v>10832</x:v>
      </x:c>
      <x:c r="B2748" s="0" t="s">
        <x:v>10833</x:v>
      </x:c>
      <x:c r="C2748" s="0" t="s">
        <x:v>10834</x:v>
      </x:c>
      <x:c r="E2748" s="0" t="s">
        <x:v>10835</x:v>
      </x:c>
      <x:c r="F2748" s="0" t="s">
        <x:v>45</x:v>
      </x:c>
      <x:c r="G2748" s="0" t="s">
        <x:v>19</x:v>
      </x:c>
      <x:c r="H2748" s="0" t="s">
        <x:v>20</x:v>
      </x:c>
      <x:c r="I2748" s="0" t="s">
        <x:v>21</x:v>
      </x:c>
      <x:c r="K2748" s="0">
        <x:f>hyperlink("https://icd.who.int/dev11/l-ichi/en#/http%3A%2F%2Fid.who.int%2Ficd%2Fentity%2F83249616","browser")</x:f>
      </x:c>
      <x:c r="L2748" s="0">
        <x:f>hyperlink("https://icat2.azurewebsites.net/icat/?ontology=ICD&amp;tab=ClassesTab&amp;id=http%3A%2F%2Fwho.int%2Ficd%2311610_512ebf36_bf6b_4d70_85da_cf2637062af4","iCat")</x:f>
      </x:c>
      <x:c r="M2748" s="0" t="s">
        <x:v>21</x:v>
      </x:c>
      <x:c r="N2748" s="0" t="s">
        <x:v>46</x:v>
      </x:c>
    </x:row>
    <x:row r="2749" spans="1:16">
      <x:c r="A2749" s="0" t="s">
        <x:v>10836</x:v>
      </x:c>
      <x:c r="B2749" s="0" t="s">
        <x:v>10837</x:v>
      </x:c>
      <x:c r="C2749" s="0" t="s">
        <x:v>10838</x:v>
      </x:c>
      <x:c r="E2749" s="0" t="s">
        <x:v>10839</x:v>
      </x:c>
      <x:c r="F2749" s="0" t="s">
        <x:v>45</x:v>
      </x:c>
      <x:c r="G2749" s="0" t="s">
        <x:v>19</x:v>
      </x:c>
      <x:c r="H2749" s="0" t="s">
        <x:v>20</x:v>
      </x:c>
      <x:c r="I2749" s="0" t="s">
        <x:v>21</x:v>
      </x:c>
      <x:c r="K2749" s="0">
        <x:f>hyperlink("https://icd.who.int/dev11/l-ichi/en#/http%3A%2F%2Fid.who.int%2Ficd%2Fentity%2F1418563681","browser")</x:f>
      </x:c>
      <x:c r="L2749" s="0">
        <x:f>hyperlink("https://icat2.azurewebsites.net/icat/?ontology=ICD&amp;tab=ClassesTab&amp;id=http%3A%2F%2Fwho.int%2Ficd%2311616_512ebf36_bf6b_4d70_85da_cf2637062af4","iCat")</x:f>
      </x:c>
      <x:c r="M2749" s="0" t="s">
        <x:v>21</x:v>
      </x:c>
      <x:c r="N2749" s="0" t="s">
        <x:v>46</x:v>
      </x:c>
    </x:row>
    <x:row r="2750" spans="1:16">
      <x:c r="A2750" s="0" t="s">
        <x:v>10840</x:v>
      </x:c>
      <x:c r="B2750" s="0" t="s">
        <x:v>10841</x:v>
      </x:c>
      <x:c r="C2750" s="0" t="s">
        <x:v>10842</x:v>
      </x:c>
      <x:c r="E2750" s="0" t="s">
        <x:v>10843</x:v>
      </x:c>
      <x:c r="F2750" s="0" t="s">
        <x:v>45</x:v>
      </x:c>
      <x:c r="G2750" s="0" t="s">
        <x:v>19</x:v>
      </x:c>
      <x:c r="H2750" s="0" t="s">
        <x:v>20</x:v>
      </x:c>
      <x:c r="I2750" s="0" t="s">
        <x:v>21</x:v>
      </x:c>
      <x:c r="K2750" s="0">
        <x:f>hyperlink("https://icd.who.int/dev11/l-ichi/en#/http%3A%2F%2Fid.who.int%2Ficd%2Fentity%2F946935379","browser")</x:f>
      </x:c>
      <x:c r="L2750" s="0">
        <x:f>hyperlink("https://icat2.azurewebsites.net/icat/?ontology=ICD&amp;tab=ClassesTab&amp;id=http%3A%2F%2Fwho.int%2Ficd%2310522_4869915e_217e_423d_acb3_33c0f920ef4b","iCat")</x:f>
      </x:c>
      <x:c r="M2750" s="0" t="s">
        <x:v>21</x:v>
      </x:c>
      <x:c r="N2750" s="0" t="s">
        <x:v>46</x:v>
      </x:c>
    </x:row>
    <x:row r="2751" spans="1:16">
      <x:c r="A2751" s="0" t="s">
        <x:v>10844</x:v>
      </x:c>
      <x:c r="B2751" s="0" t="s">
        <x:v>10845</x:v>
      </x:c>
      <x:c r="C2751" s="0" t="s">
        <x:v>10846</x:v>
      </x:c>
      <x:c r="E2751" s="0" t="s">
        <x:v>10847</x:v>
      </x:c>
      <x:c r="F2751" s="0" t="s">
        <x:v>45</x:v>
      </x:c>
      <x:c r="G2751" s="0" t="s">
        <x:v>19</x:v>
      </x:c>
      <x:c r="H2751" s="0" t="s">
        <x:v>20</x:v>
      </x:c>
      <x:c r="I2751" s="0" t="s">
        <x:v>21</x:v>
      </x:c>
      <x:c r="K2751" s="0">
        <x:f>hyperlink("https://icd.who.int/dev11/l-ichi/en#/http%3A%2F%2Fid.who.int%2Ficd%2Fentity%2F557519892","browser")</x:f>
      </x:c>
      <x:c r="L2751" s="0">
        <x:f>hyperlink("https://icat2.azurewebsites.net/icat/?ontology=ICD&amp;tab=ClassesTab&amp;id=http%3A%2F%2Fwho.int%2Ficd%2311622_512ebf36_bf6b_4d70_85da_cf2637062af4","iCat")</x:f>
      </x:c>
      <x:c r="M2751" s="0" t="s">
        <x:v>21</x:v>
      </x:c>
      <x:c r="N2751" s="0" t="s">
        <x:v>46</x:v>
      </x:c>
    </x:row>
    <x:row r="2752" spans="1:16">
      <x:c r="A2752" s="0" t="s">
        <x:v>10848</x:v>
      </x:c>
      <x:c r="B2752" s="0" t="s">
        <x:v>10849</x:v>
      </x:c>
      <x:c r="C2752" s="0" t="s">
        <x:v>10850</x:v>
      </x:c>
      <x:c r="E2752" s="0" t="s">
        <x:v>10851</x:v>
      </x:c>
      <x:c r="F2752" s="0" t="s">
        <x:v>45</x:v>
      </x:c>
      <x:c r="G2752" s="0" t="s">
        <x:v>19</x:v>
      </x:c>
      <x:c r="H2752" s="0" t="s">
        <x:v>20</x:v>
      </x:c>
      <x:c r="I2752" s="0" t="s">
        <x:v>21</x:v>
      </x:c>
      <x:c r="K2752" s="0">
        <x:f>hyperlink("https://icd.who.int/dev11/l-ichi/en#/http%3A%2F%2Fid.who.int%2Ficd%2Fentity%2F780311682","browser")</x:f>
      </x:c>
      <x:c r="L2752" s="0">
        <x:f>hyperlink("https://icat2.azurewebsites.net/icat/?ontology=ICD&amp;tab=ClassesTab&amp;id=http%3A%2F%2Fwho.int%2Ficd%2311630_512ebf36_bf6b_4d70_85da_cf2637062af4","iCat")</x:f>
      </x:c>
      <x:c r="M2752" s="0" t="s">
        <x:v>21</x:v>
      </x:c>
      <x:c r="N2752" s="0" t="s">
        <x:v>46</x:v>
      </x:c>
    </x:row>
    <x:row r="2753" spans="1:16">
      <x:c r="A2753" s="0" t="s">
        <x:v>10852</x:v>
      </x:c>
      <x:c r="B2753" s="0" t="s">
        <x:v>10853</x:v>
      </x:c>
      <x:c r="C2753" s="0" t="s">
        <x:v>10854</x:v>
      </x:c>
      <x:c r="E2753" s="0" t="s">
        <x:v>10855</x:v>
      </x:c>
      <x:c r="F2753" s="0" t="s">
        <x:v>45</x:v>
      </x:c>
      <x:c r="G2753" s="0" t="s">
        <x:v>19</x:v>
      </x:c>
      <x:c r="H2753" s="0" t="s">
        <x:v>20</x:v>
      </x:c>
      <x:c r="I2753" s="0" t="s">
        <x:v>21</x:v>
      </x:c>
      <x:c r="K2753" s="0">
        <x:f>hyperlink("https://icd.who.int/dev11/l-ichi/en#/http%3A%2F%2Fid.who.int%2Ficd%2Fentity%2F508858266","browser")</x:f>
      </x:c>
      <x:c r="L2753" s="0">
        <x:f>hyperlink("https://icat2.azurewebsites.net/icat/?ontology=ICD&amp;tab=ClassesTab&amp;id=http%3A%2F%2Fwho.int%2Ficd%2311640_512ebf36_bf6b_4d70_85da_cf2637062af4","iCat")</x:f>
      </x:c>
      <x:c r="M2753" s="0" t="s">
        <x:v>21</x:v>
      </x:c>
      <x:c r="N2753" s="0" t="s">
        <x:v>46</x:v>
      </x:c>
    </x:row>
    <x:row r="2754" spans="1:16">
      <x:c r="A2754" s="0" t="s">
        <x:v>10856</x:v>
      </x:c>
      <x:c r="B2754" s="0" t="s">
        <x:v>10857</x:v>
      </x:c>
      <x:c r="C2754" s="0" t="s">
        <x:v>10858</x:v>
      </x:c>
      <x:c r="E2754" s="0" t="s">
        <x:v>10859</x:v>
      </x:c>
      <x:c r="F2754" s="0" t="s">
        <x:v>45</x:v>
      </x:c>
      <x:c r="G2754" s="0" t="s">
        <x:v>19</x:v>
      </x:c>
      <x:c r="H2754" s="0" t="s">
        <x:v>20</x:v>
      </x:c>
      <x:c r="I2754" s="0" t="s">
        <x:v>21</x:v>
      </x:c>
      <x:c r="K2754" s="0">
        <x:f>hyperlink("https://icd.who.int/dev11/l-ichi/en#/http%3A%2F%2Fid.who.int%2Ficd%2Fentity%2F1311725099","browser")</x:f>
      </x:c>
      <x:c r="L2754" s="0">
        <x:f>hyperlink("https://icat2.azurewebsites.net/icat/?ontology=ICD&amp;tab=ClassesTab&amp;id=http%3A%2F%2Fwho.int%2Ficd%2311646_512ebf36_bf6b_4d70_85da_cf2637062af4","iCat")</x:f>
      </x:c>
      <x:c r="M2754" s="0" t="s">
        <x:v>21</x:v>
      </x:c>
      <x:c r="N2754" s="0" t="s">
        <x:v>46</x:v>
      </x:c>
    </x:row>
    <x:row r="2755" spans="1:16">
      <x:c r="A2755" s="0" t="s">
        <x:v>10860</x:v>
      </x:c>
      <x:c r="B2755" s="0" t="s">
        <x:v>10861</x:v>
      </x:c>
      <x:c r="C2755" s="0" t="s">
        <x:v>10862</x:v>
      </x:c>
      <x:c r="E2755" s="0" t="s">
        <x:v>10863</x:v>
      </x:c>
      <x:c r="F2755" s="0" t="s">
        <x:v>45</x:v>
      </x:c>
      <x:c r="G2755" s="0" t="s">
        <x:v>19</x:v>
      </x:c>
      <x:c r="H2755" s="0" t="s">
        <x:v>20</x:v>
      </x:c>
      <x:c r="I2755" s="0" t="s">
        <x:v>21</x:v>
      </x:c>
      <x:c r="K2755" s="0">
        <x:f>hyperlink("https://icd.who.int/dev11/l-ichi/en#/http%3A%2F%2Fid.who.int%2Ficd%2Fentity%2F300746504","browser")</x:f>
      </x:c>
      <x:c r="L2755" s="0">
        <x:f>hyperlink("https://icat2.azurewebsites.net/icat/?ontology=ICD&amp;tab=ClassesTab&amp;id=http%3A%2F%2Fwho.int%2Ficd%2311652_512ebf36_bf6b_4d70_85da_cf2637062af4","iCat")</x:f>
      </x:c>
      <x:c r="M2755" s="0" t="s">
        <x:v>21</x:v>
      </x:c>
      <x:c r="N2755" s="0" t="s">
        <x:v>46</x:v>
      </x:c>
    </x:row>
    <x:row r="2756" spans="1:16">
      <x:c r="A2756" s="0" t="s">
        <x:v>10864</x:v>
      </x:c>
      <x:c r="B2756" s="0" t="s">
        <x:v>10865</x:v>
      </x:c>
      <x:c r="C2756" s="0" t="s">
        <x:v>10866</x:v>
      </x:c>
      <x:c r="E2756" s="0" t="s">
        <x:v>10867</x:v>
      </x:c>
      <x:c r="F2756" s="0" t="s">
        <x:v>45</x:v>
      </x:c>
      <x:c r="G2756" s="0" t="s">
        <x:v>19</x:v>
      </x:c>
      <x:c r="H2756" s="0" t="s">
        <x:v>20</x:v>
      </x:c>
      <x:c r="I2756" s="0" t="s">
        <x:v>21</x:v>
      </x:c>
      <x:c r="K2756" s="0">
        <x:f>hyperlink("https://icd.who.int/dev11/l-ichi/en#/http%3A%2F%2Fid.who.int%2Ficd%2Fentity%2F974154648","browser")</x:f>
      </x:c>
      <x:c r="L2756" s="0">
        <x:f>hyperlink("https://icat2.azurewebsites.net/icat/?ontology=ICD&amp;tab=ClassesTab&amp;id=http%3A%2F%2Fwho.int%2Ficd%2311658_512ebf36_bf6b_4d70_85da_cf2637062af4","iCat")</x:f>
      </x:c>
      <x:c r="M2756" s="0" t="s">
        <x:v>21</x:v>
      </x:c>
      <x:c r="N2756" s="0" t="s">
        <x:v>46</x:v>
      </x:c>
    </x:row>
    <x:row r="2757" spans="1:16">
      <x:c r="A2757" s="0" t="s">
        <x:v>10868</x:v>
      </x:c>
      <x:c r="B2757" s="0" t="s">
        <x:v>10869</x:v>
      </x:c>
      <x:c r="C2757" s="0" t="s">
        <x:v>10870</x:v>
      </x:c>
      <x:c r="E2757" s="0" t="s">
        <x:v>10871</x:v>
      </x:c>
      <x:c r="F2757" s="0" t="s">
        <x:v>45</x:v>
      </x:c>
      <x:c r="G2757" s="0" t="s">
        <x:v>19</x:v>
      </x:c>
      <x:c r="H2757" s="0" t="s">
        <x:v>20</x:v>
      </x:c>
      <x:c r="I2757" s="0" t="s">
        <x:v>21</x:v>
      </x:c>
      <x:c r="K2757" s="0">
        <x:f>hyperlink("https://icd.who.int/dev11/l-ichi/en#/http%3A%2F%2Fid.who.int%2Ficd%2Fentity%2F1768328884","browser")</x:f>
      </x:c>
      <x:c r="L2757" s="0">
        <x:f>hyperlink("https://icat2.azurewebsites.net/icat/?ontology=ICD&amp;tab=ClassesTab&amp;id=http%3A%2F%2Fwho.int%2Ficd%2310549_4869915e_217e_423d_acb3_33c0f920ef4b","iCat")</x:f>
      </x:c>
      <x:c r="M2757" s="0" t="s">
        <x:v>21</x:v>
      </x:c>
      <x:c r="N2757" s="0" t="s">
        <x:v>46</x:v>
      </x:c>
    </x:row>
    <x:row r="2758" spans="1:16">
      <x:c r="A2758" s="0" t="s">
        <x:v>10872</x:v>
      </x:c>
      <x:c r="B2758" s="0" t="s">
        <x:v>10873</x:v>
      </x:c>
      <x:c r="C2758" s="0" t="s">
        <x:v>10874</x:v>
      </x:c>
      <x:c r="E2758" s="0" t="s">
        <x:v>10875</x:v>
      </x:c>
      <x:c r="F2758" s="0" t="s">
        <x:v>45</x:v>
      </x:c>
      <x:c r="G2758" s="0" t="s">
        <x:v>19</x:v>
      </x:c>
      <x:c r="H2758" s="0" t="s">
        <x:v>20</x:v>
      </x:c>
      <x:c r="I2758" s="0" t="s">
        <x:v>21</x:v>
      </x:c>
      <x:c r="K2758" s="0">
        <x:f>hyperlink("https://icd.who.int/dev11/l-ichi/en#/http%3A%2F%2Fid.who.int%2Ficd%2Fentity%2F2015735492","browser")</x:f>
      </x:c>
      <x:c r="L2758" s="0">
        <x:f>hyperlink("https://icat2.azurewebsites.net/icat/?ontology=ICD&amp;tab=ClassesTab&amp;id=http%3A%2F%2Fwho.int%2Ficd%2310555_4869915e_217e_423d_acb3_33c0f920ef4b","iCat")</x:f>
      </x:c>
      <x:c r="M2758" s="0" t="s">
        <x:v>21</x:v>
      </x:c>
      <x:c r="N2758" s="0" t="s">
        <x:v>46</x:v>
      </x:c>
    </x:row>
    <x:row r="2759" spans="1:16">
      <x:c r="A2759" s="0" t="s">
        <x:v>10876</x:v>
      </x:c>
      <x:c r="B2759" s="0" t="s">
        <x:v>10877</x:v>
      </x:c>
      <x:c r="C2759" s="0" t="s">
        <x:v>10878</x:v>
      </x:c>
      <x:c r="E2759" s="0" t="s">
        <x:v>10879</x:v>
      </x:c>
      <x:c r="F2759" s="0" t="s">
        <x:v>45</x:v>
      </x:c>
      <x:c r="G2759" s="0" t="s">
        <x:v>19</x:v>
      </x:c>
      <x:c r="H2759" s="0" t="s">
        <x:v>20</x:v>
      </x:c>
      <x:c r="I2759" s="0" t="s">
        <x:v>21</x:v>
      </x:c>
      <x:c r="K2759" s="0">
        <x:f>hyperlink("https://icd.who.int/dev11/l-ichi/en#/http%3A%2F%2Fid.who.int%2Ficd%2Fentity%2F1137841130","browser")</x:f>
      </x:c>
      <x:c r="L2759" s="0">
        <x:f>hyperlink("https://icat2.azurewebsites.net/icat/?ontology=ICD&amp;tab=ClassesTab&amp;id=http%3A%2F%2Fwho.int%2Ficd%231433_d85a204c_d00a_4566_a3b7_2d137a1891cf","iCat")</x:f>
      </x:c>
      <x:c r="M2759" s="0" t="s">
        <x:v>21</x:v>
      </x:c>
      <x:c r="N2759" s="0" t="s">
        <x:v>46</x:v>
      </x:c>
    </x:row>
    <x:row r="2760" spans="1:16">
      <x:c r="A2760" s="0" t="s">
        <x:v>10880</x:v>
      </x:c>
      <x:c r="B2760" s="0" t="s">
        <x:v>10881</x:v>
      </x:c>
      <x:c r="C2760" s="0" t="s">
        <x:v>10882</x:v>
      </x:c>
      <x:c r="E2760" s="0" t="s">
        <x:v>10883</x:v>
      </x:c>
      <x:c r="F2760" s="0" t="s">
        <x:v>45</x:v>
      </x:c>
      <x:c r="G2760" s="0" t="s">
        <x:v>19</x:v>
      </x:c>
      <x:c r="H2760" s="0" t="s">
        <x:v>20</x:v>
      </x:c>
      <x:c r="I2760" s="0" t="s">
        <x:v>21</x:v>
      </x:c>
      <x:c r="K2760" s="0">
        <x:f>hyperlink("https://icd.who.int/dev11/l-ichi/en#/http%3A%2F%2Fid.who.int%2Ficd%2Fentity%2F1747943290","browser")</x:f>
      </x:c>
      <x:c r="L2760" s="0">
        <x:f>hyperlink("https://icat2.azurewebsites.net/icat/?ontology=ICD&amp;tab=ClassesTab&amp;id=http%3A%2F%2Fwho.int%2Ficd%231439_d85a204c_d00a_4566_a3b7_2d137a1891cf","iCat")</x:f>
      </x:c>
      <x:c r="M2760" s="0" t="s">
        <x:v>21</x:v>
      </x:c>
      <x:c r="N2760" s="0" t="s">
        <x:v>46</x:v>
      </x:c>
    </x:row>
    <x:row r="2761" spans="1:16">
      <x:c r="A2761" s="0" t="s">
        <x:v>10884</x:v>
      </x:c>
      <x:c r="B2761" s="0" t="s">
        <x:v>10885</x:v>
      </x:c>
      <x:c r="C2761" s="0" t="s">
        <x:v>10886</x:v>
      </x:c>
      <x:c r="E2761" s="0" t="s">
        <x:v>10887</x:v>
      </x:c>
      <x:c r="F2761" s="0" t="s">
        <x:v>45</x:v>
      </x:c>
      <x:c r="G2761" s="0" t="s">
        <x:v>19</x:v>
      </x:c>
      <x:c r="H2761" s="0" t="s">
        <x:v>20</x:v>
      </x:c>
      <x:c r="I2761" s="0" t="s">
        <x:v>21</x:v>
      </x:c>
      <x:c r="K2761" s="0">
        <x:f>hyperlink("https://icd.who.int/dev11/l-ichi/en#/http%3A%2F%2Fid.who.int%2Ficd%2Fentity%2F409836799","browser")</x:f>
      </x:c>
      <x:c r="L2761" s="0">
        <x:f>hyperlink("https://icat2.azurewebsites.net/icat/?ontology=ICD&amp;tab=ClassesTab&amp;id=http%3A%2F%2Fwho.int%2Ficd%2310564_4869915e_217e_423d_acb3_33c0f920ef4b","iCat")</x:f>
      </x:c>
      <x:c r="M2761" s="0" t="s">
        <x:v>21</x:v>
      </x:c>
      <x:c r="N2761" s="0" t="s">
        <x:v>46</x:v>
      </x:c>
    </x:row>
    <x:row r="2762" spans="1:16">
      <x:c r="A2762" s="0" t="s">
        <x:v>10888</x:v>
      </x:c>
      <x:c r="B2762" s="0" t="s">
        <x:v>10889</x:v>
      </x:c>
      <x:c r="C2762" s="0" t="s">
        <x:v>10890</x:v>
      </x:c>
      <x:c r="E2762" s="0" t="s">
        <x:v>10891</x:v>
      </x:c>
      <x:c r="F2762" s="0" t="s">
        <x:v>45</x:v>
      </x:c>
      <x:c r="G2762" s="0" t="s">
        <x:v>19</x:v>
      </x:c>
      <x:c r="H2762" s="0" t="s">
        <x:v>20</x:v>
      </x:c>
      <x:c r="I2762" s="0" t="s">
        <x:v>21</x:v>
      </x:c>
      <x:c r="K2762" s="0">
        <x:f>hyperlink("https://icd.who.int/dev11/l-ichi/en#/http%3A%2F%2Fid.who.int%2Ficd%2Fentity%2F19373758","browser")</x:f>
      </x:c>
      <x:c r="L2762" s="0">
        <x:f>hyperlink("https://icat2.azurewebsites.net/icat/?ontology=ICD&amp;tab=ClassesTab&amp;id=http%3A%2F%2Fwho.int%2Ficd%2311664_512ebf36_bf6b_4d70_85da_cf2637062af4","iCat")</x:f>
      </x:c>
      <x:c r="M2762" s="0" t="s">
        <x:v>21</x:v>
      </x:c>
      <x:c r="N2762" s="0" t="s">
        <x:v>46</x:v>
      </x:c>
    </x:row>
    <x:row r="2763" spans="1:16">
      <x:c r="A2763" s="0" t="s">
        <x:v>10892</x:v>
      </x:c>
      <x:c r="B2763" s="0" t="s">
        <x:v>10893</x:v>
      </x:c>
      <x:c r="C2763" s="0" t="s">
        <x:v>10894</x:v>
      </x:c>
      <x:c r="E2763" s="0" t="s">
        <x:v>10895</x:v>
      </x:c>
      <x:c r="F2763" s="0" t="s">
        <x:v>45</x:v>
      </x:c>
      <x:c r="G2763" s="0" t="s">
        <x:v>19</x:v>
      </x:c>
      <x:c r="H2763" s="0" t="s">
        <x:v>20</x:v>
      </x:c>
      <x:c r="I2763" s="0" t="s">
        <x:v>21</x:v>
      </x:c>
      <x:c r="K2763" s="0">
        <x:f>hyperlink("https://icd.who.int/dev11/l-ichi/en#/http%3A%2F%2Fid.who.int%2Ficd%2Fentity%2F1592119197","browser")</x:f>
      </x:c>
      <x:c r="L2763" s="0">
        <x:f>hyperlink("https://icat2.azurewebsites.net/icat/?ontology=ICD&amp;tab=ClassesTab&amp;id=http%3A%2F%2Fwho.int%2Ficd%2311670_512ebf36_bf6b_4d70_85da_cf2637062af4","iCat")</x:f>
      </x:c>
      <x:c r="M2763" s="0" t="s">
        <x:v>21</x:v>
      </x:c>
      <x:c r="N2763" s="0" t="s">
        <x:v>46</x:v>
      </x:c>
    </x:row>
    <x:row r="2764" spans="1:16">
      <x:c r="A2764" s="0" t="s">
        <x:v>10896</x:v>
      </x:c>
      <x:c r="B2764" s="0" t="s">
        <x:v>10897</x:v>
      </x:c>
      <x:c r="C2764" s="0" t="s">
        <x:v>10898</x:v>
      </x:c>
      <x:c r="E2764" s="0" t="s">
        <x:v>10899</x:v>
      </x:c>
      <x:c r="F2764" s="0" t="s">
        <x:v>45</x:v>
      </x:c>
      <x:c r="G2764" s="0" t="s">
        <x:v>19</x:v>
      </x:c>
      <x:c r="H2764" s="0" t="s">
        <x:v>20</x:v>
      </x:c>
      <x:c r="I2764" s="0" t="s">
        <x:v>21</x:v>
      </x:c>
      <x:c r="K2764" s="0">
        <x:f>hyperlink("https://icd.who.int/dev11/l-ichi/en#/http%3A%2F%2Fid.who.int%2Ficd%2Fentity%2F245241388","browser")</x:f>
      </x:c>
      <x:c r="L2764" s="0">
        <x:f>hyperlink("https://icat2.azurewebsites.net/icat/?ontology=ICD&amp;tab=ClassesTab&amp;id=http%3A%2F%2Fwho.int%2Ficd%2311676_512ebf36_bf6b_4d70_85da_cf2637062af4","iCat")</x:f>
      </x:c>
      <x:c r="M2764" s="0" t="s">
        <x:v>21</x:v>
      </x:c>
      <x:c r="N2764" s="0" t="s">
        <x:v>46</x:v>
      </x:c>
    </x:row>
    <x:row r="2765" spans="1:16">
      <x:c r="A2765" s="0" t="s">
        <x:v>10900</x:v>
      </x:c>
      <x:c r="B2765" s="0" t="s">
        <x:v>10901</x:v>
      </x:c>
      <x:c r="C2765" s="0" t="s">
        <x:v>10902</x:v>
      </x:c>
      <x:c r="E2765" s="0" t="s">
        <x:v>10903</x:v>
      </x:c>
      <x:c r="F2765" s="0" t="s">
        <x:v>45</x:v>
      </x:c>
      <x:c r="G2765" s="0" t="s">
        <x:v>19</x:v>
      </x:c>
      <x:c r="H2765" s="0" t="s">
        <x:v>20</x:v>
      </x:c>
      <x:c r="I2765" s="0" t="s">
        <x:v>21</x:v>
      </x:c>
      <x:c r="K2765" s="0">
        <x:f>hyperlink("https://icd.who.int/dev11/l-ichi/en#/http%3A%2F%2Fid.who.int%2Ficd%2Fentity%2F343840904","browser")</x:f>
      </x:c>
      <x:c r="L2765" s="0">
        <x:f>hyperlink("https://icat2.azurewebsites.net/icat/?ontology=ICD&amp;tab=ClassesTab&amp;id=http%3A%2F%2Fwho.int%2Ficd%2311682_512ebf36_bf6b_4d70_85da_cf2637062af4","iCat")</x:f>
      </x:c>
      <x:c r="M2765" s="0" t="s">
        <x:v>21</x:v>
      </x:c>
      <x:c r="N2765" s="0" t="s">
        <x:v>46</x:v>
      </x:c>
    </x:row>
    <x:row r="2766" spans="1:16">
      <x:c r="A2766" s="0" t="s">
        <x:v>10904</x:v>
      </x:c>
      <x:c r="B2766" s="0" t="s">
        <x:v>10905</x:v>
      </x:c>
      <x:c r="C2766" s="0" t="s">
        <x:v>10906</x:v>
      </x:c>
      <x:c r="E2766" s="0" t="s">
        <x:v>10907</x:v>
      </x:c>
      <x:c r="F2766" s="0" t="s">
        <x:v>45</x:v>
      </x:c>
      <x:c r="G2766" s="0" t="s">
        <x:v>19</x:v>
      </x:c>
      <x:c r="H2766" s="0" t="s">
        <x:v>20</x:v>
      </x:c>
      <x:c r="I2766" s="0" t="s">
        <x:v>21</x:v>
      </x:c>
      <x:c r="K2766" s="0">
        <x:f>hyperlink("https://icd.who.int/dev11/l-ichi/en#/http%3A%2F%2Fid.who.int%2Ficd%2Fentity%2F1065612312","browser")</x:f>
      </x:c>
      <x:c r="L2766" s="0">
        <x:f>hyperlink("https://icat2.azurewebsites.net/icat/?ontology=ICD&amp;tab=ClassesTab&amp;id=http%3A%2F%2Fwho.int%2Ficd%2311688_512ebf36_bf6b_4d70_85da_cf2637062af4","iCat")</x:f>
      </x:c>
      <x:c r="M2766" s="0" t="s">
        <x:v>21</x:v>
      </x:c>
      <x:c r="N2766" s="0" t="s">
        <x:v>46</x:v>
      </x:c>
    </x:row>
    <x:row r="2767" spans="1:16">
      <x:c r="A2767" s="0" t="s">
        <x:v>10908</x:v>
      </x:c>
      <x:c r="B2767" s="0" t="s">
        <x:v>10909</x:v>
      </x:c>
      <x:c r="C2767" s="0" t="s">
        <x:v>10910</x:v>
      </x:c>
      <x:c r="E2767" s="0" t="s">
        <x:v>10911</x:v>
      </x:c>
      <x:c r="F2767" s="0" t="s">
        <x:v>45</x:v>
      </x:c>
      <x:c r="G2767" s="0" t="s">
        <x:v>19</x:v>
      </x:c>
      <x:c r="H2767" s="0" t="s">
        <x:v>20</x:v>
      </x:c>
      <x:c r="I2767" s="0" t="s">
        <x:v>21</x:v>
      </x:c>
      <x:c r="K2767" s="0">
        <x:f>hyperlink("https://icd.who.int/dev11/l-ichi/en#/http%3A%2F%2Fid.who.int%2Ficd%2Fentity%2F784389216","browser")</x:f>
      </x:c>
      <x:c r="L2767" s="0">
        <x:f>hyperlink("https://icat2.azurewebsites.net/icat/?ontology=ICD&amp;tab=ClassesTab&amp;id=http%3A%2F%2Fwho.int%2Ficd%2311694_512ebf36_bf6b_4d70_85da_cf2637062af4","iCat")</x:f>
      </x:c>
      <x:c r="M2767" s="0" t="s">
        <x:v>21</x:v>
      </x:c>
      <x:c r="N2767" s="0" t="s">
        <x:v>46</x:v>
      </x:c>
    </x:row>
    <x:row r="2768" spans="1:16">
      <x:c r="A2768" s="0" t="s">
        <x:v>10912</x:v>
      </x:c>
      <x:c r="B2768" s="0" t="s">
        <x:v>10913</x:v>
      </x:c>
      <x:c r="C2768" s="0" t="s">
        <x:v>10914</x:v>
      </x:c>
      <x:c r="E2768" s="0" t="s">
        <x:v>10915</x:v>
      </x:c>
      <x:c r="F2768" s="0" t="s">
        <x:v>45</x:v>
      </x:c>
      <x:c r="G2768" s="0" t="s">
        <x:v>19</x:v>
      </x:c>
      <x:c r="H2768" s="0" t="s">
        <x:v>20</x:v>
      </x:c>
      <x:c r="I2768" s="0" t="s">
        <x:v>21</x:v>
      </x:c>
      <x:c r="K2768" s="0">
        <x:f>hyperlink("https://icd.who.int/dev11/l-ichi/en#/http%3A%2F%2Fid.who.int%2Ficd%2Fentity%2F1169143593","browser")</x:f>
      </x:c>
      <x:c r="L2768" s="0">
        <x:f>hyperlink("https://icat2.azurewebsites.net/icat/?ontology=ICD&amp;tab=ClassesTab&amp;id=http%3A%2F%2Fwho.int%2Ficd%233_0b1ba77e_1110_4c95_88d7_b3da3232f4d4","iCat")</x:f>
      </x:c>
      <x:c r="M2768" s="0" t="s">
        <x:v>21</x:v>
      </x:c>
      <x:c r="N2768" s="0" t="s">
        <x:v>46</x:v>
      </x:c>
    </x:row>
    <x:row r="2769" spans="1:16">
      <x:c r="A2769" s="0" t="s">
        <x:v>10916</x:v>
      </x:c>
      <x:c r="B2769" s="0" t="s">
        <x:v>10917</x:v>
      </x:c>
      <x:c r="C2769" s="0" t="s">
        <x:v>10918</x:v>
      </x:c>
      <x:c r="E2769" s="0" t="s">
        <x:v>10919</x:v>
      </x:c>
      <x:c r="F2769" s="0" t="s">
        <x:v>45</x:v>
      </x:c>
      <x:c r="G2769" s="0" t="s">
        <x:v>19</x:v>
      </x:c>
      <x:c r="H2769" s="0" t="s">
        <x:v>20</x:v>
      </x:c>
      <x:c r="I2769" s="0" t="s">
        <x:v>21</x:v>
      </x:c>
      <x:c r="K2769" s="0">
        <x:f>hyperlink("https://icd.who.int/dev11/l-ichi/en#/http%3A%2F%2Fid.who.int%2Ficd%2Fentity%2F728357893","browser")</x:f>
      </x:c>
      <x:c r="L2769" s="0">
        <x:f>hyperlink("https://icat2.azurewebsites.net/icat/?ontology=ICD&amp;tab=ClassesTab&amp;id=http%3A%2F%2Fwho.int%2Ficd%231288_94acc4f6_b696_4796_914a_62879ddd4f65","iCat")</x:f>
      </x:c>
      <x:c r="M2769" s="0" t="s">
        <x:v>21</x:v>
      </x:c>
      <x:c r="N2769" s="0" t="s">
        <x:v>46</x:v>
      </x:c>
    </x:row>
    <x:row r="2770" spans="1:16">
      <x:c r="A2770" s="0" t="s">
        <x:v>10920</x:v>
      </x:c>
      <x:c r="B2770" s="0" t="s">
        <x:v>10921</x:v>
      </x:c>
      <x:c r="C2770" s="0" t="s">
        <x:v>10922</x:v>
      </x:c>
      <x:c r="E2770" s="0" t="s">
        <x:v>10923</x:v>
      </x:c>
      <x:c r="F2770" s="0" t="s">
        <x:v>45</x:v>
      </x:c>
      <x:c r="G2770" s="0" t="s">
        <x:v>19</x:v>
      </x:c>
      <x:c r="H2770" s="0" t="s">
        <x:v>20</x:v>
      </x:c>
      <x:c r="I2770" s="0" t="s">
        <x:v>21</x:v>
      </x:c>
      <x:c r="K2770" s="0">
        <x:f>hyperlink("https://icd.who.int/dev11/l-ichi/en#/http%3A%2F%2Fid.who.int%2Ficd%2Fentity%2F464263706","browser")</x:f>
      </x:c>
      <x:c r="L2770" s="0">
        <x:f>hyperlink("https://icat2.azurewebsites.net/icat/?ontology=ICD&amp;tab=ClassesTab&amp;id=http%3A%2F%2Fwho.int%2Ficd%2311700_512ebf36_bf6b_4d70_85da_cf2637062af4","iCat")</x:f>
      </x:c>
      <x:c r="M2770" s="0" t="s">
        <x:v>21</x:v>
      </x:c>
      <x:c r="N2770" s="0" t="s">
        <x:v>46</x:v>
      </x:c>
    </x:row>
    <x:row r="2771" spans="1:16">
      <x:c r="A2771" s="0" t="s">
        <x:v>10924</x:v>
      </x:c>
      <x:c r="B2771" s="0" t="s">
        <x:v>10925</x:v>
      </x:c>
      <x:c r="D2771" s="0" t="s">
        <x:v>10926</x:v>
      </x:c>
      <x:c r="E2771" s="0" t="s">
        <x:v>10927</x:v>
      </x:c>
      <x:c r="F2771" s="0" t="s">
        <x:v>26</x:v>
      </x:c>
      <x:c r="G2771" s="0" t="s">
        <x:v>22</x:v>
      </x:c>
      <x:c r="H2771" s="0" t="s">
        <x:v>20</x:v>
      </x:c>
      <x:c r="I2771" s="0" t="s">
        <x:v>21</x:v>
      </x:c>
      <x:c r="K2771" s="0">
        <x:f>hyperlink("https://icd.who.int/dev11/l-ichi/en#/http%3A%2F%2Fid.who.int%2Ficd%2Fentity%2F1798222231","browser")</x:f>
      </x:c>
      <x:c r="L2771" s="0">
        <x:f>hyperlink("https://icat2.azurewebsites.net/icat/?ontology=ICD&amp;tab=ClassesTab&amp;id=http%3A%2F%2Fwho.int%2Ficd%2311707_512ebf36_bf6b_4d70_85da_cf2637062af4","iCat")</x:f>
      </x:c>
      <x:c r="M2771" s="0" t="s">
        <x:v>20</x:v>
      </x:c>
      <x:c r="N2771" s="0" t="s">
        <x:v>36</x:v>
      </x:c>
    </x:row>
    <x:row r="2772" spans="1:16">
      <x:c r="A2772" s="0" t="s">
        <x:v>10928</x:v>
      </x:c>
      <x:c r="B2772" s="0" t="s">
        <x:v>10929</x:v>
      </x:c>
      <x:c r="C2772" s="0" t="s">
        <x:v>10930</x:v>
      </x:c>
      <x:c r="E2772" s="0" t="s">
        <x:v>10931</x:v>
      </x:c>
      <x:c r="F2772" s="0" t="s">
        <x:v>45</x:v>
      </x:c>
      <x:c r="G2772" s="0" t="s">
        <x:v>19</x:v>
      </x:c>
      <x:c r="H2772" s="0" t="s">
        <x:v>20</x:v>
      </x:c>
      <x:c r="I2772" s="0" t="s">
        <x:v>21</x:v>
      </x:c>
      <x:c r="K2772" s="0">
        <x:f>hyperlink("https://icd.who.int/dev11/l-ichi/en#/http%3A%2F%2Fid.who.int%2Ficd%2Fentity%2F1272431531","browser")</x:f>
      </x:c>
      <x:c r="L2772" s="0">
        <x:f>hyperlink("https://icat2.azurewebsites.net/icat/?ontology=ICD&amp;tab=ClassesTab&amp;id=http%3A%2F%2Fwho.int%2Ficd%2311706_512ebf36_bf6b_4d70_85da_cf2637062af4","iCat")</x:f>
      </x:c>
      <x:c r="M2772" s="0" t="s">
        <x:v>21</x:v>
      </x:c>
      <x:c r="N2772" s="0" t="s">
        <x:v>46</x:v>
      </x:c>
    </x:row>
    <x:row r="2773" spans="1:16">
      <x:c r="A2773" s="0" t="s">
        <x:v>10932</x:v>
      </x:c>
      <x:c r="B2773" s="0" t="s">
        <x:v>10933</x:v>
      </x:c>
      <x:c r="C2773" s="0" t="s">
        <x:v>10934</x:v>
      </x:c>
      <x:c r="E2773" s="0" t="s">
        <x:v>10935</x:v>
      </x:c>
      <x:c r="F2773" s="0" t="s">
        <x:v>45</x:v>
      </x:c>
      <x:c r="G2773" s="0" t="s">
        <x:v>19</x:v>
      </x:c>
      <x:c r="H2773" s="0" t="s">
        <x:v>20</x:v>
      </x:c>
      <x:c r="I2773" s="0" t="s">
        <x:v>21</x:v>
      </x:c>
      <x:c r="K2773" s="0">
        <x:f>hyperlink("https://icd.who.int/dev11/l-ichi/en#/http%3A%2F%2Fid.who.int%2Ficd%2Fentity%2F521243686","browser")</x:f>
      </x:c>
      <x:c r="L2773" s="0">
        <x:f>hyperlink("https://icat2.azurewebsites.net/icat/?ontology=ICD&amp;tab=ClassesTab&amp;id=http%3A%2F%2Fwho.int%2Ficd%2311719_512ebf36_bf6b_4d70_85da_cf2637062af4","iCat")</x:f>
      </x:c>
      <x:c r="M2773" s="0" t="s">
        <x:v>21</x:v>
      </x:c>
      <x:c r="N2773" s="0" t="s">
        <x:v>46</x:v>
      </x:c>
    </x:row>
    <x:row r="2774" spans="1:16">
      <x:c r="A2774" s="0" t="s">
        <x:v>10936</x:v>
      </x:c>
      <x:c r="B2774" s="0" t="s">
        <x:v>10937</x:v>
      </x:c>
      <x:c r="C2774" s="0" t="s">
        <x:v>10938</x:v>
      </x:c>
      <x:c r="E2774" s="0" t="s">
        <x:v>10939</x:v>
      </x:c>
      <x:c r="F2774" s="0" t="s">
        <x:v>45</x:v>
      </x:c>
      <x:c r="G2774" s="0" t="s">
        <x:v>19</x:v>
      </x:c>
      <x:c r="H2774" s="0" t="s">
        <x:v>20</x:v>
      </x:c>
      <x:c r="I2774" s="0" t="s">
        <x:v>21</x:v>
      </x:c>
      <x:c r="K2774" s="0">
        <x:f>hyperlink("https://icd.who.int/dev11/l-ichi/en#/http%3A%2F%2Fid.who.int%2Ficd%2Fentity%2F1638078203","browser")</x:f>
      </x:c>
      <x:c r="L2774" s="0">
        <x:f>hyperlink("https://icat2.azurewebsites.net/icat/?ontology=ICD&amp;tab=ClassesTab&amp;id=http%3A%2F%2Fwho.int%2Ficd%2311726_512ebf36_bf6b_4d70_85da_cf2637062af4","iCat")</x:f>
      </x:c>
      <x:c r="M2774" s="0" t="s">
        <x:v>21</x:v>
      </x:c>
      <x:c r="N2774" s="0" t="s">
        <x:v>46</x:v>
      </x:c>
    </x:row>
    <x:row r="2775" spans="1:16">
      <x:c r="A2775" s="0" t="s">
        <x:v>10940</x:v>
      </x:c>
      <x:c r="B2775" s="0" t="s">
        <x:v>10941</x:v>
      </x:c>
      <x:c r="C2775" s="0" t="s">
        <x:v>10942</x:v>
      </x:c>
      <x:c r="E2775" s="0" t="s">
        <x:v>10943</x:v>
      </x:c>
      <x:c r="F2775" s="0" t="s">
        <x:v>45</x:v>
      </x:c>
      <x:c r="G2775" s="0" t="s">
        <x:v>19</x:v>
      </x:c>
      <x:c r="H2775" s="0" t="s">
        <x:v>20</x:v>
      </x:c>
      <x:c r="I2775" s="0" t="s">
        <x:v>21</x:v>
      </x:c>
      <x:c r="K2775" s="0">
        <x:f>hyperlink("https://icd.who.int/dev11/l-ichi/en#/http%3A%2F%2Fid.who.int%2Ficd%2Fentity%2F513291748","browser")</x:f>
      </x:c>
      <x:c r="L2775" s="0">
        <x:f>hyperlink("https://icat2.azurewebsites.net/icat/?ontology=ICD&amp;tab=ClassesTab&amp;id=http%3A%2F%2Fwho.int%2Ficd%2311733_512ebf36_bf6b_4d70_85da_cf2637062af4","iCat")</x:f>
      </x:c>
      <x:c r="M2775" s="0" t="s">
        <x:v>21</x:v>
      </x:c>
      <x:c r="N2775" s="0" t="s">
        <x:v>46</x:v>
      </x:c>
    </x:row>
    <x:row r="2776" spans="1:16">
      <x:c r="A2776" s="0" t="s">
        <x:v>10944</x:v>
      </x:c>
      <x:c r="B2776" s="0" t="s">
        <x:v>10945</x:v>
      </x:c>
      <x:c r="C2776" s="0" t="s">
        <x:v>10946</x:v>
      </x:c>
      <x:c r="E2776" s="0" t="s">
        <x:v>10947</x:v>
      </x:c>
      <x:c r="F2776" s="0" t="s">
        <x:v>45</x:v>
      </x:c>
      <x:c r="G2776" s="0" t="s">
        <x:v>19</x:v>
      </x:c>
      <x:c r="H2776" s="0" t="s">
        <x:v>20</x:v>
      </x:c>
      <x:c r="I2776" s="0" t="s">
        <x:v>21</x:v>
      </x:c>
      <x:c r="K2776" s="0">
        <x:f>hyperlink("https://icd.who.int/dev11/l-ichi/en#/http%3A%2F%2Fid.who.int%2Ficd%2Fentity%2F1808484615","browser")</x:f>
      </x:c>
      <x:c r="L2776" s="0">
        <x:f>hyperlink("https://icat2.azurewebsites.net/icat/?ontology=ICD&amp;tab=ClassesTab&amp;id=http%3A%2F%2Fwho.int%2Ficd%2311740_512ebf36_bf6b_4d70_85da_cf2637062af4","iCat")</x:f>
      </x:c>
      <x:c r="M2776" s="0" t="s">
        <x:v>21</x:v>
      </x:c>
      <x:c r="N2776" s="0" t="s">
        <x:v>46</x:v>
      </x:c>
    </x:row>
    <x:row r="2777" spans="1:16">
      <x:c r="A2777" s="0" t="s">
        <x:v>10948</x:v>
      </x:c>
      <x:c r="B2777" s="0" t="s">
        <x:v>10949</x:v>
      </x:c>
      <x:c r="C2777" s="0" t="s">
        <x:v>10950</x:v>
      </x:c>
      <x:c r="E2777" s="0" t="s">
        <x:v>10951</x:v>
      </x:c>
      <x:c r="F2777" s="0" t="s">
        <x:v>45</x:v>
      </x:c>
      <x:c r="G2777" s="0" t="s">
        <x:v>19</x:v>
      </x:c>
      <x:c r="H2777" s="0" t="s">
        <x:v>20</x:v>
      </x:c>
      <x:c r="I2777" s="0" t="s">
        <x:v>21</x:v>
      </x:c>
      <x:c r="K2777" s="0">
        <x:f>hyperlink("https://icd.who.int/dev11/l-ichi/en#/http%3A%2F%2Fid.who.int%2Ficd%2Fentity%2F457826954","browser")</x:f>
      </x:c>
      <x:c r="L2777" s="0">
        <x:f>hyperlink("https://icat2.azurewebsites.net/icat/?ontology=ICD&amp;tab=ClassesTab&amp;id=http%3A%2F%2Fwho.int%2Ficd%2311747_512ebf36_bf6b_4d70_85da_cf2637062af4","iCat")</x:f>
      </x:c>
      <x:c r="M2777" s="0" t="s">
        <x:v>21</x:v>
      </x:c>
      <x:c r="N2777" s="0" t="s">
        <x:v>46</x:v>
      </x:c>
    </x:row>
    <x:row r="2778" spans="1:16">
      <x:c r="A2778" s="0" t="s">
        <x:v>10952</x:v>
      </x:c>
      <x:c r="B2778" s="0" t="s">
        <x:v>10953</x:v>
      </x:c>
      <x:c r="C2778" s="0" t="s">
        <x:v>10954</x:v>
      </x:c>
      <x:c r="E2778" s="0" t="s">
        <x:v>10955</x:v>
      </x:c>
      <x:c r="F2778" s="0" t="s">
        <x:v>45</x:v>
      </x:c>
      <x:c r="G2778" s="0" t="s">
        <x:v>19</x:v>
      </x:c>
      <x:c r="H2778" s="0" t="s">
        <x:v>20</x:v>
      </x:c>
      <x:c r="I2778" s="0" t="s">
        <x:v>21</x:v>
      </x:c>
      <x:c r="K2778" s="0">
        <x:f>hyperlink("https://icd.who.int/dev11/l-ichi/en#/http%3A%2F%2Fid.who.int%2Ficd%2Fentity%2F873011238","browser")</x:f>
      </x:c>
      <x:c r="L2778" s="0">
        <x:f>hyperlink("https://icat2.azurewebsites.net/icat/?ontology=ICD&amp;tab=ClassesTab&amp;id=http%3A%2F%2Fwho.int%2Ficd%2311754_512ebf36_bf6b_4d70_85da_cf2637062af4","iCat")</x:f>
      </x:c>
      <x:c r="M2778" s="0" t="s">
        <x:v>21</x:v>
      </x:c>
      <x:c r="N2778" s="0" t="s">
        <x:v>46</x:v>
      </x:c>
    </x:row>
    <x:row r="2779" spans="1:16">
      <x:c r="A2779" s="0" t="s">
        <x:v>10956</x:v>
      </x:c>
      <x:c r="B2779" s="0" t="s">
        <x:v>10957</x:v>
      </x:c>
      <x:c r="C2779" s="0" t="s">
        <x:v>10958</x:v>
      </x:c>
      <x:c r="E2779" s="0" t="s">
        <x:v>10959</x:v>
      </x:c>
      <x:c r="F2779" s="0" t="s">
        <x:v>45</x:v>
      </x:c>
      <x:c r="G2779" s="0" t="s">
        <x:v>19</x:v>
      </x:c>
      <x:c r="H2779" s="0" t="s">
        <x:v>20</x:v>
      </x:c>
      <x:c r="I2779" s="0" t="s">
        <x:v>21</x:v>
      </x:c>
      <x:c r="K2779" s="0">
        <x:f>hyperlink("https://icd.who.int/dev11/l-ichi/en#/http%3A%2F%2Fid.who.int%2Ficd%2Fentity%2F1958238243","browser")</x:f>
      </x:c>
      <x:c r="L2779" s="0">
        <x:f>hyperlink("https://icat2.azurewebsites.net/icat/?ontology=ICD&amp;tab=ClassesTab&amp;id=http%3A%2F%2Fwho.int%2Ficd%2311764_512ebf36_bf6b_4d70_85da_cf2637062af4","iCat")</x:f>
      </x:c>
      <x:c r="M2779" s="0" t="s">
        <x:v>21</x:v>
      </x:c>
      <x:c r="N2779" s="0" t="s">
        <x:v>46</x:v>
      </x:c>
    </x:row>
    <x:row r="2780" spans="1:16">
      <x:c r="A2780" s="0" t="s">
        <x:v>10960</x:v>
      </x:c>
      <x:c r="B2780" s="0" t="s">
        <x:v>10961</x:v>
      </x:c>
      <x:c r="C2780" s="0" t="s">
        <x:v>10962</x:v>
      </x:c>
      <x:c r="E2780" s="0" t="s">
        <x:v>10963</x:v>
      </x:c>
      <x:c r="F2780" s="0" t="s">
        <x:v>45</x:v>
      </x:c>
      <x:c r="G2780" s="0" t="s">
        <x:v>19</x:v>
      </x:c>
      <x:c r="H2780" s="0" t="s">
        <x:v>20</x:v>
      </x:c>
      <x:c r="I2780" s="0" t="s">
        <x:v>21</x:v>
      </x:c>
      <x:c r="K2780" s="0">
        <x:f>hyperlink("https://icd.who.int/dev11/l-ichi/en#/http%3A%2F%2Fid.who.int%2Ficd%2Fentity%2F729417986","browser")</x:f>
      </x:c>
      <x:c r="L2780" s="0">
        <x:f>hyperlink("https://icat2.azurewebsites.net/icat/?ontology=ICD&amp;tab=ClassesTab&amp;id=http%3A%2F%2Fwho.int%2Ficd%2311770_512ebf36_bf6b_4d70_85da_cf2637062af4","iCat")</x:f>
      </x:c>
      <x:c r="M2780" s="0" t="s">
        <x:v>21</x:v>
      </x:c>
      <x:c r="N2780" s="0" t="s">
        <x:v>46</x:v>
      </x:c>
    </x:row>
    <x:row r="2781" spans="1:16">
      <x:c r="A2781" s="0" t="s">
        <x:v>10964</x:v>
      </x:c>
      <x:c r="B2781" s="0" t="s">
        <x:v>10965</x:v>
      </x:c>
      <x:c r="D2781" s="0" t="s">
        <x:v>10966</x:v>
      </x:c>
      <x:c r="E2781" s="0" t="s">
        <x:v>10967</x:v>
      </x:c>
      <x:c r="F2781" s="0" t="s">
        <x:v>26</x:v>
      </x:c>
      <x:c r="G2781" s="0" t="s">
        <x:v>22</x:v>
      </x:c>
      <x:c r="H2781" s="0" t="s">
        <x:v>20</x:v>
      </x:c>
      <x:c r="I2781" s="0" t="s">
        <x:v>21</x:v>
      </x:c>
      <x:c r="K2781" s="0">
        <x:f>hyperlink("https://icd.who.int/dev11/l-ichi/en#/http%3A%2F%2Fid.who.int%2Ficd%2Fentity%2F1710979157","browser")</x:f>
      </x:c>
      <x:c r="L2781" s="0">
        <x:f>hyperlink("https://icat2.azurewebsites.net/icat/?ontology=ICD&amp;tab=ClassesTab&amp;id=http%3A%2F%2Fwho.int%2Ficd%2311778_512ebf36_bf6b_4d70_85da_cf2637062af4","iCat")</x:f>
      </x:c>
      <x:c r="M2781" s="0" t="s">
        <x:v>20</x:v>
      </x:c>
      <x:c r="N2781" s="0" t="s">
        <x:v>10968</x:v>
      </x:c>
    </x:row>
    <x:row r="2782" spans="1:16">
      <x:c r="A2782" s="0" t="s">
        <x:v>10969</x:v>
      </x:c>
      <x:c r="B2782" s="0" t="s">
        <x:v>10970</x:v>
      </x:c>
      <x:c r="C2782" s="0" t="s">
        <x:v>10971</x:v>
      </x:c>
      <x:c r="E2782" s="0" t="s">
        <x:v>10972</x:v>
      </x:c>
      <x:c r="F2782" s="0" t="s">
        <x:v>45</x:v>
      </x:c>
      <x:c r="G2782" s="0" t="s">
        <x:v>19</x:v>
      </x:c>
      <x:c r="H2782" s="0" t="s">
        <x:v>20</x:v>
      </x:c>
      <x:c r="I2782" s="0" t="s">
        <x:v>21</x:v>
      </x:c>
      <x:c r="K2782" s="0">
        <x:f>hyperlink("https://icd.who.int/dev11/l-ichi/en#/http%3A%2F%2Fid.who.int%2Ficd%2Fentity%2F1543021197","browser")</x:f>
      </x:c>
      <x:c r="L2782" s="0">
        <x:f>hyperlink("https://icat2.azurewebsites.net/icat/?ontology=ICD&amp;tab=ClassesTab&amp;id=http%3A%2F%2Fwho.int%2Ficd%2311777_512ebf36_bf6b_4d70_85da_cf2637062af4","iCat")</x:f>
      </x:c>
      <x:c r="M2782" s="0" t="s">
        <x:v>21</x:v>
      </x:c>
      <x:c r="N2782" s="0" t="s">
        <x:v>46</x:v>
      </x:c>
    </x:row>
    <x:row r="2783" spans="1:16">
      <x:c r="A2783" s="0" t="s">
        <x:v>10973</x:v>
      </x:c>
      <x:c r="B2783" s="0" t="s">
        <x:v>10974</x:v>
      </x:c>
      <x:c r="C2783" s="0" t="s">
        <x:v>10975</x:v>
      </x:c>
      <x:c r="E2783" s="0" t="s">
        <x:v>10976</x:v>
      </x:c>
      <x:c r="F2783" s="0" t="s">
        <x:v>45</x:v>
      </x:c>
      <x:c r="G2783" s="0" t="s">
        <x:v>19</x:v>
      </x:c>
      <x:c r="H2783" s="0" t="s">
        <x:v>20</x:v>
      </x:c>
      <x:c r="I2783" s="0" t="s">
        <x:v>21</x:v>
      </x:c>
      <x:c r="K2783" s="0">
        <x:f>hyperlink("https://icd.who.int/dev11/l-ichi/en#/http%3A%2F%2Fid.who.int%2Ficd%2Fentity%2F1793409207","browser")</x:f>
      </x:c>
      <x:c r="L2783" s="0">
        <x:f>hyperlink("https://icat2.azurewebsites.net/icat/?ontology=ICD&amp;tab=ClassesTab&amp;id=http%3A%2F%2Fwho.int%2Ficd%2311789_512ebf36_bf6b_4d70_85da_cf2637062af4","iCat")</x:f>
      </x:c>
      <x:c r="M2783" s="0" t="s">
        <x:v>21</x:v>
      </x:c>
      <x:c r="N2783" s="0" t="s">
        <x:v>46</x:v>
      </x:c>
    </x:row>
    <x:row r="2784" spans="1:16">
      <x:c r="A2784" s="0" t="s">
        <x:v>10977</x:v>
      </x:c>
      <x:c r="B2784" s="0" t="s">
        <x:v>10978</x:v>
      </x:c>
      <x:c r="C2784" s="0" t="s">
        <x:v>10979</x:v>
      </x:c>
      <x:c r="E2784" s="0" t="s">
        <x:v>10980</x:v>
      </x:c>
      <x:c r="F2784" s="0" t="s">
        <x:v>45</x:v>
      </x:c>
      <x:c r="G2784" s="0" t="s">
        <x:v>19</x:v>
      </x:c>
      <x:c r="H2784" s="0" t="s">
        <x:v>20</x:v>
      </x:c>
      <x:c r="I2784" s="0" t="s">
        <x:v>21</x:v>
      </x:c>
      <x:c r="K2784" s="0">
        <x:f>hyperlink("https://icd.who.int/dev11/l-ichi/en#/http%3A%2F%2Fid.who.int%2Ficd%2Fentity%2F1042485048","browser")</x:f>
      </x:c>
      <x:c r="L2784" s="0">
        <x:f>hyperlink("https://icat2.azurewebsites.net/icat/?ontology=ICD&amp;tab=ClassesTab&amp;id=http%3A%2F%2Fwho.int%2Ficd%2311796_512ebf36_bf6b_4d70_85da_cf2637062af4","iCat")</x:f>
      </x:c>
      <x:c r="M2784" s="0" t="s">
        <x:v>21</x:v>
      </x:c>
      <x:c r="N2784" s="0" t="s">
        <x:v>46</x:v>
      </x:c>
    </x:row>
    <x:row r="2785" spans="1:16">
      <x:c r="A2785" s="0" t="s">
        <x:v>10981</x:v>
      </x:c>
      <x:c r="B2785" s="0" t="s">
        <x:v>10982</x:v>
      </x:c>
      <x:c r="C2785" s="0" t="s">
        <x:v>10983</x:v>
      </x:c>
      <x:c r="E2785" s="0" t="s">
        <x:v>10984</x:v>
      </x:c>
      <x:c r="F2785" s="0" t="s">
        <x:v>45</x:v>
      </x:c>
      <x:c r="G2785" s="0" t="s">
        <x:v>19</x:v>
      </x:c>
      <x:c r="H2785" s="0" t="s">
        <x:v>20</x:v>
      </x:c>
      <x:c r="I2785" s="0" t="s">
        <x:v>21</x:v>
      </x:c>
      <x:c r="K2785" s="0">
        <x:f>hyperlink("https://icd.who.int/dev11/l-ichi/en#/http%3A%2F%2Fid.who.int%2Ficd%2Fentity%2F1491488360","browser")</x:f>
      </x:c>
      <x:c r="L2785" s="0">
        <x:f>hyperlink("https://icat2.azurewebsites.net/icat/?ontology=ICD&amp;tab=ClassesTab&amp;id=http%3A%2F%2Fwho.int%2Ficd%2311804_512ebf36_bf6b_4d70_85da_cf2637062af4","iCat")</x:f>
      </x:c>
      <x:c r="M2785" s="0" t="s">
        <x:v>21</x:v>
      </x:c>
      <x:c r="N2785" s="0" t="s">
        <x:v>46</x:v>
      </x:c>
    </x:row>
    <x:row r="2786" spans="1:16">
      <x:c r="A2786" s="0" t="s">
        <x:v>10985</x:v>
      </x:c>
      <x:c r="B2786" s="0" t="s">
        <x:v>10986</x:v>
      </x:c>
      <x:c r="C2786" s="0" t="s">
        <x:v>10987</x:v>
      </x:c>
      <x:c r="E2786" s="0" t="s">
        <x:v>10988</x:v>
      </x:c>
      <x:c r="F2786" s="0" t="s">
        <x:v>45</x:v>
      </x:c>
      <x:c r="G2786" s="0" t="s">
        <x:v>19</x:v>
      </x:c>
      <x:c r="H2786" s="0" t="s">
        <x:v>20</x:v>
      </x:c>
      <x:c r="I2786" s="0" t="s">
        <x:v>21</x:v>
      </x:c>
      <x:c r="K2786" s="0">
        <x:f>hyperlink("https://icd.who.int/dev11/l-ichi/en#/http%3A%2F%2Fid.who.int%2Ficd%2Fentity%2F668822903","browser")</x:f>
      </x:c>
      <x:c r="L2786" s="0">
        <x:f>hyperlink("https://icat2.azurewebsites.net/icat/?ontology=ICD&amp;tab=ClassesTab&amp;id=http%3A%2F%2Fwho.int%2Ficd%2311811_512ebf36_bf6b_4d70_85da_cf2637062af4","iCat")</x:f>
      </x:c>
      <x:c r="M2786" s="0" t="s">
        <x:v>21</x:v>
      </x:c>
      <x:c r="N2786" s="0" t="s">
        <x:v>46</x:v>
      </x:c>
    </x:row>
    <x:row r="2787" spans="1:16">
      <x:c r="A2787" s="0" t="s">
        <x:v>10989</x:v>
      </x:c>
      <x:c r="B2787" s="0" t="s">
        <x:v>10990</x:v>
      </x:c>
      <x:c r="C2787" s="0" t="s">
        <x:v>10991</x:v>
      </x:c>
      <x:c r="E2787" s="0" t="s">
        <x:v>10992</x:v>
      </x:c>
      <x:c r="F2787" s="0" t="s">
        <x:v>45</x:v>
      </x:c>
      <x:c r="G2787" s="0" t="s">
        <x:v>19</x:v>
      </x:c>
      <x:c r="H2787" s="0" t="s">
        <x:v>20</x:v>
      </x:c>
      <x:c r="I2787" s="0" t="s">
        <x:v>21</x:v>
      </x:c>
      <x:c r="K2787" s="0">
        <x:f>hyperlink("https://icd.who.int/dev11/l-ichi/en#/http%3A%2F%2Fid.who.int%2Ficd%2Fentity%2F1200971596","browser")</x:f>
      </x:c>
      <x:c r="L2787" s="0">
        <x:f>hyperlink("https://icat2.azurewebsites.net/icat/?ontology=ICD&amp;tab=ClassesTab&amp;id=http%3A%2F%2Fwho.int%2Ficd%2311820_512ebf36_bf6b_4d70_85da_cf2637062af4","iCat")</x:f>
      </x:c>
      <x:c r="M2787" s="0" t="s">
        <x:v>21</x:v>
      </x:c>
      <x:c r="N2787" s="0" t="s">
        <x:v>46</x:v>
      </x:c>
    </x:row>
    <x:row r="2788" spans="1:16">
      <x:c r="A2788" s="0" t="s">
        <x:v>10993</x:v>
      </x:c>
      <x:c r="B2788" s="0" t="s">
        <x:v>10994</x:v>
      </x:c>
      <x:c r="C2788" s="0" t="s">
        <x:v>10995</x:v>
      </x:c>
      <x:c r="E2788" s="0" t="s">
        <x:v>10996</x:v>
      </x:c>
      <x:c r="F2788" s="0" t="s">
        <x:v>45</x:v>
      </x:c>
      <x:c r="G2788" s="0" t="s">
        <x:v>19</x:v>
      </x:c>
      <x:c r="H2788" s="0" t="s">
        <x:v>20</x:v>
      </x:c>
      <x:c r="I2788" s="0" t="s">
        <x:v>21</x:v>
      </x:c>
      <x:c r="K2788" s="0">
        <x:f>hyperlink("https://icd.who.int/dev11/l-ichi/en#/http%3A%2F%2Fid.who.int%2Ficd%2Fentity%2F2039204027","browser")</x:f>
      </x:c>
      <x:c r="L2788" s="0">
        <x:f>hyperlink("https://icat2.azurewebsites.net/icat/?ontology=ICD&amp;tab=ClassesTab&amp;id=http%3A%2F%2Fwho.int%2Ficd%2336_daf54e7f_3c71_448d_b36c_01e98ec00e06","iCat")</x:f>
      </x:c>
      <x:c r="M2788" s="0" t="s">
        <x:v>21</x:v>
      </x:c>
      <x:c r="N2788" s="0" t="s">
        <x:v>46</x:v>
      </x:c>
    </x:row>
    <x:row r="2789" spans="1:16">
      <x:c r="A2789" s="0" t="s">
        <x:v>10997</x:v>
      </x:c>
      <x:c r="B2789" s="0" t="s">
        <x:v>10998</x:v>
      </x:c>
      <x:c r="C2789" s="0" t="s">
        <x:v>10999</x:v>
      </x:c>
      <x:c r="E2789" s="0" t="s">
        <x:v>11000</x:v>
      </x:c>
      <x:c r="F2789" s="0" t="s">
        <x:v>45</x:v>
      </x:c>
      <x:c r="G2789" s="0" t="s">
        <x:v>19</x:v>
      </x:c>
      <x:c r="H2789" s="0" t="s">
        <x:v>20</x:v>
      </x:c>
      <x:c r="I2789" s="0" t="s">
        <x:v>21</x:v>
      </x:c>
      <x:c r="K2789" s="0">
        <x:f>hyperlink("https://icd.who.int/dev11/l-ichi/en#/http%3A%2F%2Fid.who.int%2Ficd%2Fentity%2F924316865","browser")</x:f>
      </x:c>
      <x:c r="L2789" s="0">
        <x:f>hyperlink("https://icat2.azurewebsites.net/icat/?ontology=ICD&amp;tab=ClassesTab&amp;id=http%3A%2F%2Fwho.int%2Ficd%2311827_512ebf36_bf6b_4d70_85da_cf2637062af4","iCat")</x:f>
      </x:c>
      <x:c r="M2789" s="0" t="s">
        <x:v>21</x:v>
      </x:c>
      <x:c r="N2789" s="0" t="s">
        <x:v>46</x:v>
      </x:c>
    </x:row>
    <x:row r="2790" spans="1:16">
      <x:c r="A2790" s="0" t="s">
        <x:v>11001</x:v>
      </x:c>
      <x:c r="B2790" s="0" t="s">
        <x:v>11002</x:v>
      </x:c>
      <x:c r="C2790" s="0" t="s">
        <x:v>11003</x:v>
      </x:c>
      <x:c r="E2790" s="0" t="s">
        <x:v>11004</x:v>
      </x:c>
      <x:c r="F2790" s="0" t="s">
        <x:v>45</x:v>
      </x:c>
      <x:c r="G2790" s="0" t="s">
        <x:v>19</x:v>
      </x:c>
      <x:c r="H2790" s="0" t="s">
        <x:v>20</x:v>
      </x:c>
      <x:c r="I2790" s="0" t="s">
        <x:v>21</x:v>
      </x:c>
      <x:c r="K2790" s="0">
        <x:f>hyperlink("https://icd.who.int/dev11/l-ichi/en#/http%3A%2F%2Fid.who.int%2Ficd%2Fentity%2F950959187","browser")</x:f>
      </x:c>
      <x:c r="L2790" s="0">
        <x:f>hyperlink("https://icat2.azurewebsites.net/icat/?ontology=ICD&amp;tab=ClassesTab&amp;id=http%3A%2F%2Fwho.int%2Ficd%2311835_512ebf36_bf6b_4d70_85da_cf2637062af4","iCat")</x:f>
      </x:c>
      <x:c r="M2790" s="0" t="s">
        <x:v>21</x:v>
      </x:c>
      <x:c r="N2790" s="0" t="s">
        <x:v>46</x:v>
      </x:c>
    </x:row>
    <x:row r="2791" spans="1:16">
      <x:c r="A2791" s="0" t="s">
        <x:v>11005</x:v>
      </x:c>
      <x:c r="B2791" s="0" t="s">
        <x:v>11006</x:v>
      </x:c>
      <x:c r="C2791" s="0" t="s">
        <x:v>11007</x:v>
      </x:c>
      <x:c r="E2791" s="0" t="s">
        <x:v>11008</x:v>
      </x:c>
      <x:c r="F2791" s="0" t="s">
        <x:v>45</x:v>
      </x:c>
      <x:c r="G2791" s="0" t="s">
        <x:v>19</x:v>
      </x:c>
      <x:c r="H2791" s="0" t="s">
        <x:v>20</x:v>
      </x:c>
      <x:c r="I2791" s="0" t="s">
        <x:v>21</x:v>
      </x:c>
      <x:c r="K2791" s="0">
        <x:f>hyperlink("https://icd.who.int/dev11/l-ichi/en#/http%3A%2F%2Fid.who.int%2Ficd%2Fentity%2F322720447","browser")</x:f>
      </x:c>
      <x:c r="L2791" s="0">
        <x:f>hyperlink("https://icat2.azurewebsites.net/icat/?ontology=ICD&amp;tab=ClassesTab&amp;id=http%3A%2F%2Fwho.int%2Ficd%2390_0b1ba77e_1110_4c95_88d7_b3da3232f4d4","iCat")</x:f>
      </x:c>
      <x:c r="M2791" s="0" t="s">
        <x:v>21</x:v>
      </x:c>
      <x:c r="N2791" s="0" t="s">
        <x:v>46</x:v>
      </x:c>
    </x:row>
    <x:row r="2792" spans="1:16">
      <x:c r="A2792" s="0" t="s">
        <x:v>11009</x:v>
      </x:c>
      <x:c r="B2792" s="0" t="s">
        <x:v>11010</x:v>
      </x:c>
      <x:c r="C2792" s="0" t="s">
        <x:v>11011</x:v>
      </x:c>
      <x:c r="E2792" s="0" t="s">
        <x:v>11012</x:v>
      </x:c>
      <x:c r="F2792" s="0" t="s">
        <x:v>45</x:v>
      </x:c>
      <x:c r="G2792" s="0" t="s">
        <x:v>19</x:v>
      </x:c>
      <x:c r="H2792" s="0" t="s">
        <x:v>20</x:v>
      </x:c>
      <x:c r="I2792" s="0" t="s">
        <x:v>21</x:v>
      </x:c>
      <x:c r="K2792" s="0">
        <x:f>hyperlink("https://icd.who.int/dev11/l-ichi/en#/http%3A%2F%2Fid.who.int%2Ficd%2Fentity%2F1476638456","browser")</x:f>
      </x:c>
      <x:c r="L2792" s="0">
        <x:f>hyperlink("https://icat2.azurewebsites.net/icat/?ontology=ICD&amp;tab=ClassesTab&amp;id=http%3A%2F%2Fwho.int%2Ficd%2311843_512ebf36_bf6b_4d70_85da_cf2637062af4","iCat")</x:f>
      </x:c>
      <x:c r="M2792" s="0" t="s">
        <x:v>21</x:v>
      </x:c>
      <x:c r="N2792" s="0" t="s">
        <x:v>46</x:v>
      </x:c>
    </x:row>
    <x:row r="2793" spans="1:16">
      <x:c r="A2793" s="0" t="s">
        <x:v>11013</x:v>
      </x:c>
      <x:c r="B2793" s="0" t="s">
        <x:v>11014</x:v>
      </x:c>
      <x:c r="C2793" s="0" t="s">
        <x:v>11015</x:v>
      </x:c>
      <x:c r="E2793" s="0" t="s">
        <x:v>11016</x:v>
      </x:c>
      <x:c r="F2793" s="0" t="s">
        <x:v>45</x:v>
      </x:c>
      <x:c r="G2793" s="0" t="s">
        <x:v>19</x:v>
      </x:c>
      <x:c r="H2793" s="0" t="s">
        <x:v>20</x:v>
      </x:c>
      <x:c r="I2793" s="0" t="s">
        <x:v>21</x:v>
      </x:c>
      <x:c r="K2793" s="0">
        <x:f>hyperlink("https://icd.who.int/dev11/l-ichi/en#/http%3A%2F%2Fid.who.int%2Ficd%2Fentity%2F1946081896","browser")</x:f>
      </x:c>
      <x:c r="L2793" s="0">
        <x:f>hyperlink("https://icat2.azurewebsites.net/icat/?ontology=ICD&amp;tab=ClassesTab&amp;id=http%3A%2F%2Fwho.int%2Ficd%2311849_512ebf36_bf6b_4d70_85da_cf2637062af4","iCat")</x:f>
      </x:c>
      <x:c r="M2793" s="0" t="s">
        <x:v>21</x:v>
      </x:c>
      <x:c r="N2793" s="0" t="s">
        <x:v>46</x:v>
      </x:c>
    </x:row>
    <x:row r="2794" spans="1:16">
      <x:c r="A2794" s="0" t="s">
        <x:v>11017</x:v>
      </x:c>
      <x:c r="B2794" s="0" t="s">
        <x:v>11018</x:v>
      </x:c>
      <x:c r="C2794" s="0" t="s">
        <x:v>11019</x:v>
      </x:c>
      <x:c r="E2794" s="0" t="s">
        <x:v>11020</x:v>
      </x:c>
      <x:c r="F2794" s="0" t="s">
        <x:v>45</x:v>
      </x:c>
      <x:c r="G2794" s="0" t="s">
        <x:v>19</x:v>
      </x:c>
      <x:c r="H2794" s="0" t="s">
        <x:v>20</x:v>
      </x:c>
      <x:c r="I2794" s="0" t="s">
        <x:v>21</x:v>
      </x:c>
      <x:c r="K2794" s="0">
        <x:f>hyperlink("https://icd.who.int/dev11/l-ichi/en#/http%3A%2F%2Fid.who.int%2Ficd%2Fentity%2F130148315","browser")</x:f>
      </x:c>
      <x:c r="L2794" s="0">
        <x:f>hyperlink("https://icat2.azurewebsites.net/icat/?ontology=ICD&amp;tab=ClassesTab&amp;id=http%3A%2F%2Fwho.int%2Ficd%2311857_512ebf36_bf6b_4d70_85da_cf2637062af4","iCat")</x:f>
      </x:c>
      <x:c r="M2794" s="0" t="s">
        <x:v>21</x:v>
      </x:c>
      <x:c r="N2794" s="0" t="s">
        <x:v>46</x:v>
      </x:c>
    </x:row>
    <x:row r="2795" spans="1:16">
      <x:c r="A2795" s="0" t="s">
        <x:v>11021</x:v>
      </x:c>
      <x:c r="B2795" s="0" t="s">
        <x:v>11022</x:v>
      </x:c>
      <x:c r="C2795" s="0" t="s">
        <x:v>11023</x:v>
      </x:c>
      <x:c r="E2795" s="0" t="s">
        <x:v>11024</x:v>
      </x:c>
      <x:c r="F2795" s="0" t="s">
        <x:v>45</x:v>
      </x:c>
      <x:c r="G2795" s="0" t="s">
        <x:v>19</x:v>
      </x:c>
      <x:c r="H2795" s="0" t="s">
        <x:v>20</x:v>
      </x:c>
      <x:c r="I2795" s="0" t="s">
        <x:v>21</x:v>
      </x:c>
      <x:c r="K2795" s="0">
        <x:f>hyperlink("https://icd.who.int/dev11/l-ichi/en#/http%3A%2F%2Fid.who.int%2Ficd%2Fentity%2F1247010406","browser")</x:f>
      </x:c>
      <x:c r="L2795" s="0">
        <x:f>hyperlink("https://icat2.azurewebsites.net/icat/?ontology=ICD&amp;tab=ClassesTab&amp;id=http%3A%2F%2Fwho.int%2Ficd%2329_e9bf9ac7_0f21_4391_8ab3_5944290f317a","iCat")</x:f>
      </x:c>
      <x:c r="M2795" s="0" t="s">
        <x:v>21</x:v>
      </x:c>
      <x:c r="N2795" s="0" t="s">
        <x:v>46</x:v>
      </x:c>
    </x:row>
    <x:row r="2796" spans="1:16">
      <x:c r="A2796" s="0" t="s">
        <x:v>11025</x:v>
      </x:c>
      <x:c r="B2796" s="0" t="s">
        <x:v>11026</x:v>
      </x:c>
      <x:c r="C2796" s="0" t="s">
        <x:v>11027</x:v>
      </x:c>
      <x:c r="E2796" s="0" t="s">
        <x:v>11028</x:v>
      </x:c>
      <x:c r="F2796" s="0" t="s">
        <x:v>45</x:v>
      </x:c>
      <x:c r="G2796" s="0" t="s">
        <x:v>19</x:v>
      </x:c>
      <x:c r="H2796" s="0" t="s">
        <x:v>20</x:v>
      </x:c>
      <x:c r="I2796" s="0" t="s">
        <x:v>21</x:v>
      </x:c>
      <x:c r="K2796" s="0">
        <x:f>hyperlink("https://icd.who.int/dev11/l-ichi/en#/http%3A%2F%2Fid.who.int%2Ficd%2Fentity%2F571259417","browser")</x:f>
      </x:c>
      <x:c r="L2796" s="0">
        <x:f>hyperlink("https://icat2.azurewebsites.net/icat/?ontology=ICD&amp;tab=ClassesTab&amp;id=http%3A%2F%2Fwho.int%2Ficd%2311865_512ebf36_bf6b_4d70_85da_cf2637062af4","iCat")</x:f>
      </x:c>
      <x:c r="M2796" s="0" t="s">
        <x:v>21</x:v>
      </x:c>
      <x:c r="N2796" s="0" t="s">
        <x:v>46</x:v>
      </x:c>
    </x:row>
    <x:row r="2797" spans="1:16">
      <x:c r="A2797" s="0" t="s">
        <x:v>11029</x:v>
      </x:c>
      <x:c r="B2797" s="0" t="s">
        <x:v>11030</x:v>
      </x:c>
      <x:c r="C2797" s="0" t="s">
        <x:v>11031</x:v>
      </x:c>
      <x:c r="E2797" s="0" t="s">
        <x:v>11032</x:v>
      </x:c>
      <x:c r="F2797" s="0" t="s">
        <x:v>45</x:v>
      </x:c>
      <x:c r="G2797" s="0" t="s">
        <x:v>19</x:v>
      </x:c>
      <x:c r="H2797" s="0" t="s">
        <x:v>20</x:v>
      </x:c>
      <x:c r="I2797" s="0" t="s">
        <x:v>21</x:v>
      </x:c>
      <x:c r="K2797" s="0">
        <x:f>hyperlink("https://icd.who.int/dev11/l-ichi/en#/http%3A%2F%2Fid.who.int%2Ficd%2Fentity%2F1221144398","browser")</x:f>
      </x:c>
      <x:c r="L2797" s="0">
        <x:f>hyperlink("https://icat2.azurewebsites.net/icat/?ontology=ICD&amp;tab=ClassesTab&amp;id=http%3A%2F%2Fwho.int%2Ficd%2311875_512ebf36_bf6b_4d70_85da_cf2637062af4","iCat")</x:f>
      </x:c>
      <x:c r="M2797" s="0" t="s">
        <x:v>21</x:v>
      </x:c>
      <x:c r="N2797" s="0" t="s">
        <x:v>46</x:v>
      </x:c>
    </x:row>
    <x:row r="2798" spans="1:16">
      <x:c r="A2798" s="0" t="s">
        <x:v>11033</x:v>
      </x:c>
      <x:c r="B2798" s="0" t="s">
        <x:v>11034</x:v>
      </x:c>
      <x:c r="C2798" s="0" t="s">
        <x:v>11035</x:v>
      </x:c>
      <x:c r="E2798" s="0" t="s">
        <x:v>11036</x:v>
      </x:c>
      <x:c r="F2798" s="0" t="s">
        <x:v>45</x:v>
      </x:c>
      <x:c r="G2798" s="0" t="s">
        <x:v>19</x:v>
      </x:c>
      <x:c r="H2798" s="0" t="s">
        <x:v>20</x:v>
      </x:c>
      <x:c r="I2798" s="0" t="s">
        <x:v>21</x:v>
      </x:c>
      <x:c r="K2798" s="0">
        <x:f>hyperlink("https://icd.who.int/dev11/l-ichi/en#/http%3A%2F%2Fid.who.int%2Ficd%2Fentity%2F928365601","browser")</x:f>
      </x:c>
      <x:c r="L2798" s="0">
        <x:f>hyperlink("https://icat2.azurewebsites.net/icat/?ontology=ICD&amp;tab=ClassesTab&amp;id=http%3A%2F%2Fwho.int%2Ficd%2311883_512ebf36_bf6b_4d70_85da_cf2637062af4","iCat")</x:f>
      </x:c>
      <x:c r="M2798" s="0" t="s">
        <x:v>21</x:v>
      </x:c>
      <x:c r="N2798" s="0" t="s">
        <x:v>46</x:v>
      </x:c>
    </x:row>
    <x:row r="2799" spans="1:16">
      <x:c r="A2799" s="0" t="s">
        <x:v>11037</x:v>
      </x:c>
      <x:c r="B2799" s="0" t="s">
        <x:v>11038</x:v>
      </x:c>
      <x:c r="C2799" s="0" t="s">
        <x:v>11039</x:v>
      </x:c>
      <x:c r="E2799" s="0" t="s">
        <x:v>11040</x:v>
      </x:c>
      <x:c r="F2799" s="0" t="s">
        <x:v>45</x:v>
      </x:c>
      <x:c r="G2799" s="0" t="s">
        <x:v>19</x:v>
      </x:c>
      <x:c r="H2799" s="0" t="s">
        <x:v>20</x:v>
      </x:c>
      <x:c r="I2799" s="0" t="s">
        <x:v>21</x:v>
      </x:c>
      <x:c r="K2799" s="0">
        <x:f>hyperlink("https://icd.who.int/dev11/l-ichi/en#/http%3A%2F%2Fid.who.int%2Ficd%2Fentity%2F1569728888","browser")</x:f>
      </x:c>
      <x:c r="L2799" s="0">
        <x:f>hyperlink("https://icat2.azurewebsites.net/icat/?ontology=ICD&amp;tab=ClassesTab&amp;id=http%3A%2F%2Fwho.int%2Ficd%2311893_512ebf36_bf6b_4d70_85da_cf2637062af4","iCat")</x:f>
      </x:c>
      <x:c r="M2799" s="0" t="s">
        <x:v>21</x:v>
      </x:c>
      <x:c r="N2799" s="0" t="s">
        <x:v>46</x:v>
      </x:c>
    </x:row>
    <x:row r="2800" spans="1:16">
      <x:c r="A2800" s="0" t="s">
        <x:v>11041</x:v>
      </x:c>
      <x:c r="B2800" s="0" t="s">
        <x:v>11042</x:v>
      </x:c>
      <x:c r="C2800" s="0" t="s">
        <x:v>11043</x:v>
      </x:c>
      <x:c r="E2800" s="0" t="s">
        <x:v>11044</x:v>
      </x:c>
      <x:c r="F2800" s="0" t="s">
        <x:v>45</x:v>
      </x:c>
      <x:c r="G2800" s="0" t="s">
        <x:v>19</x:v>
      </x:c>
      <x:c r="H2800" s="0" t="s">
        <x:v>20</x:v>
      </x:c>
      <x:c r="I2800" s="0" t="s">
        <x:v>21</x:v>
      </x:c>
      <x:c r="K2800" s="0">
        <x:f>hyperlink("https://icd.who.int/dev11/l-ichi/en#/http%3A%2F%2Fid.who.int%2Ficd%2Fentity%2F2097303878","browser")</x:f>
      </x:c>
      <x:c r="L2800" s="0">
        <x:f>hyperlink("https://icat2.azurewebsites.net/icat/?ontology=ICD&amp;tab=ClassesTab&amp;id=http%3A%2F%2Fwho.int%2Ficd%2311902_512ebf36_bf6b_4d70_85da_cf2637062af4","iCat")</x:f>
      </x:c>
      <x:c r="M2800" s="0" t="s">
        <x:v>21</x:v>
      </x:c>
      <x:c r="N2800" s="0" t="s">
        <x:v>46</x:v>
      </x:c>
    </x:row>
    <x:row r="2801" spans="1:16">
      <x:c r="A2801" s="0" t="s">
        <x:v>11045</x:v>
      </x:c>
      <x:c r="B2801" s="0" t="s">
        <x:v>11046</x:v>
      </x:c>
      <x:c r="C2801" s="0" t="s">
        <x:v>11047</x:v>
      </x:c>
      <x:c r="E2801" s="0" t="s">
        <x:v>11048</x:v>
      </x:c>
      <x:c r="F2801" s="0" t="s">
        <x:v>45</x:v>
      </x:c>
      <x:c r="G2801" s="0" t="s">
        <x:v>19</x:v>
      </x:c>
      <x:c r="H2801" s="0" t="s">
        <x:v>20</x:v>
      </x:c>
      <x:c r="I2801" s="0" t="s">
        <x:v>21</x:v>
      </x:c>
      <x:c r="K2801" s="0">
        <x:f>hyperlink("https://icd.who.int/dev11/l-ichi/en#/http%3A%2F%2Fid.who.int%2Ficd%2Fentity%2F482597567","browser")</x:f>
      </x:c>
      <x:c r="L2801" s="0">
        <x:f>hyperlink("https://icat2.azurewebsites.net/icat/?ontology=ICD&amp;tab=ClassesTab&amp;id=http%3A%2F%2Fwho.int%2Ficd%2311919_512ebf36_bf6b_4d70_85da_cf2637062af4","iCat")</x:f>
      </x:c>
      <x:c r="M2801" s="0" t="s">
        <x:v>21</x:v>
      </x:c>
      <x:c r="N2801" s="0" t="s">
        <x:v>46</x:v>
      </x:c>
    </x:row>
    <x:row r="2802" spans="1:16">
      <x:c r="A2802" s="0" t="s">
        <x:v>11049</x:v>
      </x:c>
      <x:c r="B2802" s="0" t="s">
        <x:v>11050</x:v>
      </x:c>
      <x:c r="C2802" s="0" t="s">
        <x:v>11051</x:v>
      </x:c>
      <x:c r="E2802" s="0" t="s">
        <x:v>11052</x:v>
      </x:c>
      <x:c r="F2802" s="0" t="s">
        <x:v>45</x:v>
      </x:c>
      <x:c r="G2802" s="0" t="s">
        <x:v>19</x:v>
      </x:c>
      <x:c r="H2802" s="0" t="s">
        <x:v>20</x:v>
      </x:c>
      <x:c r="I2802" s="0" t="s">
        <x:v>21</x:v>
      </x:c>
      <x:c r="K2802" s="0">
        <x:f>hyperlink("https://icd.who.int/dev11/l-ichi/en#/http%3A%2F%2Fid.who.int%2Ficd%2Fentity%2F1651589218","browser")</x:f>
      </x:c>
      <x:c r="L2802" s="0">
        <x:f>hyperlink("https://icat2.azurewebsites.net/icat/?ontology=ICD&amp;tab=ClassesTab&amp;id=http%3A%2F%2Fwho.int%2Ficd%2311926_512ebf36_bf6b_4d70_85da_cf2637062af4","iCat")</x:f>
      </x:c>
      <x:c r="M2802" s="0" t="s">
        <x:v>21</x:v>
      </x:c>
      <x:c r="N2802" s="0" t="s">
        <x:v>46</x:v>
      </x:c>
    </x:row>
    <x:row r="2803" spans="1:16">
      <x:c r="A2803" s="0" t="s">
        <x:v>11053</x:v>
      </x:c>
      <x:c r="B2803" s="0" t="s">
        <x:v>11054</x:v>
      </x:c>
      <x:c r="C2803" s="0" t="s">
        <x:v>11055</x:v>
      </x:c>
      <x:c r="E2803" s="0" t="s">
        <x:v>11056</x:v>
      </x:c>
      <x:c r="F2803" s="0" t="s">
        <x:v>45</x:v>
      </x:c>
      <x:c r="G2803" s="0" t="s">
        <x:v>19</x:v>
      </x:c>
      <x:c r="H2803" s="0" t="s">
        <x:v>20</x:v>
      </x:c>
      <x:c r="I2803" s="0" t="s">
        <x:v>21</x:v>
      </x:c>
      <x:c r="K2803" s="0">
        <x:f>hyperlink("https://icd.who.int/dev11/l-ichi/en#/http%3A%2F%2Fid.who.int%2Ficd%2Fentity%2F279152355","browser")</x:f>
      </x:c>
      <x:c r="L2803" s="0">
        <x:f>hyperlink("https://icat2.azurewebsites.net/icat/?ontology=ICD&amp;tab=ClassesTab&amp;id=http%3A%2F%2Fwho.int%2Ficd%2314686_4869915e_217e_423d_acb3_33c0f920ef4b","iCat")</x:f>
      </x:c>
      <x:c r="M2803" s="0" t="s">
        <x:v>21</x:v>
      </x:c>
      <x:c r="N2803" s="0" t="s">
        <x:v>46</x:v>
      </x:c>
    </x:row>
    <x:row r="2804" spans="1:16">
      <x:c r="A2804" s="0" t="s">
        <x:v>11057</x:v>
      </x:c>
      <x:c r="B2804" s="0" t="s">
        <x:v>11058</x:v>
      </x:c>
      <x:c r="C2804" s="0" t="s">
        <x:v>11059</x:v>
      </x:c>
      <x:c r="E2804" s="0" t="s">
        <x:v>11060</x:v>
      </x:c>
      <x:c r="F2804" s="0" t="s">
        <x:v>45</x:v>
      </x:c>
      <x:c r="G2804" s="0" t="s">
        <x:v>19</x:v>
      </x:c>
      <x:c r="H2804" s="0" t="s">
        <x:v>20</x:v>
      </x:c>
      <x:c r="I2804" s="0" t="s">
        <x:v>21</x:v>
      </x:c>
      <x:c r="K2804" s="0">
        <x:f>hyperlink("https://icd.who.int/dev11/l-ichi/en#/http%3A%2F%2Fid.who.int%2Ficd%2Fentity%2F491414399","browser")</x:f>
      </x:c>
      <x:c r="L2804" s="0">
        <x:f>hyperlink("https://icat2.azurewebsites.net/icat/?ontology=ICD&amp;tab=ClassesTab&amp;id=http%3A%2F%2Fwho.int%2Ficd%2311933_512ebf36_bf6b_4d70_85da_cf2637062af4","iCat")</x:f>
      </x:c>
      <x:c r="M2804" s="0" t="s">
        <x:v>21</x:v>
      </x:c>
      <x:c r="N2804" s="0" t="s">
        <x:v>46</x:v>
      </x:c>
    </x:row>
    <x:row r="2805" spans="1:16">
      <x:c r="A2805" s="0" t="s">
        <x:v>11061</x:v>
      </x:c>
      <x:c r="B2805" s="0" t="s">
        <x:v>11062</x:v>
      </x:c>
      <x:c r="C2805" s="0" t="s">
        <x:v>11063</x:v>
      </x:c>
      <x:c r="E2805" s="0" t="s">
        <x:v>11064</x:v>
      </x:c>
      <x:c r="F2805" s="0" t="s">
        <x:v>45</x:v>
      </x:c>
      <x:c r="G2805" s="0" t="s">
        <x:v>19</x:v>
      </x:c>
      <x:c r="H2805" s="0" t="s">
        <x:v>20</x:v>
      </x:c>
      <x:c r="I2805" s="0" t="s">
        <x:v>21</x:v>
      </x:c>
      <x:c r="K2805" s="0">
        <x:f>hyperlink("https://icd.who.int/dev11/l-ichi/en#/http%3A%2F%2Fid.who.int%2Ficd%2Fentity%2F1746476958","browser")</x:f>
      </x:c>
      <x:c r="L2805" s="0">
        <x:f>hyperlink("https://icat2.azurewebsites.net/icat/?ontology=ICD&amp;tab=ClassesTab&amp;id=http%3A%2F%2Fwho.int%2Ficd%2311940_512ebf36_bf6b_4d70_85da_cf2637062af4","iCat")</x:f>
      </x:c>
      <x:c r="M2805" s="0" t="s">
        <x:v>21</x:v>
      </x:c>
      <x:c r="N2805" s="0" t="s">
        <x:v>46</x:v>
      </x:c>
    </x:row>
    <x:row r="2806" spans="1:16">
      <x:c r="A2806" s="0" t="s">
        <x:v>11065</x:v>
      </x:c>
      <x:c r="B2806" s="0" t="s">
        <x:v>11066</x:v>
      </x:c>
      <x:c r="C2806" s="0" t="s">
        <x:v>11067</x:v>
      </x:c>
      <x:c r="E2806" s="0" t="s">
        <x:v>11068</x:v>
      </x:c>
      <x:c r="F2806" s="0" t="s">
        <x:v>45</x:v>
      </x:c>
      <x:c r="G2806" s="0" t="s">
        <x:v>19</x:v>
      </x:c>
      <x:c r="H2806" s="0" t="s">
        <x:v>20</x:v>
      </x:c>
      <x:c r="I2806" s="0" t="s">
        <x:v>21</x:v>
      </x:c>
      <x:c r="K2806" s="0">
        <x:f>hyperlink("https://icd.who.int/dev11/l-ichi/en#/http%3A%2F%2Fid.who.int%2Ficd%2Fentity%2F945997357","browser")</x:f>
      </x:c>
      <x:c r="L2806" s="0">
        <x:f>hyperlink("https://icat2.azurewebsites.net/icat/?ontology=ICD&amp;tab=ClassesTab&amp;id=http%3A%2F%2Fwho.int%2Ficd%2311946_512ebf36_bf6b_4d70_85da_cf2637062af4","iCat")</x:f>
      </x:c>
      <x:c r="M2806" s="0" t="s">
        <x:v>21</x:v>
      </x:c>
      <x:c r="N2806" s="0" t="s">
        <x:v>46</x:v>
      </x:c>
    </x:row>
    <x:row r="2807" spans="1:16">
      <x:c r="A2807" s="0" t="s">
        <x:v>11069</x:v>
      </x:c>
      <x:c r="B2807" s="0" t="s">
        <x:v>11070</x:v>
      </x:c>
      <x:c r="C2807" s="0" t="s">
        <x:v>11071</x:v>
      </x:c>
      <x:c r="E2807" s="0" t="s">
        <x:v>11072</x:v>
      </x:c>
      <x:c r="F2807" s="0" t="s">
        <x:v>45</x:v>
      </x:c>
      <x:c r="G2807" s="0" t="s">
        <x:v>19</x:v>
      </x:c>
      <x:c r="H2807" s="0" t="s">
        <x:v>20</x:v>
      </x:c>
      <x:c r="I2807" s="0" t="s">
        <x:v>21</x:v>
      </x:c>
      <x:c r="K2807" s="0">
        <x:f>hyperlink("https://icd.who.int/dev11/l-ichi/en#/http%3A%2F%2Fid.who.int%2Ficd%2Fentity%2F2003439290","browser")</x:f>
      </x:c>
      <x:c r="L2807" s="0">
        <x:f>hyperlink("https://icat2.azurewebsites.net/icat/?ontology=ICD&amp;tab=ClassesTab&amp;id=http%3A%2F%2Fwho.int%2Ficd%2311964_512ebf36_bf6b_4d70_85da_cf2637062af4","iCat")</x:f>
      </x:c>
      <x:c r="M2807" s="0" t="s">
        <x:v>21</x:v>
      </x:c>
      <x:c r="N2807" s="0" t="s">
        <x:v>46</x:v>
      </x:c>
    </x:row>
    <x:row r="2808" spans="1:16">
      <x:c r="A2808" s="0" t="s">
        <x:v>11073</x:v>
      </x:c>
      <x:c r="B2808" s="0" t="s">
        <x:v>11074</x:v>
      </x:c>
      <x:c r="C2808" s="0" t="s">
        <x:v>11075</x:v>
      </x:c>
      <x:c r="E2808" s="0" t="s">
        <x:v>11076</x:v>
      </x:c>
      <x:c r="F2808" s="0" t="s">
        <x:v>45</x:v>
      </x:c>
      <x:c r="G2808" s="0" t="s">
        <x:v>19</x:v>
      </x:c>
      <x:c r="H2808" s="0" t="s">
        <x:v>20</x:v>
      </x:c>
      <x:c r="I2808" s="0" t="s">
        <x:v>21</x:v>
      </x:c>
      <x:c r="K2808" s="0">
        <x:f>hyperlink("https://icd.who.int/dev11/l-ichi/en#/http%3A%2F%2Fid.who.int%2Ficd%2Fentity%2F498047983","browser")</x:f>
      </x:c>
      <x:c r="L2808" s="0">
        <x:f>hyperlink("https://icat2.azurewebsites.net/icat/?ontology=ICD&amp;tab=ClassesTab&amp;id=http%3A%2F%2Fwho.int%2Ficd%2311974_512ebf36_bf6b_4d70_85da_cf2637062af4","iCat")</x:f>
      </x:c>
      <x:c r="M2808" s="0" t="s">
        <x:v>21</x:v>
      </x:c>
      <x:c r="N2808" s="0" t="s">
        <x:v>46</x:v>
      </x:c>
    </x:row>
    <x:row r="2809" spans="1:16">
      <x:c r="A2809" s="0" t="s">
        <x:v>11077</x:v>
      </x:c>
      <x:c r="B2809" s="0" t="s">
        <x:v>11078</x:v>
      </x:c>
      <x:c r="C2809" s="0" t="s">
        <x:v>11079</x:v>
      </x:c>
      <x:c r="E2809" s="0" t="s">
        <x:v>11080</x:v>
      </x:c>
      <x:c r="F2809" s="0" t="s">
        <x:v>45</x:v>
      </x:c>
      <x:c r="G2809" s="0" t="s">
        <x:v>19</x:v>
      </x:c>
      <x:c r="H2809" s="0" t="s">
        <x:v>20</x:v>
      </x:c>
      <x:c r="I2809" s="0" t="s">
        <x:v>21</x:v>
      </x:c>
      <x:c r="K2809" s="0">
        <x:f>hyperlink("https://icd.who.int/dev11/l-ichi/en#/http%3A%2F%2Fid.who.int%2Ficd%2Fentity%2F2086281173","browser")</x:f>
      </x:c>
      <x:c r="L2809" s="0">
        <x:f>hyperlink("https://icat2.azurewebsites.net/icat/?ontology=ICD&amp;tab=ClassesTab&amp;id=http%3A%2F%2Fwho.int%2Ficd%2342_daf54e7f_3c71_448d_b36c_01e98ec00e06","iCat")</x:f>
      </x:c>
      <x:c r="M2809" s="0" t="s">
        <x:v>21</x:v>
      </x:c>
      <x:c r="N2809" s="0" t="s">
        <x:v>46</x:v>
      </x:c>
    </x:row>
    <x:row r="2810" spans="1:16">
      <x:c r="A2810" s="0" t="s">
        <x:v>11081</x:v>
      </x:c>
      <x:c r="B2810" s="0" t="s">
        <x:v>11082</x:v>
      </x:c>
      <x:c r="C2810" s="0" t="s">
        <x:v>11083</x:v>
      </x:c>
      <x:c r="E2810" s="0" t="s">
        <x:v>11084</x:v>
      </x:c>
      <x:c r="F2810" s="0" t="s">
        <x:v>45</x:v>
      </x:c>
      <x:c r="G2810" s="0" t="s">
        <x:v>19</x:v>
      </x:c>
      <x:c r="H2810" s="0" t="s">
        <x:v>20</x:v>
      </x:c>
      <x:c r="I2810" s="0" t="s">
        <x:v>21</x:v>
      </x:c>
      <x:c r="K2810" s="0">
        <x:f>hyperlink("https://icd.who.int/dev11/l-ichi/en#/http%3A%2F%2Fid.who.int%2Ficd%2Fentity%2F1128762128","browser")</x:f>
      </x:c>
      <x:c r="L2810" s="0">
        <x:f>hyperlink("https://icat2.azurewebsites.net/icat/?ontology=ICD&amp;tab=ClassesTab&amp;id=http%3A%2F%2Fwho.int%2Ficd%2396_0b1ba77e_1110_4c95_88d7_b3da3232f4d4","iCat")</x:f>
      </x:c>
      <x:c r="M2810" s="0" t="s">
        <x:v>21</x:v>
      </x:c>
      <x:c r="N2810" s="0" t="s">
        <x:v>46</x:v>
      </x:c>
    </x:row>
    <x:row r="2811" spans="1:16">
      <x:c r="A2811" s="0" t="s">
        <x:v>11085</x:v>
      </x:c>
      <x:c r="B2811" s="0" t="s">
        <x:v>11086</x:v>
      </x:c>
      <x:c r="C2811" s="0" t="s">
        <x:v>11087</x:v>
      </x:c>
      <x:c r="E2811" s="0" t="s">
        <x:v>11088</x:v>
      </x:c>
      <x:c r="F2811" s="0" t="s">
        <x:v>45</x:v>
      </x:c>
      <x:c r="G2811" s="0" t="s">
        <x:v>19</x:v>
      </x:c>
      <x:c r="H2811" s="0" t="s">
        <x:v>20</x:v>
      </x:c>
      <x:c r="I2811" s="0" t="s">
        <x:v>21</x:v>
      </x:c>
      <x:c r="K2811" s="0">
        <x:f>hyperlink("https://icd.who.int/dev11/l-ichi/en#/http%3A%2F%2Fid.who.int%2Ficd%2Fentity%2F1116502576","browser")</x:f>
      </x:c>
      <x:c r="L2811" s="0">
        <x:f>hyperlink("https://icat2.azurewebsites.net/icat/?ontology=ICD&amp;tab=ClassesTab&amp;id=http%3A%2F%2Fwho.int%2Ficd%2318_0b1ba77e_1110_4c95_88d7_b3da3232f4d4","iCat")</x:f>
      </x:c>
      <x:c r="M2811" s="0" t="s">
        <x:v>21</x:v>
      </x:c>
      <x:c r="N2811" s="0" t="s">
        <x:v>46</x:v>
      </x:c>
    </x:row>
    <x:row r="2812" spans="1:16">
      <x:c r="A2812" s="0" t="s">
        <x:v>11089</x:v>
      </x:c>
      <x:c r="B2812" s="0" t="s">
        <x:v>11090</x:v>
      </x:c>
      <x:c r="C2812" s="0" t="s">
        <x:v>11091</x:v>
      </x:c>
      <x:c r="E2812" s="0" t="s">
        <x:v>11092</x:v>
      </x:c>
      <x:c r="F2812" s="0" t="s">
        <x:v>45</x:v>
      </x:c>
      <x:c r="G2812" s="0" t="s">
        <x:v>19</x:v>
      </x:c>
      <x:c r="H2812" s="0" t="s">
        <x:v>20</x:v>
      </x:c>
      <x:c r="I2812" s="0" t="s">
        <x:v>21</x:v>
      </x:c>
      <x:c r="K2812" s="0">
        <x:f>hyperlink("https://icd.who.int/dev11/l-ichi/en#/http%3A%2F%2Fid.who.int%2Ficd%2Fentity%2F2042334986","browser")</x:f>
      </x:c>
      <x:c r="L2812" s="0">
        <x:f>hyperlink("https://icat2.azurewebsites.net/icat/?ontology=ICD&amp;tab=ClassesTab&amp;id=http%3A%2F%2Fwho.int%2Ficd%2324_0b1ba77e_1110_4c95_88d7_b3da3232f4d4","iCat")</x:f>
      </x:c>
      <x:c r="M2812" s="0" t="s">
        <x:v>21</x:v>
      </x:c>
      <x:c r="N2812" s="0" t="s">
        <x:v>46</x:v>
      </x:c>
    </x:row>
    <x:row r="2813" spans="1:16">
      <x:c r="A2813" s="0" t="s">
        <x:v>11093</x:v>
      </x:c>
      <x:c r="B2813" s="0" t="s">
        <x:v>11094</x:v>
      </x:c>
      <x:c r="C2813" s="0" t="s">
        <x:v>11095</x:v>
      </x:c>
      <x:c r="E2813" s="0" t="s">
        <x:v>11096</x:v>
      </x:c>
      <x:c r="F2813" s="0" t="s">
        <x:v>45</x:v>
      </x:c>
      <x:c r="G2813" s="0" t="s">
        <x:v>19</x:v>
      </x:c>
      <x:c r="H2813" s="0" t="s">
        <x:v>20</x:v>
      </x:c>
      <x:c r="I2813" s="0" t="s">
        <x:v>21</x:v>
      </x:c>
      <x:c r="K2813" s="0">
        <x:f>hyperlink("https://icd.who.int/dev11/l-ichi/en#/http%3A%2F%2Fid.who.int%2Ficd%2Fentity%2F1002255545","browser")</x:f>
      </x:c>
      <x:c r="L2813" s="0">
        <x:f>hyperlink("https://icat2.azurewebsites.net/icat/?ontology=ICD&amp;tab=ClassesTab&amp;id=http%3A%2F%2Fwho.int%2Ficd%2343_e9bf9ac7_0f21_4391_8ab3_5944290f317a","iCat")</x:f>
      </x:c>
      <x:c r="M2813" s="0" t="s">
        <x:v>21</x:v>
      </x:c>
      <x:c r="N2813" s="0" t="s">
        <x:v>46</x:v>
      </x:c>
    </x:row>
    <x:row r="2814" spans="1:16">
      <x:c r="A2814" s="0" t="s">
        <x:v>11097</x:v>
      </x:c>
      <x:c r="B2814" s="0" t="s">
        <x:v>11098</x:v>
      </x:c>
      <x:c r="C2814" s="0" t="s">
        <x:v>11099</x:v>
      </x:c>
      <x:c r="E2814" s="0" t="s">
        <x:v>11100</x:v>
      </x:c>
      <x:c r="F2814" s="0" t="s">
        <x:v>45</x:v>
      </x:c>
      <x:c r="G2814" s="0" t="s">
        <x:v>19</x:v>
      </x:c>
      <x:c r="H2814" s="0" t="s">
        <x:v>20</x:v>
      </x:c>
      <x:c r="I2814" s="0" t="s">
        <x:v>21</x:v>
      </x:c>
      <x:c r="K2814" s="0">
        <x:f>hyperlink("https://icd.who.int/dev11/l-ichi/en#/http%3A%2F%2Fid.who.int%2Ficd%2Fentity%2F666265465","browser")</x:f>
      </x:c>
      <x:c r="L2814" s="0">
        <x:f>hyperlink("https://icat2.azurewebsites.net/icat/?ontology=ICD&amp;tab=ClassesTab&amp;id=http%3A%2F%2Fwho.int%2Ficd%2311981_512ebf36_bf6b_4d70_85da_cf2637062af4","iCat")</x:f>
      </x:c>
      <x:c r="M2814" s="0" t="s">
        <x:v>21</x:v>
      </x:c>
      <x:c r="N2814" s="0" t="s">
        <x:v>46</x:v>
      </x:c>
    </x:row>
    <x:row r="2815" spans="1:16">
      <x:c r="A2815" s="0" t="s">
        <x:v>11101</x:v>
      </x:c>
      <x:c r="B2815" s="0" t="s">
        <x:v>11102</x:v>
      </x:c>
      <x:c r="C2815" s="0" t="s">
        <x:v>11103</x:v>
      </x:c>
      <x:c r="E2815" s="0" t="s">
        <x:v>11104</x:v>
      </x:c>
      <x:c r="F2815" s="0" t="s">
        <x:v>45</x:v>
      </x:c>
      <x:c r="G2815" s="0" t="s">
        <x:v>19</x:v>
      </x:c>
      <x:c r="H2815" s="0" t="s">
        <x:v>20</x:v>
      </x:c>
      <x:c r="I2815" s="0" t="s">
        <x:v>21</x:v>
      </x:c>
      <x:c r="K2815" s="0">
        <x:f>hyperlink("https://icd.who.int/dev11/l-ichi/en#/http%3A%2F%2Fid.who.int%2Ficd%2Fentity%2F1238262800","browser")</x:f>
      </x:c>
      <x:c r="L2815" s="0">
        <x:f>hyperlink("https://icat2.azurewebsites.net/icat/?ontology=ICD&amp;tab=ClassesTab&amp;id=http%3A%2F%2Fwho.int%2Ficd%2311988_512ebf36_bf6b_4d70_85da_cf2637062af4","iCat")</x:f>
      </x:c>
      <x:c r="M2815" s="0" t="s">
        <x:v>21</x:v>
      </x:c>
      <x:c r="N2815" s="0" t="s">
        <x:v>46</x:v>
      </x:c>
    </x:row>
    <x:row r="2816" spans="1:16">
      <x:c r="A2816" s="0" t="s">
        <x:v>11105</x:v>
      </x:c>
      <x:c r="B2816" s="0" t="s">
        <x:v>11106</x:v>
      </x:c>
      <x:c r="C2816" s="0" t="s">
        <x:v>11107</x:v>
      </x:c>
      <x:c r="E2816" s="0" t="s">
        <x:v>11108</x:v>
      </x:c>
      <x:c r="F2816" s="0" t="s">
        <x:v>45</x:v>
      </x:c>
      <x:c r="G2816" s="0" t="s">
        <x:v>19</x:v>
      </x:c>
      <x:c r="H2816" s="0" t="s">
        <x:v>20</x:v>
      </x:c>
      <x:c r="I2816" s="0" t="s">
        <x:v>21</x:v>
      </x:c>
      <x:c r="K2816" s="0">
        <x:f>hyperlink("https://icd.who.int/dev11/l-ichi/en#/http%3A%2F%2Fid.who.int%2Ficd%2Fentity%2F2020882010","browser")</x:f>
      </x:c>
      <x:c r="L2816" s="0">
        <x:f>hyperlink("https://icat2.azurewebsites.net/icat/?ontology=ICD&amp;tab=ClassesTab&amp;id=http%3A%2F%2Fwho.int%2Ficd%2311995_512ebf36_bf6b_4d70_85da_cf2637062af4","iCat")</x:f>
      </x:c>
      <x:c r="M2816" s="0" t="s">
        <x:v>21</x:v>
      </x:c>
      <x:c r="N2816" s="0" t="s">
        <x:v>46</x:v>
      </x:c>
    </x:row>
    <x:row r="2817" spans="1:16">
      <x:c r="A2817" s="0" t="s">
        <x:v>11109</x:v>
      </x:c>
      <x:c r="B2817" s="0" t="s">
        <x:v>11110</x:v>
      </x:c>
      <x:c r="C2817" s="0" t="s">
        <x:v>11111</x:v>
      </x:c>
      <x:c r="E2817" s="0" t="s">
        <x:v>11112</x:v>
      </x:c>
      <x:c r="F2817" s="0" t="s">
        <x:v>45</x:v>
      </x:c>
      <x:c r="G2817" s="0" t="s">
        <x:v>19</x:v>
      </x:c>
      <x:c r="H2817" s="0" t="s">
        <x:v>20</x:v>
      </x:c>
      <x:c r="I2817" s="0" t="s">
        <x:v>21</x:v>
      </x:c>
      <x:c r="K2817" s="0">
        <x:f>hyperlink("https://icd.who.int/dev11/l-ichi/en#/http%3A%2F%2Fid.who.int%2Ficd%2Fentity%2F315196197","browser")</x:f>
      </x:c>
      <x:c r="L2817" s="0">
        <x:f>hyperlink("https://icat2.azurewebsites.net/icat/?ontology=ICD&amp;tab=ClassesTab&amp;id=http%3A%2F%2Fwho.int%2Ficd%2312002_512ebf36_bf6b_4d70_85da_cf2637062af4","iCat")</x:f>
      </x:c>
      <x:c r="M2817" s="0" t="s">
        <x:v>21</x:v>
      </x:c>
      <x:c r="N2817" s="0" t="s">
        <x:v>46</x:v>
      </x:c>
    </x:row>
    <x:row r="2818" spans="1:16">
      <x:c r="A2818" s="0" t="s">
        <x:v>11113</x:v>
      </x:c>
      <x:c r="B2818" s="0" t="s">
        <x:v>11114</x:v>
      </x:c>
      <x:c r="C2818" s="0" t="s">
        <x:v>11115</x:v>
      </x:c>
      <x:c r="E2818" s="0" t="s">
        <x:v>11116</x:v>
      </x:c>
      <x:c r="F2818" s="0" t="s">
        <x:v>45</x:v>
      </x:c>
      <x:c r="G2818" s="0" t="s">
        <x:v>19</x:v>
      </x:c>
      <x:c r="H2818" s="0" t="s">
        <x:v>20</x:v>
      </x:c>
      <x:c r="I2818" s="0" t="s">
        <x:v>21</x:v>
      </x:c>
      <x:c r="K2818" s="0">
        <x:f>hyperlink("https://icd.who.int/dev11/l-ichi/en#/http%3A%2F%2Fid.who.int%2Ficd%2Fentity%2F959770549","browser")</x:f>
      </x:c>
      <x:c r="L2818" s="0">
        <x:f>hyperlink("https://icat2.azurewebsites.net/icat/?ontology=ICD&amp;tab=ClassesTab&amp;id=http%3A%2F%2Fwho.int%2Ficd%2312008_512ebf36_bf6b_4d70_85da_cf2637062af4","iCat")</x:f>
      </x:c>
      <x:c r="M2818" s="0" t="s">
        <x:v>21</x:v>
      </x:c>
      <x:c r="N2818" s="0" t="s">
        <x:v>46</x:v>
      </x:c>
    </x:row>
    <x:row r="2819" spans="1:16">
      <x:c r="A2819" s="0" t="s">
        <x:v>11117</x:v>
      </x:c>
      <x:c r="B2819" s="0" t="s">
        <x:v>11118</x:v>
      </x:c>
      <x:c r="C2819" s="0" t="s">
        <x:v>11119</x:v>
      </x:c>
      <x:c r="E2819" s="0" t="s">
        <x:v>11120</x:v>
      </x:c>
      <x:c r="F2819" s="0" t="s">
        <x:v>45</x:v>
      </x:c>
      <x:c r="G2819" s="0" t="s">
        <x:v>19</x:v>
      </x:c>
      <x:c r="H2819" s="0" t="s">
        <x:v>20</x:v>
      </x:c>
      <x:c r="I2819" s="0" t="s">
        <x:v>21</x:v>
      </x:c>
      <x:c r="K2819" s="0">
        <x:f>hyperlink("https://icd.who.int/dev11/l-ichi/en#/http%3A%2F%2Fid.who.int%2Ficd%2Fentity%2F678940611","browser")</x:f>
      </x:c>
      <x:c r="L2819" s="0">
        <x:f>hyperlink("https://icat2.azurewebsites.net/icat/?ontology=ICD&amp;tab=ClassesTab&amp;id=http%3A%2F%2Fwho.int%2Ficd%2312014_512ebf36_bf6b_4d70_85da_cf2637062af4","iCat")</x:f>
      </x:c>
      <x:c r="M2819" s="0" t="s">
        <x:v>21</x:v>
      </x:c>
      <x:c r="N2819" s="0" t="s">
        <x:v>46</x:v>
      </x:c>
    </x:row>
    <x:row r="2820" spans="1:16">
      <x:c r="A2820" s="0" t="s">
        <x:v>11121</x:v>
      </x:c>
      <x:c r="B2820" s="0" t="s">
        <x:v>11122</x:v>
      </x:c>
      <x:c r="C2820" s="0" t="s">
        <x:v>11123</x:v>
      </x:c>
      <x:c r="E2820" s="0" t="s">
        <x:v>11124</x:v>
      </x:c>
      <x:c r="F2820" s="0" t="s">
        <x:v>45</x:v>
      </x:c>
      <x:c r="G2820" s="0" t="s">
        <x:v>19</x:v>
      </x:c>
      <x:c r="H2820" s="0" t="s">
        <x:v>20</x:v>
      </x:c>
      <x:c r="I2820" s="0" t="s">
        <x:v>21</x:v>
      </x:c>
      <x:c r="K2820" s="0">
        <x:f>hyperlink("https://icd.who.int/dev11/l-ichi/en#/http%3A%2F%2Fid.who.int%2Ficd%2Fentity%2F1572948912","browser")</x:f>
      </x:c>
      <x:c r="L2820" s="0">
        <x:f>hyperlink("https://icat2.azurewebsites.net/icat/?ontology=ICD&amp;tab=ClassesTab&amp;id=http%3A%2F%2Fwho.int%2Ficd%2312020_512ebf36_bf6b_4d70_85da_cf2637062af4","iCat")</x:f>
      </x:c>
      <x:c r="M2820" s="0" t="s">
        <x:v>21</x:v>
      </x:c>
      <x:c r="N2820" s="0" t="s">
        <x:v>46</x:v>
      </x:c>
    </x:row>
    <x:row r="2821" spans="1:16">
      <x:c r="A2821" s="0" t="s">
        <x:v>11125</x:v>
      </x:c>
      <x:c r="B2821" s="0" t="s">
        <x:v>11126</x:v>
      </x:c>
      <x:c r="C2821" s="0" t="s">
        <x:v>11127</x:v>
      </x:c>
      <x:c r="E2821" s="0" t="s">
        <x:v>11128</x:v>
      </x:c>
      <x:c r="F2821" s="0" t="s">
        <x:v>45</x:v>
      </x:c>
      <x:c r="G2821" s="0" t="s">
        <x:v>19</x:v>
      </x:c>
      <x:c r="H2821" s="0" t="s">
        <x:v>20</x:v>
      </x:c>
      <x:c r="I2821" s="0" t="s">
        <x:v>21</x:v>
      </x:c>
      <x:c r="K2821" s="0">
        <x:f>hyperlink("https://icd.who.int/dev11/l-ichi/en#/http%3A%2F%2Fid.who.int%2Ficd%2Fentity%2F230330881","browser")</x:f>
      </x:c>
      <x:c r="L2821" s="0">
        <x:f>hyperlink("https://icat2.azurewebsites.net/icat/?ontology=ICD&amp;tab=ClassesTab&amp;id=http%3A%2F%2Fwho.int%2Ficd%2312026_512ebf36_bf6b_4d70_85da_cf2637062af4","iCat")</x:f>
      </x:c>
      <x:c r="M2821" s="0" t="s">
        <x:v>21</x:v>
      </x:c>
      <x:c r="N2821" s="0" t="s">
        <x:v>46</x:v>
      </x:c>
    </x:row>
    <x:row r="2822" spans="1:16">
      <x:c r="A2822" s="0" t="s">
        <x:v>11129</x:v>
      </x:c>
      <x:c r="B2822" s="0" t="s">
        <x:v>11130</x:v>
      </x:c>
      <x:c r="C2822" s="0" t="s">
        <x:v>11131</x:v>
      </x:c>
      <x:c r="E2822" s="0" t="s">
        <x:v>11132</x:v>
      </x:c>
      <x:c r="F2822" s="0" t="s">
        <x:v>45</x:v>
      </x:c>
      <x:c r="G2822" s="0" t="s">
        <x:v>19</x:v>
      </x:c>
      <x:c r="H2822" s="0" t="s">
        <x:v>20</x:v>
      </x:c>
      <x:c r="I2822" s="0" t="s">
        <x:v>21</x:v>
      </x:c>
      <x:c r="K2822" s="0">
        <x:f>hyperlink("https://icd.who.int/dev11/l-ichi/en#/http%3A%2F%2Fid.who.int%2Ficd%2Fentity%2F1230224554","browser")</x:f>
      </x:c>
      <x:c r="L2822" s="0">
        <x:f>hyperlink("https://icat2.azurewebsites.net/icat/?ontology=ICD&amp;tab=ClassesTab&amp;id=http%3A%2F%2Fwho.int%2Ficd%2312048_512ebf36_bf6b_4d70_85da_cf2637062af4","iCat")</x:f>
      </x:c>
      <x:c r="M2822" s="0" t="s">
        <x:v>21</x:v>
      </x:c>
      <x:c r="N2822" s="0" t="s">
        <x:v>46</x:v>
      </x:c>
    </x:row>
    <x:row r="2823" spans="1:16">
      <x:c r="A2823" s="0" t="s">
        <x:v>11133</x:v>
      </x:c>
      <x:c r="B2823" s="0" t="s">
        <x:v>11134</x:v>
      </x:c>
      <x:c r="C2823" s="0" t="s">
        <x:v>11135</x:v>
      </x:c>
      <x:c r="E2823" s="0" t="s">
        <x:v>11136</x:v>
      </x:c>
      <x:c r="F2823" s="0" t="s">
        <x:v>45</x:v>
      </x:c>
      <x:c r="G2823" s="0" t="s">
        <x:v>19</x:v>
      </x:c>
      <x:c r="H2823" s="0" t="s">
        <x:v>20</x:v>
      </x:c>
      <x:c r="I2823" s="0" t="s">
        <x:v>21</x:v>
      </x:c>
      <x:c r="K2823" s="0">
        <x:f>hyperlink("https://icd.who.int/dev11/l-ichi/en#/http%3A%2F%2Fid.who.int%2Ficd%2Fentity%2F1501355408","browser")</x:f>
      </x:c>
      <x:c r="L2823" s="0">
        <x:f>hyperlink("https://icat2.azurewebsites.net/icat/?ontology=ICD&amp;tab=ClassesTab&amp;id=http%3A%2F%2Fwho.int%2Ficd%2312039_512ebf36_bf6b_4d70_85da_cf2637062af4","iCat")</x:f>
      </x:c>
      <x:c r="M2823" s="0" t="s">
        <x:v>21</x:v>
      </x:c>
      <x:c r="N2823" s="0" t="s">
        <x:v>46</x:v>
      </x:c>
    </x:row>
    <x:row r="2824" spans="1:16">
      <x:c r="A2824" s="0" t="s">
        <x:v>11137</x:v>
      </x:c>
      <x:c r="B2824" s="0" t="s">
        <x:v>11138</x:v>
      </x:c>
      <x:c r="C2824" s="0" t="s">
        <x:v>11139</x:v>
      </x:c>
      <x:c r="E2824" s="0" t="s">
        <x:v>11140</x:v>
      </x:c>
      <x:c r="F2824" s="0" t="s">
        <x:v>45</x:v>
      </x:c>
      <x:c r="G2824" s="0" t="s">
        <x:v>19</x:v>
      </x:c>
      <x:c r="H2824" s="0" t="s">
        <x:v>20</x:v>
      </x:c>
      <x:c r="I2824" s="0" t="s">
        <x:v>21</x:v>
      </x:c>
      <x:c r="K2824" s="0">
        <x:f>hyperlink("https://icd.who.int/dev11/l-ichi/en#/http%3A%2F%2Fid.who.int%2Ficd%2Fentity%2F2028596964","browser")</x:f>
      </x:c>
      <x:c r="L2824" s="0">
        <x:f>hyperlink("https://icat2.azurewebsites.net/icat/?ontology=ICD&amp;tab=ClassesTab&amp;id=http%3A%2F%2Fwho.int%2Ficd%2312055_512ebf36_bf6b_4d70_85da_cf2637062af4","iCat")</x:f>
      </x:c>
      <x:c r="M2824" s="0" t="s">
        <x:v>21</x:v>
      </x:c>
      <x:c r="N2824" s="0" t="s">
        <x:v>46</x:v>
      </x:c>
    </x:row>
    <x:row r="2825" spans="1:16">
      <x:c r="A2825" s="0" t="s">
        <x:v>11141</x:v>
      </x:c>
      <x:c r="B2825" s="0" t="s">
        <x:v>11142</x:v>
      </x:c>
      <x:c r="C2825" s="0" t="s">
        <x:v>11143</x:v>
      </x:c>
      <x:c r="E2825" s="0" t="s">
        <x:v>11144</x:v>
      </x:c>
      <x:c r="F2825" s="0" t="s">
        <x:v>45</x:v>
      </x:c>
      <x:c r="G2825" s="0" t="s">
        <x:v>19</x:v>
      </x:c>
      <x:c r="H2825" s="0" t="s">
        <x:v>20</x:v>
      </x:c>
      <x:c r="I2825" s="0" t="s">
        <x:v>21</x:v>
      </x:c>
      <x:c r="K2825" s="0">
        <x:f>hyperlink("https://icd.who.int/dev11/l-ichi/en#/http%3A%2F%2Fid.who.int%2Ficd%2Fentity%2F413261017","browser")</x:f>
      </x:c>
      <x:c r="L2825" s="0">
        <x:f>hyperlink("https://icat2.azurewebsites.net/icat/?ontology=ICD&amp;tab=ClassesTab&amp;id=http%3A%2F%2Fwho.int%2Ficd%2312064_512ebf36_bf6b_4d70_85da_cf2637062af4","iCat")</x:f>
      </x:c>
      <x:c r="M2825" s="0" t="s">
        <x:v>21</x:v>
      </x:c>
      <x:c r="N2825" s="0" t="s">
        <x:v>46</x:v>
      </x:c>
    </x:row>
    <x:row r="2826" spans="1:16">
      <x:c r="A2826" s="0" t="s">
        <x:v>11145</x:v>
      </x:c>
      <x:c r="B2826" s="0" t="s">
        <x:v>11146</x:v>
      </x:c>
      <x:c r="C2826" s="0" t="s">
        <x:v>11147</x:v>
      </x:c>
      <x:c r="E2826" s="0" t="s">
        <x:v>11148</x:v>
      </x:c>
      <x:c r="F2826" s="0" t="s">
        <x:v>45</x:v>
      </x:c>
      <x:c r="G2826" s="0" t="s">
        <x:v>19</x:v>
      </x:c>
      <x:c r="H2826" s="0" t="s">
        <x:v>20</x:v>
      </x:c>
      <x:c r="I2826" s="0" t="s">
        <x:v>21</x:v>
      </x:c>
      <x:c r="K2826" s="0">
        <x:f>hyperlink("https://icd.who.int/dev11/l-ichi/en#/http%3A%2F%2Fid.who.int%2Ficd%2Fentity%2F1197706746","browser")</x:f>
      </x:c>
      <x:c r="L2826" s="0">
        <x:f>hyperlink("https://icat2.azurewebsites.net/icat/?ontology=ICD&amp;tab=ClassesTab&amp;id=http%3A%2F%2Fwho.int%2Ficd%2312070_512ebf36_bf6b_4d70_85da_cf2637062af4","iCat")</x:f>
      </x:c>
      <x:c r="M2826" s="0" t="s">
        <x:v>21</x:v>
      </x:c>
      <x:c r="N2826" s="0" t="s">
        <x:v>46</x:v>
      </x:c>
    </x:row>
    <x:row r="2827" spans="1:16">
      <x:c r="A2827" s="0" t="s">
        <x:v>11149</x:v>
      </x:c>
      <x:c r="B2827" s="0" t="s">
        <x:v>11150</x:v>
      </x:c>
      <x:c r="C2827" s="0" t="s">
        <x:v>11151</x:v>
      </x:c>
      <x:c r="E2827" s="0" t="s">
        <x:v>11152</x:v>
      </x:c>
      <x:c r="F2827" s="0" t="s">
        <x:v>45</x:v>
      </x:c>
      <x:c r="G2827" s="0" t="s">
        <x:v>19</x:v>
      </x:c>
      <x:c r="H2827" s="0" t="s">
        <x:v>20</x:v>
      </x:c>
      <x:c r="I2827" s="0" t="s">
        <x:v>21</x:v>
      </x:c>
      <x:c r="K2827" s="0">
        <x:f>hyperlink("https://icd.who.int/dev11/l-ichi/en#/http%3A%2F%2Fid.who.int%2Ficd%2Fentity%2F387470411","browser")</x:f>
      </x:c>
      <x:c r="L2827" s="0">
        <x:f>hyperlink("https://icat2.azurewebsites.net/icat/?ontology=ICD&amp;tab=ClassesTab&amp;id=http%3A%2F%2Fwho.int%2Ficd%2312076_512ebf36_bf6b_4d70_85da_cf2637062af4","iCat")</x:f>
      </x:c>
      <x:c r="M2827" s="0" t="s">
        <x:v>21</x:v>
      </x:c>
      <x:c r="N2827" s="0" t="s">
        <x:v>46</x:v>
      </x:c>
    </x:row>
    <x:row r="2828" spans="1:16">
      <x:c r="A2828" s="0" t="s">
        <x:v>11153</x:v>
      </x:c>
      <x:c r="B2828" s="0" t="s">
        <x:v>11154</x:v>
      </x:c>
      <x:c r="C2828" s="0" t="s">
        <x:v>11155</x:v>
      </x:c>
      <x:c r="E2828" s="0" t="s">
        <x:v>11156</x:v>
      </x:c>
      <x:c r="F2828" s="0" t="s">
        <x:v>45</x:v>
      </x:c>
      <x:c r="G2828" s="0" t="s">
        <x:v>19</x:v>
      </x:c>
      <x:c r="H2828" s="0" t="s">
        <x:v>20</x:v>
      </x:c>
      <x:c r="I2828" s="0" t="s">
        <x:v>21</x:v>
      </x:c>
      <x:c r="K2828" s="0">
        <x:f>hyperlink("https://icd.who.int/dev11/l-ichi/en#/http%3A%2F%2Fid.who.int%2Ficd%2Fentity%2F234412769","browser")</x:f>
      </x:c>
      <x:c r="L2828" s="0">
        <x:f>hyperlink("https://icat2.azurewebsites.net/icat/?ontology=ICD&amp;tab=ClassesTab&amp;id=http%3A%2F%2Fwho.int%2Ficd%2312082_512ebf36_bf6b_4d70_85da_cf2637062af4","iCat")</x:f>
      </x:c>
      <x:c r="M2828" s="0" t="s">
        <x:v>21</x:v>
      </x:c>
      <x:c r="N2828" s="0" t="s">
        <x:v>46</x:v>
      </x:c>
    </x:row>
    <x:row r="2829" spans="1:16">
      <x:c r="A2829" s="0" t="s">
        <x:v>11157</x:v>
      </x:c>
      <x:c r="B2829" s="0" t="s">
        <x:v>11158</x:v>
      </x:c>
      <x:c r="C2829" s="0" t="s">
        <x:v>11159</x:v>
      </x:c>
      <x:c r="E2829" s="0" t="s">
        <x:v>11160</x:v>
      </x:c>
      <x:c r="F2829" s="0" t="s">
        <x:v>45</x:v>
      </x:c>
      <x:c r="G2829" s="0" t="s">
        <x:v>19</x:v>
      </x:c>
      <x:c r="H2829" s="0" t="s">
        <x:v>20</x:v>
      </x:c>
      <x:c r="I2829" s="0" t="s">
        <x:v>21</x:v>
      </x:c>
      <x:c r="K2829" s="0">
        <x:f>hyperlink("https://icd.who.int/dev11/l-ichi/en#/http%3A%2F%2Fid.who.int%2Ficd%2Fentity%2F1732097688","browser")</x:f>
      </x:c>
      <x:c r="L2829" s="0">
        <x:f>hyperlink("https://icat2.azurewebsites.net/icat/?ontology=ICD&amp;tab=ClassesTab&amp;id=http%3A%2F%2Fwho.int%2Ficd%236730_25b89c54_3344_49a0_8ee9_6b728a90dcf8","iCat")</x:f>
      </x:c>
      <x:c r="M2829" s="0" t="s">
        <x:v>21</x:v>
      </x:c>
      <x:c r="N2829" s="0" t="s">
        <x:v>46</x:v>
      </x:c>
    </x:row>
    <x:row r="2830" spans="1:16">
      <x:c r="A2830" s="0" t="s">
        <x:v>11161</x:v>
      </x:c>
      <x:c r="B2830" s="0" t="s">
        <x:v>11162</x:v>
      </x:c>
      <x:c r="C2830" s="0" t="s">
        <x:v>11163</x:v>
      </x:c>
      <x:c r="E2830" s="0" t="s">
        <x:v>11164</x:v>
      </x:c>
      <x:c r="F2830" s="0" t="s">
        <x:v>45</x:v>
      </x:c>
      <x:c r="G2830" s="0" t="s">
        <x:v>19</x:v>
      </x:c>
      <x:c r="H2830" s="0" t="s">
        <x:v>20</x:v>
      </x:c>
      <x:c r="I2830" s="0" t="s">
        <x:v>21</x:v>
      </x:c>
      <x:c r="K2830" s="0">
        <x:f>hyperlink("https://icd.who.int/dev11/l-ichi/en#/http%3A%2F%2Fid.who.int%2Ficd%2Fentity%2F37835379","browser")</x:f>
      </x:c>
      <x:c r="L2830" s="0">
        <x:f>hyperlink("https://icat2.azurewebsites.net/icat/?ontology=ICD&amp;tab=ClassesTab&amp;id=http%3A%2F%2Fwho.int%2Ficd%2312090_512ebf36_bf6b_4d70_85da_cf2637062af4","iCat")</x:f>
      </x:c>
      <x:c r="M2830" s="0" t="s">
        <x:v>21</x:v>
      </x:c>
      <x:c r="N2830" s="0" t="s">
        <x:v>46</x:v>
      </x:c>
    </x:row>
    <x:row r="2831" spans="1:16">
      <x:c r="A2831" s="0" t="s">
        <x:v>11165</x:v>
      </x:c>
      <x:c r="B2831" s="0" t="s">
        <x:v>11166</x:v>
      </x:c>
      <x:c r="C2831" s="0" t="s">
        <x:v>11167</x:v>
      </x:c>
      <x:c r="E2831" s="0" t="s">
        <x:v>11168</x:v>
      </x:c>
      <x:c r="F2831" s="0" t="s">
        <x:v>45</x:v>
      </x:c>
      <x:c r="G2831" s="0" t="s">
        <x:v>19</x:v>
      </x:c>
      <x:c r="H2831" s="0" t="s">
        <x:v>20</x:v>
      </x:c>
      <x:c r="I2831" s="0" t="s">
        <x:v>21</x:v>
      </x:c>
      <x:c r="K2831" s="0">
        <x:f>hyperlink("https://icd.who.int/dev11/l-ichi/en#/http%3A%2F%2Fid.who.int%2Ficd%2Fentity%2F1379568580","browser")</x:f>
      </x:c>
      <x:c r="L2831" s="0">
        <x:f>hyperlink("https://icat2.azurewebsites.net/icat/?ontology=ICD&amp;tab=ClassesTab&amp;id=http%3A%2F%2Fwho.int%2Ficd%2312096_512ebf36_bf6b_4d70_85da_cf2637062af4","iCat")</x:f>
      </x:c>
      <x:c r="M2831" s="0" t="s">
        <x:v>21</x:v>
      </x:c>
      <x:c r="N2831" s="0" t="s">
        <x:v>46</x:v>
      </x:c>
    </x:row>
    <x:row r="2832" spans="1:16">
      <x:c r="A2832" s="0" t="s">
        <x:v>11169</x:v>
      </x:c>
      <x:c r="B2832" s="0" t="s">
        <x:v>11170</x:v>
      </x:c>
      <x:c r="C2832" s="0" t="s">
        <x:v>11171</x:v>
      </x:c>
      <x:c r="E2832" s="0" t="s">
        <x:v>11172</x:v>
      </x:c>
      <x:c r="F2832" s="0" t="s">
        <x:v>45</x:v>
      </x:c>
      <x:c r="G2832" s="0" t="s">
        <x:v>19</x:v>
      </x:c>
      <x:c r="H2832" s="0" t="s">
        <x:v>20</x:v>
      </x:c>
      <x:c r="I2832" s="0" t="s">
        <x:v>21</x:v>
      </x:c>
      <x:c r="K2832" s="0">
        <x:f>hyperlink("https://icd.who.int/dev11/l-ichi/en#/http%3A%2F%2Fid.who.int%2Ficd%2Fentity%2F1733707194","browser")</x:f>
      </x:c>
      <x:c r="L2832" s="0">
        <x:f>hyperlink("https://icat2.azurewebsites.net/icat/?ontology=ICD&amp;tab=ClassesTab&amp;id=http%3A%2F%2Fwho.int%2Ficd%2312102_512ebf36_bf6b_4d70_85da_cf2637062af4","iCat")</x:f>
      </x:c>
      <x:c r="M2832" s="0" t="s">
        <x:v>21</x:v>
      </x:c>
      <x:c r="N2832" s="0" t="s">
        <x:v>46</x:v>
      </x:c>
    </x:row>
    <x:row r="2833" spans="1:16">
      <x:c r="A2833" s="0" t="s">
        <x:v>11173</x:v>
      </x:c>
      <x:c r="B2833" s="0" t="s">
        <x:v>11174</x:v>
      </x:c>
      <x:c r="C2833" s="0" t="s">
        <x:v>11175</x:v>
      </x:c>
      <x:c r="E2833" s="0" t="s">
        <x:v>11176</x:v>
      </x:c>
      <x:c r="F2833" s="0" t="s">
        <x:v>45</x:v>
      </x:c>
      <x:c r="G2833" s="0" t="s">
        <x:v>19</x:v>
      </x:c>
      <x:c r="H2833" s="0" t="s">
        <x:v>20</x:v>
      </x:c>
      <x:c r="I2833" s="0" t="s">
        <x:v>21</x:v>
      </x:c>
      <x:c r="K2833" s="0">
        <x:f>hyperlink("https://icd.who.int/dev11/l-ichi/en#/http%3A%2F%2Fid.who.int%2Ficd%2Fentity%2F227791087","browser")</x:f>
      </x:c>
      <x:c r="L2833" s="0">
        <x:f>hyperlink("https://icat2.azurewebsites.net/icat/?ontology=ICD&amp;tab=ClassesTab&amp;id=http%3A%2F%2Fwho.int%2Ficd%2312112_512ebf36_bf6b_4d70_85da_cf2637062af4","iCat")</x:f>
      </x:c>
      <x:c r="M2833" s="0" t="s">
        <x:v>21</x:v>
      </x:c>
      <x:c r="N2833" s="0" t="s">
        <x:v>46</x:v>
      </x:c>
    </x:row>
    <x:row r="2834" spans="1:16">
      <x:c r="A2834" s="0" t="s">
        <x:v>11177</x:v>
      </x:c>
      <x:c r="B2834" s="0" t="s">
        <x:v>11178</x:v>
      </x:c>
      <x:c r="C2834" s="0" t="s">
        <x:v>11179</x:v>
      </x:c>
      <x:c r="E2834" s="0" t="s">
        <x:v>11180</x:v>
      </x:c>
      <x:c r="F2834" s="0" t="s">
        <x:v>45</x:v>
      </x:c>
      <x:c r="G2834" s="0" t="s">
        <x:v>19</x:v>
      </x:c>
      <x:c r="H2834" s="0" t="s">
        <x:v>20</x:v>
      </x:c>
      <x:c r="I2834" s="0" t="s">
        <x:v>21</x:v>
      </x:c>
      <x:c r="K2834" s="0">
        <x:f>hyperlink("https://icd.who.int/dev11/l-ichi/en#/http%3A%2F%2Fid.who.int%2Ficd%2Fentity%2F644791423","browser")</x:f>
      </x:c>
      <x:c r="L2834" s="0">
        <x:f>hyperlink("https://icat2.azurewebsites.net/icat/?ontology=ICD&amp;tab=ClassesTab&amp;id=http%3A%2F%2Fwho.int%2Ficd%2312118_512ebf36_bf6b_4d70_85da_cf2637062af4","iCat")</x:f>
      </x:c>
      <x:c r="M2834" s="0" t="s">
        <x:v>21</x:v>
      </x:c>
      <x:c r="N2834" s="0" t="s">
        <x:v>46</x:v>
      </x:c>
    </x:row>
    <x:row r="2835" spans="1:16">
      <x:c r="A2835" s="0" t="s">
        <x:v>11181</x:v>
      </x:c>
      <x:c r="B2835" s="0" t="s">
        <x:v>11182</x:v>
      </x:c>
      <x:c r="C2835" s="0" t="s">
        <x:v>11183</x:v>
      </x:c>
      <x:c r="E2835" s="0" t="s">
        <x:v>11184</x:v>
      </x:c>
      <x:c r="F2835" s="0" t="s">
        <x:v>45</x:v>
      </x:c>
      <x:c r="G2835" s="0" t="s">
        <x:v>19</x:v>
      </x:c>
      <x:c r="H2835" s="0" t="s">
        <x:v>20</x:v>
      </x:c>
      <x:c r="I2835" s="0" t="s">
        <x:v>21</x:v>
      </x:c>
      <x:c r="K2835" s="0">
        <x:f>hyperlink("https://icd.who.int/dev11/l-ichi/en#/http%3A%2F%2Fid.who.int%2Ficd%2Fentity%2F1117460602","browser")</x:f>
      </x:c>
      <x:c r="L2835" s="0">
        <x:f>hyperlink("https://icat2.azurewebsites.net/icat/?ontology=ICD&amp;tab=ClassesTab&amp;id=http%3A%2F%2Fwho.int%2Ficd%2312130_512ebf36_bf6b_4d70_85da_cf2637062af4","iCat")</x:f>
      </x:c>
      <x:c r="M2835" s="0" t="s">
        <x:v>21</x:v>
      </x:c>
      <x:c r="N2835" s="0" t="s">
        <x:v>46</x:v>
      </x:c>
    </x:row>
    <x:row r="2836" spans="1:16">
      <x:c r="A2836" s="0" t="s">
        <x:v>11185</x:v>
      </x:c>
      <x:c r="B2836" s="0" t="s">
        <x:v>11186</x:v>
      </x:c>
      <x:c r="C2836" s="0" t="s">
        <x:v>11187</x:v>
      </x:c>
      <x:c r="E2836" s="0" t="s">
        <x:v>11188</x:v>
      </x:c>
      <x:c r="F2836" s="0" t="s">
        <x:v>45</x:v>
      </x:c>
      <x:c r="G2836" s="0" t="s">
        <x:v>19</x:v>
      </x:c>
      <x:c r="H2836" s="0" t="s">
        <x:v>20</x:v>
      </x:c>
      <x:c r="I2836" s="0" t="s">
        <x:v>21</x:v>
      </x:c>
      <x:c r="K2836" s="0">
        <x:f>hyperlink("https://icd.who.int/dev11/l-ichi/en#/http%3A%2F%2Fid.who.int%2Ficd%2Fentity%2F203057455","browser")</x:f>
      </x:c>
      <x:c r="L2836" s="0">
        <x:f>hyperlink("https://icat2.azurewebsites.net/icat/?ontology=ICD&amp;tab=ClassesTab&amp;id=http%3A%2F%2Fwho.int%2Ficd%2312138_512ebf36_bf6b_4d70_85da_cf2637062af4","iCat")</x:f>
      </x:c>
      <x:c r="M2836" s="0" t="s">
        <x:v>21</x:v>
      </x:c>
      <x:c r="N2836" s="0" t="s">
        <x:v>46</x:v>
      </x:c>
    </x:row>
    <x:row r="2837" spans="1:16">
      <x:c r="A2837" s="0" t="s">
        <x:v>11189</x:v>
      </x:c>
      <x:c r="B2837" s="0" t="s">
        <x:v>11190</x:v>
      </x:c>
      <x:c r="C2837" s="0" t="s">
        <x:v>11191</x:v>
      </x:c>
      <x:c r="E2837" s="0" t="s">
        <x:v>11192</x:v>
      </x:c>
      <x:c r="F2837" s="0" t="s">
        <x:v>45</x:v>
      </x:c>
      <x:c r="G2837" s="0" t="s">
        <x:v>19</x:v>
      </x:c>
      <x:c r="H2837" s="0" t="s">
        <x:v>20</x:v>
      </x:c>
      <x:c r="I2837" s="0" t="s">
        <x:v>21</x:v>
      </x:c>
      <x:c r="K2837" s="0">
        <x:f>hyperlink("https://icd.who.int/dev11/l-ichi/en#/http%3A%2F%2Fid.who.int%2Ficd%2Fentity%2F1196085012","browser")</x:f>
      </x:c>
      <x:c r="L2837" s="0">
        <x:f>hyperlink("https://icat2.azurewebsites.net/icat/?ontology=ICD&amp;tab=ClassesTab&amp;id=http%3A%2F%2Fwho.int%2Ficd%2312144_512ebf36_bf6b_4d70_85da_cf2637062af4","iCat")</x:f>
      </x:c>
      <x:c r="M2837" s="0" t="s">
        <x:v>21</x:v>
      </x:c>
      <x:c r="N2837" s="0" t="s">
        <x:v>46</x:v>
      </x:c>
    </x:row>
    <x:row r="2838" spans="1:16">
      <x:c r="B2838" s="0" t="s">
        <x:v>11193</x:v>
      </x:c>
      <x:c r="C2838" s="0" t="s">
        <x:v>11194</x:v>
      </x:c>
      <x:c r="E2838" s="0" t="s">
        <x:v>11195</x:v>
      </x:c>
      <x:c r="F2838" s="0" t="s">
        <x:v>45</x:v>
      </x:c>
      <x:c r="G2838" s="0" t="s">
        <x:v>19</x:v>
      </x:c>
      <x:c r="H2838" s="0" t="s">
        <x:v>21</x:v>
      </x:c>
      <x:c r="I2838" s="0" t="s">
        <x:v>21</x:v>
      </x:c>
      <x:c r="K2838" s="0">
        <x:f>hyperlink("https://icd.who.int/dev11/l-ichi/en#/http%3A%2F%2Fid.who.int%2Ficd%2Fentity%2F1582405162%2Fichi%2Fother","browser")</x:f>
      </x:c>
      <x:c r="L2838" s="0">
        <x:f>hyperlink("","iCat")</x:f>
      </x:c>
      <x:c r="M2838" s="0" t="s">
        <x:v>21</x:v>
      </x:c>
      <x:c r="N2838" s="0" t="s">
        <x:v>46</x:v>
      </x:c>
    </x:row>
    <x:row r="2839" spans="1:16">
      <x:c r="B2839" s="0" t="s">
        <x:v>11196</x:v>
      </x:c>
      <x:c r="C2839" s="0" t="s">
        <x:v>11197</x:v>
      </x:c>
      <x:c r="E2839" s="0" t="s">
        <x:v>11198</x:v>
      </x:c>
      <x:c r="F2839" s="0" t="s">
        <x:v>45</x:v>
      </x:c>
      <x:c r="G2839" s="0" t="s">
        <x:v>19</x:v>
      </x:c>
      <x:c r="H2839" s="0" t="s">
        <x:v>21</x:v>
      </x:c>
      <x:c r="I2839" s="0" t="s">
        <x:v>21</x:v>
      </x:c>
      <x:c r="K2839" s="0">
        <x:f>hyperlink("https://icd.who.int/dev11/l-ichi/en#/http%3A%2F%2Fid.who.int%2Ficd%2Fentity%2F1582405162%2Fichi%2Funspecified","browser")</x:f>
      </x:c>
      <x:c r="L2839" s="0">
        <x:f>hyperlink("","iCat")</x:f>
      </x:c>
      <x:c r="M2839" s="0" t="s">
        <x:v>21</x:v>
      </x:c>
      <x:c r="N2839" s="0" t="s">
        <x:v>46</x:v>
      </x:c>
    </x:row>
    <x:row r="2840" spans="1:16">
      <x:c r="A2840" s="0" t="s">
        <x:v>11199</x:v>
      </x:c>
      <x:c r="B2840" s="0" t="s">
        <x:v>11200</x:v>
      </x:c>
      <x:c r="D2840" s="0" t="s">
        <x:v>11201</x:v>
      </x:c>
      <x:c r="E2840" s="0" t="s">
        <x:v>11202</x:v>
      </x:c>
      <x:c r="F2840" s="0" t="s">
        <x:v>26</x:v>
      </x:c>
      <x:c r="G2840" s="0" t="s">
        <x:v>35</x:v>
      </x:c>
      <x:c r="H2840" s="0" t="s">
        <x:v>20</x:v>
      </x:c>
      <x:c r="I2840" s="0" t="s">
        <x:v>21</x:v>
      </x:c>
      <x:c r="K2840" s="0">
        <x:f>hyperlink("https://icd.who.int/dev11/l-ichi/en#/http%3A%2F%2Fid.who.int%2Ficd%2Fentity%2F1304914040","browser")</x:f>
      </x:c>
      <x:c r="L2840" s="0">
        <x:f>hyperlink("https://icat2.azurewebsites.net/icat/?ontology=ICD&amp;tab=ClassesTab&amp;id=http%3A%2F%2Fwho.int%2Ficd%2312165_512ebf36_bf6b_4d70_85da_cf2637062af4","iCat")</x:f>
      </x:c>
      <x:c r="M2840" s="0" t="s">
        <x:v>20</x:v>
      </x:c>
      <x:c r="N2840" s="0" t="s">
        <x:v>206</x:v>
      </x:c>
    </x:row>
    <x:row r="2841" spans="1:16">
      <x:c r="A2841" s="0" t="s">
        <x:v>11203</x:v>
      </x:c>
      <x:c r="B2841" s="0" t="s">
        <x:v>11204</x:v>
      </x:c>
      <x:c r="D2841" s="0" t="s">
        <x:v>11205</x:v>
      </x:c>
      <x:c r="E2841" s="0" t="s">
        <x:v>11206</x:v>
      </x:c>
      <x:c r="F2841" s="0" t="s">
        <x:v>26</x:v>
      </x:c>
      <x:c r="G2841" s="0" t="s">
        <x:v>22</x:v>
      </x:c>
      <x:c r="H2841" s="0" t="s">
        <x:v>20</x:v>
      </x:c>
      <x:c r="I2841" s="0" t="s">
        <x:v>21</x:v>
      </x:c>
      <x:c r="K2841" s="0">
        <x:f>hyperlink("https://icd.who.int/dev11/l-ichi/en#/http%3A%2F%2Fid.who.int%2Ficd%2Fentity%2F302332251","browser")</x:f>
      </x:c>
      <x:c r="L2841" s="0">
        <x:f>hyperlink("https://icat2.azurewebsites.net/icat/?ontology=ICD&amp;tab=ClassesTab&amp;id=http%3A%2F%2Fwho.int%2Ficd%2312171_512ebf36_bf6b_4d70_85da_cf2637062af4","iCat")</x:f>
      </x:c>
      <x:c r="M2841" s="0" t="s">
        <x:v>20</x:v>
      </x:c>
      <x:c r="N2841" s="0" t="s">
        <x:v>11207</x:v>
      </x:c>
    </x:row>
    <x:row r="2842" spans="1:16">
      <x:c r="A2842" s="0" t="s">
        <x:v>11208</x:v>
      </x:c>
      <x:c r="B2842" s="0" t="s">
        <x:v>11209</x:v>
      </x:c>
      <x:c r="C2842" s="0" t="s">
        <x:v>11210</x:v>
      </x:c>
      <x:c r="E2842" s="0" t="s">
        <x:v>11211</x:v>
      </x:c>
      <x:c r="F2842" s="0" t="s">
        <x:v>45</x:v>
      </x:c>
      <x:c r="G2842" s="0" t="s">
        <x:v>19</x:v>
      </x:c>
      <x:c r="H2842" s="0" t="s">
        <x:v>20</x:v>
      </x:c>
      <x:c r="I2842" s="0" t="s">
        <x:v>21</x:v>
      </x:c>
      <x:c r="K2842" s="0">
        <x:f>hyperlink("https://icd.who.int/dev11/l-ichi/en#/http%3A%2F%2Fid.who.int%2Ficd%2Fentity%2F1832786502","browser")</x:f>
      </x:c>
      <x:c r="L2842" s="0">
        <x:f>hyperlink("https://icat2.azurewebsites.net/icat/?ontology=ICD&amp;tab=ClassesTab&amp;id=http%3A%2F%2Fwho.int%2Ficd%2312164_512ebf36_bf6b_4d70_85da_cf2637062af4","iCat")</x:f>
      </x:c>
      <x:c r="M2842" s="0" t="s">
        <x:v>21</x:v>
      </x:c>
      <x:c r="N2842" s="0" t="s">
        <x:v>46</x:v>
      </x:c>
    </x:row>
    <x:row r="2843" spans="1:16">
      <x:c r="A2843" s="0" t="s">
        <x:v>11212</x:v>
      </x:c>
      <x:c r="B2843" s="0" t="s">
        <x:v>11213</x:v>
      </x:c>
      <x:c r="C2843" s="0" t="s">
        <x:v>11214</x:v>
      </x:c>
      <x:c r="E2843" s="0" t="s">
        <x:v>11215</x:v>
      </x:c>
      <x:c r="F2843" s="0" t="s">
        <x:v>45</x:v>
      </x:c>
      <x:c r="G2843" s="0" t="s">
        <x:v>19</x:v>
      </x:c>
      <x:c r="H2843" s="0" t="s">
        <x:v>20</x:v>
      </x:c>
      <x:c r="I2843" s="0" t="s">
        <x:v>21</x:v>
      </x:c>
      <x:c r="K2843" s="0">
        <x:f>hyperlink("https://icd.who.int/dev11/l-ichi/en#/http%3A%2F%2Fid.who.int%2Ficd%2Fentity%2F1486777922","browser")</x:f>
      </x:c>
      <x:c r="L2843" s="0">
        <x:f>hyperlink("https://icat2.azurewebsites.net/icat/?ontology=ICD&amp;tab=ClassesTab&amp;id=http%3A%2F%2Fwho.int%2Ficd%2312183_512ebf36_bf6b_4d70_85da_cf2637062af4","iCat")</x:f>
      </x:c>
      <x:c r="M2843" s="0" t="s">
        <x:v>21</x:v>
      </x:c>
      <x:c r="N2843" s="0" t="s">
        <x:v>46</x:v>
      </x:c>
    </x:row>
    <x:row r="2844" spans="1:16">
      <x:c r="A2844" s="0" t="s">
        <x:v>11216</x:v>
      </x:c>
      <x:c r="B2844" s="0" t="s">
        <x:v>11217</x:v>
      </x:c>
      <x:c r="C2844" s="0" t="s">
        <x:v>11218</x:v>
      </x:c>
      <x:c r="E2844" s="0" t="s">
        <x:v>11219</x:v>
      </x:c>
      <x:c r="F2844" s="0" t="s">
        <x:v>45</x:v>
      </x:c>
      <x:c r="G2844" s="0" t="s">
        <x:v>19</x:v>
      </x:c>
      <x:c r="H2844" s="0" t="s">
        <x:v>20</x:v>
      </x:c>
      <x:c r="I2844" s="0" t="s">
        <x:v>21</x:v>
      </x:c>
      <x:c r="K2844" s="0">
        <x:f>hyperlink("https://icd.who.int/dev11/l-ichi/en#/http%3A%2F%2Fid.who.int%2Ficd%2Fentity%2F1462232788","browser")</x:f>
      </x:c>
      <x:c r="L2844" s="0">
        <x:f>hyperlink("https://icat2.azurewebsites.net/icat/?ontology=ICD&amp;tab=ClassesTab&amp;id=http%3A%2F%2Fwho.int%2Ficd%2312191_512ebf36_bf6b_4d70_85da_cf2637062af4","iCat")</x:f>
      </x:c>
      <x:c r="M2844" s="0" t="s">
        <x:v>21</x:v>
      </x:c>
      <x:c r="N2844" s="0" t="s">
        <x:v>46</x:v>
      </x:c>
    </x:row>
    <x:row r="2845" spans="1:16">
      <x:c r="A2845" s="0" t="s">
        <x:v>11220</x:v>
      </x:c>
      <x:c r="B2845" s="0" t="s">
        <x:v>11221</x:v>
      </x:c>
      <x:c r="C2845" s="0" t="s">
        <x:v>11222</x:v>
      </x:c>
      <x:c r="E2845" s="0" t="s">
        <x:v>11223</x:v>
      </x:c>
      <x:c r="F2845" s="0" t="s">
        <x:v>45</x:v>
      </x:c>
      <x:c r="G2845" s="0" t="s">
        <x:v>19</x:v>
      </x:c>
      <x:c r="H2845" s="0" t="s">
        <x:v>20</x:v>
      </x:c>
      <x:c r="I2845" s="0" t="s">
        <x:v>21</x:v>
      </x:c>
      <x:c r="K2845" s="0">
        <x:f>hyperlink("https://icd.who.int/dev11/l-ichi/en#/http%3A%2F%2Fid.who.int%2Ficd%2Fentity%2F123486051","browser")</x:f>
      </x:c>
      <x:c r="L2845" s="0">
        <x:f>hyperlink("https://icat2.azurewebsites.net/icat/?ontology=ICD&amp;tab=ClassesTab&amp;id=http%3A%2F%2Fwho.int%2Ficd%2312197_512ebf36_bf6b_4d70_85da_cf2637062af4","iCat")</x:f>
      </x:c>
      <x:c r="M2845" s="0" t="s">
        <x:v>21</x:v>
      </x:c>
      <x:c r="N2845" s="0" t="s">
        <x:v>46</x:v>
      </x:c>
    </x:row>
    <x:row r="2846" spans="1:16">
      <x:c r="A2846" s="0" t="s">
        <x:v>11224</x:v>
      </x:c>
      <x:c r="B2846" s="0" t="s">
        <x:v>11225</x:v>
      </x:c>
      <x:c r="C2846" s="0" t="s">
        <x:v>11226</x:v>
      </x:c>
      <x:c r="E2846" s="0" t="s">
        <x:v>11227</x:v>
      </x:c>
      <x:c r="F2846" s="0" t="s">
        <x:v>45</x:v>
      </x:c>
      <x:c r="G2846" s="0" t="s">
        <x:v>19</x:v>
      </x:c>
      <x:c r="H2846" s="0" t="s">
        <x:v>20</x:v>
      </x:c>
      <x:c r="I2846" s="0" t="s">
        <x:v>21</x:v>
      </x:c>
      <x:c r="K2846" s="0">
        <x:f>hyperlink("https://icd.who.int/dev11/l-ichi/en#/http%3A%2F%2Fid.who.int%2Ficd%2Fentity%2F653296605","browser")</x:f>
      </x:c>
      <x:c r="L2846" s="0">
        <x:f>hyperlink("https://icat2.azurewebsites.net/icat/?ontology=ICD&amp;tab=ClassesTab&amp;id=http%3A%2F%2Fwho.int%2Ficd%2312203_512ebf36_bf6b_4d70_85da_cf2637062af4","iCat")</x:f>
      </x:c>
      <x:c r="M2846" s="0" t="s">
        <x:v>21</x:v>
      </x:c>
      <x:c r="N2846" s="0" t="s">
        <x:v>46</x:v>
      </x:c>
    </x:row>
    <x:row r="2847" spans="1:16">
      <x:c r="A2847" s="0" t="s">
        <x:v>11228</x:v>
      </x:c>
      <x:c r="B2847" s="0" t="s">
        <x:v>11229</x:v>
      </x:c>
      <x:c r="C2847" s="0" t="s">
        <x:v>11230</x:v>
      </x:c>
      <x:c r="E2847" s="0" t="s">
        <x:v>11231</x:v>
      </x:c>
      <x:c r="F2847" s="0" t="s">
        <x:v>45</x:v>
      </x:c>
      <x:c r="G2847" s="0" t="s">
        <x:v>19</x:v>
      </x:c>
      <x:c r="H2847" s="0" t="s">
        <x:v>20</x:v>
      </x:c>
      <x:c r="I2847" s="0" t="s">
        <x:v>21</x:v>
      </x:c>
      <x:c r="K2847" s="0">
        <x:f>hyperlink("https://icd.who.int/dev11/l-ichi/en#/http%3A%2F%2Fid.who.int%2Ficd%2Fentity%2F162560371","browser")</x:f>
      </x:c>
      <x:c r="L2847" s="0">
        <x:f>hyperlink("https://icat2.azurewebsites.net/icat/?ontology=ICD&amp;tab=ClassesTab&amp;id=http%3A%2F%2Fwho.int%2Ficd%2312210_512ebf36_bf6b_4d70_85da_cf2637062af4","iCat")</x:f>
      </x:c>
      <x:c r="M2847" s="0" t="s">
        <x:v>21</x:v>
      </x:c>
      <x:c r="N2847" s="0" t="s">
        <x:v>46</x:v>
      </x:c>
    </x:row>
    <x:row r="2848" spans="1:16">
      <x:c r="A2848" s="0" t="s">
        <x:v>11232</x:v>
      </x:c>
      <x:c r="B2848" s="0" t="s">
        <x:v>11233</x:v>
      </x:c>
      <x:c r="C2848" s="0" t="s">
        <x:v>11234</x:v>
      </x:c>
      <x:c r="E2848" s="0" t="s">
        <x:v>11235</x:v>
      </x:c>
      <x:c r="F2848" s="0" t="s">
        <x:v>45</x:v>
      </x:c>
      <x:c r="G2848" s="0" t="s">
        <x:v>19</x:v>
      </x:c>
      <x:c r="H2848" s="0" t="s">
        <x:v>20</x:v>
      </x:c>
      <x:c r="I2848" s="0" t="s">
        <x:v>21</x:v>
      </x:c>
      <x:c r="K2848" s="0">
        <x:f>hyperlink("https://icd.who.int/dev11/l-ichi/en#/http%3A%2F%2Fid.who.int%2Ficd%2Fentity%2F1506517188","browser")</x:f>
      </x:c>
      <x:c r="L2848" s="0">
        <x:f>hyperlink("https://icat2.azurewebsites.net/icat/?ontology=ICD&amp;tab=ClassesTab&amp;id=http%3A%2F%2Fwho.int%2Ficd%2312216_512ebf36_bf6b_4d70_85da_cf2637062af4","iCat")</x:f>
      </x:c>
      <x:c r="M2848" s="0" t="s">
        <x:v>21</x:v>
      </x:c>
      <x:c r="N2848" s="0" t="s">
        <x:v>46</x:v>
      </x:c>
    </x:row>
    <x:row r="2849" spans="1:16">
      <x:c r="A2849" s="0" t="s">
        <x:v>11236</x:v>
      </x:c>
      <x:c r="B2849" s="0" t="s">
        <x:v>11237</x:v>
      </x:c>
      <x:c r="C2849" s="0" t="s">
        <x:v>11238</x:v>
      </x:c>
      <x:c r="E2849" s="0" t="s">
        <x:v>11239</x:v>
      </x:c>
      <x:c r="F2849" s="0" t="s">
        <x:v>45</x:v>
      </x:c>
      <x:c r="G2849" s="0" t="s">
        <x:v>19</x:v>
      </x:c>
      <x:c r="H2849" s="0" t="s">
        <x:v>20</x:v>
      </x:c>
      <x:c r="I2849" s="0" t="s">
        <x:v>21</x:v>
      </x:c>
      <x:c r="K2849" s="0">
        <x:f>hyperlink("https://icd.who.int/dev11/l-ichi/en#/http%3A%2F%2Fid.who.int%2Ficd%2Fentity%2F1560252222","browser")</x:f>
      </x:c>
      <x:c r="L2849" s="0">
        <x:f>hyperlink("https://icat2.azurewebsites.net/icat/?ontology=ICD&amp;tab=ClassesTab&amp;id=http%3A%2F%2Fwho.int%2Ficd%2312225_512ebf36_bf6b_4d70_85da_cf2637062af4","iCat")</x:f>
      </x:c>
      <x:c r="M2849" s="0" t="s">
        <x:v>21</x:v>
      </x:c>
      <x:c r="N2849" s="0" t="s">
        <x:v>46</x:v>
      </x:c>
    </x:row>
    <x:row r="2850" spans="1:16">
      <x:c r="A2850" s="0" t="s">
        <x:v>11240</x:v>
      </x:c>
      <x:c r="B2850" s="0" t="s">
        <x:v>11241</x:v>
      </x:c>
      <x:c r="C2850" s="0" t="s">
        <x:v>11242</x:v>
      </x:c>
      <x:c r="E2850" s="0" t="s">
        <x:v>11243</x:v>
      </x:c>
      <x:c r="F2850" s="0" t="s">
        <x:v>45</x:v>
      </x:c>
      <x:c r="G2850" s="0" t="s">
        <x:v>19</x:v>
      </x:c>
      <x:c r="H2850" s="0" t="s">
        <x:v>20</x:v>
      </x:c>
      <x:c r="I2850" s="0" t="s">
        <x:v>21</x:v>
      </x:c>
      <x:c r="K2850" s="0">
        <x:f>hyperlink("https://icd.who.int/dev11/l-ichi/en#/http%3A%2F%2Fid.who.int%2Ficd%2Fentity%2F381904983","browser")</x:f>
      </x:c>
      <x:c r="L2850" s="0">
        <x:f>hyperlink("https://icat2.azurewebsites.net/icat/?ontology=ICD&amp;tab=ClassesTab&amp;id=http%3A%2F%2Fwho.int%2Ficd%2312234_512ebf36_bf6b_4d70_85da_cf2637062af4","iCat")</x:f>
      </x:c>
      <x:c r="M2850" s="0" t="s">
        <x:v>21</x:v>
      </x:c>
      <x:c r="N2850" s="0" t="s">
        <x:v>46</x:v>
      </x:c>
    </x:row>
    <x:row r="2851" spans="1:16">
      <x:c r="A2851" s="0" t="s">
        <x:v>11244</x:v>
      </x:c>
      <x:c r="B2851" s="0" t="s">
        <x:v>11245</x:v>
      </x:c>
      <x:c r="C2851" s="0" t="s">
        <x:v>11246</x:v>
      </x:c>
      <x:c r="E2851" s="0" t="s">
        <x:v>11247</x:v>
      </x:c>
      <x:c r="F2851" s="0" t="s">
        <x:v>45</x:v>
      </x:c>
      <x:c r="G2851" s="0" t="s">
        <x:v>19</x:v>
      </x:c>
      <x:c r="H2851" s="0" t="s">
        <x:v>20</x:v>
      </x:c>
      <x:c r="I2851" s="0" t="s">
        <x:v>21</x:v>
      </x:c>
      <x:c r="K2851" s="0">
        <x:f>hyperlink("https://icd.who.int/dev11/l-ichi/en#/http%3A%2F%2Fid.who.int%2Ficd%2Fentity%2F1986962172","browser")</x:f>
      </x:c>
      <x:c r="L2851" s="0">
        <x:f>hyperlink("https://icat2.azurewebsites.net/icat/?ontology=ICD&amp;tab=ClassesTab&amp;id=http%3A%2F%2Fwho.int%2Ficd%2312242_512ebf36_bf6b_4d70_85da_cf2637062af4","iCat")</x:f>
      </x:c>
      <x:c r="M2851" s="0" t="s">
        <x:v>21</x:v>
      </x:c>
      <x:c r="N2851" s="0" t="s">
        <x:v>46</x:v>
      </x:c>
    </x:row>
    <x:row r="2852" spans="1:16">
      <x:c r="A2852" s="0" t="s">
        <x:v>11248</x:v>
      </x:c>
      <x:c r="B2852" s="0" t="s">
        <x:v>11249</x:v>
      </x:c>
      <x:c r="C2852" s="0" t="s">
        <x:v>11250</x:v>
      </x:c>
      <x:c r="E2852" s="0" t="s">
        <x:v>11251</x:v>
      </x:c>
      <x:c r="F2852" s="0" t="s">
        <x:v>45</x:v>
      </x:c>
      <x:c r="G2852" s="0" t="s">
        <x:v>19</x:v>
      </x:c>
      <x:c r="H2852" s="0" t="s">
        <x:v>20</x:v>
      </x:c>
      <x:c r="I2852" s="0" t="s">
        <x:v>21</x:v>
      </x:c>
      <x:c r="K2852" s="0">
        <x:f>hyperlink("https://icd.who.int/dev11/l-ichi/en#/http%3A%2F%2Fid.who.int%2Ficd%2Fentity%2F2104147026","browser")</x:f>
      </x:c>
      <x:c r="L2852" s="0">
        <x:f>hyperlink("https://icat2.azurewebsites.net/icat/?ontology=ICD&amp;tab=ClassesTab&amp;id=http%3A%2F%2Fwho.int%2Ficd%2312249_512ebf36_bf6b_4d70_85da_cf2637062af4","iCat")</x:f>
      </x:c>
      <x:c r="M2852" s="0" t="s">
        <x:v>21</x:v>
      </x:c>
      <x:c r="N2852" s="0" t="s">
        <x:v>46</x:v>
      </x:c>
    </x:row>
    <x:row r="2853" spans="1:16">
      <x:c r="A2853" s="0" t="s">
        <x:v>11252</x:v>
      </x:c>
      <x:c r="B2853" s="0" t="s">
        <x:v>11253</x:v>
      </x:c>
      <x:c r="C2853" s="0" t="s">
        <x:v>11254</x:v>
      </x:c>
      <x:c r="E2853" s="0" t="s">
        <x:v>11255</x:v>
      </x:c>
      <x:c r="F2853" s="0" t="s">
        <x:v>45</x:v>
      </x:c>
      <x:c r="G2853" s="0" t="s">
        <x:v>19</x:v>
      </x:c>
      <x:c r="H2853" s="0" t="s">
        <x:v>20</x:v>
      </x:c>
      <x:c r="I2853" s="0" t="s">
        <x:v>21</x:v>
      </x:c>
      <x:c r="K2853" s="0">
        <x:f>hyperlink("https://icd.who.int/dev11/l-ichi/en#/http%3A%2F%2Fid.who.int%2Ficd%2Fentity%2F1814666278","browser")</x:f>
      </x:c>
      <x:c r="L2853" s="0">
        <x:f>hyperlink("https://icat2.azurewebsites.net/icat/?ontology=ICD&amp;tab=ClassesTab&amp;id=http%3A%2F%2Fwho.int%2Ficd%2312255_512ebf36_bf6b_4d70_85da_cf2637062af4","iCat")</x:f>
      </x:c>
      <x:c r="M2853" s="0" t="s">
        <x:v>21</x:v>
      </x:c>
      <x:c r="N2853" s="0" t="s">
        <x:v>46</x:v>
      </x:c>
    </x:row>
    <x:row r="2854" spans="1:16">
      <x:c r="A2854" s="0" t="s">
        <x:v>11256</x:v>
      </x:c>
      <x:c r="B2854" s="0" t="s">
        <x:v>11257</x:v>
      </x:c>
      <x:c r="C2854" s="0" t="s">
        <x:v>11258</x:v>
      </x:c>
      <x:c r="E2854" s="0" t="s">
        <x:v>11259</x:v>
      </x:c>
      <x:c r="F2854" s="0" t="s">
        <x:v>45</x:v>
      </x:c>
      <x:c r="G2854" s="0" t="s">
        <x:v>19</x:v>
      </x:c>
      <x:c r="H2854" s="0" t="s">
        <x:v>20</x:v>
      </x:c>
      <x:c r="I2854" s="0" t="s">
        <x:v>21</x:v>
      </x:c>
      <x:c r="K2854" s="0">
        <x:f>hyperlink("https://icd.who.int/dev11/l-ichi/en#/http%3A%2F%2Fid.who.int%2Ficd%2Fentity%2F2095252880","browser")</x:f>
      </x:c>
      <x:c r="L2854" s="0">
        <x:f>hyperlink("https://icat2.azurewebsites.net/icat/?ontology=ICD&amp;tab=ClassesTab&amp;id=http%3A%2F%2Fwho.int%2Ficd%2312263_512ebf36_bf6b_4d70_85da_cf2637062af4","iCat")</x:f>
      </x:c>
      <x:c r="M2854" s="0" t="s">
        <x:v>21</x:v>
      </x:c>
      <x:c r="N2854" s="0" t="s">
        <x:v>46</x:v>
      </x:c>
    </x:row>
    <x:row r="2855" spans="1:16">
      <x:c r="A2855" s="0" t="s">
        <x:v>11260</x:v>
      </x:c>
      <x:c r="B2855" s="0" t="s">
        <x:v>11261</x:v>
      </x:c>
      <x:c r="C2855" s="0" t="s">
        <x:v>11262</x:v>
      </x:c>
      <x:c r="E2855" s="0" t="s">
        <x:v>11263</x:v>
      </x:c>
      <x:c r="F2855" s="0" t="s">
        <x:v>45</x:v>
      </x:c>
      <x:c r="G2855" s="0" t="s">
        <x:v>19</x:v>
      </x:c>
      <x:c r="H2855" s="0" t="s">
        <x:v>20</x:v>
      </x:c>
      <x:c r="I2855" s="0" t="s">
        <x:v>21</x:v>
      </x:c>
      <x:c r="K2855" s="0">
        <x:f>hyperlink("https://icd.who.int/dev11/l-ichi/en#/http%3A%2F%2Fid.who.int%2Ficd%2Fentity%2F1935314178","browser")</x:f>
      </x:c>
      <x:c r="L2855" s="0">
        <x:f>hyperlink("https://icat2.azurewebsites.net/icat/?ontology=ICD&amp;tab=ClassesTab&amp;id=http%3A%2F%2Fwho.int%2Ficd%2312271_512ebf36_bf6b_4d70_85da_cf2637062af4","iCat")</x:f>
      </x:c>
      <x:c r="M2855" s="0" t="s">
        <x:v>21</x:v>
      </x:c>
      <x:c r="N2855" s="0" t="s">
        <x:v>46</x:v>
      </x:c>
    </x:row>
    <x:row r="2856" spans="1:16">
      <x:c r="A2856" s="0" t="s">
        <x:v>11264</x:v>
      </x:c>
      <x:c r="B2856" s="0" t="s">
        <x:v>11265</x:v>
      </x:c>
      <x:c r="C2856" s="0" t="s">
        <x:v>11266</x:v>
      </x:c>
      <x:c r="E2856" s="0" t="s">
        <x:v>11267</x:v>
      </x:c>
      <x:c r="F2856" s="0" t="s">
        <x:v>45</x:v>
      </x:c>
      <x:c r="G2856" s="0" t="s">
        <x:v>19</x:v>
      </x:c>
      <x:c r="H2856" s="0" t="s">
        <x:v>20</x:v>
      </x:c>
      <x:c r="I2856" s="0" t="s">
        <x:v>21</x:v>
      </x:c>
      <x:c r="K2856" s="0">
        <x:f>hyperlink("https://icd.who.int/dev11/l-ichi/en#/http%3A%2F%2Fid.who.int%2Ficd%2Fentity%2F2084877794","browser")</x:f>
      </x:c>
      <x:c r="L2856" s="0">
        <x:f>hyperlink("https://icat2.azurewebsites.net/icat/?ontology=ICD&amp;tab=ClassesTab&amp;id=http%3A%2F%2Fwho.int%2Ficd%2312280_512ebf36_bf6b_4d70_85da_cf2637062af4","iCat")</x:f>
      </x:c>
      <x:c r="M2856" s="0" t="s">
        <x:v>21</x:v>
      </x:c>
      <x:c r="N2856" s="0" t="s">
        <x:v>46</x:v>
      </x:c>
    </x:row>
    <x:row r="2857" spans="1:16">
      <x:c r="A2857" s="0" t="s">
        <x:v>11268</x:v>
      </x:c>
      <x:c r="B2857" s="0" t="s">
        <x:v>11269</x:v>
      </x:c>
      <x:c r="C2857" s="0" t="s">
        <x:v>11270</x:v>
      </x:c>
      <x:c r="E2857" s="0" t="s">
        <x:v>11271</x:v>
      </x:c>
      <x:c r="F2857" s="0" t="s">
        <x:v>45</x:v>
      </x:c>
      <x:c r="G2857" s="0" t="s">
        <x:v>19</x:v>
      </x:c>
      <x:c r="H2857" s="0" t="s">
        <x:v>20</x:v>
      </x:c>
      <x:c r="I2857" s="0" t="s">
        <x:v>21</x:v>
      </x:c>
      <x:c r="K2857" s="0">
        <x:f>hyperlink("https://icd.who.int/dev11/l-ichi/en#/http%3A%2F%2Fid.who.int%2Ficd%2Fentity%2F214310509","browser")</x:f>
      </x:c>
      <x:c r="L2857" s="0">
        <x:f>hyperlink("https://icat2.azurewebsites.net/icat/?ontology=ICD&amp;tab=ClassesTab&amp;id=http%3A%2F%2Fwho.int%2Ficd%2312287_512ebf36_bf6b_4d70_85da_cf2637062af4","iCat")</x:f>
      </x:c>
      <x:c r="M2857" s="0" t="s">
        <x:v>21</x:v>
      </x:c>
      <x:c r="N2857" s="0" t="s">
        <x:v>46</x:v>
      </x:c>
    </x:row>
    <x:row r="2858" spans="1:16">
      <x:c r="A2858" s="0" t="s">
        <x:v>11272</x:v>
      </x:c>
      <x:c r="B2858" s="0" t="s">
        <x:v>11273</x:v>
      </x:c>
      <x:c r="C2858" s="0" t="s">
        <x:v>11274</x:v>
      </x:c>
      <x:c r="E2858" s="0" t="s">
        <x:v>11275</x:v>
      </x:c>
      <x:c r="F2858" s="0" t="s">
        <x:v>45</x:v>
      </x:c>
      <x:c r="G2858" s="0" t="s">
        <x:v>19</x:v>
      </x:c>
      <x:c r="H2858" s="0" t="s">
        <x:v>20</x:v>
      </x:c>
      <x:c r="I2858" s="0" t="s">
        <x:v>21</x:v>
      </x:c>
      <x:c r="K2858" s="0">
        <x:f>hyperlink("https://icd.who.int/dev11/l-ichi/en#/http%3A%2F%2Fid.who.int%2Ficd%2Fentity%2F596042947","browser")</x:f>
      </x:c>
      <x:c r="L2858" s="0">
        <x:f>hyperlink("https://icat2.azurewebsites.net/icat/?ontology=ICD&amp;tab=ClassesTab&amp;id=http%3A%2F%2Fwho.int%2Ficd%2312294_512ebf36_bf6b_4d70_85da_cf2637062af4","iCat")</x:f>
      </x:c>
      <x:c r="M2858" s="0" t="s">
        <x:v>21</x:v>
      </x:c>
      <x:c r="N2858" s="0" t="s">
        <x:v>46</x:v>
      </x:c>
    </x:row>
    <x:row r="2859" spans="1:16">
      <x:c r="A2859" s="0" t="s">
        <x:v>11276</x:v>
      </x:c>
      <x:c r="B2859" s="0" t="s">
        <x:v>11277</x:v>
      </x:c>
      <x:c r="C2859" s="0" t="s">
        <x:v>11278</x:v>
      </x:c>
      <x:c r="E2859" s="0" t="s">
        <x:v>11279</x:v>
      </x:c>
      <x:c r="F2859" s="0" t="s">
        <x:v>45</x:v>
      </x:c>
      <x:c r="G2859" s="0" t="s">
        <x:v>19</x:v>
      </x:c>
      <x:c r="H2859" s="0" t="s">
        <x:v>20</x:v>
      </x:c>
      <x:c r="I2859" s="0" t="s">
        <x:v>21</x:v>
      </x:c>
      <x:c r="K2859" s="0">
        <x:f>hyperlink("https://icd.who.int/dev11/l-ichi/en#/http%3A%2F%2Fid.who.int%2Ficd%2Fentity%2F907237509","browser")</x:f>
      </x:c>
      <x:c r="L2859" s="0">
        <x:f>hyperlink("https://icat2.azurewebsites.net/icat/?ontology=ICD&amp;tab=ClassesTab&amp;id=http%3A%2F%2Fwho.int%2Ficd%2312301_512ebf36_bf6b_4d70_85da_cf2637062af4","iCat")</x:f>
      </x:c>
      <x:c r="M2859" s="0" t="s">
        <x:v>21</x:v>
      </x:c>
      <x:c r="N2859" s="0" t="s">
        <x:v>46</x:v>
      </x:c>
    </x:row>
    <x:row r="2860" spans="1:16">
      <x:c r="A2860" s="0" t="s">
        <x:v>11280</x:v>
      </x:c>
      <x:c r="B2860" s="0" t="s">
        <x:v>11281</x:v>
      </x:c>
      <x:c r="C2860" s="0" t="s">
        <x:v>11282</x:v>
      </x:c>
      <x:c r="E2860" s="0" t="s">
        <x:v>11283</x:v>
      </x:c>
      <x:c r="F2860" s="0" t="s">
        <x:v>45</x:v>
      </x:c>
      <x:c r="G2860" s="0" t="s">
        <x:v>19</x:v>
      </x:c>
      <x:c r="H2860" s="0" t="s">
        <x:v>20</x:v>
      </x:c>
      <x:c r="I2860" s="0" t="s">
        <x:v>21</x:v>
      </x:c>
      <x:c r="K2860" s="0">
        <x:f>hyperlink("https://icd.who.int/dev11/l-ichi/en#/http%3A%2F%2Fid.who.int%2Ficd%2Fentity%2F1718124852","browser")</x:f>
      </x:c>
      <x:c r="L2860" s="0">
        <x:f>hyperlink("https://icat2.azurewebsites.net/icat/?ontology=ICD&amp;tab=ClassesTab&amp;id=http%3A%2F%2Fwho.int%2Ficd%2312307_512ebf36_bf6b_4d70_85da_cf2637062af4","iCat")</x:f>
      </x:c>
      <x:c r="M2860" s="0" t="s">
        <x:v>21</x:v>
      </x:c>
      <x:c r="N2860" s="0" t="s">
        <x:v>46</x:v>
      </x:c>
    </x:row>
    <x:row r="2861" spans="1:16">
      <x:c r="A2861" s="0" t="s">
        <x:v>11284</x:v>
      </x:c>
      <x:c r="B2861" s="0" t="s">
        <x:v>11285</x:v>
      </x:c>
      <x:c r="C2861" s="0" t="s">
        <x:v>11286</x:v>
      </x:c>
      <x:c r="E2861" s="0" t="s">
        <x:v>11287</x:v>
      </x:c>
      <x:c r="F2861" s="0" t="s">
        <x:v>45</x:v>
      </x:c>
      <x:c r="G2861" s="0" t="s">
        <x:v>19</x:v>
      </x:c>
      <x:c r="H2861" s="0" t="s">
        <x:v>20</x:v>
      </x:c>
      <x:c r="I2861" s="0" t="s">
        <x:v>21</x:v>
      </x:c>
      <x:c r="K2861" s="0">
        <x:f>hyperlink("https://icd.who.int/dev11/l-ichi/en#/http%3A%2F%2Fid.who.int%2Ficd%2Fentity%2F1149638566","browser")</x:f>
      </x:c>
      <x:c r="L2861" s="0">
        <x:f>hyperlink("https://icat2.azurewebsites.net/icat/?ontology=ICD&amp;tab=ClassesTab&amp;id=http%3A%2F%2Fwho.int%2Ficd%2356_e9bf9ac7_0f21_4391_8ab3_5944290f317a","iCat")</x:f>
      </x:c>
      <x:c r="M2861" s="0" t="s">
        <x:v>21</x:v>
      </x:c>
      <x:c r="N2861" s="0" t="s">
        <x:v>46</x:v>
      </x:c>
    </x:row>
    <x:row r="2862" spans="1:16">
      <x:c r="A2862" s="0" t="s">
        <x:v>11288</x:v>
      </x:c>
      <x:c r="B2862" s="0" t="s">
        <x:v>11289</x:v>
      </x:c>
      <x:c r="C2862" s="0" t="s">
        <x:v>11290</x:v>
      </x:c>
      <x:c r="E2862" s="0" t="s">
        <x:v>11291</x:v>
      </x:c>
      <x:c r="F2862" s="0" t="s">
        <x:v>45</x:v>
      </x:c>
      <x:c r="G2862" s="0" t="s">
        <x:v>19</x:v>
      </x:c>
      <x:c r="H2862" s="0" t="s">
        <x:v>20</x:v>
      </x:c>
      <x:c r="I2862" s="0" t="s">
        <x:v>21</x:v>
      </x:c>
      <x:c r="K2862" s="0">
        <x:f>hyperlink("https://icd.who.int/dev11/l-ichi/en#/http%3A%2F%2Fid.who.int%2Ficd%2Fentity%2F967495703","browser")</x:f>
      </x:c>
      <x:c r="L2862" s="0">
        <x:f>hyperlink("https://icat2.azurewebsites.net/icat/?ontology=ICD&amp;tab=ClassesTab&amp;id=http%3A%2F%2Fwho.int%2Ficd%2312313_512ebf36_bf6b_4d70_85da_cf2637062af4","iCat")</x:f>
      </x:c>
      <x:c r="M2862" s="0" t="s">
        <x:v>21</x:v>
      </x:c>
      <x:c r="N2862" s="0" t="s">
        <x:v>46</x:v>
      </x:c>
    </x:row>
    <x:row r="2863" spans="1:16">
      <x:c r="A2863" s="0" t="s">
        <x:v>11292</x:v>
      </x:c>
      <x:c r="B2863" s="0" t="s">
        <x:v>11293</x:v>
      </x:c>
      <x:c r="C2863" s="0" t="s">
        <x:v>11294</x:v>
      </x:c>
      <x:c r="E2863" s="0" t="s">
        <x:v>11295</x:v>
      </x:c>
      <x:c r="F2863" s="0" t="s">
        <x:v>45</x:v>
      </x:c>
      <x:c r="G2863" s="0" t="s">
        <x:v>19</x:v>
      </x:c>
      <x:c r="H2863" s="0" t="s">
        <x:v>20</x:v>
      </x:c>
      <x:c r="I2863" s="0" t="s">
        <x:v>21</x:v>
      </x:c>
      <x:c r="K2863" s="0">
        <x:f>hyperlink("https://icd.who.int/dev11/l-ichi/en#/http%3A%2F%2Fid.who.int%2Ficd%2Fentity%2F1017053161","browser")</x:f>
      </x:c>
      <x:c r="L2863" s="0">
        <x:f>hyperlink("https://icat2.azurewebsites.net/icat/?ontology=ICD&amp;tab=ClassesTab&amp;id=http%3A%2F%2Fwho.int%2Ficd%2312320_512ebf36_bf6b_4d70_85da_cf2637062af4","iCat")</x:f>
      </x:c>
      <x:c r="M2863" s="0" t="s">
        <x:v>21</x:v>
      </x:c>
      <x:c r="N2863" s="0" t="s">
        <x:v>46</x:v>
      </x:c>
    </x:row>
    <x:row r="2864" spans="1:16">
      <x:c r="A2864" s="0" t="s">
        <x:v>11296</x:v>
      </x:c>
      <x:c r="B2864" s="0" t="s">
        <x:v>11297</x:v>
      </x:c>
      <x:c r="C2864" s="0" t="s">
        <x:v>11298</x:v>
      </x:c>
      <x:c r="E2864" s="0" t="s">
        <x:v>11299</x:v>
      </x:c>
      <x:c r="F2864" s="0" t="s">
        <x:v>45</x:v>
      </x:c>
      <x:c r="G2864" s="0" t="s">
        <x:v>19</x:v>
      </x:c>
      <x:c r="H2864" s="0" t="s">
        <x:v>20</x:v>
      </x:c>
      <x:c r="I2864" s="0" t="s">
        <x:v>21</x:v>
      </x:c>
      <x:c r="K2864" s="0">
        <x:f>hyperlink("https://icd.who.int/dev11/l-ichi/en#/http%3A%2F%2Fid.who.int%2Ficd%2Fentity%2F1448831680","browser")</x:f>
      </x:c>
      <x:c r="L2864" s="0">
        <x:f>hyperlink("https://icat2.azurewebsites.net/icat/?ontology=ICD&amp;tab=ClassesTab&amp;id=http%3A%2F%2Fwho.int%2Ficd%2312330_512ebf36_bf6b_4d70_85da_cf2637062af4","iCat")</x:f>
      </x:c>
      <x:c r="M2864" s="0" t="s">
        <x:v>21</x:v>
      </x:c>
      <x:c r="N2864" s="0" t="s">
        <x:v>46</x:v>
      </x:c>
    </x:row>
    <x:row r="2865" spans="1:16">
      <x:c r="A2865" s="0" t="s">
        <x:v>11300</x:v>
      </x:c>
      <x:c r="B2865" s="0" t="s">
        <x:v>11301</x:v>
      </x:c>
      <x:c r="C2865" s="0" t="s">
        <x:v>11302</x:v>
      </x:c>
      <x:c r="E2865" s="0" t="s">
        <x:v>11303</x:v>
      </x:c>
      <x:c r="F2865" s="0" t="s">
        <x:v>45</x:v>
      </x:c>
      <x:c r="G2865" s="0" t="s">
        <x:v>19</x:v>
      </x:c>
      <x:c r="H2865" s="0" t="s">
        <x:v>20</x:v>
      </x:c>
      <x:c r="I2865" s="0" t="s">
        <x:v>21</x:v>
      </x:c>
      <x:c r="K2865" s="0">
        <x:f>hyperlink("https://icd.who.int/dev11/l-ichi/en#/http%3A%2F%2Fid.who.int%2Ficd%2Fentity%2F671877361","browser")</x:f>
      </x:c>
      <x:c r="L2865" s="0">
        <x:f>hyperlink("https://icat2.azurewebsites.net/icat/?ontology=ICD&amp;tab=ClassesTab&amp;id=http%3A%2F%2Fwho.int%2Ficd%2312348_512ebf36_bf6b_4d70_85da_cf2637062af4","iCat")</x:f>
      </x:c>
      <x:c r="M2865" s="0" t="s">
        <x:v>21</x:v>
      </x:c>
      <x:c r="N2865" s="0" t="s">
        <x:v>46</x:v>
      </x:c>
    </x:row>
    <x:row r="2866" spans="1:16">
      <x:c r="A2866" s="0" t="s">
        <x:v>11304</x:v>
      </x:c>
      <x:c r="B2866" s="0" t="s">
        <x:v>11305</x:v>
      </x:c>
      <x:c r="C2866" s="0" t="s">
        <x:v>11306</x:v>
      </x:c>
      <x:c r="E2866" s="0" t="s">
        <x:v>11307</x:v>
      </x:c>
      <x:c r="F2866" s="0" t="s">
        <x:v>45</x:v>
      </x:c>
      <x:c r="G2866" s="0" t="s">
        <x:v>19</x:v>
      </x:c>
      <x:c r="H2866" s="0" t="s">
        <x:v>20</x:v>
      </x:c>
      <x:c r="I2866" s="0" t="s">
        <x:v>21</x:v>
      </x:c>
      <x:c r="K2866" s="0">
        <x:f>hyperlink("https://icd.who.int/dev11/l-ichi/en#/http%3A%2F%2Fid.who.int%2Ficd%2Fentity%2F961489031","browser")</x:f>
      </x:c>
      <x:c r="L2866" s="0">
        <x:f>hyperlink("https://icat2.azurewebsites.net/icat/?ontology=ICD&amp;tab=ClassesTab&amp;id=http%3A%2F%2Fwho.int%2Ficd%2312354_512ebf36_bf6b_4d70_85da_cf2637062af4","iCat")</x:f>
      </x:c>
      <x:c r="M2866" s="0" t="s">
        <x:v>21</x:v>
      </x:c>
      <x:c r="N2866" s="0" t="s">
        <x:v>46</x:v>
      </x:c>
    </x:row>
    <x:row r="2867" spans="1:16">
      <x:c r="A2867" s="0" t="s">
        <x:v>11308</x:v>
      </x:c>
      <x:c r="B2867" s="0" t="s">
        <x:v>11309</x:v>
      </x:c>
      <x:c r="C2867" s="0" t="s">
        <x:v>11310</x:v>
      </x:c>
      <x:c r="E2867" s="0" t="s">
        <x:v>11311</x:v>
      </x:c>
      <x:c r="F2867" s="0" t="s">
        <x:v>45</x:v>
      </x:c>
      <x:c r="G2867" s="0" t="s">
        <x:v>19</x:v>
      </x:c>
      <x:c r="H2867" s="0" t="s">
        <x:v>20</x:v>
      </x:c>
      <x:c r="I2867" s="0" t="s">
        <x:v>21</x:v>
      </x:c>
      <x:c r="K2867" s="0">
        <x:f>hyperlink("https://icd.who.int/dev11/l-ichi/en#/http%3A%2F%2Fid.who.int%2Ficd%2Fentity%2F696627505","browser")</x:f>
      </x:c>
      <x:c r="L2867" s="0">
        <x:f>hyperlink("https://icat2.azurewebsites.net/icat/?ontology=ICD&amp;tab=ClassesTab&amp;id=http%3A%2F%2Fwho.int%2Ficd%2312362_512ebf36_bf6b_4d70_85da_cf2637062af4","iCat")</x:f>
      </x:c>
      <x:c r="M2867" s="0" t="s">
        <x:v>21</x:v>
      </x:c>
      <x:c r="N2867" s="0" t="s">
        <x:v>46</x:v>
      </x:c>
    </x:row>
    <x:row r="2868" spans="1:16">
      <x:c r="A2868" s="0" t="s">
        <x:v>11312</x:v>
      </x:c>
      <x:c r="B2868" s="0" t="s">
        <x:v>11313</x:v>
      </x:c>
      <x:c r="C2868" s="0" t="s">
        <x:v>11314</x:v>
      </x:c>
      <x:c r="E2868" s="0" t="s">
        <x:v>11315</x:v>
      </x:c>
      <x:c r="F2868" s="0" t="s">
        <x:v>45</x:v>
      </x:c>
      <x:c r="G2868" s="0" t="s">
        <x:v>19</x:v>
      </x:c>
      <x:c r="H2868" s="0" t="s">
        <x:v>20</x:v>
      </x:c>
      <x:c r="I2868" s="0" t="s">
        <x:v>21</x:v>
      </x:c>
      <x:c r="K2868" s="0">
        <x:f>hyperlink("https://icd.who.int/dev11/l-ichi/en#/http%3A%2F%2Fid.who.int%2Ficd%2Fentity%2F41475489","browser")</x:f>
      </x:c>
      <x:c r="L2868" s="0">
        <x:f>hyperlink("https://icat2.azurewebsites.net/icat/?ontology=ICD&amp;tab=ClassesTab&amp;id=http%3A%2F%2Fwho.int%2Ficd%2312368_512ebf36_bf6b_4d70_85da_cf2637062af4","iCat")</x:f>
      </x:c>
      <x:c r="M2868" s="0" t="s">
        <x:v>21</x:v>
      </x:c>
      <x:c r="N2868" s="0" t="s">
        <x:v>46</x:v>
      </x:c>
    </x:row>
    <x:row r="2869" spans="1:16">
      <x:c r="A2869" s="0" t="s">
        <x:v>11316</x:v>
      </x:c>
      <x:c r="B2869" s="0" t="s">
        <x:v>11317</x:v>
      </x:c>
      <x:c r="C2869" s="0" t="s">
        <x:v>11318</x:v>
      </x:c>
      <x:c r="E2869" s="0" t="s">
        <x:v>11319</x:v>
      </x:c>
      <x:c r="F2869" s="0" t="s">
        <x:v>45</x:v>
      </x:c>
      <x:c r="G2869" s="0" t="s">
        <x:v>19</x:v>
      </x:c>
      <x:c r="H2869" s="0" t="s">
        <x:v>20</x:v>
      </x:c>
      <x:c r="I2869" s="0" t="s">
        <x:v>21</x:v>
      </x:c>
      <x:c r="K2869" s="0">
        <x:f>hyperlink("https://icd.who.int/dev11/l-ichi/en#/http%3A%2F%2Fid.who.int%2Ficd%2Fentity%2F1367962522","browser")</x:f>
      </x:c>
      <x:c r="L2869" s="0">
        <x:f>hyperlink("https://icat2.azurewebsites.net/icat/?ontology=ICD&amp;tab=ClassesTab&amp;id=http%3A%2F%2Fwho.int%2Ficd%23816_e9bf9ac7_0f21_4391_8ab3_5944290f317a","iCat")</x:f>
      </x:c>
      <x:c r="M2869" s="0" t="s">
        <x:v>21</x:v>
      </x:c>
      <x:c r="N2869" s="0" t="s">
        <x:v>46</x:v>
      </x:c>
    </x:row>
    <x:row r="2870" spans="1:16">
      <x:c r="A2870" s="0" t="s">
        <x:v>11320</x:v>
      </x:c>
      <x:c r="B2870" s="0" t="s">
        <x:v>11321</x:v>
      </x:c>
      <x:c r="C2870" s="0" t="s">
        <x:v>11322</x:v>
      </x:c>
      <x:c r="E2870" s="0" t="s">
        <x:v>11323</x:v>
      </x:c>
      <x:c r="F2870" s="0" t="s">
        <x:v>45</x:v>
      </x:c>
      <x:c r="G2870" s="0" t="s">
        <x:v>19</x:v>
      </x:c>
      <x:c r="H2870" s="0" t="s">
        <x:v>20</x:v>
      </x:c>
      <x:c r="I2870" s="0" t="s">
        <x:v>21</x:v>
      </x:c>
      <x:c r="K2870" s="0">
        <x:f>hyperlink("https://icd.who.int/dev11/l-ichi/en#/http%3A%2F%2Fid.who.int%2Ficd%2Fentity%2F1455329840","browser")</x:f>
      </x:c>
      <x:c r="L2870" s="0">
        <x:f>hyperlink("https://icat2.azurewebsites.net/icat/?ontology=ICD&amp;tab=ClassesTab&amp;id=http%3A%2F%2Fwho.int%2Ficd%2312377_512ebf36_bf6b_4d70_85da_cf2637062af4","iCat")</x:f>
      </x:c>
      <x:c r="M2870" s="0" t="s">
        <x:v>21</x:v>
      </x:c>
      <x:c r="N2870" s="0" t="s">
        <x:v>46</x:v>
      </x:c>
    </x:row>
    <x:row r="2871" spans="1:16">
      <x:c r="A2871" s="0" t="s">
        <x:v>11324</x:v>
      </x:c>
      <x:c r="B2871" s="0" t="s">
        <x:v>11325</x:v>
      </x:c>
      <x:c r="C2871" s="0" t="s">
        <x:v>11326</x:v>
      </x:c>
      <x:c r="E2871" s="0" t="s">
        <x:v>11327</x:v>
      </x:c>
      <x:c r="F2871" s="0" t="s">
        <x:v>45</x:v>
      </x:c>
      <x:c r="G2871" s="0" t="s">
        <x:v>19</x:v>
      </x:c>
      <x:c r="H2871" s="0" t="s">
        <x:v>20</x:v>
      </x:c>
      <x:c r="I2871" s="0" t="s">
        <x:v>21</x:v>
      </x:c>
      <x:c r="K2871" s="0">
        <x:f>hyperlink("https://icd.who.int/dev11/l-ichi/en#/http%3A%2F%2Fid.who.int%2Ficd%2Fentity%2F1281236100","browser")</x:f>
      </x:c>
      <x:c r="L2871" s="0">
        <x:f>hyperlink("https://icat2.azurewebsites.net/icat/?ontology=ICD&amp;tab=ClassesTab&amp;id=http%3A%2F%2Fwho.int%2Ficd%2312383_512ebf36_bf6b_4d70_85da_cf2637062af4","iCat")</x:f>
      </x:c>
      <x:c r="M2871" s="0" t="s">
        <x:v>21</x:v>
      </x:c>
      <x:c r="N2871" s="0" t="s">
        <x:v>46</x:v>
      </x:c>
    </x:row>
    <x:row r="2872" spans="1:16">
      <x:c r="A2872" s="0" t="s">
        <x:v>11328</x:v>
      </x:c>
      <x:c r="B2872" s="0" t="s">
        <x:v>11329</x:v>
      </x:c>
      <x:c r="C2872" s="0" t="s">
        <x:v>11330</x:v>
      </x:c>
      <x:c r="E2872" s="0" t="s">
        <x:v>11331</x:v>
      </x:c>
      <x:c r="F2872" s="0" t="s">
        <x:v>45</x:v>
      </x:c>
      <x:c r="G2872" s="0" t="s">
        <x:v>19</x:v>
      </x:c>
      <x:c r="H2872" s="0" t="s">
        <x:v>20</x:v>
      </x:c>
      <x:c r="I2872" s="0" t="s">
        <x:v>21</x:v>
      </x:c>
      <x:c r="K2872" s="0">
        <x:f>hyperlink("https://icd.who.int/dev11/l-ichi/en#/http%3A%2F%2Fid.who.int%2Ficd%2Fentity%2F1738764308","browser")</x:f>
      </x:c>
      <x:c r="L2872" s="0">
        <x:f>hyperlink("https://icat2.azurewebsites.net/icat/?ontology=ICD&amp;tab=ClassesTab&amp;id=http%3A%2F%2Fwho.int%2Ficd%2312389_512ebf36_bf6b_4d70_85da_cf2637062af4","iCat")</x:f>
      </x:c>
      <x:c r="M2872" s="0" t="s">
        <x:v>21</x:v>
      </x:c>
      <x:c r="N2872" s="0" t="s">
        <x:v>46</x:v>
      </x:c>
    </x:row>
    <x:row r="2873" spans="1:16">
      <x:c r="A2873" s="0" t="s">
        <x:v>11332</x:v>
      </x:c>
      <x:c r="B2873" s="0" t="s">
        <x:v>11333</x:v>
      </x:c>
      <x:c r="C2873" s="0" t="s">
        <x:v>11334</x:v>
      </x:c>
      <x:c r="E2873" s="0" t="s">
        <x:v>11335</x:v>
      </x:c>
      <x:c r="F2873" s="0" t="s">
        <x:v>45</x:v>
      </x:c>
      <x:c r="G2873" s="0" t="s">
        <x:v>19</x:v>
      </x:c>
      <x:c r="H2873" s="0" t="s">
        <x:v>20</x:v>
      </x:c>
      <x:c r="I2873" s="0" t="s">
        <x:v>21</x:v>
      </x:c>
      <x:c r="K2873" s="0">
        <x:f>hyperlink("https://icd.who.int/dev11/l-ichi/en#/http%3A%2F%2Fid.who.int%2Ficd%2Fentity%2F862273435","browser")</x:f>
      </x:c>
      <x:c r="L2873" s="0">
        <x:f>hyperlink("https://icat2.azurewebsites.net/icat/?ontology=ICD&amp;tab=ClassesTab&amp;id=http%3A%2F%2Fwho.int%2Ficd%2312396_512ebf36_bf6b_4d70_85da_cf2637062af4","iCat")</x:f>
      </x:c>
      <x:c r="M2873" s="0" t="s">
        <x:v>21</x:v>
      </x:c>
      <x:c r="N2873" s="0" t="s">
        <x:v>46</x:v>
      </x:c>
    </x:row>
    <x:row r="2874" spans="1:16">
      <x:c r="A2874" s="0" t="s">
        <x:v>11336</x:v>
      </x:c>
      <x:c r="B2874" s="0" t="s">
        <x:v>11337</x:v>
      </x:c>
      <x:c r="C2874" s="0" t="s">
        <x:v>11338</x:v>
      </x:c>
      <x:c r="E2874" s="0" t="s">
        <x:v>11339</x:v>
      </x:c>
      <x:c r="F2874" s="0" t="s">
        <x:v>45</x:v>
      </x:c>
      <x:c r="G2874" s="0" t="s">
        <x:v>19</x:v>
      </x:c>
      <x:c r="H2874" s="0" t="s">
        <x:v>20</x:v>
      </x:c>
      <x:c r="I2874" s="0" t="s">
        <x:v>21</x:v>
      </x:c>
      <x:c r="K2874" s="0">
        <x:f>hyperlink("https://icd.who.int/dev11/l-ichi/en#/http%3A%2F%2Fid.who.int%2Ficd%2Fentity%2F533176082","browser")</x:f>
      </x:c>
      <x:c r="L2874" s="0">
        <x:f>hyperlink("https://icat2.azurewebsites.net/icat/?ontology=ICD&amp;tab=ClassesTab&amp;id=http%3A%2F%2Fwho.int%2Ficd%2312402_512ebf36_bf6b_4d70_85da_cf2637062af4","iCat")</x:f>
      </x:c>
      <x:c r="M2874" s="0" t="s">
        <x:v>21</x:v>
      </x:c>
      <x:c r="N2874" s="0" t="s">
        <x:v>46</x:v>
      </x:c>
    </x:row>
    <x:row r="2875" spans="1:16">
      <x:c r="A2875" s="0" t="s">
        <x:v>11340</x:v>
      </x:c>
      <x:c r="B2875" s="0" t="s">
        <x:v>11341</x:v>
      </x:c>
      <x:c r="C2875" s="0" t="s">
        <x:v>11342</x:v>
      </x:c>
      <x:c r="E2875" s="0" t="s">
        <x:v>11343</x:v>
      </x:c>
      <x:c r="F2875" s="0" t="s">
        <x:v>45</x:v>
      </x:c>
      <x:c r="G2875" s="0" t="s">
        <x:v>19</x:v>
      </x:c>
      <x:c r="H2875" s="0" t="s">
        <x:v>20</x:v>
      </x:c>
      <x:c r="I2875" s="0" t="s">
        <x:v>21</x:v>
      </x:c>
      <x:c r="K2875" s="0">
        <x:f>hyperlink("https://icd.who.int/dev11/l-ichi/en#/http%3A%2F%2Fid.who.int%2Ficd%2Fentity%2F348357052","browser")</x:f>
      </x:c>
      <x:c r="L2875" s="0">
        <x:f>hyperlink("https://icat2.azurewebsites.net/icat/?ontology=ICD&amp;tab=ClassesTab&amp;id=http%3A%2F%2Fwho.int%2Ficd%2312409_512ebf36_bf6b_4d70_85da_cf2637062af4","iCat")</x:f>
      </x:c>
      <x:c r="M2875" s="0" t="s">
        <x:v>21</x:v>
      </x:c>
      <x:c r="N2875" s="0" t="s">
        <x:v>46</x:v>
      </x:c>
    </x:row>
    <x:row r="2876" spans="1:16">
      <x:c r="A2876" s="0" t="s">
        <x:v>11344</x:v>
      </x:c>
      <x:c r="B2876" s="0" t="s">
        <x:v>11345</x:v>
      </x:c>
      <x:c r="C2876" s="0" t="s">
        <x:v>11346</x:v>
      </x:c>
      <x:c r="E2876" s="0" t="s">
        <x:v>11347</x:v>
      </x:c>
      <x:c r="F2876" s="0" t="s">
        <x:v>45</x:v>
      </x:c>
      <x:c r="G2876" s="0" t="s">
        <x:v>19</x:v>
      </x:c>
      <x:c r="H2876" s="0" t="s">
        <x:v>20</x:v>
      </x:c>
      <x:c r="I2876" s="0" t="s">
        <x:v>21</x:v>
      </x:c>
      <x:c r="K2876" s="0">
        <x:f>hyperlink("https://icd.who.int/dev11/l-ichi/en#/http%3A%2F%2Fid.who.int%2Ficd%2Fentity%2F1318816798","browser")</x:f>
      </x:c>
      <x:c r="L2876" s="0">
        <x:f>hyperlink("https://icat2.azurewebsites.net/icat/?ontology=ICD&amp;tab=ClassesTab&amp;id=http%3A%2F%2Fwho.int%2Ficd%2390_fdfbe215_099f_43a9_be44_e4f78deaea50","iCat")</x:f>
      </x:c>
      <x:c r="M2876" s="0" t="s">
        <x:v>21</x:v>
      </x:c>
      <x:c r="N2876" s="0" t="s">
        <x:v>46</x:v>
      </x:c>
    </x:row>
    <x:row r="2877" spans="1:16">
      <x:c r="A2877" s="0" t="s">
        <x:v>11348</x:v>
      </x:c>
      <x:c r="B2877" s="0" t="s">
        <x:v>11349</x:v>
      </x:c>
      <x:c r="C2877" s="0" t="s">
        <x:v>11350</x:v>
      </x:c>
      <x:c r="E2877" s="0" t="s">
        <x:v>11351</x:v>
      </x:c>
      <x:c r="F2877" s="0" t="s">
        <x:v>45</x:v>
      </x:c>
      <x:c r="G2877" s="0" t="s">
        <x:v>19</x:v>
      </x:c>
      <x:c r="H2877" s="0" t="s">
        <x:v>20</x:v>
      </x:c>
      <x:c r="I2877" s="0" t="s">
        <x:v>21</x:v>
      </x:c>
      <x:c r="K2877" s="0">
        <x:f>hyperlink("https://icd.who.int/dev11/l-ichi/en#/http%3A%2F%2Fid.who.int%2Ficd%2Fentity%2F92316108","browser")</x:f>
      </x:c>
      <x:c r="L2877" s="0">
        <x:f>hyperlink("https://icat2.azurewebsites.net/icat/?ontology=ICD&amp;tab=ClassesTab&amp;id=http%3A%2F%2Fwho.int%2Ficd%2312415_512ebf36_bf6b_4d70_85da_cf2637062af4","iCat")</x:f>
      </x:c>
      <x:c r="M2877" s="0" t="s">
        <x:v>21</x:v>
      </x:c>
      <x:c r="N2877" s="0" t="s">
        <x:v>46</x:v>
      </x:c>
    </x:row>
    <x:row r="2878" spans="1:16">
      <x:c r="A2878" s="0" t="s">
        <x:v>11352</x:v>
      </x:c>
      <x:c r="B2878" s="0" t="s">
        <x:v>11353</x:v>
      </x:c>
      <x:c r="C2878" s="0" t="s">
        <x:v>11354</x:v>
      </x:c>
      <x:c r="E2878" s="0" t="s">
        <x:v>11355</x:v>
      </x:c>
      <x:c r="F2878" s="0" t="s">
        <x:v>45</x:v>
      </x:c>
      <x:c r="G2878" s="0" t="s">
        <x:v>19</x:v>
      </x:c>
      <x:c r="H2878" s="0" t="s">
        <x:v>20</x:v>
      </x:c>
      <x:c r="I2878" s="0" t="s">
        <x:v>21</x:v>
      </x:c>
      <x:c r="K2878" s="0">
        <x:f>hyperlink("https://icd.who.int/dev11/l-ichi/en#/http%3A%2F%2Fid.who.int%2Ficd%2Fentity%2F900942400","browser")</x:f>
      </x:c>
      <x:c r="L2878" s="0">
        <x:f>hyperlink("https://icat2.azurewebsites.net/icat/?ontology=ICD&amp;tab=ClassesTab&amp;id=http%3A%2F%2Fwho.int%2Ficd%2312422_512ebf36_bf6b_4d70_85da_cf2637062af4","iCat")</x:f>
      </x:c>
      <x:c r="M2878" s="0" t="s">
        <x:v>21</x:v>
      </x:c>
      <x:c r="N2878" s="0" t="s">
        <x:v>46</x:v>
      </x:c>
    </x:row>
    <x:row r="2879" spans="1:16">
      <x:c r="A2879" s="0" t="s">
        <x:v>11356</x:v>
      </x:c>
      <x:c r="B2879" s="0" t="s">
        <x:v>11357</x:v>
      </x:c>
      <x:c r="C2879" s="0" t="s">
        <x:v>11358</x:v>
      </x:c>
      <x:c r="E2879" s="0" t="s">
        <x:v>11359</x:v>
      </x:c>
      <x:c r="F2879" s="0" t="s">
        <x:v>45</x:v>
      </x:c>
      <x:c r="G2879" s="0" t="s">
        <x:v>19</x:v>
      </x:c>
      <x:c r="H2879" s="0" t="s">
        <x:v>20</x:v>
      </x:c>
      <x:c r="I2879" s="0" t="s">
        <x:v>21</x:v>
      </x:c>
      <x:c r="K2879" s="0">
        <x:f>hyperlink("https://icd.who.int/dev11/l-ichi/en#/http%3A%2F%2Fid.who.int%2Ficd%2Fentity%2F508438224","browser")</x:f>
      </x:c>
      <x:c r="L2879" s="0">
        <x:f>hyperlink("https://icat2.azurewebsites.net/icat/?ontology=ICD&amp;tab=ClassesTab&amp;id=http%3A%2F%2Fwho.int%2Ficd%2312428_512ebf36_bf6b_4d70_85da_cf2637062af4","iCat")</x:f>
      </x:c>
      <x:c r="M2879" s="0" t="s">
        <x:v>21</x:v>
      </x:c>
      <x:c r="N2879" s="0" t="s">
        <x:v>46</x:v>
      </x:c>
    </x:row>
    <x:row r="2880" spans="1:16">
      <x:c r="A2880" s="0" t="s">
        <x:v>11360</x:v>
      </x:c>
      <x:c r="B2880" s="0" t="s">
        <x:v>11361</x:v>
      </x:c>
      <x:c r="C2880" s="0" t="s">
        <x:v>11362</x:v>
      </x:c>
      <x:c r="E2880" s="0" t="s">
        <x:v>11363</x:v>
      </x:c>
      <x:c r="F2880" s="0" t="s">
        <x:v>45</x:v>
      </x:c>
      <x:c r="G2880" s="0" t="s">
        <x:v>19</x:v>
      </x:c>
      <x:c r="H2880" s="0" t="s">
        <x:v>20</x:v>
      </x:c>
      <x:c r="I2880" s="0" t="s">
        <x:v>21</x:v>
      </x:c>
      <x:c r="K2880" s="0">
        <x:f>hyperlink("https://icd.who.int/dev11/l-ichi/en#/http%3A%2F%2Fid.who.int%2Ficd%2Fentity%2F1785797475","browser")</x:f>
      </x:c>
      <x:c r="L2880" s="0">
        <x:f>hyperlink("https://icat2.azurewebsites.net/icat/?ontology=ICD&amp;tab=ClassesTab&amp;id=http%3A%2F%2Fwho.int%2Ficd%2312436_512ebf36_bf6b_4d70_85da_cf2637062af4","iCat")</x:f>
      </x:c>
      <x:c r="M2880" s="0" t="s">
        <x:v>21</x:v>
      </x:c>
      <x:c r="N2880" s="0" t="s">
        <x:v>46</x:v>
      </x:c>
    </x:row>
    <x:row r="2881" spans="1:16">
      <x:c r="A2881" s="0" t="s">
        <x:v>11364</x:v>
      </x:c>
      <x:c r="B2881" s="0" t="s">
        <x:v>11365</x:v>
      </x:c>
      <x:c r="C2881" s="0" t="s">
        <x:v>11366</x:v>
      </x:c>
      <x:c r="E2881" s="0" t="s">
        <x:v>11367</x:v>
      </x:c>
      <x:c r="F2881" s="0" t="s">
        <x:v>45</x:v>
      </x:c>
      <x:c r="G2881" s="0" t="s">
        <x:v>19</x:v>
      </x:c>
      <x:c r="H2881" s="0" t="s">
        <x:v>20</x:v>
      </x:c>
      <x:c r="I2881" s="0" t="s">
        <x:v>21</x:v>
      </x:c>
      <x:c r="K2881" s="0">
        <x:f>hyperlink("https://icd.who.int/dev11/l-ichi/en#/http%3A%2F%2Fid.who.int%2Ficd%2Fentity%2F1872808973","browser")</x:f>
      </x:c>
      <x:c r="L2881" s="0">
        <x:f>hyperlink("https://icat2.azurewebsites.net/icat/?ontology=ICD&amp;tab=ClassesTab&amp;id=http%3A%2F%2Fwho.int%2Ficd%2312442_512ebf36_bf6b_4d70_85da_cf2637062af4","iCat")</x:f>
      </x:c>
      <x:c r="M2881" s="0" t="s">
        <x:v>21</x:v>
      </x:c>
      <x:c r="N2881" s="0" t="s">
        <x:v>46</x:v>
      </x:c>
    </x:row>
    <x:row r="2882" spans="1:16">
      <x:c r="A2882" s="0" t="s">
        <x:v>11368</x:v>
      </x:c>
      <x:c r="B2882" s="0" t="s">
        <x:v>11369</x:v>
      </x:c>
      <x:c r="C2882" s="0" t="s">
        <x:v>11370</x:v>
      </x:c>
      <x:c r="E2882" s="0" t="s">
        <x:v>11371</x:v>
      </x:c>
      <x:c r="F2882" s="0" t="s">
        <x:v>45</x:v>
      </x:c>
      <x:c r="G2882" s="0" t="s">
        <x:v>19</x:v>
      </x:c>
      <x:c r="H2882" s="0" t="s">
        <x:v>20</x:v>
      </x:c>
      <x:c r="I2882" s="0" t="s">
        <x:v>21</x:v>
      </x:c>
      <x:c r="K2882" s="0">
        <x:f>hyperlink("https://icd.who.int/dev11/l-ichi/en#/http%3A%2F%2Fid.who.int%2Ficd%2Fentity%2F608172011","browser")</x:f>
      </x:c>
      <x:c r="L2882" s="0">
        <x:f>hyperlink("https://icat2.azurewebsites.net/icat/?ontology=ICD&amp;tab=ClassesTab&amp;id=http%3A%2F%2Fwho.int%2Ficd%23822_e9bf9ac7_0f21_4391_8ab3_5944290f317a","iCat")</x:f>
      </x:c>
      <x:c r="M2882" s="0" t="s">
        <x:v>21</x:v>
      </x:c>
      <x:c r="N2882" s="0" t="s">
        <x:v>46</x:v>
      </x:c>
    </x:row>
    <x:row r="2883" spans="1:16">
      <x:c r="A2883" s="0" t="s">
        <x:v>11372</x:v>
      </x:c>
      <x:c r="B2883" s="0" t="s">
        <x:v>11373</x:v>
      </x:c>
      <x:c r="C2883" s="0" t="s">
        <x:v>11374</x:v>
      </x:c>
      <x:c r="E2883" s="0" t="s">
        <x:v>11375</x:v>
      </x:c>
      <x:c r="F2883" s="0" t="s">
        <x:v>45</x:v>
      </x:c>
      <x:c r="G2883" s="0" t="s">
        <x:v>19</x:v>
      </x:c>
      <x:c r="H2883" s="0" t="s">
        <x:v>20</x:v>
      </x:c>
      <x:c r="I2883" s="0" t="s">
        <x:v>21</x:v>
      </x:c>
      <x:c r="K2883" s="0">
        <x:f>hyperlink("https://icd.who.int/dev11/l-ichi/en#/http%3A%2F%2Fid.who.int%2Ficd%2Fentity%2F1146986653","browser")</x:f>
      </x:c>
      <x:c r="L2883" s="0">
        <x:f>hyperlink("https://icat2.azurewebsites.net/icat/?ontology=ICD&amp;tab=ClassesTab&amp;id=http%3A%2F%2Fwho.int%2Ficd%2312448_512ebf36_bf6b_4d70_85da_cf2637062af4","iCat")</x:f>
      </x:c>
      <x:c r="M2883" s="0" t="s">
        <x:v>21</x:v>
      </x:c>
      <x:c r="N2883" s="0" t="s">
        <x:v>46</x:v>
      </x:c>
    </x:row>
    <x:row r="2884" spans="1:16">
      <x:c r="A2884" s="0" t="s">
        <x:v>11376</x:v>
      </x:c>
      <x:c r="B2884" s="0" t="s">
        <x:v>11377</x:v>
      </x:c>
      <x:c r="C2884" s="0" t="s">
        <x:v>11378</x:v>
      </x:c>
      <x:c r="E2884" s="0" t="s">
        <x:v>11379</x:v>
      </x:c>
      <x:c r="F2884" s="0" t="s">
        <x:v>45</x:v>
      </x:c>
      <x:c r="G2884" s="0" t="s">
        <x:v>19</x:v>
      </x:c>
      <x:c r="H2884" s="0" t="s">
        <x:v>20</x:v>
      </x:c>
      <x:c r="I2884" s="0" t="s">
        <x:v>21</x:v>
      </x:c>
      <x:c r="K2884" s="0">
        <x:f>hyperlink("https://icd.who.int/dev11/l-ichi/en#/http%3A%2F%2Fid.who.int%2Ficd%2Fentity%2F1428062443","browser")</x:f>
      </x:c>
      <x:c r="L2884" s="0">
        <x:f>hyperlink("https://icat2.azurewebsites.net/icat/?ontology=ICD&amp;tab=ClassesTab&amp;id=http%3A%2F%2Fwho.int%2Ficd%2312454_512ebf36_bf6b_4d70_85da_cf2637062af4","iCat")</x:f>
      </x:c>
      <x:c r="M2884" s="0" t="s">
        <x:v>21</x:v>
      </x:c>
      <x:c r="N2884" s="0" t="s">
        <x:v>46</x:v>
      </x:c>
    </x:row>
    <x:row r="2885" spans="1:16">
      <x:c r="A2885" s="0" t="s">
        <x:v>11380</x:v>
      </x:c>
      <x:c r="B2885" s="0" t="s">
        <x:v>11381</x:v>
      </x:c>
      <x:c r="C2885" s="0" t="s">
        <x:v>11382</x:v>
      </x:c>
      <x:c r="E2885" s="0" t="s">
        <x:v>11383</x:v>
      </x:c>
      <x:c r="F2885" s="0" t="s">
        <x:v>45</x:v>
      </x:c>
      <x:c r="G2885" s="0" t="s">
        <x:v>19</x:v>
      </x:c>
      <x:c r="H2885" s="0" t="s">
        <x:v>20</x:v>
      </x:c>
      <x:c r="I2885" s="0" t="s">
        <x:v>21</x:v>
      </x:c>
      <x:c r="K2885" s="0">
        <x:f>hyperlink("https://icd.who.int/dev11/l-ichi/en#/http%3A%2F%2Fid.who.int%2Ficd%2Fentity%2F5338790","browser")</x:f>
      </x:c>
      <x:c r="L2885" s="0">
        <x:f>hyperlink("https://icat2.azurewebsites.net/icat/?ontology=ICD&amp;tab=ClassesTab&amp;id=http%3A%2F%2Fwho.int%2Ficd%2312461_512ebf36_bf6b_4d70_85da_cf2637062af4","iCat")</x:f>
      </x:c>
      <x:c r="M2885" s="0" t="s">
        <x:v>21</x:v>
      </x:c>
      <x:c r="N2885" s="0" t="s">
        <x:v>46</x:v>
      </x:c>
    </x:row>
    <x:row r="2886" spans="1:16">
      <x:c r="A2886" s="0" t="s">
        <x:v>11384</x:v>
      </x:c>
      <x:c r="B2886" s="0" t="s">
        <x:v>11385</x:v>
      </x:c>
      <x:c r="C2886" s="0" t="s">
        <x:v>11386</x:v>
      </x:c>
      <x:c r="E2886" s="0" t="s">
        <x:v>11387</x:v>
      </x:c>
      <x:c r="F2886" s="0" t="s">
        <x:v>45</x:v>
      </x:c>
      <x:c r="G2886" s="0" t="s">
        <x:v>19</x:v>
      </x:c>
      <x:c r="H2886" s="0" t="s">
        <x:v>20</x:v>
      </x:c>
      <x:c r="I2886" s="0" t="s">
        <x:v>21</x:v>
      </x:c>
      <x:c r="K2886" s="0">
        <x:f>hyperlink("https://icd.who.int/dev11/l-ichi/en#/http%3A%2F%2Fid.who.int%2Ficd%2Fentity%2F1848210893","browser")</x:f>
      </x:c>
      <x:c r="L2886" s="0">
        <x:f>hyperlink("https://icat2.azurewebsites.net/icat/?ontology=ICD&amp;tab=ClassesTab&amp;id=http%3A%2F%2Fwho.int%2Ficd%2312468_512ebf36_bf6b_4d70_85da_cf2637062af4","iCat")</x:f>
      </x:c>
      <x:c r="M2886" s="0" t="s">
        <x:v>21</x:v>
      </x:c>
      <x:c r="N2886" s="0" t="s">
        <x:v>46</x:v>
      </x:c>
    </x:row>
    <x:row r="2887" spans="1:16">
      <x:c r="A2887" s="0" t="s">
        <x:v>11388</x:v>
      </x:c>
      <x:c r="B2887" s="0" t="s">
        <x:v>11389</x:v>
      </x:c>
      <x:c r="C2887" s="0" t="s">
        <x:v>11390</x:v>
      </x:c>
      <x:c r="E2887" s="0" t="s">
        <x:v>11391</x:v>
      </x:c>
      <x:c r="F2887" s="0" t="s">
        <x:v>45</x:v>
      </x:c>
      <x:c r="G2887" s="0" t="s">
        <x:v>19</x:v>
      </x:c>
      <x:c r="H2887" s="0" t="s">
        <x:v>20</x:v>
      </x:c>
      <x:c r="I2887" s="0" t="s">
        <x:v>21</x:v>
      </x:c>
      <x:c r="K2887" s="0">
        <x:f>hyperlink("https://icd.who.int/dev11/l-ichi/en#/http%3A%2F%2Fid.who.int%2Ficd%2Fentity%2F1603479431","browser")</x:f>
      </x:c>
      <x:c r="L2887" s="0">
        <x:f>hyperlink("https://icat2.azurewebsites.net/icat/?ontology=ICD&amp;tab=ClassesTab&amp;id=http%3A%2F%2Fwho.int%2Ficd%2312475_512ebf36_bf6b_4d70_85da_cf2637062af4","iCat")</x:f>
      </x:c>
      <x:c r="M2887" s="0" t="s">
        <x:v>21</x:v>
      </x:c>
      <x:c r="N2887" s="0" t="s">
        <x:v>46</x:v>
      </x:c>
    </x:row>
    <x:row r="2888" spans="1:16">
      <x:c r="A2888" s="0" t="s">
        <x:v>11392</x:v>
      </x:c>
      <x:c r="B2888" s="0" t="s">
        <x:v>11393</x:v>
      </x:c>
      <x:c r="C2888" s="0" t="s">
        <x:v>11394</x:v>
      </x:c>
      <x:c r="E2888" s="0" t="s">
        <x:v>11395</x:v>
      </x:c>
      <x:c r="F2888" s="0" t="s">
        <x:v>45</x:v>
      </x:c>
      <x:c r="G2888" s="0" t="s">
        <x:v>19</x:v>
      </x:c>
      <x:c r="H2888" s="0" t="s">
        <x:v>20</x:v>
      </x:c>
      <x:c r="I2888" s="0" t="s">
        <x:v>21</x:v>
      </x:c>
      <x:c r="K2888" s="0">
        <x:f>hyperlink("https://icd.who.int/dev11/l-ichi/en#/http%3A%2F%2Fid.who.int%2Ficd%2Fentity%2F1165207853","browser")</x:f>
      </x:c>
      <x:c r="L2888" s="0">
        <x:f>hyperlink("https://icat2.azurewebsites.net/icat/?ontology=ICD&amp;tab=ClassesTab&amp;id=http%3A%2F%2Fwho.int%2Ficd%2312481_512ebf36_bf6b_4d70_85da_cf2637062af4","iCat")</x:f>
      </x:c>
      <x:c r="M2888" s="0" t="s">
        <x:v>21</x:v>
      </x:c>
      <x:c r="N2888" s="0" t="s">
        <x:v>46</x:v>
      </x:c>
    </x:row>
    <x:row r="2889" spans="1:16">
      <x:c r="A2889" s="0" t="s">
        <x:v>11396</x:v>
      </x:c>
      <x:c r="B2889" s="0" t="s">
        <x:v>11397</x:v>
      </x:c>
      <x:c r="C2889" s="0" t="s">
        <x:v>11398</x:v>
      </x:c>
      <x:c r="E2889" s="0" t="s">
        <x:v>11399</x:v>
      </x:c>
      <x:c r="F2889" s="0" t="s">
        <x:v>45</x:v>
      </x:c>
      <x:c r="G2889" s="0" t="s">
        <x:v>19</x:v>
      </x:c>
      <x:c r="H2889" s="0" t="s">
        <x:v>20</x:v>
      </x:c>
      <x:c r="I2889" s="0" t="s">
        <x:v>21</x:v>
      </x:c>
      <x:c r="K2889" s="0">
        <x:f>hyperlink("https://icd.who.int/dev11/l-ichi/en#/http%3A%2F%2Fid.who.int%2Ficd%2Fentity%2F722184772","browser")</x:f>
      </x:c>
      <x:c r="L2889" s="0">
        <x:f>hyperlink("https://icat2.azurewebsites.net/icat/?ontology=ICD&amp;tab=ClassesTab&amp;id=http%3A%2F%2Fwho.int%2Ficd%2312488_512ebf36_bf6b_4d70_85da_cf2637062af4","iCat")</x:f>
      </x:c>
      <x:c r="M2889" s="0" t="s">
        <x:v>21</x:v>
      </x:c>
      <x:c r="N2889" s="0" t="s">
        <x:v>46</x:v>
      </x:c>
    </x:row>
    <x:row r="2890" spans="1:16">
      <x:c r="A2890" s="0" t="s">
        <x:v>11400</x:v>
      </x:c>
      <x:c r="B2890" s="0" t="s">
        <x:v>11401</x:v>
      </x:c>
      <x:c r="C2890" s="0" t="s">
        <x:v>11402</x:v>
      </x:c>
      <x:c r="E2890" s="0" t="s">
        <x:v>11403</x:v>
      </x:c>
      <x:c r="F2890" s="0" t="s">
        <x:v>45</x:v>
      </x:c>
      <x:c r="G2890" s="0" t="s">
        <x:v>19</x:v>
      </x:c>
      <x:c r="H2890" s="0" t="s">
        <x:v>20</x:v>
      </x:c>
      <x:c r="I2890" s="0" t="s">
        <x:v>21</x:v>
      </x:c>
      <x:c r="K2890" s="0">
        <x:f>hyperlink("https://icd.who.int/dev11/l-ichi/en#/http%3A%2F%2Fid.who.int%2Ficd%2Fentity%2F1597282295","browser")</x:f>
      </x:c>
      <x:c r="L2890" s="0">
        <x:f>hyperlink("https://icat2.azurewebsites.net/icat/?ontology=ICD&amp;tab=ClassesTab&amp;id=http%3A%2F%2Fwho.int%2Ficd%2312496_512ebf36_bf6b_4d70_85da_cf2637062af4","iCat")</x:f>
      </x:c>
      <x:c r="M2890" s="0" t="s">
        <x:v>21</x:v>
      </x:c>
      <x:c r="N2890" s="0" t="s">
        <x:v>46</x:v>
      </x:c>
    </x:row>
    <x:row r="2891" spans="1:16">
      <x:c r="A2891" s="0" t="s">
        <x:v>11404</x:v>
      </x:c>
      <x:c r="B2891" s="0" t="s">
        <x:v>11405</x:v>
      </x:c>
      <x:c r="C2891" s="0" t="s">
        <x:v>11406</x:v>
      </x:c>
      <x:c r="E2891" s="0" t="s">
        <x:v>11407</x:v>
      </x:c>
      <x:c r="F2891" s="0" t="s">
        <x:v>45</x:v>
      </x:c>
      <x:c r="G2891" s="0" t="s">
        <x:v>19</x:v>
      </x:c>
      <x:c r="H2891" s="0" t="s">
        <x:v>20</x:v>
      </x:c>
      <x:c r="I2891" s="0" t="s">
        <x:v>21</x:v>
      </x:c>
      <x:c r="K2891" s="0">
        <x:f>hyperlink("https://icd.who.int/dev11/l-ichi/en#/http%3A%2F%2Fid.who.int%2Ficd%2Fentity%2F1252076465","browser")</x:f>
      </x:c>
      <x:c r="L2891" s="0">
        <x:f>hyperlink("https://icat2.azurewebsites.net/icat/?ontology=ICD&amp;tab=ClassesTab&amp;id=http%3A%2F%2Fwho.int%2Ficd%2312503_512ebf36_bf6b_4d70_85da_cf2637062af4","iCat")</x:f>
      </x:c>
      <x:c r="M2891" s="0" t="s">
        <x:v>21</x:v>
      </x:c>
      <x:c r="N2891" s="0" t="s">
        <x:v>46</x:v>
      </x:c>
    </x:row>
    <x:row r="2892" spans="1:16">
      <x:c r="A2892" s="0" t="s">
        <x:v>11408</x:v>
      </x:c>
      <x:c r="B2892" s="0" t="s">
        <x:v>11409</x:v>
      </x:c>
      <x:c r="C2892" s="0" t="s">
        <x:v>11410</x:v>
      </x:c>
      <x:c r="E2892" s="0" t="s">
        <x:v>11411</x:v>
      </x:c>
      <x:c r="F2892" s="0" t="s">
        <x:v>45</x:v>
      </x:c>
      <x:c r="G2892" s="0" t="s">
        <x:v>19</x:v>
      </x:c>
      <x:c r="H2892" s="0" t="s">
        <x:v>20</x:v>
      </x:c>
      <x:c r="I2892" s="0" t="s">
        <x:v>21</x:v>
      </x:c>
      <x:c r="K2892" s="0">
        <x:f>hyperlink("https://icd.who.int/dev11/l-ichi/en#/http%3A%2F%2Fid.who.int%2Ficd%2Fentity%2F1709297951","browser")</x:f>
      </x:c>
      <x:c r="L2892" s="0">
        <x:f>hyperlink("https://icat2.azurewebsites.net/icat/?ontology=ICD&amp;tab=ClassesTab&amp;id=http%3A%2F%2Fwho.int%2Ficd%2312510_512ebf36_bf6b_4d70_85da_cf2637062af4","iCat")</x:f>
      </x:c>
      <x:c r="M2892" s="0" t="s">
        <x:v>21</x:v>
      </x:c>
      <x:c r="N2892" s="0" t="s">
        <x:v>46</x:v>
      </x:c>
    </x:row>
    <x:row r="2893" spans="1:16">
      <x:c r="A2893" s="0" t="s">
        <x:v>11412</x:v>
      </x:c>
      <x:c r="B2893" s="0" t="s">
        <x:v>11413</x:v>
      </x:c>
      <x:c r="C2893" s="0" t="s">
        <x:v>11414</x:v>
      </x:c>
      <x:c r="E2893" s="0" t="s">
        <x:v>11415</x:v>
      </x:c>
      <x:c r="F2893" s="0" t="s">
        <x:v>45</x:v>
      </x:c>
      <x:c r="G2893" s="0" t="s">
        <x:v>19</x:v>
      </x:c>
      <x:c r="H2893" s="0" t="s">
        <x:v>20</x:v>
      </x:c>
      <x:c r="I2893" s="0" t="s">
        <x:v>21</x:v>
      </x:c>
      <x:c r="K2893" s="0">
        <x:f>hyperlink("https://icd.who.int/dev11/l-ichi/en#/http%3A%2F%2Fid.who.int%2Ficd%2Fentity%2F518018479","browser")</x:f>
      </x:c>
      <x:c r="L2893" s="0">
        <x:f>hyperlink("https://icat2.azurewebsites.net/icat/?ontology=ICD&amp;tab=ClassesTab&amp;id=http%3A%2F%2Fwho.int%2Ficd%2396_fdfbe215_099f_43a9_be44_e4f78deaea50","iCat")</x:f>
      </x:c>
      <x:c r="M2893" s="0" t="s">
        <x:v>21</x:v>
      </x:c>
      <x:c r="N2893" s="0" t="s">
        <x:v>46</x:v>
      </x:c>
    </x:row>
    <x:row r="2894" spans="1:16">
      <x:c r="A2894" s="0" t="s">
        <x:v>11416</x:v>
      </x:c>
      <x:c r="B2894" s="0" t="s">
        <x:v>11417</x:v>
      </x:c>
      <x:c r="C2894" s="0" t="s">
        <x:v>11418</x:v>
      </x:c>
      <x:c r="E2894" s="0" t="s">
        <x:v>11419</x:v>
      </x:c>
      <x:c r="F2894" s="0" t="s">
        <x:v>45</x:v>
      </x:c>
      <x:c r="G2894" s="0" t="s">
        <x:v>19</x:v>
      </x:c>
      <x:c r="H2894" s="0" t="s">
        <x:v>20</x:v>
      </x:c>
      <x:c r="I2894" s="0" t="s">
        <x:v>21</x:v>
      </x:c>
      <x:c r="K2894" s="0">
        <x:f>hyperlink("https://icd.who.int/dev11/l-ichi/en#/http%3A%2F%2Fid.who.int%2Ficd%2Fentity%2F358840980","browser")</x:f>
      </x:c>
      <x:c r="L2894" s="0">
        <x:f>hyperlink("https://icat2.azurewebsites.net/icat/?ontology=ICD&amp;tab=ClassesTab&amp;id=http%3A%2F%2Fwho.int%2Ficd%2312517_512ebf36_bf6b_4d70_85da_cf2637062af4","iCat")</x:f>
      </x:c>
      <x:c r="M2894" s="0" t="s">
        <x:v>21</x:v>
      </x:c>
      <x:c r="N2894" s="0" t="s">
        <x:v>46</x:v>
      </x:c>
    </x:row>
    <x:row r="2895" spans="1:16">
      <x:c r="A2895" s="0" t="s">
        <x:v>11420</x:v>
      </x:c>
      <x:c r="B2895" s="0" t="s">
        <x:v>11421</x:v>
      </x:c>
      <x:c r="C2895" s="0" t="s">
        <x:v>11422</x:v>
      </x:c>
      <x:c r="E2895" s="0" t="s">
        <x:v>11423</x:v>
      </x:c>
      <x:c r="F2895" s="0" t="s">
        <x:v>45</x:v>
      </x:c>
      <x:c r="G2895" s="0" t="s">
        <x:v>19</x:v>
      </x:c>
      <x:c r="H2895" s="0" t="s">
        <x:v>20</x:v>
      </x:c>
      <x:c r="I2895" s="0" t="s">
        <x:v>21</x:v>
      </x:c>
      <x:c r="K2895" s="0">
        <x:f>hyperlink("https://icd.who.int/dev11/l-ichi/en#/http%3A%2F%2Fid.who.int%2Ficd%2Fentity%2F1624637153","browser")</x:f>
      </x:c>
      <x:c r="L2895" s="0">
        <x:f>hyperlink("https://icat2.azurewebsites.net/icat/?ontology=ICD&amp;tab=ClassesTab&amp;id=http%3A%2F%2Fwho.int%2Ficd%2312523_512ebf36_bf6b_4d70_85da_cf2637062af4","iCat")</x:f>
      </x:c>
      <x:c r="M2895" s="0" t="s">
        <x:v>21</x:v>
      </x:c>
      <x:c r="N2895" s="0" t="s">
        <x:v>46</x:v>
      </x:c>
    </x:row>
    <x:row r="2896" spans="1:16">
      <x:c r="A2896" s="0" t="s">
        <x:v>11424</x:v>
      </x:c>
      <x:c r="B2896" s="0" t="s">
        <x:v>11425</x:v>
      </x:c>
      <x:c r="C2896" s="0" t="s">
        <x:v>11426</x:v>
      </x:c>
      <x:c r="E2896" s="0" t="s">
        <x:v>11427</x:v>
      </x:c>
      <x:c r="F2896" s="0" t="s">
        <x:v>45</x:v>
      </x:c>
      <x:c r="G2896" s="0" t="s">
        <x:v>19</x:v>
      </x:c>
      <x:c r="H2896" s="0" t="s">
        <x:v>20</x:v>
      </x:c>
      <x:c r="I2896" s="0" t="s">
        <x:v>21</x:v>
      </x:c>
      <x:c r="K2896" s="0">
        <x:f>hyperlink("https://icd.who.int/dev11/l-ichi/en#/http%3A%2F%2Fid.who.int%2Ficd%2Fentity%2F168848312","browser")</x:f>
      </x:c>
      <x:c r="L2896" s="0">
        <x:f>hyperlink("https://icat2.azurewebsites.net/icat/?ontology=ICD&amp;tab=ClassesTab&amp;id=http%3A%2F%2Fwho.int%2Ficd%2312533_512ebf36_bf6b_4d70_85da_cf2637062af4","iCat")</x:f>
      </x:c>
      <x:c r="M2896" s="0" t="s">
        <x:v>21</x:v>
      </x:c>
      <x:c r="N2896" s="0" t="s">
        <x:v>46</x:v>
      </x:c>
    </x:row>
    <x:row r="2897" spans="1:16">
      <x:c r="A2897" s="0" t="s">
        <x:v>11428</x:v>
      </x:c>
      <x:c r="B2897" s="0" t="s">
        <x:v>11429</x:v>
      </x:c>
      <x:c r="C2897" s="0" t="s">
        <x:v>11430</x:v>
      </x:c>
      <x:c r="E2897" s="0" t="s">
        <x:v>11431</x:v>
      </x:c>
      <x:c r="F2897" s="0" t="s">
        <x:v>45</x:v>
      </x:c>
      <x:c r="G2897" s="0" t="s">
        <x:v>19</x:v>
      </x:c>
      <x:c r="H2897" s="0" t="s">
        <x:v>20</x:v>
      </x:c>
      <x:c r="I2897" s="0" t="s">
        <x:v>21</x:v>
      </x:c>
      <x:c r="K2897" s="0">
        <x:f>hyperlink("https://icd.who.int/dev11/l-ichi/en#/http%3A%2F%2Fid.who.int%2Ficd%2Fentity%2F2135103317","browser")</x:f>
      </x:c>
      <x:c r="L2897" s="0">
        <x:f>hyperlink("https://icat2.azurewebsites.net/icat/?ontology=ICD&amp;tab=ClassesTab&amp;id=http%3A%2F%2Fwho.int%2Ficd%2312540_512ebf36_bf6b_4d70_85da_cf2637062af4","iCat")</x:f>
      </x:c>
      <x:c r="M2897" s="0" t="s">
        <x:v>21</x:v>
      </x:c>
      <x:c r="N2897" s="0" t="s">
        <x:v>46</x:v>
      </x:c>
    </x:row>
    <x:row r="2898" spans="1:16">
      <x:c r="A2898" s="0" t="s">
        <x:v>11432</x:v>
      </x:c>
      <x:c r="B2898" s="0" t="s">
        <x:v>11433</x:v>
      </x:c>
      <x:c r="C2898" s="0" t="s">
        <x:v>11434</x:v>
      </x:c>
      <x:c r="E2898" s="0" t="s">
        <x:v>11435</x:v>
      </x:c>
      <x:c r="F2898" s="0" t="s">
        <x:v>45</x:v>
      </x:c>
      <x:c r="G2898" s="0" t="s">
        <x:v>19</x:v>
      </x:c>
      <x:c r="H2898" s="0" t="s">
        <x:v>20</x:v>
      </x:c>
      <x:c r="I2898" s="0" t="s">
        <x:v>21</x:v>
      </x:c>
      <x:c r="K2898" s="0">
        <x:f>hyperlink("https://icd.who.int/dev11/l-ichi/en#/http%3A%2F%2Fid.who.int%2Ficd%2Fentity%2F264412027","browser")</x:f>
      </x:c>
      <x:c r="L2898" s="0">
        <x:f>hyperlink("https://icat2.azurewebsites.net/icat/?ontology=ICD&amp;tab=ClassesTab&amp;id=http%3A%2F%2Fwho.int%2Ficd%23828_e9bf9ac7_0f21_4391_8ab3_5944290f317a","iCat")</x:f>
      </x:c>
      <x:c r="M2898" s="0" t="s">
        <x:v>21</x:v>
      </x:c>
      <x:c r="N2898" s="0" t="s">
        <x:v>46</x:v>
      </x:c>
    </x:row>
    <x:row r="2899" spans="1:16">
      <x:c r="A2899" s="0" t="s">
        <x:v>11436</x:v>
      </x:c>
      <x:c r="B2899" s="0" t="s">
        <x:v>11437</x:v>
      </x:c>
      <x:c r="C2899" s="0" t="s">
        <x:v>11438</x:v>
      </x:c>
      <x:c r="E2899" s="0" t="s">
        <x:v>11439</x:v>
      </x:c>
      <x:c r="F2899" s="0" t="s">
        <x:v>45</x:v>
      </x:c>
      <x:c r="G2899" s="0" t="s">
        <x:v>19</x:v>
      </x:c>
      <x:c r="H2899" s="0" t="s">
        <x:v>20</x:v>
      </x:c>
      <x:c r="I2899" s="0" t="s">
        <x:v>21</x:v>
      </x:c>
      <x:c r="K2899" s="0">
        <x:f>hyperlink("https://icd.who.int/dev11/l-ichi/en#/http%3A%2F%2Fid.who.int%2Ficd%2Fentity%2F289084476","browser")</x:f>
      </x:c>
      <x:c r="L2899" s="0">
        <x:f>hyperlink("https://icat2.azurewebsites.net/icat/?ontology=ICD&amp;tab=ClassesTab&amp;id=http%3A%2F%2Fwho.int%2Ficd%2312549_512ebf36_bf6b_4d70_85da_cf2637062af4","iCat")</x:f>
      </x:c>
      <x:c r="M2899" s="0" t="s">
        <x:v>21</x:v>
      </x:c>
      <x:c r="N2899" s="0" t="s">
        <x:v>46</x:v>
      </x:c>
    </x:row>
    <x:row r="2900" spans="1:16">
      <x:c r="A2900" s="0" t="s">
        <x:v>11440</x:v>
      </x:c>
      <x:c r="B2900" s="0" t="s">
        <x:v>11441</x:v>
      </x:c>
      <x:c r="C2900" s="0" t="s">
        <x:v>11442</x:v>
      </x:c>
      <x:c r="E2900" s="0" t="s">
        <x:v>11443</x:v>
      </x:c>
      <x:c r="F2900" s="0" t="s">
        <x:v>45</x:v>
      </x:c>
      <x:c r="G2900" s="0" t="s">
        <x:v>19</x:v>
      </x:c>
      <x:c r="H2900" s="0" t="s">
        <x:v>20</x:v>
      </x:c>
      <x:c r="I2900" s="0" t="s">
        <x:v>21</x:v>
      </x:c>
      <x:c r="K2900" s="0">
        <x:f>hyperlink("https://icd.who.int/dev11/l-ichi/en#/http%3A%2F%2Fid.who.int%2Ficd%2Fentity%2F1527247703","browser")</x:f>
      </x:c>
      <x:c r="L2900" s="0">
        <x:f>hyperlink("https://icat2.azurewebsites.net/icat/?ontology=ICD&amp;tab=ClassesTab&amp;id=http%3A%2F%2Fwho.int%2Ficd%2312558_512ebf36_bf6b_4d70_85da_cf2637062af4","iCat")</x:f>
      </x:c>
      <x:c r="M2900" s="0" t="s">
        <x:v>21</x:v>
      </x:c>
      <x:c r="N2900" s="0" t="s">
        <x:v>46</x:v>
      </x:c>
    </x:row>
    <x:row r="2901" spans="1:16">
      <x:c r="A2901" s="0" t="s">
        <x:v>11444</x:v>
      </x:c>
      <x:c r="B2901" s="0" t="s">
        <x:v>11445</x:v>
      </x:c>
      <x:c r="C2901" s="0" t="s">
        <x:v>11446</x:v>
      </x:c>
      <x:c r="E2901" s="0" t="s">
        <x:v>11447</x:v>
      </x:c>
      <x:c r="F2901" s="0" t="s">
        <x:v>45</x:v>
      </x:c>
      <x:c r="G2901" s="0" t="s">
        <x:v>19</x:v>
      </x:c>
      <x:c r="H2901" s="0" t="s">
        <x:v>20</x:v>
      </x:c>
      <x:c r="I2901" s="0" t="s">
        <x:v>21</x:v>
      </x:c>
      <x:c r="K2901" s="0">
        <x:f>hyperlink("https://icd.who.int/dev11/l-ichi/en#/http%3A%2F%2Fid.who.int%2Ficd%2Fentity%2F1613760113","browser")</x:f>
      </x:c>
      <x:c r="L2901" s="0">
        <x:f>hyperlink("https://icat2.azurewebsites.net/icat/?ontology=ICD&amp;tab=ClassesTab&amp;id=http%3A%2F%2Fwho.int%2Ficd%2312564_512ebf36_bf6b_4d70_85da_cf2637062af4","iCat")</x:f>
      </x:c>
      <x:c r="M2901" s="0" t="s">
        <x:v>21</x:v>
      </x:c>
      <x:c r="N2901" s="0" t="s">
        <x:v>46</x:v>
      </x:c>
    </x:row>
    <x:row r="2902" spans="1:16">
      <x:c r="A2902" s="0" t="s">
        <x:v>11448</x:v>
      </x:c>
      <x:c r="B2902" s="0" t="s">
        <x:v>11449</x:v>
      </x:c>
      <x:c r="C2902" s="0" t="s">
        <x:v>11450</x:v>
      </x:c>
      <x:c r="E2902" s="0" t="s">
        <x:v>11451</x:v>
      </x:c>
      <x:c r="F2902" s="0" t="s">
        <x:v>45</x:v>
      </x:c>
      <x:c r="G2902" s="0" t="s">
        <x:v>19</x:v>
      </x:c>
      <x:c r="H2902" s="0" t="s">
        <x:v>20</x:v>
      </x:c>
      <x:c r="I2902" s="0" t="s">
        <x:v>21</x:v>
      </x:c>
      <x:c r="K2902" s="0">
        <x:f>hyperlink("https://icd.who.int/dev11/l-ichi/en#/http%3A%2F%2Fid.who.int%2Ficd%2Fentity%2F1072846674","browser")</x:f>
      </x:c>
      <x:c r="L2902" s="0">
        <x:f>hyperlink("https://icat2.azurewebsites.net/icat/?ontology=ICD&amp;tab=ClassesTab&amp;id=http%3A%2F%2Fwho.int%2Ficd%2312570_512ebf36_bf6b_4d70_85da_cf2637062af4","iCat")</x:f>
      </x:c>
      <x:c r="M2902" s="0" t="s">
        <x:v>21</x:v>
      </x:c>
      <x:c r="N2902" s="0" t="s">
        <x:v>46</x:v>
      </x:c>
    </x:row>
    <x:row r="2903" spans="1:16">
      <x:c r="A2903" s="0" t="s">
        <x:v>11452</x:v>
      </x:c>
      <x:c r="B2903" s="0" t="s">
        <x:v>11453</x:v>
      </x:c>
      <x:c r="C2903" s="0" t="s">
        <x:v>11454</x:v>
      </x:c>
      <x:c r="E2903" s="0" t="s">
        <x:v>11455</x:v>
      </x:c>
      <x:c r="F2903" s="0" t="s">
        <x:v>45</x:v>
      </x:c>
      <x:c r="G2903" s="0" t="s">
        <x:v>19</x:v>
      </x:c>
      <x:c r="H2903" s="0" t="s">
        <x:v>20</x:v>
      </x:c>
      <x:c r="I2903" s="0" t="s">
        <x:v>21</x:v>
      </x:c>
      <x:c r="K2903" s="0">
        <x:f>hyperlink("https://icd.who.int/dev11/l-ichi/en#/http%3A%2F%2Fid.who.int%2Ficd%2Fentity%2F1871285987","browser")</x:f>
      </x:c>
      <x:c r="L2903" s="0">
        <x:f>hyperlink("https://icat2.azurewebsites.net/icat/?ontology=ICD&amp;tab=ClassesTab&amp;id=http%3A%2F%2Fwho.int%2Ficd%2312576_512ebf36_bf6b_4d70_85da_cf2637062af4","iCat")</x:f>
      </x:c>
      <x:c r="M2903" s="0" t="s">
        <x:v>21</x:v>
      </x:c>
      <x:c r="N2903" s="0" t="s">
        <x:v>46</x:v>
      </x:c>
    </x:row>
    <x:row r="2904" spans="1:16">
      <x:c r="A2904" s="0" t="s">
        <x:v>11456</x:v>
      </x:c>
      <x:c r="B2904" s="0" t="s">
        <x:v>11457</x:v>
      </x:c>
      <x:c r="C2904" s="0" t="s">
        <x:v>11458</x:v>
      </x:c>
      <x:c r="E2904" s="0" t="s">
        <x:v>11459</x:v>
      </x:c>
      <x:c r="F2904" s="0" t="s">
        <x:v>45</x:v>
      </x:c>
      <x:c r="G2904" s="0" t="s">
        <x:v>19</x:v>
      </x:c>
      <x:c r="H2904" s="0" t="s">
        <x:v>20</x:v>
      </x:c>
      <x:c r="I2904" s="0" t="s">
        <x:v>21</x:v>
      </x:c>
      <x:c r="K2904" s="0">
        <x:f>hyperlink("https://icd.who.int/dev11/l-ichi/en#/http%3A%2F%2Fid.who.int%2Ficd%2Fentity%2F1044185547","browser")</x:f>
      </x:c>
      <x:c r="L2904" s="0">
        <x:f>hyperlink("https://icat2.azurewebsites.net/icat/?ontology=ICD&amp;tab=ClassesTab&amp;id=http%3A%2F%2Fwho.int%2Ficd%23112_fdfbe215_099f_43a9_be44_e4f78deaea50","iCat")</x:f>
      </x:c>
      <x:c r="M2904" s="0" t="s">
        <x:v>21</x:v>
      </x:c>
      <x:c r="N2904" s="0" t="s">
        <x:v>46</x:v>
      </x:c>
    </x:row>
    <x:row r="2905" spans="1:16">
      <x:c r="A2905" s="0" t="s">
        <x:v>11460</x:v>
      </x:c>
      <x:c r="B2905" s="0" t="s">
        <x:v>11461</x:v>
      </x:c>
      <x:c r="C2905" s="0" t="s">
        <x:v>11462</x:v>
      </x:c>
      <x:c r="E2905" s="0" t="s">
        <x:v>11463</x:v>
      </x:c>
      <x:c r="F2905" s="0" t="s">
        <x:v>45</x:v>
      </x:c>
      <x:c r="G2905" s="0" t="s">
        <x:v>19</x:v>
      </x:c>
      <x:c r="H2905" s="0" t="s">
        <x:v>20</x:v>
      </x:c>
      <x:c r="I2905" s="0" t="s">
        <x:v>21</x:v>
      </x:c>
      <x:c r="K2905" s="0">
        <x:f>hyperlink("https://icd.who.int/dev11/l-ichi/en#/http%3A%2F%2Fid.who.int%2Ficd%2Fentity%2F99331012","browser")</x:f>
      </x:c>
      <x:c r="L2905" s="0">
        <x:f>hyperlink("https://icat2.azurewebsites.net/icat/?ontology=ICD&amp;tab=ClassesTab&amp;id=http%3A%2F%2Fwho.int%2Ficd%2312585_512ebf36_bf6b_4d70_85da_cf2637062af4","iCat")</x:f>
      </x:c>
      <x:c r="M2905" s="0" t="s">
        <x:v>21</x:v>
      </x:c>
      <x:c r="N2905" s="0" t="s">
        <x:v>46</x:v>
      </x:c>
    </x:row>
    <x:row r="2906" spans="1:16">
      <x:c r="A2906" s="0" t="s">
        <x:v>11464</x:v>
      </x:c>
      <x:c r="B2906" s="0" t="s">
        <x:v>11465</x:v>
      </x:c>
      <x:c r="C2906" s="0" t="s">
        <x:v>11466</x:v>
      </x:c>
      <x:c r="E2906" s="0" t="s">
        <x:v>11467</x:v>
      </x:c>
      <x:c r="F2906" s="0" t="s">
        <x:v>45</x:v>
      </x:c>
      <x:c r="G2906" s="0" t="s">
        <x:v>19</x:v>
      </x:c>
      <x:c r="H2906" s="0" t="s">
        <x:v>20</x:v>
      </x:c>
      <x:c r="I2906" s="0" t="s">
        <x:v>21</x:v>
      </x:c>
      <x:c r="K2906" s="0">
        <x:f>hyperlink("https://icd.who.int/dev11/l-ichi/en#/http%3A%2F%2Fid.who.int%2Ficd%2Fentity%2F1062594340","browser")</x:f>
      </x:c>
      <x:c r="L2906" s="0">
        <x:f>hyperlink("https://icat2.azurewebsites.net/icat/?ontology=ICD&amp;tab=ClassesTab&amp;id=http%3A%2F%2Fwho.int%2Ficd%2312593_512ebf36_bf6b_4d70_85da_cf2637062af4","iCat")</x:f>
      </x:c>
      <x:c r="M2906" s="0" t="s">
        <x:v>21</x:v>
      </x:c>
      <x:c r="N2906" s="0" t="s">
        <x:v>46</x:v>
      </x:c>
    </x:row>
    <x:row r="2907" spans="1:16">
      <x:c r="A2907" s="0" t="s">
        <x:v>11468</x:v>
      </x:c>
      <x:c r="B2907" s="0" t="s">
        <x:v>11469</x:v>
      </x:c>
      <x:c r="C2907" s="0" t="s">
        <x:v>11470</x:v>
      </x:c>
      <x:c r="E2907" s="0" t="s">
        <x:v>11471</x:v>
      </x:c>
      <x:c r="F2907" s="0" t="s">
        <x:v>45</x:v>
      </x:c>
      <x:c r="G2907" s="0" t="s">
        <x:v>19</x:v>
      </x:c>
      <x:c r="H2907" s="0" t="s">
        <x:v>20</x:v>
      </x:c>
      <x:c r="I2907" s="0" t="s">
        <x:v>21</x:v>
      </x:c>
      <x:c r="K2907" s="0">
        <x:f>hyperlink("https://icd.who.int/dev11/l-ichi/en#/http%3A%2F%2Fid.who.int%2Ficd%2Fentity%2F185069012","browser")</x:f>
      </x:c>
      <x:c r="L2907" s="0">
        <x:f>hyperlink("https://icat2.azurewebsites.net/icat/?ontology=ICD&amp;tab=ClassesTab&amp;id=http%3A%2F%2Fwho.int%2Ficd%2312602_512ebf36_bf6b_4d70_85da_cf2637062af4","iCat")</x:f>
      </x:c>
      <x:c r="M2907" s="0" t="s">
        <x:v>21</x:v>
      </x:c>
      <x:c r="N2907" s="0" t="s">
        <x:v>46</x:v>
      </x:c>
    </x:row>
    <x:row r="2908" spans="1:16">
      <x:c r="A2908" s="0" t="s">
        <x:v>11472</x:v>
      </x:c>
      <x:c r="B2908" s="0" t="s">
        <x:v>11473</x:v>
      </x:c>
      <x:c r="C2908" s="0" t="s">
        <x:v>11474</x:v>
      </x:c>
      <x:c r="E2908" s="0" t="s">
        <x:v>11475</x:v>
      </x:c>
      <x:c r="F2908" s="0" t="s">
        <x:v>45</x:v>
      </x:c>
      <x:c r="G2908" s="0" t="s">
        <x:v>19</x:v>
      </x:c>
      <x:c r="H2908" s="0" t="s">
        <x:v>20</x:v>
      </x:c>
      <x:c r="I2908" s="0" t="s">
        <x:v>21</x:v>
      </x:c>
      <x:c r="K2908" s="0">
        <x:f>hyperlink("https://icd.who.int/dev11/l-ichi/en#/http%3A%2F%2Fid.who.int%2Ficd%2Fentity%2F258938","browser")</x:f>
      </x:c>
      <x:c r="L2908" s="0">
        <x:f>hyperlink("https://icat2.azurewebsites.net/icat/?ontology=ICD&amp;tab=ClassesTab&amp;id=http%3A%2F%2Fwho.int%2Ficd%2312609_512ebf36_bf6b_4d70_85da_cf2637062af4","iCat")</x:f>
      </x:c>
      <x:c r="M2908" s="0" t="s">
        <x:v>21</x:v>
      </x:c>
      <x:c r="N2908" s="0" t="s">
        <x:v>46</x:v>
      </x:c>
    </x:row>
    <x:row r="2909" spans="1:16">
      <x:c r="A2909" s="0" t="s">
        <x:v>11476</x:v>
      </x:c>
      <x:c r="B2909" s="0" t="s">
        <x:v>11477</x:v>
      </x:c>
      <x:c r="C2909" s="0" t="s">
        <x:v>11478</x:v>
      </x:c>
      <x:c r="E2909" s="0" t="s">
        <x:v>11479</x:v>
      </x:c>
      <x:c r="F2909" s="0" t="s">
        <x:v>45</x:v>
      </x:c>
      <x:c r="G2909" s="0" t="s">
        <x:v>19</x:v>
      </x:c>
      <x:c r="H2909" s="0" t="s">
        <x:v>20</x:v>
      </x:c>
      <x:c r="I2909" s="0" t="s">
        <x:v>21</x:v>
      </x:c>
      <x:c r="K2909" s="0">
        <x:f>hyperlink("https://icd.who.int/dev11/l-ichi/en#/http%3A%2F%2Fid.who.int%2Ficd%2Fentity%2F511818509","browser")</x:f>
      </x:c>
      <x:c r="L2909" s="0">
        <x:f>hyperlink("https://icat2.azurewebsites.net/icat/?ontology=ICD&amp;tab=ClassesTab&amp;id=http%3A%2F%2Fwho.int%2Ficd%23834_e9bf9ac7_0f21_4391_8ab3_5944290f317a","iCat")</x:f>
      </x:c>
      <x:c r="M2909" s="0" t="s">
        <x:v>21</x:v>
      </x:c>
      <x:c r="N2909" s="0" t="s">
        <x:v>46</x:v>
      </x:c>
    </x:row>
    <x:row r="2910" spans="1:16">
      <x:c r="A2910" s="0" t="s">
        <x:v>11480</x:v>
      </x:c>
      <x:c r="B2910" s="0" t="s">
        <x:v>11481</x:v>
      </x:c>
      <x:c r="C2910" s="0" t="s">
        <x:v>11482</x:v>
      </x:c>
      <x:c r="E2910" s="0" t="s">
        <x:v>11483</x:v>
      </x:c>
      <x:c r="F2910" s="0" t="s">
        <x:v>45</x:v>
      </x:c>
      <x:c r="G2910" s="0" t="s">
        <x:v>19</x:v>
      </x:c>
      <x:c r="H2910" s="0" t="s">
        <x:v>20</x:v>
      </x:c>
      <x:c r="I2910" s="0" t="s">
        <x:v>21</x:v>
      </x:c>
      <x:c r="K2910" s="0">
        <x:f>hyperlink("https://icd.who.int/dev11/l-ichi/en#/http%3A%2F%2Fid.who.int%2Ficd%2Fentity%2F289461006","browser")</x:f>
      </x:c>
      <x:c r="L2910" s="0">
        <x:f>hyperlink("https://icat2.azurewebsites.net/icat/?ontology=ICD&amp;tab=ClassesTab&amp;id=http%3A%2F%2Fwho.int%2Ficd%2312615_512ebf36_bf6b_4d70_85da_cf2637062af4","iCat")</x:f>
      </x:c>
      <x:c r="M2910" s="0" t="s">
        <x:v>21</x:v>
      </x:c>
      <x:c r="N2910" s="0" t="s">
        <x:v>46</x:v>
      </x:c>
    </x:row>
    <x:row r="2911" spans="1:16">
      <x:c r="A2911" s="0" t="s">
        <x:v>11484</x:v>
      </x:c>
      <x:c r="B2911" s="0" t="s">
        <x:v>11485</x:v>
      </x:c>
      <x:c r="C2911" s="0" t="s">
        <x:v>11486</x:v>
      </x:c>
      <x:c r="E2911" s="0" t="s">
        <x:v>11487</x:v>
      </x:c>
      <x:c r="F2911" s="0" t="s">
        <x:v>45</x:v>
      </x:c>
      <x:c r="G2911" s="0" t="s">
        <x:v>19</x:v>
      </x:c>
      <x:c r="H2911" s="0" t="s">
        <x:v>20</x:v>
      </x:c>
      <x:c r="I2911" s="0" t="s">
        <x:v>21</x:v>
      </x:c>
      <x:c r="K2911" s="0">
        <x:f>hyperlink("https://icd.who.int/dev11/l-ichi/en#/http%3A%2F%2Fid.who.int%2Ficd%2Fentity%2F1144130858","browser")</x:f>
      </x:c>
      <x:c r="L2911" s="0">
        <x:f>hyperlink("https://icat2.azurewebsites.net/icat/?ontology=ICD&amp;tab=ClassesTab&amp;id=http%3A%2F%2Fwho.int%2Ficd%23134_fdfbe215_099f_43a9_be44_e4f78deaea50","iCat")</x:f>
      </x:c>
      <x:c r="M2911" s="0" t="s">
        <x:v>21</x:v>
      </x:c>
      <x:c r="N2911" s="0" t="s">
        <x:v>46</x:v>
      </x:c>
    </x:row>
    <x:row r="2912" spans="1:16">
      <x:c r="A2912" s="0" t="s">
        <x:v>11488</x:v>
      </x:c>
      <x:c r="B2912" s="0" t="s">
        <x:v>11489</x:v>
      </x:c>
      <x:c r="C2912" s="0" t="s">
        <x:v>11490</x:v>
      </x:c>
      <x:c r="E2912" s="0" t="s">
        <x:v>11491</x:v>
      </x:c>
      <x:c r="F2912" s="0" t="s">
        <x:v>45</x:v>
      </x:c>
      <x:c r="G2912" s="0" t="s">
        <x:v>19</x:v>
      </x:c>
      <x:c r="H2912" s="0" t="s">
        <x:v>20</x:v>
      </x:c>
      <x:c r="I2912" s="0" t="s">
        <x:v>21</x:v>
      </x:c>
      <x:c r="K2912" s="0">
        <x:f>hyperlink("https://icd.who.int/dev11/l-ichi/en#/http%3A%2F%2Fid.who.int%2Ficd%2Fentity%2F1693865853","browser")</x:f>
      </x:c>
      <x:c r="L2912" s="0">
        <x:f>hyperlink("https://icat2.azurewebsites.net/icat/?ontology=ICD&amp;tab=ClassesTab&amp;id=http%3A%2F%2Fwho.int%2Ficd%2312621_512ebf36_bf6b_4d70_85da_cf2637062af4","iCat")</x:f>
      </x:c>
      <x:c r="M2912" s="0" t="s">
        <x:v>21</x:v>
      </x:c>
      <x:c r="N2912" s="0" t="s">
        <x:v>46</x:v>
      </x:c>
    </x:row>
    <x:row r="2913" spans="1:16">
      <x:c r="A2913" s="0" t="s">
        <x:v>11492</x:v>
      </x:c>
      <x:c r="B2913" s="0" t="s">
        <x:v>11493</x:v>
      </x:c>
      <x:c r="C2913" s="0" t="s">
        <x:v>11494</x:v>
      </x:c>
      <x:c r="E2913" s="0" t="s">
        <x:v>11495</x:v>
      </x:c>
      <x:c r="F2913" s="0" t="s">
        <x:v>45</x:v>
      </x:c>
      <x:c r="G2913" s="0" t="s">
        <x:v>19</x:v>
      </x:c>
      <x:c r="H2913" s="0" t="s">
        <x:v>20</x:v>
      </x:c>
      <x:c r="I2913" s="0" t="s">
        <x:v>21</x:v>
      </x:c>
      <x:c r="K2913" s="0">
        <x:f>hyperlink("https://icd.who.int/dev11/l-ichi/en#/http%3A%2F%2Fid.who.int%2Ficd%2Fentity%2F881692366","browser")</x:f>
      </x:c>
      <x:c r="L2913" s="0">
        <x:f>hyperlink("https://icat2.azurewebsites.net/icat/?ontology=ICD&amp;tab=ClassesTab&amp;id=http%3A%2F%2Fwho.int%2Ficd%2312627_512ebf36_bf6b_4d70_85da_cf2637062af4","iCat")</x:f>
      </x:c>
      <x:c r="M2913" s="0" t="s">
        <x:v>21</x:v>
      </x:c>
      <x:c r="N2913" s="0" t="s">
        <x:v>46</x:v>
      </x:c>
    </x:row>
    <x:row r="2914" spans="1:16">
      <x:c r="A2914" s="0" t="s">
        <x:v>11496</x:v>
      </x:c>
      <x:c r="B2914" s="0" t="s">
        <x:v>11497</x:v>
      </x:c>
      <x:c r="C2914" s="0" t="s">
        <x:v>11498</x:v>
      </x:c>
      <x:c r="E2914" s="0" t="s">
        <x:v>11499</x:v>
      </x:c>
      <x:c r="F2914" s="0" t="s">
        <x:v>45</x:v>
      </x:c>
      <x:c r="G2914" s="0" t="s">
        <x:v>19</x:v>
      </x:c>
      <x:c r="H2914" s="0" t="s">
        <x:v>20</x:v>
      </x:c>
      <x:c r="I2914" s="0" t="s">
        <x:v>21</x:v>
      </x:c>
      <x:c r="K2914" s="0">
        <x:f>hyperlink("https://icd.who.int/dev11/l-ichi/en#/http%3A%2F%2Fid.who.int%2Ficd%2Fentity%2F466449506","browser")</x:f>
      </x:c>
      <x:c r="L2914" s="0">
        <x:f>hyperlink("https://icat2.azurewebsites.net/icat/?ontology=ICD&amp;tab=ClassesTab&amp;id=http%3A%2F%2Fwho.int%2Ficd%2312634_512ebf36_bf6b_4d70_85da_cf2637062af4","iCat")</x:f>
      </x:c>
      <x:c r="M2914" s="0" t="s">
        <x:v>21</x:v>
      </x:c>
      <x:c r="N2914" s="0" t="s">
        <x:v>46</x:v>
      </x:c>
    </x:row>
    <x:row r="2915" spans="1:16">
      <x:c r="A2915" s="0" t="s">
        <x:v>11500</x:v>
      </x:c>
      <x:c r="B2915" s="0" t="s">
        <x:v>11501</x:v>
      </x:c>
      <x:c r="C2915" s="0" t="s">
        <x:v>11502</x:v>
      </x:c>
      <x:c r="E2915" s="0" t="s">
        <x:v>11503</x:v>
      </x:c>
      <x:c r="F2915" s="0" t="s">
        <x:v>45</x:v>
      </x:c>
      <x:c r="G2915" s="0" t="s">
        <x:v>19</x:v>
      </x:c>
      <x:c r="H2915" s="0" t="s">
        <x:v>20</x:v>
      </x:c>
      <x:c r="I2915" s="0" t="s">
        <x:v>21</x:v>
      </x:c>
      <x:c r="K2915" s="0">
        <x:f>hyperlink("https://icd.who.int/dev11/l-ichi/en#/http%3A%2F%2Fid.who.int%2Ficd%2Fentity%2F1055248690","browser")</x:f>
      </x:c>
      <x:c r="L2915" s="0">
        <x:f>hyperlink("https://icat2.azurewebsites.net/icat/?ontology=ICD&amp;tab=ClassesTab&amp;id=http%3A%2F%2Fwho.int%2Ficd%2312641_512ebf36_bf6b_4d70_85da_cf2637062af4","iCat")</x:f>
      </x:c>
      <x:c r="M2915" s="0" t="s">
        <x:v>21</x:v>
      </x:c>
      <x:c r="N2915" s="0" t="s">
        <x:v>46</x:v>
      </x:c>
    </x:row>
    <x:row r="2916" spans="1:16">
      <x:c r="A2916" s="0" t="s">
        <x:v>11504</x:v>
      </x:c>
      <x:c r="B2916" s="0" t="s">
        <x:v>11505</x:v>
      </x:c>
      <x:c r="C2916" s="0" t="s">
        <x:v>11506</x:v>
      </x:c>
      <x:c r="E2916" s="0" t="s">
        <x:v>11507</x:v>
      </x:c>
      <x:c r="F2916" s="0" t="s">
        <x:v>45</x:v>
      </x:c>
      <x:c r="G2916" s="0" t="s">
        <x:v>19</x:v>
      </x:c>
      <x:c r="H2916" s="0" t="s">
        <x:v>20</x:v>
      </x:c>
      <x:c r="I2916" s="0" t="s">
        <x:v>21</x:v>
      </x:c>
      <x:c r="K2916" s="0">
        <x:f>hyperlink("https://icd.who.int/dev11/l-ichi/en#/http%3A%2F%2Fid.who.int%2Ficd%2Fentity%2F1855850625","browser")</x:f>
      </x:c>
      <x:c r="L2916" s="0">
        <x:f>hyperlink("https://icat2.azurewebsites.net/icat/?ontology=ICD&amp;tab=ClassesTab&amp;id=http%3A%2F%2Fwho.int%2Ficd%2312647_512ebf36_bf6b_4d70_85da_cf2637062af4","iCat")</x:f>
      </x:c>
      <x:c r="M2916" s="0" t="s">
        <x:v>21</x:v>
      </x:c>
      <x:c r="N2916" s="0" t="s">
        <x:v>46</x:v>
      </x:c>
    </x:row>
    <x:row r="2917" spans="1:16">
      <x:c r="A2917" s="0" t="s">
        <x:v>11508</x:v>
      </x:c>
      <x:c r="B2917" s="0" t="s">
        <x:v>11509</x:v>
      </x:c>
      <x:c r="C2917" s="0" t="s">
        <x:v>11510</x:v>
      </x:c>
      <x:c r="E2917" s="0" t="s">
        <x:v>11511</x:v>
      </x:c>
      <x:c r="F2917" s="0" t="s">
        <x:v>45</x:v>
      </x:c>
      <x:c r="G2917" s="0" t="s">
        <x:v>19</x:v>
      </x:c>
      <x:c r="H2917" s="0" t="s">
        <x:v>20</x:v>
      </x:c>
      <x:c r="I2917" s="0" t="s">
        <x:v>21</x:v>
      </x:c>
      <x:c r="K2917" s="0">
        <x:f>hyperlink("https://icd.who.int/dev11/l-ichi/en#/http%3A%2F%2Fid.who.int%2Ficd%2Fentity%2F1105130031","browser")</x:f>
      </x:c>
      <x:c r="L2917" s="0">
        <x:f>hyperlink("https://icat2.azurewebsites.net/icat/?ontology=ICD&amp;tab=ClassesTab&amp;id=http%3A%2F%2Fwho.int%2Ficd%2312654_512ebf36_bf6b_4d70_85da_cf2637062af4","iCat")</x:f>
      </x:c>
      <x:c r="M2917" s="0" t="s">
        <x:v>21</x:v>
      </x:c>
      <x:c r="N2917" s="0" t="s">
        <x:v>46</x:v>
      </x:c>
    </x:row>
    <x:row r="2918" spans="1:16">
      <x:c r="A2918" s="0" t="s">
        <x:v>11512</x:v>
      </x:c>
      <x:c r="B2918" s="0" t="s">
        <x:v>11513</x:v>
      </x:c>
      <x:c r="C2918" s="0" t="s">
        <x:v>11514</x:v>
      </x:c>
      <x:c r="E2918" s="0" t="s">
        <x:v>11515</x:v>
      </x:c>
      <x:c r="F2918" s="0" t="s">
        <x:v>45</x:v>
      </x:c>
      <x:c r="G2918" s="0" t="s">
        <x:v>19</x:v>
      </x:c>
      <x:c r="H2918" s="0" t="s">
        <x:v>20</x:v>
      </x:c>
      <x:c r="I2918" s="0" t="s">
        <x:v>21</x:v>
      </x:c>
      <x:c r="K2918" s="0">
        <x:f>hyperlink("https://icd.who.int/dev11/l-ichi/en#/http%3A%2F%2Fid.who.int%2Ficd%2Fentity%2F345048160","browser")</x:f>
      </x:c>
      <x:c r="L2918" s="0">
        <x:f>hyperlink("https://icat2.azurewebsites.net/icat/?ontology=ICD&amp;tab=ClassesTab&amp;id=http%3A%2F%2Fwho.int%2Ficd%2312661_512ebf36_bf6b_4d70_85da_cf2637062af4","iCat")</x:f>
      </x:c>
      <x:c r="M2918" s="0" t="s">
        <x:v>21</x:v>
      </x:c>
      <x:c r="N2918" s="0" t="s">
        <x:v>46</x:v>
      </x:c>
    </x:row>
    <x:row r="2919" spans="1:16">
      <x:c r="A2919" s="0" t="s">
        <x:v>11516</x:v>
      </x:c>
      <x:c r="B2919" s="0" t="s">
        <x:v>11517</x:v>
      </x:c>
      <x:c r="C2919" s="0" t="s">
        <x:v>11518</x:v>
      </x:c>
      <x:c r="E2919" s="0" t="s">
        <x:v>11519</x:v>
      </x:c>
      <x:c r="F2919" s="0" t="s">
        <x:v>45</x:v>
      </x:c>
      <x:c r="G2919" s="0" t="s">
        <x:v>19</x:v>
      </x:c>
      <x:c r="H2919" s="0" t="s">
        <x:v>20</x:v>
      </x:c>
      <x:c r="I2919" s="0" t="s">
        <x:v>21</x:v>
      </x:c>
      <x:c r="K2919" s="0">
        <x:f>hyperlink("https://icd.who.int/dev11/l-ichi/en#/http%3A%2F%2Fid.who.int%2Ficd%2Fentity%2F458255459","browser")</x:f>
      </x:c>
      <x:c r="L2919" s="0">
        <x:f>hyperlink("https://icat2.azurewebsites.net/icat/?ontology=ICD&amp;tab=ClassesTab&amp;id=http%3A%2F%2Fwho.int%2Ficd%23840_e9bf9ac7_0f21_4391_8ab3_5944290f317a","iCat")</x:f>
      </x:c>
      <x:c r="M2919" s="0" t="s">
        <x:v>21</x:v>
      </x:c>
      <x:c r="N2919" s="0" t="s">
        <x:v>46</x:v>
      </x:c>
    </x:row>
    <x:row r="2920" spans="1:16">
      <x:c r="A2920" s="0" t="s">
        <x:v>11520</x:v>
      </x:c>
      <x:c r="B2920" s="0" t="s">
        <x:v>11521</x:v>
      </x:c>
      <x:c r="C2920" s="0" t="s">
        <x:v>11522</x:v>
      </x:c>
      <x:c r="E2920" s="0" t="s">
        <x:v>11523</x:v>
      </x:c>
      <x:c r="F2920" s="0" t="s">
        <x:v>45</x:v>
      </x:c>
      <x:c r="G2920" s="0" t="s">
        <x:v>19</x:v>
      </x:c>
      <x:c r="H2920" s="0" t="s">
        <x:v>20</x:v>
      </x:c>
      <x:c r="I2920" s="0" t="s">
        <x:v>21</x:v>
      </x:c>
      <x:c r="K2920" s="0">
        <x:f>hyperlink("https://icd.who.int/dev11/l-ichi/en#/http%3A%2F%2Fid.who.int%2Ficd%2Fentity%2F1156242897","browser")</x:f>
      </x:c>
      <x:c r="L2920" s="0">
        <x:f>hyperlink("https://icat2.azurewebsites.net/icat/?ontology=ICD&amp;tab=ClassesTab&amp;id=http%3A%2F%2Fwho.int%2Ficd%2312667_512ebf36_bf6b_4d70_85da_cf2637062af4","iCat")</x:f>
      </x:c>
      <x:c r="M2920" s="0" t="s">
        <x:v>21</x:v>
      </x:c>
      <x:c r="N2920" s="0" t="s">
        <x:v>46</x:v>
      </x:c>
    </x:row>
    <x:row r="2921" spans="1:16">
      <x:c r="A2921" s="0" t="s">
        <x:v>11524</x:v>
      </x:c>
      <x:c r="B2921" s="0" t="s">
        <x:v>11525</x:v>
      </x:c>
      <x:c r="C2921" s="0" t="s">
        <x:v>11526</x:v>
      </x:c>
      <x:c r="E2921" s="0" t="s">
        <x:v>11527</x:v>
      </x:c>
      <x:c r="F2921" s="0" t="s">
        <x:v>45</x:v>
      </x:c>
      <x:c r="G2921" s="0" t="s">
        <x:v>19</x:v>
      </x:c>
      <x:c r="H2921" s="0" t="s">
        <x:v>20</x:v>
      </x:c>
      <x:c r="I2921" s="0" t="s">
        <x:v>21</x:v>
      </x:c>
      <x:c r="K2921" s="0">
        <x:f>hyperlink("https://icd.who.int/dev11/l-ichi/en#/http%3A%2F%2Fid.who.int%2Ficd%2Fentity%2F455642354","browser")</x:f>
      </x:c>
      <x:c r="L2921" s="0">
        <x:f>hyperlink("https://icat2.azurewebsites.net/icat/?ontology=ICD&amp;tab=ClassesTab&amp;id=http%3A%2F%2Fwho.int%2Ficd%2312673_512ebf36_bf6b_4d70_85da_cf2637062af4","iCat")</x:f>
      </x:c>
      <x:c r="M2921" s="0" t="s">
        <x:v>21</x:v>
      </x:c>
      <x:c r="N2921" s="0" t="s">
        <x:v>46</x:v>
      </x:c>
    </x:row>
    <x:row r="2922" spans="1:16">
      <x:c r="A2922" s="0" t="s">
        <x:v>11528</x:v>
      </x:c>
      <x:c r="B2922" s="0" t="s">
        <x:v>11529</x:v>
      </x:c>
      <x:c r="C2922" s="0" t="s">
        <x:v>11530</x:v>
      </x:c>
      <x:c r="E2922" s="0" t="s">
        <x:v>11531</x:v>
      </x:c>
      <x:c r="F2922" s="0" t="s">
        <x:v>45</x:v>
      </x:c>
      <x:c r="G2922" s="0" t="s">
        <x:v>19</x:v>
      </x:c>
      <x:c r="H2922" s="0" t="s">
        <x:v>20</x:v>
      </x:c>
      <x:c r="I2922" s="0" t="s">
        <x:v>21</x:v>
      </x:c>
      <x:c r="K2922" s="0">
        <x:f>hyperlink("https://icd.who.int/dev11/l-ichi/en#/http%3A%2F%2Fid.who.int%2Ficd%2Fentity%2F1629137018","browser")</x:f>
      </x:c>
      <x:c r="L2922" s="0">
        <x:f>hyperlink("https://icat2.azurewebsites.net/icat/?ontology=ICD&amp;tab=ClassesTab&amp;id=http%3A%2F%2Fwho.int%2Ficd%23141_fdfbe215_099f_43a9_be44_e4f78deaea50","iCat")</x:f>
      </x:c>
      <x:c r="M2922" s="0" t="s">
        <x:v>21</x:v>
      </x:c>
      <x:c r="N2922" s="0" t="s">
        <x:v>46</x:v>
      </x:c>
    </x:row>
    <x:row r="2923" spans="1:16">
      <x:c r="A2923" s="0" t="s">
        <x:v>11532</x:v>
      </x:c>
      <x:c r="B2923" s="0" t="s">
        <x:v>11533</x:v>
      </x:c>
      <x:c r="C2923" s="0" t="s">
        <x:v>11534</x:v>
      </x:c>
      <x:c r="E2923" s="0" t="s">
        <x:v>11535</x:v>
      </x:c>
      <x:c r="F2923" s="0" t="s">
        <x:v>45</x:v>
      </x:c>
      <x:c r="G2923" s="0" t="s">
        <x:v>19</x:v>
      </x:c>
      <x:c r="H2923" s="0" t="s">
        <x:v>20</x:v>
      </x:c>
      <x:c r="I2923" s="0" t="s">
        <x:v>21</x:v>
      </x:c>
      <x:c r="K2923" s="0">
        <x:f>hyperlink("https://icd.who.int/dev11/l-ichi/en#/http%3A%2F%2Fid.who.int%2Ficd%2Fentity%2F1900718549","browser")</x:f>
      </x:c>
      <x:c r="L2923" s="0">
        <x:f>hyperlink("https://icat2.azurewebsites.net/icat/?ontology=ICD&amp;tab=ClassesTab&amp;id=http%3A%2F%2Fwho.int%2Ficd%2312680_512ebf36_bf6b_4d70_85da_cf2637062af4","iCat")</x:f>
      </x:c>
      <x:c r="M2923" s="0" t="s">
        <x:v>21</x:v>
      </x:c>
      <x:c r="N2923" s="0" t="s">
        <x:v>46</x:v>
      </x:c>
    </x:row>
    <x:row r="2924" spans="1:16">
      <x:c r="A2924" s="0" t="s">
        <x:v>11536</x:v>
      </x:c>
      <x:c r="B2924" s="0" t="s">
        <x:v>11537</x:v>
      </x:c>
      <x:c r="C2924" s="0" t="s">
        <x:v>11538</x:v>
      </x:c>
      <x:c r="E2924" s="0" t="s">
        <x:v>11539</x:v>
      </x:c>
      <x:c r="F2924" s="0" t="s">
        <x:v>45</x:v>
      </x:c>
      <x:c r="G2924" s="0" t="s">
        <x:v>19</x:v>
      </x:c>
      <x:c r="H2924" s="0" t="s">
        <x:v>20</x:v>
      </x:c>
      <x:c r="I2924" s="0" t="s">
        <x:v>21</x:v>
      </x:c>
      <x:c r="K2924" s="0">
        <x:f>hyperlink("https://icd.who.int/dev11/l-ichi/en#/http%3A%2F%2Fid.who.int%2Ficd%2Fentity%2F29885018","browser")</x:f>
      </x:c>
      <x:c r="L2924" s="0">
        <x:f>hyperlink("https://icat2.azurewebsites.net/icat/?ontology=ICD&amp;tab=ClassesTab&amp;id=http%3A%2F%2Fwho.int%2Ficd%2312687_512ebf36_bf6b_4d70_85da_cf2637062af4","iCat")</x:f>
      </x:c>
      <x:c r="M2924" s="0" t="s">
        <x:v>21</x:v>
      </x:c>
      <x:c r="N2924" s="0" t="s">
        <x:v>46</x:v>
      </x:c>
    </x:row>
    <x:row r="2925" spans="1:16">
      <x:c r="A2925" s="0" t="s">
        <x:v>11540</x:v>
      </x:c>
      <x:c r="B2925" s="0" t="s">
        <x:v>11541</x:v>
      </x:c>
      <x:c r="C2925" s="0" t="s">
        <x:v>11542</x:v>
      </x:c>
      <x:c r="E2925" s="0" t="s">
        <x:v>11543</x:v>
      </x:c>
      <x:c r="F2925" s="0" t="s">
        <x:v>45</x:v>
      </x:c>
      <x:c r="G2925" s="0" t="s">
        <x:v>19</x:v>
      </x:c>
      <x:c r="H2925" s="0" t="s">
        <x:v>20</x:v>
      </x:c>
      <x:c r="I2925" s="0" t="s">
        <x:v>21</x:v>
      </x:c>
      <x:c r="K2925" s="0">
        <x:f>hyperlink("https://icd.who.int/dev11/l-ichi/en#/http%3A%2F%2Fid.who.int%2Ficd%2Fentity%2F1577735035","browser")</x:f>
      </x:c>
      <x:c r="L2925" s="0">
        <x:f>hyperlink("https://icat2.azurewebsites.net/icat/?ontology=ICD&amp;tab=ClassesTab&amp;id=http%3A%2F%2Fwho.int%2Ficd%2312693_512ebf36_bf6b_4d70_85da_cf2637062af4","iCat")</x:f>
      </x:c>
      <x:c r="M2925" s="0" t="s">
        <x:v>21</x:v>
      </x:c>
      <x:c r="N2925" s="0" t="s">
        <x:v>46</x:v>
      </x:c>
    </x:row>
    <x:row r="2926" spans="1:16">
      <x:c r="A2926" s="0" t="s">
        <x:v>11544</x:v>
      </x:c>
      <x:c r="B2926" s="0" t="s">
        <x:v>11545</x:v>
      </x:c>
      <x:c r="C2926" s="0" t="s">
        <x:v>11546</x:v>
      </x:c>
      <x:c r="E2926" s="0" t="s">
        <x:v>11547</x:v>
      </x:c>
      <x:c r="F2926" s="0" t="s">
        <x:v>45</x:v>
      </x:c>
      <x:c r="G2926" s="0" t="s">
        <x:v>19</x:v>
      </x:c>
      <x:c r="H2926" s="0" t="s">
        <x:v>20</x:v>
      </x:c>
      <x:c r="I2926" s="0" t="s">
        <x:v>21</x:v>
      </x:c>
      <x:c r="K2926" s="0">
        <x:f>hyperlink("https://icd.who.int/dev11/l-ichi/en#/http%3A%2F%2Fid.who.int%2Ficd%2Fentity%2F1979138027","browser")</x:f>
      </x:c>
      <x:c r="L2926" s="0">
        <x:f>hyperlink("https://icat2.azurewebsites.net/icat/?ontology=ICD&amp;tab=ClassesTab&amp;id=http%3A%2F%2Fwho.int%2Ficd%2312699_512ebf36_bf6b_4d70_85da_cf2637062af4","iCat")</x:f>
      </x:c>
      <x:c r="M2926" s="0" t="s">
        <x:v>21</x:v>
      </x:c>
      <x:c r="N2926" s="0" t="s">
        <x:v>46</x:v>
      </x:c>
    </x:row>
    <x:row r="2927" spans="1:16">
      <x:c r="A2927" s="0" t="s">
        <x:v>11548</x:v>
      </x:c>
      <x:c r="B2927" s="0" t="s">
        <x:v>11549</x:v>
      </x:c>
      <x:c r="C2927" s="0" t="s">
        <x:v>11550</x:v>
      </x:c>
      <x:c r="E2927" s="0" t="s">
        <x:v>11551</x:v>
      </x:c>
      <x:c r="F2927" s="0" t="s">
        <x:v>45</x:v>
      </x:c>
      <x:c r="G2927" s="0" t="s">
        <x:v>19</x:v>
      </x:c>
      <x:c r="H2927" s="0" t="s">
        <x:v>20</x:v>
      </x:c>
      <x:c r="I2927" s="0" t="s">
        <x:v>21</x:v>
      </x:c>
      <x:c r="K2927" s="0">
        <x:f>hyperlink("https://icd.who.int/dev11/l-ichi/en#/http%3A%2F%2Fid.who.int%2Ficd%2Fentity%2F1261155796","browser")</x:f>
      </x:c>
      <x:c r="L2927" s="0">
        <x:f>hyperlink("https://icat2.azurewebsites.net/icat/?ontology=ICD&amp;tab=ClassesTab&amp;id=http%3A%2F%2Fwho.int%2Ficd%23846_e9bf9ac7_0f21_4391_8ab3_5944290f317a","iCat")</x:f>
      </x:c>
      <x:c r="M2927" s="0" t="s">
        <x:v>21</x:v>
      </x:c>
      <x:c r="N2927" s="0" t="s">
        <x:v>46</x:v>
      </x:c>
    </x:row>
    <x:row r="2928" spans="1:16">
      <x:c r="A2928" s="0" t="s">
        <x:v>11552</x:v>
      </x:c>
      <x:c r="B2928" s="0" t="s">
        <x:v>11553</x:v>
      </x:c>
      <x:c r="C2928" s="0" t="s">
        <x:v>11554</x:v>
      </x:c>
      <x:c r="E2928" s="0" t="s">
        <x:v>11555</x:v>
      </x:c>
      <x:c r="F2928" s="0" t="s">
        <x:v>45</x:v>
      </x:c>
      <x:c r="G2928" s="0" t="s">
        <x:v>19</x:v>
      </x:c>
      <x:c r="H2928" s="0" t="s">
        <x:v>20</x:v>
      </x:c>
      <x:c r="I2928" s="0" t="s">
        <x:v>21</x:v>
      </x:c>
      <x:c r="K2928" s="0">
        <x:f>hyperlink("https://icd.who.int/dev11/l-ichi/en#/http%3A%2F%2Fid.who.int%2Ficd%2Fentity%2F236617924","browser")</x:f>
      </x:c>
      <x:c r="L2928" s="0">
        <x:f>hyperlink("https://icat2.azurewebsites.net/icat/?ontology=ICD&amp;tab=ClassesTab&amp;id=http%3A%2F%2Fwho.int%2Ficd%2312705_512ebf36_bf6b_4d70_85da_cf2637062af4","iCat")</x:f>
      </x:c>
      <x:c r="M2928" s="0" t="s">
        <x:v>21</x:v>
      </x:c>
      <x:c r="N2928" s="0" t="s">
        <x:v>46</x:v>
      </x:c>
    </x:row>
    <x:row r="2929" spans="1:16">
      <x:c r="A2929" s="0" t="s">
        <x:v>11556</x:v>
      </x:c>
      <x:c r="B2929" s="0" t="s">
        <x:v>11557</x:v>
      </x:c>
      <x:c r="C2929" s="0" t="s">
        <x:v>11558</x:v>
      </x:c>
      <x:c r="E2929" s="0" t="s">
        <x:v>11559</x:v>
      </x:c>
      <x:c r="F2929" s="0" t="s">
        <x:v>45</x:v>
      </x:c>
      <x:c r="G2929" s="0" t="s">
        <x:v>19</x:v>
      </x:c>
      <x:c r="H2929" s="0" t="s">
        <x:v>20</x:v>
      </x:c>
      <x:c r="I2929" s="0" t="s">
        <x:v>21</x:v>
      </x:c>
      <x:c r="K2929" s="0">
        <x:f>hyperlink("https://icd.who.int/dev11/l-ichi/en#/http%3A%2F%2Fid.who.int%2Ficd%2Fentity%2F1373164007","browser")</x:f>
      </x:c>
      <x:c r="L2929" s="0">
        <x:f>hyperlink("https://icat2.azurewebsites.net/icat/?ontology=ICD&amp;tab=ClassesTab&amp;id=http%3A%2F%2Fwho.int%2Ficd%2312711_512ebf36_bf6b_4d70_85da_cf2637062af4","iCat")</x:f>
      </x:c>
      <x:c r="M2929" s="0" t="s">
        <x:v>21</x:v>
      </x:c>
      <x:c r="N2929" s="0" t="s">
        <x:v>46</x:v>
      </x:c>
    </x:row>
    <x:row r="2930" spans="1:16">
      <x:c r="A2930" s="0" t="s">
        <x:v>11560</x:v>
      </x:c>
      <x:c r="B2930" s="0" t="s">
        <x:v>11561</x:v>
      </x:c>
      <x:c r="C2930" s="0" t="s">
        <x:v>11562</x:v>
      </x:c>
      <x:c r="E2930" s="0" t="s">
        <x:v>11563</x:v>
      </x:c>
      <x:c r="F2930" s="0" t="s">
        <x:v>45</x:v>
      </x:c>
      <x:c r="G2930" s="0" t="s">
        <x:v>19</x:v>
      </x:c>
      <x:c r="H2930" s="0" t="s">
        <x:v>20</x:v>
      </x:c>
      <x:c r="I2930" s="0" t="s">
        <x:v>21</x:v>
      </x:c>
      <x:c r="K2930" s="0">
        <x:f>hyperlink("https://icd.who.int/dev11/l-ichi/en#/http%3A%2F%2Fid.who.int%2Ficd%2Fentity%2F828469705","browser")</x:f>
      </x:c>
      <x:c r="L2930" s="0">
        <x:f>hyperlink("https://icat2.azurewebsites.net/icat/?ontology=ICD&amp;tab=ClassesTab&amp;id=http%3A%2F%2Fwho.int%2Ficd%23147_fdfbe215_099f_43a9_be44_e4f78deaea50","iCat")</x:f>
      </x:c>
      <x:c r="M2930" s="0" t="s">
        <x:v>21</x:v>
      </x:c>
      <x:c r="N2930" s="0" t="s">
        <x:v>46</x:v>
      </x:c>
    </x:row>
    <x:row r="2931" spans="1:16">
      <x:c r="A2931" s="0" t="s">
        <x:v>11564</x:v>
      </x:c>
      <x:c r="B2931" s="0" t="s">
        <x:v>11565</x:v>
      </x:c>
      <x:c r="C2931" s="0" t="s">
        <x:v>11566</x:v>
      </x:c>
      <x:c r="E2931" s="0" t="s">
        <x:v>11567</x:v>
      </x:c>
      <x:c r="F2931" s="0" t="s">
        <x:v>45</x:v>
      </x:c>
      <x:c r="G2931" s="0" t="s">
        <x:v>19</x:v>
      </x:c>
      <x:c r="H2931" s="0" t="s">
        <x:v>20</x:v>
      </x:c>
      <x:c r="I2931" s="0" t="s">
        <x:v>21</x:v>
      </x:c>
      <x:c r="K2931" s="0">
        <x:f>hyperlink("https://icd.who.int/dev11/l-ichi/en#/http%3A%2F%2Fid.who.int%2Ficd%2Fentity%2F1067504270","browser")</x:f>
      </x:c>
      <x:c r="L2931" s="0">
        <x:f>hyperlink("https://icat2.azurewebsites.net/icat/?ontology=ICD&amp;tab=ClassesTab&amp;id=http%3A%2F%2Fwho.int%2Ficd%2312718_512ebf36_bf6b_4d70_85da_cf2637062af4","iCat")</x:f>
      </x:c>
      <x:c r="M2931" s="0" t="s">
        <x:v>21</x:v>
      </x:c>
      <x:c r="N2931" s="0" t="s">
        <x:v>46</x:v>
      </x:c>
    </x:row>
    <x:row r="2932" spans="1:16">
      <x:c r="A2932" s="0" t="s">
        <x:v>11568</x:v>
      </x:c>
      <x:c r="B2932" s="0" t="s">
        <x:v>11569</x:v>
      </x:c>
      <x:c r="C2932" s="0" t="s">
        <x:v>11570</x:v>
      </x:c>
      <x:c r="E2932" s="0" t="s">
        <x:v>11571</x:v>
      </x:c>
      <x:c r="F2932" s="0" t="s">
        <x:v>45</x:v>
      </x:c>
      <x:c r="G2932" s="0" t="s">
        <x:v>19</x:v>
      </x:c>
      <x:c r="H2932" s="0" t="s">
        <x:v>20</x:v>
      </x:c>
      <x:c r="I2932" s="0" t="s">
        <x:v>21</x:v>
      </x:c>
      <x:c r="K2932" s="0">
        <x:f>hyperlink("https://icd.who.int/dev11/l-ichi/en#/http%3A%2F%2Fid.who.int%2Ficd%2Fentity%2F77014952","browser")</x:f>
      </x:c>
      <x:c r="L2932" s="0">
        <x:f>hyperlink("https://icat2.azurewebsites.net/icat/?ontology=ICD&amp;tab=ClassesTab&amp;id=http%3A%2F%2Fwho.int%2Ficd%2312724_512ebf36_bf6b_4d70_85da_cf2637062af4","iCat")</x:f>
      </x:c>
      <x:c r="M2932" s="0" t="s">
        <x:v>21</x:v>
      </x:c>
      <x:c r="N2932" s="0" t="s">
        <x:v>46</x:v>
      </x:c>
    </x:row>
    <x:row r="2933" spans="1:16">
      <x:c r="A2933" s="0" t="s">
        <x:v>11572</x:v>
      </x:c>
      <x:c r="B2933" s="0" t="s">
        <x:v>11573</x:v>
      </x:c>
      <x:c r="C2933" s="0" t="s">
        <x:v>11574</x:v>
      </x:c>
      <x:c r="E2933" s="0" t="s">
        <x:v>11575</x:v>
      </x:c>
      <x:c r="F2933" s="0" t="s">
        <x:v>45</x:v>
      </x:c>
      <x:c r="G2933" s="0" t="s">
        <x:v>19</x:v>
      </x:c>
      <x:c r="H2933" s="0" t="s">
        <x:v>20</x:v>
      </x:c>
      <x:c r="I2933" s="0" t="s">
        <x:v>21</x:v>
      </x:c>
      <x:c r="K2933" s="0">
        <x:f>hyperlink("https://icd.who.int/dev11/l-ichi/en#/http%3A%2F%2Fid.who.int%2Ficd%2Fentity%2F1532327563","browser")</x:f>
      </x:c>
      <x:c r="L2933" s="0">
        <x:f>hyperlink("https://icat2.azurewebsites.net/icat/?ontology=ICD&amp;tab=ClassesTab&amp;id=http%3A%2F%2Fwho.int%2Ficd%2312730_512ebf36_bf6b_4d70_85da_cf2637062af4","iCat")</x:f>
      </x:c>
      <x:c r="M2933" s="0" t="s">
        <x:v>21</x:v>
      </x:c>
      <x:c r="N2933" s="0" t="s">
        <x:v>46</x:v>
      </x:c>
    </x:row>
    <x:row r="2934" spans="1:16">
      <x:c r="A2934" s="0" t="s">
        <x:v>11576</x:v>
      </x:c>
      <x:c r="B2934" s="0" t="s">
        <x:v>11577</x:v>
      </x:c>
      <x:c r="C2934" s="0" t="s">
        <x:v>11578</x:v>
      </x:c>
      <x:c r="E2934" s="0" t="s">
        <x:v>11579</x:v>
      </x:c>
      <x:c r="F2934" s="0" t="s">
        <x:v>45</x:v>
      </x:c>
      <x:c r="G2934" s="0" t="s">
        <x:v>19</x:v>
      </x:c>
      <x:c r="H2934" s="0" t="s">
        <x:v>20</x:v>
      </x:c>
      <x:c r="I2934" s="0" t="s">
        <x:v>21</x:v>
      </x:c>
      <x:c r="K2934" s="0">
        <x:f>hyperlink("https://icd.who.int/dev11/l-ichi/en#/http%3A%2F%2Fid.who.int%2Ficd%2Fentity%2F187608890","browser")</x:f>
      </x:c>
      <x:c r="L2934" s="0">
        <x:f>hyperlink("https://icat2.azurewebsites.net/icat/?ontology=ICD&amp;tab=ClassesTab&amp;id=http%3A%2F%2Fwho.int%2Ficd%2312736_512ebf36_bf6b_4d70_85da_cf2637062af4","iCat")</x:f>
      </x:c>
      <x:c r="M2934" s="0" t="s">
        <x:v>21</x:v>
      </x:c>
      <x:c r="N2934" s="0" t="s">
        <x:v>46</x:v>
      </x:c>
    </x:row>
    <x:row r="2935" spans="1:16">
      <x:c r="A2935" s="0" t="s">
        <x:v>11580</x:v>
      </x:c>
      <x:c r="B2935" s="0" t="s">
        <x:v>11581</x:v>
      </x:c>
      <x:c r="C2935" s="0" t="s">
        <x:v>11582</x:v>
      </x:c>
      <x:c r="E2935" s="0" t="s">
        <x:v>11583</x:v>
      </x:c>
      <x:c r="F2935" s="0" t="s">
        <x:v>45</x:v>
      </x:c>
      <x:c r="G2935" s="0" t="s">
        <x:v>19</x:v>
      </x:c>
      <x:c r="H2935" s="0" t="s">
        <x:v>20</x:v>
      </x:c>
      <x:c r="I2935" s="0" t="s">
        <x:v>21</x:v>
      </x:c>
      <x:c r="K2935" s="0">
        <x:f>hyperlink("https://icd.who.int/dev11/l-ichi/en#/http%3A%2F%2Fid.who.int%2Ficd%2Fentity%2F350872817","browser")</x:f>
      </x:c>
      <x:c r="L2935" s="0">
        <x:f>hyperlink("https://icat2.azurewebsites.net/icat/?ontology=ICD&amp;tab=ClassesTab&amp;id=http%3A%2F%2Fwho.int%2Ficd%23852_e9bf9ac7_0f21_4391_8ab3_5944290f317a","iCat")</x:f>
      </x:c>
      <x:c r="M2935" s="0" t="s">
        <x:v>21</x:v>
      </x:c>
      <x:c r="N2935" s="0" t="s">
        <x:v>46</x:v>
      </x:c>
    </x:row>
    <x:row r="2936" spans="1:16">
      <x:c r="A2936" s="0" t="s">
        <x:v>11584</x:v>
      </x:c>
      <x:c r="B2936" s="0" t="s">
        <x:v>11585</x:v>
      </x:c>
      <x:c r="C2936" s="0" t="s">
        <x:v>11586</x:v>
      </x:c>
      <x:c r="E2936" s="0" t="s">
        <x:v>11587</x:v>
      </x:c>
      <x:c r="F2936" s="0" t="s">
        <x:v>45</x:v>
      </x:c>
      <x:c r="G2936" s="0" t="s">
        <x:v>19</x:v>
      </x:c>
      <x:c r="H2936" s="0" t="s">
        <x:v>20</x:v>
      </x:c>
      <x:c r="I2936" s="0" t="s">
        <x:v>21</x:v>
      </x:c>
      <x:c r="K2936" s="0">
        <x:f>hyperlink("https://icd.who.int/dev11/l-ichi/en#/http%3A%2F%2Fid.who.int%2Ficd%2Fentity%2F251623508","browser")</x:f>
      </x:c>
      <x:c r="L2936" s="0">
        <x:f>hyperlink("https://icat2.azurewebsites.net/icat/?ontology=ICD&amp;tab=ClassesTab&amp;id=http%3A%2F%2Fwho.int%2Ficd%2312742_512ebf36_bf6b_4d70_85da_cf2637062af4","iCat")</x:f>
      </x:c>
      <x:c r="M2936" s="0" t="s">
        <x:v>21</x:v>
      </x:c>
      <x:c r="N2936" s="0" t="s">
        <x:v>46</x:v>
      </x:c>
    </x:row>
    <x:row r="2937" spans="1:16">
      <x:c r="A2937" s="0" t="s">
        <x:v>11588</x:v>
      </x:c>
      <x:c r="B2937" s="0" t="s">
        <x:v>11589</x:v>
      </x:c>
      <x:c r="C2937" s="0" t="s">
        <x:v>11590</x:v>
      </x:c>
      <x:c r="E2937" s="0" t="s">
        <x:v>11591</x:v>
      </x:c>
      <x:c r="F2937" s="0" t="s">
        <x:v>45</x:v>
      </x:c>
      <x:c r="G2937" s="0" t="s">
        <x:v>19</x:v>
      </x:c>
      <x:c r="H2937" s="0" t="s">
        <x:v>20</x:v>
      </x:c>
      <x:c r="I2937" s="0" t="s">
        <x:v>21</x:v>
      </x:c>
      <x:c r="K2937" s="0">
        <x:f>hyperlink("https://icd.who.int/dev11/l-ichi/en#/http%3A%2F%2Fid.who.int%2Ficd%2Fentity%2F620893380","browser")</x:f>
      </x:c>
      <x:c r="L2937" s="0">
        <x:f>hyperlink("https://icat2.azurewebsites.net/icat/?ontology=ICD&amp;tab=ClassesTab&amp;id=http%3A%2F%2Fwho.int%2Ficd%2312748_512ebf36_bf6b_4d70_85da_cf2637062af4","iCat")</x:f>
      </x:c>
      <x:c r="M2937" s="0" t="s">
        <x:v>21</x:v>
      </x:c>
      <x:c r="N2937" s="0" t="s">
        <x:v>46</x:v>
      </x:c>
    </x:row>
    <x:row r="2938" spans="1:16">
      <x:c r="A2938" s="0" t="s">
        <x:v>11592</x:v>
      </x:c>
      <x:c r="B2938" s="0" t="s">
        <x:v>11593</x:v>
      </x:c>
      <x:c r="C2938" s="0" t="s">
        <x:v>11594</x:v>
      </x:c>
      <x:c r="E2938" s="0" t="s">
        <x:v>11595</x:v>
      </x:c>
      <x:c r="F2938" s="0" t="s">
        <x:v>45</x:v>
      </x:c>
      <x:c r="G2938" s="0" t="s">
        <x:v>19</x:v>
      </x:c>
      <x:c r="H2938" s="0" t="s">
        <x:v>20</x:v>
      </x:c>
      <x:c r="I2938" s="0" t="s">
        <x:v>21</x:v>
      </x:c>
      <x:c r="K2938" s="0">
        <x:f>hyperlink("https://icd.who.int/dev11/l-ichi/en#/http%3A%2F%2Fid.who.int%2Ficd%2Fentity%2F347621006","browser")</x:f>
      </x:c>
      <x:c r="L2938" s="0">
        <x:f>hyperlink("https://icat2.azurewebsites.net/icat/?ontology=ICD&amp;tab=ClassesTab&amp;id=http%3A%2F%2Fwho.int%2Ficd%2312755_512ebf36_bf6b_4d70_85da_cf2637062af4","iCat")</x:f>
      </x:c>
      <x:c r="M2938" s="0" t="s">
        <x:v>21</x:v>
      </x:c>
      <x:c r="N2938" s="0" t="s">
        <x:v>46</x:v>
      </x:c>
    </x:row>
    <x:row r="2939" spans="1:16">
      <x:c r="A2939" s="0" t="s">
        <x:v>11596</x:v>
      </x:c>
      <x:c r="B2939" s="0" t="s">
        <x:v>11597</x:v>
      </x:c>
      <x:c r="C2939" s="0" t="s">
        <x:v>11598</x:v>
      </x:c>
      <x:c r="E2939" s="0" t="s">
        <x:v>11599</x:v>
      </x:c>
      <x:c r="F2939" s="0" t="s">
        <x:v>45</x:v>
      </x:c>
      <x:c r="G2939" s="0" t="s">
        <x:v>19</x:v>
      </x:c>
      <x:c r="H2939" s="0" t="s">
        <x:v>20</x:v>
      </x:c>
      <x:c r="I2939" s="0" t="s">
        <x:v>21</x:v>
      </x:c>
      <x:c r="K2939" s="0">
        <x:f>hyperlink("https://icd.who.int/dev11/l-ichi/en#/http%3A%2F%2Fid.who.int%2Ficd%2Fentity%2F1628357373","browser")</x:f>
      </x:c>
      <x:c r="L2939" s="0">
        <x:f>hyperlink("https://icat2.azurewebsites.net/icat/?ontology=ICD&amp;tab=ClassesTab&amp;id=http%3A%2F%2Fwho.int%2Ficd%2312761_512ebf36_bf6b_4d70_85da_cf2637062af4","iCat")</x:f>
      </x:c>
      <x:c r="M2939" s="0" t="s">
        <x:v>21</x:v>
      </x:c>
      <x:c r="N2939" s="0" t="s">
        <x:v>46</x:v>
      </x:c>
    </x:row>
    <x:row r="2940" spans="1:16">
      <x:c r="A2940" s="0" t="s">
        <x:v>11600</x:v>
      </x:c>
      <x:c r="B2940" s="0" t="s">
        <x:v>11601</x:v>
      </x:c>
      <x:c r="C2940" s="0" t="s">
        <x:v>11602</x:v>
      </x:c>
      <x:c r="E2940" s="0" t="s">
        <x:v>11603</x:v>
      </x:c>
      <x:c r="F2940" s="0" t="s">
        <x:v>45</x:v>
      </x:c>
      <x:c r="G2940" s="0" t="s">
        <x:v>19</x:v>
      </x:c>
      <x:c r="H2940" s="0" t="s">
        <x:v>20</x:v>
      </x:c>
      <x:c r="I2940" s="0" t="s">
        <x:v>21</x:v>
      </x:c>
      <x:c r="K2940" s="0">
        <x:f>hyperlink("https://icd.who.int/dev11/l-ichi/en#/http%3A%2F%2Fid.who.int%2Ficd%2Fentity%2F829758286","browser")</x:f>
      </x:c>
      <x:c r="L2940" s="0">
        <x:f>hyperlink("https://icat2.azurewebsites.net/icat/?ontology=ICD&amp;tab=ClassesTab&amp;id=http%3A%2F%2Fwho.int%2Ficd%2312767_512ebf36_bf6b_4d70_85da_cf2637062af4","iCat")</x:f>
      </x:c>
      <x:c r="M2940" s="0" t="s">
        <x:v>21</x:v>
      </x:c>
      <x:c r="N2940" s="0" t="s">
        <x:v>46</x:v>
      </x:c>
    </x:row>
    <x:row r="2941" spans="1:16">
      <x:c r="A2941" s="0" t="s">
        <x:v>11604</x:v>
      </x:c>
      <x:c r="B2941" s="0" t="s">
        <x:v>11605</x:v>
      </x:c>
      <x:c r="C2941" s="0" t="s">
        <x:v>11606</x:v>
      </x:c>
      <x:c r="E2941" s="0" t="s">
        <x:v>11607</x:v>
      </x:c>
      <x:c r="F2941" s="0" t="s">
        <x:v>45</x:v>
      </x:c>
      <x:c r="G2941" s="0" t="s">
        <x:v>19</x:v>
      </x:c>
      <x:c r="H2941" s="0" t="s">
        <x:v>20</x:v>
      </x:c>
      <x:c r="I2941" s="0" t="s">
        <x:v>21</x:v>
      </x:c>
      <x:c r="K2941" s="0">
        <x:f>hyperlink("https://icd.who.int/dev11/l-ichi/en#/http%3A%2F%2Fid.who.int%2Ficd%2Fentity%2F1857505903","browser")</x:f>
      </x:c>
      <x:c r="L2941" s="0">
        <x:f>hyperlink("https://icat2.azurewebsites.net/icat/?ontology=ICD&amp;tab=ClassesTab&amp;id=http%3A%2F%2Fwho.int%2Ficd%2312773_512ebf36_bf6b_4d70_85da_cf2637062af4","iCat")</x:f>
      </x:c>
      <x:c r="M2941" s="0" t="s">
        <x:v>21</x:v>
      </x:c>
      <x:c r="N2941" s="0" t="s">
        <x:v>46</x:v>
      </x:c>
    </x:row>
    <x:row r="2942" spans="1:16">
      <x:c r="A2942" s="0" t="s">
        <x:v>11608</x:v>
      </x:c>
      <x:c r="B2942" s="0" t="s">
        <x:v>11609</x:v>
      </x:c>
      <x:c r="C2942" s="0" t="s">
        <x:v>11610</x:v>
      </x:c>
      <x:c r="E2942" s="0" t="s">
        <x:v>11611</x:v>
      </x:c>
      <x:c r="F2942" s="0" t="s">
        <x:v>45</x:v>
      </x:c>
      <x:c r="G2942" s="0" t="s">
        <x:v>19</x:v>
      </x:c>
      <x:c r="H2942" s="0" t="s">
        <x:v>20</x:v>
      </x:c>
      <x:c r="I2942" s="0" t="s">
        <x:v>21</x:v>
      </x:c>
      <x:c r="K2942" s="0">
        <x:f>hyperlink("https://icd.who.int/dev11/l-ichi/en#/http%3A%2F%2Fid.who.int%2Ficd%2Fentity%2F81096522","browser")</x:f>
      </x:c>
      <x:c r="L2942" s="0">
        <x:f>hyperlink("https://icat2.azurewebsites.net/icat/?ontology=ICD&amp;tab=ClassesTab&amp;id=http%3A%2F%2Fwho.int%2Ficd%2312780_512ebf36_bf6b_4d70_85da_cf2637062af4","iCat")</x:f>
      </x:c>
      <x:c r="M2942" s="0" t="s">
        <x:v>21</x:v>
      </x:c>
      <x:c r="N2942" s="0" t="s">
        <x:v>46</x:v>
      </x:c>
    </x:row>
    <x:row r="2943" spans="1:16">
      <x:c r="A2943" s="0" t="s">
        <x:v>11612</x:v>
      </x:c>
      <x:c r="B2943" s="0" t="s">
        <x:v>11613</x:v>
      </x:c>
      <x:c r="C2943" s="0" t="s">
        <x:v>11614</x:v>
      </x:c>
      <x:c r="E2943" s="0" t="s">
        <x:v>11615</x:v>
      </x:c>
      <x:c r="F2943" s="0" t="s">
        <x:v>45</x:v>
      </x:c>
      <x:c r="G2943" s="0" t="s">
        <x:v>19</x:v>
      </x:c>
      <x:c r="H2943" s="0" t="s">
        <x:v>20</x:v>
      </x:c>
      <x:c r="I2943" s="0" t="s">
        <x:v>21</x:v>
      </x:c>
      <x:c r="K2943" s="0">
        <x:f>hyperlink("https://icd.who.int/dev11/l-ichi/en#/http%3A%2F%2Fid.who.int%2Ficd%2Fentity%2F1420736249","browser")</x:f>
      </x:c>
      <x:c r="L2943" s="0">
        <x:f>hyperlink("https://icat2.azurewebsites.net/icat/?ontology=ICD&amp;tab=ClassesTab&amp;id=http%3A%2F%2Fwho.int%2Ficd%2312786_512ebf36_bf6b_4d70_85da_cf2637062af4","iCat")</x:f>
      </x:c>
      <x:c r="M2943" s="0" t="s">
        <x:v>21</x:v>
      </x:c>
      <x:c r="N2943" s="0" t="s">
        <x:v>46</x:v>
      </x:c>
    </x:row>
    <x:row r="2944" spans="1:16">
      <x:c r="A2944" s="0" t="s">
        <x:v>11616</x:v>
      </x:c>
      <x:c r="B2944" s="0" t="s">
        <x:v>11617</x:v>
      </x:c>
      <x:c r="C2944" s="0" t="s">
        <x:v>11618</x:v>
      </x:c>
      <x:c r="E2944" s="0" t="s">
        <x:v>11619</x:v>
      </x:c>
      <x:c r="F2944" s="0" t="s">
        <x:v>45</x:v>
      </x:c>
      <x:c r="G2944" s="0" t="s">
        <x:v>19</x:v>
      </x:c>
      <x:c r="H2944" s="0" t="s">
        <x:v>20</x:v>
      </x:c>
      <x:c r="I2944" s="0" t="s">
        <x:v>21</x:v>
      </x:c>
      <x:c r="K2944" s="0">
        <x:f>hyperlink("https://icd.who.int/dev11/l-ichi/en#/http%3A%2F%2Fid.who.int%2Ficd%2Fentity%2F191686620","browser")</x:f>
      </x:c>
      <x:c r="L2944" s="0">
        <x:f>hyperlink("https://icat2.azurewebsites.net/icat/?ontology=ICD&amp;tab=ClassesTab&amp;id=http%3A%2F%2Fwho.int%2Ficd%2312792_512ebf36_bf6b_4d70_85da_cf2637062af4","iCat")</x:f>
      </x:c>
      <x:c r="M2944" s="0" t="s">
        <x:v>21</x:v>
      </x:c>
      <x:c r="N2944" s="0" t="s">
        <x:v>46</x:v>
      </x:c>
    </x:row>
    <x:row r="2945" spans="1:16">
      <x:c r="A2945" s="0" t="s">
        <x:v>11620</x:v>
      </x:c>
      <x:c r="B2945" s="0" t="s">
        <x:v>11621</x:v>
      </x:c>
      <x:c r="C2945" s="0" t="s">
        <x:v>11622</x:v>
      </x:c>
      <x:c r="E2945" s="0" t="s">
        <x:v>11623</x:v>
      </x:c>
      <x:c r="F2945" s="0" t="s">
        <x:v>45</x:v>
      </x:c>
      <x:c r="G2945" s="0" t="s">
        <x:v>19</x:v>
      </x:c>
      <x:c r="H2945" s="0" t="s">
        <x:v>20</x:v>
      </x:c>
      <x:c r="I2945" s="0" t="s">
        <x:v>21</x:v>
      </x:c>
      <x:c r="K2945" s="0">
        <x:f>hyperlink("https://icd.who.int/dev11/l-ichi/en#/http%3A%2F%2Fid.who.int%2Ficd%2Fentity%2F546409292","browser")</x:f>
      </x:c>
      <x:c r="L2945" s="0">
        <x:f>hyperlink("https://icat2.azurewebsites.net/icat/?ontology=ICD&amp;tab=ClassesTab&amp;id=http%3A%2F%2Fwho.int%2Ficd%2312798_512ebf36_bf6b_4d70_85da_cf2637062af4","iCat")</x:f>
      </x:c>
      <x:c r="M2945" s="0" t="s">
        <x:v>21</x:v>
      </x:c>
      <x:c r="N2945" s="0" t="s">
        <x:v>46</x:v>
      </x:c>
    </x:row>
    <x:row r="2946" spans="1:16">
      <x:c r="A2946" s="0" t="s">
        <x:v>11624</x:v>
      </x:c>
      <x:c r="B2946" s="0" t="s">
        <x:v>11625</x:v>
      </x:c>
      <x:c r="C2946" s="0" t="s">
        <x:v>11626</x:v>
      </x:c>
      <x:c r="E2946" s="0" t="s">
        <x:v>11627</x:v>
      </x:c>
      <x:c r="F2946" s="0" t="s">
        <x:v>45</x:v>
      </x:c>
      <x:c r="G2946" s="0" t="s">
        <x:v>19</x:v>
      </x:c>
      <x:c r="H2946" s="0" t="s">
        <x:v>20</x:v>
      </x:c>
      <x:c r="I2946" s="0" t="s">
        <x:v>21</x:v>
      </x:c>
      <x:c r="K2946" s="0">
        <x:f>hyperlink("https://icd.who.int/dev11/l-ichi/en#/http%3A%2F%2Fid.who.int%2Ficd%2Fentity%2F1037205307","browser")</x:f>
      </x:c>
      <x:c r="L2946" s="0">
        <x:f>hyperlink("https://icat2.azurewebsites.net/icat/?ontology=ICD&amp;tab=ClassesTab&amp;id=http%3A%2F%2Fwho.int%2Ficd%2312806_512ebf36_bf6b_4d70_85da_cf2637062af4","iCat")</x:f>
      </x:c>
      <x:c r="M2946" s="0" t="s">
        <x:v>21</x:v>
      </x:c>
      <x:c r="N2946" s="0" t="s">
        <x:v>46</x:v>
      </x:c>
    </x:row>
    <x:row r="2947" spans="1:16">
      <x:c r="A2947" s="0" t="s">
        <x:v>11628</x:v>
      </x:c>
      <x:c r="B2947" s="0" t="s">
        <x:v>11629</x:v>
      </x:c>
      <x:c r="C2947" s="0" t="s">
        <x:v>11630</x:v>
      </x:c>
      <x:c r="E2947" s="0" t="s">
        <x:v>11631</x:v>
      </x:c>
      <x:c r="F2947" s="0" t="s">
        <x:v>45</x:v>
      </x:c>
      <x:c r="G2947" s="0" t="s">
        <x:v>19</x:v>
      </x:c>
      <x:c r="H2947" s="0" t="s">
        <x:v>20</x:v>
      </x:c>
      <x:c r="I2947" s="0" t="s">
        <x:v>21</x:v>
      </x:c>
      <x:c r="K2947" s="0">
        <x:f>hyperlink("https://icd.who.int/dev11/l-ichi/en#/http%3A%2F%2Fid.who.int%2Ficd%2Fentity%2F1122589732","browser")</x:f>
      </x:c>
      <x:c r="L2947" s="0">
        <x:f>hyperlink("https://icat2.azurewebsites.net/icat/?ontology=ICD&amp;tab=ClassesTab&amp;id=http%3A%2F%2Fwho.int%2Ficd%2312813_512ebf36_bf6b_4d70_85da_cf2637062af4","iCat")</x:f>
      </x:c>
      <x:c r="M2947" s="0" t="s">
        <x:v>21</x:v>
      </x:c>
      <x:c r="N2947" s="0" t="s">
        <x:v>46</x:v>
      </x:c>
    </x:row>
    <x:row r="2948" spans="1:16">
      <x:c r="A2948" s="0" t="s">
        <x:v>11632</x:v>
      </x:c>
      <x:c r="B2948" s="0" t="s">
        <x:v>11633</x:v>
      </x:c>
      <x:c r="C2948" s="0" t="s">
        <x:v>11634</x:v>
      </x:c>
      <x:c r="E2948" s="0" t="s">
        <x:v>11635</x:v>
      </x:c>
      <x:c r="F2948" s="0" t="s">
        <x:v>45</x:v>
      </x:c>
      <x:c r="G2948" s="0" t="s">
        <x:v>19</x:v>
      </x:c>
      <x:c r="H2948" s="0" t="s">
        <x:v>20</x:v>
      </x:c>
      <x:c r="I2948" s="0" t="s">
        <x:v>21</x:v>
      </x:c>
      <x:c r="K2948" s="0">
        <x:f>hyperlink("https://icd.who.int/dev11/l-ichi/en#/http%3A%2F%2Fid.who.int%2Ficd%2Fentity%2F581004831","browser")</x:f>
      </x:c>
      <x:c r="L2948" s="0">
        <x:f>hyperlink("https://icat2.azurewebsites.net/icat/?ontology=ICD&amp;tab=ClassesTab&amp;id=http%3A%2F%2Fwho.int%2Ficd%2312822_512ebf36_bf6b_4d70_85da_cf2637062af4","iCat")</x:f>
      </x:c>
      <x:c r="M2948" s="0" t="s">
        <x:v>21</x:v>
      </x:c>
      <x:c r="N2948" s="0" t="s">
        <x:v>46</x:v>
      </x:c>
    </x:row>
    <x:row r="2949" spans="1:16">
      <x:c r="A2949" s="0" t="s">
        <x:v>11636</x:v>
      </x:c>
      <x:c r="B2949" s="0" t="s">
        <x:v>11637</x:v>
      </x:c>
      <x:c r="C2949" s="0" t="s">
        <x:v>11638</x:v>
      </x:c>
      <x:c r="E2949" s="0" t="s">
        <x:v>11639</x:v>
      </x:c>
      <x:c r="F2949" s="0" t="s">
        <x:v>45</x:v>
      </x:c>
      <x:c r="G2949" s="0" t="s">
        <x:v>19</x:v>
      </x:c>
      <x:c r="H2949" s="0" t="s">
        <x:v>20</x:v>
      </x:c>
      <x:c r="I2949" s="0" t="s">
        <x:v>21</x:v>
      </x:c>
      <x:c r="K2949" s="0">
        <x:f>hyperlink("https://icd.who.int/dev11/l-ichi/en#/http%3A%2F%2Fid.who.int%2Ficd%2Fentity%2F157024911","browser")</x:f>
      </x:c>
      <x:c r="L2949" s="0">
        <x:f>hyperlink("https://icat2.azurewebsites.net/icat/?ontology=ICD&amp;tab=ClassesTab&amp;id=http%3A%2F%2Fwho.int%2Ficd%2312828_512ebf36_bf6b_4d70_85da_cf2637062af4","iCat")</x:f>
      </x:c>
      <x:c r="M2949" s="0" t="s">
        <x:v>21</x:v>
      </x:c>
      <x:c r="N2949" s="0" t="s">
        <x:v>46</x:v>
      </x:c>
    </x:row>
    <x:row r="2950" spans="1:16">
      <x:c r="A2950" s="0" t="s">
        <x:v>11640</x:v>
      </x:c>
      <x:c r="B2950" s="0" t="s">
        <x:v>11641</x:v>
      </x:c>
      <x:c r="C2950" s="0" t="s">
        <x:v>11642</x:v>
      </x:c>
      <x:c r="E2950" s="0" t="s">
        <x:v>11643</x:v>
      </x:c>
      <x:c r="F2950" s="0" t="s">
        <x:v>45</x:v>
      </x:c>
      <x:c r="G2950" s="0" t="s">
        <x:v>19</x:v>
      </x:c>
      <x:c r="H2950" s="0" t="s">
        <x:v>20</x:v>
      </x:c>
      <x:c r="I2950" s="0" t="s">
        <x:v>21</x:v>
      </x:c>
      <x:c r="K2950" s="0">
        <x:f>hyperlink("https://icd.who.int/dev11/l-ichi/en#/http%3A%2F%2Fid.who.int%2Ficd%2Fentity%2F404693753","browser")</x:f>
      </x:c>
      <x:c r="L2950" s="0">
        <x:f>hyperlink("https://icat2.azurewebsites.net/icat/?ontology=ICD&amp;tab=ClassesTab&amp;id=http%3A%2F%2Fwho.int%2Ficd%2312834_512ebf36_bf6b_4d70_85da_cf2637062af4","iCat")</x:f>
      </x:c>
      <x:c r="M2950" s="0" t="s">
        <x:v>21</x:v>
      </x:c>
      <x:c r="N2950" s="0" t="s">
        <x:v>46</x:v>
      </x:c>
    </x:row>
    <x:row r="2951" spans="1:16">
      <x:c r="A2951" s="0" t="s">
        <x:v>11644</x:v>
      </x:c>
      <x:c r="B2951" s="0" t="s">
        <x:v>11645</x:v>
      </x:c>
      <x:c r="C2951" s="0" t="s">
        <x:v>11646</x:v>
      </x:c>
      <x:c r="E2951" s="0" t="s">
        <x:v>11647</x:v>
      </x:c>
      <x:c r="F2951" s="0" t="s">
        <x:v>45</x:v>
      </x:c>
      <x:c r="G2951" s="0" t="s">
        <x:v>19</x:v>
      </x:c>
      <x:c r="H2951" s="0" t="s">
        <x:v>20</x:v>
      </x:c>
      <x:c r="I2951" s="0" t="s">
        <x:v>21</x:v>
      </x:c>
      <x:c r="K2951" s="0">
        <x:f>hyperlink("https://icd.who.int/dev11/l-ichi/en#/http%3A%2F%2Fid.who.int%2Ficd%2Fentity%2F1027049387","browser")</x:f>
      </x:c>
      <x:c r="L2951" s="0">
        <x:f>hyperlink("https://icat2.azurewebsites.net/icat/?ontology=ICD&amp;tab=ClassesTab&amp;id=http%3A%2F%2Fwho.int%2Ficd%2312841_512ebf36_bf6b_4d70_85da_cf2637062af4","iCat")</x:f>
      </x:c>
      <x:c r="M2951" s="0" t="s">
        <x:v>21</x:v>
      </x:c>
      <x:c r="N2951" s="0" t="s">
        <x:v>46</x:v>
      </x:c>
    </x:row>
    <x:row r="2952" spans="1:16">
      <x:c r="A2952" s="0" t="s">
        <x:v>11648</x:v>
      </x:c>
      <x:c r="B2952" s="0" t="s">
        <x:v>11649</x:v>
      </x:c>
      <x:c r="C2952" s="0" t="s">
        <x:v>11650</x:v>
      </x:c>
      <x:c r="E2952" s="0" t="s">
        <x:v>11651</x:v>
      </x:c>
      <x:c r="F2952" s="0" t="s">
        <x:v>45</x:v>
      </x:c>
      <x:c r="G2952" s="0" t="s">
        <x:v>19</x:v>
      </x:c>
      <x:c r="H2952" s="0" t="s">
        <x:v>20</x:v>
      </x:c>
      <x:c r="I2952" s="0" t="s">
        <x:v>21</x:v>
      </x:c>
      <x:c r="K2952" s="0">
        <x:f>hyperlink("https://icd.who.int/dev11/l-ichi/en#/http%3A%2F%2Fid.who.int%2Ficd%2Fentity%2F1397720260","browser")</x:f>
      </x:c>
      <x:c r="L2952" s="0">
        <x:f>hyperlink("https://icat2.azurewebsites.net/icat/?ontology=ICD&amp;tab=ClassesTab&amp;id=http%3A%2F%2Fwho.int%2Ficd%2312848_512ebf36_bf6b_4d70_85da_cf2637062af4","iCat")</x:f>
      </x:c>
      <x:c r="M2952" s="0" t="s">
        <x:v>21</x:v>
      </x:c>
      <x:c r="N2952" s="0" t="s">
        <x:v>46</x:v>
      </x:c>
    </x:row>
    <x:row r="2953" spans="1:16">
      <x:c r="A2953" s="0" t="s">
        <x:v>11652</x:v>
      </x:c>
      <x:c r="B2953" s="0" t="s">
        <x:v>11653</x:v>
      </x:c>
      <x:c r="C2953" s="0" t="s">
        <x:v>11654</x:v>
      </x:c>
      <x:c r="E2953" s="0" t="s">
        <x:v>11655</x:v>
      </x:c>
      <x:c r="F2953" s="0" t="s">
        <x:v>45</x:v>
      </x:c>
      <x:c r="G2953" s="0" t="s">
        <x:v>19</x:v>
      </x:c>
      <x:c r="H2953" s="0" t="s">
        <x:v>20</x:v>
      </x:c>
      <x:c r="I2953" s="0" t="s">
        <x:v>21</x:v>
      </x:c>
      <x:c r="K2953" s="0">
        <x:f>hyperlink("https://icd.who.int/dev11/l-ichi/en#/http%3A%2F%2Fid.who.int%2Ficd%2Fentity%2F1660278410","browser")</x:f>
      </x:c>
      <x:c r="L2953" s="0">
        <x:f>hyperlink("https://icat2.azurewebsites.net/icat/?ontology=ICD&amp;tab=ClassesTab&amp;id=http%3A%2F%2Fwho.int%2Ficd%2312855_512ebf36_bf6b_4d70_85da_cf2637062af4","iCat")</x:f>
      </x:c>
      <x:c r="M2953" s="0" t="s">
        <x:v>21</x:v>
      </x:c>
      <x:c r="N2953" s="0" t="s">
        <x:v>46</x:v>
      </x:c>
    </x:row>
    <x:row r="2954" spans="1:16">
      <x:c r="A2954" s="0" t="s">
        <x:v>11656</x:v>
      </x:c>
      <x:c r="B2954" s="0" t="s">
        <x:v>11657</x:v>
      </x:c>
      <x:c r="C2954" s="0" t="s">
        <x:v>11658</x:v>
      </x:c>
      <x:c r="E2954" s="0" t="s">
        <x:v>11659</x:v>
      </x:c>
      <x:c r="F2954" s="0" t="s">
        <x:v>45</x:v>
      </x:c>
      <x:c r="G2954" s="0" t="s">
        <x:v>19</x:v>
      </x:c>
      <x:c r="H2954" s="0" t="s">
        <x:v>20</x:v>
      </x:c>
      <x:c r="I2954" s="0" t="s">
        <x:v>21</x:v>
      </x:c>
      <x:c r="K2954" s="0">
        <x:f>hyperlink("https://icd.who.int/dev11/l-ichi/en#/http%3A%2F%2Fid.who.int%2Ficd%2Fentity%2F1916751680","browser")</x:f>
      </x:c>
      <x:c r="L2954" s="0">
        <x:f>hyperlink("https://icat2.azurewebsites.net/icat/?ontology=ICD&amp;tab=ClassesTab&amp;id=http%3A%2F%2Fwho.int%2Ficd%2312863_512ebf36_bf6b_4d70_85da_cf2637062af4","iCat")</x:f>
      </x:c>
      <x:c r="M2954" s="0" t="s">
        <x:v>21</x:v>
      </x:c>
      <x:c r="N2954" s="0" t="s">
        <x:v>46</x:v>
      </x:c>
    </x:row>
    <x:row r="2955" spans="1:16">
      <x:c r="A2955" s="0" t="s">
        <x:v>11660</x:v>
      </x:c>
      <x:c r="B2955" s="0" t="s">
        <x:v>11661</x:v>
      </x:c>
      <x:c r="C2955" s="0" t="s">
        <x:v>11662</x:v>
      </x:c>
      <x:c r="E2955" s="0" t="s">
        <x:v>11663</x:v>
      </x:c>
      <x:c r="F2955" s="0" t="s">
        <x:v>45</x:v>
      </x:c>
      <x:c r="G2955" s="0" t="s">
        <x:v>19</x:v>
      </x:c>
      <x:c r="H2955" s="0" t="s">
        <x:v>20</x:v>
      </x:c>
      <x:c r="I2955" s="0" t="s">
        <x:v>21</x:v>
      </x:c>
      <x:c r="K2955" s="0">
        <x:f>hyperlink("https://icd.who.int/dev11/l-ichi/en#/http%3A%2F%2Fid.who.int%2Ficd%2Fentity%2F1568650640","browser")</x:f>
      </x:c>
      <x:c r="L2955" s="0">
        <x:f>hyperlink("https://icat2.azurewebsites.net/icat/?ontology=ICD&amp;tab=ClassesTab&amp;id=http%3A%2F%2Fwho.int%2Ficd%2312870_512ebf36_bf6b_4d70_85da_cf2637062af4","iCat")</x:f>
      </x:c>
      <x:c r="M2955" s="0" t="s">
        <x:v>21</x:v>
      </x:c>
      <x:c r="N2955" s="0" t="s">
        <x:v>46</x:v>
      </x:c>
    </x:row>
    <x:row r="2956" spans="1:16">
      <x:c r="A2956" s="0" t="s">
        <x:v>11664</x:v>
      </x:c>
      <x:c r="B2956" s="0" t="s">
        <x:v>11665</x:v>
      </x:c>
      <x:c r="C2956" s="0" t="s">
        <x:v>11666</x:v>
      </x:c>
      <x:c r="E2956" s="0" t="s">
        <x:v>11667</x:v>
      </x:c>
      <x:c r="F2956" s="0" t="s">
        <x:v>45</x:v>
      </x:c>
      <x:c r="G2956" s="0" t="s">
        <x:v>19</x:v>
      </x:c>
      <x:c r="H2956" s="0" t="s">
        <x:v>20</x:v>
      </x:c>
      <x:c r="I2956" s="0" t="s">
        <x:v>21</x:v>
      </x:c>
      <x:c r="K2956" s="0">
        <x:f>hyperlink("https://icd.who.int/dev11/l-ichi/en#/http%3A%2F%2Fid.who.int%2Ficd%2Fentity%2F182212463","browser")</x:f>
      </x:c>
      <x:c r="L2956" s="0">
        <x:f>hyperlink("https://icat2.azurewebsites.net/icat/?ontology=ICD&amp;tab=ClassesTab&amp;id=http%3A%2F%2Fwho.int%2Ficd%23383_94acc4f6_b696_4796_914a_62879ddd4f65","iCat")</x:f>
      </x:c>
      <x:c r="M2956" s="0" t="s">
        <x:v>21</x:v>
      </x:c>
      <x:c r="N2956" s="0" t="s">
        <x:v>46</x:v>
      </x:c>
    </x:row>
    <x:row r="2957" spans="1:16">
      <x:c r="A2957" s="0" t="s">
        <x:v>11668</x:v>
      </x:c>
      <x:c r="B2957" s="0" t="s">
        <x:v>11669</x:v>
      </x:c>
      <x:c r="C2957" s="0" t="s">
        <x:v>11670</x:v>
      </x:c>
      <x:c r="E2957" s="0" t="s">
        <x:v>11671</x:v>
      </x:c>
      <x:c r="F2957" s="0" t="s">
        <x:v>45</x:v>
      </x:c>
      <x:c r="G2957" s="0" t="s">
        <x:v>19</x:v>
      </x:c>
      <x:c r="H2957" s="0" t="s">
        <x:v>20</x:v>
      </x:c>
      <x:c r="I2957" s="0" t="s">
        <x:v>21</x:v>
      </x:c>
      <x:c r="K2957" s="0">
        <x:f>hyperlink("https://icd.who.int/dev11/l-ichi/en#/http%3A%2F%2Fid.who.int%2Ficd%2Fentity%2F555826175","browser")</x:f>
      </x:c>
      <x:c r="L2957" s="0">
        <x:f>hyperlink("https://icat2.azurewebsites.net/icat/?ontology=ICD&amp;tab=ClassesTab&amp;id=http%3A%2F%2Fwho.int%2Ficd%23389_94acc4f6_b696_4796_914a_62879ddd4f65","iCat")</x:f>
      </x:c>
      <x:c r="M2957" s="0" t="s">
        <x:v>21</x:v>
      </x:c>
      <x:c r="N2957" s="0" t="s">
        <x:v>46</x:v>
      </x:c>
    </x:row>
    <x:row r="2958" spans="1:16">
      <x:c r="A2958" s="0" t="s">
        <x:v>11672</x:v>
      </x:c>
      <x:c r="B2958" s="0" t="s">
        <x:v>11673</x:v>
      </x:c>
      <x:c r="C2958" s="0" t="s">
        <x:v>11674</x:v>
      </x:c>
      <x:c r="E2958" s="0" t="s">
        <x:v>11675</x:v>
      </x:c>
      <x:c r="F2958" s="0" t="s">
        <x:v>45</x:v>
      </x:c>
      <x:c r="G2958" s="0" t="s">
        <x:v>19</x:v>
      </x:c>
      <x:c r="H2958" s="0" t="s">
        <x:v>20</x:v>
      </x:c>
      <x:c r="I2958" s="0" t="s">
        <x:v>21</x:v>
      </x:c>
      <x:c r="K2958" s="0">
        <x:f>hyperlink("https://icd.who.int/dev11/l-ichi/en#/http%3A%2F%2Fid.who.int%2Ficd%2Fentity%2F771563037","browser")</x:f>
      </x:c>
      <x:c r="L2958" s="0">
        <x:f>hyperlink("https://icat2.azurewebsites.net/icat/?ontology=ICD&amp;tab=ClassesTab&amp;id=http%3A%2F%2Fwho.int%2Ficd%2312877_512ebf36_bf6b_4d70_85da_cf2637062af4","iCat")</x:f>
      </x:c>
      <x:c r="M2958" s="0" t="s">
        <x:v>21</x:v>
      </x:c>
      <x:c r="N2958" s="0" t="s">
        <x:v>46</x:v>
      </x:c>
    </x:row>
    <x:row r="2959" spans="1:16">
      <x:c r="A2959" s="0" t="s">
        <x:v>11676</x:v>
      </x:c>
      <x:c r="B2959" s="0" t="s">
        <x:v>11677</x:v>
      </x:c>
      <x:c r="C2959" s="0" t="s">
        <x:v>11678</x:v>
      </x:c>
      <x:c r="E2959" s="0" t="s">
        <x:v>11679</x:v>
      </x:c>
      <x:c r="F2959" s="0" t="s">
        <x:v>45</x:v>
      </x:c>
      <x:c r="G2959" s="0" t="s">
        <x:v>19</x:v>
      </x:c>
      <x:c r="H2959" s="0" t="s">
        <x:v>20</x:v>
      </x:c>
      <x:c r="I2959" s="0" t="s">
        <x:v>21</x:v>
      </x:c>
      <x:c r="K2959" s="0">
        <x:f>hyperlink("https://icd.who.int/dev11/l-ichi/en#/http%3A%2F%2Fid.who.int%2Ficd%2Fentity%2F924684471","browser")</x:f>
      </x:c>
      <x:c r="L2959" s="0">
        <x:f>hyperlink("https://icat2.azurewebsites.net/icat/?ontology=ICD&amp;tab=ClassesTab&amp;id=http%3A%2F%2Fwho.int%2Ficd%2312883_512ebf36_bf6b_4d70_85da_cf2637062af4","iCat")</x:f>
      </x:c>
      <x:c r="M2959" s="0" t="s">
        <x:v>21</x:v>
      </x:c>
      <x:c r="N2959" s="0" t="s">
        <x:v>46</x:v>
      </x:c>
    </x:row>
    <x:row r="2960" spans="1:16">
      <x:c r="A2960" s="0" t="s">
        <x:v>11680</x:v>
      </x:c>
      <x:c r="B2960" s="0" t="s">
        <x:v>11681</x:v>
      </x:c>
      <x:c r="C2960" s="0" t="s">
        <x:v>11682</x:v>
      </x:c>
      <x:c r="E2960" s="0" t="s">
        <x:v>11683</x:v>
      </x:c>
      <x:c r="F2960" s="0" t="s">
        <x:v>45</x:v>
      </x:c>
      <x:c r="G2960" s="0" t="s">
        <x:v>19</x:v>
      </x:c>
      <x:c r="H2960" s="0" t="s">
        <x:v>20</x:v>
      </x:c>
      <x:c r="I2960" s="0" t="s">
        <x:v>21</x:v>
      </x:c>
      <x:c r="K2960" s="0">
        <x:f>hyperlink("https://icd.who.int/dev11/l-ichi/en#/http%3A%2F%2Fid.who.int%2Ficd%2Fentity%2F950278181","browser")</x:f>
      </x:c>
      <x:c r="L2960" s="0">
        <x:f>hyperlink("https://icat2.azurewebsites.net/icat/?ontology=ICD&amp;tab=ClassesTab&amp;id=http%3A%2F%2Fwho.int%2Ficd%2312891_512ebf36_bf6b_4d70_85da_cf2637062af4","iCat")</x:f>
      </x:c>
      <x:c r="M2960" s="0" t="s">
        <x:v>21</x:v>
      </x:c>
      <x:c r="N2960" s="0" t="s">
        <x:v>46</x:v>
      </x:c>
    </x:row>
    <x:row r="2961" spans="1:16">
      <x:c r="A2961" s="0" t="s">
        <x:v>11684</x:v>
      </x:c>
      <x:c r="B2961" s="0" t="s">
        <x:v>11685</x:v>
      </x:c>
      <x:c r="C2961" s="0" t="s">
        <x:v>11686</x:v>
      </x:c>
      <x:c r="E2961" s="0" t="s">
        <x:v>11687</x:v>
      </x:c>
      <x:c r="F2961" s="0" t="s">
        <x:v>45</x:v>
      </x:c>
      <x:c r="G2961" s="0" t="s">
        <x:v>19</x:v>
      </x:c>
      <x:c r="H2961" s="0" t="s">
        <x:v>20</x:v>
      </x:c>
      <x:c r="I2961" s="0" t="s">
        <x:v>21</x:v>
      </x:c>
      <x:c r="K2961" s="0">
        <x:f>hyperlink("https://icd.who.int/dev11/l-ichi/en#/http%3A%2F%2Fid.who.int%2Ficd%2Fentity%2F1759494548","browser")</x:f>
      </x:c>
      <x:c r="L2961" s="0">
        <x:f>hyperlink("https://icat2.azurewebsites.net/icat/?ontology=ICD&amp;tab=ClassesTab&amp;id=http%3A%2F%2Fwho.int%2Ficd%2312897_512ebf36_bf6b_4d70_85da_cf2637062af4","iCat")</x:f>
      </x:c>
      <x:c r="M2961" s="0" t="s">
        <x:v>21</x:v>
      </x:c>
      <x:c r="N2961" s="0" t="s">
        <x:v>46</x:v>
      </x:c>
    </x:row>
    <x:row r="2962" spans="1:16">
      <x:c r="A2962" s="0" t="s">
        <x:v>11688</x:v>
      </x:c>
      <x:c r="B2962" s="0" t="s">
        <x:v>11689</x:v>
      </x:c>
      <x:c r="C2962" s="0" t="s">
        <x:v>11690</x:v>
      </x:c>
      <x:c r="E2962" s="0" t="s">
        <x:v>11691</x:v>
      </x:c>
      <x:c r="F2962" s="0" t="s">
        <x:v>45</x:v>
      </x:c>
      <x:c r="G2962" s="0" t="s">
        <x:v>19</x:v>
      </x:c>
      <x:c r="H2962" s="0" t="s">
        <x:v>20</x:v>
      </x:c>
      <x:c r="I2962" s="0" t="s">
        <x:v>21</x:v>
      </x:c>
      <x:c r="K2962" s="0">
        <x:f>hyperlink("https://icd.who.int/dev11/l-ichi/en#/http%3A%2F%2Fid.who.int%2Ficd%2Fentity%2F758228067","browser")</x:f>
      </x:c>
      <x:c r="L2962" s="0">
        <x:f>hyperlink("https://icat2.azurewebsites.net/icat/?ontology=ICD&amp;tab=ClassesTab&amp;id=http%3A%2F%2Fwho.int%2Ficd%2312904_512ebf36_bf6b_4d70_85da_cf2637062af4","iCat")</x:f>
      </x:c>
      <x:c r="M2962" s="0" t="s">
        <x:v>21</x:v>
      </x:c>
      <x:c r="N2962" s="0" t="s">
        <x:v>46</x:v>
      </x:c>
    </x:row>
    <x:row r="2963" spans="1:16">
      <x:c r="A2963" s="0" t="s">
        <x:v>11692</x:v>
      </x:c>
      <x:c r="B2963" s="0" t="s">
        <x:v>11693</x:v>
      </x:c>
      <x:c r="C2963" s="0" t="s">
        <x:v>11694</x:v>
      </x:c>
      <x:c r="E2963" s="0" t="s">
        <x:v>11695</x:v>
      </x:c>
      <x:c r="F2963" s="0" t="s">
        <x:v>45</x:v>
      </x:c>
      <x:c r="G2963" s="0" t="s">
        <x:v>19</x:v>
      </x:c>
      <x:c r="H2963" s="0" t="s">
        <x:v>20</x:v>
      </x:c>
      <x:c r="I2963" s="0" t="s">
        <x:v>21</x:v>
      </x:c>
      <x:c r="K2963" s="0">
        <x:f>hyperlink("https://icd.who.int/dev11/l-ichi/en#/http%3A%2F%2Fid.who.int%2Ficd%2Fentity%2F395307141","browser")</x:f>
      </x:c>
      <x:c r="L2963" s="0">
        <x:f>hyperlink("https://icat2.azurewebsites.net/icat/?ontology=ICD&amp;tab=ClassesTab&amp;id=http%3A%2F%2Fwho.int%2Ficd%2312912_512ebf36_bf6b_4d70_85da_cf2637062af4","iCat")</x:f>
      </x:c>
      <x:c r="M2963" s="0" t="s">
        <x:v>21</x:v>
      </x:c>
      <x:c r="N2963" s="0" t="s">
        <x:v>46</x:v>
      </x:c>
    </x:row>
    <x:row r="2964" spans="1:16">
      <x:c r="A2964" s="0" t="s">
        <x:v>11696</x:v>
      </x:c>
      <x:c r="B2964" s="0" t="s">
        <x:v>11697</x:v>
      </x:c>
      <x:c r="C2964" s="0" t="s">
        <x:v>11698</x:v>
      </x:c>
      <x:c r="E2964" s="0" t="s">
        <x:v>11699</x:v>
      </x:c>
      <x:c r="F2964" s="0" t="s">
        <x:v>45</x:v>
      </x:c>
      <x:c r="G2964" s="0" t="s">
        <x:v>19</x:v>
      </x:c>
      <x:c r="H2964" s="0" t="s">
        <x:v>20</x:v>
      </x:c>
      <x:c r="I2964" s="0" t="s">
        <x:v>21</x:v>
      </x:c>
      <x:c r="K2964" s="0">
        <x:f>hyperlink("https://icd.who.int/dev11/l-ichi/en#/http%3A%2F%2Fid.who.int%2Ficd%2Fentity%2F843232583","browser")</x:f>
      </x:c>
      <x:c r="L2964" s="0">
        <x:f>hyperlink("https://icat2.azurewebsites.net/icat/?ontology=ICD&amp;tab=ClassesTab&amp;id=http%3A%2F%2Fwho.int%2Ficd%2312920_512ebf36_bf6b_4d70_85da_cf2637062af4","iCat")</x:f>
      </x:c>
      <x:c r="M2964" s="0" t="s">
        <x:v>21</x:v>
      </x:c>
      <x:c r="N2964" s="0" t="s">
        <x:v>46</x:v>
      </x:c>
    </x:row>
    <x:row r="2965" spans="1:16">
      <x:c r="A2965" s="0" t="s">
        <x:v>11700</x:v>
      </x:c>
      <x:c r="B2965" s="0" t="s">
        <x:v>11701</x:v>
      </x:c>
      <x:c r="C2965" s="0" t="s">
        <x:v>11702</x:v>
      </x:c>
      <x:c r="E2965" s="0" t="s">
        <x:v>11703</x:v>
      </x:c>
      <x:c r="F2965" s="0" t="s">
        <x:v>45</x:v>
      </x:c>
      <x:c r="G2965" s="0" t="s">
        <x:v>19</x:v>
      </x:c>
      <x:c r="H2965" s="0" t="s">
        <x:v>20</x:v>
      </x:c>
      <x:c r="I2965" s="0" t="s">
        <x:v>21</x:v>
      </x:c>
      <x:c r="K2965" s="0">
        <x:f>hyperlink("https://icd.who.int/dev11/l-ichi/en#/http%3A%2F%2Fid.who.int%2Ficd%2Fentity%2F2093204498","browser")</x:f>
      </x:c>
      <x:c r="L2965" s="0">
        <x:f>hyperlink("https://icat2.azurewebsites.net/icat/?ontology=ICD&amp;tab=ClassesTab&amp;id=http%3A%2F%2Fwho.int%2Ficd%2312928_512ebf36_bf6b_4d70_85da_cf2637062af4","iCat")</x:f>
      </x:c>
      <x:c r="M2965" s="0" t="s">
        <x:v>21</x:v>
      </x:c>
      <x:c r="N2965" s="0" t="s">
        <x:v>46</x:v>
      </x:c>
    </x:row>
    <x:row r="2966" spans="1:16">
      <x:c r="A2966" s="0" t="s">
        <x:v>11704</x:v>
      </x:c>
      <x:c r="B2966" s="0" t="s">
        <x:v>11705</x:v>
      </x:c>
      <x:c r="C2966" s="0" t="s">
        <x:v>11706</x:v>
      </x:c>
      <x:c r="E2966" s="0" t="s">
        <x:v>11707</x:v>
      </x:c>
      <x:c r="F2966" s="0" t="s">
        <x:v>45</x:v>
      </x:c>
      <x:c r="G2966" s="0" t="s">
        <x:v>19</x:v>
      </x:c>
      <x:c r="H2966" s="0" t="s">
        <x:v>20</x:v>
      </x:c>
      <x:c r="I2966" s="0" t="s">
        <x:v>21</x:v>
      </x:c>
      <x:c r="K2966" s="0">
        <x:f>hyperlink("https://icd.who.int/dev11/l-ichi/en#/http%3A%2F%2Fid.who.int%2Ficd%2Fentity%2F1299813976","browser")</x:f>
      </x:c>
      <x:c r="L2966" s="0">
        <x:f>hyperlink("https://icat2.azurewebsites.net/icat/?ontology=ICD&amp;tab=ClassesTab&amp;id=http%3A%2F%2Fwho.int%2Ficd%2312935_512ebf36_bf6b_4d70_85da_cf2637062af4","iCat")</x:f>
      </x:c>
      <x:c r="M2966" s="0" t="s">
        <x:v>21</x:v>
      </x:c>
      <x:c r="N2966" s="0" t="s">
        <x:v>46</x:v>
      </x:c>
    </x:row>
    <x:row r="2967" spans="1:16">
      <x:c r="A2967" s="0" t="s">
        <x:v>11708</x:v>
      </x:c>
      <x:c r="B2967" s="0" t="s">
        <x:v>11709</x:v>
      </x:c>
      <x:c r="C2967" s="0" t="s">
        <x:v>11710</x:v>
      </x:c>
      <x:c r="E2967" s="0" t="s">
        <x:v>11711</x:v>
      </x:c>
      <x:c r="F2967" s="0" t="s">
        <x:v>45</x:v>
      </x:c>
      <x:c r="G2967" s="0" t="s">
        <x:v>19</x:v>
      </x:c>
      <x:c r="H2967" s="0" t="s">
        <x:v>20</x:v>
      </x:c>
      <x:c r="I2967" s="0" t="s">
        <x:v>21</x:v>
      </x:c>
      <x:c r="K2967" s="0">
        <x:f>hyperlink("https://icd.who.int/dev11/l-ichi/en#/http%3A%2F%2Fid.who.int%2Ficd%2Fentity%2F221064911","browser")</x:f>
      </x:c>
      <x:c r="L2967" s="0">
        <x:f>hyperlink("https://icat2.azurewebsites.net/icat/?ontology=ICD&amp;tab=ClassesTab&amp;id=http%3A%2F%2Fwho.int%2Ficd%2312942_512ebf36_bf6b_4d70_85da_cf2637062af4","iCat")</x:f>
      </x:c>
      <x:c r="M2967" s="0" t="s">
        <x:v>21</x:v>
      </x:c>
      <x:c r="N2967" s="0" t="s">
        <x:v>46</x:v>
      </x:c>
    </x:row>
    <x:row r="2968" spans="1:16">
      <x:c r="A2968" s="0" t="s">
        <x:v>11712</x:v>
      </x:c>
      <x:c r="B2968" s="0" t="s">
        <x:v>11713</x:v>
      </x:c>
      <x:c r="C2968" s="0" t="s">
        <x:v>11714</x:v>
      </x:c>
      <x:c r="E2968" s="0" t="s">
        <x:v>11715</x:v>
      </x:c>
      <x:c r="F2968" s="0" t="s">
        <x:v>45</x:v>
      </x:c>
      <x:c r="G2968" s="0" t="s">
        <x:v>19</x:v>
      </x:c>
      <x:c r="H2968" s="0" t="s">
        <x:v>20</x:v>
      </x:c>
      <x:c r="I2968" s="0" t="s">
        <x:v>21</x:v>
      </x:c>
      <x:c r="K2968" s="0">
        <x:f>hyperlink("https://icd.who.int/dev11/l-ichi/en#/http%3A%2F%2Fid.who.int%2Ficd%2Fentity%2F103362659","browser")</x:f>
      </x:c>
      <x:c r="L2968" s="0">
        <x:f>hyperlink("https://icat2.azurewebsites.net/icat/?ontology=ICD&amp;tab=ClassesTab&amp;id=http%3A%2F%2Fwho.int%2Ficd%2312949_512ebf36_bf6b_4d70_85da_cf2637062af4","iCat")</x:f>
      </x:c>
      <x:c r="M2968" s="0" t="s">
        <x:v>21</x:v>
      </x:c>
      <x:c r="N2968" s="0" t="s">
        <x:v>46</x:v>
      </x:c>
    </x:row>
    <x:row r="2969" spans="1:16">
      <x:c r="A2969" s="0" t="s">
        <x:v>11716</x:v>
      </x:c>
      <x:c r="B2969" s="0" t="s">
        <x:v>11717</x:v>
      </x:c>
      <x:c r="C2969" s="0" t="s">
        <x:v>11718</x:v>
      </x:c>
      <x:c r="E2969" s="0" t="s">
        <x:v>11719</x:v>
      </x:c>
      <x:c r="F2969" s="0" t="s">
        <x:v>45</x:v>
      </x:c>
      <x:c r="G2969" s="0" t="s">
        <x:v>19</x:v>
      </x:c>
      <x:c r="H2969" s="0" t="s">
        <x:v>20</x:v>
      </x:c>
      <x:c r="I2969" s="0" t="s">
        <x:v>21</x:v>
      </x:c>
      <x:c r="K2969" s="0">
        <x:f>hyperlink("https://icd.who.int/dev11/l-ichi/en#/http%3A%2F%2Fid.who.int%2Ficd%2Fentity%2F1827448116","browser")</x:f>
      </x:c>
      <x:c r="L2969" s="0">
        <x:f>hyperlink("https://icat2.azurewebsites.net/icat/?ontology=ICD&amp;tab=ClassesTab&amp;id=http%3A%2F%2Fwho.int%2Ficd%2312959_512ebf36_bf6b_4d70_85da_cf2637062af4","iCat")</x:f>
      </x:c>
      <x:c r="M2969" s="0" t="s">
        <x:v>21</x:v>
      </x:c>
      <x:c r="N2969" s="0" t="s">
        <x:v>46</x:v>
      </x:c>
    </x:row>
    <x:row r="2970" spans="1:16">
      <x:c r="A2970" s="0" t="s">
        <x:v>11720</x:v>
      </x:c>
      <x:c r="B2970" s="0" t="s">
        <x:v>11721</x:v>
      </x:c>
      <x:c r="C2970" s="0" t="s">
        <x:v>11722</x:v>
      </x:c>
      <x:c r="E2970" s="0" t="s">
        <x:v>11723</x:v>
      </x:c>
      <x:c r="F2970" s="0" t="s">
        <x:v>45</x:v>
      </x:c>
      <x:c r="G2970" s="0" t="s">
        <x:v>19</x:v>
      </x:c>
      <x:c r="H2970" s="0" t="s">
        <x:v>20</x:v>
      </x:c>
      <x:c r="I2970" s="0" t="s">
        <x:v>21</x:v>
      </x:c>
      <x:c r="K2970" s="0">
        <x:f>hyperlink("https://icd.who.int/dev11/l-ichi/en#/http%3A%2F%2Fid.who.int%2Ficd%2Fentity%2F308166635","browser")</x:f>
      </x:c>
      <x:c r="L2970" s="0">
        <x:f>hyperlink("https://icat2.azurewebsites.net/icat/?ontology=ICD&amp;tab=ClassesTab&amp;id=http%3A%2F%2Fwho.int%2Ficd%2312966_512ebf36_bf6b_4d70_85da_cf2637062af4","iCat")</x:f>
      </x:c>
      <x:c r="M2970" s="0" t="s">
        <x:v>21</x:v>
      </x:c>
      <x:c r="N2970" s="0" t="s">
        <x:v>46</x:v>
      </x:c>
    </x:row>
    <x:row r="2971" spans="1:16">
      <x:c r="A2971" s="0" t="s">
        <x:v>11724</x:v>
      </x:c>
      <x:c r="B2971" s="0" t="s">
        <x:v>11725</x:v>
      </x:c>
      <x:c r="C2971" s="0" t="s">
        <x:v>11726</x:v>
      </x:c>
      <x:c r="E2971" s="0" t="s">
        <x:v>11727</x:v>
      </x:c>
      <x:c r="F2971" s="0" t="s">
        <x:v>45</x:v>
      </x:c>
      <x:c r="G2971" s="0" t="s">
        <x:v>19</x:v>
      </x:c>
      <x:c r="H2971" s="0" t="s">
        <x:v>20</x:v>
      </x:c>
      <x:c r="I2971" s="0" t="s">
        <x:v>21</x:v>
      </x:c>
      <x:c r="K2971" s="0">
        <x:f>hyperlink("https://icd.who.int/dev11/l-ichi/en#/http%3A%2F%2Fid.who.int%2Ficd%2Fentity%2F1302097608","browser")</x:f>
      </x:c>
      <x:c r="L2971" s="0">
        <x:f>hyperlink("https://icat2.azurewebsites.net/icat/?ontology=ICD&amp;tab=ClassesTab&amp;id=http%3A%2F%2Fwho.int%2Ficd%2312972_512ebf36_bf6b_4d70_85da_cf2637062af4","iCat")</x:f>
      </x:c>
      <x:c r="M2971" s="0" t="s">
        <x:v>21</x:v>
      </x:c>
      <x:c r="N2971" s="0" t="s">
        <x:v>46</x:v>
      </x:c>
    </x:row>
    <x:row r="2972" spans="1:16">
      <x:c r="A2972" s="0" t="s">
        <x:v>11728</x:v>
      </x:c>
      <x:c r="B2972" s="0" t="s">
        <x:v>11729</x:v>
      </x:c>
      <x:c r="C2972" s="0" t="s">
        <x:v>11730</x:v>
      </x:c>
      <x:c r="E2972" s="0" t="s">
        <x:v>11731</x:v>
      </x:c>
      <x:c r="F2972" s="0" t="s">
        <x:v>45</x:v>
      </x:c>
      <x:c r="G2972" s="0" t="s">
        <x:v>19</x:v>
      </x:c>
      <x:c r="H2972" s="0" t="s">
        <x:v>20</x:v>
      </x:c>
      <x:c r="I2972" s="0" t="s">
        <x:v>21</x:v>
      </x:c>
      <x:c r="K2972" s="0">
        <x:f>hyperlink("https://icd.who.int/dev11/l-ichi/en#/http%3A%2F%2Fid.who.int%2Ficd%2Fentity%2F1184395366","browser")</x:f>
      </x:c>
      <x:c r="L2972" s="0">
        <x:f>hyperlink("https://icat2.azurewebsites.net/icat/?ontology=ICD&amp;tab=ClassesTab&amp;id=http%3A%2F%2Fwho.int%2Ficd%2312979_512ebf36_bf6b_4d70_85da_cf2637062af4","iCat")</x:f>
      </x:c>
      <x:c r="M2972" s="0" t="s">
        <x:v>21</x:v>
      </x:c>
      <x:c r="N2972" s="0" t="s">
        <x:v>46</x:v>
      </x:c>
    </x:row>
    <x:row r="2973" spans="1:16">
      <x:c r="A2973" s="0" t="s">
        <x:v>11732</x:v>
      </x:c>
      <x:c r="B2973" s="0" t="s">
        <x:v>11733</x:v>
      </x:c>
      <x:c r="C2973" s="0" t="s">
        <x:v>11734</x:v>
      </x:c>
      <x:c r="E2973" s="0" t="s">
        <x:v>11735</x:v>
      </x:c>
      <x:c r="F2973" s="0" t="s">
        <x:v>45</x:v>
      </x:c>
      <x:c r="G2973" s="0" t="s">
        <x:v>19</x:v>
      </x:c>
      <x:c r="H2973" s="0" t="s">
        <x:v>20</x:v>
      </x:c>
      <x:c r="I2973" s="0" t="s">
        <x:v>21</x:v>
      </x:c>
      <x:c r="K2973" s="0">
        <x:f>hyperlink("https://icd.who.int/dev11/l-ichi/en#/http%3A%2F%2Fid.who.int%2Ficd%2Fentity%2F318345115","browser")</x:f>
      </x:c>
      <x:c r="L2973" s="0">
        <x:f>hyperlink("https://icat2.azurewebsites.net/icat/?ontology=ICD&amp;tab=ClassesTab&amp;id=http%3A%2F%2Fwho.int%2Ficd%2312985_512ebf36_bf6b_4d70_85da_cf2637062af4","iCat")</x:f>
      </x:c>
      <x:c r="M2973" s="0" t="s">
        <x:v>21</x:v>
      </x:c>
      <x:c r="N2973" s="0" t="s">
        <x:v>46</x:v>
      </x:c>
    </x:row>
    <x:row r="2974" spans="1:16">
      <x:c r="A2974" s="0" t="s">
        <x:v>11736</x:v>
      </x:c>
      <x:c r="B2974" s="0" t="s">
        <x:v>11737</x:v>
      </x:c>
      <x:c r="C2974" s="0" t="s">
        <x:v>11738</x:v>
      </x:c>
      <x:c r="E2974" s="0" t="s">
        <x:v>11739</x:v>
      </x:c>
      <x:c r="F2974" s="0" t="s">
        <x:v>45</x:v>
      </x:c>
      <x:c r="G2974" s="0" t="s">
        <x:v>19</x:v>
      </x:c>
      <x:c r="H2974" s="0" t="s">
        <x:v>20</x:v>
      </x:c>
      <x:c r="I2974" s="0" t="s">
        <x:v>21</x:v>
      </x:c>
      <x:c r="K2974" s="0">
        <x:f>hyperlink("https://icd.who.int/dev11/l-ichi/en#/http%3A%2F%2Fid.who.int%2Ficd%2Fentity%2F1295769274","browser")</x:f>
      </x:c>
      <x:c r="L2974" s="0">
        <x:f>hyperlink("https://icat2.azurewebsites.net/icat/?ontology=ICD&amp;tab=ClassesTab&amp;id=http%3A%2F%2Fwho.int%2Ficd%2312991_512ebf36_bf6b_4d70_85da_cf2637062af4","iCat")</x:f>
      </x:c>
      <x:c r="M2974" s="0" t="s">
        <x:v>21</x:v>
      </x:c>
      <x:c r="N2974" s="0" t="s">
        <x:v>46</x:v>
      </x:c>
    </x:row>
    <x:row r="2975" spans="1:16">
      <x:c r="A2975" s="0" t="s">
        <x:v>11740</x:v>
      </x:c>
      <x:c r="B2975" s="0" t="s">
        <x:v>11741</x:v>
      </x:c>
      <x:c r="C2975" s="0" t="s">
        <x:v>11742</x:v>
      </x:c>
      <x:c r="E2975" s="0" t="s">
        <x:v>11743</x:v>
      </x:c>
      <x:c r="F2975" s="0" t="s">
        <x:v>45</x:v>
      </x:c>
      <x:c r="G2975" s="0" t="s">
        <x:v>19</x:v>
      </x:c>
      <x:c r="H2975" s="0" t="s">
        <x:v>20</x:v>
      </x:c>
      <x:c r="I2975" s="0" t="s">
        <x:v>21</x:v>
      </x:c>
      <x:c r="K2975" s="0">
        <x:f>hyperlink("https://icd.who.int/dev11/l-ichi/en#/http%3A%2F%2Fid.who.int%2Ficd%2Fentity%2F99552381","browser")</x:f>
      </x:c>
      <x:c r="L2975" s="0">
        <x:f>hyperlink("https://icat2.azurewebsites.net/icat/?ontology=ICD&amp;tab=ClassesTab&amp;id=http%3A%2F%2Fwho.int%2Ficd%23169_fdfbe215_099f_43a9_be44_e4f78deaea50","iCat")</x:f>
      </x:c>
      <x:c r="M2975" s="0" t="s">
        <x:v>21</x:v>
      </x:c>
      <x:c r="N2975" s="0" t="s">
        <x:v>46</x:v>
      </x:c>
    </x:row>
    <x:row r="2976" spans="1:16">
      <x:c r="A2976" s="0" t="s">
        <x:v>11744</x:v>
      </x:c>
      <x:c r="B2976" s="0" t="s">
        <x:v>11745</x:v>
      </x:c>
      <x:c r="C2976" s="0" t="s">
        <x:v>11746</x:v>
      </x:c>
      <x:c r="E2976" s="0" t="s">
        <x:v>11747</x:v>
      </x:c>
      <x:c r="F2976" s="0" t="s">
        <x:v>45</x:v>
      </x:c>
      <x:c r="G2976" s="0" t="s">
        <x:v>19</x:v>
      </x:c>
      <x:c r="H2976" s="0" t="s">
        <x:v>20</x:v>
      </x:c>
      <x:c r="I2976" s="0" t="s">
        <x:v>21</x:v>
      </x:c>
      <x:c r="K2976" s="0">
        <x:f>hyperlink("https://icd.who.int/dev11/l-ichi/en#/http%3A%2F%2Fid.who.int%2Ficd%2Fentity%2F490735369","browser")</x:f>
      </x:c>
      <x:c r="L2976" s="0">
        <x:f>hyperlink("https://icat2.azurewebsites.net/icat/?ontology=ICD&amp;tab=ClassesTab&amp;id=http%3A%2F%2Fwho.int%2Ficd%2312997_512ebf36_bf6b_4d70_85da_cf2637062af4","iCat")</x:f>
      </x:c>
      <x:c r="M2976" s="0" t="s">
        <x:v>21</x:v>
      </x:c>
      <x:c r="N2976" s="0" t="s">
        <x:v>46</x:v>
      </x:c>
    </x:row>
    <x:row r="2977" spans="1:16">
      <x:c r="A2977" s="0" t="s">
        <x:v>11748</x:v>
      </x:c>
      <x:c r="B2977" s="0" t="s">
        <x:v>11749</x:v>
      </x:c>
      <x:c r="C2977" s="0" t="s">
        <x:v>11750</x:v>
      </x:c>
      <x:c r="E2977" s="0" t="s">
        <x:v>11751</x:v>
      </x:c>
      <x:c r="F2977" s="0" t="s">
        <x:v>45</x:v>
      </x:c>
      <x:c r="G2977" s="0" t="s">
        <x:v>19</x:v>
      </x:c>
      <x:c r="H2977" s="0" t="s">
        <x:v>20</x:v>
      </x:c>
      <x:c r="I2977" s="0" t="s">
        <x:v>21</x:v>
      </x:c>
      <x:c r="K2977" s="0">
        <x:f>hyperlink("https://icd.who.int/dev11/l-ichi/en#/http%3A%2F%2Fid.who.int%2Ficd%2Fentity%2F1849429358","browser")</x:f>
      </x:c>
      <x:c r="L2977" s="0">
        <x:f>hyperlink("https://icat2.azurewebsites.net/icat/?ontology=ICD&amp;tab=ClassesTab&amp;id=http%3A%2F%2Fwho.int%2Ficd%23133_ca295345_04da_4973_8b0f_7a84ba6d528f","iCat")</x:f>
      </x:c>
      <x:c r="M2977" s="0" t="s">
        <x:v>21</x:v>
      </x:c>
      <x:c r="N2977" s="0" t="s">
        <x:v>46</x:v>
      </x:c>
    </x:row>
    <x:row r="2978" spans="1:16">
      <x:c r="A2978" s="0" t="s">
        <x:v>11752</x:v>
      </x:c>
      <x:c r="B2978" s="0" t="s">
        <x:v>11753</x:v>
      </x:c>
      <x:c r="C2978" s="0" t="s">
        <x:v>11754</x:v>
      </x:c>
      <x:c r="E2978" s="0" t="s">
        <x:v>11755</x:v>
      </x:c>
      <x:c r="F2978" s="0" t="s">
        <x:v>45</x:v>
      </x:c>
      <x:c r="G2978" s="0" t="s">
        <x:v>19</x:v>
      </x:c>
      <x:c r="H2978" s="0" t="s">
        <x:v>20</x:v>
      </x:c>
      <x:c r="I2978" s="0" t="s">
        <x:v>21</x:v>
      </x:c>
      <x:c r="K2978" s="0">
        <x:f>hyperlink("https://icd.who.int/dev11/l-ichi/en#/http%3A%2F%2Fid.who.int%2Ficd%2Fentity%2F195380007","browser")</x:f>
      </x:c>
      <x:c r="L2978" s="0">
        <x:f>hyperlink("https://icat2.azurewebsites.net/icat/?ontology=ICD&amp;tab=ClassesTab&amp;id=http%3A%2F%2Fwho.int%2Ficd%2313004_512ebf36_bf6b_4d70_85da_cf2637062af4","iCat")</x:f>
      </x:c>
      <x:c r="M2978" s="0" t="s">
        <x:v>21</x:v>
      </x:c>
      <x:c r="N2978" s="0" t="s">
        <x:v>46</x:v>
      </x:c>
    </x:row>
    <x:row r="2979" spans="1:16">
      <x:c r="A2979" s="0" t="s">
        <x:v>11756</x:v>
      </x:c>
      <x:c r="B2979" s="0" t="s">
        <x:v>11757</x:v>
      </x:c>
      <x:c r="C2979" s="0" t="s">
        <x:v>11758</x:v>
      </x:c>
      <x:c r="E2979" s="0" t="s">
        <x:v>11759</x:v>
      </x:c>
      <x:c r="F2979" s="0" t="s">
        <x:v>45</x:v>
      </x:c>
      <x:c r="G2979" s="0" t="s">
        <x:v>19</x:v>
      </x:c>
      <x:c r="H2979" s="0" t="s">
        <x:v>20</x:v>
      </x:c>
      <x:c r="I2979" s="0" t="s">
        <x:v>21</x:v>
      </x:c>
      <x:c r="K2979" s="0">
        <x:f>hyperlink("https://icd.who.int/dev11/l-ichi/en#/http%3A%2F%2Fid.who.int%2Ficd%2Fentity%2F1416040964","browser")</x:f>
      </x:c>
      <x:c r="L2979" s="0">
        <x:f>hyperlink("https://icat2.azurewebsites.net/icat/?ontology=ICD&amp;tab=ClassesTab&amp;id=http%3A%2F%2Fwho.int%2Ficd%2313010_512ebf36_bf6b_4d70_85da_cf2637062af4","iCat")</x:f>
      </x:c>
      <x:c r="M2979" s="0" t="s">
        <x:v>21</x:v>
      </x:c>
      <x:c r="N2979" s="0" t="s">
        <x:v>46</x:v>
      </x:c>
    </x:row>
    <x:row r="2980" spans="1:16">
      <x:c r="A2980" s="0" t="s">
        <x:v>11760</x:v>
      </x:c>
      <x:c r="B2980" s="0" t="s">
        <x:v>11761</x:v>
      </x:c>
      <x:c r="C2980" s="0" t="s">
        <x:v>11762</x:v>
      </x:c>
      <x:c r="E2980" s="0" t="s">
        <x:v>11763</x:v>
      </x:c>
      <x:c r="F2980" s="0" t="s">
        <x:v>45</x:v>
      </x:c>
      <x:c r="G2980" s="0" t="s">
        <x:v>19</x:v>
      </x:c>
      <x:c r="H2980" s="0" t="s">
        <x:v>20</x:v>
      </x:c>
      <x:c r="I2980" s="0" t="s">
        <x:v>21</x:v>
      </x:c>
      <x:c r="K2980" s="0">
        <x:f>hyperlink("https://icd.who.int/dev11/l-ichi/en#/http%3A%2F%2Fid.who.int%2Ficd%2Fentity%2F874726131","browser")</x:f>
      </x:c>
      <x:c r="L2980" s="0">
        <x:f>hyperlink("https://icat2.azurewebsites.net/icat/?ontology=ICD&amp;tab=ClassesTab&amp;id=http%3A%2F%2Fwho.int%2Ficd%231154_94acc4f6_b696_4796_914a_62879ddd4f65","iCat")</x:f>
      </x:c>
      <x:c r="M2980" s="0" t="s">
        <x:v>21</x:v>
      </x:c>
      <x:c r="N2980" s="0" t="s">
        <x:v>46</x:v>
      </x:c>
    </x:row>
    <x:row r="2981" spans="1:16">
      <x:c r="A2981" s="0" t="s">
        <x:v>11764</x:v>
      </x:c>
      <x:c r="B2981" s="0" t="s">
        <x:v>11765</x:v>
      </x:c>
      <x:c r="C2981" s="0" t="s">
        <x:v>11766</x:v>
      </x:c>
      <x:c r="E2981" s="0" t="s">
        <x:v>11767</x:v>
      </x:c>
      <x:c r="F2981" s="0" t="s">
        <x:v>45</x:v>
      </x:c>
      <x:c r="G2981" s="0" t="s">
        <x:v>19</x:v>
      </x:c>
      <x:c r="H2981" s="0" t="s">
        <x:v>20</x:v>
      </x:c>
      <x:c r="I2981" s="0" t="s">
        <x:v>21</x:v>
      </x:c>
      <x:c r="K2981" s="0">
        <x:f>hyperlink("https://icd.who.int/dev11/l-ichi/en#/http%3A%2F%2Fid.who.int%2Ficd%2Fentity%2F1364409850","browser")</x:f>
      </x:c>
      <x:c r="L2981" s="0">
        <x:f>hyperlink("https://icat2.azurewebsites.net/icat/?ontology=ICD&amp;tab=ClassesTab&amp;id=http%3A%2F%2Fwho.int%2Ficd%2313023_512ebf36_bf6b_4d70_85da_cf2637062af4","iCat")</x:f>
      </x:c>
      <x:c r="M2981" s="0" t="s">
        <x:v>21</x:v>
      </x:c>
      <x:c r="N2981" s="0" t="s">
        <x:v>46</x:v>
      </x:c>
    </x:row>
    <x:row r="2982" spans="1:16">
      <x:c r="A2982" s="0" t="s">
        <x:v>11768</x:v>
      </x:c>
      <x:c r="B2982" s="0" t="s">
        <x:v>11769</x:v>
      </x:c>
      <x:c r="D2982" s="0" t="s">
        <x:v>11770</x:v>
      </x:c>
      <x:c r="E2982" s="0" t="s">
        <x:v>11771</x:v>
      </x:c>
      <x:c r="F2982" s="0" t="s">
        <x:v>26</x:v>
      </x:c>
      <x:c r="G2982" s="0" t="s">
        <x:v>22</x:v>
      </x:c>
      <x:c r="H2982" s="0" t="s">
        <x:v>20</x:v>
      </x:c>
      <x:c r="I2982" s="0" t="s">
        <x:v>21</x:v>
      </x:c>
      <x:c r="K2982" s="0">
        <x:f>hyperlink("https://icd.who.int/dev11/l-ichi/en#/http%3A%2F%2Fid.who.int%2Ficd%2Fentity%2F778575589","browser")</x:f>
      </x:c>
      <x:c r="L2982" s="0">
        <x:f>hyperlink("https://icat2.azurewebsites.net/icat/?ontology=ICD&amp;tab=ClassesTab&amp;id=http%3A%2F%2Fwho.int%2Ficd%2313036_512ebf36_bf6b_4d70_85da_cf2637062af4","iCat")</x:f>
      </x:c>
      <x:c r="M2982" s="0" t="s">
        <x:v>20</x:v>
      </x:c>
      <x:c r="N2982" s="0" t="s">
        <x:v>11772</x:v>
      </x:c>
    </x:row>
    <x:row r="2983" spans="1:16">
      <x:c r="A2983" s="0" t="s">
        <x:v>11773</x:v>
      </x:c>
      <x:c r="B2983" s="0" t="s">
        <x:v>11774</x:v>
      </x:c>
      <x:c r="C2983" s="0" t="s">
        <x:v>11775</x:v>
      </x:c>
      <x:c r="E2983" s="0" t="s">
        <x:v>11776</x:v>
      </x:c>
      <x:c r="F2983" s="0" t="s">
        <x:v>45</x:v>
      </x:c>
      <x:c r="G2983" s="0" t="s">
        <x:v>19</x:v>
      </x:c>
      <x:c r="H2983" s="0" t="s">
        <x:v>20</x:v>
      </x:c>
      <x:c r="I2983" s="0" t="s">
        <x:v>21</x:v>
      </x:c>
      <x:c r="K2983" s="0">
        <x:f>hyperlink("https://icd.who.int/dev11/l-ichi/en#/http%3A%2F%2Fid.who.int%2Ficd%2Fentity%2F1810723102","browser")</x:f>
      </x:c>
      <x:c r="L2983" s="0">
        <x:f>hyperlink("https://icat2.azurewebsites.net/icat/?ontology=ICD&amp;tab=ClassesTab&amp;id=http%3A%2F%2Fwho.int%2Ficd%2313035_512ebf36_bf6b_4d70_85da_cf2637062af4","iCat")</x:f>
      </x:c>
      <x:c r="M2983" s="0" t="s">
        <x:v>21</x:v>
      </x:c>
      <x:c r="N2983" s="0" t="s">
        <x:v>46</x:v>
      </x:c>
    </x:row>
    <x:row r="2984" spans="1:16">
      <x:c r="A2984" s="0" t="s">
        <x:v>11777</x:v>
      </x:c>
      <x:c r="B2984" s="0" t="s">
        <x:v>11778</x:v>
      </x:c>
      <x:c r="C2984" s="0" t="s">
        <x:v>11779</x:v>
      </x:c>
      <x:c r="E2984" s="0" t="s">
        <x:v>11780</x:v>
      </x:c>
      <x:c r="F2984" s="0" t="s">
        <x:v>45</x:v>
      </x:c>
      <x:c r="G2984" s="0" t="s">
        <x:v>19</x:v>
      </x:c>
      <x:c r="H2984" s="0" t="s">
        <x:v>20</x:v>
      </x:c>
      <x:c r="I2984" s="0" t="s">
        <x:v>21</x:v>
      </x:c>
      <x:c r="K2984" s="0">
        <x:f>hyperlink("https://icd.who.int/dev11/l-ichi/en#/http%3A%2F%2Fid.who.int%2Ficd%2Fentity%2F4498715","browser")</x:f>
      </x:c>
      <x:c r="L2984" s="0">
        <x:f>hyperlink("https://icat2.azurewebsites.net/icat/?ontology=ICD&amp;tab=ClassesTab&amp;id=http%3A%2F%2Fwho.int%2Ficd%2313048_512ebf36_bf6b_4d70_85da_cf2637062af4","iCat")</x:f>
      </x:c>
      <x:c r="M2984" s="0" t="s">
        <x:v>21</x:v>
      </x:c>
      <x:c r="N2984" s="0" t="s">
        <x:v>46</x:v>
      </x:c>
    </x:row>
    <x:row r="2985" spans="1:16">
      <x:c r="A2985" s="0" t="s">
        <x:v>11781</x:v>
      </x:c>
      <x:c r="B2985" s="0" t="s">
        <x:v>11782</x:v>
      </x:c>
      <x:c r="C2985" s="0" t="s">
        <x:v>11783</x:v>
      </x:c>
      <x:c r="E2985" s="0" t="s">
        <x:v>11784</x:v>
      </x:c>
      <x:c r="F2985" s="0" t="s">
        <x:v>45</x:v>
      </x:c>
      <x:c r="G2985" s="0" t="s">
        <x:v>19</x:v>
      </x:c>
      <x:c r="H2985" s="0" t="s">
        <x:v>20</x:v>
      </x:c>
      <x:c r="I2985" s="0" t="s">
        <x:v>21</x:v>
      </x:c>
      <x:c r="K2985" s="0">
        <x:f>hyperlink("https://icd.who.int/dev11/l-ichi/en#/http%3A%2F%2Fid.who.int%2Ficd%2Fentity%2F838793041","browser")</x:f>
      </x:c>
      <x:c r="L2985" s="0">
        <x:f>hyperlink("https://icat2.azurewebsites.net/icat/?ontology=ICD&amp;tab=ClassesTab&amp;id=http%3A%2F%2Fwho.int%2Ficd%2313055_512ebf36_bf6b_4d70_85da_cf2637062af4","iCat")</x:f>
      </x:c>
      <x:c r="M2985" s="0" t="s">
        <x:v>21</x:v>
      </x:c>
      <x:c r="N2985" s="0" t="s">
        <x:v>46</x:v>
      </x:c>
    </x:row>
    <x:row r="2986" spans="1:16">
      <x:c r="A2986" s="0" t="s">
        <x:v>11785</x:v>
      </x:c>
      <x:c r="B2986" s="0" t="s">
        <x:v>11786</x:v>
      </x:c>
      <x:c r="C2986" s="0" t="s">
        <x:v>11787</x:v>
      </x:c>
      <x:c r="E2986" s="0" t="s">
        <x:v>11788</x:v>
      </x:c>
      <x:c r="F2986" s="0" t="s">
        <x:v>45</x:v>
      </x:c>
      <x:c r="G2986" s="0" t="s">
        <x:v>19</x:v>
      </x:c>
      <x:c r="H2986" s="0" t="s">
        <x:v>20</x:v>
      </x:c>
      <x:c r="I2986" s="0" t="s">
        <x:v>21</x:v>
      </x:c>
      <x:c r="K2986" s="0">
        <x:f>hyperlink("https://icd.who.int/dev11/l-ichi/en#/http%3A%2F%2Fid.who.int%2Ficd%2Fentity%2F437612509","browser")</x:f>
      </x:c>
      <x:c r="L2986" s="0">
        <x:f>hyperlink("https://icat2.azurewebsites.net/icat/?ontology=ICD&amp;tab=ClassesTab&amp;id=http%3A%2F%2Fwho.int%2Ficd%23919_e9bf9ac7_0f21_4391_8ab3_5944290f317a","iCat")</x:f>
      </x:c>
      <x:c r="M2986" s="0" t="s">
        <x:v>21</x:v>
      </x:c>
      <x:c r="N2986" s="0" t="s">
        <x:v>46</x:v>
      </x:c>
    </x:row>
    <x:row r="2987" spans="1:16">
      <x:c r="A2987" s="0" t="s">
        <x:v>11789</x:v>
      </x:c>
      <x:c r="B2987" s="0" t="s">
        <x:v>11790</x:v>
      </x:c>
      <x:c r="C2987" s="0" t="s">
        <x:v>11791</x:v>
      </x:c>
      <x:c r="E2987" s="0" t="s">
        <x:v>11792</x:v>
      </x:c>
      <x:c r="F2987" s="0" t="s">
        <x:v>45</x:v>
      </x:c>
      <x:c r="G2987" s="0" t="s">
        <x:v>19</x:v>
      </x:c>
      <x:c r="H2987" s="0" t="s">
        <x:v>20</x:v>
      </x:c>
      <x:c r="I2987" s="0" t="s">
        <x:v>21</x:v>
      </x:c>
      <x:c r="K2987" s="0">
        <x:f>hyperlink("https://icd.who.int/dev11/l-ichi/en#/http%3A%2F%2Fid.who.int%2Ficd%2Fentity%2F1145598754","browser")</x:f>
      </x:c>
      <x:c r="L2987" s="0">
        <x:f>hyperlink("https://icat2.azurewebsites.net/icat/?ontology=ICD&amp;tab=ClassesTab&amp;id=http%3A%2F%2Fwho.int%2Ficd%2313061_512ebf36_bf6b_4d70_85da_cf2637062af4","iCat")</x:f>
      </x:c>
      <x:c r="M2987" s="0" t="s">
        <x:v>21</x:v>
      </x:c>
      <x:c r="N2987" s="0" t="s">
        <x:v>46</x:v>
      </x:c>
    </x:row>
    <x:row r="2988" spans="1:16">
      <x:c r="A2988" s="0" t="s">
        <x:v>11793</x:v>
      </x:c>
      <x:c r="B2988" s="0" t="s">
        <x:v>11794</x:v>
      </x:c>
      <x:c r="C2988" s="0" t="s">
        <x:v>11795</x:v>
      </x:c>
      <x:c r="E2988" s="0" t="s">
        <x:v>11796</x:v>
      </x:c>
      <x:c r="F2988" s="0" t="s">
        <x:v>45</x:v>
      </x:c>
      <x:c r="G2988" s="0" t="s">
        <x:v>19</x:v>
      </x:c>
      <x:c r="H2988" s="0" t="s">
        <x:v>20</x:v>
      </x:c>
      <x:c r="I2988" s="0" t="s">
        <x:v>21</x:v>
      </x:c>
      <x:c r="K2988" s="0">
        <x:f>hyperlink("https://icd.who.int/dev11/l-ichi/en#/http%3A%2F%2Fid.who.int%2Ficd%2Fentity%2F338930323","browser")</x:f>
      </x:c>
      <x:c r="L2988" s="0">
        <x:f>hyperlink("https://icat2.azurewebsites.net/icat/?ontology=ICD&amp;tab=ClassesTab&amp;id=http%3A%2F%2Fwho.int%2Ficd%2313067_512ebf36_bf6b_4d70_85da_cf2637062af4","iCat")</x:f>
      </x:c>
      <x:c r="M2988" s="0" t="s">
        <x:v>21</x:v>
      </x:c>
      <x:c r="N2988" s="0" t="s">
        <x:v>46</x:v>
      </x:c>
    </x:row>
    <x:row r="2989" spans="1:16">
      <x:c r="A2989" s="0" t="s">
        <x:v>11797</x:v>
      </x:c>
      <x:c r="B2989" s="0" t="s">
        <x:v>11798</x:v>
      </x:c>
      <x:c r="C2989" s="0" t="s">
        <x:v>11799</x:v>
      </x:c>
      <x:c r="E2989" s="0" t="s">
        <x:v>11800</x:v>
      </x:c>
      <x:c r="F2989" s="0" t="s">
        <x:v>45</x:v>
      </x:c>
      <x:c r="G2989" s="0" t="s">
        <x:v>19</x:v>
      </x:c>
      <x:c r="H2989" s="0" t="s">
        <x:v>20</x:v>
      </x:c>
      <x:c r="I2989" s="0" t="s">
        <x:v>21</x:v>
      </x:c>
      <x:c r="K2989" s="0">
        <x:f>hyperlink("https://icd.who.int/dev11/l-ichi/en#/http%3A%2F%2Fid.who.int%2Ficd%2Fentity%2F997412925","browser")</x:f>
      </x:c>
      <x:c r="L2989" s="0">
        <x:f>hyperlink("https://icat2.azurewebsites.net/icat/?ontology=ICD&amp;tab=ClassesTab&amp;id=http%3A%2F%2Fwho.int%2Ficd%2313074_512ebf36_bf6b_4d70_85da_cf2637062af4","iCat")</x:f>
      </x:c>
      <x:c r="M2989" s="0" t="s">
        <x:v>21</x:v>
      </x:c>
      <x:c r="N2989" s="0" t="s">
        <x:v>46</x:v>
      </x:c>
    </x:row>
    <x:row r="2990" spans="1:16">
      <x:c r="A2990" s="0" t="s">
        <x:v>11801</x:v>
      </x:c>
      <x:c r="B2990" s="0" t="s">
        <x:v>11802</x:v>
      </x:c>
      <x:c r="C2990" s="0" t="s">
        <x:v>11803</x:v>
      </x:c>
      <x:c r="E2990" s="0" t="s">
        <x:v>11804</x:v>
      </x:c>
      <x:c r="F2990" s="0" t="s">
        <x:v>45</x:v>
      </x:c>
      <x:c r="G2990" s="0" t="s">
        <x:v>19</x:v>
      </x:c>
      <x:c r="H2990" s="0" t="s">
        <x:v>20</x:v>
      </x:c>
      <x:c r="I2990" s="0" t="s">
        <x:v>21</x:v>
      </x:c>
      <x:c r="K2990" s="0">
        <x:f>hyperlink("https://icd.who.int/dev11/l-ichi/en#/http%3A%2F%2Fid.who.int%2Ficd%2Fentity%2F725399872","browser")</x:f>
      </x:c>
      <x:c r="L2990" s="0">
        <x:f>hyperlink("https://icat2.azurewebsites.net/icat/?ontology=ICD&amp;tab=ClassesTab&amp;id=http%3A%2F%2Fwho.int%2Ficd%2316018_4869915e_217e_423d_acb3_33c0f920ef4b","iCat")</x:f>
      </x:c>
      <x:c r="M2990" s="0" t="s">
        <x:v>21</x:v>
      </x:c>
      <x:c r="N2990" s="0" t="s">
        <x:v>46</x:v>
      </x:c>
    </x:row>
    <x:row r="2991" spans="1:16">
      <x:c r="A2991" s="0" t="s">
        <x:v>11805</x:v>
      </x:c>
      <x:c r="B2991" s="0" t="s">
        <x:v>11806</x:v>
      </x:c>
      <x:c r="C2991" s="0" t="s">
        <x:v>11807</x:v>
      </x:c>
      <x:c r="E2991" s="0" t="s">
        <x:v>11808</x:v>
      </x:c>
      <x:c r="F2991" s="0" t="s">
        <x:v>45</x:v>
      </x:c>
      <x:c r="G2991" s="0" t="s">
        <x:v>19</x:v>
      </x:c>
      <x:c r="H2991" s="0" t="s">
        <x:v>20</x:v>
      </x:c>
      <x:c r="I2991" s="0" t="s">
        <x:v>21</x:v>
      </x:c>
      <x:c r="K2991" s="0">
        <x:f>hyperlink("https://icd.who.int/dev11/l-ichi/en#/http%3A%2F%2Fid.who.int%2Ficd%2Fentity%2F563338903","browser")</x:f>
      </x:c>
      <x:c r="L2991" s="0">
        <x:f>hyperlink("https://icat2.azurewebsites.net/icat/?ontology=ICD&amp;tab=ClassesTab&amp;id=http%3A%2F%2Fwho.int%2Ficd%2313080_512ebf36_bf6b_4d70_85da_cf2637062af4","iCat")</x:f>
      </x:c>
      <x:c r="M2991" s="0" t="s">
        <x:v>21</x:v>
      </x:c>
      <x:c r="N2991" s="0" t="s">
        <x:v>46</x:v>
      </x:c>
    </x:row>
    <x:row r="2992" spans="1:16">
      <x:c r="A2992" s="0" t="s">
        <x:v>11809</x:v>
      </x:c>
      <x:c r="B2992" s="0" t="s">
        <x:v>11810</x:v>
      </x:c>
      <x:c r="C2992" s="0" t="s">
        <x:v>11811</x:v>
      </x:c>
      <x:c r="E2992" s="0" t="s">
        <x:v>11812</x:v>
      </x:c>
      <x:c r="F2992" s="0" t="s">
        <x:v>45</x:v>
      </x:c>
      <x:c r="G2992" s="0" t="s">
        <x:v>19</x:v>
      </x:c>
      <x:c r="H2992" s="0" t="s">
        <x:v>20</x:v>
      </x:c>
      <x:c r="I2992" s="0" t="s">
        <x:v>21</x:v>
      </x:c>
      <x:c r="K2992" s="0">
        <x:f>hyperlink("https://icd.who.int/dev11/l-ichi/en#/http%3A%2F%2Fid.who.int%2Ficd%2Fentity%2F1911031590","browser")</x:f>
      </x:c>
      <x:c r="L2992" s="0">
        <x:f>hyperlink("https://icat2.azurewebsites.net/icat/?ontology=ICD&amp;tab=ClassesTab&amp;id=http%3A%2F%2Fwho.int%2Ficd%2313086_512ebf36_bf6b_4d70_85da_cf2637062af4","iCat")</x:f>
      </x:c>
      <x:c r="M2992" s="0" t="s">
        <x:v>21</x:v>
      </x:c>
      <x:c r="N2992" s="0" t="s">
        <x:v>46</x:v>
      </x:c>
    </x:row>
    <x:row r="2993" spans="1:16">
      <x:c r="A2993" s="0" t="s">
        <x:v>11813</x:v>
      </x:c>
      <x:c r="B2993" s="0" t="s">
        <x:v>11814</x:v>
      </x:c>
      <x:c r="C2993" s="0" t="s">
        <x:v>11815</x:v>
      </x:c>
      <x:c r="E2993" s="0" t="s">
        <x:v>11816</x:v>
      </x:c>
      <x:c r="F2993" s="0" t="s">
        <x:v>45</x:v>
      </x:c>
      <x:c r="G2993" s="0" t="s">
        <x:v>19</x:v>
      </x:c>
      <x:c r="H2993" s="0" t="s">
        <x:v>20</x:v>
      </x:c>
      <x:c r="I2993" s="0" t="s">
        <x:v>21</x:v>
      </x:c>
      <x:c r="K2993" s="0">
        <x:f>hyperlink("https://icd.who.int/dev11/l-ichi/en#/http%3A%2F%2Fid.who.int%2Ficd%2Fentity%2F2119274420","browser")</x:f>
      </x:c>
      <x:c r="L2993" s="0">
        <x:f>hyperlink("https://icat2.azurewebsites.net/icat/?ontology=ICD&amp;tab=ClassesTab&amp;id=http%3A%2F%2Fwho.int%2Ficd%2313094_512ebf36_bf6b_4d70_85da_cf2637062af4","iCat")</x:f>
      </x:c>
      <x:c r="M2993" s="0" t="s">
        <x:v>21</x:v>
      </x:c>
      <x:c r="N2993" s="0" t="s">
        <x:v>46</x:v>
      </x:c>
    </x:row>
    <x:row r="2994" spans="1:16">
      <x:c r="A2994" s="0" t="s">
        <x:v>11817</x:v>
      </x:c>
      <x:c r="B2994" s="0" t="s">
        <x:v>11818</x:v>
      </x:c>
      <x:c r="C2994" s="0" t="s">
        <x:v>11819</x:v>
      </x:c>
      <x:c r="E2994" s="0" t="s">
        <x:v>11820</x:v>
      </x:c>
      <x:c r="F2994" s="0" t="s">
        <x:v>45</x:v>
      </x:c>
      <x:c r="G2994" s="0" t="s">
        <x:v>19</x:v>
      </x:c>
      <x:c r="H2994" s="0" t="s">
        <x:v>20</x:v>
      </x:c>
      <x:c r="I2994" s="0" t="s">
        <x:v>21</x:v>
      </x:c>
      <x:c r="K2994" s="0">
        <x:f>hyperlink("https://icd.who.int/dev11/l-ichi/en#/http%3A%2F%2Fid.who.int%2Ficd%2Fentity%2F1262305742","browser")</x:f>
      </x:c>
      <x:c r="L2994" s="0">
        <x:f>hyperlink("https://icat2.azurewebsites.net/icat/?ontology=ICD&amp;tab=ClassesTab&amp;id=http%3A%2F%2Fwho.int%2Ficd%2313100_512ebf36_bf6b_4d70_85da_cf2637062af4","iCat")</x:f>
      </x:c>
      <x:c r="M2994" s="0" t="s">
        <x:v>21</x:v>
      </x:c>
      <x:c r="N2994" s="0" t="s">
        <x:v>46</x:v>
      </x:c>
    </x:row>
    <x:row r="2995" spans="1:16">
      <x:c r="A2995" s="0" t="s">
        <x:v>11821</x:v>
      </x:c>
      <x:c r="B2995" s="0" t="s">
        <x:v>11822</x:v>
      </x:c>
      <x:c r="C2995" s="0" t="s">
        <x:v>11823</x:v>
      </x:c>
      <x:c r="E2995" s="0" t="s">
        <x:v>11824</x:v>
      </x:c>
      <x:c r="F2995" s="0" t="s">
        <x:v>45</x:v>
      </x:c>
      <x:c r="G2995" s="0" t="s">
        <x:v>19</x:v>
      </x:c>
      <x:c r="H2995" s="0" t="s">
        <x:v>20</x:v>
      </x:c>
      <x:c r="I2995" s="0" t="s">
        <x:v>21</x:v>
      </x:c>
      <x:c r="K2995" s="0">
        <x:f>hyperlink("https://icd.who.int/dev11/l-ichi/en#/http%3A%2F%2Fid.who.int%2Ficd%2Fentity%2F2107850211","browser")</x:f>
      </x:c>
      <x:c r="L2995" s="0">
        <x:f>hyperlink("https://icat2.azurewebsites.net/icat/?ontology=ICD&amp;tab=ClassesTab&amp;id=http%3A%2F%2Fwho.int%2Ficd%23117_97087496_4a82_4efa_a45a_b3256f81bd7e","iCat")</x:f>
      </x:c>
      <x:c r="M2995" s="0" t="s">
        <x:v>21</x:v>
      </x:c>
      <x:c r="N2995" s="0" t="s">
        <x:v>46</x:v>
      </x:c>
    </x:row>
    <x:row r="2996" spans="1:16">
      <x:c r="A2996" s="0" t="s">
        <x:v>11825</x:v>
      </x:c>
      <x:c r="B2996" s="0" t="s">
        <x:v>11826</x:v>
      </x:c>
      <x:c r="C2996" s="0" t="s">
        <x:v>11827</x:v>
      </x:c>
      <x:c r="E2996" s="0" t="s">
        <x:v>11828</x:v>
      </x:c>
      <x:c r="F2996" s="0" t="s">
        <x:v>45</x:v>
      </x:c>
      <x:c r="G2996" s="0" t="s">
        <x:v>19</x:v>
      </x:c>
      <x:c r="H2996" s="0" t="s">
        <x:v>20</x:v>
      </x:c>
      <x:c r="I2996" s="0" t="s">
        <x:v>21</x:v>
      </x:c>
      <x:c r="K2996" s="0">
        <x:f>hyperlink("https://icd.who.int/dev11/l-ichi/en#/http%3A%2F%2Fid.who.int%2Ficd%2Fentity%2F457611391","browser")</x:f>
      </x:c>
      <x:c r="L2996" s="0">
        <x:f>hyperlink("https://icat2.azurewebsites.net/icat/?ontology=ICD&amp;tab=ClassesTab&amp;id=http%3A%2F%2Fwho.int%2Ficd%2313106_512ebf36_bf6b_4d70_85da_cf2637062af4","iCat")</x:f>
      </x:c>
      <x:c r="M2996" s="0" t="s">
        <x:v>21</x:v>
      </x:c>
      <x:c r="N2996" s="0" t="s">
        <x:v>46</x:v>
      </x:c>
    </x:row>
    <x:row r="2997" spans="1:16">
      <x:c r="A2997" s="0" t="s">
        <x:v>11829</x:v>
      </x:c>
      <x:c r="B2997" s="0" t="s">
        <x:v>11830</x:v>
      </x:c>
      <x:c r="C2997" s="0" t="s">
        <x:v>11831</x:v>
      </x:c>
      <x:c r="E2997" s="0" t="s">
        <x:v>11832</x:v>
      </x:c>
      <x:c r="F2997" s="0" t="s">
        <x:v>45</x:v>
      </x:c>
      <x:c r="G2997" s="0" t="s">
        <x:v>19</x:v>
      </x:c>
      <x:c r="H2997" s="0" t="s">
        <x:v>20</x:v>
      </x:c>
      <x:c r="I2997" s="0" t="s">
        <x:v>21</x:v>
      </x:c>
      <x:c r="K2997" s="0">
        <x:f>hyperlink("https://icd.who.int/dev11/l-ichi/en#/http%3A%2F%2Fid.who.int%2Ficd%2Fentity%2F1954231224","browser")</x:f>
      </x:c>
      <x:c r="L2997" s="0">
        <x:f>hyperlink("https://icat2.azurewebsites.net/icat/?ontology=ICD&amp;tab=ClassesTab&amp;id=http%3A%2F%2Fwho.int%2Ficd%23124_ca295345_04da_4973_8b0f_7a84ba6d528f","iCat")</x:f>
      </x:c>
      <x:c r="M2997" s="0" t="s">
        <x:v>21</x:v>
      </x:c>
      <x:c r="N2997" s="0" t="s">
        <x:v>46</x:v>
      </x:c>
    </x:row>
    <x:row r="2998" spans="1:16">
      <x:c r="A2998" s="0" t="s">
        <x:v>11833</x:v>
      </x:c>
      <x:c r="B2998" s="0" t="s">
        <x:v>11834</x:v>
      </x:c>
      <x:c r="C2998" s="0" t="s">
        <x:v>11835</x:v>
      </x:c>
      <x:c r="E2998" s="0" t="s">
        <x:v>11836</x:v>
      </x:c>
      <x:c r="F2998" s="0" t="s">
        <x:v>45</x:v>
      </x:c>
      <x:c r="G2998" s="0" t="s">
        <x:v>19</x:v>
      </x:c>
      <x:c r="H2998" s="0" t="s">
        <x:v>20</x:v>
      </x:c>
      <x:c r="I2998" s="0" t="s">
        <x:v>21</x:v>
      </x:c>
      <x:c r="K2998" s="0">
        <x:f>hyperlink("https://icd.who.int/dev11/l-ichi/en#/http%3A%2F%2Fid.who.int%2Ficd%2Fentity%2F352260333","browser")</x:f>
      </x:c>
      <x:c r="L2998" s="0">
        <x:f>hyperlink("https://icat2.azurewebsites.net/icat/?ontology=ICD&amp;tab=ClassesTab&amp;id=http%3A%2F%2Fwho.int%2Ficd%2313114_512ebf36_bf6b_4d70_85da_cf2637062af4","iCat")</x:f>
      </x:c>
      <x:c r="M2998" s="0" t="s">
        <x:v>21</x:v>
      </x:c>
      <x:c r="N2998" s="0" t="s">
        <x:v>46</x:v>
      </x:c>
    </x:row>
    <x:row r="2999" spans="1:16">
      <x:c r="A2999" s="0" t="s">
        <x:v>11837</x:v>
      </x:c>
      <x:c r="B2999" s="0" t="s">
        <x:v>11838</x:v>
      </x:c>
      <x:c r="C2999" s="0" t="s">
        <x:v>11839</x:v>
      </x:c>
      <x:c r="E2999" s="0" t="s">
        <x:v>11840</x:v>
      </x:c>
      <x:c r="F2999" s="0" t="s">
        <x:v>45</x:v>
      </x:c>
      <x:c r="G2999" s="0" t="s">
        <x:v>19</x:v>
      </x:c>
      <x:c r="H2999" s="0" t="s">
        <x:v>20</x:v>
      </x:c>
      <x:c r="I2999" s="0" t="s">
        <x:v>21</x:v>
      </x:c>
      <x:c r="K2999" s="0">
        <x:f>hyperlink("https://icd.who.int/dev11/l-ichi/en#/http%3A%2F%2Fid.who.int%2Ficd%2Fentity%2F1102112418","browser")</x:f>
      </x:c>
      <x:c r="L2999" s="0">
        <x:f>hyperlink("https://icat2.azurewebsites.net/icat/?ontology=ICD&amp;tab=ClassesTab&amp;id=http%3A%2F%2Fwho.int%2Ficd%2313121_512ebf36_bf6b_4d70_85da_cf2637062af4","iCat")</x:f>
      </x:c>
      <x:c r="M2999" s="0" t="s">
        <x:v>21</x:v>
      </x:c>
      <x:c r="N2999" s="0" t="s">
        <x:v>46</x:v>
      </x:c>
    </x:row>
    <x:row r="3000" spans="1:16">
      <x:c r="A3000" s="0" t="s">
        <x:v>11841</x:v>
      </x:c>
      <x:c r="B3000" s="0" t="s">
        <x:v>11842</x:v>
      </x:c>
      <x:c r="C3000" s="0" t="s">
        <x:v>11843</x:v>
      </x:c>
      <x:c r="E3000" s="0" t="s">
        <x:v>11844</x:v>
      </x:c>
      <x:c r="F3000" s="0" t="s">
        <x:v>45</x:v>
      </x:c>
      <x:c r="G3000" s="0" t="s">
        <x:v>19</x:v>
      </x:c>
      <x:c r="H3000" s="0" t="s">
        <x:v>20</x:v>
      </x:c>
      <x:c r="I3000" s="0" t="s">
        <x:v>21</x:v>
      </x:c>
      <x:c r="K3000" s="0">
        <x:f>hyperlink("https://icd.who.int/dev11/l-ichi/en#/http%3A%2F%2Fid.who.int%2Ficd%2Fentity%2F2095338639","browser")</x:f>
      </x:c>
      <x:c r="L3000" s="0">
        <x:f>hyperlink("https://icat2.azurewebsites.net/icat/?ontology=ICD&amp;tab=ClassesTab&amp;id=http%3A%2F%2Fwho.int%2Ficd%23284_145da35b_2606_49b1_9645_9e3aeecd5c47","iCat")</x:f>
      </x:c>
      <x:c r="M3000" s="0" t="s">
        <x:v>21</x:v>
      </x:c>
      <x:c r="N3000" s="0" t="s">
        <x:v>46</x:v>
      </x:c>
    </x:row>
    <x:row r="3001" spans="1:16">
      <x:c r="A3001" s="0" t="s">
        <x:v>11845</x:v>
      </x:c>
      <x:c r="B3001" s="0" t="s">
        <x:v>11846</x:v>
      </x:c>
      <x:c r="C3001" s="0" t="s">
        <x:v>11847</x:v>
      </x:c>
      <x:c r="E3001" s="0" t="s">
        <x:v>11848</x:v>
      </x:c>
      <x:c r="F3001" s="0" t="s">
        <x:v>45</x:v>
      </x:c>
      <x:c r="G3001" s="0" t="s">
        <x:v>19</x:v>
      </x:c>
      <x:c r="H3001" s="0" t="s">
        <x:v>20</x:v>
      </x:c>
      <x:c r="I3001" s="0" t="s">
        <x:v>21</x:v>
      </x:c>
      <x:c r="K3001" s="0">
        <x:f>hyperlink("https://icd.who.int/dev11/l-ichi/en#/http%3A%2F%2Fid.who.int%2Ficd%2Fentity%2F801695179","browser")</x:f>
      </x:c>
      <x:c r="L3001" s="0">
        <x:f>hyperlink("https://icat2.azurewebsites.net/icat/?ontology=ICD&amp;tab=ClassesTab&amp;id=http%3A%2F%2Fwho.int%2Ficd%2313128_512ebf36_bf6b_4d70_85da_cf2637062af4","iCat")</x:f>
      </x:c>
      <x:c r="M3001" s="0" t="s">
        <x:v>21</x:v>
      </x:c>
      <x:c r="N3001" s="0" t="s">
        <x:v>46</x:v>
      </x:c>
    </x:row>
    <x:row r="3002" spans="1:16">
      <x:c r="A3002" s="0" t="s">
        <x:v>11849</x:v>
      </x:c>
      <x:c r="B3002" s="0" t="s">
        <x:v>11850</x:v>
      </x:c>
      <x:c r="C3002" s="0" t="s">
        <x:v>11851</x:v>
      </x:c>
      <x:c r="E3002" s="0" t="s">
        <x:v>11852</x:v>
      </x:c>
      <x:c r="F3002" s="0" t="s">
        <x:v>45</x:v>
      </x:c>
      <x:c r="G3002" s="0" t="s">
        <x:v>19</x:v>
      </x:c>
      <x:c r="H3002" s="0" t="s">
        <x:v>20</x:v>
      </x:c>
      <x:c r="I3002" s="0" t="s">
        <x:v>21</x:v>
      </x:c>
      <x:c r="K3002" s="0">
        <x:f>hyperlink("https://icd.who.int/dev11/l-ichi/en#/http%3A%2F%2Fid.who.int%2Ficd%2Fentity%2F1049347517","browser")</x:f>
      </x:c>
      <x:c r="L3002" s="0">
        <x:f>hyperlink("https://icat2.azurewebsites.net/icat/?ontology=ICD&amp;tab=ClassesTab&amp;id=http%3A%2F%2Fwho.int%2Ficd%2313134_512ebf36_bf6b_4d70_85da_cf2637062af4","iCat")</x:f>
      </x:c>
      <x:c r="M3002" s="0" t="s">
        <x:v>21</x:v>
      </x:c>
      <x:c r="N3002" s="0" t="s">
        <x:v>46</x:v>
      </x:c>
    </x:row>
    <x:row r="3003" spans="1:16">
      <x:c r="A3003" s="0" t="s">
        <x:v>11853</x:v>
      </x:c>
      <x:c r="B3003" s="0" t="s">
        <x:v>11854</x:v>
      </x:c>
      <x:c r="C3003" s="0" t="s">
        <x:v>11855</x:v>
      </x:c>
      <x:c r="E3003" s="0" t="s">
        <x:v>11856</x:v>
      </x:c>
      <x:c r="F3003" s="0" t="s">
        <x:v>45</x:v>
      </x:c>
      <x:c r="G3003" s="0" t="s">
        <x:v>19</x:v>
      </x:c>
      <x:c r="H3003" s="0" t="s">
        <x:v>20</x:v>
      </x:c>
      <x:c r="I3003" s="0" t="s">
        <x:v>21</x:v>
      </x:c>
      <x:c r="K3003" s="0">
        <x:f>hyperlink("https://icd.who.int/dev11/l-ichi/en#/http%3A%2F%2Fid.who.int%2Ficd%2Fentity%2F995758803","browser")</x:f>
      </x:c>
      <x:c r="L3003" s="0">
        <x:f>hyperlink("https://icat2.azurewebsites.net/icat/?ontology=ICD&amp;tab=ClassesTab&amp;id=http%3A%2F%2Fwho.int%2Ficd%2313140_512ebf36_bf6b_4d70_85da_cf2637062af4","iCat")</x:f>
      </x:c>
      <x:c r="M3003" s="0" t="s">
        <x:v>21</x:v>
      </x:c>
      <x:c r="N3003" s="0" t="s">
        <x:v>46</x:v>
      </x:c>
    </x:row>
    <x:row r="3004" spans="1:16">
      <x:c r="A3004" s="0" t="s">
        <x:v>11857</x:v>
      </x:c>
      <x:c r="B3004" s="0" t="s">
        <x:v>11858</x:v>
      </x:c>
      <x:c r="C3004" s="0" t="s">
        <x:v>11859</x:v>
      </x:c>
      <x:c r="E3004" s="0" t="s">
        <x:v>11860</x:v>
      </x:c>
      <x:c r="F3004" s="0" t="s">
        <x:v>45</x:v>
      </x:c>
      <x:c r="G3004" s="0" t="s">
        <x:v>19</x:v>
      </x:c>
      <x:c r="H3004" s="0" t="s">
        <x:v>20</x:v>
      </x:c>
      <x:c r="I3004" s="0" t="s">
        <x:v>21</x:v>
      </x:c>
      <x:c r="K3004" s="0">
        <x:f>hyperlink("https://icd.who.int/dev11/l-ichi/en#/http%3A%2F%2Fid.who.int%2Ficd%2Fentity%2F1797376868","browser")</x:f>
      </x:c>
      <x:c r="L3004" s="0">
        <x:f>hyperlink("https://icat2.azurewebsites.net/icat/?ontology=ICD&amp;tab=ClassesTab&amp;id=http%3A%2F%2Fwho.int%2Ficd%2313146_512ebf36_bf6b_4d70_85da_cf2637062af4","iCat")</x:f>
      </x:c>
      <x:c r="M3004" s="0" t="s">
        <x:v>21</x:v>
      </x:c>
      <x:c r="N3004" s="0" t="s">
        <x:v>46</x:v>
      </x:c>
    </x:row>
    <x:row r="3005" spans="1:16">
      <x:c r="A3005" s="0" t="s">
        <x:v>11861</x:v>
      </x:c>
      <x:c r="B3005" s="0" t="s">
        <x:v>11862</x:v>
      </x:c>
      <x:c r="C3005" s="0" t="s">
        <x:v>11863</x:v>
      </x:c>
      <x:c r="E3005" s="0" t="s">
        <x:v>11864</x:v>
      </x:c>
      <x:c r="F3005" s="0" t="s">
        <x:v>45</x:v>
      </x:c>
      <x:c r="G3005" s="0" t="s">
        <x:v>19</x:v>
      </x:c>
      <x:c r="H3005" s="0" t="s">
        <x:v>20</x:v>
      </x:c>
      <x:c r="I3005" s="0" t="s">
        <x:v>21</x:v>
      </x:c>
      <x:c r="K3005" s="0">
        <x:f>hyperlink("https://icd.who.int/dev11/l-ichi/en#/http%3A%2F%2Fid.who.int%2Ficd%2Fentity%2F337307773","browser")</x:f>
      </x:c>
      <x:c r="L3005" s="0">
        <x:f>hyperlink("https://icat2.azurewebsites.net/icat/?ontology=ICD&amp;tab=ClassesTab&amp;id=http%3A%2F%2Fwho.int%2Ficd%2313153_512ebf36_bf6b_4d70_85da_cf2637062af4","iCat")</x:f>
      </x:c>
      <x:c r="M3005" s="0" t="s">
        <x:v>21</x:v>
      </x:c>
      <x:c r="N3005" s="0" t="s">
        <x:v>46</x:v>
      </x:c>
    </x:row>
    <x:row r="3006" spans="1:16">
      <x:c r="A3006" s="0" t="s">
        <x:v>11865</x:v>
      </x:c>
      <x:c r="B3006" s="0" t="s">
        <x:v>11866</x:v>
      </x:c>
      <x:c r="C3006" s="0" t="s">
        <x:v>11867</x:v>
      </x:c>
      <x:c r="E3006" s="0" t="s">
        <x:v>11868</x:v>
      </x:c>
      <x:c r="F3006" s="0" t="s">
        <x:v>45</x:v>
      </x:c>
      <x:c r="G3006" s="0" t="s">
        <x:v>19</x:v>
      </x:c>
      <x:c r="H3006" s="0" t="s">
        <x:v>20</x:v>
      </x:c>
      <x:c r="I3006" s="0" t="s">
        <x:v>21</x:v>
      </x:c>
      <x:c r="K3006" s="0">
        <x:f>hyperlink("https://icd.who.int/dev11/l-ichi/en#/http%3A%2F%2Fid.who.int%2Ficd%2Fentity%2F288278403","browser")</x:f>
      </x:c>
      <x:c r="L3006" s="0">
        <x:f>hyperlink("https://icat2.azurewebsites.net/icat/?ontology=ICD&amp;tab=ClassesTab&amp;id=http%3A%2F%2Fwho.int%2Ficd%2313160_512ebf36_bf6b_4d70_85da_cf2637062af4","iCat")</x:f>
      </x:c>
      <x:c r="M3006" s="0" t="s">
        <x:v>21</x:v>
      </x:c>
      <x:c r="N3006" s="0" t="s">
        <x:v>46</x:v>
      </x:c>
    </x:row>
    <x:row r="3007" spans="1:16">
      <x:c r="A3007" s="0" t="s">
        <x:v>11869</x:v>
      </x:c>
      <x:c r="B3007" s="0" t="s">
        <x:v>11870</x:v>
      </x:c>
      <x:c r="C3007" s="0" t="s">
        <x:v>11871</x:v>
      </x:c>
      <x:c r="E3007" s="0" t="s">
        <x:v>11872</x:v>
      </x:c>
      <x:c r="F3007" s="0" t="s">
        <x:v>45</x:v>
      </x:c>
      <x:c r="G3007" s="0" t="s">
        <x:v>19</x:v>
      </x:c>
      <x:c r="H3007" s="0" t="s">
        <x:v>20</x:v>
      </x:c>
      <x:c r="I3007" s="0" t="s">
        <x:v>21</x:v>
      </x:c>
      <x:c r="K3007" s="0">
        <x:f>hyperlink("https://icd.who.int/dev11/l-ichi/en#/http%3A%2F%2Fid.who.int%2Ficd%2Fentity%2F513232657","browser")</x:f>
      </x:c>
      <x:c r="L3007" s="0">
        <x:f>hyperlink("https://icat2.azurewebsites.net/icat/?ontology=ICD&amp;tab=ClassesTab&amp;id=http%3A%2F%2Fwho.int%2Ficd%2313172_512ebf36_bf6b_4d70_85da_cf2637062af4","iCat")</x:f>
      </x:c>
      <x:c r="M3007" s="0" t="s">
        <x:v>21</x:v>
      </x:c>
      <x:c r="N3007" s="0" t="s">
        <x:v>46</x:v>
      </x:c>
    </x:row>
    <x:row r="3008" spans="1:16">
      <x:c r="A3008" s="0" t="s">
        <x:v>11873</x:v>
      </x:c>
      <x:c r="B3008" s="0" t="s">
        <x:v>11874</x:v>
      </x:c>
      <x:c r="C3008" s="0" t="s">
        <x:v>11875</x:v>
      </x:c>
      <x:c r="E3008" s="0" t="s">
        <x:v>11876</x:v>
      </x:c>
      <x:c r="F3008" s="0" t="s">
        <x:v>45</x:v>
      </x:c>
      <x:c r="G3008" s="0" t="s">
        <x:v>19</x:v>
      </x:c>
      <x:c r="H3008" s="0" t="s">
        <x:v>20</x:v>
      </x:c>
      <x:c r="I3008" s="0" t="s">
        <x:v>21</x:v>
      </x:c>
      <x:c r="K3008" s="0">
        <x:f>hyperlink("https://icd.who.int/dev11/l-ichi/en#/http%3A%2F%2Fid.who.int%2Ficd%2Fentity%2F829425103","browser")</x:f>
      </x:c>
      <x:c r="L3008" s="0">
        <x:f>hyperlink("https://icat2.azurewebsites.net/icat/?ontology=ICD&amp;tab=ClassesTab&amp;id=http%3A%2F%2Fwho.int%2Ficd%2313182_512ebf36_bf6b_4d70_85da_cf2637062af4","iCat")</x:f>
      </x:c>
      <x:c r="M3008" s="0" t="s">
        <x:v>21</x:v>
      </x:c>
      <x:c r="N3008" s="0" t="s">
        <x:v>46</x:v>
      </x:c>
    </x:row>
    <x:row r="3009" spans="1:16">
      <x:c r="A3009" s="0" t="s">
        <x:v>11877</x:v>
      </x:c>
      <x:c r="B3009" s="0" t="s">
        <x:v>11878</x:v>
      </x:c>
      <x:c r="C3009" s="0" t="s">
        <x:v>11879</x:v>
      </x:c>
      <x:c r="E3009" s="0" t="s">
        <x:v>11880</x:v>
      </x:c>
      <x:c r="F3009" s="0" t="s">
        <x:v>45</x:v>
      </x:c>
      <x:c r="G3009" s="0" t="s">
        <x:v>19</x:v>
      </x:c>
      <x:c r="H3009" s="0" t="s">
        <x:v>20</x:v>
      </x:c>
      <x:c r="I3009" s="0" t="s">
        <x:v>21</x:v>
      </x:c>
      <x:c r="K3009" s="0">
        <x:f>hyperlink("https://icd.who.int/dev11/l-ichi/en#/http%3A%2F%2Fid.who.int%2Ficd%2Fentity%2F198068521","browser")</x:f>
      </x:c>
      <x:c r="L3009" s="0">
        <x:f>hyperlink("https://icat2.azurewebsites.net/icat/?ontology=ICD&amp;tab=ClassesTab&amp;id=http%3A%2F%2Fwho.int%2Ficd%2313194_512ebf36_bf6b_4d70_85da_cf2637062af4","iCat")</x:f>
      </x:c>
      <x:c r="M3009" s="0" t="s">
        <x:v>21</x:v>
      </x:c>
      <x:c r="N3009" s="0" t="s">
        <x:v>46</x:v>
      </x:c>
    </x:row>
    <x:row r="3010" spans="1:16">
      <x:c r="A3010" s="0" t="s">
        <x:v>11881</x:v>
      </x:c>
      <x:c r="B3010" s="0" t="s">
        <x:v>11882</x:v>
      </x:c>
      <x:c r="C3010" s="0" t="s">
        <x:v>11883</x:v>
      </x:c>
      <x:c r="E3010" s="0" t="s">
        <x:v>11884</x:v>
      </x:c>
      <x:c r="F3010" s="0" t="s">
        <x:v>45</x:v>
      </x:c>
      <x:c r="G3010" s="0" t="s">
        <x:v>19</x:v>
      </x:c>
      <x:c r="H3010" s="0" t="s">
        <x:v>20</x:v>
      </x:c>
      <x:c r="I3010" s="0" t="s">
        <x:v>21</x:v>
      </x:c>
      <x:c r="K3010" s="0">
        <x:f>hyperlink("https://icd.who.int/dev11/l-ichi/en#/http%3A%2F%2Fid.who.int%2Ficd%2Fentity%2F1327425620","browser")</x:f>
      </x:c>
      <x:c r="L3010" s="0">
        <x:f>hyperlink("https://icat2.azurewebsites.net/icat/?ontology=ICD&amp;tab=ClassesTab&amp;id=http%3A%2F%2Fwho.int%2Ficd%2313202_512ebf36_bf6b_4d70_85da_cf2637062af4","iCat")</x:f>
      </x:c>
      <x:c r="M3010" s="0" t="s">
        <x:v>21</x:v>
      </x:c>
      <x:c r="N3010" s="0" t="s">
        <x:v>46</x:v>
      </x:c>
    </x:row>
    <x:row r="3011" spans="1:16">
      <x:c r="A3011" s="0" t="s">
        <x:v>11885</x:v>
      </x:c>
      <x:c r="B3011" s="0" t="s">
        <x:v>11886</x:v>
      </x:c>
      <x:c r="C3011" s="0" t="s">
        <x:v>11887</x:v>
      </x:c>
      <x:c r="E3011" s="0" t="s">
        <x:v>11888</x:v>
      </x:c>
      <x:c r="F3011" s="0" t="s">
        <x:v>45</x:v>
      </x:c>
      <x:c r="G3011" s="0" t="s">
        <x:v>19</x:v>
      </x:c>
      <x:c r="H3011" s="0" t="s">
        <x:v>20</x:v>
      </x:c>
      <x:c r="I3011" s="0" t="s">
        <x:v>21</x:v>
      </x:c>
      <x:c r="K3011" s="0">
        <x:f>hyperlink("https://icd.who.int/dev11/l-ichi/en#/http%3A%2F%2Fid.who.int%2Ficd%2Fentity%2F1616777980","browser")</x:f>
      </x:c>
      <x:c r="L3011" s="0">
        <x:f>hyperlink("https://icat2.azurewebsites.net/icat/?ontology=ICD&amp;tab=ClassesTab&amp;id=http%3A%2F%2Fwho.int%2Ficd%2313211_512ebf36_bf6b_4d70_85da_cf2637062af4","iCat")</x:f>
      </x:c>
      <x:c r="M3011" s="0" t="s">
        <x:v>21</x:v>
      </x:c>
      <x:c r="N3011" s="0" t="s">
        <x:v>46</x:v>
      </x:c>
    </x:row>
    <x:row r="3012" spans="1:16">
      <x:c r="A3012" s="0" t="s">
        <x:v>11889</x:v>
      </x:c>
      <x:c r="B3012" s="0" t="s">
        <x:v>11890</x:v>
      </x:c>
      <x:c r="C3012" s="0" t="s">
        <x:v>11891</x:v>
      </x:c>
      <x:c r="E3012" s="0" t="s">
        <x:v>11892</x:v>
      </x:c>
      <x:c r="F3012" s="0" t="s">
        <x:v>45</x:v>
      </x:c>
      <x:c r="G3012" s="0" t="s">
        <x:v>19</x:v>
      </x:c>
      <x:c r="H3012" s="0" t="s">
        <x:v>20</x:v>
      </x:c>
      <x:c r="I3012" s="0" t="s">
        <x:v>21</x:v>
      </x:c>
      <x:c r="K3012" s="0">
        <x:f>hyperlink("https://icd.who.int/dev11/l-ichi/en#/http%3A%2F%2Fid.who.int%2Ficd%2Fentity%2F1167281984","browser")</x:f>
      </x:c>
      <x:c r="L3012" s="0">
        <x:f>hyperlink("https://icat2.azurewebsites.net/icat/?ontology=ICD&amp;tab=ClassesTab&amp;id=http%3A%2F%2Fwho.int%2Ficd%2313223_512ebf36_bf6b_4d70_85da_cf2637062af4","iCat")</x:f>
      </x:c>
      <x:c r="M3012" s="0" t="s">
        <x:v>21</x:v>
      </x:c>
      <x:c r="N3012" s="0" t="s">
        <x:v>46</x:v>
      </x:c>
    </x:row>
    <x:row r="3013" spans="1:16">
      <x:c r="A3013" s="0" t="s">
        <x:v>11893</x:v>
      </x:c>
      <x:c r="B3013" s="0" t="s">
        <x:v>11894</x:v>
      </x:c>
      <x:c r="C3013" s="0" t="s">
        <x:v>11895</x:v>
      </x:c>
      <x:c r="E3013" s="0" t="s">
        <x:v>11896</x:v>
      </x:c>
      <x:c r="F3013" s="0" t="s">
        <x:v>45</x:v>
      </x:c>
      <x:c r="G3013" s="0" t="s">
        <x:v>19</x:v>
      </x:c>
      <x:c r="H3013" s="0" t="s">
        <x:v>20</x:v>
      </x:c>
      <x:c r="I3013" s="0" t="s">
        <x:v>21</x:v>
      </x:c>
      <x:c r="K3013" s="0">
        <x:f>hyperlink("https://icd.who.int/dev11/l-ichi/en#/http%3A%2F%2Fid.who.int%2Ficd%2Fentity%2F1792259472","browser")</x:f>
      </x:c>
      <x:c r="L3013" s="0">
        <x:f>hyperlink("https://icat2.azurewebsites.net/icat/?ontology=ICD&amp;tab=ClassesTab&amp;id=http%3A%2F%2Fwho.int%2Ficd%2313230_512ebf36_bf6b_4d70_85da_cf2637062af4","iCat")</x:f>
      </x:c>
      <x:c r="M3013" s="0" t="s">
        <x:v>21</x:v>
      </x:c>
      <x:c r="N3013" s="0" t="s">
        <x:v>46</x:v>
      </x:c>
    </x:row>
    <x:row r="3014" spans="1:16">
      <x:c r="A3014" s="0" t="s">
        <x:v>11897</x:v>
      </x:c>
      <x:c r="B3014" s="0" t="s">
        <x:v>11898</x:v>
      </x:c>
      <x:c r="C3014" s="0" t="s">
        <x:v>11899</x:v>
      </x:c>
      <x:c r="E3014" s="0" t="s">
        <x:v>11900</x:v>
      </x:c>
      <x:c r="F3014" s="0" t="s">
        <x:v>45</x:v>
      </x:c>
      <x:c r="G3014" s="0" t="s">
        <x:v>19</x:v>
      </x:c>
      <x:c r="H3014" s="0" t="s">
        <x:v>20</x:v>
      </x:c>
      <x:c r="I3014" s="0" t="s">
        <x:v>21</x:v>
      </x:c>
      <x:c r="K3014" s="0">
        <x:f>hyperlink("https://icd.who.int/dev11/l-ichi/en#/http%3A%2F%2Fid.who.int%2Ficd%2Fentity%2F441523741","browser")</x:f>
      </x:c>
      <x:c r="L3014" s="0">
        <x:f>hyperlink("https://icat2.azurewebsites.net/icat/?ontology=ICD&amp;tab=ClassesTab&amp;id=http%3A%2F%2Fwho.int%2Ficd%2313237_512ebf36_bf6b_4d70_85da_cf2637062af4","iCat")</x:f>
      </x:c>
      <x:c r="M3014" s="0" t="s">
        <x:v>21</x:v>
      </x:c>
      <x:c r="N3014" s="0" t="s">
        <x:v>46</x:v>
      </x:c>
    </x:row>
    <x:row r="3015" spans="1:16">
      <x:c r="A3015" s="0" t="s">
        <x:v>11901</x:v>
      </x:c>
      <x:c r="B3015" s="0" t="s">
        <x:v>11902</x:v>
      </x:c>
      <x:c r="C3015" s="0" t="s">
        <x:v>11903</x:v>
      </x:c>
      <x:c r="E3015" s="0" t="s">
        <x:v>11904</x:v>
      </x:c>
      <x:c r="F3015" s="0" t="s">
        <x:v>45</x:v>
      </x:c>
      <x:c r="G3015" s="0" t="s">
        <x:v>19</x:v>
      </x:c>
      <x:c r="H3015" s="0" t="s">
        <x:v>20</x:v>
      </x:c>
      <x:c r="I3015" s="0" t="s">
        <x:v>21</x:v>
      </x:c>
      <x:c r="K3015" s="0">
        <x:f>hyperlink("https://icd.who.int/dev11/l-ichi/en#/http%3A%2F%2Fid.who.int%2Ficd%2Fentity%2F528533875","browser")</x:f>
      </x:c>
      <x:c r="L3015" s="0">
        <x:f>hyperlink("https://icat2.azurewebsites.net/icat/?ontology=ICD&amp;tab=ClassesTab&amp;id=http%3A%2F%2Fwho.int%2Ficd%2313243_512ebf36_bf6b_4d70_85da_cf2637062af4","iCat")</x:f>
      </x:c>
      <x:c r="M3015" s="0" t="s">
        <x:v>21</x:v>
      </x:c>
      <x:c r="N3015" s="0" t="s">
        <x:v>46</x:v>
      </x:c>
    </x:row>
    <x:row r="3016" spans="1:16">
      <x:c r="A3016" s="0" t="s">
        <x:v>11905</x:v>
      </x:c>
      <x:c r="B3016" s="0" t="s">
        <x:v>11906</x:v>
      </x:c>
      <x:c r="C3016" s="0" t="s">
        <x:v>11907</x:v>
      </x:c>
      <x:c r="E3016" s="0" t="s">
        <x:v>11908</x:v>
      </x:c>
      <x:c r="F3016" s="0" t="s">
        <x:v>45</x:v>
      </x:c>
      <x:c r="G3016" s="0" t="s">
        <x:v>19</x:v>
      </x:c>
      <x:c r="H3016" s="0" t="s">
        <x:v>20</x:v>
      </x:c>
      <x:c r="I3016" s="0" t="s">
        <x:v>21</x:v>
      </x:c>
      <x:c r="K3016" s="0">
        <x:f>hyperlink("https://icd.who.int/dev11/l-ichi/en#/http%3A%2F%2Fid.who.int%2Ficd%2Fentity%2F288331265","browser")</x:f>
      </x:c>
      <x:c r="L3016" s="0">
        <x:f>hyperlink("https://icat2.azurewebsites.net/icat/?ontology=ICD&amp;tab=ClassesTab&amp;id=http%3A%2F%2Fwho.int%2Ficd%2338078_512ebf36_bf6b_4d70_85da_cf2637062af4","iCat")</x:f>
      </x:c>
      <x:c r="M3016" s="0" t="s">
        <x:v>21</x:v>
      </x:c>
      <x:c r="N3016" s="0" t="s">
        <x:v>46</x:v>
      </x:c>
    </x:row>
    <x:row r="3017" spans="1:16">
      <x:c r="A3017" s="0" t="s">
        <x:v>11909</x:v>
      </x:c>
      <x:c r="B3017" s="0" t="s">
        <x:v>11910</x:v>
      </x:c>
      <x:c r="C3017" s="0" t="s">
        <x:v>11911</x:v>
      </x:c>
      <x:c r="E3017" s="0" t="s">
        <x:v>11912</x:v>
      </x:c>
      <x:c r="F3017" s="0" t="s">
        <x:v>45</x:v>
      </x:c>
      <x:c r="G3017" s="0" t="s">
        <x:v>19</x:v>
      </x:c>
      <x:c r="H3017" s="0" t="s">
        <x:v>20</x:v>
      </x:c>
      <x:c r="I3017" s="0" t="s">
        <x:v>21</x:v>
      </x:c>
      <x:c r="K3017" s="0">
        <x:f>hyperlink("https://icd.who.int/dev11/l-ichi/en#/http%3A%2F%2Fid.who.int%2Ficd%2Fentity%2F1708573211","browser")</x:f>
      </x:c>
      <x:c r="L3017" s="0">
        <x:f>hyperlink("https://icat2.azurewebsites.net/icat/?ontology=ICD&amp;tab=ClassesTab&amp;id=http%3A%2F%2Fwho.int%2Ficd%2316180_4869915e_217e_423d_acb3_33c0f920ef4b","iCat")</x:f>
      </x:c>
      <x:c r="M3017" s="0" t="s">
        <x:v>21</x:v>
      </x:c>
      <x:c r="N3017" s="0" t="s">
        <x:v>46</x:v>
      </x:c>
    </x:row>
    <x:row r="3018" spans="1:16">
      <x:c r="A3018" s="0" t="s">
        <x:v>11913</x:v>
      </x:c>
      <x:c r="B3018" s="0" t="s">
        <x:v>11914</x:v>
      </x:c>
      <x:c r="C3018" s="0" t="s">
        <x:v>11915</x:v>
      </x:c>
      <x:c r="E3018" s="0" t="s">
        <x:v>11916</x:v>
      </x:c>
      <x:c r="F3018" s="0" t="s">
        <x:v>45</x:v>
      </x:c>
      <x:c r="G3018" s="0" t="s">
        <x:v>19</x:v>
      </x:c>
      <x:c r="H3018" s="0" t="s">
        <x:v>20</x:v>
      </x:c>
      <x:c r="I3018" s="0" t="s">
        <x:v>21</x:v>
      </x:c>
      <x:c r="K3018" s="0">
        <x:f>hyperlink("https://icd.who.int/dev11/l-ichi/en#/http%3A%2F%2Fid.who.int%2Ficd%2Fentity%2F272187873","browser")</x:f>
      </x:c>
      <x:c r="L3018" s="0">
        <x:f>hyperlink("https://icat2.azurewebsites.net/icat/?ontology=ICD&amp;tab=ClassesTab&amp;id=http%3A%2F%2Fwho.int%2Ficd%2313251_512ebf36_bf6b_4d70_85da_cf2637062af4","iCat")</x:f>
      </x:c>
      <x:c r="M3018" s="0" t="s">
        <x:v>21</x:v>
      </x:c>
      <x:c r="N3018" s="0" t="s">
        <x:v>46</x:v>
      </x:c>
    </x:row>
    <x:row r="3019" spans="1:16">
      <x:c r="A3019" s="0" t="s">
        <x:v>11917</x:v>
      </x:c>
      <x:c r="B3019" s="0" t="s">
        <x:v>11918</x:v>
      </x:c>
      <x:c r="C3019" s="0" t="s">
        <x:v>11919</x:v>
      </x:c>
      <x:c r="E3019" s="0" t="s">
        <x:v>11920</x:v>
      </x:c>
      <x:c r="F3019" s="0" t="s">
        <x:v>45</x:v>
      </x:c>
      <x:c r="G3019" s="0" t="s">
        <x:v>19</x:v>
      </x:c>
      <x:c r="H3019" s="0" t="s">
        <x:v>20</x:v>
      </x:c>
      <x:c r="I3019" s="0" t="s">
        <x:v>21</x:v>
      </x:c>
      <x:c r="K3019" s="0">
        <x:f>hyperlink("https://icd.who.int/dev11/l-ichi/en#/http%3A%2F%2Fid.who.int%2Ficd%2Fentity%2F1589129396","browser")</x:f>
      </x:c>
      <x:c r="L3019" s="0">
        <x:f>hyperlink("https://icat2.azurewebsites.net/icat/?ontology=ICD&amp;tab=ClassesTab&amp;id=http%3A%2F%2Fwho.int%2Ficd%2313259_512ebf36_bf6b_4d70_85da_cf2637062af4","iCat")</x:f>
      </x:c>
      <x:c r="M3019" s="0" t="s">
        <x:v>21</x:v>
      </x:c>
      <x:c r="N3019" s="0" t="s">
        <x:v>46</x:v>
      </x:c>
    </x:row>
    <x:row r="3020" spans="1:16">
      <x:c r="A3020" s="0" t="s">
        <x:v>11921</x:v>
      </x:c>
      <x:c r="B3020" s="0" t="s">
        <x:v>11922</x:v>
      </x:c>
      <x:c r="C3020" s="0" t="s">
        <x:v>11923</x:v>
      </x:c>
      <x:c r="E3020" s="0" t="s">
        <x:v>11924</x:v>
      </x:c>
      <x:c r="F3020" s="0" t="s">
        <x:v>45</x:v>
      </x:c>
      <x:c r="G3020" s="0" t="s">
        <x:v>19</x:v>
      </x:c>
      <x:c r="H3020" s="0" t="s">
        <x:v>20</x:v>
      </x:c>
      <x:c r="I3020" s="0" t="s">
        <x:v>21</x:v>
      </x:c>
      <x:c r="K3020" s="0">
        <x:f>hyperlink("https://icd.who.int/dev11/l-ichi/en#/http%3A%2F%2Fid.who.int%2Ficd%2Fentity%2F503935155","browser")</x:f>
      </x:c>
      <x:c r="L3020" s="0">
        <x:f>hyperlink("https://icat2.azurewebsites.net/icat/?ontology=ICD&amp;tab=ClassesTab&amp;id=http%3A%2F%2Fwho.int%2Ficd%2313269_512ebf36_bf6b_4d70_85da_cf2637062af4","iCat")</x:f>
      </x:c>
      <x:c r="M3020" s="0" t="s">
        <x:v>21</x:v>
      </x:c>
      <x:c r="N3020" s="0" t="s">
        <x:v>46</x:v>
      </x:c>
    </x:row>
    <x:row r="3021" spans="1:16">
      <x:c r="A3021" s="0" t="s">
        <x:v>11925</x:v>
      </x:c>
      <x:c r="B3021" s="0" t="s">
        <x:v>11926</x:v>
      </x:c>
      <x:c r="C3021" s="0" t="s">
        <x:v>11927</x:v>
      </x:c>
      <x:c r="E3021" s="0" t="s">
        <x:v>11928</x:v>
      </x:c>
      <x:c r="F3021" s="0" t="s">
        <x:v>45</x:v>
      </x:c>
      <x:c r="G3021" s="0" t="s">
        <x:v>19</x:v>
      </x:c>
      <x:c r="H3021" s="0" t="s">
        <x:v>20</x:v>
      </x:c>
      <x:c r="I3021" s="0" t="s">
        <x:v>21</x:v>
      </x:c>
      <x:c r="K3021" s="0">
        <x:f>hyperlink("https://icd.who.int/dev11/l-ichi/en#/http%3A%2F%2Fid.who.int%2Ficd%2Fentity%2F256528581","browser")</x:f>
      </x:c>
      <x:c r="L3021" s="0">
        <x:f>hyperlink("https://icat2.azurewebsites.net/icat/?ontology=ICD&amp;tab=ClassesTab&amp;id=http%3A%2F%2Fwho.int%2Ficd%2313275_512ebf36_bf6b_4d70_85da_cf2637062af4","iCat")</x:f>
      </x:c>
      <x:c r="M3021" s="0" t="s">
        <x:v>21</x:v>
      </x:c>
      <x:c r="N3021" s="0" t="s">
        <x:v>46</x:v>
      </x:c>
    </x:row>
    <x:row r="3022" spans="1:16">
      <x:c r="A3022" s="0" t="s">
        <x:v>11929</x:v>
      </x:c>
      <x:c r="B3022" s="0" t="s">
        <x:v>11930</x:v>
      </x:c>
      <x:c r="C3022" s="0" t="s">
        <x:v>11931</x:v>
      </x:c>
      <x:c r="E3022" s="0" t="s">
        <x:v>11932</x:v>
      </x:c>
      <x:c r="F3022" s="0" t="s">
        <x:v>45</x:v>
      </x:c>
      <x:c r="G3022" s="0" t="s">
        <x:v>19</x:v>
      </x:c>
      <x:c r="H3022" s="0" t="s">
        <x:v>20</x:v>
      </x:c>
      <x:c r="I3022" s="0" t="s">
        <x:v>21</x:v>
      </x:c>
      <x:c r="K3022" s="0">
        <x:f>hyperlink("https://icd.who.int/dev11/l-ichi/en#/http%3A%2F%2Fid.who.int%2Ficd%2Fentity%2F363519599","browser")</x:f>
      </x:c>
      <x:c r="L3022" s="0">
        <x:f>hyperlink("https://icat2.azurewebsites.net/icat/?ontology=ICD&amp;tab=ClassesTab&amp;id=http%3A%2F%2Fwho.int%2Ficd%2313281_512ebf36_bf6b_4d70_85da_cf2637062af4","iCat")</x:f>
      </x:c>
      <x:c r="M3022" s="0" t="s">
        <x:v>21</x:v>
      </x:c>
      <x:c r="N3022" s="0" t="s">
        <x:v>46</x:v>
      </x:c>
    </x:row>
    <x:row r="3023" spans="1:16">
      <x:c r="A3023" s="0" t="s">
        <x:v>11933</x:v>
      </x:c>
      <x:c r="B3023" s="0" t="s">
        <x:v>11934</x:v>
      </x:c>
      <x:c r="C3023" s="0" t="s">
        <x:v>11935</x:v>
      </x:c>
      <x:c r="E3023" s="0" t="s">
        <x:v>11936</x:v>
      </x:c>
      <x:c r="F3023" s="0" t="s">
        <x:v>45</x:v>
      </x:c>
      <x:c r="G3023" s="0" t="s">
        <x:v>19</x:v>
      </x:c>
      <x:c r="H3023" s="0" t="s">
        <x:v>20</x:v>
      </x:c>
      <x:c r="I3023" s="0" t="s">
        <x:v>21</x:v>
      </x:c>
      <x:c r="K3023" s="0">
        <x:f>hyperlink("https://icd.who.int/dev11/l-ichi/en#/http%3A%2F%2Fid.who.int%2Ficd%2Fentity%2F2077416710","browser")</x:f>
      </x:c>
      <x:c r="L3023" s="0">
        <x:f>hyperlink("https://icat2.azurewebsites.net/icat/?ontology=ICD&amp;tab=ClassesTab&amp;id=http%3A%2F%2Fwho.int%2Ficd%2313288_512ebf36_bf6b_4d70_85da_cf2637062af4","iCat")</x:f>
      </x:c>
      <x:c r="M3023" s="0" t="s">
        <x:v>21</x:v>
      </x:c>
      <x:c r="N3023" s="0" t="s">
        <x:v>46</x:v>
      </x:c>
    </x:row>
    <x:row r="3024" spans="1:16">
      <x:c r="A3024" s="0" t="s">
        <x:v>11937</x:v>
      </x:c>
      <x:c r="B3024" s="0" t="s">
        <x:v>11938</x:v>
      </x:c>
      <x:c r="C3024" s="0" t="s">
        <x:v>11939</x:v>
      </x:c>
      <x:c r="E3024" s="0" t="s">
        <x:v>11940</x:v>
      </x:c>
      <x:c r="F3024" s="0" t="s">
        <x:v>45</x:v>
      </x:c>
      <x:c r="G3024" s="0" t="s">
        <x:v>19</x:v>
      </x:c>
      <x:c r="H3024" s="0" t="s">
        <x:v>20</x:v>
      </x:c>
      <x:c r="I3024" s="0" t="s">
        <x:v>21</x:v>
      </x:c>
      <x:c r="K3024" s="0">
        <x:f>hyperlink("https://icd.who.int/dev11/l-ichi/en#/http%3A%2F%2Fid.who.int%2Ficd%2Fentity%2F657981476","browser")</x:f>
      </x:c>
      <x:c r="L3024" s="0">
        <x:f>hyperlink("https://icat2.azurewebsites.net/icat/?ontology=ICD&amp;tab=ClassesTab&amp;id=http%3A%2F%2Fwho.int%2Ficd%233096_d85a204c_d00a_4566_a3b7_2d137a1891cf","iCat")</x:f>
      </x:c>
      <x:c r="M3024" s="0" t="s">
        <x:v>21</x:v>
      </x:c>
      <x:c r="N3024" s="0" t="s">
        <x:v>46</x:v>
      </x:c>
    </x:row>
    <x:row r="3025" spans="1:16">
      <x:c r="A3025" s="0" t="s">
        <x:v>11941</x:v>
      </x:c>
      <x:c r="B3025" s="0" t="s">
        <x:v>11942</x:v>
      </x:c>
      <x:c r="C3025" s="0" t="s">
        <x:v>11943</x:v>
      </x:c>
      <x:c r="E3025" s="0" t="s">
        <x:v>11944</x:v>
      </x:c>
      <x:c r="F3025" s="0" t="s">
        <x:v>45</x:v>
      </x:c>
      <x:c r="G3025" s="0" t="s">
        <x:v>19</x:v>
      </x:c>
      <x:c r="H3025" s="0" t="s">
        <x:v>20</x:v>
      </x:c>
      <x:c r="I3025" s="0" t="s">
        <x:v>21</x:v>
      </x:c>
      <x:c r="K3025" s="0">
        <x:f>hyperlink("https://icd.who.int/dev11/l-ichi/en#/http%3A%2F%2Fid.who.int%2Ficd%2Fentity%2F1248366412","browser")</x:f>
      </x:c>
      <x:c r="L3025" s="0">
        <x:f>hyperlink("https://icat2.azurewebsites.net/icat/?ontology=ICD&amp;tab=ClassesTab&amp;id=http%3A%2F%2Fwho.int%2Ficd%2313295_512ebf36_bf6b_4d70_85da_cf2637062af4","iCat")</x:f>
      </x:c>
      <x:c r="M3025" s="0" t="s">
        <x:v>21</x:v>
      </x:c>
      <x:c r="N3025" s="0" t="s">
        <x:v>46</x:v>
      </x:c>
    </x:row>
    <x:row r="3026" spans="1:16">
      <x:c r="A3026" s="0" t="s">
        <x:v>11945</x:v>
      </x:c>
      <x:c r="B3026" s="0" t="s">
        <x:v>11946</x:v>
      </x:c>
      <x:c r="C3026" s="0" t="s">
        <x:v>11947</x:v>
      </x:c>
      <x:c r="E3026" s="0" t="s">
        <x:v>11948</x:v>
      </x:c>
      <x:c r="F3026" s="0" t="s">
        <x:v>45</x:v>
      </x:c>
      <x:c r="G3026" s="0" t="s">
        <x:v>19</x:v>
      </x:c>
      <x:c r="H3026" s="0" t="s">
        <x:v>20</x:v>
      </x:c>
      <x:c r="I3026" s="0" t="s">
        <x:v>21</x:v>
      </x:c>
      <x:c r="K3026" s="0">
        <x:f>hyperlink("https://icd.who.int/dev11/l-ichi/en#/http%3A%2F%2Fid.who.int%2Ficd%2Fentity%2F981544655","browser")</x:f>
      </x:c>
      <x:c r="L3026" s="0">
        <x:f>hyperlink("https://icat2.azurewebsites.net/icat/?ontology=ICD&amp;tab=ClassesTab&amp;id=http%3A%2F%2Fwho.int%2Ficd%2313302_512ebf36_bf6b_4d70_85da_cf2637062af4","iCat")</x:f>
      </x:c>
      <x:c r="M3026" s="0" t="s">
        <x:v>21</x:v>
      </x:c>
      <x:c r="N3026" s="0" t="s">
        <x:v>46</x:v>
      </x:c>
    </x:row>
    <x:row r="3027" spans="1:16">
      <x:c r="A3027" s="0" t="s">
        <x:v>11949</x:v>
      </x:c>
      <x:c r="B3027" s="0" t="s">
        <x:v>11950</x:v>
      </x:c>
      <x:c r="C3027" s="0" t="s">
        <x:v>11951</x:v>
      </x:c>
      <x:c r="E3027" s="0" t="s">
        <x:v>11952</x:v>
      </x:c>
      <x:c r="F3027" s="0" t="s">
        <x:v>45</x:v>
      </x:c>
      <x:c r="G3027" s="0" t="s">
        <x:v>19</x:v>
      </x:c>
      <x:c r="H3027" s="0" t="s">
        <x:v>20</x:v>
      </x:c>
      <x:c r="I3027" s="0" t="s">
        <x:v>21</x:v>
      </x:c>
      <x:c r="K3027" s="0">
        <x:f>hyperlink("https://icd.who.int/dev11/l-ichi/en#/http%3A%2F%2Fid.who.int%2Ficd%2Fentity%2F892905053","browser")</x:f>
      </x:c>
      <x:c r="L3027" s="0">
        <x:f>hyperlink("https://icat2.azurewebsites.net/icat/?ontology=ICD&amp;tab=ClassesTab&amp;id=http%3A%2F%2Fwho.int%2Ficd%2313310_512ebf36_bf6b_4d70_85da_cf2637062af4","iCat")</x:f>
      </x:c>
      <x:c r="M3027" s="0" t="s">
        <x:v>21</x:v>
      </x:c>
      <x:c r="N3027" s="0" t="s">
        <x:v>46</x:v>
      </x:c>
    </x:row>
    <x:row r="3028" spans="1:16">
      <x:c r="A3028" s="0" t="s">
        <x:v>11953</x:v>
      </x:c>
      <x:c r="B3028" s="0" t="s">
        <x:v>11954</x:v>
      </x:c>
      <x:c r="C3028" s="0" t="s">
        <x:v>11955</x:v>
      </x:c>
      <x:c r="E3028" s="0" t="s">
        <x:v>11956</x:v>
      </x:c>
      <x:c r="F3028" s="0" t="s">
        <x:v>45</x:v>
      </x:c>
      <x:c r="G3028" s="0" t="s">
        <x:v>19</x:v>
      </x:c>
      <x:c r="H3028" s="0" t="s">
        <x:v>20</x:v>
      </x:c>
      <x:c r="I3028" s="0" t="s">
        <x:v>21</x:v>
      </x:c>
      <x:c r="K3028" s="0">
        <x:f>hyperlink("https://icd.who.int/dev11/l-ichi/en#/http%3A%2F%2Fid.who.int%2Ficd%2Fentity%2F2075776778","browser")</x:f>
      </x:c>
      <x:c r="L3028" s="0">
        <x:f>hyperlink("https://icat2.azurewebsites.net/icat/?ontology=ICD&amp;tab=ClassesTab&amp;id=http%3A%2F%2Fwho.int%2Ficd%2313318_512ebf36_bf6b_4d70_85da_cf2637062af4","iCat")</x:f>
      </x:c>
      <x:c r="M3028" s="0" t="s">
        <x:v>21</x:v>
      </x:c>
      <x:c r="N3028" s="0" t="s">
        <x:v>46</x:v>
      </x:c>
    </x:row>
    <x:row r="3029" spans="1:16">
      <x:c r="A3029" s="0" t="s">
        <x:v>11957</x:v>
      </x:c>
      <x:c r="B3029" s="0" t="s">
        <x:v>11958</x:v>
      </x:c>
      <x:c r="C3029" s="0" t="s">
        <x:v>11959</x:v>
      </x:c>
      <x:c r="E3029" s="0" t="s">
        <x:v>11960</x:v>
      </x:c>
      <x:c r="F3029" s="0" t="s">
        <x:v>45</x:v>
      </x:c>
      <x:c r="G3029" s="0" t="s">
        <x:v>19</x:v>
      </x:c>
      <x:c r="H3029" s="0" t="s">
        <x:v>20</x:v>
      </x:c>
      <x:c r="I3029" s="0" t="s">
        <x:v>21</x:v>
      </x:c>
      <x:c r="K3029" s="0">
        <x:f>hyperlink("https://icd.who.int/dev11/l-ichi/en#/http%3A%2F%2Fid.who.int%2Ficd%2Fentity%2F1618432018","browser")</x:f>
      </x:c>
      <x:c r="L3029" s="0">
        <x:f>hyperlink("https://icat2.azurewebsites.net/icat/?ontology=ICD&amp;tab=ClassesTab&amp;id=http%3A%2F%2Fwho.int%2Ficd%2313325_512ebf36_bf6b_4d70_85da_cf2637062af4","iCat")</x:f>
      </x:c>
      <x:c r="M3029" s="0" t="s">
        <x:v>21</x:v>
      </x:c>
      <x:c r="N3029" s="0" t="s">
        <x:v>46</x:v>
      </x:c>
    </x:row>
    <x:row r="3030" spans="1:16">
      <x:c r="A3030" s="0" t="s">
        <x:v>11961</x:v>
      </x:c>
      <x:c r="B3030" s="0" t="s">
        <x:v>11962</x:v>
      </x:c>
      <x:c r="C3030" s="0" t="s">
        <x:v>11963</x:v>
      </x:c>
      <x:c r="E3030" s="0" t="s">
        <x:v>11964</x:v>
      </x:c>
      <x:c r="F3030" s="0" t="s">
        <x:v>45</x:v>
      </x:c>
      <x:c r="G3030" s="0" t="s">
        <x:v>19</x:v>
      </x:c>
      <x:c r="H3030" s="0" t="s">
        <x:v>20</x:v>
      </x:c>
      <x:c r="I3030" s="0" t="s">
        <x:v>21</x:v>
      </x:c>
      <x:c r="K3030" s="0">
        <x:f>hyperlink("https://icd.who.int/dev11/l-ichi/en#/http%3A%2F%2Fid.who.int%2Ficd%2Fentity%2F2049994440","browser")</x:f>
      </x:c>
      <x:c r="L3030" s="0">
        <x:f>hyperlink("https://icat2.azurewebsites.net/icat/?ontology=ICD&amp;tab=ClassesTab&amp;id=http%3A%2F%2Fwho.int%2Ficd%2313332_512ebf36_bf6b_4d70_85da_cf2637062af4","iCat")</x:f>
      </x:c>
      <x:c r="M3030" s="0" t="s">
        <x:v>21</x:v>
      </x:c>
      <x:c r="N3030" s="0" t="s">
        <x:v>46</x:v>
      </x:c>
    </x:row>
    <x:row r="3031" spans="1:16">
      <x:c r="A3031" s="0" t="s">
        <x:v>11965</x:v>
      </x:c>
      <x:c r="B3031" s="0" t="s">
        <x:v>11966</x:v>
      </x:c>
      <x:c r="C3031" s="0" t="s">
        <x:v>11967</x:v>
      </x:c>
      <x:c r="E3031" s="0" t="s">
        <x:v>11968</x:v>
      </x:c>
      <x:c r="F3031" s="0" t="s">
        <x:v>45</x:v>
      </x:c>
      <x:c r="G3031" s="0" t="s">
        <x:v>19</x:v>
      </x:c>
      <x:c r="H3031" s="0" t="s">
        <x:v>20</x:v>
      </x:c>
      <x:c r="I3031" s="0" t="s">
        <x:v>21</x:v>
      </x:c>
      <x:c r="K3031" s="0">
        <x:f>hyperlink("https://icd.who.int/dev11/l-ichi/en#/http%3A%2F%2Fid.who.int%2Ficd%2Fentity%2F1899262054","browser")</x:f>
      </x:c>
      <x:c r="L3031" s="0">
        <x:f>hyperlink("https://icat2.azurewebsites.net/icat/?ontology=ICD&amp;tab=ClassesTab&amp;id=http%3A%2F%2Fwho.int%2Ficd%2313339_512ebf36_bf6b_4d70_85da_cf2637062af4","iCat")</x:f>
      </x:c>
      <x:c r="M3031" s="0" t="s">
        <x:v>21</x:v>
      </x:c>
      <x:c r="N3031" s="0" t="s">
        <x:v>46</x:v>
      </x:c>
    </x:row>
    <x:row r="3032" spans="1:16">
      <x:c r="A3032" s="0" t="s">
        <x:v>11969</x:v>
      </x:c>
      <x:c r="B3032" s="0" t="s">
        <x:v>11970</x:v>
      </x:c>
      <x:c r="C3032" s="0" t="s">
        <x:v>11971</x:v>
      </x:c>
      <x:c r="E3032" s="0" t="s">
        <x:v>11972</x:v>
      </x:c>
      <x:c r="F3032" s="0" t="s">
        <x:v>45</x:v>
      </x:c>
      <x:c r="G3032" s="0" t="s">
        <x:v>19</x:v>
      </x:c>
      <x:c r="H3032" s="0" t="s">
        <x:v>20</x:v>
      </x:c>
      <x:c r="I3032" s="0" t="s">
        <x:v>21</x:v>
      </x:c>
      <x:c r="K3032" s="0">
        <x:f>hyperlink("https://icd.who.int/dev11/l-ichi/en#/http%3A%2F%2Fid.who.int%2Ficd%2Fentity%2F769188946","browser")</x:f>
      </x:c>
      <x:c r="L3032" s="0">
        <x:f>hyperlink("https://icat2.azurewebsites.net/icat/?ontology=ICD&amp;tab=ClassesTab&amp;id=http%3A%2F%2Fwho.int%2Ficd%23111_97087496_4a82_4efa_a45a_b3256f81bd7e","iCat")</x:f>
      </x:c>
      <x:c r="M3032" s="0" t="s">
        <x:v>21</x:v>
      </x:c>
      <x:c r="N3032" s="0" t="s">
        <x:v>46</x:v>
      </x:c>
    </x:row>
    <x:row r="3033" spans="1:16">
      <x:c r="A3033" s="0" t="s">
        <x:v>11973</x:v>
      </x:c>
      <x:c r="B3033" s="0" t="s">
        <x:v>11974</x:v>
      </x:c>
      <x:c r="C3033" s="0" t="s">
        <x:v>11975</x:v>
      </x:c>
      <x:c r="E3033" s="0" t="s">
        <x:v>11976</x:v>
      </x:c>
      <x:c r="F3033" s="0" t="s">
        <x:v>45</x:v>
      </x:c>
      <x:c r="G3033" s="0" t="s">
        <x:v>19</x:v>
      </x:c>
      <x:c r="H3033" s="0" t="s">
        <x:v>20</x:v>
      </x:c>
      <x:c r="I3033" s="0" t="s">
        <x:v>21</x:v>
      </x:c>
      <x:c r="K3033" s="0">
        <x:f>hyperlink("https://icd.who.int/dev11/l-ichi/en#/http%3A%2F%2Fid.who.int%2Ficd%2Fentity%2F979687007","browser")</x:f>
      </x:c>
      <x:c r="L3033" s="0">
        <x:f>hyperlink("https://icat2.azurewebsites.net/icat/?ontology=ICD&amp;tab=ClassesTab&amp;id=http%3A%2F%2Fwho.int%2Ficd%2313345_512ebf36_bf6b_4d70_85da_cf2637062af4","iCat")</x:f>
      </x:c>
      <x:c r="M3033" s="0" t="s">
        <x:v>21</x:v>
      </x:c>
      <x:c r="N3033" s="0" t="s">
        <x:v>46</x:v>
      </x:c>
    </x:row>
    <x:row r="3034" spans="1:16">
      <x:c r="A3034" s="0" t="s">
        <x:v>11977</x:v>
      </x:c>
      <x:c r="B3034" s="0" t="s">
        <x:v>11978</x:v>
      </x:c>
      <x:c r="C3034" s="0" t="s">
        <x:v>11979</x:v>
      </x:c>
      <x:c r="E3034" s="0" t="s">
        <x:v>11980</x:v>
      </x:c>
      <x:c r="F3034" s="0" t="s">
        <x:v>45</x:v>
      </x:c>
      <x:c r="G3034" s="0" t="s">
        <x:v>19</x:v>
      </x:c>
      <x:c r="H3034" s="0" t="s">
        <x:v>20</x:v>
      </x:c>
      <x:c r="I3034" s="0" t="s">
        <x:v>21</x:v>
      </x:c>
      <x:c r="K3034" s="0">
        <x:f>hyperlink("https://icd.who.int/dev11/l-ichi/en#/http%3A%2F%2Fid.who.int%2Ficd%2Fentity%2F539224197","browser")</x:f>
      </x:c>
      <x:c r="L3034" s="0">
        <x:f>hyperlink("https://icat2.azurewebsites.net/icat/?ontology=ICD&amp;tab=ClassesTab&amp;id=http%3A%2F%2Fwho.int%2Ficd%2313352_512ebf36_bf6b_4d70_85da_cf2637062af4","iCat")</x:f>
      </x:c>
      <x:c r="M3034" s="0" t="s">
        <x:v>21</x:v>
      </x:c>
      <x:c r="N3034" s="0" t="s">
        <x:v>46</x:v>
      </x:c>
    </x:row>
    <x:row r="3035" spans="1:16">
      <x:c r="A3035" s="0" t="s">
        <x:v>11981</x:v>
      </x:c>
      <x:c r="B3035" s="0" t="s">
        <x:v>11982</x:v>
      </x:c>
      <x:c r="C3035" s="0" t="s">
        <x:v>11983</x:v>
      </x:c>
      <x:c r="E3035" s="0" t="s">
        <x:v>11984</x:v>
      </x:c>
      <x:c r="F3035" s="0" t="s">
        <x:v>45</x:v>
      </x:c>
      <x:c r="G3035" s="0" t="s">
        <x:v>19</x:v>
      </x:c>
      <x:c r="H3035" s="0" t="s">
        <x:v>20</x:v>
      </x:c>
      <x:c r="I3035" s="0" t="s">
        <x:v>21</x:v>
      </x:c>
      <x:c r="K3035" s="0">
        <x:f>hyperlink("https://icd.who.int/dev11/l-ichi/en#/http%3A%2F%2Fid.who.int%2Ficd%2Fentity%2F99530055","browser")</x:f>
      </x:c>
      <x:c r="L3035" s="0">
        <x:f>hyperlink("https://icat2.azurewebsites.net/icat/?ontology=ICD&amp;tab=ClassesTab&amp;id=http%3A%2F%2Fwho.int%2Ficd%2313360_512ebf36_bf6b_4d70_85da_cf2637062af4","iCat")</x:f>
      </x:c>
      <x:c r="M3035" s="0" t="s">
        <x:v>21</x:v>
      </x:c>
      <x:c r="N3035" s="0" t="s">
        <x:v>46</x:v>
      </x:c>
    </x:row>
    <x:row r="3036" spans="1:16">
      <x:c r="A3036" s="0" t="s">
        <x:v>11985</x:v>
      </x:c>
      <x:c r="B3036" s="0" t="s">
        <x:v>11986</x:v>
      </x:c>
      <x:c r="C3036" s="0" t="s">
        <x:v>11987</x:v>
      </x:c>
      <x:c r="E3036" s="0" t="s">
        <x:v>11988</x:v>
      </x:c>
      <x:c r="F3036" s="0" t="s">
        <x:v>45</x:v>
      </x:c>
      <x:c r="G3036" s="0" t="s">
        <x:v>19</x:v>
      </x:c>
      <x:c r="H3036" s="0" t="s">
        <x:v>20</x:v>
      </x:c>
      <x:c r="I3036" s="0" t="s">
        <x:v>21</x:v>
      </x:c>
      <x:c r="K3036" s="0">
        <x:f>hyperlink("https://icd.who.int/dev11/l-ichi/en#/http%3A%2F%2Fid.who.int%2Ficd%2Fentity%2F1512891494","browser")</x:f>
      </x:c>
      <x:c r="L3036" s="0">
        <x:f>hyperlink("https://icat2.azurewebsites.net/icat/?ontology=ICD&amp;tab=ClassesTab&amp;id=http%3A%2F%2Fwho.int%2Ficd%2313374_512ebf36_bf6b_4d70_85da_cf2637062af4","iCat")</x:f>
      </x:c>
      <x:c r="M3036" s="0" t="s">
        <x:v>21</x:v>
      </x:c>
      <x:c r="N3036" s="0" t="s">
        <x:v>46</x:v>
      </x:c>
    </x:row>
    <x:row r="3037" spans="1:16">
      <x:c r="A3037" s="0" t="s">
        <x:v>11989</x:v>
      </x:c>
      <x:c r="B3037" s="0" t="s">
        <x:v>11990</x:v>
      </x:c>
      <x:c r="C3037" s="0" t="s">
        <x:v>11991</x:v>
      </x:c>
      <x:c r="E3037" s="0" t="s">
        <x:v>11992</x:v>
      </x:c>
      <x:c r="F3037" s="0" t="s">
        <x:v>45</x:v>
      </x:c>
      <x:c r="G3037" s="0" t="s">
        <x:v>19</x:v>
      </x:c>
      <x:c r="H3037" s="0" t="s">
        <x:v>20</x:v>
      </x:c>
      <x:c r="I3037" s="0" t="s">
        <x:v>21</x:v>
      </x:c>
      <x:c r="K3037" s="0">
        <x:f>hyperlink("https://icd.who.int/dev11/l-ichi/en#/http%3A%2F%2Fid.who.int%2Ficd%2Fentity%2F88671543","browser")</x:f>
      </x:c>
      <x:c r="L3037" s="0">
        <x:f>hyperlink("https://icat2.azurewebsites.net/icat/?ontology=ICD&amp;tab=ClassesTab&amp;id=http%3A%2F%2Fwho.int%2Ficd%2313383_512ebf36_bf6b_4d70_85da_cf2637062af4","iCat")</x:f>
      </x:c>
      <x:c r="M3037" s="0" t="s">
        <x:v>21</x:v>
      </x:c>
      <x:c r="N3037" s="0" t="s">
        <x:v>46</x:v>
      </x:c>
    </x:row>
    <x:row r="3038" spans="1:16">
      <x:c r="A3038" s="0" t="s">
        <x:v>11993</x:v>
      </x:c>
      <x:c r="B3038" s="0" t="s">
        <x:v>11994</x:v>
      </x:c>
      <x:c r="C3038" s="0" t="s">
        <x:v>11995</x:v>
      </x:c>
      <x:c r="E3038" s="0" t="s">
        <x:v>11996</x:v>
      </x:c>
      <x:c r="F3038" s="0" t="s">
        <x:v>45</x:v>
      </x:c>
      <x:c r="G3038" s="0" t="s">
        <x:v>19</x:v>
      </x:c>
      <x:c r="H3038" s="0" t="s">
        <x:v>20</x:v>
      </x:c>
      <x:c r="I3038" s="0" t="s">
        <x:v>21</x:v>
      </x:c>
      <x:c r="K3038" s="0">
        <x:f>hyperlink("https://icd.who.int/dev11/l-ichi/en#/http%3A%2F%2Fid.who.int%2Ficd%2Fentity%2F1333125724","browser")</x:f>
      </x:c>
      <x:c r="L3038" s="0">
        <x:f>hyperlink("https://icat2.azurewebsites.net/icat/?ontology=ICD&amp;tab=ClassesTab&amp;id=http%3A%2F%2Fwho.int%2Ficd%2313392_512ebf36_bf6b_4d70_85da_cf2637062af4","iCat")</x:f>
      </x:c>
      <x:c r="M3038" s="0" t="s">
        <x:v>21</x:v>
      </x:c>
      <x:c r="N3038" s="0" t="s">
        <x:v>46</x:v>
      </x:c>
    </x:row>
    <x:row r="3039" spans="1:16">
      <x:c r="A3039" s="0" t="s">
        <x:v>11997</x:v>
      </x:c>
      <x:c r="B3039" s="0" t="s">
        <x:v>11998</x:v>
      </x:c>
      <x:c r="C3039" s="0" t="s">
        <x:v>11999</x:v>
      </x:c>
      <x:c r="E3039" s="0" t="s">
        <x:v>12000</x:v>
      </x:c>
      <x:c r="F3039" s="0" t="s">
        <x:v>45</x:v>
      </x:c>
      <x:c r="G3039" s="0" t="s">
        <x:v>19</x:v>
      </x:c>
      <x:c r="H3039" s="0" t="s">
        <x:v>20</x:v>
      </x:c>
      <x:c r="I3039" s="0" t="s">
        <x:v>21</x:v>
      </x:c>
      <x:c r="K3039" s="0">
        <x:f>hyperlink("https://icd.who.int/dev11/l-ichi/en#/http%3A%2F%2Fid.who.int%2Ficd%2Fentity%2F1148321010","browser")</x:f>
      </x:c>
      <x:c r="L3039" s="0">
        <x:f>hyperlink("https://icat2.azurewebsites.net/icat/?ontology=ICD&amp;tab=ClassesTab&amp;id=http%3A%2F%2Fwho.int%2Ficd%2313399_512ebf36_bf6b_4d70_85da_cf2637062af4","iCat")</x:f>
      </x:c>
      <x:c r="M3039" s="0" t="s">
        <x:v>21</x:v>
      </x:c>
      <x:c r="N3039" s="0" t="s">
        <x:v>46</x:v>
      </x:c>
    </x:row>
    <x:row r="3040" spans="1:16">
      <x:c r="A3040" s="0" t="s">
        <x:v>12001</x:v>
      </x:c>
      <x:c r="B3040" s="0" t="s">
        <x:v>12002</x:v>
      </x:c>
      <x:c r="C3040" s="0" t="s">
        <x:v>12003</x:v>
      </x:c>
      <x:c r="E3040" s="0" t="s">
        <x:v>12004</x:v>
      </x:c>
      <x:c r="F3040" s="0" t="s">
        <x:v>45</x:v>
      </x:c>
      <x:c r="G3040" s="0" t="s">
        <x:v>19</x:v>
      </x:c>
      <x:c r="H3040" s="0" t="s">
        <x:v>20</x:v>
      </x:c>
      <x:c r="I3040" s="0" t="s">
        <x:v>21</x:v>
      </x:c>
      <x:c r="K3040" s="0">
        <x:f>hyperlink("https://icd.who.int/dev11/l-ichi/en#/http%3A%2F%2Fid.who.int%2Ficd%2Fentity%2F642919726","browser")</x:f>
      </x:c>
      <x:c r="L3040" s="0">
        <x:f>hyperlink("https://icat2.azurewebsites.net/icat/?ontology=ICD&amp;tab=ClassesTab&amp;id=http%3A%2F%2Fwho.int%2Ficd%2313405_512ebf36_bf6b_4d70_85da_cf2637062af4","iCat")</x:f>
      </x:c>
      <x:c r="M3040" s="0" t="s">
        <x:v>21</x:v>
      </x:c>
      <x:c r="N3040" s="0" t="s">
        <x:v>46</x:v>
      </x:c>
    </x:row>
    <x:row r="3041" spans="1:16">
      <x:c r="A3041" s="0" t="s">
        <x:v>12005</x:v>
      </x:c>
      <x:c r="B3041" s="0" t="s">
        <x:v>12006</x:v>
      </x:c>
      <x:c r="C3041" s="0" t="s">
        <x:v>12007</x:v>
      </x:c>
      <x:c r="E3041" s="0" t="s">
        <x:v>12008</x:v>
      </x:c>
      <x:c r="F3041" s="0" t="s">
        <x:v>45</x:v>
      </x:c>
      <x:c r="G3041" s="0" t="s">
        <x:v>19</x:v>
      </x:c>
      <x:c r="H3041" s="0" t="s">
        <x:v>20</x:v>
      </x:c>
      <x:c r="I3041" s="0" t="s">
        <x:v>21</x:v>
      </x:c>
      <x:c r="K3041" s="0">
        <x:f>hyperlink("https://icd.who.int/dev11/l-ichi/en#/http%3A%2F%2Fid.who.int%2Ficd%2Fentity%2F2039512077","browser")</x:f>
      </x:c>
      <x:c r="L3041" s="0">
        <x:f>hyperlink("https://icat2.azurewebsites.net/icat/?ontology=ICD&amp;tab=ClassesTab&amp;id=http%3A%2F%2Fwho.int%2Ficd%2313411_512ebf36_bf6b_4d70_85da_cf2637062af4","iCat")</x:f>
      </x:c>
      <x:c r="M3041" s="0" t="s">
        <x:v>21</x:v>
      </x:c>
      <x:c r="N3041" s="0" t="s">
        <x:v>46</x:v>
      </x:c>
    </x:row>
    <x:row r="3042" spans="1:16">
      <x:c r="A3042" s="0" t="s">
        <x:v>12009</x:v>
      </x:c>
      <x:c r="B3042" s="0" t="s">
        <x:v>12010</x:v>
      </x:c>
      <x:c r="C3042" s="0" t="s">
        <x:v>12011</x:v>
      </x:c>
      <x:c r="E3042" s="0" t="s">
        <x:v>12012</x:v>
      </x:c>
      <x:c r="F3042" s="0" t="s">
        <x:v>45</x:v>
      </x:c>
      <x:c r="G3042" s="0" t="s">
        <x:v>19</x:v>
      </x:c>
      <x:c r="H3042" s="0" t="s">
        <x:v>20</x:v>
      </x:c>
      <x:c r="I3042" s="0" t="s">
        <x:v>21</x:v>
      </x:c>
      <x:c r="K3042" s="0">
        <x:f>hyperlink("https://icd.who.int/dev11/l-ichi/en#/http%3A%2F%2Fid.who.int%2Ficd%2Fentity%2F2091144179","browser")</x:f>
      </x:c>
      <x:c r="L3042" s="0">
        <x:f>hyperlink("https://icat2.azurewebsites.net/icat/?ontology=ICD&amp;tab=ClassesTab&amp;id=http%3A%2F%2Fwho.int%2Ficd%2313422_512ebf36_bf6b_4d70_85da_cf2637062af4","iCat")</x:f>
      </x:c>
      <x:c r="M3042" s="0" t="s">
        <x:v>21</x:v>
      </x:c>
      <x:c r="N3042" s="0" t="s">
        <x:v>46</x:v>
      </x:c>
    </x:row>
    <x:row r="3043" spans="1:16">
      <x:c r="A3043" s="0" t="s">
        <x:v>12013</x:v>
      </x:c>
      <x:c r="B3043" s="0" t="s">
        <x:v>12014</x:v>
      </x:c>
      <x:c r="C3043" s="0" t="s">
        <x:v>12015</x:v>
      </x:c>
      <x:c r="E3043" s="0" t="s">
        <x:v>12016</x:v>
      </x:c>
      <x:c r="F3043" s="0" t="s">
        <x:v>45</x:v>
      </x:c>
      <x:c r="G3043" s="0" t="s">
        <x:v>19</x:v>
      </x:c>
      <x:c r="H3043" s="0" t="s">
        <x:v>20</x:v>
      </x:c>
      <x:c r="I3043" s="0" t="s">
        <x:v>21</x:v>
      </x:c>
      <x:c r="K3043" s="0">
        <x:f>hyperlink("https://icd.who.int/dev11/l-ichi/en#/http%3A%2F%2Fid.who.int%2Ficd%2Fentity%2F375506598","browser")</x:f>
      </x:c>
      <x:c r="L3043" s="0">
        <x:f>hyperlink("https://icat2.azurewebsites.net/icat/?ontology=ICD&amp;tab=ClassesTab&amp;id=http%3A%2F%2Fwho.int%2Ficd%2313432_512ebf36_bf6b_4d70_85da_cf2637062af4","iCat")</x:f>
      </x:c>
      <x:c r="M3043" s="0" t="s">
        <x:v>21</x:v>
      </x:c>
      <x:c r="N3043" s="0" t="s">
        <x:v>46</x:v>
      </x:c>
    </x:row>
    <x:row r="3044" spans="1:16">
      <x:c r="A3044" s="0" t="s">
        <x:v>12017</x:v>
      </x:c>
      <x:c r="B3044" s="0" t="s">
        <x:v>12018</x:v>
      </x:c>
      <x:c r="C3044" s="0" t="s">
        <x:v>12019</x:v>
      </x:c>
      <x:c r="E3044" s="0" t="s">
        <x:v>12020</x:v>
      </x:c>
      <x:c r="F3044" s="0" t="s">
        <x:v>45</x:v>
      </x:c>
      <x:c r="G3044" s="0" t="s">
        <x:v>19</x:v>
      </x:c>
      <x:c r="H3044" s="0" t="s">
        <x:v>20</x:v>
      </x:c>
      <x:c r="I3044" s="0" t="s">
        <x:v>21</x:v>
      </x:c>
      <x:c r="K3044" s="0">
        <x:f>hyperlink("https://icd.who.int/dev11/l-ichi/en#/http%3A%2F%2Fid.who.int%2Ficd%2Fentity%2F493213704","browser")</x:f>
      </x:c>
      <x:c r="L3044" s="0">
        <x:f>hyperlink("https://icat2.azurewebsites.net/icat/?ontology=ICD&amp;tab=ClassesTab&amp;id=http%3A%2F%2Fwho.int%2Ficd%2313439_512ebf36_bf6b_4d70_85da_cf2637062af4","iCat")</x:f>
      </x:c>
      <x:c r="M3044" s="0" t="s">
        <x:v>21</x:v>
      </x:c>
      <x:c r="N3044" s="0" t="s">
        <x:v>46</x:v>
      </x:c>
    </x:row>
    <x:row r="3045" spans="1:16">
      <x:c r="A3045" s="0" t="s">
        <x:v>12021</x:v>
      </x:c>
      <x:c r="B3045" s="0" t="s">
        <x:v>12022</x:v>
      </x:c>
      <x:c r="C3045" s="0" t="s">
        <x:v>12023</x:v>
      </x:c>
      <x:c r="E3045" s="0" t="s">
        <x:v>12024</x:v>
      </x:c>
      <x:c r="F3045" s="0" t="s">
        <x:v>45</x:v>
      </x:c>
      <x:c r="G3045" s="0" t="s">
        <x:v>19</x:v>
      </x:c>
      <x:c r="H3045" s="0" t="s">
        <x:v>20</x:v>
      </x:c>
      <x:c r="I3045" s="0" t="s">
        <x:v>21</x:v>
      </x:c>
      <x:c r="K3045" s="0">
        <x:f>hyperlink("https://icd.who.int/dev11/l-ichi/en#/http%3A%2F%2Fid.who.int%2Ficd%2Fentity%2F330305996","browser")</x:f>
      </x:c>
      <x:c r="L3045" s="0">
        <x:f>hyperlink("https://icat2.azurewebsites.net/icat/?ontology=ICD&amp;tab=ClassesTab&amp;id=http%3A%2F%2Fwho.int%2Ficd%2313446_512ebf36_bf6b_4d70_85da_cf2637062af4","iCat")</x:f>
      </x:c>
      <x:c r="M3045" s="0" t="s">
        <x:v>21</x:v>
      </x:c>
      <x:c r="N3045" s="0" t="s">
        <x:v>46</x:v>
      </x:c>
    </x:row>
    <x:row r="3046" spans="1:16">
      <x:c r="A3046" s="0" t="s">
        <x:v>12025</x:v>
      </x:c>
      <x:c r="B3046" s="0" t="s">
        <x:v>12026</x:v>
      </x:c>
      <x:c r="C3046" s="0" t="s">
        <x:v>12027</x:v>
      </x:c>
      <x:c r="E3046" s="0" t="s">
        <x:v>12028</x:v>
      </x:c>
      <x:c r="F3046" s="0" t="s">
        <x:v>45</x:v>
      </x:c>
      <x:c r="G3046" s="0" t="s">
        <x:v>19</x:v>
      </x:c>
      <x:c r="H3046" s="0" t="s">
        <x:v>20</x:v>
      </x:c>
      <x:c r="I3046" s="0" t="s">
        <x:v>21</x:v>
      </x:c>
      <x:c r="K3046" s="0">
        <x:f>hyperlink("https://icd.who.int/dev11/l-ichi/en#/http%3A%2F%2Fid.who.int%2Ficd%2Fentity%2F1821061845","browser")</x:f>
      </x:c>
      <x:c r="L3046" s="0">
        <x:f>hyperlink("https://icat2.azurewebsites.net/icat/?ontology=ICD&amp;tab=ClassesTab&amp;id=http%3A%2F%2Fwho.int%2Ficd%2313453_512ebf36_bf6b_4d70_85da_cf2637062af4","iCat")</x:f>
      </x:c>
      <x:c r="M3046" s="0" t="s">
        <x:v>21</x:v>
      </x:c>
      <x:c r="N3046" s="0" t="s">
        <x:v>46</x:v>
      </x:c>
    </x:row>
    <x:row r="3047" spans="1:16">
      <x:c r="A3047" s="0" t="s">
        <x:v>12029</x:v>
      </x:c>
      <x:c r="B3047" s="0" t="s">
        <x:v>12030</x:v>
      </x:c>
      <x:c r="C3047" s="0" t="s">
        <x:v>12031</x:v>
      </x:c>
      <x:c r="E3047" s="0" t="s">
        <x:v>12032</x:v>
      </x:c>
      <x:c r="F3047" s="0" t="s">
        <x:v>45</x:v>
      </x:c>
      <x:c r="G3047" s="0" t="s">
        <x:v>19</x:v>
      </x:c>
      <x:c r="H3047" s="0" t="s">
        <x:v>20</x:v>
      </x:c>
      <x:c r="I3047" s="0" t="s">
        <x:v>21</x:v>
      </x:c>
      <x:c r="K3047" s="0">
        <x:f>hyperlink("https://icd.who.int/dev11/l-ichi/en#/http%3A%2F%2Fid.who.int%2Ficd%2Fentity%2F1774132523","browser")</x:f>
      </x:c>
      <x:c r="L3047" s="0">
        <x:f>hyperlink("https://icat2.azurewebsites.net/icat/?ontology=ICD&amp;tab=ClassesTab&amp;id=http%3A%2F%2Fwho.int%2Ficd%2313460_512ebf36_bf6b_4d70_85da_cf2637062af4","iCat")</x:f>
      </x:c>
      <x:c r="M3047" s="0" t="s">
        <x:v>21</x:v>
      </x:c>
      <x:c r="N3047" s="0" t="s">
        <x:v>46</x:v>
      </x:c>
    </x:row>
    <x:row r="3048" spans="1:16">
      <x:c r="A3048" s="0" t="s">
        <x:v>12033</x:v>
      </x:c>
      <x:c r="B3048" s="0" t="s">
        <x:v>12034</x:v>
      </x:c>
      <x:c r="C3048" s="0" t="s">
        <x:v>12035</x:v>
      </x:c>
      <x:c r="E3048" s="0" t="s">
        <x:v>12036</x:v>
      </x:c>
      <x:c r="F3048" s="0" t="s">
        <x:v>45</x:v>
      </x:c>
      <x:c r="G3048" s="0" t="s">
        <x:v>19</x:v>
      </x:c>
      <x:c r="H3048" s="0" t="s">
        <x:v>20</x:v>
      </x:c>
      <x:c r="I3048" s="0" t="s">
        <x:v>21</x:v>
      </x:c>
      <x:c r="K3048" s="0">
        <x:f>hyperlink("https://icd.who.int/dev11/l-ichi/en#/http%3A%2F%2Fid.who.int%2Ficd%2Fentity%2F969196698","browser")</x:f>
      </x:c>
      <x:c r="L3048" s="0">
        <x:f>hyperlink("https://icat2.azurewebsites.net/icat/?ontology=ICD&amp;tab=ClassesTab&amp;id=http%3A%2F%2Fwho.int%2Ficd%2313466_512ebf36_bf6b_4d70_85da_cf2637062af4","iCat")</x:f>
      </x:c>
      <x:c r="M3048" s="0" t="s">
        <x:v>21</x:v>
      </x:c>
      <x:c r="N3048" s="0" t="s">
        <x:v>46</x:v>
      </x:c>
    </x:row>
    <x:row r="3049" spans="1:16">
      <x:c r="A3049" s="0" t="s">
        <x:v>12037</x:v>
      </x:c>
      <x:c r="B3049" s="0" t="s">
        <x:v>12038</x:v>
      </x:c>
      <x:c r="C3049" s="0" t="s">
        <x:v>12039</x:v>
      </x:c>
      <x:c r="E3049" s="0" t="s">
        <x:v>12040</x:v>
      </x:c>
      <x:c r="F3049" s="0" t="s">
        <x:v>45</x:v>
      </x:c>
      <x:c r="G3049" s="0" t="s">
        <x:v>19</x:v>
      </x:c>
      <x:c r="H3049" s="0" t="s">
        <x:v>20</x:v>
      </x:c>
      <x:c r="I3049" s="0" t="s">
        <x:v>21</x:v>
      </x:c>
      <x:c r="K3049" s="0">
        <x:f>hyperlink("https://icd.who.int/dev11/l-ichi/en#/http%3A%2F%2Fid.who.int%2Ficd%2Fentity%2F1711707577","browser")</x:f>
      </x:c>
      <x:c r="L3049" s="0">
        <x:f>hyperlink("https://icat2.azurewebsites.net/icat/?ontology=ICD&amp;tab=ClassesTab&amp;id=http%3A%2F%2Fwho.int%2Ficd%2313472_512ebf36_bf6b_4d70_85da_cf2637062af4","iCat")</x:f>
      </x:c>
      <x:c r="M3049" s="0" t="s">
        <x:v>21</x:v>
      </x:c>
      <x:c r="N3049" s="0" t="s">
        <x:v>46</x:v>
      </x:c>
    </x:row>
    <x:row r="3050" spans="1:16">
      <x:c r="A3050" s="0" t="s">
        <x:v>12041</x:v>
      </x:c>
      <x:c r="B3050" s="0" t="s">
        <x:v>12042</x:v>
      </x:c>
      <x:c r="C3050" s="0" t="s">
        <x:v>12043</x:v>
      </x:c>
      <x:c r="E3050" s="0" t="s">
        <x:v>12044</x:v>
      </x:c>
      <x:c r="F3050" s="0" t="s">
        <x:v>45</x:v>
      </x:c>
      <x:c r="G3050" s="0" t="s">
        <x:v>19</x:v>
      </x:c>
      <x:c r="H3050" s="0" t="s">
        <x:v>20</x:v>
      </x:c>
      <x:c r="I3050" s="0" t="s">
        <x:v>21</x:v>
      </x:c>
      <x:c r="K3050" s="0">
        <x:f>hyperlink("https://icd.who.int/dev11/l-ichi/en#/http%3A%2F%2Fid.who.int%2Ficd%2Fentity%2F748536484","browser")</x:f>
      </x:c>
      <x:c r="L3050" s="0">
        <x:f>hyperlink("https://icat2.azurewebsites.net/icat/?ontology=ICD&amp;tab=ClassesTab&amp;id=http%3A%2F%2Fwho.int%2Ficd%2313480_512ebf36_bf6b_4d70_85da_cf2637062af4","iCat")</x:f>
      </x:c>
      <x:c r="M3050" s="0" t="s">
        <x:v>21</x:v>
      </x:c>
      <x:c r="N3050" s="0" t="s">
        <x:v>46</x:v>
      </x:c>
    </x:row>
    <x:row r="3051" spans="1:16">
      <x:c r="A3051" s="0" t="s">
        <x:v>12045</x:v>
      </x:c>
      <x:c r="B3051" s="0" t="s">
        <x:v>12046</x:v>
      </x:c>
      <x:c r="C3051" s="0" t="s">
        <x:v>12047</x:v>
      </x:c>
      <x:c r="E3051" s="0" t="s">
        <x:v>12048</x:v>
      </x:c>
      <x:c r="F3051" s="0" t="s">
        <x:v>45</x:v>
      </x:c>
      <x:c r="G3051" s="0" t="s">
        <x:v>19</x:v>
      </x:c>
      <x:c r="H3051" s="0" t="s">
        <x:v>20</x:v>
      </x:c>
      <x:c r="I3051" s="0" t="s">
        <x:v>21</x:v>
      </x:c>
      <x:c r="K3051" s="0">
        <x:f>hyperlink("https://icd.who.int/dev11/l-ichi/en#/http%3A%2F%2Fid.who.int%2Ficd%2Fentity%2F1545562415","browser")</x:f>
      </x:c>
      <x:c r="L3051" s="0">
        <x:f>hyperlink("https://icat2.azurewebsites.net/icat/?ontology=ICD&amp;tab=ClassesTab&amp;id=http%3A%2F%2Fwho.int%2Ficd%2313487_512ebf36_bf6b_4d70_85da_cf2637062af4","iCat")</x:f>
      </x:c>
      <x:c r="M3051" s="0" t="s">
        <x:v>21</x:v>
      </x:c>
      <x:c r="N3051" s="0" t="s">
        <x:v>46</x:v>
      </x:c>
    </x:row>
    <x:row r="3052" spans="1:16">
      <x:c r="A3052" s="0" t="s">
        <x:v>12049</x:v>
      </x:c>
      <x:c r="B3052" s="0" t="s">
        <x:v>12050</x:v>
      </x:c>
      <x:c r="C3052" s="0" t="s">
        <x:v>12051</x:v>
      </x:c>
      <x:c r="E3052" s="0" t="s">
        <x:v>12052</x:v>
      </x:c>
      <x:c r="F3052" s="0" t="s">
        <x:v>45</x:v>
      </x:c>
      <x:c r="G3052" s="0" t="s">
        <x:v>19</x:v>
      </x:c>
      <x:c r="H3052" s="0" t="s">
        <x:v>20</x:v>
      </x:c>
      <x:c r="I3052" s="0" t="s">
        <x:v>21</x:v>
      </x:c>
      <x:c r="K3052" s="0">
        <x:f>hyperlink("https://icd.who.int/dev11/l-ichi/en#/http%3A%2F%2Fid.who.int%2Ficd%2Fentity%2F1935643521","browser")</x:f>
      </x:c>
      <x:c r="L3052" s="0">
        <x:f>hyperlink("https://icat2.azurewebsites.net/icat/?ontology=ICD&amp;tab=ClassesTab&amp;id=http%3A%2F%2Fwho.int%2Ficd%2313494_512ebf36_bf6b_4d70_85da_cf2637062af4","iCat")</x:f>
      </x:c>
      <x:c r="M3052" s="0" t="s">
        <x:v>21</x:v>
      </x:c>
      <x:c r="N3052" s="0" t="s">
        <x:v>46</x:v>
      </x:c>
    </x:row>
    <x:row r="3053" spans="1:16">
      <x:c r="A3053" s="0" t="s">
        <x:v>12053</x:v>
      </x:c>
      <x:c r="B3053" s="0" t="s">
        <x:v>12054</x:v>
      </x:c>
      <x:c r="C3053" s="0" t="s">
        <x:v>12055</x:v>
      </x:c>
      <x:c r="E3053" s="0" t="s">
        <x:v>12056</x:v>
      </x:c>
      <x:c r="F3053" s="0" t="s">
        <x:v>45</x:v>
      </x:c>
      <x:c r="G3053" s="0" t="s">
        <x:v>19</x:v>
      </x:c>
      <x:c r="H3053" s="0" t="s">
        <x:v>20</x:v>
      </x:c>
      <x:c r="I3053" s="0" t="s">
        <x:v>21</x:v>
      </x:c>
      <x:c r="K3053" s="0">
        <x:f>hyperlink("https://icd.who.int/dev11/l-ichi/en#/http%3A%2F%2Fid.who.int%2Ficd%2Fentity%2F1177771515","browser")</x:f>
      </x:c>
      <x:c r="L3053" s="0">
        <x:f>hyperlink("https://icat2.azurewebsites.net/icat/?ontology=ICD&amp;tab=ClassesTab&amp;id=http%3A%2F%2Fwho.int%2Ficd%2313500_512ebf36_bf6b_4d70_85da_cf2637062af4","iCat")</x:f>
      </x:c>
      <x:c r="M3053" s="0" t="s">
        <x:v>21</x:v>
      </x:c>
      <x:c r="N3053" s="0" t="s">
        <x:v>46</x:v>
      </x:c>
    </x:row>
    <x:row r="3054" spans="1:16">
      <x:c r="A3054" s="0" t="s">
        <x:v>12057</x:v>
      </x:c>
      <x:c r="B3054" s="0" t="s">
        <x:v>12058</x:v>
      </x:c>
      <x:c r="C3054" s="0" t="s">
        <x:v>12059</x:v>
      </x:c>
      <x:c r="E3054" s="0" t="s">
        <x:v>12060</x:v>
      </x:c>
      <x:c r="F3054" s="0" t="s">
        <x:v>45</x:v>
      </x:c>
      <x:c r="G3054" s="0" t="s">
        <x:v>19</x:v>
      </x:c>
      <x:c r="H3054" s="0" t="s">
        <x:v>20</x:v>
      </x:c>
      <x:c r="I3054" s="0" t="s">
        <x:v>21</x:v>
      </x:c>
      <x:c r="K3054" s="0">
        <x:f>hyperlink("https://icd.who.int/dev11/l-ichi/en#/http%3A%2F%2Fid.who.int%2Ficd%2Fentity%2F917632630","browser")</x:f>
      </x:c>
      <x:c r="L3054" s="0">
        <x:f>hyperlink("https://icat2.azurewebsites.net/icat/?ontology=ICD&amp;tab=ClassesTab&amp;id=http%3A%2F%2Fwho.int%2Ficd%2313507_512ebf36_bf6b_4d70_85da_cf2637062af4","iCat")</x:f>
      </x:c>
      <x:c r="M3054" s="0" t="s">
        <x:v>21</x:v>
      </x:c>
      <x:c r="N3054" s="0" t="s">
        <x:v>46</x:v>
      </x:c>
    </x:row>
    <x:row r="3055" spans="1:16">
      <x:c r="A3055" s="0" t="s">
        <x:v>12061</x:v>
      </x:c>
      <x:c r="B3055" s="0" t="s">
        <x:v>12062</x:v>
      </x:c>
      <x:c r="C3055" s="0" t="s">
        <x:v>12063</x:v>
      </x:c>
      <x:c r="E3055" s="0" t="s">
        <x:v>12064</x:v>
      </x:c>
      <x:c r="F3055" s="0" t="s">
        <x:v>45</x:v>
      </x:c>
      <x:c r="G3055" s="0" t="s">
        <x:v>19</x:v>
      </x:c>
      <x:c r="H3055" s="0" t="s">
        <x:v>20</x:v>
      </x:c>
      <x:c r="I3055" s="0" t="s">
        <x:v>21</x:v>
      </x:c>
      <x:c r="K3055" s="0">
        <x:f>hyperlink("https://icd.who.int/dev11/l-ichi/en#/http%3A%2F%2Fid.who.int%2Ficd%2Fentity%2F956858084","browser")</x:f>
      </x:c>
      <x:c r="L3055" s="0">
        <x:f>hyperlink("https://icat2.azurewebsites.net/icat/?ontology=ICD&amp;tab=ClassesTab&amp;id=http%3A%2F%2Fwho.int%2Ficd%2313515_512ebf36_bf6b_4d70_85da_cf2637062af4","iCat")</x:f>
      </x:c>
      <x:c r="M3055" s="0" t="s">
        <x:v>21</x:v>
      </x:c>
      <x:c r="N3055" s="0" t="s">
        <x:v>46</x:v>
      </x:c>
    </x:row>
    <x:row r="3056" spans="1:16">
      <x:c r="A3056" s="0" t="s">
        <x:v>12065</x:v>
      </x:c>
      <x:c r="B3056" s="0" t="s">
        <x:v>12066</x:v>
      </x:c>
      <x:c r="C3056" s="0" t="s">
        <x:v>12067</x:v>
      </x:c>
      <x:c r="E3056" s="0" t="s">
        <x:v>12068</x:v>
      </x:c>
      <x:c r="F3056" s="0" t="s">
        <x:v>45</x:v>
      </x:c>
      <x:c r="G3056" s="0" t="s">
        <x:v>19</x:v>
      </x:c>
      <x:c r="H3056" s="0" t="s">
        <x:v>20</x:v>
      </x:c>
      <x:c r="I3056" s="0" t="s">
        <x:v>21</x:v>
      </x:c>
      <x:c r="K3056" s="0">
        <x:f>hyperlink("https://icd.who.int/dev11/l-ichi/en#/http%3A%2F%2Fid.who.int%2Ficd%2Fentity%2F1287584407","browser")</x:f>
      </x:c>
      <x:c r="L3056" s="0">
        <x:f>hyperlink("https://icat2.azurewebsites.net/icat/?ontology=ICD&amp;tab=ClassesTab&amp;id=http%3A%2F%2Fwho.int%2Ficd%2313521_512ebf36_bf6b_4d70_85da_cf2637062af4","iCat")</x:f>
      </x:c>
      <x:c r="M3056" s="0" t="s">
        <x:v>21</x:v>
      </x:c>
      <x:c r="N3056" s="0" t="s">
        <x:v>46</x:v>
      </x:c>
    </x:row>
    <x:row r="3057" spans="1:16">
      <x:c r="A3057" s="0" t="s">
        <x:v>12069</x:v>
      </x:c>
      <x:c r="B3057" s="0" t="s">
        <x:v>12070</x:v>
      </x:c>
      <x:c r="C3057" s="0" t="s">
        <x:v>12071</x:v>
      </x:c>
      <x:c r="E3057" s="0" t="s">
        <x:v>12072</x:v>
      </x:c>
      <x:c r="F3057" s="0" t="s">
        <x:v>45</x:v>
      </x:c>
      <x:c r="G3057" s="0" t="s">
        <x:v>19</x:v>
      </x:c>
      <x:c r="H3057" s="0" t="s">
        <x:v>20</x:v>
      </x:c>
      <x:c r="I3057" s="0" t="s">
        <x:v>21</x:v>
      </x:c>
      <x:c r="K3057" s="0">
        <x:f>hyperlink("https://icd.who.int/dev11/l-ichi/en#/http%3A%2F%2Fid.who.int%2Ficd%2Fentity%2F583465472","browser")</x:f>
      </x:c>
      <x:c r="L3057" s="0">
        <x:f>hyperlink("https://icat2.azurewebsites.net/icat/?ontology=ICD&amp;tab=ClassesTab&amp;id=http%3A%2F%2Fwho.int%2Ficd%2313528_512ebf36_bf6b_4d70_85da_cf2637062af4","iCat")</x:f>
      </x:c>
      <x:c r="M3057" s="0" t="s">
        <x:v>21</x:v>
      </x:c>
      <x:c r="N3057" s="0" t="s">
        <x:v>46</x:v>
      </x:c>
    </x:row>
    <x:row r="3058" spans="1:16">
      <x:c r="A3058" s="0" t="s">
        <x:v>12073</x:v>
      </x:c>
      <x:c r="B3058" s="0" t="s">
        <x:v>12074</x:v>
      </x:c>
      <x:c r="C3058" s="0" t="s">
        <x:v>12075</x:v>
      </x:c>
      <x:c r="E3058" s="0" t="s">
        <x:v>12076</x:v>
      </x:c>
      <x:c r="F3058" s="0" t="s">
        <x:v>45</x:v>
      </x:c>
      <x:c r="G3058" s="0" t="s">
        <x:v>19</x:v>
      </x:c>
      <x:c r="H3058" s="0" t="s">
        <x:v>20</x:v>
      </x:c>
      <x:c r="I3058" s="0" t="s">
        <x:v>21</x:v>
      </x:c>
      <x:c r="K3058" s="0">
        <x:f>hyperlink("https://icd.who.int/dev11/l-ichi/en#/http%3A%2F%2Fid.who.int%2Ficd%2Fentity%2F864409992","browser")</x:f>
      </x:c>
      <x:c r="L3058" s="0">
        <x:f>hyperlink("https://icat2.azurewebsites.net/icat/?ontology=ICD&amp;tab=ClassesTab&amp;id=http%3A%2F%2Fwho.int%2Ficd%2313534_512ebf36_bf6b_4d70_85da_cf2637062af4","iCat")</x:f>
      </x:c>
      <x:c r="M3058" s="0" t="s">
        <x:v>21</x:v>
      </x:c>
      <x:c r="N3058" s="0" t="s">
        <x:v>46</x:v>
      </x:c>
    </x:row>
    <x:row r="3059" spans="1:16">
      <x:c r="A3059" s="0" t="s">
        <x:v>12077</x:v>
      </x:c>
      <x:c r="B3059" s="0" t="s">
        <x:v>12078</x:v>
      </x:c>
      <x:c r="C3059" s="0" t="s">
        <x:v>12079</x:v>
      </x:c>
      <x:c r="E3059" s="0" t="s">
        <x:v>12080</x:v>
      </x:c>
      <x:c r="F3059" s="0" t="s">
        <x:v>45</x:v>
      </x:c>
      <x:c r="G3059" s="0" t="s">
        <x:v>19</x:v>
      </x:c>
      <x:c r="H3059" s="0" t="s">
        <x:v>20</x:v>
      </x:c>
      <x:c r="I3059" s="0" t="s">
        <x:v>21</x:v>
      </x:c>
      <x:c r="K3059" s="0">
        <x:f>hyperlink("https://icd.who.int/dev11/l-ichi/en#/http%3A%2F%2Fid.who.int%2Ficd%2Fentity%2F911478502","browser")</x:f>
      </x:c>
      <x:c r="L3059" s="0">
        <x:f>hyperlink("https://icat2.azurewebsites.net/icat/?ontology=ICD&amp;tab=ClassesTab&amp;id=http%3A%2F%2Fwho.int%2Ficd%2313540_512ebf36_bf6b_4d70_85da_cf2637062af4","iCat")</x:f>
      </x:c>
      <x:c r="M3059" s="0" t="s">
        <x:v>21</x:v>
      </x:c>
      <x:c r="N3059" s="0" t="s">
        <x:v>46</x:v>
      </x:c>
    </x:row>
    <x:row r="3060" spans="1:16">
      <x:c r="A3060" s="0" t="s">
        <x:v>12081</x:v>
      </x:c>
      <x:c r="B3060" s="0" t="s">
        <x:v>12082</x:v>
      </x:c>
      <x:c r="C3060" s="0" t="s">
        <x:v>12083</x:v>
      </x:c>
      <x:c r="E3060" s="0" t="s">
        <x:v>12084</x:v>
      </x:c>
      <x:c r="F3060" s="0" t="s">
        <x:v>45</x:v>
      </x:c>
      <x:c r="G3060" s="0" t="s">
        <x:v>19</x:v>
      </x:c>
      <x:c r="H3060" s="0" t="s">
        <x:v>20</x:v>
      </x:c>
      <x:c r="I3060" s="0" t="s">
        <x:v>21</x:v>
      </x:c>
      <x:c r="K3060" s="0">
        <x:f>hyperlink("https://icd.who.int/dev11/l-ichi/en#/http%3A%2F%2Fid.who.int%2Ficd%2Fentity%2F1188472171","browser")</x:f>
      </x:c>
      <x:c r="L3060" s="0">
        <x:f>hyperlink("https://icat2.azurewebsites.net/icat/?ontology=ICD&amp;tab=ClassesTab&amp;id=http%3A%2F%2Fwho.int%2Ficd%2313547_512ebf36_bf6b_4d70_85da_cf2637062af4","iCat")</x:f>
      </x:c>
      <x:c r="M3060" s="0" t="s">
        <x:v>21</x:v>
      </x:c>
      <x:c r="N3060" s="0" t="s">
        <x:v>46</x:v>
      </x:c>
    </x:row>
    <x:row r="3061" spans="1:16">
      <x:c r="A3061" s="0" t="s">
        <x:v>12085</x:v>
      </x:c>
      <x:c r="B3061" s="0" t="s">
        <x:v>12086</x:v>
      </x:c>
      <x:c r="C3061" s="0" t="s">
        <x:v>12087</x:v>
      </x:c>
      <x:c r="E3061" s="0" t="s">
        <x:v>12088</x:v>
      </x:c>
      <x:c r="F3061" s="0" t="s">
        <x:v>45</x:v>
      </x:c>
      <x:c r="G3061" s="0" t="s">
        <x:v>19</x:v>
      </x:c>
      <x:c r="H3061" s="0" t="s">
        <x:v>20</x:v>
      </x:c>
      <x:c r="I3061" s="0" t="s">
        <x:v>21</x:v>
      </x:c>
      <x:c r="K3061" s="0">
        <x:f>hyperlink("https://icd.who.int/dev11/l-ichi/en#/http%3A%2F%2Fid.who.int%2Ficd%2Fentity%2F420803658","browser")</x:f>
      </x:c>
      <x:c r="L3061" s="0">
        <x:f>hyperlink("https://icat2.azurewebsites.net/icat/?ontology=ICD&amp;tab=ClassesTab&amp;id=http%3A%2F%2Fwho.int%2Ficd%2313553_512ebf36_bf6b_4d70_85da_cf2637062af4","iCat")</x:f>
      </x:c>
      <x:c r="M3061" s="0" t="s">
        <x:v>21</x:v>
      </x:c>
      <x:c r="N3061" s="0" t="s">
        <x:v>46</x:v>
      </x:c>
    </x:row>
    <x:row r="3062" spans="1:16">
      <x:c r="A3062" s="0" t="s">
        <x:v>12089</x:v>
      </x:c>
      <x:c r="B3062" s="0" t="s">
        <x:v>12090</x:v>
      </x:c>
      <x:c r="C3062" s="0" t="s">
        <x:v>12091</x:v>
      </x:c>
      <x:c r="E3062" s="0" t="s">
        <x:v>12092</x:v>
      </x:c>
      <x:c r="F3062" s="0" t="s">
        <x:v>45</x:v>
      </x:c>
      <x:c r="G3062" s="0" t="s">
        <x:v>19</x:v>
      </x:c>
      <x:c r="H3062" s="0" t="s">
        <x:v>20</x:v>
      </x:c>
      <x:c r="I3062" s="0" t="s">
        <x:v>21</x:v>
      </x:c>
      <x:c r="K3062" s="0">
        <x:f>hyperlink("https://icd.who.int/dev11/l-ichi/en#/http%3A%2F%2Fid.who.int%2Ficd%2Fentity%2F471915448","browser")</x:f>
      </x:c>
      <x:c r="L3062" s="0">
        <x:f>hyperlink("https://icat2.azurewebsites.net/icat/?ontology=ICD&amp;tab=ClassesTab&amp;id=http%3A%2F%2Fwho.int%2Ficd%2313560_512ebf36_bf6b_4d70_85da_cf2637062af4","iCat")</x:f>
      </x:c>
      <x:c r="M3062" s="0" t="s">
        <x:v>21</x:v>
      </x:c>
      <x:c r="N3062" s="0" t="s">
        <x:v>46</x:v>
      </x:c>
    </x:row>
    <x:row r="3063" spans="1:16">
      <x:c r="A3063" s="0" t="s">
        <x:v>12093</x:v>
      </x:c>
      <x:c r="B3063" s="0" t="s">
        <x:v>12094</x:v>
      </x:c>
      <x:c r="C3063" s="0" t="s">
        <x:v>12095</x:v>
      </x:c>
      <x:c r="E3063" s="0" t="s">
        <x:v>12096</x:v>
      </x:c>
      <x:c r="F3063" s="0" t="s">
        <x:v>45</x:v>
      </x:c>
      <x:c r="G3063" s="0" t="s">
        <x:v>19</x:v>
      </x:c>
      <x:c r="H3063" s="0" t="s">
        <x:v>20</x:v>
      </x:c>
      <x:c r="I3063" s="0" t="s">
        <x:v>21</x:v>
      </x:c>
      <x:c r="K3063" s="0">
        <x:f>hyperlink("https://icd.who.int/dev11/l-ichi/en#/http%3A%2F%2Fid.who.int%2Ficd%2Fentity%2F861937944","browser")</x:f>
      </x:c>
      <x:c r="L3063" s="0">
        <x:f>hyperlink("https://icat2.azurewebsites.net/icat/?ontology=ICD&amp;tab=ClassesTab&amp;id=http%3A%2F%2Fwho.int%2Ficd%2313573_512ebf36_bf6b_4d70_85da_cf2637062af4","iCat")</x:f>
      </x:c>
      <x:c r="M3063" s="0" t="s">
        <x:v>21</x:v>
      </x:c>
      <x:c r="N3063" s="0" t="s">
        <x:v>46</x:v>
      </x:c>
    </x:row>
    <x:row r="3064" spans="1:16">
      <x:c r="A3064" s="0" t="s">
        <x:v>12097</x:v>
      </x:c>
      <x:c r="B3064" s="0" t="s">
        <x:v>12098</x:v>
      </x:c>
      <x:c r="C3064" s="0" t="s">
        <x:v>12099</x:v>
      </x:c>
      <x:c r="E3064" s="0" t="s">
        <x:v>12100</x:v>
      </x:c>
      <x:c r="F3064" s="0" t="s">
        <x:v>45</x:v>
      </x:c>
      <x:c r="G3064" s="0" t="s">
        <x:v>19</x:v>
      </x:c>
      <x:c r="H3064" s="0" t="s">
        <x:v>20</x:v>
      </x:c>
      <x:c r="I3064" s="0" t="s">
        <x:v>21</x:v>
      </x:c>
      <x:c r="K3064" s="0">
        <x:f>hyperlink("https://icd.who.int/dev11/l-ichi/en#/http%3A%2F%2Fid.who.int%2Ficd%2Fentity%2F412962184","browser")</x:f>
      </x:c>
      <x:c r="L3064" s="0">
        <x:f>hyperlink("https://icat2.azurewebsites.net/icat/?ontology=ICD&amp;tab=ClassesTab&amp;id=http%3A%2F%2Fwho.int%2Ficd%2313579_512ebf36_bf6b_4d70_85da_cf2637062af4","iCat")</x:f>
      </x:c>
      <x:c r="M3064" s="0" t="s">
        <x:v>21</x:v>
      </x:c>
      <x:c r="N3064" s="0" t="s">
        <x:v>46</x:v>
      </x:c>
    </x:row>
    <x:row r="3065" spans="1:16">
      <x:c r="A3065" s="0" t="s">
        <x:v>12101</x:v>
      </x:c>
      <x:c r="B3065" s="0" t="s">
        <x:v>12102</x:v>
      </x:c>
      <x:c r="C3065" s="0" t="s">
        <x:v>12103</x:v>
      </x:c>
      <x:c r="E3065" s="0" t="s">
        <x:v>12104</x:v>
      </x:c>
      <x:c r="F3065" s="0" t="s">
        <x:v>45</x:v>
      </x:c>
      <x:c r="G3065" s="0" t="s">
        <x:v>19</x:v>
      </x:c>
      <x:c r="H3065" s="0" t="s">
        <x:v>20</x:v>
      </x:c>
      <x:c r="I3065" s="0" t="s">
        <x:v>21</x:v>
      </x:c>
      <x:c r="K3065" s="0">
        <x:f>hyperlink("https://icd.who.int/dev11/l-ichi/en#/http%3A%2F%2Fid.who.int%2Ficd%2Fentity%2F158981518","browser")</x:f>
      </x:c>
      <x:c r="L3065" s="0">
        <x:f>hyperlink("https://icat2.azurewebsites.net/icat/?ontology=ICD&amp;tab=ClassesTab&amp;id=http%3A%2F%2Fwho.int%2Ficd%2313586_512ebf36_bf6b_4d70_85da_cf2637062af4","iCat")</x:f>
      </x:c>
      <x:c r="M3065" s="0" t="s">
        <x:v>21</x:v>
      </x:c>
      <x:c r="N3065" s="0" t="s">
        <x:v>46</x:v>
      </x:c>
    </x:row>
    <x:row r="3066" spans="1:16">
      <x:c r="A3066" s="0" t="s">
        <x:v>12105</x:v>
      </x:c>
      <x:c r="B3066" s="0" t="s">
        <x:v>12106</x:v>
      </x:c>
      <x:c r="C3066" s="0" t="s">
        <x:v>12107</x:v>
      </x:c>
      <x:c r="E3066" s="0" t="s">
        <x:v>12108</x:v>
      </x:c>
      <x:c r="F3066" s="0" t="s">
        <x:v>45</x:v>
      </x:c>
      <x:c r="G3066" s="0" t="s">
        <x:v>19</x:v>
      </x:c>
      <x:c r="H3066" s="0" t="s">
        <x:v>20</x:v>
      </x:c>
      <x:c r="I3066" s="0" t="s">
        <x:v>21</x:v>
      </x:c>
      <x:c r="K3066" s="0">
        <x:f>hyperlink("https://icd.who.int/dev11/l-ichi/en#/http%3A%2F%2Fid.who.int%2Ficd%2Fentity%2F1984102033","browser")</x:f>
      </x:c>
      <x:c r="L3066" s="0">
        <x:f>hyperlink("https://icat2.azurewebsites.net/icat/?ontology=ICD&amp;tab=ClassesTab&amp;id=http%3A%2F%2Fwho.int%2Ficd%2313593_512ebf36_bf6b_4d70_85da_cf2637062af4","iCat")</x:f>
      </x:c>
      <x:c r="M3066" s="0" t="s">
        <x:v>21</x:v>
      </x:c>
      <x:c r="N3066" s="0" t="s">
        <x:v>46</x:v>
      </x:c>
    </x:row>
    <x:row r="3067" spans="1:16">
      <x:c r="A3067" s="0" t="s">
        <x:v>12109</x:v>
      </x:c>
      <x:c r="B3067" s="0" t="s">
        <x:v>12110</x:v>
      </x:c>
      <x:c r="C3067" s="0" t="s">
        <x:v>12111</x:v>
      </x:c>
      <x:c r="E3067" s="0" t="s">
        <x:v>12112</x:v>
      </x:c>
      <x:c r="F3067" s="0" t="s">
        <x:v>45</x:v>
      </x:c>
      <x:c r="G3067" s="0" t="s">
        <x:v>19</x:v>
      </x:c>
      <x:c r="H3067" s="0" t="s">
        <x:v>20</x:v>
      </x:c>
      <x:c r="I3067" s="0" t="s">
        <x:v>21</x:v>
      </x:c>
      <x:c r="K3067" s="0">
        <x:f>hyperlink("https://icd.who.int/dev11/l-ichi/en#/http%3A%2F%2Fid.who.int%2Ficd%2Fentity%2F1572835841","browser")</x:f>
      </x:c>
      <x:c r="L3067" s="0">
        <x:f>hyperlink("https://icat2.azurewebsites.net/icat/?ontology=ICD&amp;tab=ClassesTab&amp;id=http%3A%2F%2Fwho.int%2Ficd%2313599_512ebf36_bf6b_4d70_85da_cf2637062af4","iCat")</x:f>
      </x:c>
      <x:c r="M3067" s="0" t="s">
        <x:v>21</x:v>
      </x:c>
      <x:c r="N3067" s="0" t="s">
        <x:v>46</x:v>
      </x:c>
    </x:row>
    <x:row r="3068" spans="1:16">
      <x:c r="A3068" s="0" t="s">
        <x:v>12113</x:v>
      </x:c>
      <x:c r="B3068" s="0" t="s">
        <x:v>12114</x:v>
      </x:c>
      <x:c r="C3068" s="0" t="s">
        <x:v>12115</x:v>
      </x:c>
      <x:c r="E3068" s="0" t="s">
        <x:v>12116</x:v>
      </x:c>
      <x:c r="F3068" s="0" t="s">
        <x:v>45</x:v>
      </x:c>
      <x:c r="G3068" s="0" t="s">
        <x:v>19</x:v>
      </x:c>
      <x:c r="H3068" s="0" t="s">
        <x:v>20</x:v>
      </x:c>
      <x:c r="I3068" s="0" t="s">
        <x:v>21</x:v>
      </x:c>
      <x:c r="K3068" s="0">
        <x:f>hyperlink("https://icd.who.int/dev11/l-ichi/en#/http%3A%2F%2Fid.who.int%2Ficd%2Fentity%2F1833963209","browser")</x:f>
      </x:c>
      <x:c r="L3068" s="0">
        <x:f>hyperlink("https://icat2.azurewebsites.net/icat/?ontology=ICD&amp;tab=ClassesTab&amp;id=http%3A%2F%2Fwho.int%2Ficd%2313611_512ebf36_bf6b_4d70_85da_cf2637062af4","iCat")</x:f>
      </x:c>
      <x:c r="M3068" s="0" t="s">
        <x:v>21</x:v>
      </x:c>
      <x:c r="N3068" s="0" t="s">
        <x:v>46</x:v>
      </x:c>
    </x:row>
    <x:row r="3069" spans="1:16">
      <x:c r="A3069" s="0" t="s">
        <x:v>12117</x:v>
      </x:c>
      <x:c r="B3069" s="0" t="s">
        <x:v>12118</x:v>
      </x:c>
      <x:c r="C3069" s="0" t="s">
        <x:v>12119</x:v>
      </x:c>
      <x:c r="E3069" s="0" t="s">
        <x:v>12120</x:v>
      </x:c>
      <x:c r="F3069" s="0" t="s">
        <x:v>45</x:v>
      </x:c>
      <x:c r="G3069" s="0" t="s">
        <x:v>19</x:v>
      </x:c>
      <x:c r="H3069" s="0" t="s">
        <x:v>20</x:v>
      </x:c>
      <x:c r="I3069" s="0" t="s">
        <x:v>21</x:v>
      </x:c>
      <x:c r="K3069" s="0">
        <x:f>hyperlink("https://icd.who.int/dev11/l-ichi/en#/http%3A%2F%2Fid.who.int%2Ficd%2Fentity%2F219692274","browser")</x:f>
      </x:c>
      <x:c r="L3069" s="0">
        <x:f>hyperlink("https://icat2.azurewebsites.net/icat/?ontology=ICD&amp;tab=ClassesTab&amp;id=http%3A%2F%2Fwho.int%2Ficd%2313620_512ebf36_bf6b_4d70_85da_cf2637062af4","iCat")</x:f>
      </x:c>
      <x:c r="M3069" s="0" t="s">
        <x:v>21</x:v>
      </x:c>
      <x:c r="N3069" s="0" t="s">
        <x:v>46</x:v>
      </x:c>
    </x:row>
    <x:row r="3070" spans="1:16">
      <x:c r="A3070" s="0" t="s">
        <x:v>12121</x:v>
      </x:c>
      <x:c r="B3070" s="0" t="s">
        <x:v>12122</x:v>
      </x:c>
      <x:c r="C3070" s="0" t="s">
        <x:v>12123</x:v>
      </x:c>
      <x:c r="E3070" s="0" t="s">
        <x:v>12124</x:v>
      </x:c>
      <x:c r="F3070" s="0" t="s">
        <x:v>45</x:v>
      </x:c>
      <x:c r="G3070" s="0" t="s">
        <x:v>19</x:v>
      </x:c>
      <x:c r="H3070" s="0" t="s">
        <x:v>20</x:v>
      </x:c>
      <x:c r="I3070" s="0" t="s">
        <x:v>21</x:v>
      </x:c>
      <x:c r="K3070" s="0">
        <x:f>hyperlink("https://icd.who.int/dev11/l-ichi/en#/http%3A%2F%2Fid.who.int%2Ficd%2Fentity%2F1667252123","browser")</x:f>
      </x:c>
      <x:c r="L3070" s="0">
        <x:f>hyperlink("https://icat2.azurewebsites.net/icat/?ontology=ICD&amp;tab=ClassesTab&amp;id=http%3A%2F%2Fwho.int%2Ficd%2313629_512ebf36_bf6b_4d70_85da_cf2637062af4","iCat")</x:f>
      </x:c>
      <x:c r="M3070" s="0" t="s">
        <x:v>21</x:v>
      </x:c>
      <x:c r="N3070" s="0" t="s">
        <x:v>46</x:v>
      </x:c>
    </x:row>
    <x:row r="3071" spans="1:16">
      <x:c r="A3071" s="0" t="s">
        <x:v>12125</x:v>
      </x:c>
      <x:c r="B3071" s="0" t="s">
        <x:v>12126</x:v>
      </x:c>
      <x:c r="C3071" s="0" t="s">
        <x:v>12127</x:v>
      </x:c>
      <x:c r="E3071" s="0" t="s">
        <x:v>12128</x:v>
      </x:c>
      <x:c r="F3071" s="0" t="s">
        <x:v>45</x:v>
      </x:c>
      <x:c r="G3071" s="0" t="s">
        <x:v>19</x:v>
      </x:c>
      <x:c r="H3071" s="0" t="s">
        <x:v>20</x:v>
      </x:c>
      <x:c r="I3071" s="0" t="s">
        <x:v>21</x:v>
      </x:c>
      <x:c r="K3071" s="0">
        <x:f>hyperlink("https://icd.who.int/dev11/l-ichi/en#/http%3A%2F%2Fid.who.int%2Ficd%2Fentity%2F392102440","browser")</x:f>
      </x:c>
      <x:c r="L3071" s="0">
        <x:f>hyperlink("https://icat2.azurewebsites.net/icat/?ontology=ICD&amp;tab=ClassesTab&amp;id=http%3A%2F%2Fwho.int%2Ficd%2313637_512ebf36_bf6b_4d70_85da_cf2637062af4","iCat")</x:f>
      </x:c>
      <x:c r="M3071" s="0" t="s">
        <x:v>21</x:v>
      </x:c>
      <x:c r="N3071" s="0" t="s">
        <x:v>46</x:v>
      </x:c>
    </x:row>
    <x:row r="3072" spans="1:16">
      <x:c r="A3072" s="0" t="s">
        <x:v>12129</x:v>
      </x:c>
      <x:c r="B3072" s="0" t="s">
        <x:v>12130</x:v>
      </x:c>
      <x:c r="C3072" s="0" t="s">
        <x:v>12131</x:v>
      </x:c>
      <x:c r="E3072" s="0" t="s">
        <x:v>12132</x:v>
      </x:c>
      <x:c r="F3072" s="0" t="s">
        <x:v>45</x:v>
      </x:c>
      <x:c r="G3072" s="0" t="s">
        <x:v>19</x:v>
      </x:c>
      <x:c r="H3072" s="0" t="s">
        <x:v>20</x:v>
      </x:c>
      <x:c r="I3072" s="0" t="s">
        <x:v>21</x:v>
      </x:c>
      <x:c r="K3072" s="0">
        <x:f>hyperlink("https://icd.who.int/dev11/l-ichi/en#/http%3A%2F%2Fid.who.int%2Ficd%2Fentity%2F1123355895","browser")</x:f>
      </x:c>
      <x:c r="L3072" s="0">
        <x:f>hyperlink("https://icat2.azurewebsites.net/icat/?ontology=ICD&amp;tab=ClassesTab&amp;id=http%3A%2F%2Fwho.int%2Ficd%2313645_512ebf36_bf6b_4d70_85da_cf2637062af4","iCat")</x:f>
      </x:c>
      <x:c r="M3072" s="0" t="s">
        <x:v>21</x:v>
      </x:c>
      <x:c r="N3072" s="0" t="s">
        <x:v>46</x:v>
      </x:c>
    </x:row>
    <x:row r="3073" spans="1:16">
      <x:c r="A3073" s="0" t="s">
        <x:v>12133</x:v>
      </x:c>
      <x:c r="B3073" s="0" t="s">
        <x:v>12134</x:v>
      </x:c>
      <x:c r="D3073" s="0" t="s">
        <x:v>12135</x:v>
      </x:c>
      <x:c r="E3073" s="0" t="s">
        <x:v>12136</x:v>
      </x:c>
      <x:c r="F3073" s="0" t="s">
        <x:v>26</x:v>
      </x:c>
      <x:c r="G3073" s="0" t="s">
        <x:v>22</x:v>
      </x:c>
      <x:c r="H3073" s="0" t="s">
        <x:v>20</x:v>
      </x:c>
      <x:c r="I3073" s="0" t="s">
        <x:v>21</x:v>
      </x:c>
      <x:c r="K3073" s="0">
        <x:f>hyperlink("https://icd.who.int/dev11/l-ichi/en#/http%3A%2F%2Fid.who.int%2Ficd%2Fentity%2F2018197521","browser")</x:f>
      </x:c>
      <x:c r="L3073" s="0">
        <x:f>hyperlink("https://icat2.azurewebsites.net/icat/?ontology=ICD&amp;tab=ClassesTab&amp;id=http%3A%2F%2Fwho.int%2Ficd%2313653_512ebf36_bf6b_4d70_85da_cf2637062af4","iCat")</x:f>
      </x:c>
      <x:c r="M3073" s="0" t="s">
        <x:v>20</x:v>
      </x:c>
      <x:c r="N3073" s="0" t="s">
        <x:v>10405</x:v>
      </x:c>
    </x:row>
    <x:row r="3074" spans="1:16">
      <x:c r="A3074" s="0" t="s">
        <x:v>12137</x:v>
      </x:c>
      <x:c r="B3074" s="0" t="s">
        <x:v>12138</x:v>
      </x:c>
      <x:c r="C3074" s="0" t="s">
        <x:v>12139</x:v>
      </x:c>
      <x:c r="E3074" s="0" t="s">
        <x:v>12140</x:v>
      </x:c>
      <x:c r="F3074" s="0" t="s">
        <x:v>45</x:v>
      </x:c>
      <x:c r="G3074" s="0" t="s">
        <x:v>19</x:v>
      </x:c>
      <x:c r="H3074" s="0" t="s">
        <x:v>20</x:v>
      </x:c>
      <x:c r="I3074" s="0" t="s">
        <x:v>21</x:v>
      </x:c>
      <x:c r="K3074" s="0">
        <x:f>hyperlink("https://icd.who.int/dev11/l-ichi/en#/http%3A%2F%2Fid.who.int%2Ficd%2Fentity%2F1488073261","browser")</x:f>
      </x:c>
      <x:c r="L3074" s="0">
        <x:f>hyperlink("https://icat2.azurewebsites.net/icat/?ontology=ICD&amp;tab=ClassesTab&amp;id=http%3A%2F%2Fwho.int%2Ficd%2313652_512ebf36_bf6b_4d70_85da_cf2637062af4","iCat")</x:f>
      </x:c>
      <x:c r="M3074" s="0" t="s">
        <x:v>21</x:v>
      </x:c>
      <x:c r="N3074" s="0" t="s">
        <x:v>46</x:v>
      </x:c>
    </x:row>
    <x:row r="3075" spans="1:16">
      <x:c r="A3075" s="0" t="s">
        <x:v>12141</x:v>
      </x:c>
      <x:c r="B3075" s="0" t="s">
        <x:v>12142</x:v>
      </x:c>
      <x:c r="C3075" s="0" t="s">
        <x:v>12143</x:v>
      </x:c>
      <x:c r="E3075" s="0" t="s">
        <x:v>12144</x:v>
      </x:c>
      <x:c r="F3075" s="0" t="s">
        <x:v>45</x:v>
      </x:c>
      <x:c r="G3075" s="0" t="s">
        <x:v>19</x:v>
      </x:c>
      <x:c r="H3075" s="0" t="s">
        <x:v>20</x:v>
      </x:c>
      <x:c r="I3075" s="0" t="s">
        <x:v>21</x:v>
      </x:c>
      <x:c r="K3075" s="0">
        <x:f>hyperlink("https://icd.who.int/dev11/l-ichi/en#/http%3A%2F%2Fid.who.int%2Ficd%2Fentity%2F1215867803","browser")</x:f>
      </x:c>
      <x:c r="L3075" s="0">
        <x:f>hyperlink("https://icat2.azurewebsites.net/icat/?ontology=ICD&amp;tab=ClassesTab&amp;id=http%3A%2F%2Fwho.int%2Ficd%2313664_512ebf36_bf6b_4d70_85da_cf2637062af4","iCat")</x:f>
      </x:c>
      <x:c r="M3075" s="0" t="s">
        <x:v>21</x:v>
      </x:c>
      <x:c r="N3075" s="0" t="s">
        <x:v>46</x:v>
      </x:c>
    </x:row>
    <x:row r="3076" spans="1:16">
      <x:c r="A3076" s="0" t="s">
        <x:v>12145</x:v>
      </x:c>
      <x:c r="B3076" s="0" t="s">
        <x:v>12146</x:v>
      </x:c>
      <x:c r="C3076" s="0" t="s">
        <x:v>12147</x:v>
      </x:c>
      <x:c r="E3076" s="0" t="s">
        <x:v>12148</x:v>
      </x:c>
      <x:c r="F3076" s="0" t="s">
        <x:v>45</x:v>
      </x:c>
      <x:c r="G3076" s="0" t="s">
        <x:v>19</x:v>
      </x:c>
      <x:c r="H3076" s="0" t="s">
        <x:v>20</x:v>
      </x:c>
      <x:c r="I3076" s="0" t="s">
        <x:v>21</x:v>
      </x:c>
      <x:c r="K3076" s="0">
        <x:f>hyperlink("https://icd.who.int/dev11/l-ichi/en#/http%3A%2F%2Fid.who.int%2Ficd%2Fentity%2F1202703838","browser")</x:f>
      </x:c>
      <x:c r="L3076" s="0">
        <x:f>hyperlink("https://icat2.azurewebsites.net/icat/?ontology=ICD&amp;tab=ClassesTab&amp;id=http%3A%2F%2Fwho.int%2Ficd%2310570_4869915e_217e_423d_acb3_33c0f920ef4b","iCat")</x:f>
      </x:c>
      <x:c r="M3076" s="0" t="s">
        <x:v>21</x:v>
      </x:c>
      <x:c r="N3076" s="0" t="s">
        <x:v>46</x:v>
      </x:c>
    </x:row>
    <x:row r="3077" spans="1:16">
      <x:c r="A3077" s="0" t="s">
        <x:v>12149</x:v>
      </x:c>
      <x:c r="B3077" s="0" t="s">
        <x:v>12150</x:v>
      </x:c>
      <x:c r="C3077" s="0" t="s">
        <x:v>12151</x:v>
      </x:c>
      <x:c r="E3077" s="0" t="s">
        <x:v>12152</x:v>
      </x:c>
      <x:c r="F3077" s="0" t="s">
        <x:v>45</x:v>
      </x:c>
      <x:c r="G3077" s="0" t="s">
        <x:v>19</x:v>
      </x:c>
      <x:c r="H3077" s="0" t="s">
        <x:v>20</x:v>
      </x:c>
      <x:c r="I3077" s="0" t="s">
        <x:v>21</x:v>
      </x:c>
      <x:c r="K3077" s="0">
        <x:f>hyperlink("https://icd.who.int/dev11/l-ichi/en#/http%3A%2F%2Fid.who.int%2Ficd%2Fentity%2F2042821073","browser")</x:f>
      </x:c>
      <x:c r="L3077" s="0">
        <x:f>hyperlink("https://icat2.azurewebsites.net/icat/?ontology=ICD&amp;tab=ClassesTab&amp;id=http%3A%2F%2Fwho.int%2Ficd%2313679_512ebf36_bf6b_4d70_85da_cf2637062af4","iCat")</x:f>
      </x:c>
      <x:c r="M3077" s="0" t="s">
        <x:v>21</x:v>
      </x:c>
      <x:c r="N3077" s="0" t="s">
        <x:v>46</x:v>
      </x:c>
    </x:row>
    <x:row r="3078" spans="1:16">
      <x:c r="A3078" s="0" t="s">
        <x:v>12153</x:v>
      </x:c>
      <x:c r="B3078" s="0" t="s">
        <x:v>12154</x:v>
      </x:c>
      <x:c r="C3078" s="0" t="s">
        <x:v>12155</x:v>
      </x:c>
      <x:c r="E3078" s="0" t="s">
        <x:v>12156</x:v>
      </x:c>
      <x:c r="F3078" s="0" t="s">
        <x:v>45</x:v>
      </x:c>
      <x:c r="G3078" s="0" t="s">
        <x:v>19</x:v>
      </x:c>
      <x:c r="H3078" s="0" t="s">
        <x:v>20</x:v>
      </x:c>
      <x:c r="I3078" s="0" t="s">
        <x:v>21</x:v>
      </x:c>
      <x:c r="K3078" s="0">
        <x:f>hyperlink("https://icd.who.int/dev11/l-ichi/en#/http%3A%2F%2Fid.who.int%2Ficd%2Fentity%2F1385702705","browser")</x:f>
      </x:c>
      <x:c r="L3078" s="0">
        <x:f>hyperlink("https://icat2.azurewebsites.net/icat/?ontology=ICD&amp;tab=ClassesTab&amp;id=http%3A%2F%2Fwho.int%2Ficd%2313690_512ebf36_bf6b_4d70_85da_cf2637062af4","iCat")</x:f>
      </x:c>
      <x:c r="M3078" s="0" t="s">
        <x:v>21</x:v>
      </x:c>
      <x:c r="N3078" s="0" t="s">
        <x:v>46</x:v>
      </x:c>
    </x:row>
    <x:row r="3079" spans="1:16">
      <x:c r="A3079" s="0" t="s">
        <x:v>12157</x:v>
      </x:c>
      <x:c r="B3079" s="0" t="s">
        <x:v>12158</x:v>
      </x:c>
      <x:c r="C3079" s="0" t="s">
        <x:v>12159</x:v>
      </x:c>
      <x:c r="E3079" s="0" t="s">
        <x:v>12160</x:v>
      </x:c>
      <x:c r="F3079" s="0" t="s">
        <x:v>45</x:v>
      </x:c>
      <x:c r="G3079" s="0" t="s">
        <x:v>19</x:v>
      </x:c>
      <x:c r="H3079" s="0" t="s">
        <x:v>20</x:v>
      </x:c>
      <x:c r="I3079" s="0" t="s">
        <x:v>21</x:v>
      </x:c>
      <x:c r="K3079" s="0">
        <x:f>hyperlink("https://icd.who.int/dev11/l-ichi/en#/http%3A%2F%2Fid.who.int%2Ficd%2Fentity%2F1896124573","browser")</x:f>
      </x:c>
      <x:c r="L3079" s="0">
        <x:f>hyperlink("https://icat2.azurewebsites.net/icat/?ontology=ICD&amp;tab=ClassesTab&amp;id=http%3A%2F%2Fwho.int%2Ficd%23852_d85a204c_d00a_4566_a3b7_2d137a1891cf","iCat")</x:f>
      </x:c>
      <x:c r="M3079" s="0" t="s">
        <x:v>21</x:v>
      </x:c>
      <x:c r="N3079" s="0" t="s">
        <x:v>46</x:v>
      </x:c>
    </x:row>
    <x:row r="3080" spans="1:16">
      <x:c r="A3080" s="0" t="s">
        <x:v>12161</x:v>
      </x:c>
      <x:c r="B3080" s="0" t="s">
        <x:v>12162</x:v>
      </x:c>
      <x:c r="C3080" s="0" t="s">
        <x:v>12163</x:v>
      </x:c>
      <x:c r="E3080" s="0" t="s">
        <x:v>12164</x:v>
      </x:c>
      <x:c r="F3080" s="0" t="s">
        <x:v>45</x:v>
      </x:c>
      <x:c r="G3080" s="0" t="s">
        <x:v>19</x:v>
      </x:c>
      <x:c r="H3080" s="0" t="s">
        <x:v>20</x:v>
      </x:c>
      <x:c r="I3080" s="0" t="s">
        <x:v>21</x:v>
      </x:c>
      <x:c r="K3080" s="0">
        <x:f>hyperlink("https://icd.who.int/dev11/l-ichi/en#/http%3A%2F%2Fid.who.int%2Ficd%2Fentity%2F1693058992","browser")</x:f>
      </x:c>
      <x:c r="L3080" s="0">
        <x:f>hyperlink("https://icat2.azurewebsites.net/icat/?ontology=ICD&amp;tab=ClassesTab&amp;id=http%3A%2F%2Fwho.int%2Ficd%2313877_512ebf36_bf6b_4d70_85da_cf2637062af4","iCat")</x:f>
      </x:c>
      <x:c r="M3080" s="0" t="s">
        <x:v>21</x:v>
      </x:c>
      <x:c r="N3080" s="0" t="s">
        <x:v>46</x:v>
      </x:c>
    </x:row>
    <x:row r="3081" spans="1:16">
      <x:c r="A3081" s="0" t="s">
        <x:v>12165</x:v>
      </x:c>
      <x:c r="B3081" s="0" t="s">
        <x:v>12166</x:v>
      </x:c>
      <x:c r="C3081" s="0" t="s">
        <x:v>12167</x:v>
      </x:c>
      <x:c r="E3081" s="0" t="s">
        <x:v>12168</x:v>
      </x:c>
      <x:c r="F3081" s="0" t="s">
        <x:v>45</x:v>
      </x:c>
      <x:c r="G3081" s="0" t="s">
        <x:v>19</x:v>
      </x:c>
      <x:c r="H3081" s="0" t="s">
        <x:v>20</x:v>
      </x:c>
      <x:c r="I3081" s="0" t="s">
        <x:v>21</x:v>
      </x:c>
      <x:c r="K3081" s="0">
        <x:f>hyperlink("https://icd.who.int/dev11/l-ichi/en#/http%3A%2F%2Fid.who.int%2Ficd%2Fentity%2F48495746","browser")</x:f>
      </x:c>
      <x:c r="L3081" s="0">
        <x:f>hyperlink("https://icat2.azurewebsites.net/icat/?ontology=ICD&amp;tab=ClassesTab&amp;id=http%3A%2F%2Fwho.int%2Ficd%2313696_512ebf36_bf6b_4d70_85da_cf2637062af4","iCat")</x:f>
      </x:c>
      <x:c r="M3081" s="0" t="s">
        <x:v>21</x:v>
      </x:c>
      <x:c r="N3081" s="0" t="s">
        <x:v>46</x:v>
      </x:c>
    </x:row>
    <x:row r="3082" spans="1:16">
      <x:c r="A3082" s="0" t="s">
        <x:v>12169</x:v>
      </x:c>
      <x:c r="B3082" s="0" t="s">
        <x:v>12170</x:v>
      </x:c>
      <x:c r="C3082" s="0" t="s">
        <x:v>12171</x:v>
      </x:c>
      <x:c r="E3082" s="0" t="s">
        <x:v>12172</x:v>
      </x:c>
      <x:c r="F3082" s="0" t="s">
        <x:v>45</x:v>
      </x:c>
      <x:c r="G3082" s="0" t="s">
        <x:v>19</x:v>
      </x:c>
      <x:c r="H3082" s="0" t="s">
        <x:v>20</x:v>
      </x:c>
      <x:c r="I3082" s="0" t="s">
        <x:v>21</x:v>
      </x:c>
      <x:c r="K3082" s="0">
        <x:f>hyperlink("https://icd.who.int/dev11/l-ichi/en#/http%3A%2F%2Fid.who.int%2Ficd%2Fentity%2F1744104267","browser")</x:f>
      </x:c>
      <x:c r="L3082" s="0">
        <x:f>hyperlink("https://icat2.azurewebsites.net/icat/?ontology=ICD&amp;tab=ClassesTab&amp;id=http%3A%2F%2Fwho.int%2Ficd%2313704_512ebf36_bf6b_4d70_85da_cf2637062af4","iCat")</x:f>
      </x:c>
      <x:c r="M3082" s="0" t="s">
        <x:v>21</x:v>
      </x:c>
      <x:c r="N3082" s="0" t="s">
        <x:v>46</x:v>
      </x:c>
    </x:row>
    <x:row r="3083" spans="1:16">
      <x:c r="A3083" s="0" t="s">
        <x:v>12173</x:v>
      </x:c>
      <x:c r="B3083" s="0" t="s">
        <x:v>12174</x:v>
      </x:c>
      <x:c r="C3083" s="0" t="s">
        <x:v>12175</x:v>
      </x:c>
      <x:c r="E3083" s="0" t="s">
        <x:v>12176</x:v>
      </x:c>
      <x:c r="F3083" s="0" t="s">
        <x:v>45</x:v>
      </x:c>
      <x:c r="G3083" s="0" t="s">
        <x:v>19</x:v>
      </x:c>
      <x:c r="H3083" s="0" t="s">
        <x:v>20</x:v>
      </x:c>
      <x:c r="I3083" s="0" t="s">
        <x:v>21</x:v>
      </x:c>
      <x:c r="K3083" s="0">
        <x:f>hyperlink("https://icd.who.int/dev11/l-ichi/en#/http%3A%2F%2Fid.who.int%2Ficd%2Fentity%2F943110762","browser")</x:f>
      </x:c>
      <x:c r="L3083" s="0">
        <x:f>hyperlink("https://icat2.azurewebsites.net/icat/?ontology=ICD&amp;tab=ClassesTab&amp;id=http%3A%2F%2Fwho.int%2Ficd%2313710_512ebf36_bf6b_4d70_85da_cf2637062af4","iCat")</x:f>
      </x:c>
      <x:c r="M3083" s="0" t="s">
        <x:v>21</x:v>
      </x:c>
      <x:c r="N3083" s="0" t="s">
        <x:v>46</x:v>
      </x:c>
    </x:row>
    <x:row r="3084" spans="1:16">
      <x:c r="A3084" s="0" t="s">
        <x:v>12177</x:v>
      </x:c>
      <x:c r="B3084" s="0" t="s">
        <x:v>12178</x:v>
      </x:c>
      <x:c r="C3084" s="0" t="s">
        <x:v>12179</x:v>
      </x:c>
      <x:c r="E3084" s="0" t="s">
        <x:v>12180</x:v>
      </x:c>
      <x:c r="F3084" s="0" t="s">
        <x:v>45</x:v>
      </x:c>
      <x:c r="G3084" s="0" t="s">
        <x:v>19</x:v>
      </x:c>
      <x:c r="H3084" s="0" t="s">
        <x:v>20</x:v>
      </x:c>
      <x:c r="I3084" s="0" t="s">
        <x:v>21</x:v>
      </x:c>
      <x:c r="K3084" s="0">
        <x:f>hyperlink("https://icd.who.int/dev11/l-ichi/en#/http%3A%2F%2Fid.who.int%2Ficd%2Fentity%2F1219760613","browser")</x:f>
      </x:c>
      <x:c r="L3084" s="0">
        <x:f>hyperlink("https://icat2.azurewebsites.net/icat/?ontology=ICD&amp;tab=ClassesTab&amp;id=http%3A%2F%2Fwho.int%2Ficd%2313717_512ebf36_bf6b_4d70_85da_cf2637062af4","iCat")</x:f>
      </x:c>
      <x:c r="M3084" s="0" t="s">
        <x:v>21</x:v>
      </x:c>
      <x:c r="N3084" s="0" t="s">
        <x:v>46</x:v>
      </x:c>
    </x:row>
    <x:row r="3085" spans="1:16">
      <x:c r="A3085" s="0" t="s">
        <x:v>12181</x:v>
      </x:c>
      <x:c r="B3085" s="0" t="s">
        <x:v>12182</x:v>
      </x:c>
      <x:c r="C3085" s="0" t="s">
        <x:v>12183</x:v>
      </x:c>
      <x:c r="E3085" s="0" t="s">
        <x:v>12184</x:v>
      </x:c>
      <x:c r="F3085" s="0" t="s">
        <x:v>45</x:v>
      </x:c>
      <x:c r="G3085" s="0" t="s">
        <x:v>19</x:v>
      </x:c>
      <x:c r="H3085" s="0" t="s">
        <x:v>20</x:v>
      </x:c>
      <x:c r="I3085" s="0" t="s">
        <x:v>21</x:v>
      </x:c>
      <x:c r="K3085" s="0">
        <x:f>hyperlink("https://icd.who.int/dev11/l-ichi/en#/http%3A%2F%2Fid.who.int%2Ficd%2Fentity%2F1300250139","browser")</x:f>
      </x:c>
      <x:c r="L3085" s="0">
        <x:f>hyperlink("https://icat2.azurewebsites.net/icat/?ontology=ICD&amp;tab=ClassesTab&amp;id=http%3A%2F%2Fwho.int%2Ficd%2313724_512ebf36_bf6b_4d70_85da_cf2637062af4","iCat")</x:f>
      </x:c>
      <x:c r="M3085" s="0" t="s">
        <x:v>21</x:v>
      </x:c>
      <x:c r="N3085" s="0" t="s">
        <x:v>46</x:v>
      </x:c>
    </x:row>
    <x:row r="3086" spans="1:16">
      <x:c r="A3086" s="0" t="s">
        <x:v>12185</x:v>
      </x:c>
      <x:c r="B3086" s="0" t="s">
        <x:v>12186</x:v>
      </x:c>
      <x:c r="C3086" s="0" t="s">
        <x:v>12187</x:v>
      </x:c>
      <x:c r="E3086" s="0" t="s">
        <x:v>12188</x:v>
      </x:c>
      <x:c r="F3086" s="0" t="s">
        <x:v>45</x:v>
      </x:c>
      <x:c r="G3086" s="0" t="s">
        <x:v>19</x:v>
      </x:c>
      <x:c r="H3086" s="0" t="s">
        <x:v>20</x:v>
      </x:c>
      <x:c r="I3086" s="0" t="s">
        <x:v>21</x:v>
      </x:c>
      <x:c r="K3086" s="0">
        <x:f>hyperlink("https://icd.who.int/dev11/l-ichi/en#/http%3A%2F%2Fid.who.int%2Ficd%2Fentity%2F2000581373","browser")</x:f>
      </x:c>
      <x:c r="L3086" s="0">
        <x:f>hyperlink("https://icat2.azurewebsites.net/icat/?ontology=ICD&amp;tab=ClassesTab&amp;id=http%3A%2F%2Fwho.int%2Ficd%2313732_512ebf36_bf6b_4d70_85da_cf2637062af4","iCat")</x:f>
      </x:c>
      <x:c r="M3086" s="0" t="s">
        <x:v>21</x:v>
      </x:c>
      <x:c r="N3086" s="0" t="s">
        <x:v>46</x:v>
      </x:c>
    </x:row>
    <x:row r="3087" spans="1:16">
      <x:c r="A3087" s="0" t="s">
        <x:v>12189</x:v>
      </x:c>
      <x:c r="B3087" s="0" t="s">
        <x:v>12190</x:v>
      </x:c>
      <x:c r="C3087" s="0" t="s">
        <x:v>12191</x:v>
      </x:c>
      <x:c r="E3087" s="0" t="s">
        <x:v>12192</x:v>
      </x:c>
      <x:c r="F3087" s="0" t="s">
        <x:v>45</x:v>
      </x:c>
      <x:c r="G3087" s="0" t="s">
        <x:v>19</x:v>
      </x:c>
      <x:c r="H3087" s="0" t="s">
        <x:v>20</x:v>
      </x:c>
      <x:c r="I3087" s="0" t="s">
        <x:v>21</x:v>
      </x:c>
      <x:c r="K3087" s="0">
        <x:f>hyperlink("https://icd.who.int/dev11/l-ichi/en#/http%3A%2F%2Fid.who.int%2Ficd%2Fentity%2F1556291181","browser")</x:f>
      </x:c>
      <x:c r="L3087" s="0">
        <x:f>hyperlink("https://icat2.azurewebsites.net/icat/?ontology=ICD&amp;tab=ClassesTab&amp;id=http%3A%2F%2Fwho.int%2Ficd%2313738_512ebf36_bf6b_4d70_85da_cf2637062af4","iCat")</x:f>
      </x:c>
      <x:c r="M3087" s="0" t="s">
        <x:v>21</x:v>
      </x:c>
      <x:c r="N3087" s="0" t="s">
        <x:v>46</x:v>
      </x:c>
    </x:row>
    <x:row r="3088" spans="1:16">
      <x:c r="A3088" s="0" t="s">
        <x:v>12193</x:v>
      </x:c>
      <x:c r="B3088" s="0" t="s">
        <x:v>12194</x:v>
      </x:c>
      <x:c r="C3088" s="0" t="s">
        <x:v>12195</x:v>
      </x:c>
      <x:c r="E3088" s="0" t="s">
        <x:v>12196</x:v>
      </x:c>
      <x:c r="F3088" s="0" t="s">
        <x:v>45</x:v>
      </x:c>
      <x:c r="G3088" s="0" t="s">
        <x:v>19</x:v>
      </x:c>
      <x:c r="H3088" s="0" t="s">
        <x:v>20</x:v>
      </x:c>
      <x:c r="I3088" s="0" t="s">
        <x:v>21</x:v>
      </x:c>
      <x:c r="K3088" s="0">
        <x:f>hyperlink("https://icd.who.int/dev11/l-ichi/en#/http%3A%2F%2Fid.who.int%2Ficd%2Fentity%2F395556950","browser")</x:f>
      </x:c>
      <x:c r="L3088" s="0">
        <x:f>hyperlink("https://icat2.azurewebsites.net/icat/?ontology=ICD&amp;tab=ClassesTab&amp;id=http%3A%2F%2Fwho.int%2Ficd%2313744_512ebf36_bf6b_4d70_85da_cf2637062af4","iCat")</x:f>
      </x:c>
      <x:c r="M3088" s="0" t="s">
        <x:v>21</x:v>
      </x:c>
      <x:c r="N3088" s="0" t="s">
        <x:v>46</x:v>
      </x:c>
    </x:row>
    <x:row r="3089" spans="1:16">
      <x:c r="A3089" s="0" t="s">
        <x:v>12197</x:v>
      </x:c>
      <x:c r="B3089" s="0" t="s">
        <x:v>12198</x:v>
      </x:c>
      <x:c r="C3089" s="0" t="s">
        <x:v>12199</x:v>
      </x:c>
      <x:c r="E3089" s="0" t="s">
        <x:v>12200</x:v>
      </x:c>
      <x:c r="F3089" s="0" t="s">
        <x:v>45</x:v>
      </x:c>
      <x:c r="G3089" s="0" t="s">
        <x:v>19</x:v>
      </x:c>
      <x:c r="H3089" s="0" t="s">
        <x:v>20</x:v>
      </x:c>
      <x:c r="I3089" s="0" t="s">
        <x:v>21</x:v>
      </x:c>
      <x:c r="K3089" s="0">
        <x:f>hyperlink("https://icd.who.int/dev11/l-ichi/en#/http%3A%2F%2Fid.who.int%2Ficd%2Fentity%2F1788757822","browser")</x:f>
      </x:c>
      <x:c r="L3089" s="0">
        <x:f>hyperlink("https://icat2.azurewebsites.net/icat/?ontology=ICD&amp;tab=ClassesTab&amp;id=http%3A%2F%2Fwho.int%2Ficd%23361_e9bf9ac7_0f21_4391_8ab3_5944290f317a","iCat")</x:f>
      </x:c>
      <x:c r="M3089" s="0" t="s">
        <x:v>21</x:v>
      </x:c>
      <x:c r="N3089" s="0" t="s">
        <x:v>46</x:v>
      </x:c>
    </x:row>
    <x:row r="3090" spans="1:16">
      <x:c r="A3090" s="0" t="s">
        <x:v>12201</x:v>
      </x:c>
      <x:c r="B3090" s="0" t="s">
        <x:v>12202</x:v>
      </x:c>
      <x:c r="C3090" s="0" t="s">
        <x:v>12203</x:v>
      </x:c>
      <x:c r="E3090" s="0" t="s">
        <x:v>12204</x:v>
      </x:c>
      <x:c r="F3090" s="0" t="s">
        <x:v>45</x:v>
      </x:c>
      <x:c r="G3090" s="0" t="s">
        <x:v>19</x:v>
      </x:c>
      <x:c r="H3090" s="0" t="s">
        <x:v>20</x:v>
      </x:c>
      <x:c r="I3090" s="0" t="s">
        <x:v>21</x:v>
      </x:c>
      <x:c r="K3090" s="0">
        <x:f>hyperlink("https://icd.who.int/dev11/l-ichi/en#/http%3A%2F%2Fid.who.int%2Ficd%2Fentity%2F398129848","browser")</x:f>
      </x:c>
      <x:c r="L3090" s="0">
        <x:f>hyperlink("https://icat2.azurewebsites.net/icat/?ontology=ICD&amp;tab=ClassesTab&amp;id=http%3A%2F%2Fwho.int%2Ficd%2313670_512ebf36_bf6b_4d70_85da_cf2637062af4","iCat")</x:f>
      </x:c>
      <x:c r="M3090" s="0" t="s">
        <x:v>21</x:v>
      </x:c>
      <x:c r="N3090" s="0" t="s">
        <x:v>46</x:v>
      </x:c>
    </x:row>
    <x:row r="3091" spans="1:16">
      <x:c r="A3091" s="0" t="s">
        <x:v>12205</x:v>
      </x:c>
      <x:c r="B3091" s="0" t="s">
        <x:v>12206</x:v>
      </x:c>
      <x:c r="C3091" s="0" t="s">
        <x:v>12207</x:v>
      </x:c>
      <x:c r="E3091" s="0" t="s">
        <x:v>12208</x:v>
      </x:c>
      <x:c r="F3091" s="0" t="s">
        <x:v>45</x:v>
      </x:c>
      <x:c r="G3091" s="0" t="s">
        <x:v>19</x:v>
      </x:c>
      <x:c r="H3091" s="0" t="s">
        <x:v>20</x:v>
      </x:c>
      <x:c r="I3091" s="0" t="s">
        <x:v>21</x:v>
      </x:c>
      <x:c r="K3091" s="0">
        <x:f>hyperlink("https://icd.who.int/dev11/l-ichi/en#/http%3A%2F%2Fid.who.int%2Ficd%2Fentity%2F1755880265","browser")</x:f>
      </x:c>
      <x:c r="L3091" s="0">
        <x:f>hyperlink("https://icat2.azurewebsites.net/icat/?ontology=ICD&amp;tab=ClassesTab&amp;id=http%3A%2F%2Fwho.int%2Ficd%2313751_512ebf36_bf6b_4d70_85da_cf2637062af4","iCat")</x:f>
      </x:c>
      <x:c r="M3091" s="0" t="s">
        <x:v>21</x:v>
      </x:c>
      <x:c r="N3091" s="0" t="s">
        <x:v>46</x:v>
      </x:c>
    </x:row>
    <x:row r="3092" spans="1:16">
      <x:c r="A3092" s="0" t="s">
        <x:v>12209</x:v>
      </x:c>
      <x:c r="B3092" s="0" t="s">
        <x:v>12210</x:v>
      </x:c>
      <x:c r="C3092" s="0" t="s">
        <x:v>12211</x:v>
      </x:c>
      <x:c r="E3092" s="0" t="s">
        <x:v>12212</x:v>
      </x:c>
      <x:c r="F3092" s="0" t="s">
        <x:v>45</x:v>
      </x:c>
      <x:c r="G3092" s="0" t="s">
        <x:v>19</x:v>
      </x:c>
      <x:c r="H3092" s="0" t="s">
        <x:v>20</x:v>
      </x:c>
      <x:c r="I3092" s="0" t="s">
        <x:v>21</x:v>
      </x:c>
      <x:c r="K3092" s="0">
        <x:f>hyperlink("https://icd.who.int/dev11/l-ichi/en#/http%3A%2F%2Fid.who.int%2Ficd%2Fentity%2F953369338","browser")</x:f>
      </x:c>
      <x:c r="L3092" s="0">
        <x:f>hyperlink("https://icat2.azurewebsites.net/icat/?ontology=ICD&amp;tab=ClassesTab&amp;id=http%3A%2F%2Fwho.int%2Ficd%2313757_512ebf36_bf6b_4d70_85da_cf2637062af4","iCat")</x:f>
      </x:c>
      <x:c r="M3092" s="0" t="s">
        <x:v>21</x:v>
      </x:c>
      <x:c r="N3092" s="0" t="s">
        <x:v>46</x:v>
      </x:c>
    </x:row>
    <x:row r="3093" spans="1:16">
      <x:c r="A3093" s="0" t="s">
        <x:v>12213</x:v>
      </x:c>
      <x:c r="B3093" s="0" t="s">
        <x:v>12214</x:v>
      </x:c>
      <x:c r="C3093" s="0" t="s">
        <x:v>12215</x:v>
      </x:c>
      <x:c r="E3093" s="0" t="s">
        <x:v>12216</x:v>
      </x:c>
      <x:c r="F3093" s="0" t="s">
        <x:v>45</x:v>
      </x:c>
      <x:c r="G3093" s="0" t="s">
        <x:v>19</x:v>
      </x:c>
      <x:c r="H3093" s="0" t="s">
        <x:v>20</x:v>
      </x:c>
      <x:c r="I3093" s="0" t="s">
        <x:v>21</x:v>
      </x:c>
      <x:c r="K3093" s="0">
        <x:f>hyperlink("https://icd.who.int/dev11/l-ichi/en#/http%3A%2F%2Fid.who.int%2Ficd%2Fentity%2F1430376786","browser")</x:f>
      </x:c>
      <x:c r="L3093" s="0">
        <x:f>hyperlink("https://icat2.azurewebsites.net/icat/?ontology=ICD&amp;tab=ClassesTab&amp;id=http%3A%2F%2Fwho.int%2Ficd%2314126_7353cc8f_16bd_4231_887a_95ea54e27297","iCat")</x:f>
      </x:c>
      <x:c r="M3093" s="0" t="s">
        <x:v>21</x:v>
      </x:c>
      <x:c r="N3093" s="0" t="s">
        <x:v>46</x:v>
      </x:c>
    </x:row>
    <x:row r="3094" spans="1:16">
      <x:c r="A3094" s="0" t="s">
        <x:v>12217</x:v>
      </x:c>
      <x:c r="B3094" s="0" t="s">
        <x:v>12218</x:v>
      </x:c>
      <x:c r="C3094" s="0" t="s">
        <x:v>12219</x:v>
      </x:c>
      <x:c r="E3094" s="0" t="s">
        <x:v>12220</x:v>
      </x:c>
      <x:c r="F3094" s="0" t="s">
        <x:v>45</x:v>
      </x:c>
      <x:c r="G3094" s="0" t="s">
        <x:v>19</x:v>
      </x:c>
      <x:c r="H3094" s="0" t="s">
        <x:v>20</x:v>
      </x:c>
      <x:c r="I3094" s="0" t="s">
        <x:v>21</x:v>
      </x:c>
      <x:c r="K3094" s="0">
        <x:f>hyperlink("https://icd.who.int/dev11/l-ichi/en#/http%3A%2F%2Fid.who.int%2Ficd%2Fentity%2F1752804851","browser")</x:f>
      </x:c>
      <x:c r="L3094" s="0">
        <x:f>hyperlink("https://icat2.azurewebsites.net/icat/?ontology=ICD&amp;tab=ClassesTab&amp;id=http%3A%2F%2Fwho.int%2Ficd%2397_97087496_4a82_4efa_a45a_b3256f81bd7e","iCat")</x:f>
      </x:c>
      <x:c r="M3094" s="0" t="s">
        <x:v>21</x:v>
      </x:c>
      <x:c r="N3094" s="0" t="s">
        <x:v>46</x:v>
      </x:c>
    </x:row>
    <x:row r="3095" spans="1:16">
      <x:c r="A3095" s="0" t="s">
        <x:v>12221</x:v>
      </x:c>
      <x:c r="B3095" s="0" t="s">
        <x:v>12222</x:v>
      </x:c>
      <x:c r="C3095" s="0" t="s">
        <x:v>12223</x:v>
      </x:c>
      <x:c r="E3095" s="0" t="s">
        <x:v>12224</x:v>
      </x:c>
      <x:c r="F3095" s="0" t="s">
        <x:v>45</x:v>
      </x:c>
      <x:c r="G3095" s="0" t="s">
        <x:v>19</x:v>
      </x:c>
      <x:c r="H3095" s="0" t="s">
        <x:v>20</x:v>
      </x:c>
      <x:c r="I3095" s="0" t="s">
        <x:v>21</x:v>
      </x:c>
      <x:c r="K3095" s="0">
        <x:f>hyperlink("https://icd.who.int/dev11/l-ichi/en#/http%3A%2F%2Fid.who.int%2Ficd%2Fentity%2F1298515595","browser")</x:f>
      </x:c>
      <x:c r="L3095" s="0">
        <x:f>hyperlink("https://icat2.azurewebsites.net/icat/?ontology=ICD&amp;tab=ClassesTab&amp;id=http%3A%2F%2Fwho.int%2Ficd%2313763_512ebf36_bf6b_4d70_85da_cf2637062af4","iCat")</x:f>
      </x:c>
      <x:c r="M3095" s="0" t="s">
        <x:v>21</x:v>
      </x:c>
      <x:c r="N3095" s="0" t="s">
        <x:v>46</x:v>
      </x:c>
    </x:row>
    <x:row r="3096" spans="1:16">
      <x:c r="A3096" s="0" t="s">
        <x:v>12225</x:v>
      </x:c>
      <x:c r="B3096" s="0" t="s">
        <x:v>12226</x:v>
      </x:c>
      <x:c r="C3096" s="0" t="s">
        <x:v>12227</x:v>
      </x:c>
      <x:c r="E3096" s="0" t="s">
        <x:v>12228</x:v>
      </x:c>
      <x:c r="F3096" s="0" t="s">
        <x:v>45</x:v>
      </x:c>
      <x:c r="G3096" s="0" t="s">
        <x:v>19</x:v>
      </x:c>
      <x:c r="H3096" s="0" t="s">
        <x:v>20</x:v>
      </x:c>
      <x:c r="I3096" s="0" t="s">
        <x:v>21</x:v>
      </x:c>
      <x:c r="K3096" s="0">
        <x:f>hyperlink("https://icd.who.int/dev11/l-ichi/en#/http%3A%2F%2Fid.who.int%2Ficd%2Fentity%2F1646607397","browser")</x:f>
      </x:c>
      <x:c r="L3096" s="0">
        <x:f>hyperlink("https://icat2.azurewebsites.net/icat/?ontology=ICD&amp;tab=ClassesTab&amp;id=http%3A%2F%2Fwho.int%2Ficd%2313770_512ebf36_bf6b_4d70_85da_cf2637062af4","iCat")</x:f>
      </x:c>
      <x:c r="M3096" s="0" t="s">
        <x:v>21</x:v>
      </x:c>
      <x:c r="N3096" s="0" t="s">
        <x:v>46</x:v>
      </x:c>
    </x:row>
    <x:row r="3097" spans="1:16">
      <x:c r="A3097" s="0" t="s">
        <x:v>12229</x:v>
      </x:c>
      <x:c r="B3097" s="0" t="s">
        <x:v>12230</x:v>
      </x:c>
      <x:c r="C3097" s="0" t="s">
        <x:v>12231</x:v>
      </x:c>
      <x:c r="E3097" s="0" t="s">
        <x:v>12232</x:v>
      </x:c>
      <x:c r="F3097" s="0" t="s">
        <x:v>45</x:v>
      </x:c>
      <x:c r="G3097" s="0" t="s">
        <x:v>19</x:v>
      </x:c>
      <x:c r="H3097" s="0" t="s">
        <x:v>20</x:v>
      </x:c>
      <x:c r="I3097" s="0" t="s">
        <x:v>21</x:v>
      </x:c>
      <x:c r="K3097" s="0">
        <x:f>hyperlink("https://icd.who.int/dev11/l-ichi/en#/http%3A%2F%2Fid.who.int%2Ficd%2Fentity%2F845079958","browser")</x:f>
      </x:c>
      <x:c r="L3097" s="0">
        <x:f>hyperlink("https://icat2.azurewebsites.net/icat/?ontology=ICD&amp;tab=ClassesTab&amp;id=http%3A%2F%2Fwho.int%2Ficd%2313776_512ebf36_bf6b_4d70_85da_cf2637062af4","iCat")</x:f>
      </x:c>
      <x:c r="M3097" s="0" t="s">
        <x:v>21</x:v>
      </x:c>
      <x:c r="N3097" s="0" t="s">
        <x:v>46</x:v>
      </x:c>
    </x:row>
    <x:row r="3098" spans="1:16">
      <x:c r="A3098" s="0" t="s">
        <x:v>12233</x:v>
      </x:c>
      <x:c r="B3098" s="0" t="s">
        <x:v>12234</x:v>
      </x:c>
      <x:c r="C3098" s="0" t="s">
        <x:v>12235</x:v>
      </x:c>
      <x:c r="E3098" s="0" t="s">
        <x:v>12236</x:v>
      </x:c>
      <x:c r="F3098" s="0" t="s">
        <x:v>45</x:v>
      </x:c>
      <x:c r="G3098" s="0" t="s">
        <x:v>19</x:v>
      </x:c>
      <x:c r="H3098" s="0" t="s">
        <x:v>20</x:v>
      </x:c>
      <x:c r="I3098" s="0" t="s">
        <x:v>21</x:v>
      </x:c>
      <x:c r="K3098" s="0">
        <x:f>hyperlink("https://icd.who.int/dev11/l-ichi/en#/http%3A%2F%2Fid.who.int%2Ficd%2Fentity%2F2026222223","browser")</x:f>
      </x:c>
      <x:c r="L3098" s="0">
        <x:f>hyperlink("https://icat2.azurewebsites.net/icat/?ontology=ICD&amp;tab=ClassesTab&amp;id=http%3A%2F%2Fwho.int%2Ficd%2313784_512ebf36_bf6b_4d70_85da_cf2637062af4","iCat")</x:f>
      </x:c>
      <x:c r="M3098" s="0" t="s">
        <x:v>21</x:v>
      </x:c>
      <x:c r="N3098" s="0" t="s">
        <x:v>46</x:v>
      </x:c>
    </x:row>
    <x:row r="3099" spans="1:16">
      <x:c r="A3099" s="0" t="s">
        <x:v>12237</x:v>
      </x:c>
      <x:c r="B3099" s="0" t="s">
        <x:v>12238</x:v>
      </x:c>
      <x:c r="C3099" s="0" t="s">
        <x:v>12239</x:v>
      </x:c>
      <x:c r="E3099" s="0" t="s">
        <x:v>12240</x:v>
      </x:c>
      <x:c r="F3099" s="0" t="s">
        <x:v>45</x:v>
      </x:c>
      <x:c r="G3099" s="0" t="s">
        <x:v>19</x:v>
      </x:c>
      <x:c r="H3099" s="0" t="s">
        <x:v>20</x:v>
      </x:c>
      <x:c r="I3099" s="0" t="s">
        <x:v>21</x:v>
      </x:c>
      <x:c r="K3099" s="0">
        <x:f>hyperlink("https://icd.who.int/dev11/l-ichi/en#/http%3A%2F%2Fid.who.int%2Ficd%2Fentity%2F654828460","browser")</x:f>
      </x:c>
      <x:c r="L3099" s="0">
        <x:f>hyperlink("https://icat2.azurewebsites.net/icat/?ontology=ICD&amp;tab=ClassesTab&amp;id=http%3A%2F%2Fwho.int%2Ficd%2313790_512ebf36_bf6b_4d70_85da_cf2637062af4","iCat")</x:f>
      </x:c>
      <x:c r="M3099" s="0" t="s">
        <x:v>21</x:v>
      </x:c>
      <x:c r="N3099" s="0" t="s">
        <x:v>46</x:v>
      </x:c>
    </x:row>
    <x:row r="3100" spans="1:16">
      <x:c r="A3100" s="0" t="s">
        <x:v>12241</x:v>
      </x:c>
      <x:c r="B3100" s="0" t="s">
        <x:v>12242</x:v>
      </x:c>
      <x:c r="C3100" s="0" t="s">
        <x:v>12243</x:v>
      </x:c>
      <x:c r="E3100" s="0" t="s">
        <x:v>12244</x:v>
      </x:c>
      <x:c r="F3100" s="0" t="s">
        <x:v>45</x:v>
      </x:c>
      <x:c r="G3100" s="0" t="s">
        <x:v>19</x:v>
      </x:c>
      <x:c r="H3100" s="0" t="s">
        <x:v>20</x:v>
      </x:c>
      <x:c r="I3100" s="0" t="s">
        <x:v>21</x:v>
      </x:c>
      <x:c r="K3100" s="0">
        <x:f>hyperlink("https://icd.who.int/dev11/l-ichi/en#/http%3A%2F%2Fid.who.int%2Ficd%2Fentity%2F2004630045","browser")</x:f>
      </x:c>
      <x:c r="L3100" s="0">
        <x:f>hyperlink("https://icat2.azurewebsites.net/icat/?ontology=ICD&amp;tab=ClassesTab&amp;id=http%3A%2F%2Fwho.int%2Ficd%2313796_512ebf36_bf6b_4d70_85da_cf2637062af4","iCat")</x:f>
      </x:c>
      <x:c r="M3100" s="0" t="s">
        <x:v>21</x:v>
      </x:c>
      <x:c r="N3100" s="0" t="s">
        <x:v>46</x:v>
      </x:c>
    </x:row>
    <x:row r="3101" spans="1:16">
      <x:c r="A3101" s="0" t="s">
        <x:v>12245</x:v>
      </x:c>
      <x:c r="B3101" s="0" t="s">
        <x:v>12246</x:v>
      </x:c>
      <x:c r="C3101" s="0" t="s">
        <x:v>12247</x:v>
      </x:c>
      <x:c r="E3101" s="0" t="s">
        <x:v>12248</x:v>
      </x:c>
      <x:c r="F3101" s="0" t="s">
        <x:v>45</x:v>
      </x:c>
      <x:c r="G3101" s="0" t="s">
        <x:v>19</x:v>
      </x:c>
      <x:c r="H3101" s="0" t="s">
        <x:v>20</x:v>
      </x:c>
      <x:c r="I3101" s="0" t="s">
        <x:v>21</x:v>
      </x:c>
      <x:c r="K3101" s="0">
        <x:f>hyperlink("https://icd.who.int/dev11/l-ichi/en#/http%3A%2F%2Fid.who.int%2Ficd%2Fentity%2F1103274748","browser")</x:f>
      </x:c>
      <x:c r="L3101" s="0">
        <x:f>hyperlink("https://icat2.azurewebsites.net/icat/?ontology=ICD&amp;tab=ClassesTab&amp;id=http%3A%2F%2Fwho.int%2Ficd%2313802_512ebf36_bf6b_4d70_85da_cf2637062af4","iCat")</x:f>
      </x:c>
      <x:c r="M3101" s="0" t="s">
        <x:v>21</x:v>
      </x:c>
      <x:c r="N3101" s="0" t="s">
        <x:v>46</x:v>
      </x:c>
    </x:row>
    <x:row r="3102" spans="1:16">
      <x:c r="A3102" s="0" t="s">
        <x:v>12249</x:v>
      </x:c>
      <x:c r="B3102" s="0" t="s">
        <x:v>12250</x:v>
      </x:c>
      <x:c r="C3102" s="0" t="s">
        <x:v>12251</x:v>
      </x:c>
      <x:c r="E3102" s="0" t="s">
        <x:v>12252</x:v>
      </x:c>
      <x:c r="F3102" s="0" t="s">
        <x:v>45</x:v>
      </x:c>
      <x:c r="G3102" s="0" t="s">
        <x:v>19</x:v>
      </x:c>
      <x:c r="H3102" s="0" t="s">
        <x:v>20</x:v>
      </x:c>
      <x:c r="I3102" s="0" t="s">
        <x:v>21</x:v>
      </x:c>
      <x:c r="K3102" s="0">
        <x:f>hyperlink("https://icd.who.int/dev11/l-ichi/en#/http%3A%2F%2Fid.who.int%2Ficd%2Fentity%2F1782566508","browser")</x:f>
      </x:c>
      <x:c r="L3102" s="0">
        <x:f>hyperlink("https://icat2.azurewebsites.net/icat/?ontology=ICD&amp;tab=ClassesTab&amp;id=http%3A%2F%2Fwho.int%2Ficd%2313808_512ebf36_bf6b_4d70_85da_cf2637062af4","iCat")</x:f>
      </x:c>
      <x:c r="M3102" s="0" t="s">
        <x:v>21</x:v>
      </x:c>
      <x:c r="N3102" s="0" t="s">
        <x:v>46</x:v>
      </x:c>
    </x:row>
    <x:row r="3103" spans="1:16">
      <x:c r="A3103" s="0" t="s">
        <x:v>12253</x:v>
      </x:c>
      <x:c r="B3103" s="0" t="s">
        <x:v>12254</x:v>
      </x:c>
      <x:c r="C3103" s="0" t="s">
        <x:v>12255</x:v>
      </x:c>
      <x:c r="E3103" s="0" t="s">
        <x:v>12256</x:v>
      </x:c>
      <x:c r="F3103" s="0" t="s">
        <x:v>45</x:v>
      </x:c>
      <x:c r="G3103" s="0" t="s">
        <x:v>19</x:v>
      </x:c>
      <x:c r="H3103" s="0" t="s">
        <x:v>20</x:v>
      </x:c>
      <x:c r="I3103" s="0" t="s">
        <x:v>21</x:v>
      </x:c>
      <x:c r="K3103" s="0">
        <x:f>hyperlink("https://icd.who.int/dev11/l-ichi/en#/http%3A%2F%2Fid.who.int%2Ficd%2Fentity%2F2071784988","browser")</x:f>
      </x:c>
      <x:c r="L3103" s="0">
        <x:f>hyperlink("https://icat2.azurewebsites.net/icat/?ontology=ICD&amp;tab=ClassesTab&amp;id=http%3A%2F%2Fwho.int%2Ficd%2313814_512ebf36_bf6b_4d70_85da_cf2637062af4","iCat")</x:f>
      </x:c>
      <x:c r="M3103" s="0" t="s">
        <x:v>21</x:v>
      </x:c>
      <x:c r="N3103" s="0" t="s">
        <x:v>46</x:v>
      </x:c>
    </x:row>
    <x:row r="3104" spans="1:16">
      <x:c r="A3104" s="0" t="s">
        <x:v>12257</x:v>
      </x:c>
      <x:c r="B3104" s="0" t="s">
        <x:v>12258</x:v>
      </x:c>
      <x:c r="C3104" s="0" t="s">
        <x:v>12259</x:v>
      </x:c>
      <x:c r="E3104" s="0" t="s">
        <x:v>12260</x:v>
      </x:c>
      <x:c r="F3104" s="0" t="s">
        <x:v>45</x:v>
      </x:c>
      <x:c r="G3104" s="0" t="s">
        <x:v>19</x:v>
      </x:c>
      <x:c r="H3104" s="0" t="s">
        <x:v>20</x:v>
      </x:c>
      <x:c r="I3104" s="0" t="s">
        <x:v>21</x:v>
      </x:c>
      <x:c r="K3104" s="0">
        <x:f>hyperlink("https://icd.who.int/dev11/l-ichi/en#/http%3A%2F%2Fid.who.int%2Ficd%2Fentity%2F1976191073","browser")</x:f>
      </x:c>
      <x:c r="L3104" s="0">
        <x:f>hyperlink("https://icat2.azurewebsites.net/icat/?ontology=ICD&amp;tab=ClassesTab&amp;id=http%3A%2F%2Fwho.int%2Ficd%23118_bdd70b8e_8a2a_40a7_80ae_a6a41ed79fbc","iCat")</x:f>
      </x:c>
      <x:c r="M3104" s="0" t="s">
        <x:v>21</x:v>
      </x:c>
      <x:c r="N3104" s="0" t="s">
        <x:v>46</x:v>
      </x:c>
    </x:row>
    <x:row r="3105" spans="1:16">
      <x:c r="A3105" s="0" t="s">
        <x:v>12261</x:v>
      </x:c>
      <x:c r="B3105" s="0" t="s">
        <x:v>12262</x:v>
      </x:c>
      <x:c r="C3105" s="0" t="s">
        <x:v>12263</x:v>
      </x:c>
      <x:c r="E3105" s="0" t="s">
        <x:v>12264</x:v>
      </x:c>
      <x:c r="F3105" s="0" t="s">
        <x:v>45</x:v>
      </x:c>
      <x:c r="G3105" s="0" t="s">
        <x:v>19</x:v>
      </x:c>
      <x:c r="H3105" s="0" t="s">
        <x:v>20</x:v>
      </x:c>
      <x:c r="I3105" s="0" t="s">
        <x:v>21</x:v>
      </x:c>
      <x:c r="K3105" s="0">
        <x:f>hyperlink("https://icd.who.int/dev11/l-ichi/en#/http%3A%2F%2Fid.who.int%2Ficd%2Fentity%2F478487642","browser")</x:f>
      </x:c>
      <x:c r="L3105" s="0">
        <x:f>hyperlink("https://icat2.azurewebsites.net/icat/?ontology=ICD&amp;tab=ClassesTab&amp;id=http%3A%2F%2Fwho.int%2Ficd%23381_145da35b_2606_49b1_9645_9e3aeecd5c47","iCat")</x:f>
      </x:c>
      <x:c r="M3105" s="0" t="s">
        <x:v>21</x:v>
      </x:c>
      <x:c r="N3105" s="0" t="s">
        <x:v>46</x:v>
      </x:c>
    </x:row>
    <x:row r="3106" spans="1:16">
      <x:c r="A3106" s="0" t="s">
        <x:v>12265</x:v>
      </x:c>
      <x:c r="B3106" s="0" t="s">
        <x:v>12266</x:v>
      </x:c>
      <x:c r="C3106" s="0" t="s">
        <x:v>12267</x:v>
      </x:c>
      <x:c r="E3106" s="0" t="s">
        <x:v>12268</x:v>
      </x:c>
      <x:c r="F3106" s="0" t="s">
        <x:v>45</x:v>
      </x:c>
      <x:c r="G3106" s="0" t="s">
        <x:v>19</x:v>
      </x:c>
      <x:c r="H3106" s="0" t="s">
        <x:v>20</x:v>
      </x:c>
      <x:c r="I3106" s="0" t="s">
        <x:v>21</x:v>
      </x:c>
      <x:c r="K3106" s="0">
        <x:f>hyperlink("https://icd.who.int/dev11/l-ichi/en#/http%3A%2F%2Fid.who.int%2Ficd%2Fentity%2F1291779563","browser")</x:f>
      </x:c>
      <x:c r="L3106" s="0">
        <x:f>hyperlink("https://icat2.azurewebsites.net/icat/?ontology=ICD&amp;tab=ClassesTab&amp;id=http%3A%2F%2Fwho.int%2Ficd%23387_145da35b_2606_49b1_9645_9e3aeecd5c47","iCat")</x:f>
      </x:c>
      <x:c r="M3106" s="0" t="s">
        <x:v>21</x:v>
      </x:c>
      <x:c r="N3106" s="0" t="s">
        <x:v>46</x:v>
      </x:c>
    </x:row>
    <x:row r="3107" spans="1:16">
      <x:c r="A3107" s="0" t="s">
        <x:v>12269</x:v>
      </x:c>
      <x:c r="B3107" s="0" t="s">
        <x:v>12270</x:v>
      </x:c>
      <x:c r="C3107" s="0" t="s">
        <x:v>12271</x:v>
      </x:c>
      <x:c r="E3107" s="0" t="s">
        <x:v>12272</x:v>
      </x:c>
      <x:c r="F3107" s="0" t="s">
        <x:v>45</x:v>
      </x:c>
      <x:c r="G3107" s="0" t="s">
        <x:v>19</x:v>
      </x:c>
      <x:c r="H3107" s="0" t="s">
        <x:v>20</x:v>
      </x:c>
      <x:c r="I3107" s="0" t="s">
        <x:v>21</x:v>
      </x:c>
      <x:c r="K3107" s="0">
        <x:f>hyperlink("https://icd.who.int/dev11/l-ichi/en#/http%3A%2F%2Fid.who.int%2Ficd%2Fentity%2F248146537","browser")</x:f>
      </x:c>
      <x:c r="L3107" s="0">
        <x:f>hyperlink("https://icat2.azurewebsites.net/icat/?ontology=ICD&amp;tab=ClassesTab&amp;id=http%3A%2F%2Fwho.int%2Ficd%2313820_512ebf36_bf6b_4d70_85da_cf2637062af4","iCat")</x:f>
      </x:c>
      <x:c r="M3107" s="0" t="s">
        <x:v>21</x:v>
      </x:c>
      <x:c r="N3107" s="0" t="s">
        <x:v>46</x:v>
      </x:c>
    </x:row>
    <x:row r="3108" spans="1:16">
      <x:c r="A3108" s="0" t="s">
        <x:v>12273</x:v>
      </x:c>
      <x:c r="B3108" s="0" t="s">
        <x:v>12274</x:v>
      </x:c>
      <x:c r="C3108" s="0" t="s">
        <x:v>12275</x:v>
      </x:c>
      <x:c r="E3108" s="0" t="s">
        <x:v>12276</x:v>
      </x:c>
      <x:c r="F3108" s="0" t="s">
        <x:v>45</x:v>
      </x:c>
      <x:c r="G3108" s="0" t="s">
        <x:v>19</x:v>
      </x:c>
      <x:c r="H3108" s="0" t="s">
        <x:v>20</x:v>
      </x:c>
      <x:c r="I3108" s="0" t="s">
        <x:v>21</x:v>
      </x:c>
      <x:c r="K3108" s="0">
        <x:f>hyperlink("https://icd.who.int/dev11/l-ichi/en#/http%3A%2F%2Fid.who.int%2Ficd%2Fentity%2F1588704216","browser")</x:f>
      </x:c>
      <x:c r="L3108" s="0">
        <x:f>hyperlink("https://icat2.azurewebsites.net/icat/?ontology=ICD&amp;tab=ClassesTab&amp;id=http%3A%2F%2Fwho.int%2Ficd%2313826_512ebf36_bf6b_4d70_85da_cf2637062af4","iCat")</x:f>
      </x:c>
      <x:c r="M3108" s="0" t="s">
        <x:v>21</x:v>
      </x:c>
      <x:c r="N3108" s="0" t="s">
        <x:v>46</x:v>
      </x:c>
    </x:row>
    <x:row r="3109" spans="1:16">
      <x:c r="A3109" s="0" t="s">
        <x:v>12277</x:v>
      </x:c>
      <x:c r="B3109" s="0" t="s">
        <x:v>12278</x:v>
      </x:c>
      <x:c r="C3109" s="0" t="s">
        <x:v>12279</x:v>
      </x:c>
      <x:c r="E3109" s="0" t="s">
        <x:v>12280</x:v>
      </x:c>
      <x:c r="F3109" s="0" t="s">
        <x:v>45</x:v>
      </x:c>
      <x:c r="G3109" s="0" t="s">
        <x:v>19</x:v>
      </x:c>
      <x:c r="H3109" s="0" t="s">
        <x:v>20</x:v>
      </x:c>
      <x:c r="I3109" s="0" t="s">
        <x:v>21</x:v>
      </x:c>
      <x:c r="K3109" s="0">
        <x:f>hyperlink("https://icd.who.int/dev11/l-ichi/en#/http%3A%2F%2Fid.who.int%2Ficd%2Fentity%2F562729159","browser")</x:f>
      </x:c>
      <x:c r="L3109" s="0">
        <x:f>hyperlink("https://icat2.azurewebsites.net/icat/?ontology=ICD&amp;tab=ClassesTab&amp;id=http%3A%2F%2Fwho.int%2Ficd%2313833_512ebf36_bf6b_4d70_85da_cf2637062af4","iCat")</x:f>
      </x:c>
      <x:c r="M3109" s="0" t="s">
        <x:v>21</x:v>
      </x:c>
      <x:c r="N3109" s="0" t="s">
        <x:v>46</x:v>
      </x:c>
    </x:row>
    <x:row r="3110" spans="1:16">
      <x:c r="A3110" s="0" t="s">
        <x:v>12281</x:v>
      </x:c>
      <x:c r="B3110" s="0" t="s">
        <x:v>12282</x:v>
      </x:c>
      <x:c r="C3110" s="0" t="s">
        <x:v>12283</x:v>
      </x:c>
      <x:c r="E3110" s="0" t="s">
        <x:v>12284</x:v>
      </x:c>
      <x:c r="F3110" s="0" t="s">
        <x:v>45</x:v>
      </x:c>
      <x:c r="G3110" s="0" t="s">
        <x:v>19</x:v>
      </x:c>
      <x:c r="H3110" s="0" t="s">
        <x:v>20</x:v>
      </x:c>
      <x:c r="I3110" s="0" t="s">
        <x:v>21</x:v>
      </x:c>
      <x:c r="K3110" s="0">
        <x:f>hyperlink("https://icd.who.int/dev11/l-ichi/en#/http%3A%2F%2Fid.who.int%2Ficd%2Fentity%2F1423567908","browser")</x:f>
      </x:c>
      <x:c r="L3110" s="0">
        <x:f>hyperlink("https://icat2.azurewebsites.net/icat/?ontology=ICD&amp;tab=ClassesTab&amp;id=http%3A%2F%2Fwho.int%2Ficd%2313840_512ebf36_bf6b_4d70_85da_cf2637062af4","iCat")</x:f>
      </x:c>
      <x:c r="M3110" s="0" t="s">
        <x:v>21</x:v>
      </x:c>
      <x:c r="N3110" s="0" t="s">
        <x:v>46</x:v>
      </x:c>
    </x:row>
    <x:row r="3111" spans="1:16">
      <x:c r="A3111" s="0" t="s">
        <x:v>12285</x:v>
      </x:c>
      <x:c r="B3111" s="0" t="s">
        <x:v>12286</x:v>
      </x:c>
      <x:c r="C3111" s="0" t="s">
        <x:v>12287</x:v>
      </x:c>
      <x:c r="E3111" s="0" t="s">
        <x:v>12288</x:v>
      </x:c>
      <x:c r="F3111" s="0" t="s">
        <x:v>45</x:v>
      </x:c>
      <x:c r="G3111" s="0" t="s">
        <x:v>19</x:v>
      </x:c>
      <x:c r="H3111" s="0" t="s">
        <x:v>20</x:v>
      </x:c>
      <x:c r="I3111" s="0" t="s">
        <x:v>21</x:v>
      </x:c>
      <x:c r="K3111" s="0">
        <x:f>hyperlink("https://icd.who.int/dev11/l-ichi/en#/http%3A%2F%2Fid.who.int%2Ficd%2Fentity%2F77739413","browser")</x:f>
      </x:c>
      <x:c r="L3111" s="0">
        <x:f>hyperlink("https://icat2.azurewebsites.net/icat/?ontology=ICD&amp;tab=ClassesTab&amp;id=http%3A%2F%2Fwho.int%2Ficd%2313846_512ebf36_bf6b_4d70_85da_cf2637062af4","iCat")</x:f>
      </x:c>
      <x:c r="M3111" s="0" t="s">
        <x:v>21</x:v>
      </x:c>
      <x:c r="N3111" s="0" t="s">
        <x:v>46</x:v>
      </x:c>
    </x:row>
    <x:row r="3112" spans="1:16">
      <x:c r="A3112" s="0" t="s">
        <x:v>12289</x:v>
      </x:c>
      <x:c r="B3112" s="0" t="s">
        <x:v>12290</x:v>
      </x:c>
      <x:c r="C3112" s="0" t="s">
        <x:v>12291</x:v>
      </x:c>
      <x:c r="E3112" s="0" t="s">
        <x:v>12292</x:v>
      </x:c>
      <x:c r="F3112" s="0" t="s">
        <x:v>45</x:v>
      </x:c>
      <x:c r="G3112" s="0" t="s">
        <x:v>19</x:v>
      </x:c>
      <x:c r="H3112" s="0" t="s">
        <x:v>20</x:v>
      </x:c>
      <x:c r="I3112" s="0" t="s">
        <x:v>21</x:v>
      </x:c>
      <x:c r="K3112" s="0">
        <x:f>hyperlink("https://icd.who.int/dev11/l-ichi/en#/http%3A%2F%2Fid.who.int%2Ficd%2Fentity%2F2073630348","browser")</x:f>
      </x:c>
      <x:c r="L3112" s="0">
        <x:f>hyperlink("https://icat2.azurewebsites.net/icat/?ontology=ICD&amp;tab=ClassesTab&amp;id=http%3A%2F%2Fwho.int%2Ficd%2313853_512ebf36_bf6b_4d70_85da_cf2637062af4","iCat")</x:f>
      </x:c>
      <x:c r="M3112" s="0" t="s">
        <x:v>21</x:v>
      </x:c>
      <x:c r="N3112" s="0" t="s">
        <x:v>46</x:v>
      </x:c>
    </x:row>
    <x:row r="3113" spans="1:16">
      <x:c r="A3113" s="0" t="s">
        <x:v>12293</x:v>
      </x:c>
      <x:c r="B3113" s="0" t="s">
        <x:v>12294</x:v>
      </x:c>
      <x:c r="C3113" s="0" t="s">
        <x:v>12295</x:v>
      </x:c>
      <x:c r="E3113" s="0" t="s">
        <x:v>12296</x:v>
      </x:c>
      <x:c r="F3113" s="0" t="s">
        <x:v>45</x:v>
      </x:c>
      <x:c r="G3113" s="0" t="s">
        <x:v>19</x:v>
      </x:c>
      <x:c r="H3113" s="0" t="s">
        <x:v>20</x:v>
      </x:c>
      <x:c r="I3113" s="0" t="s">
        <x:v>21</x:v>
      </x:c>
      <x:c r="K3113" s="0">
        <x:f>hyperlink("https://icd.who.int/dev11/l-ichi/en#/http%3A%2F%2Fid.who.int%2Ficd%2Fentity%2F466691249","browser")</x:f>
      </x:c>
      <x:c r="L3113" s="0">
        <x:f>hyperlink("https://icat2.azurewebsites.net/icat/?ontology=ICD&amp;tab=ClassesTab&amp;id=http%3A%2F%2Fwho.int%2Ficd%2313862_512ebf36_bf6b_4d70_85da_cf2637062af4","iCat")</x:f>
      </x:c>
      <x:c r="M3113" s="0" t="s">
        <x:v>21</x:v>
      </x:c>
      <x:c r="N3113" s="0" t="s">
        <x:v>46</x:v>
      </x:c>
    </x:row>
    <x:row r="3114" spans="1:16">
      <x:c r="A3114" s="0" t="s">
        <x:v>12297</x:v>
      </x:c>
      <x:c r="B3114" s="0" t="s">
        <x:v>12298</x:v>
      </x:c>
      <x:c r="C3114" s="0" t="s">
        <x:v>12299</x:v>
      </x:c>
      <x:c r="E3114" s="0" t="s">
        <x:v>12300</x:v>
      </x:c>
      <x:c r="F3114" s="0" t="s">
        <x:v>45</x:v>
      </x:c>
      <x:c r="G3114" s="0" t="s">
        <x:v>19</x:v>
      </x:c>
      <x:c r="H3114" s="0" t="s">
        <x:v>20</x:v>
      </x:c>
      <x:c r="I3114" s="0" t="s">
        <x:v>21</x:v>
      </x:c>
      <x:c r="K3114" s="0">
        <x:f>hyperlink("https://icd.who.int/dev11/l-ichi/en#/http%3A%2F%2Fid.who.int%2Ficd%2Fentity%2F808208417","browser")</x:f>
      </x:c>
      <x:c r="L3114" s="0">
        <x:f>hyperlink("https://icat2.azurewebsites.net/icat/?ontology=ICD&amp;tab=ClassesTab&amp;id=http%3A%2F%2Fwho.int%2Ficd%2313868_512ebf36_bf6b_4d70_85da_cf2637062af4","iCat")</x:f>
      </x:c>
      <x:c r="M3114" s="0" t="s">
        <x:v>21</x:v>
      </x:c>
      <x:c r="N3114" s="0" t="s">
        <x:v>46</x:v>
      </x:c>
    </x:row>
    <x:row r="3115" spans="1:16">
      <x:c r="A3115" s="0" t="s">
        <x:v>12301</x:v>
      </x:c>
      <x:c r="B3115" s="0" t="s">
        <x:v>12302</x:v>
      </x:c>
      <x:c r="C3115" s="0" t="s">
        <x:v>12303</x:v>
      </x:c>
      <x:c r="E3115" s="0" t="s">
        <x:v>12304</x:v>
      </x:c>
      <x:c r="F3115" s="0" t="s">
        <x:v>45</x:v>
      </x:c>
      <x:c r="G3115" s="0" t="s">
        <x:v>19</x:v>
      </x:c>
      <x:c r="H3115" s="0" t="s">
        <x:v>20</x:v>
      </x:c>
      <x:c r="I3115" s="0" t="s">
        <x:v>21</x:v>
      </x:c>
      <x:c r="K3115" s="0">
        <x:f>hyperlink("https://icd.who.int/dev11/l-ichi/en#/http%3A%2F%2Fid.who.int%2Ficd%2Fentity%2F283448301","browser")</x:f>
      </x:c>
      <x:c r="L3115" s="0">
        <x:f>hyperlink("https://icat2.azurewebsites.net/icat/?ontology=ICD&amp;tab=ClassesTab&amp;id=http%3A%2F%2Fwho.int%2Ficd%23526_97087496_4a82_4efa_a45a_b3256f81bd7e","iCat")</x:f>
      </x:c>
      <x:c r="M3115" s="0" t="s">
        <x:v>21</x:v>
      </x:c>
      <x:c r="N3115" s="0" t="s">
        <x:v>46</x:v>
      </x:c>
    </x:row>
    <x:row r="3116" spans="1:16">
      <x:c r="A3116" s="0" t="s">
        <x:v>12305</x:v>
      </x:c>
      <x:c r="B3116" s="0" t="s">
        <x:v>12306</x:v>
      </x:c>
      <x:c r="C3116" s="0" t="s">
        <x:v>12307</x:v>
      </x:c>
      <x:c r="E3116" s="0" t="s">
        <x:v>12308</x:v>
      </x:c>
      <x:c r="F3116" s="0" t="s">
        <x:v>45</x:v>
      </x:c>
      <x:c r="G3116" s="0" t="s">
        <x:v>19</x:v>
      </x:c>
      <x:c r="H3116" s="0" t="s">
        <x:v>20</x:v>
      </x:c>
      <x:c r="I3116" s="0" t="s">
        <x:v>21</x:v>
      </x:c>
      <x:c r="K3116" s="0">
        <x:f>hyperlink("https://icd.who.int/dev11/l-ichi/en#/http%3A%2F%2Fid.who.int%2Ficd%2Fentity%2F243802761","browser")</x:f>
      </x:c>
      <x:c r="L3116" s="0">
        <x:f>hyperlink("https://icat2.azurewebsites.net/icat/?ontology=ICD&amp;tab=ClassesTab&amp;id=http%3A%2F%2Fwho.int%2Ficd%2313884_512ebf36_bf6b_4d70_85da_cf2637062af4","iCat")</x:f>
      </x:c>
      <x:c r="M3116" s="0" t="s">
        <x:v>21</x:v>
      </x:c>
      <x:c r="N3116" s="0" t="s">
        <x:v>46</x:v>
      </x:c>
    </x:row>
    <x:row r="3117" spans="1:16">
      <x:c r="A3117" s="0" t="s">
        <x:v>12309</x:v>
      </x:c>
      <x:c r="B3117" s="0" t="s">
        <x:v>12310</x:v>
      </x:c>
      <x:c r="C3117" s="0" t="s">
        <x:v>12311</x:v>
      </x:c>
      <x:c r="E3117" s="0" t="s">
        <x:v>12312</x:v>
      </x:c>
      <x:c r="F3117" s="0" t="s">
        <x:v>45</x:v>
      </x:c>
      <x:c r="G3117" s="0" t="s">
        <x:v>19</x:v>
      </x:c>
      <x:c r="H3117" s="0" t="s">
        <x:v>20</x:v>
      </x:c>
      <x:c r="I3117" s="0" t="s">
        <x:v>21</x:v>
      </x:c>
      <x:c r="K3117" s="0">
        <x:f>hyperlink("https://icd.who.int/dev11/l-ichi/en#/http%3A%2F%2Fid.who.int%2Ficd%2Fentity%2F20032027","browser")</x:f>
      </x:c>
      <x:c r="L3117" s="0">
        <x:f>hyperlink("https://icat2.azurewebsites.net/icat/?ontology=ICD&amp;tab=ClassesTab&amp;id=http%3A%2F%2Fwho.int%2Ficd%2313896_512ebf36_bf6b_4d70_85da_cf2637062af4","iCat")</x:f>
      </x:c>
      <x:c r="M3117" s="0" t="s">
        <x:v>21</x:v>
      </x:c>
      <x:c r="N3117" s="0" t="s">
        <x:v>46</x:v>
      </x:c>
    </x:row>
    <x:row r="3118" spans="1:16">
      <x:c r="A3118" s="0" t="s">
        <x:v>12313</x:v>
      </x:c>
      <x:c r="B3118" s="0" t="s">
        <x:v>12314</x:v>
      </x:c>
      <x:c r="D3118" s="0" t="s">
        <x:v>12315</x:v>
      </x:c>
      <x:c r="E3118" s="0" t="s">
        <x:v>12316</x:v>
      </x:c>
      <x:c r="F3118" s="0" t="s">
        <x:v>26</x:v>
      </x:c>
      <x:c r="G3118" s="0" t="s">
        <x:v>22</x:v>
      </x:c>
      <x:c r="H3118" s="0" t="s">
        <x:v>20</x:v>
      </x:c>
      <x:c r="I3118" s="0" t="s">
        <x:v>21</x:v>
      </x:c>
      <x:c r="K3118" s="0">
        <x:f>hyperlink("https://icd.who.int/dev11/l-ichi/en#/http%3A%2F%2Fid.who.int%2Ficd%2Fentity%2F346297949","browser")</x:f>
      </x:c>
      <x:c r="L3118" s="0">
        <x:f>hyperlink("https://icat2.azurewebsites.net/icat/?ontology=ICD&amp;tab=ClassesTab&amp;id=http%3A%2F%2Fwho.int%2Ficd%2313903_512ebf36_bf6b_4d70_85da_cf2637062af4","iCat")</x:f>
      </x:c>
      <x:c r="M3118" s="0" t="s">
        <x:v>20</x:v>
      </x:c>
      <x:c r="N3118" s="0" t="s">
        <x:v>7996</x:v>
      </x:c>
    </x:row>
    <x:row r="3119" spans="1:16">
      <x:c r="A3119" s="0" t="s">
        <x:v>12317</x:v>
      </x:c>
      <x:c r="B3119" s="0" t="s">
        <x:v>12318</x:v>
      </x:c>
      <x:c r="C3119" s="0" t="s">
        <x:v>12319</x:v>
      </x:c>
      <x:c r="E3119" s="0" t="s">
        <x:v>12320</x:v>
      </x:c>
      <x:c r="F3119" s="0" t="s">
        <x:v>45</x:v>
      </x:c>
      <x:c r="G3119" s="0" t="s">
        <x:v>19</x:v>
      </x:c>
      <x:c r="H3119" s="0" t="s">
        <x:v>20</x:v>
      </x:c>
      <x:c r="I3119" s="0" t="s">
        <x:v>21</x:v>
      </x:c>
      <x:c r="K3119" s="0">
        <x:f>hyperlink("https://icd.who.int/dev11/l-ichi/en#/http%3A%2F%2Fid.who.int%2Ficd%2Fentity%2F878535777","browser")</x:f>
      </x:c>
      <x:c r="L3119" s="0">
        <x:f>hyperlink("https://icat2.azurewebsites.net/icat/?ontology=ICD&amp;tab=ClassesTab&amp;id=http%3A%2F%2Fwho.int%2Ficd%2313902_512ebf36_bf6b_4d70_85da_cf2637062af4","iCat")</x:f>
      </x:c>
      <x:c r="M3119" s="0" t="s">
        <x:v>21</x:v>
      </x:c>
      <x:c r="N3119" s="0" t="s">
        <x:v>46</x:v>
      </x:c>
    </x:row>
    <x:row r="3120" spans="1:16">
      <x:c r="A3120" s="0" t="s">
        <x:v>12321</x:v>
      </x:c>
      <x:c r="B3120" s="0" t="s">
        <x:v>12322</x:v>
      </x:c>
      <x:c r="C3120" s="0" t="s">
        <x:v>12323</x:v>
      </x:c>
      <x:c r="E3120" s="0" t="s">
        <x:v>12324</x:v>
      </x:c>
      <x:c r="F3120" s="0" t="s">
        <x:v>45</x:v>
      </x:c>
      <x:c r="G3120" s="0" t="s">
        <x:v>19</x:v>
      </x:c>
      <x:c r="H3120" s="0" t="s">
        <x:v>20</x:v>
      </x:c>
      <x:c r="I3120" s="0" t="s">
        <x:v>21</x:v>
      </x:c>
      <x:c r="K3120" s="0">
        <x:f>hyperlink("https://icd.who.int/dev11/l-ichi/en#/http%3A%2F%2Fid.who.int%2Ficd%2Fentity%2F773479099","browser")</x:f>
      </x:c>
      <x:c r="L3120" s="0">
        <x:f>hyperlink("https://icat2.azurewebsites.net/icat/?ontology=ICD&amp;tab=ClassesTab&amp;id=http%3A%2F%2Fwho.int%2Ficd%2313915_512ebf36_bf6b_4d70_85da_cf2637062af4","iCat")</x:f>
      </x:c>
      <x:c r="M3120" s="0" t="s">
        <x:v>21</x:v>
      </x:c>
      <x:c r="N3120" s="0" t="s">
        <x:v>46</x:v>
      </x:c>
    </x:row>
    <x:row r="3121" spans="1:16">
      <x:c r="A3121" s="0" t="s">
        <x:v>12325</x:v>
      </x:c>
      <x:c r="B3121" s="0" t="s">
        <x:v>12326</x:v>
      </x:c>
      <x:c r="C3121" s="0" t="s">
        <x:v>12327</x:v>
      </x:c>
      <x:c r="E3121" s="0" t="s">
        <x:v>12328</x:v>
      </x:c>
      <x:c r="F3121" s="0" t="s">
        <x:v>45</x:v>
      </x:c>
      <x:c r="G3121" s="0" t="s">
        <x:v>19</x:v>
      </x:c>
      <x:c r="H3121" s="0" t="s">
        <x:v>20</x:v>
      </x:c>
      <x:c r="I3121" s="0" t="s">
        <x:v>21</x:v>
      </x:c>
      <x:c r="K3121" s="0">
        <x:f>hyperlink("https://icd.who.int/dev11/l-ichi/en#/http%3A%2F%2Fid.who.int%2Ficd%2Fentity%2F1538055880","browser")</x:f>
      </x:c>
      <x:c r="L3121" s="0">
        <x:f>hyperlink("https://icat2.azurewebsites.net/icat/?ontology=ICD&amp;tab=ClassesTab&amp;id=http%3A%2F%2Fwho.int%2Ficd%2313921_512ebf36_bf6b_4d70_85da_cf2637062af4","iCat")</x:f>
      </x:c>
      <x:c r="M3121" s="0" t="s">
        <x:v>21</x:v>
      </x:c>
      <x:c r="N3121" s="0" t="s">
        <x:v>46</x:v>
      </x:c>
    </x:row>
    <x:row r="3122" spans="1:16">
      <x:c r="A3122" s="0" t="s">
        <x:v>12329</x:v>
      </x:c>
      <x:c r="B3122" s="0" t="s">
        <x:v>12330</x:v>
      </x:c>
      <x:c r="C3122" s="0" t="s">
        <x:v>12331</x:v>
      </x:c>
      <x:c r="E3122" s="0" t="s">
        <x:v>12332</x:v>
      </x:c>
      <x:c r="F3122" s="0" t="s">
        <x:v>45</x:v>
      </x:c>
      <x:c r="G3122" s="0" t="s">
        <x:v>19</x:v>
      </x:c>
      <x:c r="H3122" s="0" t="s">
        <x:v>20</x:v>
      </x:c>
      <x:c r="I3122" s="0" t="s">
        <x:v>21</x:v>
      </x:c>
      <x:c r="K3122" s="0">
        <x:f>hyperlink("https://icd.who.int/dev11/l-ichi/en#/http%3A%2F%2Fid.who.int%2Ficd%2Fentity%2F903142817","browser")</x:f>
      </x:c>
      <x:c r="L3122" s="0">
        <x:f>hyperlink("https://icat2.azurewebsites.net/icat/?ontology=ICD&amp;tab=ClassesTab&amp;id=http%3A%2F%2Fwho.int%2Ficd%2313928_512ebf36_bf6b_4d70_85da_cf2637062af4","iCat")</x:f>
      </x:c>
      <x:c r="M3122" s="0" t="s">
        <x:v>21</x:v>
      </x:c>
      <x:c r="N3122" s="0" t="s">
        <x:v>46</x:v>
      </x:c>
    </x:row>
    <x:row r="3123" spans="1:16">
      <x:c r="A3123" s="0" t="s">
        <x:v>12333</x:v>
      </x:c>
      <x:c r="B3123" s="0" t="s">
        <x:v>12334</x:v>
      </x:c>
      <x:c r="C3123" s="0" t="s">
        <x:v>12335</x:v>
      </x:c>
      <x:c r="E3123" s="0" t="s">
        <x:v>12336</x:v>
      </x:c>
      <x:c r="F3123" s="0" t="s">
        <x:v>45</x:v>
      </x:c>
      <x:c r="G3123" s="0" t="s">
        <x:v>19</x:v>
      </x:c>
      <x:c r="H3123" s="0" t="s">
        <x:v>20</x:v>
      </x:c>
      <x:c r="I3123" s="0" t="s">
        <x:v>21</x:v>
      </x:c>
      <x:c r="K3123" s="0">
        <x:f>hyperlink("https://icd.who.int/dev11/l-ichi/en#/http%3A%2F%2Fid.who.int%2Ficd%2Fentity%2F74354667","browser")</x:f>
      </x:c>
      <x:c r="L3123" s="0">
        <x:f>hyperlink("https://icat2.azurewebsites.net/icat/?ontology=ICD&amp;tab=ClassesTab&amp;id=http%3A%2F%2Fwho.int%2Ficd%2313935_512ebf36_bf6b_4d70_85da_cf2637062af4","iCat")</x:f>
      </x:c>
      <x:c r="M3123" s="0" t="s">
        <x:v>21</x:v>
      </x:c>
      <x:c r="N3123" s="0" t="s">
        <x:v>46</x:v>
      </x:c>
    </x:row>
    <x:row r="3124" spans="1:16">
      <x:c r="A3124" s="0" t="s">
        <x:v>12337</x:v>
      </x:c>
      <x:c r="B3124" s="0" t="s">
        <x:v>12338</x:v>
      </x:c>
      <x:c r="C3124" s="0" t="s">
        <x:v>12339</x:v>
      </x:c>
      <x:c r="E3124" s="0" t="s">
        <x:v>12340</x:v>
      </x:c>
      <x:c r="F3124" s="0" t="s">
        <x:v>45</x:v>
      </x:c>
      <x:c r="G3124" s="0" t="s">
        <x:v>19</x:v>
      </x:c>
      <x:c r="H3124" s="0" t="s">
        <x:v>20</x:v>
      </x:c>
      <x:c r="I3124" s="0" t="s">
        <x:v>21</x:v>
      </x:c>
      <x:c r="K3124" s="0">
        <x:f>hyperlink("https://icd.who.int/dev11/l-ichi/en#/http%3A%2F%2Fid.who.int%2Ficd%2Fentity%2F1144665980","browser")</x:f>
      </x:c>
      <x:c r="L3124" s="0">
        <x:f>hyperlink("https://icat2.azurewebsites.net/icat/?ontology=ICD&amp;tab=ClassesTab&amp;id=http%3A%2F%2Fwho.int%2Ficd%2313942_512ebf36_bf6b_4d70_85da_cf2637062af4","iCat")</x:f>
      </x:c>
      <x:c r="M3124" s="0" t="s">
        <x:v>21</x:v>
      </x:c>
      <x:c r="N3124" s="0" t="s">
        <x:v>46</x:v>
      </x:c>
    </x:row>
    <x:row r="3125" spans="1:16">
      <x:c r="A3125" s="0" t="s">
        <x:v>12341</x:v>
      </x:c>
      <x:c r="B3125" s="0" t="s">
        <x:v>12342</x:v>
      </x:c>
      <x:c r="C3125" s="0" t="s">
        <x:v>12343</x:v>
      </x:c>
      <x:c r="E3125" s="0" t="s">
        <x:v>12344</x:v>
      </x:c>
      <x:c r="F3125" s="0" t="s">
        <x:v>45</x:v>
      </x:c>
      <x:c r="G3125" s="0" t="s">
        <x:v>19</x:v>
      </x:c>
      <x:c r="H3125" s="0" t="s">
        <x:v>20</x:v>
      </x:c>
      <x:c r="I3125" s="0" t="s">
        <x:v>21</x:v>
      </x:c>
      <x:c r="K3125" s="0">
        <x:f>hyperlink("https://icd.who.int/dev11/l-ichi/en#/http%3A%2F%2Fid.who.int%2Ficd%2Fentity%2F1329474002","browser")</x:f>
      </x:c>
      <x:c r="L3125" s="0">
        <x:f>hyperlink("https://icat2.azurewebsites.net/icat/?ontology=ICD&amp;tab=ClassesTab&amp;id=http%3A%2F%2Fwho.int%2Ficd%2313949_512ebf36_bf6b_4d70_85da_cf2637062af4","iCat")</x:f>
      </x:c>
      <x:c r="M3125" s="0" t="s">
        <x:v>21</x:v>
      </x:c>
      <x:c r="N3125" s="0" t="s">
        <x:v>46</x:v>
      </x:c>
    </x:row>
    <x:row r="3126" spans="1:16">
      <x:c r="A3126" s="0" t="s">
        <x:v>12345</x:v>
      </x:c>
      <x:c r="B3126" s="0" t="s">
        <x:v>12346</x:v>
      </x:c>
      <x:c r="C3126" s="0" t="s">
        <x:v>12347</x:v>
      </x:c>
      <x:c r="E3126" s="0" t="s">
        <x:v>12348</x:v>
      </x:c>
      <x:c r="F3126" s="0" t="s">
        <x:v>45</x:v>
      </x:c>
      <x:c r="G3126" s="0" t="s">
        <x:v>19</x:v>
      </x:c>
      <x:c r="H3126" s="0" t="s">
        <x:v>20</x:v>
      </x:c>
      <x:c r="I3126" s="0" t="s">
        <x:v>21</x:v>
      </x:c>
      <x:c r="K3126" s="0">
        <x:f>hyperlink("https://icd.who.int/dev11/l-ichi/en#/http%3A%2F%2Fid.who.int%2Ficd%2Fentity%2F469263967","browser")</x:f>
      </x:c>
      <x:c r="L3126" s="0">
        <x:f>hyperlink("https://icat2.azurewebsites.net/icat/?ontology=ICD&amp;tab=ClassesTab&amp;id=http%3A%2F%2Fwho.int%2Ficd%2313956_512ebf36_bf6b_4d70_85da_cf2637062af4","iCat")</x:f>
      </x:c>
      <x:c r="M3126" s="0" t="s">
        <x:v>21</x:v>
      </x:c>
      <x:c r="N3126" s="0" t="s">
        <x:v>46</x:v>
      </x:c>
    </x:row>
    <x:row r="3127" spans="1:16">
      <x:c r="A3127" s="0" t="s">
        <x:v>12349</x:v>
      </x:c>
      <x:c r="B3127" s="0" t="s">
        <x:v>12350</x:v>
      </x:c>
      <x:c r="C3127" s="0" t="s">
        <x:v>12351</x:v>
      </x:c>
      <x:c r="E3127" s="0" t="s">
        <x:v>12352</x:v>
      </x:c>
      <x:c r="F3127" s="0" t="s">
        <x:v>45</x:v>
      </x:c>
      <x:c r="G3127" s="0" t="s">
        <x:v>19</x:v>
      </x:c>
      <x:c r="H3127" s="0" t="s">
        <x:v>20</x:v>
      </x:c>
      <x:c r="I3127" s="0" t="s">
        <x:v>21</x:v>
      </x:c>
      <x:c r="K3127" s="0">
        <x:f>hyperlink("https://icd.who.int/dev11/l-ichi/en#/http%3A%2F%2Fid.who.int%2Ficd%2Fentity%2F1320652816","browser")</x:f>
      </x:c>
      <x:c r="L3127" s="0">
        <x:f>hyperlink("https://icat2.azurewebsites.net/icat/?ontology=ICD&amp;tab=ClassesTab&amp;id=http%3A%2F%2Fwho.int%2Ficd%2313963_512ebf36_bf6b_4d70_85da_cf2637062af4","iCat")</x:f>
      </x:c>
      <x:c r="M3127" s="0" t="s">
        <x:v>21</x:v>
      </x:c>
      <x:c r="N3127" s="0" t="s">
        <x:v>46</x:v>
      </x:c>
    </x:row>
    <x:row r="3128" spans="1:16">
      <x:c r="A3128" s="0" t="s">
        <x:v>12353</x:v>
      </x:c>
      <x:c r="B3128" s="0" t="s">
        <x:v>12354</x:v>
      </x:c>
      <x:c r="C3128" s="0" t="s">
        <x:v>12355</x:v>
      </x:c>
      <x:c r="E3128" s="0" t="s">
        <x:v>12356</x:v>
      </x:c>
      <x:c r="F3128" s="0" t="s">
        <x:v>45</x:v>
      </x:c>
      <x:c r="G3128" s="0" t="s">
        <x:v>19</x:v>
      </x:c>
      <x:c r="H3128" s="0" t="s">
        <x:v>20</x:v>
      </x:c>
      <x:c r="I3128" s="0" t="s">
        <x:v>21</x:v>
      </x:c>
      <x:c r="K3128" s="0">
        <x:f>hyperlink("https://icd.who.int/dev11/l-ichi/en#/http%3A%2F%2Fid.who.int%2Ficd%2Fentity%2F1643604672","browser")</x:f>
      </x:c>
      <x:c r="L3128" s="0">
        <x:f>hyperlink("https://icat2.azurewebsites.net/icat/?ontology=ICD&amp;tab=ClassesTab&amp;id=http%3A%2F%2Fwho.int%2Ficd%2313970_512ebf36_bf6b_4d70_85da_cf2637062af4","iCat")</x:f>
      </x:c>
      <x:c r="M3128" s="0" t="s">
        <x:v>21</x:v>
      </x:c>
      <x:c r="N3128" s="0" t="s">
        <x:v>46</x:v>
      </x:c>
    </x:row>
    <x:row r="3129" spans="1:16">
      <x:c r="A3129" s="0" t="s">
        <x:v>12357</x:v>
      </x:c>
      <x:c r="B3129" s="0" t="s">
        <x:v>12358</x:v>
      </x:c>
      <x:c r="C3129" s="0" t="s">
        <x:v>12359</x:v>
      </x:c>
      <x:c r="E3129" s="0" t="s">
        <x:v>12360</x:v>
      </x:c>
      <x:c r="F3129" s="0" t="s">
        <x:v>45</x:v>
      </x:c>
      <x:c r="G3129" s="0" t="s">
        <x:v>19</x:v>
      </x:c>
      <x:c r="H3129" s="0" t="s">
        <x:v>20</x:v>
      </x:c>
      <x:c r="I3129" s="0" t="s">
        <x:v>21</x:v>
      </x:c>
      <x:c r="K3129" s="0">
        <x:f>hyperlink("https://icd.who.int/dev11/l-ichi/en#/http%3A%2F%2Fid.who.int%2Ficd%2Fentity%2F194334617","browser")</x:f>
      </x:c>
      <x:c r="L3129" s="0">
        <x:f>hyperlink("https://icat2.azurewebsites.net/icat/?ontology=ICD&amp;tab=ClassesTab&amp;id=http%3A%2F%2Fwho.int%2Ficd%2313983_512ebf36_bf6b_4d70_85da_cf2637062af4","iCat")</x:f>
      </x:c>
      <x:c r="M3129" s="0" t="s">
        <x:v>21</x:v>
      </x:c>
      <x:c r="N3129" s="0" t="s">
        <x:v>46</x:v>
      </x:c>
    </x:row>
    <x:row r="3130" spans="1:16">
      <x:c r="A3130" s="0" t="s">
        <x:v>12361</x:v>
      </x:c>
      <x:c r="B3130" s="0" t="s">
        <x:v>12362</x:v>
      </x:c>
      <x:c r="C3130" s="0" t="s">
        <x:v>12363</x:v>
      </x:c>
      <x:c r="E3130" s="0" t="s">
        <x:v>12364</x:v>
      </x:c>
      <x:c r="F3130" s="0" t="s">
        <x:v>45</x:v>
      </x:c>
      <x:c r="G3130" s="0" t="s">
        <x:v>19</x:v>
      </x:c>
      <x:c r="H3130" s="0" t="s">
        <x:v>20</x:v>
      </x:c>
      <x:c r="I3130" s="0" t="s">
        <x:v>21</x:v>
      </x:c>
      <x:c r="K3130" s="0">
        <x:f>hyperlink("https://icd.who.int/dev11/l-ichi/en#/http%3A%2F%2Fid.who.int%2Ficd%2Fentity%2F1101637876","browser")</x:f>
      </x:c>
      <x:c r="L3130" s="0">
        <x:f>hyperlink("https://icat2.azurewebsites.net/icat/?ontology=ICD&amp;tab=ClassesTab&amp;id=http%3A%2F%2Fwho.int%2Ficd%2313992_512ebf36_bf6b_4d70_85da_cf2637062af4","iCat")</x:f>
      </x:c>
      <x:c r="M3130" s="0" t="s">
        <x:v>21</x:v>
      </x:c>
      <x:c r="N3130" s="0" t="s">
        <x:v>46</x:v>
      </x:c>
    </x:row>
    <x:row r="3131" spans="1:16">
      <x:c r="A3131" s="0" t="s">
        <x:v>12365</x:v>
      </x:c>
      <x:c r="B3131" s="0" t="s">
        <x:v>12366</x:v>
      </x:c>
      <x:c r="C3131" s="0" t="s">
        <x:v>12367</x:v>
      </x:c>
      <x:c r="E3131" s="0" t="s">
        <x:v>12368</x:v>
      </x:c>
      <x:c r="F3131" s="0" t="s">
        <x:v>45</x:v>
      </x:c>
      <x:c r="G3131" s="0" t="s">
        <x:v>19</x:v>
      </x:c>
      <x:c r="H3131" s="0" t="s">
        <x:v>20</x:v>
      </x:c>
      <x:c r="I3131" s="0" t="s">
        <x:v>21</x:v>
      </x:c>
      <x:c r="K3131" s="0">
        <x:f>hyperlink("https://icd.who.int/dev11/l-ichi/en#/http%3A%2F%2Fid.who.int%2Ficd%2Fentity%2F2023509856","browser")</x:f>
      </x:c>
      <x:c r="L3131" s="0">
        <x:f>hyperlink("https://icat2.azurewebsites.net/icat/?ontology=ICD&amp;tab=ClassesTab&amp;id=http%3A%2F%2Fwho.int%2Ficd%2314012_512ebf36_bf6b_4d70_85da_cf2637062af4","iCat")</x:f>
      </x:c>
      <x:c r="M3131" s="0" t="s">
        <x:v>21</x:v>
      </x:c>
      <x:c r="N3131" s="0" t="s">
        <x:v>46</x:v>
      </x:c>
    </x:row>
    <x:row r="3132" spans="1:16">
      <x:c r="A3132" s="0" t="s">
        <x:v>12369</x:v>
      </x:c>
      <x:c r="B3132" s="0" t="s">
        <x:v>12370</x:v>
      </x:c>
      <x:c r="C3132" s="0" t="s">
        <x:v>12371</x:v>
      </x:c>
      <x:c r="E3132" s="0" t="s">
        <x:v>12372</x:v>
      </x:c>
      <x:c r="F3132" s="0" t="s">
        <x:v>45</x:v>
      </x:c>
      <x:c r="G3132" s="0" t="s">
        <x:v>19</x:v>
      </x:c>
      <x:c r="H3132" s="0" t="s">
        <x:v>20</x:v>
      </x:c>
      <x:c r="I3132" s="0" t="s">
        <x:v>21</x:v>
      </x:c>
      <x:c r="K3132" s="0">
        <x:f>hyperlink("https://icd.who.int/dev11/l-ichi/en#/http%3A%2F%2Fid.who.int%2Ficd%2Fentity%2F1565594268","browser")</x:f>
      </x:c>
      <x:c r="L3132" s="0">
        <x:f>hyperlink("https://icat2.azurewebsites.net/icat/?ontology=ICD&amp;tab=ClassesTab&amp;id=http%3A%2F%2Fwho.int%2Ficd%2314020_512ebf36_bf6b_4d70_85da_cf2637062af4","iCat")</x:f>
      </x:c>
      <x:c r="M3132" s="0" t="s">
        <x:v>21</x:v>
      </x:c>
      <x:c r="N3132" s="0" t="s">
        <x:v>46</x:v>
      </x:c>
    </x:row>
    <x:row r="3133" spans="1:16">
      <x:c r="A3133" s="0" t="s">
        <x:v>12373</x:v>
      </x:c>
      <x:c r="B3133" s="0" t="s">
        <x:v>12374</x:v>
      </x:c>
      <x:c r="C3133" s="0" t="s">
        <x:v>12375</x:v>
      </x:c>
      <x:c r="E3133" s="0" t="s">
        <x:v>12376</x:v>
      </x:c>
      <x:c r="F3133" s="0" t="s">
        <x:v>45</x:v>
      </x:c>
      <x:c r="G3133" s="0" t="s">
        <x:v>19</x:v>
      </x:c>
      <x:c r="H3133" s="0" t="s">
        <x:v>20</x:v>
      </x:c>
      <x:c r="I3133" s="0" t="s">
        <x:v>21</x:v>
      </x:c>
      <x:c r="K3133" s="0">
        <x:f>hyperlink("https://icd.who.int/dev11/l-ichi/en#/http%3A%2F%2Fid.who.int%2Ficd%2Fentity%2F393082359","browser")</x:f>
      </x:c>
      <x:c r="L3133" s="0">
        <x:f>hyperlink("https://icat2.azurewebsites.net/icat/?ontology=ICD&amp;tab=ClassesTab&amp;id=http%3A%2F%2Fwho.int%2Ficd%2314031_512ebf36_bf6b_4d70_85da_cf2637062af4","iCat")</x:f>
      </x:c>
      <x:c r="M3133" s="0" t="s">
        <x:v>21</x:v>
      </x:c>
      <x:c r="N3133" s="0" t="s">
        <x:v>46</x:v>
      </x:c>
    </x:row>
    <x:row r="3134" spans="1:16">
      <x:c r="A3134" s="0" t="s">
        <x:v>12377</x:v>
      </x:c>
      <x:c r="B3134" s="0" t="s">
        <x:v>12378</x:v>
      </x:c>
      <x:c r="C3134" s="0" t="s">
        <x:v>12379</x:v>
      </x:c>
      <x:c r="E3134" s="0" t="s">
        <x:v>12380</x:v>
      </x:c>
      <x:c r="F3134" s="0" t="s">
        <x:v>45</x:v>
      </x:c>
      <x:c r="G3134" s="0" t="s">
        <x:v>19</x:v>
      </x:c>
      <x:c r="H3134" s="0" t="s">
        <x:v>20</x:v>
      </x:c>
      <x:c r="I3134" s="0" t="s">
        <x:v>21</x:v>
      </x:c>
      <x:c r="K3134" s="0">
        <x:f>hyperlink("https://icd.who.int/dev11/l-ichi/en#/http%3A%2F%2Fid.who.int%2Ficd%2Fentity%2F2031482526","browser")</x:f>
      </x:c>
      <x:c r="L3134" s="0">
        <x:f>hyperlink("https://icat2.azurewebsites.net/icat/?ontology=ICD&amp;tab=ClassesTab&amp;id=http%3A%2F%2Fwho.int%2Ficd%2314038_512ebf36_bf6b_4d70_85da_cf2637062af4","iCat")</x:f>
      </x:c>
      <x:c r="M3134" s="0" t="s">
        <x:v>21</x:v>
      </x:c>
      <x:c r="N3134" s="0" t="s">
        <x:v>46</x:v>
      </x:c>
    </x:row>
    <x:row r="3135" spans="1:16">
      <x:c r="A3135" s="0" t="s">
        <x:v>12381</x:v>
      </x:c>
      <x:c r="B3135" s="0" t="s">
        <x:v>12382</x:v>
      </x:c>
      <x:c r="C3135" s="0" t="s">
        <x:v>12383</x:v>
      </x:c>
      <x:c r="E3135" s="0" t="s">
        <x:v>12384</x:v>
      </x:c>
      <x:c r="F3135" s="0" t="s">
        <x:v>45</x:v>
      </x:c>
      <x:c r="G3135" s="0" t="s">
        <x:v>19</x:v>
      </x:c>
      <x:c r="H3135" s="0" t="s">
        <x:v>20</x:v>
      </x:c>
      <x:c r="I3135" s="0" t="s">
        <x:v>21</x:v>
      </x:c>
      <x:c r="K3135" s="0">
        <x:f>hyperlink("https://icd.who.int/dev11/l-ichi/en#/http%3A%2F%2Fid.who.int%2Ficd%2Fentity%2F2009087838","browser")</x:f>
      </x:c>
      <x:c r="L3135" s="0">
        <x:f>hyperlink("https://icat2.azurewebsites.net/icat/?ontology=ICD&amp;tab=ClassesTab&amp;id=http%3A%2F%2Fwho.int%2Ficd%2314047_512ebf36_bf6b_4d70_85da_cf2637062af4","iCat")</x:f>
      </x:c>
      <x:c r="M3135" s="0" t="s">
        <x:v>21</x:v>
      </x:c>
      <x:c r="N3135" s="0" t="s">
        <x:v>46</x:v>
      </x:c>
    </x:row>
    <x:row r="3136" spans="1:16">
      <x:c r="A3136" s="0" t="s">
        <x:v>12385</x:v>
      </x:c>
      <x:c r="B3136" s="0" t="s">
        <x:v>12386</x:v>
      </x:c>
      <x:c r="C3136" s="0" t="s">
        <x:v>12387</x:v>
      </x:c>
      <x:c r="E3136" s="0" t="s">
        <x:v>12388</x:v>
      </x:c>
      <x:c r="F3136" s="0" t="s">
        <x:v>45</x:v>
      </x:c>
      <x:c r="G3136" s="0" t="s">
        <x:v>19</x:v>
      </x:c>
      <x:c r="H3136" s="0" t="s">
        <x:v>20</x:v>
      </x:c>
      <x:c r="I3136" s="0" t="s">
        <x:v>21</x:v>
      </x:c>
      <x:c r="K3136" s="0">
        <x:f>hyperlink("https://icd.who.int/dev11/l-ichi/en#/http%3A%2F%2Fid.who.int%2Ficd%2Fentity%2F671247999","browser")</x:f>
      </x:c>
      <x:c r="L3136" s="0">
        <x:f>hyperlink("https://icat2.azurewebsites.net/icat/?ontology=ICD&amp;tab=ClassesTab&amp;id=http%3A%2F%2Fwho.int%2Ficd%2314053_512ebf36_bf6b_4d70_85da_cf2637062af4","iCat")</x:f>
      </x:c>
      <x:c r="M3136" s="0" t="s">
        <x:v>21</x:v>
      </x:c>
      <x:c r="N3136" s="0" t="s">
        <x:v>46</x:v>
      </x:c>
    </x:row>
    <x:row r="3137" spans="1:16">
      <x:c r="A3137" s="0" t="s">
        <x:v>12389</x:v>
      </x:c>
      <x:c r="B3137" s="0" t="s">
        <x:v>12390</x:v>
      </x:c>
      <x:c r="C3137" s="0" t="s">
        <x:v>12391</x:v>
      </x:c>
      <x:c r="E3137" s="0" t="s">
        <x:v>12392</x:v>
      </x:c>
      <x:c r="F3137" s="0" t="s">
        <x:v>45</x:v>
      </x:c>
      <x:c r="G3137" s="0" t="s">
        <x:v>19</x:v>
      </x:c>
      <x:c r="H3137" s="0" t="s">
        <x:v>20</x:v>
      </x:c>
      <x:c r="I3137" s="0" t="s">
        <x:v>21</x:v>
      </x:c>
      <x:c r="K3137" s="0">
        <x:f>hyperlink("https://icd.who.int/dev11/l-ichi/en#/http%3A%2F%2Fid.who.int%2Ficd%2Fentity%2F231683005","browser")</x:f>
      </x:c>
      <x:c r="L3137" s="0">
        <x:f>hyperlink("https://icat2.azurewebsites.net/icat/?ontology=ICD&amp;tab=ClassesTab&amp;id=http%3A%2F%2Fwho.int%2Ficd%2314061_512ebf36_bf6b_4d70_85da_cf2637062af4","iCat")</x:f>
      </x:c>
      <x:c r="M3137" s="0" t="s">
        <x:v>21</x:v>
      </x:c>
      <x:c r="N3137" s="0" t="s">
        <x:v>46</x:v>
      </x:c>
    </x:row>
    <x:row r="3138" spans="1:16">
      <x:c r="A3138" s="0" t="s">
        <x:v>12393</x:v>
      </x:c>
      <x:c r="B3138" s="0" t="s">
        <x:v>12394</x:v>
      </x:c>
      <x:c r="C3138" s="0" t="s">
        <x:v>12395</x:v>
      </x:c>
      <x:c r="E3138" s="0" t="s">
        <x:v>12396</x:v>
      </x:c>
      <x:c r="F3138" s="0" t="s">
        <x:v>45</x:v>
      </x:c>
      <x:c r="G3138" s="0" t="s">
        <x:v>19</x:v>
      </x:c>
      <x:c r="H3138" s="0" t="s">
        <x:v>20</x:v>
      </x:c>
      <x:c r="I3138" s="0" t="s">
        <x:v>21</x:v>
      </x:c>
      <x:c r="K3138" s="0">
        <x:f>hyperlink("https://icd.who.int/dev11/l-ichi/en#/http%3A%2F%2Fid.who.int%2Ficd%2Fentity%2F1672949972","browser")</x:f>
      </x:c>
      <x:c r="L3138" s="0">
        <x:f>hyperlink("https://icat2.azurewebsites.net/icat/?ontology=ICD&amp;tab=ClassesTab&amp;id=http%3A%2F%2Fwho.int%2Ficd%2314068_512ebf36_bf6b_4d70_85da_cf2637062af4","iCat")</x:f>
      </x:c>
      <x:c r="M3138" s="0" t="s">
        <x:v>21</x:v>
      </x:c>
      <x:c r="N3138" s="0" t="s">
        <x:v>46</x:v>
      </x:c>
    </x:row>
    <x:row r="3139" spans="1:16">
      <x:c r="A3139" s="0" t="s">
        <x:v>12397</x:v>
      </x:c>
      <x:c r="B3139" s="0" t="s">
        <x:v>12398</x:v>
      </x:c>
      <x:c r="C3139" s="0" t="s">
        <x:v>12399</x:v>
      </x:c>
      <x:c r="E3139" s="0" t="s">
        <x:v>12400</x:v>
      </x:c>
      <x:c r="F3139" s="0" t="s">
        <x:v>45</x:v>
      </x:c>
      <x:c r="G3139" s="0" t="s">
        <x:v>19</x:v>
      </x:c>
      <x:c r="H3139" s="0" t="s">
        <x:v>20</x:v>
      </x:c>
      <x:c r="I3139" s="0" t="s">
        <x:v>21</x:v>
      </x:c>
      <x:c r="K3139" s="0">
        <x:f>hyperlink("https://icd.who.int/dev11/l-ichi/en#/http%3A%2F%2Fid.who.int%2Ficd%2Fentity%2F1376608926","browser")</x:f>
      </x:c>
      <x:c r="L3139" s="0">
        <x:f>hyperlink("https://icat2.azurewebsites.net/icat/?ontology=ICD&amp;tab=ClassesTab&amp;id=http%3A%2F%2Fwho.int%2Ficd%2314075_512ebf36_bf6b_4d70_85da_cf2637062af4","iCat")</x:f>
      </x:c>
      <x:c r="M3139" s="0" t="s">
        <x:v>21</x:v>
      </x:c>
      <x:c r="N3139" s="0" t="s">
        <x:v>46</x:v>
      </x:c>
    </x:row>
    <x:row r="3140" spans="1:16">
      <x:c r="A3140" s="0" t="s">
        <x:v>12401</x:v>
      </x:c>
      <x:c r="B3140" s="0" t="s">
        <x:v>12402</x:v>
      </x:c>
      <x:c r="C3140" s="0" t="s">
        <x:v>12403</x:v>
      </x:c>
      <x:c r="E3140" s="0" t="s">
        <x:v>12404</x:v>
      </x:c>
      <x:c r="F3140" s="0" t="s">
        <x:v>45</x:v>
      </x:c>
      <x:c r="G3140" s="0" t="s">
        <x:v>19</x:v>
      </x:c>
      <x:c r="H3140" s="0" t="s">
        <x:v>20</x:v>
      </x:c>
      <x:c r="I3140" s="0" t="s">
        <x:v>21</x:v>
      </x:c>
      <x:c r="K3140" s="0">
        <x:f>hyperlink("https://icd.who.int/dev11/l-ichi/en#/http%3A%2F%2Fid.who.int%2Ficd%2Fentity%2F224953293","browser")</x:f>
      </x:c>
      <x:c r="L3140" s="0">
        <x:f>hyperlink("https://icat2.azurewebsites.net/icat/?ontology=ICD&amp;tab=ClassesTab&amp;id=http%3A%2F%2Fwho.int%2Ficd%2314082_512ebf36_bf6b_4d70_85da_cf2637062af4","iCat")</x:f>
      </x:c>
      <x:c r="M3140" s="0" t="s">
        <x:v>21</x:v>
      </x:c>
      <x:c r="N3140" s="0" t="s">
        <x:v>46</x:v>
      </x:c>
    </x:row>
    <x:row r="3141" spans="1:16">
      <x:c r="A3141" s="0" t="s">
        <x:v>12405</x:v>
      </x:c>
      <x:c r="B3141" s="0" t="s">
        <x:v>12406</x:v>
      </x:c>
      <x:c r="C3141" s="0" t="s">
        <x:v>12407</x:v>
      </x:c>
      <x:c r="E3141" s="0" t="s">
        <x:v>12408</x:v>
      </x:c>
      <x:c r="F3141" s="0" t="s">
        <x:v>45</x:v>
      </x:c>
      <x:c r="G3141" s="0" t="s">
        <x:v>19</x:v>
      </x:c>
      <x:c r="H3141" s="0" t="s">
        <x:v>20</x:v>
      </x:c>
      <x:c r="I3141" s="0" t="s">
        <x:v>21</x:v>
      </x:c>
      <x:c r="K3141" s="0">
        <x:f>hyperlink("https://icd.who.int/dev11/l-ichi/en#/http%3A%2F%2Fid.who.int%2Ficd%2Fentity%2F47254367","browser")</x:f>
      </x:c>
      <x:c r="L3141" s="0">
        <x:f>hyperlink("https://icat2.azurewebsites.net/icat/?ontology=ICD&amp;tab=ClassesTab&amp;id=http%3A%2F%2Fwho.int%2Ficd%2314090_512ebf36_bf6b_4d70_85da_cf2637062af4","iCat")</x:f>
      </x:c>
      <x:c r="M3141" s="0" t="s">
        <x:v>21</x:v>
      </x:c>
      <x:c r="N3141" s="0" t="s">
        <x:v>46</x:v>
      </x:c>
    </x:row>
    <x:row r="3142" spans="1:16">
      <x:c r="A3142" s="0" t="s">
        <x:v>12409</x:v>
      </x:c>
      <x:c r="B3142" s="0" t="s">
        <x:v>12410</x:v>
      </x:c>
      <x:c r="C3142" s="0" t="s">
        <x:v>12411</x:v>
      </x:c>
      <x:c r="E3142" s="0" t="s">
        <x:v>12412</x:v>
      </x:c>
      <x:c r="F3142" s="0" t="s">
        <x:v>45</x:v>
      </x:c>
      <x:c r="G3142" s="0" t="s">
        <x:v>19</x:v>
      </x:c>
      <x:c r="H3142" s="0" t="s">
        <x:v>20</x:v>
      </x:c>
      <x:c r="I3142" s="0" t="s">
        <x:v>21</x:v>
      </x:c>
      <x:c r="K3142" s="0">
        <x:f>hyperlink("https://icd.who.int/dev11/l-ichi/en#/http%3A%2F%2Fid.who.int%2Ficd%2Fentity%2F45744465","browser")</x:f>
      </x:c>
      <x:c r="L3142" s="0">
        <x:f>hyperlink("https://icat2.azurewebsites.net/icat/?ontology=ICD&amp;tab=ClassesTab&amp;id=http%3A%2F%2Fwho.int%2Ficd%2314100_512ebf36_bf6b_4d70_85da_cf2637062af4","iCat")</x:f>
      </x:c>
      <x:c r="M3142" s="0" t="s">
        <x:v>21</x:v>
      </x:c>
      <x:c r="N3142" s="0" t="s">
        <x:v>46</x:v>
      </x:c>
    </x:row>
    <x:row r="3143" spans="1:16">
      <x:c r="A3143" s="0" t="s">
        <x:v>12413</x:v>
      </x:c>
      <x:c r="B3143" s="0" t="s">
        <x:v>12414</x:v>
      </x:c>
      <x:c r="C3143" s="0" t="s">
        <x:v>12415</x:v>
      </x:c>
      <x:c r="E3143" s="0" t="s">
        <x:v>12416</x:v>
      </x:c>
      <x:c r="F3143" s="0" t="s">
        <x:v>45</x:v>
      </x:c>
      <x:c r="G3143" s="0" t="s">
        <x:v>19</x:v>
      </x:c>
      <x:c r="H3143" s="0" t="s">
        <x:v>20</x:v>
      </x:c>
      <x:c r="I3143" s="0" t="s">
        <x:v>21</x:v>
      </x:c>
      <x:c r="K3143" s="0">
        <x:f>hyperlink("https://icd.who.int/dev11/l-ichi/en#/http%3A%2F%2Fid.who.int%2Ficd%2Fentity%2F1824653880","browser")</x:f>
      </x:c>
      <x:c r="L3143" s="0">
        <x:f>hyperlink("https://icat2.azurewebsites.net/icat/?ontology=ICD&amp;tab=ClassesTab&amp;id=http%3A%2F%2Fwho.int%2Ficd%2314109_512ebf36_bf6b_4d70_85da_cf2637062af4","iCat")</x:f>
      </x:c>
      <x:c r="M3143" s="0" t="s">
        <x:v>21</x:v>
      </x:c>
      <x:c r="N3143" s="0" t="s">
        <x:v>46</x:v>
      </x:c>
    </x:row>
    <x:row r="3144" spans="1:16">
      <x:c r="A3144" s="0" t="s">
        <x:v>12417</x:v>
      </x:c>
      <x:c r="B3144" s="0" t="s">
        <x:v>12418</x:v>
      </x:c>
      <x:c r="C3144" s="0" t="s">
        <x:v>12419</x:v>
      </x:c>
      <x:c r="E3144" s="0" t="s">
        <x:v>12420</x:v>
      </x:c>
      <x:c r="F3144" s="0" t="s">
        <x:v>45</x:v>
      </x:c>
      <x:c r="G3144" s="0" t="s">
        <x:v>19</x:v>
      </x:c>
      <x:c r="H3144" s="0" t="s">
        <x:v>20</x:v>
      </x:c>
      <x:c r="I3144" s="0" t="s">
        <x:v>21</x:v>
      </x:c>
      <x:c r="K3144" s="0">
        <x:f>hyperlink("https://icd.who.int/dev11/l-ichi/en#/http%3A%2F%2Fid.who.int%2Ficd%2Fentity%2F419250059","browser")</x:f>
      </x:c>
      <x:c r="L3144" s="0">
        <x:f>hyperlink("https://icat2.azurewebsites.net/icat/?ontology=ICD&amp;tab=ClassesTab&amp;id=http%3A%2F%2Fwho.int%2Ficd%2314117_512ebf36_bf6b_4d70_85da_cf2637062af4","iCat")</x:f>
      </x:c>
      <x:c r="M3144" s="0" t="s">
        <x:v>21</x:v>
      </x:c>
      <x:c r="N3144" s="0" t="s">
        <x:v>46</x:v>
      </x:c>
    </x:row>
    <x:row r="3145" spans="1:16">
      <x:c r="A3145" s="0" t="s">
        <x:v>12421</x:v>
      </x:c>
      <x:c r="B3145" s="0" t="s">
        <x:v>12422</x:v>
      </x:c>
      <x:c r="C3145" s="0" t="s">
        <x:v>12423</x:v>
      </x:c>
      <x:c r="E3145" s="0" t="s">
        <x:v>12424</x:v>
      </x:c>
      <x:c r="F3145" s="0" t="s">
        <x:v>45</x:v>
      </x:c>
      <x:c r="G3145" s="0" t="s">
        <x:v>19</x:v>
      </x:c>
      <x:c r="H3145" s="0" t="s">
        <x:v>20</x:v>
      </x:c>
      <x:c r="I3145" s="0" t="s">
        <x:v>21</x:v>
      </x:c>
      <x:c r="K3145" s="0">
        <x:f>hyperlink("https://icd.who.int/dev11/l-ichi/en#/http%3A%2F%2Fid.who.int%2Ficd%2Fentity%2F499716213","browser")</x:f>
      </x:c>
      <x:c r="L3145" s="0">
        <x:f>hyperlink("https://icat2.azurewebsites.net/icat/?ontology=ICD&amp;tab=ClassesTab&amp;id=http%3A%2F%2Fwho.int%2Ficd%2314124_512ebf36_bf6b_4d70_85da_cf2637062af4","iCat")</x:f>
      </x:c>
      <x:c r="M3145" s="0" t="s">
        <x:v>21</x:v>
      </x:c>
      <x:c r="N3145" s="0" t="s">
        <x:v>46</x:v>
      </x:c>
    </x:row>
    <x:row r="3146" spans="1:16">
      <x:c r="A3146" s="0" t="s">
        <x:v>12425</x:v>
      </x:c>
      <x:c r="B3146" s="0" t="s">
        <x:v>12426</x:v>
      </x:c>
      <x:c r="C3146" s="0" t="s">
        <x:v>12427</x:v>
      </x:c>
      <x:c r="E3146" s="0" t="s">
        <x:v>12428</x:v>
      </x:c>
      <x:c r="F3146" s="0" t="s">
        <x:v>45</x:v>
      </x:c>
      <x:c r="G3146" s="0" t="s">
        <x:v>19</x:v>
      </x:c>
      <x:c r="H3146" s="0" t="s">
        <x:v>20</x:v>
      </x:c>
      <x:c r="I3146" s="0" t="s">
        <x:v>21</x:v>
      </x:c>
      <x:c r="K3146" s="0">
        <x:f>hyperlink("https://icd.who.int/dev11/l-ichi/en#/http%3A%2F%2Fid.who.int%2Ficd%2Fentity%2F1997309220","browser")</x:f>
      </x:c>
      <x:c r="L3146" s="0">
        <x:f>hyperlink("https://icat2.azurewebsites.net/icat/?ontology=ICD&amp;tab=ClassesTab&amp;id=http%3A%2F%2Fwho.int%2Ficd%2314134_512ebf36_bf6b_4d70_85da_cf2637062af4","iCat")</x:f>
      </x:c>
      <x:c r="M3146" s="0" t="s">
        <x:v>21</x:v>
      </x:c>
      <x:c r="N3146" s="0" t="s">
        <x:v>46</x:v>
      </x:c>
    </x:row>
    <x:row r="3147" spans="1:16">
      <x:c r="A3147" s="0" t="s">
        <x:v>12429</x:v>
      </x:c>
      <x:c r="B3147" s="0" t="s">
        <x:v>12430</x:v>
      </x:c>
      <x:c r="C3147" s="0" t="s">
        <x:v>12431</x:v>
      </x:c>
      <x:c r="E3147" s="0" t="s">
        <x:v>12432</x:v>
      </x:c>
      <x:c r="F3147" s="0" t="s">
        <x:v>45</x:v>
      </x:c>
      <x:c r="G3147" s="0" t="s">
        <x:v>19</x:v>
      </x:c>
      <x:c r="H3147" s="0" t="s">
        <x:v>20</x:v>
      </x:c>
      <x:c r="I3147" s="0" t="s">
        <x:v>21</x:v>
      </x:c>
      <x:c r="K3147" s="0">
        <x:f>hyperlink("https://icd.who.int/dev11/l-ichi/en#/http%3A%2F%2Fid.who.int%2Ficd%2Fentity%2F1378099312","browser")</x:f>
      </x:c>
      <x:c r="L3147" s="0">
        <x:f>hyperlink("https://icat2.azurewebsites.net/icat/?ontology=ICD&amp;tab=ClassesTab&amp;id=http%3A%2F%2Fwho.int%2Ficd%2314141_512ebf36_bf6b_4d70_85da_cf2637062af4","iCat")</x:f>
      </x:c>
      <x:c r="M3147" s="0" t="s">
        <x:v>21</x:v>
      </x:c>
      <x:c r="N3147" s="0" t="s">
        <x:v>46</x:v>
      </x:c>
    </x:row>
    <x:row r="3148" spans="1:16">
      <x:c r="A3148" s="0" t="s">
        <x:v>12433</x:v>
      </x:c>
      <x:c r="B3148" s="0" t="s">
        <x:v>12434</x:v>
      </x:c>
      <x:c r="D3148" s="0" t="s">
        <x:v>12435</x:v>
      </x:c>
      <x:c r="E3148" s="0" t="s">
        <x:v>12436</x:v>
      </x:c>
      <x:c r="F3148" s="0" t="s">
        <x:v>26</x:v>
      </x:c>
      <x:c r="G3148" s="0" t="s">
        <x:v>22</x:v>
      </x:c>
      <x:c r="H3148" s="0" t="s">
        <x:v>20</x:v>
      </x:c>
      <x:c r="I3148" s="0" t="s">
        <x:v>21</x:v>
      </x:c>
      <x:c r="K3148" s="0">
        <x:f>hyperlink("https://icd.who.int/dev11/l-ichi/en#/http%3A%2F%2Fid.who.int%2Ficd%2Fentity%2F480596261","browser")</x:f>
      </x:c>
      <x:c r="L3148" s="0">
        <x:f>hyperlink("https://icat2.azurewebsites.net/icat/?ontology=ICD&amp;tab=ClassesTab&amp;id=http%3A%2F%2Fwho.int%2Ficd%2314149_512ebf36_bf6b_4d70_85da_cf2637062af4","iCat")</x:f>
      </x:c>
      <x:c r="M3148" s="0" t="s">
        <x:v>20</x:v>
      </x:c>
      <x:c r="N3148" s="0" t="s">
        <x:v>12437</x:v>
      </x:c>
    </x:row>
    <x:row r="3149" spans="1:16">
      <x:c r="A3149" s="0" t="s">
        <x:v>12438</x:v>
      </x:c>
      <x:c r="B3149" s="0" t="s">
        <x:v>12439</x:v>
      </x:c>
      <x:c r="C3149" s="0" t="s">
        <x:v>12440</x:v>
      </x:c>
      <x:c r="E3149" s="0" t="s">
        <x:v>12441</x:v>
      </x:c>
      <x:c r="F3149" s="0" t="s">
        <x:v>45</x:v>
      </x:c>
      <x:c r="G3149" s="0" t="s">
        <x:v>19</x:v>
      </x:c>
      <x:c r="H3149" s="0" t="s">
        <x:v>20</x:v>
      </x:c>
      <x:c r="I3149" s="0" t="s">
        <x:v>21</x:v>
      </x:c>
      <x:c r="K3149" s="0">
        <x:f>hyperlink("https://icd.who.int/dev11/l-ichi/en#/http%3A%2F%2Fid.who.int%2Ficd%2Fentity%2F1012671257","browser")</x:f>
      </x:c>
      <x:c r="L3149" s="0">
        <x:f>hyperlink("https://icat2.azurewebsites.net/icat/?ontology=ICD&amp;tab=ClassesTab&amp;id=http%3A%2F%2Fwho.int%2Ficd%2314148_512ebf36_bf6b_4d70_85da_cf2637062af4","iCat")</x:f>
      </x:c>
      <x:c r="M3149" s="0" t="s">
        <x:v>21</x:v>
      </x:c>
      <x:c r="N3149" s="0" t="s">
        <x:v>46</x:v>
      </x:c>
    </x:row>
    <x:row r="3150" spans="1:16">
      <x:c r="A3150" s="0" t="s">
        <x:v>12442</x:v>
      </x:c>
      <x:c r="B3150" s="0" t="s">
        <x:v>12443</x:v>
      </x:c>
      <x:c r="C3150" s="0" t="s">
        <x:v>12444</x:v>
      </x:c>
      <x:c r="E3150" s="0" t="s">
        <x:v>12445</x:v>
      </x:c>
      <x:c r="F3150" s="0" t="s">
        <x:v>45</x:v>
      </x:c>
      <x:c r="G3150" s="0" t="s">
        <x:v>19</x:v>
      </x:c>
      <x:c r="H3150" s="0" t="s">
        <x:v>20</x:v>
      </x:c>
      <x:c r="I3150" s="0" t="s">
        <x:v>21</x:v>
      </x:c>
      <x:c r="K3150" s="0">
        <x:f>hyperlink("https://icd.who.int/dev11/l-ichi/en#/http%3A%2F%2Fid.who.int%2Ficd%2Fentity%2F2018571554","browser")</x:f>
      </x:c>
      <x:c r="L3150" s="0">
        <x:f>hyperlink("https://icat2.azurewebsites.net/icat/?ontology=ICD&amp;tab=ClassesTab&amp;id=http%3A%2F%2Fwho.int%2Ficd%2314161_512ebf36_bf6b_4d70_85da_cf2637062af4","iCat")</x:f>
      </x:c>
      <x:c r="M3150" s="0" t="s">
        <x:v>21</x:v>
      </x:c>
      <x:c r="N3150" s="0" t="s">
        <x:v>46</x:v>
      </x:c>
    </x:row>
    <x:row r="3151" spans="1:16">
      <x:c r="A3151" s="0" t="s">
        <x:v>12446</x:v>
      </x:c>
      <x:c r="B3151" s="0" t="s">
        <x:v>12447</x:v>
      </x:c>
      <x:c r="C3151" s="0" t="s">
        <x:v>12448</x:v>
      </x:c>
      <x:c r="E3151" s="0" t="s">
        <x:v>12449</x:v>
      </x:c>
      <x:c r="F3151" s="0" t="s">
        <x:v>45</x:v>
      </x:c>
      <x:c r="G3151" s="0" t="s">
        <x:v>19</x:v>
      </x:c>
      <x:c r="H3151" s="0" t="s">
        <x:v>20</x:v>
      </x:c>
      <x:c r="I3151" s="0" t="s">
        <x:v>21</x:v>
      </x:c>
      <x:c r="K3151" s="0">
        <x:f>hyperlink("https://icd.who.int/dev11/l-ichi/en#/http%3A%2F%2Fid.who.int%2Ficd%2Fentity%2F371783241","browser")</x:f>
      </x:c>
      <x:c r="L3151" s="0">
        <x:f>hyperlink("https://icat2.azurewebsites.net/icat/?ontology=ICD&amp;tab=ClassesTab&amp;id=http%3A%2F%2Fwho.int%2Ficd%2314168_512ebf36_bf6b_4d70_85da_cf2637062af4","iCat")</x:f>
      </x:c>
      <x:c r="M3151" s="0" t="s">
        <x:v>21</x:v>
      </x:c>
      <x:c r="N3151" s="0" t="s">
        <x:v>46</x:v>
      </x:c>
    </x:row>
    <x:row r="3152" spans="1:16">
      <x:c r="A3152" s="0" t="s">
        <x:v>12450</x:v>
      </x:c>
      <x:c r="B3152" s="0" t="s">
        <x:v>12451</x:v>
      </x:c>
      <x:c r="C3152" s="0" t="s">
        <x:v>12452</x:v>
      </x:c>
      <x:c r="E3152" s="0" t="s">
        <x:v>12453</x:v>
      </x:c>
      <x:c r="F3152" s="0" t="s">
        <x:v>45</x:v>
      </x:c>
      <x:c r="G3152" s="0" t="s">
        <x:v>19</x:v>
      </x:c>
      <x:c r="H3152" s="0" t="s">
        <x:v>20</x:v>
      </x:c>
      <x:c r="I3152" s="0" t="s">
        <x:v>21</x:v>
      </x:c>
      <x:c r="K3152" s="0">
        <x:f>hyperlink("https://icd.who.int/dev11/l-ichi/en#/http%3A%2F%2Fid.who.int%2Ficd%2Fentity%2F663921667","browser")</x:f>
      </x:c>
      <x:c r="L3152" s="0">
        <x:f>hyperlink("https://icat2.azurewebsites.net/icat/?ontology=ICD&amp;tab=ClassesTab&amp;id=http%3A%2F%2Fwho.int%2Ficd%2314175_512ebf36_bf6b_4d70_85da_cf2637062af4","iCat")</x:f>
      </x:c>
      <x:c r="M3152" s="0" t="s">
        <x:v>21</x:v>
      </x:c>
      <x:c r="N3152" s="0" t="s">
        <x:v>46</x:v>
      </x:c>
    </x:row>
    <x:row r="3153" spans="1:16">
      <x:c r="A3153" s="0" t="s">
        <x:v>12454</x:v>
      </x:c>
      <x:c r="B3153" s="0" t="s">
        <x:v>12455</x:v>
      </x:c>
      <x:c r="C3153" s="0" t="s">
        <x:v>12456</x:v>
      </x:c>
      <x:c r="E3153" s="0" t="s">
        <x:v>12457</x:v>
      </x:c>
      <x:c r="F3153" s="0" t="s">
        <x:v>45</x:v>
      </x:c>
      <x:c r="G3153" s="0" t="s">
        <x:v>19</x:v>
      </x:c>
      <x:c r="H3153" s="0" t="s">
        <x:v>20</x:v>
      </x:c>
      <x:c r="I3153" s="0" t="s">
        <x:v>21</x:v>
      </x:c>
      <x:c r="K3153" s="0">
        <x:f>hyperlink("https://icd.who.int/dev11/l-ichi/en#/http%3A%2F%2Fid.who.int%2Ficd%2Fentity%2F2029471056","browser")</x:f>
      </x:c>
      <x:c r="L3153" s="0">
        <x:f>hyperlink("https://icat2.azurewebsites.net/icat/?ontology=ICD&amp;tab=ClassesTab&amp;id=http%3A%2F%2Fwho.int%2Ficd%2314182_512ebf36_bf6b_4d70_85da_cf2637062af4","iCat")</x:f>
      </x:c>
      <x:c r="M3153" s="0" t="s">
        <x:v>21</x:v>
      </x:c>
      <x:c r="N3153" s="0" t="s">
        <x:v>46</x:v>
      </x:c>
    </x:row>
    <x:row r="3154" spans="1:16">
      <x:c r="A3154" s="0" t="s">
        <x:v>12458</x:v>
      </x:c>
      <x:c r="B3154" s="0" t="s">
        <x:v>12459</x:v>
      </x:c>
      <x:c r="C3154" s="0" t="s">
        <x:v>12460</x:v>
      </x:c>
      <x:c r="E3154" s="0" t="s">
        <x:v>12461</x:v>
      </x:c>
      <x:c r="F3154" s="0" t="s">
        <x:v>45</x:v>
      </x:c>
      <x:c r="G3154" s="0" t="s">
        <x:v>19</x:v>
      </x:c>
      <x:c r="H3154" s="0" t="s">
        <x:v>20</x:v>
      </x:c>
      <x:c r="I3154" s="0" t="s">
        <x:v>21</x:v>
      </x:c>
      <x:c r="K3154" s="0">
        <x:f>hyperlink("https://icd.who.int/dev11/l-ichi/en#/http%3A%2F%2Fid.who.int%2Ficd%2Fentity%2F1945328638","browser")</x:f>
      </x:c>
      <x:c r="L3154" s="0">
        <x:f>hyperlink("https://icat2.azurewebsites.net/icat/?ontology=ICD&amp;tab=ClassesTab&amp;id=http%3A%2F%2Fwho.int%2Ficd%2314189_512ebf36_bf6b_4d70_85da_cf2637062af4","iCat")</x:f>
      </x:c>
      <x:c r="M3154" s="0" t="s">
        <x:v>21</x:v>
      </x:c>
      <x:c r="N3154" s="0" t="s">
        <x:v>46</x:v>
      </x:c>
    </x:row>
    <x:row r="3155" spans="1:16">
      <x:c r="A3155" s="0" t="s">
        <x:v>12462</x:v>
      </x:c>
      <x:c r="B3155" s="0" t="s">
        <x:v>12463</x:v>
      </x:c>
      <x:c r="C3155" s="0" t="s">
        <x:v>12464</x:v>
      </x:c>
      <x:c r="E3155" s="0" t="s">
        <x:v>12465</x:v>
      </x:c>
      <x:c r="F3155" s="0" t="s">
        <x:v>45</x:v>
      </x:c>
      <x:c r="G3155" s="0" t="s">
        <x:v>19</x:v>
      </x:c>
      <x:c r="H3155" s="0" t="s">
        <x:v>20</x:v>
      </x:c>
      <x:c r="I3155" s="0" t="s">
        <x:v>21</x:v>
      </x:c>
      <x:c r="K3155" s="0">
        <x:f>hyperlink("https://icd.who.int/dev11/l-ichi/en#/http%3A%2F%2Fid.who.int%2Ficd%2Fentity%2F657790067","browser")</x:f>
      </x:c>
      <x:c r="L3155" s="0">
        <x:f>hyperlink("https://icat2.azurewebsites.net/icat/?ontology=ICD&amp;tab=ClassesTab&amp;id=http%3A%2F%2Fwho.int%2Ficd%2314196_512ebf36_bf6b_4d70_85da_cf2637062af4","iCat")</x:f>
      </x:c>
      <x:c r="M3155" s="0" t="s">
        <x:v>21</x:v>
      </x:c>
      <x:c r="N3155" s="0" t="s">
        <x:v>46</x:v>
      </x:c>
    </x:row>
    <x:row r="3156" spans="1:16">
      <x:c r="A3156" s="0" t="s">
        <x:v>12466</x:v>
      </x:c>
      <x:c r="B3156" s="0" t="s">
        <x:v>12467</x:v>
      </x:c>
      <x:c r="C3156" s="0" t="s">
        <x:v>12468</x:v>
      </x:c>
      <x:c r="E3156" s="0" t="s">
        <x:v>12469</x:v>
      </x:c>
      <x:c r="F3156" s="0" t="s">
        <x:v>45</x:v>
      </x:c>
      <x:c r="G3156" s="0" t="s">
        <x:v>19</x:v>
      </x:c>
      <x:c r="H3156" s="0" t="s">
        <x:v>20</x:v>
      </x:c>
      <x:c r="I3156" s="0" t="s">
        <x:v>21</x:v>
      </x:c>
      <x:c r="K3156" s="0">
        <x:f>hyperlink("https://icd.who.int/dev11/l-ichi/en#/http%3A%2F%2Fid.who.int%2Ficd%2Fentity%2F643881713","browser")</x:f>
      </x:c>
      <x:c r="L3156" s="0">
        <x:f>hyperlink("https://icat2.azurewebsites.net/icat/?ontology=ICD&amp;tab=ClassesTab&amp;id=http%3A%2F%2Fwho.int%2Ficd%2314203_512ebf36_bf6b_4d70_85da_cf2637062af4","iCat")</x:f>
      </x:c>
      <x:c r="M3156" s="0" t="s">
        <x:v>21</x:v>
      </x:c>
      <x:c r="N3156" s="0" t="s">
        <x:v>46</x:v>
      </x:c>
    </x:row>
    <x:row r="3157" spans="1:16">
      <x:c r="A3157" s="0" t="s">
        <x:v>12470</x:v>
      </x:c>
      <x:c r="B3157" s="0" t="s">
        <x:v>12471</x:v>
      </x:c>
      <x:c r="C3157" s="0" t="s">
        <x:v>12472</x:v>
      </x:c>
      <x:c r="E3157" s="0" t="s">
        <x:v>12473</x:v>
      </x:c>
      <x:c r="F3157" s="0" t="s">
        <x:v>45</x:v>
      </x:c>
      <x:c r="G3157" s="0" t="s">
        <x:v>19</x:v>
      </x:c>
      <x:c r="H3157" s="0" t="s">
        <x:v>20</x:v>
      </x:c>
      <x:c r="I3157" s="0" t="s">
        <x:v>21</x:v>
      </x:c>
      <x:c r="K3157" s="0">
        <x:f>hyperlink("https://icd.who.int/dev11/l-ichi/en#/http%3A%2F%2Fid.who.int%2Ficd%2Fentity%2F153100383","browser")</x:f>
      </x:c>
      <x:c r="L3157" s="0">
        <x:f>hyperlink("https://icat2.azurewebsites.net/icat/?ontology=ICD&amp;tab=ClassesTab&amp;id=http%3A%2F%2Fwho.int%2Ficd%2314210_512ebf36_bf6b_4d70_85da_cf2637062af4","iCat")</x:f>
      </x:c>
      <x:c r="M3157" s="0" t="s">
        <x:v>21</x:v>
      </x:c>
      <x:c r="N3157" s="0" t="s">
        <x:v>46</x:v>
      </x:c>
    </x:row>
    <x:row r="3158" spans="1:16">
      <x:c r="A3158" s="0" t="s">
        <x:v>12474</x:v>
      </x:c>
      <x:c r="B3158" s="0" t="s">
        <x:v>12475</x:v>
      </x:c>
      <x:c r="C3158" s="0" t="s">
        <x:v>12476</x:v>
      </x:c>
      <x:c r="E3158" s="0" t="s">
        <x:v>12477</x:v>
      </x:c>
      <x:c r="F3158" s="0" t="s">
        <x:v>45</x:v>
      </x:c>
      <x:c r="G3158" s="0" t="s">
        <x:v>19</x:v>
      </x:c>
      <x:c r="H3158" s="0" t="s">
        <x:v>20</x:v>
      </x:c>
      <x:c r="I3158" s="0" t="s">
        <x:v>21</x:v>
      </x:c>
      <x:c r="K3158" s="0">
        <x:f>hyperlink("https://icd.who.int/dev11/l-ichi/en#/http%3A%2F%2Fid.who.int%2Ficd%2Fentity%2F2040695762","browser")</x:f>
      </x:c>
      <x:c r="L3158" s="0">
        <x:f>hyperlink("https://icat2.azurewebsites.net/icat/?ontology=ICD&amp;tab=ClassesTab&amp;id=http%3A%2F%2Fwho.int%2Ficd%2314217_512ebf36_bf6b_4d70_85da_cf2637062af4","iCat")</x:f>
      </x:c>
      <x:c r="M3158" s="0" t="s">
        <x:v>21</x:v>
      </x:c>
      <x:c r="N3158" s="0" t="s">
        <x:v>46</x:v>
      </x:c>
    </x:row>
    <x:row r="3159" spans="1:16">
      <x:c r="A3159" s="0" t="s">
        <x:v>12478</x:v>
      </x:c>
      <x:c r="B3159" s="0" t="s">
        <x:v>12479</x:v>
      </x:c>
      <x:c r="C3159" s="0" t="s">
        <x:v>12480</x:v>
      </x:c>
      <x:c r="E3159" s="0" t="s">
        <x:v>12481</x:v>
      </x:c>
      <x:c r="F3159" s="0" t="s">
        <x:v>45</x:v>
      </x:c>
      <x:c r="G3159" s="0" t="s">
        <x:v>19</x:v>
      </x:c>
      <x:c r="H3159" s="0" t="s">
        <x:v>20</x:v>
      </x:c>
      <x:c r="I3159" s="0" t="s">
        <x:v>21</x:v>
      </x:c>
      <x:c r="K3159" s="0">
        <x:f>hyperlink("https://icd.who.int/dev11/l-ichi/en#/http%3A%2F%2Fid.who.int%2Ficd%2Fentity%2F2090247212","browser")</x:f>
      </x:c>
      <x:c r="L3159" s="0">
        <x:f>hyperlink("https://icat2.azurewebsites.net/icat/?ontology=ICD&amp;tab=ClassesTab&amp;id=http%3A%2F%2Fwho.int%2Ficd%2314224_512ebf36_bf6b_4d70_85da_cf2637062af4","iCat")</x:f>
      </x:c>
      <x:c r="M3159" s="0" t="s">
        <x:v>21</x:v>
      </x:c>
      <x:c r="N3159" s="0" t="s">
        <x:v>46</x:v>
      </x:c>
    </x:row>
    <x:row r="3160" spans="1:16">
      <x:c r="A3160" s="0" t="s">
        <x:v>12482</x:v>
      </x:c>
      <x:c r="B3160" s="0" t="s">
        <x:v>12483</x:v>
      </x:c>
      <x:c r="C3160" s="0" t="s">
        <x:v>12484</x:v>
      </x:c>
      <x:c r="E3160" s="0" t="s">
        <x:v>12485</x:v>
      </x:c>
      <x:c r="F3160" s="0" t="s">
        <x:v>45</x:v>
      </x:c>
      <x:c r="G3160" s="0" t="s">
        <x:v>19</x:v>
      </x:c>
      <x:c r="H3160" s="0" t="s">
        <x:v>20</x:v>
      </x:c>
      <x:c r="I3160" s="0" t="s">
        <x:v>21</x:v>
      </x:c>
      <x:c r="K3160" s="0">
        <x:f>hyperlink("https://icd.who.int/dev11/l-ichi/en#/http%3A%2F%2Fid.who.int%2Ficd%2Fentity%2F61703987","browser")</x:f>
      </x:c>
      <x:c r="L3160" s="0">
        <x:f>hyperlink("https://icat2.azurewebsites.net/icat/?ontology=ICD&amp;tab=ClassesTab&amp;id=http%3A%2F%2Fwho.int%2Ficd%2314231_512ebf36_bf6b_4d70_85da_cf2637062af4","iCat")</x:f>
      </x:c>
      <x:c r="M3160" s="0" t="s">
        <x:v>21</x:v>
      </x:c>
      <x:c r="N3160" s="0" t="s">
        <x:v>46</x:v>
      </x:c>
    </x:row>
    <x:row r="3161" spans="1:16">
      <x:c r="A3161" s="0" t="s">
        <x:v>12486</x:v>
      </x:c>
      <x:c r="B3161" s="0" t="s">
        <x:v>12487</x:v>
      </x:c>
      <x:c r="C3161" s="0" t="s">
        <x:v>12488</x:v>
      </x:c>
      <x:c r="E3161" s="0" t="s">
        <x:v>12489</x:v>
      </x:c>
      <x:c r="F3161" s="0" t="s">
        <x:v>45</x:v>
      </x:c>
      <x:c r="G3161" s="0" t="s">
        <x:v>19</x:v>
      </x:c>
      <x:c r="H3161" s="0" t="s">
        <x:v>20</x:v>
      </x:c>
      <x:c r="I3161" s="0" t="s">
        <x:v>21</x:v>
      </x:c>
      <x:c r="K3161" s="0">
        <x:f>hyperlink("https://icd.who.int/dev11/l-ichi/en#/http%3A%2F%2Fid.who.int%2Ficd%2Fentity%2F1842709596","browser")</x:f>
      </x:c>
      <x:c r="L3161" s="0">
        <x:f>hyperlink("https://icat2.azurewebsites.net/icat/?ontology=ICD&amp;tab=ClassesTab&amp;id=http%3A%2F%2Fwho.int%2Ficd%2314238_512ebf36_bf6b_4d70_85da_cf2637062af4","iCat")</x:f>
      </x:c>
      <x:c r="M3161" s="0" t="s">
        <x:v>21</x:v>
      </x:c>
      <x:c r="N3161" s="0" t="s">
        <x:v>46</x:v>
      </x:c>
    </x:row>
    <x:row r="3162" spans="1:16">
      <x:c r="A3162" s="0" t="s">
        <x:v>12490</x:v>
      </x:c>
      <x:c r="B3162" s="0" t="s">
        <x:v>12491</x:v>
      </x:c>
      <x:c r="C3162" s="0" t="s">
        <x:v>12492</x:v>
      </x:c>
      <x:c r="E3162" s="0" t="s">
        <x:v>12493</x:v>
      </x:c>
      <x:c r="F3162" s="0" t="s">
        <x:v>45</x:v>
      </x:c>
      <x:c r="G3162" s="0" t="s">
        <x:v>19</x:v>
      </x:c>
      <x:c r="H3162" s="0" t="s">
        <x:v>20</x:v>
      </x:c>
      <x:c r="I3162" s="0" t="s">
        <x:v>21</x:v>
      </x:c>
      <x:c r="K3162" s="0">
        <x:f>hyperlink("https://icd.who.int/dev11/l-ichi/en#/http%3A%2F%2Fid.who.int%2Ficd%2Fentity%2F108810333","browser")</x:f>
      </x:c>
      <x:c r="L3162" s="0">
        <x:f>hyperlink("https://icat2.azurewebsites.net/icat/?ontology=ICD&amp;tab=ClassesTab&amp;id=http%3A%2F%2Fwho.int%2Ficd%2314245_512ebf36_bf6b_4d70_85da_cf2637062af4","iCat")</x:f>
      </x:c>
      <x:c r="M3162" s="0" t="s">
        <x:v>21</x:v>
      </x:c>
      <x:c r="N3162" s="0" t="s">
        <x:v>46</x:v>
      </x:c>
    </x:row>
    <x:row r="3163" spans="1:16">
      <x:c r="A3163" s="0" t="s">
        <x:v>12494</x:v>
      </x:c>
      <x:c r="B3163" s="0" t="s">
        <x:v>12495</x:v>
      </x:c>
      <x:c r="C3163" s="0" t="s">
        <x:v>12496</x:v>
      </x:c>
      <x:c r="E3163" s="0" t="s">
        <x:v>12497</x:v>
      </x:c>
      <x:c r="F3163" s="0" t="s">
        <x:v>45</x:v>
      </x:c>
      <x:c r="G3163" s="0" t="s">
        <x:v>19</x:v>
      </x:c>
      <x:c r="H3163" s="0" t="s">
        <x:v>20</x:v>
      </x:c>
      <x:c r="I3163" s="0" t="s">
        <x:v>21</x:v>
      </x:c>
      <x:c r="K3163" s="0">
        <x:f>hyperlink("https://icd.who.int/dev11/l-ichi/en#/http%3A%2F%2Fid.who.int%2Ficd%2Fentity%2F1019354299","browser")</x:f>
      </x:c>
      <x:c r="L3163" s="0">
        <x:f>hyperlink("https://icat2.azurewebsites.net/icat/?ontology=ICD&amp;tab=ClassesTab&amp;id=http%3A%2F%2Fwho.int%2Ficd%2314253_512ebf36_bf6b_4d70_85da_cf2637062af4","iCat")</x:f>
      </x:c>
      <x:c r="M3163" s="0" t="s">
        <x:v>21</x:v>
      </x:c>
      <x:c r="N3163" s="0" t="s">
        <x:v>46</x:v>
      </x:c>
    </x:row>
    <x:row r="3164" spans="1:16">
      <x:c r="A3164" s="0" t="s">
        <x:v>12498</x:v>
      </x:c>
      <x:c r="B3164" s="0" t="s">
        <x:v>12499</x:v>
      </x:c>
      <x:c r="C3164" s="0" t="s">
        <x:v>12500</x:v>
      </x:c>
      <x:c r="E3164" s="0" t="s">
        <x:v>12501</x:v>
      </x:c>
      <x:c r="F3164" s="0" t="s">
        <x:v>45</x:v>
      </x:c>
      <x:c r="G3164" s="0" t="s">
        <x:v>19</x:v>
      </x:c>
      <x:c r="H3164" s="0" t="s">
        <x:v>20</x:v>
      </x:c>
      <x:c r="I3164" s="0" t="s">
        <x:v>21</x:v>
      </x:c>
      <x:c r="K3164" s="0">
        <x:f>hyperlink("https://icd.who.int/dev11/l-ichi/en#/http%3A%2F%2Fid.who.int%2Ficd%2Fentity%2F972436293","browser")</x:f>
      </x:c>
      <x:c r="L3164" s="0">
        <x:f>hyperlink("https://icat2.azurewebsites.net/icat/?ontology=ICD&amp;tab=ClassesTab&amp;id=http%3A%2F%2Fwho.int%2Ficd%2314260_512ebf36_bf6b_4d70_85da_cf2637062af4","iCat")</x:f>
      </x:c>
      <x:c r="M3164" s="0" t="s">
        <x:v>21</x:v>
      </x:c>
      <x:c r="N3164" s="0" t="s">
        <x:v>46</x:v>
      </x:c>
    </x:row>
    <x:row r="3165" spans="1:16">
      <x:c r="A3165" s="0" t="s">
        <x:v>12502</x:v>
      </x:c>
      <x:c r="B3165" s="0" t="s">
        <x:v>12503</x:v>
      </x:c>
      <x:c r="C3165" s="0" t="s">
        <x:v>12504</x:v>
      </x:c>
      <x:c r="E3165" s="0" t="s">
        <x:v>12505</x:v>
      </x:c>
      <x:c r="F3165" s="0" t="s">
        <x:v>45</x:v>
      </x:c>
      <x:c r="G3165" s="0" t="s">
        <x:v>19</x:v>
      </x:c>
      <x:c r="H3165" s="0" t="s">
        <x:v>20</x:v>
      </x:c>
      <x:c r="I3165" s="0" t="s">
        <x:v>21</x:v>
      </x:c>
      <x:c r="K3165" s="0">
        <x:f>hyperlink("https://icd.who.int/dev11/l-ichi/en#/http%3A%2F%2Fid.who.int%2Ficd%2Fentity%2F1232378058","browser")</x:f>
      </x:c>
      <x:c r="L3165" s="0">
        <x:f>hyperlink("https://icat2.azurewebsites.net/icat/?ontology=ICD&amp;tab=ClassesTab&amp;id=http%3A%2F%2Fwho.int%2Ficd%2314267_512ebf36_bf6b_4d70_85da_cf2637062af4","iCat")</x:f>
      </x:c>
      <x:c r="M3165" s="0" t="s">
        <x:v>21</x:v>
      </x:c>
      <x:c r="N3165" s="0" t="s">
        <x:v>46</x:v>
      </x:c>
    </x:row>
    <x:row r="3166" spans="1:16">
      <x:c r="A3166" s="0" t="s">
        <x:v>12506</x:v>
      </x:c>
      <x:c r="B3166" s="0" t="s">
        <x:v>12507</x:v>
      </x:c>
      <x:c r="C3166" s="0" t="s">
        <x:v>12508</x:v>
      </x:c>
      <x:c r="E3166" s="0" t="s">
        <x:v>12509</x:v>
      </x:c>
      <x:c r="F3166" s="0" t="s">
        <x:v>45</x:v>
      </x:c>
      <x:c r="G3166" s="0" t="s">
        <x:v>19</x:v>
      </x:c>
      <x:c r="H3166" s="0" t="s">
        <x:v>20</x:v>
      </x:c>
      <x:c r="I3166" s="0" t="s">
        <x:v>21</x:v>
      </x:c>
      <x:c r="K3166" s="0">
        <x:f>hyperlink("https://icd.who.int/dev11/l-ichi/en#/http%3A%2F%2Fid.who.int%2Ficd%2Fentity%2F1714709094","browser")</x:f>
      </x:c>
      <x:c r="L3166" s="0">
        <x:f>hyperlink("https://icat2.azurewebsites.net/icat/?ontology=ICD&amp;tab=ClassesTab&amp;id=http%3A%2F%2Fwho.int%2Ficd%2314274_512ebf36_bf6b_4d70_85da_cf2637062af4","iCat")</x:f>
      </x:c>
      <x:c r="M3166" s="0" t="s">
        <x:v>21</x:v>
      </x:c>
      <x:c r="N3166" s="0" t="s">
        <x:v>46</x:v>
      </x:c>
    </x:row>
    <x:row r="3167" spans="1:16">
      <x:c r="A3167" s="0" t="s">
        <x:v>12510</x:v>
      </x:c>
      <x:c r="B3167" s="0" t="s">
        <x:v>12511</x:v>
      </x:c>
      <x:c r="C3167" s="0" t="s">
        <x:v>12512</x:v>
      </x:c>
      <x:c r="E3167" s="0" t="s">
        <x:v>12513</x:v>
      </x:c>
      <x:c r="F3167" s="0" t="s">
        <x:v>45</x:v>
      </x:c>
      <x:c r="G3167" s="0" t="s">
        <x:v>19</x:v>
      </x:c>
      <x:c r="H3167" s="0" t="s">
        <x:v>20</x:v>
      </x:c>
      <x:c r="I3167" s="0" t="s">
        <x:v>21</x:v>
      </x:c>
      <x:c r="K3167" s="0">
        <x:f>hyperlink("https://icd.who.int/dev11/l-ichi/en#/http%3A%2F%2Fid.who.int%2Ficd%2Fentity%2F1546493680","browser")</x:f>
      </x:c>
      <x:c r="L3167" s="0">
        <x:f>hyperlink("https://icat2.azurewebsites.net/icat/?ontology=ICD&amp;tab=ClassesTab&amp;id=http%3A%2F%2Fwho.int%2Ficd%2314281_512ebf36_bf6b_4d70_85da_cf2637062af4","iCat")</x:f>
      </x:c>
      <x:c r="M3167" s="0" t="s">
        <x:v>21</x:v>
      </x:c>
      <x:c r="N3167" s="0" t="s">
        <x:v>46</x:v>
      </x:c>
    </x:row>
    <x:row r="3168" spans="1:16">
      <x:c r="A3168" s="0" t="s">
        <x:v>12514</x:v>
      </x:c>
      <x:c r="B3168" s="0" t="s">
        <x:v>12515</x:v>
      </x:c>
      <x:c r="C3168" s="0" t="s">
        <x:v>12516</x:v>
      </x:c>
      <x:c r="E3168" s="0" t="s">
        <x:v>12517</x:v>
      </x:c>
      <x:c r="F3168" s="0" t="s">
        <x:v>45</x:v>
      </x:c>
      <x:c r="G3168" s="0" t="s">
        <x:v>19</x:v>
      </x:c>
      <x:c r="H3168" s="0" t="s">
        <x:v>20</x:v>
      </x:c>
      <x:c r="I3168" s="0" t="s">
        <x:v>21</x:v>
      </x:c>
      <x:c r="K3168" s="0">
        <x:f>hyperlink("https://icd.who.int/dev11/l-ichi/en#/http%3A%2F%2Fid.who.int%2Ficd%2Fentity%2F844471705","browser")</x:f>
      </x:c>
      <x:c r="L3168" s="0">
        <x:f>hyperlink("https://icat2.azurewebsites.net/icat/?ontology=ICD&amp;tab=ClassesTab&amp;id=http%3A%2F%2Fwho.int%2Ficd%2314288_512ebf36_bf6b_4d70_85da_cf2637062af4","iCat")</x:f>
      </x:c>
      <x:c r="M3168" s="0" t="s">
        <x:v>21</x:v>
      </x:c>
      <x:c r="N3168" s="0" t="s">
        <x:v>46</x:v>
      </x:c>
    </x:row>
    <x:row r="3169" spans="1:16">
      <x:c r="A3169" s="0" t="s">
        <x:v>12518</x:v>
      </x:c>
      <x:c r="B3169" s="0" t="s">
        <x:v>12519</x:v>
      </x:c>
      <x:c r="C3169" s="0" t="s">
        <x:v>12520</x:v>
      </x:c>
      <x:c r="E3169" s="0" t="s">
        <x:v>12521</x:v>
      </x:c>
      <x:c r="F3169" s="0" t="s">
        <x:v>45</x:v>
      </x:c>
      <x:c r="G3169" s="0" t="s">
        <x:v>19</x:v>
      </x:c>
      <x:c r="H3169" s="0" t="s">
        <x:v>20</x:v>
      </x:c>
      <x:c r="I3169" s="0" t="s">
        <x:v>21</x:v>
      </x:c>
      <x:c r="K3169" s="0">
        <x:f>hyperlink("https://icd.who.int/dev11/l-ichi/en#/http%3A%2F%2Fid.who.int%2Ficd%2Fentity%2F66047955","browser")</x:f>
      </x:c>
      <x:c r="L3169" s="0">
        <x:f>hyperlink("https://icat2.azurewebsites.net/icat/?ontology=ICD&amp;tab=ClassesTab&amp;id=http%3A%2F%2Fwho.int%2Ficd%2314295_512ebf36_bf6b_4d70_85da_cf2637062af4","iCat")</x:f>
      </x:c>
      <x:c r="M3169" s="0" t="s">
        <x:v>21</x:v>
      </x:c>
      <x:c r="N3169" s="0" t="s">
        <x:v>46</x:v>
      </x:c>
    </x:row>
    <x:row r="3170" spans="1:16">
      <x:c r="A3170" s="0" t="s">
        <x:v>12522</x:v>
      </x:c>
      <x:c r="B3170" s="0" t="s">
        <x:v>12523</x:v>
      </x:c>
      <x:c r="C3170" s="0" t="s">
        <x:v>12524</x:v>
      </x:c>
      <x:c r="E3170" s="0" t="s">
        <x:v>12525</x:v>
      </x:c>
      <x:c r="F3170" s="0" t="s">
        <x:v>45</x:v>
      </x:c>
      <x:c r="G3170" s="0" t="s">
        <x:v>19</x:v>
      </x:c>
      <x:c r="H3170" s="0" t="s">
        <x:v>20</x:v>
      </x:c>
      <x:c r="I3170" s="0" t="s">
        <x:v>21</x:v>
      </x:c>
      <x:c r="K3170" s="0">
        <x:f>hyperlink("https://icd.who.int/dev11/l-ichi/en#/http%3A%2F%2Fid.who.int%2Ficd%2Fentity%2F1492845248","browser")</x:f>
      </x:c>
      <x:c r="L3170" s="0">
        <x:f>hyperlink("https://icat2.azurewebsites.net/icat/?ontology=ICD&amp;tab=ClassesTab&amp;id=http%3A%2F%2Fwho.int%2Ficd%2314308_512ebf36_bf6b_4d70_85da_cf2637062af4","iCat")</x:f>
      </x:c>
      <x:c r="M3170" s="0" t="s">
        <x:v>21</x:v>
      </x:c>
      <x:c r="N3170" s="0" t="s">
        <x:v>46</x:v>
      </x:c>
    </x:row>
    <x:row r="3171" spans="1:16">
      <x:c r="A3171" s="0" t="s">
        <x:v>12526</x:v>
      </x:c>
      <x:c r="B3171" s="0" t="s">
        <x:v>12527</x:v>
      </x:c>
      <x:c r="C3171" s="0" t="s">
        <x:v>12528</x:v>
      </x:c>
      <x:c r="E3171" s="0" t="s">
        <x:v>12529</x:v>
      </x:c>
      <x:c r="F3171" s="0" t="s">
        <x:v>45</x:v>
      </x:c>
      <x:c r="G3171" s="0" t="s">
        <x:v>19</x:v>
      </x:c>
      <x:c r="H3171" s="0" t="s">
        <x:v>20</x:v>
      </x:c>
      <x:c r="I3171" s="0" t="s">
        <x:v>21</x:v>
      </x:c>
      <x:c r="K3171" s="0">
        <x:f>hyperlink("https://icd.who.int/dev11/l-ichi/en#/http%3A%2F%2Fid.who.int%2Ficd%2Fentity%2F1765888138","browser")</x:f>
      </x:c>
      <x:c r="L3171" s="0">
        <x:f>hyperlink("https://icat2.azurewebsites.net/icat/?ontology=ICD&amp;tab=ClassesTab&amp;id=http%3A%2F%2Fwho.int%2Ficd%2314315_512ebf36_bf6b_4d70_85da_cf2637062af4","iCat")</x:f>
      </x:c>
      <x:c r="M3171" s="0" t="s">
        <x:v>21</x:v>
      </x:c>
      <x:c r="N3171" s="0" t="s">
        <x:v>46</x:v>
      </x:c>
    </x:row>
    <x:row r="3172" spans="1:16">
      <x:c r="A3172" s="0" t="s">
        <x:v>12530</x:v>
      </x:c>
      <x:c r="B3172" s="0" t="s">
        <x:v>12531</x:v>
      </x:c>
      <x:c r="C3172" s="0" t="s">
        <x:v>12532</x:v>
      </x:c>
      <x:c r="E3172" s="0" t="s">
        <x:v>12533</x:v>
      </x:c>
      <x:c r="F3172" s="0" t="s">
        <x:v>45</x:v>
      </x:c>
      <x:c r="G3172" s="0" t="s">
        <x:v>19</x:v>
      </x:c>
      <x:c r="H3172" s="0" t="s">
        <x:v>20</x:v>
      </x:c>
      <x:c r="I3172" s="0" t="s">
        <x:v>21</x:v>
      </x:c>
      <x:c r="K3172" s="0">
        <x:f>hyperlink("https://icd.who.int/dev11/l-ichi/en#/http%3A%2F%2Fid.who.int%2Ficd%2Fentity%2F1500691202","browser")</x:f>
      </x:c>
      <x:c r="L3172" s="0">
        <x:f>hyperlink("https://icat2.azurewebsites.net/icat/?ontology=ICD&amp;tab=ClassesTab&amp;id=http%3A%2F%2Fwho.int%2Ficd%2314322_512ebf36_bf6b_4d70_85da_cf2637062af4","iCat")</x:f>
      </x:c>
      <x:c r="M3172" s="0" t="s">
        <x:v>21</x:v>
      </x:c>
      <x:c r="N3172" s="0" t="s">
        <x:v>46</x:v>
      </x:c>
    </x:row>
    <x:row r="3173" spans="1:16">
      <x:c r="A3173" s="0" t="s">
        <x:v>12534</x:v>
      </x:c>
      <x:c r="B3173" s="0" t="s">
        <x:v>12535</x:v>
      </x:c>
      <x:c r="C3173" s="0" t="s">
        <x:v>12536</x:v>
      </x:c>
      <x:c r="E3173" s="0" t="s">
        <x:v>12537</x:v>
      </x:c>
      <x:c r="F3173" s="0" t="s">
        <x:v>45</x:v>
      </x:c>
      <x:c r="G3173" s="0" t="s">
        <x:v>19</x:v>
      </x:c>
      <x:c r="H3173" s="0" t="s">
        <x:v>20</x:v>
      </x:c>
      <x:c r="I3173" s="0" t="s">
        <x:v>21</x:v>
      </x:c>
      <x:c r="K3173" s="0">
        <x:f>hyperlink("https://icd.who.int/dev11/l-ichi/en#/http%3A%2F%2Fid.who.int%2Ficd%2Fentity%2F1383507372","browser")</x:f>
      </x:c>
      <x:c r="L3173" s="0">
        <x:f>hyperlink("https://icat2.azurewebsites.net/icat/?ontology=ICD&amp;tab=ClassesTab&amp;id=http%3A%2F%2Fwho.int%2Ficd%2314329_512ebf36_bf6b_4d70_85da_cf2637062af4","iCat")</x:f>
      </x:c>
      <x:c r="M3173" s="0" t="s">
        <x:v>21</x:v>
      </x:c>
      <x:c r="N3173" s="0" t="s">
        <x:v>46</x:v>
      </x:c>
    </x:row>
    <x:row r="3174" spans="1:16">
      <x:c r="A3174" s="0" t="s">
        <x:v>12538</x:v>
      </x:c>
      <x:c r="B3174" s="0" t="s">
        <x:v>12539</x:v>
      </x:c>
      <x:c r="C3174" s="0" t="s">
        <x:v>12540</x:v>
      </x:c>
      <x:c r="E3174" s="0" t="s">
        <x:v>12541</x:v>
      </x:c>
      <x:c r="F3174" s="0" t="s">
        <x:v>45</x:v>
      </x:c>
      <x:c r="G3174" s="0" t="s">
        <x:v>19</x:v>
      </x:c>
      <x:c r="H3174" s="0" t="s">
        <x:v>20</x:v>
      </x:c>
      <x:c r="I3174" s="0" t="s">
        <x:v>21</x:v>
      </x:c>
      <x:c r="K3174" s="0">
        <x:f>hyperlink("https://icd.who.int/dev11/l-ichi/en#/http%3A%2F%2Fid.who.int%2Ficd%2Fentity%2F112257571","browser")</x:f>
      </x:c>
      <x:c r="L3174" s="0">
        <x:f>hyperlink("https://icat2.azurewebsites.net/icat/?ontology=ICD&amp;tab=ClassesTab&amp;id=http%3A%2F%2Fwho.int%2Ficd%2314336_512ebf36_bf6b_4d70_85da_cf2637062af4","iCat")</x:f>
      </x:c>
      <x:c r="M3174" s="0" t="s">
        <x:v>21</x:v>
      </x:c>
      <x:c r="N3174" s="0" t="s">
        <x:v>46</x:v>
      </x:c>
    </x:row>
    <x:row r="3175" spans="1:16">
      <x:c r="A3175" s="0" t="s">
        <x:v>12542</x:v>
      </x:c>
      <x:c r="B3175" s="0" t="s">
        <x:v>12543</x:v>
      </x:c>
      <x:c r="C3175" s="0" t="s">
        <x:v>12544</x:v>
      </x:c>
      <x:c r="E3175" s="0" t="s">
        <x:v>12545</x:v>
      </x:c>
      <x:c r="F3175" s="0" t="s">
        <x:v>45</x:v>
      </x:c>
      <x:c r="G3175" s="0" t="s">
        <x:v>19</x:v>
      </x:c>
      <x:c r="H3175" s="0" t="s">
        <x:v>20</x:v>
      </x:c>
      <x:c r="I3175" s="0" t="s">
        <x:v>21</x:v>
      </x:c>
      <x:c r="K3175" s="0">
        <x:f>hyperlink("https://icd.who.int/dev11/l-ichi/en#/http%3A%2F%2Fid.who.int%2Ficd%2Fentity%2F597184369","browser")</x:f>
      </x:c>
      <x:c r="L3175" s="0">
        <x:f>hyperlink("https://icat2.azurewebsites.net/icat/?ontology=ICD&amp;tab=ClassesTab&amp;id=http%3A%2F%2Fwho.int%2Ficd%2314343_512ebf36_bf6b_4d70_85da_cf2637062af4","iCat")</x:f>
      </x:c>
      <x:c r="M3175" s="0" t="s">
        <x:v>21</x:v>
      </x:c>
      <x:c r="N3175" s="0" t="s">
        <x:v>46</x:v>
      </x:c>
    </x:row>
    <x:row r="3176" spans="1:16">
      <x:c r="A3176" s="0" t="s">
        <x:v>12546</x:v>
      </x:c>
      <x:c r="B3176" s="0" t="s">
        <x:v>12547</x:v>
      </x:c>
      <x:c r="C3176" s="0" t="s">
        <x:v>12548</x:v>
      </x:c>
      <x:c r="E3176" s="0" t="s">
        <x:v>12549</x:v>
      </x:c>
      <x:c r="F3176" s="0" t="s">
        <x:v>45</x:v>
      </x:c>
      <x:c r="G3176" s="0" t="s">
        <x:v>19</x:v>
      </x:c>
      <x:c r="H3176" s="0" t="s">
        <x:v>20</x:v>
      </x:c>
      <x:c r="I3176" s="0" t="s">
        <x:v>21</x:v>
      </x:c>
      <x:c r="K3176" s="0">
        <x:f>hyperlink("https://icd.who.int/dev11/l-ichi/en#/http%3A%2F%2Fid.who.int%2Ficd%2Fentity%2F215528927","browser")</x:f>
      </x:c>
      <x:c r="L3176" s="0">
        <x:f>hyperlink("https://icat2.azurewebsites.net/icat/?ontology=ICD&amp;tab=ClassesTab&amp;id=http%3A%2F%2Fwho.int%2Ficd%2314350_512ebf36_bf6b_4d70_85da_cf2637062af4","iCat")</x:f>
      </x:c>
      <x:c r="M3176" s="0" t="s">
        <x:v>21</x:v>
      </x:c>
      <x:c r="N3176" s="0" t="s">
        <x:v>46</x:v>
      </x:c>
    </x:row>
    <x:row r="3177" spans="1:16">
      <x:c r="A3177" s="0" t="s">
        <x:v>12550</x:v>
      </x:c>
      <x:c r="B3177" s="0" t="s">
        <x:v>12551</x:v>
      </x:c>
      <x:c r="C3177" s="0" t="s">
        <x:v>12552</x:v>
      </x:c>
      <x:c r="E3177" s="0" t="s">
        <x:v>12553</x:v>
      </x:c>
      <x:c r="F3177" s="0" t="s">
        <x:v>45</x:v>
      </x:c>
      <x:c r="G3177" s="0" t="s">
        <x:v>19</x:v>
      </x:c>
      <x:c r="H3177" s="0" t="s">
        <x:v>20</x:v>
      </x:c>
      <x:c r="I3177" s="0" t="s">
        <x:v>21</x:v>
      </x:c>
      <x:c r="K3177" s="0">
        <x:f>hyperlink("https://icd.who.int/dev11/l-ichi/en#/http%3A%2F%2Fid.who.int%2Ficd%2Fentity%2F2086280786","browser")</x:f>
      </x:c>
      <x:c r="L3177" s="0">
        <x:f>hyperlink("https://icat2.azurewebsites.net/icat/?ontology=ICD&amp;tab=ClassesTab&amp;id=http%3A%2F%2Fwho.int%2Ficd%2314357_512ebf36_bf6b_4d70_85da_cf2637062af4","iCat")</x:f>
      </x:c>
      <x:c r="M3177" s="0" t="s">
        <x:v>21</x:v>
      </x:c>
      <x:c r="N3177" s="0" t="s">
        <x:v>46</x:v>
      </x:c>
    </x:row>
    <x:row r="3178" spans="1:16">
      <x:c r="A3178" s="0" t="s">
        <x:v>12554</x:v>
      </x:c>
      <x:c r="B3178" s="0" t="s">
        <x:v>12555</x:v>
      </x:c>
      <x:c r="C3178" s="0" t="s">
        <x:v>12556</x:v>
      </x:c>
      <x:c r="E3178" s="0" t="s">
        <x:v>12557</x:v>
      </x:c>
      <x:c r="F3178" s="0" t="s">
        <x:v>45</x:v>
      </x:c>
      <x:c r="G3178" s="0" t="s">
        <x:v>19</x:v>
      </x:c>
      <x:c r="H3178" s="0" t="s">
        <x:v>20</x:v>
      </x:c>
      <x:c r="I3178" s="0" t="s">
        <x:v>21</x:v>
      </x:c>
      <x:c r="K3178" s="0">
        <x:f>hyperlink("https://icd.who.int/dev11/l-ichi/en#/http%3A%2F%2Fid.who.int%2Ficd%2Fentity%2F2037264812","browser")</x:f>
      </x:c>
      <x:c r="L3178" s="0">
        <x:f>hyperlink("https://icat2.azurewebsites.net/icat/?ontology=ICD&amp;tab=ClassesTab&amp;id=http%3A%2F%2Fwho.int%2Ficd%2314364_512ebf36_bf6b_4d70_85da_cf2637062af4","iCat")</x:f>
      </x:c>
      <x:c r="M3178" s="0" t="s">
        <x:v>21</x:v>
      </x:c>
      <x:c r="N3178" s="0" t="s">
        <x:v>46</x:v>
      </x:c>
    </x:row>
    <x:row r="3179" spans="1:16">
      <x:c r="A3179" s="0" t="s">
        <x:v>12558</x:v>
      </x:c>
      <x:c r="B3179" s="0" t="s">
        <x:v>12559</x:v>
      </x:c>
      <x:c r="C3179" s="0" t="s">
        <x:v>12560</x:v>
      </x:c>
      <x:c r="E3179" s="0" t="s">
        <x:v>12561</x:v>
      </x:c>
      <x:c r="F3179" s="0" t="s">
        <x:v>45</x:v>
      </x:c>
      <x:c r="G3179" s="0" t="s">
        <x:v>19</x:v>
      </x:c>
      <x:c r="H3179" s="0" t="s">
        <x:v>20</x:v>
      </x:c>
      <x:c r="I3179" s="0" t="s">
        <x:v>21</x:v>
      </x:c>
      <x:c r="K3179" s="0">
        <x:f>hyperlink("https://icd.who.int/dev11/l-ichi/en#/http%3A%2F%2Fid.who.int%2Ficd%2Fentity%2F106238643","browser")</x:f>
      </x:c>
      <x:c r="L3179" s="0">
        <x:f>hyperlink("https://icat2.azurewebsites.net/icat/?ontology=ICD&amp;tab=ClassesTab&amp;id=http%3A%2F%2Fwho.int%2Ficd%2314371_512ebf36_bf6b_4d70_85da_cf2637062af4","iCat")</x:f>
      </x:c>
      <x:c r="M3179" s="0" t="s">
        <x:v>21</x:v>
      </x:c>
      <x:c r="N3179" s="0" t="s">
        <x:v>46</x:v>
      </x:c>
    </x:row>
    <x:row r="3180" spans="1:16">
      <x:c r="A3180" s="0" t="s">
        <x:v>12562</x:v>
      </x:c>
      <x:c r="B3180" s="0" t="s">
        <x:v>12563</x:v>
      </x:c>
      <x:c r="C3180" s="0" t="s">
        <x:v>12564</x:v>
      </x:c>
      <x:c r="E3180" s="0" t="s">
        <x:v>12565</x:v>
      </x:c>
      <x:c r="F3180" s="0" t="s">
        <x:v>45</x:v>
      </x:c>
      <x:c r="G3180" s="0" t="s">
        <x:v>19</x:v>
      </x:c>
      <x:c r="H3180" s="0" t="s">
        <x:v>20</x:v>
      </x:c>
      <x:c r="I3180" s="0" t="s">
        <x:v>21</x:v>
      </x:c>
      <x:c r="K3180" s="0">
        <x:f>hyperlink("https://icd.who.int/dev11/l-ichi/en#/http%3A%2F%2Fid.who.int%2Ficd%2Fentity%2F1747784156","browser")</x:f>
      </x:c>
      <x:c r="L3180" s="0">
        <x:f>hyperlink("https://icat2.azurewebsites.net/icat/?ontology=ICD&amp;tab=ClassesTab&amp;id=http%3A%2F%2Fwho.int%2Ficd%2314378_512ebf36_bf6b_4d70_85da_cf2637062af4","iCat")</x:f>
      </x:c>
      <x:c r="M3180" s="0" t="s">
        <x:v>21</x:v>
      </x:c>
      <x:c r="N3180" s="0" t="s">
        <x:v>46</x:v>
      </x:c>
    </x:row>
    <x:row r="3181" spans="1:16">
      <x:c r="A3181" s="0" t="s">
        <x:v>12566</x:v>
      </x:c>
      <x:c r="B3181" s="0" t="s">
        <x:v>12567</x:v>
      </x:c>
      <x:c r="C3181" s="0" t="s">
        <x:v>12568</x:v>
      </x:c>
      <x:c r="E3181" s="0" t="s">
        <x:v>12569</x:v>
      </x:c>
      <x:c r="F3181" s="0" t="s">
        <x:v>45</x:v>
      </x:c>
      <x:c r="G3181" s="0" t="s">
        <x:v>19</x:v>
      </x:c>
      <x:c r="H3181" s="0" t="s">
        <x:v>20</x:v>
      </x:c>
      <x:c r="I3181" s="0" t="s">
        <x:v>21</x:v>
      </x:c>
      <x:c r="K3181" s="0">
        <x:f>hyperlink("https://icd.who.int/dev11/l-ichi/en#/http%3A%2F%2Fid.who.int%2Ficd%2Fentity%2F481664025","browser")</x:f>
      </x:c>
      <x:c r="L3181" s="0">
        <x:f>hyperlink("https://icat2.azurewebsites.net/icat/?ontology=ICD&amp;tab=ClassesTab&amp;id=http%3A%2F%2Fwho.int%2Ficd%2314385_512ebf36_bf6b_4d70_85da_cf2637062af4","iCat")</x:f>
      </x:c>
      <x:c r="M3181" s="0" t="s">
        <x:v>21</x:v>
      </x:c>
      <x:c r="N3181" s="0" t="s">
        <x:v>46</x:v>
      </x:c>
    </x:row>
    <x:row r="3182" spans="1:16">
      <x:c r="A3182" s="0" t="s">
        <x:v>12570</x:v>
      </x:c>
      <x:c r="B3182" s="0" t="s">
        <x:v>12571</x:v>
      </x:c>
      <x:c r="C3182" s="0" t="s">
        <x:v>12572</x:v>
      </x:c>
      <x:c r="E3182" s="0" t="s">
        <x:v>12573</x:v>
      </x:c>
      <x:c r="F3182" s="0" t="s">
        <x:v>45</x:v>
      </x:c>
      <x:c r="G3182" s="0" t="s">
        <x:v>19</x:v>
      </x:c>
      <x:c r="H3182" s="0" t="s">
        <x:v>20</x:v>
      </x:c>
      <x:c r="I3182" s="0" t="s">
        <x:v>21</x:v>
      </x:c>
      <x:c r="K3182" s="0">
        <x:f>hyperlink("https://icd.who.int/dev11/l-ichi/en#/http%3A%2F%2Fid.who.int%2Ficd%2Fentity%2F116564675","browser")</x:f>
      </x:c>
      <x:c r="L3182" s="0">
        <x:f>hyperlink("https://icat2.azurewebsites.net/icat/?ontology=ICD&amp;tab=ClassesTab&amp;id=http%3A%2F%2Fwho.int%2Ficd%2314392_512ebf36_bf6b_4d70_85da_cf2637062af4","iCat")</x:f>
      </x:c>
      <x:c r="M3182" s="0" t="s">
        <x:v>21</x:v>
      </x:c>
      <x:c r="N3182" s="0" t="s">
        <x:v>46</x:v>
      </x:c>
    </x:row>
    <x:row r="3183" spans="1:16">
      <x:c r="A3183" s="0" t="s">
        <x:v>12574</x:v>
      </x:c>
      <x:c r="B3183" s="0" t="s">
        <x:v>12575</x:v>
      </x:c>
      <x:c r="C3183" s="0" t="s">
        <x:v>12576</x:v>
      </x:c>
      <x:c r="E3183" s="0" t="s">
        <x:v>12577</x:v>
      </x:c>
      <x:c r="F3183" s="0" t="s">
        <x:v>45</x:v>
      </x:c>
      <x:c r="G3183" s="0" t="s">
        <x:v>19</x:v>
      </x:c>
      <x:c r="H3183" s="0" t="s">
        <x:v>20</x:v>
      </x:c>
      <x:c r="I3183" s="0" t="s">
        <x:v>21</x:v>
      </x:c>
      <x:c r="K3183" s="0">
        <x:f>hyperlink("https://icd.who.int/dev11/l-ichi/en#/http%3A%2F%2Fid.who.int%2Ficd%2Fentity%2F2049694713","browser")</x:f>
      </x:c>
      <x:c r="L3183" s="0">
        <x:f>hyperlink("https://icat2.azurewebsites.net/icat/?ontology=ICD&amp;tab=ClassesTab&amp;id=http%3A%2F%2Fwho.int%2Ficd%2314400_512ebf36_bf6b_4d70_85da_cf2637062af4","iCat")</x:f>
      </x:c>
      <x:c r="M3183" s="0" t="s">
        <x:v>21</x:v>
      </x:c>
      <x:c r="N3183" s="0" t="s">
        <x:v>46</x:v>
      </x:c>
    </x:row>
    <x:row r="3184" spans="1:16">
      <x:c r="A3184" s="0" t="s">
        <x:v>12578</x:v>
      </x:c>
      <x:c r="B3184" s="0" t="s">
        <x:v>12579</x:v>
      </x:c>
      <x:c r="C3184" s="0" t="s">
        <x:v>12580</x:v>
      </x:c>
      <x:c r="E3184" s="0" t="s">
        <x:v>12581</x:v>
      </x:c>
      <x:c r="F3184" s="0" t="s">
        <x:v>45</x:v>
      </x:c>
      <x:c r="G3184" s="0" t="s">
        <x:v>19</x:v>
      </x:c>
      <x:c r="H3184" s="0" t="s">
        <x:v>20</x:v>
      </x:c>
      <x:c r="I3184" s="0" t="s">
        <x:v>21</x:v>
      </x:c>
      <x:c r="K3184" s="0">
        <x:f>hyperlink("https://icd.who.int/dev11/l-ichi/en#/http%3A%2F%2Fid.who.int%2Ficd%2Fentity%2F178876534","browser")</x:f>
      </x:c>
      <x:c r="L3184" s="0">
        <x:f>hyperlink("https://icat2.azurewebsites.net/icat/?ontology=ICD&amp;tab=ClassesTab&amp;id=http%3A%2F%2Fwho.int%2Ficd%2314407_512ebf36_bf6b_4d70_85da_cf2637062af4","iCat")</x:f>
      </x:c>
      <x:c r="M3184" s="0" t="s">
        <x:v>21</x:v>
      </x:c>
      <x:c r="N3184" s="0" t="s">
        <x:v>46</x:v>
      </x:c>
    </x:row>
    <x:row r="3185" spans="1:16">
      <x:c r="A3185" s="0" t="s">
        <x:v>12582</x:v>
      </x:c>
      <x:c r="B3185" s="0" t="s">
        <x:v>12583</x:v>
      </x:c>
      <x:c r="C3185" s="0" t="s">
        <x:v>12584</x:v>
      </x:c>
      <x:c r="E3185" s="0" t="s">
        <x:v>12585</x:v>
      </x:c>
      <x:c r="F3185" s="0" t="s">
        <x:v>45</x:v>
      </x:c>
      <x:c r="G3185" s="0" t="s">
        <x:v>19</x:v>
      </x:c>
      <x:c r="H3185" s="0" t="s">
        <x:v>20</x:v>
      </x:c>
      <x:c r="I3185" s="0" t="s">
        <x:v>21</x:v>
      </x:c>
      <x:c r="K3185" s="0">
        <x:f>hyperlink("https://icd.who.int/dev11/l-ichi/en#/http%3A%2F%2Fid.who.int%2Ficd%2Fentity%2F636062426","browser")</x:f>
      </x:c>
      <x:c r="L3185" s="0">
        <x:f>hyperlink("https://icat2.azurewebsites.net/icat/?ontology=ICD&amp;tab=ClassesTab&amp;id=http%3A%2F%2Fwho.int%2Ficd%2314414_512ebf36_bf6b_4d70_85da_cf2637062af4","iCat")</x:f>
      </x:c>
      <x:c r="M3185" s="0" t="s">
        <x:v>21</x:v>
      </x:c>
      <x:c r="N3185" s="0" t="s">
        <x:v>46</x:v>
      </x:c>
    </x:row>
    <x:row r="3186" spans="1:16">
      <x:c r="A3186" s="0" t="s">
        <x:v>12586</x:v>
      </x:c>
      <x:c r="B3186" s="0" t="s">
        <x:v>12587</x:v>
      </x:c>
      <x:c r="C3186" s="0" t="s">
        <x:v>12588</x:v>
      </x:c>
      <x:c r="E3186" s="0" t="s">
        <x:v>12589</x:v>
      </x:c>
      <x:c r="F3186" s="0" t="s">
        <x:v>45</x:v>
      </x:c>
      <x:c r="G3186" s="0" t="s">
        <x:v>19</x:v>
      </x:c>
      <x:c r="H3186" s="0" t="s">
        <x:v>20</x:v>
      </x:c>
      <x:c r="I3186" s="0" t="s">
        <x:v>21</x:v>
      </x:c>
      <x:c r="K3186" s="0">
        <x:f>hyperlink("https://icd.who.int/dev11/l-ichi/en#/http%3A%2F%2Fid.who.int%2Ficd%2Fentity%2F1889959061","browser")</x:f>
      </x:c>
      <x:c r="L3186" s="0">
        <x:f>hyperlink("https://icat2.azurewebsites.net/icat/?ontology=ICD&amp;tab=ClassesTab&amp;id=http%3A%2F%2Fwho.int%2Ficd%2314421_512ebf36_bf6b_4d70_85da_cf2637062af4","iCat")</x:f>
      </x:c>
      <x:c r="M3186" s="0" t="s">
        <x:v>21</x:v>
      </x:c>
      <x:c r="N3186" s="0" t="s">
        <x:v>46</x:v>
      </x:c>
    </x:row>
    <x:row r="3187" spans="1:16">
      <x:c r="A3187" s="0" t="s">
        <x:v>12590</x:v>
      </x:c>
      <x:c r="B3187" s="0" t="s">
        <x:v>12591</x:v>
      </x:c>
      <x:c r="C3187" s="0" t="s">
        <x:v>12592</x:v>
      </x:c>
      <x:c r="E3187" s="0" t="s">
        <x:v>12593</x:v>
      </x:c>
      <x:c r="F3187" s="0" t="s">
        <x:v>45</x:v>
      </x:c>
      <x:c r="G3187" s="0" t="s">
        <x:v>19</x:v>
      </x:c>
      <x:c r="H3187" s="0" t="s">
        <x:v>20</x:v>
      </x:c>
      <x:c r="I3187" s="0" t="s">
        <x:v>21</x:v>
      </x:c>
      <x:c r="K3187" s="0">
        <x:f>hyperlink("https://icd.who.int/dev11/l-ichi/en#/http%3A%2F%2Fid.who.int%2Ficd%2Fentity%2F517898236","browser")</x:f>
      </x:c>
      <x:c r="L3187" s="0">
        <x:f>hyperlink("https://icat2.azurewebsites.net/icat/?ontology=ICD&amp;tab=ClassesTab&amp;id=http%3A%2F%2Fwho.int%2Ficd%2314428_512ebf36_bf6b_4d70_85da_cf2637062af4","iCat")</x:f>
      </x:c>
      <x:c r="M3187" s="0" t="s">
        <x:v>21</x:v>
      </x:c>
      <x:c r="N3187" s="0" t="s">
        <x:v>46</x:v>
      </x:c>
    </x:row>
    <x:row r="3188" spans="1:16">
      <x:c r="A3188" s="0" t="s">
        <x:v>12594</x:v>
      </x:c>
      <x:c r="B3188" s="0" t="s">
        <x:v>12595</x:v>
      </x:c>
      <x:c r="C3188" s="0" t="s">
        <x:v>12596</x:v>
      </x:c>
      <x:c r="E3188" s="0" t="s">
        <x:v>12597</x:v>
      </x:c>
      <x:c r="F3188" s="0" t="s">
        <x:v>45</x:v>
      </x:c>
      <x:c r="G3188" s="0" t="s">
        <x:v>19</x:v>
      </x:c>
      <x:c r="H3188" s="0" t="s">
        <x:v>20</x:v>
      </x:c>
      <x:c r="I3188" s="0" t="s">
        <x:v>21</x:v>
      </x:c>
      <x:c r="K3188" s="0">
        <x:f>hyperlink("https://icd.who.int/dev11/l-ichi/en#/http%3A%2F%2Fid.who.int%2Ficd%2Fentity%2F795094454","browser")</x:f>
      </x:c>
      <x:c r="L3188" s="0">
        <x:f>hyperlink("https://icat2.azurewebsites.net/icat/?ontology=ICD&amp;tab=ClassesTab&amp;id=http%3A%2F%2Fwho.int%2Ficd%2314435_512ebf36_bf6b_4d70_85da_cf2637062af4","iCat")</x:f>
      </x:c>
      <x:c r="M3188" s="0" t="s">
        <x:v>21</x:v>
      </x:c>
      <x:c r="N3188" s="0" t="s">
        <x:v>46</x:v>
      </x:c>
    </x:row>
    <x:row r="3189" spans="1:16">
      <x:c r="A3189" s="0" t="s">
        <x:v>12598</x:v>
      </x:c>
      <x:c r="B3189" s="0" t="s">
        <x:v>12599</x:v>
      </x:c>
      <x:c r="C3189" s="0" t="s">
        <x:v>12600</x:v>
      </x:c>
      <x:c r="E3189" s="0" t="s">
        <x:v>12601</x:v>
      </x:c>
      <x:c r="F3189" s="0" t="s">
        <x:v>45</x:v>
      </x:c>
      <x:c r="G3189" s="0" t="s">
        <x:v>19</x:v>
      </x:c>
      <x:c r="H3189" s="0" t="s">
        <x:v>20</x:v>
      </x:c>
      <x:c r="I3189" s="0" t="s">
        <x:v>21</x:v>
      </x:c>
      <x:c r="K3189" s="0">
        <x:f>hyperlink("https://icd.who.int/dev11/l-ichi/en#/http%3A%2F%2Fid.who.int%2Ficd%2Fentity%2F1865454881","browser")</x:f>
      </x:c>
      <x:c r="L3189" s="0">
        <x:f>hyperlink("https://icat2.azurewebsites.net/icat/?ontology=ICD&amp;tab=ClassesTab&amp;id=http%3A%2F%2Fwho.int%2Ficd%2314442_512ebf36_bf6b_4d70_85da_cf2637062af4","iCat")</x:f>
      </x:c>
      <x:c r="M3189" s="0" t="s">
        <x:v>21</x:v>
      </x:c>
      <x:c r="N3189" s="0" t="s">
        <x:v>46</x:v>
      </x:c>
    </x:row>
    <x:row r="3190" spans="1:16">
      <x:c r="A3190" s="0" t="s">
        <x:v>12602</x:v>
      </x:c>
      <x:c r="B3190" s="0" t="s">
        <x:v>12603</x:v>
      </x:c>
      <x:c r="C3190" s="0" t="s">
        <x:v>12604</x:v>
      </x:c>
      <x:c r="E3190" s="0" t="s">
        <x:v>12605</x:v>
      </x:c>
      <x:c r="F3190" s="0" t="s">
        <x:v>45</x:v>
      </x:c>
      <x:c r="G3190" s="0" t="s">
        <x:v>19</x:v>
      </x:c>
      <x:c r="H3190" s="0" t="s">
        <x:v>20</x:v>
      </x:c>
      <x:c r="I3190" s="0" t="s">
        <x:v>21</x:v>
      </x:c>
      <x:c r="K3190" s="0">
        <x:f>hyperlink("https://icd.who.int/dev11/l-ichi/en#/http%3A%2F%2Fid.who.int%2Ficd%2Fentity%2F1681165197","browser")</x:f>
      </x:c>
      <x:c r="L3190" s="0">
        <x:f>hyperlink("https://icat2.azurewebsites.net/icat/?ontology=ICD&amp;tab=ClassesTab&amp;id=http%3A%2F%2Fwho.int%2Ficd%2314449_512ebf36_bf6b_4d70_85da_cf2637062af4","iCat")</x:f>
      </x:c>
      <x:c r="M3190" s="0" t="s">
        <x:v>21</x:v>
      </x:c>
      <x:c r="N3190" s="0" t="s">
        <x:v>46</x:v>
      </x:c>
    </x:row>
    <x:row r="3191" spans="1:16">
      <x:c r="A3191" s="0" t="s">
        <x:v>12606</x:v>
      </x:c>
      <x:c r="B3191" s="0" t="s">
        <x:v>12607</x:v>
      </x:c>
      <x:c r="C3191" s="0" t="s">
        <x:v>12608</x:v>
      </x:c>
      <x:c r="E3191" s="0" t="s">
        <x:v>12609</x:v>
      </x:c>
      <x:c r="F3191" s="0" t="s">
        <x:v>45</x:v>
      </x:c>
      <x:c r="G3191" s="0" t="s">
        <x:v>19</x:v>
      </x:c>
      <x:c r="H3191" s="0" t="s">
        <x:v>20</x:v>
      </x:c>
      <x:c r="I3191" s="0" t="s">
        <x:v>21</x:v>
      </x:c>
      <x:c r="K3191" s="0">
        <x:f>hyperlink("https://icd.who.int/dev11/l-ichi/en#/http%3A%2F%2Fid.who.int%2Ficd%2Fentity%2F821216258","browser")</x:f>
      </x:c>
      <x:c r="L3191" s="0">
        <x:f>hyperlink("https://icat2.azurewebsites.net/icat/?ontology=ICD&amp;tab=ClassesTab&amp;id=http%3A%2F%2Fwho.int%2Ficd%2314456_512ebf36_bf6b_4d70_85da_cf2637062af4","iCat")</x:f>
      </x:c>
      <x:c r="M3191" s="0" t="s">
        <x:v>21</x:v>
      </x:c>
      <x:c r="N3191" s="0" t="s">
        <x:v>46</x:v>
      </x:c>
    </x:row>
    <x:row r="3192" spans="1:16">
      <x:c r="A3192" s="0" t="s">
        <x:v>12610</x:v>
      </x:c>
      <x:c r="B3192" s="0" t="s">
        <x:v>12611</x:v>
      </x:c>
      <x:c r="C3192" s="0" t="s">
        <x:v>12612</x:v>
      </x:c>
      <x:c r="E3192" s="0" t="s">
        <x:v>12613</x:v>
      </x:c>
      <x:c r="F3192" s="0" t="s">
        <x:v>45</x:v>
      </x:c>
      <x:c r="G3192" s="0" t="s">
        <x:v>19</x:v>
      </x:c>
      <x:c r="H3192" s="0" t="s">
        <x:v>20</x:v>
      </x:c>
      <x:c r="I3192" s="0" t="s">
        <x:v>21</x:v>
      </x:c>
      <x:c r="K3192" s="0">
        <x:f>hyperlink("https://icd.who.int/dev11/l-ichi/en#/http%3A%2F%2Fid.who.int%2Ficd%2Fentity%2F1706897997","browser")</x:f>
      </x:c>
      <x:c r="L3192" s="0">
        <x:f>hyperlink("https://icat2.azurewebsites.net/icat/?ontology=ICD&amp;tab=ClassesTab&amp;id=http%3A%2F%2Fwho.int%2Ficd%2314463_512ebf36_bf6b_4d70_85da_cf2637062af4","iCat")</x:f>
      </x:c>
      <x:c r="M3192" s="0" t="s">
        <x:v>21</x:v>
      </x:c>
      <x:c r="N3192" s="0" t="s">
        <x:v>46</x:v>
      </x:c>
    </x:row>
    <x:row r="3193" spans="1:16">
      <x:c r="A3193" s="0" t="s">
        <x:v>12614</x:v>
      </x:c>
      <x:c r="B3193" s="0" t="s">
        <x:v>12615</x:v>
      </x:c>
      <x:c r="C3193" s="0" t="s">
        <x:v>12616</x:v>
      </x:c>
      <x:c r="E3193" s="0" t="s">
        <x:v>12617</x:v>
      </x:c>
      <x:c r="F3193" s="0" t="s">
        <x:v>45</x:v>
      </x:c>
      <x:c r="G3193" s="0" t="s">
        <x:v>19</x:v>
      </x:c>
      <x:c r="H3193" s="0" t="s">
        <x:v>20</x:v>
      </x:c>
      <x:c r="I3193" s="0" t="s">
        <x:v>21</x:v>
      </x:c>
      <x:c r="K3193" s="0">
        <x:f>hyperlink("https://icd.who.int/dev11/l-ichi/en#/http%3A%2F%2Fid.who.int%2Ficd%2Fentity%2F1778694879","browser")</x:f>
      </x:c>
      <x:c r="L3193" s="0">
        <x:f>hyperlink("https://icat2.azurewebsites.net/icat/?ontology=ICD&amp;tab=ClassesTab&amp;id=http%3A%2F%2Fwho.int%2Ficd%2314471_512ebf36_bf6b_4d70_85da_cf2637062af4","iCat")</x:f>
      </x:c>
      <x:c r="M3193" s="0" t="s">
        <x:v>21</x:v>
      </x:c>
      <x:c r="N3193" s="0" t="s">
        <x:v>46</x:v>
      </x:c>
    </x:row>
    <x:row r="3194" spans="1:16">
      <x:c r="A3194" s="0" t="s">
        <x:v>12618</x:v>
      </x:c>
      <x:c r="B3194" s="0" t="s">
        <x:v>12619</x:v>
      </x:c>
      <x:c r="C3194" s="0" t="s">
        <x:v>12620</x:v>
      </x:c>
      <x:c r="E3194" s="0" t="s">
        <x:v>12621</x:v>
      </x:c>
      <x:c r="F3194" s="0" t="s">
        <x:v>45</x:v>
      </x:c>
      <x:c r="G3194" s="0" t="s">
        <x:v>19</x:v>
      </x:c>
      <x:c r="H3194" s="0" t="s">
        <x:v>20</x:v>
      </x:c>
      <x:c r="I3194" s="0" t="s">
        <x:v>21</x:v>
      </x:c>
      <x:c r="K3194" s="0">
        <x:f>hyperlink("https://icd.who.int/dev11/l-ichi/en#/http%3A%2F%2Fid.who.int%2Ficd%2Fentity%2F75282870","browser")</x:f>
      </x:c>
      <x:c r="L3194" s="0">
        <x:f>hyperlink("https://icat2.azurewebsites.net/icat/?ontology=ICD&amp;tab=ClassesTab&amp;id=http%3A%2F%2Fwho.int%2Ficd%2314478_512ebf36_bf6b_4d70_85da_cf2637062af4","iCat")</x:f>
      </x:c>
      <x:c r="M3194" s="0" t="s">
        <x:v>21</x:v>
      </x:c>
      <x:c r="N3194" s="0" t="s">
        <x:v>46</x:v>
      </x:c>
    </x:row>
    <x:row r="3195" spans="1:16">
      <x:c r="A3195" s="0" t="s">
        <x:v>12622</x:v>
      </x:c>
      <x:c r="B3195" s="0" t="s">
        <x:v>12623</x:v>
      </x:c>
      <x:c r="C3195" s="0" t="s">
        <x:v>12624</x:v>
      </x:c>
      <x:c r="E3195" s="0" t="s">
        <x:v>12625</x:v>
      </x:c>
      <x:c r="F3195" s="0" t="s">
        <x:v>45</x:v>
      </x:c>
      <x:c r="G3195" s="0" t="s">
        <x:v>19</x:v>
      </x:c>
      <x:c r="H3195" s="0" t="s">
        <x:v>20</x:v>
      </x:c>
      <x:c r="I3195" s="0" t="s">
        <x:v>21</x:v>
      </x:c>
      <x:c r="K3195" s="0">
        <x:f>hyperlink("https://icd.who.int/dev11/l-ichi/en#/http%3A%2F%2Fid.who.int%2Ficd%2Fentity%2F1894003829","browser")</x:f>
      </x:c>
      <x:c r="L3195" s="0">
        <x:f>hyperlink("https://icat2.azurewebsites.net/icat/?ontology=ICD&amp;tab=ClassesTab&amp;id=http%3A%2F%2Fwho.int%2Ficd%2314485_512ebf36_bf6b_4d70_85da_cf2637062af4","iCat")</x:f>
      </x:c>
      <x:c r="M3195" s="0" t="s">
        <x:v>21</x:v>
      </x:c>
      <x:c r="N3195" s="0" t="s">
        <x:v>46</x:v>
      </x:c>
    </x:row>
    <x:row r="3196" spans="1:16">
      <x:c r="A3196" s="0" t="s">
        <x:v>12626</x:v>
      </x:c>
      <x:c r="B3196" s="0" t="s">
        <x:v>12627</x:v>
      </x:c>
      <x:c r="C3196" s="0" t="s">
        <x:v>12628</x:v>
      </x:c>
      <x:c r="E3196" s="0" t="s">
        <x:v>12629</x:v>
      </x:c>
      <x:c r="F3196" s="0" t="s">
        <x:v>45</x:v>
      </x:c>
      <x:c r="G3196" s="0" t="s">
        <x:v>19</x:v>
      </x:c>
      <x:c r="H3196" s="0" t="s">
        <x:v>20</x:v>
      </x:c>
      <x:c r="I3196" s="0" t="s">
        <x:v>21</x:v>
      </x:c>
      <x:c r="K3196" s="0">
        <x:f>hyperlink("https://icd.who.int/dev11/l-ichi/en#/http%3A%2F%2Fid.who.int%2Ficd%2Fentity%2F1789069999","browser")</x:f>
      </x:c>
      <x:c r="L3196" s="0">
        <x:f>hyperlink("https://icat2.azurewebsites.net/icat/?ontology=ICD&amp;tab=ClassesTab&amp;id=http%3A%2F%2Fwho.int%2Ficd%2314492_512ebf36_bf6b_4d70_85da_cf2637062af4","iCat")</x:f>
      </x:c>
      <x:c r="M3196" s="0" t="s">
        <x:v>21</x:v>
      </x:c>
      <x:c r="N3196" s="0" t="s">
        <x:v>46</x:v>
      </x:c>
    </x:row>
    <x:row r="3197" spans="1:16">
      <x:c r="A3197" s="0" t="s">
        <x:v>12630</x:v>
      </x:c>
      <x:c r="B3197" s="0" t="s">
        <x:v>12631</x:v>
      </x:c>
      <x:c r="C3197" s="0" t="s">
        <x:v>12632</x:v>
      </x:c>
      <x:c r="E3197" s="0" t="s">
        <x:v>12633</x:v>
      </x:c>
      <x:c r="F3197" s="0" t="s">
        <x:v>45</x:v>
      </x:c>
      <x:c r="G3197" s="0" t="s">
        <x:v>19</x:v>
      </x:c>
      <x:c r="H3197" s="0" t="s">
        <x:v>20</x:v>
      </x:c>
      <x:c r="I3197" s="0" t="s">
        <x:v>21</x:v>
      </x:c>
      <x:c r="K3197" s="0">
        <x:f>hyperlink("https://icd.who.int/dev11/l-ichi/en#/http%3A%2F%2Fid.who.int%2Ficd%2Fentity%2F1638339587","browser")</x:f>
      </x:c>
      <x:c r="L3197" s="0">
        <x:f>hyperlink("https://icat2.azurewebsites.net/icat/?ontology=ICD&amp;tab=ClassesTab&amp;id=http%3A%2F%2Fwho.int%2Ficd%2314499_512ebf36_bf6b_4d70_85da_cf2637062af4","iCat")</x:f>
      </x:c>
      <x:c r="M3197" s="0" t="s">
        <x:v>21</x:v>
      </x:c>
      <x:c r="N3197" s="0" t="s">
        <x:v>46</x:v>
      </x:c>
    </x:row>
    <x:row r="3198" spans="1:16">
      <x:c r="A3198" s="0" t="s">
        <x:v>12634</x:v>
      </x:c>
      <x:c r="B3198" s="0" t="s">
        <x:v>12635</x:v>
      </x:c>
      <x:c r="C3198" s="0" t="s">
        <x:v>12636</x:v>
      </x:c>
      <x:c r="E3198" s="0" t="s">
        <x:v>12637</x:v>
      </x:c>
      <x:c r="F3198" s="0" t="s">
        <x:v>45</x:v>
      </x:c>
      <x:c r="G3198" s="0" t="s">
        <x:v>19</x:v>
      </x:c>
      <x:c r="H3198" s="0" t="s">
        <x:v>20</x:v>
      </x:c>
      <x:c r="I3198" s="0" t="s">
        <x:v>21</x:v>
      </x:c>
      <x:c r="K3198" s="0">
        <x:f>hyperlink("https://icd.who.int/dev11/l-ichi/en#/http%3A%2F%2Fid.who.int%2Ficd%2Fentity%2F1607451861","browser")</x:f>
      </x:c>
      <x:c r="L3198" s="0">
        <x:f>hyperlink("https://icat2.azurewebsites.net/icat/?ontology=ICD&amp;tab=ClassesTab&amp;id=http%3A%2F%2Fwho.int%2Ficd%2314506_512ebf36_bf6b_4d70_85da_cf2637062af4","iCat")</x:f>
      </x:c>
      <x:c r="M3198" s="0" t="s">
        <x:v>21</x:v>
      </x:c>
      <x:c r="N3198" s="0" t="s">
        <x:v>46</x:v>
      </x:c>
    </x:row>
    <x:row r="3199" spans="1:16">
      <x:c r="A3199" s="0" t="s">
        <x:v>12638</x:v>
      </x:c>
      <x:c r="B3199" s="0" t="s">
        <x:v>12639</x:v>
      </x:c>
      <x:c r="C3199" s="0" t="s">
        <x:v>12640</x:v>
      </x:c>
      <x:c r="E3199" s="0" t="s">
        <x:v>12641</x:v>
      </x:c>
      <x:c r="F3199" s="0" t="s">
        <x:v>45</x:v>
      </x:c>
      <x:c r="G3199" s="0" t="s">
        <x:v>19</x:v>
      </x:c>
      <x:c r="H3199" s="0" t="s">
        <x:v>20</x:v>
      </x:c>
      <x:c r="I3199" s="0" t="s">
        <x:v>21</x:v>
      </x:c>
      <x:c r="K3199" s="0">
        <x:f>hyperlink("https://icd.who.int/dev11/l-ichi/en#/http%3A%2F%2Fid.who.int%2Ficd%2Fentity%2F552921034","browser")</x:f>
      </x:c>
      <x:c r="L3199" s="0">
        <x:f>hyperlink("https://icat2.azurewebsites.net/icat/?ontology=ICD&amp;tab=ClassesTab&amp;id=http%3A%2F%2Fwho.int%2Ficd%2314513_512ebf36_bf6b_4d70_85da_cf2637062af4","iCat")</x:f>
      </x:c>
      <x:c r="M3199" s="0" t="s">
        <x:v>21</x:v>
      </x:c>
      <x:c r="N3199" s="0" t="s">
        <x:v>46</x:v>
      </x:c>
    </x:row>
    <x:row r="3200" spans="1:16">
      <x:c r="A3200" s="0" t="s">
        <x:v>12642</x:v>
      </x:c>
      <x:c r="B3200" s="0" t="s">
        <x:v>12643</x:v>
      </x:c>
      <x:c r="C3200" s="0" t="s">
        <x:v>12644</x:v>
      </x:c>
      <x:c r="E3200" s="0" t="s">
        <x:v>12645</x:v>
      </x:c>
      <x:c r="F3200" s="0" t="s">
        <x:v>45</x:v>
      </x:c>
      <x:c r="G3200" s="0" t="s">
        <x:v>19</x:v>
      </x:c>
      <x:c r="H3200" s="0" t="s">
        <x:v>20</x:v>
      </x:c>
      <x:c r="I3200" s="0" t="s">
        <x:v>21</x:v>
      </x:c>
      <x:c r="K3200" s="0">
        <x:f>hyperlink("https://icd.who.int/dev11/l-ichi/en#/http%3A%2F%2Fid.who.int%2Ficd%2Fentity%2F633391156","browser")</x:f>
      </x:c>
      <x:c r="L3200" s="0">
        <x:f>hyperlink("https://icat2.azurewebsites.net/icat/?ontology=ICD&amp;tab=ClassesTab&amp;id=http%3A%2F%2Fwho.int%2Ficd%2314520_512ebf36_bf6b_4d70_85da_cf2637062af4","iCat")</x:f>
      </x:c>
      <x:c r="M3200" s="0" t="s">
        <x:v>21</x:v>
      </x:c>
      <x:c r="N3200" s="0" t="s">
        <x:v>46</x:v>
      </x:c>
    </x:row>
    <x:row r="3201" spans="1:16">
      <x:c r="A3201" s="0" t="s">
        <x:v>12646</x:v>
      </x:c>
      <x:c r="B3201" s="0" t="s">
        <x:v>12647</x:v>
      </x:c>
      <x:c r="C3201" s="0" t="s">
        <x:v>12648</x:v>
      </x:c>
      <x:c r="E3201" s="0" t="s">
        <x:v>12649</x:v>
      </x:c>
      <x:c r="F3201" s="0" t="s">
        <x:v>45</x:v>
      </x:c>
      <x:c r="G3201" s="0" t="s">
        <x:v>19</x:v>
      </x:c>
      <x:c r="H3201" s="0" t="s">
        <x:v>20</x:v>
      </x:c>
      <x:c r="I3201" s="0" t="s">
        <x:v>21</x:v>
      </x:c>
      <x:c r="K3201" s="0">
        <x:f>hyperlink("https://icd.who.int/dev11/l-ichi/en#/http%3A%2F%2Fid.who.int%2Ficd%2Fentity%2F1430414265","browser")</x:f>
      </x:c>
      <x:c r="L3201" s="0">
        <x:f>hyperlink("https://icat2.azurewebsites.net/icat/?ontology=ICD&amp;tab=ClassesTab&amp;id=http%3A%2F%2Fwho.int%2Ficd%2314527_512ebf36_bf6b_4d70_85da_cf2637062af4","iCat")</x:f>
      </x:c>
      <x:c r="M3201" s="0" t="s">
        <x:v>21</x:v>
      </x:c>
      <x:c r="N3201" s="0" t="s">
        <x:v>46</x:v>
      </x:c>
    </x:row>
    <x:row r="3202" spans="1:16">
      <x:c r="A3202" s="0" t="s">
        <x:v>12650</x:v>
      </x:c>
      <x:c r="B3202" s="0" t="s">
        <x:v>12651</x:v>
      </x:c>
      <x:c r="C3202" s="0" t="s">
        <x:v>12652</x:v>
      </x:c>
      <x:c r="E3202" s="0" t="s">
        <x:v>12653</x:v>
      </x:c>
      <x:c r="F3202" s="0" t="s">
        <x:v>45</x:v>
      </x:c>
      <x:c r="G3202" s="0" t="s">
        <x:v>19</x:v>
      </x:c>
      <x:c r="H3202" s="0" t="s">
        <x:v>20</x:v>
      </x:c>
      <x:c r="I3202" s="0" t="s">
        <x:v>21</x:v>
      </x:c>
      <x:c r="K3202" s="0">
        <x:f>hyperlink("https://icd.who.int/dev11/l-ichi/en#/http%3A%2F%2Fid.who.int%2Ficd%2Fentity%2F2046990615","browser")</x:f>
      </x:c>
      <x:c r="L3202" s="0">
        <x:f>hyperlink("https://icat2.azurewebsites.net/icat/?ontology=ICD&amp;tab=ClassesTab&amp;id=http%3A%2F%2Fwho.int%2Ficd%2314534_512ebf36_bf6b_4d70_85da_cf2637062af4","iCat")</x:f>
      </x:c>
      <x:c r="M3202" s="0" t="s">
        <x:v>21</x:v>
      </x:c>
      <x:c r="N3202" s="0" t="s">
        <x:v>46</x:v>
      </x:c>
    </x:row>
    <x:row r="3203" spans="1:16">
      <x:c r="A3203" s="0" t="s">
        <x:v>12654</x:v>
      </x:c>
      <x:c r="B3203" s="0" t="s">
        <x:v>12655</x:v>
      </x:c>
      <x:c r="C3203" s="0" t="s">
        <x:v>12656</x:v>
      </x:c>
      <x:c r="E3203" s="0" t="s">
        <x:v>12657</x:v>
      </x:c>
      <x:c r="F3203" s="0" t="s">
        <x:v>45</x:v>
      </x:c>
      <x:c r="G3203" s="0" t="s">
        <x:v>19</x:v>
      </x:c>
      <x:c r="H3203" s="0" t="s">
        <x:v>20</x:v>
      </x:c>
      <x:c r="I3203" s="0" t="s">
        <x:v>21</x:v>
      </x:c>
      <x:c r="K3203" s="0">
        <x:f>hyperlink("https://icd.who.int/dev11/l-ichi/en#/http%3A%2F%2Fid.who.int%2Ficd%2Fentity%2F447697854","browser")</x:f>
      </x:c>
      <x:c r="L3203" s="0">
        <x:f>hyperlink("https://icat2.azurewebsites.net/icat/?ontology=ICD&amp;tab=ClassesTab&amp;id=http%3A%2F%2Fwho.int%2Ficd%2314542_512ebf36_bf6b_4d70_85da_cf2637062af4","iCat")</x:f>
      </x:c>
      <x:c r="M3203" s="0" t="s">
        <x:v>21</x:v>
      </x:c>
      <x:c r="N3203" s="0" t="s">
        <x:v>46</x:v>
      </x:c>
    </x:row>
    <x:row r="3204" spans="1:16">
      <x:c r="A3204" s="0" t="s">
        <x:v>12658</x:v>
      </x:c>
      <x:c r="B3204" s="0" t="s">
        <x:v>12659</x:v>
      </x:c>
      <x:c r="C3204" s="0" t="s">
        <x:v>12660</x:v>
      </x:c>
      <x:c r="E3204" s="0" t="s">
        <x:v>12661</x:v>
      </x:c>
      <x:c r="F3204" s="0" t="s">
        <x:v>45</x:v>
      </x:c>
      <x:c r="G3204" s="0" t="s">
        <x:v>19</x:v>
      </x:c>
      <x:c r="H3204" s="0" t="s">
        <x:v>20</x:v>
      </x:c>
      <x:c r="I3204" s="0" t="s">
        <x:v>21</x:v>
      </x:c>
      <x:c r="K3204" s="0">
        <x:f>hyperlink("https://icd.who.int/dev11/l-ichi/en#/http%3A%2F%2Fid.who.int%2Ficd%2Fentity%2F296439056","browser")</x:f>
      </x:c>
      <x:c r="L3204" s="0">
        <x:f>hyperlink("https://icat2.azurewebsites.net/icat/?ontology=ICD&amp;tab=ClassesTab&amp;id=http%3A%2F%2Fwho.int%2Ficd%2314549_512ebf36_bf6b_4d70_85da_cf2637062af4","iCat")</x:f>
      </x:c>
      <x:c r="M3204" s="0" t="s">
        <x:v>21</x:v>
      </x:c>
      <x:c r="N3204" s="0" t="s">
        <x:v>46</x:v>
      </x:c>
    </x:row>
    <x:row r="3205" spans="1:16">
      <x:c r="A3205" s="0" t="s">
        <x:v>12662</x:v>
      </x:c>
      <x:c r="B3205" s="0" t="s">
        <x:v>12663</x:v>
      </x:c>
      <x:c r="C3205" s="0" t="s">
        <x:v>12664</x:v>
      </x:c>
      <x:c r="E3205" s="0" t="s">
        <x:v>12665</x:v>
      </x:c>
      <x:c r="F3205" s="0" t="s">
        <x:v>45</x:v>
      </x:c>
      <x:c r="G3205" s="0" t="s">
        <x:v>19</x:v>
      </x:c>
      <x:c r="H3205" s="0" t="s">
        <x:v>20</x:v>
      </x:c>
      <x:c r="I3205" s="0" t="s">
        <x:v>21</x:v>
      </x:c>
      <x:c r="K3205" s="0">
        <x:f>hyperlink("https://icd.who.int/dev11/l-ichi/en#/http%3A%2F%2Fid.who.int%2Ficd%2Fentity%2F1164771999","browser")</x:f>
      </x:c>
      <x:c r="L3205" s="0">
        <x:f>hyperlink("https://icat2.azurewebsites.net/icat/?ontology=ICD&amp;tab=ClassesTab&amp;id=http%3A%2F%2Fwho.int%2Ficd%2314556_512ebf36_bf6b_4d70_85da_cf2637062af4","iCat")</x:f>
      </x:c>
      <x:c r="M3205" s="0" t="s">
        <x:v>21</x:v>
      </x:c>
      <x:c r="N3205" s="0" t="s">
        <x:v>46</x:v>
      </x:c>
    </x:row>
    <x:row r="3206" spans="1:16">
      <x:c r="A3206" s="0" t="s">
        <x:v>12666</x:v>
      </x:c>
      <x:c r="B3206" s="0" t="s">
        <x:v>12667</x:v>
      </x:c>
      <x:c r="C3206" s="0" t="s">
        <x:v>12668</x:v>
      </x:c>
      <x:c r="E3206" s="0" t="s">
        <x:v>12669</x:v>
      </x:c>
      <x:c r="F3206" s="0" t="s">
        <x:v>45</x:v>
      </x:c>
      <x:c r="G3206" s="0" t="s">
        <x:v>19</x:v>
      </x:c>
      <x:c r="H3206" s="0" t="s">
        <x:v>20</x:v>
      </x:c>
      <x:c r="I3206" s="0" t="s">
        <x:v>21</x:v>
      </x:c>
      <x:c r="K3206" s="0">
        <x:f>hyperlink("https://icd.who.int/dev11/l-ichi/en#/http%3A%2F%2Fid.who.int%2Ficd%2Fentity%2F270726354","browser")</x:f>
      </x:c>
      <x:c r="L3206" s="0">
        <x:f>hyperlink("https://icat2.azurewebsites.net/icat/?ontology=ICD&amp;tab=ClassesTab&amp;id=http%3A%2F%2Fwho.int%2Ficd%2314563_512ebf36_bf6b_4d70_85da_cf2637062af4","iCat")</x:f>
      </x:c>
      <x:c r="M3206" s="0" t="s">
        <x:v>21</x:v>
      </x:c>
      <x:c r="N3206" s="0" t="s">
        <x:v>46</x:v>
      </x:c>
    </x:row>
    <x:row r="3207" spans="1:16">
      <x:c r="A3207" s="0" t="s">
        <x:v>12670</x:v>
      </x:c>
      <x:c r="B3207" s="0" t="s">
        <x:v>12671</x:v>
      </x:c>
      <x:c r="C3207" s="0" t="s">
        <x:v>12672</x:v>
      </x:c>
      <x:c r="E3207" s="0" t="s">
        <x:v>12673</x:v>
      </x:c>
      <x:c r="F3207" s="0" t="s">
        <x:v>45</x:v>
      </x:c>
      <x:c r="G3207" s="0" t="s">
        <x:v>19</x:v>
      </x:c>
      <x:c r="H3207" s="0" t="s">
        <x:v>20</x:v>
      </x:c>
      <x:c r="I3207" s="0" t="s">
        <x:v>21</x:v>
      </x:c>
      <x:c r="K3207" s="0">
        <x:f>hyperlink("https://icd.who.int/dev11/l-ichi/en#/http%3A%2F%2Fid.who.int%2Ficd%2Fentity%2F1063390846","browser")</x:f>
      </x:c>
      <x:c r="L3207" s="0">
        <x:f>hyperlink("https://icat2.azurewebsites.net/icat/?ontology=ICD&amp;tab=ClassesTab&amp;id=http%3A%2F%2Fwho.int%2Ficd%2314570_512ebf36_bf6b_4d70_85da_cf2637062af4","iCat")</x:f>
      </x:c>
      <x:c r="M3207" s="0" t="s">
        <x:v>21</x:v>
      </x:c>
      <x:c r="N3207" s="0" t="s">
        <x:v>46</x:v>
      </x:c>
    </x:row>
    <x:row r="3208" spans="1:16">
      <x:c r="A3208" s="0" t="s">
        <x:v>12674</x:v>
      </x:c>
      <x:c r="B3208" s="0" t="s">
        <x:v>12675</x:v>
      </x:c>
      <x:c r="C3208" s="0" t="s">
        <x:v>12676</x:v>
      </x:c>
      <x:c r="E3208" s="0" t="s">
        <x:v>12677</x:v>
      </x:c>
      <x:c r="F3208" s="0" t="s">
        <x:v>45</x:v>
      </x:c>
      <x:c r="G3208" s="0" t="s">
        <x:v>19</x:v>
      </x:c>
      <x:c r="H3208" s="0" t="s">
        <x:v>20</x:v>
      </x:c>
      <x:c r="I3208" s="0" t="s">
        <x:v>21</x:v>
      </x:c>
      <x:c r="K3208" s="0">
        <x:f>hyperlink("https://icd.who.int/dev11/l-ichi/en#/http%3A%2F%2Fid.who.int%2Ficd%2Fentity%2F1340122611","browser")</x:f>
      </x:c>
      <x:c r="L3208" s="0">
        <x:f>hyperlink("https://icat2.azurewebsites.net/icat/?ontology=ICD&amp;tab=ClassesTab&amp;id=http%3A%2F%2Fwho.int%2Ficd%2314577_512ebf36_bf6b_4d70_85da_cf2637062af4","iCat")</x:f>
      </x:c>
      <x:c r="M3208" s="0" t="s">
        <x:v>21</x:v>
      </x:c>
      <x:c r="N3208" s="0" t="s">
        <x:v>46</x:v>
      </x:c>
    </x:row>
    <x:row r="3209" spans="1:16">
      <x:c r="A3209" s="0" t="s">
        <x:v>12678</x:v>
      </x:c>
      <x:c r="B3209" s="0" t="s">
        <x:v>12679</x:v>
      </x:c>
      <x:c r="D3209" s="0" t="s">
        <x:v>12680</x:v>
      </x:c>
      <x:c r="E3209" s="0" t="s">
        <x:v>12681</x:v>
      </x:c>
      <x:c r="F3209" s="0" t="s">
        <x:v>26</x:v>
      </x:c>
      <x:c r="G3209" s="0" t="s">
        <x:v>22</x:v>
      </x:c>
      <x:c r="H3209" s="0" t="s">
        <x:v>20</x:v>
      </x:c>
      <x:c r="I3209" s="0" t="s">
        <x:v>21</x:v>
      </x:c>
      <x:c r="K3209" s="0">
        <x:f>hyperlink("https://icd.who.int/dev11/l-ichi/en#/http%3A%2F%2Fid.who.int%2Ficd%2Fentity%2F92009192","browser")</x:f>
      </x:c>
      <x:c r="L3209" s="0">
        <x:f>hyperlink("https://icat2.azurewebsites.net/icat/?ontology=ICD&amp;tab=ClassesTab&amp;id=http%3A%2F%2Fwho.int%2Ficd%2314585_512ebf36_bf6b_4d70_85da_cf2637062af4","iCat")</x:f>
      </x:c>
      <x:c r="M3209" s="0" t="s">
        <x:v>20</x:v>
      </x:c>
      <x:c r="N3209" s="0" t="s">
        <x:v>40</x:v>
      </x:c>
    </x:row>
    <x:row r="3210" spans="1:16">
      <x:c r="A3210" s="0" t="s">
        <x:v>12682</x:v>
      </x:c>
      <x:c r="B3210" s="0" t="s">
        <x:v>12683</x:v>
      </x:c>
      <x:c r="C3210" s="0" t="s">
        <x:v>12684</x:v>
      </x:c>
      <x:c r="E3210" s="0" t="s">
        <x:v>12685</x:v>
      </x:c>
      <x:c r="F3210" s="0" t="s">
        <x:v>45</x:v>
      </x:c>
      <x:c r="G3210" s="0" t="s">
        <x:v>19</x:v>
      </x:c>
      <x:c r="H3210" s="0" t="s">
        <x:v>20</x:v>
      </x:c>
      <x:c r="I3210" s="0" t="s">
        <x:v>21</x:v>
      </x:c>
      <x:c r="K3210" s="0">
        <x:f>hyperlink("https://icd.who.int/dev11/l-ichi/en#/http%3A%2F%2Fid.who.int%2Ficd%2Fentity%2F629309654","browser")</x:f>
      </x:c>
      <x:c r="L3210" s="0">
        <x:f>hyperlink("https://icat2.azurewebsites.net/icat/?ontology=ICD&amp;tab=ClassesTab&amp;id=http%3A%2F%2Fwho.int%2Ficd%2314584_512ebf36_bf6b_4d70_85da_cf2637062af4","iCat")</x:f>
      </x:c>
      <x:c r="M3210" s="0" t="s">
        <x:v>21</x:v>
      </x:c>
      <x:c r="N3210" s="0" t="s">
        <x:v>46</x:v>
      </x:c>
    </x:row>
    <x:row r="3211" spans="1:16">
      <x:c r="A3211" s="0" t="s">
        <x:v>12686</x:v>
      </x:c>
      <x:c r="B3211" s="0" t="s">
        <x:v>12687</x:v>
      </x:c>
      <x:c r="C3211" s="0" t="s">
        <x:v>12688</x:v>
      </x:c>
      <x:c r="E3211" s="0" t="s">
        <x:v>12689</x:v>
      </x:c>
      <x:c r="F3211" s="0" t="s">
        <x:v>45</x:v>
      </x:c>
      <x:c r="G3211" s="0" t="s">
        <x:v>19</x:v>
      </x:c>
      <x:c r="H3211" s="0" t="s">
        <x:v>20</x:v>
      </x:c>
      <x:c r="I3211" s="0" t="s">
        <x:v>21</x:v>
      </x:c>
      <x:c r="K3211" s="0">
        <x:f>hyperlink("https://icd.who.int/dev11/l-ichi/en#/http%3A%2F%2Fid.who.int%2Ficd%2Fentity%2F708511816","browser")</x:f>
      </x:c>
      <x:c r="L3211" s="0">
        <x:f>hyperlink("https://icat2.azurewebsites.net/icat/?ontology=ICD&amp;tab=ClassesTab&amp;id=http%3A%2F%2Fwho.int%2Ficd%2314596_512ebf36_bf6b_4d70_85da_cf2637062af4","iCat")</x:f>
      </x:c>
      <x:c r="M3211" s="0" t="s">
        <x:v>21</x:v>
      </x:c>
      <x:c r="N3211" s="0" t="s">
        <x:v>46</x:v>
      </x:c>
    </x:row>
    <x:row r="3212" spans="1:16">
      <x:c r="A3212" s="0" t="s">
        <x:v>12690</x:v>
      </x:c>
      <x:c r="B3212" s="0" t="s">
        <x:v>12691</x:v>
      </x:c>
      <x:c r="C3212" s="0" t="s">
        <x:v>12692</x:v>
      </x:c>
      <x:c r="E3212" s="0" t="s">
        <x:v>12693</x:v>
      </x:c>
      <x:c r="F3212" s="0" t="s">
        <x:v>45</x:v>
      </x:c>
      <x:c r="G3212" s="0" t="s">
        <x:v>19</x:v>
      </x:c>
      <x:c r="H3212" s="0" t="s">
        <x:v>20</x:v>
      </x:c>
      <x:c r="I3212" s="0" t="s">
        <x:v>21</x:v>
      </x:c>
      <x:c r="K3212" s="0">
        <x:f>hyperlink("https://icd.who.int/dev11/l-ichi/en#/http%3A%2F%2Fid.who.int%2Ficd%2Fentity%2F2064981877","browser")</x:f>
      </x:c>
      <x:c r="L3212" s="0">
        <x:f>hyperlink("https://icat2.azurewebsites.net/icat/?ontology=ICD&amp;tab=ClassesTab&amp;id=http%3A%2F%2Fwho.int%2Ficd%2314605_512ebf36_bf6b_4d70_85da_cf2637062af4","iCat")</x:f>
      </x:c>
      <x:c r="M3212" s="0" t="s">
        <x:v>21</x:v>
      </x:c>
      <x:c r="N3212" s="0" t="s">
        <x:v>46</x:v>
      </x:c>
    </x:row>
    <x:row r="3213" spans="1:16">
      <x:c r="A3213" s="0" t="s">
        <x:v>12694</x:v>
      </x:c>
      <x:c r="B3213" s="0" t="s">
        <x:v>12695</x:v>
      </x:c>
      <x:c r="C3213" s="0" t="s">
        <x:v>12696</x:v>
      </x:c>
      <x:c r="E3213" s="0" t="s">
        <x:v>12697</x:v>
      </x:c>
      <x:c r="F3213" s="0" t="s">
        <x:v>45</x:v>
      </x:c>
      <x:c r="G3213" s="0" t="s">
        <x:v>19</x:v>
      </x:c>
      <x:c r="H3213" s="0" t="s">
        <x:v>20</x:v>
      </x:c>
      <x:c r="I3213" s="0" t="s">
        <x:v>21</x:v>
      </x:c>
      <x:c r="K3213" s="0">
        <x:f>hyperlink("https://icd.who.int/dev11/l-ichi/en#/http%3A%2F%2Fid.who.int%2Ficd%2Fentity%2F618090072","browser")</x:f>
      </x:c>
      <x:c r="L3213" s="0">
        <x:f>hyperlink("https://icat2.azurewebsites.net/icat/?ontology=ICD&amp;tab=ClassesTab&amp;id=http%3A%2F%2Fwho.int%2Ficd%2314611_512ebf36_bf6b_4d70_85da_cf2637062af4","iCat")</x:f>
      </x:c>
      <x:c r="M3213" s="0" t="s">
        <x:v>21</x:v>
      </x:c>
      <x:c r="N3213" s="0" t="s">
        <x:v>46</x:v>
      </x:c>
    </x:row>
    <x:row r="3214" spans="1:16">
      <x:c r="A3214" s="0" t="s">
        <x:v>12698</x:v>
      </x:c>
      <x:c r="B3214" s="0" t="s">
        <x:v>12699</x:v>
      </x:c>
      <x:c r="C3214" s="0" t="s">
        <x:v>12700</x:v>
      </x:c>
      <x:c r="E3214" s="0" t="s">
        <x:v>12701</x:v>
      </x:c>
      <x:c r="F3214" s="0" t="s">
        <x:v>45</x:v>
      </x:c>
      <x:c r="G3214" s="0" t="s">
        <x:v>19</x:v>
      </x:c>
      <x:c r="H3214" s="0" t="s">
        <x:v>20</x:v>
      </x:c>
      <x:c r="I3214" s="0" t="s">
        <x:v>21</x:v>
      </x:c>
      <x:c r="K3214" s="0">
        <x:f>hyperlink("https://icd.who.int/dev11/l-ichi/en#/http%3A%2F%2Fid.who.int%2Ficd%2Fentity%2F1957468135","browser")</x:f>
      </x:c>
      <x:c r="L3214" s="0">
        <x:f>hyperlink("https://icat2.azurewebsites.net/icat/?ontology=ICD&amp;tab=ClassesTab&amp;id=http%3A%2F%2Fwho.int%2Ficd%2314617_512ebf36_bf6b_4d70_85da_cf2637062af4","iCat")</x:f>
      </x:c>
      <x:c r="M3214" s="0" t="s">
        <x:v>21</x:v>
      </x:c>
      <x:c r="N3214" s="0" t="s">
        <x:v>46</x:v>
      </x:c>
    </x:row>
    <x:row r="3215" spans="1:16">
      <x:c r="B3215" s="0" t="s">
        <x:v>12702</x:v>
      </x:c>
      <x:c r="C3215" s="0" t="s">
        <x:v>12703</x:v>
      </x:c>
      <x:c r="E3215" s="0" t="s">
        <x:v>12704</x:v>
      </x:c>
      <x:c r="F3215" s="0" t="s">
        <x:v>45</x:v>
      </x:c>
      <x:c r="G3215" s="0" t="s">
        <x:v>19</x:v>
      </x:c>
      <x:c r="H3215" s="0" t="s">
        <x:v>21</x:v>
      </x:c>
      <x:c r="I3215" s="0" t="s">
        <x:v>21</x:v>
      </x:c>
      <x:c r="K3215" s="0">
        <x:f>hyperlink("https://icd.who.int/dev11/l-ichi/en#/http%3A%2F%2Fid.who.int%2Ficd%2Fentity%2F1304914040%2Fichi%2Fother","browser")</x:f>
      </x:c>
      <x:c r="L3215" s="0">
        <x:f>hyperlink("","iCat")</x:f>
      </x:c>
      <x:c r="M3215" s="0" t="s">
        <x:v>21</x:v>
      </x:c>
      <x:c r="N3215" s="0" t="s">
        <x:v>46</x:v>
      </x:c>
    </x:row>
    <x:row r="3216" spans="1:16">
      <x:c r="B3216" s="0" t="s">
        <x:v>12705</x:v>
      </x:c>
      <x:c r="C3216" s="0" t="s">
        <x:v>12706</x:v>
      </x:c>
      <x:c r="E3216" s="0" t="s">
        <x:v>12707</x:v>
      </x:c>
      <x:c r="F3216" s="0" t="s">
        <x:v>45</x:v>
      </x:c>
      <x:c r="G3216" s="0" t="s">
        <x:v>19</x:v>
      </x:c>
      <x:c r="H3216" s="0" t="s">
        <x:v>21</x:v>
      </x:c>
      <x:c r="I3216" s="0" t="s">
        <x:v>21</x:v>
      </x:c>
      <x:c r="K3216" s="0">
        <x:f>hyperlink("https://icd.who.int/dev11/l-ichi/en#/http%3A%2F%2Fid.who.int%2Ficd%2Fentity%2F1304914040%2Fichi%2Funspecified","browser")</x:f>
      </x:c>
      <x:c r="L3216" s="0">
        <x:f>hyperlink("","iCat")</x:f>
      </x:c>
      <x:c r="M3216" s="0" t="s">
        <x:v>21</x:v>
      </x:c>
      <x:c r="N3216" s="0" t="s">
        <x:v>46</x:v>
      </x:c>
    </x:row>
    <x:row r="3217" spans="1:16">
      <x:c r="A3217" s="0" t="s">
        <x:v>12708</x:v>
      </x:c>
      <x:c r="B3217" s="0" t="s">
        <x:v>12709</x:v>
      </x:c>
      <x:c r="D3217" s="0" t="s">
        <x:v>12710</x:v>
      </x:c>
      <x:c r="E3217" s="0" t="s">
        <x:v>12711</x:v>
      </x:c>
      <x:c r="F3217" s="0" t="s">
        <x:v>26</x:v>
      </x:c>
      <x:c r="G3217" s="0" t="s">
        <x:v>35</x:v>
      </x:c>
      <x:c r="H3217" s="0" t="s">
        <x:v>20</x:v>
      </x:c>
      <x:c r="I3217" s="0" t="s">
        <x:v>21</x:v>
      </x:c>
      <x:c r="K3217" s="0">
        <x:f>hyperlink("https://icd.who.int/dev11/l-ichi/en#/http%3A%2F%2Fid.who.int%2Ficd%2Fentity%2F1343064949","browser")</x:f>
      </x:c>
      <x:c r="L3217" s="0">
        <x:f>hyperlink("https://icat2.azurewebsites.net/icat/?ontology=ICD&amp;tab=ClassesTab&amp;id=http%3A%2F%2Fwho.int%2Ficd%2314648_512ebf36_bf6b_4d70_85da_cf2637062af4","iCat")</x:f>
      </x:c>
      <x:c r="M3217" s="0" t="s">
        <x:v>20</x:v>
      </x:c>
      <x:c r="N3217" s="0" t="s">
        <x:v>206</x:v>
      </x:c>
    </x:row>
    <x:row r="3218" spans="1:16">
      <x:c r="A3218" s="0" t="s">
        <x:v>12712</x:v>
      </x:c>
      <x:c r="B3218" s="0" t="s">
        <x:v>12713</x:v>
      </x:c>
      <x:c r="D3218" s="0" t="s">
        <x:v>12714</x:v>
      </x:c>
      <x:c r="E3218" s="0" t="s">
        <x:v>12715</x:v>
      </x:c>
      <x:c r="F3218" s="0" t="s">
        <x:v>26</x:v>
      </x:c>
      <x:c r="G3218" s="0" t="s">
        <x:v>22</x:v>
      </x:c>
      <x:c r="H3218" s="0" t="s">
        <x:v>20</x:v>
      </x:c>
      <x:c r="I3218" s="0" t="s">
        <x:v>21</x:v>
      </x:c>
      <x:c r="K3218" s="0">
        <x:f>hyperlink("https://icd.who.int/dev11/l-ichi/en#/http%3A%2F%2Fid.who.int%2Ficd%2Fentity%2F1095674627","browser")</x:f>
      </x:c>
      <x:c r="L3218" s="0">
        <x:f>hyperlink("https://icat2.azurewebsites.net/icat/?ontology=ICD&amp;tab=ClassesTab&amp;id=http%3A%2F%2Fwho.int%2Ficd%2314654_512ebf36_bf6b_4d70_85da_cf2637062af4","iCat")</x:f>
      </x:c>
      <x:c r="M3218" s="0" t="s">
        <x:v>20</x:v>
      </x:c>
      <x:c r="N3218" s="0" t="s">
        <x:v>12716</x:v>
      </x:c>
    </x:row>
    <x:row r="3219" spans="1:16">
      <x:c r="A3219" s="0" t="s">
        <x:v>12717</x:v>
      </x:c>
      <x:c r="B3219" s="0" t="s">
        <x:v>12718</x:v>
      </x:c>
      <x:c r="C3219" s="0" t="s">
        <x:v>12719</x:v>
      </x:c>
      <x:c r="E3219" s="0" t="s">
        <x:v>12720</x:v>
      </x:c>
      <x:c r="F3219" s="0" t="s">
        <x:v>45</x:v>
      </x:c>
      <x:c r="G3219" s="0" t="s">
        <x:v>19</x:v>
      </x:c>
      <x:c r="H3219" s="0" t="s">
        <x:v>20</x:v>
      </x:c>
      <x:c r="I3219" s="0" t="s">
        <x:v>21</x:v>
      </x:c>
      <x:c r="K3219" s="0">
        <x:f>hyperlink("https://icd.who.int/dev11/l-ichi/en#/http%3A%2F%2Fid.who.int%2Ficd%2Fentity%2F1846432173","browser")</x:f>
      </x:c>
      <x:c r="L3219" s="0">
        <x:f>hyperlink("https://icat2.azurewebsites.net/icat/?ontology=ICD&amp;tab=ClassesTab&amp;id=http%3A%2F%2Fwho.int%2Ficd%2314647_512ebf36_bf6b_4d70_85da_cf2637062af4","iCat")</x:f>
      </x:c>
      <x:c r="M3219" s="0" t="s">
        <x:v>21</x:v>
      </x:c>
      <x:c r="N3219" s="0" t="s">
        <x:v>46</x:v>
      </x:c>
    </x:row>
    <x:row r="3220" spans="1:16">
      <x:c r="A3220" s="0" t="s">
        <x:v>12721</x:v>
      </x:c>
      <x:c r="B3220" s="0" t="s">
        <x:v>12722</x:v>
      </x:c>
      <x:c r="C3220" s="0" t="s">
        <x:v>12723</x:v>
      </x:c>
      <x:c r="E3220" s="0" t="s">
        <x:v>12724</x:v>
      </x:c>
      <x:c r="F3220" s="0" t="s">
        <x:v>45</x:v>
      </x:c>
      <x:c r="G3220" s="0" t="s">
        <x:v>19</x:v>
      </x:c>
      <x:c r="H3220" s="0" t="s">
        <x:v>20</x:v>
      </x:c>
      <x:c r="I3220" s="0" t="s">
        <x:v>21</x:v>
      </x:c>
      <x:c r="K3220" s="0">
        <x:f>hyperlink("https://icd.who.int/dev11/l-ichi/en#/http%3A%2F%2Fid.who.int%2Ficd%2Fentity%2F554080570","browser")</x:f>
      </x:c>
      <x:c r="L3220" s="0">
        <x:f>hyperlink("https://icat2.azurewebsites.net/icat/?ontology=ICD&amp;tab=ClassesTab&amp;id=http%3A%2F%2Fwho.int%2Ficd%2314665_512ebf36_bf6b_4d70_85da_cf2637062af4","iCat")</x:f>
      </x:c>
      <x:c r="M3220" s="0" t="s">
        <x:v>21</x:v>
      </x:c>
      <x:c r="N3220" s="0" t="s">
        <x:v>46</x:v>
      </x:c>
    </x:row>
    <x:row r="3221" spans="1:16">
      <x:c r="A3221" s="0" t="s">
        <x:v>12725</x:v>
      </x:c>
      <x:c r="B3221" s="0" t="s">
        <x:v>12726</x:v>
      </x:c>
      <x:c r="C3221" s="0" t="s">
        <x:v>12727</x:v>
      </x:c>
      <x:c r="E3221" s="0" t="s">
        <x:v>12728</x:v>
      </x:c>
      <x:c r="F3221" s="0" t="s">
        <x:v>45</x:v>
      </x:c>
      <x:c r="G3221" s="0" t="s">
        <x:v>19</x:v>
      </x:c>
      <x:c r="H3221" s="0" t="s">
        <x:v>20</x:v>
      </x:c>
      <x:c r="I3221" s="0" t="s">
        <x:v>21</x:v>
      </x:c>
      <x:c r="K3221" s="0">
        <x:f>hyperlink("https://icd.who.int/dev11/l-ichi/en#/http%3A%2F%2Fid.who.int%2Ficd%2Fentity%2F994158564","browser")</x:f>
      </x:c>
      <x:c r="L3221" s="0">
        <x:f>hyperlink("https://icat2.azurewebsites.net/icat/?ontology=ICD&amp;tab=ClassesTab&amp;id=http%3A%2F%2Fwho.int%2Ficd%2314672_512ebf36_bf6b_4d70_85da_cf2637062af4","iCat")</x:f>
      </x:c>
      <x:c r="M3221" s="0" t="s">
        <x:v>21</x:v>
      </x:c>
      <x:c r="N3221" s="0" t="s">
        <x:v>46</x:v>
      </x:c>
    </x:row>
    <x:row r="3222" spans="1:16">
      <x:c r="A3222" s="0" t="s">
        <x:v>12729</x:v>
      </x:c>
      <x:c r="B3222" s="0" t="s">
        <x:v>12730</x:v>
      </x:c>
      <x:c r="C3222" s="0" t="s">
        <x:v>12731</x:v>
      </x:c>
      <x:c r="E3222" s="0" t="s">
        <x:v>12732</x:v>
      </x:c>
      <x:c r="F3222" s="0" t="s">
        <x:v>45</x:v>
      </x:c>
      <x:c r="G3222" s="0" t="s">
        <x:v>19</x:v>
      </x:c>
      <x:c r="H3222" s="0" t="s">
        <x:v>20</x:v>
      </x:c>
      <x:c r="I3222" s="0" t="s">
        <x:v>21</x:v>
      </x:c>
      <x:c r="K3222" s="0">
        <x:f>hyperlink("https://icd.who.int/dev11/l-ichi/en#/http%3A%2F%2Fid.who.int%2Ficd%2Fentity%2F346484030","browser")</x:f>
      </x:c>
      <x:c r="L3222" s="0">
        <x:f>hyperlink("https://icat2.azurewebsites.net/icat/?ontology=ICD&amp;tab=ClassesTab&amp;id=http%3A%2F%2Fwho.int%2Ficd%2314682_512ebf36_bf6b_4d70_85da_cf2637062af4","iCat")</x:f>
      </x:c>
      <x:c r="M3222" s="0" t="s">
        <x:v>21</x:v>
      </x:c>
      <x:c r="N3222" s="0" t="s">
        <x:v>46</x:v>
      </x:c>
    </x:row>
    <x:row r="3223" spans="1:16">
      <x:c r="A3223" s="0" t="s">
        <x:v>12733</x:v>
      </x:c>
      <x:c r="B3223" s="0" t="s">
        <x:v>12734</x:v>
      </x:c>
      <x:c r="C3223" s="0" t="s">
        <x:v>12735</x:v>
      </x:c>
      <x:c r="E3223" s="0" t="s">
        <x:v>12736</x:v>
      </x:c>
      <x:c r="F3223" s="0" t="s">
        <x:v>45</x:v>
      </x:c>
      <x:c r="G3223" s="0" t="s">
        <x:v>19</x:v>
      </x:c>
      <x:c r="H3223" s="0" t="s">
        <x:v>20</x:v>
      </x:c>
      <x:c r="I3223" s="0" t="s">
        <x:v>21</x:v>
      </x:c>
      <x:c r="K3223" s="0">
        <x:f>hyperlink("https://icd.who.int/dev11/l-ichi/en#/http%3A%2F%2Fid.who.int%2Ficd%2Fentity%2F1004935058","browser")</x:f>
      </x:c>
      <x:c r="L3223" s="0">
        <x:f>hyperlink("https://icat2.azurewebsites.net/icat/?ontology=ICD&amp;tab=ClassesTab&amp;id=http%3A%2F%2Fwho.int%2Ficd%2314691_512ebf36_bf6b_4d70_85da_cf2637062af4","iCat")</x:f>
      </x:c>
      <x:c r="M3223" s="0" t="s">
        <x:v>21</x:v>
      </x:c>
      <x:c r="N3223" s="0" t="s">
        <x:v>46</x:v>
      </x:c>
    </x:row>
    <x:row r="3224" spans="1:16">
      <x:c r="A3224" s="0" t="s">
        <x:v>12737</x:v>
      </x:c>
      <x:c r="B3224" s="0" t="s">
        <x:v>12738</x:v>
      </x:c>
      <x:c r="C3224" s="0" t="s">
        <x:v>12739</x:v>
      </x:c>
      <x:c r="E3224" s="0" t="s">
        <x:v>12740</x:v>
      </x:c>
      <x:c r="F3224" s="0" t="s">
        <x:v>45</x:v>
      </x:c>
      <x:c r="G3224" s="0" t="s">
        <x:v>19</x:v>
      </x:c>
      <x:c r="H3224" s="0" t="s">
        <x:v>20</x:v>
      </x:c>
      <x:c r="I3224" s="0" t="s">
        <x:v>21</x:v>
      </x:c>
      <x:c r="K3224" s="0">
        <x:f>hyperlink("https://icd.who.int/dev11/l-ichi/en#/http%3A%2F%2Fid.who.int%2Ficd%2Fentity%2F1805504035","browser")</x:f>
      </x:c>
      <x:c r="L3224" s="0">
        <x:f>hyperlink("https://icat2.azurewebsites.net/icat/?ontology=ICD&amp;tab=ClassesTab&amp;id=http%3A%2F%2Fwho.int%2Ficd%2314697_512ebf36_bf6b_4d70_85da_cf2637062af4","iCat")</x:f>
      </x:c>
      <x:c r="M3224" s="0" t="s">
        <x:v>21</x:v>
      </x:c>
      <x:c r="N3224" s="0" t="s">
        <x:v>46</x:v>
      </x:c>
    </x:row>
    <x:row r="3225" spans="1:16">
      <x:c r="A3225" s="0" t="s">
        <x:v>12741</x:v>
      </x:c>
      <x:c r="B3225" s="0" t="s">
        <x:v>12742</x:v>
      </x:c>
      <x:c r="C3225" s="0" t="s">
        <x:v>12743</x:v>
      </x:c>
      <x:c r="E3225" s="0" t="s">
        <x:v>12744</x:v>
      </x:c>
      <x:c r="F3225" s="0" t="s">
        <x:v>45</x:v>
      </x:c>
      <x:c r="G3225" s="0" t="s">
        <x:v>19</x:v>
      </x:c>
      <x:c r="H3225" s="0" t="s">
        <x:v>20</x:v>
      </x:c>
      <x:c r="I3225" s="0" t="s">
        <x:v>21</x:v>
      </x:c>
      <x:c r="K3225" s="0">
        <x:f>hyperlink("https://icd.who.int/dev11/l-ichi/en#/http%3A%2F%2Fid.who.int%2Ficd%2Fentity%2F779332566","browser")</x:f>
      </x:c>
      <x:c r="L3225" s="0">
        <x:f>hyperlink("https://icat2.azurewebsites.net/icat/?ontology=ICD&amp;tab=ClassesTab&amp;id=http%3A%2F%2Fwho.int%2Ficd%2314704_512ebf36_bf6b_4d70_85da_cf2637062af4","iCat")</x:f>
      </x:c>
      <x:c r="M3225" s="0" t="s">
        <x:v>21</x:v>
      </x:c>
      <x:c r="N3225" s="0" t="s">
        <x:v>46</x:v>
      </x:c>
    </x:row>
    <x:row r="3226" spans="1:16">
      <x:c r="A3226" s="0" t="s">
        <x:v>12745</x:v>
      </x:c>
      <x:c r="B3226" s="0" t="s">
        <x:v>12746</x:v>
      </x:c>
      <x:c r="C3226" s="0" t="s">
        <x:v>12747</x:v>
      </x:c>
      <x:c r="E3226" s="0" t="s">
        <x:v>12748</x:v>
      </x:c>
      <x:c r="F3226" s="0" t="s">
        <x:v>45</x:v>
      </x:c>
      <x:c r="G3226" s="0" t="s">
        <x:v>19</x:v>
      </x:c>
      <x:c r="H3226" s="0" t="s">
        <x:v>20</x:v>
      </x:c>
      <x:c r="I3226" s="0" t="s">
        <x:v>21</x:v>
      </x:c>
      <x:c r="K3226" s="0">
        <x:f>hyperlink("https://icd.who.int/dev11/l-ichi/en#/http%3A%2F%2Fid.who.int%2Ficd%2Fentity%2F1363708107","browser")</x:f>
      </x:c>
      <x:c r="L3226" s="0">
        <x:f>hyperlink("https://icat2.azurewebsites.net/icat/?ontology=ICD&amp;tab=ClassesTab&amp;id=http%3A%2F%2Fwho.int%2Ficd%2314711_512ebf36_bf6b_4d70_85da_cf2637062af4","iCat")</x:f>
      </x:c>
      <x:c r="M3226" s="0" t="s">
        <x:v>21</x:v>
      </x:c>
      <x:c r="N3226" s="0" t="s">
        <x:v>46</x:v>
      </x:c>
    </x:row>
    <x:row r="3227" spans="1:16">
      <x:c r="A3227" s="0" t="s">
        <x:v>12749</x:v>
      </x:c>
      <x:c r="B3227" s="0" t="s">
        <x:v>12750</x:v>
      </x:c>
      <x:c r="C3227" s="0" t="s">
        <x:v>12751</x:v>
      </x:c>
      <x:c r="E3227" s="0" t="s">
        <x:v>12752</x:v>
      </x:c>
      <x:c r="F3227" s="0" t="s">
        <x:v>45</x:v>
      </x:c>
      <x:c r="G3227" s="0" t="s">
        <x:v>19</x:v>
      </x:c>
      <x:c r="H3227" s="0" t="s">
        <x:v>20</x:v>
      </x:c>
      <x:c r="I3227" s="0" t="s">
        <x:v>21</x:v>
      </x:c>
      <x:c r="K3227" s="0">
        <x:f>hyperlink("https://icd.who.int/dev11/l-ichi/en#/http%3A%2F%2Fid.who.int%2Ficd%2Fentity%2F822131442","browser")</x:f>
      </x:c>
      <x:c r="L3227" s="0">
        <x:f>hyperlink("https://icat2.azurewebsites.net/icat/?ontology=ICD&amp;tab=ClassesTab&amp;id=http%3A%2F%2Fwho.int%2Ficd%2314720_512ebf36_bf6b_4d70_85da_cf2637062af4","iCat")</x:f>
      </x:c>
      <x:c r="M3227" s="0" t="s">
        <x:v>21</x:v>
      </x:c>
      <x:c r="N3227" s="0" t="s">
        <x:v>46</x:v>
      </x:c>
    </x:row>
    <x:row r="3228" spans="1:16">
      <x:c r="A3228" s="0" t="s">
        <x:v>12753</x:v>
      </x:c>
      <x:c r="B3228" s="0" t="s">
        <x:v>12754</x:v>
      </x:c>
      <x:c r="C3228" s="0" t="s">
        <x:v>12755</x:v>
      </x:c>
      <x:c r="E3228" s="0" t="s">
        <x:v>12756</x:v>
      </x:c>
      <x:c r="F3228" s="0" t="s">
        <x:v>45</x:v>
      </x:c>
      <x:c r="G3228" s="0" t="s">
        <x:v>19</x:v>
      </x:c>
      <x:c r="H3228" s="0" t="s">
        <x:v>20</x:v>
      </x:c>
      <x:c r="I3228" s="0" t="s">
        <x:v>21</x:v>
      </x:c>
      <x:c r="K3228" s="0">
        <x:f>hyperlink("https://icd.who.int/dev11/l-ichi/en#/http%3A%2F%2Fid.who.int%2Ficd%2Fentity%2F1099043197","browser")</x:f>
      </x:c>
      <x:c r="L3228" s="0">
        <x:f>hyperlink("https://icat2.azurewebsites.net/icat/?ontology=ICD&amp;tab=ClassesTab&amp;id=http%3A%2F%2Fwho.int%2Ficd%2314727_512ebf36_bf6b_4d70_85da_cf2637062af4","iCat")</x:f>
      </x:c>
      <x:c r="M3228" s="0" t="s">
        <x:v>21</x:v>
      </x:c>
      <x:c r="N3228" s="0" t="s">
        <x:v>46</x:v>
      </x:c>
    </x:row>
    <x:row r="3229" spans="1:16">
      <x:c r="A3229" s="0" t="s">
        <x:v>12757</x:v>
      </x:c>
      <x:c r="B3229" s="0" t="s">
        <x:v>12758</x:v>
      </x:c>
      <x:c r="C3229" s="0" t="s">
        <x:v>12759</x:v>
      </x:c>
      <x:c r="E3229" s="0" t="s">
        <x:v>12760</x:v>
      </x:c>
      <x:c r="F3229" s="0" t="s">
        <x:v>45</x:v>
      </x:c>
      <x:c r="G3229" s="0" t="s">
        <x:v>19</x:v>
      </x:c>
      <x:c r="H3229" s="0" t="s">
        <x:v>20</x:v>
      </x:c>
      <x:c r="I3229" s="0" t="s">
        <x:v>21</x:v>
      </x:c>
      <x:c r="K3229" s="0">
        <x:f>hyperlink("https://icd.who.int/dev11/l-ichi/en#/http%3A%2F%2Fid.who.int%2Ficd%2Fentity%2F1312528879","browser")</x:f>
      </x:c>
      <x:c r="L3229" s="0">
        <x:f>hyperlink("https://icat2.azurewebsites.net/icat/?ontology=ICD&amp;tab=ClassesTab&amp;id=http%3A%2F%2Fwho.int%2Ficd%2314735_512ebf36_bf6b_4d70_85da_cf2637062af4","iCat")</x:f>
      </x:c>
      <x:c r="M3229" s="0" t="s">
        <x:v>21</x:v>
      </x:c>
      <x:c r="N3229" s="0" t="s">
        <x:v>46</x:v>
      </x:c>
    </x:row>
    <x:row r="3230" spans="1:16">
      <x:c r="A3230" s="0" t="s">
        <x:v>12761</x:v>
      </x:c>
      <x:c r="B3230" s="0" t="s">
        <x:v>12762</x:v>
      </x:c>
      <x:c r="C3230" s="0" t="s">
        <x:v>12763</x:v>
      </x:c>
      <x:c r="E3230" s="0" t="s">
        <x:v>12764</x:v>
      </x:c>
      <x:c r="F3230" s="0" t="s">
        <x:v>45</x:v>
      </x:c>
      <x:c r="G3230" s="0" t="s">
        <x:v>19</x:v>
      </x:c>
      <x:c r="H3230" s="0" t="s">
        <x:v>20</x:v>
      </x:c>
      <x:c r="I3230" s="0" t="s">
        <x:v>21</x:v>
      </x:c>
      <x:c r="K3230" s="0">
        <x:f>hyperlink("https://icd.who.int/dev11/l-ichi/en#/http%3A%2F%2Fid.who.int%2Ficd%2Fentity%2F1578432713","browser")</x:f>
      </x:c>
      <x:c r="L3230" s="0">
        <x:f>hyperlink("https://icat2.azurewebsites.net/icat/?ontology=ICD&amp;tab=ClassesTab&amp;id=http%3A%2F%2Fwho.int%2Ficd%2314744_512ebf36_bf6b_4d70_85da_cf2637062af4","iCat")</x:f>
      </x:c>
      <x:c r="M3230" s="0" t="s">
        <x:v>21</x:v>
      </x:c>
      <x:c r="N3230" s="0" t="s">
        <x:v>46</x:v>
      </x:c>
    </x:row>
    <x:row r="3231" spans="1:16">
      <x:c r="A3231" s="0" t="s">
        <x:v>12765</x:v>
      </x:c>
      <x:c r="B3231" s="0" t="s">
        <x:v>12766</x:v>
      </x:c>
      <x:c r="C3231" s="0" t="s">
        <x:v>12767</x:v>
      </x:c>
      <x:c r="E3231" s="0" t="s">
        <x:v>12768</x:v>
      </x:c>
      <x:c r="F3231" s="0" t="s">
        <x:v>45</x:v>
      </x:c>
      <x:c r="G3231" s="0" t="s">
        <x:v>19</x:v>
      </x:c>
      <x:c r="H3231" s="0" t="s">
        <x:v>20</x:v>
      </x:c>
      <x:c r="I3231" s="0" t="s">
        <x:v>21</x:v>
      </x:c>
      <x:c r="K3231" s="0">
        <x:f>hyperlink("https://icd.who.int/dev11/l-ichi/en#/http%3A%2F%2Fid.who.int%2Ficd%2Fentity%2F1146340883","browser")</x:f>
      </x:c>
      <x:c r="L3231" s="0">
        <x:f>hyperlink("https://icat2.azurewebsites.net/icat/?ontology=ICD&amp;tab=ClassesTab&amp;id=http%3A%2F%2Fwho.int%2Ficd%2314753_512ebf36_bf6b_4d70_85da_cf2637062af4","iCat")</x:f>
      </x:c>
      <x:c r="M3231" s="0" t="s">
        <x:v>21</x:v>
      </x:c>
      <x:c r="N3231" s="0" t="s">
        <x:v>46</x:v>
      </x:c>
    </x:row>
    <x:row r="3232" spans="1:16">
      <x:c r="A3232" s="0" t="s">
        <x:v>12769</x:v>
      </x:c>
      <x:c r="B3232" s="0" t="s">
        <x:v>12770</x:v>
      </x:c>
      <x:c r="C3232" s="0" t="s">
        <x:v>12771</x:v>
      </x:c>
      <x:c r="E3232" s="0" t="s">
        <x:v>12772</x:v>
      </x:c>
      <x:c r="F3232" s="0" t="s">
        <x:v>45</x:v>
      </x:c>
      <x:c r="G3232" s="0" t="s">
        <x:v>19</x:v>
      </x:c>
      <x:c r="H3232" s="0" t="s">
        <x:v>20</x:v>
      </x:c>
      <x:c r="I3232" s="0" t="s">
        <x:v>21</x:v>
      </x:c>
      <x:c r="K3232" s="0">
        <x:f>hyperlink("https://icd.who.int/dev11/l-ichi/en#/http%3A%2F%2Fid.who.int%2Ficd%2Fentity%2F790620804","browser")</x:f>
      </x:c>
      <x:c r="L3232" s="0">
        <x:f>hyperlink("https://icat2.azurewebsites.net/icat/?ontology=ICD&amp;tab=ClassesTab&amp;id=http%3A%2F%2Fwho.int%2Ficd%2314769_512ebf36_bf6b_4d70_85da_cf2637062af4","iCat")</x:f>
      </x:c>
      <x:c r="M3232" s="0" t="s">
        <x:v>21</x:v>
      </x:c>
      <x:c r="N3232" s="0" t="s">
        <x:v>46</x:v>
      </x:c>
    </x:row>
    <x:row r="3233" spans="1:16">
      <x:c r="A3233" s="0" t="s">
        <x:v>12773</x:v>
      </x:c>
      <x:c r="B3233" s="0" t="s">
        <x:v>12774</x:v>
      </x:c>
      <x:c r="C3233" s="0" t="s">
        <x:v>12775</x:v>
      </x:c>
      <x:c r="E3233" s="0" t="s">
        <x:v>12776</x:v>
      </x:c>
      <x:c r="F3233" s="0" t="s">
        <x:v>45</x:v>
      </x:c>
      <x:c r="G3233" s="0" t="s">
        <x:v>19</x:v>
      </x:c>
      <x:c r="H3233" s="0" t="s">
        <x:v>20</x:v>
      </x:c>
      <x:c r="I3233" s="0" t="s">
        <x:v>21</x:v>
      </x:c>
      <x:c r="K3233" s="0">
        <x:f>hyperlink("https://icd.who.int/dev11/l-ichi/en#/http%3A%2F%2Fid.who.int%2Ficd%2Fentity%2F2077861131","browser")</x:f>
      </x:c>
      <x:c r="L3233" s="0">
        <x:f>hyperlink("https://icat2.azurewebsites.net/icat/?ontology=ICD&amp;tab=ClassesTab&amp;id=http%3A%2F%2Fwho.int%2Ficd%2314776_512ebf36_bf6b_4d70_85da_cf2637062af4","iCat")</x:f>
      </x:c>
      <x:c r="M3233" s="0" t="s">
        <x:v>21</x:v>
      </x:c>
      <x:c r="N3233" s="0" t="s">
        <x:v>46</x:v>
      </x:c>
    </x:row>
    <x:row r="3234" spans="1:16">
      <x:c r="A3234" s="0" t="s">
        <x:v>12777</x:v>
      </x:c>
      <x:c r="B3234" s="0" t="s">
        <x:v>12778</x:v>
      </x:c>
      <x:c r="C3234" s="0" t="s">
        <x:v>12779</x:v>
      </x:c>
      <x:c r="E3234" s="0" t="s">
        <x:v>12780</x:v>
      </x:c>
      <x:c r="F3234" s="0" t="s">
        <x:v>45</x:v>
      </x:c>
      <x:c r="G3234" s="0" t="s">
        <x:v>19</x:v>
      </x:c>
      <x:c r="H3234" s="0" t="s">
        <x:v>20</x:v>
      </x:c>
      <x:c r="I3234" s="0" t="s">
        <x:v>21</x:v>
      </x:c>
      <x:c r="K3234" s="0">
        <x:f>hyperlink("https://icd.who.int/dev11/l-ichi/en#/http%3A%2F%2Fid.who.int%2Ficd%2Fentity%2F826470928","browser")</x:f>
      </x:c>
      <x:c r="L3234" s="0">
        <x:f>hyperlink("https://icat2.azurewebsites.net/icat/?ontology=ICD&amp;tab=ClassesTab&amp;id=http%3A%2F%2Fwho.int%2Ficd%2314784_512ebf36_bf6b_4d70_85da_cf2637062af4","iCat")</x:f>
      </x:c>
      <x:c r="M3234" s="0" t="s">
        <x:v>21</x:v>
      </x:c>
      <x:c r="N3234" s="0" t="s">
        <x:v>46</x:v>
      </x:c>
    </x:row>
    <x:row r="3235" spans="1:16">
      <x:c r="A3235" s="0" t="s">
        <x:v>12781</x:v>
      </x:c>
      <x:c r="B3235" s="0" t="s">
        <x:v>12782</x:v>
      </x:c>
      <x:c r="C3235" s="0" t="s">
        <x:v>12783</x:v>
      </x:c>
      <x:c r="E3235" s="0" t="s">
        <x:v>12784</x:v>
      </x:c>
      <x:c r="F3235" s="0" t="s">
        <x:v>45</x:v>
      </x:c>
      <x:c r="G3235" s="0" t="s">
        <x:v>19</x:v>
      </x:c>
      <x:c r="H3235" s="0" t="s">
        <x:v>20</x:v>
      </x:c>
      <x:c r="I3235" s="0" t="s">
        <x:v>21</x:v>
      </x:c>
      <x:c r="K3235" s="0">
        <x:f>hyperlink("https://icd.who.int/dev11/l-ichi/en#/http%3A%2F%2Fid.who.int%2Ficd%2Fentity%2F1853924147","browser")</x:f>
      </x:c>
      <x:c r="L3235" s="0">
        <x:f>hyperlink("https://icat2.azurewebsites.net/icat/?ontology=ICD&amp;tab=ClassesTab&amp;id=http%3A%2F%2Fwho.int%2Ficd%2314790_512ebf36_bf6b_4d70_85da_cf2637062af4","iCat")</x:f>
      </x:c>
      <x:c r="M3235" s="0" t="s">
        <x:v>21</x:v>
      </x:c>
      <x:c r="N3235" s="0" t="s">
        <x:v>46</x:v>
      </x:c>
    </x:row>
    <x:row r="3236" spans="1:16">
      <x:c r="A3236" s="0" t="s">
        <x:v>12785</x:v>
      </x:c>
      <x:c r="B3236" s="0" t="s">
        <x:v>12786</x:v>
      </x:c>
      <x:c r="C3236" s="0" t="s">
        <x:v>12787</x:v>
      </x:c>
      <x:c r="E3236" s="0" t="s">
        <x:v>12788</x:v>
      </x:c>
      <x:c r="F3236" s="0" t="s">
        <x:v>45</x:v>
      </x:c>
      <x:c r="G3236" s="0" t="s">
        <x:v>19</x:v>
      </x:c>
      <x:c r="H3236" s="0" t="s">
        <x:v>20</x:v>
      </x:c>
      <x:c r="I3236" s="0" t="s">
        <x:v>21</x:v>
      </x:c>
      <x:c r="K3236" s="0">
        <x:f>hyperlink("https://icd.who.int/dev11/l-ichi/en#/http%3A%2F%2Fid.who.int%2Ficd%2Fentity%2F16293978","browser")</x:f>
      </x:c>
      <x:c r="L3236" s="0">
        <x:f>hyperlink("https://icat2.azurewebsites.net/icat/?ontology=ICD&amp;tab=ClassesTab&amp;id=http%3A%2F%2Fwho.int%2Ficd%2314799_512ebf36_bf6b_4d70_85da_cf2637062af4","iCat")</x:f>
      </x:c>
      <x:c r="M3236" s="0" t="s">
        <x:v>21</x:v>
      </x:c>
      <x:c r="N3236" s="0" t="s">
        <x:v>46</x:v>
      </x:c>
    </x:row>
    <x:row r="3237" spans="1:16">
      <x:c r="A3237" s="0" t="s">
        <x:v>12789</x:v>
      </x:c>
      <x:c r="B3237" s="0" t="s">
        <x:v>12790</x:v>
      </x:c>
      <x:c r="C3237" s="0" t="s">
        <x:v>12791</x:v>
      </x:c>
      <x:c r="E3237" s="0" t="s">
        <x:v>12792</x:v>
      </x:c>
      <x:c r="F3237" s="0" t="s">
        <x:v>45</x:v>
      </x:c>
      <x:c r="G3237" s="0" t="s">
        <x:v>19</x:v>
      </x:c>
      <x:c r="H3237" s="0" t="s">
        <x:v>20</x:v>
      </x:c>
      <x:c r="I3237" s="0" t="s">
        <x:v>21</x:v>
      </x:c>
      <x:c r="K3237" s="0">
        <x:f>hyperlink("https://icd.who.int/dev11/l-ichi/en#/http%3A%2F%2Fid.who.int%2Ficd%2Fentity%2F599297779","browser")</x:f>
      </x:c>
      <x:c r="L3237" s="0">
        <x:f>hyperlink("https://icat2.azurewebsites.net/icat/?ontology=ICD&amp;tab=ClassesTab&amp;id=http%3A%2F%2Fwho.int%2Ficd%2314808_512ebf36_bf6b_4d70_85da_cf2637062af4","iCat")</x:f>
      </x:c>
      <x:c r="M3237" s="0" t="s">
        <x:v>21</x:v>
      </x:c>
      <x:c r="N3237" s="0" t="s">
        <x:v>46</x:v>
      </x:c>
    </x:row>
    <x:row r="3238" spans="1:16">
      <x:c r="A3238" s="0" t="s">
        <x:v>12793</x:v>
      </x:c>
      <x:c r="B3238" s="0" t="s">
        <x:v>12794</x:v>
      </x:c>
      <x:c r="C3238" s="0" t="s">
        <x:v>12795</x:v>
      </x:c>
      <x:c r="E3238" s="0" t="s">
        <x:v>12796</x:v>
      </x:c>
      <x:c r="F3238" s="0" t="s">
        <x:v>45</x:v>
      </x:c>
      <x:c r="G3238" s="0" t="s">
        <x:v>19</x:v>
      </x:c>
      <x:c r="H3238" s="0" t="s">
        <x:v>20</x:v>
      </x:c>
      <x:c r="I3238" s="0" t="s">
        <x:v>21</x:v>
      </x:c>
      <x:c r="K3238" s="0">
        <x:f>hyperlink("https://icd.who.int/dev11/l-ichi/en#/http%3A%2F%2Fid.who.int%2Ficd%2Fentity%2F855355013","browser")</x:f>
      </x:c>
      <x:c r="L3238" s="0">
        <x:f>hyperlink("https://icat2.azurewebsites.net/icat/?ontology=ICD&amp;tab=ClassesTab&amp;id=http%3A%2F%2Fwho.int%2Ficd%2314814_512ebf36_bf6b_4d70_85da_cf2637062af4","iCat")</x:f>
      </x:c>
      <x:c r="M3238" s="0" t="s">
        <x:v>21</x:v>
      </x:c>
      <x:c r="N3238" s="0" t="s">
        <x:v>46</x:v>
      </x:c>
    </x:row>
    <x:row r="3239" spans="1:16">
      <x:c r="A3239" s="0" t="s">
        <x:v>12797</x:v>
      </x:c>
      <x:c r="B3239" s="0" t="s">
        <x:v>12798</x:v>
      </x:c>
      <x:c r="C3239" s="0" t="s">
        <x:v>12799</x:v>
      </x:c>
      <x:c r="E3239" s="0" t="s">
        <x:v>12800</x:v>
      </x:c>
      <x:c r="F3239" s="0" t="s">
        <x:v>45</x:v>
      </x:c>
      <x:c r="G3239" s="0" t="s">
        <x:v>19</x:v>
      </x:c>
      <x:c r="H3239" s="0" t="s">
        <x:v>20</x:v>
      </x:c>
      <x:c r="I3239" s="0" t="s">
        <x:v>21</x:v>
      </x:c>
      <x:c r="K3239" s="0">
        <x:f>hyperlink("https://icd.who.int/dev11/l-ichi/en#/http%3A%2F%2Fid.who.int%2Ficd%2Fentity%2F1739872460","browser")</x:f>
      </x:c>
      <x:c r="L3239" s="0">
        <x:f>hyperlink("https://icat2.azurewebsites.net/icat/?ontology=ICD&amp;tab=ClassesTab&amp;id=http%3A%2F%2Fwho.int%2Ficd%2314821_512ebf36_bf6b_4d70_85da_cf2637062af4","iCat")</x:f>
      </x:c>
      <x:c r="M3239" s="0" t="s">
        <x:v>21</x:v>
      </x:c>
      <x:c r="N3239" s="0" t="s">
        <x:v>46</x:v>
      </x:c>
    </x:row>
    <x:row r="3240" spans="1:16">
      <x:c r="A3240" s="0" t="s">
        <x:v>12801</x:v>
      </x:c>
      <x:c r="B3240" s="0" t="s">
        <x:v>12802</x:v>
      </x:c>
      <x:c r="C3240" s="0" t="s">
        <x:v>12803</x:v>
      </x:c>
      <x:c r="E3240" s="0" t="s">
        <x:v>12804</x:v>
      </x:c>
      <x:c r="F3240" s="0" t="s">
        <x:v>45</x:v>
      </x:c>
      <x:c r="G3240" s="0" t="s">
        <x:v>19</x:v>
      </x:c>
      <x:c r="H3240" s="0" t="s">
        <x:v>20</x:v>
      </x:c>
      <x:c r="I3240" s="0" t="s">
        <x:v>21</x:v>
      </x:c>
      <x:c r="K3240" s="0">
        <x:f>hyperlink("https://icd.who.int/dev11/l-ichi/en#/http%3A%2F%2Fid.who.int%2Ficd%2Fentity%2F936345979","browser")</x:f>
      </x:c>
      <x:c r="L3240" s="0">
        <x:f>hyperlink("https://icat2.azurewebsites.net/icat/?ontology=ICD&amp;tab=ClassesTab&amp;id=http%3A%2F%2Fwho.int%2Ficd%2314827_512ebf36_bf6b_4d70_85da_cf2637062af4","iCat")</x:f>
      </x:c>
      <x:c r="M3240" s="0" t="s">
        <x:v>21</x:v>
      </x:c>
      <x:c r="N3240" s="0" t="s">
        <x:v>46</x:v>
      </x:c>
    </x:row>
    <x:row r="3241" spans="1:16">
      <x:c r="A3241" s="0" t="s">
        <x:v>12805</x:v>
      </x:c>
      <x:c r="B3241" s="0" t="s">
        <x:v>12806</x:v>
      </x:c>
      <x:c r="C3241" s="0" t="s">
        <x:v>12807</x:v>
      </x:c>
      <x:c r="E3241" s="0" t="s">
        <x:v>12808</x:v>
      </x:c>
      <x:c r="F3241" s="0" t="s">
        <x:v>45</x:v>
      </x:c>
      <x:c r="G3241" s="0" t="s">
        <x:v>19</x:v>
      </x:c>
      <x:c r="H3241" s="0" t="s">
        <x:v>20</x:v>
      </x:c>
      <x:c r="I3241" s="0" t="s">
        <x:v>21</x:v>
      </x:c>
      <x:c r="K3241" s="0">
        <x:f>hyperlink("https://icd.who.int/dev11/l-ichi/en#/http%3A%2F%2Fid.who.int%2Ficd%2Fentity%2F412056533","browser")</x:f>
      </x:c>
      <x:c r="L3241" s="0">
        <x:f>hyperlink("https://icat2.azurewebsites.net/icat/?ontology=ICD&amp;tab=ClassesTab&amp;id=http%3A%2F%2Fwho.int%2Ficd%2314834_512ebf36_bf6b_4d70_85da_cf2637062af4","iCat")</x:f>
      </x:c>
      <x:c r="M3241" s="0" t="s">
        <x:v>21</x:v>
      </x:c>
      <x:c r="N3241" s="0" t="s">
        <x:v>46</x:v>
      </x:c>
    </x:row>
    <x:row r="3242" spans="1:16">
      <x:c r="A3242" s="0" t="s">
        <x:v>12809</x:v>
      </x:c>
      <x:c r="B3242" s="0" t="s">
        <x:v>12810</x:v>
      </x:c>
      <x:c r="C3242" s="0" t="s">
        <x:v>12811</x:v>
      </x:c>
      <x:c r="E3242" s="0" t="s">
        <x:v>12812</x:v>
      </x:c>
      <x:c r="F3242" s="0" t="s">
        <x:v>45</x:v>
      </x:c>
      <x:c r="G3242" s="0" t="s">
        <x:v>19</x:v>
      </x:c>
      <x:c r="H3242" s="0" t="s">
        <x:v>20</x:v>
      </x:c>
      <x:c r="I3242" s="0" t="s">
        <x:v>21</x:v>
      </x:c>
      <x:c r="K3242" s="0">
        <x:f>hyperlink("https://icd.who.int/dev11/l-ichi/en#/http%3A%2F%2Fid.who.int%2Ficd%2Fentity%2F1490797378","browser")</x:f>
      </x:c>
      <x:c r="L3242" s="0">
        <x:f>hyperlink("https://icat2.azurewebsites.net/icat/?ontology=ICD&amp;tab=ClassesTab&amp;id=http%3A%2F%2Fwho.int%2Ficd%2314843_512ebf36_bf6b_4d70_85da_cf2637062af4","iCat")</x:f>
      </x:c>
      <x:c r="M3242" s="0" t="s">
        <x:v>21</x:v>
      </x:c>
      <x:c r="N3242" s="0" t="s">
        <x:v>46</x:v>
      </x:c>
    </x:row>
    <x:row r="3243" spans="1:16">
      <x:c r="A3243" s="0" t="s">
        <x:v>12813</x:v>
      </x:c>
      <x:c r="B3243" s="0" t="s">
        <x:v>12814</x:v>
      </x:c>
      <x:c r="C3243" s="0" t="s">
        <x:v>12815</x:v>
      </x:c>
      <x:c r="E3243" s="0" t="s">
        <x:v>12816</x:v>
      </x:c>
      <x:c r="F3243" s="0" t="s">
        <x:v>45</x:v>
      </x:c>
      <x:c r="G3243" s="0" t="s">
        <x:v>19</x:v>
      </x:c>
      <x:c r="H3243" s="0" t="s">
        <x:v>20</x:v>
      </x:c>
      <x:c r="I3243" s="0" t="s">
        <x:v>21</x:v>
      </x:c>
      <x:c r="K3243" s="0">
        <x:f>hyperlink("https://icd.who.int/dev11/l-ichi/en#/http%3A%2F%2Fid.who.int%2Ficd%2Fentity%2F2006661614","browser")</x:f>
      </x:c>
      <x:c r="L3243" s="0">
        <x:f>hyperlink("https://icat2.azurewebsites.net/icat/?ontology=ICD&amp;tab=ClassesTab&amp;id=http%3A%2F%2Fwho.int%2Ficd%2314850_512ebf36_bf6b_4d70_85da_cf2637062af4","iCat")</x:f>
      </x:c>
      <x:c r="M3243" s="0" t="s">
        <x:v>21</x:v>
      </x:c>
      <x:c r="N3243" s="0" t="s">
        <x:v>46</x:v>
      </x:c>
    </x:row>
    <x:row r="3244" spans="1:16">
      <x:c r="A3244" s="0" t="s">
        <x:v>12817</x:v>
      </x:c>
      <x:c r="B3244" s="0" t="s">
        <x:v>12818</x:v>
      </x:c>
      <x:c r="C3244" s="0" t="s">
        <x:v>12819</x:v>
      </x:c>
      <x:c r="E3244" s="0" t="s">
        <x:v>12820</x:v>
      </x:c>
      <x:c r="F3244" s="0" t="s">
        <x:v>45</x:v>
      </x:c>
      <x:c r="G3244" s="0" t="s">
        <x:v>19</x:v>
      </x:c>
      <x:c r="H3244" s="0" t="s">
        <x:v>20</x:v>
      </x:c>
      <x:c r="I3244" s="0" t="s">
        <x:v>21</x:v>
      </x:c>
      <x:c r="K3244" s="0">
        <x:f>hyperlink("https://icd.who.int/dev11/l-ichi/en#/http%3A%2F%2Fid.who.int%2Ficd%2Fentity%2F669048925","browser")</x:f>
      </x:c>
      <x:c r="L3244" s="0">
        <x:f>hyperlink("https://icat2.azurewebsites.net/icat/?ontology=ICD&amp;tab=ClassesTab&amp;id=http%3A%2F%2Fwho.int%2Ficd%2314856_512ebf36_bf6b_4d70_85da_cf2637062af4","iCat")</x:f>
      </x:c>
      <x:c r="M3244" s="0" t="s">
        <x:v>21</x:v>
      </x:c>
      <x:c r="N3244" s="0" t="s">
        <x:v>46</x:v>
      </x:c>
    </x:row>
    <x:row r="3245" spans="1:16">
      <x:c r="A3245" s="0" t="s">
        <x:v>12821</x:v>
      </x:c>
      <x:c r="B3245" s="0" t="s">
        <x:v>12822</x:v>
      </x:c>
      <x:c r="C3245" s="0" t="s">
        <x:v>12823</x:v>
      </x:c>
      <x:c r="E3245" s="0" t="s">
        <x:v>12824</x:v>
      </x:c>
      <x:c r="F3245" s="0" t="s">
        <x:v>45</x:v>
      </x:c>
      <x:c r="G3245" s="0" t="s">
        <x:v>19</x:v>
      </x:c>
      <x:c r="H3245" s="0" t="s">
        <x:v>20</x:v>
      </x:c>
      <x:c r="I3245" s="0" t="s">
        <x:v>21</x:v>
      </x:c>
      <x:c r="K3245" s="0">
        <x:f>hyperlink("https://icd.who.int/dev11/l-ichi/en#/http%3A%2F%2Fid.who.int%2Ficd%2Fentity%2F1924077076","browser")</x:f>
      </x:c>
      <x:c r="L3245" s="0">
        <x:f>hyperlink("https://icat2.azurewebsites.net/icat/?ontology=ICD&amp;tab=ClassesTab&amp;id=http%3A%2F%2Fwho.int%2Ficd%2314863_512ebf36_bf6b_4d70_85da_cf2637062af4","iCat")</x:f>
      </x:c>
      <x:c r="M3245" s="0" t="s">
        <x:v>21</x:v>
      </x:c>
      <x:c r="N3245" s="0" t="s">
        <x:v>46</x:v>
      </x:c>
    </x:row>
    <x:row r="3246" spans="1:16">
      <x:c r="A3246" s="0" t="s">
        <x:v>12825</x:v>
      </x:c>
      <x:c r="B3246" s="0" t="s">
        <x:v>12826</x:v>
      </x:c>
      <x:c r="C3246" s="0" t="s">
        <x:v>12827</x:v>
      </x:c>
      <x:c r="E3246" s="0" t="s">
        <x:v>12828</x:v>
      </x:c>
      <x:c r="F3246" s="0" t="s">
        <x:v>45</x:v>
      </x:c>
      <x:c r="G3246" s="0" t="s">
        <x:v>19</x:v>
      </x:c>
      <x:c r="H3246" s="0" t="s">
        <x:v>20</x:v>
      </x:c>
      <x:c r="I3246" s="0" t="s">
        <x:v>21</x:v>
      </x:c>
      <x:c r="K3246" s="0">
        <x:f>hyperlink("https://icd.who.int/dev11/l-ichi/en#/http%3A%2F%2Fid.who.int%2Ficd%2Fentity%2F1760045258","browser")</x:f>
      </x:c>
      <x:c r="L3246" s="0">
        <x:f>hyperlink("https://icat2.azurewebsites.net/icat/?ontology=ICD&amp;tab=ClassesTab&amp;id=http%3A%2F%2Fwho.int%2Ficd%2314874_512ebf36_bf6b_4d70_85da_cf2637062af4","iCat")</x:f>
      </x:c>
      <x:c r="M3246" s="0" t="s">
        <x:v>21</x:v>
      </x:c>
      <x:c r="N3246" s="0" t="s">
        <x:v>46</x:v>
      </x:c>
    </x:row>
    <x:row r="3247" spans="1:16">
      <x:c r="A3247" s="0" t="s">
        <x:v>12829</x:v>
      </x:c>
      <x:c r="B3247" s="0" t="s">
        <x:v>12830</x:v>
      </x:c>
      <x:c r="C3247" s="0" t="s">
        <x:v>12831</x:v>
      </x:c>
      <x:c r="E3247" s="0" t="s">
        <x:v>12832</x:v>
      </x:c>
      <x:c r="F3247" s="0" t="s">
        <x:v>45</x:v>
      </x:c>
      <x:c r="G3247" s="0" t="s">
        <x:v>19</x:v>
      </x:c>
      <x:c r="H3247" s="0" t="s">
        <x:v>20</x:v>
      </x:c>
      <x:c r="I3247" s="0" t="s">
        <x:v>21</x:v>
      </x:c>
      <x:c r="K3247" s="0">
        <x:f>hyperlink("https://icd.who.int/dev11/l-ichi/en#/http%3A%2F%2Fid.who.int%2Ficd%2Fentity%2F1391580256","browser")</x:f>
      </x:c>
      <x:c r="L3247" s="0">
        <x:f>hyperlink("https://icat2.azurewebsites.net/icat/?ontology=ICD&amp;tab=ClassesTab&amp;id=http%3A%2F%2Fwho.int%2Ficd%2314881_512ebf36_bf6b_4d70_85da_cf2637062af4","iCat")</x:f>
      </x:c>
      <x:c r="M3247" s="0" t="s">
        <x:v>21</x:v>
      </x:c>
      <x:c r="N3247" s="0" t="s">
        <x:v>46</x:v>
      </x:c>
    </x:row>
    <x:row r="3248" spans="1:16">
      <x:c r="A3248" s="0" t="s">
        <x:v>12833</x:v>
      </x:c>
      <x:c r="B3248" s="0" t="s">
        <x:v>12834</x:v>
      </x:c>
      <x:c r="C3248" s="0" t="s">
        <x:v>12835</x:v>
      </x:c>
      <x:c r="E3248" s="0" t="s">
        <x:v>12836</x:v>
      </x:c>
      <x:c r="F3248" s="0" t="s">
        <x:v>45</x:v>
      </x:c>
      <x:c r="G3248" s="0" t="s">
        <x:v>19</x:v>
      </x:c>
      <x:c r="H3248" s="0" t="s">
        <x:v>20</x:v>
      </x:c>
      <x:c r="I3248" s="0" t="s">
        <x:v>21</x:v>
      </x:c>
      <x:c r="K3248" s="0">
        <x:f>hyperlink("https://icd.who.int/dev11/l-ichi/en#/http%3A%2F%2Fid.who.int%2Ficd%2Fentity%2F477144331","browser")</x:f>
      </x:c>
      <x:c r="L3248" s="0">
        <x:f>hyperlink("https://icat2.azurewebsites.net/icat/?ontology=ICD&amp;tab=ClassesTab&amp;id=http%3A%2F%2Fwho.int%2Ficd%2314889_512ebf36_bf6b_4d70_85da_cf2637062af4","iCat")</x:f>
      </x:c>
      <x:c r="M3248" s="0" t="s">
        <x:v>21</x:v>
      </x:c>
      <x:c r="N3248" s="0" t="s">
        <x:v>46</x:v>
      </x:c>
    </x:row>
    <x:row r="3249" spans="1:16">
      <x:c r="A3249" s="0" t="s">
        <x:v>12837</x:v>
      </x:c>
      <x:c r="B3249" s="0" t="s">
        <x:v>12838</x:v>
      </x:c>
      <x:c r="C3249" s="0" t="s">
        <x:v>12839</x:v>
      </x:c>
      <x:c r="E3249" s="0" t="s">
        <x:v>12840</x:v>
      </x:c>
      <x:c r="F3249" s="0" t="s">
        <x:v>45</x:v>
      </x:c>
      <x:c r="G3249" s="0" t="s">
        <x:v>19</x:v>
      </x:c>
      <x:c r="H3249" s="0" t="s">
        <x:v>20</x:v>
      </x:c>
      <x:c r="I3249" s="0" t="s">
        <x:v>21</x:v>
      </x:c>
      <x:c r="K3249" s="0">
        <x:f>hyperlink("https://icd.who.int/dev11/l-ichi/en#/http%3A%2F%2Fid.who.int%2Ficd%2Fentity%2F1224525611","browser")</x:f>
      </x:c>
      <x:c r="L3249" s="0">
        <x:f>hyperlink("https://icat2.azurewebsites.net/icat/?ontology=ICD&amp;tab=ClassesTab&amp;id=http%3A%2F%2Fwho.int%2Ficd%2312364_4869915e_217e_423d_acb3_33c0f920ef4b","iCat")</x:f>
      </x:c>
      <x:c r="M3249" s="0" t="s">
        <x:v>21</x:v>
      </x:c>
      <x:c r="N3249" s="0" t="s">
        <x:v>46</x:v>
      </x:c>
    </x:row>
    <x:row r="3250" spans="1:16">
      <x:c r="A3250" s="0" t="s">
        <x:v>12841</x:v>
      </x:c>
      <x:c r="B3250" s="0" t="s">
        <x:v>12842</x:v>
      </x:c>
      <x:c r="C3250" s="0" t="s">
        <x:v>12843</x:v>
      </x:c>
      <x:c r="E3250" s="0" t="s">
        <x:v>12844</x:v>
      </x:c>
      <x:c r="F3250" s="0" t="s">
        <x:v>45</x:v>
      </x:c>
      <x:c r="G3250" s="0" t="s">
        <x:v>19</x:v>
      </x:c>
      <x:c r="H3250" s="0" t="s">
        <x:v>20</x:v>
      </x:c>
      <x:c r="I3250" s="0" t="s">
        <x:v>21</x:v>
      </x:c>
      <x:c r="K3250" s="0">
        <x:f>hyperlink("https://icd.who.int/dev11/l-ichi/en#/http%3A%2F%2Fid.who.int%2Ficd%2Fentity%2F1447838304","browser")</x:f>
      </x:c>
      <x:c r="L3250" s="0">
        <x:f>hyperlink("https://icat2.azurewebsites.net/icat/?ontology=ICD&amp;tab=ClassesTab&amp;id=http%3A%2F%2Fwho.int%2Ficd%2314898_512ebf36_bf6b_4d70_85da_cf2637062af4","iCat")</x:f>
      </x:c>
      <x:c r="M3250" s="0" t="s">
        <x:v>21</x:v>
      </x:c>
      <x:c r="N3250" s="0" t="s">
        <x:v>46</x:v>
      </x:c>
    </x:row>
    <x:row r="3251" spans="1:16">
      <x:c r="A3251" s="0" t="s">
        <x:v>12845</x:v>
      </x:c>
      <x:c r="B3251" s="0" t="s">
        <x:v>12846</x:v>
      </x:c>
      <x:c r="C3251" s="0" t="s">
        <x:v>12847</x:v>
      </x:c>
      <x:c r="E3251" s="0" t="s">
        <x:v>12848</x:v>
      </x:c>
      <x:c r="F3251" s="0" t="s">
        <x:v>45</x:v>
      </x:c>
      <x:c r="G3251" s="0" t="s">
        <x:v>19</x:v>
      </x:c>
      <x:c r="H3251" s="0" t="s">
        <x:v>20</x:v>
      </x:c>
      <x:c r="I3251" s="0" t="s">
        <x:v>21</x:v>
      </x:c>
      <x:c r="K3251" s="0">
        <x:f>hyperlink("https://icd.who.int/dev11/l-ichi/en#/http%3A%2F%2Fid.who.int%2Ficd%2Fentity%2F1919134830","browser")</x:f>
      </x:c>
      <x:c r="L3251" s="0">
        <x:f>hyperlink("https://icat2.azurewebsites.net/icat/?ontology=ICD&amp;tab=ClassesTab&amp;id=http%3A%2F%2Fwho.int%2Ficd%2314910_512ebf36_bf6b_4d70_85da_cf2637062af4","iCat")</x:f>
      </x:c>
      <x:c r="M3251" s="0" t="s">
        <x:v>21</x:v>
      </x:c>
      <x:c r="N3251" s="0" t="s">
        <x:v>46</x:v>
      </x:c>
    </x:row>
    <x:row r="3252" spans="1:16">
      <x:c r="A3252" s="0" t="s">
        <x:v>12849</x:v>
      </x:c>
      <x:c r="B3252" s="0" t="s">
        <x:v>12850</x:v>
      </x:c>
      <x:c r="C3252" s="0" t="s">
        <x:v>12851</x:v>
      </x:c>
      <x:c r="E3252" s="0" t="s">
        <x:v>12852</x:v>
      </x:c>
      <x:c r="F3252" s="0" t="s">
        <x:v>45</x:v>
      </x:c>
      <x:c r="G3252" s="0" t="s">
        <x:v>19</x:v>
      </x:c>
      <x:c r="H3252" s="0" t="s">
        <x:v>20</x:v>
      </x:c>
      <x:c r="I3252" s="0" t="s">
        <x:v>21</x:v>
      </x:c>
      <x:c r="K3252" s="0">
        <x:f>hyperlink("https://icd.who.int/dev11/l-ichi/en#/http%3A%2F%2Fid.who.int%2Ficd%2Fentity%2F1021500729","browser")</x:f>
      </x:c>
      <x:c r="L3252" s="0">
        <x:f>hyperlink("https://icat2.azurewebsites.net/icat/?ontology=ICD&amp;tab=ClassesTab&amp;id=http%3A%2F%2Fwho.int%2Ficd%2314918_512ebf36_bf6b_4d70_85da_cf2637062af4","iCat")</x:f>
      </x:c>
      <x:c r="M3252" s="0" t="s">
        <x:v>21</x:v>
      </x:c>
      <x:c r="N3252" s="0" t="s">
        <x:v>46</x:v>
      </x:c>
    </x:row>
    <x:row r="3253" spans="1:16">
      <x:c r="A3253" s="0" t="s">
        <x:v>12853</x:v>
      </x:c>
      <x:c r="B3253" s="0" t="s">
        <x:v>12854</x:v>
      </x:c>
      <x:c r="C3253" s="0" t="s">
        <x:v>12855</x:v>
      </x:c>
      <x:c r="E3253" s="0" t="s">
        <x:v>12856</x:v>
      </x:c>
      <x:c r="F3253" s="0" t="s">
        <x:v>45</x:v>
      </x:c>
      <x:c r="G3253" s="0" t="s">
        <x:v>19</x:v>
      </x:c>
      <x:c r="H3253" s="0" t="s">
        <x:v>20</x:v>
      </x:c>
      <x:c r="I3253" s="0" t="s">
        <x:v>21</x:v>
      </x:c>
      <x:c r="K3253" s="0">
        <x:f>hyperlink("https://icd.who.int/dev11/l-ichi/en#/http%3A%2F%2Fid.who.int%2Ficd%2Fentity%2F1030448377","browser")</x:f>
      </x:c>
      <x:c r="L3253" s="0">
        <x:f>hyperlink("https://icat2.azurewebsites.net/icat/?ontology=ICD&amp;tab=ClassesTab&amp;id=http%3A%2F%2Fwho.int%2Ficd%2314932_512ebf36_bf6b_4d70_85da_cf2637062af4","iCat")</x:f>
      </x:c>
      <x:c r="M3253" s="0" t="s">
        <x:v>21</x:v>
      </x:c>
      <x:c r="N3253" s="0" t="s">
        <x:v>46</x:v>
      </x:c>
    </x:row>
    <x:row r="3254" spans="1:16">
      <x:c r="A3254" s="0" t="s">
        <x:v>12857</x:v>
      </x:c>
      <x:c r="B3254" s="0" t="s">
        <x:v>12858</x:v>
      </x:c>
      <x:c r="C3254" s="0" t="s">
        <x:v>12859</x:v>
      </x:c>
      <x:c r="E3254" s="0" t="s">
        <x:v>12860</x:v>
      </x:c>
      <x:c r="F3254" s="0" t="s">
        <x:v>45</x:v>
      </x:c>
      <x:c r="G3254" s="0" t="s">
        <x:v>19</x:v>
      </x:c>
      <x:c r="H3254" s="0" t="s">
        <x:v>20</x:v>
      </x:c>
      <x:c r="I3254" s="0" t="s">
        <x:v>21</x:v>
      </x:c>
      <x:c r="K3254" s="0">
        <x:f>hyperlink("https://icd.who.int/dev11/l-ichi/en#/http%3A%2F%2Fid.who.int%2Ficd%2Fentity%2F230520803","browser")</x:f>
      </x:c>
      <x:c r="L3254" s="0">
        <x:f>hyperlink("https://icat2.azurewebsites.net/icat/?ontology=ICD&amp;tab=ClassesTab&amp;id=http%3A%2F%2Fwho.int%2Ficd%2314942_512ebf36_bf6b_4d70_85da_cf2637062af4","iCat")</x:f>
      </x:c>
      <x:c r="M3254" s="0" t="s">
        <x:v>21</x:v>
      </x:c>
      <x:c r="N3254" s="0" t="s">
        <x:v>46</x:v>
      </x:c>
    </x:row>
    <x:row r="3255" spans="1:16">
      <x:c r="A3255" s="0" t="s">
        <x:v>12861</x:v>
      </x:c>
      <x:c r="B3255" s="0" t="s">
        <x:v>12862</x:v>
      </x:c>
      <x:c r="C3255" s="0" t="s">
        <x:v>12863</x:v>
      </x:c>
      <x:c r="E3255" s="0" t="s">
        <x:v>12864</x:v>
      </x:c>
      <x:c r="F3255" s="0" t="s">
        <x:v>45</x:v>
      </x:c>
      <x:c r="G3255" s="0" t="s">
        <x:v>19</x:v>
      </x:c>
      <x:c r="H3255" s="0" t="s">
        <x:v>20</x:v>
      </x:c>
      <x:c r="I3255" s="0" t="s">
        <x:v>21</x:v>
      </x:c>
      <x:c r="K3255" s="0">
        <x:f>hyperlink("https://icd.who.int/dev11/l-ichi/en#/http%3A%2F%2Fid.who.int%2Ficd%2Fentity%2F1384064704","browser")</x:f>
      </x:c>
      <x:c r="L3255" s="0">
        <x:f>hyperlink("https://icat2.azurewebsites.net/icat/?ontology=ICD&amp;tab=ClassesTab&amp;id=http%3A%2F%2Fwho.int%2Ficd%2314956_512ebf36_bf6b_4d70_85da_cf2637062af4","iCat")</x:f>
      </x:c>
      <x:c r="M3255" s="0" t="s">
        <x:v>21</x:v>
      </x:c>
      <x:c r="N3255" s="0" t="s">
        <x:v>46</x:v>
      </x:c>
    </x:row>
    <x:row r="3256" spans="1:16">
      <x:c r="A3256" s="0" t="s">
        <x:v>12865</x:v>
      </x:c>
      <x:c r="B3256" s="0" t="s">
        <x:v>12866</x:v>
      </x:c>
      <x:c r="C3256" s="0" t="s">
        <x:v>12867</x:v>
      </x:c>
      <x:c r="E3256" s="0" t="s">
        <x:v>12868</x:v>
      </x:c>
      <x:c r="F3256" s="0" t="s">
        <x:v>45</x:v>
      </x:c>
      <x:c r="G3256" s="0" t="s">
        <x:v>19</x:v>
      </x:c>
      <x:c r="H3256" s="0" t="s">
        <x:v>20</x:v>
      </x:c>
      <x:c r="I3256" s="0" t="s">
        <x:v>21</x:v>
      </x:c>
      <x:c r="K3256" s="0">
        <x:f>hyperlink("https://icd.who.int/dev11/l-ichi/en#/http%3A%2F%2Fid.who.int%2Ficd%2Fentity%2F667525811","browser")</x:f>
      </x:c>
      <x:c r="L3256" s="0">
        <x:f>hyperlink("https://icat2.azurewebsites.net/icat/?ontology=ICD&amp;tab=ClassesTab&amp;id=http%3A%2F%2Fwho.int%2Ficd%2314962_512ebf36_bf6b_4d70_85da_cf2637062af4","iCat")</x:f>
      </x:c>
      <x:c r="M3256" s="0" t="s">
        <x:v>21</x:v>
      </x:c>
      <x:c r="N3256" s="0" t="s">
        <x:v>46</x:v>
      </x:c>
    </x:row>
    <x:row r="3257" spans="1:16">
      <x:c r="A3257" s="0" t="s">
        <x:v>12869</x:v>
      </x:c>
      <x:c r="B3257" s="0" t="s">
        <x:v>12870</x:v>
      </x:c>
      <x:c r="C3257" s="0" t="s">
        <x:v>12871</x:v>
      </x:c>
      <x:c r="E3257" s="0" t="s">
        <x:v>12872</x:v>
      </x:c>
      <x:c r="F3257" s="0" t="s">
        <x:v>45</x:v>
      </x:c>
      <x:c r="G3257" s="0" t="s">
        <x:v>19</x:v>
      </x:c>
      <x:c r="H3257" s="0" t="s">
        <x:v>20</x:v>
      </x:c>
      <x:c r="I3257" s="0" t="s">
        <x:v>21</x:v>
      </x:c>
      <x:c r="K3257" s="0">
        <x:f>hyperlink("https://icd.who.int/dev11/l-ichi/en#/http%3A%2F%2Fid.who.int%2Ficd%2Fentity%2F204787235","browser")</x:f>
      </x:c>
      <x:c r="L3257" s="0">
        <x:f>hyperlink("https://icat2.azurewebsites.net/icat/?ontology=ICD&amp;tab=ClassesTab&amp;id=http%3A%2F%2Fwho.int%2Ficd%2314968_512ebf36_bf6b_4d70_85da_cf2637062af4","iCat")</x:f>
      </x:c>
      <x:c r="M3257" s="0" t="s">
        <x:v>21</x:v>
      </x:c>
      <x:c r="N3257" s="0" t="s">
        <x:v>46</x:v>
      </x:c>
    </x:row>
    <x:row r="3258" spans="1:16">
      <x:c r="A3258" s="0" t="s">
        <x:v>12873</x:v>
      </x:c>
      <x:c r="B3258" s="0" t="s">
        <x:v>12874</x:v>
      </x:c>
      <x:c r="C3258" s="0" t="s">
        <x:v>12875</x:v>
      </x:c>
      <x:c r="E3258" s="0" t="s">
        <x:v>12876</x:v>
      </x:c>
      <x:c r="F3258" s="0" t="s">
        <x:v>45</x:v>
      </x:c>
      <x:c r="G3258" s="0" t="s">
        <x:v>19</x:v>
      </x:c>
      <x:c r="H3258" s="0" t="s">
        <x:v>20</x:v>
      </x:c>
      <x:c r="I3258" s="0" t="s">
        <x:v>21</x:v>
      </x:c>
      <x:c r="K3258" s="0">
        <x:f>hyperlink("https://icd.who.int/dev11/l-ichi/en#/http%3A%2F%2Fid.who.int%2Ficd%2Fentity%2F494399061","browser")</x:f>
      </x:c>
      <x:c r="L3258" s="0">
        <x:f>hyperlink("https://icat2.azurewebsites.net/icat/?ontology=ICD&amp;tab=ClassesTab&amp;id=http%3A%2F%2Fwho.int%2Ficd%2314974_512ebf36_bf6b_4d70_85da_cf2637062af4","iCat")</x:f>
      </x:c>
      <x:c r="M3258" s="0" t="s">
        <x:v>21</x:v>
      </x:c>
      <x:c r="N3258" s="0" t="s">
        <x:v>46</x:v>
      </x:c>
    </x:row>
    <x:row r="3259" spans="1:16">
      <x:c r="A3259" s="0" t="s">
        <x:v>12877</x:v>
      </x:c>
      <x:c r="B3259" s="0" t="s">
        <x:v>12878</x:v>
      </x:c>
      <x:c r="C3259" s="0" t="s">
        <x:v>12879</x:v>
      </x:c>
      <x:c r="E3259" s="0" t="s">
        <x:v>12880</x:v>
      </x:c>
      <x:c r="F3259" s="0" t="s">
        <x:v>45</x:v>
      </x:c>
      <x:c r="G3259" s="0" t="s">
        <x:v>19</x:v>
      </x:c>
      <x:c r="H3259" s="0" t="s">
        <x:v>20</x:v>
      </x:c>
      <x:c r="I3259" s="0" t="s">
        <x:v>21</x:v>
      </x:c>
      <x:c r="K3259" s="0">
        <x:f>hyperlink("https://icd.who.int/dev11/l-ichi/en#/http%3A%2F%2Fid.who.int%2Ficd%2Fentity%2F127361279","browser")</x:f>
      </x:c>
      <x:c r="L3259" s="0">
        <x:f>hyperlink("https://icat2.azurewebsites.net/icat/?ontology=ICD&amp;tab=ClassesTab&amp;id=http%3A%2F%2Fwho.int%2Ficd%2314980_512ebf36_bf6b_4d70_85da_cf2637062af4","iCat")</x:f>
      </x:c>
      <x:c r="M3259" s="0" t="s">
        <x:v>21</x:v>
      </x:c>
      <x:c r="N3259" s="0" t="s">
        <x:v>46</x:v>
      </x:c>
    </x:row>
    <x:row r="3260" spans="1:16">
      <x:c r="A3260" s="0" t="s">
        <x:v>12881</x:v>
      </x:c>
      <x:c r="B3260" s="0" t="s">
        <x:v>12882</x:v>
      </x:c>
      <x:c r="C3260" s="0" t="s">
        <x:v>12883</x:v>
      </x:c>
      <x:c r="E3260" s="0" t="s">
        <x:v>12884</x:v>
      </x:c>
      <x:c r="F3260" s="0" t="s">
        <x:v>45</x:v>
      </x:c>
      <x:c r="G3260" s="0" t="s">
        <x:v>19</x:v>
      </x:c>
      <x:c r="H3260" s="0" t="s">
        <x:v>20</x:v>
      </x:c>
      <x:c r="I3260" s="0" t="s">
        <x:v>21</x:v>
      </x:c>
      <x:c r="K3260" s="0">
        <x:f>hyperlink("https://icd.who.int/dev11/l-ichi/en#/http%3A%2F%2Fid.who.int%2Ficd%2Fentity%2F2024555488","browser")</x:f>
      </x:c>
      <x:c r="L3260" s="0">
        <x:f>hyperlink("https://icat2.azurewebsites.net/icat/?ontology=ICD&amp;tab=ClassesTab&amp;id=http%3A%2F%2Fwho.int%2Ficd%2314995_512ebf36_bf6b_4d70_85da_cf2637062af4","iCat")</x:f>
      </x:c>
      <x:c r="M3260" s="0" t="s">
        <x:v>21</x:v>
      </x:c>
      <x:c r="N3260" s="0" t="s">
        <x:v>46</x:v>
      </x:c>
    </x:row>
    <x:row r="3261" spans="1:16">
      <x:c r="A3261" s="0" t="s">
        <x:v>12885</x:v>
      </x:c>
      <x:c r="B3261" s="0" t="s">
        <x:v>12886</x:v>
      </x:c>
      <x:c r="C3261" s="0" t="s">
        <x:v>12887</x:v>
      </x:c>
      <x:c r="E3261" s="0" t="s">
        <x:v>12888</x:v>
      </x:c>
      <x:c r="F3261" s="0" t="s">
        <x:v>45</x:v>
      </x:c>
      <x:c r="G3261" s="0" t="s">
        <x:v>19</x:v>
      </x:c>
      <x:c r="H3261" s="0" t="s">
        <x:v>20</x:v>
      </x:c>
      <x:c r="I3261" s="0" t="s">
        <x:v>21</x:v>
      </x:c>
      <x:c r="K3261" s="0">
        <x:f>hyperlink("https://icd.who.int/dev11/l-ichi/en#/http%3A%2F%2Fid.who.int%2Ficd%2Fentity%2F188029451","browser")</x:f>
      </x:c>
      <x:c r="L3261" s="0">
        <x:f>hyperlink("https://icat2.azurewebsites.net/icat/?ontology=ICD&amp;tab=ClassesTab&amp;id=http%3A%2F%2Fwho.int%2Ficd%2315004_512ebf36_bf6b_4d70_85da_cf2637062af4","iCat")</x:f>
      </x:c>
      <x:c r="M3261" s="0" t="s">
        <x:v>21</x:v>
      </x:c>
      <x:c r="N3261" s="0" t="s">
        <x:v>46</x:v>
      </x:c>
    </x:row>
    <x:row r="3262" spans="1:16">
      <x:c r="A3262" s="0" t="s">
        <x:v>12889</x:v>
      </x:c>
      <x:c r="B3262" s="0" t="s">
        <x:v>12890</x:v>
      </x:c>
      <x:c r="C3262" s="0" t="s">
        <x:v>12891</x:v>
      </x:c>
      <x:c r="E3262" s="0" t="s">
        <x:v>12892</x:v>
      </x:c>
      <x:c r="F3262" s="0" t="s">
        <x:v>45</x:v>
      </x:c>
      <x:c r="G3262" s="0" t="s">
        <x:v>19</x:v>
      </x:c>
      <x:c r="H3262" s="0" t="s">
        <x:v>20</x:v>
      </x:c>
      <x:c r="I3262" s="0" t="s">
        <x:v>21</x:v>
      </x:c>
      <x:c r="K3262" s="0">
        <x:f>hyperlink("https://icd.who.int/dev11/l-ichi/en#/http%3A%2F%2Fid.who.int%2Ficd%2Fentity%2F340134703","browser")</x:f>
      </x:c>
      <x:c r="L3262" s="0">
        <x:f>hyperlink("https://icat2.azurewebsites.net/icat/?ontology=ICD&amp;tab=ClassesTab&amp;id=http%3A%2F%2Fwho.int%2Ficd%2315020_512ebf36_bf6b_4d70_85da_cf2637062af4","iCat")</x:f>
      </x:c>
      <x:c r="M3262" s="0" t="s">
        <x:v>21</x:v>
      </x:c>
      <x:c r="N3262" s="0" t="s">
        <x:v>46</x:v>
      </x:c>
    </x:row>
    <x:row r="3263" spans="1:16">
      <x:c r="A3263" s="0" t="s">
        <x:v>12893</x:v>
      </x:c>
      <x:c r="B3263" s="0" t="s">
        <x:v>12894</x:v>
      </x:c>
      <x:c r="C3263" s="0" t="s">
        <x:v>12895</x:v>
      </x:c>
      <x:c r="E3263" s="0" t="s">
        <x:v>12896</x:v>
      </x:c>
      <x:c r="F3263" s="0" t="s">
        <x:v>45</x:v>
      </x:c>
      <x:c r="G3263" s="0" t="s">
        <x:v>19</x:v>
      </x:c>
      <x:c r="H3263" s="0" t="s">
        <x:v>20</x:v>
      </x:c>
      <x:c r="I3263" s="0" t="s">
        <x:v>21</x:v>
      </x:c>
      <x:c r="K3263" s="0">
        <x:f>hyperlink("https://icd.who.int/dev11/l-ichi/en#/http%3A%2F%2Fid.who.int%2Ficd%2Fentity%2F1690607780","browser")</x:f>
      </x:c>
      <x:c r="L3263" s="0">
        <x:f>hyperlink("https://icat2.azurewebsites.net/icat/?ontology=ICD&amp;tab=ClassesTab&amp;id=http%3A%2F%2Fwho.int%2Ficd%2315027_512ebf36_bf6b_4d70_85da_cf2637062af4","iCat")</x:f>
      </x:c>
      <x:c r="M3263" s="0" t="s">
        <x:v>21</x:v>
      </x:c>
      <x:c r="N3263" s="0" t="s">
        <x:v>46</x:v>
      </x:c>
    </x:row>
    <x:row r="3264" spans="1:16">
      <x:c r="A3264" s="0" t="s">
        <x:v>12897</x:v>
      </x:c>
      <x:c r="B3264" s="0" t="s">
        <x:v>12898</x:v>
      </x:c>
      <x:c r="C3264" s="0" t="s">
        <x:v>12899</x:v>
      </x:c>
      <x:c r="E3264" s="0" t="s">
        <x:v>12900</x:v>
      </x:c>
      <x:c r="F3264" s="0" t="s">
        <x:v>45</x:v>
      </x:c>
      <x:c r="G3264" s="0" t="s">
        <x:v>19</x:v>
      </x:c>
      <x:c r="H3264" s="0" t="s">
        <x:v>20</x:v>
      </x:c>
      <x:c r="I3264" s="0" t="s">
        <x:v>21</x:v>
      </x:c>
      <x:c r="K3264" s="0">
        <x:f>hyperlink("https://icd.who.int/dev11/l-ichi/en#/http%3A%2F%2Fid.who.int%2Ficd%2Fentity%2F788023241","browser")</x:f>
      </x:c>
      <x:c r="L3264" s="0">
        <x:f>hyperlink("https://icat2.azurewebsites.net/icat/?ontology=ICD&amp;tab=ClassesTab&amp;id=http%3A%2F%2Fwho.int%2Ficd%2315036_512ebf36_bf6b_4d70_85da_cf2637062af4","iCat")</x:f>
      </x:c>
      <x:c r="M3264" s="0" t="s">
        <x:v>21</x:v>
      </x:c>
      <x:c r="N3264" s="0" t="s">
        <x:v>46</x:v>
      </x:c>
    </x:row>
    <x:row r="3265" spans="1:16">
      <x:c r="A3265" s="0" t="s">
        <x:v>12901</x:v>
      </x:c>
      <x:c r="B3265" s="0" t="s">
        <x:v>12902</x:v>
      </x:c>
      <x:c r="C3265" s="0" t="s">
        <x:v>12903</x:v>
      </x:c>
      <x:c r="E3265" s="0" t="s">
        <x:v>12904</x:v>
      </x:c>
      <x:c r="F3265" s="0" t="s">
        <x:v>45</x:v>
      </x:c>
      <x:c r="G3265" s="0" t="s">
        <x:v>19</x:v>
      </x:c>
      <x:c r="H3265" s="0" t="s">
        <x:v>20</x:v>
      </x:c>
      <x:c r="I3265" s="0" t="s">
        <x:v>21</x:v>
      </x:c>
      <x:c r="K3265" s="0">
        <x:f>hyperlink("https://icd.who.int/dev11/l-ichi/en#/http%3A%2F%2Fid.who.int%2Ficd%2Fentity%2F1537948458","browser")</x:f>
      </x:c>
      <x:c r="L3265" s="0">
        <x:f>hyperlink("https://icat2.azurewebsites.net/icat/?ontology=ICD&amp;tab=ClassesTab&amp;id=http%3A%2F%2Fwho.int%2Ficd%2315045_512ebf36_bf6b_4d70_85da_cf2637062af4","iCat")</x:f>
      </x:c>
      <x:c r="M3265" s="0" t="s">
        <x:v>21</x:v>
      </x:c>
      <x:c r="N3265" s="0" t="s">
        <x:v>46</x:v>
      </x:c>
    </x:row>
    <x:row r="3266" spans="1:16">
      <x:c r="A3266" s="0" t="s">
        <x:v>12905</x:v>
      </x:c>
      <x:c r="B3266" s="0" t="s">
        <x:v>12906</x:v>
      </x:c>
      <x:c r="C3266" s="0" t="s">
        <x:v>12907</x:v>
      </x:c>
      <x:c r="E3266" s="0" t="s">
        <x:v>12908</x:v>
      </x:c>
      <x:c r="F3266" s="0" t="s">
        <x:v>45</x:v>
      </x:c>
      <x:c r="G3266" s="0" t="s">
        <x:v>19</x:v>
      </x:c>
      <x:c r="H3266" s="0" t="s">
        <x:v>20</x:v>
      </x:c>
      <x:c r="I3266" s="0" t="s">
        <x:v>21</x:v>
      </x:c>
      <x:c r="K3266" s="0">
        <x:f>hyperlink("https://icd.who.int/dev11/l-ichi/en#/http%3A%2F%2Fid.who.int%2Ficd%2Fentity%2F1960927148","browser")</x:f>
      </x:c>
      <x:c r="L3266" s="0">
        <x:f>hyperlink("https://icat2.azurewebsites.net/icat/?ontology=ICD&amp;tab=ClassesTab&amp;id=http%3A%2F%2Fwho.int%2Ficd%2314481_4869915e_217e_423d_acb3_33c0f920ef4b","iCat")</x:f>
      </x:c>
      <x:c r="M3266" s="0" t="s">
        <x:v>21</x:v>
      </x:c>
      <x:c r="N3266" s="0" t="s">
        <x:v>46</x:v>
      </x:c>
    </x:row>
    <x:row r="3267" spans="1:16">
      <x:c r="A3267" s="0" t="s">
        <x:v>12909</x:v>
      </x:c>
      <x:c r="B3267" s="0" t="s">
        <x:v>12910</x:v>
      </x:c>
      <x:c r="C3267" s="0" t="s">
        <x:v>12911</x:v>
      </x:c>
      <x:c r="E3267" s="0" t="s">
        <x:v>12912</x:v>
      </x:c>
      <x:c r="F3267" s="0" t="s">
        <x:v>45</x:v>
      </x:c>
      <x:c r="G3267" s="0" t="s">
        <x:v>19</x:v>
      </x:c>
      <x:c r="H3267" s="0" t="s">
        <x:v>20</x:v>
      </x:c>
      <x:c r="I3267" s="0" t="s">
        <x:v>21</x:v>
      </x:c>
      <x:c r="K3267" s="0">
        <x:f>hyperlink("https://icd.who.int/dev11/l-ichi/en#/http%3A%2F%2Fid.who.int%2Ficd%2Fentity%2F1845612800","browser")</x:f>
      </x:c>
      <x:c r="L3267" s="0">
        <x:f>hyperlink("https://icat2.azurewebsites.net/icat/?ontology=ICD&amp;tab=ClassesTab&amp;id=http%3A%2F%2Fwho.int%2Ficd%2314475_4869915e_217e_423d_acb3_33c0f920ef4b","iCat")</x:f>
      </x:c>
      <x:c r="M3267" s="0" t="s">
        <x:v>21</x:v>
      </x:c>
      <x:c r="N3267" s="0" t="s">
        <x:v>46</x:v>
      </x:c>
    </x:row>
    <x:row r="3268" spans="1:16">
      <x:c r="A3268" s="0" t="s">
        <x:v>12913</x:v>
      </x:c>
      <x:c r="B3268" s="0" t="s">
        <x:v>12914</x:v>
      </x:c>
      <x:c r="C3268" s="0" t="s">
        <x:v>12915</x:v>
      </x:c>
      <x:c r="E3268" s="0" t="s">
        <x:v>12916</x:v>
      </x:c>
      <x:c r="F3268" s="0" t="s">
        <x:v>45</x:v>
      </x:c>
      <x:c r="G3268" s="0" t="s">
        <x:v>19</x:v>
      </x:c>
      <x:c r="H3268" s="0" t="s">
        <x:v>20</x:v>
      </x:c>
      <x:c r="I3268" s="0" t="s">
        <x:v>21</x:v>
      </x:c>
      <x:c r="K3268" s="0">
        <x:f>hyperlink("https://icd.who.int/dev11/l-ichi/en#/http%3A%2F%2Fid.who.int%2Ficd%2Fentity%2F1105987056","browser")</x:f>
      </x:c>
      <x:c r="L3268" s="0">
        <x:f>hyperlink("https://icat2.azurewebsites.net/icat/?ontology=ICD&amp;tab=ClassesTab&amp;id=http%3A%2F%2Fwho.int%2Ficd%2315052_512ebf36_bf6b_4d70_85da_cf2637062af4","iCat")</x:f>
      </x:c>
      <x:c r="M3268" s="0" t="s">
        <x:v>21</x:v>
      </x:c>
      <x:c r="N3268" s="0" t="s">
        <x:v>46</x:v>
      </x:c>
    </x:row>
    <x:row r="3269" spans="1:16">
      <x:c r="A3269" s="0" t="s">
        <x:v>12917</x:v>
      </x:c>
      <x:c r="B3269" s="0" t="s">
        <x:v>12918</x:v>
      </x:c>
      <x:c r="C3269" s="0" t="s">
        <x:v>12919</x:v>
      </x:c>
      <x:c r="E3269" s="0" t="s">
        <x:v>12920</x:v>
      </x:c>
      <x:c r="F3269" s="0" t="s">
        <x:v>45</x:v>
      </x:c>
      <x:c r="G3269" s="0" t="s">
        <x:v>19</x:v>
      </x:c>
      <x:c r="H3269" s="0" t="s">
        <x:v>20</x:v>
      </x:c>
      <x:c r="I3269" s="0" t="s">
        <x:v>21</x:v>
      </x:c>
      <x:c r="K3269" s="0">
        <x:f>hyperlink("https://icd.who.int/dev11/l-ichi/en#/http%3A%2F%2Fid.who.int%2Ficd%2Fentity%2F1679906868","browser")</x:f>
      </x:c>
      <x:c r="L3269" s="0">
        <x:f>hyperlink("https://icat2.azurewebsites.net/icat/?ontology=ICD&amp;tab=ClassesTab&amp;id=http%3A%2F%2Fwho.int%2Ficd%2315060_512ebf36_bf6b_4d70_85da_cf2637062af4","iCat")</x:f>
      </x:c>
      <x:c r="M3269" s="0" t="s">
        <x:v>21</x:v>
      </x:c>
      <x:c r="N3269" s="0" t="s">
        <x:v>46</x:v>
      </x:c>
    </x:row>
    <x:row r="3270" spans="1:16">
      <x:c r="A3270" s="0" t="s">
        <x:v>12921</x:v>
      </x:c>
      <x:c r="B3270" s="0" t="s">
        <x:v>12922</x:v>
      </x:c>
      <x:c r="C3270" s="0" t="s">
        <x:v>12923</x:v>
      </x:c>
      <x:c r="E3270" s="0" t="s">
        <x:v>12924</x:v>
      </x:c>
      <x:c r="F3270" s="0" t="s">
        <x:v>45</x:v>
      </x:c>
      <x:c r="G3270" s="0" t="s">
        <x:v>19</x:v>
      </x:c>
      <x:c r="H3270" s="0" t="s">
        <x:v>20</x:v>
      </x:c>
      <x:c r="I3270" s="0" t="s">
        <x:v>21</x:v>
      </x:c>
      <x:c r="K3270" s="0">
        <x:f>hyperlink("https://icd.who.int/dev11/l-ichi/en#/http%3A%2F%2Fid.who.int%2Ficd%2Fentity%2F346289087","browser")</x:f>
      </x:c>
      <x:c r="L3270" s="0">
        <x:f>hyperlink("https://icat2.azurewebsites.net/icat/?ontology=ICD&amp;tab=ClassesTab&amp;id=http%3A%2F%2Fwho.int%2Ficd%2315067_512ebf36_bf6b_4d70_85da_cf2637062af4","iCat")</x:f>
      </x:c>
      <x:c r="M3270" s="0" t="s">
        <x:v>21</x:v>
      </x:c>
      <x:c r="N3270" s="0" t="s">
        <x:v>46</x:v>
      </x:c>
    </x:row>
    <x:row r="3271" spans="1:16">
      <x:c r="A3271" s="0" t="s">
        <x:v>12925</x:v>
      </x:c>
      <x:c r="B3271" s="0" t="s">
        <x:v>12926</x:v>
      </x:c>
      <x:c r="C3271" s="0" t="s">
        <x:v>12927</x:v>
      </x:c>
      <x:c r="E3271" s="0" t="s">
        <x:v>12928</x:v>
      </x:c>
      <x:c r="F3271" s="0" t="s">
        <x:v>45</x:v>
      </x:c>
      <x:c r="G3271" s="0" t="s">
        <x:v>19</x:v>
      </x:c>
      <x:c r="H3271" s="0" t="s">
        <x:v>20</x:v>
      </x:c>
      <x:c r="I3271" s="0" t="s">
        <x:v>21</x:v>
      </x:c>
      <x:c r="K3271" s="0">
        <x:f>hyperlink("https://icd.who.int/dev11/l-ichi/en#/http%3A%2F%2Fid.who.int%2Ficd%2Fentity%2F1572845391","browser")</x:f>
      </x:c>
      <x:c r="L3271" s="0">
        <x:f>hyperlink("https://icat2.azurewebsites.net/icat/?ontology=ICD&amp;tab=ClassesTab&amp;id=http%3A%2F%2Fwho.int%2Ficd%23151_97087496_4a82_4efa_a45a_b3256f81bd7e","iCat")</x:f>
      </x:c>
      <x:c r="M3271" s="0" t="s">
        <x:v>21</x:v>
      </x:c>
      <x:c r="N3271" s="0" t="s">
        <x:v>46</x:v>
      </x:c>
    </x:row>
    <x:row r="3272" spans="1:16">
      <x:c r="A3272" s="0" t="s">
        <x:v>12929</x:v>
      </x:c>
      <x:c r="B3272" s="0" t="s">
        <x:v>12930</x:v>
      </x:c>
      <x:c r="C3272" s="0" t="s">
        <x:v>12931</x:v>
      </x:c>
      <x:c r="E3272" s="0" t="s">
        <x:v>12932</x:v>
      </x:c>
      <x:c r="F3272" s="0" t="s">
        <x:v>45</x:v>
      </x:c>
      <x:c r="G3272" s="0" t="s">
        <x:v>19</x:v>
      </x:c>
      <x:c r="H3272" s="0" t="s">
        <x:v>20</x:v>
      </x:c>
      <x:c r="I3272" s="0" t="s">
        <x:v>21</x:v>
      </x:c>
      <x:c r="K3272" s="0">
        <x:f>hyperlink("https://icd.who.int/dev11/l-ichi/en#/http%3A%2F%2Fid.who.int%2Ficd%2Fentity%2F1004734737","browser")</x:f>
      </x:c>
      <x:c r="L3272" s="0">
        <x:f>hyperlink("https://icat2.azurewebsites.net/icat/?ontology=ICD&amp;tab=ClassesTab&amp;id=http%3A%2F%2Fwho.int%2Ficd%2315074_512ebf36_bf6b_4d70_85da_cf2637062af4","iCat")</x:f>
      </x:c>
      <x:c r="M3272" s="0" t="s">
        <x:v>21</x:v>
      </x:c>
      <x:c r="N3272" s="0" t="s">
        <x:v>46</x:v>
      </x:c>
    </x:row>
    <x:row r="3273" spans="1:16">
      <x:c r="A3273" s="0" t="s">
        <x:v>12933</x:v>
      </x:c>
      <x:c r="B3273" s="0" t="s">
        <x:v>12934</x:v>
      </x:c>
      <x:c r="C3273" s="0" t="s">
        <x:v>12935</x:v>
      </x:c>
      <x:c r="E3273" s="0" t="s">
        <x:v>12936</x:v>
      </x:c>
      <x:c r="F3273" s="0" t="s">
        <x:v>45</x:v>
      </x:c>
      <x:c r="G3273" s="0" t="s">
        <x:v>19</x:v>
      </x:c>
      <x:c r="H3273" s="0" t="s">
        <x:v>20</x:v>
      </x:c>
      <x:c r="I3273" s="0" t="s">
        <x:v>21</x:v>
      </x:c>
      <x:c r="K3273" s="0">
        <x:f>hyperlink("https://icd.who.int/dev11/l-ichi/en#/http%3A%2F%2Fid.who.int%2Ficd%2Fentity%2F1149213312","browser")</x:f>
      </x:c>
      <x:c r="L3273" s="0">
        <x:f>hyperlink("https://icat2.azurewebsites.net/icat/?ontology=ICD&amp;tab=ClassesTab&amp;id=http%3A%2F%2Fwho.int%2Ficd%2315082_512ebf36_bf6b_4d70_85da_cf2637062af4","iCat")</x:f>
      </x:c>
      <x:c r="M3273" s="0" t="s">
        <x:v>21</x:v>
      </x:c>
      <x:c r="N3273" s="0" t="s">
        <x:v>46</x:v>
      </x:c>
    </x:row>
    <x:row r="3274" spans="1:16">
      <x:c r="A3274" s="0" t="s">
        <x:v>12937</x:v>
      </x:c>
      <x:c r="B3274" s="0" t="s">
        <x:v>12938</x:v>
      </x:c>
      <x:c r="C3274" s="0" t="s">
        <x:v>12939</x:v>
      </x:c>
      <x:c r="E3274" s="0" t="s">
        <x:v>12940</x:v>
      </x:c>
      <x:c r="F3274" s="0" t="s">
        <x:v>45</x:v>
      </x:c>
      <x:c r="G3274" s="0" t="s">
        <x:v>19</x:v>
      </x:c>
      <x:c r="H3274" s="0" t="s">
        <x:v>20</x:v>
      </x:c>
      <x:c r="I3274" s="0" t="s">
        <x:v>21</x:v>
      </x:c>
      <x:c r="K3274" s="0">
        <x:f>hyperlink("https://icd.who.int/dev11/l-ichi/en#/http%3A%2F%2Fid.who.int%2Ficd%2Fentity%2F2126632600","browser")</x:f>
      </x:c>
      <x:c r="L3274" s="0">
        <x:f>hyperlink("https://icat2.azurewebsites.net/icat/?ontology=ICD&amp;tab=ClassesTab&amp;id=http%3A%2F%2Fwho.int%2Ficd%2315094_512ebf36_bf6b_4d70_85da_cf2637062af4","iCat")</x:f>
      </x:c>
      <x:c r="M3274" s="0" t="s">
        <x:v>21</x:v>
      </x:c>
      <x:c r="N3274" s="0" t="s">
        <x:v>46</x:v>
      </x:c>
    </x:row>
    <x:row r="3275" spans="1:16">
      <x:c r="A3275" s="0" t="s">
        <x:v>12941</x:v>
      </x:c>
      <x:c r="B3275" s="0" t="s">
        <x:v>12942</x:v>
      </x:c>
      <x:c r="C3275" s="0" t="s">
        <x:v>12943</x:v>
      </x:c>
      <x:c r="E3275" s="0" t="s">
        <x:v>12944</x:v>
      </x:c>
      <x:c r="F3275" s="0" t="s">
        <x:v>45</x:v>
      </x:c>
      <x:c r="G3275" s="0" t="s">
        <x:v>19</x:v>
      </x:c>
      <x:c r="H3275" s="0" t="s">
        <x:v>20</x:v>
      </x:c>
      <x:c r="I3275" s="0" t="s">
        <x:v>21</x:v>
      </x:c>
      <x:c r="K3275" s="0">
        <x:f>hyperlink("https://icd.who.int/dev11/l-ichi/en#/http%3A%2F%2Fid.who.int%2Ficd%2Fentity%2F1800694496","browser")</x:f>
      </x:c>
      <x:c r="L3275" s="0">
        <x:f>hyperlink("https://icat2.azurewebsites.net/icat/?ontology=ICD&amp;tab=ClassesTab&amp;id=http%3A%2F%2Fwho.int%2Ficd%2315101_512ebf36_bf6b_4d70_85da_cf2637062af4","iCat")</x:f>
      </x:c>
      <x:c r="M3275" s="0" t="s">
        <x:v>21</x:v>
      </x:c>
      <x:c r="N3275" s="0" t="s">
        <x:v>46</x:v>
      </x:c>
    </x:row>
    <x:row r="3276" spans="1:16">
      <x:c r="A3276" s="0" t="s">
        <x:v>12945</x:v>
      </x:c>
      <x:c r="B3276" s="0" t="s">
        <x:v>12946</x:v>
      </x:c>
      <x:c r="C3276" s="0" t="s">
        <x:v>12947</x:v>
      </x:c>
      <x:c r="E3276" s="0" t="s">
        <x:v>12948</x:v>
      </x:c>
      <x:c r="F3276" s="0" t="s">
        <x:v>45</x:v>
      </x:c>
      <x:c r="G3276" s="0" t="s">
        <x:v>19</x:v>
      </x:c>
      <x:c r="H3276" s="0" t="s">
        <x:v>20</x:v>
      </x:c>
      <x:c r="I3276" s="0" t="s">
        <x:v>21</x:v>
      </x:c>
      <x:c r="K3276" s="0">
        <x:f>hyperlink("https://icd.who.int/dev11/l-ichi/en#/http%3A%2F%2Fid.who.int%2Ficd%2Fentity%2F992981871","browser")</x:f>
      </x:c>
      <x:c r="L3276" s="0">
        <x:f>hyperlink("https://icat2.azurewebsites.net/icat/?ontology=ICD&amp;tab=ClassesTab&amp;id=http%3A%2F%2Fwho.int%2Ficd%2315107_512ebf36_bf6b_4d70_85da_cf2637062af4","iCat")</x:f>
      </x:c>
      <x:c r="M3276" s="0" t="s">
        <x:v>21</x:v>
      </x:c>
      <x:c r="N3276" s="0" t="s">
        <x:v>46</x:v>
      </x:c>
    </x:row>
    <x:row r="3277" spans="1:16">
      <x:c r="A3277" s="0" t="s">
        <x:v>12949</x:v>
      </x:c>
      <x:c r="B3277" s="0" t="s">
        <x:v>12950</x:v>
      </x:c>
      <x:c r="C3277" s="0" t="s">
        <x:v>12951</x:v>
      </x:c>
      <x:c r="E3277" s="0" t="s">
        <x:v>12952</x:v>
      </x:c>
      <x:c r="F3277" s="0" t="s">
        <x:v>45</x:v>
      </x:c>
      <x:c r="G3277" s="0" t="s">
        <x:v>19</x:v>
      </x:c>
      <x:c r="H3277" s="0" t="s">
        <x:v>20</x:v>
      </x:c>
      <x:c r="I3277" s="0" t="s">
        <x:v>21</x:v>
      </x:c>
      <x:c r="K3277" s="0">
        <x:f>hyperlink("https://icd.who.int/dev11/l-ichi/en#/http%3A%2F%2Fid.who.int%2Ficd%2Fentity%2F1897092102","browser")</x:f>
      </x:c>
      <x:c r="L3277" s="0">
        <x:f>hyperlink("https://icat2.azurewebsites.net/icat/?ontology=ICD&amp;tab=ClassesTab&amp;id=http%3A%2F%2Fwho.int%2Ficd%2315116_512ebf36_bf6b_4d70_85da_cf2637062af4","iCat")</x:f>
      </x:c>
      <x:c r="M3277" s="0" t="s">
        <x:v>21</x:v>
      </x:c>
      <x:c r="N3277" s="0" t="s">
        <x:v>46</x:v>
      </x:c>
    </x:row>
    <x:row r="3278" spans="1:16">
      <x:c r="A3278" s="0" t="s">
        <x:v>12953</x:v>
      </x:c>
      <x:c r="B3278" s="0" t="s">
        <x:v>12954</x:v>
      </x:c>
      <x:c r="C3278" s="0" t="s">
        <x:v>12955</x:v>
      </x:c>
      <x:c r="E3278" s="0" t="s">
        <x:v>12956</x:v>
      </x:c>
      <x:c r="F3278" s="0" t="s">
        <x:v>45</x:v>
      </x:c>
      <x:c r="G3278" s="0" t="s">
        <x:v>19</x:v>
      </x:c>
      <x:c r="H3278" s="0" t="s">
        <x:v>20</x:v>
      </x:c>
      <x:c r="I3278" s="0" t="s">
        <x:v>21</x:v>
      </x:c>
      <x:c r="K3278" s="0">
        <x:f>hyperlink("https://icd.who.int/dev11/l-ichi/en#/http%3A%2F%2Fid.who.int%2Ficd%2Fentity%2F77975671","browser")</x:f>
      </x:c>
      <x:c r="L3278" s="0">
        <x:f>hyperlink("https://icat2.azurewebsites.net/icat/?ontology=ICD&amp;tab=ClassesTab&amp;id=http%3A%2F%2Fwho.int%2Ficd%2315122_512ebf36_bf6b_4d70_85da_cf2637062af4","iCat")</x:f>
      </x:c>
      <x:c r="M3278" s="0" t="s">
        <x:v>21</x:v>
      </x:c>
      <x:c r="N3278" s="0" t="s">
        <x:v>46</x:v>
      </x:c>
    </x:row>
    <x:row r="3279" spans="1:16">
      <x:c r="A3279" s="0" t="s">
        <x:v>12957</x:v>
      </x:c>
      <x:c r="B3279" s="0" t="s">
        <x:v>12958</x:v>
      </x:c>
      <x:c r="C3279" s="0" t="s">
        <x:v>12959</x:v>
      </x:c>
      <x:c r="E3279" s="0" t="s">
        <x:v>12960</x:v>
      </x:c>
      <x:c r="F3279" s="0" t="s">
        <x:v>45</x:v>
      </x:c>
      <x:c r="G3279" s="0" t="s">
        <x:v>19</x:v>
      </x:c>
      <x:c r="H3279" s="0" t="s">
        <x:v>20</x:v>
      </x:c>
      <x:c r="I3279" s="0" t="s">
        <x:v>21</x:v>
      </x:c>
      <x:c r="K3279" s="0">
        <x:f>hyperlink("https://icd.who.int/dev11/l-ichi/en#/http%3A%2F%2Fid.who.int%2Ficd%2Fentity%2F262262491","browser")</x:f>
      </x:c>
      <x:c r="L3279" s="0">
        <x:f>hyperlink("https://icat2.azurewebsites.net/icat/?ontology=ICD&amp;tab=ClassesTab&amp;id=http%3A%2F%2Fwho.int%2Ficd%2315129_512ebf36_bf6b_4d70_85da_cf2637062af4","iCat")</x:f>
      </x:c>
      <x:c r="M3279" s="0" t="s">
        <x:v>21</x:v>
      </x:c>
      <x:c r="N3279" s="0" t="s">
        <x:v>46</x:v>
      </x:c>
    </x:row>
    <x:row r="3280" spans="1:16">
      <x:c r="A3280" s="0" t="s">
        <x:v>12961</x:v>
      </x:c>
      <x:c r="B3280" s="0" t="s">
        <x:v>12962</x:v>
      </x:c>
      <x:c r="C3280" s="0" t="s">
        <x:v>12963</x:v>
      </x:c>
      <x:c r="E3280" s="0" t="s">
        <x:v>12964</x:v>
      </x:c>
      <x:c r="F3280" s="0" t="s">
        <x:v>45</x:v>
      </x:c>
      <x:c r="G3280" s="0" t="s">
        <x:v>19</x:v>
      </x:c>
      <x:c r="H3280" s="0" t="s">
        <x:v>20</x:v>
      </x:c>
      <x:c r="I3280" s="0" t="s">
        <x:v>21</x:v>
      </x:c>
      <x:c r="K3280" s="0">
        <x:f>hyperlink("https://icd.who.int/dev11/l-ichi/en#/http%3A%2F%2Fid.who.int%2Ficd%2Fentity%2F2071822450","browser")</x:f>
      </x:c>
      <x:c r="L3280" s="0">
        <x:f>hyperlink("https://icat2.azurewebsites.net/icat/?ontology=ICD&amp;tab=ClassesTab&amp;id=http%3A%2F%2Fwho.int%2Ficd%231_145da35b_2606_49b1_9645_9e3aeecd5c47","iCat")</x:f>
      </x:c>
      <x:c r="M3280" s="0" t="s">
        <x:v>21</x:v>
      </x:c>
      <x:c r="N3280" s="0" t="s">
        <x:v>46</x:v>
      </x:c>
    </x:row>
    <x:row r="3281" spans="1:16">
      <x:c r="A3281" s="0" t="s">
        <x:v>12965</x:v>
      </x:c>
      <x:c r="B3281" s="0" t="s">
        <x:v>12966</x:v>
      </x:c>
      <x:c r="C3281" s="0" t="s">
        <x:v>12967</x:v>
      </x:c>
      <x:c r="E3281" s="0" t="s">
        <x:v>12968</x:v>
      </x:c>
      <x:c r="F3281" s="0" t="s">
        <x:v>45</x:v>
      </x:c>
      <x:c r="G3281" s="0" t="s">
        <x:v>19</x:v>
      </x:c>
      <x:c r="H3281" s="0" t="s">
        <x:v>20</x:v>
      </x:c>
      <x:c r="I3281" s="0" t="s">
        <x:v>21</x:v>
      </x:c>
      <x:c r="K3281" s="0">
        <x:f>hyperlink("https://icd.who.int/dev11/l-ichi/en#/http%3A%2F%2Fid.who.int%2Ficd%2Fentity%2F1754329786","browser")</x:f>
      </x:c>
      <x:c r="L3281" s="0">
        <x:f>hyperlink("https://icat2.azurewebsites.net/icat/?ontology=ICD&amp;tab=ClassesTab&amp;id=http%3A%2F%2Fwho.int%2Ficd%2315580_4869915e_217e_423d_acb3_33c0f920ef4b","iCat")</x:f>
      </x:c>
      <x:c r="M3281" s="0" t="s">
        <x:v>21</x:v>
      </x:c>
      <x:c r="N3281" s="0" t="s">
        <x:v>46</x:v>
      </x:c>
    </x:row>
    <x:row r="3282" spans="1:16">
      <x:c r="A3282" s="0" t="s">
        <x:v>12969</x:v>
      </x:c>
      <x:c r="B3282" s="0" t="s">
        <x:v>12970</x:v>
      </x:c>
      <x:c r="C3282" s="0" t="s">
        <x:v>12971</x:v>
      </x:c>
      <x:c r="E3282" s="0" t="s">
        <x:v>12972</x:v>
      </x:c>
      <x:c r="F3282" s="0" t="s">
        <x:v>45</x:v>
      </x:c>
      <x:c r="G3282" s="0" t="s">
        <x:v>19</x:v>
      </x:c>
      <x:c r="H3282" s="0" t="s">
        <x:v>20</x:v>
      </x:c>
      <x:c r="I3282" s="0" t="s">
        <x:v>21</x:v>
      </x:c>
      <x:c r="K3282" s="0">
        <x:f>hyperlink("https://icd.who.int/dev11/l-ichi/en#/http%3A%2F%2Fid.who.int%2Ficd%2Fentity%2F1533509972","browser")</x:f>
      </x:c>
      <x:c r="L3282" s="0">
        <x:f>hyperlink("https://icat2.azurewebsites.net/icat/?ontology=ICD&amp;tab=ClassesTab&amp;id=http%3A%2F%2Fwho.int%2Ficd%2315136_512ebf36_bf6b_4d70_85da_cf2637062af4","iCat")</x:f>
      </x:c>
      <x:c r="M3282" s="0" t="s">
        <x:v>21</x:v>
      </x:c>
      <x:c r="N3282" s="0" t="s">
        <x:v>46</x:v>
      </x:c>
    </x:row>
    <x:row r="3283" spans="1:16">
      <x:c r="A3283" s="0" t="s">
        <x:v>12973</x:v>
      </x:c>
      <x:c r="B3283" s="0" t="s">
        <x:v>12974</x:v>
      </x:c>
      <x:c r="C3283" s="0" t="s">
        <x:v>12975</x:v>
      </x:c>
      <x:c r="E3283" s="0" t="s">
        <x:v>12976</x:v>
      </x:c>
      <x:c r="F3283" s="0" t="s">
        <x:v>45</x:v>
      </x:c>
      <x:c r="G3283" s="0" t="s">
        <x:v>19</x:v>
      </x:c>
      <x:c r="H3283" s="0" t="s">
        <x:v>20</x:v>
      </x:c>
      <x:c r="I3283" s="0" t="s">
        <x:v>21</x:v>
      </x:c>
      <x:c r="K3283" s="0">
        <x:f>hyperlink("https://icd.who.int/dev11/l-ichi/en#/http%3A%2F%2Fid.who.int%2Ficd%2Fentity%2F2119115784","browser")</x:f>
      </x:c>
      <x:c r="L3283" s="0">
        <x:f>hyperlink("https://icat2.azurewebsites.net/icat/?ontology=ICD&amp;tab=ClassesTab&amp;id=http%3A%2F%2Fwho.int%2Ficd%2315143_512ebf36_bf6b_4d70_85da_cf2637062af4","iCat")</x:f>
      </x:c>
      <x:c r="M3283" s="0" t="s">
        <x:v>21</x:v>
      </x:c>
      <x:c r="N3283" s="0" t="s">
        <x:v>46</x:v>
      </x:c>
    </x:row>
    <x:row r="3284" spans="1:16">
      <x:c r="A3284" s="0" t="s">
        <x:v>12977</x:v>
      </x:c>
      <x:c r="B3284" s="0" t="s">
        <x:v>12978</x:v>
      </x:c>
      <x:c r="C3284" s="0" t="s">
        <x:v>12979</x:v>
      </x:c>
      <x:c r="E3284" s="0" t="s">
        <x:v>12980</x:v>
      </x:c>
      <x:c r="F3284" s="0" t="s">
        <x:v>45</x:v>
      </x:c>
      <x:c r="G3284" s="0" t="s">
        <x:v>19</x:v>
      </x:c>
      <x:c r="H3284" s="0" t="s">
        <x:v>20</x:v>
      </x:c>
      <x:c r="I3284" s="0" t="s">
        <x:v>21</x:v>
      </x:c>
      <x:c r="K3284" s="0">
        <x:f>hyperlink("https://icd.who.int/dev11/l-ichi/en#/http%3A%2F%2Fid.who.int%2Ficd%2Fentity%2F1359994536","browser")</x:f>
      </x:c>
      <x:c r="L3284" s="0">
        <x:f>hyperlink("https://icat2.azurewebsites.net/icat/?ontology=ICD&amp;tab=ClassesTab&amp;id=http%3A%2F%2Fwho.int%2Ficd%2315150_512ebf36_bf6b_4d70_85da_cf2637062af4","iCat")</x:f>
      </x:c>
      <x:c r="M3284" s="0" t="s">
        <x:v>21</x:v>
      </x:c>
      <x:c r="N3284" s="0" t="s">
        <x:v>46</x:v>
      </x:c>
    </x:row>
    <x:row r="3285" spans="1:16">
      <x:c r="A3285" s="0" t="s">
        <x:v>12981</x:v>
      </x:c>
      <x:c r="B3285" s="0" t="s">
        <x:v>12982</x:v>
      </x:c>
      <x:c r="C3285" s="0" t="s">
        <x:v>12983</x:v>
      </x:c>
      <x:c r="E3285" s="0" t="s">
        <x:v>12984</x:v>
      </x:c>
      <x:c r="F3285" s="0" t="s">
        <x:v>45</x:v>
      </x:c>
      <x:c r="G3285" s="0" t="s">
        <x:v>19</x:v>
      </x:c>
      <x:c r="H3285" s="0" t="s">
        <x:v>20</x:v>
      </x:c>
      <x:c r="I3285" s="0" t="s">
        <x:v>21</x:v>
      </x:c>
      <x:c r="K3285" s="0">
        <x:f>hyperlink("https://icd.who.int/dev11/l-ichi/en#/http%3A%2F%2Fid.who.int%2Ficd%2Fentity%2F24381209","browser")</x:f>
      </x:c>
      <x:c r="L3285" s="0">
        <x:f>hyperlink("https://icat2.azurewebsites.net/icat/?ontology=ICD&amp;tab=ClassesTab&amp;id=http%3A%2F%2Fwho.int%2Ficd%2315156_512ebf36_bf6b_4d70_85da_cf2637062af4","iCat")</x:f>
      </x:c>
      <x:c r="M3285" s="0" t="s">
        <x:v>21</x:v>
      </x:c>
      <x:c r="N3285" s="0" t="s">
        <x:v>46</x:v>
      </x:c>
    </x:row>
    <x:row r="3286" spans="1:16">
      <x:c r="A3286" s="0" t="s">
        <x:v>12985</x:v>
      </x:c>
      <x:c r="B3286" s="0" t="s">
        <x:v>12986</x:v>
      </x:c>
      <x:c r="C3286" s="0" t="s">
        <x:v>12987</x:v>
      </x:c>
      <x:c r="E3286" s="0" t="s">
        <x:v>12988</x:v>
      </x:c>
      <x:c r="F3286" s="0" t="s">
        <x:v>45</x:v>
      </x:c>
      <x:c r="G3286" s="0" t="s">
        <x:v>19</x:v>
      </x:c>
      <x:c r="H3286" s="0" t="s">
        <x:v>20</x:v>
      </x:c>
      <x:c r="I3286" s="0" t="s">
        <x:v>21</x:v>
      </x:c>
      <x:c r="K3286" s="0">
        <x:f>hyperlink("https://icd.who.int/dev11/l-ichi/en#/http%3A%2F%2Fid.who.int%2Ficd%2Fentity%2F1958904684","browser")</x:f>
      </x:c>
      <x:c r="L3286" s="0">
        <x:f>hyperlink("https://icat2.azurewebsites.net/icat/?ontology=ICD&amp;tab=ClassesTab&amp;id=http%3A%2F%2Fwho.int%2Ficd%2315162_512ebf36_bf6b_4d70_85da_cf2637062af4","iCat")</x:f>
      </x:c>
      <x:c r="M3286" s="0" t="s">
        <x:v>21</x:v>
      </x:c>
      <x:c r="N3286" s="0" t="s">
        <x:v>46</x:v>
      </x:c>
    </x:row>
    <x:row r="3287" spans="1:16">
      <x:c r="A3287" s="0" t="s">
        <x:v>12989</x:v>
      </x:c>
      <x:c r="B3287" s="0" t="s">
        <x:v>12990</x:v>
      </x:c>
      <x:c r="C3287" s="0" t="s">
        <x:v>12991</x:v>
      </x:c>
      <x:c r="E3287" s="0" t="s">
        <x:v>12992</x:v>
      </x:c>
      <x:c r="F3287" s="0" t="s">
        <x:v>45</x:v>
      </x:c>
      <x:c r="G3287" s="0" t="s">
        <x:v>19</x:v>
      </x:c>
      <x:c r="H3287" s="0" t="s">
        <x:v>20</x:v>
      </x:c>
      <x:c r="I3287" s="0" t="s">
        <x:v>21</x:v>
      </x:c>
      <x:c r="K3287" s="0">
        <x:f>hyperlink("https://icd.who.int/dev11/l-ichi/en#/http%3A%2F%2Fid.who.int%2Ficd%2Fentity%2F2071661562","browser")</x:f>
      </x:c>
      <x:c r="L3287" s="0">
        <x:f>hyperlink("https://icat2.azurewebsites.net/icat/?ontology=ICD&amp;tab=ClassesTab&amp;id=http%3A%2F%2Fwho.int%2Ficd%2315170_512ebf36_bf6b_4d70_85da_cf2637062af4","iCat")</x:f>
      </x:c>
      <x:c r="M3287" s="0" t="s">
        <x:v>21</x:v>
      </x:c>
      <x:c r="N3287" s="0" t="s">
        <x:v>46</x:v>
      </x:c>
    </x:row>
    <x:row r="3288" spans="1:16">
      <x:c r="A3288" s="0" t="s">
        <x:v>12993</x:v>
      </x:c>
      <x:c r="B3288" s="0" t="s">
        <x:v>12994</x:v>
      </x:c>
      <x:c r="C3288" s="0" t="s">
        <x:v>12995</x:v>
      </x:c>
      <x:c r="E3288" s="0" t="s">
        <x:v>12996</x:v>
      </x:c>
      <x:c r="F3288" s="0" t="s">
        <x:v>45</x:v>
      </x:c>
      <x:c r="G3288" s="0" t="s">
        <x:v>19</x:v>
      </x:c>
      <x:c r="H3288" s="0" t="s">
        <x:v>20</x:v>
      </x:c>
      <x:c r="I3288" s="0" t="s">
        <x:v>21</x:v>
      </x:c>
      <x:c r="K3288" s="0">
        <x:f>hyperlink("https://icd.who.int/dev11/l-ichi/en#/http%3A%2F%2Fid.who.int%2Ficd%2Fentity%2F1419526440","browser")</x:f>
      </x:c>
      <x:c r="L3288" s="0">
        <x:f>hyperlink("https://icat2.azurewebsites.net/icat/?ontology=ICD&amp;tab=ClassesTab&amp;id=http%3A%2F%2Fwho.int%2Ficd%2315180_512ebf36_bf6b_4d70_85da_cf2637062af4","iCat")</x:f>
      </x:c>
      <x:c r="M3288" s="0" t="s">
        <x:v>21</x:v>
      </x:c>
      <x:c r="N3288" s="0" t="s">
        <x:v>46</x:v>
      </x:c>
    </x:row>
    <x:row r="3289" spans="1:16">
      <x:c r="A3289" s="0" t="s">
        <x:v>12997</x:v>
      </x:c>
      <x:c r="B3289" s="0" t="s">
        <x:v>12998</x:v>
      </x:c>
      <x:c r="C3289" s="0" t="s">
        <x:v>12999</x:v>
      </x:c>
      <x:c r="E3289" s="0" t="s">
        <x:v>13000</x:v>
      </x:c>
      <x:c r="F3289" s="0" t="s">
        <x:v>45</x:v>
      </x:c>
      <x:c r="G3289" s="0" t="s">
        <x:v>19</x:v>
      </x:c>
      <x:c r="H3289" s="0" t="s">
        <x:v>20</x:v>
      </x:c>
      <x:c r="I3289" s="0" t="s">
        <x:v>21</x:v>
      </x:c>
      <x:c r="K3289" s="0">
        <x:f>hyperlink("https://icd.who.int/dev11/l-ichi/en#/http%3A%2F%2Fid.who.int%2Ficd%2Fentity%2F988037711","browser")</x:f>
      </x:c>
      <x:c r="L3289" s="0">
        <x:f>hyperlink("https://icat2.azurewebsites.net/icat/?ontology=ICD&amp;tab=ClassesTab&amp;id=http%3A%2F%2Fwho.int%2Ficd%2315189_512ebf36_bf6b_4d70_85da_cf2637062af4","iCat")</x:f>
      </x:c>
      <x:c r="M3289" s="0" t="s">
        <x:v>21</x:v>
      </x:c>
      <x:c r="N3289" s="0" t="s">
        <x:v>46</x:v>
      </x:c>
    </x:row>
    <x:row r="3290" spans="1:16">
      <x:c r="A3290" s="0" t="s">
        <x:v>13001</x:v>
      </x:c>
      <x:c r="B3290" s="0" t="s">
        <x:v>13002</x:v>
      </x:c>
      <x:c r="C3290" s="0" t="s">
        <x:v>13003</x:v>
      </x:c>
      <x:c r="E3290" s="0" t="s">
        <x:v>13004</x:v>
      </x:c>
      <x:c r="F3290" s="0" t="s">
        <x:v>45</x:v>
      </x:c>
      <x:c r="G3290" s="0" t="s">
        <x:v>19</x:v>
      </x:c>
      <x:c r="H3290" s="0" t="s">
        <x:v>20</x:v>
      </x:c>
      <x:c r="I3290" s="0" t="s">
        <x:v>21</x:v>
      </x:c>
      <x:c r="K3290" s="0">
        <x:f>hyperlink("https://icd.who.int/dev11/l-ichi/en#/http%3A%2F%2Fid.who.int%2Ficd%2Fentity%2F732389945","browser")</x:f>
      </x:c>
      <x:c r="L3290" s="0">
        <x:f>hyperlink("https://icat2.azurewebsites.net/icat/?ontology=ICD&amp;tab=ClassesTab&amp;id=http%3A%2F%2Fwho.int%2Ficd%2315195_512ebf36_bf6b_4d70_85da_cf2637062af4","iCat")</x:f>
      </x:c>
      <x:c r="M3290" s="0" t="s">
        <x:v>21</x:v>
      </x:c>
      <x:c r="N3290" s="0" t="s">
        <x:v>46</x:v>
      </x:c>
    </x:row>
    <x:row r="3291" spans="1:16">
      <x:c r="A3291" s="0" t="s">
        <x:v>13005</x:v>
      </x:c>
      <x:c r="B3291" s="0" t="s">
        <x:v>13006</x:v>
      </x:c>
      <x:c r="C3291" s="0" t="s">
        <x:v>13007</x:v>
      </x:c>
      <x:c r="E3291" s="0" t="s">
        <x:v>13008</x:v>
      </x:c>
      <x:c r="F3291" s="0" t="s">
        <x:v>45</x:v>
      </x:c>
      <x:c r="G3291" s="0" t="s">
        <x:v>19</x:v>
      </x:c>
      <x:c r="H3291" s="0" t="s">
        <x:v>20</x:v>
      </x:c>
      <x:c r="I3291" s="0" t="s">
        <x:v>21</x:v>
      </x:c>
      <x:c r="K3291" s="0">
        <x:f>hyperlink("https://icd.who.int/dev11/l-ichi/en#/http%3A%2F%2Fid.who.int%2Ficd%2Fentity%2F1870119746","browser")</x:f>
      </x:c>
      <x:c r="L3291" s="0">
        <x:f>hyperlink("https://icat2.azurewebsites.net/icat/?ontology=ICD&amp;tab=ClassesTab&amp;id=http%3A%2F%2Fwho.int%2Ficd%2315203_512ebf36_bf6b_4d70_85da_cf2637062af4","iCat")</x:f>
      </x:c>
      <x:c r="M3291" s="0" t="s">
        <x:v>21</x:v>
      </x:c>
      <x:c r="N3291" s="0" t="s">
        <x:v>46</x:v>
      </x:c>
    </x:row>
    <x:row r="3292" spans="1:16">
      <x:c r="A3292" s="0" t="s">
        <x:v>13009</x:v>
      </x:c>
      <x:c r="B3292" s="0" t="s">
        <x:v>13010</x:v>
      </x:c>
      <x:c r="C3292" s="0" t="s">
        <x:v>13011</x:v>
      </x:c>
      <x:c r="E3292" s="0" t="s">
        <x:v>13012</x:v>
      </x:c>
      <x:c r="F3292" s="0" t="s">
        <x:v>45</x:v>
      </x:c>
      <x:c r="G3292" s="0" t="s">
        <x:v>19</x:v>
      </x:c>
      <x:c r="H3292" s="0" t="s">
        <x:v>20</x:v>
      </x:c>
      <x:c r="I3292" s="0" t="s">
        <x:v>21</x:v>
      </x:c>
      <x:c r="K3292" s="0">
        <x:f>hyperlink("https://icd.who.int/dev11/l-ichi/en#/http%3A%2F%2Fid.who.int%2Ficd%2Fentity%2F1077361134","browser")</x:f>
      </x:c>
      <x:c r="L3292" s="0">
        <x:f>hyperlink("https://icat2.azurewebsites.net/icat/?ontology=ICD&amp;tab=ClassesTab&amp;id=http%3A%2F%2Fwho.int%2Ficd%2315210_512ebf36_bf6b_4d70_85da_cf2637062af4","iCat")</x:f>
      </x:c>
      <x:c r="M3292" s="0" t="s">
        <x:v>21</x:v>
      </x:c>
      <x:c r="N3292" s="0" t="s">
        <x:v>46</x:v>
      </x:c>
    </x:row>
    <x:row r="3293" spans="1:16">
      <x:c r="A3293" s="0" t="s">
        <x:v>13013</x:v>
      </x:c>
      <x:c r="B3293" s="0" t="s">
        <x:v>13014</x:v>
      </x:c>
      <x:c r="C3293" s="0" t="s">
        <x:v>13015</x:v>
      </x:c>
      <x:c r="E3293" s="0" t="s">
        <x:v>13016</x:v>
      </x:c>
      <x:c r="F3293" s="0" t="s">
        <x:v>45</x:v>
      </x:c>
      <x:c r="G3293" s="0" t="s">
        <x:v>19</x:v>
      </x:c>
      <x:c r="H3293" s="0" t="s">
        <x:v>20</x:v>
      </x:c>
      <x:c r="I3293" s="0" t="s">
        <x:v>21</x:v>
      </x:c>
      <x:c r="K3293" s="0">
        <x:f>hyperlink("https://icd.who.int/dev11/l-ichi/en#/http%3A%2F%2Fid.who.int%2Ficd%2Fentity%2F817205857","browser")</x:f>
      </x:c>
      <x:c r="L3293" s="0">
        <x:f>hyperlink("https://icat2.azurewebsites.net/icat/?ontology=ICD&amp;tab=ClassesTab&amp;id=http%3A%2F%2Fwho.int%2Ficd%2315217_512ebf36_bf6b_4d70_85da_cf2637062af4","iCat")</x:f>
      </x:c>
      <x:c r="M3293" s="0" t="s">
        <x:v>21</x:v>
      </x:c>
      <x:c r="N3293" s="0" t="s">
        <x:v>46</x:v>
      </x:c>
    </x:row>
    <x:row r="3294" spans="1:16">
      <x:c r="A3294" s="0" t="s">
        <x:v>13017</x:v>
      </x:c>
      <x:c r="B3294" s="0" t="s">
        <x:v>13018</x:v>
      </x:c>
      <x:c r="C3294" s="0" t="s">
        <x:v>13019</x:v>
      </x:c>
      <x:c r="E3294" s="0" t="s">
        <x:v>13020</x:v>
      </x:c>
      <x:c r="F3294" s="0" t="s">
        <x:v>45</x:v>
      </x:c>
      <x:c r="G3294" s="0" t="s">
        <x:v>19</x:v>
      </x:c>
      <x:c r="H3294" s="0" t="s">
        <x:v>20</x:v>
      </x:c>
      <x:c r="I3294" s="0" t="s">
        <x:v>21</x:v>
      </x:c>
      <x:c r="K3294" s="0">
        <x:f>hyperlink("https://icd.who.int/dev11/l-ichi/en#/http%3A%2F%2Fid.who.int%2Ficd%2Fentity%2F360239011","browser")</x:f>
      </x:c>
      <x:c r="L3294" s="0">
        <x:f>hyperlink("https://icat2.azurewebsites.net/icat/?ontology=ICD&amp;tab=ClassesTab&amp;id=http%3A%2F%2Fwho.int%2Ficd%2315225_512ebf36_bf6b_4d70_85da_cf2637062af4","iCat")</x:f>
      </x:c>
      <x:c r="M3294" s="0" t="s">
        <x:v>21</x:v>
      </x:c>
      <x:c r="N3294" s="0" t="s">
        <x:v>46</x:v>
      </x:c>
    </x:row>
    <x:row r="3295" spans="1:16">
      <x:c r="A3295" s="0" t="s">
        <x:v>13021</x:v>
      </x:c>
      <x:c r="B3295" s="0" t="s">
        <x:v>13022</x:v>
      </x:c>
      <x:c r="C3295" s="0" t="s">
        <x:v>13023</x:v>
      </x:c>
      <x:c r="E3295" s="0" t="s">
        <x:v>13024</x:v>
      </x:c>
      <x:c r="F3295" s="0" t="s">
        <x:v>45</x:v>
      </x:c>
      <x:c r="G3295" s="0" t="s">
        <x:v>19</x:v>
      </x:c>
      <x:c r="H3295" s="0" t="s">
        <x:v>20</x:v>
      </x:c>
      <x:c r="I3295" s="0" t="s">
        <x:v>21</x:v>
      </x:c>
      <x:c r="K3295" s="0">
        <x:f>hyperlink("https://icd.who.int/dev11/l-ichi/en#/http%3A%2F%2Fid.who.int%2Ficd%2Fentity%2F1253744258","browser")</x:f>
      </x:c>
      <x:c r="L3295" s="0">
        <x:f>hyperlink("https://icat2.azurewebsites.net/icat/?ontology=ICD&amp;tab=ClassesTab&amp;id=http%3A%2F%2Fwho.int%2Ficd%2315231_512ebf36_bf6b_4d70_85da_cf2637062af4","iCat")</x:f>
      </x:c>
      <x:c r="M3295" s="0" t="s">
        <x:v>21</x:v>
      </x:c>
      <x:c r="N3295" s="0" t="s">
        <x:v>46</x:v>
      </x:c>
    </x:row>
    <x:row r="3296" spans="1:16">
      <x:c r="A3296" s="0" t="s">
        <x:v>13025</x:v>
      </x:c>
      <x:c r="B3296" s="0" t="s">
        <x:v>13026</x:v>
      </x:c>
      <x:c r="C3296" s="0" t="s">
        <x:v>13027</x:v>
      </x:c>
      <x:c r="E3296" s="0" t="s">
        <x:v>13028</x:v>
      </x:c>
      <x:c r="F3296" s="0" t="s">
        <x:v>45</x:v>
      </x:c>
      <x:c r="G3296" s="0" t="s">
        <x:v>19</x:v>
      </x:c>
      <x:c r="H3296" s="0" t="s">
        <x:v>20</x:v>
      </x:c>
      <x:c r="I3296" s="0" t="s">
        <x:v>21</x:v>
      </x:c>
      <x:c r="K3296" s="0">
        <x:f>hyperlink("https://icd.who.int/dev11/l-ichi/en#/http%3A%2F%2Fid.who.int%2Ficd%2Fentity%2F1113429933","browser")</x:f>
      </x:c>
      <x:c r="L3296" s="0">
        <x:f>hyperlink("https://icat2.azurewebsites.net/icat/?ontology=ICD&amp;tab=ClassesTab&amp;id=http%3A%2F%2Fwho.int%2Ficd%2315_145da35b_2606_49b1_9645_9e3aeecd5c47","iCat")</x:f>
      </x:c>
      <x:c r="M3296" s="0" t="s">
        <x:v>21</x:v>
      </x:c>
      <x:c r="N3296" s="0" t="s">
        <x:v>46</x:v>
      </x:c>
    </x:row>
    <x:row r="3297" spans="1:16">
      <x:c r="A3297" s="0" t="s">
        <x:v>13029</x:v>
      </x:c>
      <x:c r="B3297" s="0" t="s">
        <x:v>13030</x:v>
      </x:c>
      <x:c r="C3297" s="0" t="s">
        <x:v>13031</x:v>
      </x:c>
      <x:c r="E3297" s="0" t="s">
        <x:v>13032</x:v>
      </x:c>
      <x:c r="F3297" s="0" t="s">
        <x:v>45</x:v>
      </x:c>
      <x:c r="G3297" s="0" t="s">
        <x:v>19</x:v>
      </x:c>
      <x:c r="H3297" s="0" t="s">
        <x:v>20</x:v>
      </x:c>
      <x:c r="I3297" s="0" t="s">
        <x:v>21</x:v>
      </x:c>
      <x:c r="K3297" s="0">
        <x:f>hyperlink("https://icd.who.int/dev11/l-ichi/en#/http%3A%2F%2Fid.who.int%2Ficd%2Fentity%2F954936073","browser")</x:f>
      </x:c>
      <x:c r="L3297" s="0">
        <x:f>hyperlink("https://icat2.azurewebsites.net/icat/?ontology=ICD&amp;tab=ClassesTab&amp;id=http%3A%2F%2Fwho.int%2Ficd%2315586_4869915e_217e_423d_acb3_33c0f920ef4b","iCat")</x:f>
      </x:c>
      <x:c r="M3297" s="0" t="s">
        <x:v>21</x:v>
      </x:c>
      <x:c r="N3297" s="0" t="s">
        <x:v>46</x:v>
      </x:c>
    </x:row>
    <x:row r="3298" spans="1:16">
      <x:c r="A3298" s="0" t="s">
        <x:v>13033</x:v>
      </x:c>
      <x:c r="B3298" s="0" t="s">
        <x:v>13034</x:v>
      </x:c>
      <x:c r="C3298" s="0" t="s">
        <x:v>13035</x:v>
      </x:c>
      <x:c r="E3298" s="0" t="s">
        <x:v>13036</x:v>
      </x:c>
      <x:c r="F3298" s="0" t="s">
        <x:v>45</x:v>
      </x:c>
      <x:c r="G3298" s="0" t="s">
        <x:v>19</x:v>
      </x:c>
      <x:c r="H3298" s="0" t="s">
        <x:v>20</x:v>
      </x:c>
      <x:c r="I3298" s="0" t="s">
        <x:v>21</x:v>
      </x:c>
      <x:c r="K3298" s="0">
        <x:f>hyperlink("https://icd.who.int/dev11/l-ichi/en#/http%3A%2F%2Fid.who.int%2Ficd%2Fentity%2F616734185","browser")</x:f>
      </x:c>
      <x:c r="L3298" s="0">
        <x:f>hyperlink("https://icat2.azurewebsites.net/icat/?ontology=ICD&amp;tab=ClassesTab&amp;id=http%3A%2F%2Fwho.int%2Ficd%2315238_512ebf36_bf6b_4d70_85da_cf2637062af4","iCat")</x:f>
      </x:c>
      <x:c r="M3298" s="0" t="s">
        <x:v>21</x:v>
      </x:c>
      <x:c r="N3298" s="0" t="s">
        <x:v>46</x:v>
      </x:c>
    </x:row>
    <x:row r="3299" spans="1:16">
      <x:c r="A3299" s="0" t="s">
        <x:v>13037</x:v>
      </x:c>
      <x:c r="B3299" s="0" t="s">
        <x:v>13038</x:v>
      </x:c>
      <x:c r="C3299" s="0" t="s">
        <x:v>13039</x:v>
      </x:c>
      <x:c r="E3299" s="0" t="s">
        <x:v>13040</x:v>
      </x:c>
      <x:c r="F3299" s="0" t="s">
        <x:v>45</x:v>
      </x:c>
      <x:c r="G3299" s="0" t="s">
        <x:v>19</x:v>
      </x:c>
      <x:c r="H3299" s="0" t="s">
        <x:v>20</x:v>
      </x:c>
      <x:c r="I3299" s="0" t="s">
        <x:v>21</x:v>
      </x:c>
      <x:c r="K3299" s="0">
        <x:f>hyperlink("https://icd.who.int/dev11/l-ichi/en#/http%3A%2F%2Fid.who.int%2Ficd%2Fentity%2F1332431344","browser")</x:f>
      </x:c>
      <x:c r="L3299" s="0">
        <x:f>hyperlink("https://icat2.azurewebsites.net/icat/?ontology=ICD&amp;tab=ClassesTab&amp;id=http%3A%2F%2Fwho.int%2Ficd%2315245_512ebf36_bf6b_4d70_85da_cf2637062af4","iCat")</x:f>
      </x:c>
      <x:c r="M3299" s="0" t="s">
        <x:v>21</x:v>
      </x:c>
      <x:c r="N3299" s="0" t="s">
        <x:v>46</x:v>
      </x:c>
    </x:row>
    <x:row r="3300" spans="1:16">
      <x:c r="A3300" s="0" t="s">
        <x:v>13041</x:v>
      </x:c>
      <x:c r="B3300" s="0" t="s">
        <x:v>13042</x:v>
      </x:c>
      <x:c r="C3300" s="0" t="s">
        <x:v>13043</x:v>
      </x:c>
      <x:c r="E3300" s="0" t="s">
        <x:v>13044</x:v>
      </x:c>
      <x:c r="F3300" s="0" t="s">
        <x:v>45</x:v>
      </x:c>
      <x:c r="G3300" s="0" t="s">
        <x:v>19</x:v>
      </x:c>
      <x:c r="H3300" s="0" t="s">
        <x:v>20</x:v>
      </x:c>
      <x:c r="I3300" s="0" t="s">
        <x:v>21</x:v>
      </x:c>
      <x:c r="K3300" s="0">
        <x:f>hyperlink("https://icd.who.int/dev11/l-ichi/en#/http%3A%2F%2Fid.who.int%2Ficd%2Fentity%2F1428977462","browser")</x:f>
      </x:c>
      <x:c r="L3300" s="0">
        <x:f>hyperlink("https://icat2.azurewebsites.net/icat/?ontology=ICD&amp;tab=ClassesTab&amp;id=http%3A%2F%2Fwho.int%2Ficd%2315252_512ebf36_bf6b_4d70_85da_cf2637062af4","iCat")</x:f>
      </x:c>
      <x:c r="M3300" s="0" t="s">
        <x:v>21</x:v>
      </x:c>
      <x:c r="N3300" s="0" t="s">
        <x:v>46</x:v>
      </x:c>
    </x:row>
    <x:row r="3301" spans="1:16">
      <x:c r="A3301" s="0" t="s">
        <x:v>13045</x:v>
      </x:c>
      <x:c r="B3301" s="0" t="s">
        <x:v>13046</x:v>
      </x:c>
      <x:c r="C3301" s="0" t="s">
        <x:v>13047</x:v>
      </x:c>
      <x:c r="E3301" s="0" t="s">
        <x:v>13048</x:v>
      </x:c>
      <x:c r="F3301" s="0" t="s">
        <x:v>45</x:v>
      </x:c>
      <x:c r="G3301" s="0" t="s">
        <x:v>19</x:v>
      </x:c>
      <x:c r="H3301" s="0" t="s">
        <x:v>20</x:v>
      </x:c>
      <x:c r="I3301" s="0" t="s">
        <x:v>21</x:v>
      </x:c>
      <x:c r="K3301" s="0">
        <x:f>hyperlink("https://icd.who.int/dev11/l-ichi/en#/http%3A%2F%2Fid.who.int%2Ficd%2Fentity%2F2127633318","browser")</x:f>
      </x:c>
      <x:c r="L3301" s="0">
        <x:f>hyperlink("https://icat2.azurewebsites.net/icat/?ontology=ICD&amp;tab=ClassesTab&amp;id=http%3A%2F%2Fwho.int%2Ficd%2315258_512ebf36_bf6b_4d70_85da_cf2637062af4","iCat")</x:f>
      </x:c>
      <x:c r="M3301" s="0" t="s">
        <x:v>21</x:v>
      </x:c>
      <x:c r="N3301" s="0" t="s">
        <x:v>46</x:v>
      </x:c>
    </x:row>
    <x:row r="3302" spans="1:16">
      <x:c r="A3302" s="0" t="s">
        <x:v>13049</x:v>
      </x:c>
      <x:c r="B3302" s="0" t="s">
        <x:v>13050</x:v>
      </x:c>
      <x:c r="C3302" s="0" t="s">
        <x:v>13051</x:v>
      </x:c>
      <x:c r="E3302" s="0" t="s">
        <x:v>13052</x:v>
      </x:c>
      <x:c r="F3302" s="0" t="s">
        <x:v>45</x:v>
      </x:c>
      <x:c r="G3302" s="0" t="s">
        <x:v>19</x:v>
      </x:c>
      <x:c r="H3302" s="0" t="s">
        <x:v>20</x:v>
      </x:c>
      <x:c r="I3302" s="0" t="s">
        <x:v>21</x:v>
      </x:c>
      <x:c r="K3302" s="0">
        <x:f>hyperlink("https://icd.who.int/dev11/l-ichi/en#/http%3A%2F%2Fid.who.int%2Ficd%2Fentity%2F1172762244","browser")</x:f>
      </x:c>
      <x:c r="L3302" s="0">
        <x:f>hyperlink("https://icat2.azurewebsites.net/icat/?ontology=ICD&amp;tab=ClassesTab&amp;id=http%3A%2F%2Fwho.int%2Ficd%2315264_512ebf36_bf6b_4d70_85da_cf2637062af4","iCat")</x:f>
      </x:c>
      <x:c r="M3302" s="0" t="s">
        <x:v>21</x:v>
      </x:c>
      <x:c r="N3302" s="0" t="s">
        <x:v>46</x:v>
      </x:c>
    </x:row>
    <x:row r="3303" spans="1:16">
      <x:c r="A3303" s="0" t="s">
        <x:v>13053</x:v>
      </x:c>
      <x:c r="B3303" s="0" t="s">
        <x:v>13054</x:v>
      </x:c>
      <x:c r="C3303" s="0" t="s">
        <x:v>13055</x:v>
      </x:c>
      <x:c r="E3303" s="0" t="s">
        <x:v>13056</x:v>
      </x:c>
      <x:c r="F3303" s="0" t="s">
        <x:v>45</x:v>
      </x:c>
      <x:c r="G3303" s="0" t="s">
        <x:v>19</x:v>
      </x:c>
      <x:c r="H3303" s="0" t="s">
        <x:v>20</x:v>
      </x:c>
      <x:c r="I3303" s="0" t="s">
        <x:v>21</x:v>
      </x:c>
      <x:c r="K3303" s="0">
        <x:f>hyperlink("https://icd.who.int/dev11/l-ichi/en#/http%3A%2F%2Fid.who.int%2Ficd%2Fentity%2F2136515172","browser")</x:f>
      </x:c>
      <x:c r="L3303" s="0">
        <x:f>hyperlink("https://icat2.azurewebsites.net/icat/?ontology=ICD&amp;tab=ClassesTab&amp;id=http%3A%2F%2Fwho.int%2Ficd%2315272_512ebf36_bf6b_4d70_85da_cf2637062af4","iCat")</x:f>
      </x:c>
      <x:c r="M3303" s="0" t="s">
        <x:v>21</x:v>
      </x:c>
      <x:c r="N3303" s="0" t="s">
        <x:v>46</x:v>
      </x:c>
    </x:row>
    <x:row r="3304" spans="1:16">
      <x:c r="A3304" s="0" t="s">
        <x:v>13057</x:v>
      </x:c>
      <x:c r="B3304" s="0" t="s">
        <x:v>13058</x:v>
      </x:c>
      <x:c r="C3304" s="0" t="s">
        <x:v>13059</x:v>
      </x:c>
      <x:c r="E3304" s="0" t="s">
        <x:v>13060</x:v>
      </x:c>
      <x:c r="F3304" s="0" t="s">
        <x:v>45</x:v>
      </x:c>
      <x:c r="G3304" s="0" t="s">
        <x:v>19</x:v>
      </x:c>
      <x:c r="H3304" s="0" t="s">
        <x:v>20</x:v>
      </x:c>
      <x:c r="I3304" s="0" t="s">
        <x:v>21</x:v>
      </x:c>
      <x:c r="K3304" s="0">
        <x:f>hyperlink("https://icd.who.int/dev11/l-ichi/en#/http%3A%2F%2Fid.who.int%2Ficd%2Fentity%2F1952234698","browser")</x:f>
      </x:c>
      <x:c r="L3304" s="0">
        <x:f>hyperlink("https://icat2.azurewebsites.net/icat/?ontology=ICD&amp;tab=ClassesTab&amp;id=http%3A%2F%2Fwho.int%2Ficd%2315279_512ebf36_bf6b_4d70_85da_cf2637062af4","iCat")</x:f>
      </x:c>
      <x:c r="M3304" s="0" t="s">
        <x:v>21</x:v>
      </x:c>
      <x:c r="N3304" s="0" t="s">
        <x:v>46</x:v>
      </x:c>
    </x:row>
    <x:row r="3305" spans="1:16">
      <x:c r="A3305" s="0" t="s">
        <x:v>13061</x:v>
      </x:c>
      <x:c r="B3305" s="0" t="s">
        <x:v>13062</x:v>
      </x:c>
      <x:c r="C3305" s="0" t="s">
        <x:v>13063</x:v>
      </x:c>
      <x:c r="E3305" s="0" t="s">
        <x:v>13064</x:v>
      </x:c>
      <x:c r="F3305" s="0" t="s">
        <x:v>45</x:v>
      </x:c>
      <x:c r="G3305" s="0" t="s">
        <x:v>19</x:v>
      </x:c>
      <x:c r="H3305" s="0" t="s">
        <x:v>20</x:v>
      </x:c>
      <x:c r="I3305" s="0" t="s">
        <x:v>21</x:v>
      </x:c>
      <x:c r="K3305" s="0">
        <x:f>hyperlink("https://icd.who.int/dev11/l-ichi/en#/http%3A%2F%2Fid.who.int%2Ficd%2Fentity%2F1706568912","browser")</x:f>
      </x:c>
      <x:c r="L3305" s="0">
        <x:f>hyperlink("https://icat2.azurewebsites.net/icat/?ontology=ICD&amp;tab=ClassesTab&amp;id=http%3A%2F%2Fwho.int%2Ficd%2315286_512ebf36_bf6b_4d70_85da_cf2637062af4","iCat")</x:f>
      </x:c>
      <x:c r="M3305" s="0" t="s">
        <x:v>21</x:v>
      </x:c>
      <x:c r="N3305" s="0" t="s">
        <x:v>46</x:v>
      </x:c>
    </x:row>
    <x:row r="3306" spans="1:16">
      <x:c r="A3306" s="0" t="s">
        <x:v>13065</x:v>
      </x:c>
      <x:c r="B3306" s="0" t="s">
        <x:v>13066</x:v>
      </x:c>
      <x:c r="C3306" s="0" t="s">
        <x:v>13067</x:v>
      </x:c>
      <x:c r="E3306" s="0" t="s">
        <x:v>13068</x:v>
      </x:c>
      <x:c r="F3306" s="0" t="s">
        <x:v>45</x:v>
      </x:c>
      <x:c r="G3306" s="0" t="s">
        <x:v>19</x:v>
      </x:c>
      <x:c r="H3306" s="0" t="s">
        <x:v>20</x:v>
      </x:c>
      <x:c r="I3306" s="0" t="s">
        <x:v>21</x:v>
      </x:c>
      <x:c r="K3306" s="0">
        <x:f>hyperlink("https://icd.who.int/dev11/l-ichi/en#/http%3A%2F%2Fid.who.int%2Ficd%2Fentity%2F1628882213","browser")</x:f>
      </x:c>
      <x:c r="L3306" s="0">
        <x:f>hyperlink("https://icat2.azurewebsites.net/icat/?ontology=ICD&amp;tab=ClassesTab&amp;id=http%3A%2F%2Fwho.int%2Ficd%2315452_7353cc8f_16bd_4231_887a_95ea54e27297","iCat")</x:f>
      </x:c>
      <x:c r="M3306" s="0" t="s">
        <x:v>21</x:v>
      </x:c>
      <x:c r="N3306" s="0" t="s">
        <x:v>46</x:v>
      </x:c>
    </x:row>
    <x:row r="3307" spans="1:16">
      <x:c r="A3307" s="0" t="s">
        <x:v>13069</x:v>
      </x:c>
      <x:c r="B3307" s="0" t="s">
        <x:v>13070</x:v>
      </x:c>
      <x:c r="C3307" s="0" t="s">
        <x:v>13071</x:v>
      </x:c>
      <x:c r="E3307" s="0" t="s">
        <x:v>13072</x:v>
      </x:c>
      <x:c r="F3307" s="0" t="s">
        <x:v>45</x:v>
      </x:c>
      <x:c r="G3307" s="0" t="s">
        <x:v>19</x:v>
      </x:c>
      <x:c r="H3307" s="0" t="s">
        <x:v>20</x:v>
      </x:c>
      <x:c r="I3307" s="0" t="s">
        <x:v>21</x:v>
      </x:c>
      <x:c r="K3307" s="0">
        <x:f>hyperlink("https://icd.who.int/dev11/l-ichi/en#/http%3A%2F%2Fid.who.int%2Ficd%2Fentity%2F1257821792","browser")</x:f>
      </x:c>
      <x:c r="L3307" s="0">
        <x:f>hyperlink("https://icat2.azurewebsites.net/icat/?ontology=ICD&amp;tab=ClassesTab&amp;id=http%3A%2F%2Fwho.int%2Ficd%2315295_512ebf36_bf6b_4d70_85da_cf2637062af4","iCat")</x:f>
      </x:c>
      <x:c r="M3307" s="0" t="s">
        <x:v>21</x:v>
      </x:c>
      <x:c r="N3307" s="0" t="s">
        <x:v>46</x:v>
      </x:c>
    </x:row>
    <x:row r="3308" spans="1:16">
      <x:c r="A3308" s="0" t="s">
        <x:v>13073</x:v>
      </x:c>
      <x:c r="B3308" s="0" t="s">
        <x:v>13074</x:v>
      </x:c>
      <x:c r="C3308" s="0" t="s">
        <x:v>13075</x:v>
      </x:c>
      <x:c r="E3308" s="0" t="s">
        <x:v>13076</x:v>
      </x:c>
      <x:c r="F3308" s="0" t="s">
        <x:v>45</x:v>
      </x:c>
      <x:c r="G3308" s="0" t="s">
        <x:v>19</x:v>
      </x:c>
      <x:c r="H3308" s="0" t="s">
        <x:v>20</x:v>
      </x:c>
      <x:c r="I3308" s="0" t="s">
        <x:v>21</x:v>
      </x:c>
      <x:c r="K3308" s="0">
        <x:f>hyperlink("https://icd.who.int/dev11/l-ichi/en#/http%3A%2F%2Fid.who.int%2Ficd%2Fentity%2F451413471","browser")</x:f>
      </x:c>
      <x:c r="L3308" s="0">
        <x:f>hyperlink("https://icat2.azurewebsites.net/icat/?ontology=ICD&amp;tab=ClassesTab&amp;id=http%3A%2F%2Fwho.int%2Ficd%2315303_512ebf36_bf6b_4d70_85da_cf2637062af4","iCat")</x:f>
      </x:c>
      <x:c r="M3308" s="0" t="s">
        <x:v>21</x:v>
      </x:c>
      <x:c r="N3308" s="0" t="s">
        <x:v>46</x:v>
      </x:c>
    </x:row>
    <x:row r="3309" spans="1:16">
      <x:c r="A3309" s="0" t="s">
        <x:v>13077</x:v>
      </x:c>
      <x:c r="B3309" s="0" t="s">
        <x:v>13078</x:v>
      </x:c>
      <x:c r="C3309" s="0" t="s">
        <x:v>13079</x:v>
      </x:c>
      <x:c r="E3309" s="0" t="s">
        <x:v>13080</x:v>
      </x:c>
      <x:c r="F3309" s="0" t="s">
        <x:v>45</x:v>
      </x:c>
      <x:c r="G3309" s="0" t="s">
        <x:v>19</x:v>
      </x:c>
      <x:c r="H3309" s="0" t="s">
        <x:v>20</x:v>
      </x:c>
      <x:c r="I3309" s="0" t="s">
        <x:v>21</x:v>
      </x:c>
      <x:c r="K3309" s="0">
        <x:f>hyperlink("https://icd.who.int/dev11/l-ichi/en#/http%3A%2F%2Fid.who.int%2Ficd%2Fentity%2F823486799","browser")</x:f>
      </x:c>
      <x:c r="L3309" s="0">
        <x:f>hyperlink("https://icat2.azurewebsites.net/icat/?ontology=ICD&amp;tab=ClassesTab&amp;id=http%3A%2F%2Fwho.int%2Ficd%2315309_512ebf36_bf6b_4d70_85da_cf2637062af4","iCat")</x:f>
      </x:c>
      <x:c r="M3309" s="0" t="s">
        <x:v>21</x:v>
      </x:c>
      <x:c r="N3309" s="0" t="s">
        <x:v>46</x:v>
      </x:c>
    </x:row>
    <x:row r="3310" spans="1:16">
      <x:c r="A3310" s="0" t="s">
        <x:v>13081</x:v>
      </x:c>
      <x:c r="B3310" s="0" t="s">
        <x:v>13082</x:v>
      </x:c>
      <x:c r="C3310" s="0" t="s">
        <x:v>13083</x:v>
      </x:c>
      <x:c r="E3310" s="0" t="s">
        <x:v>13084</x:v>
      </x:c>
      <x:c r="F3310" s="0" t="s">
        <x:v>45</x:v>
      </x:c>
      <x:c r="G3310" s="0" t="s">
        <x:v>19</x:v>
      </x:c>
      <x:c r="H3310" s="0" t="s">
        <x:v>20</x:v>
      </x:c>
      <x:c r="I3310" s="0" t="s">
        <x:v>21</x:v>
      </x:c>
      <x:c r="K3310" s="0">
        <x:f>hyperlink("https://icd.who.int/dev11/l-ichi/en#/http%3A%2F%2Fid.who.int%2Ficd%2Fentity%2F1964621686","browser")</x:f>
      </x:c>
      <x:c r="L3310" s="0">
        <x:f>hyperlink("https://icat2.azurewebsites.net/icat/?ontology=ICD&amp;tab=ClassesTab&amp;id=http%3A%2F%2Fwho.int%2Ficd%2315320_512ebf36_bf6b_4d70_85da_cf2637062af4","iCat")</x:f>
      </x:c>
      <x:c r="M3310" s="0" t="s">
        <x:v>21</x:v>
      </x:c>
      <x:c r="N3310" s="0" t="s">
        <x:v>46</x:v>
      </x:c>
    </x:row>
    <x:row r="3311" spans="1:16">
      <x:c r="A3311" s="0" t="s">
        <x:v>13085</x:v>
      </x:c>
      <x:c r="B3311" s="0" t="s">
        <x:v>13086</x:v>
      </x:c>
      <x:c r="C3311" s="0" t="s">
        <x:v>13087</x:v>
      </x:c>
      <x:c r="E3311" s="0" t="s">
        <x:v>13088</x:v>
      </x:c>
      <x:c r="F3311" s="0" t="s">
        <x:v>45</x:v>
      </x:c>
      <x:c r="G3311" s="0" t="s">
        <x:v>19</x:v>
      </x:c>
      <x:c r="H3311" s="0" t="s">
        <x:v>20</x:v>
      </x:c>
      <x:c r="I3311" s="0" t="s">
        <x:v>21</x:v>
      </x:c>
      <x:c r="K3311" s="0">
        <x:f>hyperlink("https://icd.who.int/dev11/l-ichi/en#/http%3A%2F%2Fid.who.int%2Ficd%2Fentity%2F999869987","browser")</x:f>
      </x:c>
      <x:c r="L3311" s="0">
        <x:f>hyperlink("https://icat2.azurewebsites.net/icat/?ontology=ICD&amp;tab=ClassesTab&amp;id=http%3A%2F%2Fwho.int%2Ficd%2315328_512ebf36_bf6b_4d70_85da_cf2637062af4","iCat")</x:f>
      </x:c>
      <x:c r="M3311" s="0" t="s">
        <x:v>21</x:v>
      </x:c>
      <x:c r="N3311" s="0" t="s">
        <x:v>46</x:v>
      </x:c>
    </x:row>
    <x:row r="3312" spans="1:16">
      <x:c r="A3312" s="0" t="s">
        <x:v>13089</x:v>
      </x:c>
      <x:c r="B3312" s="0" t="s">
        <x:v>13090</x:v>
      </x:c>
      <x:c r="C3312" s="0" t="s">
        <x:v>13091</x:v>
      </x:c>
      <x:c r="E3312" s="0" t="s">
        <x:v>13092</x:v>
      </x:c>
      <x:c r="F3312" s="0" t="s">
        <x:v>45</x:v>
      </x:c>
      <x:c r="G3312" s="0" t="s">
        <x:v>19</x:v>
      </x:c>
      <x:c r="H3312" s="0" t="s">
        <x:v>20</x:v>
      </x:c>
      <x:c r="I3312" s="0" t="s">
        <x:v>21</x:v>
      </x:c>
      <x:c r="K3312" s="0">
        <x:f>hyperlink("https://icd.who.int/dev11/l-ichi/en#/http%3A%2F%2Fid.who.int%2Ficd%2Fentity%2F719056469","browser")</x:f>
      </x:c>
      <x:c r="L3312" s="0">
        <x:f>hyperlink("https://icat2.azurewebsites.net/icat/?ontology=ICD&amp;tab=ClassesTab&amp;id=http%3A%2F%2Fwho.int%2Ficd%2315334_512ebf36_bf6b_4d70_85da_cf2637062af4","iCat")</x:f>
      </x:c>
      <x:c r="M3312" s="0" t="s">
        <x:v>21</x:v>
      </x:c>
      <x:c r="N3312" s="0" t="s">
        <x:v>46</x:v>
      </x:c>
    </x:row>
    <x:row r="3313" spans="1:16">
      <x:c r="A3313" s="0" t="s">
        <x:v>13093</x:v>
      </x:c>
      <x:c r="B3313" s="0" t="s">
        <x:v>13094</x:v>
      </x:c>
      <x:c r="C3313" s="0" t="s">
        <x:v>13095</x:v>
      </x:c>
      <x:c r="E3313" s="0" t="s">
        <x:v>13096</x:v>
      </x:c>
      <x:c r="F3313" s="0" t="s">
        <x:v>45</x:v>
      </x:c>
      <x:c r="G3313" s="0" t="s">
        <x:v>19</x:v>
      </x:c>
      <x:c r="H3313" s="0" t="s">
        <x:v>20</x:v>
      </x:c>
      <x:c r="I3313" s="0" t="s">
        <x:v>21</x:v>
      </x:c>
      <x:c r="K3313" s="0">
        <x:f>hyperlink("https://icd.who.int/dev11/l-ichi/en#/http%3A%2F%2Fid.who.int%2Ficd%2Fentity%2F555916027","browser")</x:f>
      </x:c>
      <x:c r="L3313" s="0">
        <x:f>hyperlink("https://icat2.azurewebsites.net/icat/?ontology=ICD&amp;tab=ClassesTab&amp;id=http%3A%2F%2Fwho.int%2Ficd%23925_e9bf9ac7_0f21_4391_8ab3_5944290f317a","iCat")</x:f>
      </x:c>
      <x:c r="M3313" s="0" t="s">
        <x:v>21</x:v>
      </x:c>
      <x:c r="N3313" s="0" t="s">
        <x:v>46</x:v>
      </x:c>
    </x:row>
    <x:row r="3314" spans="1:16">
      <x:c r="A3314" s="0" t="s">
        <x:v>13097</x:v>
      </x:c>
      <x:c r="B3314" s="0" t="s">
        <x:v>13098</x:v>
      </x:c>
      <x:c r="C3314" s="0" t="s">
        <x:v>13099</x:v>
      </x:c>
      <x:c r="E3314" s="0" t="s">
        <x:v>13100</x:v>
      </x:c>
      <x:c r="F3314" s="0" t="s">
        <x:v>45</x:v>
      </x:c>
      <x:c r="G3314" s="0" t="s">
        <x:v>19</x:v>
      </x:c>
      <x:c r="H3314" s="0" t="s">
        <x:v>20</x:v>
      </x:c>
      <x:c r="I3314" s="0" t="s">
        <x:v>21</x:v>
      </x:c>
      <x:c r="K3314" s="0">
        <x:f>hyperlink("https://icd.who.int/dev11/l-ichi/en#/http%3A%2F%2Fid.who.int%2Ficd%2Fentity%2F789199163","browser")</x:f>
      </x:c>
      <x:c r="L3314" s="0">
        <x:f>hyperlink("https://icat2.azurewebsites.net/icat/?ontology=ICD&amp;tab=ClassesTab&amp;id=http%3A%2F%2Fwho.int%2Ficd%2315340_512ebf36_bf6b_4d70_85da_cf2637062af4","iCat")</x:f>
      </x:c>
      <x:c r="M3314" s="0" t="s">
        <x:v>21</x:v>
      </x:c>
      <x:c r="N3314" s="0" t="s">
        <x:v>46</x:v>
      </x:c>
    </x:row>
    <x:row r="3315" spans="1:16">
      <x:c r="A3315" s="0" t="s">
        <x:v>13101</x:v>
      </x:c>
      <x:c r="B3315" s="0" t="s">
        <x:v>13102</x:v>
      </x:c>
      <x:c r="C3315" s="0" t="s">
        <x:v>13103</x:v>
      </x:c>
      <x:c r="E3315" s="0" t="s">
        <x:v>13104</x:v>
      </x:c>
      <x:c r="F3315" s="0" t="s">
        <x:v>45</x:v>
      </x:c>
      <x:c r="G3315" s="0" t="s">
        <x:v>19</x:v>
      </x:c>
      <x:c r="H3315" s="0" t="s">
        <x:v>20</x:v>
      </x:c>
      <x:c r="I3315" s="0" t="s">
        <x:v>21</x:v>
      </x:c>
      <x:c r="K3315" s="0">
        <x:f>hyperlink("https://icd.who.int/dev11/l-ichi/en#/http%3A%2F%2Fid.who.int%2Ficd%2Fentity%2F2138169482","browser")</x:f>
      </x:c>
      <x:c r="L3315" s="0">
        <x:f>hyperlink("https://icat2.azurewebsites.net/icat/?ontology=ICD&amp;tab=ClassesTab&amp;id=http%3A%2F%2Fwho.int%2Ficd%2315346_512ebf36_bf6b_4d70_85da_cf2637062af4","iCat")</x:f>
      </x:c>
      <x:c r="M3315" s="0" t="s">
        <x:v>21</x:v>
      </x:c>
      <x:c r="N3315" s="0" t="s">
        <x:v>46</x:v>
      </x:c>
    </x:row>
    <x:row r="3316" spans="1:16">
      <x:c r="A3316" s="0" t="s">
        <x:v>13105</x:v>
      </x:c>
      <x:c r="B3316" s="0" t="s">
        <x:v>13106</x:v>
      </x:c>
      <x:c r="C3316" s="0" t="s">
        <x:v>13107</x:v>
      </x:c>
      <x:c r="E3316" s="0" t="s">
        <x:v>13108</x:v>
      </x:c>
      <x:c r="F3316" s="0" t="s">
        <x:v>45</x:v>
      </x:c>
      <x:c r="G3316" s="0" t="s">
        <x:v>19</x:v>
      </x:c>
      <x:c r="H3316" s="0" t="s">
        <x:v>20</x:v>
      </x:c>
      <x:c r="I3316" s="0" t="s">
        <x:v>21</x:v>
      </x:c>
      <x:c r="K3316" s="0">
        <x:f>hyperlink("https://icd.who.int/dev11/l-ichi/en#/http%3A%2F%2Fid.who.int%2Ficd%2Fentity%2F548647337","browser")</x:f>
      </x:c>
      <x:c r="L3316" s="0">
        <x:f>hyperlink("https://icat2.azurewebsites.net/icat/?ontology=ICD&amp;tab=ClassesTab&amp;id=http%3A%2F%2Fwho.int%2Ficd%2315352_512ebf36_bf6b_4d70_85da_cf2637062af4","iCat")</x:f>
      </x:c>
      <x:c r="M3316" s="0" t="s">
        <x:v>21</x:v>
      </x:c>
      <x:c r="N3316" s="0" t="s">
        <x:v>46</x:v>
      </x:c>
    </x:row>
    <x:row r="3317" spans="1:16">
      <x:c r="A3317" s="0" t="s">
        <x:v>13109</x:v>
      </x:c>
      <x:c r="B3317" s="0" t="s">
        <x:v>13110</x:v>
      </x:c>
      <x:c r="C3317" s="0" t="s">
        <x:v>13111</x:v>
      </x:c>
      <x:c r="E3317" s="0" t="s">
        <x:v>13112</x:v>
      </x:c>
      <x:c r="F3317" s="0" t="s">
        <x:v>45</x:v>
      </x:c>
      <x:c r="G3317" s="0" t="s">
        <x:v>19</x:v>
      </x:c>
      <x:c r="H3317" s="0" t="s">
        <x:v>20</x:v>
      </x:c>
      <x:c r="I3317" s="0" t="s">
        <x:v>21</x:v>
      </x:c>
      <x:c r="K3317" s="0">
        <x:f>hyperlink("https://icd.who.int/dev11/l-ichi/en#/http%3A%2F%2Fid.who.int%2Ficd%2Fentity%2F189717817","browser")</x:f>
      </x:c>
      <x:c r="L3317" s="0">
        <x:f>hyperlink("https://icat2.azurewebsites.net/icat/?ontology=ICD&amp;tab=ClassesTab&amp;id=http%3A%2F%2Fwho.int%2Ficd%2315358_512ebf36_bf6b_4d70_85da_cf2637062af4","iCat")</x:f>
      </x:c>
      <x:c r="M3317" s="0" t="s">
        <x:v>21</x:v>
      </x:c>
      <x:c r="N3317" s="0" t="s">
        <x:v>46</x:v>
      </x:c>
    </x:row>
    <x:row r="3318" spans="1:16">
      <x:c r="A3318" s="0" t="s">
        <x:v>13113</x:v>
      </x:c>
      <x:c r="B3318" s="0" t="s">
        <x:v>13114</x:v>
      </x:c>
      <x:c r="C3318" s="0" t="s">
        <x:v>13115</x:v>
      </x:c>
      <x:c r="E3318" s="0" t="s">
        <x:v>13116</x:v>
      </x:c>
      <x:c r="F3318" s="0" t="s">
        <x:v>45</x:v>
      </x:c>
      <x:c r="G3318" s="0" t="s">
        <x:v>19</x:v>
      </x:c>
      <x:c r="H3318" s="0" t="s">
        <x:v>20</x:v>
      </x:c>
      <x:c r="I3318" s="0" t="s">
        <x:v>21</x:v>
      </x:c>
      <x:c r="K3318" s="0">
        <x:f>hyperlink("https://icd.who.int/dev11/l-ichi/en#/http%3A%2F%2Fid.who.int%2Ficd%2Fentity%2F1426404828","browser")</x:f>
      </x:c>
      <x:c r="L3318" s="0">
        <x:f>hyperlink("https://icat2.azurewebsites.net/icat/?ontology=ICD&amp;tab=ClassesTab&amp;id=http%3A%2F%2Fwho.int%2Ficd%2315366_512ebf36_bf6b_4d70_85da_cf2637062af4","iCat")</x:f>
      </x:c>
      <x:c r="M3318" s="0" t="s">
        <x:v>21</x:v>
      </x:c>
      <x:c r="N3318" s="0" t="s">
        <x:v>46</x:v>
      </x:c>
    </x:row>
    <x:row r="3319" spans="1:16">
      <x:c r="A3319" s="0" t="s">
        <x:v>13117</x:v>
      </x:c>
      <x:c r="B3319" s="0" t="s">
        <x:v>13118</x:v>
      </x:c>
      <x:c r="C3319" s="0" t="s">
        <x:v>13119</x:v>
      </x:c>
      <x:c r="E3319" s="0" t="s">
        <x:v>13120</x:v>
      </x:c>
      <x:c r="F3319" s="0" t="s">
        <x:v>45</x:v>
      </x:c>
      <x:c r="G3319" s="0" t="s">
        <x:v>19</x:v>
      </x:c>
      <x:c r="H3319" s="0" t="s">
        <x:v>20</x:v>
      </x:c>
      <x:c r="I3319" s="0" t="s">
        <x:v>21</x:v>
      </x:c>
      <x:c r="K3319" s="0">
        <x:f>hyperlink("https://icd.who.int/dev11/l-ichi/en#/http%3A%2F%2Fid.who.int%2Ficd%2Fentity%2F180839673","browser")</x:f>
      </x:c>
      <x:c r="L3319" s="0">
        <x:f>hyperlink("https://icat2.azurewebsites.net/icat/?ontology=ICD&amp;tab=ClassesTab&amp;id=http%3A%2F%2Fwho.int%2Ficd%2315372_512ebf36_bf6b_4d70_85da_cf2637062af4","iCat")</x:f>
      </x:c>
      <x:c r="M3319" s="0" t="s">
        <x:v>21</x:v>
      </x:c>
      <x:c r="N3319" s="0" t="s">
        <x:v>46</x:v>
      </x:c>
    </x:row>
    <x:row r="3320" spans="1:16">
      <x:c r="A3320" s="0" t="s">
        <x:v>13121</x:v>
      </x:c>
      <x:c r="B3320" s="0" t="s">
        <x:v>13122</x:v>
      </x:c>
      <x:c r="C3320" s="0" t="s">
        <x:v>13123</x:v>
      </x:c>
      <x:c r="E3320" s="0" t="s">
        <x:v>13124</x:v>
      </x:c>
      <x:c r="F3320" s="0" t="s">
        <x:v>45</x:v>
      </x:c>
      <x:c r="G3320" s="0" t="s">
        <x:v>19</x:v>
      </x:c>
      <x:c r="H3320" s="0" t="s">
        <x:v>20</x:v>
      </x:c>
      <x:c r="I3320" s="0" t="s">
        <x:v>21</x:v>
      </x:c>
      <x:c r="K3320" s="0">
        <x:f>hyperlink("https://icd.who.int/dev11/l-ichi/en#/http%3A%2F%2Fid.who.int%2Ficd%2Fentity%2F98130971","browser")</x:f>
      </x:c>
      <x:c r="L3320" s="0">
        <x:f>hyperlink("https://icat2.azurewebsites.net/icat/?ontology=ICD&amp;tab=ClassesTab&amp;id=http%3A%2F%2Fwho.int%2Ficd%2315383_512ebf36_bf6b_4d70_85da_cf2637062af4","iCat")</x:f>
      </x:c>
      <x:c r="M3320" s="0" t="s">
        <x:v>21</x:v>
      </x:c>
      <x:c r="N3320" s="0" t="s">
        <x:v>46</x:v>
      </x:c>
    </x:row>
    <x:row r="3321" spans="1:16">
      <x:c r="A3321" s="0" t="s">
        <x:v>13125</x:v>
      </x:c>
      <x:c r="B3321" s="0" t="s">
        <x:v>13126</x:v>
      </x:c>
      <x:c r="C3321" s="0" t="s">
        <x:v>13127</x:v>
      </x:c>
      <x:c r="E3321" s="0" t="s">
        <x:v>13128</x:v>
      </x:c>
      <x:c r="F3321" s="0" t="s">
        <x:v>45</x:v>
      </x:c>
      <x:c r="G3321" s="0" t="s">
        <x:v>19</x:v>
      </x:c>
      <x:c r="H3321" s="0" t="s">
        <x:v>20</x:v>
      </x:c>
      <x:c r="I3321" s="0" t="s">
        <x:v>21</x:v>
      </x:c>
      <x:c r="K3321" s="0">
        <x:f>hyperlink("https://icd.who.int/dev11/l-ichi/en#/http%3A%2F%2Fid.who.int%2Ficd%2Fentity%2F774123659","browser")</x:f>
      </x:c>
      <x:c r="L3321" s="0">
        <x:f>hyperlink("https://icat2.azurewebsites.net/icat/?ontology=ICD&amp;tab=ClassesTab&amp;id=http%3A%2F%2Fwho.int%2Ficd%2315389_512ebf36_bf6b_4d70_85da_cf2637062af4","iCat")</x:f>
      </x:c>
      <x:c r="M3321" s="0" t="s">
        <x:v>21</x:v>
      </x:c>
      <x:c r="N3321" s="0" t="s">
        <x:v>46</x:v>
      </x:c>
    </x:row>
    <x:row r="3322" spans="1:16">
      <x:c r="A3322" s="0" t="s">
        <x:v>13129</x:v>
      </x:c>
      <x:c r="B3322" s="0" t="s">
        <x:v>13130</x:v>
      </x:c>
      <x:c r="C3322" s="0" t="s">
        <x:v>13131</x:v>
      </x:c>
      <x:c r="E3322" s="0" t="s">
        <x:v>13132</x:v>
      </x:c>
      <x:c r="F3322" s="0" t="s">
        <x:v>45</x:v>
      </x:c>
      <x:c r="G3322" s="0" t="s">
        <x:v>19</x:v>
      </x:c>
      <x:c r="H3322" s="0" t="s">
        <x:v>20</x:v>
      </x:c>
      <x:c r="I3322" s="0" t="s">
        <x:v>21</x:v>
      </x:c>
      <x:c r="K3322" s="0">
        <x:f>hyperlink("https://icd.who.int/dev11/l-ichi/en#/http%3A%2F%2Fid.who.int%2Ficd%2Fentity%2F1063719165","browser")</x:f>
      </x:c>
      <x:c r="L3322" s="0">
        <x:f>hyperlink("https://icat2.azurewebsites.net/icat/?ontology=ICD&amp;tab=ClassesTab&amp;id=http%3A%2F%2Fwho.int%2Ficd%2315395_512ebf36_bf6b_4d70_85da_cf2637062af4","iCat")</x:f>
      </x:c>
      <x:c r="M3322" s="0" t="s">
        <x:v>21</x:v>
      </x:c>
      <x:c r="N3322" s="0" t="s">
        <x:v>46</x:v>
      </x:c>
    </x:row>
    <x:row r="3323" spans="1:16">
      <x:c r="A3323" s="0" t="s">
        <x:v>13133</x:v>
      </x:c>
      <x:c r="B3323" s="0" t="s">
        <x:v>13134</x:v>
      </x:c>
      <x:c r="C3323" s="0" t="s">
        <x:v>13135</x:v>
      </x:c>
      <x:c r="E3323" s="0" t="s">
        <x:v>13136</x:v>
      </x:c>
      <x:c r="F3323" s="0" t="s">
        <x:v>45</x:v>
      </x:c>
      <x:c r="G3323" s="0" t="s">
        <x:v>19</x:v>
      </x:c>
      <x:c r="H3323" s="0" t="s">
        <x:v>20</x:v>
      </x:c>
      <x:c r="I3323" s="0" t="s">
        <x:v>21</x:v>
      </x:c>
      <x:c r="K3323" s="0">
        <x:f>hyperlink("https://icd.who.int/dev11/l-ichi/en#/http%3A%2F%2Fid.who.int%2Ficd%2Fentity%2F331722872","browser")</x:f>
      </x:c>
      <x:c r="L3323" s="0">
        <x:f>hyperlink("https://icat2.azurewebsites.net/icat/?ontology=ICD&amp;tab=ClassesTab&amp;id=http%3A%2F%2Fwho.int%2Ficd%2315401_512ebf36_bf6b_4d70_85da_cf2637062af4","iCat")</x:f>
      </x:c>
      <x:c r="M3323" s="0" t="s">
        <x:v>21</x:v>
      </x:c>
      <x:c r="N3323" s="0" t="s">
        <x:v>46</x:v>
      </x:c>
    </x:row>
    <x:row r="3324" spans="1:16">
      <x:c r="A3324" s="0" t="s">
        <x:v>13137</x:v>
      </x:c>
      <x:c r="B3324" s="0" t="s">
        <x:v>13138</x:v>
      </x:c>
      <x:c r="C3324" s="0" t="s">
        <x:v>13139</x:v>
      </x:c>
      <x:c r="E3324" s="0" t="s">
        <x:v>13140</x:v>
      </x:c>
      <x:c r="F3324" s="0" t="s">
        <x:v>45</x:v>
      </x:c>
      <x:c r="G3324" s="0" t="s">
        <x:v>19</x:v>
      </x:c>
      <x:c r="H3324" s="0" t="s">
        <x:v>20</x:v>
      </x:c>
      <x:c r="I3324" s="0" t="s">
        <x:v>21</x:v>
      </x:c>
      <x:c r="K3324" s="0">
        <x:f>hyperlink("https://icd.who.int/dev11/l-ichi/en#/http%3A%2F%2Fid.who.int%2Ficd%2Fentity%2F1564786979","browser")</x:f>
      </x:c>
      <x:c r="L3324" s="0">
        <x:f>hyperlink("https://icat2.azurewebsites.net/icat/?ontology=ICD&amp;tab=ClassesTab&amp;id=http%3A%2F%2Fwho.int%2Ficd%2315409_512ebf36_bf6b_4d70_85da_cf2637062af4","iCat")</x:f>
      </x:c>
      <x:c r="M3324" s="0" t="s">
        <x:v>21</x:v>
      </x:c>
      <x:c r="N3324" s="0" t="s">
        <x:v>46</x:v>
      </x:c>
    </x:row>
    <x:row r="3325" spans="1:16">
      <x:c r="A3325" s="0" t="s">
        <x:v>13141</x:v>
      </x:c>
      <x:c r="B3325" s="0" t="s">
        <x:v>13142</x:v>
      </x:c>
      <x:c r="C3325" s="0" t="s">
        <x:v>13143</x:v>
      </x:c>
      <x:c r="E3325" s="0" t="s">
        <x:v>13144</x:v>
      </x:c>
      <x:c r="F3325" s="0" t="s">
        <x:v>45</x:v>
      </x:c>
      <x:c r="G3325" s="0" t="s">
        <x:v>19</x:v>
      </x:c>
      <x:c r="H3325" s="0" t="s">
        <x:v>20</x:v>
      </x:c>
      <x:c r="I3325" s="0" t="s">
        <x:v>21</x:v>
      </x:c>
      <x:c r="K3325" s="0">
        <x:f>hyperlink("https://icd.who.int/dev11/l-ichi/en#/http%3A%2F%2Fid.who.int%2Ficd%2Fentity%2F695991440","browser")</x:f>
      </x:c>
      <x:c r="L3325" s="0">
        <x:f>hyperlink("https://icat2.azurewebsites.net/icat/?ontology=ICD&amp;tab=ClassesTab&amp;id=http%3A%2F%2Fwho.int%2Ficd%2315417_512ebf36_bf6b_4d70_85da_cf2637062af4","iCat")</x:f>
      </x:c>
      <x:c r="M3325" s="0" t="s">
        <x:v>21</x:v>
      </x:c>
      <x:c r="N3325" s="0" t="s">
        <x:v>46</x:v>
      </x:c>
    </x:row>
    <x:row r="3326" spans="1:16">
      <x:c r="A3326" s="0" t="s">
        <x:v>13145</x:v>
      </x:c>
      <x:c r="B3326" s="0" t="s">
        <x:v>13146</x:v>
      </x:c>
      <x:c r="C3326" s="0" t="s">
        <x:v>13147</x:v>
      </x:c>
      <x:c r="E3326" s="0" t="s">
        <x:v>13148</x:v>
      </x:c>
      <x:c r="F3326" s="0" t="s">
        <x:v>45</x:v>
      </x:c>
      <x:c r="G3326" s="0" t="s">
        <x:v>19</x:v>
      </x:c>
      <x:c r="H3326" s="0" t="s">
        <x:v>20</x:v>
      </x:c>
      <x:c r="I3326" s="0" t="s">
        <x:v>21</x:v>
      </x:c>
      <x:c r="K3326" s="0">
        <x:f>hyperlink("https://icd.who.int/dev11/l-ichi/en#/http%3A%2F%2Fid.who.int%2Ficd%2Fentity%2F743428974","browser")</x:f>
      </x:c>
      <x:c r="L3326" s="0">
        <x:f>hyperlink("https://icat2.azurewebsites.net/icat/?ontology=ICD&amp;tab=ClassesTab&amp;id=http%3A%2F%2Fwho.int%2Ficd%2315424_512ebf36_bf6b_4d70_85da_cf2637062af4","iCat")</x:f>
      </x:c>
      <x:c r="M3326" s="0" t="s">
        <x:v>21</x:v>
      </x:c>
      <x:c r="N3326" s="0" t="s">
        <x:v>46</x:v>
      </x:c>
    </x:row>
    <x:row r="3327" spans="1:16">
      <x:c r="A3327" s="0" t="s">
        <x:v>13149</x:v>
      </x:c>
      <x:c r="B3327" s="0" t="s">
        <x:v>13150</x:v>
      </x:c>
      <x:c r="C3327" s="0" t="s">
        <x:v>13151</x:v>
      </x:c>
      <x:c r="E3327" s="0" t="s">
        <x:v>13152</x:v>
      </x:c>
      <x:c r="F3327" s="0" t="s">
        <x:v>45</x:v>
      </x:c>
      <x:c r="G3327" s="0" t="s">
        <x:v>19</x:v>
      </x:c>
      <x:c r="H3327" s="0" t="s">
        <x:v>20</x:v>
      </x:c>
      <x:c r="I3327" s="0" t="s">
        <x:v>21</x:v>
      </x:c>
      <x:c r="K3327" s="0">
        <x:f>hyperlink("https://icd.who.int/dev11/l-ichi/en#/http%3A%2F%2Fid.who.int%2Ficd%2Fentity%2F1718825989","browser")</x:f>
      </x:c>
      <x:c r="L3327" s="0">
        <x:f>hyperlink("https://icat2.azurewebsites.net/icat/?ontology=ICD&amp;tab=ClassesTab&amp;id=http%3A%2F%2Fwho.int%2Ficd%2315435_512ebf36_bf6b_4d70_85da_cf2637062af4","iCat")</x:f>
      </x:c>
      <x:c r="M3327" s="0" t="s">
        <x:v>21</x:v>
      </x:c>
      <x:c r="N3327" s="0" t="s">
        <x:v>46</x:v>
      </x:c>
    </x:row>
    <x:row r="3328" spans="1:16">
      <x:c r="A3328" s="0" t="s">
        <x:v>13153</x:v>
      </x:c>
      <x:c r="B3328" s="0" t="s">
        <x:v>13154</x:v>
      </x:c>
      <x:c r="C3328" s="0" t="s">
        <x:v>13155</x:v>
      </x:c>
      <x:c r="E3328" s="0" t="s">
        <x:v>13156</x:v>
      </x:c>
      <x:c r="F3328" s="0" t="s">
        <x:v>45</x:v>
      </x:c>
      <x:c r="G3328" s="0" t="s">
        <x:v>19</x:v>
      </x:c>
      <x:c r="H3328" s="0" t="s">
        <x:v>20</x:v>
      </x:c>
      <x:c r="I3328" s="0" t="s">
        <x:v>21</x:v>
      </x:c>
      <x:c r="K3328" s="0">
        <x:f>hyperlink("https://icd.who.int/dev11/l-ichi/en#/http%3A%2F%2Fid.who.int%2Ficd%2Fentity%2F1671619435","browser")</x:f>
      </x:c>
      <x:c r="L3328" s="0">
        <x:f>hyperlink("https://icat2.azurewebsites.net/icat/?ontology=ICD&amp;tab=ClassesTab&amp;id=http%3A%2F%2Fwho.int%2Ficd%2315441_512ebf36_bf6b_4d70_85da_cf2637062af4","iCat")</x:f>
      </x:c>
      <x:c r="M3328" s="0" t="s">
        <x:v>21</x:v>
      </x:c>
      <x:c r="N3328" s="0" t="s">
        <x:v>46</x:v>
      </x:c>
    </x:row>
    <x:row r="3329" spans="1:16">
      <x:c r="A3329" s="0" t="s">
        <x:v>13157</x:v>
      </x:c>
      <x:c r="B3329" s="0" t="s">
        <x:v>13158</x:v>
      </x:c>
      <x:c r="C3329" s="0" t="s">
        <x:v>13159</x:v>
      </x:c>
      <x:c r="E3329" s="0" t="s">
        <x:v>13160</x:v>
      </x:c>
      <x:c r="F3329" s="0" t="s">
        <x:v>45</x:v>
      </x:c>
      <x:c r="G3329" s="0" t="s">
        <x:v>19</x:v>
      </x:c>
      <x:c r="H3329" s="0" t="s">
        <x:v>20</x:v>
      </x:c>
      <x:c r="I3329" s="0" t="s">
        <x:v>21</x:v>
      </x:c>
      <x:c r="K3329" s="0">
        <x:f>hyperlink("https://icd.who.int/dev11/l-ichi/en#/http%3A%2F%2Fid.who.int%2Ficd%2Fentity%2F232448002","browser")</x:f>
      </x:c>
      <x:c r="L3329" s="0">
        <x:f>hyperlink("https://icat2.azurewebsites.net/icat/?ontology=ICD&amp;tab=ClassesTab&amp;id=http%3A%2F%2Fwho.int%2Ficd%2315448_512ebf36_bf6b_4d70_85da_cf2637062af4","iCat")</x:f>
      </x:c>
      <x:c r="M3329" s="0" t="s">
        <x:v>21</x:v>
      </x:c>
      <x:c r="N3329" s="0" t="s">
        <x:v>46</x:v>
      </x:c>
    </x:row>
    <x:row r="3330" spans="1:16">
      <x:c r="A3330" s="0" t="s">
        <x:v>13161</x:v>
      </x:c>
      <x:c r="B3330" s="0" t="s">
        <x:v>13162</x:v>
      </x:c>
      <x:c r="C3330" s="0" t="s">
        <x:v>13163</x:v>
      </x:c>
      <x:c r="E3330" s="0" t="s">
        <x:v>13164</x:v>
      </x:c>
      <x:c r="F3330" s="0" t="s">
        <x:v>45</x:v>
      </x:c>
      <x:c r="G3330" s="0" t="s">
        <x:v>19</x:v>
      </x:c>
      <x:c r="H3330" s="0" t="s">
        <x:v>20</x:v>
      </x:c>
      <x:c r="I3330" s="0" t="s">
        <x:v>21</x:v>
      </x:c>
      <x:c r="K3330" s="0">
        <x:f>hyperlink("https://icd.who.int/dev11/l-ichi/en#/http%3A%2F%2Fid.who.int%2Ficd%2Fentity%2F1012970056","browser")</x:f>
      </x:c>
      <x:c r="L3330" s="0">
        <x:f>hyperlink("https://icat2.azurewebsites.net/icat/?ontology=ICD&amp;tab=ClassesTab&amp;id=http%3A%2F%2Fwho.int%2Ficd%2315455_512ebf36_bf6b_4d70_85da_cf2637062af4","iCat")</x:f>
      </x:c>
      <x:c r="M3330" s="0" t="s">
        <x:v>21</x:v>
      </x:c>
      <x:c r="N3330" s="0" t="s">
        <x:v>46</x:v>
      </x:c>
    </x:row>
    <x:row r="3331" spans="1:16">
      <x:c r="A3331" s="0" t="s">
        <x:v>13165</x:v>
      </x:c>
      <x:c r="B3331" s="0" t="s">
        <x:v>13166</x:v>
      </x:c>
      <x:c r="C3331" s="0" t="s">
        <x:v>13167</x:v>
      </x:c>
      <x:c r="E3331" s="0" t="s">
        <x:v>13168</x:v>
      </x:c>
      <x:c r="F3331" s="0" t="s">
        <x:v>45</x:v>
      </x:c>
      <x:c r="G3331" s="0" t="s">
        <x:v>19</x:v>
      </x:c>
      <x:c r="H3331" s="0" t="s">
        <x:v>20</x:v>
      </x:c>
      <x:c r="I3331" s="0" t="s">
        <x:v>21</x:v>
      </x:c>
      <x:c r="K3331" s="0">
        <x:f>hyperlink("https://icd.who.int/dev11/l-ichi/en#/http%3A%2F%2Fid.who.int%2Ficd%2Fentity%2F626920912","browser")</x:f>
      </x:c>
      <x:c r="L3331" s="0">
        <x:f>hyperlink("https://icat2.azurewebsites.net/icat/?ontology=ICD&amp;tab=ClassesTab&amp;id=http%3A%2F%2Fwho.int%2Ficd%2316248_4869915e_217e_423d_acb3_33c0f920ef4b","iCat")</x:f>
      </x:c>
      <x:c r="M3331" s="0" t="s">
        <x:v>21</x:v>
      </x:c>
      <x:c r="N3331" s="0" t="s">
        <x:v>46</x:v>
      </x:c>
    </x:row>
    <x:row r="3332" spans="1:16">
      <x:c r="A3332" s="0" t="s">
        <x:v>13169</x:v>
      </x:c>
      <x:c r="B3332" s="0" t="s">
        <x:v>13170</x:v>
      </x:c>
      <x:c r="C3332" s="0" t="s">
        <x:v>13171</x:v>
      </x:c>
      <x:c r="E3332" s="0" t="s">
        <x:v>13172</x:v>
      </x:c>
      <x:c r="F3332" s="0" t="s">
        <x:v>45</x:v>
      </x:c>
      <x:c r="G3332" s="0" t="s">
        <x:v>19</x:v>
      </x:c>
      <x:c r="H3332" s="0" t="s">
        <x:v>20</x:v>
      </x:c>
      <x:c r="I3332" s="0" t="s">
        <x:v>21</x:v>
      </x:c>
      <x:c r="K3332" s="0">
        <x:f>hyperlink("https://icd.who.int/dev11/l-ichi/en#/http%3A%2F%2Fid.who.int%2Ficd%2Fentity%2F430829452","browser")</x:f>
      </x:c>
      <x:c r="L3332" s="0">
        <x:f>hyperlink("https://icat2.azurewebsites.net/icat/?ontology=ICD&amp;tab=ClassesTab&amp;id=http%3A%2F%2Fwho.int%2Ficd%2315467_512ebf36_bf6b_4d70_85da_cf2637062af4","iCat")</x:f>
      </x:c>
      <x:c r="M3332" s="0" t="s">
        <x:v>21</x:v>
      </x:c>
      <x:c r="N3332" s="0" t="s">
        <x:v>46</x:v>
      </x:c>
    </x:row>
    <x:row r="3333" spans="1:16">
      <x:c r="A3333" s="0" t="s">
        <x:v>13173</x:v>
      </x:c>
      <x:c r="B3333" s="0" t="s">
        <x:v>13174</x:v>
      </x:c>
      <x:c r="C3333" s="0" t="s">
        <x:v>13175</x:v>
      </x:c>
      <x:c r="E3333" s="0" t="s">
        <x:v>13176</x:v>
      </x:c>
      <x:c r="F3333" s="0" t="s">
        <x:v>45</x:v>
      </x:c>
      <x:c r="G3333" s="0" t="s">
        <x:v>19</x:v>
      </x:c>
      <x:c r="H3333" s="0" t="s">
        <x:v>20</x:v>
      </x:c>
      <x:c r="I3333" s="0" t="s">
        <x:v>21</x:v>
      </x:c>
      <x:c r="K3333" s="0">
        <x:f>hyperlink("https://icd.who.int/dev11/l-ichi/en#/http%3A%2F%2Fid.who.int%2Ficd%2Fentity%2F921507108","browser")</x:f>
      </x:c>
      <x:c r="L3333" s="0">
        <x:f>hyperlink("https://icat2.azurewebsites.net/icat/?ontology=ICD&amp;tab=ClassesTab&amp;id=http%3A%2F%2Fwho.int%2Ficd%2315474_512ebf36_bf6b_4d70_85da_cf2637062af4","iCat")</x:f>
      </x:c>
      <x:c r="M3333" s="0" t="s">
        <x:v>21</x:v>
      </x:c>
      <x:c r="N3333" s="0" t="s">
        <x:v>46</x:v>
      </x:c>
    </x:row>
    <x:row r="3334" spans="1:16">
      <x:c r="A3334" s="0" t="s">
        <x:v>13177</x:v>
      </x:c>
      <x:c r="B3334" s="0" t="s">
        <x:v>13178</x:v>
      </x:c>
      <x:c r="C3334" s="0" t="s">
        <x:v>13179</x:v>
      </x:c>
      <x:c r="E3334" s="0" t="s">
        <x:v>13180</x:v>
      </x:c>
      <x:c r="F3334" s="0" t="s">
        <x:v>45</x:v>
      </x:c>
      <x:c r="G3334" s="0" t="s">
        <x:v>19</x:v>
      </x:c>
      <x:c r="H3334" s="0" t="s">
        <x:v>20</x:v>
      </x:c>
      <x:c r="I3334" s="0" t="s">
        <x:v>21</x:v>
      </x:c>
      <x:c r="K3334" s="0">
        <x:f>hyperlink("https://icd.who.int/dev11/l-ichi/en#/http%3A%2F%2Fid.who.int%2Ficd%2Fentity%2F739089296","browser")</x:f>
      </x:c>
      <x:c r="L3334" s="0">
        <x:f>hyperlink("https://icat2.azurewebsites.net/icat/?ontology=ICD&amp;tab=ClassesTab&amp;id=http%3A%2F%2Fwho.int%2Ficd%2315480_512ebf36_bf6b_4d70_85da_cf2637062af4","iCat")</x:f>
      </x:c>
      <x:c r="M3334" s="0" t="s">
        <x:v>21</x:v>
      </x:c>
      <x:c r="N3334" s="0" t="s">
        <x:v>46</x:v>
      </x:c>
    </x:row>
    <x:row r="3335" spans="1:16">
      <x:c r="A3335" s="0" t="s">
        <x:v>13181</x:v>
      </x:c>
      <x:c r="B3335" s="0" t="s">
        <x:v>13182</x:v>
      </x:c>
      <x:c r="C3335" s="0" t="s">
        <x:v>13183</x:v>
      </x:c>
      <x:c r="E3335" s="0" t="s">
        <x:v>13184</x:v>
      </x:c>
      <x:c r="F3335" s="0" t="s">
        <x:v>45</x:v>
      </x:c>
      <x:c r="G3335" s="0" t="s">
        <x:v>19</x:v>
      </x:c>
      <x:c r="H3335" s="0" t="s">
        <x:v>20</x:v>
      </x:c>
      <x:c r="I3335" s="0" t="s">
        <x:v>21</x:v>
      </x:c>
      <x:c r="K3335" s="0">
        <x:f>hyperlink("https://icd.who.int/dev11/l-ichi/en#/http%3A%2F%2Fid.who.int%2Ficd%2Fentity%2F1552887811","browser")</x:f>
      </x:c>
      <x:c r="L3335" s="0">
        <x:f>hyperlink("https://icat2.azurewebsites.net/icat/?ontology=ICD&amp;tab=ClassesTab&amp;id=http%3A%2F%2Fwho.int%2Ficd%2315487_512ebf36_bf6b_4d70_85da_cf2637062af4","iCat")</x:f>
      </x:c>
      <x:c r="M3335" s="0" t="s">
        <x:v>21</x:v>
      </x:c>
      <x:c r="N3335" s="0" t="s">
        <x:v>46</x:v>
      </x:c>
    </x:row>
    <x:row r="3336" spans="1:16">
      <x:c r="A3336" s="0" t="s">
        <x:v>13185</x:v>
      </x:c>
      <x:c r="B3336" s="0" t="s">
        <x:v>13186</x:v>
      </x:c>
      <x:c r="C3336" s="0" t="s">
        <x:v>13187</x:v>
      </x:c>
      <x:c r="E3336" s="0" t="s">
        <x:v>13188</x:v>
      </x:c>
      <x:c r="F3336" s="0" t="s">
        <x:v>45</x:v>
      </x:c>
      <x:c r="G3336" s="0" t="s">
        <x:v>19</x:v>
      </x:c>
      <x:c r="H3336" s="0" t="s">
        <x:v>20</x:v>
      </x:c>
      <x:c r="I3336" s="0" t="s">
        <x:v>21</x:v>
      </x:c>
      <x:c r="K3336" s="0">
        <x:f>hyperlink("https://icd.who.int/dev11/l-ichi/en#/http%3A%2F%2Fid.who.int%2Ficd%2Fentity%2F1942997677","browser")</x:f>
      </x:c>
      <x:c r="L3336" s="0">
        <x:f>hyperlink("https://icat2.azurewebsites.net/icat/?ontology=ICD&amp;tab=ClassesTab&amp;id=http%3A%2F%2Fwho.int%2Ficd%2315494_512ebf36_bf6b_4d70_85da_cf2637062af4","iCat")</x:f>
      </x:c>
      <x:c r="M3336" s="0" t="s">
        <x:v>21</x:v>
      </x:c>
      <x:c r="N3336" s="0" t="s">
        <x:v>46</x:v>
      </x:c>
    </x:row>
    <x:row r="3337" spans="1:16">
      <x:c r="A3337" s="0" t="s">
        <x:v>13189</x:v>
      </x:c>
      <x:c r="B3337" s="0" t="s">
        <x:v>13190</x:v>
      </x:c>
      <x:c r="C3337" s="0" t="s">
        <x:v>13191</x:v>
      </x:c>
      <x:c r="E3337" s="0" t="s">
        <x:v>13192</x:v>
      </x:c>
      <x:c r="F3337" s="0" t="s">
        <x:v>45</x:v>
      </x:c>
      <x:c r="G3337" s="0" t="s">
        <x:v>19</x:v>
      </x:c>
      <x:c r="H3337" s="0" t="s">
        <x:v>20</x:v>
      </x:c>
      <x:c r="I3337" s="0" t="s">
        <x:v>21</x:v>
      </x:c>
      <x:c r="K3337" s="0">
        <x:f>hyperlink("https://icd.who.int/dev11/l-ichi/en#/http%3A%2F%2Fid.who.int%2Ficd%2Fentity%2F1717204715","browser")</x:f>
      </x:c>
      <x:c r="L3337" s="0">
        <x:f>hyperlink("https://icat2.azurewebsites.net/icat/?ontology=ICD&amp;tab=ClassesTab&amp;id=http%3A%2F%2Fwho.int%2Ficd%2315501_512ebf36_bf6b_4d70_85da_cf2637062af4","iCat")</x:f>
      </x:c>
      <x:c r="M3337" s="0" t="s">
        <x:v>21</x:v>
      </x:c>
      <x:c r="N3337" s="0" t="s">
        <x:v>46</x:v>
      </x:c>
    </x:row>
    <x:row r="3338" spans="1:16">
      <x:c r="A3338" s="0" t="s">
        <x:v>13193</x:v>
      </x:c>
      <x:c r="B3338" s="0" t="s">
        <x:v>13194</x:v>
      </x:c>
      <x:c r="C3338" s="0" t="s">
        <x:v>13195</x:v>
      </x:c>
      <x:c r="E3338" s="0" t="s">
        <x:v>13196</x:v>
      </x:c>
      <x:c r="F3338" s="0" t="s">
        <x:v>45</x:v>
      </x:c>
      <x:c r="G3338" s="0" t="s">
        <x:v>19</x:v>
      </x:c>
      <x:c r="H3338" s="0" t="s">
        <x:v>20</x:v>
      </x:c>
      <x:c r="I3338" s="0" t="s">
        <x:v>21</x:v>
      </x:c>
      <x:c r="K3338" s="0">
        <x:f>hyperlink("https://icd.who.int/dev11/l-ichi/en#/http%3A%2F%2Fid.who.int%2Ficd%2Fentity%2F136476034","browser")</x:f>
      </x:c>
      <x:c r="L3338" s="0">
        <x:f>hyperlink("https://icat2.azurewebsites.net/icat/?ontology=ICD&amp;tab=ClassesTab&amp;id=http%3A%2F%2Fwho.int%2Ficd%2315508_512ebf36_bf6b_4d70_85da_cf2637062af4","iCat")</x:f>
      </x:c>
      <x:c r="M3338" s="0" t="s">
        <x:v>21</x:v>
      </x:c>
      <x:c r="N3338" s="0" t="s">
        <x:v>46</x:v>
      </x:c>
    </x:row>
    <x:row r="3339" spans="1:16">
      <x:c r="A3339" s="0" t="s">
        <x:v>13197</x:v>
      </x:c>
      <x:c r="B3339" s="0" t="s">
        <x:v>13198</x:v>
      </x:c>
      <x:c r="C3339" s="0" t="s">
        <x:v>13199</x:v>
      </x:c>
      <x:c r="E3339" s="0" t="s">
        <x:v>13200</x:v>
      </x:c>
      <x:c r="F3339" s="0" t="s">
        <x:v>45</x:v>
      </x:c>
      <x:c r="G3339" s="0" t="s">
        <x:v>19</x:v>
      </x:c>
      <x:c r="H3339" s="0" t="s">
        <x:v>20</x:v>
      </x:c>
      <x:c r="I3339" s="0" t="s">
        <x:v>21</x:v>
      </x:c>
      <x:c r="K3339" s="0">
        <x:f>hyperlink("https://icd.who.int/dev11/l-ichi/en#/http%3A%2F%2Fid.who.int%2Ficd%2Fentity%2F966272968","browser")</x:f>
      </x:c>
      <x:c r="L3339" s="0">
        <x:f>hyperlink("https://icat2.azurewebsites.net/icat/?ontology=ICD&amp;tab=ClassesTab&amp;id=http%3A%2F%2Fwho.int%2Ficd%2315515_512ebf36_bf6b_4d70_85da_cf2637062af4","iCat")</x:f>
      </x:c>
      <x:c r="M3339" s="0" t="s">
        <x:v>21</x:v>
      </x:c>
      <x:c r="N3339" s="0" t="s">
        <x:v>46</x:v>
      </x:c>
    </x:row>
    <x:row r="3340" spans="1:16">
      <x:c r="A3340" s="0" t="s">
        <x:v>13201</x:v>
      </x:c>
      <x:c r="B3340" s="0" t="s">
        <x:v>13202</x:v>
      </x:c>
      <x:c r="C3340" s="0" t="s">
        <x:v>13203</x:v>
      </x:c>
      <x:c r="E3340" s="0" t="s">
        <x:v>13204</x:v>
      </x:c>
      <x:c r="F3340" s="0" t="s">
        <x:v>45</x:v>
      </x:c>
      <x:c r="G3340" s="0" t="s">
        <x:v>19</x:v>
      </x:c>
      <x:c r="H3340" s="0" t="s">
        <x:v>20</x:v>
      </x:c>
      <x:c r="I3340" s="0" t="s">
        <x:v>21</x:v>
      </x:c>
      <x:c r="K3340" s="0">
        <x:f>hyperlink("https://icd.who.int/dev11/l-ichi/en#/http%3A%2F%2Fid.who.int%2Ficd%2Fentity%2F162253892","browser")</x:f>
      </x:c>
      <x:c r="L3340" s="0">
        <x:f>hyperlink("https://icat2.azurewebsites.net/icat/?ontology=ICD&amp;tab=ClassesTab&amp;id=http%3A%2F%2Fwho.int%2Ficd%2315522_512ebf36_bf6b_4d70_85da_cf2637062af4","iCat")</x:f>
      </x:c>
      <x:c r="M3340" s="0" t="s">
        <x:v>21</x:v>
      </x:c>
      <x:c r="N3340" s="0" t="s">
        <x:v>46</x:v>
      </x:c>
    </x:row>
    <x:row r="3341" spans="1:16">
      <x:c r="A3341" s="0" t="s">
        <x:v>13205</x:v>
      </x:c>
      <x:c r="B3341" s="0" t="s">
        <x:v>13206</x:v>
      </x:c>
      <x:c r="C3341" s="0" t="s">
        <x:v>13207</x:v>
      </x:c>
      <x:c r="E3341" s="0" t="s">
        <x:v>13208</x:v>
      </x:c>
      <x:c r="F3341" s="0" t="s">
        <x:v>45</x:v>
      </x:c>
      <x:c r="G3341" s="0" t="s">
        <x:v>19</x:v>
      </x:c>
      <x:c r="H3341" s="0" t="s">
        <x:v>20</x:v>
      </x:c>
      <x:c r="I3341" s="0" t="s">
        <x:v>21</x:v>
      </x:c>
      <x:c r="K3341" s="0">
        <x:f>hyperlink("https://icd.who.int/dev11/l-ichi/en#/http%3A%2F%2Fid.who.int%2Ficd%2Fentity%2F45077230","browser")</x:f>
      </x:c>
      <x:c r="L3341" s="0">
        <x:f>hyperlink("https://icat2.azurewebsites.net/icat/?ontology=ICD&amp;tab=ClassesTab&amp;id=http%3A%2F%2Fwho.int%2Ficd%2315529_512ebf36_bf6b_4d70_85da_cf2637062af4","iCat")</x:f>
      </x:c>
      <x:c r="M3341" s="0" t="s">
        <x:v>21</x:v>
      </x:c>
      <x:c r="N3341" s="0" t="s">
        <x:v>46</x:v>
      </x:c>
    </x:row>
    <x:row r="3342" spans="1:16">
      <x:c r="A3342" s="0" t="s">
        <x:v>13209</x:v>
      </x:c>
      <x:c r="B3342" s="0" t="s">
        <x:v>13210</x:v>
      </x:c>
      <x:c r="C3342" s="0" t="s">
        <x:v>13211</x:v>
      </x:c>
      <x:c r="E3342" s="0" t="s">
        <x:v>13212</x:v>
      </x:c>
      <x:c r="F3342" s="0" t="s">
        <x:v>45</x:v>
      </x:c>
      <x:c r="G3342" s="0" t="s">
        <x:v>19</x:v>
      </x:c>
      <x:c r="H3342" s="0" t="s">
        <x:v>20</x:v>
      </x:c>
      <x:c r="I3342" s="0" t="s">
        <x:v>21</x:v>
      </x:c>
      <x:c r="K3342" s="0">
        <x:f>hyperlink("https://icd.who.int/dev11/l-ichi/en#/http%3A%2F%2Fid.who.int%2Ficd%2Fentity%2F1933654067","browser")</x:f>
      </x:c>
      <x:c r="L3342" s="0">
        <x:f>hyperlink("https://icat2.azurewebsites.net/icat/?ontology=ICD&amp;tab=ClassesTab&amp;id=http%3A%2F%2Fwho.int%2Ficd%2315543_512ebf36_bf6b_4d70_85da_cf2637062af4","iCat")</x:f>
      </x:c>
      <x:c r="M3342" s="0" t="s">
        <x:v>21</x:v>
      </x:c>
      <x:c r="N3342" s="0" t="s">
        <x:v>46</x:v>
      </x:c>
    </x:row>
    <x:row r="3343" spans="1:16">
      <x:c r="A3343" s="0" t="s">
        <x:v>13213</x:v>
      </x:c>
      <x:c r="B3343" s="0" t="s">
        <x:v>13214</x:v>
      </x:c>
      <x:c r="C3343" s="0" t="s">
        <x:v>13215</x:v>
      </x:c>
      <x:c r="E3343" s="0" t="s">
        <x:v>13216</x:v>
      </x:c>
      <x:c r="F3343" s="0" t="s">
        <x:v>45</x:v>
      </x:c>
      <x:c r="G3343" s="0" t="s">
        <x:v>19</x:v>
      </x:c>
      <x:c r="H3343" s="0" t="s">
        <x:v>20</x:v>
      </x:c>
      <x:c r="I3343" s="0" t="s">
        <x:v>21</x:v>
      </x:c>
      <x:c r="K3343" s="0">
        <x:f>hyperlink("https://icd.who.int/dev11/l-ichi/en#/http%3A%2F%2Fid.who.int%2Ficd%2Fentity%2F209328942","browser")</x:f>
      </x:c>
      <x:c r="L3343" s="0">
        <x:f>hyperlink("https://icat2.azurewebsites.net/icat/?ontology=ICD&amp;tab=ClassesTab&amp;id=http%3A%2F%2Fwho.int%2Ficd%2315556_512ebf36_bf6b_4d70_85da_cf2637062af4","iCat")</x:f>
      </x:c>
      <x:c r="M3343" s="0" t="s">
        <x:v>21</x:v>
      </x:c>
      <x:c r="N3343" s="0" t="s">
        <x:v>46</x:v>
      </x:c>
    </x:row>
    <x:row r="3344" spans="1:16">
      <x:c r="A3344" s="0" t="s">
        <x:v>13217</x:v>
      </x:c>
      <x:c r="B3344" s="0" t="s">
        <x:v>13218</x:v>
      </x:c>
      <x:c r="C3344" s="0" t="s">
        <x:v>13219</x:v>
      </x:c>
      <x:c r="E3344" s="0" t="s">
        <x:v>13220</x:v>
      </x:c>
      <x:c r="F3344" s="0" t="s">
        <x:v>45</x:v>
      </x:c>
      <x:c r="G3344" s="0" t="s">
        <x:v>19</x:v>
      </x:c>
      <x:c r="H3344" s="0" t="s">
        <x:v>20</x:v>
      </x:c>
      <x:c r="I3344" s="0" t="s">
        <x:v>21</x:v>
      </x:c>
      <x:c r="K3344" s="0">
        <x:f>hyperlink("https://icd.who.int/dev11/l-ichi/en#/http%3A%2F%2Fid.who.int%2Ficd%2Fentity%2F2043453279","browser")</x:f>
      </x:c>
      <x:c r="L3344" s="0">
        <x:f>hyperlink("https://icat2.azurewebsites.net/icat/?ontology=ICD&amp;tab=ClassesTab&amp;id=http%3A%2F%2Fwho.int%2Ficd%2315562_512ebf36_bf6b_4d70_85da_cf2637062af4","iCat")</x:f>
      </x:c>
      <x:c r="M3344" s="0" t="s">
        <x:v>21</x:v>
      </x:c>
      <x:c r="N3344" s="0" t="s">
        <x:v>46</x:v>
      </x:c>
    </x:row>
    <x:row r="3345" spans="1:16">
      <x:c r="A3345" s="0" t="s">
        <x:v>13221</x:v>
      </x:c>
      <x:c r="B3345" s="0" t="s">
        <x:v>13222</x:v>
      </x:c>
      <x:c r="C3345" s="0" t="s">
        <x:v>13223</x:v>
      </x:c>
      <x:c r="E3345" s="0" t="s">
        <x:v>13224</x:v>
      </x:c>
      <x:c r="F3345" s="0" t="s">
        <x:v>45</x:v>
      </x:c>
      <x:c r="G3345" s="0" t="s">
        <x:v>19</x:v>
      </x:c>
      <x:c r="H3345" s="0" t="s">
        <x:v>20</x:v>
      </x:c>
      <x:c r="I3345" s="0" t="s">
        <x:v>21</x:v>
      </x:c>
      <x:c r="K3345" s="0">
        <x:f>hyperlink("https://icd.who.int/dev11/l-ichi/en#/http%3A%2F%2Fid.who.int%2Ficd%2Fentity%2F1987385293","browser")</x:f>
      </x:c>
      <x:c r="L3345" s="0">
        <x:f>hyperlink("https://icat2.azurewebsites.net/icat/?ontology=ICD&amp;tab=ClassesTab&amp;id=http%3A%2F%2Fwho.int%2Ficd%2315570_512ebf36_bf6b_4d70_85da_cf2637062af4","iCat")</x:f>
      </x:c>
      <x:c r="M3345" s="0" t="s">
        <x:v>21</x:v>
      </x:c>
      <x:c r="N3345" s="0" t="s">
        <x:v>46</x:v>
      </x:c>
    </x:row>
    <x:row r="3346" spans="1:16">
      <x:c r="A3346" s="0" t="s">
        <x:v>13225</x:v>
      </x:c>
      <x:c r="B3346" s="0" t="s">
        <x:v>13226</x:v>
      </x:c>
      <x:c r="C3346" s="0" t="s">
        <x:v>13227</x:v>
      </x:c>
      <x:c r="E3346" s="0" t="s">
        <x:v>13228</x:v>
      </x:c>
      <x:c r="F3346" s="0" t="s">
        <x:v>45</x:v>
      </x:c>
      <x:c r="G3346" s="0" t="s">
        <x:v>19</x:v>
      </x:c>
      <x:c r="H3346" s="0" t="s">
        <x:v>20</x:v>
      </x:c>
      <x:c r="I3346" s="0" t="s">
        <x:v>21</x:v>
      </x:c>
      <x:c r="K3346" s="0">
        <x:f>hyperlink("https://icd.who.int/dev11/l-ichi/en#/http%3A%2F%2Fid.who.int%2Ficd%2Fentity%2F638504572","browser")</x:f>
      </x:c>
      <x:c r="L3346" s="0">
        <x:f>hyperlink("https://icat2.azurewebsites.net/icat/?ontology=ICD&amp;tab=ClassesTab&amp;id=http%3A%2F%2Fwho.int%2Ficd%2315576_512ebf36_bf6b_4d70_85da_cf2637062af4","iCat")</x:f>
      </x:c>
      <x:c r="M3346" s="0" t="s">
        <x:v>21</x:v>
      </x:c>
      <x:c r="N3346" s="0" t="s">
        <x:v>46</x:v>
      </x:c>
    </x:row>
    <x:row r="3347" spans="1:16">
      <x:c r="A3347" s="0" t="s">
        <x:v>13229</x:v>
      </x:c>
      <x:c r="B3347" s="0" t="s">
        <x:v>13230</x:v>
      </x:c>
      <x:c r="C3347" s="0" t="s">
        <x:v>13231</x:v>
      </x:c>
      <x:c r="E3347" s="0" t="s">
        <x:v>13232</x:v>
      </x:c>
      <x:c r="F3347" s="0" t="s">
        <x:v>45</x:v>
      </x:c>
      <x:c r="G3347" s="0" t="s">
        <x:v>19</x:v>
      </x:c>
      <x:c r="H3347" s="0" t="s">
        <x:v>20</x:v>
      </x:c>
      <x:c r="I3347" s="0" t="s">
        <x:v>21</x:v>
      </x:c>
      <x:c r="K3347" s="0">
        <x:f>hyperlink("https://icd.who.int/dev11/l-ichi/en#/http%3A%2F%2Fid.who.int%2Ficd%2Fentity%2F1022247128","browser")</x:f>
      </x:c>
      <x:c r="L3347" s="0">
        <x:f>hyperlink("https://icat2.azurewebsites.net/icat/?ontology=ICD&amp;tab=ClassesTab&amp;id=http%3A%2F%2Fwho.int%2Ficd%2315582_512ebf36_bf6b_4d70_85da_cf2637062af4","iCat")</x:f>
      </x:c>
      <x:c r="M3347" s="0" t="s">
        <x:v>21</x:v>
      </x:c>
      <x:c r="N3347" s="0" t="s">
        <x:v>46</x:v>
      </x:c>
    </x:row>
    <x:row r="3348" spans="1:16">
      <x:c r="A3348" s="0" t="s">
        <x:v>13233</x:v>
      </x:c>
      <x:c r="B3348" s="0" t="s">
        <x:v>13234</x:v>
      </x:c>
      <x:c r="C3348" s="0" t="s">
        <x:v>13235</x:v>
      </x:c>
      <x:c r="E3348" s="0" t="s">
        <x:v>13236</x:v>
      </x:c>
      <x:c r="F3348" s="0" t="s">
        <x:v>45</x:v>
      </x:c>
      <x:c r="G3348" s="0" t="s">
        <x:v>19</x:v>
      </x:c>
      <x:c r="H3348" s="0" t="s">
        <x:v>20</x:v>
      </x:c>
      <x:c r="I3348" s="0" t="s">
        <x:v>21</x:v>
      </x:c>
      <x:c r="K3348" s="0">
        <x:f>hyperlink("https://icd.who.int/dev11/l-ichi/en#/http%3A%2F%2Fid.who.int%2Ficd%2Fentity%2F387132488","browser")</x:f>
      </x:c>
      <x:c r="L3348" s="0">
        <x:f>hyperlink("https://icat2.azurewebsites.net/icat/?ontology=ICD&amp;tab=ClassesTab&amp;id=http%3A%2F%2Fwho.int%2Ficd%2315588_512ebf36_bf6b_4d70_85da_cf2637062af4","iCat")</x:f>
      </x:c>
      <x:c r="M3348" s="0" t="s">
        <x:v>21</x:v>
      </x:c>
      <x:c r="N3348" s="0" t="s">
        <x:v>46</x:v>
      </x:c>
    </x:row>
    <x:row r="3349" spans="1:16">
      <x:c r="A3349" s="0" t="s">
        <x:v>13237</x:v>
      </x:c>
      <x:c r="B3349" s="0" t="s">
        <x:v>13238</x:v>
      </x:c>
      <x:c r="C3349" s="0" t="s">
        <x:v>13239</x:v>
      </x:c>
      <x:c r="E3349" s="0" t="s">
        <x:v>13240</x:v>
      </x:c>
      <x:c r="F3349" s="0" t="s">
        <x:v>45</x:v>
      </x:c>
      <x:c r="G3349" s="0" t="s">
        <x:v>19</x:v>
      </x:c>
      <x:c r="H3349" s="0" t="s">
        <x:v>20</x:v>
      </x:c>
      <x:c r="I3349" s="0" t="s">
        <x:v>21</x:v>
      </x:c>
      <x:c r="K3349" s="0">
        <x:f>hyperlink("https://icd.who.int/dev11/l-ichi/en#/http%3A%2F%2Fid.who.int%2Ficd%2Fentity%2F648642062","browser")</x:f>
      </x:c>
      <x:c r="L3349" s="0">
        <x:f>hyperlink("https://icat2.azurewebsites.net/icat/?ontology=ICD&amp;tab=ClassesTab&amp;id=http%3A%2F%2Fwho.int%2Ficd%2315595_512ebf36_bf6b_4d70_85da_cf2637062af4","iCat")</x:f>
      </x:c>
      <x:c r="M3349" s="0" t="s">
        <x:v>21</x:v>
      </x:c>
      <x:c r="N3349" s="0" t="s">
        <x:v>46</x:v>
      </x:c>
    </x:row>
    <x:row r="3350" spans="1:16">
      <x:c r="A3350" s="0" t="s">
        <x:v>13241</x:v>
      </x:c>
      <x:c r="B3350" s="0" t="s">
        <x:v>13242</x:v>
      </x:c>
      <x:c r="C3350" s="0" t="s">
        <x:v>13243</x:v>
      </x:c>
      <x:c r="E3350" s="0" t="s">
        <x:v>13244</x:v>
      </x:c>
      <x:c r="F3350" s="0" t="s">
        <x:v>45</x:v>
      </x:c>
      <x:c r="G3350" s="0" t="s">
        <x:v>19</x:v>
      </x:c>
      <x:c r="H3350" s="0" t="s">
        <x:v>20</x:v>
      </x:c>
      <x:c r="I3350" s="0" t="s">
        <x:v>21</x:v>
      </x:c>
      <x:c r="K3350" s="0">
        <x:f>hyperlink("https://icd.who.int/dev11/l-ichi/en#/http%3A%2F%2Fid.who.int%2Ficd%2Fentity%2F318469370","browser")</x:f>
      </x:c>
      <x:c r="L3350" s="0">
        <x:f>hyperlink("https://icat2.azurewebsites.net/icat/?ontology=ICD&amp;tab=ClassesTab&amp;id=http%3A%2F%2Fwho.int%2Ficd%2315604_512ebf36_bf6b_4d70_85da_cf2637062af4","iCat")</x:f>
      </x:c>
      <x:c r="M3350" s="0" t="s">
        <x:v>21</x:v>
      </x:c>
      <x:c r="N3350" s="0" t="s">
        <x:v>46</x:v>
      </x:c>
    </x:row>
    <x:row r="3351" spans="1:16">
      <x:c r="A3351" s="0" t="s">
        <x:v>13245</x:v>
      </x:c>
      <x:c r="B3351" s="0" t="s">
        <x:v>13246</x:v>
      </x:c>
      <x:c r="C3351" s="0" t="s">
        <x:v>13247</x:v>
      </x:c>
      <x:c r="E3351" s="0" t="s">
        <x:v>13248</x:v>
      </x:c>
      <x:c r="F3351" s="0" t="s">
        <x:v>45</x:v>
      </x:c>
      <x:c r="G3351" s="0" t="s">
        <x:v>19</x:v>
      </x:c>
      <x:c r="H3351" s="0" t="s">
        <x:v>20</x:v>
      </x:c>
      <x:c r="I3351" s="0" t="s">
        <x:v>21</x:v>
      </x:c>
      <x:c r="K3351" s="0">
        <x:f>hyperlink("https://icd.who.int/dev11/l-ichi/en#/http%3A%2F%2Fid.who.int%2Ficd%2Fentity%2F1489474449","browser")</x:f>
      </x:c>
      <x:c r="L3351" s="0">
        <x:f>hyperlink("https://icat2.azurewebsites.net/icat/?ontology=ICD&amp;tab=ClassesTab&amp;id=http%3A%2F%2Fwho.int%2Ficd%2315615_512ebf36_bf6b_4d70_85da_cf2637062af4","iCat")</x:f>
      </x:c>
      <x:c r="M3351" s="0" t="s">
        <x:v>21</x:v>
      </x:c>
      <x:c r="N3351" s="0" t="s">
        <x:v>46</x:v>
      </x:c>
    </x:row>
    <x:row r="3352" spans="1:16">
      <x:c r="A3352" s="0" t="s">
        <x:v>13249</x:v>
      </x:c>
      <x:c r="B3352" s="0" t="s">
        <x:v>13250</x:v>
      </x:c>
      <x:c r="C3352" s="0" t="s">
        <x:v>13251</x:v>
      </x:c>
      <x:c r="E3352" s="0" t="s">
        <x:v>13252</x:v>
      </x:c>
      <x:c r="F3352" s="0" t="s">
        <x:v>45</x:v>
      </x:c>
      <x:c r="G3352" s="0" t="s">
        <x:v>19</x:v>
      </x:c>
      <x:c r="H3352" s="0" t="s">
        <x:v>20</x:v>
      </x:c>
      <x:c r="I3352" s="0" t="s">
        <x:v>21</x:v>
      </x:c>
      <x:c r="K3352" s="0">
        <x:f>hyperlink("https://icd.who.int/dev11/l-ichi/en#/http%3A%2F%2Fid.who.int%2Ficd%2Fentity%2F948937132","browser")</x:f>
      </x:c>
      <x:c r="L3352" s="0">
        <x:f>hyperlink("https://icat2.azurewebsites.net/icat/?ontology=ICD&amp;tab=ClassesTab&amp;id=http%3A%2F%2Fwho.int%2Ficd%2315624_512ebf36_bf6b_4d70_85da_cf2637062af4","iCat")</x:f>
      </x:c>
      <x:c r="M3352" s="0" t="s">
        <x:v>21</x:v>
      </x:c>
      <x:c r="N3352" s="0" t="s">
        <x:v>46</x:v>
      </x:c>
    </x:row>
    <x:row r="3353" spans="1:16">
      <x:c r="A3353" s="0" t="s">
        <x:v>13253</x:v>
      </x:c>
      <x:c r="B3353" s="0" t="s">
        <x:v>13254</x:v>
      </x:c>
      <x:c r="C3353" s="0" t="s">
        <x:v>13255</x:v>
      </x:c>
      <x:c r="E3353" s="0" t="s">
        <x:v>13256</x:v>
      </x:c>
      <x:c r="F3353" s="0" t="s">
        <x:v>45</x:v>
      </x:c>
      <x:c r="G3353" s="0" t="s">
        <x:v>19</x:v>
      </x:c>
      <x:c r="H3353" s="0" t="s">
        <x:v>20</x:v>
      </x:c>
      <x:c r="I3353" s="0" t="s">
        <x:v>21</x:v>
      </x:c>
      <x:c r="K3353" s="0">
        <x:f>hyperlink("https://icd.who.int/dev11/l-ichi/en#/http%3A%2F%2Fid.who.int%2Ficd%2Fentity%2F1162766848","browser")</x:f>
      </x:c>
      <x:c r="L3353" s="0">
        <x:f>hyperlink("https://icat2.azurewebsites.net/icat/?ontology=ICD&amp;tab=ClassesTab&amp;id=http%3A%2F%2Fwho.int%2Ficd%2338084_512ebf36_bf6b_4d70_85da_cf2637062af4","iCat")</x:f>
      </x:c>
      <x:c r="M3353" s="0" t="s">
        <x:v>21</x:v>
      </x:c>
      <x:c r="N3353" s="0" t="s">
        <x:v>46</x:v>
      </x:c>
    </x:row>
    <x:row r="3354" spans="1:16">
      <x:c r="A3354" s="0" t="s">
        <x:v>13257</x:v>
      </x:c>
      <x:c r="B3354" s="0" t="s">
        <x:v>13258</x:v>
      </x:c>
      <x:c r="C3354" s="0" t="s">
        <x:v>13259</x:v>
      </x:c>
      <x:c r="E3354" s="0" t="s">
        <x:v>13260</x:v>
      </x:c>
      <x:c r="F3354" s="0" t="s">
        <x:v>45</x:v>
      </x:c>
      <x:c r="G3354" s="0" t="s">
        <x:v>19</x:v>
      </x:c>
      <x:c r="H3354" s="0" t="s">
        <x:v>20</x:v>
      </x:c>
      <x:c r="I3354" s="0" t="s">
        <x:v>21</x:v>
      </x:c>
      <x:c r="K3354" s="0">
        <x:f>hyperlink("https://icd.who.int/dev11/l-ichi/en#/http%3A%2F%2Fid.who.int%2Ficd%2Fentity%2F1203012277","browser")</x:f>
      </x:c>
      <x:c r="L3354" s="0">
        <x:f>hyperlink("https://icat2.azurewebsites.net/icat/?ontology=ICD&amp;tab=ClassesTab&amp;id=http%3A%2F%2Fwho.int%2Ficd%2315631_512ebf36_bf6b_4d70_85da_cf2637062af4","iCat")</x:f>
      </x:c>
      <x:c r="M3354" s="0" t="s">
        <x:v>21</x:v>
      </x:c>
      <x:c r="N3354" s="0" t="s">
        <x:v>46</x:v>
      </x:c>
    </x:row>
    <x:row r="3355" spans="1:16">
      <x:c r="A3355" s="0" t="s">
        <x:v>13261</x:v>
      </x:c>
      <x:c r="B3355" s="0" t="s">
        <x:v>13262</x:v>
      </x:c>
      <x:c r="C3355" s="0" t="s">
        <x:v>13263</x:v>
      </x:c>
      <x:c r="E3355" s="0" t="s">
        <x:v>13264</x:v>
      </x:c>
      <x:c r="F3355" s="0" t="s">
        <x:v>45</x:v>
      </x:c>
      <x:c r="G3355" s="0" t="s">
        <x:v>19</x:v>
      </x:c>
      <x:c r="H3355" s="0" t="s">
        <x:v>20</x:v>
      </x:c>
      <x:c r="I3355" s="0" t="s">
        <x:v>21</x:v>
      </x:c>
      <x:c r="K3355" s="0">
        <x:f>hyperlink("https://icd.who.int/dev11/l-ichi/en#/http%3A%2F%2Fid.who.int%2Ficd%2Fentity%2F701268444","browser")</x:f>
      </x:c>
      <x:c r="L3355" s="0">
        <x:f>hyperlink("https://icat2.azurewebsites.net/icat/?ontology=ICD&amp;tab=ClassesTab&amp;id=http%3A%2F%2Fwho.int%2Ficd%2315638_512ebf36_bf6b_4d70_85da_cf2637062af4","iCat")</x:f>
      </x:c>
      <x:c r="M3355" s="0" t="s">
        <x:v>21</x:v>
      </x:c>
      <x:c r="N3355" s="0" t="s">
        <x:v>46</x:v>
      </x:c>
    </x:row>
    <x:row r="3356" spans="1:16">
      <x:c r="A3356" s="0" t="s">
        <x:v>13265</x:v>
      </x:c>
      <x:c r="B3356" s="0" t="s">
        <x:v>13266</x:v>
      </x:c>
      <x:c r="C3356" s="0" t="s">
        <x:v>13267</x:v>
      </x:c>
      <x:c r="E3356" s="0" t="s">
        <x:v>13268</x:v>
      </x:c>
      <x:c r="F3356" s="0" t="s">
        <x:v>45</x:v>
      </x:c>
      <x:c r="G3356" s="0" t="s">
        <x:v>19</x:v>
      </x:c>
      <x:c r="H3356" s="0" t="s">
        <x:v>20</x:v>
      </x:c>
      <x:c r="I3356" s="0" t="s">
        <x:v>21</x:v>
      </x:c>
      <x:c r="K3356" s="0">
        <x:f>hyperlink("https://icd.who.int/dev11/l-ichi/en#/http%3A%2F%2Fid.who.int%2Ficd%2Fentity%2F1113937371","browser")</x:f>
      </x:c>
      <x:c r="L3356" s="0">
        <x:f>hyperlink("https://icat2.azurewebsites.net/icat/?ontology=ICD&amp;tab=ClassesTab&amp;id=http%3A%2F%2Fwho.int%2Ficd%2315645_512ebf36_bf6b_4d70_85da_cf2637062af4","iCat")</x:f>
      </x:c>
      <x:c r="M3356" s="0" t="s">
        <x:v>21</x:v>
      </x:c>
      <x:c r="N3356" s="0" t="s">
        <x:v>46</x:v>
      </x:c>
    </x:row>
    <x:row r="3357" spans="1:16">
      <x:c r="A3357" s="0" t="s">
        <x:v>13269</x:v>
      </x:c>
      <x:c r="B3357" s="0" t="s">
        <x:v>13270</x:v>
      </x:c>
      <x:c r="C3357" s="0" t="s">
        <x:v>13271</x:v>
      </x:c>
      <x:c r="E3357" s="0" t="s">
        <x:v>13272</x:v>
      </x:c>
      <x:c r="F3357" s="0" t="s">
        <x:v>45</x:v>
      </x:c>
      <x:c r="G3357" s="0" t="s">
        <x:v>19</x:v>
      </x:c>
      <x:c r="H3357" s="0" t="s">
        <x:v>20</x:v>
      </x:c>
      <x:c r="I3357" s="0" t="s">
        <x:v>21</x:v>
      </x:c>
      <x:c r="K3357" s="0">
        <x:f>hyperlink("https://icd.who.int/dev11/l-ichi/en#/http%3A%2F%2Fid.who.int%2Ficd%2Fentity%2F497485048","browser")</x:f>
      </x:c>
      <x:c r="L3357" s="0">
        <x:f>hyperlink("https://icat2.azurewebsites.net/icat/?ontology=ICD&amp;tab=ClassesTab&amp;id=http%3A%2F%2Fwho.int%2Ficd%2315651_512ebf36_bf6b_4d70_85da_cf2637062af4","iCat")</x:f>
      </x:c>
      <x:c r="M3357" s="0" t="s">
        <x:v>21</x:v>
      </x:c>
      <x:c r="N3357" s="0" t="s">
        <x:v>46</x:v>
      </x:c>
    </x:row>
    <x:row r="3358" spans="1:16">
      <x:c r="A3358" s="0" t="s">
        <x:v>13273</x:v>
      </x:c>
      <x:c r="B3358" s="0" t="s">
        <x:v>13274</x:v>
      </x:c>
      <x:c r="C3358" s="0" t="s">
        <x:v>13275</x:v>
      </x:c>
      <x:c r="E3358" s="0" t="s">
        <x:v>13276</x:v>
      </x:c>
      <x:c r="F3358" s="0" t="s">
        <x:v>45</x:v>
      </x:c>
      <x:c r="G3358" s="0" t="s">
        <x:v>19</x:v>
      </x:c>
      <x:c r="H3358" s="0" t="s">
        <x:v>20</x:v>
      </x:c>
      <x:c r="I3358" s="0" t="s">
        <x:v>21</x:v>
      </x:c>
      <x:c r="K3358" s="0">
        <x:f>hyperlink("https://icd.who.int/dev11/l-ichi/en#/http%3A%2F%2Fid.who.int%2Ficd%2Fentity%2F1306320201","browser")</x:f>
      </x:c>
      <x:c r="L3358" s="0">
        <x:f>hyperlink("https://icat2.azurewebsites.net/icat/?ontology=ICD&amp;tab=ClassesTab&amp;id=http%3A%2F%2Fwho.int%2Ficd%2315657_512ebf36_bf6b_4d70_85da_cf2637062af4","iCat")</x:f>
      </x:c>
      <x:c r="M3358" s="0" t="s">
        <x:v>21</x:v>
      </x:c>
      <x:c r="N3358" s="0" t="s">
        <x:v>46</x:v>
      </x:c>
    </x:row>
    <x:row r="3359" spans="1:16">
      <x:c r="A3359" s="0" t="s">
        <x:v>13277</x:v>
      </x:c>
      <x:c r="B3359" s="0" t="s">
        <x:v>13278</x:v>
      </x:c>
      <x:c r="C3359" s="0" t="s">
        <x:v>13279</x:v>
      </x:c>
      <x:c r="E3359" s="0" t="s">
        <x:v>13280</x:v>
      </x:c>
      <x:c r="F3359" s="0" t="s">
        <x:v>45</x:v>
      </x:c>
      <x:c r="G3359" s="0" t="s">
        <x:v>19</x:v>
      </x:c>
      <x:c r="H3359" s="0" t="s">
        <x:v>20</x:v>
      </x:c>
      <x:c r="I3359" s="0" t="s">
        <x:v>21</x:v>
      </x:c>
      <x:c r="K3359" s="0">
        <x:f>hyperlink("https://icd.who.int/dev11/l-ichi/en#/http%3A%2F%2Fid.who.int%2Ficd%2Fentity%2F1223226039","browser")</x:f>
      </x:c>
      <x:c r="L3359" s="0">
        <x:f>hyperlink("https://icat2.azurewebsites.net/icat/?ontology=ICD&amp;tab=ClassesTab&amp;id=http%3A%2F%2Fwho.int%2Ficd%2315664_512ebf36_bf6b_4d70_85da_cf2637062af4","iCat")</x:f>
      </x:c>
      <x:c r="M3359" s="0" t="s">
        <x:v>21</x:v>
      </x:c>
      <x:c r="N3359" s="0" t="s">
        <x:v>46</x:v>
      </x:c>
    </x:row>
    <x:row r="3360" spans="1:16">
      <x:c r="A3360" s="0" t="s">
        <x:v>13281</x:v>
      </x:c>
      <x:c r="B3360" s="0" t="s">
        <x:v>13282</x:v>
      </x:c>
      <x:c r="C3360" s="0" t="s">
        <x:v>13283</x:v>
      </x:c>
      <x:c r="E3360" s="0" t="s">
        <x:v>13284</x:v>
      </x:c>
      <x:c r="F3360" s="0" t="s">
        <x:v>45</x:v>
      </x:c>
      <x:c r="G3360" s="0" t="s">
        <x:v>19</x:v>
      </x:c>
      <x:c r="H3360" s="0" t="s">
        <x:v>20</x:v>
      </x:c>
      <x:c r="I3360" s="0" t="s">
        <x:v>21</x:v>
      </x:c>
      <x:c r="K3360" s="0">
        <x:f>hyperlink("https://icd.who.int/dev11/l-ichi/en#/http%3A%2F%2Fid.who.int%2Ficd%2Fentity%2F936628650","browser")</x:f>
      </x:c>
      <x:c r="L3360" s="0">
        <x:f>hyperlink("https://icat2.azurewebsites.net/icat/?ontology=ICD&amp;tab=ClassesTab&amp;id=http%3A%2F%2Fwho.int%2Ficd%2315671_512ebf36_bf6b_4d70_85da_cf2637062af4","iCat")</x:f>
      </x:c>
      <x:c r="M3360" s="0" t="s">
        <x:v>21</x:v>
      </x:c>
      <x:c r="N3360" s="0" t="s">
        <x:v>46</x:v>
      </x:c>
    </x:row>
    <x:row r="3361" spans="1:16">
      <x:c r="A3361" s="0" t="s">
        <x:v>13285</x:v>
      </x:c>
      <x:c r="B3361" s="0" t="s">
        <x:v>13286</x:v>
      </x:c>
      <x:c r="C3361" s="0" t="s">
        <x:v>13287</x:v>
      </x:c>
      <x:c r="E3361" s="0" t="s">
        <x:v>13288</x:v>
      </x:c>
      <x:c r="F3361" s="0" t="s">
        <x:v>45</x:v>
      </x:c>
      <x:c r="G3361" s="0" t="s">
        <x:v>19</x:v>
      </x:c>
      <x:c r="H3361" s="0" t="s">
        <x:v>20</x:v>
      </x:c>
      <x:c r="I3361" s="0" t="s">
        <x:v>21</x:v>
      </x:c>
      <x:c r="K3361" s="0">
        <x:f>hyperlink("https://icd.who.int/dev11/l-ichi/en#/http%3A%2F%2Fid.who.int%2Ficd%2Fentity%2F1739065369","browser")</x:f>
      </x:c>
      <x:c r="L3361" s="0">
        <x:f>hyperlink("https://icat2.azurewebsites.net/icat/?ontology=ICD&amp;tab=ClassesTab&amp;id=http%3A%2F%2Fwho.int%2Ficd%2315677_512ebf36_bf6b_4d70_85da_cf2637062af4","iCat")</x:f>
      </x:c>
      <x:c r="M3361" s="0" t="s">
        <x:v>21</x:v>
      </x:c>
      <x:c r="N3361" s="0" t="s">
        <x:v>46</x:v>
      </x:c>
    </x:row>
    <x:row r="3362" spans="1:16">
      <x:c r="A3362" s="0" t="s">
        <x:v>13289</x:v>
      </x:c>
      <x:c r="B3362" s="0" t="s">
        <x:v>13290</x:v>
      </x:c>
      <x:c r="C3362" s="0" t="s">
        <x:v>13291</x:v>
      </x:c>
      <x:c r="E3362" s="0" t="s">
        <x:v>13292</x:v>
      </x:c>
      <x:c r="F3362" s="0" t="s">
        <x:v>45</x:v>
      </x:c>
      <x:c r="G3362" s="0" t="s">
        <x:v>19</x:v>
      </x:c>
      <x:c r="H3362" s="0" t="s">
        <x:v>20</x:v>
      </x:c>
      <x:c r="I3362" s="0" t="s">
        <x:v>21</x:v>
      </x:c>
      <x:c r="K3362" s="0">
        <x:f>hyperlink("https://icd.who.int/dev11/l-ichi/en#/http%3A%2F%2Fid.who.int%2Ficd%2Fentity%2F2101905075","browser")</x:f>
      </x:c>
      <x:c r="L3362" s="0">
        <x:f>hyperlink("https://icat2.azurewebsites.net/icat/?ontology=ICD&amp;tab=ClassesTab&amp;id=http%3A%2F%2Fwho.int%2Ficd%2315683_512ebf36_bf6b_4d70_85da_cf2637062af4","iCat")</x:f>
      </x:c>
      <x:c r="M3362" s="0" t="s">
        <x:v>21</x:v>
      </x:c>
      <x:c r="N3362" s="0" t="s">
        <x:v>46</x:v>
      </x:c>
    </x:row>
    <x:row r="3363" spans="1:16">
      <x:c r="A3363" s="0" t="s">
        <x:v>13293</x:v>
      </x:c>
      <x:c r="B3363" s="0" t="s">
        <x:v>13294</x:v>
      </x:c>
      <x:c r="C3363" s="0" t="s">
        <x:v>13295</x:v>
      </x:c>
      <x:c r="E3363" s="0" t="s">
        <x:v>13296</x:v>
      </x:c>
      <x:c r="F3363" s="0" t="s">
        <x:v>45</x:v>
      </x:c>
      <x:c r="G3363" s="0" t="s">
        <x:v>19</x:v>
      </x:c>
      <x:c r="H3363" s="0" t="s">
        <x:v>20</x:v>
      </x:c>
      <x:c r="I3363" s="0" t="s">
        <x:v>21</x:v>
      </x:c>
      <x:c r="K3363" s="0">
        <x:f>hyperlink("https://icd.who.int/dev11/l-ichi/en#/http%3A%2F%2Fid.who.int%2Ficd%2Fentity%2F1376287773","browser")</x:f>
      </x:c>
      <x:c r="L3363" s="0">
        <x:f>hyperlink("https://icat2.azurewebsites.net/icat/?ontology=ICD&amp;tab=ClassesTab&amp;id=http%3A%2F%2Fwho.int%2Ficd%2315690_512ebf36_bf6b_4d70_85da_cf2637062af4","iCat")</x:f>
      </x:c>
      <x:c r="M3363" s="0" t="s">
        <x:v>21</x:v>
      </x:c>
      <x:c r="N3363" s="0" t="s">
        <x:v>46</x:v>
      </x:c>
    </x:row>
    <x:row r="3364" spans="1:16">
      <x:c r="A3364" s="0" t="s">
        <x:v>13297</x:v>
      </x:c>
      <x:c r="B3364" s="0" t="s">
        <x:v>13298</x:v>
      </x:c>
      <x:c r="C3364" s="0" t="s">
        <x:v>13299</x:v>
      </x:c>
      <x:c r="E3364" s="0" t="s">
        <x:v>13300</x:v>
      </x:c>
      <x:c r="F3364" s="0" t="s">
        <x:v>45</x:v>
      </x:c>
      <x:c r="G3364" s="0" t="s">
        <x:v>19</x:v>
      </x:c>
      <x:c r="H3364" s="0" t="s">
        <x:v>20</x:v>
      </x:c>
      <x:c r="I3364" s="0" t="s">
        <x:v>21</x:v>
      </x:c>
      <x:c r="K3364" s="0">
        <x:f>hyperlink("https://icd.who.int/dev11/l-ichi/en#/http%3A%2F%2Fid.who.int%2Ficd%2Fentity%2F41133486","browser")</x:f>
      </x:c>
      <x:c r="L3364" s="0">
        <x:f>hyperlink("https://icat2.azurewebsites.net/icat/?ontology=ICD&amp;tab=ClassesTab&amp;id=http%3A%2F%2Fwho.int%2Ficd%2315696_512ebf36_bf6b_4d70_85da_cf2637062af4","iCat")</x:f>
      </x:c>
      <x:c r="M3364" s="0" t="s">
        <x:v>21</x:v>
      </x:c>
      <x:c r="N3364" s="0" t="s">
        <x:v>46</x:v>
      </x:c>
    </x:row>
    <x:row r="3365" spans="1:16">
      <x:c r="A3365" s="0" t="s">
        <x:v>13301</x:v>
      </x:c>
      <x:c r="B3365" s="0" t="s">
        <x:v>13302</x:v>
      </x:c>
      <x:c r="C3365" s="0" t="s">
        <x:v>13303</x:v>
      </x:c>
      <x:c r="E3365" s="0" t="s">
        <x:v>13304</x:v>
      </x:c>
      <x:c r="F3365" s="0" t="s">
        <x:v>45</x:v>
      </x:c>
      <x:c r="G3365" s="0" t="s">
        <x:v>19</x:v>
      </x:c>
      <x:c r="H3365" s="0" t="s">
        <x:v>20</x:v>
      </x:c>
      <x:c r="I3365" s="0" t="s">
        <x:v>21</x:v>
      </x:c>
      <x:c r="K3365" s="0">
        <x:f>hyperlink("https://icd.who.int/dev11/l-ichi/en#/http%3A%2F%2Fid.who.int%2Ficd%2Fentity%2F1201520731","browser")</x:f>
      </x:c>
      <x:c r="L3365" s="0">
        <x:f>hyperlink("https://icat2.azurewebsites.net/icat/?ontology=ICD&amp;tab=ClassesTab&amp;id=http%3A%2F%2Fwho.int%2Ficd%2315705_512ebf36_bf6b_4d70_85da_cf2637062af4","iCat")</x:f>
      </x:c>
      <x:c r="M3365" s="0" t="s">
        <x:v>21</x:v>
      </x:c>
      <x:c r="N3365" s="0" t="s">
        <x:v>46</x:v>
      </x:c>
    </x:row>
    <x:row r="3366" spans="1:16">
      <x:c r="A3366" s="0" t="s">
        <x:v>13305</x:v>
      </x:c>
      <x:c r="B3366" s="0" t="s">
        <x:v>13306</x:v>
      </x:c>
      <x:c r="D3366" s="0" t="s">
        <x:v>13307</x:v>
      </x:c>
      <x:c r="E3366" s="0" t="s">
        <x:v>13308</x:v>
      </x:c>
      <x:c r="F3366" s="0" t="s">
        <x:v>26</x:v>
      </x:c>
      <x:c r="G3366" s="0" t="s">
        <x:v>22</x:v>
      </x:c>
      <x:c r="H3366" s="0" t="s">
        <x:v>20</x:v>
      </x:c>
      <x:c r="I3366" s="0" t="s">
        <x:v>21</x:v>
      </x:c>
      <x:c r="K3366" s="0">
        <x:f>hyperlink("https://icd.who.int/dev11/l-ichi/en#/http%3A%2F%2Fid.who.int%2Ficd%2Fentity%2F1574633089","browser")</x:f>
      </x:c>
      <x:c r="L3366" s="0">
        <x:f>hyperlink("https://icat2.azurewebsites.net/icat/?ontology=ICD&amp;tab=ClassesTab&amp;id=http%3A%2F%2Fwho.int%2Ficd%2315712_512ebf36_bf6b_4d70_85da_cf2637062af4","iCat")</x:f>
      </x:c>
      <x:c r="M3366" s="0" t="s">
        <x:v>20</x:v>
      </x:c>
      <x:c r="N3366" s="0" t="s">
        <x:v>13309</x:v>
      </x:c>
    </x:row>
    <x:row r="3367" spans="1:16">
      <x:c r="A3367" s="0" t="s">
        <x:v>13310</x:v>
      </x:c>
      <x:c r="B3367" s="0" t="s">
        <x:v>13311</x:v>
      </x:c>
      <x:c r="C3367" s="0" t="s">
        <x:v>13312</x:v>
      </x:c>
      <x:c r="E3367" s="0" t="s">
        <x:v>13313</x:v>
      </x:c>
      <x:c r="F3367" s="0" t="s">
        <x:v>45</x:v>
      </x:c>
      <x:c r="G3367" s="0" t="s">
        <x:v>19</x:v>
      </x:c>
      <x:c r="H3367" s="0" t="s">
        <x:v>20</x:v>
      </x:c>
      <x:c r="I3367" s="0" t="s">
        <x:v>21</x:v>
      </x:c>
      <x:c r="K3367" s="0">
        <x:f>hyperlink("https://icd.who.int/dev11/l-ichi/en#/http%3A%2F%2Fid.who.int%2Ficd%2Fentity%2F408916344","browser")</x:f>
      </x:c>
      <x:c r="L3367" s="0">
        <x:f>hyperlink("https://icat2.azurewebsites.net/icat/?ontology=ICD&amp;tab=ClassesTab&amp;id=http%3A%2F%2Fwho.int%2Ficd%2315711_512ebf36_bf6b_4d70_85da_cf2637062af4","iCat")</x:f>
      </x:c>
      <x:c r="M3367" s="0" t="s">
        <x:v>21</x:v>
      </x:c>
      <x:c r="N3367" s="0" t="s">
        <x:v>46</x:v>
      </x:c>
    </x:row>
    <x:row r="3368" spans="1:16">
      <x:c r="A3368" s="0" t="s">
        <x:v>13314</x:v>
      </x:c>
      <x:c r="B3368" s="0" t="s">
        <x:v>13315</x:v>
      </x:c>
      <x:c r="C3368" s="0" t="s">
        <x:v>13316</x:v>
      </x:c>
      <x:c r="E3368" s="0" t="s">
        <x:v>13317</x:v>
      </x:c>
      <x:c r="F3368" s="0" t="s">
        <x:v>45</x:v>
      </x:c>
      <x:c r="G3368" s="0" t="s">
        <x:v>19</x:v>
      </x:c>
      <x:c r="H3368" s="0" t="s">
        <x:v>20</x:v>
      </x:c>
      <x:c r="I3368" s="0" t="s">
        <x:v>21</x:v>
      </x:c>
      <x:c r="K3368" s="0">
        <x:f>hyperlink("https://icd.who.int/dev11/l-ichi/en#/http%3A%2F%2Fid.who.int%2Ficd%2Fentity%2F678198004","browser")</x:f>
      </x:c>
      <x:c r="L3368" s="0">
        <x:f>hyperlink("https://icat2.azurewebsites.net/icat/?ontology=ICD&amp;tab=ClassesTab&amp;id=http%3A%2F%2Fwho.int%2Ficd%2315726_512ebf36_bf6b_4d70_85da_cf2637062af4","iCat")</x:f>
      </x:c>
      <x:c r="M3368" s="0" t="s">
        <x:v>21</x:v>
      </x:c>
      <x:c r="N3368" s="0" t="s">
        <x:v>46</x:v>
      </x:c>
    </x:row>
    <x:row r="3369" spans="1:16">
      <x:c r="A3369" s="0" t="s">
        <x:v>13318</x:v>
      </x:c>
      <x:c r="B3369" s="0" t="s">
        <x:v>13319</x:v>
      </x:c>
      <x:c r="C3369" s="0" t="s">
        <x:v>13320</x:v>
      </x:c>
      <x:c r="E3369" s="0" t="s">
        <x:v>13321</x:v>
      </x:c>
      <x:c r="F3369" s="0" t="s">
        <x:v>45</x:v>
      </x:c>
      <x:c r="G3369" s="0" t="s">
        <x:v>19</x:v>
      </x:c>
      <x:c r="H3369" s="0" t="s">
        <x:v>20</x:v>
      </x:c>
      <x:c r="I3369" s="0" t="s">
        <x:v>21</x:v>
      </x:c>
      <x:c r="K3369" s="0">
        <x:f>hyperlink("https://icd.who.int/dev11/l-ichi/en#/http%3A%2F%2Fid.who.int%2Ficd%2Fentity%2F1465342445","browser")</x:f>
      </x:c>
      <x:c r="L3369" s="0">
        <x:f>hyperlink("https://icat2.azurewebsites.net/icat/?ontology=ICD&amp;tab=ClassesTab&amp;id=http%3A%2F%2Fwho.int%2Ficd%2315733_512ebf36_bf6b_4d70_85da_cf2637062af4","iCat")</x:f>
      </x:c>
      <x:c r="M3369" s="0" t="s">
        <x:v>21</x:v>
      </x:c>
      <x:c r="N3369" s="0" t="s">
        <x:v>46</x:v>
      </x:c>
    </x:row>
    <x:row r="3370" spans="1:16">
      <x:c r="A3370" s="0" t="s">
        <x:v>13322</x:v>
      </x:c>
      <x:c r="B3370" s="0" t="s">
        <x:v>13323</x:v>
      </x:c>
      <x:c r="C3370" s="0" t="s">
        <x:v>13324</x:v>
      </x:c>
      <x:c r="E3370" s="0" t="s">
        <x:v>13325</x:v>
      </x:c>
      <x:c r="F3370" s="0" t="s">
        <x:v>45</x:v>
      </x:c>
      <x:c r="G3370" s="0" t="s">
        <x:v>19</x:v>
      </x:c>
      <x:c r="H3370" s="0" t="s">
        <x:v>20</x:v>
      </x:c>
      <x:c r="I3370" s="0" t="s">
        <x:v>21</x:v>
      </x:c>
      <x:c r="K3370" s="0">
        <x:f>hyperlink("https://icd.who.int/dev11/l-ichi/en#/http%3A%2F%2Fid.who.int%2Ficd%2Fentity%2F2091529597","browser")</x:f>
      </x:c>
      <x:c r="L3370" s="0">
        <x:f>hyperlink("https://icat2.azurewebsites.net/icat/?ontology=ICD&amp;tab=ClassesTab&amp;id=http%3A%2F%2Fwho.int%2Ficd%2315739_512ebf36_bf6b_4d70_85da_cf2637062af4","iCat")</x:f>
      </x:c>
      <x:c r="M3370" s="0" t="s">
        <x:v>21</x:v>
      </x:c>
      <x:c r="N3370" s="0" t="s">
        <x:v>46</x:v>
      </x:c>
    </x:row>
    <x:row r="3371" spans="1:16">
      <x:c r="A3371" s="0" t="s">
        <x:v>13326</x:v>
      </x:c>
      <x:c r="B3371" s="0" t="s">
        <x:v>13327</x:v>
      </x:c>
      <x:c r="C3371" s="0" t="s">
        <x:v>13328</x:v>
      </x:c>
      <x:c r="E3371" s="0" t="s">
        <x:v>13329</x:v>
      </x:c>
      <x:c r="F3371" s="0" t="s">
        <x:v>45</x:v>
      </x:c>
      <x:c r="G3371" s="0" t="s">
        <x:v>19</x:v>
      </x:c>
      <x:c r="H3371" s="0" t="s">
        <x:v>20</x:v>
      </x:c>
      <x:c r="I3371" s="0" t="s">
        <x:v>21</x:v>
      </x:c>
      <x:c r="K3371" s="0">
        <x:f>hyperlink("https://icd.who.int/dev11/l-ichi/en#/http%3A%2F%2Fid.who.int%2Ficd%2Fentity%2F1283204711","browser")</x:f>
      </x:c>
      <x:c r="L3371" s="0">
        <x:f>hyperlink("https://icat2.azurewebsites.net/icat/?ontology=ICD&amp;tab=ClassesTab&amp;id=http%3A%2F%2Fwho.int%2Ficd%2315749_512ebf36_bf6b_4d70_85da_cf2637062af4","iCat")</x:f>
      </x:c>
      <x:c r="M3371" s="0" t="s">
        <x:v>21</x:v>
      </x:c>
      <x:c r="N3371" s="0" t="s">
        <x:v>46</x:v>
      </x:c>
    </x:row>
    <x:row r="3372" spans="1:16">
      <x:c r="A3372" s="0" t="s">
        <x:v>13330</x:v>
      </x:c>
      <x:c r="B3372" s="0" t="s">
        <x:v>13331</x:v>
      </x:c>
      <x:c r="C3372" s="0" t="s">
        <x:v>13332</x:v>
      </x:c>
      <x:c r="E3372" s="0" t="s">
        <x:v>13333</x:v>
      </x:c>
      <x:c r="F3372" s="0" t="s">
        <x:v>45</x:v>
      </x:c>
      <x:c r="G3372" s="0" t="s">
        <x:v>19</x:v>
      </x:c>
      <x:c r="H3372" s="0" t="s">
        <x:v>20</x:v>
      </x:c>
      <x:c r="I3372" s="0" t="s">
        <x:v>21</x:v>
      </x:c>
      <x:c r="K3372" s="0">
        <x:f>hyperlink("https://icd.who.int/dev11/l-ichi/en#/http%3A%2F%2Fid.who.int%2Ficd%2Fentity%2F1564411409","browser")</x:f>
      </x:c>
      <x:c r="L3372" s="0">
        <x:f>hyperlink("https://icat2.azurewebsites.net/icat/?ontology=ICD&amp;tab=ClassesTab&amp;id=http%3A%2F%2Fwho.int%2Ficd%2315755_512ebf36_bf6b_4d70_85da_cf2637062af4","iCat")</x:f>
      </x:c>
      <x:c r="M3372" s="0" t="s">
        <x:v>21</x:v>
      </x:c>
      <x:c r="N3372" s="0" t="s">
        <x:v>46</x:v>
      </x:c>
    </x:row>
    <x:row r="3373" spans="1:16">
      <x:c r="A3373" s="0" t="s">
        <x:v>13334</x:v>
      </x:c>
      <x:c r="B3373" s="0" t="s">
        <x:v>13335</x:v>
      </x:c>
      <x:c r="C3373" s="0" t="s">
        <x:v>13336</x:v>
      </x:c>
      <x:c r="E3373" s="0" t="s">
        <x:v>13337</x:v>
      </x:c>
      <x:c r="F3373" s="0" t="s">
        <x:v>45</x:v>
      </x:c>
      <x:c r="G3373" s="0" t="s">
        <x:v>19</x:v>
      </x:c>
      <x:c r="H3373" s="0" t="s">
        <x:v>20</x:v>
      </x:c>
      <x:c r="I3373" s="0" t="s">
        <x:v>21</x:v>
      </x:c>
      <x:c r="K3373" s="0">
        <x:f>hyperlink("https://icd.who.int/dev11/l-ichi/en#/http%3A%2F%2Fid.who.int%2Ficd%2Fentity%2F1307942823","browser")</x:f>
      </x:c>
      <x:c r="L3373" s="0">
        <x:f>hyperlink("https://icat2.azurewebsites.net/icat/?ontology=ICD&amp;tab=ClassesTab&amp;id=http%3A%2F%2Fwho.int%2Ficd%2315763_512ebf36_bf6b_4d70_85da_cf2637062af4","iCat")</x:f>
      </x:c>
      <x:c r="M3373" s="0" t="s">
        <x:v>21</x:v>
      </x:c>
      <x:c r="N3373" s="0" t="s">
        <x:v>46</x:v>
      </x:c>
    </x:row>
    <x:row r="3374" spans="1:16">
      <x:c r="A3374" s="0" t="s">
        <x:v>13338</x:v>
      </x:c>
      <x:c r="B3374" s="0" t="s">
        <x:v>13339</x:v>
      </x:c>
      <x:c r="C3374" s="0" t="s">
        <x:v>13340</x:v>
      </x:c>
      <x:c r="E3374" s="0" t="s">
        <x:v>13341</x:v>
      </x:c>
      <x:c r="F3374" s="0" t="s">
        <x:v>45</x:v>
      </x:c>
      <x:c r="G3374" s="0" t="s">
        <x:v>19</x:v>
      </x:c>
      <x:c r="H3374" s="0" t="s">
        <x:v>20</x:v>
      </x:c>
      <x:c r="I3374" s="0" t="s">
        <x:v>21</x:v>
      </x:c>
      <x:c r="K3374" s="0">
        <x:f>hyperlink("https://icd.who.int/dev11/l-ichi/en#/http%3A%2F%2Fid.who.int%2Ficd%2Fentity%2F149963010","browser")</x:f>
      </x:c>
      <x:c r="L3374" s="0">
        <x:f>hyperlink("https://icat2.azurewebsites.net/icat/?ontology=ICD&amp;tab=ClassesTab&amp;id=http%3A%2F%2Fwho.int%2Ficd%23164_97087496_4a82_4efa_a45a_b3256f81bd7e","iCat")</x:f>
      </x:c>
      <x:c r="M3374" s="0" t="s">
        <x:v>21</x:v>
      </x:c>
      <x:c r="N3374" s="0" t="s">
        <x:v>46</x:v>
      </x:c>
    </x:row>
    <x:row r="3375" spans="1:16">
      <x:c r="A3375" s="0" t="s">
        <x:v>13342</x:v>
      </x:c>
      <x:c r="B3375" s="0" t="s">
        <x:v>13343</x:v>
      </x:c>
      <x:c r="C3375" s="0" t="s">
        <x:v>13344</x:v>
      </x:c>
      <x:c r="E3375" s="0" t="s">
        <x:v>13345</x:v>
      </x:c>
      <x:c r="F3375" s="0" t="s">
        <x:v>45</x:v>
      </x:c>
      <x:c r="G3375" s="0" t="s">
        <x:v>19</x:v>
      </x:c>
      <x:c r="H3375" s="0" t="s">
        <x:v>20</x:v>
      </x:c>
      <x:c r="I3375" s="0" t="s">
        <x:v>21</x:v>
      </x:c>
      <x:c r="K3375" s="0">
        <x:f>hyperlink("https://icd.who.int/dev11/l-ichi/en#/http%3A%2F%2Fid.who.int%2Ficd%2Fentity%2F1711862583","browser")</x:f>
      </x:c>
      <x:c r="L3375" s="0">
        <x:f>hyperlink("https://icat2.azurewebsites.net/icat/?ontology=ICD&amp;tab=ClassesTab&amp;id=http%3A%2F%2Fwho.int%2Ficd%2315769_512ebf36_bf6b_4d70_85da_cf2637062af4","iCat")</x:f>
      </x:c>
      <x:c r="M3375" s="0" t="s">
        <x:v>21</x:v>
      </x:c>
      <x:c r="N3375" s="0" t="s">
        <x:v>46</x:v>
      </x:c>
    </x:row>
    <x:row r="3376" spans="1:16">
      <x:c r="A3376" s="0" t="s">
        <x:v>13346</x:v>
      </x:c>
      <x:c r="B3376" s="0" t="s">
        <x:v>13347</x:v>
      </x:c>
      <x:c r="C3376" s="0" t="s">
        <x:v>13348</x:v>
      </x:c>
      <x:c r="E3376" s="0" t="s">
        <x:v>13349</x:v>
      </x:c>
      <x:c r="F3376" s="0" t="s">
        <x:v>45</x:v>
      </x:c>
      <x:c r="G3376" s="0" t="s">
        <x:v>19</x:v>
      </x:c>
      <x:c r="H3376" s="0" t="s">
        <x:v>20</x:v>
      </x:c>
      <x:c r="I3376" s="0" t="s">
        <x:v>21</x:v>
      </x:c>
      <x:c r="K3376" s="0">
        <x:f>hyperlink("https://icd.who.int/dev11/l-ichi/en#/http%3A%2F%2Fid.who.int%2Ficd%2Fentity%2F2001457985","browser")</x:f>
      </x:c>
      <x:c r="L3376" s="0">
        <x:f>hyperlink("https://icat2.azurewebsites.net/icat/?ontology=ICD&amp;tab=ClassesTab&amp;id=http%3A%2F%2Fwho.int%2Ficd%2315775_512ebf36_bf6b_4d70_85da_cf2637062af4","iCat")</x:f>
      </x:c>
      <x:c r="M3376" s="0" t="s">
        <x:v>21</x:v>
      </x:c>
      <x:c r="N3376" s="0" t="s">
        <x:v>46</x:v>
      </x:c>
    </x:row>
    <x:row r="3377" spans="1:16">
      <x:c r="A3377" s="0" t="s">
        <x:v>13350</x:v>
      </x:c>
      <x:c r="B3377" s="0" t="s">
        <x:v>13351</x:v>
      </x:c>
      <x:c r="C3377" s="0" t="s">
        <x:v>13352</x:v>
      </x:c>
      <x:c r="E3377" s="0" t="s">
        <x:v>13353</x:v>
      </x:c>
      <x:c r="F3377" s="0" t="s">
        <x:v>45</x:v>
      </x:c>
      <x:c r="G3377" s="0" t="s">
        <x:v>19</x:v>
      </x:c>
      <x:c r="H3377" s="0" t="s">
        <x:v>20</x:v>
      </x:c>
      <x:c r="I3377" s="0" t="s">
        <x:v>21</x:v>
      </x:c>
      <x:c r="K3377" s="0">
        <x:f>hyperlink("https://icd.who.int/dev11/l-ichi/en#/http%3A%2F%2Fid.who.int%2Ficd%2Fentity%2F148324400","browser")</x:f>
      </x:c>
      <x:c r="L3377" s="0">
        <x:f>hyperlink("https://icat2.azurewebsites.net/icat/?ontology=ICD&amp;tab=ClassesTab&amp;id=http%3A%2F%2Fwho.int%2Ficd%2315783_512ebf36_bf6b_4d70_85da_cf2637062af4","iCat")</x:f>
      </x:c>
      <x:c r="M3377" s="0" t="s">
        <x:v>21</x:v>
      </x:c>
      <x:c r="N3377" s="0" t="s">
        <x:v>46</x:v>
      </x:c>
    </x:row>
    <x:row r="3378" spans="1:16">
      <x:c r="A3378" s="0" t="s">
        <x:v>13354</x:v>
      </x:c>
      <x:c r="B3378" s="0" t="s">
        <x:v>13355</x:v>
      </x:c>
      <x:c r="C3378" s="0" t="s">
        <x:v>13356</x:v>
      </x:c>
      <x:c r="E3378" s="0" t="s">
        <x:v>13357</x:v>
      </x:c>
      <x:c r="F3378" s="0" t="s">
        <x:v>45</x:v>
      </x:c>
      <x:c r="G3378" s="0" t="s">
        <x:v>19</x:v>
      </x:c>
      <x:c r="H3378" s="0" t="s">
        <x:v>20</x:v>
      </x:c>
      <x:c r="I3378" s="0" t="s">
        <x:v>21</x:v>
      </x:c>
      <x:c r="K3378" s="0">
        <x:f>hyperlink("https://icd.who.int/dev11/l-ichi/en#/http%3A%2F%2Fid.who.int%2Ficd%2Fentity%2F589966528","browser")</x:f>
      </x:c>
      <x:c r="L3378" s="0">
        <x:f>hyperlink("https://icat2.azurewebsites.net/icat/?ontology=ICD&amp;tab=ClassesTab&amp;id=http%3A%2F%2Fwho.int%2Ficd%2315789_512ebf36_bf6b_4d70_85da_cf2637062af4","iCat")</x:f>
      </x:c>
      <x:c r="M3378" s="0" t="s">
        <x:v>21</x:v>
      </x:c>
      <x:c r="N3378" s="0" t="s">
        <x:v>46</x:v>
      </x:c>
    </x:row>
    <x:row r="3379" spans="1:16">
      <x:c r="A3379" s="0" t="s">
        <x:v>13358</x:v>
      </x:c>
      <x:c r="B3379" s="0" t="s">
        <x:v>13359</x:v>
      </x:c>
      <x:c r="C3379" s="0" t="s">
        <x:v>13360</x:v>
      </x:c>
      <x:c r="E3379" s="0" t="s">
        <x:v>13361</x:v>
      </x:c>
      <x:c r="F3379" s="0" t="s">
        <x:v>45</x:v>
      </x:c>
      <x:c r="G3379" s="0" t="s">
        <x:v>19</x:v>
      </x:c>
      <x:c r="H3379" s="0" t="s">
        <x:v>20</x:v>
      </x:c>
      <x:c r="I3379" s="0" t="s">
        <x:v>21</x:v>
      </x:c>
      <x:c r="K3379" s="0">
        <x:f>hyperlink("https://icd.who.int/dev11/l-ichi/en#/http%3A%2F%2Fid.who.int%2Ficd%2Fentity%2F81237033","browser")</x:f>
      </x:c>
      <x:c r="L3379" s="0">
        <x:f>hyperlink("https://icat2.azurewebsites.net/icat/?ontology=ICD&amp;tab=ClassesTab&amp;id=http%3A%2F%2Fwho.int%2Ficd%2315801_512ebf36_bf6b_4d70_85da_cf2637062af4","iCat")</x:f>
      </x:c>
      <x:c r="M3379" s="0" t="s">
        <x:v>21</x:v>
      </x:c>
      <x:c r="N3379" s="0" t="s">
        <x:v>46</x:v>
      </x:c>
    </x:row>
    <x:row r="3380" spans="1:16">
      <x:c r="A3380" s="0" t="s">
        <x:v>13362</x:v>
      </x:c>
      <x:c r="B3380" s="0" t="s">
        <x:v>13363</x:v>
      </x:c>
      <x:c r="C3380" s="0" t="s">
        <x:v>13364</x:v>
      </x:c>
      <x:c r="E3380" s="0" t="s">
        <x:v>13365</x:v>
      </x:c>
      <x:c r="F3380" s="0" t="s">
        <x:v>45</x:v>
      </x:c>
      <x:c r="G3380" s="0" t="s">
        <x:v>19</x:v>
      </x:c>
      <x:c r="H3380" s="0" t="s">
        <x:v>20</x:v>
      </x:c>
      <x:c r="I3380" s="0" t="s">
        <x:v>21</x:v>
      </x:c>
      <x:c r="K3380" s="0">
        <x:f>hyperlink("https://icd.who.int/dev11/l-ichi/en#/http%3A%2F%2Fid.who.int%2Ficd%2Fentity%2F1789892416","browser")</x:f>
      </x:c>
      <x:c r="L3380" s="0">
        <x:f>hyperlink("https://icat2.azurewebsites.net/icat/?ontology=ICD&amp;tab=ClassesTab&amp;id=http%3A%2F%2Fwho.int%2Ficd%2315808_512ebf36_bf6b_4d70_85da_cf2637062af4","iCat")</x:f>
      </x:c>
      <x:c r="M3380" s="0" t="s">
        <x:v>21</x:v>
      </x:c>
      <x:c r="N3380" s="0" t="s">
        <x:v>46</x:v>
      </x:c>
    </x:row>
    <x:row r="3381" spans="1:16">
      <x:c r="A3381" s="0" t="s">
        <x:v>13366</x:v>
      </x:c>
      <x:c r="B3381" s="0" t="s">
        <x:v>13367</x:v>
      </x:c>
      <x:c r="C3381" s="0" t="s">
        <x:v>13368</x:v>
      </x:c>
      <x:c r="E3381" s="0" t="s">
        <x:v>13369</x:v>
      </x:c>
      <x:c r="F3381" s="0" t="s">
        <x:v>45</x:v>
      </x:c>
      <x:c r="G3381" s="0" t="s">
        <x:v>19</x:v>
      </x:c>
      <x:c r="H3381" s="0" t="s">
        <x:v>20</x:v>
      </x:c>
      <x:c r="I3381" s="0" t="s">
        <x:v>21</x:v>
      </x:c>
      <x:c r="K3381" s="0">
        <x:f>hyperlink("https://icd.who.int/dev11/l-ichi/en#/http%3A%2F%2Fid.who.int%2Ficd%2Fentity%2F1528153354","browser")</x:f>
      </x:c>
      <x:c r="L3381" s="0">
        <x:f>hyperlink("https://icat2.azurewebsites.net/icat/?ontology=ICD&amp;tab=ClassesTab&amp;id=http%3A%2F%2Fwho.int%2Ficd%2315815_512ebf36_bf6b_4d70_85da_cf2637062af4","iCat")</x:f>
      </x:c>
      <x:c r="M3381" s="0" t="s">
        <x:v>21</x:v>
      </x:c>
      <x:c r="N3381" s="0" t="s">
        <x:v>46</x:v>
      </x:c>
    </x:row>
    <x:row r="3382" spans="1:16">
      <x:c r="A3382" s="0" t="s">
        <x:v>13370</x:v>
      </x:c>
      <x:c r="B3382" s="0" t="s">
        <x:v>13371</x:v>
      </x:c>
      <x:c r="C3382" s="0" t="s">
        <x:v>13372</x:v>
      </x:c>
      <x:c r="E3382" s="0" t="s">
        <x:v>13373</x:v>
      </x:c>
      <x:c r="F3382" s="0" t="s">
        <x:v>45</x:v>
      </x:c>
      <x:c r="G3382" s="0" t="s">
        <x:v>19</x:v>
      </x:c>
      <x:c r="H3382" s="0" t="s">
        <x:v>20</x:v>
      </x:c>
      <x:c r="I3382" s="0" t="s">
        <x:v>21</x:v>
      </x:c>
      <x:c r="K3382" s="0">
        <x:f>hyperlink("https://icd.who.int/dev11/l-ichi/en#/http%3A%2F%2Fid.who.int%2Ficd%2Fentity%2F996013873","browser")</x:f>
      </x:c>
      <x:c r="L3382" s="0">
        <x:f>hyperlink("https://icat2.azurewebsites.net/icat/?ontology=ICD&amp;tab=ClassesTab&amp;id=http%3A%2F%2Fwho.int%2Ficd%2315824_512ebf36_bf6b_4d70_85da_cf2637062af4","iCat")</x:f>
      </x:c>
      <x:c r="M3382" s="0" t="s">
        <x:v>21</x:v>
      </x:c>
      <x:c r="N3382" s="0" t="s">
        <x:v>46</x:v>
      </x:c>
    </x:row>
    <x:row r="3383" spans="1:16">
      <x:c r="A3383" s="0" t="s">
        <x:v>13374</x:v>
      </x:c>
      <x:c r="B3383" s="0" t="s">
        <x:v>13375</x:v>
      </x:c>
      <x:c r="C3383" s="0" t="s">
        <x:v>13376</x:v>
      </x:c>
      <x:c r="E3383" s="0" t="s">
        <x:v>13377</x:v>
      </x:c>
      <x:c r="F3383" s="0" t="s">
        <x:v>45</x:v>
      </x:c>
      <x:c r="G3383" s="0" t="s">
        <x:v>19</x:v>
      </x:c>
      <x:c r="H3383" s="0" t="s">
        <x:v>20</x:v>
      </x:c>
      <x:c r="I3383" s="0" t="s">
        <x:v>21</x:v>
      </x:c>
      <x:c r="K3383" s="0">
        <x:f>hyperlink("https://icd.who.int/dev11/l-ichi/en#/http%3A%2F%2Fid.who.int%2Ficd%2Fentity%2F1688184340","browser")</x:f>
      </x:c>
      <x:c r="L3383" s="0">
        <x:f>hyperlink("https://icat2.azurewebsites.net/icat/?ontology=ICD&amp;tab=ClassesTab&amp;id=http%3A%2F%2Fwho.int%2Ficd%2315830_512ebf36_bf6b_4d70_85da_cf2637062af4","iCat")</x:f>
      </x:c>
      <x:c r="M3383" s="0" t="s">
        <x:v>21</x:v>
      </x:c>
      <x:c r="N3383" s="0" t="s">
        <x:v>46</x:v>
      </x:c>
    </x:row>
    <x:row r="3384" spans="1:16">
      <x:c r="A3384" s="0" t="s">
        <x:v>13378</x:v>
      </x:c>
      <x:c r="B3384" s="0" t="s">
        <x:v>13379</x:v>
      </x:c>
      <x:c r="C3384" s="0" t="s">
        <x:v>13380</x:v>
      </x:c>
      <x:c r="E3384" s="0" t="s">
        <x:v>13381</x:v>
      </x:c>
      <x:c r="F3384" s="0" t="s">
        <x:v>45</x:v>
      </x:c>
      <x:c r="G3384" s="0" t="s">
        <x:v>19</x:v>
      </x:c>
      <x:c r="H3384" s="0" t="s">
        <x:v>20</x:v>
      </x:c>
      <x:c r="I3384" s="0" t="s">
        <x:v>21</x:v>
      </x:c>
      <x:c r="K3384" s="0">
        <x:f>hyperlink("https://icd.who.int/dev11/l-ichi/en#/http%3A%2F%2Fid.who.int%2Ficd%2Fentity%2F887390115","browser")</x:f>
      </x:c>
      <x:c r="L3384" s="0">
        <x:f>hyperlink("https://icat2.azurewebsites.net/icat/?ontology=ICD&amp;tab=ClassesTab&amp;id=http%3A%2F%2Fwho.int%2Ficd%2315836_512ebf36_bf6b_4d70_85da_cf2637062af4","iCat")</x:f>
      </x:c>
      <x:c r="M3384" s="0" t="s">
        <x:v>21</x:v>
      </x:c>
      <x:c r="N3384" s="0" t="s">
        <x:v>46</x:v>
      </x:c>
    </x:row>
    <x:row r="3385" spans="1:16">
      <x:c r="A3385" s="0" t="s">
        <x:v>13382</x:v>
      </x:c>
      <x:c r="B3385" s="0" t="s">
        <x:v>13383</x:v>
      </x:c>
      <x:c r="C3385" s="0" t="s">
        <x:v>13384</x:v>
      </x:c>
      <x:c r="E3385" s="0" t="s">
        <x:v>13385</x:v>
      </x:c>
      <x:c r="F3385" s="0" t="s">
        <x:v>45</x:v>
      </x:c>
      <x:c r="G3385" s="0" t="s">
        <x:v>19</x:v>
      </x:c>
      <x:c r="H3385" s="0" t="s">
        <x:v>20</x:v>
      </x:c>
      <x:c r="I3385" s="0" t="s">
        <x:v>21</x:v>
      </x:c>
      <x:c r="K3385" s="0">
        <x:f>hyperlink("https://icd.who.int/dev11/l-ichi/en#/http%3A%2F%2Fid.who.int%2Ficd%2Fentity%2F1632530814","browser")</x:f>
      </x:c>
      <x:c r="L3385" s="0">
        <x:f>hyperlink("https://icat2.azurewebsites.net/icat/?ontology=ICD&amp;tab=ClassesTab&amp;id=http%3A%2F%2Fwho.int%2Ficd%2315844_512ebf36_bf6b_4d70_85da_cf2637062af4","iCat")</x:f>
      </x:c>
      <x:c r="M3385" s="0" t="s">
        <x:v>21</x:v>
      </x:c>
      <x:c r="N3385" s="0" t="s">
        <x:v>46</x:v>
      </x:c>
    </x:row>
    <x:row r="3386" spans="1:16">
      <x:c r="A3386" s="0" t="s">
        <x:v>13386</x:v>
      </x:c>
      <x:c r="B3386" s="0" t="s">
        <x:v>13387</x:v>
      </x:c>
      <x:c r="C3386" s="0" t="s">
        <x:v>13388</x:v>
      </x:c>
      <x:c r="E3386" s="0" t="s">
        <x:v>13389</x:v>
      </x:c>
      <x:c r="F3386" s="0" t="s">
        <x:v>45</x:v>
      </x:c>
      <x:c r="G3386" s="0" t="s">
        <x:v>19</x:v>
      </x:c>
      <x:c r="H3386" s="0" t="s">
        <x:v>20</x:v>
      </x:c>
      <x:c r="I3386" s="0" t="s">
        <x:v>21</x:v>
      </x:c>
      <x:c r="K3386" s="0">
        <x:f>hyperlink("https://icd.who.int/dev11/l-ichi/en#/http%3A%2F%2Fid.who.int%2Ficd%2Fentity%2F1542471066","browser")</x:f>
      </x:c>
      <x:c r="L3386" s="0">
        <x:f>hyperlink("https://icat2.azurewebsites.net/icat/?ontology=ICD&amp;tab=ClassesTab&amp;id=http%3A%2F%2Fwho.int%2Ficd%2315852_512ebf36_bf6b_4d70_85da_cf2637062af4","iCat")</x:f>
      </x:c>
      <x:c r="M3386" s="0" t="s">
        <x:v>21</x:v>
      </x:c>
      <x:c r="N3386" s="0" t="s">
        <x:v>46</x:v>
      </x:c>
    </x:row>
    <x:row r="3387" spans="1:16">
      <x:c r="A3387" s="0" t="s">
        <x:v>13390</x:v>
      </x:c>
      <x:c r="B3387" s="0" t="s">
        <x:v>13391</x:v>
      </x:c>
      <x:c r="C3387" s="0" t="s">
        <x:v>13392</x:v>
      </x:c>
      <x:c r="E3387" s="0" t="s">
        <x:v>13393</x:v>
      </x:c>
      <x:c r="F3387" s="0" t="s">
        <x:v>45</x:v>
      </x:c>
      <x:c r="G3387" s="0" t="s">
        <x:v>19</x:v>
      </x:c>
      <x:c r="H3387" s="0" t="s">
        <x:v>20</x:v>
      </x:c>
      <x:c r="I3387" s="0" t="s">
        <x:v>21</x:v>
      </x:c>
      <x:c r="K3387" s="0">
        <x:f>hyperlink("https://icd.who.int/dev11/l-ichi/en#/http%3A%2F%2Fid.who.int%2Ficd%2Fentity%2F2117951578","browser")</x:f>
      </x:c>
      <x:c r="L3387" s="0">
        <x:f>hyperlink("https://icat2.azurewebsites.net/icat/?ontology=ICD&amp;tab=ClassesTab&amp;id=http%3A%2F%2Fwho.int%2Ficd%2315860_512ebf36_bf6b_4d70_85da_cf2637062af4","iCat")</x:f>
      </x:c>
      <x:c r="M3387" s="0" t="s">
        <x:v>21</x:v>
      </x:c>
      <x:c r="N3387" s="0" t="s">
        <x:v>46</x:v>
      </x:c>
    </x:row>
    <x:row r="3388" spans="1:16">
      <x:c r="A3388" s="0" t="s">
        <x:v>13394</x:v>
      </x:c>
      <x:c r="B3388" s="0" t="s">
        <x:v>13395</x:v>
      </x:c>
      <x:c r="C3388" s="0" t="s">
        <x:v>13396</x:v>
      </x:c>
      <x:c r="E3388" s="0" t="s">
        <x:v>13397</x:v>
      </x:c>
      <x:c r="F3388" s="0" t="s">
        <x:v>45</x:v>
      </x:c>
      <x:c r="G3388" s="0" t="s">
        <x:v>19</x:v>
      </x:c>
      <x:c r="H3388" s="0" t="s">
        <x:v>20</x:v>
      </x:c>
      <x:c r="I3388" s="0" t="s">
        <x:v>21</x:v>
      </x:c>
      <x:c r="K3388" s="0">
        <x:f>hyperlink("https://icd.who.int/dev11/l-ichi/en#/http%3A%2F%2Fid.who.int%2Ficd%2Fentity%2F817631501","browser")</x:f>
      </x:c>
      <x:c r="L3388" s="0">
        <x:f>hyperlink("https://icat2.azurewebsites.net/icat/?ontology=ICD&amp;tab=ClassesTab&amp;id=http%3A%2F%2Fwho.int%2Ficd%2315868_512ebf36_bf6b_4d70_85da_cf2637062af4","iCat")</x:f>
      </x:c>
      <x:c r="M3388" s="0" t="s">
        <x:v>21</x:v>
      </x:c>
      <x:c r="N3388" s="0" t="s">
        <x:v>46</x:v>
      </x:c>
    </x:row>
    <x:row r="3389" spans="1:16">
      <x:c r="A3389" s="0" t="s">
        <x:v>13398</x:v>
      </x:c>
      <x:c r="B3389" s="0" t="s">
        <x:v>13399</x:v>
      </x:c>
      <x:c r="C3389" s="0" t="s">
        <x:v>13400</x:v>
      </x:c>
      <x:c r="E3389" s="0" t="s">
        <x:v>13401</x:v>
      </x:c>
      <x:c r="F3389" s="0" t="s">
        <x:v>45</x:v>
      </x:c>
      <x:c r="G3389" s="0" t="s">
        <x:v>19</x:v>
      </x:c>
      <x:c r="H3389" s="0" t="s">
        <x:v>20</x:v>
      </x:c>
      <x:c r="I3389" s="0" t="s">
        <x:v>21</x:v>
      </x:c>
      <x:c r="K3389" s="0">
        <x:f>hyperlink("https://icd.who.int/dev11/l-ichi/en#/http%3A%2F%2Fid.who.int%2Ficd%2Fentity%2F1149447358","browser")</x:f>
      </x:c>
      <x:c r="L3389" s="0">
        <x:f>hyperlink("https://icat2.azurewebsites.net/icat/?ontology=ICD&amp;tab=ClassesTab&amp;id=http%3A%2F%2Fwho.int%2Ficd%2315876_512ebf36_bf6b_4d70_85da_cf2637062af4","iCat")</x:f>
      </x:c>
      <x:c r="M3389" s="0" t="s">
        <x:v>21</x:v>
      </x:c>
      <x:c r="N3389" s="0" t="s">
        <x:v>46</x:v>
      </x:c>
    </x:row>
    <x:row r="3390" spans="1:16">
      <x:c r="A3390" s="0" t="s">
        <x:v>13402</x:v>
      </x:c>
      <x:c r="B3390" s="0" t="s">
        <x:v>13403</x:v>
      </x:c>
      <x:c r="C3390" s="0" t="s">
        <x:v>13404</x:v>
      </x:c>
      <x:c r="E3390" s="0" t="s">
        <x:v>13405</x:v>
      </x:c>
      <x:c r="F3390" s="0" t="s">
        <x:v>45</x:v>
      </x:c>
      <x:c r="G3390" s="0" t="s">
        <x:v>19</x:v>
      </x:c>
      <x:c r="H3390" s="0" t="s">
        <x:v>20</x:v>
      </x:c>
      <x:c r="I3390" s="0" t="s">
        <x:v>21</x:v>
      </x:c>
      <x:c r="K3390" s="0">
        <x:f>hyperlink("https://icd.who.int/dev11/l-ichi/en#/http%3A%2F%2Fid.who.int%2Ficd%2Fentity%2F2124075048","browser")</x:f>
      </x:c>
      <x:c r="L3390" s="0">
        <x:f>hyperlink("https://icat2.azurewebsites.net/icat/?ontology=ICD&amp;tab=ClassesTab&amp;id=http%3A%2F%2Fwho.int%2Ficd%2315883_512ebf36_bf6b_4d70_85da_cf2637062af4","iCat")</x:f>
      </x:c>
      <x:c r="M3390" s="0" t="s">
        <x:v>21</x:v>
      </x:c>
      <x:c r="N3390" s="0" t="s">
        <x:v>46</x:v>
      </x:c>
    </x:row>
    <x:row r="3391" spans="1:16">
      <x:c r="A3391" s="0" t="s">
        <x:v>13406</x:v>
      </x:c>
      <x:c r="B3391" s="0" t="s">
        <x:v>13407</x:v>
      </x:c>
      <x:c r="C3391" s="0" t="s">
        <x:v>13408</x:v>
      </x:c>
      <x:c r="E3391" s="0" t="s">
        <x:v>13409</x:v>
      </x:c>
      <x:c r="F3391" s="0" t="s">
        <x:v>45</x:v>
      </x:c>
      <x:c r="G3391" s="0" t="s">
        <x:v>19</x:v>
      </x:c>
      <x:c r="H3391" s="0" t="s">
        <x:v>20</x:v>
      </x:c>
      <x:c r="I3391" s="0" t="s">
        <x:v>21</x:v>
      </x:c>
      <x:c r="K3391" s="0">
        <x:f>hyperlink("https://icd.who.int/dev11/l-ichi/en#/http%3A%2F%2Fid.who.int%2Ficd%2Fentity%2F1373252232","browser")</x:f>
      </x:c>
      <x:c r="L3391" s="0">
        <x:f>hyperlink("https://icat2.azurewebsites.net/icat/?ontology=ICD&amp;tab=ClassesTab&amp;id=http%3A%2F%2Fwho.int%2Ficd%2315890_512ebf36_bf6b_4d70_85da_cf2637062af4","iCat")</x:f>
      </x:c>
      <x:c r="M3391" s="0" t="s">
        <x:v>21</x:v>
      </x:c>
      <x:c r="N3391" s="0" t="s">
        <x:v>46</x:v>
      </x:c>
    </x:row>
    <x:row r="3392" spans="1:16">
      <x:c r="A3392" s="0" t="s">
        <x:v>13410</x:v>
      </x:c>
      <x:c r="B3392" s="0" t="s">
        <x:v>13411</x:v>
      </x:c>
      <x:c r="C3392" s="0" t="s">
        <x:v>13412</x:v>
      </x:c>
      <x:c r="E3392" s="0" t="s">
        <x:v>13413</x:v>
      </x:c>
      <x:c r="F3392" s="0" t="s">
        <x:v>45</x:v>
      </x:c>
      <x:c r="G3392" s="0" t="s">
        <x:v>19</x:v>
      </x:c>
      <x:c r="H3392" s="0" t="s">
        <x:v>20</x:v>
      </x:c>
      <x:c r="I3392" s="0" t="s">
        <x:v>21</x:v>
      </x:c>
      <x:c r="K3392" s="0">
        <x:f>hyperlink("https://icd.who.int/dev11/l-ichi/en#/http%3A%2F%2Fid.who.int%2Ficd%2Fentity%2F1370562696","browser")</x:f>
      </x:c>
      <x:c r="L3392" s="0">
        <x:f>hyperlink("https://icat2.azurewebsites.net/icat/?ontology=ICD&amp;tab=ClassesTab&amp;id=http%3A%2F%2Fwho.int%2Ficd%2315900_512ebf36_bf6b_4d70_85da_cf2637062af4","iCat")</x:f>
      </x:c>
      <x:c r="M3392" s="0" t="s">
        <x:v>21</x:v>
      </x:c>
      <x:c r="N3392" s="0" t="s">
        <x:v>46</x:v>
      </x:c>
    </x:row>
    <x:row r="3393" spans="1:16">
      <x:c r="A3393" s="0" t="s">
        <x:v>13414</x:v>
      </x:c>
      <x:c r="B3393" s="0" t="s">
        <x:v>13415</x:v>
      </x:c>
      <x:c r="C3393" s="0" t="s">
        <x:v>13416</x:v>
      </x:c>
      <x:c r="E3393" s="0" t="s">
        <x:v>13417</x:v>
      </x:c>
      <x:c r="F3393" s="0" t="s">
        <x:v>45</x:v>
      </x:c>
      <x:c r="G3393" s="0" t="s">
        <x:v>19</x:v>
      </x:c>
      <x:c r="H3393" s="0" t="s">
        <x:v>20</x:v>
      </x:c>
      <x:c r="I3393" s="0" t="s">
        <x:v>21</x:v>
      </x:c>
      <x:c r="K3393" s="0">
        <x:f>hyperlink("https://icd.who.int/dev11/l-ichi/en#/http%3A%2F%2Fid.who.int%2Ficd%2Fentity%2F523260381","browser")</x:f>
      </x:c>
      <x:c r="L3393" s="0">
        <x:f>hyperlink("https://icat2.azurewebsites.net/icat/?ontology=ICD&amp;tab=ClassesTab&amp;id=http%3A%2F%2Fwho.int%2Ficd%2315908_512ebf36_bf6b_4d70_85da_cf2637062af4","iCat")</x:f>
      </x:c>
      <x:c r="M3393" s="0" t="s">
        <x:v>21</x:v>
      </x:c>
      <x:c r="N3393" s="0" t="s">
        <x:v>46</x:v>
      </x:c>
    </x:row>
    <x:row r="3394" spans="1:16">
      <x:c r="A3394" s="0" t="s">
        <x:v>13418</x:v>
      </x:c>
      <x:c r="B3394" s="0" t="s">
        <x:v>13419</x:v>
      </x:c>
      <x:c r="C3394" s="0" t="s">
        <x:v>13420</x:v>
      </x:c>
      <x:c r="E3394" s="0" t="s">
        <x:v>13421</x:v>
      </x:c>
      <x:c r="F3394" s="0" t="s">
        <x:v>45</x:v>
      </x:c>
      <x:c r="G3394" s="0" t="s">
        <x:v>19</x:v>
      </x:c>
      <x:c r="H3394" s="0" t="s">
        <x:v>20</x:v>
      </x:c>
      <x:c r="I3394" s="0" t="s">
        <x:v>21</x:v>
      </x:c>
      <x:c r="K3394" s="0">
        <x:f>hyperlink("https://icd.who.int/dev11/l-ichi/en#/http%3A%2F%2Fid.who.int%2Ficd%2Fentity%2F1979040906","browser")</x:f>
      </x:c>
      <x:c r="L3394" s="0">
        <x:f>hyperlink("https://icat2.azurewebsites.net/icat/?ontology=ICD&amp;tab=ClassesTab&amp;id=http%3A%2F%2Fwho.int%2Ficd%2315918_512ebf36_bf6b_4d70_85da_cf2637062af4","iCat")</x:f>
      </x:c>
      <x:c r="M3394" s="0" t="s">
        <x:v>21</x:v>
      </x:c>
      <x:c r="N3394" s="0" t="s">
        <x:v>46</x:v>
      </x:c>
    </x:row>
    <x:row r="3395" spans="1:16">
      <x:c r="A3395" s="0" t="s">
        <x:v>13422</x:v>
      </x:c>
      <x:c r="B3395" s="0" t="s">
        <x:v>13423</x:v>
      </x:c>
      <x:c r="C3395" s="0" t="s">
        <x:v>13424</x:v>
      </x:c>
      <x:c r="E3395" s="0" t="s">
        <x:v>13425</x:v>
      </x:c>
      <x:c r="F3395" s="0" t="s">
        <x:v>45</x:v>
      </x:c>
      <x:c r="G3395" s="0" t="s">
        <x:v>19</x:v>
      </x:c>
      <x:c r="H3395" s="0" t="s">
        <x:v>20</x:v>
      </x:c>
      <x:c r="I3395" s="0" t="s">
        <x:v>21</x:v>
      </x:c>
      <x:c r="K3395" s="0">
        <x:f>hyperlink("https://icd.who.int/dev11/l-ichi/en#/http%3A%2F%2Fid.who.int%2Ficd%2Fentity%2F733883497","browser")</x:f>
      </x:c>
      <x:c r="L3395" s="0">
        <x:f>hyperlink("https://icat2.azurewebsites.net/icat/?ontology=ICD&amp;tab=ClassesTab&amp;id=http%3A%2F%2Fwho.int%2Ficd%2315926_512ebf36_bf6b_4d70_85da_cf2637062af4","iCat")</x:f>
      </x:c>
      <x:c r="M3395" s="0" t="s">
        <x:v>21</x:v>
      </x:c>
      <x:c r="N3395" s="0" t="s">
        <x:v>46</x:v>
      </x:c>
    </x:row>
    <x:row r="3396" spans="1:16">
      <x:c r="A3396" s="0" t="s">
        <x:v>13426</x:v>
      </x:c>
      <x:c r="B3396" s="0" t="s">
        <x:v>13427</x:v>
      </x:c>
      <x:c r="C3396" s="0" t="s">
        <x:v>13428</x:v>
      </x:c>
      <x:c r="E3396" s="0" t="s">
        <x:v>13429</x:v>
      </x:c>
      <x:c r="F3396" s="0" t="s">
        <x:v>45</x:v>
      </x:c>
      <x:c r="G3396" s="0" t="s">
        <x:v>19</x:v>
      </x:c>
      <x:c r="H3396" s="0" t="s">
        <x:v>20</x:v>
      </x:c>
      <x:c r="I3396" s="0" t="s">
        <x:v>21</x:v>
      </x:c>
      <x:c r="K3396" s="0">
        <x:f>hyperlink("https://icd.who.int/dev11/l-ichi/en#/http%3A%2F%2Fid.who.int%2Ficd%2Fentity%2F83809991","browser")</x:f>
      </x:c>
      <x:c r="L3396" s="0">
        <x:f>hyperlink("https://icat2.azurewebsites.net/icat/?ontology=ICD&amp;tab=ClassesTab&amp;id=http%3A%2F%2Fwho.int%2Ficd%2315935_512ebf36_bf6b_4d70_85da_cf2637062af4","iCat")</x:f>
      </x:c>
      <x:c r="M3396" s="0" t="s">
        <x:v>21</x:v>
      </x:c>
      <x:c r="N3396" s="0" t="s">
        <x:v>46</x:v>
      </x:c>
    </x:row>
    <x:row r="3397" spans="1:16">
      <x:c r="A3397" s="0" t="s">
        <x:v>13430</x:v>
      </x:c>
      <x:c r="B3397" s="0" t="s">
        <x:v>13431</x:v>
      </x:c>
      <x:c r="C3397" s="0" t="s">
        <x:v>13432</x:v>
      </x:c>
      <x:c r="E3397" s="0" t="s">
        <x:v>13433</x:v>
      </x:c>
      <x:c r="F3397" s="0" t="s">
        <x:v>45</x:v>
      </x:c>
      <x:c r="G3397" s="0" t="s">
        <x:v>19</x:v>
      </x:c>
      <x:c r="H3397" s="0" t="s">
        <x:v>20</x:v>
      </x:c>
      <x:c r="I3397" s="0" t="s">
        <x:v>21</x:v>
      </x:c>
      <x:c r="K3397" s="0">
        <x:f>hyperlink("https://icd.who.int/dev11/l-ichi/en#/http%3A%2F%2Fid.who.int%2Ficd%2Fentity%2F1683168366","browser")</x:f>
      </x:c>
      <x:c r="L3397" s="0">
        <x:f>hyperlink("https://icat2.azurewebsites.net/icat/?ontology=ICD&amp;tab=ClassesTab&amp;id=http%3A%2F%2Fwho.int%2Ficd%2315943_512ebf36_bf6b_4d70_85da_cf2637062af4","iCat")</x:f>
      </x:c>
      <x:c r="M3397" s="0" t="s">
        <x:v>21</x:v>
      </x:c>
      <x:c r="N3397" s="0" t="s">
        <x:v>46</x:v>
      </x:c>
    </x:row>
    <x:row r="3398" spans="1:16">
      <x:c r="A3398" s="0" t="s">
        <x:v>13434</x:v>
      </x:c>
      <x:c r="B3398" s="0" t="s">
        <x:v>13435</x:v>
      </x:c>
      <x:c r="C3398" s="0" t="s">
        <x:v>13436</x:v>
      </x:c>
      <x:c r="E3398" s="0" t="s">
        <x:v>13437</x:v>
      </x:c>
      <x:c r="F3398" s="0" t="s">
        <x:v>45</x:v>
      </x:c>
      <x:c r="G3398" s="0" t="s">
        <x:v>19</x:v>
      </x:c>
      <x:c r="H3398" s="0" t="s">
        <x:v>20</x:v>
      </x:c>
      <x:c r="I3398" s="0" t="s">
        <x:v>21</x:v>
      </x:c>
      <x:c r="K3398" s="0">
        <x:f>hyperlink("https://icd.who.int/dev11/l-ichi/en#/http%3A%2F%2Fid.who.int%2Ficd%2Fentity%2F1336832254","browser")</x:f>
      </x:c>
      <x:c r="L3398" s="0">
        <x:f>hyperlink("https://icat2.azurewebsites.net/icat/?ontology=ICD&amp;tab=ClassesTab&amp;id=http%3A%2F%2Fwho.int%2Ficd%2315949_512ebf36_bf6b_4d70_85da_cf2637062af4","iCat")</x:f>
      </x:c>
      <x:c r="M3398" s="0" t="s">
        <x:v>21</x:v>
      </x:c>
      <x:c r="N3398" s="0" t="s">
        <x:v>46</x:v>
      </x:c>
    </x:row>
    <x:row r="3399" spans="1:16">
      <x:c r="A3399" s="0" t="s">
        <x:v>13438</x:v>
      </x:c>
      <x:c r="B3399" s="0" t="s">
        <x:v>13439</x:v>
      </x:c>
      <x:c r="C3399" s="0" t="s">
        <x:v>13440</x:v>
      </x:c>
      <x:c r="E3399" s="0" t="s">
        <x:v>13441</x:v>
      </x:c>
      <x:c r="F3399" s="0" t="s">
        <x:v>45</x:v>
      </x:c>
      <x:c r="G3399" s="0" t="s">
        <x:v>19</x:v>
      </x:c>
      <x:c r="H3399" s="0" t="s">
        <x:v>20</x:v>
      </x:c>
      <x:c r="I3399" s="0" t="s">
        <x:v>21</x:v>
      </x:c>
      <x:c r="K3399" s="0">
        <x:f>hyperlink("https://icd.who.int/dev11/l-ichi/en#/http%3A%2F%2Fid.who.int%2Ficd%2Fentity%2F1051026097","browser")</x:f>
      </x:c>
      <x:c r="L3399" s="0">
        <x:f>hyperlink("https://icat2.azurewebsites.net/icat/?ontology=ICD&amp;tab=ClassesTab&amp;id=http%3A%2F%2Fwho.int%2Ficd%2315964_512ebf36_bf6b_4d70_85da_cf2637062af4","iCat")</x:f>
      </x:c>
      <x:c r="M3399" s="0" t="s">
        <x:v>21</x:v>
      </x:c>
      <x:c r="N3399" s="0" t="s">
        <x:v>46</x:v>
      </x:c>
    </x:row>
    <x:row r="3400" spans="1:16">
      <x:c r="A3400" s="0" t="s">
        <x:v>13442</x:v>
      </x:c>
      <x:c r="B3400" s="0" t="s">
        <x:v>13443</x:v>
      </x:c>
      <x:c r="C3400" s="0" t="s">
        <x:v>13444</x:v>
      </x:c>
      <x:c r="E3400" s="0" t="s">
        <x:v>13445</x:v>
      </x:c>
      <x:c r="F3400" s="0" t="s">
        <x:v>45</x:v>
      </x:c>
      <x:c r="G3400" s="0" t="s">
        <x:v>19</x:v>
      </x:c>
      <x:c r="H3400" s="0" t="s">
        <x:v>20</x:v>
      </x:c>
      <x:c r="I3400" s="0" t="s">
        <x:v>21</x:v>
      </x:c>
      <x:c r="K3400" s="0">
        <x:f>hyperlink("https://icd.who.int/dev11/l-ichi/en#/http%3A%2F%2Fid.who.int%2Ficd%2Fentity%2F1634153364","browser")</x:f>
      </x:c>
      <x:c r="L3400" s="0">
        <x:f>hyperlink("https://icat2.azurewebsites.net/icat/?ontology=ICD&amp;tab=ClassesTab&amp;id=http%3A%2F%2Fwho.int%2Ficd%2315970_512ebf36_bf6b_4d70_85da_cf2637062af4","iCat")</x:f>
      </x:c>
      <x:c r="M3400" s="0" t="s">
        <x:v>21</x:v>
      </x:c>
      <x:c r="N3400" s="0" t="s">
        <x:v>46</x:v>
      </x:c>
    </x:row>
    <x:row r="3401" spans="1:16">
      <x:c r="A3401" s="0" t="s">
        <x:v>13446</x:v>
      </x:c>
      <x:c r="B3401" s="0" t="s">
        <x:v>13447</x:v>
      </x:c>
      <x:c r="C3401" s="0" t="s">
        <x:v>13448</x:v>
      </x:c>
      <x:c r="E3401" s="0" t="s">
        <x:v>13449</x:v>
      </x:c>
      <x:c r="F3401" s="0" t="s">
        <x:v>45</x:v>
      </x:c>
      <x:c r="G3401" s="0" t="s">
        <x:v>19</x:v>
      </x:c>
      <x:c r="H3401" s="0" t="s">
        <x:v>20</x:v>
      </x:c>
      <x:c r="I3401" s="0" t="s">
        <x:v>21</x:v>
      </x:c>
      <x:c r="K3401" s="0">
        <x:f>hyperlink("https://icd.who.int/dev11/l-ichi/en#/http%3A%2F%2Fid.who.int%2Ficd%2Fentity%2F823978531","browser")</x:f>
      </x:c>
      <x:c r="L3401" s="0">
        <x:f>hyperlink("https://icat2.azurewebsites.net/icat/?ontology=ICD&amp;tab=ClassesTab&amp;id=http%3A%2F%2Fwho.int%2Ficd%2315976_512ebf36_bf6b_4d70_85da_cf2637062af4","iCat")</x:f>
      </x:c>
      <x:c r="M3401" s="0" t="s">
        <x:v>21</x:v>
      </x:c>
      <x:c r="N3401" s="0" t="s">
        <x:v>46</x:v>
      </x:c>
    </x:row>
    <x:row r="3402" spans="1:16">
      <x:c r="A3402" s="0" t="s">
        <x:v>13450</x:v>
      </x:c>
      <x:c r="B3402" s="0" t="s">
        <x:v>13451</x:v>
      </x:c>
      <x:c r="C3402" s="0" t="s">
        <x:v>13452</x:v>
      </x:c>
      <x:c r="E3402" s="0" t="s">
        <x:v>13453</x:v>
      </x:c>
      <x:c r="F3402" s="0" t="s">
        <x:v>45</x:v>
      </x:c>
      <x:c r="G3402" s="0" t="s">
        <x:v>19</x:v>
      </x:c>
      <x:c r="H3402" s="0" t="s">
        <x:v>20</x:v>
      </x:c>
      <x:c r="I3402" s="0" t="s">
        <x:v>21</x:v>
      </x:c>
      <x:c r="K3402" s="0">
        <x:f>hyperlink("https://icd.who.int/dev11/l-ichi/en#/http%3A%2F%2Fid.who.int%2Ficd%2Fentity%2F184882869","browser")</x:f>
      </x:c>
      <x:c r="L3402" s="0">
        <x:f>hyperlink("https://icat2.azurewebsites.net/icat/?ontology=ICD&amp;tab=ClassesTab&amp;id=http%3A%2F%2Fwho.int%2Ficd%2315983_512ebf36_bf6b_4d70_85da_cf2637062af4","iCat")</x:f>
      </x:c>
      <x:c r="M3402" s="0" t="s">
        <x:v>21</x:v>
      </x:c>
      <x:c r="N3402" s="0" t="s">
        <x:v>46</x:v>
      </x:c>
    </x:row>
    <x:row r="3403" spans="1:16">
      <x:c r="A3403" s="0" t="s">
        <x:v>13454</x:v>
      </x:c>
      <x:c r="B3403" s="0" t="s">
        <x:v>13455</x:v>
      </x:c>
      <x:c r="C3403" s="0" t="s">
        <x:v>13456</x:v>
      </x:c>
      <x:c r="E3403" s="0" t="s">
        <x:v>13457</x:v>
      </x:c>
      <x:c r="F3403" s="0" t="s">
        <x:v>45</x:v>
      </x:c>
      <x:c r="G3403" s="0" t="s">
        <x:v>19</x:v>
      </x:c>
      <x:c r="H3403" s="0" t="s">
        <x:v>20</x:v>
      </x:c>
      <x:c r="I3403" s="0" t="s">
        <x:v>21</x:v>
      </x:c>
      <x:c r="K3403" s="0">
        <x:f>hyperlink("https://icd.who.int/dev11/l-ichi/en#/http%3A%2F%2Fid.who.int%2Ficd%2Fentity%2F608562203","browser")</x:f>
      </x:c>
      <x:c r="L3403" s="0">
        <x:f>hyperlink("https://icat2.azurewebsites.net/icat/?ontology=ICD&amp;tab=ClassesTab&amp;id=http%3A%2F%2Fwho.int%2Ficd%2315990_512ebf36_bf6b_4d70_85da_cf2637062af4","iCat")</x:f>
      </x:c>
      <x:c r="M3403" s="0" t="s">
        <x:v>21</x:v>
      </x:c>
      <x:c r="N3403" s="0" t="s">
        <x:v>46</x:v>
      </x:c>
    </x:row>
    <x:row r="3404" spans="1:16">
      <x:c r="A3404" s="0" t="s">
        <x:v>13458</x:v>
      </x:c>
      <x:c r="B3404" s="0" t="s">
        <x:v>13459</x:v>
      </x:c>
      <x:c r="C3404" s="0" t="s">
        <x:v>13460</x:v>
      </x:c>
      <x:c r="E3404" s="0" t="s">
        <x:v>13461</x:v>
      </x:c>
      <x:c r="F3404" s="0" t="s">
        <x:v>45</x:v>
      </x:c>
      <x:c r="G3404" s="0" t="s">
        <x:v>19</x:v>
      </x:c>
      <x:c r="H3404" s="0" t="s">
        <x:v>20</x:v>
      </x:c>
      <x:c r="I3404" s="0" t="s">
        <x:v>21</x:v>
      </x:c>
      <x:c r="K3404" s="0">
        <x:f>hyperlink("https://icd.who.int/dev11/l-ichi/en#/http%3A%2F%2Fid.who.int%2Ficd%2Fentity%2F1791270224","browser")</x:f>
      </x:c>
      <x:c r="L3404" s="0">
        <x:f>hyperlink("https://icat2.azurewebsites.net/icat/?ontology=ICD&amp;tab=ClassesTab&amp;id=http%3A%2F%2Fwho.int%2Ficd%2315998_512ebf36_bf6b_4d70_85da_cf2637062af4","iCat")</x:f>
      </x:c>
      <x:c r="M3404" s="0" t="s">
        <x:v>21</x:v>
      </x:c>
      <x:c r="N3404" s="0" t="s">
        <x:v>46</x:v>
      </x:c>
    </x:row>
    <x:row r="3405" spans="1:16">
      <x:c r="A3405" s="0" t="s">
        <x:v>13462</x:v>
      </x:c>
      <x:c r="B3405" s="0" t="s">
        <x:v>13463</x:v>
      </x:c>
      <x:c r="C3405" s="0" t="s">
        <x:v>13464</x:v>
      </x:c>
      <x:c r="E3405" s="0" t="s">
        <x:v>13465</x:v>
      </x:c>
      <x:c r="F3405" s="0" t="s">
        <x:v>45</x:v>
      </x:c>
      <x:c r="G3405" s="0" t="s">
        <x:v>19</x:v>
      </x:c>
      <x:c r="H3405" s="0" t="s">
        <x:v>20</x:v>
      </x:c>
      <x:c r="I3405" s="0" t="s">
        <x:v>21</x:v>
      </x:c>
      <x:c r="K3405" s="0">
        <x:f>hyperlink("https://icd.who.int/dev11/l-ichi/en#/http%3A%2F%2Fid.who.int%2Ficd%2Fentity%2F1903311486","browser")</x:f>
      </x:c>
      <x:c r="L3405" s="0">
        <x:f>hyperlink("https://icat2.azurewebsites.net/icat/?ontology=ICD&amp;tab=ClassesTab&amp;id=http%3A%2F%2Fwho.int%2Ficd%2316022_512ebf36_bf6b_4d70_85da_cf2637062af4","iCat")</x:f>
      </x:c>
      <x:c r="M3405" s="0" t="s">
        <x:v>21</x:v>
      </x:c>
      <x:c r="N3405" s="0" t="s">
        <x:v>46</x:v>
      </x:c>
    </x:row>
    <x:row r="3406" spans="1:16">
      <x:c r="A3406" s="0" t="s">
        <x:v>13466</x:v>
      </x:c>
      <x:c r="B3406" s="0" t="s">
        <x:v>13467</x:v>
      </x:c>
      <x:c r="C3406" s="0" t="s">
        <x:v>13468</x:v>
      </x:c>
      <x:c r="E3406" s="0" t="s">
        <x:v>13469</x:v>
      </x:c>
      <x:c r="F3406" s="0" t="s">
        <x:v>45</x:v>
      </x:c>
      <x:c r="G3406" s="0" t="s">
        <x:v>19</x:v>
      </x:c>
      <x:c r="H3406" s="0" t="s">
        <x:v>20</x:v>
      </x:c>
      <x:c r="I3406" s="0" t="s">
        <x:v>21</x:v>
      </x:c>
      <x:c r="K3406" s="0">
        <x:f>hyperlink("https://icd.who.int/dev11/l-ichi/en#/http%3A%2F%2Fid.who.int%2Ficd%2Fentity%2F995024151","browser")</x:f>
      </x:c>
      <x:c r="L3406" s="0">
        <x:f>hyperlink("https://icat2.azurewebsites.net/icat/?ontology=ICD&amp;tab=ClassesTab&amp;id=http%3A%2F%2Fwho.int%2Ficd%2316033_512ebf36_bf6b_4d70_85da_cf2637062af4","iCat")</x:f>
      </x:c>
      <x:c r="M3406" s="0" t="s">
        <x:v>21</x:v>
      </x:c>
      <x:c r="N3406" s="0" t="s">
        <x:v>46</x:v>
      </x:c>
    </x:row>
    <x:row r="3407" spans="1:16">
      <x:c r="A3407" s="0" t="s">
        <x:v>13470</x:v>
      </x:c>
      <x:c r="B3407" s="0" t="s">
        <x:v>13471</x:v>
      </x:c>
      <x:c r="C3407" s="0" t="s">
        <x:v>13472</x:v>
      </x:c>
      <x:c r="E3407" s="0" t="s">
        <x:v>13473</x:v>
      </x:c>
      <x:c r="F3407" s="0" t="s">
        <x:v>45</x:v>
      </x:c>
      <x:c r="G3407" s="0" t="s">
        <x:v>19</x:v>
      </x:c>
      <x:c r="H3407" s="0" t="s">
        <x:v>20</x:v>
      </x:c>
      <x:c r="I3407" s="0" t="s">
        <x:v>21</x:v>
      </x:c>
      <x:c r="K3407" s="0">
        <x:f>hyperlink("https://icd.who.int/dev11/l-ichi/en#/http%3A%2F%2Fid.who.int%2Ficd%2Fentity%2F194563597","browser")</x:f>
      </x:c>
      <x:c r="L3407" s="0">
        <x:f>hyperlink("https://icat2.azurewebsites.net/icat/?ontology=ICD&amp;tab=ClassesTab&amp;id=http%3A%2F%2Fwho.int%2Ficd%2316043_512ebf36_bf6b_4d70_85da_cf2637062af4","iCat")</x:f>
      </x:c>
      <x:c r="M3407" s="0" t="s">
        <x:v>21</x:v>
      </x:c>
      <x:c r="N3407" s="0" t="s">
        <x:v>46</x:v>
      </x:c>
    </x:row>
    <x:row r="3408" spans="1:16">
      <x:c r="A3408" s="0" t="s">
        <x:v>13474</x:v>
      </x:c>
      <x:c r="B3408" s="0" t="s">
        <x:v>13475</x:v>
      </x:c>
      <x:c r="C3408" s="0" t="s">
        <x:v>13476</x:v>
      </x:c>
      <x:c r="E3408" s="0" t="s">
        <x:v>13477</x:v>
      </x:c>
      <x:c r="F3408" s="0" t="s">
        <x:v>45</x:v>
      </x:c>
      <x:c r="G3408" s="0" t="s">
        <x:v>19</x:v>
      </x:c>
      <x:c r="H3408" s="0" t="s">
        <x:v>20</x:v>
      </x:c>
      <x:c r="I3408" s="0" t="s">
        <x:v>21</x:v>
      </x:c>
      <x:c r="K3408" s="0">
        <x:f>hyperlink("https://icd.who.int/dev11/l-ichi/en#/http%3A%2F%2Fid.who.int%2Ficd%2Fentity%2F618149027","browser")</x:f>
      </x:c>
      <x:c r="L3408" s="0">
        <x:f>hyperlink("https://icat2.azurewebsites.net/icat/?ontology=ICD&amp;tab=ClassesTab&amp;id=http%3A%2F%2Fwho.int%2Ficd%2316050_512ebf36_bf6b_4d70_85da_cf2637062af4","iCat")</x:f>
      </x:c>
      <x:c r="M3408" s="0" t="s">
        <x:v>21</x:v>
      </x:c>
      <x:c r="N3408" s="0" t="s">
        <x:v>46</x:v>
      </x:c>
    </x:row>
    <x:row r="3409" spans="1:16">
      <x:c r="A3409" s="0" t="s">
        <x:v>13478</x:v>
      </x:c>
      <x:c r="B3409" s="0" t="s">
        <x:v>13479</x:v>
      </x:c>
      <x:c r="C3409" s="0" t="s">
        <x:v>13480</x:v>
      </x:c>
      <x:c r="E3409" s="0" t="s">
        <x:v>13481</x:v>
      </x:c>
      <x:c r="F3409" s="0" t="s">
        <x:v>45</x:v>
      </x:c>
      <x:c r="G3409" s="0" t="s">
        <x:v>19</x:v>
      </x:c>
      <x:c r="H3409" s="0" t="s">
        <x:v>20</x:v>
      </x:c>
      <x:c r="I3409" s="0" t="s">
        <x:v>21</x:v>
      </x:c>
      <x:c r="K3409" s="0">
        <x:f>hyperlink("https://icd.who.int/dev11/l-ichi/en#/http%3A%2F%2Fid.who.int%2Ficd%2Fentity%2F1956900116","browser")</x:f>
      </x:c>
      <x:c r="L3409" s="0">
        <x:f>hyperlink("https://icat2.azurewebsites.net/icat/?ontology=ICD&amp;tab=ClassesTab&amp;id=http%3A%2F%2Fwho.int%2Ficd%2316056_512ebf36_bf6b_4d70_85da_cf2637062af4","iCat")</x:f>
      </x:c>
      <x:c r="M3409" s="0" t="s">
        <x:v>21</x:v>
      </x:c>
      <x:c r="N3409" s="0" t="s">
        <x:v>46</x:v>
      </x:c>
    </x:row>
    <x:row r="3410" spans="1:16">
      <x:c r="A3410" s="0" t="s">
        <x:v>13482</x:v>
      </x:c>
      <x:c r="B3410" s="0" t="s">
        <x:v>13483</x:v>
      </x:c>
      <x:c r="C3410" s="0" t="s">
        <x:v>13484</x:v>
      </x:c>
      <x:c r="E3410" s="0" t="s">
        <x:v>13485</x:v>
      </x:c>
      <x:c r="F3410" s="0" t="s">
        <x:v>45</x:v>
      </x:c>
      <x:c r="G3410" s="0" t="s">
        <x:v>19</x:v>
      </x:c>
      <x:c r="H3410" s="0" t="s">
        <x:v>20</x:v>
      </x:c>
      <x:c r="I3410" s="0" t="s">
        <x:v>21</x:v>
      </x:c>
      <x:c r="K3410" s="0">
        <x:f>hyperlink("https://icd.who.int/dev11/l-ichi/en#/http%3A%2F%2Fid.who.int%2Ficd%2Fentity%2F569121629","browser")</x:f>
      </x:c>
      <x:c r="L3410" s="0">
        <x:f>hyperlink("https://icat2.azurewebsites.net/icat/?ontology=ICD&amp;tab=ClassesTab&amp;id=http%3A%2F%2Fwho.int%2Ficd%2316063_512ebf36_bf6b_4d70_85da_cf2637062af4","iCat")</x:f>
      </x:c>
      <x:c r="M3410" s="0" t="s">
        <x:v>21</x:v>
      </x:c>
      <x:c r="N3410" s="0" t="s">
        <x:v>46</x:v>
      </x:c>
    </x:row>
    <x:row r="3411" spans="1:16">
      <x:c r="A3411" s="0" t="s">
        <x:v>13486</x:v>
      </x:c>
      <x:c r="B3411" s="0" t="s">
        <x:v>13487</x:v>
      </x:c>
      <x:c r="C3411" s="0" t="s">
        <x:v>13488</x:v>
      </x:c>
      <x:c r="E3411" s="0" t="s">
        <x:v>13489</x:v>
      </x:c>
      <x:c r="F3411" s="0" t="s">
        <x:v>45</x:v>
      </x:c>
      <x:c r="G3411" s="0" t="s">
        <x:v>19</x:v>
      </x:c>
      <x:c r="H3411" s="0" t="s">
        <x:v>20</x:v>
      </x:c>
      <x:c r="I3411" s="0" t="s">
        <x:v>21</x:v>
      </x:c>
      <x:c r="K3411" s="0">
        <x:f>hyperlink("https://icd.who.int/dev11/l-ichi/en#/http%3A%2F%2Fid.who.int%2Ficd%2Fentity%2F777360335","browser")</x:f>
      </x:c>
      <x:c r="L3411" s="0">
        <x:f>hyperlink("https://icat2.azurewebsites.net/icat/?ontology=ICD&amp;tab=ClassesTab&amp;id=http%3A%2F%2Fwho.int%2Ficd%2316071_512ebf36_bf6b_4d70_85da_cf2637062af4","iCat")</x:f>
      </x:c>
      <x:c r="M3411" s="0" t="s">
        <x:v>21</x:v>
      </x:c>
      <x:c r="N3411" s="0" t="s">
        <x:v>46</x:v>
      </x:c>
    </x:row>
    <x:row r="3412" spans="1:16">
      <x:c r="A3412" s="0" t="s">
        <x:v>13490</x:v>
      </x:c>
      <x:c r="B3412" s="0" t="s">
        <x:v>13491</x:v>
      </x:c>
      <x:c r="C3412" s="0" t="s">
        <x:v>13492</x:v>
      </x:c>
      <x:c r="E3412" s="0" t="s">
        <x:v>13493</x:v>
      </x:c>
      <x:c r="F3412" s="0" t="s">
        <x:v>45</x:v>
      </x:c>
      <x:c r="G3412" s="0" t="s">
        <x:v>19</x:v>
      </x:c>
      <x:c r="H3412" s="0" t="s">
        <x:v>20</x:v>
      </x:c>
      <x:c r="I3412" s="0" t="s">
        <x:v>21</x:v>
      </x:c>
      <x:c r="K3412" s="0">
        <x:f>hyperlink("https://icd.who.int/dev11/l-ichi/en#/http%3A%2F%2Fid.who.int%2Ficd%2Fentity%2F1624564378","browser")</x:f>
      </x:c>
      <x:c r="L3412" s="0">
        <x:f>hyperlink("https://icat2.azurewebsites.net/icat/?ontology=ICD&amp;tab=ClassesTab&amp;id=http%3A%2F%2Fwho.int%2Ficd%2316079_512ebf36_bf6b_4d70_85da_cf2637062af4","iCat")</x:f>
      </x:c>
      <x:c r="M3412" s="0" t="s">
        <x:v>21</x:v>
      </x:c>
      <x:c r="N3412" s="0" t="s">
        <x:v>46</x:v>
      </x:c>
    </x:row>
    <x:row r="3413" spans="1:16">
      <x:c r="A3413" s="0" t="s">
        <x:v>13494</x:v>
      </x:c>
      <x:c r="B3413" s="0" t="s">
        <x:v>13495</x:v>
      </x:c>
      <x:c r="C3413" s="0" t="s">
        <x:v>13496</x:v>
      </x:c>
      <x:c r="E3413" s="0" t="s">
        <x:v>13497</x:v>
      </x:c>
      <x:c r="F3413" s="0" t="s">
        <x:v>45</x:v>
      </x:c>
      <x:c r="G3413" s="0" t="s">
        <x:v>19</x:v>
      </x:c>
      <x:c r="H3413" s="0" t="s">
        <x:v>20</x:v>
      </x:c>
      <x:c r="I3413" s="0" t="s">
        <x:v>21</x:v>
      </x:c>
      <x:c r="K3413" s="0">
        <x:f>hyperlink("https://icd.who.int/dev11/l-ichi/en#/http%3A%2F%2Fid.who.int%2Ficd%2Fentity%2F884284773","browser")</x:f>
      </x:c>
      <x:c r="L3413" s="0">
        <x:f>hyperlink("https://icat2.azurewebsites.net/icat/?ontology=ICD&amp;tab=ClassesTab&amp;id=http%3A%2F%2Fwho.int%2Ficd%2316085_512ebf36_bf6b_4d70_85da_cf2637062af4","iCat")</x:f>
      </x:c>
      <x:c r="M3413" s="0" t="s">
        <x:v>21</x:v>
      </x:c>
      <x:c r="N3413" s="0" t="s">
        <x:v>46</x:v>
      </x:c>
    </x:row>
    <x:row r="3414" spans="1:16">
      <x:c r="A3414" s="0" t="s">
        <x:v>13498</x:v>
      </x:c>
      <x:c r="B3414" s="0" t="s">
        <x:v>13499</x:v>
      </x:c>
      <x:c r="C3414" s="0" t="s">
        <x:v>13500</x:v>
      </x:c>
      <x:c r="E3414" s="0" t="s">
        <x:v>13501</x:v>
      </x:c>
      <x:c r="F3414" s="0" t="s">
        <x:v>45</x:v>
      </x:c>
      <x:c r="G3414" s="0" t="s">
        <x:v>19</x:v>
      </x:c>
      <x:c r="H3414" s="0" t="s">
        <x:v>20</x:v>
      </x:c>
      <x:c r="I3414" s="0" t="s">
        <x:v>21</x:v>
      </x:c>
      <x:c r="K3414" s="0">
        <x:f>hyperlink("https://icd.who.int/dev11/l-ichi/en#/http%3A%2F%2Fid.who.int%2Ficd%2Fentity%2F1802980422","browser")</x:f>
      </x:c>
      <x:c r="L3414" s="0">
        <x:f>hyperlink("https://icat2.azurewebsites.net/icat/?ontology=ICD&amp;tab=ClassesTab&amp;id=http%3A%2F%2Fwho.int%2Ficd%2316091_512ebf36_bf6b_4d70_85da_cf2637062af4","iCat")</x:f>
      </x:c>
      <x:c r="M3414" s="0" t="s">
        <x:v>21</x:v>
      </x:c>
      <x:c r="N3414" s="0" t="s">
        <x:v>46</x:v>
      </x:c>
    </x:row>
    <x:row r="3415" spans="1:16">
      <x:c r="A3415" s="0" t="s">
        <x:v>13502</x:v>
      </x:c>
      <x:c r="B3415" s="0" t="s">
        <x:v>13503</x:v>
      </x:c>
      <x:c r="C3415" s="0" t="s">
        <x:v>13504</x:v>
      </x:c>
      <x:c r="E3415" s="0" t="s">
        <x:v>13505</x:v>
      </x:c>
      <x:c r="F3415" s="0" t="s">
        <x:v>45</x:v>
      </x:c>
      <x:c r="G3415" s="0" t="s">
        <x:v>19</x:v>
      </x:c>
      <x:c r="H3415" s="0" t="s">
        <x:v>20</x:v>
      </x:c>
      <x:c r="I3415" s="0" t="s">
        <x:v>21</x:v>
      </x:c>
      <x:c r="K3415" s="0">
        <x:f>hyperlink("https://icd.who.int/dev11/l-ichi/en#/http%3A%2F%2Fid.who.int%2Ficd%2Fentity%2F84889391","browser")</x:f>
      </x:c>
      <x:c r="L3415" s="0">
        <x:f>hyperlink("https://icat2.azurewebsites.net/icat/?ontology=ICD&amp;tab=ClassesTab&amp;id=http%3A%2F%2Fwho.int%2Ficd%2316098_512ebf36_bf6b_4d70_85da_cf2637062af4","iCat")</x:f>
      </x:c>
      <x:c r="M3415" s="0" t="s">
        <x:v>21</x:v>
      </x:c>
      <x:c r="N3415" s="0" t="s">
        <x:v>46</x:v>
      </x:c>
    </x:row>
    <x:row r="3416" spans="1:16">
      <x:c r="A3416" s="0" t="s">
        <x:v>13506</x:v>
      </x:c>
      <x:c r="B3416" s="0" t="s">
        <x:v>13507</x:v>
      </x:c>
      <x:c r="C3416" s="0" t="s">
        <x:v>13508</x:v>
      </x:c>
      <x:c r="E3416" s="0" t="s">
        <x:v>13509</x:v>
      </x:c>
      <x:c r="F3416" s="0" t="s">
        <x:v>45</x:v>
      </x:c>
      <x:c r="G3416" s="0" t="s">
        <x:v>19</x:v>
      </x:c>
      <x:c r="H3416" s="0" t="s">
        <x:v>20</x:v>
      </x:c>
      <x:c r="I3416" s="0" t="s">
        <x:v>21</x:v>
      </x:c>
      <x:c r="K3416" s="0">
        <x:f>hyperlink("https://icd.who.int/dev11/l-ichi/en#/http%3A%2F%2Fid.who.int%2Ficd%2Fentity%2F1578861116","browser")</x:f>
      </x:c>
      <x:c r="L3416" s="0">
        <x:f>hyperlink("https://icat2.azurewebsites.net/icat/?ontology=ICD&amp;tab=ClassesTab&amp;id=http%3A%2F%2Fwho.int%2Ficd%2316105_512ebf36_bf6b_4d70_85da_cf2637062af4","iCat")</x:f>
      </x:c>
      <x:c r="M3416" s="0" t="s">
        <x:v>21</x:v>
      </x:c>
      <x:c r="N3416" s="0" t="s">
        <x:v>46</x:v>
      </x:c>
    </x:row>
    <x:row r="3417" spans="1:16">
      <x:c r="A3417" s="0" t="s">
        <x:v>13510</x:v>
      </x:c>
      <x:c r="B3417" s="0" t="s">
        <x:v>13511</x:v>
      </x:c>
      <x:c r="C3417" s="0" t="s">
        <x:v>13512</x:v>
      </x:c>
      <x:c r="E3417" s="0" t="s">
        <x:v>13513</x:v>
      </x:c>
      <x:c r="F3417" s="0" t="s">
        <x:v>45</x:v>
      </x:c>
      <x:c r="G3417" s="0" t="s">
        <x:v>19</x:v>
      </x:c>
      <x:c r="H3417" s="0" t="s">
        <x:v>20</x:v>
      </x:c>
      <x:c r="I3417" s="0" t="s">
        <x:v>21</x:v>
      </x:c>
      <x:c r="K3417" s="0">
        <x:f>hyperlink("https://icd.who.int/dev11/l-ichi/en#/http%3A%2F%2Fid.who.int%2Ficd%2Fentity%2F1146928358","browser")</x:f>
      </x:c>
      <x:c r="L3417" s="0">
        <x:f>hyperlink("https://icat2.azurewebsites.net/icat/?ontology=ICD&amp;tab=ClassesTab&amp;id=http%3A%2F%2Fwho.int%2Ficd%2316112_512ebf36_bf6b_4d70_85da_cf2637062af4","iCat")</x:f>
      </x:c>
      <x:c r="M3417" s="0" t="s">
        <x:v>21</x:v>
      </x:c>
      <x:c r="N3417" s="0" t="s">
        <x:v>46</x:v>
      </x:c>
    </x:row>
    <x:row r="3418" spans="1:16">
      <x:c r="A3418" s="0" t="s">
        <x:v>13514</x:v>
      </x:c>
      <x:c r="B3418" s="0" t="s">
        <x:v>13515</x:v>
      </x:c>
      <x:c r="C3418" s="0" t="s">
        <x:v>13516</x:v>
      </x:c>
      <x:c r="E3418" s="0" t="s">
        <x:v>13517</x:v>
      </x:c>
      <x:c r="F3418" s="0" t="s">
        <x:v>45</x:v>
      </x:c>
      <x:c r="G3418" s="0" t="s">
        <x:v>19</x:v>
      </x:c>
      <x:c r="H3418" s="0" t="s">
        <x:v>20</x:v>
      </x:c>
      <x:c r="I3418" s="0" t="s">
        <x:v>21</x:v>
      </x:c>
      <x:c r="K3418" s="0">
        <x:f>hyperlink("https://icd.who.int/dev11/l-ichi/en#/http%3A%2F%2Fid.who.int%2Ficd%2Fentity%2F1462898723","browser")</x:f>
      </x:c>
      <x:c r="L3418" s="0">
        <x:f>hyperlink("https://icat2.azurewebsites.net/icat/?ontology=ICD&amp;tab=ClassesTab&amp;id=http%3A%2F%2Fwho.int%2Ficd%23170_97087496_4a82_4efa_a45a_b3256f81bd7e","iCat")</x:f>
      </x:c>
      <x:c r="M3418" s="0" t="s">
        <x:v>21</x:v>
      </x:c>
      <x:c r="N3418" s="0" t="s">
        <x:v>46</x:v>
      </x:c>
    </x:row>
    <x:row r="3419" spans="1:16">
      <x:c r="A3419" s="0" t="s">
        <x:v>13518</x:v>
      </x:c>
      <x:c r="B3419" s="0" t="s">
        <x:v>13519</x:v>
      </x:c>
      <x:c r="C3419" s="0" t="s">
        <x:v>13520</x:v>
      </x:c>
      <x:c r="E3419" s="0" t="s">
        <x:v>13521</x:v>
      </x:c>
      <x:c r="F3419" s="0" t="s">
        <x:v>45</x:v>
      </x:c>
      <x:c r="G3419" s="0" t="s">
        <x:v>19</x:v>
      </x:c>
      <x:c r="H3419" s="0" t="s">
        <x:v>20</x:v>
      </x:c>
      <x:c r="I3419" s="0" t="s">
        <x:v>21</x:v>
      </x:c>
      <x:c r="K3419" s="0">
        <x:f>hyperlink("https://icd.who.int/dev11/l-ichi/en#/http%3A%2F%2Fid.who.int%2Ficd%2Fentity%2F1814914182","browser")</x:f>
      </x:c>
      <x:c r="L3419" s="0">
        <x:f>hyperlink("https://icat2.azurewebsites.net/icat/?ontology=ICD&amp;tab=ClassesTab&amp;id=http%3A%2F%2Fwho.int%2Ficd%2315599_4869915e_217e_423d_acb3_33c0f920ef4b","iCat")</x:f>
      </x:c>
      <x:c r="M3419" s="0" t="s">
        <x:v>21</x:v>
      </x:c>
      <x:c r="N3419" s="0" t="s">
        <x:v>46</x:v>
      </x:c>
    </x:row>
    <x:row r="3420" spans="1:16">
      <x:c r="A3420" s="0" t="s">
        <x:v>13522</x:v>
      </x:c>
      <x:c r="B3420" s="0" t="s">
        <x:v>13523</x:v>
      </x:c>
      <x:c r="C3420" s="0" t="s">
        <x:v>13524</x:v>
      </x:c>
      <x:c r="E3420" s="0" t="s">
        <x:v>13525</x:v>
      </x:c>
      <x:c r="F3420" s="0" t="s">
        <x:v>45</x:v>
      </x:c>
      <x:c r="G3420" s="0" t="s">
        <x:v>19</x:v>
      </x:c>
      <x:c r="H3420" s="0" t="s">
        <x:v>20</x:v>
      </x:c>
      <x:c r="I3420" s="0" t="s">
        <x:v>21</x:v>
      </x:c>
      <x:c r="K3420" s="0">
        <x:f>hyperlink("https://icd.who.int/dev11/l-ichi/en#/http%3A%2F%2Fid.who.int%2Ficd%2Fentity%2F1636950310","browser")</x:f>
      </x:c>
      <x:c r="L3420" s="0">
        <x:f>hyperlink("https://icat2.azurewebsites.net/icat/?ontology=ICD&amp;tab=ClassesTab&amp;id=http%3A%2F%2Fwho.int%2Ficd%2316120_512ebf36_bf6b_4d70_85da_cf2637062af4","iCat")</x:f>
      </x:c>
      <x:c r="M3420" s="0" t="s">
        <x:v>21</x:v>
      </x:c>
      <x:c r="N3420" s="0" t="s">
        <x:v>46</x:v>
      </x:c>
    </x:row>
    <x:row r="3421" spans="1:16">
      <x:c r="A3421" s="0" t="s">
        <x:v>13526</x:v>
      </x:c>
      <x:c r="B3421" s="0" t="s">
        <x:v>13527</x:v>
      </x:c>
      <x:c r="C3421" s="0" t="s">
        <x:v>13528</x:v>
      </x:c>
      <x:c r="E3421" s="0" t="s">
        <x:v>13529</x:v>
      </x:c>
      <x:c r="F3421" s="0" t="s">
        <x:v>45</x:v>
      </x:c>
      <x:c r="G3421" s="0" t="s">
        <x:v>19</x:v>
      </x:c>
      <x:c r="H3421" s="0" t="s">
        <x:v>20</x:v>
      </x:c>
      <x:c r="I3421" s="0" t="s">
        <x:v>21</x:v>
      </x:c>
      <x:c r="K3421" s="0">
        <x:f>hyperlink("https://icd.who.int/dev11/l-ichi/en#/http%3A%2F%2Fid.who.int%2Ficd%2Fentity%2F837433493","browser")</x:f>
      </x:c>
      <x:c r="L3421" s="0">
        <x:f>hyperlink("https://icat2.azurewebsites.net/icat/?ontology=ICD&amp;tab=ClassesTab&amp;id=http%3A%2F%2Fwho.int%2Ficd%2316126_512ebf36_bf6b_4d70_85da_cf2637062af4","iCat")</x:f>
      </x:c>
      <x:c r="M3421" s="0" t="s">
        <x:v>21</x:v>
      </x:c>
      <x:c r="N3421" s="0" t="s">
        <x:v>46</x:v>
      </x:c>
    </x:row>
    <x:row r="3422" spans="1:16">
      <x:c r="A3422" s="0" t="s">
        <x:v>13530</x:v>
      </x:c>
      <x:c r="B3422" s="0" t="s">
        <x:v>13531</x:v>
      </x:c>
      <x:c r="C3422" s="0" t="s">
        <x:v>13532</x:v>
      </x:c>
      <x:c r="E3422" s="0" t="s">
        <x:v>13533</x:v>
      </x:c>
      <x:c r="F3422" s="0" t="s">
        <x:v>45</x:v>
      </x:c>
      <x:c r="G3422" s="0" t="s">
        <x:v>19</x:v>
      </x:c>
      <x:c r="H3422" s="0" t="s">
        <x:v>20</x:v>
      </x:c>
      <x:c r="I3422" s="0" t="s">
        <x:v>21</x:v>
      </x:c>
      <x:c r="K3422" s="0">
        <x:f>hyperlink("https://icd.who.int/dev11/l-ichi/en#/http%3A%2F%2Fid.who.int%2Ficd%2Fentity%2F1045671943","browser")</x:f>
      </x:c>
      <x:c r="L3422" s="0">
        <x:f>hyperlink("https://icat2.azurewebsites.net/icat/?ontology=ICD&amp;tab=ClassesTab&amp;id=http%3A%2F%2Fwho.int%2Ficd%2316134_512ebf36_bf6b_4d70_85da_cf2637062af4","iCat")</x:f>
      </x:c>
      <x:c r="M3422" s="0" t="s">
        <x:v>21</x:v>
      </x:c>
      <x:c r="N3422" s="0" t="s">
        <x:v>46</x:v>
      </x:c>
    </x:row>
    <x:row r="3423" spans="1:16">
      <x:c r="A3423" s="0" t="s">
        <x:v>13534</x:v>
      </x:c>
      <x:c r="B3423" s="0" t="s">
        <x:v>13535</x:v>
      </x:c>
      <x:c r="C3423" s="0" t="s">
        <x:v>13536</x:v>
      </x:c>
      <x:c r="E3423" s="0" t="s">
        <x:v>13537</x:v>
      </x:c>
      <x:c r="F3423" s="0" t="s">
        <x:v>45</x:v>
      </x:c>
      <x:c r="G3423" s="0" t="s">
        <x:v>19</x:v>
      </x:c>
      <x:c r="H3423" s="0" t="s">
        <x:v>20</x:v>
      </x:c>
      <x:c r="I3423" s="0" t="s">
        <x:v>21</x:v>
      </x:c>
      <x:c r="K3423" s="0">
        <x:f>hyperlink("https://icd.who.int/dev11/l-ichi/en#/http%3A%2F%2Fid.who.int%2Ficd%2Fentity%2F461051221","browser")</x:f>
      </x:c>
      <x:c r="L3423" s="0">
        <x:f>hyperlink("https://icat2.azurewebsites.net/icat/?ontology=ICD&amp;tab=ClassesTab&amp;id=http%3A%2F%2Fwho.int%2Ficd%2316141_512ebf36_bf6b_4d70_85da_cf2637062af4","iCat")</x:f>
      </x:c>
      <x:c r="M3423" s="0" t="s">
        <x:v>21</x:v>
      </x:c>
      <x:c r="N3423" s="0" t="s">
        <x:v>46</x:v>
      </x:c>
    </x:row>
    <x:row r="3424" spans="1:16">
      <x:c r="A3424" s="0" t="s">
        <x:v>13538</x:v>
      </x:c>
      <x:c r="B3424" s="0" t="s">
        <x:v>13539</x:v>
      </x:c>
      <x:c r="C3424" s="0" t="s">
        <x:v>13540</x:v>
      </x:c>
      <x:c r="E3424" s="0" t="s">
        <x:v>13541</x:v>
      </x:c>
      <x:c r="F3424" s="0" t="s">
        <x:v>45</x:v>
      </x:c>
      <x:c r="G3424" s="0" t="s">
        <x:v>19</x:v>
      </x:c>
      <x:c r="H3424" s="0" t="s">
        <x:v>20</x:v>
      </x:c>
      <x:c r="I3424" s="0" t="s">
        <x:v>21</x:v>
      </x:c>
      <x:c r="K3424" s="0">
        <x:f>hyperlink("https://icd.who.int/dev11/l-ichi/en#/http%3A%2F%2Fid.who.int%2Ficd%2Fentity%2F1442472962","browser")</x:f>
      </x:c>
      <x:c r="L3424" s="0">
        <x:f>hyperlink("https://icat2.azurewebsites.net/icat/?ontology=ICD&amp;tab=ClassesTab&amp;id=http%3A%2F%2Fwho.int%2Ficd%2316149_512ebf36_bf6b_4d70_85da_cf2637062af4","iCat")</x:f>
      </x:c>
      <x:c r="M3424" s="0" t="s">
        <x:v>21</x:v>
      </x:c>
      <x:c r="N3424" s="0" t="s">
        <x:v>46</x:v>
      </x:c>
    </x:row>
    <x:row r="3425" spans="1:16">
      <x:c r="A3425" s="0" t="s">
        <x:v>13542</x:v>
      </x:c>
      <x:c r="B3425" s="0" t="s">
        <x:v>13543</x:v>
      </x:c>
      <x:c r="C3425" s="0" t="s">
        <x:v>13544</x:v>
      </x:c>
      <x:c r="E3425" s="0" t="s">
        <x:v>13545</x:v>
      </x:c>
      <x:c r="F3425" s="0" t="s">
        <x:v>45</x:v>
      </x:c>
      <x:c r="G3425" s="0" t="s">
        <x:v>19</x:v>
      </x:c>
      <x:c r="H3425" s="0" t="s">
        <x:v>20</x:v>
      </x:c>
      <x:c r="I3425" s="0" t="s">
        <x:v>21</x:v>
      </x:c>
      <x:c r="K3425" s="0">
        <x:f>hyperlink("https://icd.who.int/dev11/l-ichi/en#/http%3A%2F%2Fid.who.int%2Ficd%2Fentity%2F20720527","browser")</x:f>
      </x:c>
      <x:c r="L3425" s="0">
        <x:f>hyperlink("https://icat2.azurewebsites.net/icat/?ontology=ICD&amp;tab=ClassesTab&amp;id=http%3A%2F%2Fwho.int%2Ficd%2316156_512ebf36_bf6b_4d70_85da_cf2637062af4","iCat")</x:f>
      </x:c>
      <x:c r="M3425" s="0" t="s">
        <x:v>21</x:v>
      </x:c>
      <x:c r="N3425" s="0" t="s">
        <x:v>46</x:v>
      </x:c>
    </x:row>
    <x:row r="3426" spans="1:16">
      <x:c r="A3426" s="0" t="s">
        <x:v>13546</x:v>
      </x:c>
      <x:c r="B3426" s="0" t="s">
        <x:v>13547</x:v>
      </x:c>
      <x:c r="C3426" s="0" t="s">
        <x:v>13548</x:v>
      </x:c>
      <x:c r="E3426" s="0" t="s">
        <x:v>13549</x:v>
      </x:c>
      <x:c r="F3426" s="0" t="s">
        <x:v>45</x:v>
      </x:c>
      <x:c r="G3426" s="0" t="s">
        <x:v>19</x:v>
      </x:c>
      <x:c r="H3426" s="0" t="s">
        <x:v>20</x:v>
      </x:c>
      <x:c r="I3426" s="0" t="s">
        <x:v>21</x:v>
      </x:c>
      <x:c r="K3426" s="0">
        <x:f>hyperlink("https://icd.who.int/dev11/l-ichi/en#/http%3A%2F%2Fid.who.int%2Ficd%2Fentity%2F1416879552","browser")</x:f>
      </x:c>
      <x:c r="L3426" s="0">
        <x:f>hyperlink("https://icat2.azurewebsites.net/icat/?ontology=ICD&amp;tab=ClassesTab&amp;id=http%3A%2F%2Fwho.int%2Ficd%2316163_512ebf36_bf6b_4d70_85da_cf2637062af4","iCat")</x:f>
      </x:c>
      <x:c r="M3426" s="0" t="s">
        <x:v>21</x:v>
      </x:c>
      <x:c r="N3426" s="0" t="s">
        <x:v>46</x:v>
      </x:c>
    </x:row>
    <x:row r="3427" spans="1:16">
      <x:c r="A3427" s="0" t="s">
        <x:v>13550</x:v>
      </x:c>
      <x:c r="B3427" s="0" t="s">
        <x:v>13551</x:v>
      </x:c>
      <x:c r="C3427" s="0" t="s">
        <x:v>13552</x:v>
      </x:c>
      <x:c r="E3427" s="0" t="s">
        <x:v>13553</x:v>
      </x:c>
      <x:c r="F3427" s="0" t="s">
        <x:v>45</x:v>
      </x:c>
      <x:c r="G3427" s="0" t="s">
        <x:v>19</x:v>
      </x:c>
      <x:c r="H3427" s="0" t="s">
        <x:v>20</x:v>
      </x:c>
      <x:c r="I3427" s="0" t="s">
        <x:v>21</x:v>
      </x:c>
      <x:c r="K3427" s="0">
        <x:f>hyperlink("https://icd.who.int/dev11/l-ichi/en#/http%3A%2F%2Fid.who.int%2Ficd%2Fentity%2F1539986770","browser")</x:f>
      </x:c>
      <x:c r="L3427" s="0">
        <x:f>hyperlink("https://icat2.azurewebsites.net/icat/?ontology=ICD&amp;tab=ClassesTab&amp;id=http%3A%2F%2Fwho.int%2Ficd%2316171_512ebf36_bf6b_4d70_85da_cf2637062af4","iCat")</x:f>
      </x:c>
      <x:c r="M3427" s="0" t="s">
        <x:v>21</x:v>
      </x:c>
      <x:c r="N3427" s="0" t="s">
        <x:v>46</x:v>
      </x:c>
    </x:row>
    <x:row r="3428" spans="1:16">
      <x:c r="A3428" s="0" t="s">
        <x:v>13554</x:v>
      </x:c>
      <x:c r="B3428" s="0" t="s">
        <x:v>13555</x:v>
      </x:c>
      <x:c r="C3428" s="0" t="s">
        <x:v>13556</x:v>
      </x:c>
      <x:c r="E3428" s="0" t="s">
        <x:v>13557</x:v>
      </x:c>
      <x:c r="F3428" s="0" t="s">
        <x:v>45</x:v>
      </x:c>
      <x:c r="G3428" s="0" t="s">
        <x:v>19</x:v>
      </x:c>
      <x:c r="H3428" s="0" t="s">
        <x:v>20</x:v>
      </x:c>
      <x:c r="I3428" s="0" t="s">
        <x:v>21</x:v>
      </x:c>
      <x:c r="K3428" s="0">
        <x:f>hyperlink("https://icd.who.int/dev11/l-ichi/en#/http%3A%2F%2Fid.who.int%2Ficd%2Fentity%2F900879931","browser")</x:f>
      </x:c>
      <x:c r="L3428" s="0">
        <x:f>hyperlink("https://icat2.azurewebsites.net/icat/?ontology=ICD&amp;tab=ClassesTab&amp;id=http%3A%2F%2Fwho.int%2Ficd%2316178_512ebf36_bf6b_4d70_85da_cf2637062af4","iCat")</x:f>
      </x:c>
      <x:c r="M3428" s="0" t="s">
        <x:v>21</x:v>
      </x:c>
      <x:c r="N3428" s="0" t="s">
        <x:v>46</x:v>
      </x:c>
    </x:row>
    <x:row r="3429" spans="1:16">
      <x:c r="A3429" s="0" t="s">
        <x:v>13558</x:v>
      </x:c>
      <x:c r="B3429" s="0" t="s">
        <x:v>13559</x:v>
      </x:c>
      <x:c r="C3429" s="0" t="s">
        <x:v>13560</x:v>
      </x:c>
      <x:c r="E3429" s="0" t="s">
        <x:v>13561</x:v>
      </x:c>
      <x:c r="F3429" s="0" t="s">
        <x:v>45</x:v>
      </x:c>
      <x:c r="G3429" s="0" t="s">
        <x:v>19</x:v>
      </x:c>
      <x:c r="H3429" s="0" t="s">
        <x:v>20</x:v>
      </x:c>
      <x:c r="I3429" s="0" t="s">
        <x:v>21</x:v>
      </x:c>
      <x:c r="K3429" s="0">
        <x:f>hyperlink("https://icd.who.int/dev11/l-ichi/en#/http%3A%2F%2Fid.who.int%2Ficd%2Fentity%2F1641261508","browser")</x:f>
      </x:c>
      <x:c r="L3429" s="0">
        <x:f>hyperlink("https://icat2.azurewebsites.net/icat/?ontology=ICD&amp;tab=ClassesTab&amp;id=http%3A%2F%2Fwho.int%2Ficd%2316184_512ebf36_bf6b_4d70_85da_cf2637062af4","iCat")</x:f>
      </x:c>
      <x:c r="M3429" s="0" t="s">
        <x:v>21</x:v>
      </x:c>
      <x:c r="N3429" s="0" t="s">
        <x:v>46</x:v>
      </x:c>
    </x:row>
    <x:row r="3430" spans="1:16">
      <x:c r="A3430" s="0" t="s">
        <x:v>13562</x:v>
      </x:c>
      <x:c r="B3430" s="0" t="s">
        <x:v>13563</x:v>
      </x:c>
      <x:c r="C3430" s="0" t="s">
        <x:v>13564</x:v>
      </x:c>
      <x:c r="E3430" s="0" t="s">
        <x:v>13565</x:v>
      </x:c>
      <x:c r="F3430" s="0" t="s">
        <x:v>45</x:v>
      </x:c>
      <x:c r="G3430" s="0" t="s">
        <x:v>19</x:v>
      </x:c>
      <x:c r="H3430" s="0" t="s">
        <x:v>20</x:v>
      </x:c>
      <x:c r="I3430" s="0" t="s">
        <x:v>21</x:v>
      </x:c>
      <x:c r="K3430" s="0">
        <x:f>hyperlink("https://icd.who.int/dev11/l-ichi/en#/http%3A%2F%2Fid.who.int%2Ficd%2Fentity%2F2073335582","browser")</x:f>
      </x:c>
      <x:c r="L3430" s="0">
        <x:f>hyperlink("https://icat2.azurewebsites.net/icat/?ontology=ICD&amp;tab=ClassesTab&amp;id=http%3A%2F%2Fwho.int%2Ficd%2316193_512ebf36_bf6b_4d70_85da_cf2637062af4","iCat")</x:f>
      </x:c>
      <x:c r="M3430" s="0" t="s">
        <x:v>21</x:v>
      </x:c>
      <x:c r="N3430" s="0" t="s">
        <x:v>46</x:v>
      </x:c>
    </x:row>
    <x:row r="3431" spans="1:16">
      <x:c r="A3431" s="0" t="s">
        <x:v>13566</x:v>
      </x:c>
      <x:c r="B3431" s="0" t="s">
        <x:v>13567</x:v>
      </x:c>
      <x:c r="C3431" s="0" t="s">
        <x:v>13568</x:v>
      </x:c>
      <x:c r="E3431" s="0" t="s">
        <x:v>13569</x:v>
      </x:c>
      <x:c r="F3431" s="0" t="s">
        <x:v>45</x:v>
      </x:c>
      <x:c r="G3431" s="0" t="s">
        <x:v>19</x:v>
      </x:c>
      <x:c r="H3431" s="0" t="s">
        <x:v>20</x:v>
      </x:c>
      <x:c r="I3431" s="0" t="s">
        <x:v>21</x:v>
      </x:c>
      <x:c r="K3431" s="0">
        <x:f>hyperlink("https://icd.who.int/dev11/l-ichi/en#/http%3A%2F%2Fid.who.int%2Ficd%2Fentity%2F1338416618","browser")</x:f>
      </x:c>
      <x:c r="L3431" s="0">
        <x:f>hyperlink("https://icat2.azurewebsites.net/icat/?ontology=ICD&amp;tab=ClassesTab&amp;id=http%3A%2F%2Fwho.int%2Ficd%2316202_512ebf36_bf6b_4d70_85da_cf2637062af4","iCat")</x:f>
      </x:c>
      <x:c r="M3431" s="0" t="s">
        <x:v>21</x:v>
      </x:c>
      <x:c r="N3431" s="0" t="s">
        <x:v>46</x:v>
      </x:c>
    </x:row>
    <x:row r="3432" spans="1:16">
      <x:c r="A3432" s="0" t="s">
        <x:v>13570</x:v>
      </x:c>
      <x:c r="B3432" s="0" t="s">
        <x:v>13571</x:v>
      </x:c>
      <x:c r="C3432" s="0" t="s">
        <x:v>13572</x:v>
      </x:c>
      <x:c r="E3432" s="0" t="s">
        <x:v>13573</x:v>
      </x:c>
      <x:c r="F3432" s="0" t="s">
        <x:v>45</x:v>
      </x:c>
      <x:c r="G3432" s="0" t="s">
        <x:v>19</x:v>
      </x:c>
      <x:c r="H3432" s="0" t="s">
        <x:v>20</x:v>
      </x:c>
      <x:c r="I3432" s="0" t="s">
        <x:v>21</x:v>
      </x:c>
      <x:c r="K3432" s="0">
        <x:f>hyperlink("https://icd.who.int/dev11/l-ichi/en#/http%3A%2F%2Fid.who.int%2Ficd%2Fentity%2F1153598276","browser")</x:f>
      </x:c>
      <x:c r="L3432" s="0">
        <x:f>hyperlink("https://icat2.azurewebsites.net/icat/?ontology=ICD&amp;tab=ClassesTab&amp;id=http%3A%2F%2Fwho.int%2Ficd%2316209_512ebf36_bf6b_4d70_85da_cf2637062af4","iCat")</x:f>
      </x:c>
      <x:c r="M3432" s="0" t="s">
        <x:v>21</x:v>
      </x:c>
      <x:c r="N3432" s="0" t="s">
        <x:v>46</x:v>
      </x:c>
    </x:row>
    <x:row r="3433" spans="1:16">
      <x:c r="A3433" s="0" t="s">
        <x:v>13574</x:v>
      </x:c>
      <x:c r="B3433" s="0" t="s">
        <x:v>13575</x:v>
      </x:c>
      <x:c r="C3433" s="0" t="s">
        <x:v>13576</x:v>
      </x:c>
      <x:c r="E3433" s="0" t="s">
        <x:v>13577</x:v>
      </x:c>
      <x:c r="F3433" s="0" t="s">
        <x:v>45</x:v>
      </x:c>
      <x:c r="G3433" s="0" t="s">
        <x:v>19</x:v>
      </x:c>
      <x:c r="H3433" s="0" t="s">
        <x:v>20</x:v>
      </x:c>
      <x:c r="I3433" s="0" t="s">
        <x:v>21</x:v>
      </x:c>
      <x:c r="K3433" s="0">
        <x:f>hyperlink("https://icd.who.int/dev11/l-ichi/en#/http%3A%2F%2Fid.who.int%2Ficd%2Fentity%2F251552815","browser")</x:f>
      </x:c>
      <x:c r="L3433" s="0">
        <x:f>hyperlink("https://icat2.azurewebsites.net/icat/?ontology=ICD&amp;tab=ClassesTab&amp;id=http%3A%2F%2Fwho.int%2Ficd%2316218_512ebf36_bf6b_4d70_85da_cf2637062af4","iCat")</x:f>
      </x:c>
      <x:c r="M3433" s="0" t="s">
        <x:v>21</x:v>
      </x:c>
      <x:c r="N3433" s="0" t="s">
        <x:v>46</x:v>
      </x:c>
    </x:row>
    <x:row r="3434" spans="1:16">
      <x:c r="A3434" s="0" t="s">
        <x:v>13578</x:v>
      </x:c>
      <x:c r="B3434" s="0" t="s">
        <x:v>13579</x:v>
      </x:c>
      <x:c r="C3434" s="0" t="s">
        <x:v>13580</x:v>
      </x:c>
      <x:c r="E3434" s="0" t="s">
        <x:v>13581</x:v>
      </x:c>
      <x:c r="F3434" s="0" t="s">
        <x:v>45</x:v>
      </x:c>
      <x:c r="G3434" s="0" t="s">
        <x:v>19</x:v>
      </x:c>
      <x:c r="H3434" s="0" t="s">
        <x:v>20</x:v>
      </x:c>
      <x:c r="I3434" s="0" t="s">
        <x:v>21</x:v>
      </x:c>
      <x:c r="K3434" s="0">
        <x:f>hyperlink("https://icd.who.int/dev11/l-ichi/en#/http%3A%2F%2Fid.who.int%2Ficd%2Fentity%2F1354075342","browser")</x:f>
      </x:c>
      <x:c r="L3434" s="0">
        <x:f>hyperlink("https://icat2.azurewebsites.net/icat/?ontology=ICD&amp;tab=ClassesTab&amp;id=http%3A%2F%2Fwho.int%2Ficd%2316226_512ebf36_bf6b_4d70_85da_cf2637062af4","iCat")</x:f>
      </x:c>
      <x:c r="M3434" s="0" t="s">
        <x:v>21</x:v>
      </x:c>
      <x:c r="N3434" s="0" t="s">
        <x:v>46</x:v>
      </x:c>
    </x:row>
    <x:row r="3435" spans="1:16">
      <x:c r="A3435" s="0" t="s">
        <x:v>13582</x:v>
      </x:c>
      <x:c r="B3435" s="0" t="s">
        <x:v>13583</x:v>
      </x:c>
      <x:c r="C3435" s="0" t="s">
        <x:v>13584</x:v>
      </x:c>
      <x:c r="E3435" s="0" t="s">
        <x:v>13585</x:v>
      </x:c>
      <x:c r="F3435" s="0" t="s">
        <x:v>45</x:v>
      </x:c>
      <x:c r="G3435" s="0" t="s">
        <x:v>19</x:v>
      </x:c>
      <x:c r="H3435" s="0" t="s">
        <x:v>20</x:v>
      </x:c>
      <x:c r="I3435" s="0" t="s">
        <x:v>21</x:v>
      </x:c>
      <x:c r="K3435" s="0">
        <x:f>hyperlink("https://icd.who.int/dev11/l-ichi/en#/http%3A%2F%2Fid.who.int%2Ficd%2Fentity%2F980425115","browser")</x:f>
      </x:c>
      <x:c r="L3435" s="0">
        <x:f>hyperlink("https://icat2.azurewebsites.net/icat/?ontology=ICD&amp;tab=ClassesTab&amp;id=http%3A%2F%2Fwho.int%2Ficd%2316236_512ebf36_bf6b_4d70_85da_cf2637062af4","iCat")</x:f>
      </x:c>
      <x:c r="M3435" s="0" t="s">
        <x:v>21</x:v>
      </x:c>
      <x:c r="N3435" s="0" t="s">
        <x:v>46</x:v>
      </x:c>
    </x:row>
    <x:row r="3436" spans="1:16">
      <x:c r="A3436" s="0" t="s">
        <x:v>13586</x:v>
      </x:c>
      <x:c r="B3436" s="0" t="s">
        <x:v>13587</x:v>
      </x:c>
      <x:c r="C3436" s="0" t="s">
        <x:v>13588</x:v>
      </x:c>
      <x:c r="E3436" s="0" t="s">
        <x:v>13589</x:v>
      </x:c>
      <x:c r="F3436" s="0" t="s">
        <x:v>45</x:v>
      </x:c>
      <x:c r="G3436" s="0" t="s">
        <x:v>19</x:v>
      </x:c>
      <x:c r="H3436" s="0" t="s">
        <x:v>20</x:v>
      </x:c>
      <x:c r="I3436" s="0" t="s">
        <x:v>21</x:v>
      </x:c>
      <x:c r="K3436" s="0">
        <x:f>hyperlink("https://icd.who.int/dev11/l-ichi/en#/http%3A%2F%2Fid.who.int%2Ficd%2Fentity%2F635891759","browser")</x:f>
      </x:c>
      <x:c r="L3436" s="0">
        <x:f>hyperlink("https://icat2.azurewebsites.net/icat/?ontology=ICD&amp;tab=ClassesTab&amp;id=http%3A%2F%2Fwho.int%2Ficd%2316255_512ebf36_bf6b_4d70_85da_cf2637062af4","iCat")</x:f>
      </x:c>
      <x:c r="M3436" s="0" t="s">
        <x:v>21</x:v>
      </x:c>
      <x:c r="N3436" s="0" t="s">
        <x:v>46</x:v>
      </x:c>
    </x:row>
    <x:row r="3437" spans="1:16">
      <x:c r="A3437" s="0" t="s">
        <x:v>13590</x:v>
      </x:c>
      <x:c r="B3437" s="0" t="s">
        <x:v>13591</x:v>
      </x:c>
      <x:c r="C3437" s="0" t="s">
        <x:v>13592</x:v>
      </x:c>
      <x:c r="E3437" s="0" t="s">
        <x:v>13593</x:v>
      </x:c>
      <x:c r="F3437" s="0" t="s">
        <x:v>45</x:v>
      </x:c>
      <x:c r="G3437" s="0" t="s">
        <x:v>19</x:v>
      </x:c>
      <x:c r="H3437" s="0" t="s">
        <x:v>20</x:v>
      </x:c>
      <x:c r="I3437" s="0" t="s">
        <x:v>21</x:v>
      </x:c>
      <x:c r="K3437" s="0">
        <x:f>hyperlink("https://icd.who.int/dev11/l-ichi/en#/http%3A%2F%2Fid.who.int%2Ficd%2Fentity%2F795563843","browser")</x:f>
      </x:c>
      <x:c r="L3437" s="0">
        <x:f>hyperlink("https://icat2.azurewebsites.net/icat/?ontology=ICD&amp;tab=ClassesTab&amp;id=http%3A%2F%2Fwho.int%2Ficd%2316274_512ebf36_bf6b_4d70_85da_cf2637062af4","iCat")</x:f>
      </x:c>
      <x:c r="M3437" s="0" t="s">
        <x:v>21</x:v>
      </x:c>
      <x:c r="N3437" s="0" t="s">
        <x:v>46</x:v>
      </x:c>
    </x:row>
    <x:row r="3438" spans="1:16">
      <x:c r="A3438" s="0" t="s">
        <x:v>13594</x:v>
      </x:c>
      <x:c r="B3438" s="0" t="s">
        <x:v>13595</x:v>
      </x:c>
      <x:c r="C3438" s="0" t="s">
        <x:v>13596</x:v>
      </x:c>
      <x:c r="E3438" s="0" t="s">
        <x:v>13597</x:v>
      </x:c>
      <x:c r="F3438" s="0" t="s">
        <x:v>45</x:v>
      </x:c>
      <x:c r="G3438" s="0" t="s">
        <x:v>19</x:v>
      </x:c>
      <x:c r="H3438" s="0" t="s">
        <x:v>20</x:v>
      </x:c>
      <x:c r="I3438" s="0" t="s">
        <x:v>21</x:v>
      </x:c>
      <x:c r="K3438" s="0">
        <x:f>hyperlink("https://icd.who.int/dev11/l-ichi/en#/http%3A%2F%2Fid.who.int%2Ficd%2Fentity%2F544567201","browser")</x:f>
      </x:c>
      <x:c r="L3438" s="0">
        <x:f>hyperlink("https://icat2.azurewebsites.net/icat/?ontology=ICD&amp;tab=ClassesTab&amp;id=http%3A%2F%2Fwho.int%2Ficd%2316285_512ebf36_bf6b_4d70_85da_cf2637062af4","iCat")</x:f>
      </x:c>
      <x:c r="M3438" s="0" t="s">
        <x:v>21</x:v>
      </x:c>
      <x:c r="N3438" s="0" t="s">
        <x:v>46</x:v>
      </x:c>
    </x:row>
    <x:row r="3439" spans="1:16">
      <x:c r="A3439" s="0" t="s">
        <x:v>13598</x:v>
      </x:c>
      <x:c r="B3439" s="0" t="s">
        <x:v>13599</x:v>
      </x:c>
      <x:c r="C3439" s="0" t="s">
        <x:v>13600</x:v>
      </x:c>
      <x:c r="E3439" s="0" t="s">
        <x:v>13601</x:v>
      </x:c>
      <x:c r="F3439" s="0" t="s">
        <x:v>45</x:v>
      </x:c>
      <x:c r="G3439" s="0" t="s">
        <x:v>19</x:v>
      </x:c>
      <x:c r="H3439" s="0" t="s">
        <x:v>20</x:v>
      </x:c>
      <x:c r="I3439" s="0" t="s">
        <x:v>21</x:v>
      </x:c>
      <x:c r="K3439" s="0">
        <x:f>hyperlink("https://icd.who.int/dev11/l-ichi/en#/http%3A%2F%2Fid.who.int%2Ficd%2Fentity%2F255169807","browser")</x:f>
      </x:c>
      <x:c r="L3439" s="0">
        <x:f>hyperlink("https://icat2.azurewebsites.net/icat/?ontology=ICD&amp;tab=ClassesTab&amp;id=http%3A%2F%2Fwho.int%2Ficd%2316296_512ebf36_bf6b_4d70_85da_cf2637062af4","iCat")</x:f>
      </x:c>
      <x:c r="M3439" s="0" t="s">
        <x:v>21</x:v>
      </x:c>
      <x:c r="N3439" s="0" t="s">
        <x:v>46</x:v>
      </x:c>
    </x:row>
    <x:row r="3440" spans="1:16">
      <x:c r="A3440" s="0" t="s">
        <x:v>13602</x:v>
      </x:c>
      <x:c r="B3440" s="0" t="s">
        <x:v>13603</x:v>
      </x:c>
      <x:c r="C3440" s="0" t="s">
        <x:v>13604</x:v>
      </x:c>
      <x:c r="E3440" s="0" t="s">
        <x:v>13605</x:v>
      </x:c>
      <x:c r="F3440" s="0" t="s">
        <x:v>45</x:v>
      </x:c>
      <x:c r="G3440" s="0" t="s">
        <x:v>19</x:v>
      </x:c>
      <x:c r="H3440" s="0" t="s">
        <x:v>20</x:v>
      </x:c>
      <x:c r="I3440" s="0" t="s">
        <x:v>21</x:v>
      </x:c>
      <x:c r="K3440" s="0">
        <x:f>hyperlink("https://icd.who.int/dev11/l-ichi/en#/http%3A%2F%2Fid.who.int%2Ficd%2Fentity%2F978934645","browser")</x:f>
      </x:c>
      <x:c r="L3440" s="0">
        <x:f>hyperlink("https://icat2.azurewebsites.net/icat/?ontology=ICD&amp;tab=ClassesTab&amp;id=http%3A%2F%2Fwho.int%2Ficd%2316302_512ebf36_bf6b_4d70_85da_cf2637062af4","iCat")</x:f>
      </x:c>
      <x:c r="M3440" s="0" t="s">
        <x:v>21</x:v>
      </x:c>
      <x:c r="N3440" s="0" t="s">
        <x:v>46</x:v>
      </x:c>
    </x:row>
    <x:row r="3441" spans="1:16">
      <x:c r="A3441" s="0" t="s">
        <x:v>13606</x:v>
      </x:c>
      <x:c r="B3441" s="0" t="s">
        <x:v>13607</x:v>
      </x:c>
      <x:c r="C3441" s="0" t="s">
        <x:v>13608</x:v>
      </x:c>
      <x:c r="E3441" s="0" t="s">
        <x:v>13609</x:v>
      </x:c>
      <x:c r="F3441" s="0" t="s">
        <x:v>45</x:v>
      </x:c>
      <x:c r="G3441" s="0" t="s">
        <x:v>19</x:v>
      </x:c>
      <x:c r="H3441" s="0" t="s">
        <x:v>20</x:v>
      </x:c>
      <x:c r="I3441" s="0" t="s">
        <x:v>21</x:v>
      </x:c>
      <x:c r="K3441" s="0">
        <x:f>hyperlink("https://icd.who.int/dev11/l-ichi/en#/http%3A%2F%2Fid.who.int%2Ficd%2Fentity%2F295974885","browser")</x:f>
      </x:c>
      <x:c r="L3441" s="0">
        <x:f>hyperlink("https://icat2.azurewebsites.net/icat/?ontology=ICD&amp;tab=ClassesTab&amp;id=http%3A%2F%2Fwho.int%2Ficd%2316308_512ebf36_bf6b_4d70_85da_cf2637062af4","iCat")</x:f>
      </x:c>
      <x:c r="M3441" s="0" t="s">
        <x:v>21</x:v>
      </x:c>
      <x:c r="N3441" s="0" t="s">
        <x:v>46</x:v>
      </x:c>
    </x:row>
    <x:row r="3442" spans="1:16">
      <x:c r="A3442" s="0" t="s">
        <x:v>13610</x:v>
      </x:c>
      <x:c r="B3442" s="0" t="s">
        <x:v>13611</x:v>
      </x:c>
      <x:c r="C3442" s="0" t="s">
        <x:v>13612</x:v>
      </x:c>
      <x:c r="E3442" s="0" t="s">
        <x:v>13613</x:v>
      </x:c>
      <x:c r="F3442" s="0" t="s">
        <x:v>45</x:v>
      </x:c>
      <x:c r="G3442" s="0" t="s">
        <x:v>19</x:v>
      </x:c>
      <x:c r="H3442" s="0" t="s">
        <x:v>20</x:v>
      </x:c>
      <x:c r="I3442" s="0" t="s">
        <x:v>21</x:v>
      </x:c>
      <x:c r="K3442" s="0">
        <x:f>hyperlink("https://icd.who.int/dev11/l-ichi/en#/http%3A%2F%2Fid.who.int%2Ficd%2Fentity%2F1164081260","browser")</x:f>
      </x:c>
      <x:c r="L3442" s="0">
        <x:f>hyperlink("https://icat2.azurewebsites.net/icat/?ontology=ICD&amp;tab=ClassesTab&amp;id=http%3A%2F%2Fwho.int%2Ficd%2316317_512ebf36_bf6b_4d70_85da_cf2637062af4","iCat")</x:f>
      </x:c>
      <x:c r="M3442" s="0" t="s">
        <x:v>21</x:v>
      </x:c>
      <x:c r="N3442" s="0" t="s">
        <x:v>46</x:v>
      </x:c>
    </x:row>
    <x:row r="3443" spans="1:16">
      <x:c r="A3443" s="0" t="s">
        <x:v>13614</x:v>
      </x:c>
      <x:c r="B3443" s="0" t="s">
        <x:v>13615</x:v>
      </x:c>
      <x:c r="C3443" s="0" t="s">
        <x:v>13616</x:v>
      </x:c>
      <x:c r="E3443" s="0" t="s">
        <x:v>13617</x:v>
      </x:c>
      <x:c r="F3443" s="0" t="s">
        <x:v>45</x:v>
      </x:c>
      <x:c r="G3443" s="0" t="s">
        <x:v>19</x:v>
      </x:c>
      <x:c r="H3443" s="0" t="s">
        <x:v>20</x:v>
      </x:c>
      <x:c r="I3443" s="0" t="s">
        <x:v>21</x:v>
      </x:c>
      <x:c r="K3443" s="0">
        <x:f>hyperlink("https://icd.who.int/dev11/l-ichi/en#/http%3A%2F%2Fid.who.int%2Ficd%2Fentity%2F1622091176","browser")</x:f>
      </x:c>
      <x:c r="L3443" s="0">
        <x:f>hyperlink("https://icat2.azurewebsites.net/icat/?ontology=ICD&amp;tab=ClassesTab&amp;id=http%3A%2F%2Fwho.int%2Ficd%2316325_512ebf36_bf6b_4d70_85da_cf2637062af4","iCat")</x:f>
      </x:c>
      <x:c r="M3443" s="0" t="s">
        <x:v>21</x:v>
      </x:c>
      <x:c r="N3443" s="0" t="s">
        <x:v>46</x:v>
      </x:c>
    </x:row>
    <x:row r="3444" spans="1:16">
      <x:c r="A3444" s="0" t="s">
        <x:v>13618</x:v>
      </x:c>
      <x:c r="B3444" s="0" t="s">
        <x:v>13619</x:v>
      </x:c>
      <x:c r="C3444" s="0" t="s">
        <x:v>13620</x:v>
      </x:c>
      <x:c r="E3444" s="0" t="s">
        <x:v>13621</x:v>
      </x:c>
      <x:c r="F3444" s="0" t="s">
        <x:v>45</x:v>
      </x:c>
      <x:c r="G3444" s="0" t="s">
        <x:v>19</x:v>
      </x:c>
      <x:c r="H3444" s="0" t="s">
        <x:v>20</x:v>
      </x:c>
      <x:c r="I3444" s="0" t="s">
        <x:v>21</x:v>
      </x:c>
      <x:c r="K3444" s="0">
        <x:f>hyperlink("https://icd.who.int/dev11/l-ichi/en#/http%3A%2F%2Fid.who.int%2Ficd%2Fentity%2F1511090512","browser")</x:f>
      </x:c>
      <x:c r="L3444" s="0">
        <x:f>hyperlink("https://icat2.azurewebsites.net/icat/?ontology=ICD&amp;tab=ClassesTab&amp;id=http%3A%2F%2Fwho.int%2Ficd%2316333_512ebf36_bf6b_4d70_85da_cf2637062af4","iCat")</x:f>
      </x:c>
      <x:c r="M3444" s="0" t="s">
        <x:v>21</x:v>
      </x:c>
      <x:c r="N3444" s="0" t="s">
        <x:v>46</x:v>
      </x:c>
    </x:row>
    <x:row r="3445" spans="1:16">
      <x:c r="A3445" s="0" t="s">
        <x:v>13622</x:v>
      </x:c>
      <x:c r="B3445" s="0" t="s">
        <x:v>13623</x:v>
      </x:c>
      <x:c r="C3445" s="0" t="s">
        <x:v>13624</x:v>
      </x:c>
      <x:c r="E3445" s="0" t="s">
        <x:v>13625</x:v>
      </x:c>
      <x:c r="F3445" s="0" t="s">
        <x:v>45</x:v>
      </x:c>
      <x:c r="G3445" s="0" t="s">
        <x:v>19</x:v>
      </x:c>
      <x:c r="H3445" s="0" t="s">
        <x:v>20</x:v>
      </x:c>
      <x:c r="I3445" s="0" t="s">
        <x:v>21</x:v>
      </x:c>
      <x:c r="K3445" s="0">
        <x:f>hyperlink("https://icd.who.int/dev11/l-ichi/en#/http%3A%2F%2Fid.who.int%2Ficd%2Fentity%2F1606467106","browser")</x:f>
      </x:c>
      <x:c r="L3445" s="0">
        <x:f>hyperlink("https://icat2.azurewebsites.net/icat/?ontology=ICD&amp;tab=ClassesTab&amp;id=http%3A%2F%2Fwho.int%2Ficd%2316347_512ebf36_bf6b_4d70_85da_cf2637062af4","iCat")</x:f>
      </x:c>
      <x:c r="M3445" s="0" t="s">
        <x:v>21</x:v>
      </x:c>
      <x:c r="N3445" s="0" t="s">
        <x:v>46</x:v>
      </x:c>
    </x:row>
    <x:row r="3446" spans="1:16">
      <x:c r="A3446" s="0" t="s">
        <x:v>13626</x:v>
      </x:c>
      <x:c r="B3446" s="0" t="s">
        <x:v>13627</x:v>
      </x:c>
      <x:c r="C3446" s="0" t="s">
        <x:v>13628</x:v>
      </x:c>
      <x:c r="E3446" s="0" t="s">
        <x:v>13629</x:v>
      </x:c>
      <x:c r="F3446" s="0" t="s">
        <x:v>45</x:v>
      </x:c>
      <x:c r="G3446" s="0" t="s">
        <x:v>19</x:v>
      </x:c>
      <x:c r="H3446" s="0" t="s">
        <x:v>20</x:v>
      </x:c>
      <x:c r="I3446" s="0" t="s">
        <x:v>21</x:v>
      </x:c>
      <x:c r="K3446" s="0">
        <x:f>hyperlink("https://icd.who.int/dev11/l-ichi/en#/http%3A%2F%2Fid.who.int%2Ficd%2Fentity%2F1188564852","browser")</x:f>
      </x:c>
      <x:c r="L3446" s="0">
        <x:f>hyperlink("https://icat2.azurewebsites.net/icat/?ontology=ICD&amp;tab=ClassesTab&amp;id=http%3A%2F%2Fwho.int%2Ficd%2387_bf6e7c66_ec40_421d_9f8c_a2093621229f","iCat")</x:f>
      </x:c>
      <x:c r="M3446" s="0" t="s">
        <x:v>21</x:v>
      </x:c>
      <x:c r="N3446" s="0" t="s">
        <x:v>46</x:v>
      </x:c>
    </x:row>
    <x:row r="3447" spans="1:16">
      <x:c r="A3447" s="0" t="s">
        <x:v>13630</x:v>
      </x:c>
      <x:c r="B3447" s="0" t="s">
        <x:v>13631</x:v>
      </x:c>
      <x:c r="C3447" s="0" t="s">
        <x:v>13632</x:v>
      </x:c>
      <x:c r="E3447" s="0" t="s">
        <x:v>13633</x:v>
      </x:c>
      <x:c r="F3447" s="0" t="s">
        <x:v>45</x:v>
      </x:c>
      <x:c r="G3447" s="0" t="s">
        <x:v>19</x:v>
      </x:c>
      <x:c r="H3447" s="0" t="s">
        <x:v>20</x:v>
      </x:c>
      <x:c r="I3447" s="0" t="s">
        <x:v>21</x:v>
      </x:c>
      <x:c r="K3447" s="0">
        <x:f>hyperlink("https://icd.who.int/dev11/l-ichi/en#/http%3A%2F%2Fid.who.int%2Ficd%2Fentity%2F421158487","browser")</x:f>
      </x:c>
      <x:c r="L3447" s="0">
        <x:f>hyperlink("https://icat2.azurewebsites.net/icat/?ontology=ICD&amp;tab=ClassesTab&amp;id=http%3A%2F%2Fwho.int%2Ficd%2393_bf6e7c66_ec40_421d_9f8c_a2093621229f","iCat")</x:f>
      </x:c>
      <x:c r="M3447" s="0" t="s">
        <x:v>21</x:v>
      </x:c>
      <x:c r="N3447" s="0" t="s">
        <x:v>46</x:v>
      </x:c>
    </x:row>
    <x:row r="3448" spans="1:16">
      <x:c r="A3448" s="0" t="s">
        <x:v>13634</x:v>
      </x:c>
      <x:c r="B3448" s="0" t="s">
        <x:v>13635</x:v>
      </x:c>
      <x:c r="C3448" s="0" t="s">
        <x:v>13636</x:v>
      </x:c>
      <x:c r="E3448" s="0" t="s">
        <x:v>13637</x:v>
      </x:c>
      <x:c r="F3448" s="0" t="s">
        <x:v>45</x:v>
      </x:c>
      <x:c r="G3448" s="0" t="s">
        <x:v>19</x:v>
      </x:c>
      <x:c r="H3448" s="0" t="s">
        <x:v>20</x:v>
      </x:c>
      <x:c r="I3448" s="0" t="s">
        <x:v>21</x:v>
      </x:c>
      <x:c r="K3448" s="0">
        <x:f>hyperlink("https://icd.who.int/dev11/l-ichi/en#/http%3A%2F%2Fid.who.int%2Ficd%2Fentity%2F1350121140","browser")</x:f>
      </x:c>
      <x:c r="L3448" s="0">
        <x:f>hyperlink("https://icat2.azurewebsites.net/icat/?ontology=ICD&amp;tab=ClassesTab&amp;id=http%3A%2F%2Fwho.int%2Ficd%2316355_512ebf36_bf6b_4d70_85da_cf2637062af4","iCat")</x:f>
      </x:c>
      <x:c r="M3448" s="0" t="s">
        <x:v>21</x:v>
      </x:c>
      <x:c r="N3448" s="0" t="s">
        <x:v>46</x:v>
      </x:c>
    </x:row>
    <x:row r="3449" spans="1:16">
      <x:c r="A3449" s="0" t="s">
        <x:v>13638</x:v>
      </x:c>
      <x:c r="B3449" s="0" t="s">
        <x:v>13639</x:v>
      </x:c>
      <x:c r="C3449" s="0" t="s">
        <x:v>13640</x:v>
      </x:c>
      <x:c r="E3449" s="0" t="s">
        <x:v>13641</x:v>
      </x:c>
      <x:c r="F3449" s="0" t="s">
        <x:v>45</x:v>
      </x:c>
      <x:c r="G3449" s="0" t="s">
        <x:v>19</x:v>
      </x:c>
      <x:c r="H3449" s="0" t="s">
        <x:v>20</x:v>
      </x:c>
      <x:c r="I3449" s="0" t="s">
        <x:v>21</x:v>
      </x:c>
      <x:c r="K3449" s="0">
        <x:f>hyperlink("https://icd.who.int/dev11/l-ichi/en#/http%3A%2F%2Fid.who.int%2Ficd%2Fentity%2F634368705","browser")</x:f>
      </x:c>
      <x:c r="L3449" s="0">
        <x:f>hyperlink("https://icat2.azurewebsites.net/icat/?ontology=ICD&amp;tab=ClassesTab&amp;id=http%3A%2F%2Fwho.int%2Ficd%2316361_512ebf36_bf6b_4d70_85da_cf2637062af4","iCat")</x:f>
      </x:c>
      <x:c r="M3449" s="0" t="s">
        <x:v>21</x:v>
      </x:c>
      <x:c r="N3449" s="0" t="s">
        <x:v>46</x:v>
      </x:c>
    </x:row>
    <x:row r="3450" spans="1:16">
      <x:c r="A3450" s="0" t="s">
        <x:v>13642</x:v>
      </x:c>
      <x:c r="B3450" s="0" t="s">
        <x:v>13643</x:v>
      </x:c>
      <x:c r="C3450" s="0" t="s">
        <x:v>13644</x:v>
      </x:c>
      <x:c r="E3450" s="0" t="s">
        <x:v>13645</x:v>
      </x:c>
      <x:c r="F3450" s="0" t="s">
        <x:v>45</x:v>
      </x:c>
      <x:c r="G3450" s="0" t="s">
        <x:v>19</x:v>
      </x:c>
      <x:c r="H3450" s="0" t="s">
        <x:v>20</x:v>
      </x:c>
      <x:c r="I3450" s="0" t="s">
        <x:v>21</x:v>
      </x:c>
      <x:c r="K3450" s="0">
        <x:f>hyperlink("https://icd.who.int/dev11/l-ichi/en#/http%3A%2F%2Fid.who.int%2Ficd%2Fentity%2F1974758256","browser")</x:f>
      </x:c>
      <x:c r="L3450" s="0">
        <x:f>hyperlink("https://icat2.azurewebsites.net/icat/?ontology=ICD&amp;tab=ClassesTab&amp;id=http%3A%2F%2Fwho.int%2Ficd%2316367_512ebf36_bf6b_4d70_85da_cf2637062af4","iCat")</x:f>
      </x:c>
      <x:c r="M3450" s="0" t="s">
        <x:v>21</x:v>
      </x:c>
      <x:c r="N3450" s="0" t="s">
        <x:v>46</x:v>
      </x:c>
    </x:row>
    <x:row r="3451" spans="1:16">
      <x:c r="A3451" s="0" t="s">
        <x:v>13646</x:v>
      </x:c>
      <x:c r="B3451" s="0" t="s">
        <x:v>13647</x:v>
      </x:c>
      <x:c r="C3451" s="0" t="s">
        <x:v>13648</x:v>
      </x:c>
      <x:c r="E3451" s="0" t="s">
        <x:v>13649</x:v>
      </x:c>
      <x:c r="F3451" s="0" t="s">
        <x:v>45</x:v>
      </x:c>
      <x:c r="G3451" s="0" t="s">
        <x:v>19</x:v>
      </x:c>
      <x:c r="H3451" s="0" t="s">
        <x:v>20</x:v>
      </x:c>
      <x:c r="I3451" s="0" t="s">
        <x:v>21</x:v>
      </x:c>
      <x:c r="K3451" s="0">
        <x:f>hyperlink("https://icd.who.int/dev11/l-ichi/en#/http%3A%2F%2Fid.who.int%2Ficd%2Fentity%2F1525977568","browser")</x:f>
      </x:c>
      <x:c r="L3451" s="0">
        <x:f>hyperlink("https://icat2.azurewebsites.net/icat/?ontology=ICD&amp;tab=ClassesTab&amp;id=http%3A%2F%2Fwho.int%2Ficd%2316374_512ebf36_bf6b_4d70_85da_cf2637062af4","iCat")</x:f>
      </x:c>
      <x:c r="M3451" s="0" t="s">
        <x:v>21</x:v>
      </x:c>
      <x:c r="N3451" s="0" t="s">
        <x:v>46</x:v>
      </x:c>
    </x:row>
    <x:row r="3452" spans="1:16">
      <x:c r="A3452" s="0" t="s">
        <x:v>13650</x:v>
      </x:c>
      <x:c r="B3452" s="0" t="s">
        <x:v>13651</x:v>
      </x:c>
      <x:c r="C3452" s="0" t="s">
        <x:v>13652</x:v>
      </x:c>
      <x:c r="E3452" s="0" t="s">
        <x:v>13653</x:v>
      </x:c>
      <x:c r="F3452" s="0" t="s">
        <x:v>45</x:v>
      </x:c>
      <x:c r="G3452" s="0" t="s">
        <x:v>19</x:v>
      </x:c>
      <x:c r="H3452" s="0" t="s">
        <x:v>20</x:v>
      </x:c>
      <x:c r="I3452" s="0" t="s">
        <x:v>21</x:v>
      </x:c>
      <x:c r="K3452" s="0">
        <x:f>hyperlink("https://icd.who.int/dev11/l-ichi/en#/http%3A%2F%2Fid.who.int%2Ficd%2Fentity%2F627573425","browser")</x:f>
      </x:c>
      <x:c r="L3452" s="0">
        <x:f>hyperlink("https://icat2.azurewebsites.net/icat/?ontology=ICD&amp;tab=ClassesTab&amp;id=http%3A%2F%2Fwho.int%2Ficd%2316382_512ebf36_bf6b_4d70_85da_cf2637062af4","iCat")</x:f>
      </x:c>
      <x:c r="M3452" s="0" t="s">
        <x:v>21</x:v>
      </x:c>
      <x:c r="N3452" s="0" t="s">
        <x:v>46</x:v>
      </x:c>
    </x:row>
    <x:row r="3453" spans="1:16">
      <x:c r="A3453" s="0" t="s">
        <x:v>13654</x:v>
      </x:c>
      <x:c r="B3453" s="0" t="s">
        <x:v>13655</x:v>
      </x:c>
      <x:c r="C3453" s="0" t="s">
        <x:v>13656</x:v>
      </x:c>
      <x:c r="E3453" s="0" t="s">
        <x:v>13657</x:v>
      </x:c>
      <x:c r="F3453" s="0" t="s">
        <x:v>45</x:v>
      </x:c>
      <x:c r="G3453" s="0" t="s">
        <x:v>19</x:v>
      </x:c>
      <x:c r="H3453" s="0" t="s">
        <x:v>20</x:v>
      </x:c>
      <x:c r="I3453" s="0" t="s">
        <x:v>21</x:v>
      </x:c>
      <x:c r="K3453" s="0">
        <x:f>hyperlink("https://icd.who.int/dev11/l-ichi/en#/http%3A%2F%2Fid.who.int%2Ficd%2Fentity%2F718375459","browser")</x:f>
      </x:c>
      <x:c r="L3453" s="0">
        <x:f>hyperlink("https://icat2.azurewebsites.net/icat/?ontology=ICD&amp;tab=ClassesTab&amp;id=http%3A%2F%2Fwho.int%2Ficd%2316390_512ebf36_bf6b_4d70_85da_cf2637062af4","iCat")</x:f>
      </x:c>
      <x:c r="M3453" s="0" t="s">
        <x:v>21</x:v>
      </x:c>
      <x:c r="N3453" s="0" t="s">
        <x:v>46</x:v>
      </x:c>
    </x:row>
    <x:row r="3454" spans="1:16">
      <x:c r="A3454" s="0" t="s">
        <x:v>13658</x:v>
      </x:c>
      <x:c r="B3454" s="0" t="s">
        <x:v>13659</x:v>
      </x:c>
      <x:c r="C3454" s="0" t="s">
        <x:v>13660</x:v>
      </x:c>
      <x:c r="E3454" s="0" t="s">
        <x:v>13661</x:v>
      </x:c>
      <x:c r="F3454" s="0" t="s">
        <x:v>45</x:v>
      </x:c>
      <x:c r="G3454" s="0" t="s">
        <x:v>19</x:v>
      </x:c>
      <x:c r="H3454" s="0" t="s">
        <x:v>20</x:v>
      </x:c>
      <x:c r="I3454" s="0" t="s">
        <x:v>21</x:v>
      </x:c>
      <x:c r="K3454" s="0">
        <x:f>hyperlink("https://icd.who.int/dev11/l-ichi/en#/http%3A%2F%2Fid.who.int%2Ficd%2Fentity%2F1683028854","browser")</x:f>
      </x:c>
      <x:c r="L3454" s="0">
        <x:f>hyperlink("https://icat2.azurewebsites.net/icat/?ontology=ICD&amp;tab=ClassesTab&amp;id=http%3A%2F%2Fwho.int%2Ficd%2316398_512ebf36_bf6b_4d70_85da_cf2637062af4","iCat")</x:f>
      </x:c>
      <x:c r="M3454" s="0" t="s">
        <x:v>21</x:v>
      </x:c>
      <x:c r="N3454" s="0" t="s">
        <x:v>46</x:v>
      </x:c>
    </x:row>
    <x:row r="3455" spans="1:16">
      <x:c r="A3455" s="0" t="s">
        <x:v>13662</x:v>
      </x:c>
      <x:c r="B3455" s="0" t="s">
        <x:v>13663</x:v>
      </x:c>
      <x:c r="C3455" s="0" t="s">
        <x:v>13664</x:v>
      </x:c>
      <x:c r="E3455" s="0" t="s">
        <x:v>13665</x:v>
      </x:c>
      <x:c r="F3455" s="0" t="s">
        <x:v>45</x:v>
      </x:c>
      <x:c r="G3455" s="0" t="s">
        <x:v>19</x:v>
      </x:c>
      <x:c r="H3455" s="0" t="s">
        <x:v>20</x:v>
      </x:c>
      <x:c r="I3455" s="0" t="s">
        <x:v>21</x:v>
      </x:c>
      <x:c r="K3455" s="0">
        <x:f>hyperlink("https://icd.who.int/dev11/l-ichi/en#/http%3A%2F%2Fid.who.int%2Ficd%2Fentity%2F1661941613","browser")</x:f>
      </x:c>
      <x:c r="L3455" s="0">
        <x:f>hyperlink("https://icat2.azurewebsites.net/icat/?ontology=ICD&amp;tab=ClassesTab&amp;id=http%3A%2F%2Fwho.int%2Ficd%2316406_512ebf36_bf6b_4d70_85da_cf2637062af4","iCat")</x:f>
      </x:c>
      <x:c r="M3455" s="0" t="s">
        <x:v>21</x:v>
      </x:c>
      <x:c r="N3455" s="0" t="s">
        <x:v>46</x:v>
      </x:c>
    </x:row>
    <x:row r="3456" spans="1:16">
      <x:c r="A3456" s="0" t="s">
        <x:v>13666</x:v>
      </x:c>
      <x:c r="B3456" s="0" t="s">
        <x:v>13667</x:v>
      </x:c>
      <x:c r="C3456" s="0" t="s">
        <x:v>13668</x:v>
      </x:c>
      <x:c r="E3456" s="0" t="s">
        <x:v>13669</x:v>
      </x:c>
      <x:c r="F3456" s="0" t="s">
        <x:v>45</x:v>
      </x:c>
      <x:c r="G3456" s="0" t="s">
        <x:v>19</x:v>
      </x:c>
      <x:c r="H3456" s="0" t="s">
        <x:v>20</x:v>
      </x:c>
      <x:c r="I3456" s="0" t="s">
        <x:v>21</x:v>
      </x:c>
      <x:c r="K3456" s="0">
        <x:f>hyperlink("https://icd.who.int/dev11/l-ichi/en#/http%3A%2F%2Fid.who.int%2Ficd%2Fentity%2F1280298435","browser")</x:f>
      </x:c>
      <x:c r="L3456" s="0">
        <x:f>hyperlink("https://icat2.azurewebsites.net/icat/?ontology=ICD&amp;tab=ClassesTab&amp;id=http%3A%2F%2Fwho.int%2Ficd%2316415_512ebf36_bf6b_4d70_85da_cf2637062af4","iCat")</x:f>
      </x:c>
      <x:c r="M3456" s="0" t="s">
        <x:v>21</x:v>
      </x:c>
      <x:c r="N3456" s="0" t="s">
        <x:v>46</x:v>
      </x:c>
    </x:row>
    <x:row r="3457" spans="1:16">
      <x:c r="A3457" s="0" t="s">
        <x:v>13670</x:v>
      </x:c>
      <x:c r="B3457" s="0" t="s">
        <x:v>13671</x:v>
      </x:c>
      <x:c r="C3457" s="0" t="s">
        <x:v>13672</x:v>
      </x:c>
      <x:c r="E3457" s="0" t="s">
        <x:v>13673</x:v>
      </x:c>
      <x:c r="F3457" s="0" t="s">
        <x:v>45</x:v>
      </x:c>
      <x:c r="G3457" s="0" t="s">
        <x:v>19</x:v>
      </x:c>
      <x:c r="H3457" s="0" t="s">
        <x:v>20</x:v>
      </x:c>
      <x:c r="I3457" s="0" t="s">
        <x:v>21</x:v>
      </x:c>
      <x:c r="K3457" s="0">
        <x:f>hyperlink("https://icd.who.int/dev11/l-ichi/en#/http%3A%2F%2Fid.who.int%2Ficd%2Fentity%2F972638640","browser")</x:f>
      </x:c>
      <x:c r="L3457" s="0">
        <x:f>hyperlink("https://icat2.azurewebsites.net/icat/?ontology=ICD&amp;tab=ClassesTab&amp;id=http%3A%2F%2Fwho.int%2Ficd%2316421_512ebf36_bf6b_4d70_85da_cf2637062af4","iCat")</x:f>
      </x:c>
      <x:c r="M3457" s="0" t="s">
        <x:v>21</x:v>
      </x:c>
      <x:c r="N3457" s="0" t="s">
        <x:v>46</x:v>
      </x:c>
    </x:row>
    <x:row r="3458" spans="1:16">
      <x:c r="A3458" s="0" t="s">
        <x:v>13674</x:v>
      </x:c>
      <x:c r="B3458" s="0" t="s">
        <x:v>13675</x:v>
      </x:c>
      <x:c r="C3458" s="0" t="s">
        <x:v>13676</x:v>
      </x:c>
      <x:c r="E3458" s="0" t="s">
        <x:v>13677</x:v>
      </x:c>
      <x:c r="F3458" s="0" t="s">
        <x:v>45</x:v>
      </x:c>
      <x:c r="G3458" s="0" t="s">
        <x:v>19</x:v>
      </x:c>
      <x:c r="H3458" s="0" t="s">
        <x:v>20</x:v>
      </x:c>
      <x:c r="I3458" s="0" t="s">
        <x:v>21</x:v>
      </x:c>
      <x:c r="K3458" s="0">
        <x:f>hyperlink("https://icd.who.int/dev11/l-ichi/en#/http%3A%2F%2Fid.who.int%2Ficd%2Fentity%2F1770164225","browser")</x:f>
      </x:c>
      <x:c r="L3458" s="0">
        <x:f>hyperlink("https://icat2.azurewebsites.net/icat/?ontology=ICD&amp;tab=ClassesTab&amp;id=http%3A%2F%2Fwho.int%2Ficd%2316427_512ebf36_bf6b_4d70_85da_cf2637062af4","iCat")</x:f>
      </x:c>
      <x:c r="M3458" s="0" t="s">
        <x:v>21</x:v>
      </x:c>
      <x:c r="N3458" s="0" t="s">
        <x:v>46</x:v>
      </x:c>
    </x:row>
    <x:row r="3459" spans="1:16">
      <x:c r="A3459" s="0" t="s">
        <x:v>13678</x:v>
      </x:c>
      <x:c r="B3459" s="0" t="s">
        <x:v>13679</x:v>
      </x:c>
      <x:c r="C3459" s="0" t="s">
        <x:v>13680</x:v>
      </x:c>
      <x:c r="E3459" s="0" t="s">
        <x:v>13681</x:v>
      </x:c>
      <x:c r="F3459" s="0" t="s">
        <x:v>45</x:v>
      </x:c>
      <x:c r="G3459" s="0" t="s">
        <x:v>19</x:v>
      </x:c>
      <x:c r="H3459" s="0" t="s">
        <x:v>20</x:v>
      </x:c>
      <x:c r="I3459" s="0" t="s">
        <x:v>21</x:v>
      </x:c>
      <x:c r="K3459" s="0">
        <x:f>hyperlink("https://icd.who.int/dev11/l-ichi/en#/http%3A%2F%2Fid.who.int%2Ficd%2Fentity%2F1027923856","browser")</x:f>
      </x:c>
      <x:c r="L3459" s="0">
        <x:f>hyperlink("https://icat2.azurewebsites.net/icat/?ontology=ICD&amp;tab=ClassesTab&amp;id=http%3A%2F%2Fwho.int%2Ficd%2316438_512ebf36_bf6b_4d70_85da_cf2637062af4","iCat")</x:f>
      </x:c>
      <x:c r="M3459" s="0" t="s">
        <x:v>21</x:v>
      </x:c>
      <x:c r="N3459" s="0" t="s">
        <x:v>46</x:v>
      </x:c>
    </x:row>
    <x:row r="3460" spans="1:16">
      <x:c r="A3460" s="0" t="s">
        <x:v>13682</x:v>
      </x:c>
      <x:c r="B3460" s="0" t="s">
        <x:v>13683</x:v>
      </x:c>
      <x:c r="C3460" s="0" t="s">
        <x:v>13684</x:v>
      </x:c>
      <x:c r="E3460" s="0" t="s">
        <x:v>13685</x:v>
      </x:c>
      <x:c r="F3460" s="0" t="s">
        <x:v>45</x:v>
      </x:c>
      <x:c r="G3460" s="0" t="s">
        <x:v>19</x:v>
      </x:c>
      <x:c r="H3460" s="0" t="s">
        <x:v>20</x:v>
      </x:c>
      <x:c r="I3460" s="0" t="s">
        <x:v>21</x:v>
      </x:c>
      <x:c r="K3460" s="0">
        <x:f>hyperlink("https://icd.who.int/dev11/l-ichi/en#/http%3A%2F%2Fid.who.int%2Ficd%2Fentity%2F1817397103","browser")</x:f>
      </x:c>
      <x:c r="L3460" s="0">
        <x:f>hyperlink("https://icat2.azurewebsites.net/icat/?ontology=ICD&amp;tab=ClassesTab&amp;id=http%3A%2F%2Fwho.int%2Ficd%2316453_512ebf36_bf6b_4d70_85da_cf2637062af4","iCat")</x:f>
      </x:c>
      <x:c r="M3460" s="0" t="s">
        <x:v>21</x:v>
      </x:c>
      <x:c r="N3460" s="0" t="s">
        <x:v>46</x:v>
      </x:c>
    </x:row>
    <x:row r="3461" spans="1:16">
      <x:c r="A3461" s="0" t="s">
        <x:v>13686</x:v>
      </x:c>
      <x:c r="B3461" s="0" t="s">
        <x:v>13687</x:v>
      </x:c>
      <x:c r="C3461" s="0" t="s">
        <x:v>13688</x:v>
      </x:c>
      <x:c r="E3461" s="0" t="s">
        <x:v>13689</x:v>
      </x:c>
      <x:c r="F3461" s="0" t="s">
        <x:v>45</x:v>
      </x:c>
      <x:c r="G3461" s="0" t="s">
        <x:v>19</x:v>
      </x:c>
      <x:c r="H3461" s="0" t="s">
        <x:v>20</x:v>
      </x:c>
      <x:c r="I3461" s="0" t="s">
        <x:v>21</x:v>
      </x:c>
      <x:c r="K3461" s="0">
        <x:f>hyperlink("https://icd.who.int/dev11/l-ichi/en#/http%3A%2F%2Fid.who.int%2Ficd%2Fentity%2F1235098285","browser")</x:f>
      </x:c>
      <x:c r="L3461" s="0">
        <x:f>hyperlink("https://icat2.azurewebsites.net/icat/?ontology=ICD&amp;tab=ClassesTab&amp;id=http%3A%2F%2Fwho.int%2Ficd%2316461_512ebf36_bf6b_4d70_85da_cf2637062af4","iCat")</x:f>
      </x:c>
      <x:c r="M3461" s="0" t="s">
        <x:v>21</x:v>
      </x:c>
      <x:c r="N3461" s="0" t="s">
        <x:v>46</x:v>
      </x:c>
    </x:row>
    <x:row r="3462" spans="1:16">
      <x:c r="A3462" s="0" t="s">
        <x:v>13690</x:v>
      </x:c>
      <x:c r="B3462" s="0" t="s">
        <x:v>13691</x:v>
      </x:c>
      <x:c r="C3462" s="0" t="s">
        <x:v>13692</x:v>
      </x:c>
      <x:c r="E3462" s="0" t="s">
        <x:v>13693</x:v>
      </x:c>
      <x:c r="F3462" s="0" t="s">
        <x:v>45</x:v>
      </x:c>
      <x:c r="G3462" s="0" t="s">
        <x:v>19</x:v>
      </x:c>
      <x:c r="H3462" s="0" t="s">
        <x:v>20</x:v>
      </x:c>
      <x:c r="I3462" s="0" t="s">
        <x:v>21</x:v>
      </x:c>
      <x:c r="K3462" s="0">
        <x:f>hyperlink("https://icd.who.int/dev11/l-ichi/en#/http%3A%2F%2Fid.who.int%2Ficd%2Fentity%2F434488094","browser")</x:f>
      </x:c>
      <x:c r="L3462" s="0">
        <x:f>hyperlink("https://icat2.azurewebsites.net/icat/?ontology=ICD&amp;tab=ClassesTab&amp;id=http%3A%2F%2Fwho.int%2Ficd%2316467_512ebf36_bf6b_4d70_85da_cf2637062af4","iCat")</x:f>
      </x:c>
      <x:c r="M3462" s="0" t="s">
        <x:v>21</x:v>
      </x:c>
      <x:c r="N3462" s="0" t="s">
        <x:v>46</x:v>
      </x:c>
    </x:row>
    <x:row r="3463" spans="1:16">
      <x:c r="A3463" s="0" t="s">
        <x:v>13694</x:v>
      </x:c>
      <x:c r="B3463" s="0" t="s">
        <x:v>13695</x:v>
      </x:c>
      <x:c r="C3463" s="0" t="s">
        <x:v>13696</x:v>
      </x:c>
      <x:c r="E3463" s="0" t="s">
        <x:v>13697</x:v>
      </x:c>
      <x:c r="F3463" s="0" t="s">
        <x:v>45</x:v>
      </x:c>
      <x:c r="G3463" s="0" t="s">
        <x:v>19</x:v>
      </x:c>
      <x:c r="H3463" s="0" t="s">
        <x:v>20</x:v>
      </x:c>
      <x:c r="I3463" s="0" t="s">
        <x:v>21</x:v>
      </x:c>
      <x:c r="K3463" s="0">
        <x:f>hyperlink("https://icd.who.int/dev11/l-ichi/en#/http%3A%2F%2Fid.who.int%2Ficd%2Fentity%2F423785324","browser")</x:f>
      </x:c>
      <x:c r="L3463" s="0">
        <x:f>hyperlink("https://icat2.azurewebsites.net/icat/?ontology=ICD&amp;tab=ClassesTab&amp;id=http%3A%2F%2Fwho.int%2Ficd%2316484_512ebf36_bf6b_4d70_85da_cf2637062af4","iCat")</x:f>
      </x:c>
      <x:c r="M3463" s="0" t="s">
        <x:v>21</x:v>
      </x:c>
      <x:c r="N3463" s="0" t="s">
        <x:v>46</x:v>
      </x:c>
    </x:row>
    <x:row r="3464" spans="1:16">
      <x:c r="A3464" s="0" t="s">
        <x:v>13698</x:v>
      </x:c>
      <x:c r="B3464" s="0" t="s">
        <x:v>13699</x:v>
      </x:c>
      <x:c r="C3464" s="0" t="s">
        <x:v>13700</x:v>
      </x:c>
      <x:c r="E3464" s="0" t="s">
        <x:v>13701</x:v>
      </x:c>
      <x:c r="F3464" s="0" t="s">
        <x:v>45</x:v>
      </x:c>
      <x:c r="G3464" s="0" t="s">
        <x:v>19</x:v>
      </x:c>
      <x:c r="H3464" s="0" t="s">
        <x:v>20</x:v>
      </x:c>
      <x:c r="I3464" s="0" t="s">
        <x:v>21</x:v>
      </x:c>
      <x:c r="K3464" s="0">
        <x:f>hyperlink("https://icd.who.int/dev11/l-ichi/en#/http%3A%2F%2Fid.who.int%2Ficd%2Fentity%2F1182802511","browser")</x:f>
      </x:c>
      <x:c r="L3464" s="0">
        <x:f>hyperlink("https://icat2.azurewebsites.net/icat/?ontology=ICD&amp;tab=ClassesTab&amp;id=http%3A%2F%2Fwho.int%2Ficd%2316490_512ebf36_bf6b_4d70_85da_cf2637062af4","iCat")</x:f>
      </x:c>
      <x:c r="M3464" s="0" t="s">
        <x:v>21</x:v>
      </x:c>
      <x:c r="N3464" s="0" t="s">
        <x:v>46</x:v>
      </x:c>
    </x:row>
    <x:row r="3465" spans="1:16">
      <x:c r="A3465" s="0" t="s">
        <x:v>13702</x:v>
      </x:c>
      <x:c r="B3465" s="0" t="s">
        <x:v>13703</x:v>
      </x:c>
      <x:c r="C3465" s="0" t="s">
        <x:v>13704</x:v>
      </x:c>
      <x:c r="E3465" s="0" t="s">
        <x:v>13705</x:v>
      </x:c>
      <x:c r="F3465" s="0" t="s">
        <x:v>45</x:v>
      </x:c>
      <x:c r="G3465" s="0" t="s">
        <x:v>19</x:v>
      </x:c>
      <x:c r="H3465" s="0" t="s">
        <x:v>20</x:v>
      </x:c>
      <x:c r="I3465" s="0" t="s">
        <x:v>21</x:v>
      </x:c>
      <x:c r="K3465" s="0">
        <x:f>hyperlink("https://icd.who.int/dev11/l-ichi/en#/http%3A%2F%2Fid.who.int%2Ficd%2Fentity%2F687350054","browser")</x:f>
      </x:c>
      <x:c r="L3465" s="0">
        <x:f>hyperlink("https://icat2.azurewebsites.net/icat/?ontology=ICD&amp;tab=ClassesTab&amp;id=http%3A%2F%2Fwho.int%2Ficd%2316499_512ebf36_bf6b_4d70_85da_cf2637062af4","iCat")</x:f>
      </x:c>
      <x:c r="M3465" s="0" t="s">
        <x:v>21</x:v>
      </x:c>
      <x:c r="N3465" s="0" t="s">
        <x:v>46</x:v>
      </x:c>
    </x:row>
    <x:row r="3466" spans="1:16">
      <x:c r="A3466" s="0" t="s">
        <x:v>13706</x:v>
      </x:c>
      <x:c r="B3466" s="0" t="s">
        <x:v>13707</x:v>
      </x:c>
      <x:c r="C3466" s="0" t="s">
        <x:v>13708</x:v>
      </x:c>
      <x:c r="E3466" s="0" t="s">
        <x:v>13709</x:v>
      </x:c>
      <x:c r="F3466" s="0" t="s">
        <x:v>45</x:v>
      </x:c>
      <x:c r="G3466" s="0" t="s">
        <x:v>19</x:v>
      </x:c>
      <x:c r="H3466" s="0" t="s">
        <x:v>20</x:v>
      </x:c>
      <x:c r="I3466" s="0" t="s">
        <x:v>21</x:v>
      </x:c>
      <x:c r="K3466" s="0">
        <x:f>hyperlink("https://icd.who.int/dev11/l-ichi/en#/http%3A%2F%2Fid.who.int%2Ficd%2Fentity%2F1393925641","browser")</x:f>
      </x:c>
      <x:c r="L3466" s="0">
        <x:f>hyperlink("https://icat2.azurewebsites.net/icat/?ontology=ICD&amp;tab=ClassesTab&amp;id=http%3A%2F%2Fwho.int%2Ficd%2316505_512ebf36_bf6b_4d70_85da_cf2637062af4","iCat")</x:f>
      </x:c>
      <x:c r="M3466" s="0" t="s">
        <x:v>21</x:v>
      </x:c>
      <x:c r="N3466" s="0" t="s">
        <x:v>46</x:v>
      </x:c>
    </x:row>
    <x:row r="3467" spans="1:16">
      <x:c r="A3467" s="0" t="s">
        <x:v>13710</x:v>
      </x:c>
      <x:c r="B3467" s="0" t="s">
        <x:v>13711</x:v>
      </x:c>
      <x:c r="C3467" s="0" t="s">
        <x:v>13712</x:v>
      </x:c>
      <x:c r="E3467" s="0" t="s">
        <x:v>13713</x:v>
      </x:c>
      <x:c r="F3467" s="0" t="s">
        <x:v>45</x:v>
      </x:c>
      <x:c r="G3467" s="0" t="s">
        <x:v>19</x:v>
      </x:c>
      <x:c r="H3467" s="0" t="s">
        <x:v>20</x:v>
      </x:c>
      <x:c r="I3467" s="0" t="s">
        <x:v>21</x:v>
      </x:c>
      <x:c r="K3467" s="0">
        <x:f>hyperlink("https://icd.who.int/dev11/l-ichi/en#/http%3A%2F%2Fid.who.int%2Ficd%2Fentity%2F1772868335","browser")</x:f>
      </x:c>
      <x:c r="L3467" s="0">
        <x:f>hyperlink("https://icat2.azurewebsites.net/icat/?ontology=ICD&amp;tab=ClassesTab&amp;id=http%3A%2F%2Fwho.int%2Ficd%2316513_512ebf36_bf6b_4d70_85da_cf2637062af4","iCat")</x:f>
      </x:c>
      <x:c r="M3467" s="0" t="s">
        <x:v>21</x:v>
      </x:c>
      <x:c r="N3467" s="0" t="s">
        <x:v>46</x:v>
      </x:c>
    </x:row>
    <x:row r="3468" spans="1:16">
      <x:c r="A3468" s="0" t="s">
        <x:v>13714</x:v>
      </x:c>
      <x:c r="B3468" s="0" t="s">
        <x:v>13715</x:v>
      </x:c>
      <x:c r="C3468" s="0" t="s">
        <x:v>13716</x:v>
      </x:c>
      <x:c r="E3468" s="0" t="s">
        <x:v>13717</x:v>
      </x:c>
      <x:c r="F3468" s="0" t="s">
        <x:v>45</x:v>
      </x:c>
      <x:c r="G3468" s="0" t="s">
        <x:v>19</x:v>
      </x:c>
      <x:c r="H3468" s="0" t="s">
        <x:v>20</x:v>
      </x:c>
      <x:c r="I3468" s="0" t="s">
        <x:v>21</x:v>
      </x:c>
      <x:c r="K3468" s="0">
        <x:f>hyperlink("https://icd.who.int/dev11/l-ichi/en#/http%3A%2F%2Fid.who.int%2Ficd%2Fentity%2F1112981119","browser")</x:f>
      </x:c>
      <x:c r="L3468" s="0">
        <x:f>hyperlink("https://icat2.azurewebsites.net/icat/?ontology=ICD&amp;tab=ClassesTab&amp;id=http%3A%2F%2Fwho.int%2Ficd%2316519_512ebf36_bf6b_4d70_85da_cf2637062af4","iCat")</x:f>
      </x:c>
      <x:c r="M3468" s="0" t="s">
        <x:v>21</x:v>
      </x:c>
      <x:c r="N3468" s="0" t="s">
        <x:v>46</x:v>
      </x:c>
    </x:row>
    <x:row r="3469" spans="1:16">
      <x:c r="A3469" s="0" t="s">
        <x:v>13718</x:v>
      </x:c>
      <x:c r="B3469" s="0" t="s">
        <x:v>13719</x:v>
      </x:c>
      <x:c r="C3469" s="0" t="s">
        <x:v>13720</x:v>
      </x:c>
      <x:c r="E3469" s="0" t="s">
        <x:v>13721</x:v>
      </x:c>
      <x:c r="F3469" s="0" t="s">
        <x:v>45</x:v>
      </x:c>
      <x:c r="G3469" s="0" t="s">
        <x:v>19</x:v>
      </x:c>
      <x:c r="H3469" s="0" t="s">
        <x:v>20</x:v>
      </x:c>
      <x:c r="I3469" s="0" t="s">
        <x:v>21</x:v>
      </x:c>
      <x:c r="K3469" s="0">
        <x:f>hyperlink("https://icd.who.int/dev11/l-ichi/en#/http%3A%2F%2Fid.who.int%2Ficd%2Fentity%2F2036419417","browser")</x:f>
      </x:c>
      <x:c r="L3469" s="0">
        <x:f>hyperlink("https://icat2.azurewebsites.net/icat/?ontology=ICD&amp;tab=ClassesTab&amp;id=http%3A%2F%2Fwho.int%2Ficd%2316525_512ebf36_bf6b_4d70_85da_cf2637062af4","iCat")</x:f>
      </x:c>
      <x:c r="M3469" s="0" t="s">
        <x:v>21</x:v>
      </x:c>
      <x:c r="N3469" s="0" t="s">
        <x:v>46</x:v>
      </x:c>
    </x:row>
    <x:row r="3470" spans="1:16">
      <x:c r="A3470" s="0" t="s">
        <x:v>13722</x:v>
      </x:c>
      <x:c r="B3470" s="0" t="s">
        <x:v>13723</x:v>
      </x:c>
      <x:c r="C3470" s="0" t="s">
        <x:v>13724</x:v>
      </x:c>
      <x:c r="E3470" s="0" t="s">
        <x:v>13725</x:v>
      </x:c>
      <x:c r="F3470" s="0" t="s">
        <x:v>45</x:v>
      </x:c>
      <x:c r="G3470" s="0" t="s">
        <x:v>19</x:v>
      </x:c>
      <x:c r="H3470" s="0" t="s">
        <x:v>20</x:v>
      </x:c>
      <x:c r="I3470" s="0" t="s">
        <x:v>21</x:v>
      </x:c>
      <x:c r="K3470" s="0">
        <x:f>hyperlink("https://icd.who.int/dev11/l-ichi/en#/http%3A%2F%2Fid.who.int%2Ficd%2Fentity%2F1663464835","browser")</x:f>
      </x:c>
      <x:c r="L3470" s="0">
        <x:f>hyperlink("https://icat2.azurewebsites.net/icat/?ontology=ICD&amp;tab=ClassesTab&amp;id=http%3A%2F%2Fwho.int%2Ficd%2316532_512ebf36_bf6b_4d70_85da_cf2637062af4","iCat")</x:f>
      </x:c>
      <x:c r="M3470" s="0" t="s">
        <x:v>21</x:v>
      </x:c>
      <x:c r="N3470" s="0" t="s">
        <x:v>46</x:v>
      </x:c>
    </x:row>
    <x:row r="3471" spans="1:16">
      <x:c r="A3471" s="0" t="s">
        <x:v>13726</x:v>
      </x:c>
      <x:c r="B3471" s="0" t="s">
        <x:v>13727</x:v>
      </x:c>
      <x:c r="C3471" s="0" t="s">
        <x:v>13728</x:v>
      </x:c>
      <x:c r="E3471" s="0" t="s">
        <x:v>13729</x:v>
      </x:c>
      <x:c r="F3471" s="0" t="s">
        <x:v>45</x:v>
      </x:c>
      <x:c r="G3471" s="0" t="s">
        <x:v>19</x:v>
      </x:c>
      <x:c r="H3471" s="0" t="s">
        <x:v>20</x:v>
      </x:c>
      <x:c r="I3471" s="0" t="s">
        <x:v>21</x:v>
      </x:c>
      <x:c r="K3471" s="0">
        <x:f>hyperlink("https://icd.who.int/dev11/l-ichi/en#/http%3A%2F%2Fid.who.int%2Ficd%2Fentity%2F1408263833","browser")</x:f>
      </x:c>
      <x:c r="L3471" s="0">
        <x:f>hyperlink("https://icat2.azurewebsites.net/icat/?ontology=ICD&amp;tab=ClassesTab&amp;id=http%3A%2F%2Fwho.int%2Ficd%2316542_512ebf36_bf6b_4d70_85da_cf2637062af4","iCat")</x:f>
      </x:c>
      <x:c r="M3471" s="0" t="s">
        <x:v>21</x:v>
      </x:c>
      <x:c r="N3471" s="0" t="s">
        <x:v>46</x:v>
      </x:c>
    </x:row>
    <x:row r="3472" spans="1:16">
      <x:c r="A3472" s="0" t="s">
        <x:v>13730</x:v>
      </x:c>
      <x:c r="B3472" s="0" t="s">
        <x:v>13731</x:v>
      </x:c>
      <x:c r="C3472" s="0" t="s">
        <x:v>13732</x:v>
      </x:c>
      <x:c r="E3472" s="0" t="s">
        <x:v>13733</x:v>
      </x:c>
      <x:c r="F3472" s="0" t="s">
        <x:v>45</x:v>
      </x:c>
      <x:c r="G3472" s="0" t="s">
        <x:v>19</x:v>
      </x:c>
      <x:c r="H3472" s="0" t="s">
        <x:v>20</x:v>
      </x:c>
      <x:c r="I3472" s="0" t="s">
        <x:v>21</x:v>
      </x:c>
      <x:c r="K3472" s="0">
        <x:f>hyperlink("https://icd.who.int/dev11/l-ichi/en#/http%3A%2F%2Fid.who.int%2Ficd%2Fentity%2F1596638749","browser")</x:f>
      </x:c>
      <x:c r="L3472" s="0">
        <x:f>hyperlink("https://icat2.azurewebsites.net/icat/?ontology=ICD&amp;tab=ClassesTab&amp;id=http%3A%2F%2Fwho.int%2Ficd%2316132_4869915e_217e_423d_acb3_33c0f920ef4b","iCat")</x:f>
      </x:c>
      <x:c r="M3472" s="0" t="s">
        <x:v>21</x:v>
      </x:c>
      <x:c r="N3472" s="0" t="s">
        <x:v>46</x:v>
      </x:c>
    </x:row>
    <x:row r="3473" spans="1:16">
      <x:c r="A3473" s="0" t="s">
        <x:v>13734</x:v>
      </x:c>
      <x:c r="B3473" s="0" t="s">
        <x:v>13735</x:v>
      </x:c>
      <x:c r="C3473" s="0" t="s">
        <x:v>13736</x:v>
      </x:c>
      <x:c r="E3473" s="0" t="s">
        <x:v>13737</x:v>
      </x:c>
      <x:c r="F3473" s="0" t="s">
        <x:v>45</x:v>
      </x:c>
      <x:c r="G3473" s="0" t="s">
        <x:v>19</x:v>
      </x:c>
      <x:c r="H3473" s="0" t="s">
        <x:v>20</x:v>
      </x:c>
      <x:c r="I3473" s="0" t="s">
        <x:v>21</x:v>
      </x:c>
      <x:c r="K3473" s="0">
        <x:f>hyperlink("https://icd.who.int/dev11/l-ichi/en#/http%3A%2F%2Fid.who.int%2Ficd%2Fentity%2F432833012","browser")</x:f>
      </x:c>
      <x:c r="L3473" s="0">
        <x:f>hyperlink("https://icat2.azurewebsites.net/icat/?ontology=ICD&amp;tab=ClassesTab&amp;id=http%3A%2F%2Fwho.int%2Ficd%2316553_512ebf36_bf6b_4d70_85da_cf2637062af4","iCat")</x:f>
      </x:c>
      <x:c r="M3473" s="0" t="s">
        <x:v>21</x:v>
      </x:c>
      <x:c r="N3473" s="0" t="s">
        <x:v>46</x:v>
      </x:c>
    </x:row>
    <x:row r="3474" spans="1:16">
      <x:c r="A3474" s="0" t="s">
        <x:v>13738</x:v>
      </x:c>
      <x:c r="B3474" s="0" t="s">
        <x:v>13739</x:v>
      </x:c>
      <x:c r="C3474" s="0" t="s">
        <x:v>13740</x:v>
      </x:c>
      <x:c r="E3474" s="0" t="s">
        <x:v>13741</x:v>
      </x:c>
      <x:c r="F3474" s="0" t="s">
        <x:v>45</x:v>
      </x:c>
      <x:c r="G3474" s="0" t="s">
        <x:v>19</x:v>
      </x:c>
      <x:c r="H3474" s="0" t="s">
        <x:v>20</x:v>
      </x:c>
      <x:c r="I3474" s="0" t="s">
        <x:v>21</x:v>
      </x:c>
      <x:c r="K3474" s="0">
        <x:f>hyperlink("https://icd.who.int/dev11/l-ichi/en#/http%3A%2F%2Fid.who.int%2Ficd%2Fentity%2F2038739913","browser")</x:f>
      </x:c>
      <x:c r="L3474" s="0">
        <x:f>hyperlink("https://icat2.azurewebsites.net/icat/?ontology=ICD&amp;tab=ClassesTab&amp;id=http%3A%2F%2Fwho.int%2Ficd%2316562_512ebf36_bf6b_4d70_85da_cf2637062af4","iCat")</x:f>
      </x:c>
      <x:c r="M3474" s="0" t="s">
        <x:v>21</x:v>
      </x:c>
      <x:c r="N3474" s="0" t="s">
        <x:v>46</x:v>
      </x:c>
    </x:row>
    <x:row r="3475" spans="1:16">
      <x:c r="A3475" s="0" t="s">
        <x:v>13742</x:v>
      </x:c>
      <x:c r="B3475" s="0" t="s">
        <x:v>13743</x:v>
      </x:c>
      <x:c r="C3475" s="0" t="s">
        <x:v>13744</x:v>
      </x:c>
      <x:c r="E3475" s="0" t="s">
        <x:v>13745</x:v>
      </x:c>
      <x:c r="F3475" s="0" t="s">
        <x:v>45</x:v>
      </x:c>
      <x:c r="G3475" s="0" t="s">
        <x:v>19</x:v>
      </x:c>
      <x:c r="H3475" s="0" t="s">
        <x:v>20</x:v>
      </x:c>
      <x:c r="I3475" s="0" t="s">
        <x:v>21</x:v>
      </x:c>
      <x:c r="K3475" s="0">
        <x:f>hyperlink("https://icd.who.int/dev11/l-ichi/en#/http%3A%2F%2Fid.who.int%2Ficd%2Fentity%2F1383718745","browser")</x:f>
      </x:c>
      <x:c r="L3475" s="0">
        <x:f>hyperlink("https://icat2.azurewebsites.net/icat/?ontology=ICD&amp;tab=ClassesTab&amp;id=http%3A%2F%2Fwho.int%2Ficd%2316568_512ebf36_bf6b_4d70_85da_cf2637062af4","iCat")</x:f>
      </x:c>
      <x:c r="M3475" s="0" t="s">
        <x:v>21</x:v>
      </x:c>
      <x:c r="N3475" s="0" t="s">
        <x:v>46</x:v>
      </x:c>
    </x:row>
    <x:row r="3476" spans="1:16">
      <x:c r="A3476" s="0" t="s">
        <x:v>13746</x:v>
      </x:c>
      <x:c r="B3476" s="0" t="s">
        <x:v>13747</x:v>
      </x:c>
      <x:c r="C3476" s="0" t="s">
        <x:v>13748</x:v>
      </x:c>
      <x:c r="E3476" s="0" t="s">
        <x:v>13749</x:v>
      </x:c>
      <x:c r="F3476" s="0" t="s">
        <x:v>45</x:v>
      </x:c>
      <x:c r="G3476" s="0" t="s">
        <x:v>19</x:v>
      </x:c>
      <x:c r="H3476" s="0" t="s">
        <x:v>20</x:v>
      </x:c>
      <x:c r="I3476" s="0" t="s">
        <x:v>21</x:v>
      </x:c>
      <x:c r="K3476" s="0">
        <x:f>hyperlink("https://icd.who.int/dev11/l-ichi/en#/http%3A%2F%2Fid.who.int%2Ficd%2Fentity%2F1127939887","browser")</x:f>
      </x:c>
      <x:c r="L3476" s="0">
        <x:f>hyperlink("https://icat2.azurewebsites.net/icat/?ontology=ICD&amp;tab=ClassesTab&amp;id=http%3A%2F%2Fwho.int%2Ficd%2316574_512ebf36_bf6b_4d70_85da_cf2637062af4","iCat")</x:f>
      </x:c>
      <x:c r="M3476" s="0" t="s">
        <x:v>21</x:v>
      </x:c>
      <x:c r="N3476" s="0" t="s">
        <x:v>46</x:v>
      </x:c>
    </x:row>
    <x:row r="3477" spans="1:16">
      <x:c r="A3477" s="0" t="s">
        <x:v>13750</x:v>
      </x:c>
      <x:c r="B3477" s="0" t="s">
        <x:v>13751</x:v>
      </x:c>
      <x:c r="C3477" s="0" t="s">
        <x:v>13752</x:v>
      </x:c>
      <x:c r="E3477" s="0" t="s">
        <x:v>13753</x:v>
      </x:c>
      <x:c r="F3477" s="0" t="s">
        <x:v>45</x:v>
      </x:c>
      <x:c r="G3477" s="0" t="s">
        <x:v>19</x:v>
      </x:c>
      <x:c r="H3477" s="0" t="s">
        <x:v>20</x:v>
      </x:c>
      <x:c r="I3477" s="0" t="s">
        <x:v>21</x:v>
      </x:c>
      <x:c r="K3477" s="0">
        <x:f>hyperlink("https://icd.who.int/dev11/l-ichi/en#/http%3A%2F%2Fid.who.int%2Ficd%2Fentity%2F2032337849","browser")</x:f>
      </x:c>
      <x:c r="L3477" s="0">
        <x:f>hyperlink("https://icat2.azurewebsites.net/icat/?ontology=ICD&amp;tab=ClassesTab&amp;id=http%3A%2F%2Fwho.int%2Ficd%2316581_512ebf36_bf6b_4d70_85da_cf2637062af4","iCat")</x:f>
      </x:c>
      <x:c r="M3477" s="0" t="s">
        <x:v>21</x:v>
      </x:c>
      <x:c r="N3477" s="0" t="s">
        <x:v>46</x:v>
      </x:c>
    </x:row>
    <x:row r="3478" spans="1:16">
      <x:c r="A3478" s="0" t="s">
        <x:v>13754</x:v>
      </x:c>
      <x:c r="B3478" s="0" t="s">
        <x:v>13755</x:v>
      </x:c>
      <x:c r="C3478" s="0" t="s">
        <x:v>13756</x:v>
      </x:c>
      <x:c r="E3478" s="0" t="s">
        <x:v>13757</x:v>
      </x:c>
      <x:c r="F3478" s="0" t="s">
        <x:v>45</x:v>
      </x:c>
      <x:c r="G3478" s="0" t="s">
        <x:v>19</x:v>
      </x:c>
      <x:c r="H3478" s="0" t="s">
        <x:v>20</x:v>
      </x:c>
      <x:c r="I3478" s="0" t="s">
        <x:v>21</x:v>
      </x:c>
      <x:c r="K3478" s="0">
        <x:f>hyperlink("https://icd.who.int/dev11/l-ichi/en#/http%3A%2F%2Fid.who.int%2Ficd%2Fentity%2F391839954","browser")</x:f>
      </x:c>
      <x:c r="L3478" s="0">
        <x:f>hyperlink("https://icat2.azurewebsites.net/icat/?ontology=ICD&amp;tab=ClassesTab&amp;id=http%3A%2F%2Fwho.int%2Ficd%2316588_512ebf36_bf6b_4d70_85da_cf2637062af4","iCat")</x:f>
      </x:c>
      <x:c r="M3478" s="0" t="s">
        <x:v>21</x:v>
      </x:c>
      <x:c r="N3478" s="0" t="s">
        <x:v>46</x:v>
      </x:c>
    </x:row>
    <x:row r="3479" spans="1:16">
      <x:c r="A3479" s="0" t="s">
        <x:v>13758</x:v>
      </x:c>
      <x:c r="B3479" s="0" t="s">
        <x:v>13759</x:v>
      </x:c>
      <x:c r="C3479" s="0" t="s">
        <x:v>13760</x:v>
      </x:c>
      <x:c r="E3479" s="0" t="s">
        <x:v>13761</x:v>
      </x:c>
      <x:c r="F3479" s="0" t="s">
        <x:v>45</x:v>
      </x:c>
      <x:c r="G3479" s="0" t="s">
        <x:v>19</x:v>
      </x:c>
      <x:c r="H3479" s="0" t="s">
        <x:v>20</x:v>
      </x:c>
      <x:c r="I3479" s="0" t="s">
        <x:v>21</x:v>
      </x:c>
      <x:c r="K3479" s="0">
        <x:f>hyperlink("https://icd.who.int/dev11/l-ichi/en#/http%3A%2F%2Fid.who.int%2Ficd%2Fentity%2F652300956","browser")</x:f>
      </x:c>
      <x:c r="L3479" s="0">
        <x:f>hyperlink("https://icat2.azurewebsites.net/icat/?ontology=ICD&amp;tab=ClassesTab&amp;id=http%3A%2F%2Fwho.int%2Ficd%2316595_512ebf36_bf6b_4d70_85da_cf2637062af4","iCat")</x:f>
      </x:c>
      <x:c r="M3479" s="0" t="s">
        <x:v>21</x:v>
      </x:c>
      <x:c r="N3479" s="0" t="s">
        <x:v>46</x:v>
      </x:c>
    </x:row>
    <x:row r="3480" spans="1:16">
      <x:c r="A3480" s="0" t="s">
        <x:v>13762</x:v>
      </x:c>
      <x:c r="B3480" s="0" t="s">
        <x:v>13763</x:v>
      </x:c>
      <x:c r="C3480" s="0" t="s">
        <x:v>13764</x:v>
      </x:c>
      <x:c r="E3480" s="0" t="s">
        <x:v>13765</x:v>
      </x:c>
      <x:c r="F3480" s="0" t="s">
        <x:v>45</x:v>
      </x:c>
      <x:c r="G3480" s="0" t="s">
        <x:v>19</x:v>
      </x:c>
      <x:c r="H3480" s="0" t="s">
        <x:v>20</x:v>
      </x:c>
      <x:c r="I3480" s="0" t="s">
        <x:v>21</x:v>
      </x:c>
      <x:c r="K3480" s="0">
        <x:f>hyperlink("https://icd.who.int/dev11/l-ichi/en#/http%3A%2F%2Fid.who.int%2Ficd%2Fentity%2F1647440865","browser")</x:f>
      </x:c>
      <x:c r="L3480" s="0">
        <x:f>hyperlink("https://icat2.azurewebsites.net/icat/?ontology=ICD&amp;tab=ClassesTab&amp;id=http%3A%2F%2Fwho.int%2Ficd%2316603_512ebf36_bf6b_4d70_85da_cf2637062af4","iCat")</x:f>
      </x:c>
      <x:c r="M3480" s="0" t="s">
        <x:v>21</x:v>
      </x:c>
      <x:c r="N3480" s="0" t="s">
        <x:v>46</x:v>
      </x:c>
    </x:row>
    <x:row r="3481" spans="1:16">
      <x:c r="A3481" s="0" t="s">
        <x:v>13766</x:v>
      </x:c>
      <x:c r="B3481" s="0" t="s">
        <x:v>13767</x:v>
      </x:c>
      <x:c r="C3481" s="0" t="s">
        <x:v>13768</x:v>
      </x:c>
      <x:c r="E3481" s="0" t="s">
        <x:v>13769</x:v>
      </x:c>
      <x:c r="F3481" s="0" t="s">
        <x:v>45</x:v>
      </x:c>
      <x:c r="G3481" s="0" t="s">
        <x:v>19</x:v>
      </x:c>
      <x:c r="H3481" s="0" t="s">
        <x:v>20</x:v>
      </x:c>
      <x:c r="I3481" s="0" t="s">
        <x:v>21</x:v>
      </x:c>
      <x:c r="K3481" s="0">
        <x:f>hyperlink("https://icd.who.int/dev11/l-ichi/en#/http%3A%2F%2Fid.who.int%2Ficd%2Fentity%2F1299253583","browser")</x:f>
      </x:c>
      <x:c r="L3481" s="0">
        <x:f>hyperlink("https://icat2.azurewebsites.net/icat/?ontology=ICD&amp;tab=ClassesTab&amp;id=http%3A%2F%2Fwho.int%2Ficd%2316610_512ebf36_bf6b_4d70_85da_cf2637062af4","iCat")</x:f>
      </x:c>
      <x:c r="M3481" s="0" t="s">
        <x:v>21</x:v>
      </x:c>
      <x:c r="N3481" s="0" t="s">
        <x:v>46</x:v>
      </x:c>
    </x:row>
    <x:row r="3482" spans="1:16">
      <x:c r="A3482" s="0" t="s">
        <x:v>13770</x:v>
      </x:c>
      <x:c r="B3482" s="0" t="s">
        <x:v>13771</x:v>
      </x:c>
      <x:c r="C3482" s="0" t="s">
        <x:v>13772</x:v>
      </x:c>
      <x:c r="E3482" s="0" t="s">
        <x:v>13773</x:v>
      </x:c>
      <x:c r="F3482" s="0" t="s">
        <x:v>45</x:v>
      </x:c>
      <x:c r="G3482" s="0" t="s">
        <x:v>19</x:v>
      </x:c>
      <x:c r="H3482" s="0" t="s">
        <x:v>20</x:v>
      </x:c>
      <x:c r="I3482" s="0" t="s">
        <x:v>21</x:v>
      </x:c>
      <x:c r="K3482" s="0">
        <x:f>hyperlink("https://icd.who.int/dev11/l-ichi/en#/http%3A%2F%2Fid.who.int%2Ficd%2Fentity%2F1039377092","browser")</x:f>
      </x:c>
      <x:c r="L3482" s="0">
        <x:f>hyperlink("https://icat2.azurewebsites.net/icat/?ontology=ICD&amp;tab=ClassesTab&amp;id=http%3A%2F%2Fwho.int%2Ficd%2316617_512ebf36_bf6b_4d70_85da_cf2637062af4","iCat")</x:f>
      </x:c>
      <x:c r="M3482" s="0" t="s">
        <x:v>21</x:v>
      </x:c>
      <x:c r="N3482" s="0" t="s">
        <x:v>46</x:v>
      </x:c>
    </x:row>
    <x:row r="3483" spans="1:16">
      <x:c r="A3483" s="0" t="s">
        <x:v>13774</x:v>
      </x:c>
      <x:c r="B3483" s="0" t="s">
        <x:v>13775</x:v>
      </x:c>
      <x:c r="C3483" s="0" t="s">
        <x:v>13776</x:v>
      </x:c>
      <x:c r="E3483" s="0" t="s">
        <x:v>13777</x:v>
      </x:c>
      <x:c r="F3483" s="0" t="s">
        <x:v>45</x:v>
      </x:c>
      <x:c r="G3483" s="0" t="s">
        <x:v>19</x:v>
      </x:c>
      <x:c r="H3483" s="0" t="s">
        <x:v>20</x:v>
      </x:c>
      <x:c r="I3483" s="0" t="s">
        <x:v>21</x:v>
      </x:c>
      <x:c r="K3483" s="0">
        <x:f>hyperlink("https://icd.who.int/dev11/l-ichi/en#/http%3A%2F%2Fid.who.int%2Ficd%2Fentity%2F1212491441","browser")</x:f>
      </x:c>
      <x:c r="L3483" s="0">
        <x:f>hyperlink("https://icat2.azurewebsites.net/icat/?ontology=ICD&amp;tab=ClassesTab&amp;id=http%3A%2F%2Fwho.int%2Ficd%2316623_512ebf36_bf6b_4d70_85da_cf2637062af4","iCat")</x:f>
      </x:c>
      <x:c r="M3483" s="0" t="s">
        <x:v>21</x:v>
      </x:c>
      <x:c r="N3483" s="0" t="s">
        <x:v>46</x:v>
      </x:c>
    </x:row>
    <x:row r="3484" spans="1:16">
      <x:c r="A3484" s="0" t="s">
        <x:v>13778</x:v>
      </x:c>
      <x:c r="B3484" s="0" t="s">
        <x:v>13779</x:v>
      </x:c>
      <x:c r="C3484" s="0" t="s">
        <x:v>13780</x:v>
      </x:c>
      <x:c r="E3484" s="0" t="s">
        <x:v>13781</x:v>
      </x:c>
      <x:c r="F3484" s="0" t="s">
        <x:v>45</x:v>
      </x:c>
      <x:c r="G3484" s="0" t="s">
        <x:v>19</x:v>
      </x:c>
      <x:c r="H3484" s="0" t="s">
        <x:v>20</x:v>
      </x:c>
      <x:c r="I3484" s="0" t="s">
        <x:v>21</x:v>
      </x:c>
      <x:c r="K3484" s="0">
        <x:f>hyperlink("https://icd.who.int/dev11/l-ichi/en#/http%3A%2F%2Fid.who.int%2Ficd%2Fentity%2F41533914","browser")</x:f>
      </x:c>
      <x:c r="L3484" s="0">
        <x:f>hyperlink("https://icat2.azurewebsites.net/icat/?ontology=ICD&amp;tab=ClassesTab&amp;id=http%3A%2F%2Fwho.int%2Ficd%2316632_512ebf36_bf6b_4d70_85da_cf2637062af4","iCat")</x:f>
      </x:c>
      <x:c r="M3484" s="0" t="s">
        <x:v>21</x:v>
      </x:c>
      <x:c r="N3484" s="0" t="s">
        <x:v>46</x:v>
      </x:c>
    </x:row>
    <x:row r="3485" spans="1:16">
      <x:c r="A3485" s="0" t="s">
        <x:v>13782</x:v>
      </x:c>
      <x:c r="B3485" s="0" t="s">
        <x:v>13783</x:v>
      </x:c>
      <x:c r="C3485" s="0" t="s">
        <x:v>13784</x:v>
      </x:c>
      <x:c r="E3485" s="0" t="s">
        <x:v>13785</x:v>
      </x:c>
      <x:c r="F3485" s="0" t="s">
        <x:v>45</x:v>
      </x:c>
      <x:c r="G3485" s="0" t="s">
        <x:v>19</x:v>
      </x:c>
      <x:c r="H3485" s="0" t="s">
        <x:v>20</x:v>
      </x:c>
      <x:c r="I3485" s="0" t="s">
        <x:v>21</x:v>
      </x:c>
      <x:c r="K3485" s="0">
        <x:f>hyperlink("https://icd.who.int/dev11/l-ichi/en#/http%3A%2F%2Fid.who.int%2Ficd%2Fentity%2F696560970","browser")</x:f>
      </x:c>
      <x:c r="L3485" s="0">
        <x:f>hyperlink("https://icat2.azurewebsites.net/icat/?ontology=ICD&amp;tab=ClassesTab&amp;id=http%3A%2F%2Fwho.int%2Ficd%2316638_512ebf36_bf6b_4d70_85da_cf2637062af4","iCat")</x:f>
      </x:c>
      <x:c r="M3485" s="0" t="s">
        <x:v>21</x:v>
      </x:c>
      <x:c r="N3485" s="0" t="s">
        <x:v>46</x:v>
      </x:c>
    </x:row>
    <x:row r="3486" spans="1:16">
      <x:c r="A3486" s="0" t="s">
        <x:v>13786</x:v>
      </x:c>
      <x:c r="B3486" s="0" t="s">
        <x:v>13787</x:v>
      </x:c>
      <x:c r="C3486" s="0" t="s">
        <x:v>13788</x:v>
      </x:c>
      <x:c r="E3486" s="0" t="s">
        <x:v>13789</x:v>
      </x:c>
      <x:c r="F3486" s="0" t="s">
        <x:v>45</x:v>
      </x:c>
      <x:c r="G3486" s="0" t="s">
        <x:v>19</x:v>
      </x:c>
      <x:c r="H3486" s="0" t="s">
        <x:v>20</x:v>
      </x:c>
      <x:c r="I3486" s="0" t="s">
        <x:v>21</x:v>
      </x:c>
      <x:c r="K3486" s="0">
        <x:f>hyperlink("https://icd.who.int/dev11/l-ichi/en#/http%3A%2F%2Fid.who.int%2Ficd%2Fentity%2F1658063729","browser")</x:f>
      </x:c>
      <x:c r="L3486" s="0">
        <x:f>hyperlink("https://icat2.azurewebsites.net/icat/?ontology=ICD&amp;tab=ClassesTab&amp;id=http%3A%2F%2Fwho.int%2Ficd%2316644_512ebf36_bf6b_4d70_85da_cf2637062af4","iCat")</x:f>
      </x:c>
      <x:c r="M3486" s="0" t="s">
        <x:v>21</x:v>
      </x:c>
      <x:c r="N3486" s="0" t="s">
        <x:v>46</x:v>
      </x:c>
    </x:row>
    <x:row r="3487" spans="1:16">
      <x:c r="A3487" s="0" t="s">
        <x:v>13790</x:v>
      </x:c>
      <x:c r="B3487" s="0" t="s">
        <x:v>13791</x:v>
      </x:c>
      <x:c r="C3487" s="0" t="s">
        <x:v>13792</x:v>
      </x:c>
      <x:c r="E3487" s="0" t="s">
        <x:v>13793</x:v>
      </x:c>
      <x:c r="F3487" s="0" t="s">
        <x:v>45</x:v>
      </x:c>
      <x:c r="G3487" s="0" t="s">
        <x:v>19</x:v>
      </x:c>
      <x:c r="H3487" s="0" t="s">
        <x:v>20</x:v>
      </x:c>
      <x:c r="I3487" s="0" t="s">
        <x:v>21</x:v>
      </x:c>
      <x:c r="K3487" s="0">
        <x:f>hyperlink("https://icd.who.int/dev11/l-ichi/en#/http%3A%2F%2Fid.who.int%2Ficd%2Fentity%2F502212718","browser")</x:f>
      </x:c>
      <x:c r="L3487" s="0">
        <x:f>hyperlink("https://icat2.azurewebsites.net/icat/?ontology=ICD&amp;tab=ClassesTab&amp;id=http%3A%2F%2Fwho.int%2Ficd%2316651_512ebf36_bf6b_4d70_85da_cf2637062af4","iCat")</x:f>
      </x:c>
      <x:c r="M3487" s="0" t="s">
        <x:v>21</x:v>
      </x:c>
      <x:c r="N3487" s="0" t="s">
        <x:v>46</x:v>
      </x:c>
    </x:row>
    <x:row r="3488" spans="1:16">
      <x:c r="A3488" s="0" t="s">
        <x:v>13794</x:v>
      </x:c>
      <x:c r="B3488" s="0" t="s">
        <x:v>13795</x:v>
      </x:c>
      <x:c r="C3488" s="0" t="s">
        <x:v>13796</x:v>
      </x:c>
      <x:c r="E3488" s="0" t="s">
        <x:v>13797</x:v>
      </x:c>
      <x:c r="F3488" s="0" t="s">
        <x:v>45</x:v>
      </x:c>
      <x:c r="G3488" s="0" t="s">
        <x:v>19</x:v>
      </x:c>
      <x:c r="H3488" s="0" t="s">
        <x:v>20</x:v>
      </x:c>
      <x:c r="I3488" s="0" t="s">
        <x:v>21</x:v>
      </x:c>
      <x:c r="K3488" s="0">
        <x:f>hyperlink("https://icd.who.int/dev11/l-ichi/en#/http%3A%2F%2Fid.who.int%2Ficd%2Fentity%2F1939286791","browser")</x:f>
      </x:c>
      <x:c r="L3488" s="0">
        <x:f>hyperlink("https://icat2.azurewebsites.net/icat/?ontology=ICD&amp;tab=ClassesTab&amp;id=http%3A%2F%2Fwho.int%2Ficd%2316658_512ebf36_bf6b_4d70_85da_cf2637062af4","iCat")</x:f>
      </x:c>
      <x:c r="M3488" s="0" t="s">
        <x:v>21</x:v>
      </x:c>
      <x:c r="N3488" s="0" t="s">
        <x:v>46</x:v>
      </x:c>
    </x:row>
    <x:row r="3489" spans="1:16">
      <x:c r="A3489" s="0" t="s">
        <x:v>13798</x:v>
      </x:c>
      <x:c r="B3489" s="0" t="s">
        <x:v>13799</x:v>
      </x:c>
      <x:c r="C3489" s="0" t="s">
        <x:v>13800</x:v>
      </x:c>
      <x:c r="E3489" s="0" t="s">
        <x:v>13801</x:v>
      </x:c>
      <x:c r="F3489" s="0" t="s">
        <x:v>45</x:v>
      </x:c>
      <x:c r="G3489" s="0" t="s">
        <x:v>19</x:v>
      </x:c>
      <x:c r="H3489" s="0" t="s">
        <x:v>20</x:v>
      </x:c>
      <x:c r="I3489" s="0" t="s">
        <x:v>21</x:v>
      </x:c>
      <x:c r="K3489" s="0">
        <x:f>hyperlink("https://icd.who.int/dev11/l-ichi/en#/http%3A%2F%2Fid.who.int%2Ficd%2Fentity%2F1218502177","browser")</x:f>
      </x:c>
      <x:c r="L3489" s="0">
        <x:f>hyperlink("https://icat2.azurewebsites.net/icat/?ontology=ICD&amp;tab=ClassesTab&amp;id=http%3A%2F%2Fwho.int%2Ficd%2316664_512ebf36_bf6b_4d70_85da_cf2637062af4","iCat")</x:f>
      </x:c>
      <x:c r="M3489" s="0" t="s">
        <x:v>21</x:v>
      </x:c>
      <x:c r="N3489" s="0" t="s">
        <x:v>46</x:v>
      </x:c>
    </x:row>
    <x:row r="3490" spans="1:16">
      <x:c r="A3490" s="0" t="s">
        <x:v>13802</x:v>
      </x:c>
      <x:c r="B3490" s="0" t="s">
        <x:v>13803</x:v>
      </x:c>
      <x:c r="C3490" s="0" t="s">
        <x:v>13804</x:v>
      </x:c>
      <x:c r="E3490" s="0" t="s">
        <x:v>13805</x:v>
      </x:c>
      <x:c r="F3490" s="0" t="s">
        <x:v>45</x:v>
      </x:c>
      <x:c r="G3490" s="0" t="s">
        <x:v>19</x:v>
      </x:c>
      <x:c r="H3490" s="0" t="s">
        <x:v>20</x:v>
      </x:c>
      <x:c r="I3490" s="0" t="s">
        <x:v>21</x:v>
      </x:c>
      <x:c r="K3490" s="0">
        <x:f>hyperlink("https://icd.who.int/dev11/l-ichi/en#/http%3A%2F%2Fid.who.int%2Ficd%2Fentity%2F392335106","browser")</x:f>
      </x:c>
      <x:c r="L3490" s="0">
        <x:f>hyperlink("https://icat2.azurewebsites.net/icat/?ontology=ICD&amp;tab=ClassesTab&amp;id=http%3A%2F%2Fwho.int%2Ficd%2316670_512ebf36_bf6b_4d70_85da_cf2637062af4","iCat")</x:f>
      </x:c>
      <x:c r="M3490" s="0" t="s">
        <x:v>21</x:v>
      </x:c>
      <x:c r="N3490" s="0" t="s">
        <x:v>46</x:v>
      </x:c>
    </x:row>
    <x:row r="3491" spans="1:16">
      <x:c r="A3491" s="0" t="s">
        <x:v>13806</x:v>
      </x:c>
      <x:c r="B3491" s="0" t="s">
        <x:v>13807</x:v>
      </x:c>
      <x:c r="C3491" s="0" t="s">
        <x:v>13808</x:v>
      </x:c>
      <x:c r="E3491" s="0" t="s">
        <x:v>13809</x:v>
      </x:c>
      <x:c r="F3491" s="0" t="s">
        <x:v>45</x:v>
      </x:c>
      <x:c r="G3491" s="0" t="s">
        <x:v>19</x:v>
      </x:c>
      <x:c r="H3491" s="0" t="s">
        <x:v>20</x:v>
      </x:c>
      <x:c r="I3491" s="0" t="s">
        <x:v>21</x:v>
      </x:c>
      <x:c r="K3491" s="0">
        <x:f>hyperlink("https://icd.who.int/dev11/l-ichi/en#/http%3A%2F%2Fid.who.int%2Ficd%2Fentity%2F1192842931","browser")</x:f>
      </x:c>
      <x:c r="L3491" s="0">
        <x:f>hyperlink("https://icat2.azurewebsites.net/icat/?ontology=ICD&amp;tab=ClassesTab&amp;id=http%3A%2F%2Fwho.int%2Ficd%2316676_512ebf36_bf6b_4d70_85da_cf2637062af4","iCat")</x:f>
      </x:c>
      <x:c r="M3491" s="0" t="s">
        <x:v>21</x:v>
      </x:c>
      <x:c r="N3491" s="0" t="s">
        <x:v>46</x:v>
      </x:c>
    </x:row>
    <x:row r="3492" spans="1:16">
      <x:c r="A3492" s="0" t="s">
        <x:v>13810</x:v>
      </x:c>
      <x:c r="B3492" s="0" t="s">
        <x:v>13811</x:v>
      </x:c>
      <x:c r="C3492" s="0" t="s">
        <x:v>13812</x:v>
      </x:c>
      <x:c r="E3492" s="0" t="s">
        <x:v>13813</x:v>
      </x:c>
      <x:c r="F3492" s="0" t="s">
        <x:v>45</x:v>
      </x:c>
      <x:c r="G3492" s="0" t="s">
        <x:v>19</x:v>
      </x:c>
      <x:c r="H3492" s="0" t="s">
        <x:v>20</x:v>
      </x:c>
      <x:c r="I3492" s="0" t="s">
        <x:v>21</x:v>
      </x:c>
      <x:c r="K3492" s="0">
        <x:f>hyperlink("https://icd.who.int/dev11/l-ichi/en#/http%3A%2F%2Fid.who.int%2Ficd%2Fentity%2F226623914","browser")</x:f>
      </x:c>
      <x:c r="L3492" s="0">
        <x:f>hyperlink("https://icat2.azurewebsites.net/icat/?ontology=ICD&amp;tab=ClassesTab&amp;id=http%3A%2F%2Fwho.int%2Ficd%2316684_512ebf36_bf6b_4d70_85da_cf2637062af4","iCat")</x:f>
      </x:c>
      <x:c r="M3492" s="0" t="s">
        <x:v>21</x:v>
      </x:c>
      <x:c r="N3492" s="0" t="s">
        <x:v>46</x:v>
      </x:c>
    </x:row>
    <x:row r="3493" spans="1:16">
      <x:c r="A3493" s="0" t="s">
        <x:v>13814</x:v>
      </x:c>
      <x:c r="B3493" s="0" t="s">
        <x:v>13815</x:v>
      </x:c>
      <x:c r="C3493" s="0" t="s">
        <x:v>13816</x:v>
      </x:c>
      <x:c r="E3493" s="0" t="s">
        <x:v>13817</x:v>
      </x:c>
      <x:c r="F3493" s="0" t="s">
        <x:v>45</x:v>
      </x:c>
      <x:c r="G3493" s="0" t="s">
        <x:v>19</x:v>
      </x:c>
      <x:c r="H3493" s="0" t="s">
        <x:v>20</x:v>
      </x:c>
      <x:c r="I3493" s="0" t="s">
        <x:v>21</x:v>
      </x:c>
      <x:c r="K3493" s="0">
        <x:f>hyperlink("https://icd.who.int/dev11/l-ichi/en#/http%3A%2F%2Fid.who.int%2Ficd%2Fentity%2F926698830","browser")</x:f>
      </x:c>
      <x:c r="L3493" s="0">
        <x:f>hyperlink("https://icat2.azurewebsites.net/icat/?ontology=ICD&amp;tab=ClassesTab&amp;id=http%3A%2F%2Fwho.int%2Ficd%2316692_512ebf36_bf6b_4d70_85da_cf2637062af4","iCat")</x:f>
      </x:c>
      <x:c r="M3493" s="0" t="s">
        <x:v>21</x:v>
      </x:c>
      <x:c r="N3493" s="0" t="s">
        <x:v>46</x:v>
      </x:c>
    </x:row>
    <x:row r="3494" spans="1:16">
      <x:c r="A3494" s="0" t="s">
        <x:v>13818</x:v>
      </x:c>
      <x:c r="B3494" s="0" t="s">
        <x:v>13819</x:v>
      </x:c>
      <x:c r="C3494" s="0" t="s">
        <x:v>13820</x:v>
      </x:c>
      <x:c r="E3494" s="0" t="s">
        <x:v>13821</x:v>
      </x:c>
      <x:c r="F3494" s="0" t="s">
        <x:v>45</x:v>
      </x:c>
      <x:c r="G3494" s="0" t="s">
        <x:v>19</x:v>
      </x:c>
      <x:c r="H3494" s="0" t="s">
        <x:v>20</x:v>
      </x:c>
      <x:c r="I3494" s="0" t="s">
        <x:v>21</x:v>
      </x:c>
      <x:c r="K3494" s="0">
        <x:f>hyperlink("https://icd.who.int/dev11/l-ichi/en#/http%3A%2F%2Fid.who.int%2Ficd%2Fentity%2F482419166","browser")</x:f>
      </x:c>
      <x:c r="L3494" s="0">
        <x:f>hyperlink("https://icat2.azurewebsites.net/icat/?ontology=ICD&amp;tab=ClassesTab&amp;id=http%3A%2F%2Fwho.int%2Ficd%2316698_512ebf36_bf6b_4d70_85da_cf2637062af4","iCat")</x:f>
      </x:c>
      <x:c r="M3494" s="0" t="s">
        <x:v>21</x:v>
      </x:c>
      <x:c r="N3494" s="0" t="s">
        <x:v>46</x:v>
      </x:c>
    </x:row>
    <x:row r="3495" spans="1:16">
      <x:c r="A3495" s="0" t="s">
        <x:v>13822</x:v>
      </x:c>
      <x:c r="B3495" s="0" t="s">
        <x:v>13823</x:v>
      </x:c>
      <x:c r="C3495" s="0" t="s">
        <x:v>13824</x:v>
      </x:c>
      <x:c r="E3495" s="0" t="s">
        <x:v>13825</x:v>
      </x:c>
      <x:c r="F3495" s="0" t="s">
        <x:v>45</x:v>
      </x:c>
      <x:c r="G3495" s="0" t="s">
        <x:v>19</x:v>
      </x:c>
      <x:c r="H3495" s="0" t="s">
        <x:v>20</x:v>
      </x:c>
      <x:c r="I3495" s="0" t="s">
        <x:v>21</x:v>
      </x:c>
      <x:c r="K3495" s="0">
        <x:f>hyperlink("https://icd.who.int/dev11/l-ichi/en#/http%3A%2F%2Fid.who.int%2Ficd%2Fentity%2F1730977521","browser")</x:f>
      </x:c>
      <x:c r="L3495" s="0">
        <x:f>hyperlink("https://icat2.azurewebsites.net/icat/?ontology=ICD&amp;tab=ClassesTab&amp;id=http%3A%2F%2Fwho.int%2Ficd%2316704_512ebf36_bf6b_4d70_85da_cf2637062af4","iCat")</x:f>
      </x:c>
      <x:c r="M3495" s="0" t="s">
        <x:v>21</x:v>
      </x:c>
      <x:c r="N3495" s="0" t="s">
        <x:v>46</x:v>
      </x:c>
    </x:row>
    <x:row r="3496" spans="1:16">
      <x:c r="A3496" s="0" t="s">
        <x:v>13826</x:v>
      </x:c>
      <x:c r="B3496" s="0" t="s">
        <x:v>13827</x:v>
      </x:c>
      <x:c r="C3496" s="0" t="s">
        <x:v>13828</x:v>
      </x:c>
      <x:c r="E3496" s="0" t="s">
        <x:v>13829</x:v>
      </x:c>
      <x:c r="F3496" s="0" t="s">
        <x:v>45</x:v>
      </x:c>
      <x:c r="G3496" s="0" t="s">
        <x:v>19</x:v>
      </x:c>
      <x:c r="H3496" s="0" t="s">
        <x:v>20</x:v>
      </x:c>
      <x:c r="I3496" s="0" t="s">
        <x:v>21</x:v>
      </x:c>
      <x:c r="K3496" s="0">
        <x:f>hyperlink("https://icd.who.int/dev11/l-ichi/en#/http%3A%2F%2Fid.who.int%2Ficd%2Fentity%2F955174868","browser")</x:f>
      </x:c>
      <x:c r="L3496" s="0">
        <x:f>hyperlink("https://icat2.azurewebsites.net/icat/?ontology=ICD&amp;tab=ClassesTab&amp;id=http%3A%2F%2Fwho.int%2Ficd%2316710_512ebf36_bf6b_4d70_85da_cf2637062af4","iCat")</x:f>
      </x:c>
      <x:c r="M3496" s="0" t="s">
        <x:v>21</x:v>
      </x:c>
      <x:c r="N3496" s="0" t="s">
        <x:v>46</x:v>
      </x:c>
    </x:row>
    <x:row r="3497" spans="1:16">
      <x:c r="A3497" s="0" t="s">
        <x:v>13830</x:v>
      </x:c>
      <x:c r="B3497" s="0" t="s">
        <x:v>13831</x:v>
      </x:c>
      <x:c r="C3497" s="0" t="s">
        <x:v>13832</x:v>
      </x:c>
      <x:c r="E3497" s="0" t="s">
        <x:v>13833</x:v>
      </x:c>
      <x:c r="F3497" s="0" t="s">
        <x:v>45</x:v>
      </x:c>
      <x:c r="G3497" s="0" t="s">
        <x:v>19</x:v>
      </x:c>
      <x:c r="H3497" s="0" t="s">
        <x:v>20</x:v>
      </x:c>
      <x:c r="I3497" s="0" t="s">
        <x:v>21</x:v>
      </x:c>
      <x:c r="K3497" s="0">
        <x:f>hyperlink("https://icd.who.int/dev11/l-ichi/en#/http%3A%2F%2Fid.who.int%2Ficd%2Fentity%2F1987034759","browser")</x:f>
      </x:c>
      <x:c r="L3497" s="0">
        <x:f>hyperlink("https://icat2.azurewebsites.net/icat/?ontology=ICD&amp;tab=ClassesTab&amp;id=http%3A%2F%2Fwho.int%2Ficd%2316718_512ebf36_bf6b_4d70_85da_cf2637062af4","iCat")</x:f>
      </x:c>
      <x:c r="M3497" s="0" t="s">
        <x:v>21</x:v>
      </x:c>
      <x:c r="N3497" s="0" t="s">
        <x:v>46</x:v>
      </x:c>
    </x:row>
    <x:row r="3498" spans="1:16">
      <x:c r="A3498" s="0" t="s">
        <x:v>13834</x:v>
      </x:c>
      <x:c r="B3498" s="0" t="s">
        <x:v>13835</x:v>
      </x:c>
      <x:c r="C3498" s="0" t="s">
        <x:v>13836</x:v>
      </x:c>
      <x:c r="E3498" s="0" t="s">
        <x:v>13837</x:v>
      </x:c>
      <x:c r="F3498" s="0" t="s">
        <x:v>45</x:v>
      </x:c>
      <x:c r="G3498" s="0" t="s">
        <x:v>19</x:v>
      </x:c>
      <x:c r="H3498" s="0" t="s">
        <x:v>20</x:v>
      </x:c>
      <x:c r="I3498" s="0" t="s">
        <x:v>21</x:v>
      </x:c>
      <x:c r="K3498" s="0">
        <x:f>hyperlink("https://icd.who.int/dev11/l-ichi/en#/http%3A%2F%2Fid.who.int%2Ficd%2Fentity%2F673470054","browser")</x:f>
      </x:c>
      <x:c r="L3498" s="0">
        <x:f>hyperlink("https://icat2.azurewebsites.net/icat/?ontology=ICD&amp;tab=ClassesTab&amp;id=http%3A%2F%2Fwho.int%2Ficd%2316726_512ebf36_bf6b_4d70_85da_cf2637062af4","iCat")</x:f>
      </x:c>
      <x:c r="M3498" s="0" t="s">
        <x:v>21</x:v>
      </x:c>
      <x:c r="N3498" s="0" t="s">
        <x:v>46</x:v>
      </x:c>
    </x:row>
    <x:row r="3499" spans="1:16">
      <x:c r="A3499" s="0" t="s">
        <x:v>13838</x:v>
      </x:c>
      <x:c r="B3499" s="0" t="s">
        <x:v>13839</x:v>
      </x:c>
      <x:c r="C3499" s="0" t="s">
        <x:v>13840</x:v>
      </x:c>
      <x:c r="E3499" s="0" t="s">
        <x:v>13841</x:v>
      </x:c>
      <x:c r="F3499" s="0" t="s">
        <x:v>45</x:v>
      </x:c>
      <x:c r="G3499" s="0" t="s">
        <x:v>19</x:v>
      </x:c>
      <x:c r="H3499" s="0" t="s">
        <x:v>20</x:v>
      </x:c>
      <x:c r="I3499" s="0" t="s">
        <x:v>21</x:v>
      </x:c>
      <x:c r="K3499" s="0">
        <x:f>hyperlink("https://icd.who.int/dev11/l-ichi/en#/http%3A%2F%2Fid.who.int%2Ficd%2Fentity%2F2011563847","browser")</x:f>
      </x:c>
      <x:c r="L3499" s="0">
        <x:f>hyperlink("https://icat2.azurewebsites.net/icat/?ontology=ICD&amp;tab=ClassesTab&amp;id=http%3A%2F%2Fwho.int%2Ficd%2316732_512ebf36_bf6b_4d70_85da_cf2637062af4","iCat")</x:f>
      </x:c>
      <x:c r="M3499" s="0" t="s">
        <x:v>21</x:v>
      </x:c>
      <x:c r="N3499" s="0" t="s">
        <x:v>46</x:v>
      </x:c>
    </x:row>
    <x:row r="3500" spans="1:16">
      <x:c r="A3500" s="0" t="s">
        <x:v>13842</x:v>
      </x:c>
      <x:c r="B3500" s="0" t="s">
        <x:v>13843</x:v>
      </x:c>
      <x:c r="C3500" s="0" t="s">
        <x:v>13844</x:v>
      </x:c>
      <x:c r="E3500" s="0" t="s">
        <x:v>13845</x:v>
      </x:c>
      <x:c r="F3500" s="0" t="s">
        <x:v>45</x:v>
      </x:c>
      <x:c r="G3500" s="0" t="s">
        <x:v>19</x:v>
      </x:c>
      <x:c r="H3500" s="0" t="s">
        <x:v>20</x:v>
      </x:c>
      <x:c r="I3500" s="0" t="s">
        <x:v>21</x:v>
      </x:c>
      <x:c r="K3500" s="0">
        <x:f>hyperlink("https://icd.who.int/dev11/l-ichi/en#/http%3A%2F%2Fid.who.int%2Ficd%2Fentity%2F1545300951","browser")</x:f>
      </x:c>
      <x:c r="L3500" s="0">
        <x:f>hyperlink("https://icat2.azurewebsites.net/icat/?ontology=ICD&amp;tab=ClassesTab&amp;id=http%3A%2F%2Fwho.int%2Ficd%2316738_512ebf36_bf6b_4d70_85da_cf2637062af4","iCat")</x:f>
      </x:c>
      <x:c r="M3500" s="0" t="s">
        <x:v>21</x:v>
      </x:c>
      <x:c r="N3500" s="0" t="s">
        <x:v>46</x:v>
      </x:c>
    </x:row>
    <x:row r="3501" spans="1:16">
      <x:c r="A3501" s="0" t="s">
        <x:v>13846</x:v>
      </x:c>
      <x:c r="B3501" s="0" t="s">
        <x:v>13847</x:v>
      </x:c>
      <x:c r="C3501" s="0" t="s">
        <x:v>13848</x:v>
      </x:c>
      <x:c r="E3501" s="0" t="s">
        <x:v>13849</x:v>
      </x:c>
      <x:c r="F3501" s="0" t="s">
        <x:v>45</x:v>
      </x:c>
      <x:c r="G3501" s="0" t="s">
        <x:v>19</x:v>
      </x:c>
      <x:c r="H3501" s="0" t="s">
        <x:v>20</x:v>
      </x:c>
      <x:c r="I3501" s="0" t="s">
        <x:v>21</x:v>
      </x:c>
      <x:c r="K3501" s="0">
        <x:f>hyperlink("https://icd.who.int/dev11/l-ichi/en#/http%3A%2F%2Fid.who.int%2Ficd%2Fentity%2F934461394","browser")</x:f>
      </x:c>
      <x:c r="L3501" s="0">
        <x:f>hyperlink("https://icat2.azurewebsites.net/icat/?ontology=ICD&amp;tab=ClassesTab&amp;id=http%3A%2F%2Fwho.int%2Ficd%2316745_512ebf36_bf6b_4d70_85da_cf2637062af4","iCat")</x:f>
      </x:c>
      <x:c r="M3501" s="0" t="s">
        <x:v>21</x:v>
      </x:c>
      <x:c r="N3501" s="0" t="s">
        <x:v>46</x:v>
      </x:c>
    </x:row>
    <x:row r="3502" spans="1:16">
      <x:c r="A3502" s="0" t="s">
        <x:v>13850</x:v>
      </x:c>
      <x:c r="B3502" s="0" t="s">
        <x:v>13851</x:v>
      </x:c>
      <x:c r="C3502" s="0" t="s">
        <x:v>13852</x:v>
      </x:c>
      <x:c r="E3502" s="0" t="s">
        <x:v>13853</x:v>
      </x:c>
      <x:c r="F3502" s="0" t="s">
        <x:v>45</x:v>
      </x:c>
      <x:c r="G3502" s="0" t="s">
        <x:v>19</x:v>
      </x:c>
      <x:c r="H3502" s="0" t="s">
        <x:v>20</x:v>
      </x:c>
      <x:c r="I3502" s="0" t="s">
        <x:v>21</x:v>
      </x:c>
      <x:c r="K3502" s="0">
        <x:f>hyperlink("https://icd.who.int/dev11/l-ichi/en#/http%3A%2F%2Fid.who.int%2Ficd%2Fentity%2F1752231667","browser")</x:f>
      </x:c>
      <x:c r="L3502" s="0">
        <x:f>hyperlink("https://icat2.azurewebsites.net/icat/?ontology=ICD&amp;tab=ClassesTab&amp;id=http%3A%2F%2Fwho.int%2Ficd%2316751_512ebf36_bf6b_4d70_85da_cf2637062af4","iCat")</x:f>
      </x:c>
      <x:c r="M3502" s="0" t="s">
        <x:v>21</x:v>
      </x:c>
      <x:c r="N3502" s="0" t="s">
        <x:v>46</x:v>
      </x:c>
    </x:row>
    <x:row r="3503" spans="1:16">
      <x:c r="A3503" s="0" t="s">
        <x:v>13854</x:v>
      </x:c>
      <x:c r="B3503" s="0" t="s">
        <x:v>13855</x:v>
      </x:c>
      <x:c r="C3503" s="0" t="s">
        <x:v>13856</x:v>
      </x:c>
      <x:c r="E3503" s="0" t="s">
        <x:v>13857</x:v>
      </x:c>
      <x:c r="F3503" s="0" t="s">
        <x:v>45</x:v>
      </x:c>
      <x:c r="G3503" s="0" t="s">
        <x:v>19</x:v>
      </x:c>
      <x:c r="H3503" s="0" t="s">
        <x:v>20</x:v>
      </x:c>
      <x:c r="I3503" s="0" t="s">
        <x:v>21</x:v>
      </x:c>
      <x:c r="K3503" s="0">
        <x:f>hyperlink("https://icd.who.int/dev11/l-ichi/en#/http%3A%2F%2Fid.who.int%2Ficd%2Fentity%2F940259140","browser")</x:f>
      </x:c>
      <x:c r="L3503" s="0">
        <x:f>hyperlink("https://icat2.azurewebsites.net/icat/?ontology=ICD&amp;tab=ClassesTab&amp;id=http%3A%2F%2Fwho.int%2Ficd%2316757_512ebf36_bf6b_4d70_85da_cf2637062af4","iCat")</x:f>
      </x:c>
      <x:c r="M3503" s="0" t="s">
        <x:v>21</x:v>
      </x:c>
      <x:c r="N3503" s="0" t="s">
        <x:v>46</x:v>
      </x:c>
    </x:row>
    <x:row r="3504" spans="1:16">
      <x:c r="A3504" s="0" t="s">
        <x:v>13858</x:v>
      </x:c>
      <x:c r="B3504" s="0" t="s">
        <x:v>13859</x:v>
      </x:c>
      <x:c r="C3504" s="0" t="s">
        <x:v>13860</x:v>
      </x:c>
      <x:c r="E3504" s="0" t="s">
        <x:v>13861</x:v>
      </x:c>
      <x:c r="F3504" s="0" t="s">
        <x:v>45</x:v>
      </x:c>
      <x:c r="G3504" s="0" t="s">
        <x:v>19</x:v>
      </x:c>
      <x:c r="H3504" s="0" t="s">
        <x:v>20</x:v>
      </x:c>
      <x:c r="I3504" s="0" t="s">
        <x:v>21</x:v>
      </x:c>
      <x:c r="K3504" s="0">
        <x:f>hyperlink("https://icd.who.int/dev11/l-ichi/en#/http%3A%2F%2Fid.who.int%2Ficd%2Fentity%2F1027545278","browser")</x:f>
      </x:c>
      <x:c r="L3504" s="0">
        <x:f>hyperlink("https://icat2.azurewebsites.net/icat/?ontology=ICD&amp;tab=ClassesTab&amp;id=http%3A%2F%2Fwho.int%2Ficd%2316764_512ebf36_bf6b_4d70_85da_cf2637062af4","iCat")</x:f>
      </x:c>
      <x:c r="M3504" s="0" t="s">
        <x:v>21</x:v>
      </x:c>
      <x:c r="N3504" s="0" t="s">
        <x:v>46</x:v>
      </x:c>
    </x:row>
    <x:row r="3505" spans="1:16">
      <x:c r="A3505" s="0" t="s">
        <x:v>13862</x:v>
      </x:c>
      <x:c r="B3505" s="0" t="s">
        <x:v>13863</x:v>
      </x:c>
      <x:c r="C3505" s="0" t="s">
        <x:v>13864</x:v>
      </x:c>
      <x:c r="E3505" s="0" t="s">
        <x:v>13865</x:v>
      </x:c>
      <x:c r="F3505" s="0" t="s">
        <x:v>45</x:v>
      </x:c>
      <x:c r="G3505" s="0" t="s">
        <x:v>19</x:v>
      </x:c>
      <x:c r="H3505" s="0" t="s">
        <x:v>20</x:v>
      </x:c>
      <x:c r="I3505" s="0" t="s">
        <x:v>21</x:v>
      </x:c>
      <x:c r="K3505" s="0">
        <x:f>hyperlink("https://icd.who.int/dev11/l-ichi/en#/http%3A%2F%2Fid.who.int%2Ficd%2Fentity%2F1960290957","browser")</x:f>
      </x:c>
      <x:c r="L3505" s="0">
        <x:f>hyperlink("https://icat2.azurewebsites.net/icat/?ontology=ICD&amp;tab=ClassesTab&amp;id=http%3A%2F%2Fwho.int%2Ficd%2316138_4869915e_217e_423d_acb3_33c0f920ef4b","iCat")</x:f>
      </x:c>
      <x:c r="M3505" s="0" t="s">
        <x:v>21</x:v>
      </x:c>
      <x:c r="N3505" s="0" t="s">
        <x:v>46</x:v>
      </x:c>
    </x:row>
    <x:row r="3506" spans="1:16">
      <x:c r="A3506" s="0" t="s">
        <x:v>13866</x:v>
      </x:c>
      <x:c r="B3506" s="0" t="s">
        <x:v>13867</x:v>
      </x:c>
      <x:c r="C3506" s="0" t="s">
        <x:v>13868</x:v>
      </x:c>
      <x:c r="E3506" s="0" t="s">
        <x:v>13869</x:v>
      </x:c>
      <x:c r="F3506" s="0" t="s">
        <x:v>45</x:v>
      </x:c>
      <x:c r="G3506" s="0" t="s">
        <x:v>19</x:v>
      </x:c>
      <x:c r="H3506" s="0" t="s">
        <x:v>20</x:v>
      </x:c>
      <x:c r="I3506" s="0" t="s">
        <x:v>21</x:v>
      </x:c>
      <x:c r="K3506" s="0">
        <x:f>hyperlink("https://icd.who.int/dev11/l-ichi/en#/http%3A%2F%2Fid.who.int%2Ficd%2Fentity%2F1660766623","browser")</x:f>
      </x:c>
      <x:c r="L3506" s="0">
        <x:f>hyperlink("https://icat2.azurewebsites.net/icat/?ontology=ICD&amp;tab=ClassesTab&amp;id=http%3A%2F%2Fwho.int%2Ficd%2316770_512ebf36_bf6b_4d70_85da_cf2637062af4","iCat")</x:f>
      </x:c>
      <x:c r="M3506" s="0" t="s">
        <x:v>21</x:v>
      </x:c>
      <x:c r="N3506" s="0" t="s">
        <x:v>46</x:v>
      </x:c>
    </x:row>
    <x:row r="3507" spans="1:16">
      <x:c r="A3507" s="0" t="s">
        <x:v>13870</x:v>
      </x:c>
      <x:c r="B3507" s="0" t="s">
        <x:v>13871</x:v>
      </x:c>
      <x:c r="C3507" s="0" t="s">
        <x:v>13872</x:v>
      </x:c>
      <x:c r="E3507" s="0" t="s">
        <x:v>13873</x:v>
      </x:c>
      <x:c r="F3507" s="0" t="s">
        <x:v>45</x:v>
      </x:c>
      <x:c r="G3507" s="0" t="s">
        <x:v>19</x:v>
      </x:c>
      <x:c r="H3507" s="0" t="s">
        <x:v>20</x:v>
      </x:c>
      <x:c r="I3507" s="0" t="s">
        <x:v>21</x:v>
      </x:c>
      <x:c r="K3507" s="0">
        <x:f>hyperlink("https://icd.who.int/dev11/l-ichi/en#/http%3A%2F%2Fid.who.int%2Ficd%2Fentity%2F847679536","browser")</x:f>
      </x:c>
      <x:c r="L3507" s="0">
        <x:f>hyperlink("https://icat2.azurewebsites.net/icat/?ontology=ICD&amp;tab=ClassesTab&amp;id=http%3A%2F%2Fwho.int%2Ficd%2316776_512ebf36_bf6b_4d70_85da_cf2637062af4","iCat")</x:f>
      </x:c>
      <x:c r="M3507" s="0" t="s">
        <x:v>21</x:v>
      </x:c>
      <x:c r="N3507" s="0" t="s">
        <x:v>46</x:v>
      </x:c>
    </x:row>
    <x:row r="3508" spans="1:16">
      <x:c r="A3508" s="0" t="s">
        <x:v>13874</x:v>
      </x:c>
      <x:c r="B3508" s="0" t="s">
        <x:v>13875</x:v>
      </x:c>
      <x:c r="C3508" s="0" t="s">
        <x:v>13876</x:v>
      </x:c>
      <x:c r="E3508" s="0" t="s">
        <x:v>13877</x:v>
      </x:c>
      <x:c r="F3508" s="0" t="s">
        <x:v>45</x:v>
      </x:c>
      <x:c r="G3508" s="0" t="s">
        <x:v>19</x:v>
      </x:c>
      <x:c r="H3508" s="0" t="s">
        <x:v>20</x:v>
      </x:c>
      <x:c r="I3508" s="0" t="s">
        <x:v>21</x:v>
      </x:c>
      <x:c r="K3508" s="0">
        <x:f>hyperlink("https://icd.who.int/dev11/l-ichi/en#/http%3A%2F%2Fid.who.int%2Ficd%2Fentity%2F2015217461","browser")</x:f>
      </x:c>
      <x:c r="L3508" s="0">
        <x:f>hyperlink("https://icat2.azurewebsites.net/icat/?ontology=ICD&amp;tab=ClassesTab&amp;id=http%3A%2F%2Fwho.int%2Ficd%2316784_512ebf36_bf6b_4d70_85da_cf2637062af4","iCat")</x:f>
      </x:c>
      <x:c r="M3508" s="0" t="s">
        <x:v>21</x:v>
      </x:c>
      <x:c r="N3508" s="0" t="s">
        <x:v>46</x:v>
      </x:c>
    </x:row>
    <x:row r="3509" spans="1:16">
      <x:c r="A3509" s="0" t="s">
        <x:v>13878</x:v>
      </x:c>
      <x:c r="B3509" s="0" t="s">
        <x:v>13879</x:v>
      </x:c>
      <x:c r="C3509" s="0" t="s">
        <x:v>13880</x:v>
      </x:c>
      <x:c r="E3509" s="0" t="s">
        <x:v>13881</x:v>
      </x:c>
      <x:c r="F3509" s="0" t="s">
        <x:v>45</x:v>
      </x:c>
      <x:c r="G3509" s="0" t="s">
        <x:v>19</x:v>
      </x:c>
      <x:c r="H3509" s="0" t="s">
        <x:v>20</x:v>
      </x:c>
      <x:c r="I3509" s="0" t="s">
        <x:v>21</x:v>
      </x:c>
      <x:c r="K3509" s="0">
        <x:f>hyperlink("https://icd.who.int/dev11/l-ichi/en#/http%3A%2F%2Fid.who.int%2Ficd%2Fentity%2F1118014419","browser")</x:f>
      </x:c>
      <x:c r="L3509" s="0">
        <x:f>hyperlink("https://icat2.azurewebsites.net/icat/?ontology=ICD&amp;tab=ClassesTab&amp;id=http%3A%2F%2Fwho.int%2Ficd%2316792_512ebf36_bf6b_4d70_85da_cf2637062af4","iCat")</x:f>
      </x:c>
      <x:c r="M3509" s="0" t="s">
        <x:v>21</x:v>
      </x:c>
      <x:c r="N3509" s="0" t="s">
        <x:v>46</x:v>
      </x:c>
    </x:row>
    <x:row r="3510" spans="1:16">
      <x:c r="A3510" s="0" t="s">
        <x:v>13882</x:v>
      </x:c>
      <x:c r="B3510" s="0" t="s">
        <x:v>13883</x:v>
      </x:c>
      <x:c r="C3510" s="0" t="s">
        <x:v>13884</x:v>
      </x:c>
      <x:c r="E3510" s="0" t="s">
        <x:v>13885</x:v>
      </x:c>
      <x:c r="F3510" s="0" t="s">
        <x:v>45</x:v>
      </x:c>
      <x:c r="G3510" s="0" t="s">
        <x:v>19</x:v>
      </x:c>
      <x:c r="H3510" s="0" t="s">
        <x:v>20</x:v>
      </x:c>
      <x:c r="I3510" s="0" t="s">
        <x:v>21</x:v>
      </x:c>
      <x:c r="K3510" s="0">
        <x:f>hyperlink("https://icd.who.int/dev11/l-ichi/en#/http%3A%2F%2Fid.who.int%2Ficd%2Fentity%2F1767827267","browser")</x:f>
      </x:c>
      <x:c r="L3510" s="0">
        <x:f>hyperlink("https://icat2.azurewebsites.net/icat/?ontology=ICD&amp;tab=ClassesTab&amp;id=http%3A%2F%2Fwho.int%2Ficd%2316798_512ebf36_bf6b_4d70_85da_cf2637062af4","iCat")</x:f>
      </x:c>
      <x:c r="M3510" s="0" t="s">
        <x:v>21</x:v>
      </x:c>
      <x:c r="N3510" s="0" t="s">
        <x:v>46</x:v>
      </x:c>
    </x:row>
    <x:row r="3511" spans="1:16">
      <x:c r="A3511" s="0" t="s">
        <x:v>13886</x:v>
      </x:c>
      <x:c r="B3511" s="0" t="s">
        <x:v>13887</x:v>
      </x:c>
      <x:c r="C3511" s="0" t="s">
        <x:v>13888</x:v>
      </x:c>
      <x:c r="E3511" s="0" t="s">
        <x:v>13889</x:v>
      </x:c>
      <x:c r="F3511" s="0" t="s">
        <x:v>45</x:v>
      </x:c>
      <x:c r="G3511" s="0" t="s">
        <x:v>19</x:v>
      </x:c>
      <x:c r="H3511" s="0" t="s">
        <x:v>20</x:v>
      </x:c>
      <x:c r="I3511" s="0" t="s">
        <x:v>21</x:v>
      </x:c>
      <x:c r="K3511" s="0">
        <x:f>hyperlink("https://icd.who.int/dev11/l-ichi/en#/http%3A%2F%2Fid.who.int%2Ficd%2Fentity%2F1948062516","browser")</x:f>
      </x:c>
      <x:c r="L3511" s="0">
        <x:f>hyperlink("https://icat2.azurewebsites.net/icat/?ontology=ICD&amp;tab=ClassesTab&amp;id=http%3A%2F%2Fwho.int%2Ficd%2316806_512ebf36_bf6b_4d70_85da_cf2637062af4","iCat")</x:f>
      </x:c>
      <x:c r="M3511" s="0" t="s">
        <x:v>21</x:v>
      </x:c>
      <x:c r="N3511" s="0" t="s">
        <x:v>46</x:v>
      </x:c>
    </x:row>
    <x:row r="3512" spans="1:16">
      <x:c r="A3512" s="0" t="s">
        <x:v>13890</x:v>
      </x:c>
      <x:c r="B3512" s="0" t="s">
        <x:v>13891</x:v>
      </x:c>
      <x:c r="C3512" s="0" t="s">
        <x:v>13892</x:v>
      </x:c>
      <x:c r="E3512" s="0" t="s">
        <x:v>13893</x:v>
      </x:c>
      <x:c r="F3512" s="0" t="s">
        <x:v>45</x:v>
      </x:c>
      <x:c r="G3512" s="0" t="s">
        <x:v>19</x:v>
      </x:c>
      <x:c r="H3512" s="0" t="s">
        <x:v>20</x:v>
      </x:c>
      <x:c r="I3512" s="0" t="s">
        <x:v>21</x:v>
      </x:c>
      <x:c r="K3512" s="0">
        <x:f>hyperlink("https://icd.who.int/dev11/l-ichi/en#/http%3A%2F%2Fid.who.int%2Ficd%2Fentity%2F187052077","browser")</x:f>
      </x:c>
      <x:c r="L3512" s="0">
        <x:f>hyperlink("https://icat2.azurewebsites.net/icat/?ontology=ICD&amp;tab=ClassesTab&amp;id=http%3A%2F%2Fwho.int%2Ficd%2316813_512ebf36_bf6b_4d70_85da_cf2637062af4","iCat")</x:f>
      </x:c>
      <x:c r="M3512" s="0" t="s">
        <x:v>21</x:v>
      </x:c>
      <x:c r="N3512" s="0" t="s">
        <x:v>46</x:v>
      </x:c>
    </x:row>
    <x:row r="3513" spans="1:16">
      <x:c r="A3513" s="0" t="s">
        <x:v>13894</x:v>
      </x:c>
      <x:c r="B3513" s="0" t="s">
        <x:v>13895</x:v>
      </x:c>
      <x:c r="C3513" s="0" t="s">
        <x:v>13896</x:v>
      </x:c>
      <x:c r="E3513" s="0" t="s">
        <x:v>13897</x:v>
      </x:c>
      <x:c r="F3513" s="0" t="s">
        <x:v>45</x:v>
      </x:c>
      <x:c r="G3513" s="0" t="s">
        <x:v>19</x:v>
      </x:c>
      <x:c r="H3513" s="0" t="s">
        <x:v>20</x:v>
      </x:c>
      <x:c r="I3513" s="0" t="s">
        <x:v>21</x:v>
      </x:c>
      <x:c r="K3513" s="0">
        <x:f>hyperlink("https://icd.who.int/dev11/l-ichi/en#/http%3A%2F%2Fid.who.int%2Ficd%2Fentity%2F551247037","browser")</x:f>
      </x:c>
      <x:c r="L3513" s="0">
        <x:f>hyperlink("https://icat2.azurewebsites.net/icat/?ontology=ICD&amp;tab=ClassesTab&amp;id=http%3A%2F%2Fwho.int%2Ficd%2316819_512ebf36_bf6b_4d70_85da_cf2637062af4","iCat")</x:f>
      </x:c>
      <x:c r="M3513" s="0" t="s">
        <x:v>21</x:v>
      </x:c>
      <x:c r="N3513" s="0" t="s">
        <x:v>46</x:v>
      </x:c>
    </x:row>
    <x:row r="3514" spans="1:16">
      <x:c r="A3514" s="0" t="s">
        <x:v>13898</x:v>
      </x:c>
      <x:c r="B3514" s="0" t="s">
        <x:v>13899</x:v>
      </x:c>
      <x:c r="C3514" s="0" t="s">
        <x:v>13900</x:v>
      </x:c>
      <x:c r="E3514" s="0" t="s">
        <x:v>13901</x:v>
      </x:c>
      <x:c r="F3514" s="0" t="s">
        <x:v>45</x:v>
      </x:c>
      <x:c r="G3514" s="0" t="s">
        <x:v>19</x:v>
      </x:c>
      <x:c r="H3514" s="0" t="s">
        <x:v>20</x:v>
      </x:c>
      <x:c r="I3514" s="0" t="s">
        <x:v>21</x:v>
      </x:c>
      <x:c r="K3514" s="0">
        <x:f>hyperlink("https://icd.who.int/dev11/l-ichi/en#/http%3A%2F%2Fid.who.int%2Ficd%2Fentity%2F468494747","browser")</x:f>
      </x:c>
      <x:c r="L3514" s="0">
        <x:f>hyperlink("https://icat2.azurewebsites.net/icat/?ontology=ICD&amp;tab=ClassesTab&amp;id=http%3A%2F%2Fwho.int%2Ficd%2316825_512ebf36_bf6b_4d70_85da_cf2637062af4","iCat")</x:f>
      </x:c>
      <x:c r="M3514" s="0" t="s">
        <x:v>21</x:v>
      </x:c>
      <x:c r="N3514" s="0" t="s">
        <x:v>46</x:v>
      </x:c>
    </x:row>
    <x:row r="3515" spans="1:16">
      <x:c r="A3515" s="0" t="s">
        <x:v>13902</x:v>
      </x:c>
      <x:c r="B3515" s="0" t="s">
        <x:v>13903</x:v>
      </x:c>
      <x:c r="C3515" s="0" t="s">
        <x:v>13904</x:v>
      </x:c>
      <x:c r="E3515" s="0" t="s">
        <x:v>13905</x:v>
      </x:c>
      <x:c r="F3515" s="0" t="s">
        <x:v>45</x:v>
      </x:c>
      <x:c r="G3515" s="0" t="s">
        <x:v>19</x:v>
      </x:c>
      <x:c r="H3515" s="0" t="s">
        <x:v>20</x:v>
      </x:c>
      <x:c r="I3515" s="0" t="s">
        <x:v>21</x:v>
      </x:c>
      <x:c r="K3515" s="0">
        <x:f>hyperlink("https://icd.who.int/dev11/l-ichi/en#/http%3A%2F%2Fid.who.int%2Ficd%2Fentity%2F1143929016","browser")</x:f>
      </x:c>
      <x:c r="L3515" s="0">
        <x:f>hyperlink("https://icat2.azurewebsites.net/icat/?ontology=ICD&amp;tab=ClassesTab&amp;id=http%3A%2F%2Fwho.int%2Ficd%2316831_512ebf36_bf6b_4d70_85da_cf2637062af4","iCat")</x:f>
      </x:c>
      <x:c r="M3515" s="0" t="s">
        <x:v>21</x:v>
      </x:c>
      <x:c r="N3515" s="0" t="s">
        <x:v>46</x:v>
      </x:c>
    </x:row>
    <x:row r="3516" spans="1:16">
      <x:c r="A3516" s="0" t="s">
        <x:v>13906</x:v>
      </x:c>
      <x:c r="B3516" s="0" t="s">
        <x:v>13907</x:v>
      </x:c>
      <x:c r="C3516" s="0" t="s">
        <x:v>13908</x:v>
      </x:c>
      <x:c r="E3516" s="0" t="s">
        <x:v>13909</x:v>
      </x:c>
      <x:c r="F3516" s="0" t="s">
        <x:v>45</x:v>
      </x:c>
      <x:c r="G3516" s="0" t="s">
        <x:v>19</x:v>
      </x:c>
      <x:c r="H3516" s="0" t="s">
        <x:v>20</x:v>
      </x:c>
      <x:c r="I3516" s="0" t="s">
        <x:v>21</x:v>
      </x:c>
      <x:c r="K3516" s="0">
        <x:f>hyperlink("https://icd.who.int/dev11/l-ichi/en#/http%3A%2F%2Fid.who.int%2Ficd%2Fentity%2F710343633","browser")</x:f>
      </x:c>
      <x:c r="L3516" s="0">
        <x:f>hyperlink("https://icat2.azurewebsites.net/icat/?ontology=ICD&amp;tab=ClassesTab&amp;id=http%3A%2F%2Fwho.int%2Ficd%2316838_512ebf36_bf6b_4d70_85da_cf2637062af4","iCat")</x:f>
      </x:c>
      <x:c r="M3516" s="0" t="s">
        <x:v>21</x:v>
      </x:c>
      <x:c r="N3516" s="0" t="s">
        <x:v>46</x:v>
      </x:c>
    </x:row>
    <x:row r="3517" spans="1:16">
      <x:c r="A3517" s="0" t="s">
        <x:v>13910</x:v>
      </x:c>
      <x:c r="B3517" s="0" t="s">
        <x:v>13911</x:v>
      </x:c>
      <x:c r="C3517" s="0" t="s">
        <x:v>13912</x:v>
      </x:c>
      <x:c r="E3517" s="0" t="s">
        <x:v>13913</x:v>
      </x:c>
      <x:c r="F3517" s="0" t="s">
        <x:v>45</x:v>
      </x:c>
      <x:c r="G3517" s="0" t="s">
        <x:v>19</x:v>
      </x:c>
      <x:c r="H3517" s="0" t="s">
        <x:v>20</x:v>
      </x:c>
      <x:c r="I3517" s="0" t="s">
        <x:v>21</x:v>
      </x:c>
      <x:c r="K3517" s="0">
        <x:f>hyperlink("https://icd.who.int/dev11/l-ichi/en#/http%3A%2F%2Fid.who.int%2Ficd%2Fentity%2F308821055","browser")</x:f>
      </x:c>
      <x:c r="L3517" s="0">
        <x:f>hyperlink("https://icat2.azurewebsites.net/icat/?ontology=ICD&amp;tab=ClassesTab&amp;id=http%3A%2F%2Fwho.int%2Ficd%23347_b35e2f26_f485_4668_800f_7416297697bb","iCat")</x:f>
      </x:c>
      <x:c r="M3517" s="0" t="s">
        <x:v>21</x:v>
      </x:c>
      <x:c r="N3517" s="0" t="s">
        <x:v>46</x:v>
      </x:c>
    </x:row>
    <x:row r="3518" spans="1:16">
      <x:c r="A3518" s="0" t="s">
        <x:v>13914</x:v>
      </x:c>
      <x:c r="B3518" s="0" t="s">
        <x:v>13915</x:v>
      </x:c>
      <x:c r="C3518" s="0" t="s">
        <x:v>13916</x:v>
      </x:c>
      <x:c r="E3518" s="0" t="s">
        <x:v>13917</x:v>
      </x:c>
      <x:c r="F3518" s="0" t="s">
        <x:v>45</x:v>
      </x:c>
      <x:c r="G3518" s="0" t="s">
        <x:v>19</x:v>
      </x:c>
      <x:c r="H3518" s="0" t="s">
        <x:v>20</x:v>
      </x:c>
      <x:c r="I3518" s="0" t="s">
        <x:v>21</x:v>
      </x:c>
      <x:c r="K3518" s="0">
        <x:f>hyperlink("https://icd.who.int/dev11/l-ichi/en#/http%3A%2F%2Fid.who.int%2Ficd%2Fentity%2F1107242966","browser")</x:f>
      </x:c>
      <x:c r="L3518" s="0">
        <x:f>hyperlink("https://icat2.azurewebsites.net/icat/?ontology=ICD&amp;tab=ClassesTab&amp;id=http%3A%2F%2Fwho.int%2Ficd%2316845_512ebf36_bf6b_4d70_85da_cf2637062af4","iCat")</x:f>
      </x:c>
      <x:c r="M3518" s="0" t="s">
        <x:v>21</x:v>
      </x:c>
      <x:c r="N3518" s="0" t="s">
        <x:v>46</x:v>
      </x:c>
    </x:row>
    <x:row r="3519" spans="1:16">
      <x:c r="A3519" s="0" t="s">
        <x:v>13918</x:v>
      </x:c>
      <x:c r="B3519" s="0" t="s">
        <x:v>13919</x:v>
      </x:c>
      <x:c r="C3519" s="0" t="s">
        <x:v>13920</x:v>
      </x:c>
      <x:c r="E3519" s="0" t="s">
        <x:v>13921</x:v>
      </x:c>
      <x:c r="F3519" s="0" t="s">
        <x:v>45</x:v>
      </x:c>
      <x:c r="G3519" s="0" t="s">
        <x:v>19</x:v>
      </x:c>
      <x:c r="H3519" s="0" t="s">
        <x:v>20</x:v>
      </x:c>
      <x:c r="I3519" s="0" t="s">
        <x:v>21</x:v>
      </x:c>
      <x:c r="K3519" s="0">
        <x:f>hyperlink("https://icd.who.int/dev11/l-ichi/en#/http%3A%2F%2Fid.who.int%2Ficd%2Fentity%2F1538789644","browser")</x:f>
      </x:c>
      <x:c r="L3519" s="0">
        <x:f>hyperlink("https://icat2.azurewebsites.net/icat/?ontology=ICD&amp;tab=ClassesTab&amp;id=http%3A%2F%2Fwho.int%2Ficd%2316852_512ebf36_bf6b_4d70_85da_cf2637062af4","iCat")</x:f>
      </x:c>
      <x:c r="M3519" s="0" t="s">
        <x:v>21</x:v>
      </x:c>
      <x:c r="N3519" s="0" t="s">
        <x:v>46</x:v>
      </x:c>
    </x:row>
    <x:row r="3520" spans="1:16">
      <x:c r="A3520" s="0" t="s">
        <x:v>13922</x:v>
      </x:c>
      <x:c r="B3520" s="0" t="s">
        <x:v>13923</x:v>
      </x:c>
      <x:c r="C3520" s="0" t="s">
        <x:v>13924</x:v>
      </x:c>
      <x:c r="E3520" s="0" t="s">
        <x:v>13925</x:v>
      </x:c>
      <x:c r="F3520" s="0" t="s">
        <x:v>45</x:v>
      </x:c>
      <x:c r="G3520" s="0" t="s">
        <x:v>19</x:v>
      </x:c>
      <x:c r="H3520" s="0" t="s">
        <x:v>20</x:v>
      </x:c>
      <x:c r="I3520" s="0" t="s">
        <x:v>21</x:v>
      </x:c>
      <x:c r="K3520" s="0">
        <x:f>hyperlink("https://icd.who.int/dev11/l-ichi/en#/http%3A%2F%2Fid.who.int%2Ficd%2Fentity%2F1883602332","browser")</x:f>
      </x:c>
      <x:c r="L3520" s="0">
        <x:f>hyperlink("https://icat2.azurewebsites.net/icat/?ontology=ICD&amp;tab=ClassesTab&amp;id=http%3A%2F%2Fwho.int%2Ficd%2316858_512ebf36_bf6b_4d70_85da_cf2637062af4","iCat")</x:f>
      </x:c>
      <x:c r="M3520" s="0" t="s">
        <x:v>21</x:v>
      </x:c>
      <x:c r="N3520" s="0" t="s">
        <x:v>46</x:v>
      </x:c>
    </x:row>
    <x:row r="3521" spans="1:16">
      <x:c r="A3521" s="0" t="s">
        <x:v>13926</x:v>
      </x:c>
      <x:c r="B3521" s="0" t="s">
        <x:v>13927</x:v>
      </x:c>
      <x:c r="C3521" s="0" t="s">
        <x:v>13928</x:v>
      </x:c>
      <x:c r="E3521" s="0" t="s">
        <x:v>13929</x:v>
      </x:c>
      <x:c r="F3521" s="0" t="s">
        <x:v>45</x:v>
      </x:c>
      <x:c r="G3521" s="0" t="s">
        <x:v>19</x:v>
      </x:c>
      <x:c r="H3521" s="0" t="s">
        <x:v>20</x:v>
      </x:c>
      <x:c r="I3521" s="0" t="s">
        <x:v>21</x:v>
      </x:c>
      <x:c r="K3521" s="0">
        <x:f>hyperlink("https://icd.who.int/dev11/l-ichi/en#/http%3A%2F%2Fid.who.int%2Ficd%2Fentity%2F251127619","browser")</x:f>
      </x:c>
      <x:c r="L3521" s="0">
        <x:f>hyperlink("https://icat2.azurewebsites.net/icat/?ontology=ICD&amp;tab=ClassesTab&amp;id=http%3A%2F%2Fwho.int%2Ficd%2316867_512ebf36_bf6b_4d70_85da_cf2637062af4","iCat")</x:f>
      </x:c>
      <x:c r="M3521" s="0" t="s">
        <x:v>21</x:v>
      </x:c>
      <x:c r="N3521" s="0" t="s">
        <x:v>46</x:v>
      </x:c>
    </x:row>
    <x:row r="3522" spans="1:16">
      <x:c r="A3522" s="0" t="s">
        <x:v>13930</x:v>
      </x:c>
      <x:c r="B3522" s="0" t="s">
        <x:v>13931</x:v>
      </x:c>
      <x:c r="C3522" s="0" t="s">
        <x:v>13932</x:v>
      </x:c>
      <x:c r="E3522" s="0" t="s">
        <x:v>13933</x:v>
      </x:c>
      <x:c r="F3522" s="0" t="s">
        <x:v>45</x:v>
      </x:c>
      <x:c r="G3522" s="0" t="s">
        <x:v>19</x:v>
      </x:c>
      <x:c r="H3522" s="0" t="s">
        <x:v>20</x:v>
      </x:c>
      <x:c r="I3522" s="0" t="s">
        <x:v>21</x:v>
      </x:c>
      <x:c r="K3522" s="0">
        <x:f>hyperlink("https://icd.who.int/dev11/l-ichi/en#/http%3A%2F%2Fid.who.int%2Ficd%2Fentity%2F1154154536","browser")</x:f>
      </x:c>
      <x:c r="L3522" s="0">
        <x:f>hyperlink("https://icat2.azurewebsites.net/icat/?ontology=ICD&amp;tab=ClassesTab&amp;id=http%3A%2F%2Fwho.int%2Ficd%2316876_512ebf36_bf6b_4d70_85da_cf2637062af4","iCat")</x:f>
      </x:c>
      <x:c r="M3522" s="0" t="s">
        <x:v>21</x:v>
      </x:c>
      <x:c r="N3522" s="0" t="s">
        <x:v>46</x:v>
      </x:c>
    </x:row>
    <x:row r="3523" spans="1:16">
      <x:c r="A3523" s="0" t="s">
        <x:v>13934</x:v>
      </x:c>
      <x:c r="B3523" s="0" t="s">
        <x:v>13935</x:v>
      </x:c>
      <x:c r="C3523" s="0" t="s">
        <x:v>13936</x:v>
      </x:c>
      <x:c r="E3523" s="0" t="s">
        <x:v>13937</x:v>
      </x:c>
      <x:c r="F3523" s="0" t="s">
        <x:v>45</x:v>
      </x:c>
      <x:c r="G3523" s="0" t="s">
        <x:v>19</x:v>
      </x:c>
      <x:c r="H3523" s="0" t="s">
        <x:v>20</x:v>
      </x:c>
      <x:c r="I3523" s="0" t="s">
        <x:v>21</x:v>
      </x:c>
      <x:c r="K3523" s="0">
        <x:f>hyperlink("https://icd.who.int/dev11/l-ichi/en#/http%3A%2F%2Fid.who.int%2Ficd%2Fentity%2F2127756478","browser")</x:f>
      </x:c>
      <x:c r="L3523" s="0">
        <x:f>hyperlink("https://icat2.azurewebsites.net/icat/?ontology=ICD&amp;tab=ClassesTab&amp;id=http%3A%2F%2Fwho.int%2Ficd%2316883_512ebf36_bf6b_4d70_85da_cf2637062af4","iCat")</x:f>
      </x:c>
      <x:c r="M3523" s="0" t="s">
        <x:v>21</x:v>
      </x:c>
      <x:c r="N3523" s="0" t="s">
        <x:v>46</x:v>
      </x:c>
    </x:row>
    <x:row r="3524" spans="1:16">
      <x:c r="A3524" s="0" t="s">
        <x:v>13938</x:v>
      </x:c>
      <x:c r="B3524" s="0" t="s">
        <x:v>13939</x:v>
      </x:c>
      <x:c r="C3524" s="0" t="s">
        <x:v>13940</x:v>
      </x:c>
      <x:c r="E3524" s="0" t="s">
        <x:v>13941</x:v>
      </x:c>
      <x:c r="F3524" s="0" t="s">
        <x:v>45</x:v>
      </x:c>
      <x:c r="G3524" s="0" t="s">
        <x:v>19</x:v>
      </x:c>
      <x:c r="H3524" s="0" t="s">
        <x:v>20</x:v>
      </x:c>
      <x:c r="I3524" s="0" t="s">
        <x:v>21</x:v>
      </x:c>
      <x:c r="K3524" s="0">
        <x:f>hyperlink("https://icd.who.int/dev11/l-ichi/en#/http%3A%2F%2Fid.who.int%2Ficd%2Fentity%2F32104353","browser")</x:f>
      </x:c>
      <x:c r="L3524" s="0">
        <x:f>hyperlink("https://icat2.azurewebsites.net/icat/?ontology=ICD&amp;tab=ClassesTab&amp;id=http%3A%2F%2Fwho.int%2Ficd%2316896_512ebf36_bf6b_4d70_85da_cf2637062af4","iCat")</x:f>
      </x:c>
      <x:c r="M3524" s="0" t="s">
        <x:v>21</x:v>
      </x:c>
      <x:c r="N3524" s="0" t="s">
        <x:v>46</x:v>
      </x:c>
    </x:row>
    <x:row r="3525" spans="1:16">
      <x:c r="A3525" s="0" t="s">
        <x:v>13942</x:v>
      </x:c>
      <x:c r="B3525" s="0" t="s">
        <x:v>13943</x:v>
      </x:c>
      <x:c r="C3525" s="0" t="s">
        <x:v>13944</x:v>
      </x:c>
      <x:c r="E3525" s="0" t="s">
        <x:v>13945</x:v>
      </x:c>
      <x:c r="F3525" s="0" t="s">
        <x:v>45</x:v>
      </x:c>
      <x:c r="G3525" s="0" t="s">
        <x:v>19</x:v>
      </x:c>
      <x:c r="H3525" s="0" t="s">
        <x:v>20</x:v>
      </x:c>
      <x:c r="I3525" s="0" t="s">
        <x:v>21</x:v>
      </x:c>
      <x:c r="K3525" s="0">
        <x:f>hyperlink("https://icd.who.int/dev11/l-ichi/en#/http%3A%2F%2Fid.who.int%2Ficd%2Fentity%2F1065422711","browser")</x:f>
      </x:c>
      <x:c r="L3525" s="0">
        <x:f>hyperlink("https://icat2.azurewebsites.net/icat/?ontology=ICD&amp;tab=ClassesTab&amp;id=http%3A%2F%2Fwho.int%2Ficd%2316909_512ebf36_bf6b_4d70_85da_cf2637062af4","iCat")</x:f>
      </x:c>
      <x:c r="M3525" s="0" t="s">
        <x:v>21</x:v>
      </x:c>
      <x:c r="N3525" s="0" t="s">
        <x:v>46</x:v>
      </x:c>
    </x:row>
    <x:row r="3526" spans="1:16">
      <x:c r="A3526" s="0" t="s">
        <x:v>13946</x:v>
      </x:c>
      <x:c r="B3526" s="0" t="s">
        <x:v>13947</x:v>
      </x:c>
      <x:c r="C3526" s="0" t="s">
        <x:v>13948</x:v>
      </x:c>
      <x:c r="E3526" s="0" t="s">
        <x:v>13949</x:v>
      </x:c>
      <x:c r="F3526" s="0" t="s">
        <x:v>45</x:v>
      </x:c>
      <x:c r="G3526" s="0" t="s">
        <x:v>19</x:v>
      </x:c>
      <x:c r="H3526" s="0" t="s">
        <x:v>20</x:v>
      </x:c>
      <x:c r="I3526" s="0" t="s">
        <x:v>21</x:v>
      </x:c>
      <x:c r="K3526" s="0">
        <x:f>hyperlink("https://icd.who.int/dev11/l-ichi/en#/http%3A%2F%2Fid.who.int%2Ficd%2Fentity%2F784477953","browser")</x:f>
      </x:c>
      <x:c r="L3526" s="0">
        <x:f>hyperlink("https://icat2.azurewebsites.net/icat/?ontology=ICD&amp;tab=ClassesTab&amp;id=http%3A%2F%2Fwho.int%2Ficd%2316915_512ebf36_bf6b_4d70_85da_cf2637062af4","iCat")</x:f>
      </x:c>
      <x:c r="M3526" s="0" t="s">
        <x:v>21</x:v>
      </x:c>
      <x:c r="N3526" s="0" t="s">
        <x:v>46</x:v>
      </x:c>
    </x:row>
    <x:row r="3527" spans="1:16">
      <x:c r="A3527" s="0" t="s">
        <x:v>13950</x:v>
      </x:c>
      <x:c r="B3527" s="0" t="s">
        <x:v>13951</x:v>
      </x:c>
      <x:c r="C3527" s="0" t="s">
        <x:v>13952</x:v>
      </x:c>
      <x:c r="E3527" s="0" t="s">
        <x:v>13953</x:v>
      </x:c>
      <x:c r="F3527" s="0" t="s">
        <x:v>45</x:v>
      </x:c>
      <x:c r="G3527" s="0" t="s">
        <x:v>19</x:v>
      </x:c>
      <x:c r="H3527" s="0" t="s">
        <x:v>20</x:v>
      </x:c>
      <x:c r="I3527" s="0" t="s">
        <x:v>21</x:v>
      </x:c>
      <x:c r="K3527" s="0">
        <x:f>hyperlink("https://icd.who.int/dev11/l-ichi/en#/http%3A%2F%2Fid.who.int%2Ficd%2Fentity%2F1534372722","browser")</x:f>
      </x:c>
      <x:c r="L3527" s="0">
        <x:f>hyperlink("https://icat2.azurewebsites.net/icat/?ontology=ICD&amp;tab=ClassesTab&amp;id=http%3A%2F%2Fwho.int%2Ficd%2316921_512ebf36_bf6b_4d70_85da_cf2637062af4","iCat")</x:f>
      </x:c>
      <x:c r="M3527" s="0" t="s">
        <x:v>21</x:v>
      </x:c>
      <x:c r="N3527" s="0" t="s">
        <x:v>46</x:v>
      </x:c>
    </x:row>
    <x:row r="3528" spans="1:16">
      <x:c r="A3528" s="0" t="s">
        <x:v>13954</x:v>
      </x:c>
      <x:c r="B3528" s="0" t="s">
        <x:v>13955</x:v>
      </x:c>
      <x:c r="C3528" s="0" t="s">
        <x:v>13956</x:v>
      </x:c>
      <x:c r="E3528" s="0" t="s">
        <x:v>13957</x:v>
      </x:c>
      <x:c r="F3528" s="0" t="s">
        <x:v>45</x:v>
      </x:c>
      <x:c r="G3528" s="0" t="s">
        <x:v>19</x:v>
      </x:c>
      <x:c r="H3528" s="0" t="s">
        <x:v>20</x:v>
      </x:c>
      <x:c r="I3528" s="0" t="s">
        <x:v>21</x:v>
      </x:c>
      <x:c r="K3528" s="0">
        <x:f>hyperlink("https://icd.who.int/dev11/l-ichi/en#/http%3A%2F%2Fid.who.int%2Ficd%2Fentity%2F185561795","browser")</x:f>
      </x:c>
      <x:c r="L3528" s="0">
        <x:f>hyperlink("https://icat2.azurewebsites.net/icat/?ontology=ICD&amp;tab=ClassesTab&amp;id=http%3A%2F%2Fwho.int%2Ficd%2316927_512ebf36_bf6b_4d70_85da_cf2637062af4","iCat")</x:f>
      </x:c>
      <x:c r="M3528" s="0" t="s">
        <x:v>21</x:v>
      </x:c>
      <x:c r="N3528" s="0" t="s">
        <x:v>46</x:v>
      </x:c>
    </x:row>
    <x:row r="3529" spans="1:16">
      <x:c r="A3529" s="0" t="s">
        <x:v>13958</x:v>
      </x:c>
      <x:c r="B3529" s="0" t="s">
        <x:v>13959</x:v>
      </x:c>
      <x:c r="C3529" s="0" t="s">
        <x:v>13960</x:v>
      </x:c>
      <x:c r="E3529" s="0" t="s">
        <x:v>13961</x:v>
      </x:c>
      <x:c r="F3529" s="0" t="s">
        <x:v>45</x:v>
      </x:c>
      <x:c r="G3529" s="0" t="s">
        <x:v>19</x:v>
      </x:c>
      <x:c r="H3529" s="0" t="s">
        <x:v>20</x:v>
      </x:c>
      <x:c r="I3529" s="0" t="s">
        <x:v>21</x:v>
      </x:c>
      <x:c r="K3529" s="0">
        <x:f>hyperlink("https://icd.who.int/dev11/l-ichi/en#/http%3A%2F%2Fid.who.int%2Ficd%2Fentity%2F1422730208","browser")</x:f>
      </x:c>
      <x:c r="L3529" s="0">
        <x:f>hyperlink("https://icat2.azurewebsites.net/icat/?ontology=ICD&amp;tab=ClassesTab&amp;id=http%3A%2F%2Fwho.int%2Ficd%2316933_512ebf36_bf6b_4d70_85da_cf2637062af4","iCat")</x:f>
      </x:c>
      <x:c r="M3529" s="0" t="s">
        <x:v>21</x:v>
      </x:c>
      <x:c r="N3529" s="0" t="s">
        <x:v>46</x:v>
      </x:c>
    </x:row>
    <x:row r="3530" spans="1:16">
      <x:c r="A3530" s="0" t="s">
        <x:v>13962</x:v>
      </x:c>
      <x:c r="B3530" s="0" t="s">
        <x:v>13963</x:v>
      </x:c>
      <x:c r="C3530" s="0" t="s">
        <x:v>13964</x:v>
      </x:c>
      <x:c r="E3530" s="0" t="s">
        <x:v>13965</x:v>
      </x:c>
      <x:c r="F3530" s="0" t="s">
        <x:v>45</x:v>
      </x:c>
      <x:c r="G3530" s="0" t="s">
        <x:v>19</x:v>
      </x:c>
      <x:c r="H3530" s="0" t="s">
        <x:v>20</x:v>
      </x:c>
      <x:c r="I3530" s="0" t="s">
        <x:v>21</x:v>
      </x:c>
      <x:c r="K3530" s="0">
        <x:f>hyperlink("https://icd.who.int/dev11/l-ichi/en#/http%3A%2F%2Fid.who.int%2Ficd%2Fentity%2F2133872496","browser")</x:f>
      </x:c>
      <x:c r="L3530" s="0">
        <x:f>hyperlink("https://icat2.azurewebsites.net/icat/?ontology=ICD&amp;tab=ClassesTab&amp;id=http%3A%2F%2Fwho.int%2Ficd%2316939_512ebf36_bf6b_4d70_85da_cf2637062af4","iCat")</x:f>
      </x:c>
      <x:c r="M3530" s="0" t="s">
        <x:v>21</x:v>
      </x:c>
      <x:c r="N3530" s="0" t="s">
        <x:v>46</x:v>
      </x:c>
    </x:row>
    <x:row r="3531" spans="1:16">
      <x:c r="A3531" s="0" t="s">
        <x:v>13966</x:v>
      </x:c>
      <x:c r="B3531" s="0" t="s">
        <x:v>13967</x:v>
      </x:c>
      <x:c r="C3531" s="0" t="s">
        <x:v>13968</x:v>
      </x:c>
      <x:c r="E3531" s="0" t="s">
        <x:v>13969</x:v>
      </x:c>
      <x:c r="F3531" s="0" t="s">
        <x:v>45</x:v>
      </x:c>
      <x:c r="G3531" s="0" t="s">
        <x:v>19</x:v>
      </x:c>
      <x:c r="H3531" s="0" t="s">
        <x:v>20</x:v>
      </x:c>
      <x:c r="I3531" s="0" t="s">
        <x:v>21</x:v>
      </x:c>
      <x:c r="K3531" s="0">
        <x:f>hyperlink("https://icd.who.int/dev11/l-ichi/en#/http%3A%2F%2Fid.who.int%2Ficd%2Fentity%2F878766411","browser")</x:f>
      </x:c>
      <x:c r="L3531" s="0">
        <x:f>hyperlink("https://icat2.azurewebsites.net/icat/?ontology=ICD&amp;tab=ClassesTab&amp;id=http%3A%2F%2Fwho.int%2Ficd%2316945_512ebf36_bf6b_4d70_85da_cf2637062af4","iCat")</x:f>
      </x:c>
      <x:c r="M3531" s="0" t="s">
        <x:v>21</x:v>
      </x:c>
      <x:c r="N3531" s="0" t="s">
        <x:v>46</x:v>
      </x:c>
    </x:row>
    <x:row r="3532" spans="1:16">
      <x:c r="A3532" s="0" t="s">
        <x:v>13970</x:v>
      </x:c>
      <x:c r="B3532" s="0" t="s">
        <x:v>13971</x:v>
      </x:c>
      <x:c r="C3532" s="0" t="s">
        <x:v>13972</x:v>
      </x:c>
      <x:c r="E3532" s="0" t="s">
        <x:v>13973</x:v>
      </x:c>
      <x:c r="F3532" s="0" t="s">
        <x:v>45</x:v>
      </x:c>
      <x:c r="G3532" s="0" t="s">
        <x:v>19</x:v>
      </x:c>
      <x:c r="H3532" s="0" t="s">
        <x:v>20</x:v>
      </x:c>
      <x:c r="I3532" s="0" t="s">
        <x:v>21</x:v>
      </x:c>
      <x:c r="K3532" s="0">
        <x:f>hyperlink("https://icd.who.int/dev11/l-ichi/en#/http%3A%2F%2Fid.who.int%2Ficd%2Fentity%2F1805826154","browser")</x:f>
      </x:c>
      <x:c r="L3532" s="0">
        <x:f>hyperlink("https://icat2.azurewebsites.net/icat/?ontology=ICD&amp;tab=ClassesTab&amp;id=http%3A%2F%2Fwho.int%2Ficd%2316951_512ebf36_bf6b_4d70_85da_cf2637062af4","iCat")</x:f>
      </x:c>
      <x:c r="M3532" s="0" t="s">
        <x:v>21</x:v>
      </x:c>
      <x:c r="N3532" s="0" t="s">
        <x:v>46</x:v>
      </x:c>
    </x:row>
    <x:row r="3533" spans="1:16">
      <x:c r="A3533" s="0" t="s">
        <x:v>13974</x:v>
      </x:c>
      <x:c r="B3533" s="0" t="s">
        <x:v>13975</x:v>
      </x:c>
      <x:c r="C3533" s="0" t="s">
        <x:v>13976</x:v>
      </x:c>
      <x:c r="E3533" s="0" t="s">
        <x:v>13977</x:v>
      </x:c>
      <x:c r="F3533" s="0" t="s">
        <x:v>45</x:v>
      </x:c>
      <x:c r="G3533" s="0" t="s">
        <x:v>19</x:v>
      </x:c>
      <x:c r="H3533" s="0" t="s">
        <x:v>20</x:v>
      </x:c>
      <x:c r="I3533" s="0" t="s">
        <x:v>21</x:v>
      </x:c>
      <x:c r="K3533" s="0">
        <x:f>hyperlink("https://icd.who.int/dev11/l-ichi/en#/http%3A%2F%2Fid.who.int%2Ficd%2Fentity%2F722729071","browser")</x:f>
      </x:c>
      <x:c r="L3533" s="0">
        <x:f>hyperlink("https://icat2.azurewebsites.net/icat/?ontology=ICD&amp;tab=ClassesTab&amp;id=http%3A%2F%2Fwho.int%2Ficd%2316961_512ebf36_bf6b_4d70_85da_cf2637062af4","iCat")</x:f>
      </x:c>
      <x:c r="M3533" s="0" t="s">
        <x:v>21</x:v>
      </x:c>
      <x:c r="N3533" s="0" t="s">
        <x:v>46</x:v>
      </x:c>
    </x:row>
    <x:row r="3534" spans="1:16">
      <x:c r="A3534" s="0" t="s">
        <x:v>13978</x:v>
      </x:c>
      <x:c r="B3534" s="0" t="s">
        <x:v>13979</x:v>
      </x:c>
      <x:c r="C3534" s="0" t="s">
        <x:v>13980</x:v>
      </x:c>
      <x:c r="E3534" s="0" t="s">
        <x:v>13981</x:v>
      </x:c>
      <x:c r="F3534" s="0" t="s">
        <x:v>45</x:v>
      </x:c>
      <x:c r="G3534" s="0" t="s">
        <x:v>19</x:v>
      </x:c>
      <x:c r="H3534" s="0" t="s">
        <x:v>20</x:v>
      </x:c>
      <x:c r="I3534" s="0" t="s">
        <x:v>21</x:v>
      </x:c>
      <x:c r="K3534" s="0">
        <x:f>hyperlink("https://icd.who.int/dev11/l-ichi/en#/http%3A%2F%2Fid.who.int%2Ficd%2Fentity%2F1104571704","browser")</x:f>
      </x:c>
      <x:c r="L3534" s="0">
        <x:f>hyperlink("https://icat2.azurewebsites.net/icat/?ontology=ICD&amp;tab=ClassesTab&amp;id=http%3A%2F%2Fwho.int%2Ficd%2316971_512ebf36_bf6b_4d70_85da_cf2637062af4","iCat")</x:f>
      </x:c>
      <x:c r="M3534" s="0" t="s">
        <x:v>21</x:v>
      </x:c>
      <x:c r="N3534" s="0" t="s">
        <x:v>46</x:v>
      </x:c>
    </x:row>
    <x:row r="3535" spans="1:16">
      <x:c r="A3535" s="0" t="s">
        <x:v>13982</x:v>
      </x:c>
      <x:c r="B3535" s="0" t="s">
        <x:v>13983</x:v>
      </x:c>
      <x:c r="C3535" s="0" t="s">
        <x:v>13984</x:v>
      </x:c>
      <x:c r="E3535" s="0" t="s">
        <x:v>13985</x:v>
      </x:c>
      <x:c r="F3535" s="0" t="s">
        <x:v>45</x:v>
      </x:c>
      <x:c r="G3535" s="0" t="s">
        <x:v>19</x:v>
      </x:c>
      <x:c r="H3535" s="0" t="s">
        <x:v>20</x:v>
      </x:c>
      <x:c r="I3535" s="0" t="s">
        <x:v>21</x:v>
      </x:c>
      <x:c r="K3535" s="0">
        <x:f>hyperlink("https://icd.who.int/dev11/l-ichi/en#/http%3A%2F%2Fid.who.int%2Ficd%2Fentity%2F257367149","browser")</x:f>
      </x:c>
      <x:c r="L3535" s="0">
        <x:f>hyperlink("https://icat2.azurewebsites.net/icat/?ontology=ICD&amp;tab=ClassesTab&amp;id=http%3A%2F%2Fwho.int%2Ficd%2316979_512ebf36_bf6b_4d70_85da_cf2637062af4","iCat")</x:f>
      </x:c>
      <x:c r="M3535" s="0" t="s">
        <x:v>21</x:v>
      </x:c>
      <x:c r="N3535" s="0" t="s">
        <x:v>46</x:v>
      </x:c>
    </x:row>
    <x:row r="3536" spans="1:16">
      <x:c r="A3536" s="0" t="s">
        <x:v>13986</x:v>
      </x:c>
      <x:c r="B3536" s="0" t="s">
        <x:v>13987</x:v>
      </x:c>
      <x:c r="C3536" s="0" t="s">
        <x:v>13988</x:v>
      </x:c>
      <x:c r="E3536" s="0" t="s">
        <x:v>13989</x:v>
      </x:c>
      <x:c r="F3536" s="0" t="s">
        <x:v>45</x:v>
      </x:c>
      <x:c r="G3536" s="0" t="s">
        <x:v>19</x:v>
      </x:c>
      <x:c r="H3536" s="0" t="s">
        <x:v>20</x:v>
      </x:c>
      <x:c r="I3536" s="0" t="s">
        <x:v>21</x:v>
      </x:c>
      <x:c r="K3536" s="0">
        <x:f>hyperlink("https://icd.who.int/dev11/l-ichi/en#/http%3A%2F%2Fid.who.int%2Ficd%2Fentity%2F1045102167","browser")</x:f>
      </x:c>
      <x:c r="L3536" s="0">
        <x:f>hyperlink("https://icat2.azurewebsites.net/icat/?ontology=ICD&amp;tab=ClassesTab&amp;id=http%3A%2F%2Fwho.int%2Ficd%2316987_512ebf36_bf6b_4d70_85da_cf2637062af4","iCat")</x:f>
      </x:c>
      <x:c r="M3536" s="0" t="s">
        <x:v>21</x:v>
      </x:c>
      <x:c r="N3536" s="0" t="s">
        <x:v>46</x:v>
      </x:c>
    </x:row>
    <x:row r="3537" spans="1:16">
      <x:c r="A3537" s="0" t="s">
        <x:v>13990</x:v>
      </x:c>
      <x:c r="B3537" s="0" t="s">
        <x:v>13991</x:v>
      </x:c>
      <x:c r="C3537" s="0" t="s">
        <x:v>13992</x:v>
      </x:c>
      <x:c r="E3537" s="0" t="s">
        <x:v>13993</x:v>
      </x:c>
      <x:c r="F3537" s="0" t="s">
        <x:v>45</x:v>
      </x:c>
      <x:c r="G3537" s="0" t="s">
        <x:v>19</x:v>
      </x:c>
      <x:c r="H3537" s="0" t="s">
        <x:v>20</x:v>
      </x:c>
      <x:c r="I3537" s="0" t="s">
        <x:v>21</x:v>
      </x:c>
      <x:c r="K3537" s="0">
        <x:f>hyperlink("https://icd.who.int/dev11/l-ichi/en#/http%3A%2F%2Fid.who.int%2Ficd%2Fentity%2F1636347764","browser")</x:f>
      </x:c>
      <x:c r="L3537" s="0">
        <x:f>hyperlink("https://icat2.azurewebsites.net/icat/?ontology=ICD&amp;tab=ClassesTab&amp;id=http%3A%2F%2Fwho.int%2Ficd%2316993_512ebf36_bf6b_4d70_85da_cf2637062af4","iCat")</x:f>
      </x:c>
      <x:c r="M3537" s="0" t="s">
        <x:v>21</x:v>
      </x:c>
      <x:c r="N3537" s="0" t="s">
        <x:v>46</x:v>
      </x:c>
    </x:row>
    <x:row r="3538" spans="1:16">
      <x:c r="A3538" s="0" t="s">
        <x:v>13994</x:v>
      </x:c>
      <x:c r="B3538" s="0" t="s">
        <x:v>13995</x:v>
      </x:c>
      <x:c r="C3538" s="0" t="s">
        <x:v>13996</x:v>
      </x:c>
      <x:c r="E3538" s="0" t="s">
        <x:v>13997</x:v>
      </x:c>
      <x:c r="F3538" s="0" t="s">
        <x:v>45</x:v>
      </x:c>
      <x:c r="G3538" s="0" t="s">
        <x:v>19</x:v>
      </x:c>
      <x:c r="H3538" s="0" t="s">
        <x:v>20</x:v>
      </x:c>
      <x:c r="I3538" s="0" t="s">
        <x:v>21</x:v>
      </x:c>
      <x:c r="K3538" s="0">
        <x:f>hyperlink("https://icd.who.int/dev11/l-ichi/en#/http%3A%2F%2Fid.who.int%2Ficd%2Fentity%2F2003692380","browser")</x:f>
      </x:c>
      <x:c r="L3538" s="0">
        <x:f>hyperlink("https://icat2.azurewebsites.net/icat/?ontology=ICD&amp;tab=ClassesTab&amp;id=http%3A%2F%2Fwho.int%2Ficd%2317000_512ebf36_bf6b_4d70_85da_cf2637062af4","iCat")</x:f>
      </x:c>
      <x:c r="M3538" s="0" t="s">
        <x:v>21</x:v>
      </x:c>
      <x:c r="N3538" s="0" t="s">
        <x:v>46</x:v>
      </x:c>
    </x:row>
    <x:row r="3539" spans="1:16">
      <x:c r="A3539" s="0" t="s">
        <x:v>13998</x:v>
      </x:c>
      <x:c r="B3539" s="0" t="s">
        <x:v>13999</x:v>
      </x:c>
      <x:c r="C3539" s="0" t="s">
        <x:v>14000</x:v>
      </x:c>
      <x:c r="E3539" s="0" t="s">
        <x:v>14001</x:v>
      </x:c>
      <x:c r="F3539" s="0" t="s">
        <x:v>45</x:v>
      </x:c>
      <x:c r="G3539" s="0" t="s">
        <x:v>19</x:v>
      </x:c>
      <x:c r="H3539" s="0" t="s">
        <x:v>20</x:v>
      </x:c>
      <x:c r="I3539" s="0" t="s">
        <x:v>21</x:v>
      </x:c>
      <x:c r="K3539" s="0">
        <x:f>hyperlink("https://icd.who.int/dev11/l-ichi/en#/http%3A%2F%2Fid.who.int%2Ficd%2Fentity%2F655766251","browser")</x:f>
      </x:c>
      <x:c r="L3539" s="0">
        <x:f>hyperlink("https://icat2.azurewebsites.net/icat/?ontology=ICD&amp;tab=ClassesTab&amp;id=http%3A%2F%2Fwho.int%2Ficd%2317006_512ebf36_bf6b_4d70_85da_cf2637062af4","iCat")</x:f>
      </x:c>
      <x:c r="M3539" s="0" t="s">
        <x:v>21</x:v>
      </x:c>
      <x:c r="N3539" s="0" t="s">
        <x:v>46</x:v>
      </x:c>
    </x:row>
    <x:row r="3540" spans="1:16">
      <x:c r="A3540" s="0" t="s">
        <x:v>14002</x:v>
      </x:c>
      <x:c r="B3540" s="0" t="s">
        <x:v>14003</x:v>
      </x:c>
      <x:c r="C3540" s="0" t="s">
        <x:v>14004</x:v>
      </x:c>
      <x:c r="E3540" s="0" t="s">
        <x:v>14005</x:v>
      </x:c>
      <x:c r="F3540" s="0" t="s">
        <x:v>45</x:v>
      </x:c>
      <x:c r="G3540" s="0" t="s">
        <x:v>19</x:v>
      </x:c>
      <x:c r="H3540" s="0" t="s">
        <x:v>20</x:v>
      </x:c>
      <x:c r="I3540" s="0" t="s">
        <x:v>21</x:v>
      </x:c>
      <x:c r="K3540" s="0">
        <x:f>hyperlink("https://icd.who.int/dev11/l-ichi/en#/http%3A%2F%2Fid.who.int%2Ficd%2Fentity%2F1479348724","browser")</x:f>
      </x:c>
      <x:c r="L3540" s="0">
        <x:f>hyperlink("https://icat2.azurewebsites.net/icat/?ontology=ICD&amp;tab=ClassesTab&amp;id=http%3A%2F%2Fwho.int%2Ficd%2317013_512ebf36_bf6b_4d70_85da_cf2637062af4","iCat")</x:f>
      </x:c>
      <x:c r="M3540" s="0" t="s">
        <x:v>21</x:v>
      </x:c>
      <x:c r="N3540" s="0" t="s">
        <x:v>46</x:v>
      </x:c>
    </x:row>
    <x:row r="3541" spans="1:16">
      <x:c r="A3541" s="0" t="s">
        <x:v>14006</x:v>
      </x:c>
      <x:c r="B3541" s="0" t="s">
        <x:v>14007</x:v>
      </x:c>
      <x:c r="C3541" s="0" t="s">
        <x:v>14008</x:v>
      </x:c>
      <x:c r="E3541" s="0" t="s">
        <x:v>14009</x:v>
      </x:c>
      <x:c r="F3541" s="0" t="s">
        <x:v>45</x:v>
      </x:c>
      <x:c r="G3541" s="0" t="s">
        <x:v>19</x:v>
      </x:c>
      <x:c r="H3541" s="0" t="s">
        <x:v>20</x:v>
      </x:c>
      <x:c r="I3541" s="0" t="s">
        <x:v>21</x:v>
      </x:c>
      <x:c r="K3541" s="0">
        <x:f>hyperlink("https://icd.who.int/dev11/l-ichi/en#/http%3A%2F%2Fid.who.int%2Ficd%2Fentity%2F1561935370","browser")</x:f>
      </x:c>
      <x:c r="L3541" s="0">
        <x:f>hyperlink("https://icat2.azurewebsites.net/icat/?ontology=ICD&amp;tab=ClassesTab&amp;id=http%3A%2F%2Fwho.int%2Ficd%2317020_512ebf36_bf6b_4d70_85da_cf2637062af4","iCat")</x:f>
      </x:c>
      <x:c r="M3541" s="0" t="s">
        <x:v>21</x:v>
      </x:c>
      <x:c r="N3541" s="0" t="s">
        <x:v>46</x:v>
      </x:c>
    </x:row>
    <x:row r="3542" spans="1:16">
      <x:c r="A3542" s="0" t="s">
        <x:v>14010</x:v>
      </x:c>
      <x:c r="B3542" s="0" t="s">
        <x:v>14011</x:v>
      </x:c>
      <x:c r="C3542" s="0" t="s">
        <x:v>14012</x:v>
      </x:c>
      <x:c r="E3542" s="0" t="s">
        <x:v>14013</x:v>
      </x:c>
      <x:c r="F3542" s="0" t="s">
        <x:v>45</x:v>
      </x:c>
      <x:c r="G3542" s="0" t="s">
        <x:v>19</x:v>
      </x:c>
      <x:c r="H3542" s="0" t="s">
        <x:v>20</x:v>
      </x:c>
      <x:c r="I3542" s="0" t="s">
        <x:v>21</x:v>
      </x:c>
      <x:c r="K3542" s="0">
        <x:f>hyperlink("https://icd.who.int/dev11/l-ichi/en#/http%3A%2F%2Fid.who.int%2Ficd%2Fentity%2F1739027182","browser")</x:f>
      </x:c>
      <x:c r="L3542" s="0">
        <x:f>hyperlink("https://icat2.azurewebsites.net/icat/?ontology=ICD&amp;tab=ClassesTab&amp;id=http%3A%2F%2Fwho.int%2Ficd%2317036_512ebf36_bf6b_4d70_85da_cf2637062af4","iCat")</x:f>
      </x:c>
      <x:c r="M3542" s="0" t="s">
        <x:v>21</x:v>
      </x:c>
      <x:c r="N3542" s="0" t="s">
        <x:v>46</x:v>
      </x:c>
    </x:row>
    <x:row r="3543" spans="1:16">
      <x:c r="A3543" s="0" t="s">
        <x:v>14014</x:v>
      </x:c>
      <x:c r="B3543" s="0" t="s">
        <x:v>14015</x:v>
      </x:c>
      <x:c r="C3543" s="0" t="s">
        <x:v>14016</x:v>
      </x:c>
      <x:c r="E3543" s="0" t="s">
        <x:v>14017</x:v>
      </x:c>
      <x:c r="F3543" s="0" t="s">
        <x:v>45</x:v>
      </x:c>
      <x:c r="G3543" s="0" t="s">
        <x:v>19</x:v>
      </x:c>
      <x:c r="H3543" s="0" t="s">
        <x:v>20</x:v>
      </x:c>
      <x:c r="I3543" s="0" t="s">
        <x:v>21</x:v>
      </x:c>
      <x:c r="K3543" s="0">
        <x:f>hyperlink("https://icd.who.int/dev11/l-ichi/en#/http%3A%2F%2Fid.who.int%2Ficd%2Fentity%2F1769126702","browser")</x:f>
      </x:c>
      <x:c r="L3543" s="0">
        <x:f>hyperlink("https://icat2.azurewebsites.net/icat/?ontology=ICD&amp;tab=ClassesTab&amp;id=http%3A%2F%2Fwho.int%2Ficd%2317049_512ebf36_bf6b_4d70_85da_cf2637062af4","iCat")</x:f>
      </x:c>
      <x:c r="M3543" s="0" t="s">
        <x:v>21</x:v>
      </x:c>
      <x:c r="N3543" s="0" t="s">
        <x:v>46</x:v>
      </x:c>
    </x:row>
    <x:row r="3544" spans="1:16">
      <x:c r="A3544" s="0" t="s">
        <x:v>14018</x:v>
      </x:c>
      <x:c r="B3544" s="0" t="s">
        <x:v>14019</x:v>
      </x:c>
      <x:c r="C3544" s="0" t="s">
        <x:v>14020</x:v>
      </x:c>
      <x:c r="E3544" s="0" t="s">
        <x:v>14021</x:v>
      </x:c>
      <x:c r="F3544" s="0" t="s">
        <x:v>45</x:v>
      </x:c>
      <x:c r="G3544" s="0" t="s">
        <x:v>19</x:v>
      </x:c>
      <x:c r="H3544" s="0" t="s">
        <x:v>20</x:v>
      </x:c>
      <x:c r="I3544" s="0" t="s">
        <x:v>21</x:v>
      </x:c>
      <x:c r="K3544" s="0">
        <x:f>hyperlink("https://icd.who.int/dev11/l-ichi/en#/http%3A%2F%2Fid.who.int%2Ficd%2Fentity%2F1485162656","browser")</x:f>
      </x:c>
      <x:c r="L3544" s="0">
        <x:f>hyperlink("https://icat2.azurewebsites.net/icat/?ontology=ICD&amp;tab=ClassesTab&amp;id=http%3A%2F%2Fwho.int%2Ficd%2358_b35e2f26_f485_4668_800f_7416297697bb","iCat")</x:f>
      </x:c>
      <x:c r="M3544" s="0" t="s">
        <x:v>21</x:v>
      </x:c>
      <x:c r="N3544" s="0" t="s">
        <x:v>46</x:v>
      </x:c>
    </x:row>
    <x:row r="3545" spans="1:16">
      <x:c r="A3545" s="0" t="s">
        <x:v>14022</x:v>
      </x:c>
      <x:c r="B3545" s="0" t="s">
        <x:v>14023</x:v>
      </x:c>
      <x:c r="C3545" s="0" t="s">
        <x:v>14024</x:v>
      </x:c>
      <x:c r="E3545" s="0" t="s">
        <x:v>14025</x:v>
      </x:c>
      <x:c r="F3545" s="0" t="s">
        <x:v>45</x:v>
      </x:c>
      <x:c r="G3545" s="0" t="s">
        <x:v>19</x:v>
      </x:c>
      <x:c r="H3545" s="0" t="s">
        <x:v>20</x:v>
      </x:c>
      <x:c r="I3545" s="0" t="s">
        <x:v>21</x:v>
      </x:c>
      <x:c r="K3545" s="0">
        <x:f>hyperlink("https://icd.who.int/dev11/l-ichi/en#/http%3A%2F%2Fid.who.int%2Ficd%2Fentity%2F1924938806","browser")</x:f>
      </x:c>
      <x:c r="L3545" s="0">
        <x:f>hyperlink("https://icat2.azurewebsites.net/icat/?ontology=ICD&amp;tab=ClassesTab&amp;id=http%3A%2F%2Fwho.int%2Ficd%2317074_512ebf36_bf6b_4d70_85da_cf2637062af4","iCat")</x:f>
      </x:c>
      <x:c r="M3545" s="0" t="s">
        <x:v>21</x:v>
      </x:c>
      <x:c r="N3545" s="0" t="s">
        <x:v>46</x:v>
      </x:c>
    </x:row>
    <x:row r="3546" spans="1:16">
      <x:c r="A3546" s="0" t="s">
        <x:v>14026</x:v>
      </x:c>
      <x:c r="B3546" s="0" t="s">
        <x:v>14027</x:v>
      </x:c>
      <x:c r="C3546" s="0" t="s">
        <x:v>14028</x:v>
      </x:c>
      <x:c r="E3546" s="0" t="s">
        <x:v>14029</x:v>
      </x:c>
      <x:c r="F3546" s="0" t="s">
        <x:v>45</x:v>
      </x:c>
      <x:c r="G3546" s="0" t="s">
        <x:v>19</x:v>
      </x:c>
      <x:c r="H3546" s="0" t="s">
        <x:v>20</x:v>
      </x:c>
      <x:c r="I3546" s="0" t="s">
        <x:v>21</x:v>
      </x:c>
      <x:c r="K3546" s="0">
        <x:f>hyperlink("https://icd.who.int/dev11/l-ichi/en#/http%3A%2F%2Fid.who.int%2Ficd%2Fentity%2F1566275308","browser")</x:f>
      </x:c>
      <x:c r="L3546" s="0">
        <x:f>hyperlink("https://icat2.azurewebsites.net/icat/?ontology=ICD&amp;tab=ClassesTab&amp;id=http%3A%2F%2Fwho.int%2Ficd%2317084_512ebf36_bf6b_4d70_85da_cf2637062af4","iCat")</x:f>
      </x:c>
      <x:c r="M3546" s="0" t="s">
        <x:v>21</x:v>
      </x:c>
      <x:c r="N3546" s="0" t="s">
        <x:v>46</x:v>
      </x:c>
    </x:row>
    <x:row r="3547" spans="1:16">
      <x:c r="A3547" s="0" t="s">
        <x:v>14030</x:v>
      </x:c>
      <x:c r="B3547" s="0" t="s">
        <x:v>14031</x:v>
      </x:c>
      <x:c r="C3547" s="0" t="s">
        <x:v>14032</x:v>
      </x:c>
      <x:c r="E3547" s="0" t="s">
        <x:v>14033</x:v>
      </x:c>
      <x:c r="F3547" s="0" t="s">
        <x:v>45</x:v>
      </x:c>
      <x:c r="G3547" s="0" t="s">
        <x:v>19</x:v>
      </x:c>
      <x:c r="H3547" s="0" t="s">
        <x:v>20</x:v>
      </x:c>
      <x:c r="I3547" s="0" t="s">
        <x:v>21</x:v>
      </x:c>
      <x:c r="K3547" s="0">
        <x:f>hyperlink("https://icd.who.int/dev11/l-ichi/en#/http%3A%2F%2Fid.who.int%2Ficd%2Fentity%2F392663425","browser")</x:f>
      </x:c>
      <x:c r="L3547" s="0">
        <x:f>hyperlink("https://icat2.azurewebsites.net/icat/?ontology=ICD&amp;tab=ClassesTab&amp;id=http%3A%2F%2Fwho.int%2Ficd%2317095_512ebf36_bf6b_4d70_85da_cf2637062af4","iCat")</x:f>
      </x:c>
      <x:c r="M3547" s="0" t="s">
        <x:v>21</x:v>
      </x:c>
      <x:c r="N3547" s="0" t="s">
        <x:v>46</x:v>
      </x:c>
    </x:row>
    <x:row r="3548" spans="1:16">
      <x:c r="A3548" s="0" t="s">
        <x:v>14034</x:v>
      </x:c>
      <x:c r="B3548" s="0" t="s">
        <x:v>14035</x:v>
      </x:c>
      <x:c r="C3548" s="0" t="s">
        <x:v>14036</x:v>
      </x:c>
      <x:c r="E3548" s="0" t="s">
        <x:v>14037</x:v>
      </x:c>
      <x:c r="F3548" s="0" t="s">
        <x:v>45</x:v>
      </x:c>
      <x:c r="G3548" s="0" t="s">
        <x:v>19</x:v>
      </x:c>
      <x:c r="H3548" s="0" t="s">
        <x:v>20</x:v>
      </x:c>
      <x:c r="I3548" s="0" t="s">
        <x:v>21</x:v>
      </x:c>
      <x:c r="K3548" s="0">
        <x:f>hyperlink("https://icd.who.int/dev11/l-ichi/en#/http%3A%2F%2Fid.who.int%2Ficd%2Fentity%2F1737371652","browser")</x:f>
      </x:c>
      <x:c r="L3548" s="0">
        <x:f>hyperlink("https://icat2.azurewebsites.net/icat/?ontology=ICD&amp;tab=ClassesTab&amp;id=http%3A%2F%2Fwho.int%2Ficd%2317102_512ebf36_bf6b_4d70_85da_cf2637062af4","iCat")</x:f>
      </x:c>
      <x:c r="M3548" s="0" t="s">
        <x:v>21</x:v>
      </x:c>
      <x:c r="N3548" s="0" t="s">
        <x:v>46</x:v>
      </x:c>
    </x:row>
    <x:row r="3549" spans="1:16">
      <x:c r="A3549" s="0" t="s">
        <x:v>14038</x:v>
      </x:c>
      <x:c r="B3549" s="0" t="s">
        <x:v>14039</x:v>
      </x:c>
      <x:c r="C3549" s="0" t="s">
        <x:v>14040</x:v>
      </x:c>
      <x:c r="E3549" s="0" t="s">
        <x:v>14041</x:v>
      </x:c>
      <x:c r="F3549" s="0" t="s">
        <x:v>45</x:v>
      </x:c>
      <x:c r="G3549" s="0" t="s">
        <x:v>19</x:v>
      </x:c>
      <x:c r="H3549" s="0" t="s">
        <x:v>20</x:v>
      </x:c>
      <x:c r="I3549" s="0" t="s">
        <x:v>21</x:v>
      </x:c>
      <x:c r="K3549" s="0">
        <x:f>hyperlink("https://icd.who.int/dev11/l-ichi/en#/http%3A%2F%2Fid.who.int%2Ficd%2Fentity%2F1820995246","browser")</x:f>
      </x:c>
      <x:c r="L3549" s="0">
        <x:f>hyperlink("https://icat2.azurewebsites.net/icat/?ontology=ICD&amp;tab=ClassesTab&amp;id=http%3A%2F%2Fwho.int%2Ficd%2317109_512ebf36_bf6b_4d70_85da_cf2637062af4","iCat")</x:f>
      </x:c>
      <x:c r="M3549" s="0" t="s">
        <x:v>21</x:v>
      </x:c>
      <x:c r="N3549" s="0" t="s">
        <x:v>46</x:v>
      </x:c>
    </x:row>
    <x:row r="3550" spans="1:16">
      <x:c r="A3550" s="0" t="s">
        <x:v>14042</x:v>
      </x:c>
      <x:c r="B3550" s="0" t="s">
        <x:v>14043</x:v>
      </x:c>
      <x:c r="C3550" s="0" t="s">
        <x:v>14044</x:v>
      </x:c>
      <x:c r="E3550" s="0" t="s">
        <x:v>14045</x:v>
      </x:c>
      <x:c r="F3550" s="0" t="s">
        <x:v>45</x:v>
      </x:c>
      <x:c r="G3550" s="0" t="s">
        <x:v>19</x:v>
      </x:c>
      <x:c r="H3550" s="0" t="s">
        <x:v>20</x:v>
      </x:c>
      <x:c r="I3550" s="0" t="s">
        <x:v>21</x:v>
      </x:c>
      <x:c r="K3550" s="0">
        <x:f>hyperlink("https://icd.who.int/dev11/l-ichi/en#/http%3A%2F%2Fid.who.int%2Ficd%2Fentity%2F944529697","browser")</x:f>
      </x:c>
      <x:c r="L3550" s="0">
        <x:f>hyperlink("https://icat2.azurewebsites.net/icat/?ontology=ICD&amp;tab=ClassesTab&amp;id=http%3A%2F%2Fwho.int%2Ficd%2317116_512ebf36_bf6b_4d70_85da_cf2637062af4","iCat")</x:f>
      </x:c>
      <x:c r="M3550" s="0" t="s">
        <x:v>21</x:v>
      </x:c>
      <x:c r="N3550" s="0" t="s">
        <x:v>46</x:v>
      </x:c>
    </x:row>
    <x:row r="3551" spans="1:16">
      <x:c r="A3551" s="0" t="s">
        <x:v>14046</x:v>
      </x:c>
      <x:c r="B3551" s="0" t="s">
        <x:v>14047</x:v>
      </x:c>
      <x:c r="C3551" s="0" t="s">
        <x:v>14048</x:v>
      </x:c>
      <x:c r="E3551" s="0" t="s">
        <x:v>14049</x:v>
      </x:c>
      <x:c r="F3551" s="0" t="s">
        <x:v>45</x:v>
      </x:c>
      <x:c r="G3551" s="0" t="s">
        <x:v>19</x:v>
      </x:c>
      <x:c r="H3551" s="0" t="s">
        <x:v>20</x:v>
      </x:c>
      <x:c r="I3551" s="0" t="s">
        <x:v>21</x:v>
      </x:c>
      <x:c r="K3551" s="0">
        <x:f>hyperlink("https://icd.who.int/dev11/l-ichi/en#/http%3A%2F%2Fid.who.int%2Ficd%2Fentity%2F2029855016","browser")</x:f>
      </x:c>
      <x:c r="L3551" s="0">
        <x:f>hyperlink("https://icat2.azurewebsites.net/icat/?ontology=ICD&amp;tab=ClassesTab&amp;id=http%3A%2F%2Fwho.int%2Ficd%2317126_512ebf36_bf6b_4d70_85da_cf2637062af4","iCat")</x:f>
      </x:c>
      <x:c r="M3551" s="0" t="s">
        <x:v>21</x:v>
      </x:c>
      <x:c r="N3551" s="0" t="s">
        <x:v>46</x:v>
      </x:c>
    </x:row>
    <x:row r="3552" spans="1:16">
      <x:c r="A3552" s="0" t="s">
        <x:v>14050</x:v>
      </x:c>
      <x:c r="B3552" s="0" t="s">
        <x:v>14051</x:v>
      </x:c>
      <x:c r="C3552" s="0" t="s">
        <x:v>14052</x:v>
      </x:c>
      <x:c r="E3552" s="0" t="s">
        <x:v>14053</x:v>
      </x:c>
      <x:c r="F3552" s="0" t="s">
        <x:v>45</x:v>
      </x:c>
      <x:c r="G3552" s="0" t="s">
        <x:v>19</x:v>
      </x:c>
      <x:c r="H3552" s="0" t="s">
        <x:v>20</x:v>
      </x:c>
      <x:c r="I3552" s="0" t="s">
        <x:v>21</x:v>
      </x:c>
      <x:c r="K3552" s="0">
        <x:f>hyperlink("https://icd.who.int/dev11/l-ichi/en#/http%3A%2F%2Fid.who.int%2Ficd%2Fentity%2F1472060296","browser")</x:f>
      </x:c>
      <x:c r="L3552" s="0">
        <x:f>hyperlink("https://icat2.azurewebsites.net/icat/?ontology=ICD&amp;tab=ClassesTab&amp;id=http%3A%2F%2Fwho.int%2Ficd%2317135_512ebf36_bf6b_4d70_85da_cf2637062af4","iCat")</x:f>
      </x:c>
      <x:c r="M3552" s="0" t="s">
        <x:v>21</x:v>
      </x:c>
      <x:c r="N3552" s="0" t="s">
        <x:v>46</x:v>
      </x:c>
    </x:row>
    <x:row r="3553" spans="1:16">
      <x:c r="A3553" s="0" t="s">
        <x:v>14054</x:v>
      </x:c>
      <x:c r="B3553" s="0" t="s">
        <x:v>14055</x:v>
      </x:c>
      <x:c r="C3553" s="0" t="s">
        <x:v>14056</x:v>
      </x:c>
      <x:c r="E3553" s="0" t="s">
        <x:v>14057</x:v>
      </x:c>
      <x:c r="F3553" s="0" t="s">
        <x:v>45</x:v>
      </x:c>
      <x:c r="G3553" s="0" t="s">
        <x:v>19</x:v>
      </x:c>
      <x:c r="H3553" s="0" t="s">
        <x:v>20</x:v>
      </x:c>
      <x:c r="I3553" s="0" t="s">
        <x:v>21</x:v>
      </x:c>
      <x:c r="K3553" s="0">
        <x:f>hyperlink("https://icd.who.int/dev11/l-ichi/en#/http%3A%2F%2Fid.who.int%2Ficd%2Fentity%2F1382812902","browser")</x:f>
      </x:c>
      <x:c r="L3553" s="0">
        <x:f>hyperlink("https://icat2.azurewebsites.net/icat/?ontology=ICD&amp;tab=ClassesTab&amp;id=http%3A%2F%2Fwho.int%2Ficd%2317141_512ebf36_bf6b_4d70_85da_cf2637062af4","iCat")</x:f>
      </x:c>
      <x:c r="M3553" s="0" t="s">
        <x:v>21</x:v>
      </x:c>
      <x:c r="N3553" s="0" t="s">
        <x:v>46</x:v>
      </x:c>
    </x:row>
    <x:row r="3554" spans="1:16">
      <x:c r="A3554" s="0" t="s">
        <x:v>14058</x:v>
      </x:c>
      <x:c r="B3554" s="0" t="s">
        <x:v>14059</x:v>
      </x:c>
      <x:c r="C3554" s="0" t="s">
        <x:v>14060</x:v>
      </x:c>
      <x:c r="E3554" s="0" t="s">
        <x:v>14061</x:v>
      </x:c>
      <x:c r="F3554" s="0" t="s">
        <x:v>45</x:v>
      </x:c>
      <x:c r="G3554" s="0" t="s">
        <x:v>19</x:v>
      </x:c>
      <x:c r="H3554" s="0" t="s">
        <x:v>20</x:v>
      </x:c>
      <x:c r="I3554" s="0" t="s">
        <x:v>21</x:v>
      </x:c>
      <x:c r="K3554" s="0">
        <x:f>hyperlink("https://icd.who.int/dev11/l-ichi/en#/http%3A%2F%2Fid.who.int%2Ficd%2Fentity%2F35116375","browser")</x:f>
      </x:c>
      <x:c r="L3554" s="0">
        <x:f>hyperlink("https://icat2.azurewebsites.net/icat/?ontology=ICD&amp;tab=ClassesTab&amp;id=http%3A%2F%2Fwho.int%2Ficd%2317147_512ebf36_bf6b_4d70_85da_cf2637062af4","iCat")</x:f>
      </x:c>
      <x:c r="M3554" s="0" t="s">
        <x:v>21</x:v>
      </x:c>
      <x:c r="N3554" s="0" t="s">
        <x:v>46</x:v>
      </x:c>
    </x:row>
    <x:row r="3555" spans="1:16">
      <x:c r="A3555" s="0" t="s">
        <x:v>14062</x:v>
      </x:c>
      <x:c r="B3555" s="0" t="s">
        <x:v>14063</x:v>
      </x:c>
      <x:c r="C3555" s="0" t="s">
        <x:v>14064</x:v>
      </x:c>
      <x:c r="E3555" s="0" t="s">
        <x:v>14065</x:v>
      </x:c>
      <x:c r="F3555" s="0" t="s">
        <x:v>45</x:v>
      </x:c>
      <x:c r="G3555" s="0" t="s">
        <x:v>19</x:v>
      </x:c>
      <x:c r="H3555" s="0" t="s">
        <x:v>20</x:v>
      </x:c>
      <x:c r="I3555" s="0" t="s">
        <x:v>21</x:v>
      </x:c>
      <x:c r="K3555" s="0">
        <x:f>hyperlink("https://icd.who.int/dev11/l-ichi/en#/http%3A%2F%2Fid.who.int%2Ficd%2Fentity%2F1574274164","browser")</x:f>
      </x:c>
      <x:c r="L3555" s="0">
        <x:f>hyperlink("https://icat2.azurewebsites.net/icat/?ontology=ICD&amp;tab=ClassesTab&amp;id=http%3A%2F%2Fwho.int%2Ficd%2317153_512ebf36_bf6b_4d70_85da_cf2637062af4","iCat")</x:f>
      </x:c>
      <x:c r="M3555" s="0" t="s">
        <x:v>21</x:v>
      </x:c>
      <x:c r="N3555" s="0" t="s">
        <x:v>46</x:v>
      </x:c>
    </x:row>
    <x:row r="3556" spans="1:16">
      <x:c r="A3556" s="0" t="s">
        <x:v>14066</x:v>
      </x:c>
      <x:c r="B3556" s="0" t="s">
        <x:v>14067</x:v>
      </x:c>
      <x:c r="C3556" s="0" t="s">
        <x:v>14068</x:v>
      </x:c>
      <x:c r="E3556" s="0" t="s">
        <x:v>14069</x:v>
      </x:c>
      <x:c r="F3556" s="0" t="s">
        <x:v>45</x:v>
      </x:c>
      <x:c r="G3556" s="0" t="s">
        <x:v>19</x:v>
      </x:c>
      <x:c r="H3556" s="0" t="s">
        <x:v>20</x:v>
      </x:c>
      <x:c r="I3556" s="0" t="s">
        <x:v>21</x:v>
      </x:c>
      <x:c r="K3556" s="0">
        <x:f>hyperlink("https://icd.who.int/dev11/l-ichi/en#/http%3A%2F%2Fid.who.int%2Ficd%2Fentity%2F1491184522","browser")</x:f>
      </x:c>
      <x:c r="L3556" s="0">
        <x:f>hyperlink("https://icat2.azurewebsites.net/icat/?ontology=ICD&amp;tab=ClassesTab&amp;id=http%3A%2F%2Fwho.int%2Ficd%2317160_512ebf36_bf6b_4d70_85da_cf2637062af4","iCat")</x:f>
      </x:c>
      <x:c r="M3556" s="0" t="s">
        <x:v>21</x:v>
      </x:c>
      <x:c r="N3556" s="0" t="s">
        <x:v>46</x:v>
      </x:c>
    </x:row>
    <x:row r="3557" spans="1:16">
      <x:c r="A3557" s="0" t="s">
        <x:v>14070</x:v>
      </x:c>
      <x:c r="B3557" s="0" t="s">
        <x:v>14071</x:v>
      </x:c>
      <x:c r="C3557" s="0" t="s">
        <x:v>14072</x:v>
      </x:c>
      <x:c r="E3557" s="0" t="s">
        <x:v>14073</x:v>
      </x:c>
      <x:c r="F3557" s="0" t="s">
        <x:v>45</x:v>
      </x:c>
      <x:c r="G3557" s="0" t="s">
        <x:v>19</x:v>
      </x:c>
      <x:c r="H3557" s="0" t="s">
        <x:v>20</x:v>
      </x:c>
      <x:c r="I3557" s="0" t="s">
        <x:v>21</x:v>
      </x:c>
      <x:c r="K3557" s="0">
        <x:f>hyperlink("https://icd.who.int/dev11/l-ichi/en#/http%3A%2F%2Fid.who.int%2Ficd%2Fentity%2F677576711","browser")</x:f>
      </x:c>
      <x:c r="L3557" s="0">
        <x:f>hyperlink("https://icat2.azurewebsites.net/icat/?ontology=ICD&amp;tab=ClassesTab&amp;id=http%3A%2F%2Fwho.int%2Ficd%2317167_512ebf36_bf6b_4d70_85da_cf2637062af4","iCat")</x:f>
      </x:c>
      <x:c r="M3557" s="0" t="s">
        <x:v>21</x:v>
      </x:c>
      <x:c r="N3557" s="0" t="s">
        <x:v>46</x:v>
      </x:c>
    </x:row>
    <x:row r="3558" spans="1:16">
      <x:c r="A3558" s="0" t="s">
        <x:v>14074</x:v>
      </x:c>
      <x:c r="B3558" s="0" t="s">
        <x:v>14075</x:v>
      </x:c>
      <x:c r="C3558" s="0" t="s">
        <x:v>14076</x:v>
      </x:c>
      <x:c r="E3558" s="0" t="s">
        <x:v>14077</x:v>
      </x:c>
      <x:c r="F3558" s="0" t="s">
        <x:v>45</x:v>
      </x:c>
      <x:c r="G3558" s="0" t="s">
        <x:v>19</x:v>
      </x:c>
      <x:c r="H3558" s="0" t="s">
        <x:v>20</x:v>
      </x:c>
      <x:c r="I3558" s="0" t="s">
        <x:v>21</x:v>
      </x:c>
      <x:c r="K3558" s="0">
        <x:f>hyperlink("https://icd.who.int/dev11/l-ichi/en#/http%3A%2F%2Fid.who.int%2Ficd%2Fentity%2F2007060774","browser")</x:f>
      </x:c>
      <x:c r="L3558" s="0">
        <x:f>hyperlink("https://icat2.azurewebsites.net/icat/?ontology=ICD&amp;tab=ClassesTab&amp;id=http%3A%2F%2Fwho.int%2Ficd%2317173_512ebf36_bf6b_4d70_85da_cf2637062af4","iCat")</x:f>
      </x:c>
      <x:c r="M3558" s="0" t="s">
        <x:v>21</x:v>
      </x:c>
      <x:c r="N3558" s="0" t="s">
        <x:v>46</x:v>
      </x:c>
    </x:row>
    <x:row r="3559" spans="1:16">
      <x:c r="A3559" s="0" t="s">
        <x:v>14078</x:v>
      </x:c>
      <x:c r="B3559" s="0" t="s">
        <x:v>14079</x:v>
      </x:c>
      <x:c r="C3559" s="0" t="s">
        <x:v>14080</x:v>
      </x:c>
      <x:c r="E3559" s="0" t="s">
        <x:v>14081</x:v>
      </x:c>
      <x:c r="F3559" s="0" t="s">
        <x:v>45</x:v>
      </x:c>
      <x:c r="G3559" s="0" t="s">
        <x:v>19</x:v>
      </x:c>
      <x:c r="H3559" s="0" t="s">
        <x:v>20</x:v>
      </x:c>
      <x:c r="I3559" s="0" t="s">
        <x:v>21</x:v>
      </x:c>
      <x:c r="K3559" s="0">
        <x:f>hyperlink("https://icd.who.int/dev11/l-ichi/en#/http%3A%2F%2Fid.who.int%2Ficd%2Fentity%2F1065815224","browser")</x:f>
      </x:c>
      <x:c r="L3559" s="0">
        <x:f>hyperlink("https://icat2.azurewebsites.net/icat/?ontology=ICD&amp;tab=ClassesTab&amp;id=http%3A%2F%2Fwho.int%2Ficd%2316144_4869915e_217e_423d_acb3_33c0f920ef4b","iCat")</x:f>
      </x:c>
      <x:c r="M3559" s="0" t="s">
        <x:v>21</x:v>
      </x:c>
      <x:c r="N3559" s="0" t="s">
        <x:v>46</x:v>
      </x:c>
    </x:row>
    <x:row r="3560" spans="1:16">
      <x:c r="A3560" s="0" t="s">
        <x:v>14082</x:v>
      </x:c>
      <x:c r="B3560" s="0" t="s">
        <x:v>14083</x:v>
      </x:c>
      <x:c r="C3560" s="0" t="s">
        <x:v>14084</x:v>
      </x:c>
      <x:c r="E3560" s="0" t="s">
        <x:v>14085</x:v>
      </x:c>
      <x:c r="F3560" s="0" t="s">
        <x:v>45</x:v>
      </x:c>
      <x:c r="G3560" s="0" t="s">
        <x:v>19</x:v>
      </x:c>
      <x:c r="H3560" s="0" t="s">
        <x:v>20</x:v>
      </x:c>
      <x:c r="I3560" s="0" t="s">
        <x:v>21</x:v>
      </x:c>
      <x:c r="K3560" s="0">
        <x:f>hyperlink("https://icd.who.int/dev11/l-ichi/en#/http%3A%2F%2Fid.who.int%2Ficd%2Fentity%2F1549548982","browser")</x:f>
      </x:c>
      <x:c r="L3560" s="0">
        <x:f>hyperlink("https://icat2.azurewebsites.net/icat/?ontology=ICD&amp;tab=ClassesTab&amp;id=http%3A%2F%2Fwho.int%2Ficd%2317179_512ebf36_bf6b_4d70_85da_cf2637062af4","iCat")</x:f>
      </x:c>
      <x:c r="M3560" s="0" t="s">
        <x:v>21</x:v>
      </x:c>
      <x:c r="N3560" s="0" t="s">
        <x:v>46</x:v>
      </x:c>
    </x:row>
    <x:row r="3561" spans="1:16">
      <x:c r="A3561" s="0" t="s">
        <x:v>14086</x:v>
      </x:c>
      <x:c r="B3561" s="0" t="s">
        <x:v>14087</x:v>
      </x:c>
      <x:c r="C3561" s="0" t="s">
        <x:v>14088</x:v>
      </x:c>
      <x:c r="E3561" s="0" t="s">
        <x:v>14089</x:v>
      </x:c>
      <x:c r="F3561" s="0" t="s">
        <x:v>45</x:v>
      </x:c>
      <x:c r="G3561" s="0" t="s">
        <x:v>19</x:v>
      </x:c>
      <x:c r="H3561" s="0" t="s">
        <x:v>20</x:v>
      </x:c>
      <x:c r="I3561" s="0" t="s">
        <x:v>21</x:v>
      </x:c>
      <x:c r="K3561" s="0">
        <x:f>hyperlink("https://icd.who.int/dev11/l-ichi/en#/http%3A%2F%2Fid.who.int%2Ficd%2Fentity%2F1303948724","browser")</x:f>
      </x:c>
      <x:c r="L3561" s="0">
        <x:f>hyperlink("https://icat2.azurewebsites.net/icat/?ontology=ICD&amp;tab=ClassesTab&amp;id=http%3A%2F%2Fwho.int%2Ficd%2317186_512ebf36_bf6b_4d70_85da_cf2637062af4","iCat")</x:f>
      </x:c>
      <x:c r="M3561" s="0" t="s">
        <x:v>21</x:v>
      </x:c>
      <x:c r="N3561" s="0" t="s">
        <x:v>46</x:v>
      </x:c>
    </x:row>
    <x:row r="3562" spans="1:16">
      <x:c r="A3562" s="0" t="s">
        <x:v>14090</x:v>
      </x:c>
      <x:c r="B3562" s="0" t="s">
        <x:v>14091</x:v>
      </x:c>
      <x:c r="C3562" s="0" t="s">
        <x:v>14092</x:v>
      </x:c>
      <x:c r="E3562" s="0" t="s">
        <x:v>14093</x:v>
      </x:c>
      <x:c r="F3562" s="0" t="s">
        <x:v>45</x:v>
      </x:c>
      <x:c r="G3562" s="0" t="s">
        <x:v>19</x:v>
      </x:c>
      <x:c r="H3562" s="0" t="s">
        <x:v>20</x:v>
      </x:c>
      <x:c r="I3562" s="0" t="s">
        <x:v>21</x:v>
      </x:c>
      <x:c r="K3562" s="0">
        <x:f>hyperlink("https://icd.who.int/dev11/l-ichi/en#/http%3A%2F%2Fid.who.int%2Ficd%2Fentity%2F1107371298","browser")</x:f>
      </x:c>
      <x:c r="L3562" s="0">
        <x:f>hyperlink("https://icat2.azurewebsites.net/icat/?ontology=ICD&amp;tab=ClassesTab&amp;id=http%3A%2F%2Fwho.int%2Ficd%2317194_512ebf36_bf6b_4d70_85da_cf2637062af4","iCat")</x:f>
      </x:c>
      <x:c r="M3562" s="0" t="s">
        <x:v>21</x:v>
      </x:c>
      <x:c r="N3562" s="0" t="s">
        <x:v>46</x:v>
      </x:c>
    </x:row>
    <x:row r="3563" spans="1:16">
      <x:c r="A3563" s="0" t="s">
        <x:v>14094</x:v>
      </x:c>
      <x:c r="B3563" s="0" t="s">
        <x:v>14095</x:v>
      </x:c>
      <x:c r="C3563" s="0" t="s">
        <x:v>14096</x:v>
      </x:c>
      <x:c r="E3563" s="0" t="s">
        <x:v>14097</x:v>
      </x:c>
      <x:c r="F3563" s="0" t="s">
        <x:v>45</x:v>
      </x:c>
      <x:c r="G3563" s="0" t="s">
        <x:v>19</x:v>
      </x:c>
      <x:c r="H3563" s="0" t="s">
        <x:v>20</x:v>
      </x:c>
      <x:c r="I3563" s="0" t="s">
        <x:v>21</x:v>
      </x:c>
      <x:c r="K3563" s="0">
        <x:f>hyperlink("https://icd.who.int/dev11/l-ichi/en#/http%3A%2F%2Fid.who.int%2Ficd%2Fentity%2F114394203","browser")</x:f>
      </x:c>
      <x:c r="L3563" s="0">
        <x:f>hyperlink("https://icat2.azurewebsites.net/icat/?ontology=ICD&amp;tab=ClassesTab&amp;id=http%3A%2F%2Fwho.int%2Ficd%2317202_512ebf36_bf6b_4d70_85da_cf2637062af4","iCat")</x:f>
      </x:c>
      <x:c r="M3563" s="0" t="s">
        <x:v>21</x:v>
      </x:c>
      <x:c r="N3563" s="0" t="s">
        <x:v>46</x:v>
      </x:c>
    </x:row>
    <x:row r="3564" spans="1:16">
      <x:c r="A3564" s="0" t="s">
        <x:v>14098</x:v>
      </x:c>
      <x:c r="B3564" s="0" t="s">
        <x:v>14099</x:v>
      </x:c>
      <x:c r="C3564" s="0" t="s">
        <x:v>14100</x:v>
      </x:c>
      <x:c r="E3564" s="0" t="s">
        <x:v>14101</x:v>
      </x:c>
      <x:c r="F3564" s="0" t="s">
        <x:v>45</x:v>
      </x:c>
      <x:c r="G3564" s="0" t="s">
        <x:v>19</x:v>
      </x:c>
      <x:c r="H3564" s="0" t="s">
        <x:v>20</x:v>
      </x:c>
      <x:c r="I3564" s="0" t="s">
        <x:v>21</x:v>
      </x:c>
      <x:c r="K3564" s="0">
        <x:f>hyperlink("https://icd.who.int/dev11/l-ichi/en#/http%3A%2F%2Fid.who.int%2Ficd%2Fentity%2F232102647","browser")</x:f>
      </x:c>
      <x:c r="L3564" s="0">
        <x:f>hyperlink("https://icat2.azurewebsites.net/icat/?ontology=ICD&amp;tab=ClassesTab&amp;id=http%3A%2F%2Fwho.int%2Ficd%2317209_512ebf36_bf6b_4d70_85da_cf2637062af4","iCat")</x:f>
      </x:c>
      <x:c r="M3564" s="0" t="s">
        <x:v>21</x:v>
      </x:c>
      <x:c r="N3564" s="0" t="s">
        <x:v>46</x:v>
      </x:c>
    </x:row>
    <x:row r="3565" spans="1:16">
      <x:c r="A3565" s="0" t="s">
        <x:v>14102</x:v>
      </x:c>
      <x:c r="B3565" s="0" t="s">
        <x:v>14103</x:v>
      </x:c>
      <x:c r="C3565" s="0" t="s">
        <x:v>14104</x:v>
      </x:c>
      <x:c r="E3565" s="0" t="s">
        <x:v>14105</x:v>
      </x:c>
      <x:c r="F3565" s="0" t="s">
        <x:v>45</x:v>
      </x:c>
      <x:c r="G3565" s="0" t="s">
        <x:v>19</x:v>
      </x:c>
      <x:c r="H3565" s="0" t="s">
        <x:v>20</x:v>
      </x:c>
      <x:c r="I3565" s="0" t="s">
        <x:v>21</x:v>
      </x:c>
      <x:c r="K3565" s="0">
        <x:f>hyperlink("https://icd.who.int/dev11/l-ichi/en#/http%3A%2F%2Fid.who.int%2Ficd%2Fentity%2F1494472058","browser")</x:f>
      </x:c>
      <x:c r="L3565" s="0">
        <x:f>hyperlink("https://icat2.azurewebsites.net/icat/?ontology=ICD&amp;tab=ClassesTab&amp;id=http%3A%2F%2Fwho.int%2Ficd%2317216_512ebf36_bf6b_4d70_85da_cf2637062af4","iCat")</x:f>
      </x:c>
      <x:c r="M3565" s="0" t="s">
        <x:v>21</x:v>
      </x:c>
      <x:c r="N3565" s="0" t="s">
        <x:v>46</x:v>
      </x:c>
    </x:row>
    <x:row r="3566" spans="1:16">
      <x:c r="A3566" s="0" t="s">
        <x:v>14106</x:v>
      </x:c>
      <x:c r="B3566" s="0" t="s">
        <x:v>14107</x:v>
      </x:c>
      <x:c r="C3566" s="0" t="s">
        <x:v>14108</x:v>
      </x:c>
      <x:c r="E3566" s="0" t="s">
        <x:v>14109</x:v>
      </x:c>
      <x:c r="F3566" s="0" t="s">
        <x:v>45</x:v>
      </x:c>
      <x:c r="G3566" s="0" t="s">
        <x:v>19</x:v>
      </x:c>
      <x:c r="H3566" s="0" t="s">
        <x:v>20</x:v>
      </x:c>
      <x:c r="I3566" s="0" t="s">
        <x:v>21</x:v>
      </x:c>
      <x:c r="K3566" s="0">
        <x:f>hyperlink("https://icd.who.int/dev11/l-ichi/en#/http%3A%2F%2Fid.who.int%2Ficd%2Fentity%2F2094958778","browser")</x:f>
      </x:c>
      <x:c r="L3566" s="0">
        <x:f>hyperlink("https://icat2.azurewebsites.net/icat/?ontology=ICD&amp;tab=ClassesTab&amp;id=http%3A%2F%2Fwho.int%2Ficd%2317224_512ebf36_bf6b_4d70_85da_cf2637062af4","iCat")</x:f>
      </x:c>
      <x:c r="M3566" s="0" t="s">
        <x:v>21</x:v>
      </x:c>
      <x:c r="N3566" s="0" t="s">
        <x:v>46</x:v>
      </x:c>
    </x:row>
    <x:row r="3567" spans="1:16">
      <x:c r="A3567" s="0" t="s">
        <x:v>14110</x:v>
      </x:c>
      <x:c r="B3567" s="0" t="s">
        <x:v>14111</x:v>
      </x:c>
      <x:c r="C3567" s="0" t="s">
        <x:v>14112</x:v>
      </x:c>
      <x:c r="E3567" s="0" t="s">
        <x:v>14113</x:v>
      </x:c>
      <x:c r="F3567" s="0" t="s">
        <x:v>45</x:v>
      </x:c>
      <x:c r="G3567" s="0" t="s">
        <x:v>19</x:v>
      </x:c>
      <x:c r="H3567" s="0" t="s">
        <x:v>20</x:v>
      </x:c>
      <x:c r="I3567" s="0" t="s">
        <x:v>21</x:v>
      </x:c>
      <x:c r="K3567" s="0">
        <x:f>hyperlink("https://icd.who.int/dev11/l-ichi/en#/http%3A%2F%2Fid.who.int%2Ficd%2Fentity%2F1180746846","browser")</x:f>
      </x:c>
      <x:c r="L3567" s="0">
        <x:f>hyperlink("https://icat2.azurewebsites.net/icat/?ontology=ICD&amp;tab=ClassesTab&amp;id=http%3A%2F%2Fwho.int%2Ficd%2317232_512ebf36_bf6b_4d70_85da_cf2637062af4","iCat")</x:f>
      </x:c>
      <x:c r="M3567" s="0" t="s">
        <x:v>21</x:v>
      </x:c>
      <x:c r="N3567" s="0" t="s">
        <x:v>46</x:v>
      </x:c>
    </x:row>
    <x:row r="3568" spans="1:16">
      <x:c r="A3568" s="0" t="s">
        <x:v>14114</x:v>
      </x:c>
      <x:c r="B3568" s="0" t="s">
        <x:v>14115</x:v>
      </x:c>
      <x:c r="C3568" s="0" t="s">
        <x:v>14116</x:v>
      </x:c>
      <x:c r="E3568" s="0" t="s">
        <x:v>14117</x:v>
      </x:c>
      <x:c r="F3568" s="0" t="s">
        <x:v>45</x:v>
      </x:c>
      <x:c r="G3568" s="0" t="s">
        <x:v>19</x:v>
      </x:c>
      <x:c r="H3568" s="0" t="s">
        <x:v>20</x:v>
      </x:c>
      <x:c r="I3568" s="0" t="s">
        <x:v>21</x:v>
      </x:c>
      <x:c r="K3568" s="0">
        <x:f>hyperlink("https://icd.who.int/dev11/l-ichi/en#/http%3A%2F%2Fid.who.int%2Ficd%2Fentity%2F1839048910","browser")</x:f>
      </x:c>
      <x:c r="L3568" s="0">
        <x:f>hyperlink("https://icat2.azurewebsites.net/icat/?ontology=ICD&amp;tab=ClassesTab&amp;id=http%3A%2F%2Fwho.int%2Ficd%2317238_512ebf36_bf6b_4d70_85da_cf2637062af4","iCat")</x:f>
      </x:c>
      <x:c r="M3568" s="0" t="s">
        <x:v>21</x:v>
      </x:c>
      <x:c r="N3568" s="0" t="s">
        <x:v>46</x:v>
      </x:c>
    </x:row>
    <x:row r="3569" spans="1:16">
      <x:c r="A3569" s="0" t="s">
        <x:v>14118</x:v>
      </x:c>
      <x:c r="B3569" s="0" t="s">
        <x:v>14119</x:v>
      </x:c>
      <x:c r="C3569" s="0" t="s">
        <x:v>14120</x:v>
      </x:c>
      <x:c r="E3569" s="0" t="s">
        <x:v>14121</x:v>
      </x:c>
      <x:c r="F3569" s="0" t="s">
        <x:v>45</x:v>
      </x:c>
      <x:c r="G3569" s="0" t="s">
        <x:v>19</x:v>
      </x:c>
      <x:c r="H3569" s="0" t="s">
        <x:v>20</x:v>
      </x:c>
      <x:c r="I3569" s="0" t="s">
        <x:v>21</x:v>
      </x:c>
      <x:c r="K3569" s="0">
        <x:f>hyperlink("https://icd.who.int/dev11/l-ichi/en#/http%3A%2F%2Fid.who.int%2Ficd%2Fentity%2F650972919","browser")</x:f>
      </x:c>
      <x:c r="L3569" s="0">
        <x:f>hyperlink("https://icat2.azurewebsites.net/icat/?ontology=ICD&amp;tab=ClassesTab&amp;id=http%3A%2F%2Fwho.int%2Ficd%2317244_512ebf36_bf6b_4d70_85da_cf2637062af4","iCat")</x:f>
      </x:c>
      <x:c r="M3569" s="0" t="s">
        <x:v>21</x:v>
      </x:c>
      <x:c r="N3569" s="0" t="s">
        <x:v>46</x:v>
      </x:c>
    </x:row>
    <x:row r="3570" spans="1:16">
      <x:c r="A3570" s="0" t="s">
        <x:v>14122</x:v>
      </x:c>
      <x:c r="B3570" s="0" t="s">
        <x:v>14123</x:v>
      </x:c>
      <x:c r="C3570" s="0" t="s">
        <x:v>14124</x:v>
      </x:c>
      <x:c r="E3570" s="0" t="s">
        <x:v>14125</x:v>
      </x:c>
      <x:c r="F3570" s="0" t="s">
        <x:v>45</x:v>
      </x:c>
      <x:c r="G3570" s="0" t="s">
        <x:v>19</x:v>
      </x:c>
      <x:c r="H3570" s="0" t="s">
        <x:v>20</x:v>
      </x:c>
      <x:c r="I3570" s="0" t="s">
        <x:v>21</x:v>
      </x:c>
      <x:c r="K3570" s="0">
        <x:f>hyperlink("https://icd.who.int/dev11/l-ichi/en#/http%3A%2F%2Fid.who.int%2Ficd%2Fentity%2F2031050708","browser")</x:f>
      </x:c>
      <x:c r="L3570" s="0">
        <x:f>hyperlink("https://icat2.azurewebsites.net/icat/?ontology=ICD&amp;tab=ClassesTab&amp;id=http%3A%2F%2Fwho.int%2Ficd%2317250_512ebf36_bf6b_4d70_85da_cf2637062af4","iCat")</x:f>
      </x:c>
      <x:c r="M3570" s="0" t="s">
        <x:v>21</x:v>
      </x:c>
      <x:c r="N3570" s="0" t="s">
        <x:v>46</x:v>
      </x:c>
    </x:row>
    <x:row r="3571" spans="1:16">
      <x:c r="A3571" s="0" t="s">
        <x:v>14126</x:v>
      </x:c>
      <x:c r="B3571" s="0" t="s">
        <x:v>14127</x:v>
      </x:c>
      <x:c r="C3571" s="0" t="s">
        <x:v>14128</x:v>
      </x:c>
      <x:c r="E3571" s="0" t="s">
        <x:v>14129</x:v>
      </x:c>
      <x:c r="F3571" s="0" t="s">
        <x:v>45</x:v>
      </x:c>
      <x:c r="G3571" s="0" t="s">
        <x:v>19</x:v>
      </x:c>
      <x:c r="H3571" s="0" t="s">
        <x:v>20</x:v>
      </x:c>
      <x:c r="I3571" s="0" t="s">
        <x:v>21</x:v>
      </x:c>
      <x:c r="K3571" s="0">
        <x:f>hyperlink("https://icd.who.int/dev11/l-ichi/en#/http%3A%2F%2Fid.who.int%2Ficd%2Fentity%2F160298073","browser")</x:f>
      </x:c>
      <x:c r="L3571" s="0">
        <x:f>hyperlink("https://icat2.azurewebsites.net/icat/?ontology=ICD&amp;tab=ClassesTab&amp;id=http%3A%2F%2Fwho.int%2Ficd%2317257_512ebf36_bf6b_4d70_85da_cf2637062af4","iCat")</x:f>
      </x:c>
      <x:c r="M3571" s="0" t="s">
        <x:v>21</x:v>
      </x:c>
      <x:c r="N3571" s="0" t="s">
        <x:v>46</x:v>
      </x:c>
    </x:row>
    <x:row r="3572" spans="1:16">
      <x:c r="A3572" s="0" t="s">
        <x:v>14130</x:v>
      </x:c>
      <x:c r="B3572" s="0" t="s">
        <x:v>14131</x:v>
      </x:c>
      <x:c r="C3572" s="0" t="s">
        <x:v>14132</x:v>
      </x:c>
      <x:c r="E3572" s="0" t="s">
        <x:v>14133</x:v>
      </x:c>
      <x:c r="F3572" s="0" t="s">
        <x:v>45</x:v>
      </x:c>
      <x:c r="G3572" s="0" t="s">
        <x:v>19</x:v>
      </x:c>
      <x:c r="H3572" s="0" t="s">
        <x:v>20</x:v>
      </x:c>
      <x:c r="I3572" s="0" t="s">
        <x:v>21</x:v>
      </x:c>
      <x:c r="K3572" s="0">
        <x:f>hyperlink("https://icd.who.int/dev11/l-ichi/en#/http%3A%2F%2Fid.who.int%2Ficd%2Fentity%2F742435227","browser")</x:f>
      </x:c>
      <x:c r="L3572" s="0">
        <x:f>hyperlink("https://icat2.azurewebsites.net/icat/?ontology=ICD&amp;tab=ClassesTab&amp;id=http%3A%2F%2Fwho.int%2Ficd%2317265_512ebf36_bf6b_4d70_85da_cf2637062af4","iCat")</x:f>
      </x:c>
      <x:c r="M3572" s="0" t="s">
        <x:v>21</x:v>
      </x:c>
      <x:c r="N3572" s="0" t="s">
        <x:v>46</x:v>
      </x:c>
    </x:row>
    <x:row r="3573" spans="1:16">
      <x:c r="A3573" s="0" t="s">
        <x:v>14134</x:v>
      </x:c>
      <x:c r="B3573" s="0" t="s">
        <x:v>14135</x:v>
      </x:c>
      <x:c r="C3573" s="0" t="s">
        <x:v>14136</x:v>
      </x:c>
      <x:c r="E3573" s="0" t="s">
        <x:v>14137</x:v>
      </x:c>
      <x:c r="F3573" s="0" t="s">
        <x:v>45</x:v>
      </x:c>
      <x:c r="G3573" s="0" t="s">
        <x:v>19</x:v>
      </x:c>
      <x:c r="H3573" s="0" t="s">
        <x:v>20</x:v>
      </x:c>
      <x:c r="I3573" s="0" t="s">
        <x:v>21</x:v>
      </x:c>
      <x:c r="K3573" s="0">
        <x:f>hyperlink("https://icd.who.int/dev11/l-ichi/en#/http%3A%2F%2Fid.who.int%2Ficd%2Fentity%2F385803645","browser")</x:f>
      </x:c>
      <x:c r="L3573" s="0">
        <x:f>hyperlink("https://icat2.azurewebsites.net/icat/?ontology=ICD&amp;tab=ClassesTab&amp;id=http%3A%2F%2Fwho.int%2Ficd%2317273_512ebf36_bf6b_4d70_85da_cf2637062af4","iCat")</x:f>
      </x:c>
      <x:c r="M3573" s="0" t="s">
        <x:v>21</x:v>
      </x:c>
      <x:c r="N3573" s="0" t="s">
        <x:v>46</x:v>
      </x:c>
    </x:row>
    <x:row r="3574" spans="1:16">
      <x:c r="A3574" s="0" t="s">
        <x:v>14138</x:v>
      </x:c>
      <x:c r="B3574" s="0" t="s">
        <x:v>14139</x:v>
      </x:c>
      <x:c r="C3574" s="0" t="s">
        <x:v>14140</x:v>
      </x:c>
      <x:c r="E3574" s="0" t="s">
        <x:v>14141</x:v>
      </x:c>
      <x:c r="F3574" s="0" t="s">
        <x:v>45</x:v>
      </x:c>
      <x:c r="G3574" s="0" t="s">
        <x:v>19</x:v>
      </x:c>
      <x:c r="H3574" s="0" t="s">
        <x:v>20</x:v>
      </x:c>
      <x:c r="I3574" s="0" t="s">
        <x:v>21</x:v>
      </x:c>
      <x:c r="K3574" s="0">
        <x:f>hyperlink("https://icd.who.int/dev11/l-ichi/en#/http%3A%2F%2Fid.who.int%2Ficd%2Fentity%2F2090647644","browser")</x:f>
      </x:c>
      <x:c r="L3574" s="0">
        <x:f>hyperlink("https://icat2.azurewebsites.net/icat/?ontology=ICD&amp;tab=ClassesTab&amp;id=http%3A%2F%2Fwho.int%2Ficd%2317280_512ebf36_bf6b_4d70_85da_cf2637062af4","iCat")</x:f>
      </x:c>
      <x:c r="M3574" s="0" t="s">
        <x:v>21</x:v>
      </x:c>
      <x:c r="N3574" s="0" t="s">
        <x:v>46</x:v>
      </x:c>
    </x:row>
    <x:row r="3575" spans="1:16">
      <x:c r="A3575" s="0" t="s">
        <x:v>14142</x:v>
      </x:c>
      <x:c r="B3575" s="0" t="s">
        <x:v>14143</x:v>
      </x:c>
      <x:c r="C3575" s="0" t="s">
        <x:v>14144</x:v>
      </x:c>
      <x:c r="E3575" s="0" t="s">
        <x:v>14145</x:v>
      </x:c>
      <x:c r="F3575" s="0" t="s">
        <x:v>45</x:v>
      </x:c>
      <x:c r="G3575" s="0" t="s">
        <x:v>19</x:v>
      </x:c>
      <x:c r="H3575" s="0" t="s">
        <x:v>20</x:v>
      </x:c>
      <x:c r="I3575" s="0" t="s">
        <x:v>21</x:v>
      </x:c>
      <x:c r="K3575" s="0">
        <x:f>hyperlink("https://icd.who.int/dev11/l-ichi/en#/http%3A%2F%2Fid.who.int%2Ficd%2Fentity%2F203320279","browser")</x:f>
      </x:c>
      <x:c r="L3575" s="0">
        <x:f>hyperlink("https://icat2.azurewebsites.net/icat/?ontology=ICD&amp;tab=ClassesTab&amp;id=http%3A%2F%2Fwho.int%2Ficd%2317287_512ebf36_bf6b_4d70_85da_cf2637062af4","iCat")</x:f>
      </x:c>
      <x:c r="M3575" s="0" t="s">
        <x:v>21</x:v>
      </x:c>
      <x:c r="N3575" s="0" t="s">
        <x:v>46</x:v>
      </x:c>
    </x:row>
    <x:row r="3576" spans="1:16">
      <x:c r="A3576" s="0" t="s">
        <x:v>14146</x:v>
      </x:c>
      <x:c r="B3576" s="0" t="s">
        <x:v>14147</x:v>
      </x:c>
      <x:c r="C3576" s="0" t="s">
        <x:v>14148</x:v>
      </x:c>
      <x:c r="E3576" s="0" t="s">
        <x:v>14149</x:v>
      </x:c>
      <x:c r="F3576" s="0" t="s">
        <x:v>45</x:v>
      </x:c>
      <x:c r="G3576" s="0" t="s">
        <x:v>19</x:v>
      </x:c>
      <x:c r="H3576" s="0" t="s">
        <x:v>20</x:v>
      </x:c>
      <x:c r="I3576" s="0" t="s">
        <x:v>21</x:v>
      </x:c>
      <x:c r="K3576" s="0">
        <x:f>hyperlink("https://icd.who.int/dev11/l-ichi/en#/http%3A%2F%2Fid.who.int%2Ficd%2Fentity%2F593400185","browser")</x:f>
      </x:c>
      <x:c r="L3576" s="0">
        <x:f>hyperlink("https://icat2.azurewebsites.net/icat/?ontology=ICD&amp;tab=ClassesTab&amp;id=http%3A%2F%2Fwho.int%2Ficd%2317294_512ebf36_bf6b_4d70_85da_cf2637062af4","iCat")</x:f>
      </x:c>
      <x:c r="M3576" s="0" t="s">
        <x:v>21</x:v>
      </x:c>
      <x:c r="N3576" s="0" t="s">
        <x:v>46</x:v>
      </x:c>
    </x:row>
    <x:row r="3577" spans="1:16">
      <x:c r="A3577" s="0" t="s">
        <x:v>14150</x:v>
      </x:c>
      <x:c r="B3577" s="0" t="s">
        <x:v>14151</x:v>
      </x:c>
      <x:c r="C3577" s="0" t="s">
        <x:v>14152</x:v>
      </x:c>
      <x:c r="E3577" s="0" t="s">
        <x:v>14153</x:v>
      </x:c>
      <x:c r="F3577" s="0" t="s">
        <x:v>45</x:v>
      </x:c>
      <x:c r="G3577" s="0" t="s">
        <x:v>19</x:v>
      </x:c>
      <x:c r="H3577" s="0" t="s">
        <x:v>20</x:v>
      </x:c>
      <x:c r="I3577" s="0" t="s">
        <x:v>21</x:v>
      </x:c>
      <x:c r="K3577" s="0">
        <x:f>hyperlink("https://icd.who.int/dev11/l-ichi/en#/http%3A%2F%2Fid.who.int%2Ficd%2Fentity%2F63760715","browser")</x:f>
      </x:c>
      <x:c r="L3577" s="0">
        <x:f>hyperlink("https://icat2.azurewebsites.net/icat/?ontology=ICD&amp;tab=ClassesTab&amp;id=http%3A%2F%2Fwho.int%2Ficd%2317305_512ebf36_bf6b_4d70_85da_cf2637062af4","iCat")</x:f>
      </x:c>
      <x:c r="M3577" s="0" t="s">
        <x:v>21</x:v>
      </x:c>
      <x:c r="N3577" s="0" t="s">
        <x:v>46</x:v>
      </x:c>
    </x:row>
    <x:row r="3578" spans="1:16">
      <x:c r="A3578" s="0" t="s">
        <x:v>14154</x:v>
      </x:c>
      <x:c r="B3578" s="0" t="s">
        <x:v>14155</x:v>
      </x:c>
      <x:c r="C3578" s="0" t="s">
        <x:v>14156</x:v>
      </x:c>
      <x:c r="E3578" s="0" t="s">
        <x:v>14157</x:v>
      </x:c>
      <x:c r="F3578" s="0" t="s">
        <x:v>45</x:v>
      </x:c>
      <x:c r="G3578" s="0" t="s">
        <x:v>19</x:v>
      </x:c>
      <x:c r="H3578" s="0" t="s">
        <x:v>20</x:v>
      </x:c>
      <x:c r="I3578" s="0" t="s">
        <x:v>21</x:v>
      </x:c>
      <x:c r="K3578" s="0">
        <x:f>hyperlink("https://icd.who.int/dev11/l-ichi/en#/http%3A%2F%2Fid.who.int%2Ficd%2Fentity%2F1544468586","browser")</x:f>
      </x:c>
      <x:c r="L3578" s="0">
        <x:f>hyperlink("https://icat2.azurewebsites.net/icat/?ontology=ICD&amp;tab=ClassesTab&amp;id=http%3A%2F%2Fwho.int%2Ficd%2317311_512ebf36_bf6b_4d70_85da_cf2637062af4","iCat")</x:f>
      </x:c>
      <x:c r="M3578" s="0" t="s">
        <x:v>21</x:v>
      </x:c>
      <x:c r="N3578" s="0" t="s">
        <x:v>46</x:v>
      </x:c>
    </x:row>
    <x:row r="3579" spans="1:16">
      <x:c r="A3579" s="0" t="s">
        <x:v>14158</x:v>
      </x:c>
      <x:c r="B3579" s="0" t="s">
        <x:v>14159</x:v>
      </x:c>
      <x:c r="C3579" s="0" t="s">
        <x:v>14160</x:v>
      </x:c>
      <x:c r="E3579" s="0" t="s">
        <x:v>14161</x:v>
      </x:c>
      <x:c r="F3579" s="0" t="s">
        <x:v>45</x:v>
      </x:c>
      <x:c r="G3579" s="0" t="s">
        <x:v>19</x:v>
      </x:c>
      <x:c r="H3579" s="0" t="s">
        <x:v>20</x:v>
      </x:c>
      <x:c r="I3579" s="0" t="s">
        <x:v>21</x:v>
      </x:c>
      <x:c r="K3579" s="0">
        <x:f>hyperlink("https://icd.who.int/dev11/l-ichi/en#/http%3A%2F%2Fid.who.int%2Ficd%2Fentity%2F209019353","browser")</x:f>
      </x:c>
      <x:c r="L3579" s="0">
        <x:f>hyperlink("https://icat2.azurewebsites.net/icat/?ontology=ICD&amp;tab=ClassesTab&amp;id=http%3A%2F%2Fwho.int%2Ficd%2317317_512ebf36_bf6b_4d70_85da_cf2637062af4","iCat")</x:f>
      </x:c>
      <x:c r="M3579" s="0" t="s">
        <x:v>21</x:v>
      </x:c>
      <x:c r="N3579" s="0" t="s">
        <x:v>46</x:v>
      </x:c>
    </x:row>
    <x:row r="3580" spans="1:16">
      <x:c r="A3580" s="0" t="s">
        <x:v>14162</x:v>
      </x:c>
      <x:c r="B3580" s="0" t="s">
        <x:v>14163</x:v>
      </x:c>
      <x:c r="C3580" s="0" t="s">
        <x:v>14164</x:v>
      </x:c>
      <x:c r="E3580" s="0" t="s">
        <x:v>14165</x:v>
      </x:c>
      <x:c r="F3580" s="0" t="s">
        <x:v>45</x:v>
      </x:c>
      <x:c r="G3580" s="0" t="s">
        <x:v>19</x:v>
      </x:c>
      <x:c r="H3580" s="0" t="s">
        <x:v>20</x:v>
      </x:c>
      <x:c r="I3580" s="0" t="s">
        <x:v>21</x:v>
      </x:c>
      <x:c r="K3580" s="0">
        <x:f>hyperlink("https://icd.who.int/dev11/l-ichi/en#/http%3A%2F%2Fid.who.int%2Ficd%2Fentity%2F155274791","browser")</x:f>
      </x:c>
      <x:c r="L3580" s="0">
        <x:f>hyperlink("https://icat2.azurewebsites.net/icat/?ontology=ICD&amp;tab=ClassesTab&amp;id=http%3A%2F%2Fwho.int%2Ficd%2317324_512ebf36_bf6b_4d70_85da_cf2637062af4","iCat")</x:f>
      </x:c>
      <x:c r="M3580" s="0" t="s">
        <x:v>21</x:v>
      </x:c>
      <x:c r="N3580" s="0" t="s">
        <x:v>46</x:v>
      </x:c>
    </x:row>
    <x:row r="3581" spans="1:16">
      <x:c r="A3581" s="0" t="s">
        <x:v>14166</x:v>
      </x:c>
      <x:c r="B3581" s="0" t="s">
        <x:v>14167</x:v>
      </x:c>
      <x:c r="C3581" s="0" t="s">
        <x:v>14168</x:v>
      </x:c>
      <x:c r="E3581" s="0" t="s">
        <x:v>14169</x:v>
      </x:c>
      <x:c r="F3581" s="0" t="s">
        <x:v>45</x:v>
      </x:c>
      <x:c r="G3581" s="0" t="s">
        <x:v>19</x:v>
      </x:c>
      <x:c r="H3581" s="0" t="s">
        <x:v>20</x:v>
      </x:c>
      <x:c r="I3581" s="0" t="s">
        <x:v>21</x:v>
      </x:c>
      <x:c r="K3581" s="0">
        <x:f>hyperlink("https://icd.who.int/dev11/l-ichi/en#/http%3A%2F%2Fid.who.int%2Ficd%2Fentity%2F1451433734","browser")</x:f>
      </x:c>
      <x:c r="L3581" s="0">
        <x:f>hyperlink("https://icat2.azurewebsites.net/icat/?ontology=ICD&amp;tab=ClassesTab&amp;id=http%3A%2F%2Fwho.int%2Ficd%2317330_512ebf36_bf6b_4d70_85da_cf2637062af4","iCat")</x:f>
      </x:c>
      <x:c r="M3581" s="0" t="s">
        <x:v>21</x:v>
      </x:c>
      <x:c r="N3581" s="0" t="s">
        <x:v>46</x:v>
      </x:c>
    </x:row>
    <x:row r="3582" spans="1:16">
      <x:c r="A3582" s="0" t="s">
        <x:v>14170</x:v>
      </x:c>
      <x:c r="B3582" s="0" t="s">
        <x:v>14171</x:v>
      </x:c>
      <x:c r="C3582" s="0" t="s">
        <x:v>14172</x:v>
      </x:c>
      <x:c r="E3582" s="0" t="s">
        <x:v>14173</x:v>
      </x:c>
      <x:c r="F3582" s="0" t="s">
        <x:v>45</x:v>
      </x:c>
      <x:c r="G3582" s="0" t="s">
        <x:v>19</x:v>
      </x:c>
      <x:c r="H3582" s="0" t="s">
        <x:v>20</x:v>
      </x:c>
      <x:c r="I3582" s="0" t="s">
        <x:v>21</x:v>
      </x:c>
      <x:c r="K3582" s="0">
        <x:f>hyperlink("https://icd.who.int/dev11/l-ichi/en#/http%3A%2F%2Fid.who.int%2Ficd%2Fentity%2F116967093","browser")</x:f>
      </x:c>
      <x:c r="L3582" s="0">
        <x:f>hyperlink("https://icat2.azurewebsites.net/icat/?ontology=ICD&amp;tab=ClassesTab&amp;id=http%3A%2F%2Fwho.int%2Ficd%2317336_512ebf36_bf6b_4d70_85da_cf2637062af4","iCat")</x:f>
      </x:c>
      <x:c r="M3582" s="0" t="s">
        <x:v>21</x:v>
      </x:c>
      <x:c r="N3582" s="0" t="s">
        <x:v>46</x:v>
      </x:c>
    </x:row>
    <x:row r="3583" spans="1:16">
      <x:c r="A3583" s="0" t="s">
        <x:v>14174</x:v>
      </x:c>
      <x:c r="B3583" s="0" t="s">
        <x:v>14175</x:v>
      </x:c>
      <x:c r="C3583" s="0" t="s">
        <x:v>14176</x:v>
      </x:c>
      <x:c r="E3583" s="0" t="s">
        <x:v>14177</x:v>
      </x:c>
      <x:c r="F3583" s="0" t="s">
        <x:v>45</x:v>
      </x:c>
      <x:c r="G3583" s="0" t="s">
        <x:v>19</x:v>
      </x:c>
      <x:c r="H3583" s="0" t="s">
        <x:v>20</x:v>
      </x:c>
      <x:c r="I3583" s="0" t="s">
        <x:v>21</x:v>
      </x:c>
      <x:c r="K3583" s="0">
        <x:f>hyperlink("https://icd.who.int/dev11/l-ichi/en#/http%3A%2F%2Fid.who.int%2Ficd%2Fentity%2F53023195","browser")</x:f>
      </x:c>
      <x:c r="L3583" s="0">
        <x:f>hyperlink("https://icat2.azurewebsites.net/icat/?ontology=ICD&amp;tab=ClassesTab&amp;id=http%3A%2F%2Fwho.int%2Ficd%2317342_512ebf36_bf6b_4d70_85da_cf2637062af4","iCat")</x:f>
      </x:c>
      <x:c r="M3583" s="0" t="s">
        <x:v>21</x:v>
      </x:c>
      <x:c r="N3583" s="0" t="s">
        <x:v>46</x:v>
      </x:c>
    </x:row>
    <x:row r="3584" spans="1:16">
      <x:c r="A3584" s="0" t="s">
        <x:v>14178</x:v>
      </x:c>
      <x:c r="B3584" s="0" t="s">
        <x:v>14179</x:v>
      </x:c>
      <x:c r="C3584" s="0" t="s">
        <x:v>14180</x:v>
      </x:c>
      <x:c r="E3584" s="0" t="s">
        <x:v>14181</x:v>
      </x:c>
      <x:c r="F3584" s="0" t="s">
        <x:v>45</x:v>
      </x:c>
      <x:c r="G3584" s="0" t="s">
        <x:v>19</x:v>
      </x:c>
      <x:c r="H3584" s="0" t="s">
        <x:v>20</x:v>
      </x:c>
      <x:c r="I3584" s="0" t="s">
        <x:v>21</x:v>
      </x:c>
      <x:c r="K3584" s="0">
        <x:f>hyperlink("https://icd.who.int/dev11/l-ichi/en#/http%3A%2F%2Fid.who.int%2Ficd%2Fentity%2F685014347","browser")</x:f>
      </x:c>
      <x:c r="L3584" s="0">
        <x:f>hyperlink("https://icat2.azurewebsites.net/icat/?ontology=ICD&amp;tab=ClassesTab&amp;id=http%3A%2F%2Fwho.int%2Ficd%2317348_512ebf36_bf6b_4d70_85da_cf2637062af4","iCat")</x:f>
      </x:c>
      <x:c r="M3584" s="0" t="s">
        <x:v>21</x:v>
      </x:c>
      <x:c r="N3584" s="0" t="s">
        <x:v>46</x:v>
      </x:c>
    </x:row>
    <x:row r="3585" spans="1:16">
      <x:c r="A3585" s="0" t="s">
        <x:v>14182</x:v>
      </x:c>
      <x:c r="B3585" s="0" t="s">
        <x:v>14183</x:v>
      </x:c>
      <x:c r="C3585" s="0" t="s">
        <x:v>14184</x:v>
      </x:c>
      <x:c r="E3585" s="0" t="s">
        <x:v>14185</x:v>
      </x:c>
      <x:c r="F3585" s="0" t="s">
        <x:v>45</x:v>
      </x:c>
      <x:c r="G3585" s="0" t="s">
        <x:v>19</x:v>
      </x:c>
      <x:c r="H3585" s="0" t="s">
        <x:v>20</x:v>
      </x:c>
      <x:c r="I3585" s="0" t="s">
        <x:v>21</x:v>
      </x:c>
      <x:c r="K3585" s="0">
        <x:f>hyperlink("https://icd.who.int/dev11/l-ichi/en#/http%3A%2F%2Fid.who.int%2Ficd%2Fentity%2F966221117","browser")</x:f>
      </x:c>
      <x:c r="L3585" s="0">
        <x:f>hyperlink("https://icat2.azurewebsites.net/icat/?ontology=ICD&amp;tab=ClassesTab&amp;id=http%3A%2F%2Fwho.int%2Ficd%2317354_512ebf36_bf6b_4d70_85da_cf2637062af4","iCat")</x:f>
      </x:c>
      <x:c r="M3585" s="0" t="s">
        <x:v>21</x:v>
      </x:c>
      <x:c r="N3585" s="0" t="s">
        <x:v>46</x:v>
      </x:c>
    </x:row>
    <x:row r="3586" spans="1:16">
      <x:c r="A3586" s="0" t="s">
        <x:v>14186</x:v>
      </x:c>
      <x:c r="B3586" s="0" t="s">
        <x:v>14187</x:v>
      </x:c>
      <x:c r="C3586" s="0" t="s">
        <x:v>14188</x:v>
      </x:c>
      <x:c r="E3586" s="0" t="s">
        <x:v>14189</x:v>
      </x:c>
      <x:c r="F3586" s="0" t="s">
        <x:v>45</x:v>
      </x:c>
      <x:c r="G3586" s="0" t="s">
        <x:v>19</x:v>
      </x:c>
      <x:c r="H3586" s="0" t="s">
        <x:v>20</x:v>
      </x:c>
      <x:c r="I3586" s="0" t="s">
        <x:v>21</x:v>
      </x:c>
      <x:c r="K3586" s="0">
        <x:f>hyperlink("https://icd.who.int/dev11/l-ichi/en#/http%3A%2F%2Fid.who.int%2Ficd%2Fentity%2F1277286736","browser")</x:f>
      </x:c>
      <x:c r="L3586" s="0">
        <x:f>hyperlink("https://icat2.azurewebsites.net/icat/?ontology=ICD&amp;tab=ClassesTab&amp;id=http%3A%2F%2Fwho.int%2Ficd%2317360_512ebf36_bf6b_4d70_85da_cf2637062af4","iCat")</x:f>
      </x:c>
      <x:c r="M3586" s="0" t="s">
        <x:v>21</x:v>
      </x:c>
      <x:c r="N3586" s="0" t="s">
        <x:v>46</x:v>
      </x:c>
    </x:row>
    <x:row r="3587" spans="1:16">
      <x:c r="A3587" s="0" t="s">
        <x:v>14190</x:v>
      </x:c>
      <x:c r="B3587" s="0" t="s">
        <x:v>14191</x:v>
      </x:c>
      <x:c r="C3587" s="0" t="s">
        <x:v>14192</x:v>
      </x:c>
      <x:c r="E3587" s="0" t="s">
        <x:v>14193</x:v>
      </x:c>
      <x:c r="F3587" s="0" t="s">
        <x:v>45</x:v>
      </x:c>
      <x:c r="G3587" s="0" t="s">
        <x:v>19</x:v>
      </x:c>
      <x:c r="H3587" s="0" t="s">
        <x:v>20</x:v>
      </x:c>
      <x:c r="I3587" s="0" t="s">
        <x:v>21</x:v>
      </x:c>
      <x:c r="K3587" s="0">
        <x:f>hyperlink("https://icd.who.int/dev11/l-ichi/en#/http%3A%2F%2Fid.who.int%2Ficd%2Fentity%2F652495897","browser")</x:f>
      </x:c>
      <x:c r="L3587" s="0">
        <x:f>hyperlink("https://icat2.azurewebsites.net/icat/?ontology=ICD&amp;tab=ClassesTab&amp;id=http%3A%2F%2Fwho.int%2Ficd%2317370_512ebf36_bf6b_4d70_85da_cf2637062af4","iCat")</x:f>
      </x:c>
      <x:c r="M3587" s="0" t="s">
        <x:v>21</x:v>
      </x:c>
      <x:c r="N3587" s="0" t="s">
        <x:v>46</x:v>
      </x:c>
    </x:row>
    <x:row r="3588" spans="1:16">
      <x:c r="A3588" s="0" t="s">
        <x:v>14194</x:v>
      </x:c>
      <x:c r="B3588" s="0" t="s">
        <x:v>14195</x:v>
      </x:c>
      <x:c r="C3588" s="0" t="s">
        <x:v>14196</x:v>
      </x:c>
      <x:c r="E3588" s="0" t="s">
        <x:v>14197</x:v>
      </x:c>
      <x:c r="F3588" s="0" t="s">
        <x:v>45</x:v>
      </x:c>
      <x:c r="G3588" s="0" t="s">
        <x:v>19</x:v>
      </x:c>
      <x:c r="H3588" s="0" t="s">
        <x:v>20</x:v>
      </x:c>
      <x:c r="I3588" s="0" t="s">
        <x:v>21</x:v>
      </x:c>
      <x:c r="K3588" s="0">
        <x:f>hyperlink("https://icd.who.int/dev11/l-ichi/en#/http%3A%2F%2Fid.who.int%2Ficd%2Fentity%2F151193287","browser")</x:f>
      </x:c>
      <x:c r="L3588" s="0">
        <x:f>hyperlink("https://icat2.azurewebsites.net/icat/?ontology=ICD&amp;tab=ClassesTab&amp;id=http%3A%2F%2Fwho.int%2Ficd%2317380_512ebf36_bf6b_4d70_85da_cf2637062af4","iCat")</x:f>
      </x:c>
      <x:c r="M3588" s="0" t="s">
        <x:v>21</x:v>
      </x:c>
      <x:c r="N3588" s="0" t="s">
        <x:v>46</x:v>
      </x:c>
    </x:row>
    <x:row r="3589" spans="1:16">
      <x:c r="A3589" s="0" t="s">
        <x:v>14198</x:v>
      </x:c>
      <x:c r="B3589" s="0" t="s">
        <x:v>14199</x:v>
      </x:c>
      <x:c r="C3589" s="0" t="s">
        <x:v>14200</x:v>
      </x:c>
      <x:c r="E3589" s="0" t="s">
        <x:v>14201</x:v>
      </x:c>
      <x:c r="F3589" s="0" t="s">
        <x:v>45</x:v>
      </x:c>
      <x:c r="G3589" s="0" t="s">
        <x:v>19</x:v>
      </x:c>
      <x:c r="H3589" s="0" t="s">
        <x:v>20</x:v>
      </x:c>
      <x:c r="I3589" s="0" t="s">
        <x:v>21</x:v>
      </x:c>
      <x:c r="K3589" s="0">
        <x:f>hyperlink("https://icd.who.int/dev11/l-ichi/en#/http%3A%2F%2Fid.who.int%2Ficd%2Fentity%2F1501093750","browser")</x:f>
      </x:c>
      <x:c r="L3589" s="0">
        <x:f>hyperlink("https://icat2.azurewebsites.net/icat/?ontology=ICD&amp;tab=ClassesTab&amp;id=http%3A%2F%2Fwho.int%2Ficd%2317386_512ebf36_bf6b_4d70_85da_cf2637062af4","iCat")</x:f>
      </x:c>
      <x:c r="M3589" s="0" t="s">
        <x:v>21</x:v>
      </x:c>
      <x:c r="N3589" s="0" t="s">
        <x:v>46</x:v>
      </x:c>
    </x:row>
    <x:row r="3590" spans="1:16">
      <x:c r="A3590" s="0" t="s">
        <x:v>14202</x:v>
      </x:c>
      <x:c r="B3590" s="0" t="s">
        <x:v>14203</x:v>
      </x:c>
      <x:c r="C3590" s="0" t="s">
        <x:v>14204</x:v>
      </x:c>
      <x:c r="E3590" s="0" t="s">
        <x:v>14205</x:v>
      </x:c>
      <x:c r="F3590" s="0" t="s">
        <x:v>45</x:v>
      </x:c>
      <x:c r="G3590" s="0" t="s">
        <x:v>19</x:v>
      </x:c>
      <x:c r="H3590" s="0" t="s">
        <x:v>20</x:v>
      </x:c>
      <x:c r="I3590" s="0" t="s">
        <x:v>21</x:v>
      </x:c>
      <x:c r="K3590" s="0">
        <x:f>hyperlink("https://icd.who.int/dev11/l-ichi/en#/http%3A%2F%2Fid.who.int%2Ficd%2Fentity%2F112889429","browser")</x:f>
      </x:c>
      <x:c r="L3590" s="0">
        <x:f>hyperlink("https://icat2.azurewebsites.net/icat/?ontology=ICD&amp;tab=ClassesTab&amp;id=http%3A%2F%2Fwho.int%2Ficd%2317392_512ebf36_bf6b_4d70_85da_cf2637062af4","iCat")</x:f>
      </x:c>
      <x:c r="M3590" s="0" t="s">
        <x:v>21</x:v>
      </x:c>
      <x:c r="N3590" s="0" t="s">
        <x:v>46</x:v>
      </x:c>
    </x:row>
    <x:row r="3591" spans="1:16">
      <x:c r="A3591" s="0" t="s">
        <x:v>14206</x:v>
      </x:c>
      <x:c r="B3591" s="0" t="s">
        <x:v>14207</x:v>
      </x:c>
      <x:c r="C3591" s="0" t="s">
        <x:v>14208</x:v>
      </x:c>
      <x:c r="E3591" s="0" t="s">
        <x:v>14209</x:v>
      </x:c>
      <x:c r="F3591" s="0" t="s">
        <x:v>45</x:v>
      </x:c>
      <x:c r="G3591" s="0" t="s">
        <x:v>19</x:v>
      </x:c>
      <x:c r="H3591" s="0" t="s">
        <x:v>20</x:v>
      </x:c>
      <x:c r="I3591" s="0" t="s">
        <x:v>21</x:v>
      </x:c>
      <x:c r="K3591" s="0">
        <x:f>hyperlink("https://icd.who.int/dev11/l-ichi/en#/http%3A%2F%2Fid.who.int%2Ficd%2Fentity%2F230592761","browser")</x:f>
      </x:c>
      <x:c r="L3591" s="0">
        <x:f>hyperlink("https://icat2.azurewebsites.net/icat/?ontology=ICD&amp;tab=ClassesTab&amp;id=http%3A%2F%2Fwho.int%2Ficd%2317399_512ebf36_bf6b_4d70_85da_cf2637062af4","iCat")</x:f>
      </x:c>
      <x:c r="M3591" s="0" t="s">
        <x:v>21</x:v>
      </x:c>
      <x:c r="N3591" s="0" t="s">
        <x:v>46</x:v>
      </x:c>
    </x:row>
    <x:row r="3592" spans="1:16">
      <x:c r="A3592" s="0" t="s">
        <x:v>14210</x:v>
      </x:c>
      <x:c r="B3592" s="0" t="s">
        <x:v>14211</x:v>
      </x:c>
      <x:c r="C3592" s="0" t="s">
        <x:v>14212</x:v>
      </x:c>
      <x:c r="E3592" s="0" t="s">
        <x:v>14213</x:v>
      </x:c>
      <x:c r="F3592" s="0" t="s">
        <x:v>45</x:v>
      </x:c>
      <x:c r="G3592" s="0" t="s">
        <x:v>19</x:v>
      </x:c>
      <x:c r="H3592" s="0" t="s">
        <x:v>20</x:v>
      </x:c>
      <x:c r="I3592" s="0" t="s">
        <x:v>21</x:v>
      </x:c>
      <x:c r="K3592" s="0">
        <x:f>hyperlink("https://icd.who.int/dev11/l-ichi/en#/http%3A%2F%2Fid.who.int%2Ficd%2Fentity%2F1872576807","browser")</x:f>
      </x:c>
      <x:c r="L3592" s="0">
        <x:f>hyperlink("https://icat2.azurewebsites.net/icat/?ontology=ICD&amp;tab=ClassesTab&amp;id=http%3A%2F%2Fwho.int%2Ficd%2317405_512ebf36_bf6b_4d70_85da_cf2637062af4","iCat")</x:f>
      </x:c>
      <x:c r="M3592" s="0" t="s">
        <x:v>21</x:v>
      </x:c>
      <x:c r="N3592" s="0" t="s">
        <x:v>46</x:v>
      </x:c>
    </x:row>
    <x:row r="3593" spans="1:16">
      <x:c r="A3593" s="0" t="s">
        <x:v>14214</x:v>
      </x:c>
      <x:c r="B3593" s="0" t="s">
        <x:v>14215</x:v>
      </x:c>
      <x:c r="C3593" s="0" t="s">
        <x:v>14216</x:v>
      </x:c>
      <x:c r="E3593" s="0" t="s">
        <x:v>14217</x:v>
      </x:c>
      <x:c r="F3593" s="0" t="s">
        <x:v>45</x:v>
      </x:c>
      <x:c r="G3593" s="0" t="s">
        <x:v>19</x:v>
      </x:c>
      <x:c r="H3593" s="0" t="s">
        <x:v>20</x:v>
      </x:c>
      <x:c r="I3593" s="0" t="s">
        <x:v>21</x:v>
      </x:c>
      <x:c r="K3593" s="0">
        <x:f>hyperlink("https://icd.who.int/dev11/l-ichi/en#/http%3A%2F%2Fid.who.int%2Ficd%2Fentity%2F811536388","browser")</x:f>
      </x:c>
      <x:c r="L3593" s="0">
        <x:f>hyperlink("https://icat2.azurewebsites.net/icat/?ontology=ICD&amp;tab=ClassesTab&amp;id=http%3A%2F%2Fwho.int%2Ficd%2317411_512ebf36_bf6b_4d70_85da_cf2637062af4","iCat")</x:f>
      </x:c>
      <x:c r="M3593" s="0" t="s">
        <x:v>21</x:v>
      </x:c>
      <x:c r="N3593" s="0" t="s">
        <x:v>46</x:v>
      </x:c>
    </x:row>
    <x:row r="3594" spans="1:16">
      <x:c r="A3594" s="0" t="s">
        <x:v>14218</x:v>
      </x:c>
      <x:c r="B3594" s="0" t="s">
        <x:v>14219</x:v>
      </x:c>
      <x:c r="C3594" s="0" t="s">
        <x:v>14220</x:v>
      </x:c>
      <x:c r="E3594" s="0" t="s">
        <x:v>14221</x:v>
      </x:c>
      <x:c r="F3594" s="0" t="s">
        <x:v>45</x:v>
      </x:c>
      <x:c r="G3594" s="0" t="s">
        <x:v>19</x:v>
      </x:c>
      <x:c r="H3594" s="0" t="s">
        <x:v>20</x:v>
      </x:c>
      <x:c r="I3594" s="0" t="s">
        <x:v>21</x:v>
      </x:c>
      <x:c r="K3594" s="0">
        <x:f>hyperlink("https://icd.who.int/dev11/l-ichi/en#/http%3A%2F%2Fid.who.int%2Ficd%2Fentity%2F1613023669","browser")</x:f>
      </x:c>
      <x:c r="L3594" s="0">
        <x:f>hyperlink("https://icat2.azurewebsites.net/icat/?ontology=ICD&amp;tab=ClassesTab&amp;id=http%3A%2F%2Fwho.int%2Ficd%2317417_512ebf36_bf6b_4d70_85da_cf2637062af4","iCat")</x:f>
      </x:c>
      <x:c r="M3594" s="0" t="s">
        <x:v>21</x:v>
      </x:c>
      <x:c r="N3594" s="0" t="s">
        <x:v>46</x:v>
      </x:c>
    </x:row>
    <x:row r="3595" spans="1:16">
      <x:c r="A3595" s="0" t="s">
        <x:v>14222</x:v>
      </x:c>
      <x:c r="B3595" s="0" t="s">
        <x:v>14223</x:v>
      </x:c>
      <x:c r="C3595" s="0" t="s">
        <x:v>14224</x:v>
      </x:c>
      <x:c r="E3595" s="0" t="s">
        <x:v>14225</x:v>
      </x:c>
      <x:c r="F3595" s="0" t="s">
        <x:v>45</x:v>
      </x:c>
      <x:c r="G3595" s="0" t="s">
        <x:v>19</x:v>
      </x:c>
      <x:c r="H3595" s="0" t="s">
        <x:v>20</x:v>
      </x:c>
      <x:c r="I3595" s="0" t="s">
        <x:v>21</x:v>
      </x:c>
      <x:c r="K3595" s="0">
        <x:f>hyperlink("https://icd.who.int/dev11/l-ichi/en#/http%3A%2F%2Fid.who.int%2Ficd%2Fentity%2F1695606347","browser")</x:f>
      </x:c>
      <x:c r="L3595" s="0">
        <x:f>hyperlink("https://icat2.azurewebsites.net/icat/?ontology=ICD&amp;tab=ClassesTab&amp;id=http%3A%2F%2Fwho.int%2Ficd%2317424_512ebf36_bf6b_4d70_85da_cf2637062af4","iCat")</x:f>
      </x:c>
      <x:c r="M3595" s="0" t="s">
        <x:v>21</x:v>
      </x:c>
      <x:c r="N3595" s="0" t="s">
        <x:v>46</x:v>
      </x:c>
    </x:row>
    <x:row r="3596" spans="1:16">
      <x:c r="A3596" s="0" t="s">
        <x:v>14226</x:v>
      </x:c>
      <x:c r="B3596" s="0" t="s">
        <x:v>14227</x:v>
      </x:c>
      <x:c r="C3596" s="0" t="s">
        <x:v>14228</x:v>
      </x:c>
      <x:c r="E3596" s="0" t="s">
        <x:v>14229</x:v>
      </x:c>
      <x:c r="F3596" s="0" t="s">
        <x:v>45</x:v>
      </x:c>
      <x:c r="G3596" s="0" t="s">
        <x:v>19</x:v>
      </x:c>
      <x:c r="H3596" s="0" t="s">
        <x:v>20</x:v>
      </x:c>
      <x:c r="I3596" s="0" t="s">
        <x:v>21</x:v>
      </x:c>
      <x:c r="K3596" s="0">
        <x:f>hyperlink("https://icd.who.int/dev11/l-ichi/en#/http%3A%2F%2Fid.who.int%2Ficd%2Fentity%2F986888040","browser")</x:f>
      </x:c>
      <x:c r="L3596" s="0">
        <x:f>hyperlink("https://icat2.azurewebsites.net/icat/?ontology=ICD&amp;tab=ClassesTab&amp;id=http%3A%2F%2Fwho.int%2Ficd%2317430_512ebf36_bf6b_4d70_85da_cf2637062af4","iCat")</x:f>
      </x:c>
      <x:c r="M3596" s="0" t="s">
        <x:v>21</x:v>
      </x:c>
      <x:c r="N3596" s="0" t="s">
        <x:v>46</x:v>
      </x:c>
    </x:row>
    <x:row r="3597" spans="1:16">
      <x:c r="A3597" s="0" t="s">
        <x:v>14230</x:v>
      </x:c>
      <x:c r="B3597" s="0" t="s">
        <x:v>14231</x:v>
      </x:c>
      <x:c r="C3597" s="0" t="s">
        <x:v>14232</x:v>
      </x:c>
      <x:c r="E3597" s="0" t="s">
        <x:v>14233</x:v>
      </x:c>
      <x:c r="F3597" s="0" t="s">
        <x:v>45</x:v>
      </x:c>
      <x:c r="G3597" s="0" t="s">
        <x:v>19</x:v>
      </x:c>
      <x:c r="H3597" s="0" t="s">
        <x:v>20</x:v>
      </x:c>
      <x:c r="I3597" s="0" t="s">
        <x:v>21</x:v>
      </x:c>
      <x:c r="K3597" s="0">
        <x:f>hyperlink("https://icd.who.int/dev11/l-ichi/en#/http%3A%2F%2Fid.who.int%2Ficd%2Fentity%2F1789488857","browser")</x:f>
      </x:c>
      <x:c r="L3597" s="0">
        <x:f>hyperlink("https://icat2.azurewebsites.net/icat/?ontology=ICD&amp;tab=ClassesTab&amp;id=http%3A%2F%2Fwho.int%2Ficd%2317436_512ebf36_bf6b_4d70_85da_cf2637062af4","iCat")</x:f>
      </x:c>
      <x:c r="M3597" s="0" t="s">
        <x:v>21</x:v>
      </x:c>
      <x:c r="N3597" s="0" t="s">
        <x:v>46</x:v>
      </x:c>
    </x:row>
    <x:row r="3598" spans="1:16">
      <x:c r="A3598" s="0" t="s">
        <x:v>14234</x:v>
      </x:c>
      <x:c r="B3598" s="0" t="s">
        <x:v>14235</x:v>
      </x:c>
      <x:c r="C3598" s="0" t="s">
        <x:v>14236</x:v>
      </x:c>
      <x:c r="E3598" s="0" t="s">
        <x:v>14237</x:v>
      </x:c>
      <x:c r="F3598" s="0" t="s">
        <x:v>45</x:v>
      </x:c>
      <x:c r="G3598" s="0" t="s">
        <x:v>19</x:v>
      </x:c>
      <x:c r="H3598" s="0" t="s">
        <x:v>20</x:v>
      </x:c>
      <x:c r="I3598" s="0" t="s">
        <x:v>21</x:v>
      </x:c>
      <x:c r="K3598" s="0">
        <x:f>hyperlink("https://icd.who.int/dev11/l-ichi/en#/http%3A%2F%2Fid.who.int%2Ficd%2Fentity%2F1870182839","browser")</x:f>
      </x:c>
      <x:c r="L3598" s="0">
        <x:f>hyperlink("https://icat2.azurewebsites.net/icat/?ontology=ICD&amp;tab=ClassesTab&amp;id=http%3A%2F%2Fwho.int%2Ficd%2317442_512ebf36_bf6b_4d70_85da_cf2637062af4","iCat")</x:f>
      </x:c>
      <x:c r="M3598" s="0" t="s">
        <x:v>21</x:v>
      </x:c>
      <x:c r="N3598" s="0" t="s">
        <x:v>46</x:v>
      </x:c>
    </x:row>
    <x:row r="3599" spans="1:16">
      <x:c r="A3599" s="0" t="s">
        <x:v>14238</x:v>
      </x:c>
      <x:c r="B3599" s="0" t="s">
        <x:v>14239</x:v>
      </x:c>
      <x:c r="C3599" s="0" t="s">
        <x:v>14240</x:v>
      </x:c>
      <x:c r="E3599" s="0" t="s">
        <x:v>14241</x:v>
      </x:c>
      <x:c r="F3599" s="0" t="s">
        <x:v>45</x:v>
      </x:c>
      <x:c r="G3599" s="0" t="s">
        <x:v>19</x:v>
      </x:c>
      <x:c r="H3599" s="0" t="s">
        <x:v>20</x:v>
      </x:c>
      <x:c r="I3599" s="0" t="s">
        <x:v>21</x:v>
      </x:c>
      <x:c r="K3599" s="0">
        <x:f>hyperlink("https://icd.who.int/dev11/l-ichi/en#/http%3A%2F%2Fid.who.int%2Ficd%2Fentity%2F1615158677","browser")</x:f>
      </x:c>
      <x:c r="L3599" s="0">
        <x:f>hyperlink("https://icat2.azurewebsites.net/icat/?ontology=ICD&amp;tab=ClassesTab&amp;id=http%3A%2F%2Fwho.int%2Ficd%2316150_4869915e_217e_423d_acb3_33c0f920ef4b","iCat")</x:f>
      </x:c>
      <x:c r="M3599" s="0" t="s">
        <x:v>21</x:v>
      </x:c>
      <x:c r="N3599" s="0" t="s">
        <x:v>46</x:v>
      </x:c>
    </x:row>
    <x:row r="3600" spans="1:16">
      <x:c r="A3600" s="0" t="s">
        <x:v>14242</x:v>
      </x:c>
      <x:c r="B3600" s="0" t="s">
        <x:v>14243</x:v>
      </x:c>
      <x:c r="C3600" s="0" t="s">
        <x:v>14244</x:v>
      </x:c>
      <x:c r="E3600" s="0" t="s">
        <x:v>14245</x:v>
      </x:c>
      <x:c r="F3600" s="0" t="s">
        <x:v>45</x:v>
      </x:c>
      <x:c r="G3600" s="0" t="s">
        <x:v>19</x:v>
      </x:c>
      <x:c r="H3600" s="0" t="s">
        <x:v>20</x:v>
      </x:c>
      <x:c r="I3600" s="0" t="s">
        <x:v>21</x:v>
      </x:c>
      <x:c r="K3600" s="0">
        <x:f>hyperlink("https://icd.who.int/dev11/l-ichi/en#/http%3A%2F%2Fid.who.int%2Ficd%2Fentity%2F1685890843","browser")</x:f>
      </x:c>
      <x:c r="L3600" s="0">
        <x:f>hyperlink("https://icat2.azurewebsites.net/icat/?ontology=ICD&amp;tab=ClassesTab&amp;id=http%3A%2F%2Fwho.int%2Ficd%2317449_512ebf36_bf6b_4d70_85da_cf2637062af4","iCat")</x:f>
      </x:c>
      <x:c r="M3600" s="0" t="s">
        <x:v>21</x:v>
      </x:c>
      <x:c r="N3600" s="0" t="s">
        <x:v>46</x:v>
      </x:c>
    </x:row>
    <x:row r="3601" spans="1:16">
      <x:c r="A3601" s="0" t="s">
        <x:v>14246</x:v>
      </x:c>
      <x:c r="B3601" s="0" t="s">
        <x:v>14247</x:v>
      </x:c>
      <x:c r="C3601" s="0" t="s">
        <x:v>14248</x:v>
      </x:c>
      <x:c r="E3601" s="0" t="s">
        <x:v>14249</x:v>
      </x:c>
      <x:c r="F3601" s="0" t="s">
        <x:v>45</x:v>
      </x:c>
      <x:c r="G3601" s="0" t="s">
        <x:v>19</x:v>
      </x:c>
      <x:c r="H3601" s="0" t="s">
        <x:v>20</x:v>
      </x:c>
      <x:c r="I3601" s="0" t="s">
        <x:v>21</x:v>
      </x:c>
      <x:c r="K3601" s="0">
        <x:f>hyperlink("https://icd.who.int/dev11/l-ichi/en#/http%3A%2F%2Fid.who.int%2Ficd%2Fentity%2F817555604","browser")</x:f>
      </x:c>
      <x:c r="L3601" s="0">
        <x:f>hyperlink("https://icat2.azurewebsites.net/icat/?ontology=ICD&amp;tab=ClassesTab&amp;id=http%3A%2F%2Fwho.int%2Ficd%2317456_512ebf36_bf6b_4d70_85da_cf2637062af4","iCat")</x:f>
      </x:c>
      <x:c r="M3601" s="0" t="s">
        <x:v>21</x:v>
      </x:c>
      <x:c r="N3601" s="0" t="s">
        <x:v>46</x:v>
      </x:c>
    </x:row>
    <x:row r="3602" spans="1:16">
      <x:c r="A3602" s="0" t="s">
        <x:v>14250</x:v>
      </x:c>
      <x:c r="B3602" s="0" t="s">
        <x:v>14251</x:v>
      </x:c>
      <x:c r="C3602" s="0" t="s">
        <x:v>14252</x:v>
      </x:c>
      <x:c r="E3602" s="0" t="s">
        <x:v>14253</x:v>
      </x:c>
      <x:c r="F3602" s="0" t="s">
        <x:v>45</x:v>
      </x:c>
      <x:c r="G3602" s="0" t="s">
        <x:v>19</x:v>
      </x:c>
      <x:c r="H3602" s="0" t="s">
        <x:v>20</x:v>
      </x:c>
      <x:c r="I3602" s="0" t="s">
        <x:v>21</x:v>
      </x:c>
      <x:c r="K3602" s="0">
        <x:f>hyperlink("https://icd.who.int/dev11/l-ichi/en#/http%3A%2F%2Fid.who.int%2Ficd%2Fentity%2F1158442215","browser")</x:f>
      </x:c>
      <x:c r="L3602" s="0">
        <x:f>hyperlink("https://icat2.azurewebsites.net/icat/?ontology=ICD&amp;tab=ClassesTab&amp;id=http%3A%2F%2Fwho.int%2Ficd%2317462_512ebf36_bf6b_4d70_85da_cf2637062af4","iCat")</x:f>
      </x:c>
      <x:c r="M3602" s="0" t="s">
        <x:v>21</x:v>
      </x:c>
      <x:c r="N3602" s="0" t="s">
        <x:v>46</x:v>
      </x:c>
    </x:row>
    <x:row r="3603" spans="1:16">
      <x:c r="A3603" s="0" t="s">
        <x:v>14254</x:v>
      </x:c>
      <x:c r="B3603" s="0" t="s">
        <x:v>14255</x:v>
      </x:c>
      <x:c r="C3603" s="0" t="s">
        <x:v>14256</x:v>
      </x:c>
      <x:c r="E3603" s="0" t="s">
        <x:v>14257</x:v>
      </x:c>
      <x:c r="F3603" s="0" t="s">
        <x:v>45</x:v>
      </x:c>
      <x:c r="G3603" s="0" t="s">
        <x:v>19</x:v>
      </x:c>
      <x:c r="H3603" s="0" t="s">
        <x:v>20</x:v>
      </x:c>
      <x:c r="I3603" s="0" t="s">
        <x:v>21</x:v>
      </x:c>
      <x:c r="K3603" s="0">
        <x:f>hyperlink("https://icd.who.int/dev11/l-ichi/en#/http%3A%2F%2Fid.who.int%2Ficd%2Fentity%2F1861288055","browser")</x:f>
      </x:c>
      <x:c r="L3603" s="0">
        <x:f>hyperlink("https://icat2.azurewebsites.net/icat/?ontology=ICD&amp;tab=ClassesTab&amp;id=http%3A%2F%2Fwho.int%2Ficd%2317468_512ebf36_bf6b_4d70_85da_cf2637062af4","iCat")</x:f>
      </x:c>
      <x:c r="M3603" s="0" t="s">
        <x:v>21</x:v>
      </x:c>
      <x:c r="N3603" s="0" t="s">
        <x:v>46</x:v>
      </x:c>
    </x:row>
    <x:row r="3604" spans="1:16">
      <x:c r="A3604" s="0" t="s">
        <x:v>14258</x:v>
      </x:c>
      <x:c r="B3604" s="0" t="s">
        <x:v>14259</x:v>
      </x:c>
      <x:c r="C3604" s="0" t="s">
        <x:v>14260</x:v>
      </x:c>
      <x:c r="E3604" s="0" t="s">
        <x:v>14261</x:v>
      </x:c>
      <x:c r="F3604" s="0" t="s">
        <x:v>45</x:v>
      </x:c>
      <x:c r="G3604" s="0" t="s">
        <x:v>19</x:v>
      </x:c>
      <x:c r="H3604" s="0" t="s">
        <x:v>20</x:v>
      </x:c>
      <x:c r="I3604" s="0" t="s">
        <x:v>21</x:v>
      </x:c>
      <x:c r="K3604" s="0">
        <x:f>hyperlink("https://icd.who.int/dev11/l-ichi/en#/http%3A%2F%2Fid.who.int%2Ficd%2Fentity%2F1598771773","browser")</x:f>
      </x:c>
      <x:c r="L3604" s="0">
        <x:f>hyperlink("https://icat2.azurewebsites.net/icat/?ontology=ICD&amp;tab=ClassesTab&amp;id=http%3A%2F%2Fwho.int%2Ficd%2317475_512ebf36_bf6b_4d70_85da_cf2637062af4","iCat")</x:f>
      </x:c>
      <x:c r="M3604" s="0" t="s">
        <x:v>21</x:v>
      </x:c>
      <x:c r="N3604" s="0" t="s">
        <x:v>46</x:v>
      </x:c>
    </x:row>
    <x:row r="3605" spans="1:16">
      <x:c r="A3605" s="0" t="s">
        <x:v>14262</x:v>
      </x:c>
      <x:c r="B3605" s="0" t="s">
        <x:v>14263</x:v>
      </x:c>
      <x:c r="C3605" s="0" t="s">
        <x:v>14264</x:v>
      </x:c>
      <x:c r="E3605" s="0" t="s">
        <x:v>14265</x:v>
      </x:c>
      <x:c r="F3605" s="0" t="s">
        <x:v>45</x:v>
      </x:c>
      <x:c r="G3605" s="0" t="s">
        <x:v>19</x:v>
      </x:c>
      <x:c r="H3605" s="0" t="s">
        <x:v>20</x:v>
      </x:c>
      <x:c r="I3605" s="0" t="s">
        <x:v>21</x:v>
      </x:c>
      <x:c r="K3605" s="0">
        <x:f>hyperlink("https://icd.who.int/dev11/l-ichi/en#/http%3A%2F%2Fid.who.int%2Ficd%2Fentity%2F3060590","browser")</x:f>
      </x:c>
      <x:c r="L3605" s="0">
        <x:f>hyperlink("https://icat2.azurewebsites.net/icat/?ontology=ICD&amp;tab=ClassesTab&amp;id=http%3A%2F%2Fwho.int%2Ficd%2317482_512ebf36_bf6b_4d70_85da_cf2637062af4","iCat")</x:f>
      </x:c>
      <x:c r="M3605" s="0" t="s">
        <x:v>21</x:v>
      </x:c>
      <x:c r="N3605" s="0" t="s">
        <x:v>46</x:v>
      </x:c>
    </x:row>
    <x:row r="3606" spans="1:16">
      <x:c r="A3606" s="0" t="s">
        <x:v>14266</x:v>
      </x:c>
      <x:c r="B3606" s="0" t="s">
        <x:v>14267</x:v>
      </x:c>
      <x:c r="C3606" s="0" t="s">
        <x:v>14268</x:v>
      </x:c>
      <x:c r="E3606" s="0" t="s">
        <x:v>14269</x:v>
      </x:c>
      <x:c r="F3606" s="0" t="s">
        <x:v>45</x:v>
      </x:c>
      <x:c r="G3606" s="0" t="s">
        <x:v>19</x:v>
      </x:c>
      <x:c r="H3606" s="0" t="s">
        <x:v>20</x:v>
      </x:c>
      <x:c r="I3606" s="0" t="s">
        <x:v>21</x:v>
      </x:c>
      <x:c r="K3606" s="0">
        <x:f>hyperlink("https://icd.who.int/dev11/l-ichi/en#/http%3A%2F%2Fid.who.int%2Ficd%2Fentity%2F735305726","browser")</x:f>
      </x:c>
      <x:c r="L3606" s="0">
        <x:f>hyperlink("https://icat2.azurewebsites.net/icat/?ontology=ICD&amp;tab=ClassesTab&amp;id=http%3A%2F%2Fwho.int%2Ficd%2317488_512ebf36_bf6b_4d70_85da_cf2637062af4","iCat")</x:f>
      </x:c>
      <x:c r="M3606" s="0" t="s">
        <x:v>21</x:v>
      </x:c>
      <x:c r="N3606" s="0" t="s">
        <x:v>46</x:v>
      </x:c>
    </x:row>
    <x:row r="3607" spans="1:16">
      <x:c r="A3607" s="0" t="s">
        <x:v>14270</x:v>
      </x:c>
      <x:c r="B3607" s="0" t="s">
        <x:v>14271</x:v>
      </x:c>
      <x:c r="C3607" s="0" t="s">
        <x:v>14272</x:v>
      </x:c>
      <x:c r="E3607" s="0" t="s">
        <x:v>14273</x:v>
      </x:c>
      <x:c r="F3607" s="0" t="s">
        <x:v>45</x:v>
      </x:c>
      <x:c r="G3607" s="0" t="s">
        <x:v>19</x:v>
      </x:c>
      <x:c r="H3607" s="0" t="s">
        <x:v>20</x:v>
      </x:c>
      <x:c r="I3607" s="0" t="s">
        <x:v>21</x:v>
      </x:c>
      <x:c r="K3607" s="0">
        <x:f>hyperlink("https://icd.who.int/dev11/l-ichi/en#/http%3A%2F%2Fid.who.int%2Ficd%2Fentity%2F1664153051","browser")</x:f>
      </x:c>
      <x:c r="L3607" s="0">
        <x:f>hyperlink("https://icat2.azurewebsites.net/icat/?ontology=ICD&amp;tab=ClassesTab&amp;id=http%3A%2F%2Fwho.int%2Ficd%23243_145da35b_2606_49b1_9645_9e3aeecd5c47","iCat")</x:f>
      </x:c>
      <x:c r="M3607" s="0" t="s">
        <x:v>21</x:v>
      </x:c>
      <x:c r="N3607" s="0" t="s">
        <x:v>46</x:v>
      </x:c>
    </x:row>
    <x:row r="3608" spans="1:16">
      <x:c r="A3608" s="0" t="s">
        <x:v>14274</x:v>
      </x:c>
      <x:c r="B3608" s="0" t="s">
        <x:v>14275</x:v>
      </x:c>
      <x:c r="C3608" s="0" t="s">
        <x:v>14276</x:v>
      </x:c>
      <x:c r="E3608" s="0" t="s">
        <x:v>14277</x:v>
      </x:c>
      <x:c r="F3608" s="0" t="s">
        <x:v>45</x:v>
      </x:c>
      <x:c r="G3608" s="0" t="s">
        <x:v>19</x:v>
      </x:c>
      <x:c r="H3608" s="0" t="s">
        <x:v>20</x:v>
      </x:c>
      <x:c r="I3608" s="0" t="s">
        <x:v>21</x:v>
      </x:c>
      <x:c r="K3608" s="0">
        <x:f>hyperlink("https://icd.who.int/dev11/l-ichi/en#/http%3A%2F%2Fid.who.int%2Ficd%2Fentity%2F1221433675","browser")</x:f>
      </x:c>
      <x:c r="L3608" s="0">
        <x:f>hyperlink("https://icat2.azurewebsites.net/icat/?ontology=ICD&amp;tab=ClassesTab&amp;id=http%3A%2F%2Fwho.int%2Ficd%23249_145da35b_2606_49b1_9645_9e3aeecd5c47","iCat")</x:f>
      </x:c>
      <x:c r="M3608" s="0" t="s">
        <x:v>21</x:v>
      </x:c>
      <x:c r="N3608" s="0" t="s">
        <x:v>46</x:v>
      </x:c>
    </x:row>
    <x:row r="3609" spans="1:16">
      <x:c r="A3609" s="0" t="s">
        <x:v>14278</x:v>
      </x:c>
      <x:c r="B3609" s="0" t="s">
        <x:v>14279</x:v>
      </x:c>
      <x:c r="C3609" s="0" t="s">
        <x:v>14280</x:v>
      </x:c>
      <x:c r="E3609" s="0" t="s">
        <x:v>14281</x:v>
      </x:c>
      <x:c r="F3609" s="0" t="s">
        <x:v>45</x:v>
      </x:c>
      <x:c r="G3609" s="0" t="s">
        <x:v>19</x:v>
      </x:c>
      <x:c r="H3609" s="0" t="s">
        <x:v>20</x:v>
      </x:c>
      <x:c r="I3609" s="0" t="s">
        <x:v>21</x:v>
      </x:c>
      <x:c r="K3609" s="0">
        <x:f>hyperlink("https://icd.who.int/dev11/l-ichi/en#/http%3A%2F%2Fid.who.int%2Ficd%2Fentity%2F982581130","browser")</x:f>
      </x:c>
      <x:c r="L3609" s="0">
        <x:f>hyperlink("https://icat2.azurewebsites.net/icat/?ontology=ICD&amp;tab=ClassesTab&amp;id=http%3A%2F%2Fwho.int%2Ficd%2317494_512ebf36_bf6b_4d70_85da_cf2637062af4","iCat")</x:f>
      </x:c>
      <x:c r="M3609" s="0" t="s">
        <x:v>21</x:v>
      </x:c>
      <x:c r="N3609" s="0" t="s">
        <x:v>46</x:v>
      </x:c>
    </x:row>
    <x:row r="3610" spans="1:16">
      <x:c r="A3610" s="0" t="s">
        <x:v>14282</x:v>
      </x:c>
      <x:c r="B3610" s="0" t="s">
        <x:v>14283</x:v>
      </x:c>
      <x:c r="C3610" s="0" t="s">
        <x:v>14284</x:v>
      </x:c>
      <x:c r="E3610" s="0" t="s">
        <x:v>14285</x:v>
      </x:c>
      <x:c r="F3610" s="0" t="s">
        <x:v>45</x:v>
      </x:c>
      <x:c r="G3610" s="0" t="s">
        <x:v>19</x:v>
      </x:c>
      <x:c r="H3610" s="0" t="s">
        <x:v>20</x:v>
      </x:c>
      <x:c r="I3610" s="0" t="s">
        <x:v>21</x:v>
      </x:c>
      <x:c r="K3610" s="0">
        <x:f>hyperlink("https://icd.who.int/dev11/l-ichi/en#/http%3A%2F%2Fid.who.int%2Ficd%2Fentity%2F1334900363","browser")</x:f>
      </x:c>
      <x:c r="L3610" s="0">
        <x:f>hyperlink("https://icat2.azurewebsites.net/icat/?ontology=ICD&amp;tab=ClassesTab&amp;id=http%3A%2F%2Fwho.int%2Ficd%23139_d85a204c_d00a_4566_a3b7_2d137a1891cf","iCat")</x:f>
      </x:c>
      <x:c r="M3610" s="0" t="s">
        <x:v>21</x:v>
      </x:c>
      <x:c r="N3610" s="0" t="s">
        <x:v>46</x:v>
      </x:c>
    </x:row>
    <x:row r="3611" spans="1:16">
      <x:c r="A3611" s="0" t="s">
        <x:v>14286</x:v>
      </x:c>
      <x:c r="B3611" s="0" t="s">
        <x:v>14287</x:v>
      </x:c>
      <x:c r="C3611" s="0" t="s">
        <x:v>14288</x:v>
      </x:c>
      <x:c r="E3611" s="0" t="s">
        <x:v>14289</x:v>
      </x:c>
      <x:c r="F3611" s="0" t="s">
        <x:v>45</x:v>
      </x:c>
      <x:c r="G3611" s="0" t="s">
        <x:v>19</x:v>
      </x:c>
      <x:c r="H3611" s="0" t="s">
        <x:v>20</x:v>
      </x:c>
      <x:c r="I3611" s="0" t="s">
        <x:v>21</x:v>
      </x:c>
      <x:c r="K3611" s="0">
        <x:f>hyperlink("https://icd.who.int/dev11/l-ichi/en#/http%3A%2F%2Fid.who.int%2Ficd%2Fentity%2F788874190","browser")</x:f>
      </x:c>
      <x:c r="L3611" s="0">
        <x:f>hyperlink("https://icat2.azurewebsites.net/icat/?ontology=ICD&amp;tab=ClassesTab&amp;id=http%3A%2F%2Fwho.int%2Ficd%2317501_512ebf36_bf6b_4d70_85da_cf2637062af4","iCat")</x:f>
      </x:c>
      <x:c r="M3611" s="0" t="s">
        <x:v>21</x:v>
      </x:c>
      <x:c r="N3611" s="0" t="s">
        <x:v>46</x:v>
      </x:c>
    </x:row>
    <x:row r="3612" spans="1:16">
      <x:c r="A3612" s="0" t="s">
        <x:v>14290</x:v>
      </x:c>
      <x:c r="B3612" s="0" t="s">
        <x:v>14291</x:v>
      </x:c>
      <x:c r="C3612" s="0" t="s">
        <x:v>14292</x:v>
      </x:c>
      <x:c r="E3612" s="0" t="s">
        <x:v>14293</x:v>
      </x:c>
      <x:c r="F3612" s="0" t="s">
        <x:v>45</x:v>
      </x:c>
      <x:c r="G3612" s="0" t="s">
        <x:v>19</x:v>
      </x:c>
      <x:c r="H3612" s="0" t="s">
        <x:v>20</x:v>
      </x:c>
      <x:c r="I3612" s="0" t="s">
        <x:v>21</x:v>
      </x:c>
      <x:c r="K3612" s="0">
        <x:f>hyperlink("https://icd.who.int/dev11/l-ichi/en#/http%3A%2F%2Fid.who.int%2Ficd%2Fentity%2F1098727591","browser")</x:f>
      </x:c>
      <x:c r="L3612" s="0">
        <x:f>hyperlink("https://icat2.azurewebsites.net/icat/?ontology=ICD&amp;tab=ClassesTab&amp;id=http%3A%2F%2Fwho.int%2Ficd%2317508_512ebf36_bf6b_4d70_85da_cf2637062af4","iCat")</x:f>
      </x:c>
      <x:c r="M3612" s="0" t="s">
        <x:v>21</x:v>
      </x:c>
      <x:c r="N3612" s="0" t="s">
        <x:v>46</x:v>
      </x:c>
    </x:row>
    <x:row r="3613" spans="1:16">
      <x:c r="A3613" s="0" t="s">
        <x:v>14294</x:v>
      </x:c>
      <x:c r="B3613" s="0" t="s">
        <x:v>14295</x:v>
      </x:c>
      <x:c r="C3613" s="0" t="s">
        <x:v>14296</x:v>
      </x:c>
      <x:c r="E3613" s="0" t="s">
        <x:v>14297</x:v>
      </x:c>
      <x:c r="F3613" s="0" t="s">
        <x:v>45</x:v>
      </x:c>
      <x:c r="G3613" s="0" t="s">
        <x:v>19</x:v>
      </x:c>
      <x:c r="H3613" s="0" t="s">
        <x:v>20</x:v>
      </x:c>
      <x:c r="I3613" s="0" t="s">
        <x:v>21</x:v>
      </x:c>
      <x:c r="K3613" s="0">
        <x:f>hyperlink("https://icd.who.int/dev11/l-ichi/en#/http%3A%2F%2Fid.who.int%2Ficd%2Fentity%2F1346265297","browser")</x:f>
      </x:c>
      <x:c r="L3613" s="0">
        <x:f>hyperlink("https://icat2.azurewebsites.net/icat/?ontology=ICD&amp;tab=ClassesTab&amp;id=http%3A%2F%2Fwho.int%2Ficd%2317514_512ebf36_bf6b_4d70_85da_cf2637062af4","iCat")</x:f>
      </x:c>
      <x:c r="M3613" s="0" t="s">
        <x:v>21</x:v>
      </x:c>
      <x:c r="N3613" s="0" t="s">
        <x:v>46</x:v>
      </x:c>
    </x:row>
    <x:row r="3614" spans="1:16">
      <x:c r="A3614" s="0" t="s">
        <x:v>14298</x:v>
      </x:c>
      <x:c r="B3614" s="0" t="s">
        <x:v>14299</x:v>
      </x:c>
      <x:c r="C3614" s="0" t="s">
        <x:v>14300</x:v>
      </x:c>
      <x:c r="E3614" s="0" t="s">
        <x:v>14301</x:v>
      </x:c>
      <x:c r="F3614" s="0" t="s">
        <x:v>45</x:v>
      </x:c>
      <x:c r="G3614" s="0" t="s">
        <x:v>19</x:v>
      </x:c>
      <x:c r="H3614" s="0" t="s">
        <x:v>20</x:v>
      </x:c>
      <x:c r="I3614" s="0" t="s">
        <x:v>21</x:v>
      </x:c>
      <x:c r="K3614" s="0">
        <x:f>hyperlink("https://icd.who.int/dev11/l-ichi/en#/http%3A%2F%2Fid.who.int%2Ficd%2Fentity%2F629728418","browser")</x:f>
      </x:c>
      <x:c r="L3614" s="0">
        <x:f>hyperlink("https://icat2.azurewebsites.net/icat/?ontology=ICD&amp;tab=ClassesTab&amp;id=http%3A%2F%2Fwho.int%2Ficd%2317520_512ebf36_bf6b_4d70_85da_cf2637062af4","iCat")</x:f>
      </x:c>
      <x:c r="M3614" s="0" t="s">
        <x:v>21</x:v>
      </x:c>
      <x:c r="N3614" s="0" t="s">
        <x:v>46</x:v>
      </x:c>
    </x:row>
    <x:row r="3615" spans="1:16">
      <x:c r="A3615" s="0" t="s">
        <x:v>14302</x:v>
      </x:c>
      <x:c r="B3615" s="0" t="s">
        <x:v>14303</x:v>
      </x:c>
      <x:c r="C3615" s="0" t="s">
        <x:v>14304</x:v>
      </x:c>
      <x:c r="E3615" s="0" t="s">
        <x:v>14305</x:v>
      </x:c>
      <x:c r="F3615" s="0" t="s">
        <x:v>45</x:v>
      </x:c>
      <x:c r="G3615" s="0" t="s">
        <x:v>19</x:v>
      </x:c>
      <x:c r="H3615" s="0" t="s">
        <x:v>20</x:v>
      </x:c>
      <x:c r="I3615" s="0" t="s">
        <x:v>21</x:v>
      </x:c>
      <x:c r="K3615" s="0">
        <x:f>hyperlink("https://icd.who.int/dev11/l-ichi/en#/http%3A%2F%2Fid.who.int%2Ficd%2Fentity%2F1795790327","browser")</x:f>
      </x:c>
      <x:c r="L3615" s="0">
        <x:f>hyperlink("https://icat2.azurewebsites.net/icat/?ontology=ICD&amp;tab=ClassesTab&amp;id=http%3A%2F%2Fwho.int%2Ficd%2317528_512ebf36_bf6b_4d70_85da_cf2637062af4","iCat")</x:f>
      </x:c>
      <x:c r="M3615" s="0" t="s">
        <x:v>21</x:v>
      </x:c>
      <x:c r="N3615" s="0" t="s">
        <x:v>46</x:v>
      </x:c>
    </x:row>
    <x:row r="3616" spans="1:16">
      <x:c r="A3616" s="0" t="s">
        <x:v>14306</x:v>
      </x:c>
      <x:c r="B3616" s="0" t="s">
        <x:v>14307</x:v>
      </x:c>
      <x:c r="C3616" s="0" t="s">
        <x:v>14308</x:v>
      </x:c>
      <x:c r="E3616" s="0" t="s">
        <x:v>14309</x:v>
      </x:c>
      <x:c r="F3616" s="0" t="s">
        <x:v>45</x:v>
      </x:c>
      <x:c r="G3616" s="0" t="s">
        <x:v>19</x:v>
      </x:c>
      <x:c r="H3616" s="0" t="s">
        <x:v>20</x:v>
      </x:c>
      <x:c r="I3616" s="0" t="s">
        <x:v>21</x:v>
      </x:c>
      <x:c r="K3616" s="0">
        <x:f>hyperlink("https://icd.who.int/dev11/l-ichi/en#/http%3A%2F%2Fid.who.int%2Ficd%2Fentity%2F1521731517","browser")</x:f>
      </x:c>
      <x:c r="L3616" s="0">
        <x:f>hyperlink("https://icat2.azurewebsites.net/icat/?ontology=ICD&amp;tab=ClassesTab&amp;id=http%3A%2F%2Fwho.int%2Ficd%2317535_512ebf36_bf6b_4d70_85da_cf2637062af4","iCat")</x:f>
      </x:c>
      <x:c r="M3616" s="0" t="s">
        <x:v>21</x:v>
      </x:c>
      <x:c r="N3616" s="0" t="s">
        <x:v>46</x:v>
      </x:c>
    </x:row>
    <x:row r="3617" spans="1:16">
      <x:c r="A3617" s="0" t="s">
        <x:v>14310</x:v>
      </x:c>
      <x:c r="B3617" s="0" t="s">
        <x:v>14311</x:v>
      </x:c>
      <x:c r="C3617" s="0" t="s">
        <x:v>14312</x:v>
      </x:c>
      <x:c r="E3617" s="0" t="s">
        <x:v>14313</x:v>
      </x:c>
      <x:c r="F3617" s="0" t="s">
        <x:v>45</x:v>
      </x:c>
      <x:c r="G3617" s="0" t="s">
        <x:v>19</x:v>
      </x:c>
      <x:c r="H3617" s="0" t="s">
        <x:v>20</x:v>
      </x:c>
      <x:c r="I3617" s="0" t="s">
        <x:v>21</x:v>
      </x:c>
      <x:c r="K3617" s="0">
        <x:f>hyperlink("https://icd.who.int/dev11/l-ichi/en#/http%3A%2F%2Fid.who.int%2Ficd%2Fentity%2F809403430","browser")</x:f>
      </x:c>
      <x:c r="L3617" s="0">
        <x:f>hyperlink("https://icat2.azurewebsites.net/icat/?ontology=ICD&amp;tab=ClassesTab&amp;id=http%3A%2F%2Fwho.int%2Ficd%2316156_4869915e_217e_423d_acb3_33c0f920ef4b","iCat")</x:f>
      </x:c>
      <x:c r="M3617" s="0" t="s">
        <x:v>21</x:v>
      </x:c>
      <x:c r="N3617" s="0" t="s">
        <x:v>46</x:v>
      </x:c>
    </x:row>
    <x:row r="3618" spans="1:16">
      <x:c r="A3618" s="0" t="s">
        <x:v>14314</x:v>
      </x:c>
      <x:c r="B3618" s="0" t="s">
        <x:v>14315</x:v>
      </x:c>
      <x:c r="C3618" s="0" t="s">
        <x:v>14316</x:v>
      </x:c>
      <x:c r="E3618" s="0" t="s">
        <x:v>14317</x:v>
      </x:c>
      <x:c r="F3618" s="0" t="s">
        <x:v>45</x:v>
      </x:c>
      <x:c r="G3618" s="0" t="s">
        <x:v>19</x:v>
      </x:c>
      <x:c r="H3618" s="0" t="s">
        <x:v>20</x:v>
      </x:c>
      <x:c r="I3618" s="0" t="s">
        <x:v>21</x:v>
      </x:c>
      <x:c r="K3618" s="0">
        <x:f>hyperlink("https://icd.who.int/dev11/l-ichi/en#/http%3A%2F%2Fid.who.int%2Ficd%2Fentity%2F1165018786","browser")</x:f>
      </x:c>
      <x:c r="L3618" s="0">
        <x:f>hyperlink("https://icat2.azurewebsites.net/icat/?ontology=ICD&amp;tab=ClassesTab&amp;id=http%3A%2F%2Fwho.int%2Ficd%2318352_7353cc8f_16bd_4231_887a_95ea54e27297","iCat")</x:f>
      </x:c>
      <x:c r="M3618" s="0" t="s">
        <x:v>21</x:v>
      </x:c>
      <x:c r="N3618" s="0" t="s">
        <x:v>46</x:v>
      </x:c>
    </x:row>
    <x:row r="3619" spans="1:16">
      <x:c r="A3619" s="0" t="s">
        <x:v>14318</x:v>
      </x:c>
      <x:c r="B3619" s="0" t="s">
        <x:v>14319</x:v>
      </x:c>
      <x:c r="C3619" s="0" t="s">
        <x:v>14320</x:v>
      </x:c>
      <x:c r="E3619" s="0" t="s">
        <x:v>14321</x:v>
      </x:c>
      <x:c r="F3619" s="0" t="s">
        <x:v>45</x:v>
      </x:c>
      <x:c r="G3619" s="0" t="s">
        <x:v>19</x:v>
      </x:c>
      <x:c r="H3619" s="0" t="s">
        <x:v>20</x:v>
      </x:c>
      <x:c r="I3619" s="0" t="s">
        <x:v>21</x:v>
      </x:c>
      <x:c r="K3619" s="0">
        <x:f>hyperlink("https://icd.who.int/dev11/l-ichi/en#/http%3A%2F%2Fid.who.int%2Ficd%2Fentity%2F1251780251","browser")</x:f>
      </x:c>
      <x:c r="L3619" s="0">
        <x:f>hyperlink("https://icat2.azurewebsites.net/icat/?ontology=ICD&amp;tab=ClassesTab&amp;id=http%3A%2F%2Fwho.int%2Ficd%2317544_512ebf36_bf6b_4d70_85da_cf2637062af4","iCat")</x:f>
      </x:c>
      <x:c r="M3619" s="0" t="s">
        <x:v>21</x:v>
      </x:c>
      <x:c r="N3619" s="0" t="s">
        <x:v>46</x:v>
      </x:c>
    </x:row>
    <x:row r="3620" spans="1:16">
      <x:c r="A3620" s="0" t="s">
        <x:v>14322</x:v>
      </x:c>
      <x:c r="B3620" s="0" t="s">
        <x:v>14323</x:v>
      </x:c>
      <x:c r="C3620" s="0" t="s">
        <x:v>14324</x:v>
      </x:c>
      <x:c r="E3620" s="0" t="s">
        <x:v>14325</x:v>
      </x:c>
      <x:c r="F3620" s="0" t="s">
        <x:v>45</x:v>
      </x:c>
      <x:c r="G3620" s="0" t="s">
        <x:v>19</x:v>
      </x:c>
      <x:c r="H3620" s="0" t="s">
        <x:v>20</x:v>
      </x:c>
      <x:c r="I3620" s="0" t="s">
        <x:v>21</x:v>
      </x:c>
      <x:c r="K3620" s="0">
        <x:f>hyperlink("https://icd.who.int/dev11/l-ichi/en#/http%3A%2F%2Fid.who.int%2Ficd%2Fentity%2F1881336445","browser")</x:f>
      </x:c>
      <x:c r="L3620" s="0">
        <x:f>hyperlink("https://icat2.azurewebsites.net/icat/?ontology=ICD&amp;tab=ClassesTab&amp;id=http%3A%2F%2Fwho.int%2Ficd%2317552_512ebf36_bf6b_4d70_85da_cf2637062af4","iCat")</x:f>
      </x:c>
      <x:c r="M3620" s="0" t="s">
        <x:v>21</x:v>
      </x:c>
      <x:c r="N3620" s="0" t="s">
        <x:v>46</x:v>
      </x:c>
    </x:row>
    <x:row r="3621" spans="1:16">
      <x:c r="A3621" s="0" t="s">
        <x:v>14326</x:v>
      </x:c>
      <x:c r="B3621" s="0" t="s">
        <x:v>14327</x:v>
      </x:c>
      <x:c r="C3621" s="0" t="s">
        <x:v>14328</x:v>
      </x:c>
      <x:c r="E3621" s="0" t="s">
        <x:v>14329</x:v>
      </x:c>
      <x:c r="F3621" s="0" t="s">
        <x:v>45</x:v>
      </x:c>
      <x:c r="G3621" s="0" t="s">
        <x:v>19</x:v>
      </x:c>
      <x:c r="H3621" s="0" t="s">
        <x:v>20</x:v>
      </x:c>
      <x:c r="I3621" s="0" t="s">
        <x:v>21</x:v>
      </x:c>
      <x:c r="K3621" s="0">
        <x:f>hyperlink("https://icd.who.int/dev11/l-ichi/en#/http%3A%2F%2Fid.who.int%2Ficd%2Fentity%2F814983802","browser")</x:f>
      </x:c>
      <x:c r="L3621" s="0">
        <x:f>hyperlink("https://icat2.azurewebsites.net/icat/?ontology=ICD&amp;tab=ClassesTab&amp;id=http%3A%2F%2Fwho.int%2Ficd%2317562_512ebf36_bf6b_4d70_85da_cf2637062af4","iCat")</x:f>
      </x:c>
      <x:c r="M3621" s="0" t="s">
        <x:v>21</x:v>
      </x:c>
      <x:c r="N3621" s="0" t="s">
        <x:v>46</x:v>
      </x:c>
    </x:row>
    <x:row r="3622" spans="1:16">
      <x:c r="A3622" s="0" t="s">
        <x:v>14330</x:v>
      </x:c>
      <x:c r="B3622" s="0" t="s">
        <x:v>14331</x:v>
      </x:c>
      <x:c r="C3622" s="0" t="s">
        <x:v>14332</x:v>
      </x:c>
      <x:c r="E3622" s="0" t="s">
        <x:v>14333</x:v>
      </x:c>
      <x:c r="F3622" s="0" t="s">
        <x:v>45</x:v>
      </x:c>
      <x:c r="G3622" s="0" t="s">
        <x:v>19</x:v>
      </x:c>
      <x:c r="H3622" s="0" t="s">
        <x:v>20</x:v>
      </x:c>
      <x:c r="I3622" s="0" t="s">
        <x:v>21</x:v>
      </x:c>
      <x:c r="K3622" s="0">
        <x:f>hyperlink("https://icd.who.int/dev11/l-ichi/en#/http%3A%2F%2Fid.who.int%2Ficd%2Fentity%2F460244714","browser")</x:f>
      </x:c>
      <x:c r="L3622" s="0">
        <x:f>hyperlink("https://icat2.azurewebsites.net/icat/?ontology=ICD&amp;tab=ClassesTab&amp;id=http%3A%2F%2Fwho.int%2Ficd%2317568_512ebf36_bf6b_4d70_85da_cf2637062af4","iCat")</x:f>
      </x:c>
      <x:c r="M3622" s="0" t="s">
        <x:v>21</x:v>
      </x:c>
      <x:c r="N3622" s="0" t="s">
        <x:v>46</x:v>
      </x:c>
    </x:row>
    <x:row r="3623" spans="1:16">
      <x:c r="A3623" s="0" t="s">
        <x:v>14334</x:v>
      </x:c>
      <x:c r="B3623" s="0" t="s">
        <x:v>14335</x:v>
      </x:c>
      <x:c r="C3623" s="0" t="s">
        <x:v>14336</x:v>
      </x:c>
      <x:c r="E3623" s="0" t="s">
        <x:v>14337</x:v>
      </x:c>
      <x:c r="F3623" s="0" t="s">
        <x:v>45</x:v>
      </x:c>
      <x:c r="G3623" s="0" t="s">
        <x:v>19</x:v>
      </x:c>
      <x:c r="H3623" s="0" t="s">
        <x:v>20</x:v>
      </x:c>
      <x:c r="I3623" s="0" t="s">
        <x:v>21</x:v>
      </x:c>
      <x:c r="K3623" s="0">
        <x:f>hyperlink("https://icd.who.int/dev11/l-ichi/en#/http%3A%2F%2Fid.who.int%2Ficd%2Fentity%2F718574752","browser")</x:f>
      </x:c>
      <x:c r="L3623" s="0">
        <x:f>hyperlink("https://icat2.azurewebsites.net/icat/?ontology=ICD&amp;tab=ClassesTab&amp;id=http%3A%2F%2Fwho.int%2Ficd%2317575_512ebf36_bf6b_4d70_85da_cf2637062af4","iCat")</x:f>
      </x:c>
      <x:c r="M3623" s="0" t="s">
        <x:v>21</x:v>
      </x:c>
      <x:c r="N3623" s="0" t="s">
        <x:v>46</x:v>
      </x:c>
    </x:row>
    <x:row r="3624" spans="1:16">
      <x:c r="A3624" s="0" t="s">
        <x:v>14338</x:v>
      </x:c>
      <x:c r="B3624" s="0" t="s">
        <x:v>14339</x:v>
      </x:c>
      <x:c r="C3624" s="0" t="s">
        <x:v>14340</x:v>
      </x:c>
      <x:c r="E3624" s="0" t="s">
        <x:v>14341</x:v>
      </x:c>
      <x:c r="F3624" s="0" t="s">
        <x:v>45</x:v>
      </x:c>
      <x:c r="G3624" s="0" t="s">
        <x:v>19</x:v>
      </x:c>
      <x:c r="H3624" s="0" t="s">
        <x:v>20</x:v>
      </x:c>
      <x:c r="I3624" s="0" t="s">
        <x:v>21</x:v>
      </x:c>
      <x:c r="K3624" s="0">
        <x:f>hyperlink("https://icd.who.int/dev11/l-ichi/en#/http%3A%2F%2Fid.who.int%2Ficd%2Fentity%2F87285374","browser")</x:f>
      </x:c>
      <x:c r="L3624" s="0">
        <x:f>hyperlink("https://icat2.azurewebsites.net/icat/?ontology=ICD&amp;tab=ClassesTab&amp;id=http%3A%2F%2Fwho.int%2Ficd%2317585_512ebf36_bf6b_4d70_85da_cf2637062af4","iCat")</x:f>
      </x:c>
      <x:c r="M3624" s="0" t="s">
        <x:v>21</x:v>
      </x:c>
      <x:c r="N3624" s="0" t="s">
        <x:v>46</x:v>
      </x:c>
    </x:row>
    <x:row r="3625" spans="1:16">
      <x:c r="A3625" s="0" t="s">
        <x:v>14342</x:v>
      </x:c>
      <x:c r="B3625" s="0" t="s">
        <x:v>14343</x:v>
      </x:c>
      <x:c r="C3625" s="0" t="s">
        <x:v>14344</x:v>
      </x:c>
      <x:c r="E3625" s="0" t="s">
        <x:v>14345</x:v>
      </x:c>
      <x:c r="F3625" s="0" t="s">
        <x:v>45</x:v>
      </x:c>
      <x:c r="G3625" s="0" t="s">
        <x:v>19</x:v>
      </x:c>
      <x:c r="H3625" s="0" t="s">
        <x:v>20</x:v>
      </x:c>
      <x:c r="I3625" s="0" t="s">
        <x:v>21</x:v>
      </x:c>
      <x:c r="K3625" s="0">
        <x:f>hyperlink("https://icd.who.int/dev11/l-ichi/en#/http%3A%2F%2Fid.who.int%2Ficd%2Fentity%2F527753380","browser")</x:f>
      </x:c>
      <x:c r="L3625" s="0">
        <x:f>hyperlink("https://icat2.azurewebsites.net/icat/?ontology=ICD&amp;tab=ClassesTab&amp;id=http%3A%2F%2Fwho.int%2Ficd%2317592_512ebf36_bf6b_4d70_85da_cf2637062af4","iCat")</x:f>
      </x:c>
      <x:c r="M3625" s="0" t="s">
        <x:v>21</x:v>
      </x:c>
      <x:c r="N3625" s="0" t="s">
        <x:v>46</x:v>
      </x:c>
    </x:row>
    <x:row r="3626" spans="1:16">
      <x:c r="A3626" s="0" t="s">
        <x:v>14346</x:v>
      </x:c>
      <x:c r="B3626" s="0" t="s">
        <x:v>14347</x:v>
      </x:c>
      <x:c r="C3626" s="0" t="s">
        <x:v>14348</x:v>
      </x:c>
      <x:c r="E3626" s="0" t="s">
        <x:v>14349</x:v>
      </x:c>
      <x:c r="F3626" s="0" t="s">
        <x:v>45</x:v>
      </x:c>
      <x:c r="G3626" s="0" t="s">
        <x:v>19</x:v>
      </x:c>
      <x:c r="H3626" s="0" t="s">
        <x:v>20</x:v>
      </x:c>
      <x:c r="I3626" s="0" t="s">
        <x:v>21</x:v>
      </x:c>
      <x:c r="K3626" s="0">
        <x:f>hyperlink("https://icd.who.int/dev11/l-ichi/en#/http%3A%2F%2Fid.who.int%2Ficd%2Fentity%2F881429556","browser")</x:f>
      </x:c>
      <x:c r="L3626" s="0">
        <x:f>hyperlink("https://icat2.azurewebsites.net/icat/?ontology=ICD&amp;tab=ClassesTab&amp;id=http%3A%2F%2Fwho.int%2Ficd%2317598_512ebf36_bf6b_4d70_85da_cf2637062af4","iCat")</x:f>
      </x:c>
      <x:c r="M3626" s="0" t="s">
        <x:v>21</x:v>
      </x:c>
      <x:c r="N3626" s="0" t="s">
        <x:v>46</x:v>
      </x:c>
    </x:row>
    <x:row r="3627" spans="1:16">
      <x:c r="A3627" s="0" t="s">
        <x:v>14350</x:v>
      </x:c>
      <x:c r="B3627" s="0" t="s">
        <x:v>14351</x:v>
      </x:c>
      <x:c r="C3627" s="0" t="s">
        <x:v>14352</x:v>
      </x:c>
      <x:c r="E3627" s="0" t="s">
        <x:v>14353</x:v>
      </x:c>
      <x:c r="F3627" s="0" t="s">
        <x:v>45</x:v>
      </x:c>
      <x:c r="G3627" s="0" t="s">
        <x:v>19</x:v>
      </x:c>
      <x:c r="H3627" s="0" t="s">
        <x:v>20</x:v>
      </x:c>
      <x:c r="I3627" s="0" t="s">
        <x:v>21</x:v>
      </x:c>
      <x:c r="K3627" s="0">
        <x:f>hyperlink("https://icd.who.int/dev11/l-ichi/en#/http%3A%2F%2Fid.who.int%2Ficd%2Fentity%2F1054366748","browser")</x:f>
      </x:c>
      <x:c r="L3627" s="0">
        <x:f>hyperlink("https://icat2.azurewebsites.net/icat/?ontology=ICD&amp;tab=ClassesTab&amp;id=http%3A%2F%2Fwho.int%2Ficd%2317606_512ebf36_bf6b_4d70_85da_cf2637062af4","iCat")</x:f>
      </x:c>
      <x:c r="M3627" s="0" t="s">
        <x:v>21</x:v>
      </x:c>
      <x:c r="N3627" s="0" t="s">
        <x:v>46</x:v>
      </x:c>
    </x:row>
    <x:row r="3628" spans="1:16">
      <x:c r="A3628" s="0" t="s">
        <x:v>14354</x:v>
      </x:c>
      <x:c r="B3628" s="0" t="s">
        <x:v>14355</x:v>
      </x:c>
      <x:c r="C3628" s="0" t="s">
        <x:v>14356</x:v>
      </x:c>
      <x:c r="E3628" s="0" t="s">
        <x:v>14357</x:v>
      </x:c>
      <x:c r="F3628" s="0" t="s">
        <x:v>45</x:v>
      </x:c>
      <x:c r="G3628" s="0" t="s">
        <x:v>19</x:v>
      </x:c>
      <x:c r="H3628" s="0" t="s">
        <x:v>20</x:v>
      </x:c>
      <x:c r="I3628" s="0" t="s">
        <x:v>21</x:v>
      </x:c>
      <x:c r="K3628" s="0">
        <x:f>hyperlink("https://icd.who.int/dev11/l-ichi/en#/http%3A%2F%2Fid.who.int%2Ficd%2Fentity%2F1961147249","browser")</x:f>
      </x:c>
      <x:c r="L3628" s="0">
        <x:f>hyperlink("https://icat2.azurewebsites.net/icat/?ontology=ICD&amp;tab=ClassesTab&amp;id=http%3A%2F%2Fwho.int%2Ficd%2317617_512ebf36_bf6b_4d70_85da_cf2637062af4","iCat")</x:f>
      </x:c>
      <x:c r="M3628" s="0" t="s">
        <x:v>21</x:v>
      </x:c>
      <x:c r="N3628" s="0" t="s">
        <x:v>46</x:v>
      </x:c>
    </x:row>
    <x:row r="3629" spans="1:16">
      <x:c r="A3629" s="0" t="s">
        <x:v>14358</x:v>
      </x:c>
      <x:c r="B3629" s="0" t="s">
        <x:v>14359</x:v>
      </x:c>
      <x:c r="C3629" s="0" t="s">
        <x:v>14360</x:v>
      </x:c>
      <x:c r="E3629" s="0" t="s">
        <x:v>14361</x:v>
      </x:c>
      <x:c r="F3629" s="0" t="s">
        <x:v>45</x:v>
      </x:c>
      <x:c r="G3629" s="0" t="s">
        <x:v>19</x:v>
      </x:c>
      <x:c r="H3629" s="0" t="s">
        <x:v>20</x:v>
      </x:c>
      <x:c r="I3629" s="0" t="s">
        <x:v>21</x:v>
      </x:c>
      <x:c r="K3629" s="0">
        <x:f>hyperlink("https://icd.who.int/dev11/l-ichi/en#/http%3A%2F%2Fid.who.int%2Ficd%2Fentity%2F1361700531","browser")</x:f>
      </x:c>
      <x:c r="L3629" s="0">
        <x:f>hyperlink("https://icat2.azurewebsites.net/icat/?ontology=ICD&amp;tab=ClassesTab&amp;id=http%3A%2F%2Fwho.int%2Ficd%2317625_512ebf36_bf6b_4d70_85da_cf2637062af4","iCat")</x:f>
      </x:c>
      <x:c r="M3629" s="0" t="s">
        <x:v>21</x:v>
      </x:c>
      <x:c r="N3629" s="0" t="s">
        <x:v>46</x:v>
      </x:c>
    </x:row>
    <x:row r="3630" spans="1:16">
      <x:c r="A3630" s="0" t="s">
        <x:v>14362</x:v>
      </x:c>
      <x:c r="B3630" s="0" t="s">
        <x:v>14363</x:v>
      </x:c>
      <x:c r="C3630" s="0" t="s">
        <x:v>14364</x:v>
      </x:c>
      <x:c r="E3630" s="0" t="s">
        <x:v>14365</x:v>
      </x:c>
      <x:c r="F3630" s="0" t="s">
        <x:v>45</x:v>
      </x:c>
      <x:c r="G3630" s="0" t="s">
        <x:v>19</x:v>
      </x:c>
      <x:c r="H3630" s="0" t="s">
        <x:v>20</x:v>
      </x:c>
      <x:c r="I3630" s="0" t="s">
        <x:v>21</x:v>
      </x:c>
      <x:c r="K3630" s="0">
        <x:f>hyperlink("https://icd.who.int/dev11/l-ichi/en#/http%3A%2F%2Fid.who.int%2Ficd%2Fentity%2F2120817693","browser")</x:f>
      </x:c>
      <x:c r="L3630" s="0">
        <x:f>hyperlink("https://icat2.azurewebsites.net/icat/?ontology=ICD&amp;tab=ClassesTab&amp;id=http%3A%2F%2Fwho.int%2Ficd%2317636_512ebf36_bf6b_4d70_85da_cf2637062af4","iCat")</x:f>
      </x:c>
      <x:c r="M3630" s="0" t="s">
        <x:v>21</x:v>
      </x:c>
      <x:c r="N3630" s="0" t="s">
        <x:v>46</x:v>
      </x:c>
    </x:row>
    <x:row r="3631" spans="1:16">
      <x:c r="A3631" s="0" t="s">
        <x:v>14366</x:v>
      </x:c>
      <x:c r="B3631" s="0" t="s">
        <x:v>14367</x:v>
      </x:c>
      <x:c r="C3631" s="0" t="s">
        <x:v>14368</x:v>
      </x:c>
      <x:c r="E3631" s="0" t="s">
        <x:v>14369</x:v>
      </x:c>
      <x:c r="F3631" s="0" t="s">
        <x:v>45</x:v>
      </x:c>
      <x:c r="G3631" s="0" t="s">
        <x:v>19</x:v>
      </x:c>
      <x:c r="H3631" s="0" t="s">
        <x:v>20</x:v>
      </x:c>
      <x:c r="I3631" s="0" t="s">
        <x:v>21</x:v>
      </x:c>
      <x:c r="K3631" s="0">
        <x:f>hyperlink("https://icd.who.int/dev11/l-ichi/en#/http%3A%2F%2Fid.who.int%2Ficd%2Fentity%2F2075708275","browser")</x:f>
      </x:c>
      <x:c r="L3631" s="0">
        <x:f>hyperlink("https://icat2.azurewebsites.net/icat/?ontology=ICD&amp;tab=ClassesTab&amp;id=http%3A%2F%2Fwho.int%2Ficd%2317642_512ebf36_bf6b_4d70_85da_cf2637062af4","iCat")</x:f>
      </x:c>
      <x:c r="M3631" s="0" t="s">
        <x:v>21</x:v>
      </x:c>
      <x:c r="N3631" s="0" t="s">
        <x:v>46</x:v>
      </x:c>
    </x:row>
    <x:row r="3632" spans="1:16">
      <x:c r="A3632" s="0" t="s">
        <x:v>14370</x:v>
      </x:c>
      <x:c r="B3632" s="0" t="s">
        <x:v>14371</x:v>
      </x:c>
      <x:c r="C3632" s="0" t="s">
        <x:v>14372</x:v>
      </x:c>
      <x:c r="E3632" s="0" t="s">
        <x:v>14373</x:v>
      </x:c>
      <x:c r="F3632" s="0" t="s">
        <x:v>45</x:v>
      </x:c>
      <x:c r="G3632" s="0" t="s">
        <x:v>19</x:v>
      </x:c>
      <x:c r="H3632" s="0" t="s">
        <x:v>20</x:v>
      </x:c>
      <x:c r="I3632" s="0" t="s">
        <x:v>21</x:v>
      </x:c>
      <x:c r="K3632" s="0">
        <x:f>hyperlink("https://icd.who.int/dev11/l-ichi/en#/http%3A%2F%2Fid.who.int%2Ficd%2Fentity%2F1946239969","browser")</x:f>
      </x:c>
      <x:c r="L3632" s="0">
        <x:f>hyperlink("https://icat2.azurewebsites.net/icat/?ontology=ICD&amp;tab=ClassesTab&amp;id=http%3A%2F%2Fwho.int%2Ficd%2317650_512ebf36_bf6b_4d70_85da_cf2637062af4","iCat")</x:f>
      </x:c>
      <x:c r="M3632" s="0" t="s">
        <x:v>21</x:v>
      </x:c>
      <x:c r="N3632" s="0" t="s">
        <x:v>46</x:v>
      </x:c>
    </x:row>
    <x:row r="3633" spans="1:16">
      <x:c r="A3633" s="0" t="s">
        <x:v>14374</x:v>
      </x:c>
      <x:c r="B3633" s="0" t="s">
        <x:v>14375</x:v>
      </x:c>
      <x:c r="C3633" s="0" t="s">
        <x:v>14376</x:v>
      </x:c>
      <x:c r="E3633" s="0" t="s">
        <x:v>14377</x:v>
      </x:c>
      <x:c r="F3633" s="0" t="s">
        <x:v>45</x:v>
      </x:c>
      <x:c r="G3633" s="0" t="s">
        <x:v>19</x:v>
      </x:c>
      <x:c r="H3633" s="0" t="s">
        <x:v>20</x:v>
      </x:c>
      <x:c r="I3633" s="0" t="s">
        <x:v>21</x:v>
      </x:c>
      <x:c r="K3633" s="0">
        <x:f>hyperlink("https://icd.who.int/dev11/l-ichi/en#/http%3A%2F%2Fid.who.int%2Ficd%2Fentity%2F612014674","browser")</x:f>
      </x:c>
      <x:c r="L3633" s="0">
        <x:f>hyperlink("https://icat2.azurewebsites.net/icat/?ontology=ICD&amp;tab=ClassesTab&amp;id=http%3A%2F%2Fwho.int%2Ficd%2317656_512ebf36_bf6b_4d70_85da_cf2637062af4","iCat")</x:f>
      </x:c>
      <x:c r="M3633" s="0" t="s">
        <x:v>21</x:v>
      </x:c>
      <x:c r="N3633" s="0" t="s">
        <x:v>46</x:v>
      </x:c>
    </x:row>
    <x:row r="3634" spans="1:16">
      <x:c r="A3634" s="0" t="s">
        <x:v>14378</x:v>
      </x:c>
      <x:c r="B3634" s="0" t="s">
        <x:v>14379</x:v>
      </x:c>
      <x:c r="C3634" s="0" t="s">
        <x:v>14380</x:v>
      </x:c>
      <x:c r="E3634" s="0" t="s">
        <x:v>14381</x:v>
      </x:c>
      <x:c r="F3634" s="0" t="s">
        <x:v>45</x:v>
      </x:c>
      <x:c r="G3634" s="0" t="s">
        <x:v>19</x:v>
      </x:c>
      <x:c r="H3634" s="0" t="s">
        <x:v>20</x:v>
      </x:c>
      <x:c r="I3634" s="0" t="s">
        <x:v>21</x:v>
      </x:c>
      <x:c r="K3634" s="0">
        <x:f>hyperlink("https://icd.who.int/dev11/l-ichi/en#/http%3A%2F%2Fid.who.int%2Ficd%2Fentity%2F1899326495","browser")</x:f>
      </x:c>
      <x:c r="L3634" s="0">
        <x:f>hyperlink("https://icat2.azurewebsites.net/icat/?ontology=ICD&amp;tab=ClassesTab&amp;id=http%3A%2F%2Fwho.int%2Ficd%2317663_512ebf36_bf6b_4d70_85da_cf2637062af4","iCat")</x:f>
      </x:c>
      <x:c r="M3634" s="0" t="s">
        <x:v>21</x:v>
      </x:c>
      <x:c r="N3634" s="0" t="s">
        <x:v>46</x:v>
      </x:c>
    </x:row>
    <x:row r="3635" spans="1:16">
      <x:c r="A3635" s="0" t="s">
        <x:v>14382</x:v>
      </x:c>
      <x:c r="B3635" s="0" t="s">
        <x:v>14383</x:v>
      </x:c>
      <x:c r="C3635" s="0" t="s">
        <x:v>14384</x:v>
      </x:c>
      <x:c r="E3635" s="0" t="s">
        <x:v>14385</x:v>
      </x:c>
      <x:c r="F3635" s="0" t="s">
        <x:v>45</x:v>
      </x:c>
      <x:c r="G3635" s="0" t="s">
        <x:v>19</x:v>
      </x:c>
      <x:c r="H3635" s="0" t="s">
        <x:v>20</x:v>
      </x:c>
      <x:c r="I3635" s="0" t="s">
        <x:v>21</x:v>
      </x:c>
      <x:c r="K3635" s="0">
        <x:f>hyperlink("https://icd.who.int/dev11/l-ichi/en#/http%3A%2F%2Fid.who.int%2Ficd%2Fentity%2F1584764593","browser")</x:f>
      </x:c>
      <x:c r="L3635" s="0">
        <x:f>hyperlink("https://icat2.azurewebsites.net/icat/?ontology=ICD&amp;tab=ClassesTab&amp;id=http%3A%2F%2Fwho.int%2Ficd%2317670_512ebf36_bf6b_4d70_85da_cf2637062af4","iCat")</x:f>
      </x:c>
      <x:c r="M3635" s="0" t="s">
        <x:v>21</x:v>
      </x:c>
      <x:c r="N3635" s="0" t="s">
        <x:v>46</x:v>
      </x:c>
    </x:row>
    <x:row r="3636" spans="1:16">
      <x:c r="A3636" s="0" t="s">
        <x:v>14386</x:v>
      </x:c>
      <x:c r="B3636" s="0" t="s">
        <x:v>14387</x:v>
      </x:c>
      <x:c r="C3636" s="0" t="s">
        <x:v>14388</x:v>
      </x:c>
      <x:c r="E3636" s="0" t="s">
        <x:v>14389</x:v>
      </x:c>
      <x:c r="F3636" s="0" t="s">
        <x:v>45</x:v>
      </x:c>
      <x:c r="G3636" s="0" t="s">
        <x:v>19</x:v>
      </x:c>
      <x:c r="H3636" s="0" t="s">
        <x:v>20</x:v>
      </x:c>
      <x:c r="I3636" s="0" t="s">
        <x:v>21</x:v>
      </x:c>
      <x:c r="K3636" s="0">
        <x:f>hyperlink("https://icd.who.int/dev11/l-ichi/en#/http%3A%2F%2Fid.who.int%2Ficd%2Fentity%2F1905450095","browser")</x:f>
      </x:c>
      <x:c r="L3636" s="0">
        <x:f>hyperlink("https://icat2.azurewebsites.net/icat/?ontology=ICD&amp;tab=ClassesTab&amp;id=http%3A%2F%2Fwho.int%2Ficd%2317680_512ebf36_bf6b_4d70_85da_cf2637062af4","iCat")</x:f>
      </x:c>
      <x:c r="M3636" s="0" t="s">
        <x:v>21</x:v>
      </x:c>
      <x:c r="N3636" s="0" t="s">
        <x:v>46</x:v>
      </x:c>
    </x:row>
    <x:row r="3637" spans="1:16">
      <x:c r="A3637" s="0" t="s">
        <x:v>14390</x:v>
      </x:c>
      <x:c r="B3637" s="0" t="s">
        <x:v>14391</x:v>
      </x:c>
      <x:c r="C3637" s="0" t="s">
        <x:v>14392</x:v>
      </x:c>
      <x:c r="E3637" s="0" t="s">
        <x:v>14393</x:v>
      </x:c>
      <x:c r="F3637" s="0" t="s">
        <x:v>45</x:v>
      </x:c>
      <x:c r="G3637" s="0" t="s">
        <x:v>19</x:v>
      </x:c>
      <x:c r="H3637" s="0" t="s">
        <x:v>20</x:v>
      </x:c>
      <x:c r="I3637" s="0" t="s">
        <x:v>21</x:v>
      </x:c>
      <x:c r="K3637" s="0">
        <x:f>hyperlink("https://icd.who.int/dev11/l-ichi/en#/http%3A%2F%2Fid.who.int%2Ficd%2Fentity%2F1967407199","browser")</x:f>
      </x:c>
      <x:c r="L3637" s="0">
        <x:f>hyperlink("https://icat2.azurewebsites.net/icat/?ontology=ICD&amp;tab=ClassesTab&amp;id=http%3A%2F%2Fwho.int%2Ficd%2317709_512ebf36_bf6b_4d70_85da_cf2637062af4","iCat")</x:f>
      </x:c>
      <x:c r="M3637" s="0" t="s">
        <x:v>21</x:v>
      </x:c>
      <x:c r="N3637" s="0" t="s">
        <x:v>46</x:v>
      </x:c>
    </x:row>
    <x:row r="3638" spans="1:16">
      <x:c r="A3638" s="0" t="s">
        <x:v>14394</x:v>
      </x:c>
      <x:c r="B3638" s="0" t="s">
        <x:v>14395</x:v>
      </x:c>
      <x:c r="C3638" s="0" t="s">
        <x:v>14396</x:v>
      </x:c>
      <x:c r="E3638" s="0" t="s">
        <x:v>14397</x:v>
      </x:c>
      <x:c r="F3638" s="0" t="s">
        <x:v>45</x:v>
      </x:c>
      <x:c r="G3638" s="0" t="s">
        <x:v>19</x:v>
      </x:c>
      <x:c r="H3638" s="0" t="s">
        <x:v>20</x:v>
      </x:c>
      <x:c r="I3638" s="0" t="s">
        <x:v>21</x:v>
      </x:c>
      <x:c r="K3638" s="0">
        <x:f>hyperlink("https://icd.who.int/dev11/l-ichi/en#/http%3A%2F%2Fid.who.int%2Ficd%2Fentity%2F826840680","browser")</x:f>
      </x:c>
      <x:c r="L3638" s="0">
        <x:f>hyperlink("https://icat2.azurewebsites.net/icat/?ontology=ICD&amp;tab=ClassesTab&amp;id=http%3A%2F%2Fwho.int%2Ficd%2317720_512ebf36_bf6b_4d70_85da_cf2637062af4","iCat")</x:f>
      </x:c>
      <x:c r="M3638" s="0" t="s">
        <x:v>21</x:v>
      </x:c>
      <x:c r="N3638" s="0" t="s">
        <x:v>46</x:v>
      </x:c>
    </x:row>
    <x:row r="3639" spans="1:16">
      <x:c r="A3639" s="0" t="s">
        <x:v>14398</x:v>
      </x:c>
      <x:c r="B3639" s="0" t="s">
        <x:v>14399</x:v>
      </x:c>
      <x:c r="C3639" s="0" t="s">
        <x:v>14400</x:v>
      </x:c>
      <x:c r="E3639" s="0" t="s">
        <x:v>14401</x:v>
      </x:c>
      <x:c r="F3639" s="0" t="s">
        <x:v>45</x:v>
      </x:c>
      <x:c r="G3639" s="0" t="s">
        <x:v>19</x:v>
      </x:c>
      <x:c r="H3639" s="0" t="s">
        <x:v>20</x:v>
      </x:c>
      <x:c r="I3639" s="0" t="s">
        <x:v>21</x:v>
      </x:c>
      <x:c r="K3639" s="0">
        <x:f>hyperlink("https://icd.who.int/dev11/l-ichi/en#/http%3A%2F%2Fid.who.int%2Ficd%2Fentity%2F1103773163","browser")</x:f>
      </x:c>
      <x:c r="L3639" s="0">
        <x:f>hyperlink("https://icat2.azurewebsites.net/icat/?ontology=ICD&amp;tab=ClassesTab&amp;id=http%3A%2F%2Fwho.int%2Ficd%2317727_512ebf36_bf6b_4d70_85da_cf2637062af4","iCat")</x:f>
      </x:c>
      <x:c r="M3639" s="0" t="s">
        <x:v>21</x:v>
      </x:c>
      <x:c r="N3639" s="0" t="s">
        <x:v>46</x:v>
      </x:c>
    </x:row>
    <x:row r="3640" spans="1:16">
      <x:c r="A3640" s="0" t="s">
        <x:v>14402</x:v>
      </x:c>
      <x:c r="B3640" s="0" t="s">
        <x:v>14403</x:v>
      </x:c>
      <x:c r="C3640" s="0" t="s">
        <x:v>14404</x:v>
      </x:c>
      <x:c r="E3640" s="0" t="s">
        <x:v>14405</x:v>
      </x:c>
      <x:c r="F3640" s="0" t="s">
        <x:v>45</x:v>
      </x:c>
      <x:c r="G3640" s="0" t="s">
        <x:v>19</x:v>
      </x:c>
      <x:c r="H3640" s="0" t="s">
        <x:v>20</x:v>
      </x:c>
      <x:c r="I3640" s="0" t="s">
        <x:v>21</x:v>
      </x:c>
      <x:c r="K3640" s="0">
        <x:f>hyperlink("https://icd.who.int/dev11/l-ichi/en#/http%3A%2F%2Fid.who.int%2Ficd%2Fentity%2F503868616","browser")</x:f>
      </x:c>
      <x:c r="L3640" s="0">
        <x:f>hyperlink("https://icat2.azurewebsites.net/icat/?ontology=ICD&amp;tab=ClassesTab&amp;id=http%3A%2F%2Fwho.int%2Ficd%2317733_512ebf36_bf6b_4d70_85da_cf2637062af4","iCat")</x:f>
      </x:c>
      <x:c r="M3640" s="0" t="s">
        <x:v>21</x:v>
      </x:c>
      <x:c r="N3640" s="0" t="s">
        <x:v>46</x:v>
      </x:c>
    </x:row>
    <x:row r="3641" spans="1:16">
      <x:c r="A3641" s="0" t="s">
        <x:v>14406</x:v>
      </x:c>
      <x:c r="B3641" s="0" t="s">
        <x:v>14407</x:v>
      </x:c>
      <x:c r="C3641" s="0" t="s">
        <x:v>14408</x:v>
      </x:c>
      <x:c r="E3641" s="0" t="s">
        <x:v>14409</x:v>
      </x:c>
      <x:c r="F3641" s="0" t="s">
        <x:v>45</x:v>
      </x:c>
      <x:c r="G3641" s="0" t="s">
        <x:v>19</x:v>
      </x:c>
      <x:c r="H3641" s="0" t="s">
        <x:v>20</x:v>
      </x:c>
      <x:c r="I3641" s="0" t="s">
        <x:v>21</x:v>
      </x:c>
      <x:c r="K3641" s="0">
        <x:f>hyperlink("https://icd.who.int/dev11/l-ichi/en#/http%3A%2F%2Fid.who.int%2Ficd%2Fentity%2F905248856","browser")</x:f>
      </x:c>
      <x:c r="L3641" s="0">
        <x:f>hyperlink("https://icat2.azurewebsites.net/icat/?ontology=ICD&amp;tab=ClassesTab&amp;id=http%3A%2F%2Fwho.int%2Ficd%2317739_512ebf36_bf6b_4d70_85da_cf2637062af4","iCat")</x:f>
      </x:c>
      <x:c r="M3641" s="0" t="s">
        <x:v>21</x:v>
      </x:c>
      <x:c r="N3641" s="0" t="s">
        <x:v>46</x:v>
      </x:c>
    </x:row>
    <x:row r="3642" spans="1:16">
      <x:c r="A3642" s="0" t="s">
        <x:v>14410</x:v>
      </x:c>
      <x:c r="B3642" s="0" t="s">
        <x:v>14411</x:v>
      </x:c>
      <x:c r="C3642" s="0" t="s">
        <x:v>14412</x:v>
      </x:c>
      <x:c r="E3642" s="0" t="s">
        <x:v>14413</x:v>
      </x:c>
      <x:c r="F3642" s="0" t="s">
        <x:v>45</x:v>
      </x:c>
      <x:c r="G3642" s="0" t="s">
        <x:v>19</x:v>
      </x:c>
      <x:c r="H3642" s="0" t="s">
        <x:v>20</x:v>
      </x:c>
      <x:c r="I3642" s="0" t="s">
        <x:v>21</x:v>
      </x:c>
      <x:c r="K3642" s="0">
        <x:f>hyperlink("https://icd.who.int/dev11/l-ichi/en#/http%3A%2F%2Fid.who.int%2Ficd%2Fentity%2F2124785251","browser")</x:f>
      </x:c>
      <x:c r="L3642" s="0">
        <x:f>hyperlink("https://icat2.azurewebsites.net/icat/?ontology=ICD&amp;tab=ClassesTab&amp;id=http%3A%2F%2Fwho.int%2Ficd%2317745_512ebf36_bf6b_4d70_85da_cf2637062af4","iCat")</x:f>
      </x:c>
      <x:c r="M3642" s="0" t="s">
        <x:v>21</x:v>
      </x:c>
      <x:c r="N3642" s="0" t="s">
        <x:v>46</x:v>
      </x:c>
    </x:row>
    <x:row r="3643" spans="1:16">
      <x:c r="A3643" s="0" t="s">
        <x:v>14414</x:v>
      </x:c>
      <x:c r="B3643" s="0" t="s">
        <x:v>14415</x:v>
      </x:c>
      <x:c r="C3643" s="0" t="s">
        <x:v>14416</x:v>
      </x:c>
      <x:c r="E3643" s="0" t="s">
        <x:v>14417</x:v>
      </x:c>
      <x:c r="F3643" s="0" t="s">
        <x:v>45</x:v>
      </x:c>
      <x:c r="G3643" s="0" t="s">
        <x:v>19</x:v>
      </x:c>
      <x:c r="H3643" s="0" t="s">
        <x:v>20</x:v>
      </x:c>
      <x:c r="I3643" s="0" t="s">
        <x:v>21</x:v>
      </x:c>
      <x:c r="K3643" s="0">
        <x:f>hyperlink("https://icd.who.int/dev11/l-ichi/en#/http%3A%2F%2Fid.who.int%2Ficd%2Fentity%2F1692571833","browser")</x:f>
      </x:c>
      <x:c r="L3643" s="0">
        <x:f>hyperlink("https://icat2.azurewebsites.net/icat/?ontology=ICD&amp;tab=ClassesTab&amp;id=http%3A%2F%2Fwho.int%2Ficd%2317752_512ebf36_bf6b_4d70_85da_cf2637062af4","iCat")</x:f>
      </x:c>
      <x:c r="M3643" s="0" t="s">
        <x:v>21</x:v>
      </x:c>
      <x:c r="N3643" s="0" t="s">
        <x:v>46</x:v>
      </x:c>
    </x:row>
    <x:row r="3644" spans="1:16">
      <x:c r="A3644" s="0" t="s">
        <x:v>14418</x:v>
      </x:c>
      <x:c r="B3644" s="0" t="s">
        <x:v>14419</x:v>
      </x:c>
      <x:c r="C3644" s="0" t="s">
        <x:v>14420</x:v>
      </x:c>
      <x:c r="E3644" s="0" t="s">
        <x:v>14421</x:v>
      </x:c>
      <x:c r="F3644" s="0" t="s">
        <x:v>45</x:v>
      </x:c>
      <x:c r="G3644" s="0" t="s">
        <x:v>19</x:v>
      </x:c>
      <x:c r="H3644" s="0" t="s">
        <x:v>20</x:v>
      </x:c>
      <x:c r="I3644" s="0" t="s">
        <x:v>21</x:v>
      </x:c>
      <x:c r="K3644" s="0">
        <x:f>hyperlink("https://icd.who.int/dev11/l-ichi/en#/http%3A%2F%2Fid.who.int%2Ficd%2Fentity%2F1093649787","browser")</x:f>
      </x:c>
      <x:c r="L3644" s="0">
        <x:f>hyperlink("https://icat2.azurewebsites.net/icat/?ontology=ICD&amp;tab=ClassesTab&amp;id=http%3A%2F%2Fwho.int%2Ficd%2317760_512ebf36_bf6b_4d70_85da_cf2637062af4","iCat")</x:f>
      </x:c>
      <x:c r="M3644" s="0" t="s">
        <x:v>21</x:v>
      </x:c>
      <x:c r="N3644" s="0" t="s">
        <x:v>46</x:v>
      </x:c>
    </x:row>
    <x:row r="3645" spans="1:16">
      <x:c r="A3645" s="0" t="s">
        <x:v>14422</x:v>
      </x:c>
      <x:c r="B3645" s="0" t="s">
        <x:v>14423</x:v>
      </x:c>
      <x:c r="C3645" s="0" t="s">
        <x:v>14424</x:v>
      </x:c>
      <x:c r="E3645" s="0" t="s">
        <x:v>14425</x:v>
      </x:c>
      <x:c r="F3645" s="0" t="s">
        <x:v>45</x:v>
      </x:c>
      <x:c r="G3645" s="0" t="s">
        <x:v>19</x:v>
      </x:c>
      <x:c r="H3645" s="0" t="s">
        <x:v>20</x:v>
      </x:c>
      <x:c r="I3645" s="0" t="s">
        <x:v>21</x:v>
      </x:c>
      <x:c r="K3645" s="0">
        <x:f>hyperlink("https://icd.who.int/dev11/l-ichi/en#/http%3A%2F%2Fid.who.int%2Ficd%2Fentity%2F290725066","browser")</x:f>
      </x:c>
      <x:c r="L3645" s="0">
        <x:f>hyperlink("https://icat2.azurewebsites.net/icat/?ontology=ICD&amp;tab=ClassesTab&amp;id=http%3A%2F%2Fwho.int%2Ficd%2317766_512ebf36_bf6b_4d70_85da_cf2637062af4","iCat")</x:f>
      </x:c>
      <x:c r="M3645" s="0" t="s">
        <x:v>21</x:v>
      </x:c>
      <x:c r="N3645" s="0" t="s">
        <x:v>46</x:v>
      </x:c>
    </x:row>
    <x:row r="3646" spans="1:16">
      <x:c r="A3646" s="0" t="s">
        <x:v>14426</x:v>
      </x:c>
      <x:c r="B3646" s="0" t="s">
        <x:v>14427</x:v>
      </x:c>
      <x:c r="C3646" s="0" t="s">
        <x:v>14428</x:v>
      </x:c>
      <x:c r="E3646" s="0" t="s">
        <x:v>14429</x:v>
      </x:c>
      <x:c r="F3646" s="0" t="s">
        <x:v>45</x:v>
      </x:c>
      <x:c r="G3646" s="0" t="s">
        <x:v>19</x:v>
      </x:c>
      <x:c r="H3646" s="0" t="s">
        <x:v>20</x:v>
      </x:c>
      <x:c r="I3646" s="0" t="s">
        <x:v>21</x:v>
      </x:c>
      <x:c r="K3646" s="0">
        <x:f>hyperlink("https://icd.who.int/dev11/l-ichi/en#/http%3A%2F%2Fid.who.int%2Ficd%2Fentity%2F1318473193","browser")</x:f>
      </x:c>
      <x:c r="L3646" s="0">
        <x:f>hyperlink("https://icat2.azurewebsites.net/icat/?ontology=ICD&amp;tab=ClassesTab&amp;id=http%3A%2F%2Fwho.int%2Ficd%2317772_512ebf36_bf6b_4d70_85da_cf2637062af4","iCat")</x:f>
      </x:c>
      <x:c r="M3646" s="0" t="s">
        <x:v>21</x:v>
      </x:c>
      <x:c r="N3646" s="0" t="s">
        <x:v>46</x:v>
      </x:c>
    </x:row>
    <x:row r="3647" spans="1:16">
      <x:c r="A3647" s="0" t="s">
        <x:v>14430</x:v>
      </x:c>
      <x:c r="B3647" s="0" t="s">
        <x:v>14431</x:v>
      </x:c>
      <x:c r="C3647" s="0" t="s">
        <x:v>14432</x:v>
      </x:c>
      <x:c r="E3647" s="0" t="s">
        <x:v>14433</x:v>
      </x:c>
      <x:c r="F3647" s="0" t="s">
        <x:v>45</x:v>
      </x:c>
      <x:c r="G3647" s="0" t="s">
        <x:v>19</x:v>
      </x:c>
      <x:c r="H3647" s="0" t="s">
        <x:v>20</x:v>
      </x:c>
      <x:c r="I3647" s="0" t="s">
        <x:v>21</x:v>
      </x:c>
      <x:c r="K3647" s="0">
        <x:f>hyperlink("https://icd.who.int/dev11/l-ichi/en#/http%3A%2F%2Fid.who.int%2Ficd%2Fentity%2F1701519737","browser")</x:f>
      </x:c>
      <x:c r="L3647" s="0">
        <x:f>hyperlink("https://icat2.azurewebsites.net/icat/?ontology=ICD&amp;tab=ClassesTab&amp;id=http%3A%2F%2Fwho.int%2Ficd%2317778_512ebf36_bf6b_4d70_85da_cf2637062af4","iCat")</x:f>
      </x:c>
      <x:c r="M3647" s="0" t="s">
        <x:v>21</x:v>
      </x:c>
      <x:c r="N3647" s="0" t="s">
        <x:v>46</x:v>
      </x:c>
    </x:row>
    <x:row r="3648" spans="1:16">
      <x:c r="A3648" s="0" t="s">
        <x:v>14434</x:v>
      </x:c>
      <x:c r="B3648" s="0" t="s">
        <x:v>14435</x:v>
      </x:c>
      <x:c r="C3648" s="0" t="s">
        <x:v>14436</x:v>
      </x:c>
      <x:c r="E3648" s="0" t="s">
        <x:v>14437</x:v>
      </x:c>
      <x:c r="F3648" s="0" t="s">
        <x:v>45</x:v>
      </x:c>
      <x:c r="G3648" s="0" t="s">
        <x:v>19</x:v>
      </x:c>
      <x:c r="H3648" s="0" t="s">
        <x:v>20</x:v>
      </x:c>
      <x:c r="I3648" s="0" t="s">
        <x:v>21</x:v>
      </x:c>
      <x:c r="K3648" s="0">
        <x:f>hyperlink("https://icd.who.int/dev11/l-ichi/en#/http%3A%2F%2Fid.who.int%2Ficd%2Fentity%2F822795910","browser")</x:f>
      </x:c>
      <x:c r="L3648" s="0">
        <x:f>hyperlink("https://icat2.azurewebsites.net/icat/?ontology=ICD&amp;tab=ClassesTab&amp;id=http%3A%2F%2Fwho.int%2Ficd%2317784_512ebf36_bf6b_4d70_85da_cf2637062af4","iCat")</x:f>
      </x:c>
      <x:c r="M3648" s="0" t="s">
        <x:v>21</x:v>
      </x:c>
      <x:c r="N3648" s="0" t="s">
        <x:v>46</x:v>
      </x:c>
    </x:row>
    <x:row r="3649" spans="1:16">
      <x:c r="A3649" s="0" t="s">
        <x:v>14438</x:v>
      </x:c>
      <x:c r="B3649" s="0" t="s">
        <x:v>14439</x:v>
      </x:c>
      <x:c r="C3649" s="0" t="s">
        <x:v>14440</x:v>
      </x:c>
      <x:c r="E3649" s="0" t="s">
        <x:v>14441</x:v>
      </x:c>
      <x:c r="F3649" s="0" t="s">
        <x:v>45</x:v>
      </x:c>
      <x:c r="G3649" s="0" t="s">
        <x:v>19</x:v>
      </x:c>
      <x:c r="H3649" s="0" t="s">
        <x:v>20</x:v>
      </x:c>
      <x:c r="I3649" s="0" t="s">
        <x:v>21</x:v>
      </x:c>
      <x:c r="K3649" s="0">
        <x:f>hyperlink("https://icd.who.int/dev11/l-ichi/en#/http%3A%2F%2Fid.who.int%2Ficd%2Fentity%2F1858637733","browser")</x:f>
      </x:c>
      <x:c r="L3649" s="0">
        <x:f>hyperlink("https://icat2.azurewebsites.net/icat/?ontology=ICD&amp;tab=ClassesTab&amp;id=http%3A%2F%2Fwho.int%2Ficd%2317790_512ebf36_bf6b_4d70_85da_cf2637062af4","iCat")</x:f>
      </x:c>
      <x:c r="M3649" s="0" t="s">
        <x:v>21</x:v>
      </x:c>
      <x:c r="N3649" s="0" t="s">
        <x:v>46</x:v>
      </x:c>
    </x:row>
    <x:row r="3650" spans="1:16">
      <x:c r="A3650" s="0" t="s">
        <x:v>14442</x:v>
      </x:c>
      <x:c r="B3650" s="0" t="s">
        <x:v>14443</x:v>
      </x:c>
      <x:c r="C3650" s="0" t="s">
        <x:v>14444</x:v>
      </x:c>
      <x:c r="E3650" s="0" t="s">
        <x:v>14445</x:v>
      </x:c>
      <x:c r="F3650" s="0" t="s">
        <x:v>45</x:v>
      </x:c>
      <x:c r="G3650" s="0" t="s">
        <x:v>19</x:v>
      </x:c>
      <x:c r="H3650" s="0" t="s">
        <x:v>20</x:v>
      </x:c>
      <x:c r="I3650" s="0" t="s">
        <x:v>21</x:v>
      </x:c>
      <x:c r="K3650" s="0">
        <x:f>hyperlink("https://icd.who.int/dev11/l-ichi/en#/http%3A%2F%2Fid.who.int%2Ficd%2Fentity%2F1051940372","browser")</x:f>
      </x:c>
      <x:c r="L3650" s="0">
        <x:f>hyperlink("https://icat2.azurewebsites.net/icat/?ontology=ICD&amp;tab=ClassesTab&amp;id=http%3A%2F%2Fwho.int%2Ficd%2317796_512ebf36_bf6b_4d70_85da_cf2637062af4","iCat")</x:f>
      </x:c>
      <x:c r="M3650" s="0" t="s">
        <x:v>21</x:v>
      </x:c>
      <x:c r="N3650" s="0" t="s">
        <x:v>46</x:v>
      </x:c>
    </x:row>
    <x:row r="3651" spans="1:16">
      <x:c r="A3651" s="0" t="s">
        <x:v>14446</x:v>
      </x:c>
      <x:c r="B3651" s="0" t="s">
        <x:v>14447</x:v>
      </x:c>
      <x:c r="C3651" s="0" t="s">
        <x:v>14448</x:v>
      </x:c>
      <x:c r="E3651" s="0" t="s">
        <x:v>14449</x:v>
      </x:c>
      <x:c r="F3651" s="0" t="s">
        <x:v>45</x:v>
      </x:c>
      <x:c r="G3651" s="0" t="s">
        <x:v>19</x:v>
      </x:c>
      <x:c r="H3651" s="0" t="s">
        <x:v>20</x:v>
      </x:c>
      <x:c r="I3651" s="0" t="s">
        <x:v>21</x:v>
      </x:c>
      <x:c r="K3651" s="0">
        <x:f>hyperlink("https://icd.who.int/dev11/l-ichi/en#/http%3A%2F%2Fid.who.int%2Ficd%2Fentity%2F687127753","browser")</x:f>
      </x:c>
      <x:c r="L3651" s="0">
        <x:f>hyperlink("https://icat2.azurewebsites.net/icat/?ontology=ICD&amp;tab=ClassesTab&amp;id=http%3A%2F%2Fwho.int%2Ficd%2317803_512ebf36_bf6b_4d70_85da_cf2637062af4","iCat")</x:f>
      </x:c>
      <x:c r="M3651" s="0" t="s">
        <x:v>21</x:v>
      </x:c>
      <x:c r="N3651" s="0" t="s">
        <x:v>46</x:v>
      </x:c>
    </x:row>
    <x:row r="3652" spans="1:16">
      <x:c r="A3652" s="0" t="s">
        <x:v>14450</x:v>
      </x:c>
      <x:c r="B3652" s="0" t="s">
        <x:v>14451</x:v>
      </x:c>
      <x:c r="C3652" s="0" t="s">
        <x:v>14452</x:v>
      </x:c>
      <x:c r="E3652" s="0" t="s">
        <x:v>14453</x:v>
      </x:c>
      <x:c r="F3652" s="0" t="s">
        <x:v>45</x:v>
      </x:c>
      <x:c r="G3652" s="0" t="s">
        <x:v>19</x:v>
      </x:c>
      <x:c r="H3652" s="0" t="s">
        <x:v>20</x:v>
      </x:c>
      <x:c r="I3652" s="0" t="s">
        <x:v>21</x:v>
      </x:c>
      <x:c r="K3652" s="0">
        <x:f>hyperlink("https://icd.who.int/dev11/l-ichi/en#/http%3A%2F%2Fid.who.int%2Ficd%2Fentity%2F129255015","browser")</x:f>
      </x:c>
      <x:c r="L3652" s="0">
        <x:f>hyperlink("https://icat2.azurewebsites.net/icat/?ontology=ICD&amp;tab=ClassesTab&amp;id=http%3A%2F%2Fwho.int%2Ficd%2317810_512ebf36_bf6b_4d70_85da_cf2637062af4","iCat")</x:f>
      </x:c>
      <x:c r="M3652" s="0" t="s">
        <x:v>21</x:v>
      </x:c>
      <x:c r="N3652" s="0" t="s">
        <x:v>46</x:v>
      </x:c>
    </x:row>
    <x:row r="3653" spans="1:16">
      <x:c r="A3653" s="0" t="s">
        <x:v>14454</x:v>
      </x:c>
      <x:c r="B3653" s="0" t="s">
        <x:v>14455</x:v>
      </x:c>
      <x:c r="C3653" s="0" t="s">
        <x:v>14456</x:v>
      </x:c>
      <x:c r="E3653" s="0" t="s">
        <x:v>14457</x:v>
      </x:c>
      <x:c r="F3653" s="0" t="s">
        <x:v>45</x:v>
      </x:c>
      <x:c r="G3653" s="0" t="s">
        <x:v>19</x:v>
      </x:c>
      <x:c r="H3653" s="0" t="s">
        <x:v>20</x:v>
      </x:c>
      <x:c r="I3653" s="0" t="s">
        <x:v>21</x:v>
      </x:c>
      <x:c r="K3653" s="0">
        <x:f>hyperlink("https://icd.who.int/dev11/l-ichi/en#/http%3A%2F%2Fid.who.int%2Ficd%2Fentity%2F2000088556","browser")</x:f>
      </x:c>
      <x:c r="L3653" s="0">
        <x:f>hyperlink("https://icat2.azurewebsites.net/icat/?ontology=ICD&amp;tab=ClassesTab&amp;id=http%3A%2F%2Fwho.int%2Ficd%2317817_512ebf36_bf6b_4d70_85da_cf2637062af4","iCat")</x:f>
      </x:c>
      <x:c r="M3653" s="0" t="s">
        <x:v>21</x:v>
      </x:c>
      <x:c r="N3653" s="0" t="s">
        <x:v>46</x:v>
      </x:c>
    </x:row>
    <x:row r="3654" spans="1:16">
      <x:c r="A3654" s="0" t="s">
        <x:v>14458</x:v>
      </x:c>
      <x:c r="B3654" s="0" t="s">
        <x:v>14459</x:v>
      </x:c>
      <x:c r="C3654" s="0" t="s">
        <x:v>14460</x:v>
      </x:c>
      <x:c r="E3654" s="0" t="s">
        <x:v>14461</x:v>
      </x:c>
      <x:c r="F3654" s="0" t="s">
        <x:v>45</x:v>
      </x:c>
      <x:c r="G3654" s="0" t="s">
        <x:v>19</x:v>
      </x:c>
      <x:c r="H3654" s="0" t="s">
        <x:v>20</x:v>
      </x:c>
      <x:c r="I3654" s="0" t="s">
        <x:v>21</x:v>
      </x:c>
      <x:c r="K3654" s="0">
        <x:f>hyperlink("https://icd.who.int/dev11/l-ichi/en#/http%3A%2F%2Fid.who.int%2Ficd%2Fentity%2F41970073","browser")</x:f>
      </x:c>
      <x:c r="L3654" s="0">
        <x:f>hyperlink("https://icat2.azurewebsites.net/icat/?ontology=ICD&amp;tab=ClassesTab&amp;id=http%3A%2F%2Fwho.int%2Ficd%2317823_512ebf36_bf6b_4d70_85da_cf2637062af4","iCat")</x:f>
      </x:c>
      <x:c r="M3654" s="0" t="s">
        <x:v>21</x:v>
      </x:c>
      <x:c r="N3654" s="0" t="s">
        <x:v>46</x:v>
      </x:c>
    </x:row>
    <x:row r="3655" spans="1:16">
      <x:c r="A3655" s="0" t="s">
        <x:v>14462</x:v>
      </x:c>
      <x:c r="B3655" s="0" t="s">
        <x:v>14463</x:v>
      </x:c>
      <x:c r="C3655" s="0" t="s">
        <x:v>14464</x:v>
      </x:c>
      <x:c r="E3655" s="0" t="s">
        <x:v>14465</x:v>
      </x:c>
      <x:c r="F3655" s="0" t="s">
        <x:v>45</x:v>
      </x:c>
      <x:c r="G3655" s="0" t="s">
        <x:v>19</x:v>
      </x:c>
      <x:c r="H3655" s="0" t="s">
        <x:v>20</x:v>
      </x:c>
      <x:c r="I3655" s="0" t="s">
        <x:v>21</x:v>
      </x:c>
      <x:c r="K3655" s="0">
        <x:f>hyperlink("https://icd.who.int/dev11/l-ichi/en#/http%3A%2F%2Fid.who.int%2Ficd%2Fentity%2F2109426312","browser")</x:f>
      </x:c>
      <x:c r="L3655" s="0">
        <x:f>hyperlink("https://icat2.azurewebsites.net/icat/?ontology=ICD&amp;tab=ClassesTab&amp;id=http%3A%2F%2Fwho.int%2Ficd%2317836_512ebf36_bf6b_4d70_85da_cf2637062af4","iCat")</x:f>
      </x:c>
      <x:c r="M3655" s="0" t="s">
        <x:v>21</x:v>
      </x:c>
      <x:c r="N3655" s="0" t="s">
        <x:v>46</x:v>
      </x:c>
    </x:row>
    <x:row r="3656" spans="1:16">
      <x:c r="A3656" s="0" t="s">
        <x:v>14466</x:v>
      </x:c>
      <x:c r="B3656" s="0" t="s">
        <x:v>14467</x:v>
      </x:c>
      <x:c r="C3656" s="0" t="s">
        <x:v>14468</x:v>
      </x:c>
      <x:c r="E3656" s="0" t="s">
        <x:v>14469</x:v>
      </x:c>
      <x:c r="F3656" s="0" t="s">
        <x:v>45</x:v>
      </x:c>
      <x:c r="G3656" s="0" t="s">
        <x:v>19</x:v>
      </x:c>
      <x:c r="H3656" s="0" t="s">
        <x:v>20</x:v>
      </x:c>
      <x:c r="I3656" s="0" t="s">
        <x:v>21</x:v>
      </x:c>
      <x:c r="K3656" s="0">
        <x:f>hyperlink("https://icd.who.int/dev11/l-ichi/en#/http%3A%2F%2Fid.who.int%2Ficd%2Fentity%2F149436005","browser")</x:f>
      </x:c>
      <x:c r="L3656" s="0">
        <x:f>hyperlink("https://icat2.azurewebsites.net/icat/?ontology=ICD&amp;tab=ClassesTab&amp;id=http%3A%2F%2Fwho.int%2Ficd%2317845_512ebf36_bf6b_4d70_85da_cf2637062af4","iCat")</x:f>
      </x:c>
      <x:c r="M3656" s="0" t="s">
        <x:v>21</x:v>
      </x:c>
      <x:c r="N3656" s="0" t="s">
        <x:v>46</x:v>
      </x:c>
    </x:row>
    <x:row r="3657" spans="1:16">
      <x:c r="A3657" s="0" t="s">
        <x:v>14470</x:v>
      </x:c>
      <x:c r="B3657" s="0" t="s">
        <x:v>14471</x:v>
      </x:c>
      <x:c r="C3657" s="0" t="s">
        <x:v>14472</x:v>
      </x:c>
      <x:c r="E3657" s="0" t="s">
        <x:v>14473</x:v>
      </x:c>
      <x:c r="F3657" s="0" t="s">
        <x:v>45</x:v>
      </x:c>
      <x:c r="G3657" s="0" t="s">
        <x:v>19</x:v>
      </x:c>
      <x:c r="H3657" s="0" t="s">
        <x:v>20</x:v>
      </x:c>
      <x:c r="I3657" s="0" t="s">
        <x:v>21</x:v>
      </x:c>
      <x:c r="K3657" s="0">
        <x:f>hyperlink("https://icd.who.int/dev11/l-ichi/en#/http%3A%2F%2Fid.who.int%2Ficd%2Fentity%2F672798183","browser")</x:f>
      </x:c>
      <x:c r="L3657" s="0">
        <x:f>hyperlink("https://icat2.azurewebsites.net/icat/?ontology=ICD&amp;tab=ClassesTab&amp;id=http%3A%2F%2Fwho.int%2Ficd%23210_bf6e7c66_ec40_421d_9f8c_a2093621229f","iCat")</x:f>
      </x:c>
      <x:c r="M3657" s="0" t="s">
        <x:v>21</x:v>
      </x:c>
      <x:c r="N3657" s="0" t="s">
        <x:v>46</x:v>
      </x:c>
    </x:row>
    <x:row r="3658" spans="1:16">
      <x:c r="A3658" s="0" t="s">
        <x:v>14474</x:v>
      </x:c>
      <x:c r="B3658" s="0" t="s">
        <x:v>14475</x:v>
      </x:c>
      <x:c r="C3658" s="0" t="s">
        <x:v>14476</x:v>
      </x:c>
      <x:c r="E3658" s="0" t="s">
        <x:v>14477</x:v>
      </x:c>
      <x:c r="F3658" s="0" t="s">
        <x:v>45</x:v>
      </x:c>
      <x:c r="G3658" s="0" t="s">
        <x:v>19</x:v>
      </x:c>
      <x:c r="H3658" s="0" t="s">
        <x:v>20</x:v>
      </x:c>
      <x:c r="I3658" s="0" t="s">
        <x:v>21</x:v>
      </x:c>
      <x:c r="K3658" s="0">
        <x:f>hyperlink("https://icd.who.int/dev11/l-ichi/en#/http%3A%2F%2Fid.who.int%2Ficd%2Fentity%2F2019675222","browser")</x:f>
      </x:c>
      <x:c r="L3658" s="0">
        <x:f>hyperlink("https://icat2.azurewebsites.net/icat/?ontology=ICD&amp;tab=ClassesTab&amp;id=http%3A%2F%2Fwho.int%2Ficd%23216_bf6e7c66_ec40_421d_9f8c_a2093621229f","iCat")</x:f>
      </x:c>
      <x:c r="M3658" s="0" t="s">
        <x:v>21</x:v>
      </x:c>
      <x:c r="N3658" s="0" t="s">
        <x:v>46</x:v>
      </x:c>
    </x:row>
    <x:row r="3659" spans="1:16">
      <x:c r="A3659" s="0" t="s">
        <x:v>14478</x:v>
      </x:c>
      <x:c r="B3659" s="0" t="s">
        <x:v>14479</x:v>
      </x:c>
      <x:c r="C3659" s="0" t="s">
        <x:v>14480</x:v>
      </x:c>
      <x:c r="E3659" s="0" t="s">
        <x:v>14481</x:v>
      </x:c>
      <x:c r="F3659" s="0" t="s">
        <x:v>45</x:v>
      </x:c>
      <x:c r="G3659" s="0" t="s">
        <x:v>19</x:v>
      </x:c>
      <x:c r="H3659" s="0" t="s">
        <x:v>20</x:v>
      </x:c>
      <x:c r="I3659" s="0" t="s">
        <x:v>21</x:v>
      </x:c>
      <x:c r="K3659" s="0">
        <x:f>hyperlink("https://icd.who.int/dev11/l-ichi/en#/http%3A%2F%2Fid.who.int%2Ficd%2Fentity%2F844528259","browser")</x:f>
      </x:c>
      <x:c r="L3659" s="0">
        <x:f>hyperlink("https://icat2.azurewebsites.net/icat/?ontology=ICD&amp;tab=ClassesTab&amp;id=http%3A%2F%2Fwho.int%2Ficd%2317853_512ebf36_bf6b_4d70_85da_cf2637062af4","iCat")</x:f>
      </x:c>
      <x:c r="M3659" s="0" t="s">
        <x:v>21</x:v>
      </x:c>
      <x:c r="N3659" s="0" t="s">
        <x:v>46</x:v>
      </x:c>
    </x:row>
    <x:row r="3660" spans="1:16">
      <x:c r="A3660" s="0" t="s">
        <x:v>14482</x:v>
      </x:c>
      <x:c r="B3660" s="0" t="s">
        <x:v>14483</x:v>
      </x:c>
      <x:c r="C3660" s="0" t="s">
        <x:v>14484</x:v>
      </x:c>
      <x:c r="E3660" s="0" t="s">
        <x:v>14485</x:v>
      </x:c>
      <x:c r="F3660" s="0" t="s">
        <x:v>45</x:v>
      </x:c>
      <x:c r="G3660" s="0" t="s">
        <x:v>19</x:v>
      </x:c>
      <x:c r="H3660" s="0" t="s">
        <x:v>20</x:v>
      </x:c>
      <x:c r="I3660" s="0" t="s">
        <x:v>21</x:v>
      </x:c>
      <x:c r="K3660" s="0">
        <x:f>hyperlink("https://icd.who.int/dev11/l-ichi/en#/http%3A%2F%2Fid.who.int%2Ficd%2Fentity%2F430642707","browser")</x:f>
      </x:c>
      <x:c r="L3660" s="0">
        <x:f>hyperlink("https://icat2.azurewebsites.net/icat/?ontology=ICD&amp;tab=ClassesTab&amp;id=http%3A%2F%2Fwho.int%2Ficd%2317859_512ebf36_bf6b_4d70_85da_cf2637062af4","iCat")</x:f>
      </x:c>
      <x:c r="M3660" s="0" t="s">
        <x:v>21</x:v>
      </x:c>
      <x:c r="N3660" s="0" t="s">
        <x:v>46</x:v>
      </x:c>
    </x:row>
    <x:row r="3661" spans="1:16">
      <x:c r="A3661" s="0" t="s">
        <x:v>14486</x:v>
      </x:c>
      <x:c r="B3661" s="0" t="s">
        <x:v>14487</x:v>
      </x:c>
      <x:c r="C3661" s="0" t="s">
        <x:v>14488</x:v>
      </x:c>
      <x:c r="E3661" s="0" t="s">
        <x:v>14489</x:v>
      </x:c>
      <x:c r="F3661" s="0" t="s">
        <x:v>45</x:v>
      </x:c>
      <x:c r="G3661" s="0" t="s">
        <x:v>19</x:v>
      </x:c>
      <x:c r="H3661" s="0" t="s">
        <x:v>20</x:v>
      </x:c>
      <x:c r="I3661" s="0" t="s">
        <x:v>21</x:v>
      </x:c>
      <x:c r="K3661" s="0">
        <x:f>hyperlink("https://icd.who.int/dev11/l-ichi/en#/http%3A%2F%2Fid.who.int%2Ficd%2Fentity%2F580707125","browser")</x:f>
      </x:c>
      <x:c r="L3661" s="0">
        <x:f>hyperlink("https://icat2.azurewebsites.net/icat/?ontology=ICD&amp;tab=ClassesTab&amp;id=http%3A%2F%2Fwho.int%2Ficd%2317865_512ebf36_bf6b_4d70_85da_cf2637062af4","iCat")</x:f>
      </x:c>
      <x:c r="M3661" s="0" t="s">
        <x:v>21</x:v>
      </x:c>
      <x:c r="N3661" s="0" t="s">
        <x:v>46</x:v>
      </x:c>
    </x:row>
    <x:row r="3662" spans="1:16">
      <x:c r="A3662" s="0" t="s">
        <x:v>14490</x:v>
      </x:c>
      <x:c r="B3662" s="0" t="s">
        <x:v>14491</x:v>
      </x:c>
      <x:c r="C3662" s="0" t="s">
        <x:v>14492</x:v>
      </x:c>
      <x:c r="E3662" s="0" t="s">
        <x:v>14493</x:v>
      </x:c>
      <x:c r="F3662" s="0" t="s">
        <x:v>45</x:v>
      </x:c>
      <x:c r="G3662" s="0" t="s">
        <x:v>19</x:v>
      </x:c>
      <x:c r="H3662" s="0" t="s">
        <x:v>20</x:v>
      </x:c>
      <x:c r="I3662" s="0" t="s">
        <x:v>21</x:v>
      </x:c>
      <x:c r="K3662" s="0">
        <x:f>hyperlink("https://icd.who.int/dev11/l-ichi/en#/http%3A%2F%2Fid.who.int%2Ficd%2Fentity%2F953933295","browser")</x:f>
      </x:c>
      <x:c r="L3662" s="0">
        <x:f>hyperlink("https://icat2.azurewebsites.net/icat/?ontology=ICD&amp;tab=ClassesTab&amp;id=http%3A%2F%2Fwho.int%2Ficd%2317872_512ebf36_bf6b_4d70_85da_cf2637062af4","iCat")</x:f>
      </x:c>
      <x:c r="M3662" s="0" t="s">
        <x:v>21</x:v>
      </x:c>
      <x:c r="N3662" s="0" t="s">
        <x:v>46</x:v>
      </x:c>
    </x:row>
    <x:row r="3663" spans="1:16">
      <x:c r="A3663" s="0" t="s">
        <x:v>14494</x:v>
      </x:c>
      <x:c r="B3663" s="0" t="s">
        <x:v>14495</x:v>
      </x:c>
      <x:c r="C3663" s="0" t="s">
        <x:v>14496</x:v>
      </x:c>
      <x:c r="E3663" s="0" t="s">
        <x:v>14497</x:v>
      </x:c>
      <x:c r="F3663" s="0" t="s">
        <x:v>45</x:v>
      </x:c>
      <x:c r="G3663" s="0" t="s">
        <x:v>19</x:v>
      </x:c>
      <x:c r="H3663" s="0" t="s">
        <x:v>20</x:v>
      </x:c>
      <x:c r="I3663" s="0" t="s">
        <x:v>21</x:v>
      </x:c>
      <x:c r="K3663" s="0">
        <x:f>hyperlink("https://icd.who.int/dev11/l-ichi/en#/http%3A%2F%2Fid.who.int%2Ficd%2Fentity%2F1916832500","browser")</x:f>
      </x:c>
      <x:c r="L3663" s="0">
        <x:f>hyperlink("https://icat2.azurewebsites.net/icat/?ontology=ICD&amp;tab=ClassesTab&amp;id=http%3A%2F%2Fwho.int%2Ficd%2317880_512ebf36_bf6b_4d70_85da_cf2637062af4","iCat")</x:f>
      </x:c>
      <x:c r="M3663" s="0" t="s">
        <x:v>21</x:v>
      </x:c>
      <x:c r="N3663" s="0" t="s">
        <x:v>46</x:v>
      </x:c>
    </x:row>
    <x:row r="3664" spans="1:16">
      <x:c r="A3664" s="0" t="s">
        <x:v>14498</x:v>
      </x:c>
      <x:c r="B3664" s="0" t="s">
        <x:v>14499</x:v>
      </x:c>
      <x:c r="C3664" s="0" t="s">
        <x:v>14500</x:v>
      </x:c>
      <x:c r="E3664" s="0" t="s">
        <x:v>14501</x:v>
      </x:c>
      <x:c r="F3664" s="0" t="s">
        <x:v>45</x:v>
      </x:c>
      <x:c r="G3664" s="0" t="s">
        <x:v>19</x:v>
      </x:c>
      <x:c r="H3664" s="0" t="s">
        <x:v>20</x:v>
      </x:c>
      <x:c r="I3664" s="0" t="s">
        <x:v>21</x:v>
      </x:c>
      <x:c r="K3664" s="0">
        <x:f>hyperlink("https://icd.who.int/dev11/l-ichi/en#/http%3A%2F%2Fid.who.int%2Ficd%2Fentity%2F574313285","browser")</x:f>
      </x:c>
      <x:c r="L3664" s="0">
        <x:f>hyperlink("https://icat2.azurewebsites.net/icat/?ontology=ICD&amp;tab=ClassesTab&amp;id=http%3A%2F%2Fwho.int%2Ficd%2317886_512ebf36_bf6b_4d70_85da_cf2637062af4","iCat")</x:f>
      </x:c>
      <x:c r="M3664" s="0" t="s">
        <x:v>21</x:v>
      </x:c>
      <x:c r="N3664" s="0" t="s">
        <x:v>46</x:v>
      </x:c>
    </x:row>
    <x:row r="3665" spans="1:16">
      <x:c r="A3665" s="0" t="s">
        <x:v>14502</x:v>
      </x:c>
      <x:c r="B3665" s="0" t="s">
        <x:v>14503</x:v>
      </x:c>
      <x:c r="C3665" s="0" t="s">
        <x:v>14504</x:v>
      </x:c>
      <x:c r="E3665" s="0" t="s">
        <x:v>14505</x:v>
      </x:c>
      <x:c r="F3665" s="0" t="s">
        <x:v>45</x:v>
      </x:c>
      <x:c r="G3665" s="0" t="s">
        <x:v>19</x:v>
      </x:c>
      <x:c r="H3665" s="0" t="s">
        <x:v>20</x:v>
      </x:c>
      <x:c r="I3665" s="0" t="s">
        <x:v>21</x:v>
      </x:c>
      <x:c r="K3665" s="0">
        <x:f>hyperlink("https://icd.who.int/dev11/l-ichi/en#/http%3A%2F%2Fid.who.int%2Ficd%2Fentity%2F1719448746","browser")</x:f>
      </x:c>
      <x:c r="L3665" s="0">
        <x:f>hyperlink("https://icat2.azurewebsites.net/icat/?ontology=ICD&amp;tab=ClassesTab&amp;id=http%3A%2F%2Fwho.int%2Ficd%2315607_4869915e_217e_423d_acb3_33c0f920ef4b","iCat")</x:f>
      </x:c>
      <x:c r="M3665" s="0" t="s">
        <x:v>21</x:v>
      </x:c>
      <x:c r="N3665" s="0" t="s">
        <x:v>46</x:v>
      </x:c>
    </x:row>
    <x:row r="3666" spans="1:16">
      <x:c r="A3666" s="0" t="s">
        <x:v>14506</x:v>
      </x:c>
      <x:c r="B3666" s="0" t="s">
        <x:v>14507</x:v>
      </x:c>
      <x:c r="C3666" s="0" t="s">
        <x:v>14508</x:v>
      </x:c>
      <x:c r="E3666" s="0" t="s">
        <x:v>14509</x:v>
      </x:c>
      <x:c r="F3666" s="0" t="s">
        <x:v>45</x:v>
      </x:c>
      <x:c r="G3666" s="0" t="s">
        <x:v>19</x:v>
      </x:c>
      <x:c r="H3666" s="0" t="s">
        <x:v>20</x:v>
      </x:c>
      <x:c r="I3666" s="0" t="s">
        <x:v>21</x:v>
      </x:c>
      <x:c r="K3666" s="0">
        <x:f>hyperlink("https://icd.who.int/dev11/l-ichi/en#/http%3A%2F%2Fid.who.int%2Ficd%2Fentity%2F2113471078","browser")</x:f>
      </x:c>
      <x:c r="L3666" s="0">
        <x:f>hyperlink("https://icat2.azurewebsites.net/icat/?ontology=ICD&amp;tab=ClassesTab&amp;id=http%3A%2F%2Fwho.int%2Ficd%2317892_512ebf36_bf6b_4d70_85da_cf2637062af4","iCat")</x:f>
      </x:c>
      <x:c r="M3666" s="0" t="s">
        <x:v>21</x:v>
      </x:c>
      <x:c r="N3666" s="0" t="s">
        <x:v>46</x:v>
      </x:c>
    </x:row>
    <x:row r="3667" spans="1:16">
      <x:c r="A3667" s="0" t="s">
        <x:v>14510</x:v>
      </x:c>
      <x:c r="B3667" s="0" t="s">
        <x:v>14511</x:v>
      </x:c>
      <x:c r="C3667" s="0" t="s">
        <x:v>14512</x:v>
      </x:c>
      <x:c r="E3667" s="0" t="s">
        <x:v>14513</x:v>
      </x:c>
      <x:c r="F3667" s="0" t="s">
        <x:v>45</x:v>
      </x:c>
      <x:c r="G3667" s="0" t="s">
        <x:v>19</x:v>
      </x:c>
      <x:c r="H3667" s="0" t="s">
        <x:v>20</x:v>
      </x:c>
      <x:c r="I3667" s="0" t="s">
        <x:v>21</x:v>
      </x:c>
      <x:c r="K3667" s="0">
        <x:f>hyperlink("https://icd.who.int/dev11/l-ichi/en#/http%3A%2F%2Fid.who.int%2Ficd%2Fentity%2F1996299468","browser")</x:f>
      </x:c>
      <x:c r="L3667" s="0">
        <x:f>hyperlink("https://icat2.azurewebsites.net/icat/?ontology=ICD&amp;tab=ClassesTab&amp;id=http%3A%2F%2Fwho.int%2Ficd%2317899_512ebf36_bf6b_4d70_85da_cf2637062af4","iCat")</x:f>
      </x:c>
      <x:c r="M3667" s="0" t="s">
        <x:v>21</x:v>
      </x:c>
      <x:c r="N3667" s="0" t="s">
        <x:v>46</x:v>
      </x:c>
    </x:row>
    <x:row r="3668" spans="1:16">
      <x:c r="A3668" s="0" t="s">
        <x:v>14514</x:v>
      </x:c>
      <x:c r="B3668" s="0" t="s">
        <x:v>14515</x:v>
      </x:c>
      <x:c r="C3668" s="0" t="s">
        <x:v>14516</x:v>
      </x:c>
      <x:c r="E3668" s="0" t="s">
        <x:v>14517</x:v>
      </x:c>
      <x:c r="F3668" s="0" t="s">
        <x:v>45</x:v>
      </x:c>
      <x:c r="G3668" s="0" t="s">
        <x:v>19</x:v>
      </x:c>
      <x:c r="H3668" s="0" t="s">
        <x:v>20</x:v>
      </x:c>
      <x:c r="I3668" s="0" t="s">
        <x:v>21</x:v>
      </x:c>
      <x:c r="K3668" s="0">
        <x:f>hyperlink("https://icd.who.int/dev11/l-ichi/en#/http%3A%2F%2Fid.who.int%2Ficd%2Fentity%2F1809517744","browser")</x:f>
      </x:c>
      <x:c r="L3668" s="0">
        <x:f>hyperlink("https://icat2.azurewebsites.net/icat/?ontology=ICD&amp;tab=ClassesTab&amp;id=http%3A%2F%2Fwho.int%2Ficd%2318884_7353cc8f_16bd_4231_887a_95ea54e27297","iCat")</x:f>
      </x:c>
      <x:c r="M3668" s="0" t="s">
        <x:v>21</x:v>
      </x:c>
      <x:c r="N3668" s="0" t="s">
        <x:v>46</x:v>
      </x:c>
    </x:row>
    <x:row r="3669" spans="1:16">
      <x:c r="A3669" s="0" t="s">
        <x:v>14518</x:v>
      </x:c>
      <x:c r="B3669" s="0" t="s">
        <x:v>14519</x:v>
      </x:c>
      <x:c r="C3669" s="0" t="s">
        <x:v>14520</x:v>
      </x:c>
      <x:c r="E3669" s="0" t="s">
        <x:v>14521</x:v>
      </x:c>
      <x:c r="F3669" s="0" t="s">
        <x:v>45</x:v>
      </x:c>
      <x:c r="G3669" s="0" t="s">
        <x:v>19</x:v>
      </x:c>
      <x:c r="H3669" s="0" t="s">
        <x:v>20</x:v>
      </x:c>
      <x:c r="I3669" s="0" t="s">
        <x:v>21</x:v>
      </x:c>
      <x:c r="K3669" s="0">
        <x:f>hyperlink("https://icd.who.int/dev11/l-ichi/en#/http%3A%2F%2Fid.who.int%2Ficd%2Fentity%2F1751957026","browser")</x:f>
      </x:c>
      <x:c r="L3669" s="0">
        <x:f>hyperlink("https://icat2.azurewebsites.net/icat/?ontology=ICD&amp;tab=ClassesTab&amp;id=http%3A%2F%2Fwho.int%2Ficd%2317907_512ebf36_bf6b_4d70_85da_cf2637062af4","iCat")</x:f>
      </x:c>
      <x:c r="M3669" s="0" t="s">
        <x:v>21</x:v>
      </x:c>
      <x:c r="N3669" s="0" t="s">
        <x:v>46</x:v>
      </x:c>
    </x:row>
    <x:row r="3670" spans="1:16">
      <x:c r="A3670" s="0" t="s">
        <x:v>14522</x:v>
      </x:c>
      <x:c r="B3670" s="0" t="s">
        <x:v>14523</x:v>
      </x:c>
      <x:c r="C3670" s="0" t="s">
        <x:v>14524</x:v>
      </x:c>
      <x:c r="E3670" s="0" t="s">
        <x:v>14525</x:v>
      </x:c>
      <x:c r="F3670" s="0" t="s">
        <x:v>45</x:v>
      </x:c>
      <x:c r="G3670" s="0" t="s">
        <x:v>19</x:v>
      </x:c>
      <x:c r="H3670" s="0" t="s">
        <x:v>20</x:v>
      </x:c>
      <x:c r="I3670" s="0" t="s">
        <x:v>21</x:v>
      </x:c>
      <x:c r="K3670" s="0">
        <x:f>hyperlink("https://icd.who.int/dev11/l-ichi/en#/http%3A%2F%2Fid.who.int%2Ficd%2Fentity%2F2082189736","browser")</x:f>
      </x:c>
      <x:c r="L3670" s="0">
        <x:f>hyperlink("https://icat2.azurewebsites.net/icat/?ontology=ICD&amp;tab=ClassesTab&amp;id=http%3A%2F%2Fwho.int%2Ficd%2317928_512ebf36_bf6b_4d70_85da_cf2637062af4","iCat")</x:f>
      </x:c>
      <x:c r="M3670" s="0" t="s">
        <x:v>21</x:v>
      </x:c>
      <x:c r="N3670" s="0" t="s">
        <x:v>46</x:v>
      </x:c>
    </x:row>
    <x:row r="3671" spans="1:16">
      <x:c r="A3671" s="0" t="s">
        <x:v>14526</x:v>
      </x:c>
      <x:c r="B3671" s="0" t="s">
        <x:v>14527</x:v>
      </x:c>
      <x:c r="C3671" s="0" t="s">
        <x:v>14528</x:v>
      </x:c>
      <x:c r="E3671" s="0" t="s">
        <x:v>14529</x:v>
      </x:c>
      <x:c r="F3671" s="0" t="s">
        <x:v>45</x:v>
      </x:c>
      <x:c r="G3671" s="0" t="s">
        <x:v>19</x:v>
      </x:c>
      <x:c r="H3671" s="0" t="s">
        <x:v>20</x:v>
      </x:c>
      <x:c r="I3671" s="0" t="s">
        <x:v>21</x:v>
      </x:c>
      <x:c r="K3671" s="0">
        <x:f>hyperlink("https://icd.who.int/dev11/l-ichi/en#/http%3A%2F%2Fid.who.int%2Ficd%2Fentity%2F685637159","browser")</x:f>
      </x:c>
      <x:c r="L3671" s="0">
        <x:f>hyperlink("https://icat2.azurewebsites.net/icat/?ontology=ICD&amp;tab=ClassesTab&amp;id=http%3A%2F%2Fwho.int%2Ficd%2317937_512ebf36_bf6b_4d70_85da_cf2637062af4","iCat")</x:f>
      </x:c>
      <x:c r="M3671" s="0" t="s">
        <x:v>21</x:v>
      </x:c>
      <x:c r="N3671" s="0" t="s">
        <x:v>46</x:v>
      </x:c>
    </x:row>
    <x:row r="3672" spans="1:16">
      <x:c r="A3672" s="0" t="s">
        <x:v>14530</x:v>
      </x:c>
      <x:c r="B3672" s="0" t="s">
        <x:v>14531</x:v>
      </x:c>
      <x:c r="C3672" s="0" t="s">
        <x:v>14532</x:v>
      </x:c>
      <x:c r="E3672" s="0" t="s">
        <x:v>14533</x:v>
      </x:c>
      <x:c r="F3672" s="0" t="s">
        <x:v>45</x:v>
      </x:c>
      <x:c r="G3672" s="0" t="s">
        <x:v>19</x:v>
      </x:c>
      <x:c r="H3672" s="0" t="s">
        <x:v>20</x:v>
      </x:c>
      <x:c r="I3672" s="0" t="s">
        <x:v>21</x:v>
      </x:c>
      <x:c r="K3672" s="0">
        <x:f>hyperlink("https://icd.who.int/dev11/l-ichi/en#/http%3A%2F%2Fid.who.int%2Ficd%2Fentity%2F955424513","browser")</x:f>
      </x:c>
      <x:c r="L3672" s="0">
        <x:f>hyperlink("https://icat2.azurewebsites.net/icat/?ontology=ICD&amp;tab=ClassesTab&amp;id=http%3A%2F%2Fwho.int%2Ficd%2317946_512ebf36_bf6b_4d70_85da_cf2637062af4","iCat")</x:f>
      </x:c>
      <x:c r="M3672" s="0" t="s">
        <x:v>21</x:v>
      </x:c>
      <x:c r="N3672" s="0" t="s">
        <x:v>46</x:v>
      </x:c>
    </x:row>
    <x:row r="3673" spans="1:16">
      <x:c r="A3673" s="0" t="s">
        <x:v>14534</x:v>
      </x:c>
      <x:c r="B3673" s="0" t="s">
        <x:v>14535</x:v>
      </x:c>
      <x:c r="C3673" s="0" t="s">
        <x:v>14536</x:v>
      </x:c>
      <x:c r="E3673" s="0" t="s">
        <x:v>14537</x:v>
      </x:c>
      <x:c r="F3673" s="0" t="s">
        <x:v>45</x:v>
      </x:c>
      <x:c r="G3673" s="0" t="s">
        <x:v>19</x:v>
      </x:c>
      <x:c r="H3673" s="0" t="s">
        <x:v>20</x:v>
      </x:c>
      <x:c r="I3673" s="0" t="s">
        <x:v>21</x:v>
      </x:c>
      <x:c r="K3673" s="0">
        <x:f>hyperlink("https://icd.who.int/dev11/l-ichi/en#/http%3A%2F%2Fid.who.int%2Ficd%2Fentity%2F1731251748","browser")</x:f>
      </x:c>
      <x:c r="L3673" s="0">
        <x:f>hyperlink("https://icat2.azurewebsites.net/icat/?ontology=ICD&amp;tab=ClassesTab&amp;id=http%3A%2F%2Fwho.int%2Ficd%2317952_512ebf36_bf6b_4d70_85da_cf2637062af4","iCat")</x:f>
      </x:c>
      <x:c r="M3673" s="0" t="s">
        <x:v>21</x:v>
      </x:c>
      <x:c r="N3673" s="0" t="s">
        <x:v>46</x:v>
      </x:c>
    </x:row>
    <x:row r="3674" spans="1:16">
      <x:c r="A3674" s="0" t="s">
        <x:v>14538</x:v>
      </x:c>
      <x:c r="B3674" s="0" t="s">
        <x:v>14539</x:v>
      </x:c>
      <x:c r="C3674" s="0" t="s">
        <x:v>14540</x:v>
      </x:c>
      <x:c r="E3674" s="0" t="s">
        <x:v>14541</x:v>
      </x:c>
      <x:c r="F3674" s="0" t="s">
        <x:v>45</x:v>
      </x:c>
      <x:c r="G3674" s="0" t="s">
        <x:v>19</x:v>
      </x:c>
      <x:c r="H3674" s="0" t="s">
        <x:v>20</x:v>
      </x:c>
      <x:c r="I3674" s="0" t="s">
        <x:v>21</x:v>
      </x:c>
      <x:c r="K3674" s="0">
        <x:f>hyperlink("https://icd.who.int/dev11/l-ichi/en#/http%3A%2F%2Fid.who.int%2Ficd%2Fentity%2F1288544948","browser")</x:f>
      </x:c>
      <x:c r="L3674" s="0">
        <x:f>hyperlink("https://icat2.azurewebsites.net/icat/?ontology=ICD&amp;tab=ClassesTab&amp;id=http%3A%2F%2Fwho.int%2Ficd%2317958_512ebf36_bf6b_4d70_85da_cf2637062af4","iCat")</x:f>
      </x:c>
      <x:c r="M3674" s="0" t="s">
        <x:v>21</x:v>
      </x:c>
      <x:c r="N3674" s="0" t="s">
        <x:v>46</x:v>
      </x:c>
    </x:row>
    <x:row r="3675" spans="1:16">
      <x:c r="A3675" s="0" t="s">
        <x:v>14542</x:v>
      </x:c>
      <x:c r="B3675" s="0" t="s">
        <x:v>14543</x:v>
      </x:c>
      <x:c r="C3675" s="0" t="s">
        <x:v>14544</x:v>
      </x:c>
      <x:c r="E3675" s="0" t="s">
        <x:v>14545</x:v>
      </x:c>
      <x:c r="F3675" s="0" t="s">
        <x:v>45</x:v>
      </x:c>
      <x:c r="G3675" s="0" t="s">
        <x:v>19</x:v>
      </x:c>
      <x:c r="H3675" s="0" t="s">
        <x:v>20</x:v>
      </x:c>
      <x:c r="I3675" s="0" t="s">
        <x:v>21</x:v>
      </x:c>
      <x:c r="K3675" s="0">
        <x:f>hyperlink("https://icd.who.int/dev11/l-ichi/en#/http%3A%2F%2Fid.who.int%2Ficd%2Fentity%2F209511093","browser")</x:f>
      </x:c>
      <x:c r="L3675" s="0">
        <x:f>hyperlink("https://icat2.azurewebsites.net/icat/?ontology=ICD&amp;tab=ClassesTab&amp;id=http%3A%2F%2Fwho.int%2Ficd%2317968_512ebf36_bf6b_4d70_85da_cf2637062af4","iCat")</x:f>
      </x:c>
      <x:c r="M3675" s="0" t="s">
        <x:v>21</x:v>
      </x:c>
      <x:c r="N3675" s="0" t="s">
        <x:v>46</x:v>
      </x:c>
    </x:row>
    <x:row r="3676" spans="1:16">
      <x:c r="A3676" s="0" t="s">
        <x:v>14546</x:v>
      </x:c>
      <x:c r="B3676" s="0" t="s">
        <x:v>14547</x:v>
      </x:c>
      <x:c r="C3676" s="0" t="s">
        <x:v>14548</x:v>
      </x:c>
      <x:c r="E3676" s="0" t="s">
        <x:v>14549</x:v>
      </x:c>
      <x:c r="F3676" s="0" t="s">
        <x:v>45</x:v>
      </x:c>
      <x:c r="G3676" s="0" t="s">
        <x:v>19</x:v>
      </x:c>
      <x:c r="H3676" s="0" t="s">
        <x:v>20</x:v>
      </x:c>
      <x:c r="I3676" s="0" t="s">
        <x:v>21</x:v>
      </x:c>
      <x:c r="K3676" s="0">
        <x:f>hyperlink("https://icd.who.int/dev11/l-ichi/en#/http%3A%2F%2Fid.who.int%2Ficd%2Fentity%2F490717891","browser")</x:f>
      </x:c>
      <x:c r="L3676" s="0">
        <x:f>hyperlink("https://icat2.azurewebsites.net/icat/?ontology=ICD&amp;tab=ClassesTab&amp;id=http%3A%2F%2Fwho.int%2Ficd%2317974_512ebf36_bf6b_4d70_85da_cf2637062af4","iCat")</x:f>
      </x:c>
      <x:c r="M3676" s="0" t="s">
        <x:v>21</x:v>
      </x:c>
      <x:c r="N3676" s="0" t="s">
        <x:v>46</x:v>
      </x:c>
    </x:row>
    <x:row r="3677" spans="1:16">
      <x:c r="A3677" s="0" t="s">
        <x:v>14550</x:v>
      </x:c>
      <x:c r="B3677" s="0" t="s">
        <x:v>14551</x:v>
      </x:c>
      <x:c r="C3677" s="0" t="s">
        <x:v>14552</x:v>
      </x:c>
      <x:c r="E3677" s="0" t="s">
        <x:v>14553</x:v>
      </x:c>
      <x:c r="F3677" s="0" t="s">
        <x:v>45</x:v>
      </x:c>
      <x:c r="G3677" s="0" t="s">
        <x:v>19</x:v>
      </x:c>
      <x:c r="H3677" s="0" t="s">
        <x:v>20</x:v>
      </x:c>
      <x:c r="I3677" s="0" t="s">
        <x:v>21</x:v>
      </x:c>
      <x:c r="K3677" s="0">
        <x:f>hyperlink("https://icd.who.int/dev11/l-ichi/en#/http%3A%2F%2Fid.who.int%2Ficd%2Fentity%2F1654870444","browser")</x:f>
      </x:c>
      <x:c r="L3677" s="0">
        <x:f>hyperlink("https://icat2.azurewebsites.net/icat/?ontology=ICD&amp;tab=ClassesTab&amp;id=http%3A%2F%2Fwho.int%2Ficd%2317982_512ebf36_bf6b_4d70_85da_cf2637062af4","iCat")</x:f>
      </x:c>
      <x:c r="M3677" s="0" t="s">
        <x:v>21</x:v>
      </x:c>
      <x:c r="N3677" s="0" t="s">
        <x:v>46</x:v>
      </x:c>
    </x:row>
    <x:row r="3678" spans="1:16">
      <x:c r="A3678" s="0" t="s">
        <x:v>14554</x:v>
      </x:c>
      <x:c r="B3678" s="0" t="s">
        <x:v>14555</x:v>
      </x:c>
      <x:c r="C3678" s="0" t="s">
        <x:v>14556</x:v>
      </x:c>
      <x:c r="E3678" s="0" t="s">
        <x:v>14557</x:v>
      </x:c>
      <x:c r="F3678" s="0" t="s">
        <x:v>45</x:v>
      </x:c>
      <x:c r="G3678" s="0" t="s">
        <x:v>19</x:v>
      </x:c>
      <x:c r="H3678" s="0" t="s">
        <x:v>20</x:v>
      </x:c>
      <x:c r="I3678" s="0" t="s">
        <x:v>21</x:v>
      </x:c>
      <x:c r="K3678" s="0">
        <x:f>hyperlink("https://icd.who.int/dev11/l-ichi/en#/http%3A%2F%2Fid.who.int%2Ficd%2Fentity%2F1772572418","browser")</x:f>
      </x:c>
      <x:c r="L3678" s="0">
        <x:f>hyperlink("https://icat2.azurewebsites.net/icat/?ontology=ICD&amp;tab=ClassesTab&amp;id=http%3A%2F%2Fwho.int%2Ficd%2317989_512ebf36_bf6b_4d70_85da_cf2637062af4","iCat")</x:f>
      </x:c>
      <x:c r="M3678" s="0" t="s">
        <x:v>21</x:v>
      </x:c>
      <x:c r="N3678" s="0" t="s">
        <x:v>46</x:v>
      </x:c>
    </x:row>
    <x:row r="3679" spans="1:16">
      <x:c r="A3679" s="0" t="s">
        <x:v>14558</x:v>
      </x:c>
      <x:c r="B3679" s="0" t="s">
        <x:v>14559</x:v>
      </x:c>
      <x:c r="C3679" s="0" t="s">
        <x:v>14560</x:v>
      </x:c>
      <x:c r="E3679" s="0" t="s">
        <x:v>14561</x:v>
      </x:c>
      <x:c r="F3679" s="0" t="s">
        <x:v>45</x:v>
      </x:c>
      <x:c r="G3679" s="0" t="s">
        <x:v>19</x:v>
      </x:c>
      <x:c r="H3679" s="0" t="s">
        <x:v>20</x:v>
      </x:c>
      <x:c r="I3679" s="0" t="s">
        <x:v>21</x:v>
      </x:c>
      <x:c r="K3679" s="0">
        <x:f>hyperlink("https://icd.who.int/dev11/l-ichi/en#/http%3A%2F%2Fid.who.int%2Ficd%2Fentity%2F1029767311","browser")</x:f>
      </x:c>
      <x:c r="L3679" s="0">
        <x:f>hyperlink("https://icat2.azurewebsites.net/icat/?ontology=ICD&amp;tab=ClassesTab&amp;id=http%3A%2F%2Fwho.int%2Ficd%2317996_512ebf36_bf6b_4d70_85da_cf2637062af4","iCat")</x:f>
      </x:c>
      <x:c r="M3679" s="0" t="s">
        <x:v>21</x:v>
      </x:c>
      <x:c r="N3679" s="0" t="s">
        <x:v>46</x:v>
      </x:c>
    </x:row>
    <x:row r="3680" spans="1:16">
      <x:c r="A3680" s="0" t="s">
        <x:v>14562</x:v>
      </x:c>
      <x:c r="B3680" s="0" t="s">
        <x:v>14563</x:v>
      </x:c>
      <x:c r="C3680" s="0" t="s">
        <x:v>14564</x:v>
      </x:c>
      <x:c r="E3680" s="0" t="s">
        <x:v>14565</x:v>
      </x:c>
      <x:c r="F3680" s="0" t="s">
        <x:v>45</x:v>
      </x:c>
      <x:c r="G3680" s="0" t="s">
        <x:v>19</x:v>
      </x:c>
      <x:c r="H3680" s="0" t="s">
        <x:v>20</x:v>
      </x:c>
      <x:c r="I3680" s="0" t="s">
        <x:v>21</x:v>
      </x:c>
      <x:c r="K3680" s="0">
        <x:f>hyperlink("https://icd.who.int/dev11/l-ichi/en#/http%3A%2F%2Fid.who.int%2Ficd%2Fentity%2F787815245","browser")</x:f>
      </x:c>
      <x:c r="L3680" s="0">
        <x:f>hyperlink("https://icat2.azurewebsites.net/icat/?ontology=ICD&amp;tab=ClassesTab&amp;id=http%3A%2F%2Fwho.int%2Ficd%2389_7d3164e7_57ed_4b09_bb56_286e36e953fb","iCat")</x:f>
      </x:c>
      <x:c r="M3680" s="0" t="s">
        <x:v>21</x:v>
      </x:c>
      <x:c r="N3680" s="0" t="s">
        <x:v>46</x:v>
      </x:c>
    </x:row>
    <x:row r="3681" spans="1:16">
      <x:c r="A3681" s="0" t="s">
        <x:v>14566</x:v>
      </x:c>
      <x:c r="B3681" s="0" t="s">
        <x:v>14567</x:v>
      </x:c>
      <x:c r="C3681" s="0" t="s">
        <x:v>14568</x:v>
      </x:c>
      <x:c r="E3681" s="0" t="s">
        <x:v>14569</x:v>
      </x:c>
      <x:c r="F3681" s="0" t="s">
        <x:v>45</x:v>
      </x:c>
      <x:c r="G3681" s="0" t="s">
        <x:v>19</x:v>
      </x:c>
      <x:c r="H3681" s="0" t="s">
        <x:v>20</x:v>
      </x:c>
      <x:c r="I3681" s="0" t="s">
        <x:v>21</x:v>
      </x:c>
      <x:c r="K3681" s="0">
        <x:f>hyperlink("https://icd.who.int/dev11/l-ichi/en#/http%3A%2F%2Fid.who.int%2Ficd%2Fentity%2F1677444062","browser")</x:f>
      </x:c>
      <x:c r="L3681" s="0">
        <x:f>hyperlink("https://icat2.azurewebsites.net/icat/?ontology=ICD&amp;tab=ClassesTab&amp;id=http%3A%2F%2Fwho.int%2Ficd%2318005_512ebf36_bf6b_4d70_85da_cf2637062af4","iCat")</x:f>
      </x:c>
      <x:c r="M3681" s="0" t="s">
        <x:v>21</x:v>
      </x:c>
      <x:c r="N3681" s="0" t="s">
        <x:v>46</x:v>
      </x:c>
    </x:row>
    <x:row r="3682" spans="1:16">
      <x:c r="A3682" s="0" t="s">
        <x:v>14570</x:v>
      </x:c>
      <x:c r="B3682" s="0" t="s">
        <x:v>14571</x:v>
      </x:c>
      <x:c r="C3682" s="0" t="s">
        <x:v>14572</x:v>
      </x:c>
      <x:c r="E3682" s="0" t="s">
        <x:v>14573</x:v>
      </x:c>
      <x:c r="F3682" s="0" t="s">
        <x:v>45</x:v>
      </x:c>
      <x:c r="G3682" s="0" t="s">
        <x:v>19</x:v>
      </x:c>
      <x:c r="H3682" s="0" t="s">
        <x:v>20</x:v>
      </x:c>
      <x:c r="I3682" s="0" t="s">
        <x:v>21</x:v>
      </x:c>
      <x:c r="K3682" s="0">
        <x:f>hyperlink("https://icd.who.int/dev11/l-ichi/en#/http%3A%2F%2Fid.who.int%2Ficd%2Fentity%2F2042428680","browser")</x:f>
      </x:c>
      <x:c r="L3682" s="0">
        <x:f>hyperlink("https://icat2.azurewebsites.net/icat/?ontology=ICD&amp;tab=ClassesTab&amp;id=http%3A%2F%2Fwho.int%2Ficd%2318012_512ebf36_bf6b_4d70_85da_cf2637062af4","iCat")</x:f>
      </x:c>
      <x:c r="M3682" s="0" t="s">
        <x:v>21</x:v>
      </x:c>
      <x:c r="N3682" s="0" t="s">
        <x:v>46</x:v>
      </x:c>
    </x:row>
    <x:row r="3683" spans="1:16">
      <x:c r="A3683" s="0" t="s">
        <x:v>14574</x:v>
      </x:c>
      <x:c r="B3683" s="0" t="s">
        <x:v>14575</x:v>
      </x:c>
      <x:c r="C3683" s="0" t="s">
        <x:v>14576</x:v>
      </x:c>
      <x:c r="E3683" s="0" t="s">
        <x:v>14577</x:v>
      </x:c>
      <x:c r="F3683" s="0" t="s">
        <x:v>45</x:v>
      </x:c>
      <x:c r="G3683" s="0" t="s">
        <x:v>19</x:v>
      </x:c>
      <x:c r="H3683" s="0" t="s">
        <x:v>20</x:v>
      </x:c>
      <x:c r="I3683" s="0" t="s">
        <x:v>21</x:v>
      </x:c>
      <x:c r="K3683" s="0">
        <x:f>hyperlink("https://icd.who.int/dev11/l-ichi/en#/http%3A%2F%2Fid.who.int%2Ficd%2Fentity%2F1924719530","browser")</x:f>
      </x:c>
      <x:c r="L3683" s="0">
        <x:f>hyperlink("https://icat2.azurewebsites.net/icat/?ontology=ICD&amp;tab=ClassesTab&amp;id=http%3A%2F%2Fwho.int%2Ficd%2318019_512ebf36_bf6b_4d70_85da_cf2637062af4","iCat")</x:f>
      </x:c>
      <x:c r="M3683" s="0" t="s">
        <x:v>21</x:v>
      </x:c>
      <x:c r="N3683" s="0" t="s">
        <x:v>46</x:v>
      </x:c>
    </x:row>
    <x:row r="3684" spans="1:16">
      <x:c r="A3684" s="0" t="s">
        <x:v>14578</x:v>
      </x:c>
      <x:c r="B3684" s="0" t="s">
        <x:v>14579</x:v>
      </x:c>
      <x:c r="C3684" s="0" t="s">
        <x:v>14580</x:v>
      </x:c>
      <x:c r="E3684" s="0" t="s">
        <x:v>14581</x:v>
      </x:c>
      <x:c r="F3684" s="0" t="s">
        <x:v>45</x:v>
      </x:c>
      <x:c r="G3684" s="0" t="s">
        <x:v>19</x:v>
      </x:c>
      <x:c r="H3684" s="0" t="s">
        <x:v>20</x:v>
      </x:c>
      <x:c r="I3684" s="0" t="s">
        <x:v>21</x:v>
      </x:c>
      <x:c r="K3684" s="0">
        <x:f>hyperlink("https://icd.who.int/dev11/l-ichi/en#/http%3A%2F%2Fid.who.int%2Ficd%2Fentity%2F754125641","browser")</x:f>
      </x:c>
      <x:c r="L3684" s="0">
        <x:f>hyperlink("https://icat2.azurewebsites.net/icat/?ontology=ICD&amp;tab=ClassesTab&amp;id=http%3A%2F%2Fwho.int%2Ficd%2318027_512ebf36_bf6b_4d70_85da_cf2637062af4","iCat")</x:f>
      </x:c>
      <x:c r="M3684" s="0" t="s">
        <x:v>21</x:v>
      </x:c>
      <x:c r="N3684" s="0" t="s">
        <x:v>46</x:v>
      </x:c>
    </x:row>
    <x:row r="3685" spans="1:16">
      <x:c r="A3685" s="0" t="s">
        <x:v>14582</x:v>
      </x:c>
      <x:c r="B3685" s="0" t="s">
        <x:v>14583</x:v>
      </x:c>
      <x:c r="C3685" s="0" t="s">
        <x:v>14584</x:v>
      </x:c>
      <x:c r="E3685" s="0" t="s">
        <x:v>14585</x:v>
      </x:c>
      <x:c r="F3685" s="0" t="s">
        <x:v>45</x:v>
      </x:c>
      <x:c r="G3685" s="0" t="s">
        <x:v>19</x:v>
      </x:c>
      <x:c r="H3685" s="0" t="s">
        <x:v>20</x:v>
      </x:c>
      <x:c r="I3685" s="0" t="s">
        <x:v>21</x:v>
      </x:c>
      <x:c r="K3685" s="0">
        <x:f>hyperlink("https://icd.who.int/dev11/l-ichi/en#/http%3A%2F%2Fid.who.int%2Ficd%2Fentity%2F592085979","browser")</x:f>
      </x:c>
      <x:c r="L3685" s="0">
        <x:f>hyperlink("https://icat2.azurewebsites.net/icat/?ontology=ICD&amp;tab=ClassesTab&amp;id=http%3A%2F%2Fwho.int%2Ficd%2318035_512ebf36_bf6b_4d70_85da_cf2637062af4","iCat")</x:f>
      </x:c>
      <x:c r="M3685" s="0" t="s">
        <x:v>21</x:v>
      </x:c>
      <x:c r="N3685" s="0" t="s">
        <x:v>46</x:v>
      </x:c>
    </x:row>
    <x:row r="3686" spans="1:16">
      <x:c r="A3686" s="0" t="s">
        <x:v>14586</x:v>
      </x:c>
      <x:c r="B3686" s="0" t="s">
        <x:v>14587</x:v>
      </x:c>
      <x:c r="C3686" s="0" t="s">
        <x:v>14588</x:v>
      </x:c>
      <x:c r="E3686" s="0" t="s">
        <x:v>14589</x:v>
      </x:c>
      <x:c r="F3686" s="0" t="s">
        <x:v>45</x:v>
      </x:c>
      <x:c r="G3686" s="0" t="s">
        <x:v>19</x:v>
      </x:c>
      <x:c r="H3686" s="0" t="s">
        <x:v>20</x:v>
      </x:c>
      <x:c r="I3686" s="0" t="s">
        <x:v>21</x:v>
      </x:c>
      <x:c r="K3686" s="0">
        <x:f>hyperlink("https://icd.who.int/dev11/l-ichi/en#/http%3A%2F%2Fid.who.int%2Ficd%2Fentity%2F1662925646","browser")</x:f>
      </x:c>
      <x:c r="L3686" s="0">
        <x:f>hyperlink("https://icat2.azurewebsites.net/icat/?ontology=ICD&amp;tab=ClassesTab&amp;id=http%3A%2F%2Fwho.int%2Ficd%2318042_512ebf36_bf6b_4d70_85da_cf2637062af4","iCat")</x:f>
      </x:c>
      <x:c r="M3686" s="0" t="s">
        <x:v>21</x:v>
      </x:c>
      <x:c r="N3686" s="0" t="s">
        <x:v>46</x:v>
      </x:c>
    </x:row>
    <x:row r="3687" spans="1:16">
      <x:c r="A3687" s="0" t="s">
        <x:v>14590</x:v>
      </x:c>
      <x:c r="B3687" s="0" t="s">
        <x:v>14591</x:v>
      </x:c>
      <x:c r="C3687" s="0" t="s">
        <x:v>14592</x:v>
      </x:c>
      <x:c r="E3687" s="0" t="s">
        <x:v>14593</x:v>
      </x:c>
      <x:c r="F3687" s="0" t="s">
        <x:v>45</x:v>
      </x:c>
      <x:c r="G3687" s="0" t="s">
        <x:v>19</x:v>
      </x:c>
      <x:c r="H3687" s="0" t="s">
        <x:v>20</x:v>
      </x:c>
      <x:c r="I3687" s="0" t="s">
        <x:v>21</x:v>
      </x:c>
      <x:c r="K3687" s="0">
        <x:f>hyperlink("https://icd.who.int/dev11/l-ichi/en#/http%3A%2F%2Fid.who.int%2Ficd%2Fentity%2F1746544096","browser")</x:f>
      </x:c>
      <x:c r="L3687" s="0">
        <x:f>hyperlink("https://icat2.azurewebsites.net/icat/?ontology=ICD&amp;tab=ClassesTab&amp;id=http%3A%2F%2Fwho.int%2Ficd%2318049_512ebf36_bf6b_4d70_85da_cf2637062af4","iCat")</x:f>
      </x:c>
      <x:c r="M3687" s="0" t="s">
        <x:v>21</x:v>
      </x:c>
      <x:c r="N3687" s="0" t="s">
        <x:v>46</x:v>
      </x:c>
    </x:row>
    <x:row r="3688" spans="1:16">
      <x:c r="A3688" s="0" t="s">
        <x:v>14594</x:v>
      </x:c>
      <x:c r="B3688" s="0" t="s">
        <x:v>14595</x:v>
      </x:c>
      <x:c r="C3688" s="0" t="s">
        <x:v>14596</x:v>
      </x:c>
      <x:c r="E3688" s="0" t="s">
        <x:v>14597</x:v>
      </x:c>
      <x:c r="F3688" s="0" t="s">
        <x:v>45</x:v>
      </x:c>
      <x:c r="G3688" s="0" t="s">
        <x:v>19</x:v>
      </x:c>
      <x:c r="H3688" s="0" t="s">
        <x:v>20</x:v>
      </x:c>
      <x:c r="I3688" s="0" t="s">
        <x:v>21</x:v>
      </x:c>
      <x:c r="K3688" s="0">
        <x:f>hyperlink("https://icd.who.int/dev11/l-ichi/en#/http%3A%2F%2Fid.who.int%2Ficd%2Fentity%2F2035877272","browser")</x:f>
      </x:c>
      <x:c r="L3688" s="0">
        <x:f>hyperlink("https://icat2.azurewebsites.net/icat/?ontology=ICD&amp;tab=ClassesTab&amp;id=http%3A%2F%2Fwho.int%2Ficd%2318055_512ebf36_bf6b_4d70_85da_cf2637062af4","iCat")</x:f>
      </x:c>
      <x:c r="M3688" s="0" t="s">
        <x:v>21</x:v>
      </x:c>
      <x:c r="N3688" s="0" t="s">
        <x:v>46</x:v>
      </x:c>
    </x:row>
    <x:row r="3689" spans="1:16">
      <x:c r="A3689" s="0" t="s">
        <x:v>14598</x:v>
      </x:c>
      <x:c r="B3689" s="0" t="s">
        <x:v>14599</x:v>
      </x:c>
      <x:c r="C3689" s="0" t="s">
        <x:v>14600</x:v>
      </x:c>
      <x:c r="E3689" s="0" t="s">
        <x:v>14601</x:v>
      </x:c>
      <x:c r="F3689" s="0" t="s">
        <x:v>45</x:v>
      </x:c>
      <x:c r="G3689" s="0" t="s">
        <x:v>19</x:v>
      </x:c>
      <x:c r="H3689" s="0" t="s">
        <x:v>20</x:v>
      </x:c>
      <x:c r="I3689" s="0" t="s">
        <x:v>21</x:v>
      </x:c>
      <x:c r="K3689" s="0">
        <x:f>hyperlink("https://icd.who.int/dev11/l-ichi/en#/http%3A%2F%2Fid.who.int%2Ficd%2Fentity%2F1714033844","browser")</x:f>
      </x:c>
      <x:c r="L3689" s="0">
        <x:f>hyperlink("https://icat2.azurewebsites.net/icat/?ontology=ICD&amp;tab=ClassesTab&amp;id=http%3A%2F%2Fwho.int%2Ficd%2318071_512ebf36_bf6b_4d70_85da_cf2637062af4","iCat")</x:f>
      </x:c>
      <x:c r="M3689" s="0" t="s">
        <x:v>21</x:v>
      </x:c>
      <x:c r="N3689" s="0" t="s">
        <x:v>46</x:v>
      </x:c>
    </x:row>
    <x:row r="3690" spans="1:16">
      <x:c r="A3690" s="0" t="s">
        <x:v>14602</x:v>
      </x:c>
      <x:c r="B3690" s="0" t="s">
        <x:v>14603</x:v>
      </x:c>
      <x:c r="C3690" s="0" t="s">
        <x:v>14604</x:v>
      </x:c>
      <x:c r="E3690" s="0" t="s">
        <x:v>14605</x:v>
      </x:c>
      <x:c r="F3690" s="0" t="s">
        <x:v>45</x:v>
      </x:c>
      <x:c r="G3690" s="0" t="s">
        <x:v>19</x:v>
      </x:c>
      <x:c r="H3690" s="0" t="s">
        <x:v>20</x:v>
      </x:c>
      <x:c r="I3690" s="0" t="s">
        <x:v>21</x:v>
      </x:c>
      <x:c r="K3690" s="0">
        <x:f>hyperlink("https://icd.who.int/dev11/l-ichi/en#/http%3A%2F%2Fid.who.int%2Ficd%2Fentity%2F206057877","browser")</x:f>
      </x:c>
      <x:c r="L3690" s="0">
        <x:f>hyperlink("https://icat2.azurewebsites.net/icat/?ontology=ICD&amp;tab=ClassesTab&amp;id=http%3A%2F%2Fwho.int%2Ficd%2318082_512ebf36_bf6b_4d70_85da_cf2637062af4","iCat")</x:f>
      </x:c>
      <x:c r="M3690" s="0" t="s">
        <x:v>21</x:v>
      </x:c>
      <x:c r="N3690" s="0" t="s">
        <x:v>46</x:v>
      </x:c>
    </x:row>
    <x:row r="3691" spans="1:16">
      <x:c r="A3691" s="0" t="s">
        <x:v>14606</x:v>
      </x:c>
      <x:c r="B3691" s="0" t="s">
        <x:v>14607</x:v>
      </x:c>
      <x:c r="C3691" s="0" t="s">
        <x:v>14608</x:v>
      </x:c>
      <x:c r="E3691" s="0" t="s">
        <x:v>14609</x:v>
      </x:c>
      <x:c r="F3691" s="0" t="s">
        <x:v>45</x:v>
      </x:c>
      <x:c r="G3691" s="0" t="s">
        <x:v>19</x:v>
      </x:c>
      <x:c r="H3691" s="0" t="s">
        <x:v>20</x:v>
      </x:c>
      <x:c r="I3691" s="0" t="s">
        <x:v>21</x:v>
      </x:c>
      <x:c r="K3691" s="0">
        <x:f>hyperlink("https://icd.who.int/dev11/l-ichi/en#/http%3A%2F%2Fid.who.int%2Ficd%2Fentity%2F1515798413","browser")</x:f>
      </x:c>
      <x:c r="L3691" s="0">
        <x:f>hyperlink("https://icat2.azurewebsites.net/icat/?ontology=ICD&amp;tab=ClassesTab&amp;id=http%3A%2F%2Fwho.int%2Ficd%2320371_512ebf36_bf6b_4d70_85da_cf2637062af4","iCat")</x:f>
      </x:c>
      <x:c r="M3691" s="0" t="s">
        <x:v>21</x:v>
      </x:c>
      <x:c r="N3691" s="0" t="s">
        <x:v>46</x:v>
      </x:c>
    </x:row>
    <x:row r="3692" spans="1:16">
      <x:c r="A3692" s="0" t="s">
        <x:v>14610</x:v>
      </x:c>
      <x:c r="B3692" s="0" t="s">
        <x:v>14611</x:v>
      </x:c>
      <x:c r="C3692" s="0" t="s">
        <x:v>14612</x:v>
      </x:c>
      <x:c r="E3692" s="0" t="s">
        <x:v>14613</x:v>
      </x:c>
      <x:c r="F3692" s="0" t="s">
        <x:v>45</x:v>
      </x:c>
      <x:c r="G3692" s="0" t="s">
        <x:v>19</x:v>
      </x:c>
      <x:c r="H3692" s="0" t="s">
        <x:v>20</x:v>
      </x:c>
      <x:c r="I3692" s="0" t="s">
        <x:v>21</x:v>
      </x:c>
      <x:c r="K3692" s="0">
        <x:f>hyperlink("https://icd.who.int/dev11/l-ichi/en#/http%3A%2F%2Fid.who.int%2Ficd%2Fentity%2F666197253","browser")</x:f>
      </x:c>
      <x:c r="L3692" s="0">
        <x:f>hyperlink("https://icat2.azurewebsites.net/icat/?ontology=ICD&amp;tab=ClassesTab&amp;id=http%3A%2F%2Fwho.int%2Ficd%2318088_512ebf36_bf6b_4d70_85da_cf2637062af4","iCat")</x:f>
      </x:c>
      <x:c r="M3692" s="0" t="s">
        <x:v>21</x:v>
      </x:c>
      <x:c r="N3692" s="0" t="s">
        <x:v>46</x:v>
      </x:c>
    </x:row>
    <x:row r="3693" spans="1:16">
      <x:c r="A3693" s="0" t="s">
        <x:v>14614</x:v>
      </x:c>
      <x:c r="B3693" s="0" t="s">
        <x:v>14615</x:v>
      </x:c>
      <x:c r="C3693" s="0" t="s">
        <x:v>14616</x:v>
      </x:c>
      <x:c r="E3693" s="0" t="s">
        <x:v>14617</x:v>
      </x:c>
      <x:c r="F3693" s="0" t="s">
        <x:v>45</x:v>
      </x:c>
      <x:c r="G3693" s="0" t="s">
        <x:v>19</x:v>
      </x:c>
      <x:c r="H3693" s="0" t="s">
        <x:v>20</x:v>
      </x:c>
      <x:c r="I3693" s="0" t="s">
        <x:v>21</x:v>
      </x:c>
      <x:c r="K3693" s="0">
        <x:f>hyperlink("https://icd.who.int/dev11/l-ichi/en#/http%3A%2F%2Fid.who.int%2Ficd%2Fentity%2F370085711","browser")</x:f>
      </x:c>
      <x:c r="L3693" s="0">
        <x:f>hyperlink("https://icat2.azurewebsites.net/icat/?ontology=ICD&amp;tab=ClassesTab&amp;id=http%3A%2F%2Fwho.int%2Ficd%2318095_512ebf36_bf6b_4d70_85da_cf2637062af4","iCat")</x:f>
      </x:c>
      <x:c r="M3693" s="0" t="s">
        <x:v>21</x:v>
      </x:c>
      <x:c r="N3693" s="0" t="s">
        <x:v>46</x:v>
      </x:c>
    </x:row>
    <x:row r="3694" spans="1:16">
      <x:c r="A3694" s="0" t="s">
        <x:v>14618</x:v>
      </x:c>
      <x:c r="B3694" s="0" t="s">
        <x:v>14619</x:v>
      </x:c>
      <x:c r="C3694" s="0" t="s">
        <x:v>14620</x:v>
      </x:c>
      <x:c r="E3694" s="0" t="s">
        <x:v>14621</x:v>
      </x:c>
      <x:c r="F3694" s="0" t="s">
        <x:v>45</x:v>
      </x:c>
      <x:c r="G3694" s="0" t="s">
        <x:v>19</x:v>
      </x:c>
      <x:c r="H3694" s="0" t="s">
        <x:v>20</x:v>
      </x:c>
      <x:c r="I3694" s="0" t="s">
        <x:v>21</x:v>
      </x:c>
      <x:c r="K3694" s="0">
        <x:f>hyperlink("https://icd.who.int/dev11/l-ichi/en#/http%3A%2F%2Fid.who.int%2Ficd%2Fentity%2F1293664862","browser")</x:f>
      </x:c>
      <x:c r="L3694" s="0">
        <x:f>hyperlink("https://icat2.azurewebsites.net/icat/?ontology=ICD&amp;tab=ClassesTab&amp;id=http%3A%2F%2Fwho.int%2Ficd%2318108_512ebf36_bf6b_4d70_85da_cf2637062af4","iCat")</x:f>
      </x:c>
      <x:c r="M3694" s="0" t="s">
        <x:v>21</x:v>
      </x:c>
      <x:c r="N3694" s="0" t="s">
        <x:v>46</x:v>
      </x:c>
    </x:row>
    <x:row r="3695" spans="1:16">
      <x:c r="A3695" s="0" t="s">
        <x:v>14622</x:v>
      </x:c>
      <x:c r="B3695" s="0" t="s">
        <x:v>14623</x:v>
      </x:c>
      <x:c r="C3695" s="0" t="s">
        <x:v>14624</x:v>
      </x:c>
      <x:c r="E3695" s="0" t="s">
        <x:v>14625</x:v>
      </x:c>
      <x:c r="F3695" s="0" t="s">
        <x:v>45</x:v>
      </x:c>
      <x:c r="G3695" s="0" t="s">
        <x:v>19</x:v>
      </x:c>
      <x:c r="H3695" s="0" t="s">
        <x:v>20</x:v>
      </x:c>
      <x:c r="I3695" s="0" t="s">
        <x:v>21</x:v>
      </x:c>
      <x:c r="K3695" s="0">
        <x:f>hyperlink("https://icd.who.int/dev11/l-ichi/en#/http%3A%2F%2Fid.who.int%2Ficd%2Fentity%2F958726127","browser")</x:f>
      </x:c>
      <x:c r="L3695" s="0">
        <x:f>hyperlink("https://icat2.azurewebsites.net/icat/?ontology=ICD&amp;tab=ClassesTab&amp;id=http%3A%2F%2Fwho.int%2Ficd%2318116_512ebf36_bf6b_4d70_85da_cf2637062af4","iCat")</x:f>
      </x:c>
      <x:c r="M3695" s="0" t="s">
        <x:v>21</x:v>
      </x:c>
      <x:c r="N3695" s="0" t="s">
        <x:v>46</x:v>
      </x:c>
    </x:row>
    <x:row r="3696" spans="1:16">
      <x:c r="A3696" s="0" t="s">
        <x:v>14626</x:v>
      </x:c>
      <x:c r="B3696" s="0" t="s">
        <x:v>14627</x:v>
      </x:c>
      <x:c r="C3696" s="0" t="s">
        <x:v>14628</x:v>
      </x:c>
      <x:c r="E3696" s="0" t="s">
        <x:v>14629</x:v>
      </x:c>
      <x:c r="F3696" s="0" t="s">
        <x:v>45</x:v>
      </x:c>
      <x:c r="G3696" s="0" t="s">
        <x:v>19</x:v>
      </x:c>
      <x:c r="H3696" s="0" t="s">
        <x:v>20</x:v>
      </x:c>
      <x:c r="I3696" s="0" t="s">
        <x:v>21</x:v>
      </x:c>
      <x:c r="K3696" s="0">
        <x:f>hyperlink("https://icd.who.int/dev11/l-ichi/en#/http%3A%2F%2Fid.who.int%2Ficd%2Fentity%2F1284668316","browser")</x:f>
      </x:c>
      <x:c r="L3696" s="0">
        <x:f>hyperlink("https://icat2.azurewebsites.net/icat/?ontology=ICD&amp;tab=ClassesTab&amp;id=http%3A%2F%2Fwho.int%2Ficd%2318122_512ebf36_bf6b_4d70_85da_cf2637062af4","iCat")</x:f>
      </x:c>
      <x:c r="M3696" s="0" t="s">
        <x:v>21</x:v>
      </x:c>
      <x:c r="N3696" s="0" t="s">
        <x:v>46</x:v>
      </x:c>
    </x:row>
    <x:row r="3697" spans="1:16">
      <x:c r="A3697" s="0" t="s">
        <x:v>14630</x:v>
      </x:c>
      <x:c r="B3697" s="0" t="s">
        <x:v>14631</x:v>
      </x:c>
      <x:c r="C3697" s="0" t="s">
        <x:v>14632</x:v>
      </x:c>
      <x:c r="E3697" s="0" t="s">
        <x:v>14633</x:v>
      </x:c>
      <x:c r="F3697" s="0" t="s">
        <x:v>45</x:v>
      </x:c>
      <x:c r="G3697" s="0" t="s">
        <x:v>19</x:v>
      </x:c>
      <x:c r="H3697" s="0" t="s">
        <x:v>20</x:v>
      </x:c>
      <x:c r="I3697" s="0" t="s">
        <x:v>21</x:v>
      </x:c>
      <x:c r="K3697" s="0">
        <x:f>hyperlink("https://icd.who.int/dev11/l-ichi/en#/http%3A%2F%2Fid.who.int%2Ficd%2Fentity%2F1735333644","browser")</x:f>
      </x:c>
      <x:c r="L3697" s="0">
        <x:f>hyperlink("https://icat2.azurewebsites.net/icat/?ontology=ICD&amp;tab=ClassesTab&amp;id=http%3A%2F%2Fwho.int%2Ficd%2318128_512ebf36_bf6b_4d70_85da_cf2637062af4","iCat")</x:f>
      </x:c>
      <x:c r="M3697" s="0" t="s">
        <x:v>21</x:v>
      </x:c>
      <x:c r="N3697" s="0" t="s">
        <x:v>46</x:v>
      </x:c>
    </x:row>
    <x:row r="3698" spans="1:16">
      <x:c r="A3698" s="0" t="s">
        <x:v>14634</x:v>
      </x:c>
      <x:c r="B3698" s="0" t="s">
        <x:v>14635</x:v>
      </x:c>
      <x:c r="C3698" s="0" t="s">
        <x:v>14636</x:v>
      </x:c>
      <x:c r="E3698" s="0" t="s">
        <x:v>14637</x:v>
      </x:c>
      <x:c r="F3698" s="0" t="s">
        <x:v>45</x:v>
      </x:c>
      <x:c r="G3698" s="0" t="s">
        <x:v>19</x:v>
      </x:c>
      <x:c r="H3698" s="0" t="s">
        <x:v>20</x:v>
      </x:c>
      <x:c r="I3698" s="0" t="s">
        <x:v>21</x:v>
      </x:c>
      <x:c r="K3698" s="0">
        <x:f>hyperlink("https://icd.who.int/dev11/l-ichi/en#/http%3A%2F%2Fid.who.int%2Ficd%2Fentity%2F913870829","browser")</x:f>
      </x:c>
      <x:c r="L3698" s="0">
        <x:f>hyperlink("https://icat2.azurewebsites.net/icat/?ontology=ICD&amp;tab=ClassesTab&amp;id=http%3A%2F%2Fwho.int%2Ficd%2318143_512ebf36_bf6b_4d70_85da_cf2637062af4","iCat")</x:f>
      </x:c>
      <x:c r="M3698" s="0" t="s">
        <x:v>21</x:v>
      </x:c>
      <x:c r="N3698" s="0" t="s">
        <x:v>46</x:v>
      </x:c>
    </x:row>
    <x:row r="3699" spans="1:16">
      <x:c r="A3699" s="0" t="s">
        <x:v>14638</x:v>
      </x:c>
      <x:c r="B3699" s="0" t="s">
        <x:v>14639</x:v>
      </x:c>
      <x:c r="C3699" s="0" t="s">
        <x:v>14640</x:v>
      </x:c>
      <x:c r="E3699" s="0" t="s">
        <x:v>14641</x:v>
      </x:c>
      <x:c r="F3699" s="0" t="s">
        <x:v>45</x:v>
      </x:c>
      <x:c r="G3699" s="0" t="s">
        <x:v>19</x:v>
      </x:c>
      <x:c r="H3699" s="0" t="s">
        <x:v>20</x:v>
      </x:c>
      <x:c r="I3699" s="0" t="s">
        <x:v>21</x:v>
      </x:c>
      <x:c r="K3699" s="0">
        <x:f>hyperlink("https://icd.who.int/dev11/l-ichi/en#/http%3A%2F%2Fid.who.int%2Ficd%2Fentity%2F1555897018","browser")</x:f>
      </x:c>
      <x:c r="L3699" s="0">
        <x:f>hyperlink("https://icat2.azurewebsites.net/icat/?ontology=ICD&amp;tab=ClassesTab&amp;id=http%3A%2F%2Fwho.int%2Ficd%2318153_512ebf36_bf6b_4d70_85da_cf2637062af4","iCat")</x:f>
      </x:c>
      <x:c r="M3699" s="0" t="s">
        <x:v>21</x:v>
      </x:c>
      <x:c r="N3699" s="0" t="s">
        <x:v>46</x:v>
      </x:c>
    </x:row>
    <x:row r="3700" spans="1:16">
      <x:c r="A3700" s="0" t="s">
        <x:v>14642</x:v>
      </x:c>
      <x:c r="B3700" s="0" t="s">
        <x:v>14643</x:v>
      </x:c>
      <x:c r="C3700" s="0" t="s">
        <x:v>14644</x:v>
      </x:c>
      <x:c r="E3700" s="0" t="s">
        <x:v>14645</x:v>
      </x:c>
      <x:c r="F3700" s="0" t="s">
        <x:v>45</x:v>
      </x:c>
      <x:c r="G3700" s="0" t="s">
        <x:v>19</x:v>
      </x:c>
      <x:c r="H3700" s="0" t="s">
        <x:v>20</x:v>
      </x:c>
      <x:c r="I3700" s="0" t="s">
        <x:v>21</x:v>
      </x:c>
      <x:c r="K3700" s="0">
        <x:f>hyperlink("https://icd.who.int/dev11/l-ichi/en#/http%3A%2F%2Fid.who.int%2Ficd%2Fentity%2F470571709","browser")</x:f>
      </x:c>
      <x:c r="L3700" s="0">
        <x:f>hyperlink("https://icat2.azurewebsites.net/icat/?ontology=ICD&amp;tab=ClassesTab&amp;id=http%3A%2F%2Fwho.int%2Ficd%2318163_512ebf36_bf6b_4d70_85da_cf2637062af4","iCat")</x:f>
      </x:c>
      <x:c r="M3700" s="0" t="s">
        <x:v>21</x:v>
      </x:c>
      <x:c r="N3700" s="0" t="s">
        <x:v>46</x:v>
      </x:c>
    </x:row>
    <x:row r="3701" spans="1:16">
      <x:c r="A3701" s="0" t="s">
        <x:v>14646</x:v>
      </x:c>
      <x:c r="B3701" s="0" t="s">
        <x:v>14647</x:v>
      </x:c>
      <x:c r="C3701" s="0" t="s">
        <x:v>14648</x:v>
      </x:c>
      <x:c r="E3701" s="0" t="s">
        <x:v>14649</x:v>
      </x:c>
      <x:c r="F3701" s="0" t="s">
        <x:v>45</x:v>
      </x:c>
      <x:c r="G3701" s="0" t="s">
        <x:v>19</x:v>
      </x:c>
      <x:c r="H3701" s="0" t="s">
        <x:v>20</x:v>
      </x:c>
      <x:c r="I3701" s="0" t="s">
        <x:v>21</x:v>
      </x:c>
      <x:c r="K3701" s="0">
        <x:f>hyperlink("https://icd.who.int/dev11/l-ichi/en#/http%3A%2F%2Fid.who.int%2Ficd%2Fentity%2F938554925","browser")</x:f>
      </x:c>
      <x:c r="L3701" s="0">
        <x:f>hyperlink("https://icat2.azurewebsites.net/icat/?ontology=ICD&amp;tab=ClassesTab&amp;id=http%3A%2F%2Fwho.int%2Ficd%2318169_512ebf36_bf6b_4d70_85da_cf2637062af4","iCat")</x:f>
      </x:c>
      <x:c r="M3701" s="0" t="s">
        <x:v>21</x:v>
      </x:c>
      <x:c r="N3701" s="0" t="s">
        <x:v>46</x:v>
      </x:c>
    </x:row>
    <x:row r="3702" spans="1:16">
      <x:c r="A3702" s="0" t="s">
        <x:v>14650</x:v>
      </x:c>
      <x:c r="B3702" s="0" t="s">
        <x:v>14651</x:v>
      </x:c>
      <x:c r="C3702" s="0" t="s">
        <x:v>14652</x:v>
      </x:c>
      <x:c r="E3702" s="0" t="s">
        <x:v>14653</x:v>
      </x:c>
      <x:c r="F3702" s="0" t="s">
        <x:v>45</x:v>
      </x:c>
      <x:c r="G3702" s="0" t="s">
        <x:v>19</x:v>
      </x:c>
      <x:c r="H3702" s="0" t="s">
        <x:v>20</x:v>
      </x:c>
      <x:c r="I3702" s="0" t="s">
        <x:v>21</x:v>
      </x:c>
      <x:c r="K3702" s="0">
        <x:f>hyperlink("https://icd.who.int/dev11/l-ichi/en#/http%3A%2F%2Fid.who.int%2Ficd%2Fentity%2F649205339","browser")</x:f>
      </x:c>
      <x:c r="L3702" s="0">
        <x:f>hyperlink("https://icat2.azurewebsites.net/icat/?ontology=ICD&amp;tab=ClassesTab&amp;id=http%3A%2F%2Fwho.int%2Ficd%2318175_512ebf36_bf6b_4d70_85da_cf2637062af4","iCat")</x:f>
      </x:c>
      <x:c r="M3702" s="0" t="s">
        <x:v>21</x:v>
      </x:c>
      <x:c r="N3702" s="0" t="s">
        <x:v>46</x:v>
      </x:c>
    </x:row>
    <x:row r="3703" spans="1:16">
      <x:c r="A3703" s="0" t="s">
        <x:v>14654</x:v>
      </x:c>
      <x:c r="B3703" s="0" t="s">
        <x:v>14655</x:v>
      </x:c>
      <x:c r="C3703" s="0" t="s">
        <x:v>14656</x:v>
      </x:c>
      <x:c r="E3703" s="0" t="s">
        <x:v>14657</x:v>
      </x:c>
      <x:c r="F3703" s="0" t="s">
        <x:v>45</x:v>
      </x:c>
      <x:c r="G3703" s="0" t="s">
        <x:v>19</x:v>
      </x:c>
      <x:c r="H3703" s="0" t="s">
        <x:v>20</x:v>
      </x:c>
      <x:c r="I3703" s="0" t="s">
        <x:v>21</x:v>
      </x:c>
      <x:c r="K3703" s="0">
        <x:f>hyperlink("https://icd.who.int/dev11/l-ichi/en#/http%3A%2F%2Fid.who.int%2Ficd%2Fentity%2F2044196616","browser")</x:f>
      </x:c>
      <x:c r="L3703" s="0">
        <x:f>hyperlink("https://icat2.azurewebsites.net/icat/?ontology=ICD&amp;tab=ClassesTab&amp;id=http%3A%2F%2Fwho.int%2Ficd%2318182_512ebf36_bf6b_4d70_85da_cf2637062af4","iCat")</x:f>
      </x:c>
      <x:c r="M3703" s="0" t="s">
        <x:v>21</x:v>
      </x:c>
      <x:c r="N3703" s="0" t="s">
        <x:v>46</x:v>
      </x:c>
    </x:row>
    <x:row r="3704" spans="1:16">
      <x:c r="A3704" s="0" t="s">
        <x:v>14658</x:v>
      </x:c>
      <x:c r="B3704" s="0" t="s">
        <x:v>14659</x:v>
      </x:c>
      <x:c r="D3704" s="0" t="s">
        <x:v>14660</x:v>
      </x:c>
      <x:c r="E3704" s="0" t="s">
        <x:v>14661</x:v>
      </x:c>
      <x:c r="F3704" s="0" t="s">
        <x:v>26</x:v>
      </x:c>
      <x:c r="G3704" s="0" t="s">
        <x:v>22</x:v>
      </x:c>
      <x:c r="H3704" s="0" t="s">
        <x:v>20</x:v>
      </x:c>
      <x:c r="I3704" s="0" t="s">
        <x:v>21</x:v>
      </x:c>
      <x:c r="K3704" s="0">
        <x:f>hyperlink("https://icd.who.int/dev11/l-ichi/en#/http%3A%2F%2Fid.who.int%2Ficd%2Fentity%2F1452740008","browser")</x:f>
      </x:c>
      <x:c r="L3704" s="0">
        <x:f>hyperlink("https://icat2.azurewebsites.net/icat/?ontology=ICD&amp;tab=ClassesTab&amp;id=http%3A%2F%2Fwho.int%2Ficd%2318191_512ebf36_bf6b_4d70_85da_cf2637062af4","iCat")</x:f>
      </x:c>
      <x:c r="M3704" s="0" t="s">
        <x:v>20</x:v>
      </x:c>
      <x:c r="N3704" s="0" t="s">
        <x:v>14662</x:v>
      </x:c>
    </x:row>
    <x:row r="3705" spans="1:16">
      <x:c r="A3705" s="0" t="s">
        <x:v>14663</x:v>
      </x:c>
      <x:c r="B3705" s="0" t="s">
        <x:v>14664</x:v>
      </x:c>
      <x:c r="C3705" s="0" t="s">
        <x:v>14665</x:v>
      </x:c>
      <x:c r="E3705" s="0" t="s">
        <x:v>14666</x:v>
      </x:c>
      <x:c r="F3705" s="0" t="s">
        <x:v>45</x:v>
      </x:c>
      <x:c r="G3705" s="0" t="s">
        <x:v>19</x:v>
      </x:c>
      <x:c r="H3705" s="0" t="s">
        <x:v>20</x:v>
      </x:c>
      <x:c r="I3705" s="0" t="s">
        <x:v>21</x:v>
      </x:c>
      <x:c r="K3705" s="0">
        <x:f>hyperlink("https://icd.who.int/dev11/l-ichi/en#/http%3A%2F%2Fid.who.int%2Ficd%2Fentity%2F1986953114","browser")</x:f>
      </x:c>
      <x:c r="L3705" s="0">
        <x:f>hyperlink("https://icat2.azurewebsites.net/icat/?ontology=ICD&amp;tab=ClassesTab&amp;id=http%3A%2F%2Fwho.int%2Ficd%2318190_512ebf36_bf6b_4d70_85da_cf2637062af4","iCat")</x:f>
      </x:c>
      <x:c r="M3705" s="0" t="s">
        <x:v>21</x:v>
      </x:c>
      <x:c r="N3705" s="0" t="s">
        <x:v>46</x:v>
      </x:c>
    </x:row>
    <x:row r="3706" spans="1:16">
      <x:c r="A3706" s="0" t="s">
        <x:v>14667</x:v>
      </x:c>
      <x:c r="B3706" s="0" t="s">
        <x:v>14668</x:v>
      </x:c>
      <x:c r="C3706" s="0" t="s">
        <x:v>14669</x:v>
      </x:c>
      <x:c r="E3706" s="0" t="s">
        <x:v>14670</x:v>
      </x:c>
      <x:c r="F3706" s="0" t="s">
        <x:v>45</x:v>
      </x:c>
      <x:c r="G3706" s="0" t="s">
        <x:v>19</x:v>
      </x:c>
      <x:c r="H3706" s="0" t="s">
        <x:v>20</x:v>
      </x:c>
      <x:c r="I3706" s="0" t="s">
        <x:v>21</x:v>
      </x:c>
      <x:c r="K3706" s="0">
        <x:f>hyperlink("https://icd.who.int/dev11/l-ichi/en#/http%3A%2F%2Fid.who.int%2Ficd%2Fentity%2F1472381734","browser")</x:f>
      </x:c>
      <x:c r="L3706" s="0">
        <x:f>hyperlink("https://icat2.azurewebsites.net/icat/?ontology=ICD&amp;tab=ClassesTab&amp;id=http%3A%2F%2Fwho.int%2Ficd%2318204_512ebf36_bf6b_4d70_85da_cf2637062af4","iCat")</x:f>
      </x:c>
      <x:c r="M3706" s="0" t="s">
        <x:v>21</x:v>
      </x:c>
      <x:c r="N3706" s="0" t="s">
        <x:v>46</x:v>
      </x:c>
    </x:row>
    <x:row r="3707" spans="1:16">
      <x:c r="A3707" s="0" t="s">
        <x:v>14671</x:v>
      </x:c>
      <x:c r="B3707" s="0" t="s">
        <x:v>14672</x:v>
      </x:c>
      <x:c r="C3707" s="0" t="s">
        <x:v>14673</x:v>
      </x:c>
      <x:c r="E3707" s="0" t="s">
        <x:v>14674</x:v>
      </x:c>
      <x:c r="F3707" s="0" t="s">
        <x:v>45</x:v>
      </x:c>
      <x:c r="G3707" s="0" t="s">
        <x:v>19</x:v>
      </x:c>
      <x:c r="H3707" s="0" t="s">
        <x:v>20</x:v>
      </x:c>
      <x:c r="I3707" s="0" t="s">
        <x:v>21</x:v>
      </x:c>
      <x:c r="K3707" s="0">
        <x:f>hyperlink("https://icd.who.int/dev11/l-ichi/en#/http%3A%2F%2Fid.who.int%2Ficd%2Fentity%2F134255111","browser")</x:f>
      </x:c>
      <x:c r="L3707" s="0">
        <x:f>hyperlink("https://icat2.azurewebsites.net/icat/?ontology=ICD&amp;tab=ClassesTab&amp;id=http%3A%2F%2Fwho.int%2Ficd%2318210_512ebf36_bf6b_4d70_85da_cf2637062af4","iCat")</x:f>
      </x:c>
      <x:c r="M3707" s="0" t="s">
        <x:v>21</x:v>
      </x:c>
      <x:c r="N3707" s="0" t="s">
        <x:v>46</x:v>
      </x:c>
    </x:row>
    <x:row r="3708" spans="1:16">
      <x:c r="A3708" s="0" t="s">
        <x:v>14675</x:v>
      </x:c>
      <x:c r="B3708" s="0" t="s">
        <x:v>14676</x:v>
      </x:c>
      <x:c r="C3708" s="0" t="s">
        <x:v>14677</x:v>
      </x:c>
      <x:c r="E3708" s="0" t="s">
        <x:v>14678</x:v>
      </x:c>
      <x:c r="F3708" s="0" t="s">
        <x:v>45</x:v>
      </x:c>
      <x:c r="G3708" s="0" t="s">
        <x:v>19</x:v>
      </x:c>
      <x:c r="H3708" s="0" t="s">
        <x:v>20</x:v>
      </x:c>
      <x:c r="I3708" s="0" t="s">
        <x:v>21</x:v>
      </x:c>
      <x:c r="K3708" s="0">
        <x:f>hyperlink("https://icd.who.int/dev11/l-ichi/en#/http%3A%2F%2Fid.who.int%2Ficd%2Fentity%2F1719177584","browser")</x:f>
      </x:c>
      <x:c r="L3708" s="0">
        <x:f>hyperlink("https://icat2.azurewebsites.net/icat/?ontology=ICD&amp;tab=ClassesTab&amp;id=http%3A%2F%2Fwho.int%2Ficd%2318219_512ebf36_bf6b_4d70_85da_cf2637062af4","iCat")</x:f>
      </x:c>
      <x:c r="M3708" s="0" t="s">
        <x:v>21</x:v>
      </x:c>
      <x:c r="N3708" s="0" t="s">
        <x:v>46</x:v>
      </x:c>
    </x:row>
    <x:row r="3709" spans="1:16">
      <x:c r="A3709" s="0" t="s">
        <x:v>14679</x:v>
      </x:c>
      <x:c r="B3709" s="0" t="s">
        <x:v>14680</x:v>
      </x:c>
      <x:c r="C3709" s="0" t="s">
        <x:v>14681</x:v>
      </x:c>
      <x:c r="E3709" s="0" t="s">
        <x:v>14682</x:v>
      </x:c>
      <x:c r="F3709" s="0" t="s">
        <x:v>45</x:v>
      </x:c>
      <x:c r="G3709" s="0" t="s">
        <x:v>19</x:v>
      </x:c>
      <x:c r="H3709" s="0" t="s">
        <x:v>20</x:v>
      </x:c>
      <x:c r="I3709" s="0" t="s">
        <x:v>21</x:v>
      </x:c>
      <x:c r="K3709" s="0">
        <x:f>hyperlink("https://icd.who.int/dev11/l-ichi/en#/http%3A%2F%2Fid.who.int%2Ficd%2Fentity%2F968811915","browser")</x:f>
      </x:c>
      <x:c r="L3709" s="0">
        <x:f>hyperlink("https://icat2.azurewebsites.net/icat/?ontology=ICD&amp;tab=ClassesTab&amp;id=http%3A%2F%2Fwho.int%2Ficd%2315613_4869915e_217e_423d_acb3_33c0f920ef4b","iCat")</x:f>
      </x:c>
      <x:c r="M3709" s="0" t="s">
        <x:v>21</x:v>
      </x:c>
      <x:c r="N3709" s="0" t="s">
        <x:v>46</x:v>
      </x:c>
    </x:row>
    <x:row r="3710" spans="1:16">
      <x:c r="A3710" s="0" t="s">
        <x:v>14683</x:v>
      </x:c>
      <x:c r="B3710" s="0" t="s">
        <x:v>14684</x:v>
      </x:c>
      <x:c r="C3710" s="0" t="s">
        <x:v>14685</x:v>
      </x:c>
      <x:c r="E3710" s="0" t="s">
        <x:v>14686</x:v>
      </x:c>
      <x:c r="F3710" s="0" t="s">
        <x:v>45</x:v>
      </x:c>
      <x:c r="G3710" s="0" t="s">
        <x:v>19</x:v>
      </x:c>
      <x:c r="H3710" s="0" t="s">
        <x:v>20</x:v>
      </x:c>
      <x:c r="I3710" s="0" t="s">
        <x:v>21</x:v>
      </x:c>
      <x:c r="K3710" s="0">
        <x:f>hyperlink("https://icd.who.int/dev11/l-ichi/en#/http%3A%2F%2Fid.who.int%2Ficd%2Fentity%2F415894449","browser")</x:f>
      </x:c>
      <x:c r="L3710" s="0">
        <x:f>hyperlink("https://icat2.azurewebsites.net/icat/?ontology=ICD&amp;tab=ClassesTab&amp;id=http%3A%2F%2Fwho.int%2Ficd%2318226_512ebf36_bf6b_4d70_85da_cf2637062af4","iCat")</x:f>
      </x:c>
      <x:c r="M3710" s="0" t="s">
        <x:v>21</x:v>
      </x:c>
      <x:c r="N3710" s="0" t="s">
        <x:v>46</x:v>
      </x:c>
    </x:row>
    <x:row r="3711" spans="1:16">
      <x:c r="A3711" s="0" t="s">
        <x:v>14687</x:v>
      </x:c>
      <x:c r="B3711" s="0" t="s">
        <x:v>14688</x:v>
      </x:c>
      <x:c r="C3711" s="0" t="s">
        <x:v>14689</x:v>
      </x:c>
      <x:c r="E3711" s="0" t="s">
        <x:v>14690</x:v>
      </x:c>
      <x:c r="F3711" s="0" t="s">
        <x:v>45</x:v>
      </x:c>
      <x:c r="G3711" s="0" t="s">
        <x:v>19</x:v>
      </x:c>
      <x:c r="H3711" s="0" t="s">
        <x:v>20</x:v>
      </x:c>
      <x:c r="I3711" s="0" t="s">
        <x:v>21</x:v>
      </x:c>
      <x:c r="K3711" s="0">
        <x:f>hyperlink("https://icd.who.int/dev11/l-ichi/en#/http%3A%2F%2Fid.who.int%2Ficd%2Fentity%2F1743857838","browser")</x:f>
      </x:c>
      <x:c r="L3711" s="0">
        <x:f>hyperlink("https://icat2.azurewebsites.net/icat/?ontology=ICD&amp;tab=ClassesTab&amp;id=http%3A%2F%2Fwho.int%2Ficd%2318233_512ebf36_bf6b_4d70_85da_cf2637062af4","iCat")</x:f>
      </x:c>
      <x:c r="M3711" s="0" t="s">
        <x:v>21</x:v>
      </x:c>
      <x:c r="N3711" s="0" t="s">
        <x:v>46</x:v>
      </x:c>
    </x:row>
    <x:row r="3712" spans="1:16">
      <x:c r="A3712" s="0" t="s">
        <x:v>14691</x:v>
      </x:c>
      <x:c r="B3712" s="0" t="s">
        <x:v>14692</x:v>
      </x:c>
      <x:c r="C3712" s="0" t="s">
        <x:v>14693</x:v>
      </x:c>
      <x:c r="E3712" s="0" t="s">
        <x:v>14694</x:v>
      </x:c>
      <x:c r="F3712" s="0" t="s">
        <x:v>45</x:v>
      </x:c>
      <x:c r="G3712" s="0" t="s">
        <x:v>19</x:v>
      </x:c>
      <x:c r="H3712" s="0" t="s">
        <x:v>20</x:v>
      </x:c>
      <x:c r="I3712" s="0" t="s">
        <x:v>21</x:v>
      </x:c>
      <x:c r="K3712" s="0">
        <x:f>hyperlink("https://icd.who.int/dev11/l-ichi/en#/http%3A%2F%2Fid.who.int%2Ficd%2Fentity%2F306415899","browser")</x:f>
      </x:c>
      <x:c r="L3712" s="0">
        <x:f>hyperlink("https://icat2.azurewebsites.net/icat/?ontology=ICD&amp;tab=ClassesTab&amp;id=http%3A%2F%2Fwho.int%2Ficd%2315619_4869915e_217e_423d_acb3_33c0f920ef4b","iCat")</x:f>
      </x:c>
      <x:c r="M3712" s="0" t="s">
        <x:v>21</x:v>
      </x:c>
      <x:c r="N3712" s="0" t="s">
        <x:v>46</x:v>
      </x:c>
    </x:row>
    <x:row r="3713" spans="1:16">
      <x:c r="A3713" s="0" t="s">
        <x:v>14695</x:v>
      </x:c>
      <x:c r="B3713" s="0" t="s">
        <x:v>14696</x:v>
      </x:c>
      <x:c r="C3713" s="0" t="s">
        <x:v>14697</x:v>
      </x:c>
      <x:c r="E3713" s="0" t="s">
        <x:v>14698</x:v>
      </x:c>
      <x:c r="F3713" s="0" t="s">
        <x:v>45</x:v>
      </x:c>
      <x:c r="G3713" s="0" t="s">
        <x:v>19</x:v>
      </x:c>
      <x:c r="H3713" s="0" t="s">
        <x:v>20</x:v>
      </x:c>
      <x:c r="I3713" s="0" t="s">
        <x:v>21</x:v>
      </x:c>
      <x:c r="K3713" s="0">
        <x:f>hyperlink("https://icd.who.int/dev11/l-ichi/en#/http%3A%2F%2Fid.who.int%2Ficd%2Fentity%2F1275872318","browser")</x:f>
      </x:c>
      <x:c r="L3713" s="0">
        <x:f>hyperlink("https://icat2.azurewebsites.net/icat/?ontology=ICD&amp;tab=ClassesTab&amp;id=http%3A%2F%2Fwho.int%2Ficd%2318239_512ebf36_bf6b_4d70_85da_cf2637062af4","iCat")</x:f>
      </x:c>
      <x:c r="M3713" s="0" t="s">
        <x:v>21</x:v>
      </x:c>
      <x:c r="N3713" s="0" t="s">
        <x:v>46</x:v>
      </x:c>
    </x:row>
    <x:row r="3714" spans="1:16">
      <x:c r="A3714" s="0" t="s">
        <x:v>14699</x:v>
      </x:c>
      <x:c r="B3714" s="0" t="s">
        <x:v>14700</x:v>
      </x:c>
      <x:c r="C3714" s="0" t="s">
        <x:v>14701</x:v>
      </x:c>
      <x:c r="E3714" s="0" t="s">
        <x:v>14702</x:v>
      </x:c>
      <x:c r="F3714" s="0" t="s">
        <x:v>45</x:v>
      </x:c>
      <x:c r="G3714" s="0" t="s">
        <x:v>19</x:v>
      </x:c>
      <x:c r="H3714" s="0" t="s">
        <x:v>20</x:v>
      </x:c>
      <x:c r="I3714" s="0" t="s">
        <x:v>21</x:v>
      </x:c>
      <x:c r="K3714" s="0">
        <x:f>hyperlink("https://icd.who.int/dev11/l-ichi/en#/http%3A%2F%2Fid.who.int%2Ficd%2Fentity%2F1121553918","browser")</x:f>
      </x:c>
      <x:c r="L3714" s="0">
        <x:f>hyperlink("https://icat2.azurewebsites.net/icat/?ontology=ICD&amp;tab=ClassesTab&amp;id=http%3A%2F%2Fwho.int%2Ficd%2318246_512ebf36_bf6b_4d70_85da_cf2637062af4","iCat")</x:f>
      </x:c>
      <x:c r="M3714" s="0" t="s">
        <x:v>21</x:v>
      </x:c>
      <x:c r="N3714" s="0" t="s">
        <x:v>46</x:v>
      </x:c>
    </x:row>
    <x:row r="3715" spans="1:16">
      <x:c r="A3715" s="0" t="s">
        <x:v>14703</x:v>
      </x:c>
      <x:c r="B3715" s="0" t="s">
        <x:v>14704</x:v>
      </x:c>
      <x:c r="C3715" s="0" t="s">
        <x:v>14705</x:v>
      </x:c>
      <x:c r="E3715" s="0" t="s">
        <x:v>14706</x:v>
      </x:c>
      <x:c r="F3715" s="0" t="s">
        <x:v>45</x:v>
      </x:c>
      <x:c r="G3715" s="0" t="s">
        <x:v>19</x:v>
      </x:c>
      <x:c r="H3715" s="0" t="s">
        <x:v>20</x:v>
      </x:c>
      <x:c r="I3715" s="0" t="s">
        <x:v>21</x:v>
      </x:c>
      <x:c r="K3715" s="0">
        <x:f>hyperlink("https://icd.who.int/dev11/l-ichi/en#/http%3A%2F%2Fid.who.int%2Ficd%2Fentity%2F488365279","browser")</x:f>
      </x:c>
      <x:c r="L3715" s="0">
        <x:f>hyperlink("https://icat2.azurewebsites.net/icat/?ontology=ICD&amp;tab=ClassesTab&amp;id=http%3A%2F%2Fwho.int%2Ficd%2318252_512ebf36_bf6b_4d70_85da_cf2637062af4","iCat")</x:f>
      </x:c>
      <x:c r="M3715" s="0" t="s">
        <x:v>21</x:v>
      </x:c>
      <x:c r="N3715" s="0" t="s">
        <x:v>46</x:v>
      </x:c>
    </x:row>
    <x:row r="3716" spans="1:16">
      <x:c r="A3716" s="0" t="s">
        <x:v>14707</x:v>
      </x:c>
      <x:c r="B3716" s="0" t="s">
        <x:v>14708</x:v>
      </x:c>
      <x:c r="C3716" s="0" t="s">
        <x:v>14709</x:v>
      </x:c>
      <x:c r="E3716" s="0" t="s">
        <x:v>14710</x:v>
      </x:c>
      <x:c r="F3716" s="0" t="s">
        <x:v>45</x:v>
      </x:c>
      <x:c r="G3716" s="0" t="s">
        <x:v>19</x:v>
      </x:c>
      <x:c r="H3716" s="0" t="s">
        <x:v>20</x:v>
      </x:c>
      <x:c r="I3716" s="0" t="s">
        <x:v>21</x:v>
      </x:c>
      <x:c r="K3716" s="0">
        <x:f>hyperlink("https://icd.who.int/dev11/l-ichi/en#/http%3A%2F%2Fid.who.int%2Ficd%2Fentity%2F231818601","browser")</x:f>
      </x:c>
      <x:c r="L3716" s="0">
        <x:f>hyperlink("https://icat2.azurewebsites.net/icat/?ontology=ICD&amp;tab=ClassesTab&amp;id=http%3A%2F%2Fwho.int%2Ficd%2318264_512ebf36_bf6b_4d70_85da_cf2637062af4","iCat")</x:f>
      </x:c>
      <x:c r="M3716" s="0" t="s">
        <x:v>21</x:v>
      </x:c>
      <x:c r="N3716" s="0" t="s">
        <x:v>46</x:v>
      </x:c>
    </x:row>
    <x:row r="3717" spans="1:16">
      <x:c r="A3717" s="0" t="s">
        <x:v>14711</x:v>
      </x:c>
      <x:c r="B3717" s="0" t="s">
        <x:v>14712</x:v>
      </x:c>
      <x:c r="C3717" s="0" t="s">
        <x:v>14713</x:v>
      </x:c>
      <x:c r="E3717" s="0" t="s">
        <x:v>14714</x:v>
      </x:c>
      <x:c r="F3717" s="0" t="s">
        <x:v>45</x:v>
      </x:c>
      <x:c r="G3717" s="0" t="s">
        <x:v>19</x:v>
      </x:c>
      <x:c r="H3717" s="0" t="s">
        <x:v>20</x:v>
      </x:c>
      <x:c r="I3717" s="0" t="s">
        <x:v>21</x:v>
      </x:c>
      <x:c r="K3717" s="0">
        <x:f>hyperlink("https://icd.who.int/dev11/l-ichi/en#/http%3A%2F%2Fid.who.int%2Ficd%2Fentity%2F1927964278","browser")</x:f>
      </x:c>
      <x:c r="L3717" s="0">
        <x:f>hyperlink("https://icat2.azurewebsites.net/icat/?ontology=ICD&amp;tab=ClassesTab&amp;id=http%3A%2F%2Fwho.int%2Ficd%2318271_512ebf36_bf6b_4d70_85da_cf2637062af4","iCat")</x:f>
      </x:c>
      <x:c r="M3717" s="0" t="s">
        <x:v>21</x:v>
      </x:c>
      <x:c r="N3717" s="0" t="s">
        <x:v>46</x:v>
      </x:c>
    </x:row>
    <x:row r="3718" spans="1:16">
      <x:c r="A3718" s="0" t="s">
        <x:v>14715</x:v>
      </x:c>
      <x:c r="B3718" s="0" t="s">
        <x:v>14716</x:v>
      </x:c>
      <x:c r="C3718" s="0" t="s">
        <x:v>14717</x:v>
      </x:c>
      <x:c r="E3718" s="0" t="s">
        <x:v>14718</x:v>
      </x:c>
      <x:c r="F3718" s="0" t="s">
        <x:v>45</x:v>
      </x:c>
      <x:c r="G3718" s="0" t="s">
        <x:v>19</x:v>
      </x:c>
      <x:c r="H3718" s="0" t="s">
        <x:v>20</x:v>
      </x:c>
      <x:c r="I3718" s="0" t="s">
        <x:v>21</x:v>
      </x:c>
      <x:c r="K3718" s="0">
        <x:f>hyperlink("https://icd.who.int/dev11/l-ichi/en#/http%3A%2F%2Fid.who.int%2Ficd%2Fentity%2F479356191","browser")</x:f>
      </x:c>
      <x:c r="L3718" s="0">
        <x:f>hyperlink("https://icat2.azurewebsites.net/icat/?ontology=ICD&amp;tab=ClassesTab&amp;id=http%3A%2F%2Fwho.int%2Ficd%2318278_512ebf36_bf6b_4d70_85da_cf2637062af4","iCat")</x:f>
      </x:c>
      <x:c r="M3718" s="0" t="s">
        <x:v>21</x:v>
      </x:c>
      <x:c r="N3718" s="0" t="s">
        <x:v>46</x:v>
      </x:c>
    </x:row>
    <x:row r="3719" spans="1:16">
      <x:c r="A3719" s="0" t="s">
        <x:v>14719</x:v>
      </x:c>
      <x:c r="B3719" s="0" t="s">
        <x:v>14720</x:v>
      </x:c>
      <x:c r="C3719" s="0" t="s">
        <x:v>14721</x:v>
      </x:c>
      <x:c r="E3719" s="0" t="s">
        <x:v>14722</x:v>
      </x:c>
      <x:c r="F3719" s="0" t="s">
        <x:v>45</x:v>
      </x:c>
      <x:c r="G3719" s="0" t="s">
        <x:v>19</x:v>
      </x:c>
      <x:c r="H3719" s="0" t="s">
        <x:v>20</x:v>
      </x:c>
      <x:c r="I3719" s="0" t="s">
        <x:v>21</x:v>
      </x:c>
      <x:c r="K3719" s="0">
        <x:f>hyperlink("https://icd.who.int/dev11/l-ichi/en#/http%3A%2F%2Fid.who.int%2Ficd%2Fentity%2F1223924448","browser")</x:f>
      </x:c>
      <x:c r="L3719" s="0">
        <x:f>hyperlink("https://icat2.azurewebsites.net/icat/?ontology=ICD&amp;tab=ClassesTab&amp;id=http%3A%2F%2Fwho.int%2Ficd%2318284_512ebf36_bf6b_4d70_85da_cf2637062af4","iCat")</x:f>
      </x:c>
      <x:c r="M3719" s="0" t="s">
        <x:v>21</x:v>
      </x:c>
      <x:c r="N3719" s="0" t="s">
        <x:v>46</x:v>
      </x:c>
    </x:row>
    <x:row r="3720" spans="1:16">
      <x:c r="A3720" s="0" t="s">
        <x:v>14723</x:v>
      </x:c>
      <x:c r="B3720" s="0" t="s">
        <x:v>14724</x:v>
      </x:c>
      <x:c r="C3720" s="0" t="s">
        <x:v>14725</x:v>
      </x:c>
      <x:c r="E3720" s="0" t="s">
        <x:v>14726</x:v>
      </x:c>
      <x:c r="F3720" s="0" t="s">
        <x:v>45</x:v>
      </x:c>
      <x:c r="G3720" s="0" t="s">
        <x:v>19</x:v>
      </x:c>
      <x:c r="H3720" s="0" t="s">
        <x:v>20</x:v>
      </x:c>
      <x:c r="I3720" s="0" t="s">
        <x:v>21</x:v>
      </x:c>
      <x:c r="K3720" s="0">
        <x:f>hyperlink("https://icd.who.int/dev11/l-ichi/en#/http%3A%2F%2Fid.who.int%2Ficd%2Fentity%2F389139395","browser")</x:f>
      </x:c>
      <x:c r="L3720" s="0">
        <x:f>hyperlink("https://icat2.azurewebsites.net/icat/?ontology=ICD&amp;tab=ClassesTab&amp;id=http%3A%2F%2Fwho.int%2Ficd%2318290_512ebf36_bf6b_4d70_85da_cf2637062af4","iCat")</x:f>
      </x:c>
      <x:c r="M3720" s="0" t="s">
        <x:v>21</x:v>
      </x:c>
      <x:c r="N3720" s="0" t="s">
        <x:v>46</x:v>
      </x:c>
    </x:row>
    <x:row r="3721" spans="1:16">
      <x:c r="A3721" s="0" t="s">
        <x:v>14727</x:v>
      </x:c>
      <x:c r="B3721" s="0" t="s">
        <x:v>14728</x:v>
      </x:c>
      <x:c r="C3721" s="0" t="s">
        <x:v>14729</x:v>
      </x:c>
      <x:c r="E3721" s="0" t="s">
        <x:v>14730</x:v>
      </x:c>
      <x:c r="F3721" s="0" t="s">
        <x:v>45</x:v>
      </x:c>
      <x:c r="G3721" s="0" t="s">
        <x:v>19</x:v>
      </x:c>
      <x:c r="H3721" s="0" t="s">
        <x:v>20</x:v>
      </x:c>
      <x:c r="I3721" s="0" t="s">
        <x:v>21</x:v>
      </x:c>
      <x:c r="K3721" s="0">
        <x:f>hyperlink("https://icd.who.int/dev11/l-ichi/en#/http%3A%2F%2Fid.who.int%2Ficd%2Fentity%2F1196036722","browser")</x:f>
      </x:c>
      <x:c r="L3721" s="0">
        <x:f>hyperlink("https://icat2.azurewebsites.net/icat/?ontology=ICD&amp;tab=ClassesTab&amp;id=http%3A%2F%2Fwho.int%2Ficd%2318296_512ebf36_bf6b_4d70_85da_cf2637062af4","iCat")</x:f>
      </x:c>
      <x:c r="M3721" s="0" t="s">
        <x:v>21</x:v>
      </x:c>
      <x:c r="N3721" s="0" t="s">
        <x:v>46</x:v>
      </x:c>
    </x:row>
    <x:row r="3722" spans="1:16">
      <x:c r="A3722" s="0" t="s">
        <x:v>14731</x:v>
      </x:c>
      <x:c r="B3722" s="0" t="s">
        <x:v>14732</x:v>
      </x:c>
      <x:c r="C3722" s="0" t="s">
        <x:v>14733</x:v>
      </x:c>
      <x:c r="E3722" s="0" t="s">
        <x:v>14734</x:v>
      </x:c>
      <x:c r="F3722" s="0" t="s">
        <x:v>45</x:v>
      </x:c>
      <x:c r="G3722" s="0" t="s">
        <x:v>19</x:v>
      </x:c>
      <x:c r="H3722" s="0" t="s">
        <x:v>20</x:v>
      </x:c>
      <x:c r="I3722" s="0" t="s">
        <x:v>21</x:v>
      </x:c>
      <x:c r="K3722" s="0">
        <x:f>hyperlink("https://icd.who.int/dev11/l-ichi/en#/http%3A%2F%2Fid.who.int%2Ficd%2Fentity%2F1915149320","browser")</x:f>
      </x:c>
      <x:c r="L3722" s="0">
        <x:f>hyperlink("https://icat2.azurewebsites.net/icat/?ontology=ICD&amp;tab=ClassesTab&amp;id=http%3A%2F%2Fwho.int%2Ficd%2318302_512ebf36_bf6b_4d70_85da_cf2637062af4","iCat")</x:f>
      </x:c>
      <x:c r="M3722" s="0" t="s">
        <x:v>21</x:v>
      </x:c>
      <x:c r="N3722" s="0" t="s">
        <x:v>46</x:v>
      </x:c>
    </x:row>
    <x:row r="3723" spans="1:16">
      <x:c r="A3723" s="0" t="s">
        <x:v>14735</x:v>
      </x:c>
      <x:c r="B3723" s="0" t="s">
        <x:v>14736</x:v>
      </x:c>
      <x:c r="C3723" s="0" t="s">
        <x:v>14737</x:v>
      </x:c>
      <x:c r="E3723" s="0" t="s">
        <x:v>14738</x:v>
      </x:c>
      <x:c r="F3723" s="0" t="s">
        <x:v>45</x:v>
      </x:c>
      <x:c r="G3723" s="0" t="s">
        <x:v>19</x:v>
      </x:c>
      <x:c r="H3723" s="0" t="s">
        <x:v>20</x:v>
      </x:c>
      <x:c r="I3723" s="0" t="s">
        <x:v>21</x:v>
      </x:c>
      <x:c r="K3723" s="0">
        <x:f>hyperlink("https://icd.who.int/dev11/l-ichi/en#/http%3A%2F%2Fid.who.int%2Ficd%2Fentity%2F1566975656","browser")</x:f>
      </x:c>
      <x:c r="L3723" s="0">
        <x:f>hyperlink("https://icat2.azurewebsites.net/icat/?ontology=ICD&amp;tab=ClassesTab&amp;id=http%3A%2F%2Fwho.int%2Ficd%2318311_512ebf36_bf6b_4d70_85da_cf2637062af4","iCat")</x:f>
      </x:c>
      <x:c r="M3723" s="0" t="s">
        <x:v>21</x:v>
      </x:c>
      <x:c r="N3723" s="0" t="s">
        <x:v>46</x:v>
      </x:c>
    </x:row>
    <x:row r="3724" spans="1:16">
      <x:c r="A3724" s="0" t="s">
        <x:v>14739</x:v>
      </x:c>
      <x:c r="B3724" s="0" t="s">
        <x:v>14740</x:v>
      </x:c>
      <x:c r="C3724" s="0" t="s">
        <x:v>14741</x:v>
      </x:c>
      <x:c r="E3724" s="0" t="s">
        <x:v>14742</x:v>
      </x:c>
      <x:c r="F3724" s="0" t="s">
        <x:v>45</x:v>
      </x:c>
      <x:c r="G3724" s="0" t="s">
        <x:v>19</x:v>
      </x:c>
      <x:c r="H3724" s="0" t="s">
        <x:v>20</x:v>
      </x:c>
      <x:c r="I3724" s="0" t="s">
        <x:v>21</x:v>
      </x:c>
      <x:c r="K3724" s="0">
        <x:f>hyperlink("https://icd.who.int/dev11/l-ichi/en#/http%3A%2F%2Fid.who.int%2Ficd%2Fentity%2F1026430109","browser")</x:f>
      </x:c>
      <x:c r="L3724" s="0">
        <x:f>hyperlink("https://icat2.azurewebsites.net/icat/?ontology=ICD&amp;tab=ClassesTab&amp;id=http%3A%2F%2Fwho.int%2Ficd%2318320_512ebf36_bf6b_4d70_85da_cf2637062af4","iCat")</x:f>
      </x:c>
      <x:c r="M3724" s="0" t="s">
        <x:v>21</x:v>
      </x:c>
      <x:c r="N3724" s="0" t="s">
        <x:v>46</x:v>
      </x:c>
    </x:row>
    <x:row r="3725" spans="1:16">
      <x:c r="A3725" s="0" t="s">
        <x:v>14743</x:v>
      </x:c>
      <x:c r="B3725" s="0" t="s">
        <x:v>14744</x:v>
      </x:c>
      <x:c r="C3725" s="0" t="s">
        <x:v>14745</x:v>
      </x:c>
      <x:c r="E3725" s="0" t="s">
        <x:v>14746</x:v>
      </x:c>
      <x:c r="F3725" s="0" t="s">
        <x:v>45</x:v>
      </x:c>
      <x:c r="G3725" s="0" t="s">
        <x:v>19</x:v>
      </x:c>
      <x:c r="H3725" s="0" t="s">
        <x:v>20</x:v>
      </x:c>
      <x:c r="I3725" s="0" t="s">
        <x:v>21</x:v>
      </x:c>
      <x:c r="K3725" s="0">
        <x:f>hyperlink("https://icd.who.int/dev11/l-ichi/en#/http%3A%2F%2Fid.who.int%2Ficd%2Fentity%2F1303166738","browser")</x:f>
      </x:c>
      <x:c r="L3725" s="0">
        <x:f>hyperlink("https://icat2.azurewebsites.net/icat/?ontology=ICD&amp;tab=ClassesTab&amp;id=http%3A%2F%2Fwho.int%2Ficd%2318327_512ebf36_bf6b_4d70_85da_cf2637062af4","iCat")</x:f>
      </x:c>
      <x:c r="M3725" s="0" t="s">
        <x:v>21</x:v>
      </x:c>
      <x:c r="N3725" s="0" t="s">
        <x:v>46</x:v>
      </x:c>
    </x:row>
    <x:row r="3726" spans="1:16">
      <x:c r="A3726" s="0" t="s">
        <x:v>14747</x:v>
      </x:c>
      <x:c r="B3726" s="0" t="s">
        <x:v>14748</x:v>
      </x:c>
      <x:c r="C3726" s="0" t="s">
        <x:v>14749</x:v>
      </x:c>
      <x:c r="E3726" s="0" t="s">
        <x:v>14750</x:v>
      </x:c>
      <x:c r="F3726" s="0" t="s">
        <x:v>45</x:v>
      </x:c>
      <x:c r="G3726" s="0" t="s">
        <x:v>19</x:v>
      </x:c>
      <x:c r="H3726" s="0" t="s">
        <x:v>20</x:v>
      </x:c>
      <x:c r="I3726" s="0" t="s">
        <x:v>21</x:v>
      </x:c>
      <x:c r="K3726" s="0">
        <x:f>hyperlink("https://icd.who.int/dev11/l-ichi/en#/http%3A%2F%2Fid.who.int%2Ficd%2Fentity%2F1659651518","browser")</x:f>
      </x:c>
      <x:c r="L3726" s="0">
        <x:f>hyperlink("https://icat2.azurewebsites.net/icat/?ontology=ICD&amp;tab=ClassesTab&amp;id=http%3A%2F%2Fwho.int%2Ficd%2318334_512ebf36_bf6b_4d70_85da_cf2637062af4","iCat")</x:f>
      </x:c>
      <x:c r="M3726" s="0" t="s">
        <x:v>21</x:v>
      </x:c>
      <x:c r="N3726" s="0" t="s">
        <x:v>46</x:v>
      </x:c>
    </x:row>
    <x:row r="3727" spans="1:16">
      <x:c r="A3727" s="0" t="s">
        <x:v>14751</x:v>
      </x:c>
      <x:c r="B3727" s="0" t="s">
        <x:v>14752</x:v>
      </x:c>
      <x:c r="C3727" s="0" t="s">
        <x:v>14753</x:v>
      </x:c>
      <x:c r="E3727" s="0" t="s">
        <x:v>14754</x:v>
      </x:c>
      <x:c r="F3727" s="0" t="s">
        <x:v>45</x:v>
      </x:c>
      <x:c r="G3727" s="0" t="s">
        <x:v>19</x:v>
      </x:c>
      <x:c r="H3727" s="0" t="s">
        <x:v>20</x:v>
      </x:c>
      <x:c r="I3727" s="0" t="s">
        <x:v>21</x:v>
      </x:c>
      <x:c r="K3727" s="0">
        <x:f>hyperlink("https://icd.who.int/dev11/l-ichi/en#/http%3A%2F%2Fid.who.int%2Ficd%2Fentity%2F1204084974","browser")</x:f>
      </x:c>
      <x:c r="L3727" s="0">
        <x:f>hyperlink("https://icat2.azurewebsites.net/icat/?ontology=ICD&amp;tab=ClassesTab&amp;id=http%3A%2F%2Fwho.int%2Ficd%2318341_512ebf36_bf6b_4d70_85da_cf2637062af4","iCat")</x:f>
      </x:c>
      <x:c r="M3727" s="0" t="s">
        <x:v>21</x:v>
      </x:c>
      <x:c r="N3727" s="0" t="s">
        <x:v>46</x:v>
      </x:c>
    </x:row>
    <x:row r="3728" spans="1:16">
      <x:c r="A3728" s="0" t="s">
        <x:v>14755</x:v>
      </x:c>
      <x:c r="B3728" s="0" t="s">
        <x:v>14756</x:v>
      </x:c>
      <x:c r="C3728" s="0" t="s">
        <x:v>14757</x:v>
      </x:c>
      <x:c r="E3728" s="0" t="s">
        <x:v>14758</x:v>
      </x:c>
      <x:c r="F3728" s="0" t="s">
        <x:v>45</x:v>
      </x:c>
      <x:c r="G3728" s="0" t="s">
        <x:v>19</x:v>
      </x:c>
      <x:c r="H3728" s="0" t="s">
        <x:v>20</x:v>
      </x:c>
      <x:c r="I3728" s="0" t="s">
        <x:v>21</x:v>
      </x:c>
      <x:c r="K3728" s="0">
        <x:f>hyperlink("https://icd.who.int/dev11/l-ichi/en#/http%3A%2F%2Fid.who.int%2Ficd%2Fentity%2F700244869","browser")</x:f>
      </x:c>
      <x:c r="L3728" s="0">
        <x:f>hyperlink("https://icat2.azurewebsites.net/icat/?ontology=ICD&amp;tab=ClassesTab&amp;id=http%3A%2F%2Fwho.int%2Ficd%2318348_512ebf36_bf6b_4d70_85da_cf2637062af4","iCat")</x:f>
      </x:c>
      <x:c r="M3728" s="0" t="s">
        <x:v>21</x:v>
      </x:c>
      <x:c r="N3728" s="0" t="s">
        <x:v>46</x:v>
      </x:c>
    </x:row>
    <x:row r="3729" spans="1:16">
      <x:c r="A3729" s="0" t="s">
        <x:v>14759</x:v>
      </x:c>
      <x:c r="B3729" s="0" t="s">
        <x:v>14760</x:v>
      </x:c>
      <x:c r="C3729" s="0" t="s">
        <x:v>14761</x:v>
      </x:c>
      <x:c r="E3729" s="0" t="s">
        <x:v>14762</x:v>
      </x:c>
      <x:c r="F3729" s="0" t="s">
        <x:v>45</x:v>
      </x:c>
      <x:c r="G3729" s="0" t="s">
        <x:v>19</x:v>
      </x:c>
      <x:c r="H3729" s="0" t="s">
        <x:v>20</x:v>
      </x:c>
      <x:c r="I3729" s="0" t="s">
        <x:v>21</x:v>
      </x:c>
      <x:c r="K3729" s="0">
        <x:f>hyperlink("https://icd.who.int/dev11/l-ichi/en#/http%3A%2F%2Fid.who.int%2Ficd%2Fentity%2F956285939","browser")</x:f>
      </x:c>
      <x:c r="L3729" s="0">
        <x:f>hyperlink("https://icat2.azurewebsites.net/icat/?ontology=ICD&amp;tab=ClassesTab&amp;id=http%3A%2F%2Fwho.int%2Ficd%2318354_512ebf36_bf6b_4d70_85da_cf2637062af4","iCat")</x:f>
      </x:c>
      <x:c r="M3729" s="0" t="s">
        <x:v>21</x:v>
      </x:c>
      <x:c r="N3729" s="0" t="s">
        <x:v>46</x:v>
      </x:c>
    </x:row>
    <x:row r="3730" spans="1:16">
      <x:c r="A3730" s="0" t="s">
        <x:v>14763</x:v>
      </x:c>
      <x:c r="B3730" s="0" t="s">
        <x:v>14764</x:v>
      </x:c>
      <x:c r="C3730" s="0" t="s">
        <x:v>14765</x:v>
      </x:c>
      <x:c r="E3730" s="0" t="s">
        <x:v>14766</x:v>
      </x:c>
      <x:c r="F3730" s="0" t="s">
        <x:v>45</x:v>
      </x:c>
      <x:c r="G3730" s="0" t="s">
        <x:v>19</x:v>
      </x:c>
      <x:c r="H3730" s="0" t="s">
        <x:v>20</x:v>
      </x:c>
      <x:c r="I3730" s="0" t="s">
        <x:v>21</x:v>
      </x:c>
      <x:c r="K3730" s="0">
        <x:f>hyperlink("https://icd.who.int/dev11/l-ichi/en#/http%3A%2F%2Fid.who.int%2Ficd%2Fentity%2F1296648066","browser")</x:f>
      </x:c>
      <x:c r="L3730" s="0">
        <x:f>hyperlink("https://icat2.azurewebsites.net/icat/?ontology=ICD&amp;tab=ClassesTab&amp;id=http%3A%2F%2Fwho.int%2Ficd%2318360_512ebf36_bf6b_4d70_85da_cf2637062af4","iCat")</x:f>
      </x:c>
      <x:c r="M3730" s="0" t="s">
        <x:v>21</x:v>
      </x:c>
      <x:c r="N3730" s="0" t="s">
        <x:v>46</x:v>
      </x:c>
    </x:row>
    <x:row r="3731" spans="1:16">
      <x:c r="A3731" s="0" t="s">
        <x:v>14767</x:v>
      </x:c>
      <x:c r="B3731" s="0" t="s">
        <x:v>14768</x:v>
      </x:c>
      <x:c r="C3731" s="0" t="s">
        <x:v>14769</x:v>
      </x:c>
      <x:c r="E3731" s="0" t="s">
        <x:v>14770</x:v>
      </x:c>
      <x:c r="F3731" s="0" t="s">
        <x:v>45</x:v>
      </x:c>
      <x:c r="G3731" s="0" t="s">
        <x:v>19</x:v>
      </x:c>
      <x:c r="H3731" s="0" t="s">
        <x:v>20</x:v>
      </x:c>
      <x:c r="I3731" s="0" t="s">
        <x:v>21</x:v>
      </x:c>
      <x:c r="K3731" s="0">
        <x:f>hyperlink("https://icd.who.int/dev11/l-ichi/en#/http%3A%2F%2Fid.who.int%2Ficd%2Fentity%2F489856561","browser")</x:f>
      </x:c>
      <x:c r="L3731" s="0">
        <x:f>hyperlink("https://icat2.azurewebsites.net/icat/?ontology=ICD&amp;tab=ClassesTab&amp;id=http%3A%2F%2Fwho.int%2Ficd%2318366_512ebf36_bf6b_4d70_85da_cf2637062af4","iCat")</x:f>
      </x:c>
      <x:c r="M3731" s="0" t="s">
        <x:v>21</x:v>
      </x:c>
      <x:c r="N3731" s="0" t="s">
        <x:v>46</x:v>
      </x:c>
    </x:row>
    <x:row r="3732" spans="1:16">
      <x:c r="A3732" s="0" t="s">
        <x:v>14771</x:v>
      </x:c>
      <x:c r="B3732" s="0" t="s">
        <x:v>14772</x:v>
      </x:c>
      <x:c r="C3732" s="0" t="s">
        <x:v>14773</x:v>
      </x:c>
      <x:c r="E3732" s="0" t="s">
        <x:v>14774</x:v>
      </x:c>
      <x:c r="F3732" s="0" t="s">
        <x:v>45</x:v>
      </x:c>
      <x:c r="G3732" s="0" t="s">
        <x:v>19</x:v>
      </x:c>
      <x:c r="H3732" s="0" t="s">
        <x:v>20</x:v>
      </x:c>
      <x:c r="I3732" s="0" t="s">
        <x:v>21</x:v>
      </x:c>
      <x:c r="K3732" s="0">
        <x:f>hyperlink("https://icd.who.int/dev11/l-ichi/en#/http%3A%2F%2Fid.who.int%2Ficd%2Fentity%2F1123077908","browser")</x:f>
      </x:c>
      <x:c r="L3732" s="0">
        <x:f>hyperlink("https://icat2.azurewebsites.net/icat/?ontology=ICD&amp;tab=ClassesTab&amp;id=http%3A%2F%2Fwho.int%2Ficd%2318372_512ebf36_bf6b_4d70_85da_cf2637062af4","iCat")</x:f>
      </x:c>
      <x:c r="M3732" s="0" t="s">
        <x:v>21</x:v>
      </x:c>
      <x:c r="N3732" s="0" t="s">
        <x:v>46</x:v>
      </x:c>
    </x:row>
    <x:row r="3733" spans="1:16">
      <x:c r="A3733" s="0" t="s">
        <x:v>14775</x:v>
      </x:c>
      <x:c r="B3733" s="0" t="s">
        <x:v>14776</x:v>
      </x:c>
      <x:c r="C3733" s="0" t="s">
        <x:v>14777</x:v>
      </x:c>
      <x:c r="E3733" s="0" t="s">
        <x:v>14778</x:v>
      </x:c>
      <x:c r="F3733" s="0" t="s">
        <x:v>45</x:v>
      </x:c>
      <x:c r="G3733" s="0" t="s">
        <x:v>19</x:v>
      </x:c>
      <x:c r="H3733" s="0" t="s">
        <x:v>20</x:v>
      </x:c>
      <x:c r="I3733" s="0" t="s">
        <x:v>21</x:v>
      </x:c>
      <x:c r="K3733" s="0">
        <x:f>hyperlink("https://icd.who.int/dev11/l-ichi/en#/http%3A%2F%2Fid.who.int%2Ficd%2Fentity%2F1762501508","browser")</x:f>
      </x:c>
      <x:c r="L3733" s="0">
        <x:f>hyperlink("https://icat2.azurewebsites.net/icat/?ontology=ICD&amp;tab=ClassesTab&amp;id=http%3A%2F%2Fwho.int%2Ficd%2318378_512ebf36_bf6b_4d70_85da_cf2637062af4","iCat")</x:f>
      </x:c>
      <x:c r="M3733" s="0" t="s">
        <x:v>21</x:v>
      </x:c>
      <x:c r="N3733" s="0" t="s">
        <x:v>46</x:v>
      </x:c>
    </x:row>
    <x:row r="3734" spans="1:16">
      <x:c r="A3734" s="0" t="s">
        <x:v>14779</x:v>
      </x:c>
      <x:c r="B3734" s="0" t="s">
        <x:v>14780</x:v>
      </x:c>
      <x:c r="C3734" s="0" t="s">
        <x:v>14781</x:v>
      </x:c>
      <x:c r="E3734" s="0" t="s">
        <x:v>14782</x:v>
      </x:c>
      <x:c r="F3734" s="0" t="s">
        <x:v>45</x:v>
      </x:c>
      <x:c r="G3734" s="0" t="s">
        <x:v>19</x:v>
      </x:c>
      <x:c r="H3734" s="0" t="s">
        <x:v>20</x:v>
      </x:c>
      <x:c r="I3734" s="0" t="s">
        <x:v>21</x:v>
      </x:c>
      <x:c r="K3734" s="0">
        <x:f>hyperlink("https://icd.who.int/dev11/l-ichi/en#/http%3A%2F%2Fid.who.int%2Ficd%2Fentity%2F496315969","browser")</x:f>
      </x:c>
      <x:c r="L3734" s="0">
        <x:f>hyperlink("https://icat2.azurewebsites.net/icat/?ontology=ICD&amp;tab=ClassesTab&amp;id=http%3A%2F%2Fwho.int%2Ficd%2318385_512ebf36_bf6b_4d70_85da_cf2637062af4","iCat")</x:f>
      </x:c>
      <x:c r="M3734" s="0" t="s">
        <x:v>21</x:v>
      </x:c>
      <x:c r="N3734" s="0" t="s">
        <x:v>46</x:v>
      </x:c>
    </x:row>
    <x:row r="3735" spans="1:16">
      <x:c r="A3735" s="0" t="s">
        <x:v>14783</x:v>
      </x:c>
      <x:c r="B3735" s="0" t="s">
        <x:v>14784</x:v>
      </x:c>
      <x:c r="C3735" s="0" t="s">
        <x:v>14785</x:v>
      </x:c>
      <x:c r="E3735" s="0" t="s">
        <x:v>14786</x:v>
      </x:c>
      <x:c r="F3735" s="0" t="s">
        <x:v>45</x:v>
      </x:c>
      <x:c r="G3735" s="0" t="s">
        <x:v>19</x:v>
      </x:c>
      <x:c r="H3735" s="0" t="s">
        <x:v>20</x:v>
      </x:c>
      <x:c r="I3735" s="0" t="s">
        <x:v>21</x:v>
      </x:c>
      <x:c r="K3735" s="0">
        <x:f>hyperlink("https://icd.who.int/dev11/l-ichi/en#/http%3A%2F%2Fid.who.int%2Ficd%2Fentity%2F131207323","browser")</x:f>
      </x:c>
      <x:c r="L3735" s="0">
        <x:f>hyperlink("https://icat2.azurewebsites.net/icat/?ontology=ICD&amp;tab=ClassesTab&amp;id=http%3A%2F%2Fwho.int%2Ficd%2318392_512ebf36_bf6b_4d70_85da_cf2637062af4","iCat")</x:f>
      </x:c>
      <x:c r="M3735" s="0" t="s">
        <x:v>21</x:v>
      </x:c>
      <x:c r="N3735" s="0" t="s">
        <x:v>46</x:v>
      </x:c>
    </x:row>
    <x:row r="3736" spans="1:16">
      <x:c r="A3736" s="0" t="s">
        <x:v>14787</x:v>
      </x:c>
      <x:c r="B3736" s="0" t="s">
        <x:v>14788</x:v>
      </x:c>
      <x:c r="C3736" s="0" t="s">
        <x:v>14789</x:v>
      </x:c>
      <x:c r="E3736" s="0" t="s">
        <x:v>14790</x:v>
      </x:c>
      <x:c r="F3736" s="0" t="s">
        <x:v>45</x:v>
      </x:c>
      <x:c r="G3736" s="0" t="s">
        <x:v>19</x:v>
      </x:c>
      <x:c r="H3736" s="0" t="s">
        <x:v>20</x:v>
      </x:c>
      <x:c r="I3736" s="0" t="s">
        <x:v>21</x:v>
      </x:c>
      <x:c r="K3736" s="0">
        <x:f>hyperlink("https://icd.who.int/dev11/l-ichi/en#/http%3A%2F%2Fid.who.int%2Ficd%2Fentity%2F1309453781","browser")</x:f>
      </x:c>
      <x:c r="L3736" s="0">
        <x:f>hyperlink("https://icat2.azurewebsites.net/icat/?ontology=ICD&amp;tab=ClassesTab&amp;id=http%3A%2F%2Fwho.int%2Ficd%2318404_512ebf36_bf6b_4d70_85da_cf2637062af4","iCat")</x:f>
      </x:c>
      <x:c r="M3736" s="0" t="s">
        <x:v>21</x:v>
      </x:c>
      <x:c r="N3736" s="0" t="s">
        <x:v>46</x:v>
      </x:c>
    </x:row>
    <x:row r="3737" spans="1:16">
      <x:c r="A3737" s="0" t="s">
        <x:v>14791</x:v>
      </x:c>
      <x:c r="B3737" s="0" t="s">
        <x:v>14792</x:v>
      </x:c>
      <x:c r="C3737" s="0" t="s">
        <x:v>14793</x:v>
      </x:c>
      <x:c r="E3737" s="0" t="s">
        <x:v>14794</x:v>
      </x:c>
      <x:c r="F3737" s="0" t="s">
        <x:v>45</x:v>
      </x:c>
      <x:c r="G3737" s="0" t="s">
        <x:v>19</x:v>
      </x:c>
      <x:c r="H3737" s="0" t="s">
        <x:v>20</x:v>
      </x:c>
      <x:c r="I3737" s="0" t="s">
        <x:v>21</x:v>
      </x:c>
      <x:c r="K3737" s="0">
        <x:f>hyperlink("https://icd.who.int/dev11/l-ichi/en#/http%3A%2F%2Fid.who.int%2Ficd%2Fentity%2F1102390599","browser")</x:f>
      </x:c>
      <x:c r="L3737" s="0">
        <x:f>hyperlink("https://icat2.azurewebsites.net/icat/?ontology=ICD&amp;tab=ClassesTab&amp;id=http%3A%2F%2Fwho.int%2Ficd%2318416_512ebf36_bf6b_4d70_85da_cf2637062af4","iCat")</x:f>
      </x:c>
      <x:c r="M3737" s="0" t="s">
        <x:v>21</x:v>
      </x:c>
      <x:c r="N3737" s="0" t="s">
        <x:v>46</x:v>
      </x:c>
    </x:row>
    <x:row r="3738" spans="1:16">
      <x:c r="A3738" s="0" t="s">
        <x:v>14795</x:v>
      </x:c>
      <x:c r="B3738" s="0" t="s">
        <x:v>14796</x:v>
      </x:c>
      <x:c r="C3738" s="0" t="s">
        <x:v>14797</x:v>
      </x:c>
      <x:c r="E3738" s="0" t="s">
        <x:v>14798</x:v>
      </x:c>
      <x:c r="F3738" s="0" t="s">
        <x:v>45</x:v>
      </x:c>
      <x:c r="G3738" s="0" t="s">
        <x:v>19</x:v>
      </x:c>
      <x:c r="H3738" s="0" t="s">
        <x:v>20</x:v>
      </x:c>
      <x:c r="I3738" s="0" t="s">
        <x:v>21</x:v>
      </x:c>
      <x:c r="K3738" s="0">
        <x:f>hyperlink("https://icd.who.int/dev11/l-ichi/en#/http%3A%2F%2Fid.who.int%2Ficd%2Fentity%2F872653108","browser")</x:f>
      </x:c>
      <x:c r="L3738" s="0">
        <x:f>hyperlink("https://icat2.azurewebsites.net/icat/?ontology=ICD&amp;tab=ClassesTab&amp;id=http%3A%2F%2Fwho.int%2Ficd%2318422_512ebf36_bf6b_4d70_85da_cf2637062af4","iCat")</x:f>
      </x:c>
      <x:c r="M3738" s="0" t="s">
        <x:v>21</x:v>
      </x:c>
      <x:c r="N3738" s="0" t="s">
        <x:v>46</x:v>
      </x:c>
    </x:row>
    <x:row r="3739" spans="1:16">
      <x:c r="A3739" s="0" t="s">
        <x:v>14799</x:v>
      </x:c>
      <x:c r="B3739" s="0" t="s">
        <x:v>14800</x:v>
      </x:c>
      <x:c r="C3739" s="0" t="s">
        <x:v>14801</x:v>
      </x:c>
      <x:c r="E3739" s="0" t="s">
        <x:v>14802</x:v>
      </x:c>
      <x:c r="F3739" s="0" t="s">
        <x:v>45</x:v>
      </x:c>
      <x:c r="G3739" s="0" t="s">
        <x:v>19</x:v>
      </x:c>
      <x:c r="H3739" s="0" t="s">
        <x:v>20</x:v>
      </x:c>
      <x:c r="I3739" s="0" t="s">
        <x:v>21</x:v>
      </x:c>
      <x:c r="K3739" s="0">
        <x:f>hyperlink("https://icd.who.int/dev11/l-ichi/en#/http%3A%2F%2Fid.who.int%2Ficd%2Fentity%2F536792484","browser")</x:f>
      </x:c>
      <x:c r="L3739" s="0">
        <x:f>hyperlink("https://icat2.azurewebsites.net/icat/?ontology=ICD&amp;tab=ClassesTab&amp;id=http%3A%2F%2Fwho.int%2Ficd%2318428_512ebf36_bf6b_4d70_85da_cf2637062af4","iCat")</x:f>
      </x:c>
      <x:c r="M3739" s="0" t="s">
        <x:v>21</x:v>
      </x:c>
      <x:c r="N3739" s="0" t="s">
        <x:v>46</x:v>
      </x:c>
    </x:row>
    <x:row r="3740" spans="1:16">
      <x:c r="A3740" s="0" t="s">
        <x:v>14803</x:v>
      </x:c>
      <x:c r="B3740" s="0" t="s">
        <x:v>14804</x:v>
      </x:c>
      <x:c r="C3740" s="0" t="s">
        <x:v>14805</x:v>
      </x:c>
      <x:c r="E3740" s="0" t="s">
        <x:v>14806</x:v>
      </x:c>
      <x:c r="F3740" s="0" t="s">
        <x:v>45</x:v>
      </x:c>
      <x:c r="G3740" s="0" t="s">
        <x:v>19</x:v>
      </x:c>
      <x:c r="H3740" s="0" t="s">
        <x:v>20</x:v>
      </x:c>
      <x:c r="I3740" s="0" t="s">
        <x:v>21</x:v>
      </x:c>
      <x:c r="K3740" s="0">
        <x:f>hyperlink("https://icd.who.int/dev11/l-ichi/en#/http%3A%2F%2Fid.who.int%2Ficd%2Fentity%2F776249326","browser")</x:f>
      </x:c>
      <x:c r="L3740" s="0">
        <x:f>hyperlink("https://icat2.azurewebsites.net/icat/?ontology=ICD&amp;tab=ClassesTab&amp;id=http%3A%2F%2Fwho.int%2Ficd%2318435_512ebf36_bf6b_4d70_85da_cf2637062af4","iCat")</x:f>
      </x:c>
      <x:c r="M3740" s="0" t="s">
        <x:v>21</x:v>
      </x:c>
      <x:c r="N3740" s="0" t="s">
        <x:v>46</x:v>
      </x:c>
    </x:row>
    <x:row r="3741" spans="1:16">
      <x:c r="A3741" s="0" t="s">
        <x:v>14807</x:v>
      </x:c>
      <x:c r="B3741" s="0" t="s">
        <x:v>14808</x:v>
      </x:c>
      <x:c r="C3741" s="0" t="s">
        <x:v>14809</x:v>
      </x:c>
      <x:c r="E3741" s="0" t="s">
        <x:v>14810</x:v>
      </x:c>
      <x:c r="F3741" s="0" t="s">
        <x:v>45</x:v>
      </x:c>
      <x:c r="G3741" s="0" t="s">
        <x:v>19</x:v>
      </x:c>
      <x:c r="H3741" s="0" t="s">
        <x:v>20</x:v>
      </x:c>
      <x:c r="I3741" s="0" t="s">
        <x:v>21</x:v>
      </x:c>
      <x:c r="K3741" s="0">
        <x:f>hyperlink("https://icd.who.int/dev11/l-ichi/en#/http%3A%2F%2Fid.who.int%2Ficd%2Fentity%2F1047264968","browser")</x:f>
      </x:c>
      <x:c r="L3741" s="0">
        <x:f>hyperlink("https://icat2.azurewebsites.net/icat/?ontology=ICD&amp;tab=ClassesTab&amp;id=http%3A%2F%2Fwho.int%2Ficd%2318444_512ebf36_bf6b_4d70_85da_cf2637062af4","iCat")</x:f>
      </x:c>
      <x:c r="M3741" s="0" t="s">
        <x:v>21</x:v>
      </x:c>
      <x:c r="N3741" s="0" t="s">
        <x:v>46</x:v>
      </x:c>
    </x:row>
    <x:row r="3742" spans="1:16">
      <x:c r="A3742" s="0" t="s">
        <x:v>14811</x:v>
      </x:c>
      <x:c r="B3742" s="0" t="s">
        <x:v>14812</x:v>
      </x:c>
      <x:c r="C3742" s="0" t="s">
        <x:v>14813</x:v>
      </x:c>
      <x:c r="E3742" s="0" t="s">
        <x:v>14814</x:v>
      </x:c>
      <x:c r="F3742" s="0" t="s">
        <x:v>45</x:v>
      </x:c>
      <x:c r="G3742" s="0" t="s">
        <x:v>19</x:v>
      </x:c>
      <x:c r="H3742" s="0" t="s">
        <x:v>20</x:v>
      </x:c>
      <x:c r="I3742" s="0" t="s">
        <x:v>21</x:v>
      </x:c>
      <x:c r="K3742" s="0">
        <x:f>hyperlink("https://icd.who.int/dev11/l-ichi/en#/http%3A%2F%2Fid.who.int%2Ficd%2Fentity%2F1095818711","browser")</x:f>
      </x:c>
      <x:c r="L3742" s="0">
        <x:f>hyperlink("https://icat2.azurewebsites.net/icat/?ontology=ICD&amp;tab=ClassesTab&amp;id=http%3A%2F%2Fwho.int%2Ficd%2318451_512ebf36_bf6b_4d70_85da_cf2637062af4","iCat")</x:f>
      </x:c>
      <x:c r="M3742" s="0" t="s">
        <x:v>21</x:v>
      </x:c>
      <x:c r="N3742" s="0" t="s">
        <x:v>46</x:v>
      </x:c>
    </x:row>
    <x:row r="3743" spans="1:16">
      <x:c r="A3743" s="0" t="s">
        <x:v>14815</x:v>
      </x:c>
      <x:c r="B3743" s="0" t="s">
        <x:v>14816</x:v>
      </x:c>
      <x:c r="C3743" s="0" t="s">
        <x:v>14817</x:v>
      </x:c>
      <x:c r="E3743" s="0" t="s">
        <x:v>14818</x:v>
      </x:c>
      <x:c r="F3743" s="0" t="s">
        <x:v>45</x:v>
      </x:c>
      <x:c r="G3743" s="0" t="s">
        <x:v>19</x:v>
      </x:c>
      <x:c r="H3743" s="0" t="s">
        <x:v>20</x:v>
      </x:c>
      <x:c r="I3743" s="0" t="s">
        <x:v>21</x:v>
      </x:c>
      <x:c r="K3743" s="0">
        <x:f>hyperlink("https://icd.who.int/dev11/l-ichi/en#/http%3A%2F%2Fid.who.int%2Ficd%2Fentity%2F288031848","browser")</x:f>
      </x:c>
      <x:c r="L3743" s="0">
        <x:f>hyperlink("https://icat2.azurewebsites.net/icat/?ontology=ICD&amp;tab=ClassesTab&amp;id=http%3A%2F%2Fwho.int%2Ficd%2318457_512ebf36_bf6b_4d70_85da_cf2637062af4","iCat")</x:f>
      </x:c>
      <x:c r="M3743" s="0" t="s">
        <x:v>21</x:v>
      </x:c>
      <x:c r="N3743" s="0" t="s">
        <x:v>46</x:v>
      </x:c>
    </x:row>
    <x:row r="3744" spans="1:16">
      <x:c r="A3744" s="0" t="s">
        <x:v>14819</x:v>
      </x:c>
      <x:c r="B3744" s="0" t="s">
        <x:v>14820</x:v>
      </x:c>
      <x:c r="C3744" s="0" t="s">
        <x:v>14821</x:v>
      </x:c>
      <x:c r="E3744" s="0" t="s">
        <x:v>14822</x:v>
      </x:c>
      <x:c r="F3744" s="0" t="s">
        <x:v>45</x:v>
      </x:c>
      <x:c r="G3744" s="0" t="s">
        <x:v>19</x:v>
      </x:c>
      <x:c r="H3744" s="0" t="s">
        <x:v>20</x:v>
      </x:c>
      <x:c r="I3744" s="0" t="s">
        <x:v>21</x:v>
      </x:c>
      <x:c r="K3744" s="0">
        <x:f>hyperlink("https://icd.who.int/dev11/l-ichi/en#/http%3A%2F%2Fid.who.int%2Ficd%2Fentity%2F337587098","browser")</x:f>
      </x:c>
      <x:c r="L3744" s="0">
        <x:f>hyperlink("https://icat2.azurewebsites.net/icat/?ontology=ICD&amp;tab=ClassesTab&amp;id=http%3A%2F%2Fwho.int%2Ficd%2318464_512ebf36_bf6b_4d70_85da_cf2637062af4","iCat")</x:f>
      </x:c>
      <x:c r="M3744" s="0" t="s">
        <x:v>21</x:v>
      </x:c>
      <x:c r="N3744" s="0" t="s">
        <x:v>46</x:v>
      </x:c>
    </x:row>
    <x:row r="3745" spans="1:16">
      <x:c r="A3745" s="0" t="s">
        <x:v>14823</x:v>
      </x:c>
      <x:c r="B3745" s="0" t="s">
        <x:v>14824</x:v>
      </x:c>
      <x:c r="C3745" s="0" t="s">
        <x:v>14825</x:v>
      </x:c>
      <x:c r="E3745" s="0" t="s">
        <x:v>14826</x:v>
      </x:c>
      <x:c r="F3745" s="0" t="s">
        <x:v>45</x:v>
      </x:c>
      <x:c r="G3745" s="0" t="s">
        <x:v>19</x:v>
      </x:c>
      <x:c r="H3745" s="0" t="s">
        <x:v>20</x:v>
      </x:c>
      <x:c r="I3745" s="0" t="s">
        <x:v>21</x:v>
      </x:c>
      <x:c r="K3745" s="0">
        <x:f>hyperlink("https://icd.who.int/dev11/l-ichi/en#/http%3A%2F%2Fid.who.int%2Ficd%2Fentity%2F1272806075","browser")</x:f>
      </x:c>
      <x:c r="L3745" s="0">
        <x:f>hyperlink("https://icat2.azurewebsites.net/icat/?ontology=ICD&amp;tab=ClassesTab&amp;id=http%3A%2F%2Fwho.int%2Ficd%2318470_512ebf36_bf6b_4d70_85da_cf2637062af4","iCat")</x:f>
      </x:c>
      <x:c r="M3745" s="0" t="s">
        <x:v>21</x:v>
      </x:c>
      <x:c r="N3745" s="0" t="s">
        <x:v>46</x:v>
      </x:c>
    </x:row>
    <x:row r="3746" spans="1:16">
      <x:c r="A3746" s="0" t="s">
        <x:v>14827</x:v>
      </x:c>
      <x:c r="B3746" s="0" t="s">
        <x:v>14828</x:v>
      </x:c>
      <x:c r="C3746" s="0" t="s">
        <x:v>14829</x:v>
      </x:c>
      <x:c r="E3746" s="0" t="s">
        <x:v>14830</x:v>
      </x:c>
      <x:c r="F3746" s="0" t="s">
        <x:v>45</x:v>
      </x:c>
      <x:c r="G3746" s="0" t="s">
        <x:v>19</x:v>
      </x:c>
      <x:c r="H3746" s="0" t="s">
        <x:v>20</x:v>
      </x:c>
      <x:c r="I3746" s="0" t="s">
        <x:v>21</x:v>
      </x:c>
      <x:c r="K3746" s="0">
        <x:f>hyperlink("https://icd.who.int/dev11/l-ichi/en#/http%3A%2F%2Fid.who.int%2Ficd%2Fentity%2F463905548","browser")</x:f>
      </x:c>
      <x:c r="L3746" s="0">
        <x:f>hyperlink("https://icat2.azurewebsites.net/icat/?ontology=ICD&amp;tab=ClassesTab&amp;id=http%3A%2F%2Fwho.int%2Ficd%2318476_512ebf36_bf6b_4d70_85da_cf2637062af4","iCat")</x:f>
      </x:c>
      <x:c r="M3746" s="0" t="s">
        <x:v>21</x:v>
      </x:c>
      <x:c r="N3746" s="0" t="s">
        <x:v>46</x:v>
      </x:c>
    </x:row>
    <x:row r="3747" spans="1:16">
      <x:c r="A3747" s="0" t="s">
        <x:v>14831</x:v>
      </x:c>
      <x:c r="B3747" s="0" t="s">
        <x:v>14832</x:v>
      </x:c>
      <x:c r="C3747" s="0" t="s">
        <x:v>14833</x:v>
      </x:c>
      <x:c r="E3747" s="0" t="s">
        <x:v>14834</x:v>
      </x:c>
      <x:c r="F3747" s="0" t="s">
        <x:v>45</x:v>
      </x:c>
      <x:c r="G3747" s="0" t="s">
        <x:v>19</x:v>
      </x:c>
      <x:c r="H3747" s="0" t="s">
        <x:v>20</x:v>
      </x:c>
      <x:c r="I3747" s="0" t="s">
        <x:v>21</x:v>
      </x:c>
      <x:c r="K3747" s="0">
        <x:f>hyperlink("https://icd.who.int/dev11/l-ichi/en#/http%3A%2F%2Fid.who.int%2Ficd%2Fentity%2F1363014673","browser")</x:f>
      </x:c>
      <x:c r="L3747" s="0">
        <x:f>hyperlink("https://icat2.azurewebsites.net/icat/?ontology=ICD&amp;tab=ClassesTab&amp;id=http%3A%2F%2Fwho.int%2Ficd%2318484_512ebf36_bf6b_4d70_85da_cf2637062af4","iCat")</x:f>
      </x:c>
      <x:c r="M3747" s="0" t="s">
        <x:v>21</x:v>
      </x:c>
      <x:c r="N3747" s="0" t="s">
        <x:v>46</x:v>
      </x:c>
    </x:row>
    <x:row r="3748" spans="1:16">
      <x:c r="A3748" s="0" t="s">
        <x:v>14835</x:v>
      </x:c>
      <x:c r="B3748" s="0" t="s">
        <x:v>14836</x:v>
      </x:c>
      <x:c r="C3748" s="0" t="s">
        <x:v>14837</x:v>
      </x:c>
      <x:c r="E3748" s="0" t="s">
        <x:v>14838</x:v>
      </x:c>
      <x:c r="F3748" s="0" t="s">
        <x:v>45</x:v>
      </x:c>
      <x:c r="G3748" s="0" t="s">
        <x:v>19</x:v>
      </x:c>
      <x:c r="H3748" s="0" t="s">
        <x:v>20</x:v>
      </x:c>
      <x:c r="I3748" s="0" t="s">
        <x:v>21</x:v>
      </x:c>
      <x:c r="K3748" s="0">
        <x:f>hyperlink("https://icd.who.int/dev11/l-ichi/en#/http%3A%2F%2Fid.who.int%2Ficd%2Fentity%2F1585740931","browser")</x:f>
      </x:c>
      <x:c r="L3748" s="0">
        <x:f>hyperlink("https://icat2.azurewebsites.net/icat/?ontology=ICD&amp;tab=ClassesTab&amp;id=http%3A%2F%2Fwho.int%2Ficd%2318496_512ebf36_bf6b_4d70_85da_cf2637062af4","iCat")</x:f>
      </x:c>
      <x:c r="M3748" s="0" t="s">
        <x:v>21</x:v>
      </x:c>
      <x:c r="N3748" s="0" t="s">
        <x:v>46</x:v>
      </x:c>
    </x:row>
    <x:row r="3749" spans="1:16">
      <x:c r="A3749" s="0" t="s">
        <x:v>14839</x:v>
      </x:c>
      <x:c r="B3749" s="0" t="s">
        <x:v>14840</x:v>
      </x:c>
      <x:c r="C3749" s="0" t="s">
        <x:v>14841</x:v>
      </x:c>
      <x:c r="E3749" s="0" t="s">
        <x:v>14842</x:v>
      </x:c>
      <x:c r="F3749" s="0" t="s">
        <x:v>45</x:v>
      </x:c>
      <x:c r="G3749" s="0" t="s">
        <x:v>19</x:v>
      </x:c>
      <x:c r="H3749" s="0" t="s">
        <x:v>20</x:v>
      </x:c>
      <x:c r="I3749" s="0" t="s">
        <x:v>21</x:v>
      </x:c>
      <x:c r="K3749" s="0">
        <x:f>hyperlink("https://icd.who.int/dev11/l-ichi/en#/http%3A%2F%2Fid.who.int%2Ficd%2Fentity%2F459938166","browser")</x:f>
      </x:c>
      <x:c r="L3749" s="0">
        <x:f>hyperlink("https://icat2.azurewebsites.net/icat/?ontology=ICD&amp;tab=ClassesTab&amp;id=http%3A%2F%2Fwho.int%2Ficd%2318505_512ebf36_bf6b_4d70_85da_cf2637062af4","iCat")</x:f>
      </x:c>
      <x:c r="M3749" s="0" t="s">
        <x:v>21</x:v>
      </x:c>
      <x:c r="N3749" s="0" t="s">
        <x:v>46</x:v>
      </x:c>
    </x:row>
    <x:row r="3750" spans="1:16">
      <x:c r="A3750" s="0" t="s">
        <x:v>14843</x:v>
      </x:c>
      <x:c r="B3750" s="0" t="s">
        <x:v>14844</x:v>
      </x:c>
      <x:c r="C3750" s="0" t="s">
        <x:v>14845</x:v>
      </x:c>
      <x:c r="E3750" s="0" t="s">
        <x:v>14846</x:v>
      </x:c>
      <x:c r="F3750" s="0" t="s">
        <x:v>45</x:v>
      </x:c>
      <x:c r="G3750" s="0" t="s">
        <x:v>19</x:v>
      </x:c>
      <x:c r="H3750" s="0" t="s">
        <x:v>20</x:v>
      </x:c>
      <x:c r="I3750" s="0" t="s">
        <x:v>21</x:v>
      </x:c>
      <x:c r="K3750" s="0">
        <x:f>hyperlink("https://icd.who.int/dev11/l-ichi/en#/http%3A%2F%2Fid.who.int%2Ficd%2Fentity%2F1151879255","browser")</x:f>
      </x:c>
      <x:c r="L3750" s="0">
        <x:f>hyperlink("https://icat2.azurewebsites.net/icat/?ontology=ICD&amp;tab=ClassesTab&amp;id=http%3A%2F%2Fwho.int%2Ficd%2318511_512ebf36_bf6b_4d70_85da_cf2637062af4","iCat")</x:f>
      </x:c>
      <x:c r="M3750" s="0" t="s">
        <x:v>21</x:v>
      </x:c>
      <x:c r="N3750" s="0" t="s">
        <x:v>46</x:v>
      </x:c>
    </x:row>
    <x:row r="3751" spans="1:16">
      <x:c r="A3751" s="0" t="s">
        <x:v>14847</x:v>
      </x:c>
      <x:c r="B3751" s="0" t="s">
        <x:v>14848</x:v>
      </x:c>
      <x:c r="C3751" s="0" t="s">
        <x:v>14849</x:v>
      </x:c>
      <x:c r="E3751" s="0" t="s">
        <x:v>14850</x:v>
      </x:c>
      <x:c r="F3751" s="0" t="s">
        <x:v>45</x:v>
      </x:c>
      <x:c r="G3751" s="0" t="s">
        <x:v>19</x:v>
      </x:c>
      <x:c r="H3751" s="0" t="s">
        <x:v>20</x:v>
      </x:c>
      <x:c r="I3751" s="0" t="s">
        <x:v>21</x:v>
      </x:c>
      <x:c r="K3751" s="0">
        <x:f>hyperlink("https://icd.who.int/dev11/l-ichi/en#/http%3A%2F%2Fid.who.int%2Ficd%2Fentity%2F718293824","browser")</x:f>
      </x:c>
      <x:c r="L3751" s="0">
        <x:f>hyperlink("https://icat2.azurewebsites.net/icat/?ontology=ICD&amp;tab=ClassesTab&amp;id=http%3A%2F%2Fwho.int%2Ficd%2318518_512ebf36_bf6b_4d70_85da_cf2637062af4","iCat")</x:f>
      </x:c>
      <x:c r="M3751" s="0" t="s">
        <x:v>21</x:v>
      </x:c>
      <x:c r="N3751" s="0" t="s">
        <x:v>46</x:v>
      </x:c>
    </x:row>
    <x:row r="3752" spans="1:16">
      <x:c r="A3752" s="0" t="s">
        <x:v>14851</x:v>
      </x:c>
      <x:c r="B3752" s="0" t="s">
        <x:v>14852</x:v>
      </x:c>
      <x:c r="C3752" s="0" t="s">
        <x:v>14853</x:v>
      </x:c>
      <x:c r="E3752" s="0" t="s">
        <x:v>14854</x:v>
      </x:c>
      <x:c r="F3752" s="0" t="s">
        <x:v>45</x:v>
      </x:c>
      <x:c r="G3752" s="0" t="s">
        <x:v>19</x:v>
      </x:c>
      <x:c r="H3752" s="0" t="s">
        <x:v>20</x:v>
      </x:c>
      <x:c r="I3752" s="0" t="s">
        <x:v>21</x:v>
      </x:c>
      <x:c r="K3752" s="0">
        <x:f>hyperlink("https://icd.who.int/dev11/l-ichi/en#/http%3A%2F%2Fid.who.int%2Ficd%2Fentity%2F300400154","browser")</x:f>
      </x:c>
      <x:c r="L3752" s="0">
        <x:f>hyperlink("https://icat2.azurewebsites.net/icat/?ontology=ICD&amp;tab=ClassesTab&amp;id=http%3A%2F%2Fwho.int%2Ficd%2318524_512ebf36_bf6b_4d70_85da_cf2637062af4","iCat")</x:f>
      </x:c>
      <x:c r="M3752" s="0" t="s">
        <x:v>21</x:v>
      </x:c>
      <x:c r="N3752" s="0" t="s">
        <x:v>46</x:v>
      </x:c>
    </x:row>
    <x:row r="3753" spans="1:16">
      <x:c r="A3753" s="0" t="s">
        <x:v>14855</x:v>
      </x:c>
      <x:c r="B3753" s="0" t="s">
        <x:v>14856</x:v>
      </x:c>
      <x:c r="C3753" s="0" t="s">
        <x:v>14857</x:v>
      </x:c>
      <x:c r="E3753" s="0" t="s">
        <x:v>14858</x:v>
      </x:c>
      <x:c r="F3753" s="0" t="s">
        <x:v>45</x:v>
      </x:c>
      <x:c r="G3753" s="0" t="s">
        <x:v>19</x:v>
      </x:c>
      <x:c r="H3753" s="0" t="s">
        <x:v>20</x:v>
      </x:c>
      <x:c r="I3753" s="0" t="s">
        <x:v>21</x:v>
      </x:c>
      <x:c r="K3753" s="0">
        <x:f>hyperlink("https://icd.who.int/dev11/l-ichi/en#/http%3A%2F%2Fid.who.int%2Ficd%2Fentity%2F1859951879","browser")</x:f>
      </x:c>
      <x:c r="L3753" s="0">
        <x:f>hyperlink("https://icat2.azurewebsites.net/icat/?ontology=ICD&amp;tab=ClassesTab&amp;id=http%3A%2F%2Fwho.int%2Ficd%2318531_512ebf36_bf6b_4d70_85da_cf2637062af4","iCat")</x:f>
      </x:c>
      <x:c r="M3753" s="0" t="s">
        <x:v>21</x:v>
      </x:c>
      <x:c r="N3753" s="0" t="s">
        <x:v>46</x:v>
      </x:c>
    </x:row>
    <x:row r="3754" spans="1:16">
      <x:c r="A3754" s="0" t="s">
        <x:v>14859</x:v>
      </x:c>
      <x:c r="B3754" s="0" t="s">
        <x:v>14860</x:v>
      </x:c>
      <x:c r="C3754" s="0" t="s">
        <x:v>14861</x:v>
      </x:c>
      <x:c r="E3754" s="0" t="s">
        <x:v>14862</x:v>
      </x:c>
      <x:c r="F3754" s="0" t="s">
        <x:v>45</x:v>
      </x:c>
      <x:c r="G3754" s="0" t="s">
        <x:v>19</x:v>
      </x:c>
      <x:c r="H3754" s="0" t="s">
        <x:v>20</x:v>
      </x:c>
      <x:c r="I3754" s="0" t="s">
        <x:v>21</x:v>
      </x:c>
      <x:c r="K3754" s="0">
        <x:f>hyperlink("https://icd.who.int/dev11/l-ichi/en#/http%3A%2F%2Fid.who.int%2Ficd%2Fentity%2F1051149494","browser")</x:f>
      </x:c>
      <x:c r="L3754" s="0">
        <x:f>hyperlink("https://icat2.azurewebsites.net/icat/?ontology=ICD&amp;tab=ClassesTab&amp;id=http%3A%2F%2Fwho.int%2Ficd%2318537_512ebf36_bf6b_4d70_85da_cf2637062af4","iCat")</x:f>
      </x:c>
      <x:c r="M3754" s="0" t="s">
        <x:v>21</x:v>
      </x:c>
      <x:c r="N3754" s="0" t="s">
        <x:v>46</x:v>
      </x:c>
    </x:row>
    <x:row r="3755" spans="1:16">
      <x:c r="A3755" s="0" t="s">
        <x:v>14863</x:v>
      </x:c>
      <x:c r="B3755" s="0" t="s">
        <x:v>14864</x:v>
      </x:c>
      <x:c r="C3755" s="0" t="s">
        <x:v>14865</x:v>
      </x:c>
      <x:c r="E3755" s="0" t="s">
        <x:v>14866</x:v>
      </x:c>
      <x:c r="F3755" s="0" t="s">
        <x:v>45</x:v>
      </x:c>
      <x:c r="G3755" s="0" t="s">
        <x:v>19</x:v>
      </x:c>
      <x:c r="H3755" s="0" t="s">
        <x:v>20</x:v>
      </x:c>
      <x:c r="I3755" s="0" t="s">
        <x:v>21</x:v>
      </x:c>
      <x:c r="K3755" s="0">
        <x:f>hyperlink("https://icd.who.int/dev11/l-ichi/en#/http%3A%2F%2Fid.who.int%2Ficd%2Fentity%2F1274296405","browser")</x:f>
      </x:c>
      <x:c r="L3755" s="0">
        <x:f>hyperlink("https://icat2.azurewebsites.net/icat/?ontology=ICD&amp;tab=ClassesTab&amp;id=http%3A%2F%2Fwho.int%2Ficd%2318544_512ebf36_bf6b_4d70_85da_cf2637062af4","iCat")</x:f>
      </x:c>
      <x:c r="M3755" s="0" t="s">
        <x:v>21</x:v>
      </x:c>
      <x:c r="N3755" s="0" t="s">
        <x:v>46</x:v>
      </x:c>
    </x:row>
    <x:row r="3756" spans="1:16">
      <x:c r="A3756" s="0" t="s">
        <x:v>14867</x:v>
      </x:c>
      <x:c r="B3756" s="0" t="s">
        <x:v>14868</x:v>
      </x:c>
      <x:c r="C3756" s="0" t="s">
        <x:v>14869</x:v>
      </x:c>
      <x:c r="E3756" s="0" t="s">
        <x:v>14870</x:v>
      </x:c>
      <x:c r="F3756" s="0" t="s">
        <x:v>45</x:v>
      </x:c>
      <x:c r="G3756" s="0" t="s">
        <x:v>19</x:v>
      </x:c>
      <x:c r="H3756" s="0" t="s">
        <x:v>20</x:v>
      </x:c>
      <x:c r="I3756" s="0" t="s">
        <x:v>21</x:v>
      </x:c>
      <x:c r="K3756" s="0">
        <x:f>hyperlink("https://icd.who.int/dev11/l-ichi/en#/http%3A%2F%2Fid.who.int%2Ficd%2Fentity%2F885988170","browser")</x:f>
      </x:c>
      <x:c r="L3756" s="0">
        <x:f>hyperlink("https://icat2.azurewebsites.net/icat/?ontology=ICD&amp;tab=ClassesTab&amp;id=http%3A%2F%2Fwho.int%2Ficd%2318551_512ebf36_bf6b_4d70_85da_cf2637062af4","iCat")</x:f>
      </x:c>
      <x:c r="M3756" s="0" t="s">
        <x:v>21</x:v>
      </x:c>
      <x:c r="N3756" s="0" t="s">
        <x:v>46</x:v>
      </x:c>
    </x:row>
    <x:row r="3757" spans="1:16">
      <x:c r="A3757" s="0" t="s">
        <x:v>14871</x:v>
      </x:c>
      <x:c r="B3757" s="0" t="s">
        <x:v>14872</x:v>
      </x:c>
      <x:c r="C3757" s="0" t="s">
        <x:v>14873</x:v>
      </x:c>
      <x:c r="E3757" s="0" t="s">
        <x:v>14874</x:v>
      </x:c>
      <x:c r="F3757" s="0" t="s">
        <x:v>45</x:v>
      </x:c>
      <x:c r="G3757" s="0" t="s">
        <x:v>19</x:v>
      </x:c>
      <x:c r="H3757" s="0" t="s">
        <x:v>20</x:v>
      </x:c>
      <x:c r="I3757" s="0" t="s">
        <x:v>21</x:v>
      </x:c>
      <x:c r="K3757" s="0">
        <x:f>hyperlink("https://icd.who.int/dev11/l-ichi/en#/http%3A%2F%2Fid.who.int%2Ficd%2Fentity%2F1418144113","browser")</x:f>
      </x:c>
      <x:c r="L3757" s="0">
        <x:f>hyperlink("https://icat2.azurewebsites.net/icat/?ontology=ICD&amp;tab=ClassesTab&amp;id=http%3A%2F%2Fwho.int%2Ficd%2318560_512ebf36_bf6b_4d70_85da_cf2637062af4","iCat")</x:f>
      </x:c>
      <x:c r="M3757" s="0" t="s">
        <x:v>21</x:v>
      </x:c>
      <x:c r="N3757" s="0" t="s">
        <x:v>46</x:v>
      </x:c>
    </x:row>
    <x:row r="3758" spans="1:16">
      <x:c r="A3758" s="0" t="s">
        <x:v>14875</x:v>
      </x:c>
      <x:c r="B3758" s="0" t="s">
        <x:v>14876</x:v>
      </x:c>
      <x:c r="C3758" s="0" t="s">
        <x:v>14877</x:v>
      </x:c>
      <x:c r="E3758" s="0" t="s">
        <x:v>14878</x:v>
      </x:c>
      <x:c r="F3758" s="0" t="s">
        <x:v>45</x:v>
      </x:c>
      <x:c r="G3758" s="0" t="s">
        <x:v>19</x:v>
      </x:c>
      <x:c r="H3758" s="0" t="s">
        <x:v>20</x:v>
      </x:c>
      <x:c r="I3758" s="0" t="s">
        <x:v>21</x:v>
      </x:c>
      <x:c r="K3758" s="0">
        <x:f>hyperlink("https://icd.who.int/dev11/l-ichi/en#/http%3A%2F%2Fid.who.int%2Ficd%2Fentity%2F83685570","browser")</x:f>
      </x:c>
      <x:c r="L3758" s="0">
        <x:f>hyperlink("https://icat2.azurewebsites.net/icat/?ontology=ICD&amp;tab=ClassesTab&amp;id=http%3A%2F%2Fwho.int%2Ficd%2318566_512ebf36_bf6b_4d70_85da_cf2637062af4","iCat")</x:f>
      </x:c>
      <x:c r="M3758" s="0" t="s">
        <x:v>21</x:v>
      </x:c>
      <x:c r="N3758" s="0" t="s">
        <x:v>46</x:v>
      </x:c>
    </x:row>
    <x:row r="3759" spans="1:16">
      <x:c r="A3759" s="0" t="s">
        <x:v>14879</x:v>
      </x:c>
      <x:c r="B3759" s="0" t="s">
        <x:v>14880</x:v>
      </x:c>
      <x:c r="C3759" s="0" t="s">
        <x:v>14881</x:v>
      </x:c>
      <x:c r="E3759" s="0" t="s">
        <x:v>14882</x:v>
      </x:c>
      <x:c r="F3759" s="0" t="s">
        <x:v>45</x:v>
      </x:c>
      <x:c r="G3759" s="0" t="s">
        <x:v>19</x:v>
      </x:c>
      <x:c r="H3759" s="0" t="s">
        <x:v>20</x:v>
      </x:c>
      <x:c r="I3759" s="0" t="s">
        <x:v>21</x:v>
      </x:c>
      <x:c r="K3759" s="0">
        <x:f>hyperlink("https://icd.who.int/dev11/l-ichi/en#/http%3A%2F%2Fid.who.int%2Ficd%2Fentity%2F1530831331","browser")</x:f>
      </x:c>
      <x:c r="L3759" s="0">
        <x:f>hyperlink("https://icat2.azurewebsites.net/icat/?ontology=ICD&amp;tab=ClassesTab&amp;id=http%3A%2F%2Fwho.int%2Ficd%2318572_512ebf36_bf6b_4d70_85da_cf2637062af4","iCat")</x:f>
      </x:c>
      <x:c r="M3759" s="0" t="s">
        <x:v>21</x:v>
      </x:c>
      <x:c r="N3759" s="0" t="s">
        <x:v>46</x:v>
      </x:c>
    </x:row>
    <x:row r="3760" spans="1:16">
      <x:c r="A3760" s="0" t="s">
        <x:v>14883</x:v>
      </x:c>
      <x:c r="B3760" s="0" t="s">
        <x:v>14884</x:v>
      </x:c>
      <x:c r="C3760" s="0" t="s">
        <x:v>14885</x:v>
      </x:c>
      <x:c r="E3760" s="0" t="s">
        <x:v>14886</x:v>
      </x:c>
      <x:c r="F3760" s="0" t="s">
        <x:v>45</x:v>
      </x:c>
      <x:c r="G3760" s="0" t="s">
        <x:v>19</x:v>
      </x:c>
      <x:c r="H3760" s="0" t="s">
        <x:v>20</x:v>
      </x:c>
      <x:c r="I3760" s="0" t="s">
        <x:v>21</x:v>
      </x:c>
      <x:c r="K3760" s="0">
        <x:f>hyperlink("https://icd.who.int/dev11/l-ichi/en#/http%3A%2F%2Fid.who.int%2Ficd%2Fentity%2F1891880307","browser")</x:f>
      </x:c>
      <x:c r="L3760" s="0">
        <x:f>hyperlink("https://icat2.azurewebsites.net/icat/?ontology=ICD&amp;tab=ClassesTab&amp;id=http%3A%2F%2Fwho.int%2Ficd%2318578_512ebf36_bf6b_4d70_85da_cf2637062af4","iCat")</x:f>
      </x:c>
      <x:c r="M3760" s="0" t="s">
        <x:v>21</x:v>
      </x:c>
      <x:c r="N3760" s="0" t="s">
        <x:v>46</x:v>
      </x:c>
    </x:row>
    <x:row r="3761" spans="1:16">
      <x:c r="A3761" s="0" t="s">
        <x:v>14887</x:v>
      </x:c>
      <x:c r="B3761" s="0" t="s">
        <x:v>14888</x:v>
      </x:c>
      <x:c r="C3761" s="0" t="s">
        <x:v>14889</x:v>
      </x:c>
      <x:c r="E3761" s="0" t="s">
        <x:v>14890</x:v>
      </x:c>
      <x:c r="F3761" s="0" t="s">
        <x:v>45</x:v>
      </x:c>
      <x:c r="G3761" s="0" t="s">
        <x:v>19</x:v>
      </x:c>
      <x:c r="H3761" s="0" t="s">
        <x:v>20</x:v>
      </x:c>
      <x:c r="I3761" s="0" t="s">
        <x:v>21</x:v>
      </x:c>
      <x:c r="K3761" s="0">
        <x:f>hyperlink("https://icd.who.int/dev11/l-ichi/en#/http%3A%2F%2Fid.who.int%2Ficd%2Fentity%2F73089200","browser")</x:f>
      </x:c>
      <x:c r="L3761" s="0">
        <x:f>hyperlink("https://icat2.azurewebsites.net/icat/?ontology=ICD&amp;tab=ClassesTab&amp;id=http%3A%2F%2Fwho.int%2Ficd%2318585_512ebf36_bf6b_4d70_85da_cf2637062af4","iCat")</x:f>
      </x:c>
      <x:c r="M3761" s="0" t="s">
        <x:v>21</x:v>
      </x:c>
      <x:c r="N3761" s="0" t="s">
        <x:v>46</x:v>
      </x:c>
    </x:row>
    <x:row r="3762" spans="1:16">
      <x:c r="A3762" s="0" t="s">
        <x:v>14891</x:v>
      </x:c>
      <x:c r="B3762" s="0" t="s">
        <x:v>14892</x:v>
      </x:c>
      <x:c r="C3762" s="0" t="s">
        <x:v>14893</x:v>
      </x:c>
      <x:c r="E3762" s="0" t="s">
        <x:v>14894</x:v>
      </x:c>
      <x:c r="F3762" s="0" t="s">
        <x:v>45</x:v>
      </x:c>
      <x:c r="G3762" s="0" t="s">
        <x:v>19</x:v>
      </x:c>
      <x:c r="H3762" s="0" t="s">
        <x:v>20</x:v>
      </x:c>
      <x:c r="I3762" s="0" t="s">
        <x:v>21</x:v>
      </x:c>
      <x:c r="K3762" s="0">
        <x:f>hyperlink("https://icd.who.int/dev11/l-ichi/en#/http%3A%2F%2Fid.who.int%2Ficd%2Fentity%2F1536758163","browser")</x:f>
      </x:c>
      <x:c r="L3762" s="0">
        <x:f>hyperlink("https://icat2.azurewebsites.net/icat/?ontology=ICD&amp;tab=ClassesTab&amp;id=http%3A%2F%2Fwho.int%2Ficd%2318591_512ebf36_bf6b_4d70_85da_cf2637062af4","iCat")</x:f>
      </x:c>
      <x:c r="M3762" s="0" t="s">
        <x:v>21</x:v>
      </x:c>
      <x:c r="N3762" s="0" t="s">
        <x:v>46</x:v>
      </x:c>
    </x:row>
    <x:row r="3763" spans="1:16">
      <x:c r="A3763" s="0" t="s">
        <x:v>14895</x:v>
      </x:c>
      <x:c r="B3763" s="0" t="s">
        <x:v>14896</x:v>
      </x:c>
      <x:c r="C3763" s="0" t="s">
        <x:v>14897</x:v>
      </x:c>
      <x:c r="E3763" s="0" t="s">
        <x:v>14898</x:v>
      </x:c>
      <x:c r="F3763" s="0" t="s">
        <x:v>45</x:v>
      </x:c>
      <x:c r="G3763" s="0" t="s">
        <x:v>19</x:v>
      </x:c>
      <x:c r="H3763" s="0" t="s">
        <x:v>20</x:v>
      </x:c>
      <x:c r="I3763" s="0" t="s">
        <x:v>21</x:v>
      </x:c>
      <x:c r="K3763" s="0">
        <x:f>hyperlink("https://icd.who.int/dev11/l-ichi/en#/http%3A%2F%2Fid.who.int%2Ficd%2Fentity%2F1875581797","browser")</x:f>
      </x:c>
      <x:c r="L3763" s="0">
        <x:f>hyperlink("https://icat2.azurewebsites.net/icat/?ontology=ICD&amp;tab=ClassesTab&amp;id=http%3A%2F%2Fwho.int%2Ficd%2318600_512ebf36_bf6b_4d70_85da_cf2637062af4","iCat")</x:f>
      </x:c>
      <x:c r="M3763" s="0" t="s">
        <x:v>21</x:v>
      </x:c>
      <x:c r="N3763" s="0" t="s">
        <x:v>46</x:v>
      </x:c>
    </x:row>
    <x:row r="3764" spans="1:16">
      <x:c r="A3764" s="0" t="s">
        <x:v>14899</x:v>
      </x:c>
      <x:c r="B3764" s="0" t="s">
        <x:v>14900</x:v>
      </x:c>
      <x:c r="C3764" s="0" t="s">
        <x:v>14901</x:v>
      </x:c>
      <x:c r="E3764" s="0" t="s">
        <x:v>14902</x:v>
      </x:c>
      <x:c r="F3764" s="0" t="s">
        <x:v>45</x:v>
      </x:c>
      <x:c r="G3764" s="0" t="s">
        <x:v>19</x:v>
      </x:c>
      <x:c r="H3764" s="0" t="s">
        <x:v>20</x:v>
      </x:c>
      <x:c r="I3764" s="0" t="s">
        <x:v>21</x:v>
      </x:c>
      <x:c r="K3764" s="0">
        <x:f>hyperlink("https://icd.who.int/dev11/l-ichi/en#/http%3A%2F%2Fid.who.int%2Ficd%2Fentity%2F524923112","browser")</x:f>
      </x:c>
      <x:c r="L3764" s="0">
        <x:f>hyperlink("https://icat2.azurewebsites.net/icat/?ontology=ICD&amp;tab=ClassesTab&amp;id=http%3A%2F%2Fwho.int%2Ficd%2318607_512ebf36_bf6b_4d70_85da_cf2637062af4","iCat")</x:f>
      </x:c>
      <x:c r="M3764" s="0" t="s">
        <x:v>21</x:v>
      </x:c>
      <x:c r="N3764" s="0" t="s">
        <x:v>46</x:v>
      </x:c>
    </x:row>
    <x:row r="3765" spans="1:16">
      <x:c r="A3765" s="0" t="s">
        <x:v>14903</x:v>
      </x:c>
      <x:c r="B3765" s="0" t="s">
        <x:v>14904</x:v>
      </x:c>
      <x:c r="C3765" s="0" t="s">
        <x:v>14905</x:v>
      </x:c>
      <x:c r="E3765" s="0" t="s">
        <x:v>14906</x:v>
      </x:c>
      <x:c r="F3765" s="0" t="s">
        <x:v>45</x:v>
      </x:c>
      <x:c r="G3765" s="0" t="s">
        <x:v>19</x:v>
      </x:c>
      <x:c r="H3765" s="0" t="s">
        <x:v>20</x:v>
      </x:c>
      <x:c r="I3765" s="0" t="s">
        <x:v>21</x:v>
      </x:c>
      <x:c r="K3765" s="0">
        <x:f>hyperlink("https://icd.who.int/dev11/l-ichi/en#/http%3A%2F%2Fid.who.int%2Ficd%2Fentity%2F1972118975","browser")</x:f>
      </x:c>
      <x:c r="L3765" s="0">
        <x:f>hyperlink("https://icat2.azurewebsites.net/icat/?ontology=ICD&amp;tab=ClassesTab&amp;id=http%3A%2F%2Fwho.int%2Ficd%2318617_512ebf36_bf6b_4d70_85da_cf2637062af4","iCat")</x:f>
      </x:c>
      <x:c r="M3765" s="0" t="s">
        <x:v>21</x:v>
      </x:c>
      <x:c r="N3765" s="0" t="s">
        <x:v>46</x:v>
      </x:c>
    </x:row>
    <x:row r="3766" spans="1:16">
      <x:c r="A3766" s="0" t="s">
        <x:v>14907</x:v>
      </x:c>
      <x:c r="B3766" s="0" t="s">
        <x:v>14908</x:v>
      </x:c>
      <x:c r="C3766" s="0" t="s">
        <x:v>14909</x:v>
      </x:c>
      <x:c r="E3766" s="0" t="s">
        <x:v>14910</x:v>
      </x:c>
      <x:c r="F3766" s="0" t="s">
        <x:v>45</x:v>
      </x:c>
      <x:c r="G3766" s="0" t="s">
        <x:v>19</x:v>
      </x:c>
      <x:c r="H3766" s="0" t="s">
        <x:v>20</x:v>
      </x:c>
      <x:c r="I3766" s="0" t="s">
        <x:v>21</x:v>
      </x:c>
      <x:c r="K3766" s="0">
        <x:f>hyperlink("https://icd.who.int/dev11/l-ichi/en#/http%3A%2F%2Fid.who.int%2Ficd%2Fentity%2F3842508","browser")</x:f>
      </x:c>
      <x:c r="L3766" s="0">
        <x:f>hyperlink("https://icat2.azurewebsites.net/icat/?ontology=ICD&amp;tab=ClassesTab&amp;id=http%3A%2F%2Fwho.int%2Ficd%2318623_512ebf36_bf6b_4d70_85da_cf2637062af4","iCat")</x:f>
      </x:c>
      <x:c r="M3766" s="0" t="s">
        <x:v>21</x:v>
      </x:c>
      <x:c r="N3766" s="0" t="s">
        <x:v>46</x:v>
      </x:c>
    </x:row>
    <x:row r="3767" spans="1:16">
      <x:c r="A3767" s="0" t="s">
        <x:v>14911</x:v>
      </x:c>
      <x:c r="B3767" s="0" t="s">
        <x:v>14912</x:v>
      </x:c>
      <x:c r="C3767" s="0" t="s">
        <x:v>14913</x:v>
      </x:c>
      <x:c r="E3767" s="0" t="s">
        <x:v>14914</x:v>
      </x:c>
      <x:c r="F3767" s="0" t="s">
        <x:v>45</x:v>
      </x:c>
      <x:c r="G3767" s="0" t="s">
        <x:v>19</x:v>
      </x:c>
      <x:c r="H3767" s="0" t="s">
        <x:v>20</x:v>
      </x:c>
      <x:c r="I3767" s="0" t="s">
        <x:v>21</x:v>
      </x:c>
      <x:c r="K3767" s="0">
        <x:f>hyperlink("https://icd.who.int/dev11/l-ichi/en#/http%3A%2F%2Fid.who.int%2Ficd%2Fentity%2F444440342","browser")</x:f>
      </x:c>
      <x:c r="L3767" s="0">
        <x:f>hyperlink("https://icat2.azurewebsites.net/icat/?ontology=ICD&amp;tab=ClassesTab&amp;id=http%3A%2F%2Fwho.int%2Ficd%2318634_512ebf36_bf6b_4d70_85da_cf2637062af4","iCat")</x:f>
      </x:c>
      <x:c r="M3767" s="0" t="s">
        <x:v>21</x:v>
      </x:c>
      <x:c r="N3767" s="0" t="s">
        <x:v>46</x:v>
      </x:c>
    </x:row>
    <x:row r="3768" spans="1:16">
      <x:c r="A3768" s="0" t="s">
        <x:v>14915</x:v>
      </x:c>
      <x:c r="B3768" s="0" t="s">
        <x:v>14916</x:v>
      </x:c>
      <x:c r="C3768" s="0" t="s">
        <x:v>14917</x:v>
      </x:c>
      <x:c r="E3768" s="0" t="s">
        <x:v>14918</x:v>
      </x:c>
      <x:c r="F3768" s="0" t="s">
        <x:v>45</x:v>
      </x:c>
      <x:c r="G3768" s="0" t="s">
        <x:v>19</x:v>
      </x:c>
      <x:c r="H3768" s="0" t="s">
        <x:v>20</x:v>
      </x:c>
      <x:c r="I3768" s="0" t="s">
        <x:v>21</x:v>
      </x:c>
      <x:c r="K3768" s="0">
        <x:f>hyperlink("https://icd.who.int/dev11/l-ichi/en#/http%3A%2F%2Fid.who.int%2Ficd%2Fentity%2F2060473789","browser")</x:f>
      </x:c>
      <x:c r="L3768" s="0">
        <x:f>hyperlink("https://icat2.azurewebsites.net/icat/?ontology=ICD&amp;tab=ClassesTab&amp;id=http%3A%2F%2Fwho.int%2Ficd%2318642_512ebf36_bf6b_4d70_85da_cf2637062af4","iCat")</x:f>
      </x:c>
      <x:c r="M3768" s="0" t="s">
        <x:v>21</x:v>
      </x:c>
      <x:c r="N3768" s="0" t="s">
        <x:v>46</x:v>
      </x:c>
    </x:row>
    <x:row r="3769" spans="1:16">
      <x:c r="A3769" s="0" t="s">
        <x:v>14919</x:v>
      </x:c>
      <x:c r="B3769" s="0" t="s">
        <x:v>14920</x:v>
      </x:c>
      <x:c r="C3769" s="0" t="s">
        <x:v>14921</x:v>
      </x:c>
      <x:c r="E3769" s="0" t="s">
        <x:v>14922</x:v>
      </x:c>
      <x:c r="F3769" s="0" t="s">
        <x:v>45</x:v>
      </x:c>
      <x:c r="G3769" s="0" t="s">
        <x:v>19</x:v>
      </x:c>
      <x:c r="H3769" s="0" t="s">
        <x:v>20</x:v>
      </x:c>
      <x:c r="I3769" s="0" t="s">
        <x:v>21</x:v>
      </x:c>
      <x:c r="K3769" s="0">
        <x:f>hyperlink("https://icd.who.int/dev11/l-ichi/en#/http%3A%2F%2Fid.who.int%2Ficd%2Fentity%2F1361918253","browser")</x:f>
      </x:c>
      <x:c r="L3769" s="0">
        <x:f>hyperlink("https://icat2.azurewebsites.net/icat/?ontology=ICD&amp;tab=ClassesTab&amp;id=http%3A%2F%2Fwho.int%2Ficd%2318648_512ebf36_bf6b_4d70_85da_cf2637062af4","iCat")</x:f>
      </x:c>
      <x:c r="M3769" s="0" t="s">
        <x:v>21</x:v>
      </x:c>
      <x:c r="N3769" s="0" t="s">
        <x:v>46</x:v>
      </x:c>
    </x:row>
    <x:row r="3770" spans="1:16">
      <x:c r="A3770" s="0" t="s">
        <x:v>14923</x:v>
      </x:c>
      <x:c r="B3770" s="0" t="s">
        <x:v>14924</x:v>
      </x:c>
      <x:c r="C3770" s="0" t="s">
        <x:v>14925</x:v>
      </x:c>
      <x:c r="E3770" s="0" t="s">
        <x:v>14926</x:v>
      </x:c>
      <x:c r="F3770" s="0" t="s">
        <x:v>45</x:v>
      </x:c>
      <x:c r="G3770" s="0" t="s">
        <x:v>19</x:v>
      </x:c>
      <x:c r="H3770" s="0" t="s">
        <x:v>20</x:v>
      </x:c>
      <x:c r="I3770" s="0" t="s">
        <x:v>21</x:v>
      </x:c>
      <x:c r="K3770" s="0">
        <x:f>hyperlink("https://icd.who.int/dev11/l-ichi/en#/http%3A%2F%2Fid.who.int%2Ficd%2Fentity%2F1080957275","browser")</x:f>
      </x:c>
      <x:c r="L3770" s="0">
        <x:f>hyperlink("https://icat2.azurewebsites.net/icat/?ontology=ICD&amp;tab=ClassesTab&amp;id=http%3A%2F%2Fwho.int%2Ficd%2318654_512ebf36_bf6b_4d70_85da_cf2637062af4","iCat")</x:f>
      </x:c>
      <x:c r="M3770" s="0" t="s">
        <x:v>21</x:v>
      </x:c>
      <x:c r="N3770" s="0" t="s">
        <x:v>46</x:v>
      </x:c>
    </x:row>
    <x:row r="3771" spans="1:16">
      <x:c r="A3771" s="0" t="s">
        <x:v>14927</x:v>
      </x:c>
      <x:c r="B3771" s="0" t="s">
        <x:v>14928</x:v>
      </x:c>
      <x:c r="C3771" s="0" t="s">
        <x:v>14929</x:v>
      </x:c>
      <x:c r="E3771" s="0" t="s">
        <x:v>14930</x:v>
      </x:c>
      <x:c r="F3771" s="0" t="s">
        <x:v>45</x:v>
      </x:c>
      <x:c r="G3771" s="0" t="s">
        <x:v>19</x:v>
      </x:c>
      <x:c r="H3771" s="0" t="s">
        <x:v>20</x:v>
      </x:c>
      <x:c r="I3771" s="0" t="s">
        <x:v>21</x:v>
      </x:c>
      <x:c r="K3771" s="0">
        <x:f>hyperlink("https://icd.who.int/dev11/l-ichi/en#/http%3A%2F%2Fid.who.int%2Ficd%2Fentity%2F903388458","browser")</x:f>
      </x:c>
      <x:c r="L3771" s="0">
        <x:f>hyperlink("https://icat2.azurewebsites.net/icat/?ontology=ICD&amp;tab=ClassesTab&amp;id=http%3A%2F%2Fwho.int%2Ficd%2318660_512ebf36_bf6b_4d70_85da_cf2637062af4","iCat")</x:f>
      </x:c>
      <x:c r="M3771" s="0" t="s">
        <x:v>21</x:v>
      </x:c>
      <x:c r="N3771" s="0" t="s">
        <x:v>46</x:v>
      </x:c>
    </x:row>
    <x:row r="3772" spans="1:16">
      <x:c r="A3772" s="0" t="s">
        <x:v>14931</x:v>
      </x:c>
      <x:c r="B3772" s="0" t="s">
        <x:v>14932</x:v>
      </x:c>
      <x:c r="C3772" s="0" t="s">
        <x:v>14933</x:v>
      </x:c>
      <x:c r="E3772" s="0" t="s">
        <x:v>14934</x:v>
      </x:c>
      <x:c r="F3772" s="0" t="s">
        <x:v>45</x:v>
      </x:c>
      <x:c r="G3772" s="0" t="s">
        <x:v>19</x:v>
      </x:c>
      <x:c r="H3772" s="0" t="s">
        <x:v>20</x:v>
      </x:c>
      <x:c r="I3772" s="0" t="s">
        <x:v>21</x:v>
      </x:c>
      <x:c r="K3772" s="0">
        <x:f>hyperlink("https://icd.who.int/dev11/l-ichi/en#/http%3A%2F%2Fid.who.int%2Ficd%2Fentity%2F1163540133","browser")</x:f>
      </x:c>
      <x:c r="L3772" s="0">
        <x:f>hyperlink("https://icat2.azurewebsites.net/icat/?ontology=ICD&amp;tab=ClassesTab&amp;id=http%3A%2F%2Fwho.int%2Ficd%2318667_512ebf36_bf6b_4d70_85da_cf2637062af4","iCat")</x:f>
      </x:c>
      <x:c r="M3772" s="0" t="s">
        <x:v>21</x:v>
      </x:c>
      <x:c r="N3772" s="0" t="s">
        <x:v>46</x:v>
      </x:c>
    </x:row>
    <x:row r="3773" spans="1:16">
      <x:c r="A3773" s="0" t="s">
        <x:v>14935</x:v>
      </x:c>
      <x:c r="B3773" s="0" t="s">
        <x:v>14936</x:v>
      </x:c>
      <x:c r="C3773" s="0" t="s">
        <x:v>14937</x:v>
      </x:c>
      <x:c r="E3773" s="0" t="s">
        <x:v>14938</x:v>
      </x:c>
      <x:c r="F3773" s="0" t="s">
        <x:v>45</x:v>
      </x:c>
      <x:c r="G3773" s="0" t="s">
        <x:v>19</x:v>
      </x:c>
      <x:c r="H3773" s="0" t="s">
        <x:v>20</x:v>
      </x:c>
      <x:c r="I3773" s="0" t="s">
        <x:v>21</x:v>
      </x:c>
      <x:c r="K3773" s="0">
        <x:f>hyperlink("https://icd.who.int/dev11/l-ichi/en#/http%3A%2F%2Fid.who.int%2Ficd%2Fentity%2F446195590","browser")</x:f>
      </x:c>
      <x:c r="L3773" s="0">
        <x:f>hyperlink("https://icat2.azurewebsites.net/icat/?ontology=ICD&amp;tab=ClassesTab&amp;id=http%3A%2F%2Fwho.int%2Ficd%2318673_512ebf36_bf6b_4d70_85da_cf2637062af4","iCat")</x:f>
      </x:c>
      <x:c r="M3773" s="0" t="s">
        <x:v>21</x:v>
      </x:c>
      <x:c r="N3773" s="0" t="s">
        <x:v>46</x:v>
      </x:c>
    </x:row>
    <x:row r="3774" spans="1:16">
      <x:c r="A3774" s="0" t="s">
        <x:v>14939</x:v>
      </x:c>
      <x:c r="B3774" s="0" t="s">
        <x:v>14940</x:v>
      </x:c>
      <x:c r="C3774" s="0" t="s">
        <x:v>14941</x:v>
      </x:c>
      <x:c r="E3774" s="0" t="s">
        <x:v>14942</x:v>
      </x:c>
      <x:c r="F3774" s="0" t="s">
        <x:v>45</x:v>
      </x:c>
      <x:c r="G3774" s="0" t="s">
        <x:v>19</x:v>
      </x:c>
      <x:c r="H3774" s="0" t="s">
        <x:v>20</x:v>
      </x:c>
      <x:c r="I3774" s="0" t="s">
        <x:v>21</x:v>
      </x:c>
      <x:c r="K3774" s="0">
        <x:f>hyperlink("https://icd.who.int/dev11/l-ichi/en#/http%3A%2F%2Fid.who.int%2Ficd%2Fentity%2F1342386333","browser")</x:f>
      </x:c>
      <x:c r="L3774" s="0">
        <x:f>hyperlink("https://icat2.azurewebsites.net/icat/?ontology=ICD&amp;tab=ClassesTab&amp;id=http%3A%2F%2Fwho.int%2Ficd%2318681_512ebf36_bf6b_4d70_85da_cf2637062af4","iCat")</x:f>
      </x:c>
      <x:c r="M3774" s="0" t="s">
        <x:v>21</x:v>
      </x:c>
      <x:c r="N3774" s="0" t="s">
        <x:v>46</x:v>
      </x:c>
    </x:row>
    <x:row r="3775" spans="1:16">
      <x:c r="A3775" s="0" t="s">
        <x:v>14943</x:v>
      </x:c>
      <x:c r="B3775" s="0" t="s">
        <x:v>14944</x:v>
      </x:c>
      <x:c r="C3775" s="0" t="s">
        <x:v>14945</x:v>
      </x:c>
      <x:c r="E3775" s="0" t="s">
        <x:v>14946</x:v>
      </x:c>
      <x:c r="F3775" s="0" t="s">
        <x:v>45</x:v>
      </x:c>
      <x:c r="G3775" s="0" t="s">
        <x:v>19</x:v>
      </x:c>
      <x:c r="H3775" s="0" t="s">
        <x:v>20</x:v>
      </x:c>
      <x:c r="I3775" s="0" t="s">
        <x:v>21</x:v>
      </x:c>
      <x:c r="K3775" s="0">
        <x:f>hyperlink("https://icd.who.int/dev11/l-ichi/en#/http%3A%2F%2Fid.who.int%2Ficd%2Fentity%2F7924014","browser")</x:f>
      </x:c>
      <x:c r="L3775" s="0">
        <x:f>hyperlink("https://icat2.azurewebsites.net/icat/?ontology=ICD&amp;tab=ClassesTab&amp;id=http%3A%2F%2Fwho.int%2Ficd%2318687_512ebf36_bf6b_4d70_85da_cf2637062af4","iCat")</x:f>
      </x:c>
      <x:c r="M3775" s="0" t="s">
        <x:v>21</x:v>
      </x:c>
      <x:c r="N3775" s="0" t="s">
        <x:v>46</x:v>
      </x:c>
    </x:row>
    <x:row r="3776" spans="1:16">
      <x:c r="A3776" s="0" t="s">
        <x:v>14947</x:v>
      </x:c>
      <x:c r="B3776" s="0" t="s">
        <x:v>14948</x:v>
      </x:c>
      <x:c r="C3776" s="0" t="s">
        <x:v>14949</x:v>
      </x:c>
      <x:c r="E3776" s="0" t="s">
        <x:v>14950</x:v>
      </x:c>
      <x:c r="F3776" s="0" t="s">
        <x:v>45</x:v>
      </x:c>
      <x:c r="G3776" s="0" t="s">
        <x:v>19</x:v>
      </x:c>
      <x:c r="H3776" s="0" t="s">
        <x:v>20</x:v>
      </x:c>
      <x:c r="I3776" s="0" t="s">
        <x:v>21</x:v>
      </x:c>
      <x:c r="K3776" s="0">
        <x:f>hyperlink("https://icd.who.int/dev11/l-ichi/en#/http%3A%2F%2Fid.who.int%2Ficd%2Fentity%2F1606072335","browser")</x:f>
      </x:c>
      <x:c r="L3776" s="0">
        <x:f>hyperlink("https://icat2.azurewebsites.net/icat/?ontology=ICD&amp;tab=ClassesTab&amp;id=http%3A%2F%2Fwho.int%2Ficd%2318693_512ebf36_bf6b_4d70_85da_cf2637062af4","iCat")</x:f>
      </x:c>
      <x:c r="M3776" s="0" t="s">
        <x:v>21</x:v>
      </x:c>
      <x:c r="N3776" s="0" t="s">
        <x:v>46</x:v>
      </x:c>
    </x:row>
    <x:row r="3777" spans="1:16">
      <x:c r="A3777" s="0" t="s">
        <x:v>14951</x:v>
      </x:c>
      <x:c r="B3777" s="0" t="s">
        <x:v>14952</x:v>
      </x:c>
      <x:c r="C3777" s="0" t="s">
        <x:v>14953</x:v>
      </x:c>
      <x:c r="E3777" s="0" t="s">
        <x:v>14954</x:v>
      </x:c>
      <x:c r="F3777" s="0" t="s">
        <x:v>45</x:v>
      </x:c>
      <x:c r="G3777" s="0" t="s">
        <x:v>19</x:v>
      </x:c>
      <x:c r="H3777" s="0" t="s">
        <x:v>20</x:v>
      </x:c>
      <x:c r="I3777" s="0" t="s">
        <x:v>21</x:v>
      </x:c>
      <x:c r="K3777" s="0">
        <x:f>hyperlink("https://icd.who.int/dev11/l-ichi/en#/http%3A%2F%2Fid.who.int%2Ficd%2Fentity%2F1950864543","browser")</x:f>
      </x:c>
      <x:c r="L3777" s="0">
        <x:f>hyperlink("https://icat2.azurewebsites.net/icat/?ontology=ICD&amp;tab=ClassesTab&amp;id=http%3A%2F%2Fwho.int%2Ficd%2318699_512ebf36_bf6b_4d70_85da_cf2637062af4","iCat")</x:f>
      </x:c>
      <x:c r="M3777" s="0" t="s">
        <x:v>21</x:v>
      </x:c>
      <x:c r="N3777" s="0" t="s">
        <x:v>46</x:v>
      </x:c>
    </x:row>
    <x:row r="3778" spans="1:16">
      <x:c r="A3778" s="0" t="s">
        <x:v>14955</x:v>
      </x:c>
      <x:c r="B3778" s="0" t="s">
        <x:v>14956</x:v>
      </x:c>
      <x:c r="C3778" s="0" t="s">
        <x:v>14957</x:v>
      </x:c>
      <x:c r="E3778" s="0" t="s">
        <x:v>14958</x:v>
      </x:c>
      <x:c r="F3778" s="0" t="s">
        <x:v>45</x:v>
      </x:c>
      <x:c r="G3778" s="0" t="s">
        <x:v>19</x:v>
      </x:c>
      <x:c r="H3778" s="0" t="s">
        <x:v>20</x:v>
      </x:c>
      <x:c r="I3778" s="0" t="s">
        <x:v>21</x:v>
      </x:c>
      <x:c r="K3778" s="0">
        <x:f>hyperlink("https://icd.who.int/dev11/l-ichi/en#/http%3A%2F%2Fid.who.int%2Ficd%2Fentity%2F262826928","browser")</x:f>
      </x:c>
      <x:c r="L3778" s="0">
        <x:f>hyperlink("https://icat2.azurewebsites.net/icat/?ontology=ICD&amp;tab=ClassesTab&amp;id=http%3A%2F%2Fwho.int%2Ficd%2318705_512ebf36_bf6b_4d70_85da_cf2637062af4","iCat")</x:f>
      </x:c>
      <x:c r="M3778" s="0" t="s">
        <x:v>21</x:v>
      </x:c>
      <x:c r="N3778" s="0" t="s">
        <x:v>46</x:v>
      </x:c>
    </x:row>
    <x:row r="3779" spans="1:16">
      <x:c r="A3779" s="0" t="s">
        <x:v>14959</x:v>
      </x:c>
      <x:c r="B3779" s="0" t="s">
        <x:v>14960</x:v>
      </x:c>
      <x:c r="C3779" s="0" t="s">
        <x:v>14961</x:v>
      </x:c>
      <x:c r="E3779" s="0" t="s">
        <x:v>14962</x:v>
      </x:c>
      <x:c r="F3779" s="0" t="s">
        <x:v>45</x:v>
      </x:c>
      <x:c r="G3779" s="0" t="s">
        <x:v>19</x:v>
      </x:c>
      <x:c r="H3779" s="0" t="s">
        <x:v>20</x:v>
      </x:c>
      <x:c r="I3779" s="0" t="s">
        <x:v>21</x:v>
      </x:c>
      <x:c r="K3779" s="0">
        <x:f>hyperlink("https://icd.who.int/dev11/l-ichi/en#/http%3A%2F%2Fid.who.int%2Ficd%2Fentity%2F367875434","browser")</x:f>
      </x:c>
      <x:c r="L3779" s="0">
        <x:f>hyperlink("https://icat2.azurewebsites.net/icat/?ontology=ICD&amp;tab=ClassesTab&amp;id=http%3A%2F%2Fwho.int%2Ficd%2318712_512ebf36_bf6b_4d70_85da_cf2637062af4","iCat")</x:f>
      </x:c>
      <x:c r="M3779" s="0" t="s">
        <x:v>21</x:v>
      </x:c>
      <x:c r="N3779" s="0" t="s">
        <x:v>46</x:v>
      </x:c>
    </x:row>
    <x:row r="3780" spans="1:16">
      <x:c r="A3780" s="0" t="s">
        <x:v>14963</x:v>
      </x:c>
      <x:c r="B3780" s="0" t="s">
        <x:v>14964</x:v>
      </x:c>
      <x:c r="C3780" s="0" t="s">
        <x:v>14965</x:v>
      </x:c>
      <x:c r="E3780" s="0" t="s">
        <x:v>14966</x:v>
      </x:c>
      <x:c r="F3780" s="0" t="s">
        <x:v>45</x:v>
      </x:c>
      <x:c r="G3780" s="0" t="s">
        <x:v>19</x:v>
      </x:c>
      <x:c r="H3780" s="0" t="s">
        <x:v>20</x:v>
      </x:c>
      <x:c r="I3780" s="0" t="s">
        <x:v>21</x:v>
      </x:c>
      <x:c r="K3780" s="0">
        <x:f>hyperlink("https://icd.who.int/dev11/l-ichi/en#/http%3A%2F%2Fid.who.int%2Ficd%2Fentity%2F1432098157","browser")</x:f>
      </x:c>
      <x:c r="L3780" s="0">
        <x:f>hyperlink("https://icat2.azurewebsites.net/icat/?ontology=ICD&amp;tab=ClassesTab&amp;id=http%3A%2F%2Fwho.int%2Ficd%2318722_512ebf36_bf6b_4d70_85da_cf2637062af4","iCat")</x:f>
      </x:c>
      <x:c r="M3780" s="0" t="s">
        <x:v>21</x:v>
      </x:c>
      <x:c r="N3780" s="0" t="s">
        <x:v>46</x:v>
      </x:c>
    </x:row>
    <x:row r="3781" spans="1:16">
      <x:c r="A3781" s="0" t="s">
        <x:v>14967</x:v>
      </x:c>
      <x:c r="B3781" s="0" t="s">
        <x:v>14968</x:v>
      </x:c>
      <x:c r="C3781" s="0" t="s">
        <x:v>14969</x:v>
      </x:c>
      <x:c r="E3781" s="0" t="s">
        <x:v>14970</x:v>
      </x:c>
      <x:c r="F3781" s="0" t="s">
        <x:v>45</x:v>
      </x:c>
      <x:c r="G3781" s="0" t="s">
        <x:v>19</x:v>
      </x:c>
      <x:c r="H3781" s="0" t="s">
        <x:v>20</x:v>
      </x:c>
      <x:c r="I3781" s="0" t="s">
        <x:v>21</x:v>
      </x:c>
      <x:c r="K3781" s="0">
        <x:f>hyperlink("https://icd.who.int/dev11/l-ichi/en#/http%3A%2F%2Fid.who.int%2Ficd%2Fentity%2F2124511741","browser")</x:f>
      </x:c>
      <x:c r="L3781" s="0">
        <x:f>hyperlink("https://icat2.azurewebsites.net/icat/?ontology=ICD&amp;tab=ClassesTab&amp;id=http%3A%2F%2Fwho.int%2Ficd%2318728_512ebf36_bf6b_4d70_85da_cf2637062af4","iCat")</x:f>
      </x:c>
      <x:c r="M3781" s="0" t="s">
        <x:v>21</x:v>
      </x:c>
      <x:c r="N3781" s="0" t="s">
        <x:v>46</x:v>
      </x:c>
    </x:row>
    <x:row r="3782" spans="1:16">
      <x:c r="A3782" s="0" t="s">
        <x:v>14971</x:v>
      </x:c>
      <x:c r="B3782" s="0" t="s">
        <x:v>14972</x:v>
      </x:c>
      <x:c r="C3782" s="0" t="s">
        <x:v>14973</x:v>
      </x:c>
      <x:c r="E3782" s="0" t="s">
        <x:v>14974</x:v>
      </x:c>
      <x:c r="F3782" s="0" t="s">
        <x:v>45</x:v>
      </x:c>
      <x:c r="G3782" s="0" t="s">
        <x:v>19</x:v>
      </x:c>
      <x:c r="H3782" s="0" t="s">
        <x:v>20</x:v>
      </x:c>
      <x:c r="I3782" s="0" t="s">
        <x:v>21</x:v>
      </x:c>
      <x:c r="K3782" s="0">
        <x:f>hyperlink("https://icd.who.int/dev11/l-ichi/en#/http%3A%2F%2Fid.who.int%2Ficd%2Fentity%2F1877105035","browser")</x:f>
      </x:c>
      <x:c r="L3782" s="0">
        <x:f>hyperlink("https://icat2.azurewebsites.net/icat/?ontology=ICD&amp;tab=ClassesTab&amp;id=http%3A%2F%2Fwho.int%2Ficd%2318734_512ebf36_bf6b_4d70_85da_cf2637062af4","iCat")</x:f>
      </x:c>
      <x:c r="M3782" s="0" t="s">
        <x:v>21</x:v>
      </x:c>
      <x:c r="N3782" s="0" t="s">
        <x:v>46</x:v>
      </x:c>
    </x:row>
    <x:row r="3783" spans="1:16">
      <x:c r="A3783" s="0" t="s">
        <x:v>14975</x:v>
      </x:c>
      <x:c r="B3783" s="0" t="s">
        <x:v>14976</x:v>
      </x:c>
      <x:c r="C3783" s="0" t="s">
        <x:v>14977</x:v>
      </x:c>
      <x:c r="E3783" s="0" t="s">
        <x:v>14978</x:v>
      </x:c>
      <x:c r="F3783" s="0" t="s">
        <x:v>45</x:v>
      </x:c>
      <x:c r="G3783" s="0" t="s">
        <x:v>19</x:v>
      </x:c>
      <x:c r="H3783" s="0" t="s">
        <x:v>20</x:v>
      </x:c>
      <x:c r="I3783" s="0" t="s">
        <x:v>21</x:v>
      </x:c>
      <x:c r="K3783" s="0">
        <x:f>hyperlink("https://icd.who.int/dev11/l-ichi/en#/http%3A%2F%2Fid.who.int%2Ficd%2Fentity%2F1781763813","browser")</x:f>
      </x:c>
      <x:c r="L3783" s="0">
        <x:f>hyperlink("https://icat2.azurewebsites.net/icat/?ontology=ICD&amp;tab=ClassesTab&amp;id=http%3A%2F%2Fwho.int%2Ficd%2318740_512ebf36_bf6b_4d70_85da_cf2637062af4","iCat")</x:f>
      </x:c>
      <x:c r="M3783" s="0" t="s">
        <x:v>21</x:v>
      </x:c>
      <x:c r="N3783" s="0" t="s">
        <x:v>46</x:v>
      </x:c>
    </x:row>
    <x:row r="3784" spans="1:16">
      <x:c r="A3784" s="0" t="s">
        <x:v>14979</x:v>
      </x:c>
      <x:c r="B3784" s="0" t="s">
        <x:v>14980</x:v>
      </x:c>
      <x:c r="C3784" s="0" t="s">
        <x:v>14981</x:v>
      </x:c>
      <x:c r="E3784" s="0" t="s">
        <x:v>14982</x:v>
      </x:c>
      <x:c r="F3784" s="0" t="s">
        <x:v>45</x:v>
      </x:c>
      <x:c r="G3784" s="0" t="s">
        <x:v>19</x:v>
      </x:c>
      <x:c r="H3784" s="0" t="s">
        <x:v>20</x:v>
      </x:c>
      <x:c r="I3784" s="0" t="s">
        <x:v>21</x:v>
      </x:c>
      <x:c r="K3784" s="0">
        <x:f>hyperlink("https://icd.who.int/dev11/l-ichi/en#/http%3A%2F%2Fid.who.int%2Ficd%2Fentity%2F16128946","browser")</x:f>
      </x:c>
      <x:c r="L3784" s="0">
        <x:f>hyperlink("https://icat2.azurewebsites.net/icat/?ontology=ICD&amp;tab=ClassesTab&amp;id=http%3A%2F%2Fwho.int%2Ficd%2318750_512ebf36_bf6b_4d70_85da_cf2637062af4","iCat")</x:f>
      </x:c>
      <x:c r="M3784" s="0" t="s">
        <x:v>21</x:v>
      </x:c>
      <x:c r="N3784" s="0" t="s">
        <x:v>46</x:v>
      </x:c>
    </x:row>
    <x:row r="3785" spans="1:16">
      <x:c r="A3785" s="0" t="s">
        <x:v>14983</x:v>
      </x:c>
      <x:c r="B3785" s="0" t="s">
        <x:v>14984</x:v>
      </x:c>
      <x:c r="C3785" s="0" t="s">
        <x:v>14985</x:v>
      </x:c>
      <x:c r="E3785" s="0" t="s">
        <x:v>14986</x:v>
      </x:c>
      <x:c r="F3785" s="0" t="s">
        <x:v>45</x:v>
      </x:c>
      <x:c r="G3785" s="0" t="s">
        <x:v>19</x:v>
      </x:c>
      <x:c r="H3785" s="0" t="s">
        <x:v>20</x:v>
      </x:c>
      <x:c r="I3785" s="0" t="s">
        <x:v>21</x:v>
      </x:c>
      <x:c r="K3785" s="0">
        <x:f>hyperlink("https://icd.who.int/dev11/l-ichi/en#/http%3A%2F%2Fid.who.int%2Ficd%2Fentity%2F1886695487","browser")</x:f>
      </x:c>
      <x:c r="L3785" s="0">
        <x:f>hyperlink("https://icat2.azurewebsites.net/icat/?ontology=ICD&amp;tab=ClassesTab&amp;id=http%3A%2F%2Fwho.int%2Ficd%2318757_512ebf36_bf6b_4d70_85da_cf2637062af4","iCat")</x:f>
      </x:c>
      <x:c r="M3785" s="0" t="s">
        <x:v>21</x:v>
      </x:c>
      <x:c r="N3785" s="0" t="s">
        <x:v>46</x:v>
      </x:c>
    </x:row>
    <x:row r="3786" spans="1:16">
      <x:c r="A3786" s="0" t="s">
        <x:v>14987</x:v>
      </x:c>
      <x:c r="B3786" s="0" t="s">
        <x:v>14988</x:v>
      </x:c>
      <x:c r="C3786" s="0" t="s">
        <x:v>14989</x:v>
      </x:c>
      <x:c r="E3786" s="0" t="s">
        <x:v>14990</x:v>
      </x:c>
      <x:c r="F3786" s="0" t="s">
        <x:v>45</x:v>
      </x:c>
      <x:c r="G3786" s="0" t="s">
        <x:v>19</x:v>
      </x:c>
      <x:c r="H3786" s="0" t="s">
        <x:v>20</x:v>
      </x:c>
      <x:c r="I3786" s="0" t="s">
        <x:v>21</x:v>
      </x:c>
      <x:c r="K3786" s="0">
        <x:f>hyperlink("https://icd.who.int/dev11/l-ichi/en#/http%3A%2F%2Fid.who.int%2Ficd%2Fentity%2F96613452","browser")</x:f>
      </x:c>
      <x:c r="L3786" s="0">
        <x:f>hyperlink("https://icat2.azurewebsites.net/icat/?ontology=ICD&amp;tab=ClassesTab&amp;id=http%3A%2F%2Fwho.int%2Ficd%2318763_512ebf36_bf6b_4d70_85da_cf2637062af4","iCat")</x:f>
      </x:c>
      <x:c r="M3786" s="0" t="s">
        <x:v>21</x:v>
      </x:c>
      <x:c r="N3786" s="0" t="s">
        <x:v>46</x:v>
      </x:c>
    </x:row>
    <x:row r="3787" spans="1:16">
      <x:c r="A3787" s="0" t="s">
        <x:v>14991</x:v>
      </x:c>
      <x:c r="B3787" s="0" t="s">
        <x:v>14992</x:v>
      </x:c>
      <x:c r="C3787" s="0" t="s">
        <x:v>14993</x:v>
      </x:c>
      <x:c r="E3787" s="0" t="s">
        <x:v>14994</x:v>
      </x:c>
      <x:c r="F3787" s="0" t="s">
        <x:v>45</x:v>
      </x:c>
      <x:c r="G3787" s="0" t="s">
        <x:v>19</x:v>
      </x:c>
      <x:c r="H3787" s="0" t="s">
        <x:v>20</x:v>
      </x:c>
      <x:c r="I3787" s="0" t="s">
        <x:v>21</x:v>
      </x:c>
      <x:c r="K3787" s="0">
        <x:f>hyperlink("https://icd.who.int/dev11/l-ichi/en#/http%3A%2F%2Fid.who.int%2Ficd%2Fentity%2F775903452","browser")</x:f>
      </x:c>
      <x:c r="L3787" s="0">
        <x:f>hyperlink("https://icat2.azurewebsites.net/icat/?ontology=ICD&amp;tab=ClassesTab&amp;id=http%3A%2F%2Fwho.int%2Ficd%2318769_512ebf36_bf6b_4d70_85da_cf2637062af4","iCat")</x:f>
      </x:c>
      <x:c r="M3787" s="0" t="s">
        <x:v>21</x:v>
      </x:c>
      <x:c r="N3787" s="0" t="s">
        <x:v>46</x:v>
      </x:c>
    </x:row>
    <x:row r="3788" spans="1:16">
      <x:c r="A3788" s="0" t="s">
        <x:v>14995</x:v>
      </x:c>
      <x:c r="B3788" s="0" t="s">
        <x:v>14996</x:v>
      </x:c>
      <x:c r="C3788" s="0" t="s">
        <x:v>14997</x:v>
      </x:c>
      <x:c r="E3788" s="0" t="s">
        <x:v>14998</x:v>
      </x:c>
      <x:c r="F3788" s="0" t="s">
        <x:v>45</x:v>
      </x:c>
      <x:c r="G3788" s="0" t="s">
        <x:v>19</x:v>
      </x:c>
      <x:c r="H3788" s="0" t="s">
        <x:v>20</x:v>
      </x:c>
      <x:c r="I3788" s="0" t="s">
        <x:v>21</x:v>
      </x:c>
      <x:c r="K3788" s="0">
        <x:f>hyperlink("https://icd.who.int/dev11/l-ichi/en#/http%3A%2F%2Fid.who.int%2Ficd%2Fentity%2F1065121964","browser")</x:f>
      </x:c>
      <x:c r="L3788" s="0">
        <x:f>hyperlink("https://icat2.azurewebsites.net/icat/?ontology=ICD&amp;tab=ClassesTab&amp;id=http%3A%2F%2Fwho.int%2Ficd%2318775_512ebf36_bf6b_4d70_85da_cf2637062af4","iCat")</x:f>
      </x:c>
      <x:c r="M3788" s="0" t="s">
        <x:v>21</x:v>
      </x:c>
      <x:c r="N3788" s="0" t="s">
        <x:v>46</x:v>
      </x:c>
    </x:row>
    <x:row r="3789" spans="1:16">
      <x:c r="A3789" s="0" t="s">
        <x:v>14999</x:v>
      </x:c>
      <x:c r="B3789" s="0" t="s">
        <x:v>15000</x:v>
      </x:c>
      <x:c r="C3789" s="0" t="s">
        <x:v>15001</x:v>
      </x:c>
      <x:c r="E3789" s="0" t="s">
        <x:v>15002</x:v>
      </x:c>
      <x:c r="F3789" s="0" t="s">
        <x:v>45</x:v>
      </x:c>
      <x:c r="G3789" s="0" t="s">
        <x:v>19</x:v>
      </x:c>
      <x:c r="H3789" s="0" t="s">
        <x:v>20</x:v>
      </x:c>
      <x:c r="I3789" s="0" t="s">
        <x:v>21</x:v>
      </x:c>
      <x:c r="K3789" s="0">
        <x:f>hyperlink("https://icd.who.int/dev11/l-ichi/en#/http%3A%2F%2Fid.who.int%2Ficd%2Fentity%2F1612290553","browser")</x:f>
      </x:c>
      <x:c r="L3789" s="0">
        <x:f>hyperlink("https://icat2.azurewebsites.net/icat/?ontology=ICD&amp;tab=ClassesTab&amp;id=http%3A%2F%2Fwho.int%2Ficd%2318782_512ebf36_bf6b_4d70_85da_cf2637062af4","iCat")</x:f>
      </x:c>
      <x:c r="M3789" s="0" t="s">
        <x:v>21</x:v>
      </x:c>
      <x:c r="N3789" s="0" t="s">
        <x:v>46</x:v>
      </x:c>
    </x:row>
    <x:row r="3790" spans="1:16">
      <x:c r="A3790" s="0" t="s">
        <x:v>15003</x:v>
      </x:c>
      <x:c r="B3790" s="0" t="s">
        <x:v>15004</x:v>
      </x:c>
      <x:c r="C3790" s="0" t="s">
        <x:v>15005</x:v>
      </x:c>
      <x:c r="E3790" s="0" t="s">
        <x:v>15006</x:v>
      </x:c>
      <x:c r="F3790" s="0" t="s">
        <x:v>45</x:v>
      </x:c>
      <x:c r="G3790" s="0" t="s">
        <x:v>19</x:v>
      </x:c>
      <x:c r="H3790" s="0" t="s">
        <x:v>20</x:v>
      </x:c>
      <x:c r="I3790" s="0" t="s">
        <x:v>21</x:v>
      </x:c>
      <x:c r="K3790" s="0">
        <x:f>hyperlink("https://icd.who.int/dev11/l-ichi/en#/http%3A%2F%2Fid.who.int%2Ficd%2Fentity%2F1872761195","browser")</x:f>
      </x:c>
      <x:c r="L3790" s="0">
        <x:f>hyperlink("https://icat2.azurewebsites.net/icat/?ontology=ICD&amp;tab=ClassesTab&amp;id=http%3A%2F%2Fwho.int%2Ficd%2318790_512ebf36_bf6b_4d70_85da_cf2637062af4","iCat")</x:f>
      </x:c>
      <x:c r="M3790" s="0" t="s">
        <x:v>21</x:v>
      </x:c>
      <x:c r="N3790" s="0" t="s">
        <x:v>46</x:v>
      </x:c>
    </x:row>
    <x:row r="3791" spans="1:16">
      <x:c r="A3791" s="0" t="s">
        <x:v>15007</x:v>
      </x:c>
      <x:c r="B3791" s="0" t="s">
        <x:v>15008</x:v>
      </x:c>
      <x:c r="C3791" s="0" t="s">
        <x:v>15009</x:v>
      </x:c>
      <x:c r="E3791" s="0" t="s">
        <x:v>15010</x:v>
      </x:c>
      <x:c r="F3791" s="0" t="s">
        <x:v>45</x:v>
      </x:c>
      <x:c r="G3791" s="0" t="s">
        <x:v>19</x:v>
      </x:c>
      <x:c r="H3791" s="0" t="s">
        <x:v>20</x:v>
      </x:c>
      <x:c r="I3791" s="0" t="s">
        <x:v>21</x:v>
      </x:c>
      <x:c r="K3791" s="0">
        <x:f>hyperlink("https://icd.who.int/dev11/l-ichi/en#/http%3A%2F%2Fid.who.int%2Ficd%2Fentity%2F522369768","browser")</x:f>
      </x:c>
      <x:c r="L3791" s="0">
        <x:f>hyperlink("https://icat2.azurewebsites.net/icat/?ontology=ICD&amp;tab=ClassesTab&amp;id=http%3A%2F%2Fwho.int%2Ficd%2318797_512ebf36_bf6b_4d70_85da_cf2637062af4","iCat")</x:f>
      </x:c>
      <x:c r="M3791" s="0" t="s">
        <x:v>21</x:v>
      </x:c>
      <x:c r="N3791" s="0" t="s">
        <x:v>46</x:v>
      </x:c>
    </x:row>
    <x:row r="3792" spans="1:16">
      <x:c r="A3792" s="0" t="s">
        <x:v>15011</x:v>
      </x:c>
      <x:c r="B3792" s="0" t="s">
        <x:v>15012</x:v>
      </x:c>
      <x:c r="C3792" s="0" t="s">
        <x:v>15013</x:v>
      </x:c>
      <x:c r="E3792" s="0" t="s">
        <x:v>15014</x:v>
      </x:c>
      <x:c r="F3792" s="0" t="s">
        <x:v>45</x:v>
      </x:c>
      <x:c r="G3792" s="0" t="s">
        <x:v>19</x:v>
      </x:c>
      <x:c r="H3792" s="0" t="s">
        <x:v>20</x:v>
      </x:c>
      <x:c r="I3792" s="0" t="s">
        <x:v>21</x:v>
      </x:c>
      <x:c r="K3792" s="0">
        <x:f>hyperlink("https://icd.who.int/dev11/l-ichi/en#/http%3A%2F%2Fid.who.int%2Ficd%2Fentity%2F39931543","browser")</x:f>
      </x:c>
      <x:c r="L3792" s="0">
        <x:f>hyperlink("https://icat2.azurewebsites.net/icat/?ontology=ICD&amp;tab=ClassesTab&amp;id=http%3A%2F%2Fwho.int%2Ficd%2318809_512ebf36_bf6b_4d70_85da_cf2637062af4","iCat")</x:f>
      </x:c>
      <x:c r="M3792" s="0" t="s">
        <x:v>21</x:v>
      </x:c>
      <x:c r="N3792" s="0" t="s">
        <x:v>46</x:v>
      </x:c>
    </x:row>
    <x:row r="3793" spans="1:16">
      <x:c r="A3793" s="0" t="s">
        <x:v>15015</x:v>
      </x:c>
      <x:c r="B3793" s="0" t="s">
        <x:v>15016</x:v>
      </x:c>
      <x:c r="C3793" s="0" t="s">
        <x:v>15017</x:v>
      </x:c>
      <x:c r="E3793" s="0" t="s">
        <x:v>15018</x:v>
      </x:c>
      <x:c r="F3793" s="0" t="s">
        <x:v>45</x:v>
      </x:c>
      <x:c r="G3793" s="0" t="s">
        <x:v>19</x:v>
      </x:c>
      <x:c r="H3793" s="0" t="s">
        <x:v>20</x:v>
      </x:c>
      <x:c r="I3793" s="0" t="s">
        <x:v>21</x:v>
      </x:c>
      <x:c r="K3793" s="0">
        <x:f>hyperlink("https://icd.who.int/dev11/l-ichi/en#/http%3A%2F%2Fid.who.int%2Ficd%2Fentity%2F1985901350","browser")</x:f>
      </x:c>
      <x:c r="L3793" s="0">
        <x:f>hyperlink("https://icat2.azurewebsites.net/icat/?ontology=ICD&amp;tab=ClassesTab&amp;id=http%3A%2F%2Fwho.int%2Ficd%2318817_512ebf36_bf6b_4d70_85da_cf2637062af4","iCat")</x:f>
      </x:c>
      <x:c r="M3793" s="0" t="s">
        <x:v>21</x:v>
      </x:c>
      <x:c r="N3793" s="0" t="s">
        <x:v>46</x:v>
      </x:c>
    </x:row>
    <x:row r="3794" spans="1:16">
      <x:c r="A3794" s="0" t="s">
        <x:v>15019</x:v>
      </x:c>
      <x:c r="B3794" s="0" t="s">
        <x:v>15020</x:v>
      </x:c>
      <x:c r="C3794" s="0" t="s">
        <x:v>15021</x:v>
      </x:c>
      <x:c r="E3794" s="0" t="s">
        <x:v>15022</x:v>
      </x:c>
      <x:c r="F3794" s="0" t="s">
        <x:v>45</x:v>
      </x:c>
      <x:c r="G3794" s="0" t="s">
        <x:v>19</x:v>
      </x:c>
      <x:c r="H3794" s="0" t="s">
        <x:v>20</x:v>
      </x:c>
      <x:c r="I3794" s="0" t="s">
        <x:v>21</x:v>
      </x:c>
      <x:c r="K3794" s="0">
        <x:f>hyperlink("https://icd.who.int/dev11/l-ichi/en#/http%3A%2F%2Fid.who.int%2Ficd%2Fentity%2F1936350428","browser")</x:f>
      </x:c>
      <x:c r="L3794" s="0">
        <x:f>hyperlink("https://icat2.azurewebsites.net/icat/?ontology=ICD&amp;tab=ClassesTab&amp;id=http%3A%2F%2Fwho.int%2Ficd%2318824_512ebf36_bf6b_4d70_85da_cf2637062af4","iCat")</x:f>
      </x:c>
      <x:c r="M3794" s="0" t="s">
        <x:v>21</x:v>
      </x:c>
      <x:c r="N3794" s="0" t="s">
        <x:v>46</x:v>
      </x:c>
    </x:row>
    <x:row r="3795" spans="1:16">
      <x:c r="A3795" s="0" t="s">
        <x:v>15023</x:v>
      </x:c>
      <x:c r="B3795" s="0" t="s">
        <x:v>15024</x:v>
      </x:c>
      <x:c r="C3795" s="0" t="s">
        <x:v>15025</x:v>
      </x:c>
      <x:c r="E3795" s="0" t="s">
        <x:v>15026</x:v>
      </x:c>
      <x:c r="F3795" s="0" t="s">
        <x:v>45</x:v>
      </x:c>
      <x:c r="G3795" s="0" t="s">
        <x:v>19</x:v>
      </x:c>
      <x:c r="H3795" s="0" t="s">
        <x:v>20</x:v>
      </x:c>
      <x:c r="I3795" s="0" t="s">
        <x:v>21</x:v>
      </x:c>
      <x:c r="K3795" s="0">
        <x:f>hyperlink("https://icd.who.int/dev11/l-ichi/en#/http%3A%2F%2Fid.who.int%2Ficd%2Fentity%2F749211129","browser")</x:f>
      </x:c>
      <x:c r="L3795" s="0">
        <x:f>hyperlink("https://icat2.azurewebsites.net/icat/?ontology=ICD&amp;tab=ClassesTab&amp;id=http%3A%2F%2Fwho.int%2Ficd%2318830_512ebf36_bf6b_4d70_85da_cf2637062af4","iCat")</x:f>
      </x:c>
      <x:c r="M3795" s="0" t="s">
        <x:v>21</x:v>
      </x:c>
      <x:c r="N3795" s="0" t="s">
        <x:v>46</x:v>
      </x:c>
    </x:row>
    <x:row r="3796" spans="1:16">
      <x:c r="A3796" s="0" t="s">
        <x:v>15027</x:v>
      </x:c>
      <x:c r="B3796" s="0" t="s">
        <x:v>15028</x:v>
      </x:c>
      <x:c r="C3796" s="0" t="s">
        <x:v>15029</x:v>
      </x:c>
      <x:c r="E3796" s="0" t="s">
        <x:v>15030</x:v>
      </x:c>
      <x:c r="F3796" s="0" t="s">
        <x:v>45</x:v>
      </x:c>
      <x:c r="G3796" s="0" t="s">
        <x:v>19</x:v>
      </x:c>
      <x:c r="H3796" s="0" t="s">
        <x:v>20</x:v>
      </x:c>
      <x:c r="I3796" s="0" t="s">
        <x:v>21</x:v>
      </x:c>
      <x:c r="K3796" s="0">
        <x:f>hyperlink("https://icd.who.int/dev11/l-ichi/en#/http%3A%2F%2Fid.who.int%2Ficd%2Fentity%2F1120931474","browser")</x:f>
      </x:c>
      <x:c r="L3796" s="0">
        <x:f>hyperlink("https://icat2.azurewebsites.net/icat/?ontology=ICD&amp;tab=ClassesTab&amp;id=http%3A%2F%2Fwho.int%2Ficd%2318839_512ebf36_bf6b_4d70_85da_cf2637062af4","iCat")</x:f>
      </x:c>
      <x:c r="M3796" s="0" t="s">
        <x:v>21</x:v>
      </x:c>
      <x:c r="N3796" s="0" t="s">
        <x:v>46</x:v>
      </x:c>
    </x:row>
    <x:row r="3797" spans="1:16">
      <x:c r="A3797" s="0" t="s">
        <x:v>15031</x:v>
      </x:c>
      <x:c r="B3797" s="0" t="s">
        <x:v>15032</x:v>
      </x:c>
      <x:c r="C3797" s="0" t="s">
        <x:v>15033</x:v>
      </x:c>
      <x:c r="E3797" s="0" t="s">
        <x:v>15034</x:v>
      </x:c>
      <x:c r="F3797" s="0" t="s">
        <x:v>45</x:v>
      </x:c>
      <x:c r="G3797" s="0" t="s">
        <x:v>19</x:v>
      </x:c>
      <x:c r="H3797" s="0" t="s">
        <x:v>20</x:v>
      </x:c>
      <x:c r="I3797" s="0" t="s">
        <x:v>21</x:v>
      </x:c>
      <x:c r="K3797" s="0">
        <x:f>hyperlink("https://icd.who.int/dev11/l-ichi/en#/http%3A%2F%2Fid.who.int%2Ficd%2Fentity%2F1913003402","browser")</x:f>
      </x:c>
      <x:c r="L3797" s="0">
        <x:f>hyperlink("https://icat2.azurewebsites.net/icat/?ontology=ICD&amp;tab=ClassesTab&amp;id=http%3A%2F%2Fwho.int%2Ficd%2318849_512ebf36_bf6b_4d70_85da_cf2637062af4","iCat")</x:f>
      </x:c>
      <x:c r="M3797" s="0" t="s">
        <x:v>21</x:v>
      </x:c>
      <x:c r="N3797" s="0" t="s">
        <x:v>46</x:v>
      </x:c>
    </x:row>
    <x:row r="3798" spans="1:16">
      <x:c r="A3798" s="0" t="s">
        <x:v>15035</x:v>
      </x:c>
      <x:c r="B3798" s="0" t="s">
        <x:v>15036</x:v>
      </x:c>
      <x:c r="C3798" s="0" t="s">
        <x:v>15037</x:v>
      </x:c>
      <x:c r="E3798" s="0" t="s">
        <x:v>15038</x:v>
      </x:c>
      <x:c r="F3798" s="0" t="s">
        <x:v>45</x:v>
      </x:c>
      <x:c r="G3798" s="0" t="s">
        <x:v>19</x:v>
      </x:c>
      <x:c r="H3798" s="0" t="s">
        <x:v>20</x:v>
      </x:c>
      <x:c r="I3798" s="0" t="s">
        <x:v>21</x:v>
      </x:c>
      <x:c r="K3798" s="0">
        <x:f>hyperlink("https://icd.who.int/dev11/l-ichi/en#/http%3A%2F%2Fid.who.int%2Ficd%2Fentity%2F1665482238","browser")</x:f>
      </x:c>
      <x:c r="L3798" s="0">
        <x:f>hyperlink("https://icat2.azurewebsites.net/icat/?ontology=ICD&amp;tab=ClassesTab&amp;id=http%3A%2F%2Fwho.int%2Ficd%2318855_512ebf36_bf6b_4d70_85da_cf2637062af4","iCat")</x:f>
      </x:c>
      <x:c r="M3798" s="0" t="s">
        <x:v>21</x:v>
      </x:c>
      <x:c r="N3798" s="0" t="s">
        <x:v>46</x:v>
      </x:c>
    </x:row>
    <x:row r="3799" spans="1:16">
      <x:c r="A3799" s="0" t="s">
        <x:v>15039</x:v>
      </x:c>
      <x:c r="B3799" s="0" t="s">
        <x:v>15040</x:v>
      </x:c>
      <x:c r="C3799" s="0" t="s">
        <x:v>15041</x:v>
      </x:c>
      <x:c r="E3799" s="0" t="s">
        <x:v>15042</x:v>
      </x:c>
      <x:c r="F3799" s="0" t="s">
        <x:v>45</x:v>
      </x:c>
      <x:c r="G3799" s="0" t="s">
        <x:v>19</x:v>
      </x:c>
      <x:c r="H3799" s="0" t="s">
        <x:v>20</x:v>
      </x:c>
      <x:c r="I3799" s="0" t="s">
        <x:v>21</x:v>
      </x:c>
      <x:c r="K3799" s="0">
        <x:f>hyperlink("https://icd.who.int/dev11/l-ichi/en#/http%3A%2F%2Fid.who.int%2Ficd%2Fentity%2F385071503","browser")</x:f>
      </x:c>
      <x:c r="L3799" s="0">
        <x:f>hyperlink("https://icat2.azurewebsites.net/icat/?ontology=ICD&amp;tab=ClassesTab&amp;id=http%3A%2F%2Fwho.int%2Ficd%2318861_512ebf36_bf6b_4d70_85da_cf2637062af4","iCat")</x:f>
      </x:c>
      <x:c r="M3799" s="0" t="s">
        <x:v>21</x:v>
      </x:c>
      <x:c r="N3799" s="0" t="s">
        <x:v>46</x:v>
      </x:c>
    </x:row>
    <x:row r="3800" spans="1:16">
      <x:c r="A3800" s="0" t="s">
        <x:v>15043</x:v>
      </x:c>
      <x:c r="B3800" s="0" t="s">
        <x:v>15044</x:v>
      </x:c>
      <x:c r="C3800" s="0" t="s">
        <x:v>15045</x:v>
      </x:c>
      <x:c r="E3800" s="0" t="s">
        <x:v>15046</x:v>
      </x:c>
      <x:c r="F3800" s="0" t="s">
        <x:v>45</x:v>
      </x:c>
      <x:c r="G3800" s="0" t="s">
        <x:v>19</x:v>
      </x:c>
      <x:c r="H3800" s="0" t="s">
        <x:v>20</x:v>
      </x:c>
      <x:c r="I3800" s="0" t="s">
        <x:v>21</x:v>
      </x:c>
      <x:c r="K3800" s="0">
        <x:f>hyperlink("https://icd.who.int/dev11/l-ichi/en#/http%3A%2F%2Fid.who.int%2Ficd%2Fentity%2F1183342654","browser")</x:f>
      </x:c>
      <x:c r="L3800" s="0">
        <x:f>hyperlink("https://icat2.azurewebsites.net/icat/?ontology=ICD&amp;tab=ClassesTab&amp;id=http%3A%2F%2Fwho.int%2Ficd%2318867_512ebf36_bf6b_4d70_85da_cf2637062af4","iCat")</x:f>
      </x:c>
      <x:c r="M3800" s="0" t="s">
        <x:v>21</x:v>
      </x:c>
      <x:c r="N3800" s="0" t="s">
        <x:v>46</x:v>
      </x:c>
    </x:row>
    <x:row r="3801" spans="1:16">
      <x:c r="A3801" s="0" t="s">
        <x:v>15047</x:v>
      </x:c>
      <x:c r="B3801" s="0" t="s">
        <x:v>15048</x:v>
      </x:c>
      <x:c r="C3801" s="0" t="s">
        <x:v>15049</x:v>
      </x:c>
      <x:c r="E3801" s="0" t="s">
        <x:v>15050</x:v>
      </x:c>
      <x:c r="F3801" s="0" t="s">
        <x:v>45</x:v>
      </x:c>
      <x:c r="G3801" s="0" t="s">
        <x:v>19</x:v>
      </x:c>
      <x:c r="H3801" s="0" t="s">
        <x:v>20</x:v>
      </x:c>
      <x:c r="I3801" s="0" t="s">
        <x:v>21</x:v>
      </x:c>
      <x:c r="K3801" s="0">
        <x:f>hyperlink("https://icd.who.int/dev11/l-ichi/en#/http%3A%2F%2Fid.who.int%2Ficd%2Fentity%2F424292637","browser")</x:f>
      </x:c>
      <x:c r="L3801" s="0">
        <x:f>hyperlink("https://icat2.azurewebsites.net/icat/?ontology=ICD&amp;tab=ClassesTab&amp;id=http%3A%2F%2Fwho.int%2Ficd%2318873_512ebf36_bf6b_4d70_85da_cf2637062af4","iCat")</x:f>
      </x:c>
      <x:c r="M3801" s="0" t="s">
        <x:v>21</x:v>
      </x:c>
      <x:c r="N3801" s="0" t="s">
        <x:v>46</x:v>
      </x:c>
    </x:row>
    <x:row r="3802" spans="1:16">
      <x:c r="A3802" s="0" t="s">
        <x:v>15051</x:v>
      </x:c>
      <x:c r="B3802" s="0" t="s">
        <x:v>15052</x:v>
      </x:c>
      <x:c r="C3802" s="0" t="s">
        <x:v>15053</x:v>
      </x:c>
      <x:c r="E3802" s="0" t="s">
        <x:v>15054</x:v>
      </x:c>
      <x:c r="F3802" s="0" t="s">
        <x:v>45</x:v>
      </x:c>
      <x:c r="G3802" s="0" t="s">
        <x:v>19</x:v>
      </x:c>
      <x:c r="H3802" s="0" t="s">
        <x:v>20</x:v>
      </x:c>
      <x:c r="I3802" s="0" t="s">
        <x:v>21</x:v>
      </x:c>
      <x:c r="K3802" s="0">
        <x:f>hyperlink("https://icd.who.int/dev11/l-ichi/en#/http%3A%2F%2Fid.who.int%2Ficd%2Fentity%2F850877837","browser")</x:f>
      </x:c>
      <x:c r="L3802" s="0">
        <x:f>hyperlink("https://icat2.azurewebsites.net/icat/?ontology=ICD&amp;tab=ClassesTab&amp;id=http%3A%2F%2Fwho.int%2Ficd%2318879_512ebf36_bf6b_4d70_85da_cf2637062af4","iCat")</x:f>
      </x:c>
      <x:c r="M3802" s="0" t="s">
        <x:v>21</x:v>
      </x:c>
      <x:c r="N3802" s="0" t="s">
        <x:v>46</x:v>
      </x:c>
    </x:row>
    <x:row r="3803" spans="1:16">
      <x:c r="A3803" s="0" t="s">
        <x:v>15055</x:v>
      </x:c>
      <x:c r="B3803" s="0" t="s">
        <x:v>15056</x:v>
      </x:c>
      <x:c r="C3803" s="0" t="s">
        <x:v>15057</x:v>
      </x:c>
      <x:c r="E3803" s="0" t="s">
        <x:v>15058</x:v>
      </x:c>
      <x:c r="F3803" s="0" t="s">
        <x:v>45</x:v>
      </x:c>
      <x:c r="G3803" s="0" t="s">
        <x:v>19</x:v>
      </x:c>
      <x:c r="H3803" s="0" t="s">
        <x:v>20</x:v>
      </x:c>
      <x:c r="I3803" s="0" t="s">
        <x:v>21</x:v>
      </x:c>
      <x:c r="K3803" s="0">
        <x:f>hyperlink("https://icd.who.int/dev11/l-ichi/en#/http%3A%2F%2Fid.who.int%2Ficd%2Fentity%2F61521847","browser")</x:f>
      </x:c>
      <x:c r="L3803" s="0">
        <x:f>hyperlink("https://icat2.azurewebsites.net/icat/?ontology=ICD&amp;tab=ClassesTab&amp;id=http%3A%2F%2Fwho.int%2Ficd%2318887_512ebf36_bf6b_4d70_85da_cf2637062af4","iCat")</x:f>
      </x:c>
      <x:c r="M3803" s="0" t="s">
        <x:v>21</x:v>
      </x:c>
      <x:c r="N3803" s="0" t="s">
        <x:v>46</x:v>
      </x:c>
    </x:row>
    <x:row r="3804" spans="1:16">
      <x:c r="A3804" s="0" t="s">
        <x:v>15059</x:v>
      </x:c>
      <x:c r="B3804" s="0" t="s">
        <x:v>15060</x:v>
      </x:c>
      <x:c r="C3804" s="0" t="s">
        <x:v>15061</x:v>
      </x:c>
      <x:c r="E3804" s="0" t="s">
        <x:v>15062</x:v>
      </x:c>
      <x:c r="F3804" s="0" t="s">
        <x:v>45</x:v>
      </x:c>
      <x:c r="G3804" s="0" t="s">
        <x:v>19</x:v>
      </x:c>
      <x:c r="H3804" s="0" t="s">
        <x:v>20</x:v>
      </x:c>
      <x:c r="I3804" s="0" t="s">
        <x:v>21</x:v>
      </x:c>
      <x:c r="K3804" s="0">
        <x:f>hyperlink("https://icd.who.int/dev11/l-ichi/en#/http%3A%2F%2Fid.who.int%2Ficd%2Fentity%2F202585893","browser")</x:f>
      </x:c>
      <x:c r="L3804" s="0">
        <x:f>hyperlink("https://icat2.azurewebsites.net/icat/?ontology=ICD&amp;tab=ClassesTab&amp;id=http%3A%2F%2Fwho.int%2Ficd%2318895_512ebf36_bf6b_4d70_85da_cf2637062af4","iCat")</x:f>
      </x:c>
      <x:c r="M3804" s="0" t="s">
        <x:v>21</x:v>
      </x:c>
      <x:c r="N3804" s="0" t="s">
        <x:v>46</x:v>
      </x:c>
    </x:row>
    <x:row r="3805" spans="1:16">
      <x:c r="A3805" s="0" t="s">
        <x:v>15063</x:v>
      </x:c>
      <x:c r="B3805" s="0" t="s">
        <x:v>15064</x:v>
      </x:c>
      <x:c r="C3805" s="0" t="s">
        <x:v>15065</x:v>
      </x:c>
      <x:c r="E3805" s="0" t="s">
        <x:v>15066</x:v>
      </x:c>
      <x:c r="F3805" s="0" t="s">
        <x:v>45</x:v>
      </x:c>
      <x:c r="G3805" s="0" t="s">
        <x:v>19</x:v>
      </x:c>
      <x:c r="H3805" s="0" t="s">
        <x:v>20</x:v>
      </x:c>
      <x:c r="I3805" s="0" t="s">
        <x:v>21</x:v>
      </x:c>
      <x:c r="K3805" s="0">
        <x:f>hyperlink("https://icd.who.int/dev11/l-ichi/en#/http%3A%2F%2Fid.who.int%2Ficd%2Fentity%2F1241338578","browser")</x:f>
      </x:c>
      <x:c r="L3805" s="0">
        <x:f>hyperlink("https://icat2.azurewebsites.net/icat/?ontology=ICD&amp;tab=ClassesTab&amp;id=http%3A%2F%2Fwho.int%2Ficd%2318906_512ebf36_bf6b_4d70_85da_cf2637062af4","iCat")</x:f>
      </x:c>
      <x:c r="M3805" s="0" t="s">
        <x:v>21</x:v>
      </x:c>
      <x:c r="N3805" s="0" t="s">
        <x:v>46</x:v>
      </x:c>
    </x:row>
    <x:row r="3806" spans="1:16">
      <x:c r="A3806" s="0" t="s">
        <x:v>15067</x:v>
      </x:c>
      <x:c r="B3806" s="0" t="s">
        <x:v>15068</x:v>
      </x:c>
      <x:c r="C3806" s="0" t="s">
        <x:v>15069</x:v>
      </x:c>
      <x:c r="E3806" s="0" t="s">
        <x:v>15070</x:v>
      </x:c>
      <x:c r="F3806" s="0" t="s">
        <x:v>45</x:v>
      </x:c>
      <x:c r="G3806" s="0" t="s">
        <x:v>19</x:v>
      </x:c>
      <x:c r="H3806" s="0" t="s">
        <x:v>20</x:v>
      </x:c>
      <x:c r="I3806" s="0" t="s">
        <x:v>21</x:v>
      </x:c>
      <x:c r="K3806" s="0">
        <x:f>hyperlink("https://icd.who.int/dev11/l-ichi/en#/http%3A%2F%2Fid.who.int%2Ficd%2Fentity%2F373228529","browser")</x:f>
      </x:c>
      <x:c r="L3806" s="0">
        <x:f>hyperlink("https://icat2.azurewebsites.net/icat/?ontology=ICD&amp;tab=ClassesTab&amp;id=http%3A%2F%2Fwho.int%2Ficd%2318912_512ebf36_bf6b_4d70_85da_cf2637062af4","iCat")</x:f>
      </x:c>
      <x:c r="M3806" s="0" t="s">
        <x:v>21</x:v>
      </x:c>
      <x:c r="N3806" s="0" t="s">
        <x:v>46</x:v>
      </x:c>
    </x:row>
    <x:row r="3807" spans="1:16">
      <x:c r="A3807" s="0" t="s">
        <x:v>15071</x:v>
      </x:c>
      <x:c r="B3807" s="0" t="s">
        <x:v>15072</x:v>
      </x:c>
      <x:c r="C3807" s="0" t="s">
        <x:v>15073</x:v>
      </x:c>
      <x:c r="E3807" s="0" t="s">
        <x:v>15074</x:v>
      </x:c>
      <x:c r="F3807" s="0" t="s">
        <x:v>45</x:v>
      </x:c>
      <x:c r="G3807" s="0" t="s">
        <x:v>19</x:v>
      </x:c>
      <x:c r="H3807" s="0" t="s">
        <x:v>20</x:v>
      </x:c>
      <x:c r="I3807" s="0" t="s">
        <x:v>21</x:v>
      </x:c>
      <x:c r="K3807" s="0">
        <x:f>hyperlink("https://icd.who.int/dev11/l-ichi/en#/http%3A%2F%2Fid.who.int%2Ficd%2Fentity%2F490413405","browser")</x:f>
      </x:c>
      <x:c r="L3807" s="0">
        <x:f>hyperlink("https://icat2.azurewebsites.net/icat/?ontology=ICD&amp;tab=ClassesTab&amp;id=http%3A%2F%2Fwho.int%2Ficd%2318919_512ebf36_bf6b_4d70_85da_cf2637062af4","iCat")</x:f>
      </x:c>
      <x:c r="M3807" s="0" t="s">
        <x:v>21</x:v>
      </x:c>
      <x:c r="N3807" s="0" t="s">
        <x:v>46</x:v>
      </x:c>
    </x:row>
    <x:row r="3808" spans="1:16">
      <x:c r="A3808" s="0" t="s">
        <x:v>15075</x:v>
      </x:c>
      <x:c r="B3808" s="0" t="s">
        <x:v>15076</x:v>
      </x:c>
      <x:c r="C3808" s="0" t="s">
        <x:v>15077</x:v>
      </x:c>
      <x:c r="E3808" s="0" t="s">
        <x:v>15078</x:v>
      </x:c>
      <x:c r="F3808" s="0" t="s">
        <x:v>45</x:v>
      </x:c>
      <x:c r="G3808" s="0" t="s">
        <x:v>19</x:v>
      </x:c>
      <x:c r="H3808" s="0" t="s">
        <x:v>20</x:v>
      </x:c>
      <x:c r="I3808" s="0" t="s">
        <x:v>21</x:v>
      </x:c>
      <x:c r="K3808" s="0">
        <x:f>hyperlink("https://icd.who.int/dev11/l-ichi/en#/http%3A%2F%2Fid.who.int%2Ficd%2Fentity%2F1669957508","browser")</x:f>
      </x:c>
      <x:c r="L3808" s="0">
        <x:f>hyperlink("https://icat2.azurewebsites.net/icat/?ontology=ICD&amp;tab=ClassesTab&amp;id=http%3A%2F%2Fwho.int%2Ficd%2318926_512ebf36_bf6b_4d70_85da_cf2637062af4","iCat")</x:f>
      </x:c>
      <x:c r="M3808" s="0" t="s">
        <x:v>21</x:v>
      </x:c>
      <x:c r="N3808" s="0" t="s">
        <x:v>46</x:v>
      </x:c>
    </x:row>
    <x:row r="3809" spans="1:16">
      <x:c r="A3809" s="0" t="s">
        <x:v>15079</x:v>
      </x:c>
      <x:c r="B3809" s="0" t="s">
        <x:v>15080</x:v>
      </x:c>
      <x:c r="C3809" s="0" t="s">
        <x:v>15081</x:v>
      </x:c>
      <x:c r="E3809" s="0" t="s">
        <x:v>15082</x:v>
      </x:c>
      <x:c r="F3809" s="0" t="s">
        <x:v>45</x:v>
      </x:c>
      <x:c r="G3809" s="0" t="s">
        <x:v>19</x:v>
      </x:c>
      <x:c r="H3809" s="0" t="s">
        <x:v>20</x:v>
      </x:c>
      <x:c r="I3809" s="0" t="s">
        <x:v>21</x:v>
      </x:c>
      <x:c r="K3809" s="0">
        <x:f>hyperlink("https://icd.who.int/dev11/l-ichi/en#/http%3A%2F%2Fid.who.int%2Ficd%2Fentity%2F481469597","browser")</x:f>
      </x:c>
      <x:c r="L3809" s="0">
        <x:f>hyperlink("https://icat2.azurewebsites.net/icat/?ontology=ICD&amp;tab=ClassesTab&amp;id=http%3A%2F%2Fwho.int%2Ficd%2318933_512ebf36_bf6b_4d70_85da_cf2637062af4","iCat")</x:f>
      </x:c>
      <x:c r="M3809" s="0" t="s">
        <x:v>21</x:v>
      </x:c>
      <x:c r="N3809" s="0" t="s">
        <x:v>46</x:v>
      </x:c>
    </x:row>
    <x:row r="3810" spans="1:16">
      <x:c r="A3810" s="0" t="s">
        <x:v>15083</x:v>
      </x:c>
      <x:c r="B3810" s="0" t="s">
        <x:v>15084</x:v>
      </x:c>
      <x:c r="C3810" s="0" t="s">
        <x:v>15085</x:v>
      </x:c>
      <x:c r="E3810" s="0" t="s">
        <x:v>15086</x:v>
      </x:c>
      <x:c r="F3810" s="0" t="s">
        <x:v>45</x:v>
      </x:c>
      <x:c r="G3810" s="0" t="s">
        <x:v>19</x:v>
      </x:c>
      <x:c r="H3810" s="0" t="s">
        <x:v>20</x:v>
      </x:c>
      <x:c r="I3810" s="0" t="s">
        <x:v>21</x:v>
      </x:c>
      <x:c r="K3810" s="0">
        <x:f>hyperlink("https://icd.who.int/dev11/l-ichi/en#/http%3A%2F%2Fid.who.int%2Ficd%2Fentity%2F966394319","browser")</x:f>
      </x:c>
      <x:c r="L3810" s="0">
        <x:f>hyperlink("https://icat2.azurewebsites.net/icat/?ontology=ICD&amp;tab=ClassesTab&amp;id=http%3A%2F%2Fwho.int%2Ficd%2318946_512ebf36_bf6b_4d70_85da_cf2637062af4","iCat")</x:f>
      </x:c>
      <x:c r="M3810" s="0" t="s">
        <x:v>21</x:v>
      </x:c>
      <x:c r="N3810" s="0" t="s">
        <x:v>46</x:v>
      </x:c>
    </x:row>
    <x:row r="3811" spans="1:16">
      <x:c r="A3811" s="0" t="s">
        <x:v>15087</x:v>
      </x:c>
      <x:c r="B3811" s="0" t="s">
        <x:v>15088</x:v>
      </x:c>
      <x:c r="C3811" s="0" t="s">
        <x:v>15089</x:v>
      </x:c>
      <x:c r="E3811" s="0" t="s">
        <x:v>15090</x:v>
      </x:c>
      <x:c r="F3811" s="0" t="s">
        <x:v>45</x:v>
      </x:c>
      <x:c r="G3811" s="0" t="s">
        <x:v>19</x:v>
      </x:c>
      <x:c r="H3811" s="0" t="s">
        <x:v>20</x:v>
      </x:c>
      <x:c r="I3811" s="0" t="s">
        <x:v>21</x:v>
      </x:c>
      <x:c r="K3811" s="0">
        <x:f>hyperlink("https://icd.who.int/dev11/l-ichi/en#/http%3A%2F%2Fid.who.int%2Ficd%2Fentity%2F908298589","browser")</x:f>
      </x:c>
      <x:c r="L3811" s="0">
        <x:f>hyperlink("https://icat2.azurewebsites.net/icat/?ontology=ICD&amp;tab=ClassesTab&amp;id=http%3A%2F%2Fwho.int%2Ficd%2318954_512ebf36_bf6b_4d70_85da_cf2637062af4","iCat")</x:f>
      </x:c>
      <x:c r="M3811" s="0" t="s">
        <x:v>21</x:v>
      </x:c>
      <x:c r="N3811" s="0" t="s">
        <x:v>46</x:v>
      </x:c>
    </x:row>
    <x:row r="3812" spans="1:16">
      <x:c r="A3812" s="0" t="s">
        <x:v>15091</x:v>
      </x:c>
      <x:c r="B3812" s="0" t="s">
        <x:v>15092</x:v>
      </x:c>
      <x:c r="C3812" s="0" t="s">
        <x:v>15093</x:v>
      </x:c>
      <x:c r="E3812" s="0" t="s">
        <x:v>15094</x:v>
      </x:c>
      <x:c r="F3812" s="0" t="s">
        <x:v>45</x:v>
      </x:c>
      <x:c r="G3812" s="0" t="s">
        <x:v>19</x:v>
      </x:c>
      <x:c r="H3812" s="0" t="s">
        <x:v>20</x:v>
      </x:c>
      <x:c r="I3812" s="0" t="s">
        <x:v>21</x:v>
      </x:c>
      <x:c r="K3812" s="0">
        <x:f>hyperlink("https://icd.who.int/dev11/l-ichi/en#/http%3A%2F%2Fid.who.int%2Ficd%2Fentity%2F1133841710","browser")</x:f>
      </x:c>
      <x:c r="L3812" s="0">
        <x:f>hyperlink("https://icat2.azurewebsites.net/icat/?ontology=ICD&amp;tab=ClassesTab&amp;id=http%3A%2F%2Fwho.int%2Ficd%2318960_512ebf36_bf6b_4d70_85da_cf2637062af4","iCat")</x:f>
      </x:c>
      <x:c r="M3812" s="0" t="s">
        <x:v>21</x:v>
      </x:c>
      <x:c r="N3812" s="0" t="s">
        <x:v>46</x:v>
      </x:c>
    </x:row>
    <x:row r="3813" spans="1:16">
      <x:c r="A3813" s="0" t="s">
        <x:v>15095</x:v>
      </x:c>
      <x:c r="B3813" s="0" t="s">
        <x:v>15096</x:v>
      </x:c>
      <x:c r="C3813" s="0" t="s">
        <x:v>15097</x:v>
      </x:c>
      <x:c r="E3813" s="0" t="s">
        <x:v>15098</x:v>
      </x:c>
      <x:c r="F3813" s="0" t="s">
        <x:v>45</x:v>
      </x:c>
      <x:c r="G3813" s="0" t="s">
        <x:v>19</x:v>
      </x:c>
      <x:c r="H3813" s="0" t="s">
        <x:v>20</x:v>
      </x:c>
      <x:c r="I3813" s="0" t="s">
        <x:v>21</x:v>
      </x:c>
      <x:c r="K3813" s="0">
        <x:f>hyperlink("https://icd.who.int/dev11/l-ichi/en#/http%3A%2F%2Fid.who.int%2Ficd%2Fentity%2F857188003","browser")</x:f>
      </x:c>
      <x:c r="L3813" s="0">
        <x:f>hyperlink("https://icat2.azurewebsites.net/icat/?ontology=ICD&amp;tab=ClassesTab&amp;id=http%3A%2F%2Fwho.int%2Ficd%2318967_512ebf36_bf6b_4d70_85da_cf2637062af4","iCat")</x:f>
      </x:c>
      <x:c r="M3813" s="0" t="s">
        <x:v>21</x:v>
      </x:c>
      <x:c r="N3813" s="0" t="s">
        <x:v>46</x:v>
      </x:c>
    </x:row>
    <x:row r="3814" spans="1:16">
      <x:c r="A3814" s="0" t="s">
        <x:v>15099</x:v>
      </x:c>
      <x:c r="B3814" s="0" t="s">
        <x:v>15100</x:v>
      </x:c>
      <x:c r="C3814" s="0" t="s">
        <x:v>15101</x:v>
      </x:c>
      <x:c r="E3814" s="0" t="s">
        <x:v>15102</x:v>
      </x:c>
      <x:c r="F3814" s="0" t="s">
        <x:v>45</x:v>
      </x:c>
      <x:c r="G3814" s="0" t="s">
        <x:v>19</x:v>
      </x:c>
      <x:c r="H3814" s="0" t="s">
        <x:v>20</x:v>
      </x:c>
      <x:c r="I3814" s="0" t="s">
        <x:v>21</x:v>
      </x:c>
      <x:c r="K3814" s="0">
        <x:f>hyperlink("https://icd.who.int/dev11/l-ichi/en#/http%3A%2F%2Fid.who.int%2Ficd%2Fentity%2F1018048049","browser")</x:f>
      </x:c>
      <x:c r="L3814" s="0">
        <x:f>hyperlink("https://icat2.azurewebsites.net/icat/?ontology=ICD&amp;tab=ClassesTab&amp;id=http%3A%2F%2Fwho.int%2Ficd%2318975_512ebf36_bf6b_4d70_85da_cf2637062af4","iCat")</x:f>
      </x:c>
      <x:c r="M3814" s="0" t="s">
        <x:v>21</x:v>
      </x:c>
      <x:c r="N3814" s="0" t="s">
        <x:v>46</x:v>
      </x:c>
    </x:row>
    <x:row r="3815" spans="1:16">
      <x:c r="A3815" s="0" t="s">
        <x:v>15103</x:v>
      </x:c>
      <x:c r="B3815" s="0" t="s">
        <x:v>15104</x:v>
      </x:c>
      <x:c r="C3815" s="0" t="s">
        <x:v>15105</x:v>
      </x:c>
      <x:c r="E3815" s="0" t="s">
        <x:v>15106</x:v>
      </x:c>
      <x:c r="F3815" s="0" t="s">
        <x:v>45</x:v>
      </x:c>
      <x:c r="G3815" s="0" t="s">
        <x:v>19</x:v>
      </x:c>
      <x:c r="H3815" s="0" t="s">
        <x:v>20</x:v>
      </x:c>
      <x:c r="I3815" s="0" t="s">
        <x:v>21</x:v>
      </x:c>
      <x:c r="K3815" s="0">
        <x:f>hyperlink("https://icd.who.int/dev11/l-ichi/en#/http%3A%2F%2Fid.who.int%2Ficd%2Fentity%2F1674301282","browser")</x:f>
      </x:c>
      <x:c r="L3815" s="0">
        <x:f>hyperlink("https://icat2.azurewebsites.net/icat/?ontology=ICD&amp;tab=ClassesTab&amp;id=http%3A%2F%2Fwho.int%2Ficd%2318982_512ebf36_bf6b_4d70_85da_cf2637062af4","iCat")</x:f>
      </x:c>
      <x:c r="M3815" s="0" t="s">
        <x:v>21</x:v>
      </x:c>
      <x:c r="N3815" s="0" t="s">
        <x:v>46</x:v>
      </x:c>
    </x:row>
    <x:row r="3816" spans="1:16">
      <x:c r="A3816" s="0" t="s">
        <x:v>15107</x:v>
      </x:c>
      <x:c r="B3816" s="0" t="s">
        <x:v>15108</x:v>
      </x:c>
      <x:c r="C3816" s="0" t="s">
        <x:v>15109</x:v>
      </x:c>
      <x:c r="E3816" s="0" t="s">
        <x:v>15110</x:v>
      </x:c>
      <x:c r="F3816" s="0" t="s">
        <x:v>45</x:v>
      </x:c>
      <x:c r="G3816" s="0" t="s">
        <x:v>19</x:v>
      </x:c>
      <x:c r="H3816" s="0" t="s">
        <x:v>20</x:v>
      </x:c>
      <x:c r="I3816" s="0" t="s">
        <x:v>21</x:v>
      </x:c>
      <x:c r="K3816" s="0">
        <x:f>hyperlink("https://icd.who.int/dev11/l-ichi/en#/http%3A%2F%2Fid.who.int%2Ficd%2Fentity%2F151935541","browser")</x:f>
      </x:c>
      <x:c r="L3816" s="0">
        <x:f>hyperlink("https://icat2.azurewebsites.net/icat/?ontology=ICD&amp;tab=ClassesTab&amp;id=http%3A%2F%2Fwho.int%2Ficd%2318992_512ebf36_bf6b_4d70_85da_cf2637062af4","iCat")</x:f>
      </x:c>
      <x:c r="M3816" s="0" t="s">
        <x:v>21</x:v>
      </x:c>
      <x:c r="N3816" s="0" t="s">
        <x:v>46</x:v>
      </x:c>
    </x:row>
    <x:row r="3817" spans="1:16">
      <x:c r="A3817" s="0" t="s">
        <x:v>15111</x:v>
      </x:c>
      <x:c r="B3817" s="0" t="s">
        <x:v>15112</x:v>
      </x:c>
      <x:c r="C3817" s="0" t="s">
        <x:v>15113</x:v>
      </x:c>
      <x:c r="E3817" s="0" t="s">
        <x:v>15114</x:v>
      </x:c>
      <x:c r="F3817" s="0" t="s">
        <x:v>45</x:v>
      </x:c>
      <x:c r="G3817" s="0" t="s">
        <x:v>19</x:v>
      </x:c>
      <x:c r="H3817" s="0" t="s">
        <x:v>20</x:v>
      </x:c>
      <x:c r="I3817" s="0" t="s">
        <x:v>21</x:v>
      </x:c>
      <x:c r="K3817" s="0">
        <x:f>hyperlink("https://icd.who.int/dev11/l-ichi/en#/http%3A%2F%2Fid.who.int%2Ficd%2Fentity%2F1058171943","browser")</x:f>
      </x:c>
      <x:c r="L3817" s="0">
        <x:f>hyperlink("https://icat2.azurewebsites.net/icat/?ontology=ICD&amp;tab=ClassesTab&amp;id=http%3A%2F%2Fwho.int%2Ficd%2319000_512ebf36_bf6b_4d70_85da_cf2637062af4","iCat")</x:f>
      </x:c>
      <x:c r="M3817" s="0" t="s">
        <x:v>21</x:v>
      </x:c>
      <x:c r="N3817" s="0" t="s">
        <x:v>46</x:v>
      </x:c>
    </x:row>
    <x:row r="3818" spans="1:16">
      <x:c r="A3818" s="0" t="s">
        <x:v>15115</x:v>
      </x:c>
      <x:c r="B3818" s="0" t="s">
        <x:v>15116</x:v>
      </x:c>
      <x:c r="C3818" s="0" t="s">
        <x:v>15117</x:v>
      </x:c>
      <x:c r="E3818" s="0" t="s">
        <x:v>15118</x:v>
      </x:c>
      <x:c r="F3818" s="0" t="s">
        <x:v>45</x:v>
      </x:c>
      <x:c r="G3818" s="0" t="s">
        <x:v>19</x:v>
      </x:c>
      <x:c r="H3818" s="0" t="s">
        <x:v>20</x:v>
      </x:c>
      <x:c r="I3818" s="0" t="s">
        <x:v>21</x:v>
      </x:c>
      <x:c r="K3818" s="0">
        <x:f>hyperlink("https://icd.who.int/dev11/l-ichi/en#/http%3A%2F%2Fid.who.int%2Ficd%2Fentity%2F1440217456","browser")</x:f>
      </x:c>
      <x:c r="L3818" s="0">
        <x:f>hyperlink("https://icat2.azurewebsites.net/icat/?ontology=ICD&amp;tab=ClassesTab&amp;id=http%3A%2F%2Fwho.int%2Ficd%2319010_512ebf36_bf6b_4d70_85da_cf2637062af4","iCat")</x:f>
      </x:c>
      <x:c r="M3818" s="0" t="s">
        <x:v>21</x:v>
      </x:c>
      <x:c r="N3818" s="0" t="s">
        <x:v>46</x:v>
      </x:c>
    </x:row>
    <x:row r="3819" spans="1:16">
      <x:c r="A3819" s="0" t="s">
        <x:v>15119</x:v>
      </x:c>
      <x:c r="B3819" s="0" t="s">
        <x:v>15120</x:v>
      </x:c>
      <x:c r="C3819" s="0" t="s">
        <x:v>15121</x:v>
      </x:c>
      <x:c r="E3819" s="0" t="s">
        <x:v>15122</x:v>
      </x:c>
      <x:c r="F3819" s="0" t="s">
        <x:v>45</x:v>
      </x:c>
      <x:c r="G3819" s="0" t="s">
        <x:v>19</x:v>
      </x:c>
      <x:c r="H3819" s="0" t="s">
        <x:v>20</x:v>
      </x:c>
      <x:c r="I3819" s="0" t="s">
        <x:v>21</x:v>
      </x:c>
      <x:c r="K3819" s="0">
        <x:f>hyperlink("https://icd.who.int/dev11/l-ichi/en#/http%3A%2F%2Fid.who.int%2Ficd%2Fentity%2F458655781","browser")</x:f>
      </x:c>
      <x:c r="L3819" s="0">
        <x:f>hyperlink("https://icat2.azurewebsites.net/icat/?ontology=ICD&amp;tab=ClassesTab&amp;id=http%3A%2F%2Fwho.int%2Ficd%2319018_512ebf36_bf6b_4d70_85da_cf2637062af4","iCat")</x:f>
      </x:c>
      <x:c r="M3819" s="0" t="s">
        <x:v>21</x:v>
      </x:c>
      <x:c r="N3819" s="0" t="s">
        <x:v>46</x:v>
      </x:c>
    </x:row>
    <x:row r="3820" spans="1:16">
      <x:c r="A3820" s="0" t="s">
        <x:v>15123</x:v>
      </x:c>
      <x:c r="B3820" s="0" t="s">
        <x:v>15124</x:v>
      </x:c>
      <x:c r="C3820" s="0" t="s">
        <x:v>15125</x:v>
      </x:c>
      <x:c r="E3820" s="0" t="s">
        <x:v>15126</x:v>
      </x:c>
      <x:c r="F3820" s="0" t="s">
        <x:v>45</x:v>
      </x:c>
      <x:c r="G3820" s="0" t="s">
        <x:v>19</x:v>
      </x:c>
      <x:c r="H3820" s="0" t="s">
        <x:v>20</x:v>
      </x:c>
      <x:c r="I3820" s="0" t="s">
        <x:v>21</x:v>
      </x:c>
      <x:c r="K3820" s="0">
        <x:f>hyperlink("https://icd.who.int/dev11/l-ichi/en#/http%3A%2F%2Fid.who.int%2Ficd%2Fentity%2F2141400098","browser")</x:f>
      </x:c>
      <x:c r="L3820" s="0">
        <x:f>hyperlink("https://icat2.azurewebsites.net/icat/?ontology=ICD&amp;tab=ClassesTab&amp;id=http%3A%2F%2Fwho.int%2Ficd%2319030_512ebf36_bf6b_4d70_85da_cf2637062af4","iCat")</x:f>
      </x:c>
      <x:c r="M3820" s="0" t="s">
        <x:v>21</x:v>
      </x:c>
      <x:c r="N3820" s="0" t="s">
        <x:v>46</x:v>
      </x:c>
    </x:row>
    <x:row r="3821" spans="1:16">
      <x:c r="A3821" s="0" t="s">
        <x:v>15127</x:v>
      </x:c>
      <x:c r="B3821" s="0" t="s">
        <x:v>15128</x:v>
      </x:c>
      <x:c r="C3821" s="0" t="s">
        <x:v>15129</x:v>
      </x:c>
      <x:c r="E3821" s="0" t="s">
        <x:v>15130</x:v>
      </x:c>
      <x:c r="F3821" s="0" t="s">
        <x:v>45</x:v>
      </x:c>
      <x:c r="G3821" s="0" t="s">
        <x:v>19</x:v>
      </x:c>
      <x:c r="H3821" s="0" t="s">
        <x:v>20</x:v>
      </x:c>
      <x:c r="I3821" s="0" t="s">
        <x:v>21</x:v>
      </x:c>
      <x:c r="K3821" s="0">
        <x:f>hyperlink("https://icd.who.int/dev11/l-ichi/en#/http%3A%2F%2Fid.who.int%2Ficd%2Fentity%2F253855661","browser")</x:f>
      </x:c>
      <x:c r="L3821" s="0">
        <x:f>hyperlink("https://icat2.azurewebsites.net/icat/?ontology=ICD&amp;tab=ClassesTab&amp;id=http%3A%2F%2Fwho.int%2Ficd%2319037_512ebf36_bf6b_4d70_85da_cf2637062af4","iCat")</x:f>
      </x:c>
      <x:c r="M3821" s="0" t="s">
        <x:v>21</x:v>
      </x:c>
      <x:c r="N3821" s="0" t="s">
        <x:v>46</x:v>
      </x:c>
    </x:row>
    <x:row r="3822" spans="1:16">
      <x:c r="A3822" s="0" t="s">
        <x:v>15131</x:v>
      </x:c>
      <x:c r="B3822" s="0" t="s">
        <x:v>15132</x:v>
      </x:c>
      <x:c r="C3822" s="0" t="s">
        <x:v>15133</x:v>
      </x:c>
      <x:c r="E3822" s="0" t="s">
        <x:v>15134</x:v>
      </x:c>
      <x:c r="F3822" s="0" t="s">
        <x:v>45</x:v>
      </x:c>
      <x:c r="G3822" s="0" t="s">
        <x:v>19</x:v>
      </x:c>
      <x:c r="H3822" s="0" t="s">
        <x:v>20</x:v>
      </x:c>
      <x:c r="I3822" s="0" t="s">
        <x:v>21</x:v>
      </x:c>
      <x:c r="K3822" s="0">
        <x:f>hyperlink("https://icd.who.int/dev11/l-ichi/en#/http%3A%2F%2Fid.who.int%2Ficd%2Fentity%2F183521475","browser")</x:f>
      </x:c>
      <x:c r="L3822" s="0">
        <x:f>hyperlink("https://icat2.azurewebsites.net/icat/?ontology=ICD&amp;tab=ClassesTab&amp;id=http%3A%2F%2Fwho.int%2Ficd%2319043_512ebf36_bf6b_4d70_85da_cf2637062af4","iCat")</x:f>
      </x:c>
      <x:c r="M3822" s="0" t="s">
        <x:v>21</x:v>
      </x:c>
      <x:c r="N3822" s="0" t="s">
        <x:v>46</x:v>
      </x:c>
    </x:row>
    <x:row r="3823" spans="1:16">
      <x:c r="A3823" s="0" t="s">
        <x:v>15135</x:v>
      </x:c>
      <x:c r="B3823" s="0" t="s">
        <x:v>15136</x:v>
      </x:c>
      <x:c r="C3823" s="0" t="s">
        <x:v>15137</x:v>
      </x:c>
      <x:c r="E3823" s="0" t="s">
        <x:v>15138</x:v>
      </x:c>
      <x:c r="F3823" s="0" t="s">
        <x:v>45</x:v>
      </x:c>
      <x:c r="G3823" s="0" t="s">
        <x:v>19</x:v>
      </x:c>
      <x:c r="H3823" s="0" t="s">
        <x:v>20</x:v>
      </x:c>
      <x:c r="I3823" s="0" t="s">
        <x:v>21</x:v>
      </x:c>
      <x:c r="K3823" s="0">
        <x:f>hyperlink("https://icd.who.int/dev11/l-ichi/en#/http%3A%2F%2Fid.who.int%2Ficd%2Fentity%2F632334957","browser")</x:f>
      </x:c>
      <x:c r="L3823" s="0">
        <x:f>hyperlink("https://icat2.azurewebsites.net/icat/?ontology=ICD&amp;tab=ClassesTab&amp;id=http%3A%2F%2Fwho.int%2Ficd%2319050_512ebf36_bf6b_4d70_85da_cf2637062af4","iCat")</x:f>
      </x:c>
      <x:c r="M3823" s="0" t="s">
        <x:v>21</x:v>
      </x:c>
      <x:c r="N3823" s="0" t="s">
        <x:v>46</x:v>
      </x:c>
    </x:row>
    <x:row r="3824" spans="1:16">
      <x:c r="A3824" s="0" t="s">
        <x:v>15139</x:v>
      </x:c>
      <x:c r="B3824" s="0" t="s">
        <x:v>15140</x:v>
      </x:c>
      <x:c r="C3824" s="0" t="s">
        <x:v>15141</x:v>
      </x:c>
      <x:c r="E3824" s="0" t="s">
        <x:v>15142</x:v>
      </x:c>
      <x:c r="F3824" s="0" t="s">
        <x:v>45</x:v>
      </x:c>
      <x:c r="G3824" s="0" t="s">
        <x:v>19</x:v>
      </x:c>
      <x:c r="H3824" s="0" t="s">
        <x:v>20</x:v>
      </x:c>
      <x:c r="I3824" s="0" t="s">
        <x:v>21</x:v>
      </x:c>
      <x:c r="K3824" s="0">
        <x:f>hyperlink("https://icd.who.int/dev11/l-ichi/en#/http%3A%2F%2Fid.who.int%2Ficd%2Fentity%2F1429340640","browser")</x:f>
      </x:c>
      <x:c r="L3824" s="0">
        <x:f>hyperlink("https://icat2.azurewebsites.net/icat/?ontology=ICD&amp;tab=ClassesTab&amp;id=http%3A%2F%2Fwho.int%2Ficd%2319057_512ebf36_bf6b_4d70_85da_cf2637062af4","iCat")</x:f>
      </x:c>
      <x:c r="M3824" s="0" t="s">
        <x:v>21</x:v>
      </x:c>
      <x:c r="N3824" s="0" t="s">
        <x:v>46</x:v>
      </x:c>
    </x:row>
    <x:row r="3825" spans="1:16">
      <x:c r="A3825" s="0" t="s">
        <x:v>15143</x:v>
      </x:c>
      <x:c r="B3825" s="0" t="s">
        <x:v>15144</x:v>
      </x:c>
      <x:c r="C3825" s="0" t="s">
        <x:v>15145</x:v>
      </x:c>
      <x:c r="E3825" s="0" t="s">
        <x:v>15146</x:v>
      </x:c>
      <x:c r="F3825" s="0" t="s">
        <x:v>45</x:v>
      </x:c>
      <x:c r="G3825" s="0" t="s">
        <x:v>19</x:v>
      </x:c>
      <x:c r="H3825" s="0" t="s">
        <x:v>20</x:v>
      </x:c>
      <x:c r="I3825" s="0" t="s">
        <x:v>21</x:v>
      </x:c>
      <x:c r="K3825" s="0">
        <x:f>hyperlink("https://icd.who.int/dev11/l-ichi/en#/http%3A%2F%2Fid.who.int%2Ficd%2Fentity%2F1895783460","browser")</x:f>
      </x:c>
      <x:c r="L3825" s="0">
        <x:f>hyperlink("https://icat2.azurewebsites.net/icat/?ontology=ICD&amp;tab=ClassesTab&amp;id=http%3A%2F%2Fwho.int%2Ficd%2319065_512ebf36_bf6b_4d70_85da_cf2637062af4","iCat")</x:f>
      </x:c>
      <x:c r="M3825" s="0" t="s">
        <x:v>21</x:v>
      </x:c>
      <x:c r="N3825" s="0" t="s">
        <x:v>46</x:v>
      </x:c>
    </x:row>
    <x:row r="3826" spans="1:16">
      <x:c r="A3826" s="0" t="s">
        <x:v>15147</x:v>
      </x:c>
      <x:c r="B3826" s="0" t="s">
        <x:v>15148</x:v>
      </x:c>
      <x:c r="C3826" s="0" t="s">
        <x:v>15149</x:v>
      </x:c>
      <x:c r="E3826" s="0" t="s">
        <x:v>15150</x:v>
      </x:c>
      <x:c r="F3826" s="0" t="s">
        <x:v>45</x:v>
      </x:c>
      <x:c r="G3826" s="0" t="s">
        <x:v>19</x:v>
      </x:c>
      <x:c r="H3826" s="0" t="s">
        <x:v>20</x:v>
      </x:c>
      <x:c r="I3826" s="0" t="s">
        <x:v>21</x:v>
      </x:c>
      <x:c r="K3826" s="0">
        <x:f>hyperlink("https://icd.who.int/dev11/l-ichi/en#/http%3A%2F%2Fid.who.int%2Ficd%2Fentity%2F985905993","browser")</x:f>
      </x:c>
      <x:c r="L3826" s="0">
        <x:f>hyperlink("https://icat2.azurewebsites.net/icat/?ontology=ICD&amp;tab=ClassesTab&amp;id=http%3A%2F%2Fwho.int%2Ficd%2319074_512ebf36_bf6b_4d70_85da_cf2637062af4","iCat")</x:f>
      </x:c>
      <x:c r="M3826" s="0" t="s">
        <x:v>21</x:v>
      </x:c>
      <x:c r="N3826" s="0" t="s">
        <x:v>46</x:v>
      </x:c>
    </x:row>
    <x:row r="3827" spans="1:16">
      <x:c r="A3827" s="0" t="s">
        <x:v>15151</x:v>
      </x:c>
      <x:c r="B3827" s="0" t="s">
        <x:v>15152</x:v>
      </x:c>
      <x:c r="C3827" s="0" t="s">
        <x:v>15153</x:v>
      </x:c>
      <x:c r="E3827" s="0" t="s">
        <x:v>15154</x:v>
      </x:c>
      <x:c r="F3827" s="0" t="s">
        <x:v>45</x:v>
      </x:c>
      <x:c r="G3827" s="0" t="s">
        <x:v>19</x:v>
      </x:c>
      <x:c r="H3827" s="0" t="s">
        <x:v>20</x:v>
      </x:c>
      <x:c r="I3827" s="0" t="s">
        <x:v>21</x:v>
      </x:c>
      <x:c r="K3827" s="0">
        <x:f>hyperlink("https://icd.who.int/dev11/l-ichi/en#/http%3A%2F%2Fid.who.int%2Ficd%2Fentity%2F539178467","browser")</x:f>
      </x:c>
      <x:c r="L3827" s="0">
        <x:f>hyperlink("https://icat2.azurewebsites.net/icat/?ontology=ICD&amp;tab=ClassesTab&amp;id=http%3A%2F%2Fwho.int%2Ficd%2319080_512ebf36_bf6b_4d70_85da_cf2637062af4","iCat")</x:f>
      </x:c>
      <x:c r="M3827" s="0" t="s">
        <x:v>21</x:v>
      </x:c>
      <x:c r="N3827" s="0" t="s">
        <x:v>46</x:v>
      </x:c>
    </x:row>
    <x:row r="3828" spans="1:16">
      <x:c r="A3828" s="0" t="s">
        <x:v>15155</x:v>
      </x:c>
      <x:c r="B3828" s="0" t="s">
        <x:v>15156</x:v>
      </x:c>
      <x:c r="C3828" s="0" t="s">
        <x:v>15157</x:v>
      </x:c>
      <x:c r="E3828" s="0" t="s">
        <x:v>15158</x:v>
      </x:c>
      <x:c r="F3828" s="0" t="s">
        <x:v>45</x:v>
      </x:c>
      <x:c r="G3828" s="0" t="s">
        <x:v>19</x:v>
      </x:c>
      <x:c r="H3828" s="0" t="s">
        <x:v>20</x:v>
      </x:c>
      <x:c r="I3828" s="0" t="s">
        <x:v>21</x:v>
      </x:c>
      <x:c r="K3828" s="0">
        <x:f>hyperlink("https://icd.who.int/dev11/l-ichi/en#/http%3A%2F%2Fid.who.int%2Ficd%2Fentity%2F1166540887","browser")</x:f>
      </x:c>
      <x:c r="L3828" s="0">
        <x:f>hyperlink("https://icat2.azurewebsites.net/icat/?ontology=ICD&amp;tab=ClassesTab&amp;id=http%3A%2F%2Fwho.int%2Ficd%2316162_4869915e_217e_423d_acb3_33c0f920ef4b","iCat")</x:f>
      </x:c>
      <x:c r="M3828" s="0" t="s">
        <x:v>21</x:v>
      </x:c>
      <x:c r="N3828" s="0" t="s">
        <x:v>46</x:v>
      </x:c>
    </x:row>
    <x:row r="3829" spans="1:16">
      <x:c r="A3829" s="0" t="s">
        <x:v>15159</x:v>
      </x:c>
      <x:c r="B3829" s="0" t="s">
        <x:v>15160</x:v>
      </x:c>
      <x:c r="C3829" s="0" t="s">
        <x:v>15161</x:v>
      </x:c>
      <x:c r="E3829" s="0" t="s">
        <x:v>15162</x:v>
      </x:c>
      <x:c r="F3829" s="0" t="s">
        <x:v>45</x:v>
      </x:c>
      <x:c r="G3829" s="0" t="s">
        <x:v>19</x:v>
      </x:c>
      <x:c r="H3829" s="0" t="s">
        <x:v>20</x:v>
      </x:c>
      <x:c r="I3829" s="0" t="s">
        <x:v>21</x:v>
      </x:c>
      <x:c r="K3829" s="0">
        <x:f>hyperlink("https://icd.who.int/dev11/l-ichi/en#/http%3A%2F%2Fid.who.int%2Ficd%2Fentity%2F1352769136","browser")</x:f>
      </x:c>
      <x:c r="L3829" s="0">
        <x:f>hyperlink("https://icat2.azurewebsites.net/icat/?ontology=ICD&amp;tab=ClassesTab&amp;id=http%3A%2F%2Fwho.int%2Ficd%2319087_512ebf36_bf6b_4d70_85da_cf2637062af4","iCat")</x:f>
      </x:c>
      <x:c r="M3829" s="0" t="s">
        <x:v>21</x:v>
      </x:c>
      <x:c r="N3829" s="0" t="s">
        <x:v>46</x:v>
      </x:c>
    </x:row>
    <x:row r="3830" spans="1:16">
      <x:c r="A3830" s="0" t="s">
        <x:v>15163</x:v>
      </x:c>
      <x:c r="B3830" s="0" t="s">
        <x:v>15164</x:v>
      </x:c>
      <x:c r="C3830" s="0" t="s">
        <x:v>15165</x:v>
      </x:c>
      <x:c r="E3830" s="0" t="s">
        <x:v>15166</x:v>
      </x:c>
      <x:c r="F3830" s="0" t="s">
        <x:v>45</x:v>
      </x:c>
      <x:c r="G3830" s="0" t="s">
        <x:v>19</x:v>
      </x:c>
      <x:c r="H3830" s="0" t="s">
        <x:v>20</x:v>
      </x:c>
      <x:c r="I3830" s="0" t="s">
        <x:v>21</x:v>
      </x:c>
      <x:c r="K3830" s="0">
        <x:f>hyperlink("https://icd.who.int/dev11/l-ichi/en#/http%3A%2F%2Fid.who.int%2Ficd%2Fentity%2F258199373","browser")</x:f>
      </x:c>
      <x:c r="L3830" s="0">
        <x:f>hyperlink("https://icat2.azurewebsites.net/icat/?ontology=ICD&amp;tab=ClassesTab&amp;id=http%3A%2F%2Fwho.int%2Ficd%2319093_512ebf36_bf6b_4d70_85da_cf2637062af4","iCat")</x:f>
      </x:c>
      <x:c r="M3830" s="0" t="s">
        <x:v>21</x:v>
      </x:c>
      <x:c r="N3830" s="0" t="s">
        <x:v>46</x:v>
      </x:c>
    </x:row>
    <x:row r="3831" spans="1:16">
      <x:c r="A3831" s="0" t="s">
        <x:v>15167</x:v>
      </x:c>
      <x:c r="B3831" s="0" t="s">
        <x:v>15168</x:v>
      </x:c>
      <x:c r="C3831" s="0" t="s">
        <x:v>15169</x:v>
      </x:c>
      <x:c r="E3831" s="0" t="s">
        <x:v>15170</x:v>
      </x:c>
      <x:c r="F3831" s="0" t="s">
        <x:v>45</x:v>
      </x:c>
      <x:c r="G3831" s="0" t="s">
        <x:v>19</x:v>
      </x:c>
      <x:c r="H3831" s="0" t="s">
        <x:v>20</x:v>
      </x:c>
      <x:c r="I3831" s="0" t="s">
        <x:v>21</x:v>
      </x:c>
      <x:c r="K3831" s="0">
        <x:f>hyperlink("https://icd.who.int/dev11/l-ichi/en#/http%3A%2F%2Fid.who.int%2Ficd%2Fentity%2F252233027","browser")</x:f>
      </x:c>
      <x:c r="L3831" s="0">
        <x:f>hyperlink("https://icat2.azurewebsites.net/icat/?ontology=ICD&amp;tab=ClassesTab&amp;id=http%3A%2F%2Fwho.int%2Ficd%2319103_512ebf36_bf6b_4d70_85da_cf2637062af4","iCat")</x:f>
      </x:c>
      <x:c r="M3831" s="0" t="s">
        <x:v>21</x:v>
      </x:c>
      <x:c r="N3831" s="0" t="s">
        <x:v>46</x:v>
      </x:c>
    </x:row>
    <x:row r="3832" spans="1:16">
      <x:c r="A3832" s="0" t="s">
        <x:v>15171</x:v>
      </x:c>
      <x:c r="B3832" s="0" t="s">
        <x:v>15172</x:v>
      </x:c>
      <x:c r="C3832" s="0" t="s">
        <x:v>15173</x:v>
      </x:c>
      <x:c r="E3832" s="0" t="s">
        <x:v>15174</x:v>
      </x:c>
      <x:c r="F3832" s="0" t="s">
        <x:v>45</x:v>
      </x:c>
      <x:c r="G3832" s="0" t="s">
        <x:v>19</x:v>
      </x:c>
      <x:c r="H3832" s="0" t="s">
        <x:v>20</x:v>
      </x:c>
      <x:c r="I3832" s="0" t="s">
        <x:v>21</x:v>
      </x:c>
      <x:c r="K3832" s="0">
        <x:f>hyperlink("https://icd.who.int/dev11/l-ichi/en#/http%3A%2F%2Fid.who.int%2Ficd%2Fentity%2F541605869","browser")</x:f>
      </x:c>
      <x:c r="L3832" s="0">
        <x:f>hyperlink("https://icat2.azurewebsites.net/icat/?ontology=ICD&amp;tab=ClassesTab&amp;id=http%3A%2F%2Fwho.int%2Ficd%2319110_512ebf36_bf6b_4d70_85da_cf2637062af4","iCat")</x:f>
      </x:c>
      <x:c r="M3832" s="0" t="s">
        <x:v>21</x:v>
      </x:c>
      <x:c r="N3832" s="0" t="s">
        <x:v>46</x:v>
      </x:c>
    </x:row>
    <x:row r="3833" spans="1:16">
      <x:c r="A3833" s="0" t="s">
        <x:v>15175</x:v>
      </x:c>
      <x:c r="B3833" s="0" t="s">
        <x:v>15176</x:v>
      </x:c>
      <x:c r="C3833" s="0" t="s">
        <x:v>15177</x:v>
      </x:c>
      <x:c r="E3833" s="0" t="s">
        <x:v>15178</x:v>
      </x:c>
      <x:c r="F3833" s="0" t="s">
        <x:v>45</x:v>
      </x:c>
      <x:c r="G3833" s="0" t="s">
        <x:v>19</x:v>
      </x:c>
      <x:c r="H3833" s="0" t="s">
        <x:v>20</x:v>
      </x:c>
      <x:c r="I3833" s="0" t="s">
        <x:v>21</x:v>
      </x:c>
      <x:c r="K3833" s="0">
        <x:f>hyperlink("https://icd.who.int/dev11/l-ichi/en#/http%3A%2F%2Fid.who.int%2Ficd%2Fentity%2F1355453536","browser")</x:f>
      </x:c>
      <x:c r="L3833" s="0">
        <x:f>hyperlink("https://icat2.azurewebsites.net/icat/?ontology=ICD&amp;tab=ClassesTab&amp;id=http%3A%2F%2Fwho.int%2Ficd%2319117_512ebf36_bf6b_4d70_85da_cf2637062af4","iCat")</x:f>
      </x:c>
      <x:c r="M3833" s="0" t="s">
        <x:v>21</x:v>
      </x:c>
      <x:c r="N3833" s="0" t="s">
        <x:v>46</x:v>
      </x:c>
    </x:row>
    <x:row r="3834" spans="1:16">
      <x:c r="A3834" s="0" t="s">
        <x:v>15179</x:v>
      </x:c>
      <x:c r="B3834" s="0" t="s">
        <x:v>15180</x:v>
      </x:c>
      <x:c r="C3834" s="0" t="s">
        <x:v>15181</x:v>
      </x:c>
      <x:c r="E3834" s="0" t="s">
        <x:v>15182</x:v>
      </x:c>
      <x:c r="F3834" s="0" t="s">
        <x:v>45</x:v>
      </x:c>
      <x:c r="G3834" s="0" t="s">
        <x:v>19</x:v>
      </x:c>
      <x:c r="H3834" s="0" t="s">
        <x:v>20</x:v>
      </x:c>
      <x:c r="I3834" s="0" t="s">
        <x:v>21</x:v>
      </x:c>
      <x:c r="K3834" s="0">
        <x:f>hyperlink("https://icd.who.int/dev11/l-ichi/en#/http%3A%2F%2Fid.who.int%2Ficd%2Fentity%2F1442757534","browser")</x:f>
      </x:c>
      <x:c r="L3834" s="0">
        <x:f>hyperlink("https://icat2.azurewebsites.net/icat/?ontology=ICD&amp;tab=ClassesTab&amp;id=http%3A%2F%2Fwho.int%2Ficd%2319124_512ebf36_bf6b_4d70_85da_cf2637062af4","iCat")</x:f>
      </x:c>
      <x:c r="M3834" s="0" t="s">
        <x:v>21</x:v>
      </x:c>
      <x:c r="N3834" s="0" t="s">
        <x:v>46</x:v>
      </x:c>
    </x:row>
    <x:row r="3835" spans="1:16">
      <x:c r="A3835" s="0" t="s">
        <x:v>15183</x:v>
      </x:c>
      <x:c r="B3835" s="0" t="s">
        <x:v>15184</x:v>
      </x:c>
      <x:c r="C3835" s="0" t="s">
        <x:v>15185</x:v>
      </x:c>
      <x:c r="E3835" s="0" t="s">
        <x:v>15186</x:v>
      </x:c>
      <x:c r="F3835" s="0" t="s">
        <x:v>45</x:v>
      </x:c>
      <x:c r="G3835" s="0" t="s">
        <x:v>19</x:v>
      </x:c>
      <x:c r="H3835" s="0" t="s">
        <x:v>20</x:v>
      </x:c>
      <x:c r="I3835" s="0" t="s">
        <x:v>21</x:v>
      </x:c>
      <x:c r="K3835" s="0">
        <x:f>hyperlink("https://icd.who.int/dev11/l-ichi/en#/http%3A%2F%2Fid.who.int%2Ficd%2Fentity%2F717592705","browser")</x:f>
      </x:c>
      <x:c r="L3835" s="0">
        <x:f>hyperlink("https://icat2.azurewebsites.net/icat/?ontology=ICD&amp;tab=ClassesTab&amp;id=http%3A%2F%2Fwho.int%2Ficd%2319131_512ebf36_bf6b_4d70_85da_cf2637062af4","iCat")</x:f>
      </x:c>
      <x:c r="M3835" s="0" t="s">
        <x:v>21</x:v>
      </x:c>
      <x:c r="N3835" s="0" t="s">
        <x:v>46</x:v>
      </x:c>
    </x:row>
    <x:row r="3836" spans="1:16">
      <x:c r="A3836" s="0" t="s">
        <x:v>15187</x:v>
      </x:c>
      <x:c r="B3836" s="0" t="s">
        <x:v>15188</x:v>
      </x:c>
      <x:c r="C3836" s="0" t="s">
        <x:v>15189</x:v>
      </x:c>
      <x:c r="E3836" s="0" t="s">
        <x:v>15190</x:v>
      </x:c>
      <x:c r="F3836" s="0" t="s">
        <x:v>45</x:v>
      </x:c>
      <x:c r="G3836" s="0" t="s">
        <x:v>19</x:v>
      </x:c>
      <x:c r="H3836" s="0" t="s">
        <x:v>20</x:v>
      </x:c>
      <x:c r="I3836" s="0" t="s">
        <x:v>21</x:v>
      </x:c>
      <x:c r="K3836" s="0">
        <x:f>hyperlink("https://icd.who.int/dev11/l-ichi/en#/http%3A%2F%2Fid.who.int%2Ficd%2Fentity%2F1153276906","browser")</x:f>
      </x:c>
      <x:c r="L3836" s="0">
        <x:f>hyperlink("https://icat2.azurewebsites.net/icat/?ontology=ICD&amp;tab=ClassesTab&amp;id=http%3A%2F%2Fwho.int%2Ficd%2319138_512ebf36_bf6b_4d70_85da_cf2637062af4","iCat")</x:f>
      </x:c>
      <x:c r="M3836" s="0" t="s">
        <x:v>21</x:v>
      </x:c>
      <x:c r="N3836" s="0" t="s">
        <x:v>46</x:v>
      </x:c>
    </x:row>
    <x:row r="3837" spans="1:16">
      <x:c r="A3837" s="0" t="s">
        <x:v>15191</x:v>
      </x:c>
      <x:c r="B3837" s="0" t="s">
        <x:v>15192</x:v>
      </x:c>
      <x:c r="C3837" s="0" t="s">
        <x:v>15193</x:v>
      </x:c>
      <x:c r="E3837" s="0" t="s">
        <x:v>15194</x:v>
      </x:c>
      <x:c r="F3837" s="0" t="s">
        <x:v>45</x:v>
      </x:c>
      <x:c r="G3837" s="0" t="s">
        <x:v>19</x:v>
      </x:c>
      <x:c r="H3837" s="0" t="s">
        <x:v>20</x:v>
      </x:c>
      <x:c r="I3837" s="0" t="s">
        <x:v>21</x:v>
      </x:c>
      <x:c r="K3837" s="0">
        <x:f>hyperlink("https://icd.who.int/dev11/l-ichi/en#/http%3A%2F%2Fid.who.int%2Ficd%2Fentity%2F267206099","browser")</x:f>
      </x:c>
      <x:c r="L3837" s="0">
        <x:f>hyperlink("https://icat2.azurewebsites.net/icat/?ontology=ICD&amp;tab=ClassesTab&amp;id=http%3A%2F%2Fwho.int%2Ficd%2319144_512ebf36_bf6b_4d70_85da_cf2637062af4","iCat")</x:f>
      </x:c>
      <x:c r="M3837" s="0" t="s">
        <x:v>21</x:v>
      </x:c>
      <x:c r="N3837" s="0" t="s">
        <x:v>46</x:v>
      </x:c>
    </x:row>
    <x:row r="3838" spans="1:16">
      <x:c r="A3838" s="0" t="s">
        <x:v>15195</x:v>
      </x:c>
      <x:c r="B3838" s="0" t="s">
        <x:v>15196</x:v>
      </x:c>
      <x:c r="C3838" s="0" t="s">
        <x:v>15197</x:v>
      </x:c>
      <x:c r="E3838" s="0" t="s">
        <x:v>15198</x:v>
      </x:c>
      <x:c r="F3838" s="0" t="s">
        <x:v>45</x:v>
      </x:c>
      <x:c r="G3838" s="0" t="s">
        <x:v>19</x:v>
      </x:c>
      <x:c r="H3838" s="0" t="s">
        <x:v>20</x:v>
      </x:c>
      <x:c r="I3838" s="0" t="s">
        <x:v>21</x:v>
      </x:c>
      <x:c r="K3838" s="0">
        <x:f>hyperlink("https://icd.who.int/dev11/l-ichi/en#/http%3A%2F%2Fid.who.int%2Ficd%2Fentity%2F363463433","browser")</x:f>
      </x:c>
      <x:c r="L3838" s="0">
        <x:f>hyperlink("https://icat2.azurewebsites.net/icat/?ontology=ICD&amp;tab=ClassesTab&amp;id=http%3A%2F%2Fwho.int%2Ficd%2319153_512ebf36_bf6b_4d70_85da_cf2637062af4","iCat")</x:f>
      </x:c>
      <x:c r="M3838" s="0" t="s">
        <x:v>21</x:v>
      </x:c>
      <x:c r="N3838" s="0" t="s">
        <x:v>46</x:v>
      </x:c>
    </x:row>
    <x:row r="3839" spans="1:16">
      <x:c r="A3839" s="0" t="s">
        <x:v>15199</x:v>
      </x:c>
      <x:c r="B3839" s="0" t="s">
        <x:v>15200</x:v>
      </x:c>
      <x:c r="C3839" s="0" t="s">
        <x:v>15201</x:v>
      </x:c>
      <x:c r="E3839" s="0" t="s">
        <x:v>15202</x:v>
      </x:c>
      <x:c r="F3839" s="0" t="s">
        <x:v>45</x:v>
      </x:c>
      <x:c r="G3839" s="0" t="s">
        <x:v>19</x:v>
      </x:c>
      <x:c r="H3839" s="0" t="s">
        <x:v>20</x:v>
      </x:c>
      <x:c r="I3839" s="0" t="s">
        <x:v>21</x:v>
      </x:c>
      <x:c r="K3839" s="0">
        <x:f>hyperlink("https://icd.who.int/dev11/l-ichi/en#/http%3A%2F%2Fid.who.int%2Ficd%2Fentity%2F1045917593","browser")</x:f>
      </x:c>
      <x:c r="L3839" s="0">
        <x:f>hyperlink("https://icat2.azurewebsites.net/icat/?ontology=ICD&amp;tab=ClassesTab&amp;id=http%3A%2F%2Fwho.int%2Ficd%2319159_512ebf36_bf6b_4d70_85da_cf2637062af4","iCat")</x:f>
      </x:c>
      <x:c r="M3839" s="0" t="s">
        <x:v>21</x:v>
      </x:c>
      <x:c r="N3839" s="0" t="s">
        <x:v>46</x:v>
      </x:c>
    </x:row>
    <x:row r="3840" spans="1:16">
      <x:c r="A3840" s="0" t="s">
        <x:v>15203</x:v>
      </x:c>
      <x:c r="B3840" s="0" t="s">
        <x:v>15204</x:v>
      </x:c>
      <x:c r="C3840" s="0" t="s">
        <x:v>15205</x:v>
      </x:c>
      <x:c r="E3840" s="0" t="s">
        <x:v>15206</x:v>
      </x:c>
      <x:c r="F3840" s="0" t="s">
        <x:v>45</x:v>
      </x:c>
      <x:c r="G3840" s="0" t="s">
        <x:v>19</x:v>
      </x:c>
      <x:c r="H3840" s="0" t="s">
        <x:v>20</x:v>
      </x:c>
      <x:c r="I3840" s="0" t="s">
        <x:v>21</x:v>
      </x:c>
      <x:c r="K3840" s="0">
        <x:f>hyperlink("https://icd.who.int/dev11/l-ichi/en#/http%3A%2F%2Fid.who.int%2Ficd%2Fentity%2F1088812358","browser")</x:f>
      </x:c>
      <x:c r="L3840" s="0">
        <x:f>hyperlink("https://icat2.azurewebsites.net/icat/?ontology=ICD&amp;tab=ClassesTab&amp;id=http%3A%2F%2Fwho.int%2Ficd%2319166_512ebf36_bf6b_4d70_85da_cf2637062af4","iCat")</x:f>
      </x:c>
      <x:c r="M3840" s="0" t="s">
        <x:v>21</x:v>
      </x:c>
      <x:c r="N3840" s="0" t="s">
        <x:v>46</x:v>
      </x:c>
    </x:row>
    <x:row r="3841" spans="1:16">
      <x:c r="A3841" s="0" t="s">
        <x:v>15207</x:v>
      </x:c>
      <x:c r="B3841" s="0" t="s">
        <x:v>15208</x:v>
      </x:c>
      <x:c r="C3841" s="0" t="s">
        <x:v>15209</x:v>
      </x:c>
      <x:c r="E3841" s="0" t="s">
        <x:v>15210</x:v>
      </x:c>
      <x:c r="F3841" s="0" t="s">
        <x:v>45</x:v>
      </x:c>
      <x:c r="G3841" s="0" t="s">
        <x:v>19</x:v>
      </x:c>
      <x:c r="H3841" s="0" t="s">
        <x:v>20</x:v>
      </x:c>
      <x:c r="I3841" s="0" t="s">
        <x:v>21</x:v>
      </x:c>
      <x:c r="K3841" s="0">
        <x:f>hyperlink("https://icd.who.int/dev11/l-ichi/en#/http%3A%2F%2Fid.who.int%2Ficd%2Fentity%2F522691685","browser")</x:f>
      </x:c>
      <x:c r="L3841" s="0">
        <x:f>hyperlink("https://icat2.azurewebsites.net/icat/?ontology=ICD&amp;tab=ClassesTab&amp;id=http%3A%2F%2Fwho.int%2Ficd%2319172_512ebf36_bf6b_4d70_85da_cf2637062af4","iCat")</x:f>
      </x:c>
      <x:c r="M3841" s="0" t="s">
        <x:v>21</x:v>
      </x:c>
      <x:c r="N3841" s="0" t="s">
        <x:v>46</x:v>
      </x:c>
    </x:row>
    <x:row r="3842" spans="1:16">
      <x:c r="A3842" s="0" t="s">
        <x:v>15211</x:v>
      </x:c>
      <x:c r="B3842" s="0" t="s">
        <x:v>15212</x:v>
      </x:c>
      <x:c r="C3842" s="0" t="s">
        <x:v>15213</x:v>
      </x:c>
      <x:c r="E3842" s="0" t="s">
        <x:v>15214</x:v>
      </x:c>
      <x:c r="F3842" s="0" t="s">
        <x:v>45</x:v>
      </x:c>
      <x:c r="G3842" s="0" t="s">
        <x:v>19</x:v>
      </x:c>
      <x:c r="H3842" s="0" t="s">
        <x:v>20</x:v>
      </x:c>
      <x:c r="I3842" s="0" t="s">
        <x:v>21</x:v>
      </x:c>
      <x:c r="K3842" s="0">
        <x:f>hyperlink("https://icd.who.int/dev11/l-ichi/en#/http%3A%2F%2Fid.who.int%2Ficd%2Fentity%2F337885897","browser")</x:f>
      </x:c>
      <x:c r="L3842" s="0">
        <x:f>hyperlink("https://icat2.azurewebsites.net/icat/?ontology=ICD&amp;tab=ClassesTab&amp;id=http%3A%2F%2Fwho.int%2Ficd%2319179_512ebf36_bf6b_4d70_85da_cf2637062af4","iCat")</x:f>
      </x:c>
      <x:c r="M3842" s="0" t="s">
        <x:v>21</x:v>
      </x:c>
      <x:c r="N3842" s="0" t="s">
        <x:v>46</x:v>
      </x:c>
    </x:row>
    <x:row r="3843" spans="1:16">
      <x:c r="A3843" s="0" t="s">
        <x:v>15215</x:v>
      </x:c>
      <x:c r="B3843" s="0" t="s">
        <x:v>15216</x:v>
      </x:c>
      <x:c r="C3843" s="0" t="s">
        <x:v>15217</x:v>
      </x:c>
      <x:c r="E3843" s="0" t="s">
        <x:v>15218</x:v>
      </x:c>
      <x:c r="F3843" s="0" t="s">
        <x:v>45</x:v>
      </x:c>
      <x:c r="G3843" s="0" t="s">
        <x:v>19</x:v>
      </x:c>
      <x:c r="H3843" s="0" t="s">
        <x:v>20</x:v>
      </x:c>
      <x:c r="I3843" s="0" t="s">
        <x:v>21</x:v>
      </x:c>
      <x:c r="K3843" s="0">
        <x:f>hyperlink("https://icd.who.int/dev11/l-ichi/en#/http%3A%2F%2Fid.who.int%2Ficd%2Fentity%2F1002762263","browser")</x:f>
      </x:c>
      <x:c r="L3843" s="0">
        <x:f>hyperlink("https://icat2.azurewebsites.net/icat/?ontology=ICD&amp;tab=ClassesTab&amp;id=http%3A%2F%2Fwho.int%2Ficd%2319189_512ebf36_bf6b_4d70_85da_cf2637062af4","iCat")</x:f>
      </x:c>
      <x:c r="M3843" s="0" t="s">
        <x:v>21</x:v>
      </x:c>
      <x:c r="N3843" s="0" t="s">
        <x:v>46</x:v>
      </x:c>
    </x:row>
    <x:row r="3844" spans="1:16">
      <x:c r="A3844" s="0" t="s">
        <x:v>15219</x:v>
      </x:c>
      <x:c r="B3844" s="0" t="s">
        <x:v>15220</x:v>
      </x:c>
      <x:c r="C3844" s="0" t="s">
        <x:v>15221</x:v>
      </x:c>
      <x:c r="E3844" s="0" t="s">
        <x:v>15222</x:v>
      </x:c>
      <x:c r="F3844" s="0" t="s">
        <x:v>45</x:v>
      </x:c>
      <x:c r="G3844" s="0" t="s">
        <x:v>19</x:v>
      </x:c>
      <x:c r="H3844" s="0" t="s">
        <x:v>20</x:v>
      </x:c>
      <x:c r="I3844" s="0" t="s">
        <x:v>21</x:v>
      </x:c>
      <x:c r="K3844" s="0">
        <x:f>hyperlink("https://icd.who.int/dev11/l-ichi/en#/http%3A%2F%2Fid.who.int%2Ficd%2Fentity%2F1862451096","browser")</x:f>
      </x:c>
      <x:c r="L3844" s="0">
        <x:f>hyperlink("https://icat2.azurewebsites.net/icat/?ontology=ICD&amp;tab=ClassesTab&amp;id=http%3A%2F%2Fwho.int%2Ficd%2319196_512ebf36_bf6b_4d70_85da_cf2637062af4","iCat")</x:f>
      </x:c>
      <x:c r="M3844" s="0" t="s">
        <x:v>21</x:v>
      </x:c>
      <x:c r="N3844" s="0" t="s">
        <x:v>46</x:v>
      </x:c>
    </x:row>
    <x:row r="3845" spans="1:16">
      <x:c r="A3845" s="0" t="s">
        <x:v>15223</x:v>
      </x:c>
      <x:c r="B3845" s="0" t="s">
        <x:v>15224</x:v>
      </x:c>
      <x:c r="C3845" s="0" t="s">
        <x:v>15225</x:v>
      </x:c>
      <x:c r="E3845" s="0" t="s">
        <x:v>15226</x:v>
      </x:c>
      <x:c r="F3845" s="0" t="s">
        <x:v>45</x:v>
      </x:c>
      <x:c r="G3845" s="0" t="s">
        <x:v>19</x:v>
      </x:c>
      <x:c r="H3845" s="0" t="s">
        <x:v>20</x:v>
      </x:c>
      <x:c r="I3845" s="0" t="s">
        <x:v>21</x:v>
      </x:c>
      <x:c r="K3845" s="0">
        <x:f>hyperlink("https://icd.who.int/dev11/l-ichi/en#/http%3A%2F%2Fid.who.int%2Ficd%2Fentity%2F1168776586","browser")</x:f>
      </x:c>
      <x:c r="L3845" s="0">
        <x:f>hyperlink("https://icat2.azurewebsites.net/icat/?ontology=ICD&amp;tab=ClassesTab&amp;id=http%3A%2F%2Fwho.int%2Ficd%2319209_512ebf36_bf6b_4d70_85da_cf2637062af4","iCat")</x:f>
      </x:c>
      <x:c r="M3845" s="0" t="s">
        <x:v>21</x:v>
      </x:c>
      <x:c r="N3845" s="0" t="s">
        <x:v>46</x:v>
      </x:c>
    </x:row>
    <x:row r="3846" spans="1:16">
      <x:c r="A3846" s="0" t="s">
        <x:v>15227</x:v>
      </x:c>
      <x:c r="B3846" s="0" t="s">
        <x:v>15228</x:v>
      </x:c>
      <x:c r="C3846" s="0" t="s">
        <x:v>15229</x:v>
      </x:c>
      <x:c r="E3846" s="0" t="s">
        <x:v>15230</x:v>
      </x:c>
      <x:c r="F3846" s="0" t="s">
        <x:v>45</x:v>
      </x:c>
      <x:c r="G3846" s="0" t="s">
        <x:v>19</x:v>
      </x:c>
      <x:c r="H3846" s="0" t="s">
        <x:v>20</x:v>
      </x:c>
      <x:c r="I3846" s="0" t="s">
        <x:v>21</x:v>
      </x:c>
      <x:c r="K3846" s="0">
        <x:f>hyperlink("https://icd.who.int/dev11/l-ichi/en#/http%3A%2F%2Fid.who.int%2Ficd%2Fentity%2F831856697","browser")</x:f>
      </x:c>
      <x:c r="L3846" s="0">
        <x:f>hyperlink("https://icat2.azurewebsites.net/icat/?ontology=ICD&amp;tab=ClassesTab&amp;id=http%3A%2F%2Fwho.int%2Ficd%2319217_512ebf36_bf6b_4d70_85da_cf2637062af4","iCat")</x:f>
      </x:c>
      <x:c r="M3846" s="0" t="s">
        <x:v>21</x:v>
      </x:c>
      <x:c r="N3846" s="0" t="s">
        <x:v>46</x:v>
      </x:c>
    </x:row>
    <x:row r="3847" spans="1:16">
      <x:c r="A3847" s="0" t="s">
        <x:v>15231</x:v>
      </x:c>
      <x:c r="B3847" s="0" t="s">
        <x:v>15232</x:v>
      </x:c>
      <x:c r="C3847" s="0" t="s">
        <x:v>15233</x:v>
      </x:c>
      <x:c r="E3847" s="0" t="s">
        <x:v>15234</x:v>
      </x:c>
      <x:c r="F3847" s="0" t="s">
        <x:v>45</x:v>
      </x:c>
      <x:c r="G3847" s="0" t="s">
        <x:v>19</x:v>
      </x:c>
      <x:c r="H3847" s="0" t="s">
        <x:v>20</x:v>
      </x:c>
      <x:c r="I3847" s="0" t="s">
        <x:v>21</x:v>
      </x:c>
      <x:c r="K3847" s="0">
        <x:f>hyperlink("https://icd.who.int/dev11/l-ichi/en#/http%3A%2F%2Fid.who.int%2Ficd%2Fentity%2F1143186508","browser")</x:f>
      </x:c>
      <x:c r="L3847" s="0">
        <x:f>hyperlink("https://icat2.azurewebsites.net/icat/?ontology=ICD&amp;tab=ClassesTab&amp;id=http%3A%2F%2Fwho.int%2Ficd%2319223_512ebf36_bf6b_4d70_85da_cf2637062af4","iCat")</x:f>
      </x:c>
      <x:c r="M3847" s="0" t="s">
        <x:v>21</x:v>
      </x:c>
      <x:c r="N3847" s="0" t="s">
        <x:v>46</x:v>
      </x:c>
    </x:row>
    <x:row r="3848" spans="1:16">
      <x:c r="A3848" s="0" t="s">
        <x:v>15235</x:v>
      </x:c>
      <x:c r="B3848" s="0" t="s">
        <x:v>15236</x:v>
      </x:c>
      <x:c r="C3848" s="0" t="s">
        <x:v>15237</x:v>
      </x:c>
      <x:c r="E3848" s="0" t="s">
        <x:v>15238</x:v>
      </x:c>
      <x:c r="F3848" s="0" t="s">
        <x:v>45</x:v>
      </x:c>
      <x:c r="G3848" s="0" t="s">
        <x:v>19</x:v>
      </x:c>
      <x:c r="H3848" s="0" t="s">
        <x:v>20</x:v>
      </x:c>
      <x:c r="I3848" s="0" t="s">
        <x:v>21</x:v>
      </x:c>
      <x:c r="K3848" s="0">
        <x:f>hyperlink("https://icd.who.int/dev11/l-ichi/en#/http%3A%2F%2Fid.who.int%2Ficd%2Fentity%2F1801674468","browser")</x:f>
      </x:c>
      <x:c r="L3848" s="0">
        <x:f>hyperlink("https://icat2.azurewebsites.net/icat/?ontology=ICD&amp;tab=ClassesTab&amp;id=http%3A%2F%2Fwho.int%2Ficd%2319230_512ebf36_bf6b_4d70_85da_cf2637062af4","iCat")</x:f>
      </x:c>
      <x:c r="M3848" s="0" t="s">
        <x:v>21</x:v>
      </x:c>
      <x:c r="N3848" s="0" t="s">
        <x:v>46</x:v>
      </x:c>
    </x:row>
    <x:row r="3849" spans="1:16">
      <x:c r="A3849" s="0" t="s">
        <x:v>15239</x:v>
      </x:c>
      <x:c r="B3849" s="0" t="s">
        <x:v>15240</x:v>
      </x:c>
      <x:c r="C3849" s="0" t="s">
        <x:v>15241</x:v>
      </x:c>
      <x:c r="E3849" s="0" t="s">
        <x:v>15242</x:v>
      </x:c>
      <x:c r="F3849" s="0" t="s">
        <x:v>45</x:v>
      </x:c>
      <x:c r="G3849" s="0" t="s">
        <x:v>19</x:v>
      </x:c>
      <x:c r="H3849" s="0" t="s">
        <x:v>20</x:v>
      </x:c>
      <x:c r="I3849" s="0" t="s">
        <x:v>21</x:v>
      </x:c>
      <x:c r="K3849" s="0">
        <x:f>hyperlink("https://icd.who.int/dev11/l-ichi/en#/http%3A%2F%2Fid.who.int%2Ficd%2Fentity%2F467793257","browser")</x:f>
      </x:c>
      <x:c r="L3849" s="0">
        <x:f>hyperlink("https://icat2.azurewebsites.net/icat/?ontology=ICD&amp;tab=ClassesTab&amp;id=http%3A%2F%2Fwho.int%2Ficd%2319237_512ebf36_bf6b_4d70_85da_cf2637062af4","iCat")</x:f>
      </x:c>
      <x:c r="M3849" s="0" t="s">
        <x:v>21</x:v>
      </x:c>
      <x:c r="N3849" s="0" t="s">
        <x:v>46</x:v>
      </x:c>
    </x:row>
    <x:row r="3850" spans="1:16">
      <x:c r="A3850" s="0" t="s">
        <x:v>15243</x:v>
      </x:c>
      <x:c r="B3850" s="0" t="s">
        <x:v>15244</x:v>
      </x:c>
      <x:c r="C3850" s="0" t="s">
        <x:v>15245</x:v>
      </x:c>
      <x:c r="E3850" s="0" t="s">
        <x:v>15246</x:v>
      </x:c>
      <x:c r="F3850" s="0" t="s">
        <x:v>45</x:v>
      </x:c>
      <x:c r="G3850" s="0" t="s">
        <x:v>19</x:v>
      </x:c>
      <x:c r="H3850" s="0" t="s">
        <x:v>20</x:v>
      </x:c>
      <x:c r="I3850" s="0" t="s">
        <x:v>21</x:v>
      </x:c>
      <x:c r="K3850" s="0">
        <x:f>hyperlink("https://icd.who.int/dev11/l-ichi/en#/http%3A%2F%2Fid.who.int%2Ficd%2Fentity%2F1313602488","browser")</x:f>
      </x:c>
      <x:c r="L3850" s="0">
        <x:f>hyperlink("https://icat2.azurewebsites.net/icat/?ontology=ICD&amp;tab=ClassesTab&amp;id=http%3A%2F%2Fwho.int%2Ficd%2319245_512ebf36_bf6b_4d70_85da_cf2637062af4","iCat")</x:f>
      </x:c>
      <x:c r="M3850" s="0" t="s">
        <x:v>21</x:v>
      </x:c>
      <x:c r="N3850" s="0" t="s">
        <x:v>46</x:v>
      </x:c>
    </x:row>
    <x:row r="3851" spans="1:16">
      <x:c r="A3851" s="0" t="s">
        <x:v>15247</x:v>
      </x:c>
      <x:c r="B3851" s="0" t="s">
        <x:v>15248</x:v>
      </x:c>
      <x:c r="C3851" s="0" t="s">
        <x:v>15249</x:v>
      </x:c>
      <x:c r="E3851" s="0" t="s">
        <x:v>15250</x:v>
      </x:c>
      <x:c r="F3851" s="0" t="s">
        <x:v>45</x:v>
      </x:c>
      <x:c r="G3851" s="0" t="s">
        <x:v>19</x:v>
      </x:c>
      <x:c r="H3851" s="0" t="s">
        <x:v>20</x:v>
      </x:c>
      <x:c r="I3851" s="0" t="s">
        <x:v>21</x:v>
      </x:c>
      <x:c r="K3851" s="0">
        <x:f>hyperlink("https://icd.who.int/dev11/l-ichi/en#/http%3A%2F%2Fid.who.int%2Ficd%2Fentity%2F613314273","browser")</x:f>
      </x:c>
      <x:c r="L3851" s="0">
        <x:f>hyperlink("https://icat2.azurewebsites.net/icat/?ontology=ICD&amp;tab=ClassesTab&amp;id=http%3A%2F%2Fwho.int%2Ficd%2319255_512ebf36_bf6b_4d70_85da_cf2637062af4","iCat")</x:f>
      </x:c>
      <x:c r="M3851" s="0" t="s">
        <x:v>21</x:v>
      </x:c>
      <x:c r="N3851" s="0" t="s">
        <x:v>46</x:v>
      </x:c>
    </x:row>
    <x:row r="3852" spans="1:16">
      <x:c r="A3852" s="0" t="s">
        <x:v>15251</x:v>
      </x:c>
      <x:c r="B3852" s="0" t="s">
        <x:v>15252</x:v>
      </x:c>
      <x:c r="C3852" s="0" t="s">
        <x:v>15253</x:v>
      </x:c>
      <x:c r="E3852" s="0" t="s">
        <x:v>15254</x:v>
      </x:c>
      <x:c r="F3852" s="0" t="s">
        <x:v>45</x:v>
      </x:c>
      <x:c r="G3852" s="0" t="s">
        <x:v>19</x:v>
      </x:c>
      <x:c r="H3852" s="0" t="s">
        <x:v>20</x:v>
      </x:c>
      <x:c r="I3852" s="0" t="s">
        <x:v>21</x:v>
      </x:c>
      <x:c r="K3852" s="0">
        <x:f>hyperlink("https://icd.who.int/dev11/l-ichi/en#/http%3A%2F%2Fid.who.int%2Ficd%2Fentity%2F1153850588","browser")</x:f>
      </x:c>
      <x:c r="L3852" s="0">
        <x:f>hyperlink("https://icat2.azurewebsites.net/icat/?ontology=ICD&amp;tab=ClassesTab&amp;id=http%3A%2F%2Fwho.int%2Ficd%2319264_512ebf36_bf6b_4d70_85da_cf2637062af4","iCat")</x:f>
      </x:c>
      <x:c r="M3852" s="0" t="s">
        <x:v>21</x:v>
      </x:c>
      <x:c r="N3852" s="0" t="s">
        <x:v>46</x:v>
      </x:c>
    </x:row>
    <x:row r="3853" spans="1:16">
      <x:c r="A3853" s="0" t="s">
        <x:v>15255</x:v>
      </x:c>
      <x:c r="B3853" s="0" t="s">
        <x:v>15256</x:v>
      </x:c>
      <x:c r="C3853" s="0" t="s">
        <x:v>15257</x:v>
      </x:c>
      <x:c r="E3853" s="0" t="s">
        <x:v>15258</x:v>
      </x:c>
      <x:c r="F3853" s="0" t="s">
        <x:v>45</x:v>
      </x:c>
      <x:c r="G3853" s="0" t="s">
        <x:v>19</x:v>
      </x:c>
      <x:c r="H3853" s="0" t="s">
        <x:v>20</x:v>
      </x:c>
      <x:c r="I3853" s="0" t="s">
        <x:v>21</x:v>
      </x:c>
      <x:c r="K3853" s="0">
        <x:f>hyperlink("https://icd.who.int/dev11/l-ichi/en#/http%3A%2F%2Fid.who.int%2Ficd%2Fentity%2F1006469061","browser")</x:f>
      </x:c>
      <x:c r="L3853" s="0">
        <x:f>hyperlink("https://icat2.azurewebsites.net/icat/?ontology=ICD&amp;tab=ClassesTab&amp;id=http%3A%2F%2Fwho.int%2Ficd%2319271_512ebf36_bf6b_4d70_85da_cf2637062af4","iCat")</x:f>
      </x:c>
      <x:c r="M3853" s="0" t="s">
        <x:v>21</x:v>
      </x:c>
      <x:c r="N3853" s="0" t="s">
        <x:v>46</x:v>
      </x:c>
    </x:row>
    <x:row r="3854" spans="1:16">
      <x:c r="A3854" s="0" t="s">
        <x:v>15259</x:v>
      </x:c>
      <x:c r="B3854" s="0" t="s">
        <x:v>15260</x:v>
      </x:c>
      <x:c r="C3854" s="0" t="s">
        <x:v>15261</x:v>
      </x:c>
      <x:c r="E3854" s="0" t="s">
        <x:v>15262</x:v>
      </x:c>
      <x:c r="F3854" s="0" t="s">
        <x:v>45</x:v>
      </x:c>
      <x:c r="G3854" s="0" t="s">
        <x:v>19</x:v>
      </x:c>
      <x:c r="H3854" s="0" t="s">
        <x:v>20</x:v>
      </x:c>
      <x:c r="I3854" s="0" t="s">
        <x:v>21</x:v>
      </x:c>
      <x:c r="K3854" s="0">
        <x:f>hyperlink("https://icd.who.int/dev11/l-ichi/en#/http%3A%2F%2Fid.who.int%2Ficd%2Fentity%2F1803986548","browser")</x:f>
      </x:c>
      <x:c r="L3854" s="0">
        <x:f>hyperlink("https://icat2.azurewebsites.net/icat/?ontology=ICD&amp;tab=ClassesTab&amp;id=http%3A%2F%2Fwho.int%2Ficd%2319277_512ebf36_bf6b_4d70_85da_cf2637062af4","iCat")</x:f>
      </x:c>
      <x:c r="M3854" s="0" t="s">
        <x:v>21</x:v>
      </x:c>
      <x:c r="N3854" s="0" t="s">
        <x:v>46</x:v>
      </x:c>
    </x:row>
    <x:row r="3855" spans="1:16">
      <x:c r="A3855" s="0" t="s">
        <x:v>15263</x:v>
      </x:c>
      <x:c r="B3855" s="0" t="s">
        <x:v>15264</x:v>
      </x:c>
      <x:c r="C3855" s="0" t="s">
        <x:v>15265</x:v>
      </x:c>
      <x:c r="E3855" s="0" t="s">
        <x:v>15266</x:v>
      </x:c>
      <x:c r="F3855" s="0" t="s">
        <x:v>45</x:v>
      </x:c>
      <x:c r="G3855" s="0" t="s">
        <x:v>19</x:v>
      </x:c>
      <x:c r="H3855" s="0" t="s">
        <x:v>20</x:v>
      </x:c>
      <x:c r="I3855" s="0" t="s">
        <x:v>21</x:v>
      </x:c>
      <x:c r="K3855" s="0">
        <x:f>hyperlink("https://icd.who.int/dev11/l-ichi/en#/http%3A%2F%2Fid.who.int%2Ficd%2Fentity%2F1902520544","browser")</x:f>
      </x:c>
      <x:c r="L3855" s="0">
        <x:f>hyperlink("https://icat2.azurewebsites.net/icat/?ontology=ICD&amp;tab=ClassesTab&amp;id=http%3A%2F%2Fwho.int%2Ficd%2319283_512ebf36_bf6b_4d70_85da_cf2637062af4","iCat")</x:f>
      </x:c>
      <x:c r="M3855" s="0" t="s">
        <x:v>21</x:v>
      </x:c>
      <x:c r="N3855" s="0" t="s">
        <x:v>46</x:v>
      </x:c>
    </x:row>
    <x:row r="3856" spans="1:16">
      <x:c r="A3856" s="0" t="s">
        <x:v>15267</x:v>
      </x:c>
      <x:c r="B3856" s="0" t="s">
        <x:v>15268</x:v>
      </x:c>
      <x:c r="C3856" s="0" t="s">
        <x:v>15269</x:v>
      </x:c>
      <x:c r="E3856" s="0" t="s">
        <x:v>15270</x:v>
      </x:c>
      <x:c r="F3856" s="0" t="s">
        <x:v>45</x:v>
      </x:c>
      <x:c r="G3856" s="0" t="s">
        <x:v>19</x:v>
      </x:c>
      <x:c r="H3856" s="0" t="s">
        <x:v>20</x:v>
      </x:c>
      <x:c r="I3856" s="0" t="s">
        <x:v>21</x:v>
      </x:c>
      <x:c r="K3856" s="0">
        <x:f>hyperlink("https://icd.who.int/dev11/l-ichi/en#/http%3A%2F%2Fid.who.int%2Ficd%2Fentity%2F1520125008","browser")</x:f>
      </x:c>
      <x:c r="L3856" s="0">
        <x:f>hyperlink("https://icat2.azurewebsites.net/icat/?ontology=ICD&amp;tab=ClassesTab&amp;id=http%3A%2F%2Fwho.int%2Ficd%2319289_512ebf36_bf6b_4d70_85da_cf2637062af4","iCat")</x:f>
      </x:c>
      <x:c r="M3856" s="0" t="s">
        <x:v>21</x:v>
      </x:c>
      <x:c r="N3856" s="0" t="s">
        <x:v>46</x:v>
      </x:c>
    </x:row>
    <x:row r="3857" spans="1:16">
      <x:c r="A3857" s="0" t="s">
        <x:v>15271</x:v>
      </x:c>
      <x:c r="B3857" s="0" t="s">
        <x:v>15272</x:v>
      </x:c>
      <x:c r="C3857" s="0" t="s">
        <x:v>15273</x:v>
      </x:c>
      <x:c r="E3857" s="0" t="s">
        <x:v>15274</x:v>
      </x:c>
      <x:c r="F3857" s="0" t="s">
        <x:v>45</x:v>
      </x:c>
      <x:c r="G3857" s="0" t="s">
        <x:v>19</x:v>
      </x:c>
      <x:c r="H3857" s="0" t="s">
        <x:v>20</x:v>
      </x:c>
      <x:c r="I3857" s="0" t="s">
        <x:v>21</x:v>
      </x:c>
      <x:c r="K3857" s="0">
        <x:f>hyperlink("https://icd.who.int/dev11/l-ichi/en#/http%3A%2F%2Fid.who.int%2Ficd%2Fentity%2F1272472632","browser")</x:f>
      </x:c>
      <x:c r="L3857" s="0">
        <x:f>hyperlink("https://icat2.azurewebsites.net/icat/?ontology=ICD&amp;tab=ClassesTab&amp;id=http%3A%2F%2Fwho.int%2Ficd%2319295_512ebf36_bf6b_4d70_85da_cf2637062af4","iCat")</x:f>
      </x:c>
      <x:c r="M3857" s="0" t="s">
        <x:v>21</x:v>
      </x:c>
      <x:c r="N3857" s="0" t="s">
        <x:v>46</x:v>
      </x:c>
    </x:row>
    <x:row r="3858" spans="1:16">
      <x:c r="A3858" s="0" t="s">
        <x:v>15275</x:v>
      </x:c>
      <x:c r="B3858" s="0" t="s">
        <x:v>15276</x:v>
      </x:c>
      <x:c r="C3858" s="0" t="s">
        <x:v>15277</x:v>
      </x:c>
      <x:c r="E3858" s="0" t="s">
        <x:v>15278</x:v>
      </x:c>
      <x:c r="F3858" s="0" t="s">
        <x:v>45</x:v>
      </x:c>
      <x:c r="G3858" s="0" t="s">
        <x:v>19</x:v>
      </x:c>
      <x:c r="H3858" s="0" t="s">
        <x:v>20</x:v>
      </x:c>
      <x:c r="I3858" s="0" t="s">
        <x:v>21</x:v>
      </x:c>
      <x:c r="K3858" s="0">
        <x:f>hyperlink("https://icd.who.int/dev11/l-ichi/en#/http%3A%2F%2Fid.who.int%2Ficd%2Fentity%2F2125769282","browser")</x:f>
      </x:c>
      <x:c r="L3858" s="0">
        <x:f>hyperlink("https://icat2.azurewebsites.net/icat/?ontology=ICD&amp;tab=ClassesTab&amp;id=http%3A%2F%2Fwho.int%2Ficd%2319301_512ebf36_bf6b_4d70_85da_cf2637062af4","iCat")</x:f>
      </x:c>
      <x:c r="M3858" s="0" t="s">
        <x:v>21</x:v>
      </x:c>
      <x:c r="N3858" s="0" t="s">
        <x:v>46</x:v>
      </x:c>
    </x:row>
    <x:row r="3859" spans="1:16">
      <x:c r="A3859" s="0" t="s">
        <x:v>15279</x:v>
      </x:c>
      <x:c r="B3859" s="0" t="s">
        <x:v>15280</x:v>
      </x:c>
      <x:c r="C3859" s="0" t="s">
        <x:v>15281</x:v>
      </x:c>
      <x:c r="E3859" s="0" t="s">
        <x:v>15282</x:v>
      </x:c>
      <x:c r="F3859" s="0" t="s">
        <x:v>45</x:v>
      </x:c>
      <x:c r="G3859" s="0" t="s">
        <x:v>19</x:v>
      </x:c>
      <x:c r="H3859" s="0" t="s">
        <x:v>20</x:v>
      </x:c>
      <x:c r="I3859" s="0" t="s">
        <x:v>21</x:v>
      </x:c>
      <x:c r="K3859" s="0">
        <x:f>hyperlink("https://icd.who.int/dev11/l-ichi/en#/http%3A%2F%2Fid.who.int%2Ficd%2Fentity%2F785347571","browser")</x:f>
      </x:c>
      <x:c r="L3859" s="0">
        <x:f>hyperlink("https://icat2.azurewebsites.net/icat/?ontology=ICD&amp;tab=ClassesTab&amp;id=http%3A%2F%2Fwho.int%2Ficd%2319307_512ebf36_bf6b_4d70_85da_cf2637062af4","iCat")</x:f>
      </x:c>
      <x:c r="M3859" s="0" t="s">
        <x:v>21</x:v>
      </x:c>
      <x:c r="N3859" s="0" t="s">
        <x:v>46</x:v>
      </x:c>
    </x:row>
    <x:row r="3860" spans="1:16">
      <x:c r="A3860" s="0" t="s">
        <x:v>15283</x:v>
      </x:c>
      <x:c r="B3860" s="0" t="s">
        <x:v>15284</x:v>
      </x:c>
      <x:c r="C3860" s="0" t="s">
        <x:v>15285</x:v>
      </x:c>
      <x:c r="E3860" s="0" t="s">
        <x:v>15286</x:v>
      </x:c>
      <x:c r="F3860" s="0" t="s">
        <x:v>45</x:v>
      </x:c>
      <x:c r="G3860" s="0" t="s">
        <x:v>19</x:v>
      </x:c>
      <x:c r="H3860" s="0" t="s">
        <x:v>20</x:v>
      </x:c>
      <x:c r="I3860" s="0" t="s">
        <x:v>21</x:v>
      </x:c>
      <x:c r="K3860" s="0">
        <x:f>hyperlink("https://icd.who.int/dev11/l-ichi/en#/http%3A%2F%2Fid.who.int%2Ficd%2Fentity%2F1896686288","browser")</x:f>
      </x:c>
      <x:c r="L3860" s="0">
        <x:f>hyperlink("https://icat2.azurewebsites.net/icat/?ontology=ICD&amp;tab=ClassesTab&amp;id=http%3A%2F%2Fwho.int%2Ficd%2319313_512ebf36_bf6b_4d70_85da_cf2637062af4","iCat")</x:f>
      </x:c>
      <x:c r="M3860" s="0" t="s">
        <x:v>21</x:v>
      </x:c>
      <x:c r="N3860" s="0" t="s">
        <x:v>46</x:v>
      </x:c>
    </x:row>
    <x:row r="3861" spans="1:16">
      <x:c r="A3861" s="0" t="s">
        <x:v>15287</x:v>
      </x:c>
      <x:c r="B3861" s="0" t="s">
        <x:v>15288</x:v>
      </x:c>
      <x:c r="C3861" s="0" t="s">
        <x:v>15289</x:v>
      </x:c>
      <x:c r="E3861" s="0" t="s">
        <x:v>15290</x:v>
      </x:c>
      <x:c r="F3861" s="0" t="s">
        <x:v>45</x:v>
      </x:c>
      <x:c r="G3861" s="0" t="s">
        <x:v>19</x:v>
      </x:c>
      <x:c r="H3861" s="0" t="s">
        <x:v>20</x:v>
      </x:c>
      <x:c r="I3861" s="0" t="s">
        <x:v>21</x:v>
      </x:c>
      <x:c r="K3861" s="0">
        <x:f>hyperlink("https://icd.who.int/dev11/l-ichi/en#/http%3A%2F%2Fid.who.int%2Ficd%2Fentity%2F184692273","browser")</x:f>
      </x:c>
      <x:c r="L3861" s="0">
        <x:f>hyperlink("https://icat2.azurewebsites.net/icat/?ontology=ICD&amp;tab=ClassesTab&amp;id=http%3A%2F%2Fwho.int%2Ficd%2319335_512ebf36_bf6b_4d70_85da_cf2637062af4","iCat")</x:f>
      </x:c>
      <x:c r="M3861" s="0" t="s">
        <x:v>21</x:v>
      </x:c>
      <x:c r="N3861" s="0" t="s">
        <x:v>46</x:v>
      </x:c>
    </x:row>
    <x:row r="3862" spans="1:16">
      <x:c r="A3862" s="0" t="s">
        <x:v>15291</x:v>
      </x:c>
      <x:c r="B3862" s="0" t="s">
        <x:v>15292</x:v>
      </x:c>
      <x:c r="C3862" s="0" t="s">
        <x:v>15293</x:v>
      </x:c>
      <x:c r="E3862" s="0" t="s">
        <x:v>15294</x:v>
      </x:c>
      <x:c r="F3862" s="0" t="s">
        <x:v>45</x:v>
      </x:c>
      <x:c r="G3862" s="0" t="s">
        <x:v>19</x:v>
      </x:c>
      <x:c r="H3862" s="0" t="s">
        <x:v>20</x:v>
      </x:c>
      <x:c r="I3862" s="0" t="s">
        <x:v>21</x:v>
      </x:c>
      <x:c r="K3862" s="0">
        <x:f>hyperlink("https://icd.who.int/dev11/l-ichi/en#/http%3A%2F%2Fid.who.int%2Ficd%2Fentity%2F1156521526","browser")</x:f>
      </x:c>
      <x:c r="L3862" s="0">
        <x:f>hyperlink("https://icat2.azurewebsites.net/icat/?ontology=ICD&amp;tab=ClassesTab&amp;id=http%3A%2F%2Fwho.int%2Ficd%2319350_512ebf36_bf6b_4d70_85da_cf2637062af4","iCat")</x:f>
      </x:c>
      <x:c r="M3862" s="0" t="s">
        <x:v>21</x:v>
      </x:c>
      <x:c r="N3862" s="0" t="s">
        <x:v>46</x:v>
      </x:c>
    </x:row>
    <x:row r="3863" spans="1:16">
      <x:c r="A3863" s="0" t="s">
        <x:v>15295</x:v>
      </x:c>
      <x:c r="B3863" s="0" t="s">
        <x:v>15296</x:v>
      </x:c>
      <x:c r="C3863" s="0" t="s">
        <x:v>15297</x:v>
      </x:c>
      <x:c r="E3863" s="0" t="s">
        <x:v>15298</x:v>
      </x:c>
      <x:c r="F3863" s="0" t="s">
        <x:v>45</x:v>
      </x:c>
      <x:c r="G3863" s="0" t="s">
        <x:v>19</x:v>
      </x:c>
      <x:c r="H3863" s="0" t="s">
        <x:v>20</x:v>
      </x:c>
      <x:c r="I3863" s="0" t="s">
        <x:v>21</x:v>
      </x:c>
      <x:c r="K3863" s="0">
        <x:f>hyperlink("https://icd.who.int/dev11/l-ichi/en#/http%3A%2F%2Fid.who.int%2Ficd%2Fentity%2F879605177","browser")</x:f>
      </x:c>
      <x:c r="L3863" s="0">
        <x:f>hyperlink("https://icat2.azurewebsites.net/icat/?ontology=ICD&amp;tab=ClassesTab&amp;id=http%3A%2F%2Fwho.int%2Ficd%2319357_512ebf36_bf6b_4d70_85da_cf2637062af4","iCat")</x:f>
      </x:c>
      <x:c r="M3863" s="0" t="s">
        <x:v>21</x:v>
      </x:c>
      <x:c r="N3863" s="0" t="s">
        <x:v>46</x:v>
      </x:c>
    </x:row>
    <x:row r="3864" spans="1:16">
      <x:c r="A3864" s="0" t="s">
        <x:v>15299</x:v>
      </x:c>
      <x:c r="B3864" s="0" t="s">
        <x:v>15300</x:v>
      </x:c>
      <x:c r="C3864" s="0" t="s">
        <x:v>15301</x:v>
      </x:c>
      <x:c r="E3864" s="0" t="s">
        <x:v>15302</x:v>
      </x:c>
      <x:c r="F3864" s="0" t="s">
        <x:v>45</x:v>
      </x:c>
      <x:c r="G3864" s="0" t="s">
        <x:v>19</x:v>
      </x:c>
      <x:c r="H3864" s="0" t="s">
        <x:v>20</x:v>
      </x:c>
      <x:c r="I3864" s="0" t="s">
        <x:v>21</x:v>
      </x:c>
      <x:c r="K3864" s="0">
        <x:f>hyperlink("https://icd.who.int/dev11/l-ichi/en#/http%3A%2F%2Fid.who.int%2Ficd%2Fentity%2F1104884172","browser")</x:f>
      </x:c>
      <x:c r="L3864" s="0">
        <x:f>hyperlink("https://icat2.azurewebsites.net/icat/?ontology=ICD&amp;tab=ClassesTab&amp;id=http%3A%2F%2Fwho.int%2Ficd%2319363_512ebf36_bf6b_4d70_85da_cf2637062af4","iCat")</x:f>
      </x:c>
      <x:c r="M3864" s="0" t="s">
        <x:v>21</x:v>
      </x:c>
      <x:c r="N3864" s="0" t="s">
        <x:v>46</x:v>
      </x:c>
    </x:row>
    <x:row r="3865" spans="1:16">
      <x:c r="A3865" s="0" t="s">
        <x:v>15303</x:v>
      </x:c>
      <x:c r="B3865" s="0" t="s">
        <x:v>15304</x:v>
      </x:c>
      <x:c r="C3865" s="0" t="s">
        <x:v>15305</x:v>
      </x:c>
      <x:c r="E3865" s="0" t="s">
        <x:v>15306</x:v>
      </x:c>
      <x:c r="F3865" s="0" t="s">
        <x:v>45</x:v>
      </x:c>
      <x:c r="G3865" s="0" t="s">
        <x:v>19</x:v>
      </x:c>
      <x:c r="H3865" s="0" t="s">
        <x:v>20</x:v>
      </x:c>
      <x:c r="I3865" s="0" t="s">
        <x:v>21</x:v>
      </x:c>
      <x:c r="K3865" s="0">
        <x:f>hyperlink("https://icd.who.int/dev11/l-ichi/en#/http%3A%2F%2Fid.who.int%2Ficd%2Fentity%2F1054872277","browser")</x:f>
      </x:c>
      <x:c r="L3865" s="0">
        <x:f>hyperlink("https://icat2.azurewebsites.net/icat/?ontology=ICD&amp;tab=ClassesTab&amp;id=http%3A%2F%2Fwho.int%2Ficd%2319376_512ebf36_bf6b_4d70_85da_cf2637062af4","iCat")</x:f>
      </x:c>
      <x:c r="M3865" s="0" t="s">
        <x:v>21</x:v>
      </x:c>
      <x:c r="N3865" s="0" t="s">
        <x:v>46</x:v>
      </x:c>
    </x:row>
    <x:row r="3866" spans="1:16">
      <x:c r="A3866" s="0" t="s">
        <x:v>15307</x:v>
      </x:c>
      <x:c r="B3866" s="0" t="s">
        <x:v>15308</x:v>
      </x:c>
      <x:c r="C3866" s="0" t="s">
        <x:v>15309</x:v>
      </x:c>
      <x:c r="E3866" s="0" t="s">
        <x:v>15310</x:v>
      </x:c>
      <x:c r="F3866" s="0" t="s">
        <x:v>45</x:v>
      </x:c>
      <x:c r="G3866" s="0" t="s">
        <x:v>19</x:v>
      </x:c>
      <x:c r="H3866" s="0" t="s">
        <x:v>20</x:v>
      </x:c>
      <x:c r="I3866" s="0" t="s">
        <x:v>21</x:v>
      </x:c>
      <x:c r="K3866" s="0">
        <x:f>hyperlink("https://icd.who.int/dev11/l-ichi/en#/http%3A%2F%2Fid.who.int%2Ficd%2Fentity%2F788824787","browser")</x:f>
      </x:c>
      <x:c r="L3866" s="0">
        <x:f>hyperlink("https://icat2.azurewebsites.net/icat/?ontology=ICD&amp;tab=ClassesTab&amp;id=http%3A%2F%2Fwho.int%2Ficd%2319389_512ebf36_bf6b_4d70_85da_cf2637062af4","iCat")</x:f>
      </x:c>
      <x:c r="M3866" s="0" t="s">
        <x:v>21</x:v>
      </x:c>
      <x:c r="N3866" s="0" t="s">
        <x:v>46</x:v>
      </x:c>
    </x:row>
    <x:row r="3867" spans="1:16">
      <x:c r="A3867" s="0" t="s">
        <x:v>15311</x:v>
      </x:c>
      <x:c r="B3867" s="0" t="s">
        <x:v>15312</x:v>
      </x:c>
      <x:c r="C3867" s="0" t="s">
        <x:v>15313</x:v>
      </x:c>
      <x:c r="E3867" s="0" t="s">
        <x:v>15314</x:v>
      </x:c>
      <x:c r="F3867" s="0" t="s">
        <x:v>45</x:v>
      </x:c>
      <x:c r="G3867" s="0" t="s">
        <x:v>19</x:v>
      </x:c>
      <x:c r="H3867" s="0" t="s">
        <x:v>20</x:v>
      </x:c>
      <x:c r="I3867" s="0" t="s">
        <x:v>21</x:v>
      </x:c>
      <x:c r="K3867" s="0">
        <x:f>hyperlink("https://icd.who.int/dev11/l-ichi/en#/http%3A%2F%2Fid.who.int%2Ficd%2Fentity%2F2076364126","browser")</x:f>
      </x:c>
      <x:c r="L3867" s="0">
        <x:f>hyperlink("https://icat2.azurewebsites.net/icat/?ontology=ICD&amp;tab=ClassesTab&amp;id=http%3A%2F%2Fwho.int%2Ficd%2319396_512ebf36_bf6b_4d70_85da_cf2637062af4","iCat")</x:f>
      </x:c>
      <x:c r="M3867" s="0" t="s">
        <x:v>21</x:v>
      </x:c>
      <x:c r="N3867" s="0" t="s">
        <x:v>46</x:v>
      </x:c>
    </x:row>
    <x:row r="3868" spans="1:16">
      <x:c r="A3868" s="0" t="s">
        <x:v>15315</x:v>
      </x:c>
      <x:c r="B3868" s="0" t="s">
        <x:v>15316</x:v>
      </x:c>
      <x:c r="C3868" s="0" t="s">
        <x:v>15317</x:v>
      </x:c>
      <x:c r="E3868" s="0" t="s">
        <x:v>15318</x:v>
      </x:c>
      <x:c r="F3868" s="0" t="s">
        <x:v>45</x:v>
      </x:c>
      <x:c r="G3868" s="0" t="s">
        <x:v>19</x:v>
      </x:c>
      <x:c r="H3868" s="0" t="s">
        <x:v>20</x:v>
      </x:c>
      <x:c r="I3868" s="0" t="s">
        <x:v>21</x:v>
      </x:c>
      <x:c r="K3868" s="0">
        <x:f>hyperlink("https://icd.who.int/dev11/l-ichi/en#/http%3A%2F%2Fid.who.int%2Ficd%2Fentity%2F1650960803","browser")</x:f>
      </x:c>
      <x:c r="L3868" s="0">
        <x:f>hyperlink("https://icat2.azurewebsites.net/icat/?ontology=ICD&amp;tab=ClassesTab&amp;id=http%3A%2F%2Fwho.int%2Ficd%2319406_512ebf36_bf6b_4d70_85da_cf2637062af4","iCat")</x:f>
      </x:c>
      <x:c r="M3868" s="0" t="s">
        <x:v>21</x:v>
      </x:c>
      <x:c r="N3868" s="0" t="s">
        <x:v>46</x:v>
      </x:c>
    </x:row>
    <x:row r="3869" spans="1:16">
      <x:c r="A3869" s="0" t="s">
        <x:v>15319</x:v>
      </x:c>
      <x:c r="B3869" s="0" t="s">
        <x:v>15320</x:v>
      </x:c>
      <x:c r="C3869" s="0" t="s">
        <x:v>15321</x:v>
      </x:c>
      <x:c r="E3869" s="0" t="s">
        <x:v>15322</x:v>
      </x:c>
      <x:c r="F3869" s="0" t="s">
        <x:v>45</x:v>
      </x:c>
      <x:c r="G3869" s="0" t="s">
        <x:v>19</x:v>
      </x:c>
      <x:c r="H3869" s="0" t="s">
        <x:v>20</x:v>
      </x:c>
      <x:c r="I3869" s="0" t="s">
        <x:v>21</x:v>
      </x:c>
      <x:c r="K3869" s="0">
        <x:f>hyperlink("https://icd.who.int/dev11/l-ichi/en#/http%3A%2F%2Fid.who.int%2Ficd%2Fentity%2F492604094","browser")</x:f>
      </x:c>
      <x:c r="L3869" s="0">
        <x:f>hyperlink("https://icat2.azurewebsites.net/icat/?ontology=ICD&amp;tab=ClassesTab&amp;id=http%3A%2F%2Fwho.int%2Ficd%2319413_512ebf36_bf6b_4d70_85da_cf2637062af4","iCat")</x:f>
      </x:c>
      <x:c r="M3869" s="0" t="s">
        <x:v>21</x:v>
      </x:c>
      <x:c r="N3869" s="0" t="s">
        <x:v>46</x:v>
      </x:c>
    </x:row>
    <x:row r="3870" spans="1:16">
      <x:c r="A3870" s="0" t="s">
        <x:v>15323</x:v>
      </x:c>
      <x:c r="B3870" s="0" t="s">
        <x:v>15324</x:v>
      </x:c>
      <x:c r="C3870" s="0" t="s">
        <x:v>15325</x:v>
      </x:c>
      <x:c r="E3870" s="0" t="s">
        <x:v>15326</x:v>
      </x:c>
      <x:c r="F3870" s="0" t="s">
        <x:v>45</x:v>
      </x:c>
      <x:c r="G3870" s="0" t="s">
        <x:v>19</x:v>
      </x:c>
      <x:c r="H3870" s="0" t="s">
        <x:v>20</x:v>
      </x:c>
      <x:c r="I3870" s="0" t="s">
        <x:v>21</x:v>
      </x:c>
      <x:c r="K3870" s="0">
        <x:f>hyperlink("https://icd.who.int/dev11/l-ichi/en#/http%3A%2F%2Fid.who.int%2Ficd%2Fentity%2F1575865019","browser")</x:f>
      </x:c>
      <x:c r="L3870" s="0">
        <x:f>hyperlink("https://icat2.azurewebsites.net/icat/?ontology=ICD&amp;tab=ClassesTab&amp;id=http%3A%2F%2Fwho.int%2Ficd%2319423_512ebf36_bf6b_4d70_85da_cf2637062af4","iCat")</x:f>
      </x:c>
      <x:c r="M3870" s="0" t="s">
        <x:v>21</x:v>
      </x:c>
      <x:c r="N3870" s="0" t="s">
        <x:v>46</x:v>
      </x:c>
    </x:row>
    <x:row r="3871" spans="1:16">
      <x:c r="A3871" s="0" t="s">
        <x:v>15327</x:v>
      </x:c>
      <x:c r="B3871" s="0" t="s">
        <x:v>15328</x:v>
      </x:c>
      <x:c r="C3871" s="0" t="s">
        <x:v>15329</x:v>
      </x:c>
      <x:c r="E3871" s="0" t="s">
        <x:v>15330</x:v>
      </x:c>
      <x:c r="F3871" s="0" t="s">
        <x:v>45</x:v>
      </x:c>
      <x:c r="G3871" s="0" t="s">
        <x:v>19</x:v>
      </x:c>
      <x:c r="H3871" s="0" t="s">
        <x:v>20</x:v>
      </x:c>
      <x:c r="I3871" s="0" t="s">
        <x:v>21</x:v>
      </x:c>
      <x:c r="K3871" s="0">
        <x:f>hyperlink("https://icd.who.int/dev11/l-ichi/en#/http%3A%2F%2Fid.who.int%2Ficd%2Fentity%2F925392876","browser")</x:f>
      </x:c>
      <x:c r="L3871" s="0">
        <x:f>hyperlink("https://icat2.azurewebsites.net/icat/?ontology=ICD&amp;tab=ClassesTab&amp;id=http%3A%2F%2Fwho.int%2Ficd%2319433_512ebf36_bf6b_4d70_85da_cf2637062af4","iCat")</x:f>
      </x:c>
      <x:c r="M3871" s="0" t="s">
        <x:v>21</x:v>
      </x:c>
      <x:c r="N3871" s="0" t="s">
        <x:v>46</x:v>
      </x:c>
    </x:row>
    <x:row r="3872" spans="1:16">
      <x:c r="A3872" s="0" t="s">
        <x:v>15331</x:v>
      </x:c>
      <x:c r="B3872" s="0" t="s">
        <x:v>15332</x:v>
      </x:c>
      <x:c r="C3872" s="0" t="s">
        <x:v>15333</x:v>
      </x:c>
      <x:c r="E3872" s="0" t="s">
        <x:v>15334</x:v>
      </x:c>
      <x:c r="F3872" s="0" t="s">
        <x:v>45</x:v>
      </x:c>
      <x:c r="G3872" s="0" t="s">
        <x:v>19</x:v>
      </x:c>
      <x:c r="H3872" s="0" t="s">
        <x:v>20</x:v>
      </x:c>
      <x:c r="I3872" s="0" t="s">
        <x:v>21</x:v>
      </x:c>
      <x:c r="K3872" s="0">
        <x:f>hyperlink("https://icd.who.int/dev11/l-ichi/en#/http%3A%2F%2Fid.who.int%2Ficd%2Fentity%2F1115366159","browser")</x:f>
      </x:c>
      <x:c r="L3872" s="0">
        <x:f>hyperlink("https://icat2.azurewebsites.net/icat/?ontology=ICD&amp;tab=ClassesTab&amp;id=http%3A%2F%2Fwho.int%2Ficd%2319440_512ebf36_bf6b_4d70_85da_cf2637062af4","iCat")</x:f>
      </x:c>
      <x:c r="M3872" s="0" t="s">
        <x:v>21</x:v>
      </x:c>
      <x:c r="N3872" s="0" t="s">
        <x:v>46</x:v>
      </x:c>
    </x:row>
    <x:row r="3873" spans="1:16">
      <x:c r="A3873" s="0" t="s">
        <x:v>15335</x:v>
      </x:c>
      <x:c r="B3873" s="0" t="s">
        <x:v>15336</x:v>
      </x:c>
      <x:c r="C3873" s="0" t="s">
        <x:v>15337</x:v>
      </x:c>
      <x:c r="E3873" s="0" t="s">
        <x:v>15338</x:v>
      </x:c>
      <x:c r="F3873" s="0" t="s">
        <x:v>45</x:v>
      </x:c>
      <x:c r="G3873" s="0" t="s">
        <x:v>19</x:v>
      </x:c>
      <x:c r="H3873" s="0" t="s">
        <x:v>20</x:v>
      </x:c>
      <x:c r="I3873" s="0" t="s">
        <x:v>21</x:v>
      </x:c>
      <x:c r="K3873" s="0">
        <x:f>hyperlink("https://icd.who.int/dev11/l-ichi/en#/http%3A%2F%2Fid.who.int%2Ficd%2Fentity%2F855214210","browser")</x:f>
      </x:c>
      <x:c r="L3873" s="0">
        <x:f>hyperlink("https://icat2.azurewebsites.net/icat/?ontology=ICD&amp;tab=ClassesTab&amp;id=http%3A%2F%2Fwho.int%2Ficd%2319447_512ebf36_bf6b_4d70_85da_cf2637062af4","iCat")</x:f>
      </x:c>
      <x:c r="M3873" s="0" t="s">
        <x:v>21</x:v>
      </x:c>
      <x:c r="N3873" s="0" t="s">
        <x:v>46</x:v>
      </x:c>
    </x:row>
    <x:row r="3874" spans="1:16">
      <x:c r="A3874" s="0" t="s">
        <x:v>15339</x:v>
      </x:c>
      <x:c r="B3874" s="0" t="s">
        <x:v>15340</x:v>
      </x:c>
      <x:c r="C3874" s="0" t="s">
        <x:v>15341</x:v>
      </x:c>
      <x:c r="E3874" s="0" t="s">
        <x:v>15342</x:v>
      </x:c>
      <x:c r="F3874" s="0" t="s">
        <x:v>45</x:v>
      </x:c>
      <x:c r="G3874" s="0" t="s">
        <x:v>19</x:v>
      </x:c>
      <x:c r="H3874" s="0" t="s">
        <x:v>20</x:v>
      </x:c>
      <x:c r="I3874" s="0" t="s">
        <x:v>21</x:v>
      </x:c>
      <x:c r="K3874" s="0">
        <x:f>hyperlink("https://icd.who.int/dev11/l-ichi/en#/http%3A%2F%2Fid.who.int%2Ficd%2Fentity%2F498692654","browser")</x:f>
      </x:c>
      <x:c r="L3874" s="0">
        <x:f>hyperlink("https://icat2.azurewebsites.net/icat/?ontology=ICD&amp;tab=ClassesTab&amp;id=http%3A%2F%2Fwho.int%2Ficd%2319454_512ebf36_bf6b_4d70_85da_cf2637062af4","iCat")</x:f>
      </x:c>
      <x:c r="M3874" s="0" t="s">
        <x:v>21</x:v>
      </x:c>
      <x:c r="N3874" s="0" t="s">
        <x:v>46</x:v>
      </x:c>
    </x:row>
    <x:row r="3875" spans="1:16">
      <x:c r="A3875" s="0" t="s">
        <x:v>15343</x:v>
      </x:c>
      <x:c r="B3875" s="0" t="s">
        <x:v>15344</x:v>
      </x:c>
      <x:c r="C3875" s="0" t="s">
        <x:v>15345</x:v>
      </x:c>
      <x:c r="E3875" s="0" t="s">
        <x:v>15346</x:v>
      </x:c>
      <x:c r="F3875" s="0" t="s">
        <x:v>45</x:v>
      </x:c>
      <x:c r="G3875" s="0" t="s">
        <x:v>19</x:v>
      </x:c>
      <x:c r="H3875" s="0" t="s">
        <x:v>20</x:v>
      </x:c>
      <x:c r="I3875" s="0" t="s">
        <x:v>21</x:v>
      </x:c>
      <x:c r="K3875" s="0">
        <x:f>hyperlink("https://icd.who.int/dev11/l-ichi/en#/http%3A%2F%2Fid.who.int%2Ficd%2Fentity%2F1224115299","browser")</x:f>
      </x:c>
      <x:c r="L3875" s="0">
        <x:f>hyperlink("https://icat2.azurewebsites.net/icat/?ontology=ICD&amp;tab=ClassesTab&amp;id=http%3A%2F%2Fwho.int%2Ficd%2319461_512ebf36_bf6b_4d70_85da_cf2637062af4","iCat")</x:f>
      </x:c>
      <x:c r="M3875" s="0" t="s">
        <x:v>21</x:v>
      </x:c>
      <x:c r="N3875" s="0" t="s">
        <x:v>46</x:v>
      </x:c>
    </x:row>
    <x:row r="3876" spans="1:16">
      <x:c r="A3876" s="0" t="s">
        <x:v>15347</x:v>
      </x:c>
      <x:c r="B3876" s="0" t="s">
        <x:v>15348</x:v>
      </x:c>
      <x:c r="C3876" s="0" t="s">
        <x:v>15349</x:v>
      </x:c>
      <x:c r="E3876" s="0" t="s">
        <x:v>15350</x:v>
      </x:c>
      <x:c r="F3876" s="0" t="s">
        <x:v>45</x:v>
      </x:c>
      <x:c r="G3876" s="0" t="s">
        <x:v>19</x:v>
      </x:c>
      <x:c r="H3876" s="0" t="s">
        <x:v>20</x:v>
      </x:c>
      <x:c r="I3876" s="0" t="s">
        <x:v>21</x:v>
      </x:c>
      <x:c r="K3876" s="0">
        <x:f>hyperlink("https://icd.who.int/dev11/l-ichi/en#/http%3A%2F%2Fid.who.int%2Ficd%2Fentity%2F108524854","browser")</x:f>
      </x:c>
      <x:c r="L3876" s="0">
        <x:f>hyperlink("https://icat2.azurewebsites.net/icat/?ontology=ICD&amp;tab=ClassesTab&amp;id=http%3A%2F%2Fwho.int%2Ficd%2319469_512ebf36_bf6b_4d70_85da_cf2637062af4","iCat")</x:f>
      </x:c>
      <x:c r="M3876" s="0" t="s">
        <x:v>21</x:v>
      </x:c>
      <x:c r="N3876" s="0" t="s">
        <x:v>46</x:v>
      </x:c>
    </x:row>
    <x:row r="3877" spans="1:16">
      <x:c r="A3877" s="0" t="s">
        <x:v>15351</x:v>
      </x:c>
      <x:c r="B3877" s="0" t="s">
        <x:v>15352</x:v>
      </x:c>
      <x:c r="C3877" s="0" t="s">
        <x:v>15353</x:v>
      </x:c>
      <x:c r="E3877" s="0" t="s">
        <x:v>15354</x:v>
      </x:c>
      <x:c r="F3877" s="0" t="s">
        <x:v>45</x:v>
      </x:c>
      <x:c r="G3877" s="0" t="s">
        <x:v>19</x:v>
      </x:c>
      <x:c r="H3877" s="0" t="s">
        <x:v>20</x:v>
      </x:c>
      <x:c r="I3877" s="0" t="s">
        <x:v>21</x:v>
      </x:c>
      <x:c r="K3877" s="0">
        <x:f>hyperlink("https://icd.who.int/dev11/l-ichi/en#/http%3A%2F%2Fid.who.int%2Ficd%2Fentity%2F1213281299","browser")</x:f>
      </x:c>
      <x:c r="L3877" s="0">
        <x:f>hyperlink("https://icat2.azurewebsites.net/icat/?ontology=ICD&amp;tab=ClassesTab&amp;id=http%3A%2F%2Fwho.int%2Ficd%2319482_512ebf36_bf6b_4d70_85da_cf2637062af4","iCat")</x:f>
      </x:c>
      <x:c r="M3877" s="0" t="s">
        <x:v>21</x:v>
      </x:c>
      <x:c r="N3877" s="0" t="s">
        <x:v>46</x:v>
      </x:c>
    </x:row>
    <x:row r="3878" spans="1:16">
      <x:c r="A3878" s="0" t="s">
        <x:v>15355</x:v>
      </x:c>
      <x:c r="B3878" s="0" t="s">
        <x:v>15356</x:v>
      </x:c>
      <x:c r="C3878" s="0" t="s">
        <x:v>15357</x:v>
      </x:c>
      <x:c r="E3878" s="0" t="s">
        <x:v>15358</x:v>
      </x:c>
      <x:c r="F3878" s="0" t="s">
        <x:v>45</x:v>
      </x:c>
      <x:c r="G3878" s="0" t="s">
        <x:v>19</x:v>
      </x:c>
      <x:c r="H3878" s="0" t="s">
        <x:v>20</x:v>
      </x:c>
      <x:c r="I3878" s="0" t="s">
        <x:v>21</x:v>
      </x:c>
      <x:c r="K3878" s="0">
        <x:f>hyperlink("https://icd.who.int/dev11/l-ichi/en#/http%3A%2F%2Fid.who.int%2Ficd%2Fentity%2F1377176265","browser")</x:f>
      </x:c>
      <x:c r="L3878" s="0">
        <x:f>hyperlink("https://icat2.azurewebsites.net/icat/?ontology=ICD&amp;tab=ClassesTab&amp;id=http%3A%2F%2Fwho.int%2Ficd%2319495_512ebf36_bf6b_4d70_85da_cf2637062af4","iCat")</x:f>
      </x:c>
      <x:c r="M3878" s="0" t="s">
        <x:v>21</x:v>
      </x:c>
      <x:c r="N3878" s="0" t="s">
        <x:v>46</x:v>
      </x:c>
    </x:row>
    <x:row r="3879" spans="1:16">
      <x:c r="A3879" s="0" t="s">
        <x:v>15359</x:v>
      </x:c>
      <x:c r="B3879" s="0" t="s">
        <x:v>15360</x:v>
      </x:c>
      <x:c r="C3879" s="0" t="s">
        <x:v>15361</x:v>
      </x:c>
      <x:c r="E3879" s="0" t="s">
        <x:v>15362</x:v>
      </x:c>
      <x:c r="F3879" s="0" t="s">
        <x:v>45</x:v>
      </x:c>
      <x:c r="G3879" s="0" t="s">
        <x:v>19</x:v>
      </x:c>
      <x:c r="H3879" s="0" t="s">
        <x:v>20</x:v>
      </x:c>
      <x:c r="I3879" s="0" t="s">
        <x:v>21</x:v>
      </x:c>
      <x:c r="K3879" s="0">
        <x:f>hyperlink("https://icd.who.int/dev11/l-ichi/en#/http%3A%2F%2Fid.who.int%2Ficd%2Fentity%2F1383923911","browser")</x:f>
      </x:c>
      <x:c r="L3879" s="0">
        <x:f>hyperlink("https://icat2.azurewebsites.net/icat/?ontology=ICD&amp;tab=ClassesTab&amp;id=http%3A%2F%2Fwho.int%2Ficd%2319505_512ebf36_bf6b_4d70_85da_cf2637062af4","iCat")</x:f>
      </x:c>
      <x:c r="M3879" s="0" t="s">
        <x:v>21</x:v>
      </x:c>
      <x:c r="N3879" s="0" t="s">
        <x:v>46</x:v>
      </x:c>
    </x:row>
    <x:row r="3880" spans="1:16">
      <x:c r="A3880" s="0" t="s">
        <x:v>15363</x:v>
      </x:c>
      <x:c r="B3880" s="0" t="s">
        <x:v>15364</x:v>
      </x:c>
      <x:c r="C3880" s="0" t="s">
        <x:v>15365</x:v>
      </x:c>
      <x:c r="E3880" s="0" t="s">
        <x:v>15366</x:v>
      </x:c>
      <x:c r="F3880" s="0" t="s">
        <x:v>45</x:v>
      </x:c>
      <x:c r="G3880" s="0" t="s">
        <x:v>19</x:v>
      </x:c>
      <x:c r="H3880" s="0" t="s">
        <x:v>20</x:v>
      </x:c>
      <x:c r="I3880" s="0" t="s">
        <x:v>21</x:v>
      </x:c>
      <x:c r="K3880" s="0">
        <x:f>hyperlink("https://icd.who.int/dev11/l-ichi/en#/http%3A%2F%2Fid.who.int%2Ficd%2Fentity%2F406972334","browser")</x:f>
      </x:c>
      <x:c r="L3880" s="0">
        <x:f>hyperlink("https://icat2.azurewebsites.net/icat/?ontology=ICD&amp;tab=ClassesTab&amp;id=http%3A%2F%2Fwho.int%2Ficd%2319514_512ebf36_bf6b_4d70_85da_cf2637062af4","iCat")</x:f>
      </x:c>
      <x:c r="M3880" s="0" t="s">
        <x:v>21</x:v>
      </x:c>
      <x:c r="N3880" s="0" t="s">
        <x:v>46</x:v>
      </x:c>
    </x:row>
    <x:row r="3881" spans="1:16">
      <x:c r="A3881" s="0" t="s">
        <x:v>15367</x:v>
      </x:c>
      <x:c r="B3881" s="0" t="s">
        <x:v>15368</x:v>
      </x:c>
      <x:c r="C3881" s="0" t="s">
        <x:v>15369</x:v>
      </x:c>
      <x:c r="E3881" s="0" t="s">
        <x:v>15370</x:v>
      </x:c>
      <x:c r="F3881" s="0" t="s">
        <x:v>45</x:v>
      </x:c>
      <x:c r="G3881" s="0" t="s">
        <x:v>19</x:v>
      </x:c>
      <x:c r="H3881" s="0" t="s">
        <x:v>20</x:v>
      </x:c>
      <x:c r="I3881" s="0" t="s">
        <x:v>21</x:v>
      </x:c>
      <x:c r="K3881" s="0">
        <x:f>hyperlink("https://icd.who.int/dev11/l-ichi/en#/http%3A%2F%2Fid.who.int%2Ficd%2Fentity%2F143359516","browser")</x:f>
      </x:c>
      <x:c r="L3881" s="0">
        <x:f>hyperlink("https://icat2.azurewebsites.net/icat/?ontology=ICD&amp;tab=ClassesTab&amp;id=http%3A%2F%2Fwho.int%2Ficd%2319522_512ebf36_bf6b_4d70_85da_cf2637062af4","iCat")</x:f>
      </x:c>
      <x:c r="M3881" s="0" t="s">
        <x:v>21</x:v>
      </x:c>
      <x:c r="N3881" s="0" t="s">
        <x:v>46</x:v>
      </x:c>
    </x:row>
    <x:row r="3882" spans="1:16">
      <x:c r="A3882" s="0" t="s">
        <x:v>15371</x:v>
      </x:c>
      <x:c r="B3882" s="0" t="s">
        <x:v>15372</x:v>
      </x:c>
      <x:c r="C3882" s="0" t="s">
        <x:v>15373</x:v>
      </x:c>
      <x:c r="E3882" s="0" t="s">
        <x:v>15374</x:v>
      </x:c>
      <x:c r="F3882" s="0" t="s">
        <x:v>45</x:v>
      </x:c>
      <x:c r="G3882" s="0" t="s">
        <x:v>19</x:v>
      </x:c>
      <x:c r="H3882" s="0" t="s">
        <x:v>20</x:v>
      </x:c>
      <x:c r="I3882" s="0" t="s">
        <x:v>21</x:v>
      </x:c>
      <x:c r="K3882" s="0">
        <x:f>hyperlink("https://icd.who.int/dev11/l-ichi/en#/http%3A%2F%2Fid.who.int%2Ficd%2Fentity%2F59728054","browser")</x:f>
      </x:c>
      <x:c r="L3882" s="0">
        <x:f>hyperlink("https://icat2.azurewebsites.net/icat/?ontology=ICD&amp;tab=ClassesTab&amp;id=http%3A%2F%2Fwho.int%2Ficd%2319529_512ebf36_bf6b_4d70_85da_cf2637062af4","iCat")</x:f>
      </x:c>
      <x:c r="M3882" s="0" t="s">
        <x:v>21</x:v>
      </x:c>
      <x:c r="N3882" s="0" t="s">
        <x:v>46</x:v>
      </x:c>
    </x:row>
    <x:row r="3883" spans="1:16">
      <x:c r="A3883" s="0" t="s">
        <x:v>15375</x:v>
      </x:c>
      <x:c r="B3883" s="0" t="s">
        <x:v>15376</x:v>
      </x:c>
      <x:c r="C3883" s="0" t="s">
        <x:v>15377</x:v>
      </x:c>
      <x:c r="E3883" s="0" t="s">
        <x:v>15378</x:v>
      </x:c>
      <x:c r="F3883" s="0" t="s">
        <x:v>45</x:v>
      </x:c>
      <x:c r="G3883" s="0" t="s">
        <x:v>19</x:v>
      </x:c>
      <x:c r="H3883" s="0" t="s">
        <x:v>20</x:v>
      </x:c>
      <x:c r="I3883" s="0" t="s">
        <x:v>21</x:v>
      </x:c>
      <x:c r="K3883" s="0">
        <x:f>hyperlink("https://icd.who.int/dev11/l-ichi/en#/http%3A%2F%2Fid.who.int%2Ficd%2Fentity%2F1464414009","browser")</x:f>
      </x:c>
      <x:c r="L3883" s="0">
        <x:f>hyperlink("https://icat2.azurewebsites.net/icat/?ontology=ICD&amp;tab=ClassesTab&amp;id=http%3A%2F%2Fwho.int%2Ficd%2319536_512ebf36_bf6b_4d70_85da_cf2637062af4","iCat")</x:f>
      </x:c>
      <x:c r="M3883" s="0" t="s">
        <x:v>21</x:v>
      </x:c>
      <x:c r="N3883" s="0" t="s">
        <x:v>46</x:v>
      </x:c>
    </x:row>
    <x:row r="3884" spans="1:16">
      <x:c r="A3884" s="0" t="s">
        <x:v>15379</x:v>
      </x:c>
      <x:c r="B3884" s="0" t="s">
        <x:v>15380</x:v>
      </x:c>
      <x:c r="D3884" s="0" t="s">
        <x:v>15381</x:v>
      </x:c>
      <x:c r="E3884" s="0" t="s">
        <x:v>15382</x:v>
      </x:c>
      <x:c r="F3884" s="0" t="s">
        <x:v>26</x:v>
      </x:c>
      <x:c r="G3884" s="0" t="s">
        <x:v>22</x:v>
      </x:c>
      <x:c r="H3884" s="0" t="s">
        <x:v>20</x:v>
      </x:c>
      <x:c r="I3884" s="0" t="s">
        <x:v>21</x:v>
      </x:c>
      <x:c r="K3884" s="0">
        <x:f>hyperlink("https://icd.who.int/dev11/l-ichi/en#/http%3A%2F%2Fid.who.int%2Ficd%2Fentity%2F1918995051","browser")</x:f>
      </x:c>
      <x:c r="L3884" s="0">
        <x:f>hyperlink("https://icat2.azurewebsites.net/icat/?ontology=ICD&amp;tab=ClassesTab&amp;id=http%3A%2F%2Fwho.int%2Ficd%2319543_512ebf36_bf6b_4d70_85da_cf2637062af4","iCat")</x:f>
      </x:c>
      <x:c r="M3884" s="0" t="s">
        <x:v>20</x:v>
      </x:c>
      <x:c r="N3884" s="0" t="s">
        <x:v>15383</x:v>
      </x:c>
    </x:row>
    <x:row r="3885" spans="1:16">
      <x:c r="A3885" s="0" t="s">
        <x:v>15384</x:v>
      </x:c>
      <x:c r="B3885" s="0" t="s">
        <x:v>15385</x:v>
      </x:c>
      <x:c r="C3885" s="0" t="s">
        <x:v>15386</x:v>
      </x:c>
      <x:c r="E3885" s="0" t="s">
        <x:v>15387</x:v>
      </x:c>
      <x:c r="F3885" s="0" t="s">
        <x:v>45</x:v>
      </x:c>
      <x:c r="G3885" s="0" t="s">
        <x:v>19</x:v>
      </x:c>
      <x:c r="H3885" s="0" t="s">
        <x:v>20</x:v>
      </x:c>
      <x:c r="I3885" s="0" t="s">
        <x:v>21</x:v>
      </x:c>
      <x:c r="K3885" s="0">
        <x:f>hyperlink("https://icd.who.int/dev11/l-ichi/en#/http%3A%2F%2Fid.who.int%2Ficd%2Fentity%2F1385756759","browser")</x:f>
      </x:c>
      <x:c r="L3885" s="0">
        <x:f>hyperlink("https://icat2.azurewebsites.net/icat/?ontology=ICD&amp;tab=ClassesTab&amp;id=http%3A%2F%2Fwho.int%2Ficd%2319542_512ebf36_bf6b_4d70_85da_cf2637062af4","iCat")</x:f>
      </x:c>
      <x:c r="M3885" s="0" t="s">
        <x:v>21</x:v>
      </x:c>
      <x:c r="N3885" s="0" t="s">
        <x:v>46</x:v>
      </x:c>
    </x:row>
    <x:row r="3886" spans="1:16">
      <x:c r="A3886" s="0" t="s">
        <x:v>15388</x:v>
      </x:c>
      <x:c r="B3886" s="0" t="s">
        <x:v>15389</x:v>
      </x:c>
      <x:c r="C3886" s="0" t="s">
        <x:v>15390</x:v>
      </x:c>
      <x:c r="E3886" s="0" t="s">
        <x:v>15391</x:v>
      </x:c>
      <x:c r="F3886" s="0" t="s">
        <x:v>45</x:v>
      </x:c>
      <x:c r="G3886" s="0" t="s">
        <x:v>19</x:v>
      </x:c>
      <x:c r="H3886" s="0" t="s">
        <x:v>20</x:v>
      </x:c>
      <x:c r="I3886" s="0" t="s">
        <x:v>21</x:v>
      </x:c>
      <x:c r="K3886" s="0">
        <x:f>hyperlink("https://icd.who.int/dev11/l-ichi/en#/http%3A%2F%2Fid.who.int%2Ficd%2Fentity%2F329253264","browser")</x:f>
      </x:c>
      <x:c r="L3886" s="0">
        <x:f>hyperlink("https://icat2.azurewebsites.net/icat/?ontology=ICD&amp;tab=ClassesTab&amp;id=http%3A%2F%2Fwho.int%2Ficd%2319558_512ebf36_bf6b_4d70_85da_cf2637062af4","iCat")</x:f>
      </x:c>
      <x:c r="M3886" s="0" t="s">
        <x:v>21</x:v>
      </x:c>
      <x:c r="N3886" s="0" t="s">
        <x:v>46</x:v>
      </x:c>
    </x:row>
    <x:row r="3887" spans="1:16">
      <x:c r="A3887" s="0" t="s">
        <x:v>15392</x:v>
      </x:c>
      <x:c r="B3887" s="0" t="s">
        <x:v>15393</x:v>
      </x:c>
      <x:c r="C3887" s="0" t="s">
        <x:v>15394</x:v>
      </x:c>
      <x:c r="E3887" s="0" t="s">
        <x:v>15395</x:v>
      </x:c>
      <x:c r="F3887" s="0" t="s">
        <x:v>45</x:v>
      </x:c>
      <x:c r="G3887" s="0" t="s">
        <x:v>19</x:v>
      </x:c>
      <x:c r="H3887" s="0" t="s">
        <x:v>20</x:v>
      </x:c>
      <x:c r="I3887" s="0" t="s">
        <x:v>21</x:v>
      </x:c>
      <x:c r="K3887" s="0">
        <x:f>hyperlink("https://icd.who.int/dev11/l-ichi/en#/http%3A%2F%2Fid.who.int%2Ficd%2Fentity%2F1307306355","browser")</x:f>
      </x:c>
      <x:c r="L3887" s="0">
        <x:f>hyperlink("https://icat2.azurewebsites.net/icat/?ontology=ICD&amp;tab=ClassesTab&amp;id=http%3A%2F%2Fwho.int%2Ficd%2319566_512ebf36_bf6b_4d70_85da_cf2637062af4","iCat")</x:f>
      </x:c>
      <x:c r="M3887" s="0" t="s">
        <x:v>21</x:v>
      </x:c>
      <x:c r="N3887" s="0" t="s">
        <x:v>46</x:v>
      </x:c>
    </x:row>
    <x:row r="3888" spans="1:16">
      <x:c r="A3888" s="0" t="s">
        <x:v>15396</x:v>
      </x:c>
      <x:c r="B3888" s="0" t="s">
        <x:v>15397</x:v>
      </x:c>
      <x:c r="C3888" s="0" t="s">
        <x:v>15398</x:v>
      </x:c>
      <x:c r="E3888" s="0" t="s">
        <x:v>15399</x:v>
      </x:c>
      <x:c r="F3888" s="0" t="s">
        <x:v>45</x:v>
      </x:c>
      <x:c r="G3888" s="0" t="s">
        <x:v>19</x:v>
      </x:c>
      <x:c r="H3888" s="0" t="s">
        <x:v>20</x:v>
      </x:c>
      <x:c r="I3888" s="0" t="s">
        <x:v>21</x:v>
      </x:c>
      <x:c r="K3888" s="0">
        <x:f>hyperlink("https://icd.who.int/dev11/l-ichi/en#/http%3A%2F%2Fid.who.int%2Ficd%2Fentity%2F657357860","browser")</x:f>
      </x:c>
      <x:c r="L3888" s="0">
        <x:f>hyperlink("https://icat2.azurewebsites.net/icat/?ontology=ICD&amp;tab=ClassesTab&amp;id=http%3A%2F%2Fwho.int%2Ficd%2319576_512ebf36_bf6b_4d70_85da_cf2637062af4","iCat")</x:f>
      </x:c>
      <x:c r="M3888" s="0" t="s">
        <x:v>21</x:v>
      </x:c>
      <x:c r="N3888" s="0" t="s">
        <x:v>46</x:v>
      </x:c>
    </x:row>
    <x:row r="3889" spans="1:16">
      <x:c r="A3889" s="0" t="s">
        <x:v>15400</x:v>
      </x:c>
      <x:c r="B3889" s="0" t="s">
        <x:v>15401</x:v>
      </x:c>
      <x:c r="C3889" s="0" t="s">
        <x:v>15402</x:v>
      </x:c>
      <x:c r="E3889" s="0" t="s">
        <x:v>15403</x:v>
      </x:c>
      <x:c r="F3889" s="0" t="s">
        <x:v>45</x:v>
      </x:c>
      <x:c r="G3889" s="0" t="s">
        <x:v>19</x:v>
      </x:c>
      <x:c r="H3889" s="0" t="s">
        <x:v>20</x:v>
      </x:c>
      <x:c r="I3889" s="0" t="s">
        <x:v>21</x:v>
      </x:c>
      <x:c r="K3889" s="0">
        <x:f>hyperlink("https://icd.who.int/dev11/l-ichi/en#/http%3A%2F%2Fid.who.int%2Ficd%2Fentity%2F445397213","browser")</x:f>
      </x:c>
      <x:c r="L3889" s="0">
        <x:f>hyperlink("https://icat2.azurewebsites.net/icat/?ontology=ICD&amp;tab=ClassesTab&amp;id=http%3A%2F%2Fwho.int%2Ficd%2338090_512ebf36_bf6b_4d70_85da_cf2637062af4","iCat")</x:f>
      </x:c>
      <x:c r="M3889" s="0" t="s">
        <x:v>21</x:v>
      </x:c>
      <x:c r="N3889" s="0" t="s">
        <x:v>46</x:v>
      </x:c>
    </x:row>
    <x:row r="3890" spans="1:16">
      <x:c r="A3890" s="0" t="s">
        <x:v>15404</x:v>
      </x:c>
      <x:c r="B3890" s="0" t="s">
        <x:v>15405</x:v>
      </x:c>
      <x:c r="C3890" s="0" t="s">
        <x:v>15406</x:v>
      </x:c>
      <x:c r="E3890" s="0" t="s">
        <x:v>15407</x:v>
      </x:c>
      <x:c r="F3890" s="0" t="s">
        <x:v>45</x:v>
      </x:c>
      <x:c r="G3890" s="0" t="s">
        <x:v>19</x:v>
      </x:c>
      <x:c r="H3890" s="0" t="s">
        <x:v>20</x:v>
      </x:c>
      <x:c r="I3890" s="0" t="s">
        <x:v>21</x:v>
      </x:c>
      <x:c r="K3890" s="0">
        <x:f>hyperlink("https://icd.who.int/dev11/l-ichi/en#/http%3A%2F%2Fid.who.int%2Ficd%2Fentity%2F147404538","browser")</x:f>
      </x:c>
      <x:c r="L3890" s="0">
        <x:f>hyperlink("https://icat2.azurewebsites.net/icat/?ontology=ICD&amp;tab=ClassesTab&amp;id=http%3A%2F%2Fwho.int%2Ficd%2319586_512ebf36_bf6b_4d70_85da_cf2637062af4","iCat")</x:f>
      </x:c>
      <x:c r="M3890" s="0" t="s">
        <x:v>21</x:v>
      </x:c>
      <x:c r="N3890" s="0" t="s">
        <x:v>46</x:v>
      </x:c>
    </x:row>
    <x:row r="3891" spans="1:16">
      <x:c r="A3891" s="0" t="s">
        <x:v>15408</x:v>
      </x:c>
      <x:c r="B3891" s="0" t="s">
        <x:v>15409</x:v>
      </x:c>
      <x:c r="C3891" s="0" t="s">
        <x:v>15410</x:v>
      </x:c>
      <x:c r="E3891" s="0" t="s">
        <x:v>15411</x:v>
      </x:c>
      <x:c r="F3891" s="0" t="s">
        <x:v>45</x:v>
      </x:c>
      <x:c r="G3891" s="0" t="s">
        <x:v>19</x:v>
      </x:c>
      <x:c r="H3891" s="0" t="s">
        <x:v>20</x:v>
      </x:c>
      <x:c r="I3891" s="0" t="s">
        <x:v>21</x:v>
      </x:c>
      <x:c r="K3891" s="0">
        <x:f>hyperlink("https://icd.who.int/dev11/l-ichi/en#/http%3A%2F%2Fid.who.int%2Ficd%2Fentity%2F2012354021","browser")</x:f>
      </x:c>
      <x:c r="L3891" s="0">
        <x:f>hyperlink("https://icat2.azurewebsites.net/icat/?ontology=ICD&amp;tab=ClassesTab&amp;id=http%3A%2F%2Fwho.int%2Ficd%2319593_512ebf36_bf6b_4d70_85da_cf2637062af4","iCat")</x:f>
      </x:c>
      <x:c r="M3891" s="0" t="s">
        <x:v>21</x:v>
      </x:c>
      <x:c r="N3891" s="0" t="s">
        <x:v>46</x:v>
      </x:c>
    </x:row>
    <x:row r="3892" spans="1:16">
      <x:c r="A3892" s="0" t="s">
        <x:v>15412</x:v>
      </x:c>
      <x:c r="B3892" s="0" t="s">
        <x:v>15413</x:v>
      </x:c>
      <x:c r="C3892" s="0" t="s">
        <x:v>15414</x:v>
      </x:c>
      <x:c r="E3892" s="0" t="s">
        <x:v>15415</x:v>
      </x:c>
      <x:c r="F3892" s="0" t="s">
        <x:v>45</x:v>
      </x:c>
      <x:c r="G3892" s="0" t="s">
        <x:v>19</x:v>
      </x:c>
      <x:c r="H3892" s="0" t="s">
        <x:v>20</x:v>
      </x:c>
      <x:c r="I3892" s="0" t="s">
        <x:v>21</x:v>
      </x:c>
      <x:c r="K3892" s="0">
        <x:f>hyperlink("https://icd.who.int/dev11/l-ichi/en#/http%3A%2F%2Fid.who.int%2Ficd%2Fentity%2F1134567187","browser")</x:f>
      </x:c>
      <x:c r="L3892" s="0">
        <x:f>hyperlink("https://icat2.azurewebsites.net/icat/?ontology=ICD&amp;tab=ClassesTab&amp;id=http%3A%2F%2Fwho.int%2Ficd%2319602_512ebf36_bf6b_4d70_85da_cf2637062af4","iCat")</x:f>
      </x:c>
      <x:c r="M3892" s="0" t="s">
        <x:v>21</x:v>
      </x:c>
      <x:c r="N3892" s="0" t="s">
        <x:v>46</x:v>
      </x:c>
    </x:row>
    <x:row r="3893" spans="1:16">
      <x:c r="A3893" s="0" t="s">
        <x:v>15416</x:v>
      </x:c>
      <x:c r="B3893" s="0" t="s">
        <x:v>15417</x:v>
      </x:c>
      <x:c r="C3893" s="0" t="s">
        <x:v>15418</x:v>
      </x:c>
      <x:c r="E3893" s="0" t="s">
        <x:v>15419</x:v>
      </x:c>
      <x:c r="F3893" s="0" t="s">
        <x:v>45</x:v>
      </x:c>
      <x:c r="G3893" s="0" t="s">
        <x:v>19</x:v>
      </x:c>
      <x:c r="H3893" s="0" t="s">
        <x:v>20</x:v>
      </x:c>
      <x:c r="I3893" s="0" t="s">
        <x:v>21</x:v>
      </x:c>
      <x:c r="K3893" s="0">
        <x:f>hyperlink("https://icd.who.int/dev11/l-ichi/en#/http%3A%2F%2Fid.who.int%2Ficd%2Fentity%2F1218707903","browser")</x:f>
      </x:c>
      <x:c r="L3893" s="0">
        <x:f>hyperlink("https://icat2.azurewebsites.net/icat/?ontology=ICD&amp;tab=ClassesTab&amp;id=http%3A%2F%2Fwho.int%2Ficd%2319609_512ebf36_bf6b_4d70_85da_cf2637062af4","iCat")</x:f>
      </x:c>
      <x:c r="M3893" s="0" t="s">
        <x:v>21</x:v>
      </x:c>
      <x:c r="N3893" s="0" t="s">
        <x:v>46</x:v>
      </x:c>
    </x:row>
    <x:row r="3894" spans="1:16">
      <x:c r="A3894" s="0" t="s">
        <x:v>15420</x:v>
      </x:c>
      <x:c r="B3894" s="0" t="s">
        <x:v>15421</x:v>
      </x:c>
      <x:c r="C3894" s="0" t="s">
        <x:v>15422</x:v>
      </x:c>
      <x:c r="E3894" s="0" t="s">
        <x:v>15423</x:v>
      </x:c>
      <x:c r="F3894" s="0" t="s">
        <x:v>45</x:v>
      </x:c>
      <x:c r="G3894" s="0" t="s">
        <x:v>19</x:v>
      </x:c>
      <x:c r="H3894" s="0" t="s">
        <x:v>20</x:v>
      </x:c>
      <x:c r="I3894" s="0" t="s">
        <x:v>21</x:v>
      </x:c>
      <x:c r="K3894" s="0">
        <x:f>hyperlink("https://icd.who.int/dev11/l-ichi/en#/http%3A%2F%2Fid.who.int%2Ficd%2Fentity%2F476204592","browser")</x:f>
      </x:c>
      <x:c r="L3894" s="0">
        <x:f>hyperlink("https://icat2.azurewebsites.net/icat/?ontology=ICD&amp;tab=ClassesTab&amp;id=http%3A%2F%2Fwho.int%2Ficd%2319616_512ebf36_bf6b_4d70_85da_cf2637062af4","iCat")</x:f>
      </x:c>
      <x:c r="M3894" s="0" t="s">
        <x:v>21</x:v>
      </x:c>
      <x:c r="N3894" s="0" t="s">
        <x:v>46</x:v>
      </x:c>
    </x:row>
    <x:row r="3895" spans="1:16">
      <x:c r="A3895" s="0" t="s">
        <x:v>15424</x:v>
      </x:c>
      <x:c r="B3895" s="0" t="s">
        <x:v>15425</x:v>
      </x:c>
      <x:c r="C3895" s="0" t="s">
        <x:v>15426</x:v>
      </x:c>
      <x:c r="E3895" s="0" t="s">
        <x:v>15427</x:v>
      </x:c>
      <x:c r="F3895" s="0" t="s">
        <x:v>45</x:v>
      </x:c>
      <x:c r="G3895" s="0" t="s">
        <x:v>19</x:v>
      </x:c>
      <x:c r="H3895" s="0" t="s">
        <x:v>20</x:v>
      </x:c>
      <x:c r="I3895" s="0" t="s">
        <x:v>21</x:v>
      </x:c>
      <x:c r="K3895" s="0">
        <x:f>hyperlink("https://icd.who.int/dev11/l-ichi/en#/http%3A%2F%2Fid.who.int%2Ficd%2Fentity%2F1227733119","browser")</x:f>
      </x:c>
      <x:c r="L3895" s="0">
        <x:f>hyperlink("https://icat2.azurewebsites.net/icat/?ontology=ICD&amp;tab=ClassesTab&amp;id=http%3A%2F%2Fwho.int%2Ficd%2319623_512ebf36_bf6b_4d70_85da_cf2637062af4","iCat")</x:f>
      </x:c>
      <x:c r="M3895" s="0" t="s">
        <x:v>21</x:v>
      </x:c>
      <x:c r="N3895" s="0" t="s">
        <x:v>46</x:v>
      </x:c>
    </x:row>
    <x:row r="3896" spans="1:16">
      <x:c r="A3896" s="0" t="s">
        <x:v>15428</x:v>
      </x:c>
      <x:c r="B3896" s="0" t="s">
        <x:v>15429</x:v>
      </x:c>
      <x:c r="C3896" s="0" t="s">
        <x:v>15430</x:v>
      </x:c>
      <x:c r="E3896" s="0" t="s">
        <x:v>15431</x:v>
      </x:c>
      <x:c r="F3896" s="0" t="s">
        <x:v>45</x:v>
      </x:c>
      <x:c r="G3896" s="0" t="s">
        <x:v>19</x:v>
      </x:c>
      <x:c r="H3896" s="0" t="s">
        <x:v>20</x:v>
      </x:c>
      <x:c r="I3896" s="0" t="s">
        <x:v>21</x:v>
      </x:c>
      <x:c r="K3896" s="0">
        <x:f>hyperlink("https://icd.who.int/dev11/l-ichi/en#/http%3A%2F%2Fid.who.int%2Ficd%2Fentity%2F1718436561","browser")</x:f>
      </x:c>
      <x:c r="L3896" s="0">
        <x:f>hyperlink("https://icat2.azurewebsites.net/icat/?ontology=ICD&amp;tab=ClassesTab&amp;id=http%3A%2F%2Fwho.int%2Ficd%2319630_512ebf36_bf6b_4d70_85da_cf2637062af4","iCat")</x:f>
      </x:c>
      <x:c r="M3896" s="0" t="s">
        <x:v>21</x:v>
      </x:c>
      <x:c r="N3896" s="0" t="s">
        <x:v>46</x:v>
      </x:c>
    </x:row>
    <x:row r="3897" spans="1:16">
      <x:c r="A3897" s="0" t="s">
        <x:v>15432</x:v>
      </x:c>
      <x:c r="B3897" s="0" t="s">
        <x:v>15433</x:v>
      </x:c>
      <x:c r="C3897" s="0" t="s">
        <x:v>15434</x:v>
      </x:c>
      <x:c r="E3897" s="0" t="s">
        <x:v>15435</x:v>
      </x:c>
      <x:c r="F3897" s="0" t="s">
        <x:v>45</x:v>
      </x:c>
      <x:c r="G3897" s="0" t="s">
        <x:v>19</x:v>
      </x:c>
      <x:c r="H3897" s="0" t="s">
        <x:v>20</x:v>
      </x:c>
      <x:c r="I3897" s="0" t="s">
        <x:v>21</x:v>
      </x:c>
      <x:c r="K3897" s="0">
        <x:f>hyperlink("https://icd.who.int/dev11/l-ichi/en#/http%3A%2F%2Fid.who.int%2Ficd%2Fentity%2F384821596","browser")</x:f>
      </x:c>
      <x:c r="L3897" s="0">
        <x:f>hyperlink("https://icat2.azurewebsites.net/icat/?ontology=ICD&amp;tab=ClassesTab&amp;id=http%3A%2F%2Fwho.int%2Ficd%2319637_512ebf36_bf6b_4d70_85da_cf2637062af4","iCat")</x:f>
      </x:c>
      <x:c r="M3897" s="0" t="s">
        <x:v>21</x:v>
      </x:c>
      <x:c r="N3897" s="0" t="s">
        <x:v>46</x:v>
      </x:c>
    </x:row>
    <x:row r="3898" spans="1:16">
      <x:c r="A3898" s="0" t="s">
        <x:v>15436</x:v>
      </x:c>
      <x:c r="B3898" s="0" t="s">
        <x:v>15437</x:v>
      </x:c>
      <x:c r="C3898" s="0" t="s">
        <x:v>15438</x:v>
      </x:c>
      <x:c r="E3898" s="0" t="s">
        <x:v>15439</x:v>
      </x:c>
      <x:c r="F3898" s="0" t="s">
        <x:v>45</x:v>
      </x:c>
      <x:c r="G3898" s="0" t="s">
        <x:v>19</x:v>
      </x:c>
      <x:c r="H3898" s="0" t="s">
        <x:v>20</x:v>
      </x:c>
      <x:c r="I3898" s="0" t="s">
        <x:v>21</x:v>
      </x:c>
      <x:c r="K3898" s="0">
        <x:f>hyperlink("https://icd.who.int/dev11/l-ichi/en#/http%3A%2F%2Fid.who.int%2Ficd%2Fentity%2F1673303487","browser")</x:f>
      </x:c>
      <x:c r="L3898" s="0">
        <x:f>hyperlink("https://icat2.azurewebsites.net/icat/?ontology=ICD&amp;tab=ClassesTab&amp;id=http%3A%2F%2Fwho.int%2Ficd%2319644_512ebf36_bf6b_4d70_85da_cf2637062af4","iCat")</x:f>
      </x:c>
      <x:c r="M3898" s="0" t="s">
        <x:v>21</x:v>
      </x:c>
      <x:c r="N3898" s="0" t="s">
        <x:v>46</x:v>
      </x:c>
    </x:row>
    <x:row r="3899" spans="1:16">
      <x:c r="A3899" s="0" t="s">
        <x:v>15440</x:v>
      </x:c>
      <x:c r="B3899" s="0" t="s">
        <x:v>15441</x:v>
      </x:c>
      <x:c r="C3899" s="0" t="s">
        <x:v>15442</x:v>
      </x:c>
      <x:c r="E3899" s="0" t="s">
        <x:v>15443</x:v>
      </x:c>
      <x:c r="F3899" s="0" t="s">
        <x:v>45</x:v>
      </x:c>
      <x:c r="G3899" s="0" t="s">
        <x:v>19</x:v>
      </x:c>
      <x:c r="H3899" s="0" t="s">
        <x:v>20</x:v>
      </x:c>
      <x:c r="I3899" s="0" t="s">
        <x:v>21</x:v>
      </x:c>
      <x:c r="K3899" s="0">
        <x:f>hyperlink("https://icd.who.int/dev11/l-ichi/en#/http%3A%2F%2Fid.who.int%2Ficd%2Fentity%2F478656160","browser")</x:f>
      </x:c>
      <x:c r="L3899" s="0">
        <x:f>hyperlink("https://icat2.azurewebsites.net/icat/?ontology=ICD&amp;tab=ClassesTab&amp;id=http%3A%2F%2Fwho.int%2Ficd%2319651_512ebf36_bf6b_4d70_85da_cf2637062af4","iCat")</x:f>
      </x:c>
      <x:c r="M3899" s="0" t="s">
        <x:v>21</x:v>
      </x:c>
      <x:c r="N3899" s="0" t="s">
        <x:v>46</x:v>
      </x:c>
    </x:row>
    <x:row r="3900" spans="1:16">
      <x:c r="A3900" s="0" t="s">
        <x:v>15444</x:v>
      </x:c>
      <x:c r="B3900" s="0" t="s">
        <x:v>15445</x:v>
      </x:c>
      <x:c r="C3900" s="0" t="s">
        <x:v>15446</x:v>
      </x:c>
      <x:c r="E3900" s="0" t="s">
        <x:v>15447</x:v>
      </x:c>
      <x:c r="F3900" s="0" t="s">
        <x:v>45</x:v>
      </x:c>
      <x:c r="G3900" s="0" t="s">
        <x:v>19</x:v>
      </x:c>
      <x:c r="H3900" s="0" t="s">
        <x:v>20</x:v>
      </x:c>
      <x:c r="I3900" s="0" t="s">
        <x:v>21</x:v>
      </x:c>
      <x:c r="K3900" s="0">
        <x:f>hyperlink("https://icd.who.int/dev11/l-ichi/en#/http%3A%2F%2Fid.who.int%2Ficd%2Fentity%2F1929360841","browser")</x:f>
      </x:c>
      <x:c r="L3900" s="0">
        <x:f>hyperlink("https://icat2.azurewebsites.net/icat/?ontology=ICD&amp;tab=ClassesTab&amp;id=http%3A%2F%2Fwho.int%2Ficd%2319658_512ebf36_bf6b_4d70_85da_cf2637062af4","iCat")</x:f>
      </x:c>
      <x:c r="M3900" s="0" t="s">
        <x:v>21</x:v>
      </x:c>
      <x:c r="N3900" s="0" t="s">
        <x:v>46</x:v>
      </x:c>
    </x:row>
    <x:row r="3901" spans="1:16">
      <x:c r="A3901" s="0" t="s">
        <x:v>15448</x:v>
      </x:c>
      <x:c r="B3901" s="0" t="s">
        <x:v>15449</x:v>
      </x:c>
      <x:c r="C3901" s="0" t="s">
        <x:v>15450</x:v>
      </x:c>
      <x:c r="E3901" s="0" t="s">
        <x:v>15451</x:v>
      </x:c>
      <x:c r="F3901" s="0" t="s">
        <x:v>45</x:v>
      </x:c>
      <x:c r="G3901" s="0" t="s">
        <x:v>19</x:v>
      </x:c>
      <x:c r="H3901" s="0" t="s">
        <x:v>20</x:v>
      </x:c>
      <x:c r="I3901" s="0" t="s">
        <x:v>21</x:v>
      </x:c>
      <x:c r="K3901" s="0">
        <x:f>hyperlink("https://icd.who.int/dev11/l-ichi/en#/http%3A%2F%2Fid.who.int%2Ficd%2Fentity%2F1764831955","browser")</x:f>
      </x:c>
      <x:c r="L3901" s="0">
        <x:f>hyperlink("https://icat2.azurewebsites.net/icat/?ontology=ICD&amp;tab=ClassesTab&amp;id=http%3A%2F%2Fwho.int%2Ficd%2319665_512ebf36_bf6b_4d70_85da_cf2637062af4","iCat")</x:f>
      </x:c>
      <x:c r="M3901" s="0" t="s">
        <x:v>21</x:v>
      </x:c>
      <x:c r="N3901" s="0" t="s">
        <x:v>46</x:v>
      </x:c>
    </x:row>
    <x:row r="3902" spans="1:16">
      <x:c r="A3902" s="0" t="s">
        <x:v>15452</x:v>
      </x:c>
      <x:c r="B3902" s="0" t="s">
        <x:v>15453</x:v>
      </x:c>
      <x:c r="C3902" s="0" t="s">
        <x:v>15454</x:v>
      </x:c>
      <x:c r="E3902" s="0" t="s">
        <x:v>15455</x:v>
      </x:c>
      <x:c r="F3902" s="0" t="s">
        <x:v>45</x:v>
      </x:c>
      <x:c r="G3902" s="0" t="s">
        <x:v>19</x:v>
      </x:c>
      <x:c r="H3902" s="0" t="s">
        <x:v>20</x:v>
      </x:c>
      <x:c r="I3902" s="0" t="s">
        <x:v>21</x:v>
      </x:c>
      <x:c r="K3902" s="0">
        <x:f>hyperlink("https://icd.who.int/dev11/l-ichi/en#/http%3A%2F%2Fid.who.int%2Ficd%2Fentity%2F1720236609","browser")</x:f>
      </x:c>
      <x:c r="L3902" s="0">
        <x:f>hyperlink("https://icat2.azurewebsites.net/icat/?ontology=ICD&amp;tab=ClassesTab&amp;id=http%3A%2F%2Fwho.int%2Ficd%2319677_512ebf36_bf6b_4d70_85da_cf2637062af4","iCat")</x:f>
      </x:c>
      <x:c r="M3902" s="0" t="s">
        <x:v>21</x:v>
      </x:c>
      <x:c r="N3902" s="0" t="s">
        <x:v>46</x:v>
      </x:c>
    </x:row>
    <x:row r="3903" spans="1:16">
      <x:c r="A3903" s="0" t="s">
        <x:v>15456</x:v>
      </x:c>
      <x:c r="B3903" s="0" t="s">
        <x:v>15457</x:v>
      </x:c>
      <x:c r="C3903" s="0" t="s">
        <x:v>15458</x:v>
      </x:c>
      <x:c r="E3903" s="0" t="s">
        <x:v>15459</x:v>
      </x:c>
      <x:c r="F3903" s="0" t="s">
        <x:v>45</x:v>
      </x:c>
      <x:c r="G3903" s="0" t="s">
        <x:v>19</x:v>
      </x:c>
      <x:c r="H3903" s="0" t="s">
        <x:v>20</x:v>
      </x:c>
      <x:c r="I3903" s="0" t="s">
        <x:v>21</x:v>
      </x:c>
      <x:c r="K3903" s="0">
        <x:f>hyperlink("https://icd.who.int/dev11/l-ichi/en#/http%3A%2F%2Fid.who.int%2Ficd%2Fentity%2F739503450","browser")</x:f>
      </x:c>
      <x:c r="L3903" s="0">
        <x:f>hyperlink("https://icat2.azurewebsites.net/icat/?ontology=ICD&amp;tab=ClassesTab&amp;id=http%3A%2F%2Fwho.int%2Ficd%2319685_512ebf36_bf6b_4d70_85da_cf2637062af4","iCat")</x:f>
      </x:c>
      <x:c r="M3903" s="0" t="s">
        <x:v>21</x:v>
      </x:c>
      <x:c r="N3903" s="0" t="s">
        <x:v>46</x:v>
      </x:c>
    </x:row>
    <x:row r="3904" spans="1:16">
      <x:c r="A3904" s="0" t="s">
        <x:v>15460</x:v>
      </x:c>
      <x:c r="B3904" s="0" t="s">
        <x:v>15461</x:v>
      </x:c>
      <x:c r="C3904" s="0" t="s">
        <x:v>15462</x:v>
      </x:c>
      <x:c r="E3904" s="0" t="s">
        <x:v>15463</x:v>
      </x:c>
      <x:c r="F3904" s="0" t="s">
        <x:v>45</x:v>
      </x:c>
      <x:c r="G3904" s="0" t="s">
        <x:v>19</x:v>
      </x:c>
      <x:c r="H3904" s="0" t="s">
        <x:v>20</x:v>
      </x:c>
      <x:c r="I3904" s="0" t="s">
        <x:v>21</x:v>
      </x:c>
      <x:c r="K3904" s="0">
        <x:f>hyperlink("https://icd.who.int/dev11/l-ichi/en#/http%3A%2F%2Fid.who.int%2Ficd%2Fentity%2F380477886","browser")</x:f>
      </x:c>
      <x:c r="L3904" s="0">
        <x:f>hyperlink("https://icat2.azurewebsites.net/icat/?ontology=ICD&amp;tab=ClassesTab&amp;id=http%3A%2F%2Fwho.int%2Ficd%2319693_512ebf36_bf6b_4d70_85da_cf2637062af4","iCat")</x:f>
      </x:c>
      <x:c r="M3904" s="0" t="s">
        <x:v>21</x:v>
      </x:c>
      <x:c r="N3904" s="0" t="s">
        <x:v>46</x:v>
      </x:c>
    </x:row>
    <x:row r="3905" spans="1:16">
      <x:c r="A3905" s="0" t="s">
        <x:v>15464</x:v>
      </x:c>
      <x:c r="B3905" s="0" t="s">
        <x:v>15465</x:v>
      </x:c>
      <x:c r="C3905" s="0" t="s">
        <x:v>15466</x:v>
      </x:c>
      <x:c r="E3905" s="0" t="s">
        <x:v>15467</x:v>
      </x:c>
      <x:c r="F3905" s="0" t="s">
        <x:v>45</x:v>
      </x:c>
      <x:c r="G3905" s="0" t="s">
        <x:v>19</x:v>
      </x:c>
      <x:c r="H3905" s="0" t="s">
        <x:v>20</x:v>
      </x:c>
      <x:c r="I3905" s="0" t="s">
        <x:v>21</x:v>
      </x:c>
      <x:c r="K3905" s="0">
        <x:f>hyperlink("https://icd.who.int/dev11/l-ichi/en#/http%3A%2F%2Fid.who.int%2Ficd%2Fentity%2F1941616247","browser")</x:f>
      </x:c>
      <x:c r="L3905" s="0">
        <x:f>hyperlink("https://icat2.azurewebsites.net/icat/?ontology=ICD&amp;tab=ClassesTab&amp;id=http%3A%2F%2Fwho.int%2Ficd%2319701_512ebf36_bf6b_4d70_85da_cf2637062af4","iCat")</x:f>
      </x:c>
      <x:c r="M3905" s="0" t="s">
        <x:v>21</x:v>
      </x:c>
      <x:c r="N3905" s="0" t="s">
        <x:v>46</x:v>
      </x:c>
    </x:row>
    <x:row r="3906" spans="1:16">
      <x:c r="A3906" s="0" t="s">
        <x:v>15468</x:v>
      </x:c>
      <x:c r="B3906" s="0" t="s">
        <x:v>15469</x:v>
      </x:c>
      <x:c r="C3906" s="0" t="s">
        <x:v>15470</x:v>
      </x:c>
      <x:c r="E3906" s="0" t="s">
        <x:v>15471</x:v>
      </x:c>
      <x:c r="F3906" s="0" t="s">
        <x:v>45</x:v>
      </x:c>
      <x:c r="G3906" s="0" t="s">
        <x:v>19</x:v>
      </x:c>
      <x:c r="H3906" s="0" t="s">
        <x:v>20</x:v>
      </x:c>
      <x:c r="I3906" s="0" t="s">
        <x:v>21</x:v>
      </x:c>
      <x:c r="K3906" s="0">
        <x:f>hyperlink("https://icd.who.int/dev11/l-ichi/en#/http%3A%2F%2Fid.who.int%2Ficd%2Fentity%2F1027327778","browser")</x:f>
      </x:c>
      <x:c r="L3906" s="0">
        <x:f>hyperlink("https://icat2.azurewebsites.net/icat/?ontology=ICD&amp;tab=ClassesTab&amp;id=http%3A%2F%2Fwho.int%2Ficd%2319709_512ebf36_bf6b_4d70_85da_cf2637062af4","iCat")</x:f>
      </x:c>
      <x:c r="M3906" s="0" t="s">
        <x:v>21</x:v>
      </x:c>
      <x:c r="N3906" s="0" t="s">
        <x:v>46</x:v>
      </x:c>
    </x:row>
    <x:row r="3907" spans="1:16">
      <x:c r="A3907" s="0" t="s">
        <x:v>15472</x:v>
      </x:c>
      <x:c r="B3907" s="0" t="s">
        <x:v>15473</x:v>
      </x:c>
      <x:c r="C3907" s="0" t="s">
        <x:v>15474</x:v>
      </x:c>
      <x:c r="E3907" s="0" t="s">
        <x:v>15475</x:v>
      </x:c>
      <x:c r="F3907" s="0" t="s">
        <x:v>45</x:v>
      </x:c>
      <x:c r="G3907" s="0" t="s">
        <x:v>19</x:v>
      </x:c>
      <x:c r="H3907" s="0" t="s">
        <x:v>20</x:v>
      </x:c>
      <x:c r="I3907" s="0" t="s">
        <x:v>21</x:v>
      </x:c>
      <x:c r="K3907" s="0">
        <x:f>hyperlink("https://icd.who.int/dev11/l-ichi/en#/http%3A%2F%2Fid.who.int%2Ficd%2Fentity%2F1778223277","browser")</x:f>
      </x:c>
      <x:c r="L3907" s="0">
        <x:f>hyperlink("https://icat2.azurewebsites.net/icat/?ontology=ICD&amp;tab=ClassesTab&amp;id=http%3A%2F%2Fwho.int%2Ficd%2319716_512ebf36_bf6b_4d70_85da_cf2637062af4","iCat")</x:f>
      </x:c>
      <x:c r="M3907" s="0" t="s">
        <x:v>21</x:v>
      </x:c>
      <x:c r="N3907" s="0" t="s">
        <x:v>46</x:v>
      </x:c>
    </x:row>
    <x:row r="3908" spans="1:16">
      <x:c r="A3908" s="0" t="s">
        <x:v>15476</x:v>
      </x:c>
      <x:c r="B3908" s="0" t="s">
        <x:v>15477</x:v>
      </x:c>
      <x:c r="C3908" s="0" t="s">
        <x:v>15478</x:v>
      </x:c>
      <x:c r="E3908" s="0" t="s">
        <x:v>15479</x:v>
      </x:c>
      <x:c r="F3908" s="0" t="s">
        <x:v>45</x:v>
      </x:c>
      <x:c r="G3908" s="0" t="s">
        <x:v>19</x:v>
      </x:c>
      <x:c r="H3908" s="0" t="s">
        <x:v>20</x:v>
      </x:c>
      <x:c r="I3908" s="0" t="s">
        <x:v>21</x:v>
      </x:c>
      <x:c r="K3908" s="0">
        <x:f>hyperlink("https://icd.who.int/dev11/l-ichi/en#/http%3A%2F%2Fid.who.int%2Ficd%2Fentity%2F1018330852","browser")</x:f>
      </x:c>
      <x:c r="L3908" s="0">
        <x:f>hyperlink("https://icat2.azurewebsites.net/icat/?ontology=ICD&amp;tab=ClassesTab&amp;id=http%3A%2F%2Fwho.int%2Ficd%2319723_512ebf36_bf6b_4d70_85da_cf2637062af4","iCat")</x:f>
      </x:c>
      <x:c r="M3908" s="0" t="s">
        <x:v>21</x:v>
      </x:c>
      <x:c r="N3908" s="0" t="s">
        <x:v>46</x:v>
      </x:c>
    </x:row>
    <x:row r="3909" spans="1:16">
      <x:c r="A3909" s="0" t="s">
        <x:v>15480</x:v>
      </x:c>
      <x:c r="B3909" s="0" t="s">
        <x:v>15481</x:v>
      </x:c>
      <x:c r="C3909" s="0" t="s">
        <x:v>15482</x:v>
      </x:c>
      <x:c r="E3909" s="0" t="s">
        <x:v>15483</x:v>
      </x:c>
      <x:c r="F3909" s="0" t="s">
        <x:v>45</x:v>
      </x:c>
      <x:c r="G3909" s="0" t="s">
        <x:v>19</x:v>
      </x:c>
      <x:c r="H3909" s="0" t="s">
        <x:v>20</x:v>
      </x:c>
      <x:c r="I3909" s="0" t="s">
        <x:v>21</x:v>
      </x:c>
      <x:c r="K3909" s="0">
        <x:f>hyperlink("https://icd.who.int/dev11/l-ichi/en#/http%3A%2F%2Fid.who.int%2Ficd%2Fentity%2F334660684","browser")</x:f>
      </x:c>
      <x:c r="L3909" s="0">
        <x:f>hyperlink("https://icat2.azurewebsites.net/icat/?ontology=ICD&amp;tab=ClassesTab&amp;id=http%3A%2F%2Fwho.int%2Ficd%2319730_512ebf36_bf6b_4d70_85da_cf2637062af4","iCat")</x:f>
      </x:c>
      <x:c r="M3909" s="0" t="s">
        <x:v>21</x:v>
      </x:c>
      <x:c r="N3909" s="0" t="s">
        <x:v>46</x:v>
      </x:c>
    </x:row>
    <x:row r="3910" spans="1:16">
      <x:c r="A3910" s="0" t="s">
        <x:v>15484</x:v>
      </x:c>
      <x:c r="B3910" s="0" t="s">
        <x:v>15485</x:v>
      </x:c>
      <x:c r="C3910" s="0" t="s">
        <x:v>15486</x:v>
      </x:c>
      <x:c r="E3910" s="0" t="s">
        <x:v>15487</x:v>
      </x:c>
      <x:c r="F3910" s="0" t="s">
        <x:v>45</x:v>
      </x:c>
      <x:c r="G3910" s="0" t="s">
        <x:v>19</x:v>
      </x:c>
      <x:c r="H3910" s="0" t="s">
        <x:v>20</x:v>
      </x:c>
      <x:c r="I3910" s="0" t="s">
        <x:v>21</x:v>
      </x:c>
      <x:c r="K3910" s="0">
        <x:f>hyperlink("https://icd.who.int/dev11/l-ichi/en#/http%3A%2F%2Fid.who.int%2Ficd%2Fentity%2F589600600","browser")</x:f>
      </x:c>
      <x:c r="L3910" s="0">
        <x:f>hyperlink("https://icat2.azurewebsites.net/icat/?ontology=ICD&amp;tab=ClassesTab&amp;id=http%3A%2F%2Fwho.int%2Ficd%2319740_512ebf36_bf6b_4d70_85da_cf2637062af4","iCat")</x:f>
      </x:c>
      <x:c r="M3910" s="0" t="s">
        <x:v>21</x:v>
      </x:c>
      <x:c r="N3910" s="0" t="s">
        <x:v>46</x:v>
      </x:c>
    </x:row>
    <x:row r="3911" spans="1:16">
      <x:c r="A3911" s="0" t="s">
        <x:v>15488</x:v>
      </x:c>
      <x:c r="B3911" s="0" t="s">
        <x:v>15489</x:v>
      </x:c>
      <x:c r="C3911" s="0" t="s">
        <x:v>15490</x:v>
      </x:c>
      <x:c r="E3911" s="0" t="s">
        <x:v>15491</x:v>
      </x:c>
      <x:c r="F3911" s="0" t="s">
        <x:v>45</x:v>
      </x:c>
      <x:c r="G3911" s="0" t="s">
        <x:v>19</x:v>
      </x:c>
      <x:c r="H3911" s="0" t="s">
        <x:v>20</x:v>
      </x:c>
      <x:c r="I3911" s="0" t="s">
        <x:v>21</x:v>
      </x:c>
      <x:c r="K3911" s="0">
        <x:f>hyperlink("https://icd.who.int/dev11/l-ichi/en#/http%3A%2F%2Fid.who.int%2Ficd%2Fentity%2F1239482881","browser")</x:f>
      </x:c>
      <x:c r="L3911" s="0">
        <x:f>hyperlink("https://icat2.azurewebsites.net/icat/?ontology=ICD&amp;tab=ClassesTab&amp;id=http%3A%2F%2Fwho.int%2Ficd%2319750_512ebf36_bf6b_4d70_85da_cf2637062af4","iCat")</x:f>
      </x:c>
      <x:c r="M3911" s="0" t="s">
        <x:v>21</x:v>
      </x:c>
      <x:c r="N3911" s="0" t="s">
        <x:v>46</x:v>
      </x:c>
    </x:row>
    <x:row r="3912" spans="1:16">
      <x:c r="A3912" s="0" t="s">
        <x:v>15492</x:v>
      </x:c>
      <x:c r="B3912" s="0" t="s">
        <x:v>15493</x:v>
      </x:c>
      <x:c r="C3912" s="0" t="s">
        <x:v>15494</x:v>
      </x:c>
      <x:c r="E3912" s="0" t="s">
        <x:v>15495</x:v>
      </x:c>
      <x:c r="F3912" s="0" t="s">
        <x:v>45</x:v>
      </x:c>
      <x:c r="G3912" s="0" t="s">
        <x:v>19</x:v>
      </x:c>
      <x:c r="H3912" s="0" t="s">
        <x:v>20</x:v>
      </x:c>
      <x:c r="I3912" s="0" t="s">
        <x:v>21</x:v>
      </x:c>
      <x:c r="K3912" s="0">
        <x:f>hyperlink("https://icd.who.int/dev11/l-ichi/en#/http%3A%2F%2Fid.who.int%2Ficd%2Fentity%2F664338792","browser")</x:f>
      </x:c>
      <x:c r="L3912" s="0">
        <x:f>hyperlink("https://icat2.azurewebsites.net/icat/?ontology=ICD&amp;tab=ClassesTab&amp;id=http%3A%2F%2Fwho.int%2Ficd%2319759_512ebf36_bf6b_4d70_85da_cf2637062af4","iCat")</x:f>
      </x:c>
      <x:c r="M3912" s="0" t="s">
        <x:v>21</x:v>
      </x:c>
      <x:c r="N3912" s="0" t="s">
        <x:v>46</x:v>
      </x:c>
    </x:row>
    <x:row r="3913" spans="1:16">
      <x:c r="A3913" s="0" t="s">
        <x:v>15496</x:v>
      </x:c>
      <x:c r="B3913" s="0" t="s">
        <x:v>15497</x:v>
      </x:c>
      <x:c r="C3913" s="0" t="s">
        <x:v>15498</x:v>
      </x:c>
      <x:c r="E3913" s="0" t="s">
        <x:v>15499</x:v>
      </x:c>
      <x:c r="F3913" s="0" t="s">
        <x:v>45</x:v>
      </x:c>
      <x:c r="G3913" s="0" t="s">
        <x:v>19</x:v>
      </x:c>
      <x:c r="H3913" s="0" t="s">
        <x:v>20</x:v>
      </x:c>
      <x:c r="I3913" s="0" t="s">
        <x:v>21</x:v>
      </x:c>
      <x:c r="K3913" s="0">
        <x:f>hyperlink("https://icd.who.int/dev11/l-ichi/en#/http%3A%2F%2Fid.who.int%2Ficd%2Fentity%2F1204892499","browser")</x:f>
      </x:c>
      <x:c r="L3913" s="0">
        <x:f>hyperlink("https://icat2.azurewebsites.net/icat/?ontology=ICD&amp;tab=ClassesTab&amp;id=http%3A%2F%2Fwho.int%2Ficd%2319768_512ebf36_bf6b_4d70_85da_cf2637062af4","iCat")</x:f>
      </x:c>
      <x:c r="M3913" s="0" t="s">
        <x:v>21</x:v>
      </x:c>
      <x:c r="N3913" s="0" t="s">
        <x:v>46</x:v>
      </x:c>
    </x:row>
    <x:row r="3914" spans="1:16">
      <x:c r="A3914" s="0" t="s">
        <x:v>15500</x:v>
      </x:c>
      <x:c r="B3914" s="0" t="s">
        <x:v>15501</x:v>
      </x:c>
      <x:c r="C3914" s="0" t="s">
        <x:v>15502</x:v>
      </x:c>
      <x:c r="E3914" s="0" t="s">
        <x:v>15503</x:v>
      </x:c>
      <x:c r="F3914" s="0" t="s">
        <x:v>45</x:v>
      </x:c>
      <x:c r="G3914" s="0" t="s">
        <x:v>19</x:v>
      </x:c>
      <x:c r="H3914" s="0" t="s">
        <x:v>20</x:v>
      </x:c>
      <x:c r="I3914" s="0" t="s">
        <x:v>21</x:v>
      </x:c>
      <x:c r="K3914" s="0">
        <x:f>hyperlink("https://icd.who.int/dev11/l-ichi/en#/http%3A%2F%2Fid.who.int%2Ficd%2Fentity%2F1821110195","browser")</x:f>
      </x:c>
      <x:c r="L3914" s="0">
        <x:f>hyperlink("https://icat2.azurewebsites.net/icat/?ontology=ICD&amp;tab=ClassesTab&amp;id=http%3A%2F%2Fwho.int%2Ficd%2319781_512ebf36_bf6b_4d70_85da_cf2637062af4","iCat")</x:f>
      </x:c>
      <x:c r="M3914" s="0" t="s">
        <x:v>21</x:v>
      </x:c>
      <x:c r="N3914" s="0" t="s">
        <x:v>46</x:v>
      </x:c>
    </x:row>
    <x:row r="3915" spans="1:16">
      <x:c r="A3915" s="0" t="s">
        <x:v>15504</x:v>
      </x:c>
      <x:c r="B3915" s="0" t="s">
        <x:v>15505</x:v>
      </x:c>
      <x:c r="C3915" s="0" t="s">
        <x:v>15506</x:v>
      </x:c>
      <x:c r="E3915" s="0" t="s">
        <x:v>15507</x:v>
      </x:c>
      <x:c r="F3915" s="0" t="s">
        <x:v>45</x:v>
      </x:c>
      <x:c r="G3915" s="0" t="s">
        <x:v>19</x:v>
      </x:c>
      <x:c r="H3915" s="0" t="s">
        <x:v>20</x:v>
      </x:c>
      <x:c r="I3915" s="0" t="s">
        <x:v>21</x:v>
      </x:c>
      <x:c r="K3915" s="0">
        <x:f>hyperlink("https://icd.who.int/dev11/l-ichi/en#/http%3A%2F%2Fid.who.int%2Ficd%2Fentity%2F571121384","browser")</x:f>
      </x:c>
      <x:c r="L3915" s="0">
        <x:f>hyperlink("https://icat2.azurewebsites.net/icat/?ontology=ICD&amp;tab=ClassesTab&amp;id=http%3A%2F%2Fwho.int%2Ficd%2319789_512ebf36_bf6b_4d70_85da_cf2637062af4","iCat")</x:f>
      </x:c>
      <x:c r="M3915" s="0" t="s">
        <x:v>21</x:v>
      </x:c>
      <x:c r="N3915" s="0" t="s">
        <x:v>46</x:v>
      </x:c>
    </x:row>
    <x:row r="3916" spans="1:16">
      <x:c r="A3916" s="0" t="s">
        <x:v>15508</x:v>
      </x:c>
      <x:c r="B3916" s="0" t="s">
        <x:v>15509</x:v>
      </x:c>
      <x:c r="C3916" s="0" t="s">
        <x:v>15510</x:v>
      </x:c>
      <x:c r="E3916" s="0" t="s">
        <x:v>15511</x:v>
      </x:c>
      <x:c r="F3916" s="0" t="s">
        <x:v>45</x:v>
      </x:c>
      <x:c r="G3916" s="0" t="s">
        <x:v>19</x:v>
      </x:c>
      <x:c r="H3916" s="0" t="s">
        <x:v>20</x:v>
      </x:c>
      <x:c r="I3916" s="0" t="s">
        <x:v>21</x:v>
      </x:c>
      <x:c r="K3916" s="0">
        <x:f>hyperlink("https://icd.who.int/dev11/l-ichi/en#/http%3A%2F%2Fid.who.int%2Ficd%2Fentity%2F1446355797","browser")</x:f>
      </x:c>
      <x:c r="L3916" s="0">
        <x:f>hyperlink("https://icat2.azurewebsites.net/icat/?ontology=ICD&amp;tab=ClassesTab&amp;id=http%3A%2F%2Fwho.int%2Ficd%2319797_512ebf36_bf6b_4d70_85da_cf2637062af4","iCat")</x:f>
      </x:c>
      <x:c r="M3916" s="0" t="s">
        <x:v>21</x:v>
      </x:c>
      <x:c r="N3916" s="0" t="s">
        <x:v>46</x:v>
      </x:c>
    </x:row>
    <x:row r="3917" spans="1:16">
      <x:c r="A3917" s="0" t="s">
        <x:v>15512</x:v>
      </x:c>
      <x:c r="B3917" s="0" t="s">
        <x:v>15513</x:v>
      </x:c>
      <x:c r="C3917" s="0" t="s">
        <x:v>15514</x:v>
      </x:c>
      <x:c r="E3917" s="0" t="s">
        <x:v>15515</x:v>
      </x:c>
      <x:c r="F3917" s="0" t="s">
        <x:v>45</x:v>
      </x:c>
      <x:c r="G3917" s="0" t="s">
        <x:v>19</x:v>
      </x:c>
      <x:c r="H3917" s="0" t="s">
        <x:v>20</x:v>
      </x:c>
      <x:c r="I3917" s="0" t="s">
        <x:v>21</x:v>
      </x:c>
      <x:c r="K3917" s="0">
        <x:f>hyperlink("https://icd.who.int/dev11/l-ichi/en#/http%3A%2F%2Fid.who.int%2Ficd%2Fentity%2F1970638334","browser")</x:f>
      </x:c>
      <x:c r="L3917" s="0">
        <x:f>hyperlink("https://icat2.azurewebsites.net/icat/?ontology=ICD&amp;tab=ClassesTab&amp;id=http%3A%2F%2Fwho.int%2Ficd%2319806_512ebf36_bf6b_4d70_85da_cf2637062af4","iCat")</x:f>
      </x:c>
      <x:c r="M3917" s="0" t="s">
        <x:v>21</x:v>
      </x:c>
      <x:c r="N3917" s="0" t="s">
        <x:v>46</x:v>
      </x:c>
    </x:row>
    <x:row r="3918" spans="1:16">
      <x:c r="A3918" s="0" t="s">
        <x:v>15516</x:v>
      </x:c>
      <x:c r="B3918" s="0" t="s">
        <x:v>15517</x:v>
      </x:c>
      <x:c r="C3918" s="0" t="s">
        <x:v>15518</x:v>
      </x:c>
      <x:c r="E3918" s="0" t="s">
        <x:v>15519</x:v>
      </x:c>
      <x:c r="F3918" s="0" t="s">
        <x:v>45</x:v>
      </x:c>
      <x:c r="G3918" s="0" t="s">
        <x:v>19</x:v>
      </x:c>
      <x:c r="H3918" s="0" t="s">
        <x:v>20</x:v>
      </x:c>
      <x:c r="I3918" s="0" t="s">
        <x:v>21</x:v>
      </x:c>
      <x:c r="K3918" s="0">
        <x:f>hyperlink("https://icd.who.int/dev11/l-ichi/en#/http%3A%2F%2Fid.who.int%2Ficd%2Fentity%2F172928739","browser")</x:f>
      </x:c>
      <x:c r="L3918" s="0">
        <x:f>hyperlink("https://icat2.azurewebsites.net/icat/?ontology=ICD&amp;tab=ClassesTab&amp;id=http%3A%2F%2Fwho.int%2Ficd%2319813_512ebf36_bf6b_4d70_85da_cf2637062af4","iCat")</x:f>
      </x:c>
      <x:c r="M3918" s="0" t="s">
        <x:v>21</x:v>
      </x:c>
      <x:c r="N3918" s="0" t="s">
        <x:v>46</x:v>
      </x:c>
    </x:row>
    <x:row r="3919" spans="1:16">
      <x:c r="A3919" s="0" t="s">
        <x:v>15520</x:v>
      </x:c>
      <x:c r="B3919" s="0" t="s">
        <x:v>15521</x:v>
      </x:c>
      <x:c r="C3919" s="0" t="s">
        <x:v>15522</x:v>
      </x:c>
      <x:c r="E3919" s="0" t="s">
        <x:v>15523</x:v>
      </x:c>
      <x:c r="F3919" s="0" t="s">
        <x:v>45</x:v>
      </x:c>
      <x:c r="G3919" s="0" t="s">
        <x:v>19</x:v>
      </x:c>
      <x:c r="H3919" s="0" t="s">
        <x:v>20</x:v>
      </x:c>
      <x:c r="I3919" s="0" t="s">
        <x:v>21</x:v>
      </x:c>
      <x:c r="K3919" s="0">
        <x:f>hyperlink("https://icd.who.int/dev11/l-ichi/en#/http%3A%2F%2Fid.who.int%2Ficd%2Fentity%2F565428851","browser")</x:f>
      </x:c>
      <x:c r="L3919" s="0">
        <x:f>hyperlink("https://icat2.azurewebsites.net/icat/?ontology=ICD&amp;tab=ClassesTab&amp;id=http%3A%2F%2Fwho.int%2Ficd%2319819_512ebf36_bf6b_4d70_85da_cf2637062af4","iCat")</x:f>
      </x:c>
      <x:c r="M3919" s="0" t="s">
        <x:v>21</x:v>
      </x:c>
      <x:c r="N3919" s="0" t="s">
        <x:v>46</x:v>
      </x:c>
    </x:row>
    <x:row r="3920" spans="1:16">
      <x:c r="A3920" s="0" t="s">
        <x:v>15524</x:v>
      </x:c>
      <x:c r="B3920" s="0" t="s">
        <x:v>15525</x:v>
      </x:c>
      <x:c r="C3920" s="0" t="s">
        <x:v>15526</x:v>
      </x:c>
      <x:c r="E3920" s="0" t="s">
        <x:v>15527</x:v>
      </x:c>
      <x:c r="F3920" s="0" t="s">
        <x:v>45</x:v>
      </x:c>
      <x:c r="G3920" s="0" t="s">
        <x:v>19</x:v>
      </x:c>
      <x:c r="H3920" s="0" t="s">
        <x:v>20</x:v>
      </x:c>
      <x:c r="I3920" s="0" t="s">
        <x:v>21</x:v>
      </x:c>
      <x:c r="K3920" s="0">
        <x:f>hyperlink("https://icd.who.int/dev11/l-ichi/en#/http%3A%2F%2Fid.who.int%2Ficd%2Fentity%2F12781967","browser")</x:f>
      </x:c>
      <x:c r="L3920" s="0">
        <x:f>hyperlink("https://icat2.azurewebsites.net/icat/?ontology=ICD&amp;tab=ClassesTab&amp;id=http%3A%2F%2Fwho.int%2Ficd%2319832_512ebf36_bf6b_4d70_85da_cf2637062af4","iCat")</x:f>
      </x:c>
      <x:c r="M3920" s="0" t="s">
        <x:v>21</x:v>
      </x:c>
      <x:c r="N3920" s="0" t="s">
        <x:v>46</x:v>
      </x:c>
    </x:row>
    <x:row r="3921" spans="1:16">
      <x:c r="A3921" s="0" t="s">
        <x:v>15528</x:v>
      </x:c>
      <x:c r="B3921" s="0" t="s">
        <x:v>15529</x:v>
      </x:c>
      <x:c r="C3921" s="0" t="s">
        <x:v>15530</x:v>
      </x:c>
      <x:c r="E3921" s="0" t="s">
        <x:v>15531</x:v>
      </x:c>
      <x:c r="F3921" s="0" t="s">
        <x:v>45</x:v>
      </x:c>
      <x:c r="G3921" s="0" t="s">
        <x:v>19</x:v>
      </x:c>
      <x:c r="H3921" s="0" t="s">
        <x:v>20</x:v>
      </x:c>
      <x:c r="I3921" s="0" t="s">
        <x:v>21</x:v>
      </x:c>
      <x:c r="K3921" s="0">
        <x:f>hyperlink("https://icd.who.int/dev11/l-ichi/en#/http%3A%2F%2Fid.who.int%2Ficd%2Fentity%2F1083683096","browser")</x:f>
      </x:c>
      <x:c r="L3921" s="0">
        <x:f>hyperlink("https://icat2.azurewebsites.net/icat/?ontology=ICD&amp;tab=ClassesTab&amp;id=http%3A%2F%2Fwho.int%2Ficd%2319845_512ebf36_bf6b_4d70_85da_cf2637062af4","iCat")</x:f>
      </x:c>
      <x:c r="M3921" s="0" t="s">
        <x:v>21</x:v>
      </x:c>
      <x:c r="N3921" s="0" t="s">
        <x:v>46</x:v>
      </x:c>
    </x:row>
    <x:row r="3922" spans="1:16">
      <x:c r="A3922" s="0" t="s">
        <x:v>15532</x:v>
      </x:c>
      <x:c r="B3922" s="0" t="s">
        <x:v>15533</x:v>
      </x:c>
      <x:c r="C3922" s="0" t="s">
        <x:v>15534</x:v>
      </x:c>
      <x:c r="E3922" s="0" t="s">
        <x:v>15535</x:v>
      </x:c>
      <x:c r="F3922" s="0" t="s">
        <x:v>45</x:v>
      </x:c>
      <x:c r="G3922" s="0" t="s">
        <x:v>19</x:v>
      </x:c>
      <x:c r="H3922" s="0" t="s">
        <x:v>20</x:v>
      </x:c>
      <x:c r="I3922" s="0" t="s">
        <x:v>21</x:v>
      </x:c>
      <x:c r="K3922" s="0">
        <x:f>hyperlink("https://icd.who.int/dev11/l-ichi/en#/http%3A%2F%2Fid.who.int%2Ficd%2Fentity%2F1372885360","browser")</x:f>
      </x:c>
      <x:c r="L3922" s="0">
        <x:f>hyperlink("https://icat2.azurewebsites.net/icat/?ontology=ICD&amp;tab=ClassesTab&amp;id=http%3A%2F%2Fwho.int%2Ficd%2319859_512ebf36_bf6b_4d70_85da_cf2637062af4","iCat")</x:f>
      </x:c>
      <x:c r="M3922" s="0" t="s">
        <x:v>21</x:v>
      </x:c>
      <x:c r="N3922" s="0" t="s">
        <x:v>46</x:v>
      </x:c>
    </x:row>
    <x:row r="3923" spans="1:16">
      <x:c r="A3923" s="0" t="s">
        <x:v>15536</x:v>
      </x:c>
      <x:c r="B3923" s="0" t="s">
        <x:v>15537</x:v>
      </x:c>
      <x:c r="C3923" s="0" t="s">
        <x:v>15538</x:v>
      </x:c>
      <x:c r="E3923" s="0" t="s">
        <x:v>15539</x:v>
      </x:c>
      <x:c r="F3923" s="0" t="s">
        <x:v>45</x:v>
      </x:c>
      <x:c r="G3923" s="0" t="s">
        <x:v>19</x:v>
      </x:c>
      <x:c r="H3923" s="0" t="s">
        <x:v>20</x:v>
      </x:c>
      <x:c r="I3923" s="0" t="s">
        <x:v>21</x:v>
      </x:c>
      <x:c r="K3923" s="0">
        <x:f>hyperlink("https://icd.who.int/dev11/l-ichi/en#/http%3A%2F%2Fid.who.int%2Ficd%2Fentity%2F1543351267","browser")</x:f>
      </x:c>
      <x:c r="L3923" s="0">
        <x:f>hyperlink("https://icat2.azurewebsites.net/icat/?ontology=ICD&amp;tab=ClassesTab&amp;id=http%3A%2F%2Fwho.int%2Ficd%23463_63e30ea5_14bd_4823_bf2d_a6a05c9b9750","iCat")</x:f>
      </x:c>
      <x:c r="M3923" s="0" t="s">
        <x:v>21</x:v>
      </x:c>
      <x:c r="N3923" s="0" t="s">
        <x:v>46</x:v>
      </x:c>
    </x:row>
    <x:row r="3924" spans="1:16">
      <x:c r="A3924" s="0" t="s">
        <x:v>15540</x:v>
      </x:c>
      <x:c r="B3924" s="0" t="s">
        <x:v>15541</x:v>
      </x:c>
      <x:c r="C3924" s="0" t="s">
        <x:v>15542</x:v>
      </x:c>
      <x:c r="E3924" s="0" t="s">
        <x:v>15543</x:v>
      </x:c>
      <x:c r="F3924" s="0" t="s">
        <x:v>45</x:v>
      </x:c>
      <x:c r="G3924" s="0" t="s">
        <x:v>19</x:v>
      </x:c>
      <x:c r="H3924" s="0" t="s">
        <x:v>20</x:v>
      </x:c>
      <x:c r="I3924" s="0" t="s">
        <x:v>21</x:v>
      </x:c>
      <x:c r="K3924" s="0">
        <x:f>hyperlink("https://icd.who.int/dev11/l-ichi/en#/http%3A%2F%2Fid.who.int%2Ficd%2Fentity%2F1348282542","browser")</x:f>
      </x:c>
      <x:c r="L3924" s="0">
        <x:f>hyperlink("https://icat2.azurewebsites.net/icat/?ontology=ICD&amp;tab=ClassesTab&amp;id=http%3A%2F%2Fwho.int%2Ficd%2319873_512ebf36_bf6b_4d70_85da_cf2637062af4","iCat")</x:f>
      </x:c>
      <x:c r="M3924" s="0" t="s">
        <x:v>21</x:v>
      </x:c>
      <x:c r="N3924" s="0" t="s">
        <x:v>46</x:v>
      </x:c>
    </x:row>
    <x:row r="3925" spans="1:16">
      <x:c r="A3925" s="0" t="s">
        <x:v>15544</x:v>
      </x:c>
      <x:c r="B3925" s="0" t="s">
        <x:v>15545</x:v>
      </x:c>
      <x:c r="C3925" s="0" t="s">
        <x:v>15546</x:v>
      </x:c>
      <x:c r="E3925" s="0" t="s">
        <x:v>15547</x:v>
      </x:c>
      <x:c r="F3925" s="0" t="s">
        <x:v>45</x:v>
      </x:c>
      <x:c r="G3925" s="0" t="s">
        <x:v>19</x:v>
      </x:c>
      <x:c r="H3925" s="0" t="s">
        <x:v>20</x:v>
      </x:c>
      <x:c r="I3925" s="0" t="s">
        <x:v>21</x:v>
      </x:c>
      <x:c r="K3925" s="0">
        <x:f>hyperlink("https://icd.who.int/dev11/l-ichi/en#/http%3A%2F%2Fid.who.int%2Ficd%2Fentity%2F977210761","browser")</x:f>
      </x:c>
      <x:c r="L3925" s="0">
        <x:f>hyperlink("https://icat2.azurewebsites.net/icat/?ontology=ICD&amp;tab=ClassesTab&amp;id=http%3A%2F%2Fwho.int%2Ficd%2319880_512ebf36_bf6b_4d70_85da_cf2637062af4","iCat")</x:f>
      </x:c>
      <x:c r="M3925" s="0" t="s">
        <x:v>21</x:v>
      </x:c>
      <x:c r="N3925" s="0" t="s">
        <x:v>46</x:v>
      </x:c>
    </x:row>
    <x:row r="3926" spans="1:16">
      <x:c r="A3926" s="0" t="s">
        <x:v>15548</x:v>
      </x:c>
      <x:c r="B3926" s="0" t="s">
        <x:v>15549</x:v>
      </x:c>
      <x:c r="C3926" s="0" t="s">
        <x:v>15550</x:v>
      </x:c>
      <x:c r="E3926" s="0" t="s">
        <x:v>15551</x:v>
      </x:c>
      <x:c r="F3926" s="0" t="s">
        <x:v>45</x:v>
      </x:c>
      <x:c r="G3926" s="0" t="s">
        <x:v>19</x:v>
      </x:c>
      <x:c r="H3926" s="0" t="s">
        <x:v>20</x:v>
      </x:c>
      <x:c r="I3926" s="0" t="s">
        <x:v>21</x:v>
      </x:c>
      <x:c r="K3926" s="0">
        <x:f>hyperlink("https://icd.who.int/dev11/l-ichi/en#/http%3A%2F%2Fid.who.int%2Ficd%2Fentity%2F1253942790","browser")</x:f>
      </x:c>
      <x:c r="L3926" s="0">
        <x:f>hyperlink("https://icat2.azurewebsites.net/icat/?ontology=ICD&amp;tab=ClassesTab&amp;id=http%3A%2F%2Fwho.int%2Ficd%2319887_512ebf36_bf6b_4d70_85da_cf2637062af4","iCat")</x:f>
      </x:c>
      <x:c r="M3926" s="0" t="s">
        <x:v>21</x:v>
      </x:c>
      <x:c r="N3926" s="0" t="s">
        <x:v>46</x:v>
      </x:c>
    </x:row>
    <x:row r="3927" spans="1:16">
      <x:c r="A3927" s="0" t="s">
        <x:v>15552</x:v>
      </x:c>
      <x:c r="B3927" s="0" t="s">
        <x:v>15553</x:v>
      </x:c>
      <x:c r="C3927" s="0" t="s">
        <x:v>15554</x:v>
      </x:c>
      <x:c r="E3927" s="0" t="s">
        <x:v>15555</x:v>
      </x:c>
      <x:c r="F3927" s="0" t="s">
        <x:v>45</x:v>
      </x:c>
      <x:c r="G3927" s="0" t="s">
        <x:v>19</x:v>
      </x:c>
      <x:c r="H3927" s="0" t="s">
        <x:v>20</x:v>
      </x:c>
      <x:c r="I3927" s="0" t="s">
        <x:v>21</x:v>
      </x:c>
      <x:c r="K3927" s="0">
        <x:f>hyperlink("https://icd.who.int/dev11/l-ichi/en#/http%3A%2F%2Fid.who.int%2Ficd%2Fentity%2F360707879","browser")</x:f>
      </x:c>
      <x:c r="L3927" s="0">
        <x:f>hyperlink("https://icat2.azurewebsites.net/icat/?ontology=ICD&amp;tab=ClassesTab&amp;id=http%3A%2F%2Fwho.int%2Ficd%2319893_512ebf36_bf6b_4d70_85da_cf2637062af4","iCat")</x:f>
      </x:c>
      <x:c r="M3927" s="0" t="s">
        <x:v>21</x:v>
      </x:c>
      <x:c r="N3927" s="0" t="s">
        <x:v>46</x:v>
      </x:c>
    </x:row>
    <x:row r="3928" spans="1:16">
      <x:c r="A3928" s="0" t="s">
        <x:v>15556</x:v>
      </x:c>
      <x:c r="B3928" s="0" t="s">
        <x:v>15557</x:v>
      </x:c>
      <x:c r="C3928" s="0" t="s">
        <x:v>15558</x:v>
      </x:c>
      <x:c r="E3928" s="0" t="s">
        <x:v>15559</x:v>
      </x:c>
      <x:c r="F3928" s="0" t="s">
        <x:v>45</x:v>
      </x:c>
      <x:c r="G3928" s="0" t="s">
        <x:v>19</x:v>
      </x:c>
      <x:c r="H3928" s="0" t="s">
        <x:v>20</x:v>
      </x:c>
      <x:c r="I3928" s="0" t="s">
        <x:v>21</x:v>
      </x:c>
      <x:c r="K3928" s="0">
        <x:f>hyperlink("https://icd.who.int/dev11/l-ichi/en#/http%3A%2F%2Fid.who.int%2Ficd%2Fentity%2F1048746935","browser")</x:f>
      </x:c>
      <x:c r="L3928" s="0">
        <x:f>hyperlink("https://icat2.azurewebsites.net/icat/?ontology=ICD&amp;tab=ClassesTab&amp;id=http%3A%2F%2Fwho.int%2Ficd%2319899_512ebf36_bf6b_4d70_85da_cf2637062af4","iCat")</x:f>
      </x:c>
      <x:c r="M3928" s="0" t="s">
        <x:v>21</x:v>
      </x:c>
      <x:c r="N3928" s="0" t="s">
        <x:v>46</x:v>
      </x:c>
    </x:row>
    <x:row r="3929" spans="1:16">
      <x:c r="A3929" s="0" t="s">
        <x:v>15560</x:v>
      </x:c>
      <x:c r="B3929" s="0" t="s">
        <x:v>15561</x:v>
      </x:c>
      <x:c r="C3929" s="0" t="s">
        <x:v>15562</x:v>
      </x:c>
      <x:c r="E3929" s="0" t="s">
        <x:v>15563</x:v>
      </x:c>
      <x:c r="F3929" s="0" t="s">
        <x:v>45</x:v>
      </x:c>
      <x:c r="G3929" s="0" t="s">
        <x:v>19</x:v>
      </x:c>
      <x:c r="H3929" s="0" t="s">
        <x:v>20</x:v>
      </x:c>
      <x:c r="I3929" s="0" t="s">
        <x:v>21</x:v>
      </x:c>
      <x:c r="K3929" s="0">
        <x:f>hyperlink("https://icd.who.int/dev11/l-ichi/en#/http%3A%2F%2Fid.who.int%2Ficd%2Fentity%2F15354721","browser")</x:f>
      </x:c>
      <x:c r="L3929" s="0">
        <x:f>hyperlink("https://icat2.azurewebsites.net/icat/?ontology=ICD&amp;tab=ClassesTab&amp;id=http%3A%2F%2Fwho.int%2Ficd%2319906_512ebf36_bf6b_4d70_85da_cf2637062af4","iCat")</x:f>
      </x:c>
      <x:c r="M3929" s="0" t="s">
        <x:v>21</x:v>
      </x:c>
      <x:c r="N3929" s="0" t="s">
        <x:v>46</x:v>
      </x:c>
    </x:row>
    <x:row r="3930" spans="1:16">
      <x:c r="A3930" s="0" t="s">
        <x:v>15564</x:v>
      </x:c>
      <x:c r="B3930" s="0" t="s">
        <x:v>15565</x:v>
      </x:c>
      <x:c r="C3930" s="0" t="s">
        <x:v>15566</x:v>
      </x:c>
      <x:c r="E3930" s="0" t="s">
        <x:v>15567</x:v>
      </x:c>
      <x:c r="F3930" s="0" t="s">
        <x:v>45</x:v>
      </x:c>
      <x:c r="G3930" s="0" t="s">
        <x:v>19</x:v>
      </x:c>
      <x:c r="H3930" s="0" t="s">
        <x:v>20</x:v>
      </x:c>
      <x:c r="I3930" s="0" t="s">
        <x:v>21</x:v>
      </x:c>
      <x:c r="K3930" s="0">
        <x:f>hyperlink("https://icd.who.int/dev11/l-ichi/en#/http%3A%2F%2Fid.who.int%2Ficd%2Fentity%2F257147891","browser")</x:f>
      </x:c>
      <x:c r="L3930" s="0">
        <x:f>hyperlink("https://icat2.azurewebsites.net/icat/?ontology=ICD&amp;tab=ClassesTab&amp;id=http%3A%2F%2Fwho.int%2Ficd%2319914_512ebf36_bf6b_4d70_85da_cf2637062af4","iCat")</x:f>
      </x:c>
      <x:c r="M3930" s="0" t="s">
        <x:v>21</x:v>
      </x:c>
      <x:c r="N3930" s="0" t="s">
        <x:v>46</x:v>
      </x:c>
    </x:row>
    <x:row r="3931" spans="1:16">
      <x:c r="A3931" s="0" t="s">
        <x:v>15568</x:v>
      </x:c>
      <x:c r="B3931" s="0" t="s">
        <x:v>15569</x:v>
      </x:c>
      <x:c r="C3931" s="0" t="s">
        <x:v>15570</x:v>
      </x:c>
      <x:c r="E3931" s="0" t="s">
        <x:v>15571</x:v>
      </x:c>
      <x:c r="F3931" s="0" t="s">
        <x:v>45</x:v>
      </x:c>
      <x:c r="G3931" s="0" t="s">
        <x:v>19</x:v>
      </x:c>
      <x:c r="H3931" s="0" t="s">
        <x:v>20</x:v>
      </x:c>
      <x:c r="I3931" s="0" t="s">
        <x:v>21</x:v>
      </x:c>
      <x:c r="K3931" s="0">
        <x:f>hyperlink("https://icd.who.int/dev11/l-ichi/en#/http%3A%2F%2Fid.who.int%2Ficd%2Fentity%2F1511798204","browser")</x:f>
      </x:c>
      <x:c r="L3931" s="0">
        <x:f>hyperlink("https://icat2.azurewebsites.net/icat/?ontology=ICD&amp;tab=ClassesTab&amp;id=http%3A%2F%2Fwho.int%2Ficd%2319921_512ebf36_bf6b_4d70_85da_cf2637062af4","iCat")</x:f>
      </x:c>
      <x:c r="M3931" s="0" t="s">
        <x:v>21</x:v>
      </x:c>
      <x:c r="N3931" s="0" t="s">
        <x:v>46</x:v>
      </x:c>
    </x:row>
    <x:row r="3932" spans="1:16">
      <x:c r="A3932" s="0" t="s">
        <x:v>15572</x:v>
      </x:c>
      <x:c r="B3932" s="0" t="s">
        <x:v>15573</x:v>
      </x:c>
      <x:c r="C3932" s="0" t="s">
        <x:v>15574</x:v>
      </x:c>
      <x:c r="E3932" s="0" t="s">
        <x:v>15575</x:v>
      </x:c>
      <x:c r="F3932" s="0" t="s">
        <x:v>45</x:v>
      </x:c>
      <x:c r="G3932" s="0" t="s">
        <x:v>19</x:v>
      </x:c>
      <x:c r="H3932" s="0" t="s">
        <x:v>20</x:v>
      </x:c>
      <x:c r="I3932" s="0" t="s">
        <x:v>21</x:v>
      </x:c>
      <x:c r="K3932" s="0">
        <x:f>hyperlink("https://icd.who.int/dev11/l-ichi/en#/http%3A%2F%2Fid.who.int%2Ficd%2Fentity%2F623318691","browser")</x:f>
      </x:c>
      <x:c r="L3932" s="0">
        <x:f>hyperlink("https://icat2.azurewebsites.net/icat/?ontology=ICD&amp;tab=ClassesTab&amp;id=http%3A%2F%2Fwho.int%2Ficd%2319934_512ebf36_bf6b_4d70_85da_cf2637062af4","iCat")</x:f>
      </x:c>
      <x:c r="M3932" s="0" t="s">
        <x:v>21</x:v>
      </x:c>
      <x:c r="N3932" s="0" t="s">
        <x:v>46</x:v>
      </x:c>
    </x:row>
    <x:row r="3933" spans="1:16">
      <x:c r="A3933" s="0" t="s">
        <x:v>15576</x:v>
      </x:c>
      <x:c r="B3933" s="0" t="s">
        <x:v>15577</x:v>
      </x:c>
      <x:c r="C3933" s="0" t="s">
        <x:v>15578</x:v>
      </x:c>
      <x:c r="E3933" s="0" t="s">
        <x:v>15579</x:v>
      </x:c>
      <x:c r="F3933" s="0" t="s">
        <x:v>45</x:v>
      </x:c>
      <x:c r="G3933" s="0" t="s">
        <x:v>19</x:v>
      </x:c>
      <x:c r="H3933" s="0" t="s">
        <x:v>20</x:v>
      </x:c>
      <x:c r="I3933" s="0" t="s">
        <x:v>21</x:v>
      </x:c>
      <x:c r="K3933" s="0">
        <x:f>hyperlink("https://icd.who.int/dev11/l-ichi/en#/http%3A%2F%2Fid.who.int%2Ficd%2Fentity%2F553042381","browser")</x:f>
      </x:c>
      <x:c r="L3933" s="0">
        <x:f>hyperlink("https://icat2.azurewebsites.net/icat/?ontology=ICD&amp;tab=ClassesTab&amp;id=http%3A%2F%2Fwho.int%2Ficd%2319940_512ebf36_bf6b_4d70_85da_cf2637062af4","iCat")</x:f>
      </x:c>
      <x:c r="M3933" s="0" t="s">
        <x:v>21</x:v>
      </x:c>
      <x:c r="N3933" s="0" t="s">
        <x:v>46</x:v>
      </x:c>
    </x:row>
    <x:row r="3934" spans="1:16">
      <x:c r="A3934" s="0" t="s">
        <x:v>15580</x:v>
      </x:c>
      <x:c r="B3934" s="0" t="s">
        <x:v>15581</x:v>
      </x:c>
      <x:c r="C3934" s="0" t="s">
        <x:v>15582</x:v>
      </x:c>
      <x:c r="E3934" s="0" t="s">
        <x:v>15583</x:v>
      </x:c>
      <x:c r="F3934" s="0" t="s">
        <x:v>45</x:v>
      </x:c>
      <x:c r="G3934" s="0" t="s">
        <x:v>19</x:v>
      </x:c>
      <x:c r="H3934" s="0" t="s">
        <x:v>20</x:v>
      </x:c>
      <x:c r="I3934" s="0" t="s">
        <x:v>21</x:v>
      </x:c>
      <x:c r="K3934" s="0">
        <x:f>hyperlink("https://icd.who.int/dev11/l-ichi/en#/http%3A%2F%2Fid.who.int%2Ficd%2Fentity%2F1853337752","browser")</x:f>
      </x:c>
      <x:c r="L3934" s="0">
        <x:f>hyperlink("https://icat2.azurewebsites.net/icat/?ontology=ICD&amp;tab=ClassesTab&amp;id=http%3A%2F%2Fwho.int%2Ficd%2319948_512ebf36_bf6b_4d70_85da_cf2637062af4","iCat")</x:f>
      </x:c>
      <x:c r="M3934" s="0" t="s">
        <x:v>21</x:v>
      </x:c>
      <x:c r="N3934" s="0" t="s">
        <x:v>46</x:v>
      </x:c>
    </x:row>
    <x:row r="3935" spans="1:16">
      <x:c r="A3935" s="0" t="s">
        <x:v>15584</x:v>
      </x:c>
      <x:c r="B3935" s="0" t="s">
        <x:v>15585</x:v>
      </x:c>
      <x:c r="C3935" s="0" t="s">
        <x:v>15586</x:v>
      </x:c>
      <x:c r="E3935" s="0" t="s">
        <x:v>15587</x:v>
      </x:c>
      <x:c r="F3935" s="0" t="s">
        <x:v>45</x:v>
      </x:c>
      <x:c r="G3935" s="0" t="s">
        <x:v>19</x:v>
      </x:c>
      <x:c r="H3935" s="0" t="s">
        <x:v>20</x:v>
      </x:c>
      <x:c r="I3935" s="0" t="s">
        <x:v>21</x:v>
      </x:c>
      <x:c r="K3935" s="0">
        <x:f>hyperlink("https://icd.who.int/dev11/l-ichi/en#/http%3A%2F%2Fid.who.int%2Ficd%2Fentity%2F2134151408","browser")</x:f>
      </x:c>
      <x:c r="L3935" s="0">
        <x:f>hyperlink("https://icat2.azurewebsites.net/icat/?ontology=ICD&amp;tab=ClassesTab&amp;id=http%3A%2F%2Fwho.int%2Ficd%2319954_512ebf36_bf6b_4d70_85da_cf2637062af4","iCat")</x:f>
      </x:c>
      <x:c r="M3935" s="0" t="s">
        <x:v>21</x:v>
      </x:c>
      <x:c r="N3935" s="0" t="s">
        <x:v>46</x:v>
      </x:c>
    </x:row>
    <x:row r="3936" spans="1:16">
      <x:c r="A3936" s="0" t="s">
        <x:v>15588</x:v>
      </x:c>
      <x:c r="B3936" s="0" t="s">
        <x:v>15589</x:v>
      </x:c>
      <x:c r="D3936" s="0" t="s">
        <x:v>15590</x:v>
      </x:c>
      <x:c r="E3936" s="0" t="s">
        <x:v>15591</x:v>
      </x:c>
      <x:c r="F3936" s="0" t="s">
        <x:v>26</x:v>
      </x:c>
      <x:c r="G3936" s="0" t="s">
        <x:v>22</x:v>
      </x:c>
      <x:c r="H3936" s="0" t="s">
        <x:v>20</x:v>
      </x:c>
      <x:c r="I3936" s="0" t="s">
        <x:v>21</x:v>
      </x:c>
      <x:c r="K3936" s="0">
        <x:f>hyperlink("https://icd.who.int/dev11/l-ichi/en#/http%3A%2F%2Fid.who.int%2Ficd%2Fentity%2F1878919514","browser")</x:f>
      </x:c>
      <x:c r="L3936" s="0">
        <x:f>hyperlink("https://icat2.azurewebsites.net/icat/?ontology=ICD&amp;tab=ClassesTab&amp;id=http%3A%2F%2Fwho.int%2Ficd%2319962_512ebf36_bf6b_4d70_85da_cf2637062af4","iCat")</x:f>
      </x:c>
      <x:c r="M3936" s="0" t="s">
        <x:v>20</x:v>
      </x:c>
      <x:c r="N3936" s="0" t="s">
        <x:v>4366</x:v>
      </x:c>
    </x:row>
    <x:row r="3937" spans="1:16">
      <x:c r="A3937" s="0" t="s">
        <x:v>15592</x:v>
      </x:c>
      <x:c r="B3937" s="0" t="s">
        <x:v>15593</x:v>
      </x:c>
      <x:c r="C3937" s="0" t="s">
        <x:v>15594</x:v>
      </x:c>
      <x:c r="E3937" s="0" t="s">
        <x:v>15595</x:v>
      </x:c>
      <x:c r="F3937" s="0" t="s">
        <x:v>45</x:v>
      </x:c>
      <x:c r="G3937" s="0" t="s">
        <x:v>19</x:v>
      </x:c>
      <x:c r="H3937" s="0" t="s">
        <x:v>20</x:v>
      </x:c>
      <x:c r="I3937" s="0" t="s">
        <x:v>21</x:v>
      </x:c>
      <x:c r="K3937" s="0">
        <x:f>hyperlink("https://icd.who.int/dev11/l-ichi/en#/http%3A%2F%2Fid.who.int%2Ficd%2Fentity%2F712730273","browser")</x:f>
      </x:c>
      <x:c r="L3937" s="0">
        <x:f>hyperlink("https://icat2.azurewebsites.net/icat/?ontology=ICD&amp;tab=ClassesTab&amp;id=http%3A%2F%2Fwho.int%2Ficd%2319961_512ebf36_bf6b_4d70_85da_cf2637062af4","iCat")</x:f>
      </x:c>
      <x:c r="M3937" s="0" t="s">
        <x:v>21</x:v>
      </x:c>
      <x:c r="N3937" s="0" t="s">
        <x:v>46</x:v>
      </x:c>
    </x:row>
    <x:row r="3938" spans="1:16">
      <x:c r="A3938" s="0" t="s">
        <x:v>15596</x:v>
      </x:c>
      <x:c r="B3938" s="0" t="s">
        <x:v>15597</x:v>
      </x:c>
      <x:c r="C3938" s="0" t="s">
        <x:v>15598</x:v>
      </x:c>
      <x:c r="E3938" s="0" t="s">
        <x:v>15599</x:v>
      </x:c>
      <x:c r="F3938" s="0" t="s">
        <x:v>45</x:v>
      </x:c>
      <x:c r="G3938" s="0" t="s">
        <x:v>19</x:v>
      </x:c>
      <x:c r="H3938" s="0" t="s">
        <x:v>20</x:v>
      </x:c>
      <x:c r="I3938" s="0" t="s">
        <x:v>21</x:v>
      </x:c>
      <x:c r="K3938" s="0">
        <x:f>hyperlink("https://icd.who.int/dev11/l-ichi/en#/http%3A%2F%2Fid.who.int%2Ficd%2Fentity%2F1430275518","browser")</x:f>
      </x:c>
      <x:c r="L3938" s="0">
        <x:f>hyperlink("https://icat2.azurewebsites.net/icat/?ontology=ICD&amp;tab=ClassesTab&amp;id=http%3A%2F%2Fwho.int%2Ficd%2319974_512ebf36_bf6b_4d70_85da_cf2637062af4","iCat")</x:f>
      </x:c>
      <x:c r="M3938" s="0" t="s">
        <x:v>21</x:v>
      </x:c>
      <x:c r="N3938" s="0" t="s">
        <x:v>46</x:v>
      </x:c>
    </x:row>
    <x:row r="3939" spans="1:16">
      <x:c r="A3939" s="0" t="s">
        <x:v>15600</x:v>
      </x:c>
      <x:c r="B3939" s="0" t="s">
        <x:v>15601</x:v>
      </x:c>
      <x:c r="C3939" s="0" t="s">
        <x:v>15602</x:v>
      </x:c>
      <x:c r="E3939" s="0" t="s">
        <x:v>15603</x:v>
      </x:c>
      <x:c r="F3939" s="0" t="s">
        <x:v>45</x:v>
      </x:c>
      <x:c r="G3939" s="0" t="s">
        <x:v>19</x:v>
      </x:c>
      <x:c r="H3939" s="0" t="s">
        <x:v>20</x:v>
      </x:c>
      <x:c r="I3939" s="0" t="s">
        <x:v>21</x:v>
      </x:c>
      <x:c r="K3939" s="0">
        <x:f>hyperlink("https://icd.who.int/dev11/l-ichi/en#/http%3A%2F%2Fid.who.int%2Ficd%2Fentity%2F1868151080","browser")</x:f>
      </x:c>
      <x:c r="L3939" s="0">
        <x:f>hyperlink("https://icat2.azurewebsites.net/icat/?ontology=ICD&amp;tab=ClassesTab&amp;id=http%3A%2F%2Fwho.int%2Ficd%2319981_512ebf36_bf6b_4d70_85da_cf2637062af4","iCat")</x:f>
      </x:c>
      <x:c r="M3939" s="0" t="s">
        <x:v>21</x:v>
      </x:c>
      <x:c r="N3939" s="0" t="s">
        <x:v>46</x:v>
      </x:c>
    </x:row>
    <x:row r="3940" spans="1:16">
      <x:c r="A3940" s="0" t="s">
        <x:v>15604</x:v>
      </x:c>
      <x:c r="B3940" s="0" t="s">
        <x:v>15605</x:v>
      </x:c>
      <x:c r="C3940" s="0" t="s">
        <x:v>15606</x:v>
      </x:c>
      <x:c r="E3940" s="0" t="s">
        <x:v>15607</x:v>
      </x:c>
      <x:c r="F3940" s="0" t="s">
        <x:v>45</x:v>
      </x:c>
      <x:c r="G3940" s="0" t="s">
        <x:v>19</x:v>
      </x:c>
      <x:c r="H3940" s="0" t="s">
        <x:v>20</x:v>
      </x:c>
      <x:c r="I3940" s="0" t="s">
        <x:v>21</x:v>
      </x:c>
      <x:c r="K3940" s="0">
        <x:f>hyperlink("https://icd.who.int/dev11/l-ichi/en#/http%3A%2F%2Fid.who.int%2Ficd%2Fentity%2F18987585","browser")</x:f>
      </x:c>
      <x:c r="L3940" s="0">
        <x:f>hyperlink("https://icat2.azurewebsites.net/icat/?ontology=ICD&amp;tab=ClassesTab&amp;id=http%3A%2F%2Fwho.int%2Ficd%2319988_512ebf36_bf6b_4d70_85da_cf2637062af4","iCat")</x:f>
      </x:c>
      <x:c r="M3940" s="0" t="s">
        <x:v>21</x:v>
      </x:c>
      <x:c r="N3940" s="0" t="s">
        <x:v>46</x:v>
      </x:c>
    </x:row>
    <x:row r="3941" spans="1:16">
      <x:c r="A3941" s="0" t="s">
        <x:v>15608</x:v>
      </x:c>
      <x:c r="B3941" s="0" t="s">
        <x:v>15609</x:v>
      </x:c>
      <x:c r="C3941" s="0" t="s">
        <x:v>15610</x:v>
      </x:c>
      <x:c r="E3941" s="0" t="s">
        <x:v>15611</x:v>
      </x:c>
      <x:c r="F3941" s="0" t="s">
        <x:v>45</x:v>
      </x:c>
      <x:c r="G3941" s="0" t="s">
        <x:v>19</x:v>
      </x:c>
      <x:c r="H3941" s="0" t="s">
        <x:v>20</x:v>
      </x:c>
      <x:c r="I3941" s="0" t="s">
        <x:v>21</x:v>
      </x:c>
      <x:c r="K3941" s="0">
        <x:f>hyperlink("https://icd.who.int/dev11/l-ichi/en#/http%3A%2F%2Fid.who.int%2Ficd%2Fentity%2F815523851","browser")</x:f>
      </x:c>
      <x:c r="L3941" s="0">
        <x:f>hyperlink("https://icat2.azurewebsites.net/icat/?ontology=ICD&amp;tab=ClassesTab&amp;id=http%3A%2F%2Fwho.int%2Ficd%2319995_512ebf36_bf6b_4d70_85da_cf2637062af4","iCat")</x:f>
      </x:c>
      <x:c r="M3941" s="0" t="s">
        <x:v>21</x:v>
      </x:c>
      <x:c r="N3941" s="0" t="s">
        <x:v>46</x:v>
      </x:c>
    </x:row>
    <x:row r="3942" spans="1:16">
      <x:c r="A3942" s="0" t="s">
        <x:v>15612</x:v>
      </x:c>
      <x:c r="B3942" s="0" t="s">
        <x:v>15613</x:v>
      </x:c>
      <x:c r="C3942" s="0" t="s">
        <x:v>15614</x:v>
      </x:c>
      <x:c r="E3942" s="0" t="s">
        <x:v>15615</x:v>
      </x:c>
      <x:c r="F3942" s="0" t="s">
        <x:v>45</x:v>
      </x:c>
      <x:c r="G3942" s="0" t="s">
        <x:v>19</x:v>
      </x:c>
      <x:c r="H3942" s="0" t="s">
        <x:v>20</x:v>
      </x:c>
      <x:c r="I3942" s="0" t="s">
        <x:v>21</x:v>
      </x:c>
      <x:c r="K3942" s="0">
        <x:f>hyperlink("https://icd.who.int/dev11/l-ichi/en#/http%3A%2F%2Fid.who.int%2Ficd%2Fentity%2F1314256695","browser")</x:f>
      </x:c>
      <x:c r="L3942" s="0">
        <x:f>hyperlink("https://icat2.azurewebsites.net/icat/?ontology=ICD&amp;tab=ClassesTab&amp;id=http%3A%2F%2Fwho.int%2Ficd%2320002_512ebf36_bf6b_4d70_85da_cf2637062af4","iCat")</x:f>
      </x:c>
      <x:c r="M3942" s="0" t="s">
        <x:v>21</x:v>
      </x:c>
      <x:c r="N3942" s="0" t="s">
        <x:v>46</x:v>
      </x:c>
    </x:row>
    <x:row r="3943" spans="1:16">
      <x:c r="A3943" s="0" t="s">
        <x:v>15616</x:v>
      </x:c>
      <x:c r="B3943" s="0" t="s">
        <x:v>15617</x:v>
      </x:c>
      <x:c r="C3943" s="0" t="s">
        <x:v>15618</x:v>
      </x:c>
      <x:c r="E3943" s="0" t="s">
        <x:v>15619</x:v>
      </x:c>
      <x:c r="F3943" s="0" t="s">
        <x:v>45</x:v>
      </x:c>
      <x:c r="G3943" s="0" t="s">
        <x:v>19</x:v>
      </x:c>
      <x:c r="H3943" s="0" t="s">
        <x:v>20</x:v>
      </x:c>
      <x:c r="I3943" s="0" t="s">
        <x:v>21</x:v>
      </x:c>
      <x:c r="K3943" s="0">
        <x:f>hyperlink("https://icd.who.int/dev11/l-ichi/en#/http%3A%2F%2Fid.who.int%2Ficd%2Fentity%2F1162996123","browser")</x:f>
      </x:c>
      <x:c r="L3943" s="0">
        <x:f>hyperlink("https://icat2.azurewebsites.net/icat/?ontology=ICD&amp;tab=ClassesTab&amp;id=http%3A%2F%2Fwho.int%2Ficd%2320009_512ebf36_bf6b_4d70_85da_cf2637062af4","iCat")</x:f>
      </x:c>
      <x:c r="M3943" s="0" t="s">
        <x:v>21</x:v>
      </x:c>
      <x:c r="N3943" s="0" t="s">
        <x:v>46</x:v>
      </x:c>
    </x:row>
    <x:row r="3944" spans="1:16">
      <x:c r="A3944" s="0" t="s">
        <x:v>15620</x:v>
      </x:c>
      <x:c r="B3944" s="0" t="s">
        <x:v>15621</x:v>
      </x:c>
      <x:c r="C3944" s="0" t="s">
        <x:v>15622</x:v>
      </x:c>
      <x:c r="E3944" s="0" t="s">
        <x:v>15623</x:v>
      </x:c>
      <x:c r="F3944" s="0" t="s">
        <x:v>45</x:v>
      </x:c>
      <x:c r="G3944" s="0" t="s">
        <x:v>19</x:v>
      </x:c>
      <x:c r="H3944" s="0" t="s">
        <x:v>20</x:v>
      </x:c>
      <x:c r="I3944" s="0" t="s">
        <x:v>21</x:v>
      </x:c>
      <x:c r="K3944" s="0">
        <x:f>hyperlink("https://icd.who.int/dev11/l-ichi/en#/http%3A%2F%2Fid.who.int%2Ficd%2Fentity%2F295151126","browser")</x:f>
      </x:c>
      <x:c r="L3944" s="0">
        <x:f>hyperlink("https://icat2.azurewebsites.net/icat/?ontology=ICD&amp;tab=ClassesTab&amp;id=http%3A%2F%2Fwho.int%2Ficd%2320016_512ebf36_bf6b_4d70_85da_cf2637062af4","iCat")</x:f>
      </x:c>
      <x:c r="M3944" s="0" t="s">
        <x:v>21</x:v>
      </x:c>
      <x:c r="N3944" s="0" t="s">
        <x:v>46</x:v>
      </x:c>
    </x:row>
    <x:row r="3945" spans="1:16">
      <x:c r="A3945" s="0" t="s">
        <x:v>15624</x:v>
      </x:c>
      <x:c r="B3945" s="0" t="s">
        <x:v>15625</x:v>
      </x:c>
      <x:c r="C3945" s="0" t="s">
        <x:v>15626</x:v>
      </x:c>
      <x:c r="E3945" s="0" t="s">
        <x:v>15627</x:v>
      </x:c>
      <x:c r="F3945" s="0" t="s">
        <x:v>45</x:v>
      </x:c>
      <x:c r="G3945" s="0" t="s">
        <x:v>19</x:v>
      </x:c>
      <x:c r="H3945" s="0" t="s">
        <x:v>20</x:v>
      </x:c>
      <x:c r="I3945" s="0" t="s">
        <x:v>21</x:v>
      </x:c>
      <x:c r="K3945" s="0">
        <x:f>hyperlink("https://icd.who.int/dev11/l-ichi/en#/http%3A%2F%2Fid.who.int%2Ficd%2Fentity%2F1155027035","browser")</x:f>
      </x:c>
      <x:c r="L3945" s="0">
        <x:f>hyperlink("https://icat2.azurewebsites.net/icat/?ontology=ICD&amp;tab=ClassesTab&amp;id=http%3A%2F%2Fwho.int%2Ficd%2320023_512ebf36_bf6b_4d70_85da_cf2637062af4","iCat")</x:f>
      </x:c>
      <x:c r="M3945" s="0" t="s">
        <x:v>21</x:v>
      </x:c>
      <x:c r="N3945" s="0" t="s">
        <x:v>46</x:v>
      </x:c>
    </x:row>
    <x:row r="3946" spans="1:16">
      <x:c r="A3946" s="0" t="s">
        <x:v>15628</x:v>
      </x:c>
      <x:c r="B3946" s="0" t="s">
        <x:v>15629</x:v>
      </x:c>
      <x:c r="C3946" s="0" t="s">
        <x:v>15630</x:v>
      </x:c>
      <x:c r="E3946" s="0" t="s">
        <x:v>15631</x:v>
      </x:c>
      <x:c r="F3946" s="0" t="s">
        <x:v>45</x:v>
      </x:c>
      <x:c r="G3946" s="0" t="s">
        <x:v>19</x:v>
      </x:c>
      <x:c r="H3946" s="0" t="s">
        <x:v>20</x:v>
      </x:c>
      <x:c r="I3946" s="0" t="s">
        <x:v>21</x:v>
      </x:c>
      <x:c r="K3946" s="0">
        <x:f>hyperlink("https://icd.who.int/dev11/l-ichi/en#/http%3A%2F%2Fid.who.int%2Ficd%2Fentity%2F1805167349","browser")</x:f>
      </x:c>
      <x:c r="L3946" s="0">
        <x:f>hyperlink("https://icat2.azurewebsites.net/icat/?ontology=ICD&amp;tab=ClassesTab&amp;id=http%3A%2F%2Fwho.int%2Ficd%2320030_512ebf36_bf6b_4d70_85da_cf2637062af4","iCat")</x:f>
      </x:c>
      <x:c r="M3946" s="0" t="s">
        <x:v>21</x:v>
      </x:c>
      <x:c r="N3946" s="0" t="s">
        <x:v>46</x:v>
      </x:c>
    </x:row>
    <x:row r="3947" spans="1:16">
      <x:c r="A3947" s="0" t="s">
        <x:v>15632</x:v>
      </x:c>
      <x:c r="B3947" s="0" t="s">
        <x:v>15633</x:v>
      </x:c>
      <x:c r="C3947" s="0" t="s">
        <x:v>15634</x:v>
      </x:c>
      <x:c r="E3947" s="0" t="s">
        <x:v>15635</x:v>
      </x:c>
      <x:c r="F3947" s="0" t="s">
        <x:v>45</x:v>
      </x:c>
      <x:c r="G3947" s="0" t="s">
        <x:v>19</x:v>
      </x:c>
      <x:c r="H3947" s="0" t="s">
        <x:v>20</x:v>
      </x:c>
      <x:c r="I3947" s="0" t="s">
        <x:v>21</x:v>
      </x:c>
      <x:c r="K3947" s="0">
        <x:f>hyperlink("https://icd.who.int/dev11/l-ichi/en#/http%3A%2F%2Fid.who.int%2Ficd%2Fentity%2F454689146","browser")</x:f>
      </x:c>
      <x:c r="L3947" s="0">
        <x:f>hyperlink("https://icat2.azurewebsites.net/icat/?ontology=ICD&amp;tab=ClassesTab&amp;id=http%3A%2F%2Fwho.int%2Ficd%2320037_512ebf36_bf6b_4d70_85da_cf2637062af4","iCat")</x:f>
      </x:c>
      <x:c r="M3947" s="0" t="s">
        <x:v>21</x:v>
      </x:c>
      <x:c r="N3947" s="0" t="s">
        <x:v>46</x:v>
      </x:c>
    </x:row>
    <x:row r="3948" spans="1:16">
      <x:c r="A3948" s="0" t="s">
        <x:v>15636</x:v>
      </x:c>
      <x:c r="B3948" s="0" t="s">
        <x:v>15637</x:v>
      </x:c>
      <x:c r="C3948" s="0" t="s">
        <x:v>15638</x:v>
      </x:c>
      <x:c r="E3948" s="0" t="s">
        <x:v>15639</x:v>
      </x:c>
      <x:c r="F3948" s="0" t="s">
        <x:v>45</x:v>
      </x:c>
      <x:c r="G3948" s="0" t="s">
        <x:v>19</x:v>
      </x:c>
      <x:c r="H3948" s="0" t="s">
        <x:v>20</x:v>
      </x:c>
      <x:c r="I3948" s="0" t="s">
        <x:v>21</x:v>
      </x:c>
      <x:c r="K3948" s="0">
        <x:f>hyperlink("https://icd.who.int/dev11/l-ichi/en#/http%3A%2F%2Fid.who.int%2Ficd%2Fentity%2F76343502","browser")</x:f>
      </x:c>
      <x:c r="L3948" s="0">
        <x:f>hyperlink("https://icat2.azurewebsites.net/icat/?ontology=ICD&amp;tab=ClassesTab&amp;id=http%3A%2F%2Fwho.int%2Ficd%2320054_512ebf36_bf6b_4d70_85da_cf2637062af4","iCat")</x:f>
      </x:c>
      <x:c r="M3948" s="0" t="s">
        <x:v>21</x:v>
      </x:c>
      <x:c r="N3948" s="0" t="s">
        <x:v>46</x:v>
      </x:c>
    </x:row>
    <x:row r="3949" spans="1:16">
      <x:c r="A3949" s="0" t="s">
        <x:v>15640</x:v>
      </x:c>
      <x:c r="B3949" s="0" t="s">
        <x:v>15641</x:v>
      </x:c>
      <x:c r="C3949" s="0" t="s">
        <x:v>15642</x:v>
      </x:c>
      <x:c r="E3949" s="0" t="s">
        <x:v>15643</x:v>
      </x:c>
      <x:c r="F3949" s="0" t="s">
        <x:v>45</x:v>
      </x:c>
      <x:c r="G3949" s="0" t="s">
        <x:v>19</x:v>
      </x:c>
      <x:c r="H3949" s="0" t="s">
        <x:v>20</x:v>
      </x:c>
      <x:c r="I3949" s="0" t="s">
        <x:v>21</x:v>
      </x:c>
      <x:c r="K3949" s="0">
        <x:f>hyperlink("https://icd.who.int/dev11/l-ichi/en#/http%3A%2F%2Fid.who.int%2Ficd%2Fentity%2F1371741827","browser")</x:f>
      </x:c>
      <x:c r="L3949" s="0">
        <x:f>hyperlink("https://icat2.azurewebsites.net/icat/?ontology=ICD&amp;tab=ClassesTab&amp;id=http%3A%2F%2Fwho.int%2Ficd%2320061_512ebf36_bf6b_4d70_85da_cf2637062af4","iCat")</x:f>
      </x:c>
      <x:c r="M3949" s="0" t="s">
        <x:v>21</x:v>
      </x:c>
      <x:c r="N3949" s="0" t="s">
        <x:v>46</x:v>
      </x:c>
    </x:row>
    <x:row r="3950" spans="1:16">
      <x:c r="A3950" s="0" t="s">
        <x:v>15644</x:v>
      </x:c>
      <x:c r="B3950" s="0" t="s">
        <x:v>15645</x:v>
      </x:c>
      <x:c r="C3950" s="0" t="s">
        <x:v>15646</x:v>
      </x:c>
      <x:c r="E3950" s="0" t="s">
        <x:v>15647</x:v>
      </x:c>
      <x:c r="F3950" s="0" t="s">
        <x:v>45</x:v>
      </x:c>
      <x:c r="G3950" s="0" t="s">
        <x:v>19</x:v>
      </x:c>
      <x:c r="H3950" s="0" t="s">
        <x:v>20</x:v>
      </x:c>
      <x:c r="I3950" s="0" t="s">
        <x:v>21</x:v>
      </x:c>
      <x:c r="K3950" s="0">
        <x:f>hyperlink("https://icd.who.int/dev11/l-ichi/en#/http%3A%2F%2Fid.who.int%2Ficd%2Fentity%2F1069227500","browser")</x:f>
      </x:c>
      <x:c r="L3950" s="0">
        <x:f>hyperlink("https://icat2.azurewebsites.net/icat/?ontology=ICD&amp;tab=ClassesTab&amp;id=http%3A%2F%2Fwho.int%2Ficd%2320068_512ebf36_bf6b_4d70_85da_cf2637062af4","iCat")</x:f>
      </x:c>
      <x:c r="M3950" s="0" t="s">
        <x:v>21</x:v>
      </x:c>
      <x:c r="N3950" s="0" t="s">
        <x:v>46</x:v>
      </x:c>
    </x:row>
    <x:row r="3951" spans="1:16">
      <x:c r="A3951" s="0" t="s">
        <x:v>15648</x:v>
      </x:c>
      <x:c r="B3951" s="0" t="s">
        <x:v>15649</x:v>
      </x:c>
      <x:c r="C3951" s="0" t="s">
        <x:v>15650</x:v>
      </x:c>
      <x:c r="E3951" s="0" t="s">
        <x:v>15651</x:v>
      </x:c>
      <x:c r="F3951" s="0" t="s">
        <x:v>45</x:v>
      </x:c>
      <x:c r="G3951" s="0" t="s">
        <x:v>19</x:v>
      </x:c>
      <x:c r="H3951" s="0" t="s">
        <x:v>20</x:v>
      </x:c>
      <x:c r="I3951" s="0" t="s">
        <x:v>21</x:v>
      </x:c>
      <x:c r="K3951" s="0">
        <x:f>hyperlink("https://icd.who.int/dev11/l-ichi/en#/http%3A%2F%2Fid.who.int%2Ficd%2Fentity%2F234966946","browser")</x:f>
      </x:c>
      <x:c r="L3951" s="0">
        <x:f>hyperlink("https://icat2.azurewebsites.net/icat/?ontology=ICD&amp;tab=ClassesTab&amp;id=http%3A%2F%2Fwho.int%2Ficd%2320075_512ebf36_bf6b_4d70_85da_cf2637062af4","iCat")</x:f>
      </x:c>
      <x:c r="M3951" s="0" t="s">
        <x:v>21</x:v>
      </x:c>
      <x:c r="N3951" s="0" t="s">
        <x:v>46</x:v>
      </x:c>
    </x:row>
    <x:row r="3952" spans="1:16">
      <x:c r="A3952" s="0" t="s">
        <x:v>15652</x:v>
      </x:c>
      <x:c r="B3952" s="0" t="s">
        <x:v>15653</x:v>
      </x:c>
      <x:c r="C3952" s="0" t="s">
        <x:v>15654</x:v>
      </x:c>
      <x:c r="E3952" s="0" t="s">
        <x:v>15655</x:v>
      </x:c>
      <x:c r="F3952" s="0" t="s">
        <x:v>45</x:v>
      </x:c>
      <x:c r="G3952" s="0" t="s">
        <x:v>19</x:v>
      </x:c>
      <x:c r="H3952" s="0" t="s">
        <x:v>20</x:v>
      </x:c>
      <x:c r="I3952" s="0" t="s">
        <x:v>21</x:v>
      </x:c>
      <x:c r="K3952" s="0">
        <x:f>hyperlink("https://icd.who.int/dev11/l-ichi/en#/http%3A%2F%2Fid.who.int%2Ficd%2Fentity%2F1365552883","browser")</x:f>
      </x:c>
      <x:c r="L3952" s="0">
        <x:f>hyperlink("https://icat2.azurewebsites.net/icat/?ontology=ICD&amp;tab=ClassesTab&amp;id=http%3A%2F%2Fwho.int%2Ficd%2320082_512ebf36_bf6b_4d70_85da_cf2637062af4","iCat")</x:f>
      </x:c>
      <x:c r="M3952" s="0" t="s">
        <x:v>21</x:v>
      </x:c>
      <x:c r="N3952" s="0" t="s">
        <x:v>46</x:v>
      </x:c>
    </x:row>
    <x:row r="3953" spans="1:16">
      <x:c r="A3953" s="0" t="s">
        <x:v>15656</x:v>
      </x:c>
      <x:c r="B3953" s="0" t="s">
        <x:v>15657</x:v>
      </x:c>
      <x:c r="C3953" s="0" t="s">
        <x:v>15658</x:v>
      </x:c>
      <x:c r="E3953" s="0" t="s">
        <x:v>15659</x:v>
      </x:c>
      <x:c r="F3953" s="0" t="s">
        <x:v>45</x:v>
      </x:c>
      <x:c r="G3953" s="0" t="s">
        <x:v>19</x:v>
      </x:c>
      <x:c r="H3953" s="0" t="s">
        <x:v>20</x:v>
      </x:c>
      <x:c r="I3953" s="0" t="s">
        <x:v>21</x:v>
      </x:c>
      <x:c r="K3953" s="0">
        <x:f>hyperlink("https://icd.who.int/dev11/l-ichi/en#/http%3A%2F%2Fid.who.int%2Ficd%2Fentity%2F1516286047","browser")</x:f>
      </x:c>
      <x:c r="L3953" s="0">
        <x:f>hyperlink("https://icat2.azurewebsites.net/icat/?ontology=ICD&amp;tab=ClassesTab&amp;id=http%3A%2F%2Fwho.int%2Ficd%2320089_512ebf36_bf6b_4d70_85da_cf2637062af4","iCat")</x:f>
      </x:c>
      <x:c r="M3953" s="0" t="s">
        <x:v>21</x:v>
      </x:c>
      <x:c r="N3953" s="0" t="s">
        <x:v>46</x:v>
      </x:c>
    </x:row>
    <x:row r="3954" spans="1:16">
      <x:c r="A3954" s="0" t="s">
        <x:v>15660</x:v>
      </x:c>
      <x:c r="B3954" s="0" t="s">
        <x:v>15661</x:v>
      </x:c>
      <x:c r="C3954" s="0" t="s">
        <x:v>15662</x:v>
      </x:c>
      <x:c r="E3954" s="0" t="s">
        <x:v>15663</x:v>
      </x:c>
      <x:c r="F3954" s="0" t="s">
        <x:v>45</x:v>
      </x:c>
      <x:c r="G3954" s="0" t="s">
        <x:v>19</x:v>
      </x:c>
      <x:c r="H3954" s="0" t="s">
        <x:v>20</x:v>
      </x:c>
      <x:c r="I3954" s="0" t="s">
        <x:v>21</x:v>
      </x:c>
      <x:c r="K3954" s="0">
        <x:f>hyperlink("https://icd.who.int/dev11/l-ichi/en#/http%3A%2F%2Fid.who.int%2Ficd%2Fentity%2F245825488","browser")</x:f>
      </x:c>
      <x:c r="L3954" s="0">
        <x:f>hyperlink("https://icat2.azurewebsites.net/icat/?ontology=ICD&amp;tab=ClassesTab&amp;id=http%3A%2F%2Fwho.int%2Ficd%2320096_512ebf36_bf6b_4d70_85da_cf2637062af4","iCat")</x:f>
      </x:c>
      <x:c r="M3954" s="0" t="s">
        <x:v>21</x:v>
      </x:c>
      <x:c r="N3954" s="0" t="s">
        <x:v>46</x:v>
      </x:c>
    </x:row>
    <x:row r="3955" spans="1:16">
      <x:c r="A3955" s="0" t="s">
        <x:v>15664</x:v>
      </x:c>
      <x:c r="B3955" s="0" t="s">
        <x:v>15665</x:v>
      </x:c>
      <x:c r="C3955" s="0" t="s">
        <x:v>15666</x:v>
      </x:c>
      <x:c r="E3955" s="0" t="s">
        <x:v>15667</x:v>
      </x:c>
      <x:c r="F3955" s="0" t="s">
        <x:v>45</x:v>
      </x:c>
      <x:c r="G3955" s="0" t="s">
        <x:v>19</x:v>
      </x:c>
      <x:c r="H3955" s="0" t="s">
        <x:v>20</x:v>
      </x:c>
      <x:c r="I3955" s="0" t="s">
        <x:v>21</x:v>
      </x:c>
      <x:c r="K3955" s="0">
        <x:f>hyperlink("https://icd.who.int/dev11/l-ichi/en#/http%3A%2F%2Fid.who.int%2Ficd%2Fentity%2F456344472","browser")</x:f>
      </x:c>
      <x:c r="L3955" s="0">
        <x:f>hyperlink("https://icat2.azurewebsites.net/icat/?ontology=ICD&amp;tab=ClassesTab&amp;id=http%3A%2F%2Fwho.int%2Ficd%2320103_512ebf36_bf6b_4d70_85da_cf2637062af4","iCat")</x:f>
      </x:c>
      <x:c r="M3955" s="0" t="s">
        <x:v>21</x:v>
      </x:c>
      <x:c r="N3955" s="0" t="s">
        <x:v>46</x:v>
      </x:c>
    </x:row>
    <x:row r="3956" spans="1:16">
      <x:c r="A3956" s="0" t="s">
        <x:v>15668</x:v>
      </x:c>
      <x:c r="B3956" s="0" t="s">
        <x:v>15669</x:v>
      </x:c>
      <x:c r="C3956" s="0" t="s">
        <x:v>15670</x:v>
      </x:c>
      <x:c r="E3956" s="0" t="s">
        <x:v>15671</x:v>
      </x:c>
      <x:c r="F3956" s="0" t="s">
        <x:v>45</x:v>
      </x:c>
      <x:c r="G3956" s="0" t="s">
        <x:v>19</x:v>
      </x:c>
      <x:c r="H3956" s="0" t="s">
        <x:v>20</x:v>
      </x:c>
      <x:c r="I3956" s="0" t="s">
        <x:v>21</x:v>
      </x:c>
      <x:c r="K3956" s="0">
        <x:f>hyperlink("https://icd.who.int/dev11/l-ichi/en#/http%3A%2F%2Fid.who.int%2Ficd%2Fentity%2F879999288","browser")</x:f>
      </x:c>
      <x:c r="L3956" s="0">
        <x:f>hyperlink("https://icat2.azurewebsites.net/icat/?ontology=ICD&amp;tab=ClassesTab&amp;id=http%3A%2F%2Fwho.int%2Ficd%2320110_512ebf36_bf6b_4d70_85da_cf2637062af4","iCat")</x:f>
      </x:c>
      <x:c r="M3956" s="0" t="s">
        <x:v>21</x:v>
      </x:c>
      <x:c r="N3956" s="0" t="s">
        <x:v>46</x:v>
      </x:c>
    </x:row>
    <x:row r="3957" spans="1:16">
      <x:c r="A3957" s="0" t="s">
        <x:v>15672</x:v>
      </x:c>
      <x:c r="B3957" s="0" t="s">
        <x:v>15673</x:v>
      </x:c>
      <x:c r="C3957" s="0" t="s">
        <x:v>15674</x:v>
      </x:c>
      <x:c r="E3957" s="0" t="s">
        <x:v>15675</x:v>
      </x:c>
      <x:c r="F3957" s="0" t="s">
        <x:v>45</x:v>
      </x:c>
      <x:c r="G3957" s="0" t="s">
        <x:v>19</x:v>
      </x:c>
      <x:c r="H3957" s="0" t="s">
        <x:v>20</x:v>
      </x:c>
      <x:c r="I3957" s="0" t="s">
        <x:v>21</x:v>
      </x:c>
      <x:c r="K3957" s="0">
        <x:f>hyperlink("https://icd.who.int/dev11/l-ichi/en#/http%3A%2F%2Fid.who.int%2Ficd%2Fentity%2F1156649653","browser")</x:f>
      </x:c>
      <x:c r="L3957" s="0">
        <x:f>hyperlink("https://icat2.azurewebsites.net/icat/?ontology=ICD&amp;tab=ClassesTab&amp;id=http%3A%2F%2Fwho.int%2Ficd%2320117_512ebf36_bf6b_4d70_85da_cf2637062af4","iCat")</x:f>
      </x:c>
      <x:c r="M3957" s="0" t="s">
        <x:v>21</x:v>
      </x:c>
      <x:c r="N3957" s="0" t="s">
        <x:v>46</x:v>
      </x:c>
    </x:row>
    <x:row r="3958" spans="1:16">
      <x:c r="A3958" s="0" t="s">
        <x:v>15676</x:v>
      </x:c>
      <x:c r="B3958" s="0" t="s">
        <x:v>15677</x:v>
      </x:c>
      <x:c r="C3958" s="0" t="s">
        <x:v>15678</x:v>
      </x:c>
      <x:c r="E3958" s="0" t="s">
        <x:v>15679</x:v>
      </x:c>
      <x:c r="F3958" s="0" t="s">
        <x:v>45</x:v>
      </x:c>
      <x:c r="G3958" s="0" t="s">
        <x:v>19</x:v>
      </x:c>
      <x:c r="H3958" s="0" t="s">
        <x:v>20</x:v>
      </x:c>
      <x:c r="I3958" s="0" t="s">
        <x:v>21</x:v>
      </x:c>
      <x:c r="K3958" s="0">
        <x:f>hyperlink("https://icd.who.int/dev11/l-ichi/en#/http%3A%2F%2Fid.who.int%2Ficd%2Fentity%2F1103445323","browser")</x:f>
      </x:c>
      <x:c r="L3958" s="0">
        <x:f>hyperlink("https://icat2.azurewebsites.net/icat/?ontology=ICD&amp;tab=ClassesTab&amp;id=http%3A%2F%2Fwho.int%2Ficd%2320124_512ebf36_bf6b_4d70_85da_cf2637062af4","iCat")</x:f>
      </x:c>
      <x:c r="M3958" s="0" t="s">
        <x:v>21</x:v>
      </x:c>
      <x:c r="N3958" s="0" t="s">
        <x:v>46</x:v>
      </x:c>
    </x:row>
    <x:row r="3959" spans="1:16">
      <x:c r="A3959" s="0" t="s">
        <x:v>15680</x:v>
      </x:c>
      <x:c r="B3959" s="0" t="s">
        <x:v>15681</x:v>
      </x:c>
      <x:c r="C3959" s="0" t="s">
        <x:v>15682</x:v>
      </x:c>
      <x:c r="E3959" s="0" t="s">
        <x:v>15683</x:v>
      </x:c>
      <x:c r="F3959" s="0" t="s">
        <x:v>45</x:v>
      </x:c>
      <x:c r="G3959" s="0" t="s">
        <x:v>19</x:v>
      </x:c>
      <x:c r="H3959" s="0" t="s">
        <x:v>20</x:v>
      </x:c>
      <x:c r="I3959" s="0" t="s">
        <x:v>21</x:v>
      </x:c>
      <x:c r="K3959" s="0">
        <x:f>hyperlink("https://icd.who.int/dev11/l-ichi/en#/http%3A%2F%2Fid.who.int%2Ficd%2Fentity%2F2071687597","browser")</x:f>
      </x:c>
      <x:c r="L3959" s="0">
        <x:f>hyperlink("https://icat2.azurewebsites.net/icat/?ontology=ICD&amp;tab=ClassesTab&amp;id=http%3A%2F%2Fwho.int%2Ficd%2320132_512ebf36_bf6b_4d70_85da_cf2637062af4","iCat")</x:f>
      </x:c>
      <x:c r="M3959" s="0" t="s">
        <x:v>21</x:v>
      </x:c>
      <x:c r="N3959" s="0" t="s">
        <x:v>46</x:v>
      </x:c>
    </x:row>
    <x:row r="3960" spans="1:16">
      <x:c r="A3960" s="0" t="s">
        <x:v>15684</x:v>
      </x:c>
      <x:c r="B3960" s="0" t="s">
        <x:v>15685</x:v>
      </x:c>
      <x:c r="C3960" s="0" t="s">
        <x:v>15686</x:v>
      </x:c>
      <x:c r="E3960" s="0" t="s">
        <x:v>15687</x:v>
      </x:c>
      <x:c r="F3960" s="0" t="s">
        <x:v>45</x:v>
      </x:c>
      <x:c r="G3960" s="0" t="s">
        <x:v>19</x:v>
      </x:c>
      <x:c r="H3960" s="0" t="s">
        <x:v>20</x:v>
      </x:c>
      <x:c r="I3960" s="0" t="s">
        <x:v>21</x:v>
      </x:c>
      <x:c r="K3960" s="0">
        <x:f>hyperlink("https://icd.who.int/dev11/l-ichi/en#/http%3A%2F%2Fid.who.int%2Ficd%2Fentity%2F785481586","browser")</x:f>
      </x:c>
      <x:c r="L3960" s="0">
        <x:f>hyperlink("https://icat2.azurewebsites.net/icat/?ontology=ICD&amp;tab=ClassesTab&amp;id=http%3A%2F%2Fwho.int%2Ficd%2320140_512ebf36_bf6b_4d70_85da_cf2637062af4","iCat")</x:f>
      </x:c>
      <x:c r="M3960" s="0" t="s">
        <x:v>21</x:v>
      </x:c>
      <x:c r="N3960" s="0" t="s">
        <x:v>46</x:v>
      </x:c>
    </x:row>
    <x:row r="3961" spans="1:16">
      <x:c r="A3961" s="0" t="s">
        <x:v>15688</x:v>
      </x:c>
      <x:c r="B3961" s="0" t="s">
        <x:v>15689</x:v>
      </x:c>
      <x:c r="C3961" s="0" t="s">
        <x:v>15690</x:v>
      </x:c>
      <x:c r="E3961" s="0" t="s">
        <x:v>15691</x:v>
      </x:c>
      <x:c r="F3961" s="0" t="s">
        <x:v>45</x:v>
      </x:c>
      <x:c r="G3961" s="0" t="s">
        <x:v>19</x:v>
      </x:c>
      <x:c r="H3961" s="0" t="s">
        <x:v>20</x:v>
      </x:c>
      <x:c r="I3961" s="0" t="s">
        <x:v>21</x:v>
      </x:c>
      <x:c r="K3961" s="0">
        <x:f>hyperlink("https://icd.who.int/dev11/l-ichi/en#/http%3A%2F%2Fid.who.int%2Ficd%2Fentity%2F1582552319","browser")</x:f>
      </x:c>
      <x:c r="L3961" s="0">
        <x:f>hyperlink("https://icat2.azurewebsites.net/icat/?ontology=ICD&amp;tab=ClassesTab&amp;id=http%3A%2F%2Fwho.int%2Ficd%2320147_512ebf36_bf6b_4d70_85da_cf2637062af4","iCat")</x:f>
      </x:c>
      <x:c r="M3961" s="0" t="s">
        <x:v>21</x:v>
      </x:c>
      <x:c r="N3961" s="0" t="s">
        <x:v>46</x:v>
      </x:c>
    </x:row>
    <x:row r="3962" spans="1:16">
      <x:c r="A3962" s="0" t="s">
        <x:v>15692</x:v>
      </x:c>
      <x:c r="B3962" s="0" t="s">
        <x:v>15693</x:v>
      </x:c>
      <x:c r="C3962" s="0" t="s">
        <x:v>15694</x:v>
      </x:c>
      <x:c r="E3962" s="0" t="s">
        <x:v>15695</x:v>
      </x:c>
      <x:c r="F3962" s="0" t="s">
        <x:v>45</x:v>
      </x:c>
      <x:c r="G3962" s="0" t="s">
        <x:v>19</x:v>
      </x:c>
      <x:c r="H3962" s="0" t="s">
        <x:v>20</x:v>
      </x:c>
      <x:c r="I3962" s="0" t="s">
        <x:v>21</x:v>
      </x:c>
      <x:c r="K3962" s="0">
        <x:f>hyperlink("https://icd.who.int/dev11/l-ichi/en#/http%3A%2F%2Fid.who.int%2Ficd%2Fentity%2F882262440","browser")</x:f>
      </x:c>
      <x:c r="L3962" s="0">
        <x:f>hyperlink("https://icat2.azurewebsites.net/icat/?ontology=ICD&amp;tab=ClassesTab&amp;id=http%3A%2F%2Fwho.int%2Ficd%2320157_512ebf36_bf6b_4d70_85da_cf2637062af4","iCat")</x:f>
      </x:c>
      <x:c r="M3962" s="0" t="s">
        <x:v>21</x:v>
      </x:c>
      <x:c r="N3962" s="0" t="s">
        <x:v>46</x:v>
      </x:c>
    </x:row>
    <x:row r="3963" spans="1:16">
      <x:c r="A3963" s="0" t="s">
        <x:v>15696</x:v>
      </x:c>
      <x:c r="B3963" s="0" t="s">
        <x:v>15697</x:v>
      </x:c>
      <x:c r="C3963" s="0" t="s">
        <x:v>15698</x:v>
      </x:c>
      <x:c r="E3963" s="0" t="s">
        <x:v>15699</x:v>
      </x:c>
      <x:c r="F3963" s="0" t="s">
        <x:v>45</x:v>
      </x:c>
      <x:c r="G3963" s="0" t="s">
        <x:v>19</x:v>
      </x:c>
      <x:c r="H3963" s="0" t="s">
        <x:v>20</x:v>
      </x:c>
      <x:c r="I3963" s="0" t="s">
        <x:v>21</x:v>
      </x:c>
      <x:c r="K3963" s="0">
        <x:f>hyperlink("https://icd.who.int/dev11/l-ichi/en#/http%3A%2F%2Fid.who.int%2Ficd%2Fentity%2F832728662","browser")</x:f>
      </x:c>
      <x:c r="L3963" s="0">
        <x:f>hyperlink("https://icat2.azurewebsites.net/icat/?ontology=ICD&amp;tab=ClassesTab&amp;id=http%3A%2F%2Fwho.int%2Ficd%2320164_512ebf36_bf6b_4d70_85da_cf2637062af4","iCat")</x:f>
      </x:c>
      <x:c r="M3963" s="0" t="s">
        <x:v>21</x:v>
      </x:c>
      <x:c r="N3963" s="0" t="s">
        <x:v>46</x:v>
      </x:c>
    </x:row>
    <x:row r="3964" spans="1:16">
      <x:c r="A3964" s="0" t="s">
        <x:v>15700</x:v>
      </x:c>
      <x:c r="B3964" s="0" t="s">
        <x:v>15701</x:v>
      </x:c>
      <x:c r="C3964" s="0" t="s">
        <x:v>15702</x:v>
      </x:c>
      <x:c r="E3964" s="0" t="s">
        <x:v>15703</x:v>
      </x:c>
      <x:c r="F3964" s="0" t="s">
        <x:v>45</x:v>
      </x:c>
      <x:c r="G3964" s="0" t="s">
        <x:v>19</x:v>
      </x:c>
      <x:c r="H3964" s="0" t="s">
        <x:v>20</x:v>
      </x:c>
      <x:c r="I3964" s="0" t="s">
        <x:v>21</x:v>
      </x:c>
      <x:c r="K3964" s="0">
        <x:f>hyperlink("https://icd.who.int/dev11/l-ichi/en#/http%3A%2F%2Fid.who.int%2Ficd%2Fentity%2F1318669641","browser")</x:f>
      </x:c>
      <x:c r="L3964" s="0">
        <x:f>hyperlink("https://icat2.azurewebsites.net/icat/?ontology=ICD&amp;tab=ClassesTab&amp;id=http%3A%2F%2Fwho.int%2Ficd%2320171_512ebf36_bf6b_4d70_85da_cf2637062af4","iCat")</x:f>
      </x:c>
      <x:c r="M3964" s="0" t="s">
        <x:v>21</x:v>
      </x:c>
      <x:c r="N3964" s="0" t="s">
        <x:v>46</x:v>
      </x:c>
    </x:row>
    <x:row r="3965" spans="1:16">
      <x:c r="A3965" s="0" t="s">
        <x:v>15704</x:v>
      </x:c>
      <x:c r="B3965" s="0" t="s">
        <x:v>15705</x:v>
      </x:c>
      <x:c r="C3965" s="0" t="s">
        <x:v>15706</x:v>
      </x:c>
      <x:c r="E3965" s="0" t="s">
        <x:v>15707</x:v>
      </x:c>
      <x:c r="F3965" s="0" t="s">
        <x:v>45</x:v>
      </x:c>
      <x:c r="G3965" s="0" t="s">
        <x:v>19</x:v>
      </x:c>
      <x:c r="H3965" s="0" t="s">
        <x:v>20</x:v>
      </x:c>
      <x:c r="I3965" s="0" t="s">
        <x:v>21</x:v>
      </x:c>
      <x:c r="K3965" s="0">
        <x:f>hyperlink("https://icd.who.int/dev11/l-ichi/en#/http%3A%2F%2Fid.who.int%2Ficd%2Fentity%2F551636514","browser")</x:f>
      </x:c>
      <x:c r="L3965" s="0">
        <x:f>hyperlink("https://icat2.azurewebsites.net/icat/?ontology=ICD&amp;tab=ClassesTab&amp;id=http%3A%2F%2Fwho.int%2Ficd%2320178_512ebf36_bf6b_4d70_85da_cf2637062af4","iCat")</x:f>
      </x:c>
      <x:c r="M3965" s="0" t="s">
        <x:v>21</x:v>
      </x:c>
      <x:c r="N3965" s="0" t="s">
        <x:v>46</x:v>
      </x:c>
    </x:row>
    <x:row r="3966" spans="1:16">
      <x:c r="A3966" s="0" t="s">
        <x:v>15708</x:v>
      </x:c>
      <x:c r="B3966" s="0" t="s">
        <x:v>15709</x:v>
      </x:c>
      <x:c r="C3966" s="0" t="s">
        <x:v>15710</x:v>
      </x:c>
      <x:c r="E3966" s="0" t="s">
        <x:v>15711</x:v>
      </x:c>
      <x:c r="F3966" s="0" t="s">
        <x:v>45</x:v>
      </x:c>
      <x:c r="G3966" s="0" t="s">
        <x:v>19</x:v>
      </x:c>
      <x:c r="H3966" s="0" t="s">
        <x:v>20</x:v>
      </x:c>
      <x:c r="I3966" s="0" t="s">
        <x:v>21</x:v>
      </x:c>
      <x:c r="K3966" s="0">
        <x:f>hyperlink("https://icd.who.int/dev11/l-ichi/en#/http%3A%2F%2Fid.who.int%2Ficd%2Fentity%2F1417266147","browser")</x:f>
      </x:c>
      <x:c r="L3966" s="0">
        <x:f>hyperlink("https://icat2.azurewebsites.net/icat/?ontology=ICD&amp;tab=ClassesTab&amp;id=http%3A%2F%2Fwho.int%2Ficd%2320185_512ebf36_bf6b_4d70_85da_cf2637062af4","iCat")</x:f>
      </x:c>
      <x:c r="M3966" s="0" t="s">
        <x:v>21</x:v>
      </x:c>
      <x:c r="N3966" s="0" t="s">
        <x:v>46</x:v>
      </x:c>
    </x:row>
    <x:row r="3967" spans="1:16">
      <x:c r="A3967" s="0" t="s">
        <x:v>15712</x:v>
      </x:c>
      <x:c r="B3967" s="0" t="s">
        <x:v>15713</x:v>
      </x:c>
      <x:c r="C3967" s="0" t="s">
        <x:v>15714</x:v>
      </x:c>
      <x:c r="E3967" s="0" t="s">
        <x:v>15715</x:v>
      </x:c>
      <x:c r="F3967" s="0" t="s">
        <x:v>45</x:v>
      </x:c>
      <x:c r="G3967" s="0" t="s">
        <x:v>19</x:v>
      </x:c>
      <x:c r="H3967" s="0" t="s">
        <x:v>20</x:v>
      </x:c>
      <x:c r="I3967" s="0" t="s">
        <x:v>21</x:v>
      </x:c>
      <x:c r="K3967" s="0">
        <x:f>hyperlink("https://icd.who.int/dev11/l-ichi/en#/http%3A%2F%2Fid.who.int%2Ficd%2Fentity%2F1312750905","browser")</x:f>
      </x:c>
      <x:c r="L3967" s="0">
        <x:f>hyperlink("https://icat2.azurewebsites.net/icat/?ontology=ICD&amp;tab=ClassesTab&amp;id=http%3A%2F%2Fwho.int%2Ficd%2320192_512ebf36_bf6b_4d70_85da_cf2637062af4","iCat")</x:f>
      </x:c>
      <x:c r="M3967" s="0" t="s">
        <x:v>21</x:v>
      </x:c>
      <x:c r="N3967" s="0" t="s">
        <x:v>46</x:v>
      </x:c>
    </x:row>
    <x:row r="3968" spans="1:16">
      <x:c r="A3968" s="0" t="s">
        <x:v>15716</x:v>
      </x:c>
      <x:c r="B3968" s="0" t="s">
        <x:v>15717</x:v>
      </x:c>
      <x:c r="C3968" s="0" t="s">
        <x:v>15718</x:v>
      </x:c>
      <x:c r="E3968" s="0" t="s">
        <x:v>15719</x:v>
      </x:c>
      <x:c r="F3968" s="0" t="s">
        <x:v>45</x:v>
      </x:c>
      <x:c r="G3968" s="0" t="s">
        <x:v>19</x:v>
      </x:c>
      <x:c r="H3968" s="0" t="s">
        <x:v>20</x:v>
      </x:c>
      <x:c r="I3968" s="0" t="s">
        <x:v>21</x:v>
      </x:c>
      <x:c r="K3968" s="0">
        <x:f>hyperlink("https://icd.who.int/dev11/l-ichi/en#/http%3A%2F%2Fid.who.int%2Ficd%2Fentity%2F1161487253","browser")</x:f>
      </x:c>
      <x:c r="L3968" s="0">
        <x:f>hyperlink("https://icat2.azurewebsites.net/icat/?ontology=ICD&amp;tab=ClassesTab&amp;id=http%3A%2F%2Fwho.int%2Ficd%2320199_512ebf36_bf6b_4d70_85da_cf2637062af4","iCat")</x:f>
      </x:c>
      <x:c r="M3968" s="0" t="s">
        <x:v>21</x:v>
      </x:c>
      <x:c r="N3968" s="0" t="s">
        <x:v>46</x:v>
      </x:c>
    </x:row>
    <x:row r="3969" spans="1:16">
      <x:c r="A3969" s="0" t="s">
        <x:v>15720</x:v>
      </x:c>
      <x:c r="B3969" s="0" t="s">
        <x:v>15721</x:v>
      </x:c>
      <x:c r="C3969" s="0" t="s">
        <x:v>15722</x:v>
      </x:c>
      <x:c r="E3969" s="0" t="s">
        <x:v>15723</x:v>
      </x:c>
      <x:c r="F3969" s="0" t="s">
        <x:v>45</x:v>
      </x:c>
      <x:c r="G3969" s="0" t="s">
        <x:v>19</x:v>
      </x:c>
      <x:c r="H3969" s="0" t="s">
        <x:v>20</x:v>
      </x:c>
      <x:c r="I3969" s="0" t="s">
        <x:v>21</x:v>
      </x:c>
      <x:c r="K3969" s="0">
        <x:f>hyperlink("https://icd.who.int/dev11/l-ichi/en#/http%3A%2F%2Fid.who.int%2Ficd%2Fentity%2F1871856007","browser")</x:f>
      </x:c>
      <x:c r="L3969" s="0">
        <x:f>hyperlink("https://icat2.azurewebsites.net/icat/?ontology=ICD&amp;tab=ClassesTab&amp;id=http%3A%2F%2Fwho.int%2Ficd%2320206_512ebf36_bf6b_4d70_85da_cf2637062af4","iCat")</x:f>
      </x:c>
      <x:c r="M3969" s="0" t="s">
        <x:v>21</x:v>
      </x:c>
      <x:c r="N3969" s="0" t="s">
        <x:v>46</x:v>
      </x:c>
    </x:row>
    <x:row r="3970" spans="1:16">
      <x:c r="A3970" s="0" t="s">
        <x:v>15724</x:v>
      </x:c>
      <x:c r="B3970" s="0" t="s">
        <x:v>15725</x:v>
      </x:c>
      <x:c r="C3970" s="0" t="s">
        <x:v>15726</x:v>
      </x:c>
      <x:c r="E3970" s="0" t="s">
        <x:v>15727</x:v>
      </x:c>
      <x:c r="F3970" s="0" t="s">
        <x:v>45</x:v>
      </x:c>
      <x:c r="G3970" s="0" t="s">
        <x:v>19</x:v>
      </x:c>
      <x:c r="H3970" s="0" t="s">
        <x:v>20</x:v>
      </x:c>
      <x:c r="I3970" s="0" t="s">
        <x:v>21</x:v>
      </x:c>
      <x:c r="K3970" s="0">
        <x:f>hyperlink("https://icd.who.int/dev11/l-ichi/en#/http%3A%2F%2Fid.who.int%2Ficd%2Fentity%2F1756615712","browser")</x:f>
      </x:c>
      <x:c r="L3970" s="0">
        <x:f>hyperlink("https://icat2.azurewebsites.net/icat/?ontology=ICD&amp;tab=ClassesTab&amp;id=http%3A%2F%2Fwho.int%2Ficd%2316410_4869915e_217e_423d_acb3_33c0f920ef4b","iCat")</x:f>
      </x:c>
      <x:c r="M3970" s="0" t="s">
        <x:v>21</x:v>
      </x:c>
      <x:c r="N3970" s="0" t="s">
        <x:v>46</x:v>
      </x:c>
    </x:row>
    <x:row r="3971" spans="1:16">
      <x:c r="A3971" s="0" t="s">
        <x:v>15728</x:v>
      </x:c>
      <x:c r="B3971" s="0" t="s">
        <x:v>15729</x:v>
      </x:c>
      <x:c r="C3971" s="0" t="s">
        <x:v>15730</x:v>
      </x:c>
      <x:c r="E3971" s="0" t="s">
        <x:v>15731</x:v>
      </x:c>
      <x:c r="F3971" s="0" t="s">
        <x:v>45</x:v>
      </x:c>
      <x:c r="G3971" s="0" t="s">
        <x:v>19</x:v>
      </x:c>
      <x:c r="H3971" s="0" t="s">
        <x:v>20</x:v>
      </x:c>
      <x:c r="I3971" s="0" t="s">
        <x:v>21</x:v>
      </x:c>
      <x:c r="K3971" s="0">
        <x:f>hyperlink("https://icd.who.int/dev11/l-ichi/en#/http%3A%2F%2Fid.who.int%2Ficd%2Fentity%2F632202990","browser")</x:f>
      </x:c>
      <x:c r="L3971" s="0">
        <x:f>hyperlink("https://icat2.azurewebsites.net/icat/?ontology=ICD&amp;tab=ClassesTab&amp;id=http%3A%2F%2Fwho.int%2Ficd%2320217_512ebf36_bf6b_4d70_85da_cf2637062af4","iCat")</x:f>
      </x:c>
      <x:c r="M3971" s="0" t="s">
        <x:v>21</x:v>
      </x:c>
      <x:c r="N3971" s="0" t="s">
        <x:v>46</x:v>
      </x:c>
    </x:row>
    <x:row r="3972" spans="1:16">
      <x:c r="A3972" s="0" t="s">
        <x:v>15732</x:v>
      </x:c>
      <x:c r="B3972" s="0" t="s">
        <x:v>15733</x:v>
      </x:c>
      <x:c r="C3972" s="0" t="s">
        <x:v>15734</x:v>
      </x:c>
      <x:c r="E3972" s="0" t="s">
        <x:v>15735</x:v>
      </x:c>
      <x:c r="F3972" s="0" t="s">
        <x:v>45</x:v>
      </x:c>
      <x:c r="G3972" s="0" t="s">
        <x:v>19</x:v>
      </x:c>
      <x:c r="H3972" s="0" t="s">
        <x:v>20</x:v>
      </x:c>
      <x:c r="I3972" s="0" t="s">
        <x:v>21</x:v>
      </x:c>
      <x:c r="K3972" s="0">
        <x:f>hyperlink("https://icd.who.int/dev11/l-ichi/en#/http%3A%2F%2Fid.who.int%2Ficd%2Fentity%2F2078625295","browser")</x:f>
      </x:c>
      <x:c r="L3972" s="0">
        <x:f>hyperlink("https://icat2.azurewebsites.net/icat/?ontology=ICD&amp;tab=ClassesTab&amp;id=http%3A%2F%2Fwho.int%2Ficd%2320229_512ebf36_bf6b_4d70_85da_cf2637062af4","iCat")</x:f>
      </x:c>
      <x:c r="M3972" s="0" t="s">
        <x:v>21</x:v>
      </x:c>
      <x:c r="N3972" s="0" t="s">
        <x:v>46</x:v>
      </x:c>
    </x:row>
    <x:row r="3973" spans="1:16">
      <x:c r="A3973" s="0" t="s">
        <x:v>15736</x:v>
      </x:c>
      <x:c r="B3973" s="0" t="s">
        <x:v>15737</x:v>
      </x:c>
      <x:c r="C3973" s="0" t="s">
        <x:v>15738</x:v>
      </x:c>
      <x:c r="E3973" s="0" t="s">
        <x:v>15739</x:v>
      </x:c>
      <x:c r="F3973" s="0" t="s">
        <x:v>45</x:v>
      </x:c>
      <x:c r="G3973" s="0" t="s">
        <x:v>19</x:v>
      </x:c>
      <x:c r="H3973" s="0" t="s">
        <x:v>20</x:v>
      </x:c>
      <x:c r="I3973" s="0" t="s">
        <x:v>21</x:v>
      </x:c>
      <x:c r="K3973" s="0">
        <x:f>hyperlink("https://icd.who.int/dev11/l-ichi/en#/http%3A%2F%2Fid.who.int%2Ficd%2Fentity%2F2036218093","browser")</x:f>
      </x:c>
      <x:c r="L3973" s="0">
        <x:f>hyperlink("https://icat2.azurewebsites.net/icat/?ontology=ICD&amp;tab=ClassesTab&amp;id=http%3A%2F%2Fwho.int%2Ficd%23540_bf15315e_f1c5_45f6_9637_651657d70d50","iCat")</x:f>
      </x:c>
      <x:c r="M3973" s="0" t="s">
        <x:v>21</x:v>
      </x:c>
      <x:c r="N3973" s="0" t="s">
        <x:v>46</x:v>
      </x:c>
    </x:row>
    <x:row r="3974" spans="1:16">
      <x:c r="A3974" s="0" t="s">
        <x:v>15740</x:v>
      </x:c>
      <x:c r="B3974" s="0" t="s">
        <x:v>15741</x:v>
      </x:c>
      <x:c r="C3974" s="0" t="s">
        <x:v>15742</x:v>
      </x:c>
      <x:c r="E3974" s="0" t="s">
        <x:v>15743</x:v>
      </x:c>
      <x:c r="F3974" s="0" t="s">
        <x:v>45</x:v>
      </x:c>
      <x:c r="G3974" s="0" t="s">
        <x:v>19</x:v>
      </x:c>
      <x:c r="H3974" s="0" t="s">
        <x:v>20</x:v>
      </x:c>
      <x:c r="I3974" s="0" t="s">
        <x:v>21</x:v>
      </x:c>
      <x:c r="K3974" s="0">
        <x:f>hyperlink("https://icd.who.int/dev11/l-ichi/en#/http%3A%2F%2Fid.who.int%2Ficd%2Fentity%2F690348380","browser")</x:f>
      </x:c>
      <x:c r="L3974" s="0">
        <x:f>hyperlink("https://icat2.azurewebsites.net/icat/?ontology=ICD&amp;tab=ClassesTab&amp;id=http%3A%2F%2Fwho.int%2Ficd%23546_bf15315e_f1c5_45f6_9637_651657d70d50","iCat")</x:f>
      </x:c>
      <x:c r="M3974" s="0" t="s">
        <x:v>21</x:v>
      </x:c>
      <x:c r="N3974" s="0" t="s">
        <x:v>46</x:v>
      </x:c>
    </x:row>
    <x:row r="3975" spans="1:16">
      <x:c r="A3975" s="0" t="s">
        <x:v>15744</x:v>
      </x:c>
      <x:c r="B3975" s="0" t="s">
        <x:v>15745</x:v>
      </x:c>
      <x:c r="C3975" s="0" t="s">
        <x:v>15746</x:v>
      </x:c>
      <x:c r="E3975" s="0" t="s">
        <x:v>15747</x:v>
      </x:c>
      <x:c r="F3975" s="0" t="s">
        <x:v>45</x:v>
      </x:c>
      <x:c r="G3975" s="0" t="s">
        <x:v>19</x:v>
      </x:c>
      <x:c r="H3975" s="0" t="s">
        <x:v>20</x:v>
      </x:c>
      <x:c r="I3975" s="0" t="s">
        <x:v>21</x:v>
      </x:c>
      <x:c r="K3975" s="0">
        <x:f>hyperlink("https://icd.who.int/dev11/l-ichi/en#/http%3A%2F%2Fid.who.int%2Ficd%2Fentity%2F720557808","browser")</x:f>
      </x:c>
      <x:c r="L3975" s="0">
        <x:f>hyperlink("https://icat2.azurewebsites.net/icat/?ontology=ICD&amp;tab=ClassesTab&amp;id=http%3A%2F%2Fwho.int%2Ficd%2320242_512ebf36_bf6b_4d70_85da_cf2637062af4","iCat")</x:f>
      </x:c>
      <x:c r="M3975" s="0" t="s">
        <x:v>21</x:v>
      </x:c>
      <x:c r="N3975" s="0" t="s">
        <x:v>46</x:v>
      </x:c>
    </x:row>
    <x:row r="3976" spans="1:16">
      <x:c r="A3976" s="0" t="s">
        <x:v>15748</x:v>
      </x:c>
      <x:c r="B3976" s="0" t="s">
        <x:v>15749</x:v>
      </x:c>
      <x:c r="C3976" s="0" t="s">
        <x:v>15750</x:v>
      </x:c>
      <x:c r="E3976" s="0" t="s">
        <x:v>15751</x:v>
      </x:c>
      <x:c r="F3976" s="0" t="s">
        <x:v>45</x:v>
      </x:c>
      <x:c r="G3976" s="0" t="s">
        <x:v>19</x:v>
      </x:c>
      <x:c r="H3976" s="0" t="s">
        <x:v>20</x:v>
      </x:c>
      <x:c r="I3976" s="0" t="s">
        <x:v>21</x:v>
      </x:c>
      <x:c r="K3976" s="0">
        <x:f>hyperlink("https://icd.who.int/dev11/l-ichi/en#/http%3A%2F%2Fid.who.int%2Ficd%2Fentity%2F1994895487","browser")</x:f>
      </x:c>
      <x:c r="L3976" s="0">
        <x:f>hyperlink("https://icat2.azurewebsites.net/icat/?ontology=ICD&amp;tab=ClassesTab&amp;id=http%3A%2F%2Fwho.int%2Ficd%23552_bf15315e_f1c5_45f6_9637_651657d70d50","iCat")</x:f>
      </x:c>
      <x:c r="M3976" s="0" t="s">
        <x:v>21</x:v>
      </x:c>
      <x:c r="N3976" s="0" t="s">
        <x:v>46</x:v>
      </x:c>
    </x:row>
    <x:row r="3977" spans="1:16">
      <x:c r="A3977" s="0" t="s">
        <x:v>15752</x:v>
      </x:c>
      <x:c r="B3977" s="0" t="s">
        <x:v>15753</x:v>
      </x:c>
      <x:c r="C3977" s="0" t="s">
        <x:v>15754</x:v>
      </x:c>
      <x:c r="E3977" s="0" t="s">
        <x:v>15755</x:v>
      </x:c>
      <x:c r="F3977" s="0" t="s">
        <x:v>45</x:v>
      </x:c>
      <x:c r="G3977" s="0" t="s">
        <x:v>19</x:v>
      </x:c>
      <x:c r="H3977" s="0" t="s">
        <x:v>20</x:v>
      </x:c>
      <x:c r="I3977" s="0" t="s">
        <x:v>21</x:v>
      </x:c>
      <x:c r="K3977" s="0">
        <x:f>hyperlink("https://icd.who.int/dev11/l-ichi/en#/http%3A%2F%2Fid.who.int%2Ficd%2Fentity%2F569821250","browser")</x:f>
      </x:c>
      <x:c r="L3977" s="0">
        <x:f>hyperlink("https://icat2.azurewebsites.net/icat/?ontology=ICD&amp;tab=ClassesTab&amp;id=http%3A%2F%2Fwho.int%2Ficd%2320249_512ebf36_bf6b_4d70_85da_cf2637062af4","iCat")</x:f>
      </x:c>
      <x:c r="M3977" s="0" t="s">
        <x:v>21</x:v>
      </x:c>
      <x:c r="N3977" s="0" t="s">
        <x:v>46</x:v>
      </x:c>
    </x:row>
    <x:row r="3978" spans="1:16">
      <x:c r="A3978" s="0" t="s">
        <x:v>15756</x:v>
      </x:c>
      <x:c r="B3978" s="0" t="s">
        <x:v>15757</x:v>
      </x:c>
      <x:c r="C3978" s="0" t="s">
        <x:v>15758</x:v>
      </x:c>
      <x:c r="E3978" s="0" t="s">
        <x:v>15759</x:v>
      </x:c>
      <x:c r="F3978" s="0" t="s">
        <x:v>45</x:v>
      </x:c>
      <x:c r="G3978" s="0" t="s">
        <x:v>19</x:v>
      </x:c>
      <x:c r="H3978" s="0" t="s">
        <x:v>20</x:v>
      </x:c>
      <x:c r="I3978" s="0" t="s">
        <x:v>21</x:v>
      </x:c>
      <x:c r="K3978" s="0">
        <x:f>hyperlink("https://icd.who.int/dev11/l-ichi/en#/http%3A%2F%2Fid.who.int%2Ficd%2Fentity%2F1439299057","browser")</x:f>
      </x:c>
      <x:c r="L3978" s="0">
        <x:f>hyperlink("https://icat2.azurewebsites.net/icat/?ontology=ICD&amp;tab=ClassesTab&amp;id=http%3A%2F%2Fwho.int%2Ficd%2320257_512ebf36_bf6b_4d70_85da_cf2637062af4","iCat")</x:f>
      </x:c>
      <x:c r="M3978" s="0" t="s">
        <x:v>21</x:v>
      </x:c>
      <x:c r="N3978" s="0" t="s">
        <x:v>46</x:v>
      </x:c>
    </x:row>
    <x:row r="3979" spans="1:16">
      <x:c r="A3979" s="0" t="s">
        <x:v>15760</x:v>
      </x:c>
      <x:c r="B3979" s="0" t="s">
        <x:v>15761</x:v>
      </x:c>
      <x:c r="C3979" s="0" t="s">
        <x:v>15762</x:v>
      </x:c>
      <x:c r="E3979" s="0" t="s">
        <x:v>15763</x:v>
      </x:c>
      <x:c r="F3979" s="0" t="s">
        <x:v>45</x:v>
      </x:c>
      <x:c r="G3979" s="0" t="s">
        <x:v>19</x:v>
      </x:c>
      <x:c r="H3979" s="0" t="s">
        <x:v>20</x:v>
      </x:c>
      <x:c r="I3979" s="0" t="s">
        <x:v>21</x:v>
      </x:c>
      <x:c r="K3979" s="0">
        <x:f>hyperlink("https://icd.who.int/dev11/l-ichi/en#/http%3A%2F%2Fid.who.int%2Ficd%2Fentity%2F1879353395","browser")</x:f>
      </x:c>
      <x:c r="L3979" s="0">
        <x:f>hyperlink("https://icat2.azurewebsites.net/icat/?ontology=ICD&amp;tab=ClassesTab&amp;id=http%3A%2F%2Fwho.int%2Ficd%2320265_512ebf36_bf6b_4d70_85da_cf2637062af4","iCat")</x:f>
      </x:c>
      <x:c r="M3979" s="0" t="s">
        <x:v>21</x:v>
      </x:c>
      <x:c r="N3979" s="0" t="s">
        <x:v>46</x:v>
      </x:c>
    </x:row>
    <x:row r="3980" spans="1:16">
      <x:c r="A3980" s="0" t="s">
        <x:v>15764</x:v>
      </x:c>
      <x:c r="B3980" s="0" t="s">
        <x:v>15765</x:v>
      </x:c>
      <x:c r="C3980" s="0" t="s">
        <x:v>15766</x:v>
      </x:c>
      <x:c r="E3980" s="0" t="s">
        <x:v>15767</x:v>
      </x:c>
      <x:c r="F3980" s="0" t="s">
        <x:v>45</x:v>
      </x:c>
      <x:c r="G3980" s="0" t="s">
        <x:v>19</x:v>
      </x:c>
      <x:c r="H3980" s="0" t="s">
        <x:v>20</x:v>
      </x:c>
      <x:c r="I3980" s="0" t="s">
        <x:v>21</x:v>
      </x:c>
      <x:c r="K3980" s="0">
        <x:f>hyperlink("https://icd.who.int/dev11/l-ichi/en#/http%3A%2F%2Fid.who.int%2Ficd%2Fentity%2F1782814441","browser")</x:f>
      </x:c>
      <x:c r="L3980" s="0">
        <x:f>hyperlink("https://icat2.azurewebsites.net/icat/?ontology=ICD&amp;tab=ClassesTab&amp;id=http%3A%2F%2Fwho.int%2Ficd%2320272_512ebf36_bf6b_4d70_85da_cf2637062af4","iCat")</x:f>
      </x:c>
      <x:c r="M3980" s="0" t="s">
        <x:v>21</x:v>
      </x:c>
      <x:c r="N3980" s="0" t="s">
        <x:v>46</x:v>
      </x:c>
    </x:row>
    <x:row r="3981" spans="1:16">
      <x:c r="A3981" s="0" t="s">
        <x:v>15768</x:v>
      </x:c>
      <x:c r="B3981" s="0" t="s">
        <x:v>15769</x:v>
      </x:c>
      <x:c r="C3981" s="0" t="s">
        <x:v>15770</x:v>
      </x:c>
      <x:c r="E3981" s="0" t="s">
        <x:v>15771</x:v>
      </x:c>
      <x:c r="F3981" s="0" t="s">
        <x:v>45</x:v>
      </x:c>
      <x:c r="G3981" s="0" t="s">
        <x:v>19</x:v>
      </x:c>
      <x:c r="H3981" s="0" t="s">
        <x:v>20</x:v>
      </x:c>
      <x:c r="I3981" s="0" t="s">
        <x:v>21</x:v>
      </x:c>
      <x:c r="K3981" s="0">
        <x:f>hyperlink("https://icd.who.int/dev11/l-ichi/en#/http%3A%2F%2Fid.who.int%2Ficd%2Fentity%2F1632077893","browser")</x:f>
      </x:c>
      <x:c r="L3981" s="0">
        <x:f>hyperlink("https://icat2.azurewebsites.net/icat/?ontology=ICD&amp;tab=ClassesTab&amp;id=http%3A%2F%2Fwho.int%2Ficd%2320279_512ebf36_bf6b_4d70_85da_cf2637062af4","iCat")</x:f>
      </x:c>
      <x:c r="M3981" s="0" t="s">
        <x:v>21</x:v>
      </x:c>
      <x:c r="N3981" s="0" t="s">
        <x:v>46</x:v>
      </x:c>
    </x:row>
    <x:row r="3982" spans="1:16">
      <x:c r="A3982" s="0" t="s">
        <x:v>15772</x:v>
      </x:c>
      <x:c r="B3982" s="0" t="s">
        <x:v>15773</x:v>
      </x:c>
      <x:c r="C3982" s="0" t="s">
        <x:v>15774</x:v>
      </x:c>
      <x:c r="E3982" s="0" t="s">
        <x:v>15775</x:v>
      </x:c>
      <x:c r="F3982" s="0" t="s">
        <x:v>45</x:v>
      </x:c>
      <x:c r="G3982" s="0" t="s">
        <x:v>19</x:v>
      </x:c>
      <x:c r="H3982" s="0" t="s">
        <x:v>20</x:v>
      </x:c>
      <x:c r="I3982" s="0" t="s">
        <x:v>21</x:v>
      </x:c>
      <x:c r="K3982" s="0">
        <x:f>hyperlink("https://icd.who.int/dev11/l-ichi/en#/http%3A%2F%2Fid.who.int%2Ficd%2Fentity%2F1889736771","browser")</x:f>
      </x:c>
      <x:c r="L3982" s="0">
        <x:f>hyperlink("https://icat2.azurewebsites.net/icat/?ontology=ICD&amp;tab=ClassesTab&amp;id=http%3A%2F%2Fwho.int%2Ficd%2320286_512ebf36_bf6b_4d70_85da_cf2637062af4","iCat")</x:f>
      </x:c>
      <x:c r="M3982" s="0" t="s">
        <x:v>21</x:v>
      </x:c>
      <x:c r="N3982" s="0" t="s">
        <x:v>46</x:v>
      </x:c>
    </x:row>
    <x:row r="3983" spans="1:16">
      <x:c r="A3983" s="0" t="s">
        <x:v>15776</x:v>
      </x:c>
      <x:c r="B3983" s="0" t="s">
        <x:v>15777</x:v>
      </x:c>
      <x:c r="C3983" s="0" t="s">
        <x:v>15778</x:v>
      </x:c>
      <x:c r="E3983" s="0" t="s">
        <x:v>15779</x:v>
      </x:c>
      <x:c r="F3983" s="0" t="s">
        <x:v>45</x:v>
      </x:c>
      <x:c r="G3983" s="0" t="s">
        <x:v>19</x:v>
      </x:c>
      <x:c r="H3983" s="0" t="s">
        <x:v>20</x:v>
      </x:c>
      <x:c r="I3983" s="0" t="s">
        <x:v>21</x:v>
      </x:c>
      <x:c r="K3983" s="0">
        <x:f>hyperlink("https://icd.who.int/dev11/l-ichi/en#/http%3A%2F%2Fid.who.int%2Ficd%2Fentity%2F261634910","browser")</x:f>
      </x:c>
      <x:c r="L3983" s="0">
        <x:f>hyperlink("https://icat2.azurewebsites.net/icat/?ontology=ICD&amp;tab=ClassesTab&amp;id=http%3A%2F%2Fwho.int%2Ficd%2320293_512ebf36_bf6b_4d70_85da_cf2637062af4","iCat")</x:f>
      </x:c>
      <x:c r="M3983" s="0" t="s">
        <x:v>21</x:v>
      </x:c>
      <x:c r="N3983" s="0" t="s">
        <x:v>46</x:v>
      </x:c>
    </x:row>
    <x:row r="3984" spans="1:16">
      <x:c r="A3984" s="0" t="s">
        <x:v>15780</x:v>
      </x:c>
      <x:c r="B3984" s="0" t="s">
        <x:v>15781</x:v>
      </x:c>
      <x:c r="C3984" s="0" t="s">
        <x:v>15782</x:v>
      </x:c>
      <x:c r="E3984" s="0" t="s">
        <x:v>15783</x:v>
      </x:c>
      <x:c r="F3984" s="0" t="s">
        <x:v>45</x:v>
      </x:c>
      <x:c r="G3984" s="0" t="s">
        <x:v>19</x:v>
      </x:c>
      <x:c r="H3984" s="0" t="s">
        <x:v>20</x:v>
      </x:c>
      <x:c r="I3984" s="0" t="s">
        <x:v>21</x:v>
      </x:c>
      <x:c r="K3984" s="0">
        <x:f>hyperlink("https://icd.who.int/dev11/l-ichi/en#/http%3A%2F%2Fid.who.int%2Ficd%2Fentity%2F1249271467","browser")</x:f>
      </x:c>
      <x:c r="L3984" s="0">
        <x:f>hyperlink("https://icat2.azurewebsites.net/icat/?ontology=ICD&amp;tab=ClassesTab&amp;id=http%3A%2F%2Fwho.int%2Ficd%2320300_512ebf36_bf6b_4d70_85da_cf2637062af4","iCat")</x:f>
      </x:c>
      <x:c r="M3984" s="0" t="s">
        <x:v>21</x:v>
      </x:c>
      <x:c r="N3984" s="0" t="s">
        <x:v>46</x:v>
      </x:c>
    </x:row>
    <x:row r="3985" spans="1:16">
      <x:c r="A3985" s="0" t="s">
        <x:v>15784</x:v>
      </x:c>
      <x:c r="B3985" s="0" t="s">
        <x:v>15785</x:v>
      </x:c>
      <x:c r="C3985" s="0" t="s">
        <x:v>15786</x:v>
      </x:c>
      <x:c r="E3985" s="0" t="s">
        <x:v>15787</x:v>
      </x:c>
      <x:c r="F3985" s="0" t="s">
        <x:v>45</x:v>
      </x:c>
      <x:c r="G3985" s="0" t="s">
        <x:v>19</x:v>
      </x:c>
      <x:c r="H3985" s="0" t="s">
        <x:v>20</x:v>
      </x:c>
      <x:c r="I3985" s="0" t="s">
        <x:v>21</x:v>
      </x:c>
      <x:c r="K3985" s="0">
        <x:f>hyperlink("https://icd.who.int/dev11/l-ichi/en#/http%3A%2F%2Fid.who.int%2Ficd%2Fentity%2F989132072","browser")</x:f>
      </x:c>
      <x:c r="L3985" s="0">
        <x:f>hyperlink("https://icat2.azurewebsites.net/icat/?ontology=ICD&amp;tab=ClassesTab&amp;id=http%3A%2F%2Fwho.int%2Ficd%2320307_512ebf36_bf6b_4d70_85da_cf2637062af4","iCat")</x:f>
      </x:c>
      <x:c r="M3985" s="0" t="s">
        <x:v>21</x:v>
      </x:c>
      <x:c r="N3985" s="0" t="s">
        <x:v>46</x:v>
      </x:c>
    </x:row>
    <x:row r="3986" spans="1:16">
      <x:c r="A3986" s="0" t="s">
        <x:v>15788</x:v>
      </x:c>
      <x:c r="B3986" s="0" t="s">
        <x:v>15789</x:v>
      </x:c>
      <x:c r="C3986" s="0" t="s">
        <x:v>15790</x:v>
      </x:c>
      <x:c r="E3986" s="0" t="s">
        <x:v>15791</x:v>
      </x:c>
      <x:c r="F3986" s="0" t="s">
        <x:v>45</x:v>
      </x:c>
      <x:c r="G3986" s="0" t="s">
        <x:v>19</x:v>
      </x:c>
      <x:c r="H3986" s="0" t="s">
        <x:v>20</x:v>
      </x:c>
      <x:c r="I3986" s="0" t="s">
        <x:v>21</x:v>
      </x:c>
      <x:c r="K3986" s="0">
        <x:f>hyperlink("https://icd.who.int/dev11/l-ichi/en#/http%3A%2F%2Fid.who.int%2Ficd%2Fentity%2F1090255303","browser")</x:f>
      </x:c>
      <x:c r="L3986" s="0">
        <x:f>hyperlink("https://icat2.azurewebsites.net/icat/?ontology=ICD&amp;tab=ClassesTab&amp;id=http%3A%2F%2Fwho.int%2Ficd%2320321_512ebf36_bf6b_4d70_85da_cf2637062af4","iCat")</x:f>
      </x:c>
      <x:c r="M3986" s="0" t="s">
        <x:v>21</x:v>
      </x:c>
      <x:c r="N3986" s="0" t="s">
        <x:v>46</x:v>
      </x:c>
    </x:row>
    <x:row r="3987" spans="1:16">
      <x:c r="A3987" s="0" t="s">
        <x:v>15792</x:v>
      </x:c>
      <x:c r="B3987" s="0" t="s">
        <x:v>15793</x:v>
      </x:c>
      <x:c r="C3987" s="0" t="s">
        <x:v>15794</x:v>
      </x:c>
      <x:c r="E3987" s="0" t="s">
        <x:v>15795</x:v>
      </x:c>
      <x:c r="F3987" s="0" t="s">
        <x:v>45</x:v>
      </x:c>
      <x:c r="G3987" s="0" t="s">
        <x:v>19</x:v>
      </x:c>
      <x:c r="H3987" s="0" t="s">
        <x:v>20</x:v>
      </x:c>
      <x:c r="I3987" s="0" t="s">
        <x:v>21</x:v>
      </x:c>
      <x:c r="K3987" s="0">
        <x:f>hyperlink("https://icd.who.int/dev11/l-ichi/en#/http%3A%2F%2Fid.who.int%2Ficd%2Fentity%2F780401326","browser")</x:f>
      </x:c>
      <x:c r="L3987" s="0">
        <x:f>hyperlink("https://icat2.azurewebsites.net/icat/?ontology=ICD&amp;tab=ClassesTab&amp;id=http%3A%2F%2Fwho.int%2Ficd%2320328_512ebf36_bf6b_4d70_85da_cf2637062af4","iCat")</x:f>
      </x:c>
      <x:c r="M3987" s="0" t="s">
        <x:v>21</x:v>
      </x:c>
      <x:c r="N3987" s="0" t="s">
        <x:v>46</x:v>
      </x:c>
    </x:row>
    <x:row r="3988" spans="1:16">
      <x:c r="A3988" s="0" t="s">
        <x:v>15796</x:v>
      </x:c>
      <x:c r="B3988" s="0" t="s">
        <x:v>15797</x:v>
      </x:c>
      <x:c r="C3988" s="0" t="s">
        <x:v>15798</x:v>
      </x:c>
      <x:c r="E3988" s="0" t="s">
        <x:v>15799</x:v>
      </x:c>
      <x:c r="F3988" s="0" t="s">
        <x:v>45</x:v>
      </x:c>
      <x:c r="G3988" s="0" t="s">
        <x:v>19</x:v>
      </x:c>
      <x:c r="H3988" s="0" t="s">
        <x:v>20</x:v>
      </x:c>
      <x:c r="I3988" s="0" t="s">
        <x:v>21</x:v>
      </x:c>
      <x:c r="K3988" s="0">
        <x:f>hyperlink("https://icd.who.int/dev11/l-ichi/en#/http%3A%2F%2Fid.who.int%2Ficd%2Fentity%2F523872484","browser")</x:f>
      </x:c>
      <x:c r="L3988" s="0">
        <x:f>hyperlink("https://icat2.azurewebsites.net/icat/?ontology=ICD&amp;tab=ClassesTab&amp;id=http%3A%2F%2Fwho.int%2Ficd%2320335_512ebf36_bf6b_4d70_85da_cf2637062af4","iCat")</x:f>
      </x:c>
      <x:c r="M3988" s="0" t="s">
        <x:v>21</x:v>
      </x:c>
      <x:c r="N3988" s="0" t="s">
        <x:v>46</x:v>
      </x:c>
    </x:row>
    <x:row r="3989" spans="1:16">
      <x:c r="A3989" s="0" t="s">
        <x:v>15800</x:v>
      </x:c>
      <x:c r="B3989" s="0" t="s">
        <x:v>15801</x:v>
      </x:c>
      <x:c r="C3989" s="0" t="s">
        <x:v>15802</x:v>
      </x:c>
      <x:c r="E3989" s="0" t="s">
        <x:v>15803</x:v>
      </x:c>
      <x:c r="F3989" s="0" t="s">
        <x:v>45</x:v>
      </x:c>
      <x:c r="G3989" s="0" t="s">
        <x:v>19</x:v>
      </x:c>
      <x:c r="H3989" s="0" t="s">
        <x:v>20</x:v>
      </x:c>
      <x:c r="I3989" s="0" t="s">
        <x:v>21</x:v>
      </x:c>
      <x:c r="K3989" s="0">
        <x:f>hyperlink("https://icd.who.int/dev11/l-ichi/en#/http%3A%2F%2Fid.who.int%2Ficd%2Fentity%2F1600983155","browser")</x:f>
      </x:c>
      <x:c r="L3989" s="0">
        <x:f>hyperlink("https://icat2.azurewebsites.net/icat/?ontology=ICD&amp;tab=ClassesTab&amp;id=http%3A%2F%2Fwho.int%2Ficd%2320342_512ebf36_bf6b_4d70_85da_cf2637062af4","iCat")</x:f>
      </x:c>
      <x:c r="M3989" s="0" t="s">
        <x:v>21</x:v>
      </x:c>
      <x:c r="N3989" s="0" t="s">
        <x:v>46</x:v>
      </x:c>
    </x:row>
    <x:row r="3990" spans="1:16">
      <x:c r="A3990" s="0" t="s">
        <x:v>15804</x:v>
      </x:c>
      <x:c r="B3990" s="0" t="s">
        <x:v>15805</x:v>
      </x:c>
      <x:c r="D3990" s="0" t="s">
        <x:v>15806</x:v>
      </x:c>
      <x:c r="E3990" s="0" t="s">
        <x:v>15807</x:v>
      </x:c>
      <x:c r="F3990" s="0" t="s">
        <x:v>26</x:v>
      </x:c>
      <x:c r="G3990" s="0" t="s">
        <x:v>22</x:v>
      </x:c>
      <x:c r="H3990" s="0" t="s">
        <x:v>20</x:v>
      </x:c>
      <x:c r="I3990" s="0" t="s">
        <x:v>21</x:v>
      </x:c>
      <x:c r="K3990" s="0">
        <x:f>hyperlink("https://icd.who.int/dev11/l-ichi/en#/http%3A%2F%2Fid.who.int%2Ficd%2Fentity%2F1882057437","browser")</x:f>
      </x:c>
      <x:c r="L3990" s="0">
        <x:f>hyperlink("https://icat2.azurewebsites.net/icat/?ontology=ICD&amp;tab=ClassesTab&amp;id=http%3A%2F%2Fwho.int%2Ficd%2320351_512ebf36_bf6b_4d70_85da_cf2637062af4","iCat")</x:f>
      </x:c>
      <x:c r="M3990" s="0" t="s">
        <x:v>20</x:v>
      </x:c>
      <x:c r="N3990" s="0" t="s">
        <x:v>684</x:v>
      </x:c>
    </x:row>
    <x:row r="3991" spans="1:16">
      <x:c r="A3991" s="0" t="s">
        <x:v>15808</x:v>
      </x:c>
      <x:c r="B3991" s="0" t="s">
        <x:v>15809</x:v>
      </x:c>
      <x:c r="C3991" s="0" t="s">
        <x:v>15810</x:v>
      </x:c>
      <x:c r="E3991" s="0" t="s">
        <x:v>15811</x:v>
      </x:c>
      <x:c r="F3991" s="0" t="s">
        <x:v>45</x:v>
      </x:c>
      <x:c r="G3991" s="0" t="s">
        <x:v>19</x:v>
      </x:c>
      <x:c r="H3991" s="0" t="s">
        <x:v>20</x:v>
      </x:c>
      <x:c r="I3991" s="0" t="s">
        <x:v>21</x:v>
      </x:c>
      <x:c r="K3991" s="0">
        <x:f>hyperlink("https://icd.who.int/dev11/l-ichi/en#/http%3A%2F%2Fid.who.int%2Ficd%2Fentity%2F1356110049","browser")</x:f>
      </x:c>
      <x:c r="L3991" s="0">
        <x:f>hyperlink("https://icat2.azurewebsites.net/icat/?ontology=ICD&amp;tab=ClassesTab&amp;id=http%3A%2F%2Fwho.int%2Ficd%2320350_512ebf36_bf6b_4d70_85da_cf2637062af4","iCat")</x:f>
      </x:c>
      <x:c r="M3991" s="0" t="s">
        <x:v>21</x:v>
      </x:c>
      <x:c r="N3991" s="0" t="s">
        <x:v>46</x:v>
      </x:c>
    </x:row>
    <x:row r="3992" spans="1:16">
      <x:c r="A3992" s="0" t="s">
        <x:v>15812</x:v>
      </x:c>
      <x:c r="B3992" s="0" t="s">
        <x:v>15813</x:v>
      </x:c>
      <x:c r="C3992" s="0" t="s">
        <x:v>15814</x:v>
      </x:c>
      <x:c r="E3992" s="0" t="s">
        <x:v>15815</x:v>
      </x:c>
      <x:c r="F3992" s="0" t="s">
        <x:v>45</x:v>
      </x:c>
      <x:c r="G3992" s="0" t="s">
        <x:v>19</x:v>
      </x:c>
      <x:c r="H3992" s="0" t="s">
        <x:v>20</x:v>
      </x:c>
      <x:c r="I3992" s="0" t="s">
        <x:v>21</x:v>
      </x:c>
      <x:c r="K3992" s="0">
        <x:f>hyperlink("https://icd.who.int/dev11/l-ichi/en#/http%3A%2F%2Fid.who.int%2Ficd%2Fentity%2F1666995348","browser")</x:f>
      </x:c>
      <x:c r="L3992" s="0">
        <x:f>hyperlink("https://icat2.azurewebsites.net/icat/?ontology=ICD&amp;tab=ClassesTab&amp;id=http%3A%2F%2Fwho.int%2Ficd%2310747_4869915e_217e_423d_acb3_33c0f920ef4b","iCat")</x:f>
      </x:c>
      <x:c r="M3992" s="0" t="s">
        <x:v>21</x:v>
      </x:c>
      <x:c r="N3992" s="0" t="s">
        <x:v>46</x:v>
      </x:c>
    </x:row>
    <x:row r="3993" spans="1:16">
      <x:c r="A3993" s="0" t="s">
        <x:v>15816</x:v>
      </x:c>
      <x:c r="B3993" s="0" t="s">
        <x:v>15817</x:v>
      </x:c>
      <x:c r="C3993" s="0" t="s">
        <x:v>15818</x:v>
      </x:c>
      <x:c r="E3993" s="0" t="s">
        <x:v>15819</x:v>
      </x:c>
      <x:c r="F3993" s="0" t="s">
        <x:v>45</x:v>
      </x:c>
      <x:c r="G3993" s="0" t="s">
        <x:v>19</x:v>
      </x:c>
      <x:c r="H3993" s="0" t="s">
        <x:v>20</x:v>
      </x:c>
      <x:c r="I3993" s="0" t="s">
        <x:v>21</x:v>
      </x:c>
      <x:c r="K3993" s="0">
        <x:f>hyperlink("https://icd.who.int/dev11/l-ichi/en#/http%3A%2F%2Fid.who.int%2Ficd%2Fentity%2F1964623139","browser")</x:f>
      </x:c>
      <x:c r="L3993" s="0">
        <x:f>hyperlink("https://icat2.azurewebsites.net/icat/?ontology=ICD&amp;tab=ClassesTab&amp;id=http%3A%2F%2Fwho.int%2Ficd%2320362_512ebf36_bf6b_4d70_85da_cf2637062af4","iCat")</x:f>
      </x:c>
      <x:c r="M3993" s="0" t="s">
        <x:v>21</x:v>
      </x:c>
      <x:c r="N3993" s="0" t="s">
        <x:v>46</x:v>
      </x:c>
    </x:row>
    <x:row r="3994" spans="1:16">
      <x:c r="A3994" s="0" t="s">
        <x:v>15820</x:v>
      </x:c>
      <x:c r="B3994" s="0" t="s">
        <x:v>15821</x:v>
      </x:c>
      <x:c r="C3994" s="0" t="s">
        <x:v>15822</x:v>
      </x:c>
      <x:c r="E3994" s="0" t="s">
        <x:v>15823</x:v>
      </x:c>
      <x:c r="F3994" s="0" t="s">
        <x:v>45</x:v>
      </x:c>
      <x:c r="G3994" s="0" t="s">
        <x:v>19</x:v>
      </x:c>
      <x:c r="H3994" s="0" t="s">
        <x:v>20</x:v>
      </x:c>
      <x:c r="I3994" s="0" t="s">
        <x:v>21</x:v>
      </x:c>
      <x:c r="K3994" s="0">
        <x:f>hyperlink("https://icd.who.int/dev11/l-ichi/en#/http%3A%2F%2Fid.who.int%2Ficd%2Fentity%2F1430718319","browser")</x:f>
      </x:c>
      <x:c r="L3994" s="0">
        <x:f>hyperlink("https://icat2.azurewebsites.net/icat/?ontology=ICD&amp;tab=ClassesTab&amp;id=http%3A%2F%2Fwho.int%2Ficd%2320380_512ebf36_bf6b_4d70_85da_cf2637062af4","iCat")</x:f>
      </x:c>
      <x:c r="M3994" s="0" t="s">
        <x:v>21</x:v>
      </x:c>
      <x:c r="N3994" s="0" t="s">
        <x:v>46</x:v>
      </x:c>
    </x:row>
    <x:row r="3995" spans="1:16">
      <x:c r="A3995" s="0" t="s">
        <x:v>15824</x:v>
      </x:c>
      <x:c r="B3995" s="0" t="s">
        <x:v>15825</x:v>
      </x:c>
      <x:c r="C3995" s="0" t="s">
        <x:v>15826</x:v>
      </x:c>
      <x:c r="E3995" s="0" t="s">
        <x:v>15827</x:v>
      </x:c>
      <x:c r="F3995" s="0" t="s">
        <x:v>45</x:v>
      </x:c>
      <x:c r="G3995" s="0" t="s">
        <x:v>19</x:v>
      </x:c>
      <x:c r="H3995" s="0" t="s">
        <x:v>20</x:v>
      </x:c>
      <x:c r="I3995" s="0" t="s">
        <x:v>21</x:v>
      </x:c>
      <x:c r="K3995" s="0">
        <x:f>hyperlink("https://icd.who.int/dev11/l-ichi/en#/http%3A%2F%2Fid.who.int%2Ficd%2Fentity%2F633711842","browser")</x:f>
      </x:c>
      <x:c r="L3995" s="0">
        <x:f>hyperlink("https://icat2.azurewebsites.net/icat/?ontology=ICD&amp;tab=ClassesTab&amp;id=http%3A%2F%2Fwho.int%2Ficd%2320387_512ebf36_bf6b_4d70_85da_cf2637062af4","iCat")</x:f>
      </x:c>
      <x:c r="M3995" s="0" t="s">
        <x:v>21</x:v>
      </x:c>
      <x:c r="N3995" s="0" t="s">
        <x:v>46</x:v>
      </x:c>
    </x:row>
    <x:row r="3996" spans="1:16">
      <x:c r="A3996" s="0" t="s">
        <x:v>15828</x:v>
      </x:c>
      <x:c r="B3996" s="0" t="s">
        <x:v>15829</x:v>
      </x:c>
      <x:c r="C3996" s="0" t="s">
        <x:v>15830</x:v>
      </x:c>
      <x:c r="E3996" s="0" t="s">
        <x:v>15831</x:v>
      </x:c>
      <x:c r="F3996" s="0" t="s">
        <x:v>45</x:v>
      </x:c>
      <x:c r="G3996" s="0" t="s">
        <x:v>19</x:v>
      </x:c>
      <x:c r="H3996" s="0" t="s">
        <x:v>20</x:v>
      </x:c>
      <x:c r="I3996" s="0" t="s">
        <x:v>21</x:v>
      </x:c>
      <x:c r="K3996" s="0">
        <x:f>hyperlink("https://icd.who.int/dev11/l-ichi/en#/http%3A%2F%2Fid.who.int%2Ficd%2Fentity%2F176510542","browser")</x:f>
      </x:c>
      <x:c r="L3996" s="0">
        <x:f>hyperlink("https://icat2.azurewebsites.net/icat/?ontology=ICD&amp;tab=ClassesTab&amp;id=http%3A%2F%2Fwho.int%2Ficd%2320394_512ebf36_bf6b_4d70_85da_cf2637062af4","iCat")</x:f>
      </x:c>
      <x:c r="M3996" s="0" t="s">
        <x:v>21</x:v>
      </x:c>
      <x:c r="N3996" s="0" t="s">
        <x:v>46</x:v>
      </x:c>
    </x:row>
    <x:row r="3997" spans="1:16">
      <x:c r="A3997" s="0" t="s">
        <x:v>15832</x:v>
      </x:c>
      <x:c r="B3997" s="0" t="s">
        <x:v>15833</x:v>
      </x:c>
      <x:c r="C3997" s="0" t="s">
        <x:v>15834</x:v>
      </x:c>
      <x:c r="E3997" s="0" t="s">
        <x:v>15835</x:v>
      </x:c>
      <x:c r="F3997" s="0" t="s">
        <x:v>45</x:v>
      </x:c>
      <x:c r="G3997" s="0" t="s">
        <x:v>19</x:v>
      </x:c>
      <x:c r="H3997" s="0" t="s">
        <x:v>20</x:v>
      </x:c>
      <x:c r="I3997" s="0" t="s">
        <x:v>21</x:v>
      </x:c>
      <x:c r="K3997" s="0">
        <x:f>hyperlink("https://icd.who.int/dev11/l-ichi/en#/http%3A%2F%2Fid.who.int%2Ficd%2Fentity%2F640153287","browser")</x:f>
      </x:c>
      <x:c r="L3997" s="0">
        <x:f>hyperlink("https://icat2.azurewebsites.net/icat/?ontology=ICD&amp;tab=ClassesTab&amp;id=http%3A%2F%2Fwho.int%2Ficd%2320400_512ebf36_bf6b_4d70_85da_cf2637062af4","iCat")</x:f>
      </x:c>
      <x:c r="M3997" s="0" t="s">
        <x:v>21</x:v>
      </x:c>
      <x:c r="N3997" s="0" t="s">
        <x:v>46</x:v>
      </x:c>
    </x:row>
    <x:row r="3998" spans="1:16">
      <x:c r="A3998" s="0" t="s">
        <x:v>15836</x:v>
      </x:c>
      <x:c r="B3998" s="0" t="s">
        <x:v>15837</x:v>
      </x:c>
      <x:c r="C3998" s="0" t="s">
        <x:v>15838</x:v>
      </x:c>
      <x:c r="E3998" s="0" t="s">
        <x:v>15839</x:v>
      </x:c>
      <x:c r="F3998" s="0" t="s">
        <x:v>45</x:v>
      </x:c>
      <x:c r="G3998" s="0" t="s">
        <x:v>19</x:v>
      </x:c>
      <x:c r="H3998" s="0" t="s">
        <x:v>20</x:v>
      </x:c>
      <x:c r="I3998" s="0" t="s">
        <x:v>21</x:v>
      </x:c>
      <x:c r="K3998" s="0">
        <x:f>hyperlink("https://icd.who.int/dev11/l-ichi/en#/http%3A%2F%2Fid.who.int%2Ficd%2Fentity%2F1453677898","browser")</x:f>
      </x:c>
      <x:c r="L3998" s="0">
        <x:f>hyperlink("https://icat2.azurewebsites.net/icat/?ontology=ICD&amp;tab=ClassesTab&amp;id=http%3A%2F%2Fwho.int%2Ficd%2320407_512ebf36_bf6b_4d70_85da_cf2637062af4","iCat")</x:f>
      </x:c>
      <x:c r="M3998" s="0" t="s">
        <x:v>21</x:v>
      </x:c>
      <x:c r="N3998" s="0" t="s">
        <x:v>46</x:v>
      </x:c>
    </x:row>
    <x:row r="3999" spans="1:16">
      <x:c r="A3999" s="0" t="s">
        <x:v>15840</x:v>
      </x:c>
      <x:c r="B3999" s="0" t="s">
        <x:v>15841</x:v>
      </x:c>
      <x:c r="C3999" s="0" t="s">
        <x:v>15842</x:v>
      </x:c>
      <x:c r="E3999" s="0" t="s">
        <x:v>15843</x:v>
      </x:c>
      <x:c r="F3999" s="0" t="s">
        <x:v>45</x:v>
      </x:c>
      <x:c r="G3999" s="0" t="s">
        <x:v>19</x:v>
      </x:c>
      <x:c r="H3999" s="0" t="s">
        <x:v>20</x:v>
      </x:c>
      <x:c r="I3999" s="0" t="s">
        <x:v>21</x:v>
      </x:c>
      <x:c r="K3999" s="0">
        <x:f>hyperlink("https://icd.who.int/dev11/l-ichi/en#/http%3A%2F%2Fid.who.int%2Ficd%2Fentity%2F157748329","browser")</x:f>
      </x:c>
      <x:c r="L3999" s="0">
        <x:f>hyperlink("https://icat2.azurewebsites.net/icat/?ontology=ICD&amp;tab=ClassesTab&amp;id=http%3A%2F%2Fwho.int%2Ficd%2320413_512ebf36_bf6b_4d70_85da_cf2637062af4","iCat")</x:f>
      </x:c>
      <x:c r="M3999" s="0" t="s">
        <x:v>21</x:v>
      </x:c>
      <x:c r="N3999" s="0" t="s">
        <x:v>46</x:v>
      </x:c>
    </x:row>
    <x:row r="4000" spans="1:16">
      <x:c r="A4000" s="0" t="s">
        <x:v>15844</x:v>
      </x:c>
      <x:c r="B4000" s="0" t="s">
        <x:v>15845</x:v>
      </x:c>
      <x:c r="C4000" s="0" t="s">
        <x:v>15846</x:v>
      </x:c>
      <x:c r="E4000" s="0" t="s">
        <x:v>15847</x:v>
      </x:c>
      <x:c r="F4000" s="0" t="s">
        <x:v>45</x:v>
      </x:c>
      <x:c r="G4000" s="0" t="s">
        <x:v>19</x:v>
      </x:c>
      <x:c r="H4000" s="0" t="s">
        <x:v>20</x:v>
      </x:c>
      <x:c r="I4000" s="0" t="s">
        <x:v>21</x:v>
      </x:c>
      <x:c r="K4000" s="0">
        <x:f>hyperlink("https://icd.who.int/dev11/l-ichi/en#/http%3A%2F%2Fid.who.int%2Ficd%2Fentity%2F206775191","browser")</x:f>
      </x:c>
      <x:c r="L4000" s="0">
        <x:f>hyperlink("https://icat2.azurewebsites.net/icat/?ontology=ICD&amp;tab=ClassesTab&amp;id=http%3A%2F%2Fwho.int%2Ficd%2320420_512ebf36_bf6b_4d70_85da_cf2637062af4","iCat")</x:f>
      </x:c>
      <x:c r="M4000" s="0" t="s">
        <x:v>21</x:v>
      </x:c>
      <x:c r="N4000" s="0" t="s">
        <x:v>46</x:v>
      </x:c>
    </x:row>
    <x:row r="4001" spans="1:16">
      <x:c r="A4001" s="0" t="s">
        <x:v>15848</x:v>
      </x:c>
      <x:c r="B4001" s="0" t="s">
        <x:v>15849</x:v>
      </x:c>
      <x:c r="C4001" s="0" t="s">
        <x:v>15850</x:v>
      </x:c>
      <x:c r="E4001" s="0" t="s">
        <x:v>15851</x:v>
      </x:c>
      <x:c r="F4001" s="0" t="s">
        <x:v>45</x:v>
      </x:c>
      <x:c r="G4001" s="0" t="s">
        <x:v>19</x:v>
      </x:c>
      <x:c r="H4001" s="0" t="s">
        <x:v>20</x:v>
      </x:c>
      <x:c r="I4001" s="0" t="s">
        <x:v>21</x:v>
      </x:c>
      <x:c r="K4001" s="0">
        <x:f>hyperlink("https://icd.who.int/dev11/l-ichi/en#/http%3A%2F%2Fid.who.int%2Ficd%2Fentity%2F1546189350","browser")</x:f>
      </x:c>
      <x:c r="L4001" s="0">
        <x:f>hyperlink("https://icat2.azurewebsites.net/icat/?ontology=ICD&amp;tab=ClassesTab&amp;id=http%3A%2F%2Fwho.int%2Ficd%2320426_512ebf36_bf6b_4d70_85da_cf2637062af4","iCat")</x:f>
      </x:c>
      <x:c r="M4001" s="0" t="s">
        <x:v>21</x:v>
      </x:c>
      <x:c r="N4001" s="0" t="s">
        <x:v>46</x:v>
      </x:c>
    </x:row>
    <x:row r="4002" spans="1:16">
      <x:c r="A4002" s="0" t="s">
        <x:v>15852</x:v>
      </x:c>
      <x:c r="B4002" s="0" t="s">
        <x:v>15853</x:v>
      </x:c>
      <x:c r="C4002" s="0" t="s">
        <x:v>15854</x:v>
      </x:c>
      <x:c r="E4002" s="0" t="s">
        <x:v>15855</x:v>
      </x:c>
      <x:c r="F4002" s="0" t="s">
        <x:v>45</x:v>
      </x:c>
      <x:c r="G4002" s="0" t="s">
        <x:v>19</x:v>
      </x:c>
      <x:c r="H4002" s="0" t="s">
        <x:v>20</x:v>
      </x:c>
      <x:c r="I4002" s="0" t="s">
        <x:v>21</x:v>
      </x:c>
      <x:c r="K4002" s="0">
        <x:f>hyperlink("https://icd.who.int/dev11/l-ichi/en#/http%3A%2F%2Fid.who.int%2Ficd%2Fentity%2F588503353","browser")</x:f>
      </x:c>
      <x:c r="L4002" s="0">
        <x:f>hyperlink("https://icat2.azurewebsites.net/icat/?ontology=ICD&amp;tab=ClassesTab&amp;id=http%3A%2F%2Fwho.int%2Ficd%2320433_512ebf36_bf6b_4d70_85da_cf2637062af4","iCat")</x:f>
      </x:c>
      <x:c r="M4002" s="0" t="s">
        <x:v>21</x:v>
      </x:c>
      <x:c r="N4002" s="0" t="s">
        <x:v>46</x:v>
      </x:c>
    </x:row>
    <x:row r="4003" spans="1:16">
      <x:c r="A4003" s="0" t="s">
        <x:v>15856</x:v>
      </x:c>
      <x:c r="B4003" s="0" t="s">
        <x:v>15857</x:v>
      </x:c>
      <x:c r="C4003" s="0" t="s">
        <x:v>15858</x:v>
      </x:c>
      <x:c r="E4003" s="0" t="s">
        <x:v>15859</x:v>
      </x:c>
      <x:c r="F4003" s="0" t="s">
        <x:v>45</x:v>
      </x:c>
      <x:c r="G4003" s="0" t="s">
        <x:v>19</x:v>
      </x:c>
      <x:c r="H4003" s="0" t="s">
        <x:v>20</x:v>
      </x:c>
      <x:c r="I4003" s="0" t="s">
        <x:v>21</x:v>
      </x:c>
      <x:c r="K4003" s="0">
        <x:f>hyperlink("https://icd.who.int/dev11/l-ichi/en#/http%3A%2F%2Fid.who.int%2Ficd%2Fentity%2F1991890920","browser")</x:f>
      </x:c>
      <x:c r="L4003" s="0">
        <x:f>hyperlink("https://icat2.azurewebsites.net/icat/?ontology=ICD&amp;tab=ClassesTab&amp;id=http%3A%2F%2Fwho.int%2Ficd%2320441_512ebf36_bf6b_4d70_85da_cf2637062af4","iCat")</x:f>
      </x:c>
      <x:c r="M4003" s="0" t="s">
        <x:v>21</x:v>
      </x:c>
      <x:c r="N4003" s="0" t="s">
        <x:v>46</x:v>
      </x:c>
    </x:row>
    <x:row r="4004" spans="1:16">
      <x:c r="B4004" s="0" t="s">
        <x:v>15860</x:v>
      </x:c>
      <x:c r="C4004" s="0" t="s">
        <x:v>15861</x:v>
      </x:c>
      <x:c r="E4004" s="0" t="s">
        <x:v>15862</x:v>
      </x:c>
      <x:c r="F4004" s="0" t="s">
        <x:v>45</x:v>
      </x:c>
      <x:c r="G4004" s="0" t="s">
        <x:v>19</x:v>
      </x:c>
      <x:c r="H4004" s="0" t="s">
        <x:v>21</x:v>
      </x:c>
      <x:c r="I4004" s="0" t="s">
        <x:v>21</x:v>
      </x:c>
      <x:c r="K4004" s="0">
        <x:f>hyperlink("https://icd.who.int/dev11/l-ichi/en#/http%3A%2F%2Fid.who.int%2Ficd%2Fentity%2F1343064949%2Fichi%2Fother","browser")</x:f>
      </x:c>
      <x:c r="L4004" s="0">
        <x:f>hyperlink("","iCat")</x:f>
      </x:c>
      <x:c r="M4004" s="0" t="s">
        <x:v>21</x:v>
      </x:c>
      <x:c r="N4004" s="0" t="s">
        <x:v>46</x:v>
      </x:c>
    </x:row>
    <x:row r="4005" spans="1:16">
      <x:c r="B4005" s="0" t="s">
        <x:v>15863</x:v>
      </x:c>
      <x:c r="C4005" s="0" t="s">
        <x:v>15864</x:v>
      </x:c>
      <x:c r="E4005" s="0" t="s">
        <x:v>15865</x:v>
      </x:c>
      <x:c r="F4005" s="0" t="s">
        <x:v>45</x:v>
      </x:c>
      <x:c r="G4005" s="0" t="s">
        <x:v>19</x:v>
      </x:c>
      <x:c r="H4005" s="0" t="s">
        <x:v>21</x:v>
      </x:c>
      <x:c r="I4005" s="0" t="s">
        <x:v>21</x:v>
      </x:c>
      <x:c r="K4005" s="0">
        <x:f>hyperlink("https://icd.who.int/dev11/l-ichi/en#/http%3A%2F%2Fid.who.int%2Ficd%2Fentity%2F1343064949%2Fichi%2Funspecified","browser")</x:f>
      </x:c>
      <x:c r="L4005" s="0">
        <x:f>hyperlink("","iCat")</x:f>
      </x:c>
      <x:c r="M4005" s="0" t="s">
        <x:v>21</x:v>
      </x:c>
      <x:c r="N4005" s="0" t="s">
        <x:v>46</x:v>
      </x:c>
    </x:row>
    <x:row r="4006" spans="1:16">
      <x:c r="A4006" s="0" t="s">
        <x:v>15866</x:v>
      </x:c>
      <x:c r="B4006" s="0" t="s">
        <x:v>15867</x:v>
      </x:c>
      <x:c r="D4006" s="0" t="s">
        <x:v>15868</x:v>
      </x:c>
      <x:c r="E4006" s="0" t="s">
        <x:v>15869</x:v>
      </x:c>
      <x:c r="F4006" s="0" t="s">
        <x:v>26</x:v>
      </x:c>
      <x:c r="G4006" s="0" t="s">
        <x:v>35</x:v>
      </x:c>
      <x:c r="H4006" s="0" t="s">
        <x:v>20</x:v>
      </x:c>
      <x:c r="I4006" s="0" t="s">
        <x:v>21</x:v>
      </x:c>
      <x:c r="K4006" s="0">
        <x:f>hyperlink("https://icd.who.int/dev11/l-ichi/en#/http%3A%2F%2Fid.who.int%2Ficd%2Fentity%2F743418171","browser")</x:f>
      </x:c>
      <x:c r="L4006" s="0">
        <x:f>hyperlink("https://icat2.azurewebsites.net/icat/?ontology=ICD&amp;tab=ClassesTab&amp;id=http%3A%2F%2Fwho.int%2Ficd%2320466_512ebf36_bf6b_4d70_85da_cf2637062af4","iCat")</x:f>
      </x:c>
      <x:c r="M4006" s="0" t="s">
        <x:v>20</x:v>
      </x:c>
      <x:c r="N4006" s="0" t="s">
        <x:v>206</x:v>
      </x:c>
    </x:row>
    <x:row r="4007" spans="1:16">
      <x:c r="A4007" s="0" t="s">
        <x:v>15870</x:v>
      </x:c>
      <x:c r="B4007" s="0" t="s">
        <x:v>15871</x:v>
      </x:c>
      <x:c r="D4007" s="0" t="s">
        <x:v>15872</x:v>
      </x:c>
      <x:c r="E4007" s="0" t="s">
        <x:v>15873</x:v>
      </x:c>
      <x:c r="F4007" s="0" t="s">
        <x:v>26</x:v>
      </x:c>
      <x:c r="G4007" s="0" t="s">
        <x:v>22</x:v>
      </x:c>
      <x:c r="H4007" s="0" t="s">
        <x:v>20</x:v>
      </x:c>
      <x:c r="I4007" s="0" t="s">
        <x:v>21</x:v>
      </x:c>
      <x:c r="K4007" s="0">
        <x:f>hyperlink("https://icd.who.int/dev11/l-ichi/en#/http%3A%2F%2Fid.who.int%2Ficd%2Fentity%2F1938683930","browser")</x:f>
      </x:c>
      <x:c r="L4007" s="0">
        <x:f>hyperlink("https://icat2.azurewebsites.net/icat/?ontology=ICD&amp;tab=ClassesTab&amp;id=http%3A%2F%2Fwho.int%2Ficd%2320472_512ebf36_bf6b_4d70_85da_cf2637062af4","iCat")</x:f>
      </x:c>
      <x:c r="M4007" s="0" t="s">
        <x:v>20</x:v>
      </x:c>
      <x:c r="N4007" s="0" t="s">
        <x:v>15874</x:v>
      </x:c>
    </x:row>
    <x:row r="4008" spans="1:16">
      <x:c r="A4008" s="0" t="s">
        <x:v>15875</x:v>
      </x:c>
      <x:c r="B4008" s="0" t="s">
        <x:v>15876</x:v>
      </x:c>
      <x:c r="C4008" s="0" t="s">
        <x:v>15877</x:v>
      </x:c>
      <x:c r="E4008" s="0" t="s">
        <x:v>15878</x:v>
      </x:c>
      <x:c r="F4008" s="0" t="s">
        <x:v>45</x:v>
      </x:c>
      <x:c r="G4008" s="0" t="s">
        <x:v>19</x:v>
      </x:c>
      <x:c r="H4008" s="0" t="s">
        <x:v>20</x:v>
      </x:c>
      <x:c r="I4008" s="0" t="s">
        <x:v>21</x:v>
      </x:c>
      <x:c r="K4008" s="0">
        <x:f>hyperlink("https://icd.who.int/dev11/l-ichi/en#/http%3A%2F%2Fid.who.int%2Ficd%2Fentity%2F1774896836","browser")</x:f>
      </x:c>
      <x:c r="L4008" s="0">
        <x:f>hyperlink("https://icat2.azurewebsites.net/icat/?ontology=ICD&amp;tab=ClassesTab&amp;id=http%3A%2F%2Fwho.int%2Ficd%2320465_512ebf36_bf6b_4d70_85da_cf2637062af4","iCat")</x:f>
      </x:c>
      <x:c r="M4008" s="0" t="s">
        <x:v>21</x:v>
      </x:c>
      <x:c r="N4008" s="0" t="s">
        <x:v>46</x:v>
      </x:c>
    </x:row>
    <x:row r="4009" spans="1:16">
      <x:c r="A4009" s="0" t="s">
        <x:v>15879</x:v>
      </x:c>
      <x:c r="B4009" s="0" t="s">
        <x:v>15880</x:v>
      </x:c>
      <x:c r="C4009" s="0" t="s">
        <x:v>15881</x:v>
      </x:c>
      <x:c r="E4009" s="0" t="s">
        <x:v>15882</x:v>
      </x:c>
      <x:c r="F4009" s="0" t="s">
        <x:v>45</x:v>
      </x:c>
      <x:c r="G4009" s="0" t="s">
        <x:v>19</x:v>
      </x:c>
      <x:c r="H4009" s="0" t="s">
        <x:v>20</x:v>
      </x:c>
      <x:c r="I4009" s="0" t="s">
        <x:v>21</x:v>
      </x:c>
      <x:c r="K4009" s="0">
        <x:f>hyperlink("https://icd.who.int/dev11/l-ichi/en#/http%3A%2F%2Fid.who.int%2Ficd%2Fentity%2F2090057978","browser")</x:f>
      </x:c>
      <x:c r="L4009" s="0">
        <x:f>hyperlink("https://icat2.azurewebsites.net/icat/?ontology=ICD&amp;tab=ClassesTab&amp;id=http%3A%2F%2Fwho.int%2Ficd%2320483_512ebf36_bf6b_4d70_85da_cf2637062af4","iCat")</x:f>
      </x:c>
      <x:c r="M4009" s="0" t="s">
        <x:v>21</x:v>
      </x:c>
      <x:c r="N4009" s="0" t="s">
        <x:v>46</x:v>
      </x:c>
    </x:row>
    <x:row r="4010" spans="1:16">
      <x:c r="A4010" s="0" t="s">
        <x:v>15883</x:v>
      </x:c>
      <x:c r="B4010" s="0" t="s">
        <x:v>15884</x:v>
      </x:c>
      <x:c r="C4010" s="0" t="s">
        <x:v>15885</x:v>
      </x:c>
      <x:c r="E4010" s="0" t="s">
        <x:v>15886</x:v>
      </x:c>
      <x:c r="F4010" s="0" t="s">
        <x:v>45</x:v>
      </x:c>
      <x:c r="G4010" s="0" t="s">
        <x:v>19</x:v>
      </x:c>
      <x:c r="H4010" s="0" t="s">
        <x:v>20</x:v>
      </x:c>
      <x:c r="I4010" s="0" t="s">
        <x:v>21</x:v>
      </x:c>
      <x:c r="K4010" s="0">
        <x:f>hyperlink("https://icd.who.int/dev11/l-ichi/en#/http%3A%2F%2Fid.who.int%2Ficd%2Fentity%2F1792168883","browser")</x:f>
      </x:c>
      <x:c r="L4010" s="0">
        <x:f>hyperlink("https://icat2.azurewebsites.net/icat/?ontology=ICD&amp;tab=ClassesTab&amp;id=http%3A%2F%2Fwho.int%2Ficd%2315319_4869915e_217e_423d_acb3_33c0f920ef4b","iCat")</x:f>
      </x:c>
      <x:c r="M4010" s="0" t="s">
        <x:v>21</x:v>
      </x:c>
      <x:c r="N4010" s="0" t="s">
        <x:v>46</x:v>
      </x:c>
    </x:row>
    <x:row r="4011" spans="1:16">
      <x:c r="A4011" s="0" t="s">
        <x:v>15887</x:v>
      </x:c>
      <x:c r="B4011" s="0" t="s">
        <x:v>15888</x:v>
      </x:c>
      <x:c r="C4011" s="0" t="s">
        <x:v>15889</x:v>
      </x:c>
      <x:c r="E4011" s="0" t="s">
        <x:v>15890</x:v>
      </x:c>
      <x:c r="F4011" s="0" t="s">
        <x:v>45</x:v>
      </x:c>
      <x:c r="G4011" s="0" t="s">
        <x:v>19</x:v>
      </x:c>
      <x:c r="H4011" s="0" t="s">
        <x:v>20</x:v>
      </x:c>
      <x:c r="I4011" s="0" t="s">
        <x:v>21</x:v>
      </x:c>
      <x:c r="K4011" s="0">
        <x:f>hyperlink("https://icd.who.int/dev11/l-ichi/en#/http%3A%2F%2Fid.who.int%2Ficd%2Fentity%2F1748957421","browser")</x:f>
      </x:c>
      <x:c r="L4011" s="0">
        <x:f>hyperlink("https://icat2.azurewebsites.net/icat/?ontology=ICD&amp;tab=ClassesTab&amp;id=http%3A%2F%2Fwho.int%2Ficd%230_bf15315e_f1c5_45f6_9637_651657d70d50","iCat")</x:f>
      </x:c>
      <x:c r="M4011" s="0" t="s">
        <x:v>21</x:v>
      </x:c>
      <x:c r="N4011" s="0" t="s">
        <x:v>46</x:v>
      </x:c>
    </x:row>
    <x:row r="4012" spans="1:16">
      <x:c r="A4012" s="0" t="s">
        <x:v>15891</x:v>
      </x:c>
      <x:c r="B4012" s="0" t="s">
        <x:v>15892</x:v>
      </x:c>
      <x:c r="C4012" s="0" t="s">
        <x:v>15893</x:v>
      </x:c>
      <x:c r="E4012" s="0" t="s">
        <x:v>15894</x:v>
      </x:c>
      <x:c r="F4012" s="0" t="s">
        <x:v>45</x:v>
      </x:c>
      <x:c r="G4012" s="0" t="s">
        <x:v>19</x:v>
      </x:c>
      <x:c r="H4012" s="0" t="s">
        <x:v>20</x:v>
      </x:c>
      <x:c r="I4012" s="0" t="s">
        <x:v>21</x:v>
      </x:c>
      <x:c r="K4012" s="0">
        <x:f>hyperlink("https://icd.who.int/dev11/l-ichi/en#/http%3A%2F%2Fid.who.int%2Ficd%2Fentity%2F917448593","browser")</x:f>
      </x:c>
      <x:c r="L4012" s="0">
        <x:f>hyperlink("https://icat2.azurewebsites.net/icat/?ontology=ICD&amp;tab=ClassesTab&amp;id=http%3A%2F%2Fwho.int%2Ficd%2320492_512ebf36_bf6b_4d70_85da_cf2637062af4","iCat")</x:f>
      </x:c>
      <x:c r="M4012" s="0" t="s">
        <x:v>21</x:v>
      </x:c>
      <x:c r="N4012" s="0" t="s">
        <x:v>46</x:v>
      </x:c>
    </x:row>
    <x:row r="4013" spans="1:16">
      <x:c r="A4013" s="0" t="s">
        <x:v>15895</x:v>
      </x:c>
      <x:c r="B4013" s="0" t="s">
        <x:v>15896</x:v>
      </x:c>
      <x:c r="C4013" s="0" t="s">
        <x:v>15897</x:v>
      </x:c>
      <x:c r="E4013" s="0" t="s">
        <x:v>15898</x:v>
      </x:c>
      <x:c r="F4013" s="0" t="s">
        <x:v>45</x:v>
      </x:c>
      <x:c r="G4013" s="0" t="s">
        <x:v>19</x:v>
      </x:c>
      <x:c r="H4013" s="0" t="s">
        <x:v>20</x:v>
      </x:c>
      <x:c r="I4013" s="0" t="s">
        <x:v>21</x:v>
      </x:c>
      <x:c r="K4013" s="0">
        <x:f>hyperlink("https://icd.who.int/dev11/l-ichi/en#/http%3A%2F%2Fid.who.int%2Ficd%2Fentity%2F1034631485","browser")</x:f>
      </x:c>
      <x:c r="L4013" s="0">
        <x:f>hyperlink("https://icat2.azurewebsites.net/icat/?ontology=ICD&amp;tab=ClassesTab&amp;id=http%3A%2F%2Fwho.int%2Ficd%2320499_512ebf36_bf6b_4d70_85da_cf2637062af4","iCat")</x:f>
      </x:c>
      <x:c r="M4013" s="0" t="s">
        <x:v>21</x:v>
      </x:c>
      <x:c r="N4013" s="0" t="s">
        <x:v>46</x:v>
      </x:c>
    </x:row>
    <x:row r="4014" spans="1:16">
      <x:c r="A4014" s="0" t="s">
        <x:v>15899</x:v>
      </x:c>
      <x:c r="B4014" s="0" t="s">
        <x:v>15900</x:v>
      </x:c>
      <x:c r="C4014" s="0" t="s">
        <x:v>15901</x:v>
      </x:c>
      <x:c r="E4014" s="0" t="s">
        <x:v>15902</x:v>
      </x:c>
      <x:c r="F4014" s="0" t="s">
        <x:v>45</x:v>
      </x:c>
      <x:c r="G4014" s="0" t="s">
        <x:v>19</x:v>
      </x:c>
      <x:c r="H4014" s="0" t="s">
        <x:v>20</x:v>
      </x:c>
      <x:c r="I4014" s="0" t="s">
        <x:v>21</x:v>
      </x:c>
      <x:c r="K4014" s="0">
        <x:f>hyperlink("https://icd.who.int/dev11/l-ichi/en#/http%3A%2F%2Fid.who.int%2Ficd%2Fentity%2F63171051","browser")</x:f>
      </x:c>
      <x:c r="L4014" s="0">
        <x:f>hyperlink("https://icat2.azurewebsites.net/icat/?ontology=ICD&amp;tab=ClassesTab&amp;id=http%3A%2F%2Fwho.int%2Ficd%2320506_512ebf36_bf6b_4d70_85da_cf2637062af4","iCat")</x:f>
      </x:c>
      <x:c r="M4014" s="0" t="s">
        <x:v>21</x:v>
      </x:c>
      <x:c r="N4014" s="0" t="s">
        <x:v>46</x:v>
      </x:c>
    </x:row>
    <x:row r="4015" spans="1:16">
      <x:c r="A4015" s="0" t="s">
        <x:v>15903</x:v>
      </x:c>
      <x:c r="B4015" s="0" t="s">
        <x:v>15904</x:v>
      </x:c>
      <x:c r="C4015" s="0" t="s">
        <x:v>15905</x:v>
      </x:c>
      <x:c r="E4015" s="0" t="s">
        <x:v>15906</x:v>
      </x:c>
      <x:c r="F4015" s="0" t="s">
        <x:v>45</x:v>
      </x:c>
      <x:c r="G4015" s="0" t="s">
        <x:v>19</x:v>
      </x:c>
      <x:c r="H4015" s="0" t="s">
        <x:v>20</x:v>
      </x:c>
      <x:c r="I4015" s="0" t="s">
        <x:v>21</x:v>
      </x:c>
      <x:c r="K4015" s="0">
        <x:f>hyperlink("https://icd.who.int/dev11/l-ichi/en#/http%3A%2F%2Fid.who.int%2Ficd%2Fentity%2F1543616712","browser")</x:f>
      </x:c>
      <x:c r="L4015" s="0">
        <x:f>hyperlink("https://icat2.azurewebsites.net/icat/?ontology=ICD&amp;tab=ClassesTab&amp;id=http%3A%2F%2Fwho.int%2Ficd%2320512_512ebf36_bf6b_4d70_85da_cf2637062af4","iCat")</x:f>
      </x:c>
      <x:c r="M4015" s="0" t="s">
        <x:v>21</x:v>
      </x:c>
      <x:c r="N4015" s="0" t="s">
        <x:v>46</x:v>
      </x:c>
    </x:row>
    <x:row r="4016" spans="1:16">
      <x:c r="A4016" s="0" t="s">
        <x:v>15907</x:v>
      </x:c>
      <x:c r="B4016" s="0" t="s">
        <x:v>15908</x:v>
      </x:c>
      <x:c r="C4016" s="0" t="s">
        <x:v>15909</x:v>
      </x:c>
      <x:c r="E4016" s="0" t="s">
        <x:v>15910</x:v>
      </x:c>
      <x:c r="F4016" s="0" t="s">
        <x:v>45</x:v>
      </x:c>
      <x:c r="G4016" s="0" t="s">
        <x:v>19</x:v>
      </x:c>
      <x:c r="H4016" s="0" t="s">
        <x:v>20</x:v>
      </x:c>
      <x:c r="I4016" s="0" t="s">
        <x:v>21</x:v>
      </x:c>
      <x:c r="K4016" s="0">
        <x:f>hyperlink("https://icd.who.int/dev11/l-ichi/en#/http%3A%2F%2Fid.who.int%2Ficd%2Fentity%2F1496684342","browser")</x:f>
      </x:c>
      <x:c r="L4016" s="0">
        <x:f>hyperlink("https://icat2.azurewebsites.net/icat/?ontology=ICD&amp;tab=ClassesTab&amp;id=http%3A%2F%2Fwho.int%2Ficd%2320521_512ebf36_bf6b_4d70_85da_cf2637062af4","iCat")</x:f>
      </x:c>
      <x:c r="M4016" s="0" t="s">
        <x:v>21</x:v>
      </x:c>
      <x:c r="N4016" s="0" t="s">
        <x:v>46</x:v>
      </x:c>
    </x:row>
    <x:row r="4017" spans="1:16">
      <x:c r="A4017" s="0" t="s">
        <x:v>15911</x:v>
      </x:c>
      <x:c r="B4017" s="0" t="s">
        <x:v>15912</x:v>
      </x:c>
      <x:c r="C4017" s="0" t="s">
        <x:v>15913</x:v>
      </x:c>
      <x:c r="E4017" s="0" t="s">
        <x:v>15914</x:v>
      </x:c>
      <x:c r="F4017" s="0" t="s">
        <x:v>45</x:v>
      </x:c>
      <x:c r="G4017" s="0" t="s">
        <x:v>19</x:v>
      </x:c>
      <x:c r="H4017" s="0" t="s">
        <x:v>20</x:v>
      </x:c>
      <x:c r="I4017" s="0" t="s">
        <x:v>21</x:v>
      </x:c>
      <x:c r="K4017" s="0">
        <x:f>hyperlink("https://icd.who.int/dev11/l-ichi/en#/http%3A%2F%2Fid.who.int%2Ficd%2Fentity%2F1987407258","browser")</x:f>
      </x:c>
      <x:c r="L4017" s="0">
        <x:f>hyperlink("https://icat2.azurewebsites.net/icat/?ontology=ICD&amp;tab=ClassesTab&amp;id=http%3A%2F%2Fwho.int%2Ficd%2320532_512ebf36_bf6b_4d70_85da_cf2637062af4","iCat")</x:f>
      </x:c>
      <x:c r="M4017" s="0" t="s">
        <x:v>21</x:v>
      </x:c>
      <x:c r="N4017" s="0" t="s">
        <x:v>46</x:v>
      </x:c>
    </x:row>
    <x:row r="4018" spans="1:16">
      <x:c r="A4018" s="0" t="s">
        <x:v>15915</x:v>
      </x:c>
      <x:c r="B4018" s="0" t="s">
        <x:v>15916</x:v>
      </x:c>
      <x:c r="C4018" s="0" t="s">
        <x:v>15917</x:v>
      </x:c>
      <x:c r="E4018" s="0" t="s">
        <x:v>15918</x:v>
      </x:c>
      <x:c r="F4018" s="0" t="s">
        <x:v>45</x:v>
      </x:c>
      <x:c r="G4018" s="0" t="s">
        <x:v>19</x:v>
      </x:c>
      <x:c r="H4018" s="0" t="s">
        <x:v>20</x:v>
      </x:c>
      <x:c r="I4018" s="0" t="s">
        <x:v>21</x:v>
      </x:c>
      <x:c r="K4018" s="0">
        <x:f>hyperlink("https://icd.who.int/dev11/l-ichi/en#/http%3A%2F%2Fid.who.int%2Ficd%2Fentity%2F1717177536","browser")</x:f>
      </x:c>
      <x:c r="L4018" s="0">
        <x:f>hyperlink("https://icat2.azurewebsites.net/icat/?ontology=ICD&amp;tab=ClassesTab&amp;id=http%3A%2F%2Fwho.int%2Ficd%2320543_512ebf36_bf6b_4d70_85da_cf2637062af4","iCat")</x:f>
      </x:c>
      <x:c r="M4018" s="0" t="s">
        <x:v>21</x:v>
      </x:c>
      <x:c r="N4018" s="0" t="s">
        <x:v>46</x:v>
      </x:c>
    </x:row>
    <x:row r="4019" spans="1:16">
      <x:c r="A4019" s="0" t="s">
        <x:v>15919</x:v>
      </x:c>
      <x:c r="B4019" s="0" t="s">
        <x:v>15920</x:v>
      </x:c>
      <x:c r="C4019" s="0" t="s">
        <x:v>15921</x:v>
      </x:c>
      <x:c r="E4019" s="0" t="s">
        <x:v>15922</x:v>
      </x:c>
      <x:c r="F4019" s="0" t="s">
        <x:v>45</x:v>
      </x:c>
      <x:c r="G4019" s="0" t="s">
        <x:v>19</x:v>
      </x:c>
      <x:c r="H4019" s="0" t="s">
        <x:v>20</x:v>
      </x:c>
      <x:c r="I4019" s="0" t="s">
        <x:v>21</x:v>
      </x:c>
      <x:c r="K4019" s="0">
        <x:f>hyperlink("https://icd.who.int/dev11/l-ichi/en#/http%3A%2F%2Fid.who.int%2Ficd%2Fentity%2F1226503696","browser")</x:f>
      </x:c>
      <x:c r="L4019" s="0">
        <x:f>hyperlink("https://icat2.azurewebsites.net/icat/?ontology=ICD&amp;tab=ClassesTab&amp;id=http%3A%2F%2Fwho.int%2Ficd%2320550_512ebf36_bf6b_4d70_85da_cf2637062af4","iCat")</x:f>
      </x:c>
      <x:c r="M4019" s="0" t="s">
        <x:v>21</x:v>
      </x:c>
      <x:c r="N4019" s="0" t="s">
        <x:v>46</x:v>
      </x:c>
    </x:row>
    <x:row r="4020" spans="1:16">
      <x:c r="A4020" s="0" t="s">
        <x:v>15923</x:v>
      </x:c>
      <x:c r="B4020" s="0" t="s">
        <x:v>15924</x:v>
      </x:c>
      <x:c r="C4020" s="0" t="s">
        <x:v>15925</x:v>
      </x:c>
      <x:c r="E4020" s="0" t="s">
        <x:v>15926</x:v>
      </x:c>
      <x:c r="F4020" s="0" t="s">
        <x:v>45</x:v>
      </x:c>
      <x:c r="G4020" s="0" t="s">
        <x:v>19</x:v>
      </x:c>
      <x:c r="H4020" s="0" t="s">
        <x:v>20</x:v>
      </x:c>
      <x:c r="I4020" s="0" t="s">
        <x:v>21</x:v>
      </x:c>
      <x:c r="K4020" s="0">
        <x:f>hyperlink("https://icd.who.int/dev11/l-ichi/en#/http%3A%2F%2Fid.who.int%2Ficd%2Fentity%2F966286749","browser")</x:f>
      </x:c>
      <x:c r="L4020" s="0">
        <x:f>hyperlink("https://icat2.azurewebsites.net/icat/?ontology=ICD&amp;tab=ClassesTab&amp;id=http%3A%2F%2Fwho.int%2Ficd%2320557_512ebf36_bf6b_4d70_85da_cf2637062af4","iCat")</x:f>
      </x:c>
      <x:c r="M4020" s="0" t="s">
        <x:v>21</x:v>
      </x:c>
      <x:c r="N4020" s="0" t="s">
        <x:v>46</x:v>
      </x:c>
    </x:row>
    <x:row r="4021" spans="1:16">
      <x:c r="A4021" s="0" t="s">
        <x:v>15927</x:v>
      </x:c>
      <x:c r="B4021" s="0" t="s">
        <x:v>15928</x:v>
      </x:c>
      <x:c r="C4021" s="0" t="s">
        <x:v>15929</x:v>
      </x:c>
      <x:c r="E4021" s="0" t="s">
        <x:v>15930</x:v>
      </x:c>
      <x:c r="F4021" s="0" t="s">
        <x:v>45</x:v>
      </x:c>
      <x:c r="G4021" s="0" t="s">
        <x:v>19</x:v>
      </x:c>
      <x:c r="H4021" s="0" t="s">
        <x:v>20</x:v>
      </x:c>
      <x:c r="I4021" s="0" t="s">
        <x:v>21</x:v>
      </x:c>
      <x:c r="K4021" s="0">
        <x:f>hyperlink("https://icd.who.int/dev11/l-ichi/en#/http%3A%2F%2Fid.who.int%2Ficd%2Fentity%2F1017934435","browser")</x:f>
      </x:c>
      <x:c r="L4021" s="0">
        <x:f>hyperlink("https://icat2.azurewebsites.net/icat/?ontology=ICD&amp;tab=ClassesTab&amp;id=http%3A%2F%2Fwho.int%2Ficd%2320564_512ebf36_bf6b_4d70_85da_cf2637062af4","iCat")</x:f>
      </x:c>
      <x:c r="M4021" s="0" t="s">
        <x:v>21</x:v>
      </x:c>
      <x:c r="N4021" s="0" t="s">
        <x:v>46</x:v>
      </x:c>
    </x:row>
    <x:row r="4022" spans="1:16">
      <x:c r="A4022" s="0" t="s">
        <x:v>15931</x:v>
      </x:c>
      <x:c r="B4022" s="0" t="s">
        <x:v>15932</x:v>
      </x:c>
      <x:c r="C4022" s="0" t="s">
        <x:v>15933</x:v>
      </x:c>
      <x:c r="E4022" s="0" t="s">
        <x:v>15934</x:v>
      </x:c>
      <x:c r="F4022" s="0" t="s">
        <x:v>45</x:v>
      </x:c>
      <x:c r="G4022" s="0" t="s">
        <x:v>19</x:v>
      </x:c>
      <x:c r="H4022" s="0" t="s">
        <x:v>20</x:v>
      </x:c>
      <x:c r="I4022" s="0" t="s">
        <x:v>21</x:v>
      </x:c>
      <x:c r="K4022" s="0">
        <x:f>hyperlink("https://icd.who.int/dev11/l-ichi/en#/http%3A%2F%2Fid.who.int%2Ficd%2Fentity%2F1668162370","browser")</x:f>
      </x:c>
      <x:c r="L4022" s="0">
        <x:f>hyperlink("https://icat2.azurewebsites.net/icat/?ontology=ICD&amp;tab=ClassesTab&amp;id=http%3A%2F%2Fwho.int%2Ficd%2320570_512ebf36_bf6b_4d70_85da_cf2637062af4","iCat")</x:f>
      </x:c>
      <x:c r="M4022" s="0" t="s">
        <x:v>21</x:v>
      </x:c>
      <x:c r="N4022" s="0" t="s">
        <x:v>46</x:v>
      </x:c>
    </x:row>
    <x:row r="4023" spans="1:16">
      <x:c r="A4023" s="0" t="s">
        <x:v>15935</x:v>
      </x:c>
      <x:c r="B4023" s="0" t="s">
        <x:v>15936</x:v>
      </x:c>
      <x:c r="C4023" s="0" t="s">
        <x:v>15937</x:v>
      </x:c>
      <x:c r="E4023" s="0" t="s">
        <x:v>15938</x:v>
      </x:c>
      <x:c r="F4023" s="0" t="s">
        <x:v>45</x:v>
      </x:c>
      <x:c r="G4023" s="0" t="s">
        <x:v>19</x:v>
      </x:c>
      <x:c r="H4023" s="0" t="s">
        <x:v>20</x:v>
      </x:c>
      <x:c r="I4023" s="0" t="s">
        <x:v>21</x:v>
      </x:c>
      <x:c r="K4023" s="0">
        <x:f>hyperlink("https://icd.who.int/dev11/l-ichi/en#/http%3A%2F%2Fid.who.int%2Ficd%2Fentity%2F857078513","browser")</x:f>
      </x:c>
      <x:c r="L4023" s="0">
        <x:f>hyperlink("https://icat2.azurewebsites.net/icat/?ontology=ICD&amp;tab=ClassesTab&amp;id=http%3A%2F%2Fwho.int%2Ficd%2320576_512ebf36_bf6b_4d70_85da_cf2637062af4","iCat")</x:f>
      </x:c>
      <x:c r="M4023" s="0" t="s">
        <x:v>21</x:v>
      </x:c>
      <x:c r="N4023" s="0" t="s">
        <x:v>46</x:v>
      </x:c>
    </x:row>
    <x:row r="4024" spans="1:16">
      <x:c r="A4024" s="0" t="s">
        <x:v>15939</x:v>
      </x:c>
      <x:c r="B4024" s="0" t="s">
        <x:v>15940</x:v>
      </x:c>
      <x:c r="C4024" s="0" t="s">
        <x:v>15941</x:v>
      </x:c>
      <x:c r="E4024" s="0" t="s">
        <x:v>15942</x:v>
      </x:c>
      <x:c r="F4024" s="0" t="s">
        <x:v>45</x:v>
      </x:c>
      <x:c r="G4024" s="0" t="s">
        <x:v>19</x:v>
      </x:c>
      <x:c r="H4024" s="0" t="s">
        <x:v>20</x:v>
      </x:c>
      <x:c r="I4024" s="0" t="s">
        <x:v>21</x:v>
      </x:c>
      <x:c r="K4024" s="0">
        <x:f>hyperlink("https://icd.who.int/dev11/l-ichi/en#/http%3A%2F%2Fid.who.int%2Ficd%2Fentity%2F151783015","browser")</x:f>
      </x:c>
      <x:c r="L4024" s="0">
        <x:f>hyperlink("https://icat2.azurewebsites.net/icat/?ontology=ICD&amp;tab=ClassesTab&amp;id=http%3A%2F%2Fwho.int%2Ficd%2320583_512ebf36_bf6b_4d70_85da_cf2637062af4","iCat")</x:f>
      </x:c>
      <x:c r="M4024" s="0" t="s">
        <x:v>21</x:v>
      </x:c>
      <x:c r="N4024" s="0" t="s">
        <x:v>46</x:v>
      </x:c>
    </x:row>
    <x:row r="4025" spans="1:16">
      <x:c r="A4025" s="0" t="s">
        <x:v>15943</x:v>
      </x:c>
      <x:c r="B4025" s="0" t="s">
        <x:v>15944</x:v>
      </x:c>
      <x:c r="C4025" s="0" t="s">
        <x:v>15945</x:v>
      </x:c>
      <x:c r="E4025" s="0" t="s">
        <x:v>15946</x:v>
      </x:c>
      <x:c r="F4025" s="0" t="s">
        <x:v>45</x:v>
      </x:c>
      <x:c r="G4025" s="0" t="s">
        <x:v>19</x:v>
      </x:c>
      <x:c r="H4025" s="0" t="s">
        <x:v>20</x:v>
      </x:c>
      <x:c r="I4025" s="0" t="s">
        <x:v>21</x:v>
      </x:c>
      <x:c r="K4025" s="0">
        <x:f>hyperlink("https://icd.who.int/dev11/l-ichi/en#/http%3A%2F%2Fid.who.int%2Ficd%2Fentity%2F867322497","browser")</x:f>
      </x:c>
      <x:c r="L4025" s="0">
        <x:f>hyperlink("https://icat2.azurewebsites.net/icat/?ontology=ICD&amp;tab=ClassesTab&amp;id=http%3A%2F%2Fwho.int%2Ficd%2320595_512ebf36_bf6b_4d70_85da_cf2637062af4","iCat")</x:f>
      </x:c>
      <x:c r="M4025" s="0" t="s">
        <x:v>21</x:v>
      </x:c>
      <x:c r="N4025" s="0" t="s">
        <x:v>46</x:v>
      </x:c>
    </x:row>
    <x:row r="4026" spans="1:16">
      <x:c r="A4026" s="0" t="s">
        <x:v>15947</x:v>
      </x:c>
      <x:c r="B4026" s="0" t="s">
        <x:v>15948</x:v>
      </x:c>
      <x:c r="C4026" s="0" t="s">
        <x:v>15949</x:v>
      </x:c>
      <x:c r="E4026" s="0" t="s">
        <x:v>15950</x:v>
      </x:c>
      <x:c r="F4026" s="0" t="s">
        <x:v>45</x:v>
      </x:c>
      <x:c r="G4026" s="0" t="s">
        <x:v>19</x:v>
      </x:c>
      <x:c r="H4026" s="0" t="s">
        <x:v>20</x:v>
      </x:c>
      <x:c r="I4026" s="0" t="s">
        <x:v>21</x:v>
      </x:c>
      <x:c r="K4026" s="0">
        <x:f>hyperlink("https://icd.who.int/dev11/l-ichi/en#/http%3A%2F%2Fid.who.int%2Ficd%2Fentity%2F655962699","browser")</x:f>
      </x:c>
      <x:c r="L4026" s="0">
        <x:f>hyperlink("https://icat2.azurewebsites.net/icat/?ontology=ICD&amp;tab=ClassesTab&amp;id=http%3A%2F%2Fwho.int%2Ficd%2320605_512ebf36_bf6b_4d70_85da_cf2637062af4","iCat")</x:f>
      </x:c>
      <x:c r="M4026" s="0" t="s">
        <x:v>21</x:v>
      </x:c>
      <x:c r="N4026" s="0" t="s">
        <x:v>46</x:v>
      </x:c>
    </x:row>
    <x:row r="4027" spans="1:16">
      <x:c r="A4027" s="0" t="s">
        <x:v>15951</x:v>
      </x:c>
      <x:c r="B4027" s="0" t="s">
        <x:v>15952</x:v>
      </x:c>
      <x:c r="C4027" s="0" t="s">
        <x:v>15953</x:v>
      </x:c>
      <x:c r="E4027" s="0" t="s">
        <x:v>15954</x:v>
      </x:c>
      <x:c r="F4027" s="0" t="s">
        <x:v>45</x:v>
      </x:c>
      <x:c r="G4027" s="0" t="s">
        <x:v>19</x:v>
      </x:c>
      <x:c r="H4027" s="0" t="s">
        <x:v>20</x:v>
      </x:c>
      <x:c r="I4027" s="0" t="s">
        <x:v>21</x:v>
      </x:c>
      <x:c r="K4027" s="0">
        <x:f>hyperlink("https://icd.who.int/dev11/l-ichi/en#/http%3A%2F%2Fid.who.int%2Ficd%2Fentity%2F1149646786","browser")</x:f>
      </x:c>
      <x:c r="L4027" s="0">
        <x:f>hyperlink("https://icat2.azurewebsites.net/icat/?ontology=ICD&amp;tab=ClassesTab&amp;id=http%3A%2F%2Fwho.int%2Ficd%23130_bf15315e_f1c5_45f6_9637_651657d70d50","iCat")</x:f>
      </x:c>
      <x:c r="M4027" s="0" t="s">
        <x:v>21</x:v>
      </x:c>
      <x:c r="N4027" s="0" t="s">
        <x:v>46</x:v>
      </x:c>
    </x:row>
    <x:row r="4028" spans="1:16">
      <x:c r="A4028" s="0" t="s">
        <x:v>15955</x:v>
      </x:c>
      <x:c r="B4028" s="0" t="s">
        <x:v>15956</x:v>
      </x:c>
      <x:c r="C4028" s="0" t="s">
        <x:v>15957</x:v>
      </x:c>
      <x:c r="E4028" s="0" t="s">
        <x:v>15958</x:v>
      </x:c>
      <x:c r="F4028" s="0" t="s">
        <x:v>45</x:v>
      </x:c>
      <x:c r="G4028" s="0" t="s">
        <x:v>19</x:v>
      </x:c>
      <x:c r="H4028" s="0" t="s">
        <x:v>20</x:v>
      </x:c>
      <x:c r="I4028" s="0" t="s">
        <x:v>21</x:v>
      </x:c>
      <x:c r="K4028" s="0">
        <x:f>hyperlink("https://icd.who.int/dev11/l-ichi/en#/http%3A%2F%2Fid.who.int%2Ficd%2Fentity%2F1029573777","browser")</x:f>
      </x:c>
      <x:c r="L4028" s="0">
        <x:f>hyperlink("https://icat2.azurewebsites.net/icat/?ontology=ICD&amp;tab=ClassesTab&amp;id=http%3A%2F%2Fwho.int%2Ficd%2320612_512ebf36_bf6b_4d70_85da_cf2637062af4","iCat")</x:f>
      </x:c>
      <x:c r="M4028" s="0" t="s">
        <x:v>21</x:v>
      </x:c>
      <x:c r="N4028" s="0" t="s">
        <x:v>46</x:v>
      </x:c>
    </x:row>
    <x:row r="4029" spans="1:16">
      <x:c r="A4029" s="0" t="s">
        <x:v>15959</x:v>
      </x:c>
      <x:c r="B4029" s="0" t="s">
        <x:v>15960</x:v>
      </x:c>
      <x:c r="C4029" s="0" t="s">
        <x:v>15961</x:v>
      </x:c>
      <x:c r="E4029" s="0" t="s">
        <x:v>15962</x:v>
      </x:c>
      <x:c r="F4029" s="0" t="s">
        <x:v>45</x:v>
      </x:c>
      <x:c r="G4029" s="0" t="s">
        <x:v>19</x:v>
      </x:c>
      <x:c r="H4029" s="0" t="s">
        <x:v>20</x:v>
      </x:c>
      <x:c r="I4029" s="0" t="s">
        <x:v>21</x:v>
      </x:c>
      <x:c r="K4029" s="0">
        <x:f>hyperlink("https://icd.who.int/dev11/l-ichi/en#/http%3A%2F%2Fid.who.int%2Ficd%2Fentity%2F2112834710","browser")</x:f>
      </x:c>
      <x:c r="L4029" s="0">
        <x:f>hyperlink("https://icat2.azurewebsites.net/icat/?ontology=ICD&amp;tab=ClassesTab&amp;id=http%3A%2F%2Fwho.int%2Ficd%2320622_512ebf36_bf6b_4d70_85da_cf2637062af4","iCat")</x:f>
      </x:c>
      <x:c r="M4029" s="0" t="s">
        <x:v>21</x:v>
      </x:c>
      <x:c r="N4029" s="0" t="s">
        <x:v>46</x:v>
      </x:c>
    </x:row>
    <x:row r="4030" spans="1:16">
      <x:c r="A4030" s="0" t="s">
        <x:v>15963</x:v>
      </x:c>
      <x:c r="B4030" s="0" t="s">
        <x:v>15964</x:v>
      </x:c>
      <x:c r="C4030" s="0" t="s">
        <x:v>15965</x:v>
      </x:c>
      <x:c r="E4030" s="0" t="s">
        <x:v>15966</x:v>
      </x:c>
      <x:c r="F4030" s="0" t="s">
        <x:v>45</x:v>
      </x:c>
      <x:c r="G4030" s="0" t="s">
        <x:v>19</x:v>
      </x:c>
      <x:c r="H4030" s="0" t="s">
        <x:v>20</x:v>
      </x:c>
      <x:c r="I4030" s="0" t="s">
        <x:v>21</x:v>
      </x:c>
      <x:c r="K4030" s="0">
        <x:f>hyperlink("https://icd.who.int/dev11/l-ichi/en#/http%3A%2F%2Fid.who.int%2Ficd%2Fentity%2F1444028422","browser")</x:f>
      </x:c>
      <x:c r="L4030" s="0">
        <x:f>hyperlink("https://icat2.azurewebsites.net/icat/?ontology=ICD&amp;tab=ClassesTab&amp;id=http%3A%2F%2Fwho.int%2Ficd%2320628_512ebf36_bf6b_4d70_85da_cf2637062af4","iCat")</x:f>
      </x:c>
      <x:c r="M4030" s="0" t="s">
        <x:v>21</x:v>
      </x:c>
      <x:c r="N4030" s="0" t="s">
        <x:v>46</x:v>
      </x:c>
    </x:row>
    <x:row r="4031" spans="1:16">
      <x:c r="A4031" s="0" t="s">
        <x:v>15967</x:v>
      </x:c>
      <x:c r="B4031" s="0" t="s">
        <x:v>15968</x:v>
      </x:c>
      <x:c r="C4031" s="0" t="s">
        <x:v>15969</x:v>
      </x:c>
      <x:c r="E4031" s="0" t="s">
        <x:v>15970</x:v>
      </x:c>
      <x:c r="F4031" s="0" t="s">
        <x:v>45</x:v>
      </x:c>
      <x:c r="G4031" s="0" t="s">
        <x:v>19</x:v>
      </x:c>
      <x:c r="H4031" s="0" t="s">
        <x:v>20</x:v>
      </x:c>
      <x:c r="I4031" s="0" t="s">
        <x:v>21</x:v>
      </x:c>
      <x:c r="K4031" s="0">
        <x:f>hyperlink("https://icd.who.int/dev11/l-ichi/en#/http%3A%2F%2Fid.who.int%2Ficd%2Fentity%2F1739092556","browser")</x:f>
      </x:c>
      <x:c r="L4031" s="0">
        <x:f>hyperlink("https://icat2.azurewebsites.net/icat/?ontology=ICD&amp;tab=ClassesTab&amp;id=http%3A%2F%2Fwho.int%2Ficd%2320635_512ebf36_bf6b_4d70_85da_cf2637062af4","iCat")</x:f>
      </x:c>
      <x:c r="M4031" s="0" t="s">
        <x:v>21</x:v>
      </x:c>
      <x:c r="N4031" s="0" t="s">
        <x:v>46</x:v>
      </x:c>
    </x:row>
    <x:row r="4032" spans="1:16">
      <x:c r="A4032" s="0" t="s">
        <x:v>15971</x:v>
      </x:c>
      <x:c r="B4032" s="0" t="s">
        <x:v>15972</x:v>
      </x:c>
      <x:c r="C4032" s="0" t="s">
        <x:v>15973</x:v>
      </x:c>
      <x:c r="E4032" s="0" t="s">
        <x:v>15974</x:v>
      </x:c>
      <x:c r="F4032" s="0" t="s">
        <x:v>45</x:v>
      </x:c>
      <x:c r="G4032" s="0" t="s">
        <x:v>19</x:v>
      </x:c>
      <x:c r="H4032" s="0" t="s">
        <x:v>20</x:v>
      </x:c>
      <x:c r="I4032" s="0" t="s">
        <x:v>21</x:v>
      </x:c>
      <x:c r="K4032" s="0">
        <x:f>hyperlink("https://icd.who.int/dev11/l-ichi/en#/http%3A%2F%2Fid.who.int%2Ficd%2Fentity%2F670878427","browser")</x:f>
      </x:c>
      <x:c r="L4032" s="0">
        <x:f>hyperlink("https://icat2.azurewebsites.net/icat/?ontology=ICD&amp;tab=ClassesTab&amp;id=http%3A%2F%2Fwho.int%2Ficd%2320642_512ebf36_bf6b_4d70_85da_cf2637062af4","iCat")</x:f>
      </x:c>
      <x:c r="M4032" s="0" t="s">
        <x:v>21</x:v>
      </x:c>
      <x:c r="N4032" s="0" t="s">
        <x:v>46</x:v>
      </x:c>
    </x:row>
    <x:row r="4033" spans="1:16">
      <x:c r="A4033" s="0" t="s">
        <x:v>15975</x:v>
      </x:c>
      <x:c r="B4033" s="0" t="s">
        <x:v>15976</x:v>
      </x:c>
      <x:c r="C4033" s="0" t="s">
        <x:v>15977</x:v>
      </x:c>
      <x:c r="E4033" s="0" t="s">
        <x:v>15978</x:v>
      </x:c>
      <x:c r="F4033" s="0" t="s">
        <x:v>45</x:v>
      </x:c>
      <x:c r="G4033" s="0" t="s">
        <x:v>19</x:v>
      </x:c>
      <x:c r="H4033" s="0" t="s">
        <x:v>20</x:v>
      </x:c>
      <x:c r="I4033" s="0" t="s">
        <x:v>21</x:v>
      </x:c>
      <x:c r="K4033" s="0">
        <x:f>hyperlink("https://icd.who.int/dev11/l-ichi/en#/http%3A%2F%2Fid.who.int%2Ficd%2Fentity%2F201434699","browser")</x:f>
      </x:c>
      <x:c r="L4033" s="0">
        <x:f>hyperlink("https://icat2.azurewebsites.net/icat/?ontology=ICD&amp;tab=ClassesTab&amp;id=http%3A%2F%2Fwho.int%2Ficd%2320648_512ebf36_bf6b_4d70_85da_cf2637062af4","iCat")</x:f>
      </x:c>
      <x:c r="M4033" s="0" t="s">
        <x:v>21</x:v>
      </x:c>
      <x:c r="N4033" s="0" t="s">
        <x:v>46</x:v>
      </x:c>
    </x:row>
    <x:row r="4034" spans="1:16">
      <x:c r="A4034" s="0" t="s">
        <x:v>15979</x:v>
      </x:c>
      <x:c r="B4034" s="0" t="s">
        <x:v>15980</x:v>
      </x:c>
      <x:c r="C4034" s="0" t="s">
        <x:v>15981</x:v>
      </x:c>
      <x:c r="E4034" s="0" t="s">
        <x:v>15982</x:v>
      </x:c>
      <x:c r="F4034" s="0" t="s">
        <x:v>45</x:v>
      </x:c>
      <x:c r="G4034" s="0" t="s">
        <x:v>19</x:v>
      </x:c>
      <x:c r="H4034" s="0" t="s">
        <x:v>20</x:v>
      </x:c>
      <x:c r="I4034" s="0" t="s">
        <x:v>21</x:v>
      </x:c>
      <x:c r="K4034" s="0">
        <x:f>hyperlink("https://icd.who.int/dev11/l-ichi/en#/http%3A%2F%2Fid.who.int%2Ficd%2Fentity%2F1178419488","browser")</x:f>
      </x:c>
      <x:c r="L4034" s="0">
        <x:f>hyperlink("https://icat2.azurewebsites.net/icat/?ontology=ICD&amp;tab=ClassesTab&amp;id=http%3A%2F%2Fwho.int%2Ficd%2320659_512ebf36_bf6b_4d70_85da_cf2637062af4","iCat")</x:f>
      </x:c>
      <x:c r="M4034" s="0" t="s">
        <x:v>21</x:v>
      </x:c>
      <x:c r="N4034" s="0" t="s">
        <x:v>46</x:v>
      </x:c>
    </x:row>
    <x:row r="4035" spans="1:16">
      <x:c r="A4035" s="0" t="s">
        <x:v>15983</x:v>
      </x:c>
      <x:c r="B4035" s="0" t="s">
        <x:v>15984</x:v>
      </x:c>
      <x:c r="C4035" s="0" t="s">
        <x:v>15985</x:v>
      </x:c>
      <x:c r="E4035" s="0" t="s">
        <x:v>15986</x:v>
      </x:c>
      <x:c r="F4035" s="0" t="s">
        <x:v>45</x:v>
      </x:c>
      <x:c r="G4035" s="0" t="s">
        <x:v>19</x:v>
      </x:c>
      <x:c r="H4035" s="0" t="s">
        <x:v>20</x:v>
      </x:c>
      <x:c r="I4035" s="0" t="s">
        <x:v>21</x:v>
      </x:c>
      <x:c r="K4035" s="0">
        <x:f>hyperlink("https://icd.who.int/dev11/l-ichi/en#/http%3A%2F%2Fid.who.int%2Ficd%2Fentity%2F820057214","browser")</x:f>
      </x:c>
      <x:c r="L4035" s="0">
        <x:f>hyperlink("https://icat2.azurewebsites.net/icat/?ontology=ICD&amp;tab=ClassesTab&amp;id=http%3A%2F%2Fwho.int%2Ficd%2315832_4869915e_217e_423d_acb3_33c0f920ef4b","iCat")</x:f>
      </x:c>
      <x:c r="M4035" s="0" t="s">
        <x:v>21</x:v>
      </x:c>
      <x:c r="N4035" s="0" t="s">
        <x:v>46</x:v>
      </x:c>
    </x:row>
    <x:row r="4036" spans="1:16">
      <x:c r="A4036" s="0" t="s">
        <x:v>15987</x:v>
      </x:c>
      <x:c r="B4036" s="0" t="s">
        <x:v>15988</x:v>
      </x:c>
      <x:c r="C4036" s="0" t="s">
        <x:v>15989</x:v>
      </x:c>
      <x:c r="E4036" s="0" t="s">
        <x:v>15990</x:v>
      </x:c>
      <x:c r="F4036" s="0" t="s">
        <x:v>45</x:v>
      </x:c>
      <x:c r="G4036" s="0" t="s">
        <x:v>19</x:v>
      </x:c>
      <x:c r="H4036" s="0" t="s">
        <x:v>20</x:v>
      </x:c>
      <x:c r="I4036" s="0" t="s">
        <x:v>21</x:v>
      </x:c>
      <x:c r="K4036" s="0">
        <x:f>hyperlink("https://icd.who.int/dev11/l-ichi/en#/http%3A%2F%2Fid.who.int%2Ficd%2Fentity%2F109838631","browser")</x:f>
      </x:c>
      <x:c r="L4036" s="0">
        <x:f>hyperlink("https://icat2.azurewebsites.net/icat/?ontology=ICD&amp;tab=ClassesTab&amp;id=http%3A%2F%2Fwho.int%2Ficd%2320669_512ebf36_bf6b_4d70_85da_cf2637062af4","iCat")</x:f>
      </x:c>
      <x:c r="M4036" s="0" t="s">
        <x:v>21</x:v>
      </x:c>
      <x:c r="N4036" s="0" t="s">
        <x:v>46</x:v>
      </x:c>
    </x:row>
    <x:row r="4037" spans="1:16">
      <x:c r="A4037" s="0" t="s">
        <x:v>15991</x:v>
      </x:c>
      <x:c r="B4037" s="0" t="s">
        <x:v>15992</x:v>
      </x:c>
      <x:c r="C4037" s="0" t="s">
        <x:v>15993</x:v>
      </x:c>
      <x:c r="E4037" s="0" t="s">
        <x:v>15994</x:v>
      </x:c>
      <x:c r="F4037" s="0" t="s">
        <x:v>45</x:v>
      </x:c>
      <x:c r="G4037" s="0" t="s">
        <x:v>19</x:v>
      </x:c>
      <x:c r="H4037" s="0" t="s">
        <x:v>20</x:v>
      </x:c>
      <x:c r="I4037" s="0" t="s">
        <x:v>21</x:v>
      </x:c>
      <x:c r="K4037" s="0">
        <x:f>hyperlink("https://icd.who.int/dev11/l-ichi/en#/http%3A%2F%2Fid.who.int%2Ficd%2Fentity%2F1924349076","browser")</x:f>
      </x:c>
      <x:c r="L4037" s="0">
        <x:f>hyperlink("https://icat2.azurewebsites.net/icat/?ontology=ICD&amp;tab=ClassesTab&amp;id=http%3A%2F%2Fwho.int%2Ficd%2320677_512ebf36_bf6b_4d70_85da_cf2637062af4","iCat")</x:f>
      </x:c>
      <x:c r="M4037" s="0" t="s">
        <x:v>21</x:v>
      </x:c>
      <x:c r="N4037" s="0" t="s">
        <x:v>46</x:v>
      </x:c>
    </x:row>
    <x:row r="4038" spans="1:16">
      <x:c r="A4038" s="0" t="s">
        <x:v>15995</x:v>
      </x:c>
      <x:c r="B4038" s="0" t="s">
        <x:v>15996</x:v>
      </x:c>
      <x:c r="C4038" s="0" t="s">
        <x:v>15997</x:v>
      </x:c>
      <x:c r="E4038" s="0" t="s">
        <x:v>15998</x:v>
      </x:c>
      <x:c r="F4038" s="0" t="s">
        <x:v>45</x:v>
      </x:c>
      <x:c r="G4038" s="0" t="s">
        <x:v>19</x:v>
      </x:c>
      <x:c r="H4038" s="0" t="s">
        <x:v>20</x:v>
      </x:c>
      <x:c r="I4038" s="0" t="s">
        <x:v>21</x:v>
      </x:c>
      <x:c r="K4038" s="0">
        <x:f>hyperlink("https://icd.who.int/dev11/l-ichi/en#/http%3A%2F%2Fid.who.int%2Ficd%2Fentity%2F1750315584","browser")</x:f>
      </x:c>
      <x:c r="L4038" s="0">
        <x:f>hyperlink("https://icat2.azurewebsites.net/icat/?ontology=ICD&amp;tab=ClassesTab&amp;id=http%3A%2F%2Fwho.int%2Ficd%2320683_512ebf36_bf6b_4d70_85da_cf2637062af4","iCat")</x:f>
      </x:c>
      <x:c r="M4038" s="0" t="s">
        <x:v>21</x:v>
      </x:c>
      <x:c r="N4038" s="0" t="s">
        <x:v>46</x:v>
      </x:c>
    </x:row>
    <x:row r="4039" spans="1:16">
      <x:c r="A4039" s="0" t="s">
        <x:v>15999</x:v>
      </x:c>
      <x:c r="B4039" s="0" t="s">
        <x:v>16000</x:v>
      </x:c>
      <x:c r="C4039" s="0" t="s">
        <x:v>16001</x:v>
      </x:c>
      <x:c r="E4039" s="0" t="s">
        <x:v>16002</x:v>
      </x:c>
      <x:c r="F4039" s="0" t="s">
        <x:v>45</x:v>
      </x:c>
      <x:c r="G4039" s="0" t="s">
        <x:v>19</x:v>
      </x:c>
      <x:c r="H4039" s="0" t="s">
        <x:v>20</x:v>
      </x:c>
      <x:c r="I4039" s="0" t="s">
        <x:v>21</x:v>
      </x:c>
      <x:c r="K4039" s="0">
        <x:f>hyperlink("https://icd.who.int/dev11/l-ichi/en#/http%3A%2F%2Fid.who.int%2Ficd%2Fentity%2F1374004885","browser")</x:f>
      </x:c>
      <x:c r="L4039" s="0">
        <x:f>hyperlink("https://icat2.azurewebsites.net/icat/?ontology=ICD&amp;tab=ClassesTab&amp;id=http%3A%2F%2Fwho.int%2Ficd%2315325_4869915e_217e_423d_acb3_33c0f920ef4b","iCat")</x:f>
      </x:c>
      <x:c r="M4039" s="0" t="s">
        <x:v>21</x:v>
      </x:c>
      <x:c r="N4039" s="0" t="s">
        <x:v>46</x:v>
      </x:c>
    </x:row>
    <x:row r="4040" spans="1:16">
      <x:c r="A4040" s="0" t="s">
        <x:v>16003</x:v>
      </x:c>
      <x:c r="B4040" s="0" t="s">
        <x:v>16004</x:v>
      </x:c>
      <x:c r="C4040" s="0" t="s">
        <x:v>16005</x:v>
      </x:c>
      <x:c r="E4040" s="0" t="s">
        <x:v>16006</x:v>
      </x:c>
      <x:c r="F4040" s="0" t="s">
        <x:v>45</x:v>
      </x:c>
      <x:c r="G4040" s="0" t="s">
        <x:v>19</x:v>
      </x:c>
      <x:c r="H4040" s="0" t="s">
        <x:v>20</x:v>
      </x:c>
      <x:c r="I4040" s="0" t="s">
        <x:v>21</x:v>
      </x:c>
      <x:c r="K4040" s="0">
        <x:f>hyperlink("https://icd.who.int/dev11/l-ichi/en#/http%3A%2F%2Fid.who.int%2Ficd%2Fentity%2F1431928216","browser")</x:f>
      </x:c>
      <x:c r="L4040" s="0">
        <x:f>hyperlink("https://icat2.azurewebsites.net/icat/?ontology=ICD&amp;tab=ClassesTab&amp;id=http%3A%2F%2Fwho.int%2Ficd%23367_ca295345_04da_4973_8b0f_7a84ba6d528f","iCat")</x:f>
      </x:c>
      <x:c r="M4040" s="0" t="s">
        <x:v>21</x:v>
      </x:c>
      <x:c r="N4040" s="0" t="s">
        <x:v>46</x:v>
      </x:c>
    </x:row>
    <x:row r="4041" spans="1:16">
      <x:c r="A4041" s="0" t="s">
        <x:v>16007</x:v>
      </x:c>
      <x:c r="B4041" s="0" t="s">
        <x:v>16008</x:v>
      </x:c>
      <x:c r="C4041" s="0" t="s">
        <x:v>16009</x:v>
      </x:c>
      <x:c r="E4041" s="0" t="s">
        <x:v>16010</x:v>
      </x:c>
      <x:c r="F4041" s="0" t="s">
        <x:v>45</x:v>
      </x:c>
      <x:c r="G4041" s="0" t="s">
        <x:v>19</x:v>
      </x:c>
      <x:c r="H4041" s="0" t="s">
        <x:v>20</x:v>
      </x:c>
      <x:c r="I4041" s="0" t="s">
        <x:v>21</x:v>
      </x:c>
      <x:c r="K4041" s="0">
        <x:f>hyperlink("https://icd.who.int/dev11/l-ichi/en#/http%3A%2F%2Fid.who.int%2Ficd%2Fentity%2F577721685","browser")</x:f>
      </x:c>
      <x:c r="L4041" s="0">
        <x:f>hyperlink("https://icat2.azurewebsites.net/icat/?ontology=ICD&amp;tab=ClassesTab&amp;id=http%3A%2F%2Fwho.int%2Ficd%2320692_512ebf36_bf6b_4d70_85da_cf2637062af4","iCat")</x:f>
      </x:c>
      <x:c r="M4041" s="0" t="s">
        <x:v>21</x:v>
      </x:c>
      <x:c r="N4041" s="0" t="s">
        <x:v>46</x:v>
      </x:c>
    </x:row>
    <x:row r="4042" spans="1:16">
      <x:c r="A4042" s="0" t="s">
        <x:v>16011</x:v>
      </x:c>
      <x:c r="B4042" s="0" t="s">
        <x:v>16012</x:v>
      </x:c>
      <x:c r="C4042" s="0" t="s">
        <x:v>16013</x:v>
      </x:c>
      <x:c r="E4042" s="0" t="s">
        <x:v>16014</x:v>
      </x:c>
      <x:c r="F4042" s="0" t="s">
        <x:v>45</x:v>
      </x:c>
      <x:c r="G4042" s="0" t="s">
        <x:v>19</x:v>
      </x:c>
      <x:c r="H4042" s="0" t="s">
        <x:v>20</x:v>
      </x:c>
      <x:c r="I4042" s="0" t="s">
        <x:v>21</x:v>
      </x:c>
      <x:c r="K4042" s="0">
        <x:f>hyperlink("https://icd.who.int/dev11/l-ichi/en#/http%3A%2F%2Fid.who.int%2Ficd%2Fentity%2F1199063712","browser")</x:f>
      </x:c>
      <x:c r="L4042" s="0">
        <x:f>hyperlink("https://icat2.azurewebsites.net/icat/?ontology=ICD&amp;tab=ClassesTab&amp;id=http%3A%2F%2Fwho.int%2Ficd%2320700_512ebf36_bf6b_4d70_85da_cf2637062af4","iCat")</x:f>
      </x:c>
      <x:c r="M4042" s="0" t="s">
        <x:v>21</x:v>
      </x:c>
      <x:c r="N4042" s="0" t="s">
        <x:v>46</x:v>
      </x:c>
    </x:row>
    <x:row r="4043" spans="1:16">
      <x:c r="A4043" s="0" t="s">
        <x:v>16015</x:v>
      </x:c>
      <x:c r="B4043" s="0" t="s">
        <x:v>16016</x:v>
      </x:c>
      <x:c r="C4043" s="0" t="s">
        <x:v>16017</x:v>
      </x:c>
      <x:c r="E4043" s="0" t="s">
        <x:v>16018</x:v>
      </x:c>
      <x:c r="F4043" s="0" t="s">
        <x:v>45</x:v>
      </x:c>
      <x:c r="G4043" s="0" t="s">
        <x:v>19</x:v>
      </x:c>
      <x:c r="H4043" s="0" t="s">
        <x:v>20</x:v>
      </x:c>
      <x:c r="I4043" s="0" t="s">
        <x:v>21</x:v>
      </x:c>
      <x:c r="K4043" s="0">
        <x:f>hyperlink("https://icd.who.int/dev11/l-ichi/en#/http%3A%2F%2Fid.who.int%2Ficd%2Fentity%2F386112303","browser")</x:f>
      </x:c>
      <x:c r="L4043" s="0">
        <x:f>hyperlink("https://icat2.azurewebsites.net/icat/?ontology=ICD&amp;tab=ClassesTab&amp;id=http%3A%2F%2Fwho.int%2Ficd%2320706_512ebf36_bf6b_4d70_85da_cf2637062af4","iCat")</x:f>
      </x:c>
      <x:c r="M4043" s="0" t="s">
        <x:v>21</x:v>
      </x:c>
      <x:c r="N4043" s="0" t="s">
        <x:v>46</x:v>
      </x:c>
    </x:row>
    <x:row r="4044" spans="1:16">
      <x:c r="A4044" s="0" t="s">
        <x:v>16019</x:v>
      </x:c>
      <x:c r="B4044" s="0" t="s">
        <x:v>16020</x:v>
      </x:c>
      <x:c r="C4044" s="0" t="s">
        <x:v>16021</x:v>
      </x:c>
      <x:c r="E4044" s="0" t="s">
        <x:v>16022</x:v>
      </x:c>
      <x:c r="F4044" s="0" t="s">
        <x:v>45</x:v>
      </x:c>
      <x:c r="G4044" s="0" t="s">
        <x:v>19</x:v>
      </x:c>
      <x:c r="H4044" s="0" t="s">
        <x:v>20</x:v>
      </x:c>
      <x:c r="I4044" s="0" t="s">
        <x:v>21</x:v>
      </x:c>
      <x:c r="K4044" s="0">
        <x:f>hyperlink("https://icd.who.int/dev11/l-ichi/en#/http%3A%2F%2Fid.who.int%2Ficd%2Fentity%2F1748547632","browser")</x:f>
      </x:c>
      <x:c r="L4044" s="0">
        <x:f>hyperlink("https://icat2.azurewebsites.net/icat/?ontology=ICD&amp;tab=ClassesTab&amp;id=http%3A%2F%2Fwho.int%2Ficd%2320713_512ebf36_bf6b_4d70_85da_cf2637062af4","iCat")</x:f>
      </x:c>
      <x:c r="M4044" s="0" t="s">
        <x:v>21</x:v>
      </x:c>
      <x:c r="N4044" s="0" t="s">
        <x:v>46</x:v>
      </x:c>
    </x:row>
    <x:row r="4045" spans="1:16">
      <x:c r="A4045" s="0" t="s">
        <x:v>16023</x:v>
      </x:c>
      <x:c r="B4045" s="0" t="s">
        <x:v>16024</x:v>
      </x:c>
      <x:c r="C4045" s="0" t="s">
        <x:v>16025</x:v>
      </x:c>
      <x:c r="E4045" s="0" t="s">
        <x:v>16026</x:v>
      </x:c>
      <x:c r="F4045" s="0" t="s">
        <x:v>45</x:v>
      </x:c>
      <x:c r="G4045" s="0" t="s">
        <x:v>19</x:v>
      </x:c>
      <x:c r="H4045" s="0" t="s">
        <x:v>20</x:v>
      </x:c>
      <x:c r="I4045" s="0" t="s">
        <x:v>21</x:v>
      </x:c>
      <x:c r="K4045" s="0">
        <x:f>hyperlink("https://icd.who.int/dev11/l-ichi/en#/http%3A%2F%2Fid.who.int%2Ficd%2Fentity%2F141593099","browser")</x:f>
      </x:c>
      <x:c r="L4045" s="0">
        <x:f>hyperlink("https://icat2.azurewebsites.net/icat/?ontology=ICD&amp;tab=ClassesTab&amp;id=http%3A%2F%2Fwho.int%2Ficd%2320722_512ebf36_bf6b_4d70_85da_cf2637062af4","iCat")</x:f>
      </x:c>
      <x:c r="M4045" s="0" t="s">
        <x:v>21</x:v>
      </x:c>
      <x:c r="N4045" s="0" t="s">
        <x:v>46</x:v>
      </x:c>
    </x:row>
    <x:row r="4046" spans="1:16">
      <x:c r="A4046" s="0" t="s">
        <x:v>16027</x:v>
      </x:c>
      <x:c r="B4046" s="0" t="s">
        <x:v>16028</x:v>
      </x:c>
      <x:c r="C4046" s="0" t="s">
        <x:v>16029</x:v>
      </x:c>
      <x:c r="E4046" s="0" t="s">
        <x:v>16030</x:v>
      </x:c>
      <x:c r="F4046" s="0" t="s">
        <x:v>45</x:v>
      </x:c>
      <x:c r="G4046" s="0" t="s">
        <x:v>19</x:v>
      </x:c>
      <x:c r="H4046" s="0" t="s">
        <x:v>20</x:v>
      </x:c>
      <x:c r="I4046" s="0" t="s">
        <x:v>21</x:v>
      </x:c>
      <x:c r="K4046" s="0">
        <x:f>hyperlink("https://icd.who.int/dev11/l-ichi/en#/http%3A%2F%2Fid.who.int%2Ficd%2Fentity%2F1112304994","browser")</x:f>
      </x:c>
      <x:c r="L4046" s="0">
        <x:f>hyperlink("https://icat2.azurewebsites.net/icat/?ontology=ICD&amp;tab=ClassesTab&amp;id=http%3A%2F%2Fwho.int%2Ficd%2320733_512ebf36_bf6b_4d70_85da_cf2637062af4","iCat")</x:f>
      </x:c>
      <x:c r="M4046" s="0" t="s">
        <x:v>21</x:v>
      </x:c>
      <x:c r="N4046" s="0" t="s">
        <x:v>46</x:v>
      </x:c>
    </x:row>
    <x:row r="4047" spans="1:16">
      <x:c r="A4047" s="0" t="s">
        <x:v>16031</x:v>
      </x:c>
      <x:c r="B4047" s="0" t="s">
        <x:v>16032</x:v>
      </x:c>
      <x:c r="C4047" s="0" t="s">
        <x:v>16033</x:v>
      </x:c>
      <x:c r="E4047" s="0" t="s">
        <x:v>16034</x:v>
      </x:c>
      <x:c r="F4047" s="0" t="s">
        <x:v>45</x:v>
      </x:c>
      <x:c r="G4047" s="0" t="s">
        <x:v>19</x:v>
      </x:c>
      <x:c r="H4047" s="0" t="s">
        <x:v>20</x:v>
      </x:c>
      <x:c r="I4047" s="0" t="s">
        <x:v>21</x:v>
      </x:c>
      <x:c r="K4047" s="0">
        <x:f>hyperlink("https://icd.who.int/dev11/l-ichi/en#/http%3A%2F%2Fid.who.int%2Ficd%2Fentity%2F924782979","browser")</x:f>
      </x:c>
      <x:c r="L4047" s="0">
        <x:f>hyperlink("https://icat2.azurewebsites.net/icat/?ontology=ICD&amp;tab=ClassesTab&amp;id=http%3A%2F%2Fwho.int%2Ficd%2320740_512ebf36_bf6b_4d70_85da_cf2637062af4","iCat")</x:f>
      </x:c>
      <x:c r="M4047" s="0" t="s">
        <x:v>21</x:v>
      </x:c>
      <x:c r="N4047" s="0" t="s">
        <x:v>46</x:v>
      </x:c>
    </x:row>
    <x:row r="4048" spans="1:16">
      <x:c r="A4048" s="0" t="s">
        <x:v>16035</x:v>
      </x:c>
      <x:c r="B4048" s="0" t="s">
        <x:v>16036</x:v>
      </x:c>
      <x:c r="C4048" s="0" t="s">
        <x:v>16037</x:v>
      </x:c>
      <x:c r="E4048" s="0" t="s">
        <x:v>16038</x:v>
      </x:c>
      <x:c r="F4048" s="0" t="s">
        <x:v>45</x:v>
      </x:c>
      <x:c r="G4048" s="0" t="s">
        <x:v>19</x:v>
      </x:c>
      <x:c r="H4048" s="0" t="s">
        <x:v>20</x:v>
      </x:c>
      <x:c r="I4048" s="0" t="s">
        <x:v>21</x:v>
      </x:c>
      <x:c r="K4048" s="0">
        <x:f>hyperlink("https://icd.who.int/dev11/l-ichi/en#/http%3A%2F%2Fid.who.int%2Ficd%2Fentity%2F2099508968","browser")</x:f>
      </x:c>
      <x:c r="L4048" s="0">
        <x:f>hyperlink("https://icat2.azurewebsites.net/icat/?ontology=ICD&amp;tab=ClassesTab&amp;id=http%3A%2F%2Fwho.int%2Ficd%2320751_512ebf36_bf6b_4d70_85da_cf2637062af4","iCat")</x:f>
      </x:c>
      <x:c r="M4048" s="0" t="s">
        <x:v>21</x:v>
      </x:c>
      <x:c r="N4048" s="0" t="s">
        <x:v>46</x:v>
      </x:c>
    </x:row>
    <x:row r="4049" spans="1:16">
      <x:c r="A4049" s="0" t="s">
        <x:v>16039</x:v>
      </x:c>
      <x:c r="B4049" s="0" t="s">
        <x:v>16040</x:v>
      </x:c>
      <x:c r="C4049" s="0" t="s">
        <x:v>16041</x:v>
      </x:c>
      <x:c r="E4049" s="0" t="s">
        <x:v>16042</x:v>
      </x:c>
      <x:c r="F4049" s="0" t="s">
        <x:v>45</x:v>
      </x:c>
      <x:c r="G4049" s="0" t="s">
        <x:v>19</x:v>
      </x:c>
      <x:c r="H4049" s="0" t="s">
        <x:v>20</x:v>
      </x:c>
      <x:c r="I4049" s="0" t="s">
        <x:v>21</x:v>
      </x:c>
      <x:c r="K4049" s="0">
        <x:f>hyperlink("https://icd.who.int/dev11/l-ichi/en#/http%3A%2F%2Fid.who.int%2Ficd%2Fentity%2F324793729","browser")</x:f>
      </x:c>
      <x:c r="L4049" s="0">
        <x:f>hyperlink("https://icat2.azurewebsites.net/icat/?ontology=ICD&amp;tab=ClassesTab&amp;id=http%3A%2F%2Fwho.int%2Ficd%2320758_512ebf36_bf6b_4d70_85da_cf2637062af4","iCat")</x:f>
      </x:c>
      <x:c r="M4049" s="0" t="s">
        <x:v>21</x:v>
      </x:c>
      <x:c r="N4049" s="0" t="s">
        <x:v>46</x:v>
      </x:c>
    </x:row>
    <x:row r="4050" spans="1:16">
      <x:c r="A4050" s="0" t="s">
        <x:v>16043</x:v>
      </x:c>
      <x:c r="B4050" s="0" t="s">
        <x:v>16044</x:v>
      </x:c>
      <x:c r="C4050" s="0" t="s">
        <x:v>16045</x:v>
      </x:c>
      <x:c r="E4050" s="0" t="s">
        <x:v>16046</x:v>
      </x:c>
      <x:c r="F4050" s="0" t="s">
        <x:v>45</x:v>
      </x:c>
      <x:c r="G4050" s="0" t="s">
        <x:v>19</x:v>
      </x:c>
      <x:c r="H4050" s="0" t="s">
        <x:v>20</x:v>
      </x:c>
      <x:c r="I4050" s="0" t="s">
        <x:v>21</x:v>
      </x:c>
      <x:c r="K4050" s="0">
        <x:f>hyperlink("https://icd.who.int/dev11/l-ichi/en#/http%3A%2F%2Fid.who.int%2Ficd%2Fentity%2F144011931","browser")</x:f>
      </x:c>
      <x:c r="L4050" s="0">
        <x:f>hyperlink("https://icat2.azurewebsites.net/icat/?ontology=ICD&amp;tab=ClassesTab&amp;id=http%3A%2F%2Fwho.int%2Ficd%2320765_512ebf36_bf6b_4d70_85da_cf2637062af4","iCat")</x:f>
      </x:c>
      <x:c r="M4050" s="0" t="s">
        <x:v>21</x:v>
      </x:c>
      <x:c r="N4050" s="0" t="s">
        <x:v>46</x:v>
      </x:c>
    </x:row>
    <x:row r="4051" spans="1:16">
      <x:c r="A4051" s="0" t="s">
        <x:v>16047</x:v>
      </x:c>
      <x:c r="B4051" s="0" t="s">
        <x:v>16048</x:v>
      </x:c>
      <x:c r="C4051" s="0" t="s">
        <x:v>16049</x:v>
      </x:c>
      <x:c r="E4051" s="0" t="s">
        <x:v>16050</x:v>
      </x:c>
      <x:c r="F4051" s="0" t="s">
        <x:v>45</x:v>
      </x:c>
      <x:c r="G4051" s="0" t="s">
        <x:v>19</x:v>
      </x:c>
      <x:c r="H4051" s="0" t="s">
        <x:v>20</x:v>
      </x:c>
      <x:c r="I4051" s="0" t="s">
        <x:v>21</x:v>
      </x:c>
      <x:c r="K4051" s="0">
        <x:f>hyperlink("https://icd.who.int/dev11/l-ichi/en#/http%3A%2F%2Fid.who.int%2Ficd%2Fentity%2F1465328570","browser")</x:f>
      </x:c>
      <x:c r="L4051" s="0">
        <x:f>hyperlink("https://icat2.azurewebsites.net/icat/?ontology=ICD&amp;tab=ClassesTab&amp;id=http%3A%2F%2Fwho.int%2Ficd%2320771_512ebf36_bf6b_4d70_85da_cf2637062af4","iCat")</x:f>
      </x:c>
      <x:c r="M4051" s="0" t="s">
        <x:v>21</x:v>
      </x:c>
      <x:c r="N4051" s="0" t="s">
        <x:v>46</x:v>
      </x:c>
    </x:row>
    <x:row r="4052" spans="1:16">
      <x:c r="A4052" s="0" t="s">
        <x:v>16051</x:v>
      </x:c>
      <x:c r="B4052" s="0" t="s">
        <x:v>16052</x:v>
      </x:c>
      <x:c r="C4052" s="0" t="s">
        <x:v>16053</x:v>
      </x:c>
      <x:c r="E4052" s="0" t="s">
        <x:v>16054</x:v>
      </x:c>
      <x:c r="F4052" s="0" t="s">
        <x:v>45</x:v>
      </x:c>
      <x:c r="G4052" s="0" t="s">
        <x:v>19</x:v>
      </x:c>
      <x:c r="H4052" s="0" t="s">
        <x:v>20</x:v>
      </x:c>
      <x:c r="I4052" s="0" t="s">
        <x:v>21</x:v>
      </x:c>
      <x:c r="K4052" s="0">
        <x:f>hyperlink("https://icd.who.int/dev11/l-ichi/en#/http%3A%2F%2Fid.who.int%2Ficd%2Fentity%2F120388105","browser")</x:f>
      </x:c>
      <x:c r="L4052" s="0">
        <x:f>hyperlink("https://icat2.azurewebsites.net/icat/?ontology=ICD&amp;tab=ClassesTab&amp;id=http%3A%2F%2Fwho.int%2Ficd%2320777_512ebf36_bf6b_4d70_85da_cf2637062af4","iCat")</x:f>
      </x:c>
      <x:c r="M4052" s="0" t="s">
        <x:v>21</x:v>
      </x:c>
      <x:c r="N4052" s="0" t="s">
        <x:v>46</x:v>
      </x:c>
    </x:row>
    <x:row r="4053" spans="1:16">
      <x:c r="A4053" s="0" t="s">
        <x:v>16055</x:v>
      </x:c>
      <x:c r="B4053" s="0" t="s">
        <x:v>16056</x:v>
      </x:c>
      <x:c r="C4053" s="0" t="s">
        <x:v>16057</x:v>
      </x:c>
      <x:c r="E4053" s="0" t="s">
        <x:v>16058</x:v>
      </x:c>
      <x:c r="F4053" s="0" t="s">
        <x:v>45</x:v>
      </x:c>
      <x:c r="G4053" s="0" t="s">
        <x:v>19</x:v>
      </x:c>
      <x:c r="H4053" s="0" t="s">
        <x:v>20</x:v>
      </x:c>
      <x:c r="I4053" s="0" t="s">
        <x:v>21</x:v>
      </x:c>
      <x:c r="K4053" s="0">
        <x:f>hyperlink("https://icd.who.int/dev11/l-ichi/en#/http%3A%2F%2Fid.who.int%2Ficd%2Fentity%2F1833885488","browser")</x:f>
      </x:c>
      <x:c r="L4053" s="0">
        <x:f>hyperlink("https://icat2.azurewebsites.net/icat/?ontology=ICD&amp;tab=ClassesTab&amp;id=http%3A%2F%2Fwho.int%2Ficd%2320784_512ebf36_bf6b_4d70_85da_cf2637062af4","iCat")</x:f>
      </x:c>
      <x:c r="M4053" s="0" t="s">
        <x:v>21</x:v>
      </x:c>
      <x:c r="N4053" s="0" t="s">
        <x:v>46</x:v>
      </x:c>
    </x:row>
    <x:row r="4054" spans="1:16">
      <x:c r="A4054" s="0" t="s">
        <x:v>16059</x:v>
      </x:c>
      <x:c r="B4054" s="0" t="s">
        <x:v>16060</x:v>
      </x:c>
      <x:c r="C4054" s="0" t="s">
        <x:v>16061</x:v>
      </x:c>
      <x:c r="E4054" s="0" t="s">
        <x:v>16062</x:v>
      </x:c>
      <x:c r="F4054" s="0" t="s">
        <x:v>45</x:v>
      </x:c>
      <x:c r="G4054" s="0" t="s">
        <x:v>19</x:v>
      </x:c>
      <x:c r="H4054" s="0" t="s">
        <x:v>20</x:v>
      </x:c>
      <x:c r="I4054" s="0" t="s">
        <x:v>21</x:v>
      </x:c>
      <x:c r="K4054" s="0">
        <x:f>hyperlink("https://icd.who.int/dev11/l-ichi/en#/http%3A%2F%2Fid.who.int%2Ficd%2Fentity%2F1997136374","browser")</x:f>
      </x:c>
      <x:c r="L4054" s="0">
        <x:f>hyperlink("https://icat2.azurewebsites.net/icat/?ontology=ICD&amp;tab=ClassesTab&amp;id=http%3A%2F%2Fwho.int%2Ficd%2320793_512ebf36_bf6b_4d70_85da_cf2637062af4","iCat")</x:f>
      </x:c>
      <x:c r="M4054" s="0" t="s">
        <x:v>21</x:v>
      </x:c>
      <x:c r="N4054" s="0" t="s">
        <x:v>46</x:v>
      </x:c>
    </x:row>
    <x:row r="4055" spans="1:16">
      <x:c r="A4055" s="0" t="s">
        <x:v>16063</x:v>
      </x:c>
      <x:c r="B4055" s="0" t="s">
        <x:v>16064</x:v>
      </x:c>
      <x:c r="C4055" s="0" t="s">
        <x:v>16065</x:v>
      </x:c>
      <x:c r="E4055" s="0" t="s">
        <x:v>16066</x:v>
      </x:c>
      <x:c r="F4055" s="0" t="s">
        <x:v>45</x:v>
      </x:c>
      <x:c r="G4055" s="0" t="s">
        <x:v>19</x:v>
      </x:c>
      <x:c r="H4055" s="0" t="s">
        <x:v>20</x:v>
      </x:c>
      <x:c r="I4055" s="0" t="s">
        <x:v>21</x:v>
      </x:c>
      <x:c r="K4055" s="0">
        <x:f>hyperlink("https://icd.who.int/dev11/l-ichi/en#/http%3A%2F%2Fid.who.int%2Ficd%2Fentity%2F1949359853","browser")</x:f>
      </x:c>
      <x:c r="L4055" s="0">
        <x:f>hyperlink("https://icat2.azurewebsites.net/icat/?ontology=ICD&amp;tab=ClassesTab&amp;id=http%3A%2F%2Fwho.int%2Ficd%23153_0368fbe2_93a4_4815_a335_62c65beafc84","iCat")</x:f>
      </x:c>
      <x:c r="M4055" s="0" t="s">
        <x:v>21</x:v>
      </x:c>
      <x:c r="N4055" s="0" t="s">
        <x:v>46</x:v>
      </x:c>
    </x:row>
    <x:row r="4056" spans="1:16">
      <x:c r="A4056" s="0" t="s">
        <x:v>16067</x:v>
      </x:c>
      <x:c r="B4056" s="0" t="s">
        <x:v>16068</x:v>
      </x:c>
      <x:c r="C4056" s="0" t="s">
        <x:v>16069</x:v>
      </x:c>
      <x:c r="E4056" s="0" t="s">
        <x:v>16070</x:v>
      </x:c>
      <x:c r="F4056" s="0" t="s">
        <x:v>45</x:v>
      </x:c>
      <x:c r="G4056" s="0" t="s">
        <x:v>19</x:v>
      </x:c>
      <x:c r="H4056" s="0" t="s">
        <x:v>20</x:v>
      </x:c>
      <x:c r="I4056" s="0" t="s">
        <x:v>21</x:v>
      </x:c>
      <x:c r="K4056" s="0">
        <x:f>hyperlink("https://icd.who.int/dev11/l-ichi/en#/http%3A%2F%2Fid.who.int%2Ficd%2Fentity%2F298623142","browser")</x:f>
      </x:c>
      <x:c r="L4056" s="0">
        <x:f>hyperlink("https://icat2.azurewebsites.net/icat/?ontology=ICD&amp;tab=ClassesTab&amp;id=http%3A%2F%2Fwho.int%2Ficd%2320801_512ebf36_bf6b_4d70_85da_cf2637062af4","iCat")</x:f>
      </x:c>
      <x:c r="M4056" s="0" t="s">
        <x:v>21</x:v>
      </x:c>
      <x:c r="N4056" s="0" t="s">
        <x:v>46</x:v>
      </x:c>
    </x:row>
    <x:row r="4057" spans="1:16">
      <x:c r="A4057" s="0" t="s">
        <x:v>16071</x:v>
      </x:c>
      <x:c r="B4057" s="0" t="s">
        <x:v>16072</x:v>
      </x:c>
      <x:c r="C4057" s="0" t="s">
        <x:v>16073</x:v>
      </x:c>
      <x:c r="E4057" s="0" t="s">
        <x:v>16074</x:v>
      </x:c>
      <x:c r="F4057" s="0" t="s">
        <x:v>45</x:v>
      </x:c>
      <x:c r="G4057" s="0" t="s">
        <x:v>19</x:v>
      </x:c>
      <x:c r="H4057" s="0" t="s">
        <x:v>20</x:v>
      </x:c>
      <x:c r="I4057" s="0" t="s">
        <x:v>21</x:v>
      </x:c>
      <x:c r="K4057" s="0">
        <x:f>hyperlink("https://icd.who.int/dev11/l-ichi/en#/http%3A%2F%2Fid.who.int%2Ficd%2Fentity%2F2142544845","browser")</x:f>
      </x:c>
      <x:c r="L4057" s="0">
        <x:f>hyperlink("https://icat2.azurewebsites.net/icat/?ontology=ICD&amp;tab=ClassesTab&amp;id=http%3A%2F%2Fwho.int%2Ficd%2320808_512ebf36_bf6b_4d70_85da_cf2637062af4","iCat")</x:f>
      </x:c>
      <x:c r="M4057" s="0" t="s">
        <x:v>21</x:v>
      </x:c>
      <x:c r="N4057" s="0" t="s">
        <x:v>46</x:v>
      </x:c>
    </x:row>
    <x:row r="4058" spans="1:16">
      <x:c r="A4058" s="0" t="s">
        <x:v>16075</x:v>
      </x:c>
      <x:c r="B4058" s="0" t="s">
        <x:v>16076</x:v>
      </x:c>
      <x:c r="C4058" s="0" t="s">
        <x:v>16077</x:v>
      </x:c>
      <x:c r="E4058" s="0" t="s">
        <x:v>16078</x:v>
      </x:c>
      <x:c r="F4058" s="0" t="s">
        <x:v>45</x:v>
      </x:c>
      <x:c r="G4058" s="0" t="s">
        <x:v>19</x:v>
      </x:c>
      <x:c r="H4058" s="0" t="s">
        <x:v>20</x:v>
      </x:c>
      <x:c r="I4058" s="0" t="s">
        <x:v>21</x:v>
      </x:c>
      <x:c r="K4058" s="0">
        <x:f>hyperlink("https://icd.who.int/dev11/l-ichi/en#/http%3A%2F%2Fid.who.int%2Ficd%2Fentity%2F1309602183","browser")</x:f>
      </x:c>
      <x:c r="L4058" s="0">
        <x:f>hyperlink("https://icat2.azurewebsites.net/icat/?ontology=ICD&amp;tab=ClassesTab&amp;id=http%3A%2F%2Fwho.int%2Ficd%2320815_512ebf36_bf6b_4d70_85da_cf2637062af4","iCat")</x:f>
      </x:c>
      <x:c r="M4058" s="0" t="s">
        <x:v>21</x:v>
      </x:c>
      <x:c r="N4058" s="0" t="s">
        <x:v>46</x:v>
      </x:c>
    </x:row>
    <x:row r="4059" spans="1:16">
      <x:c r="A4059" s="0" t="s">
        <x:v>16079</x:v>
      </x:c>
      <x:c r="B4059" s="0" t="s">
        <x:v>16080</x:v>
      </x:c>
      <x:c r="C4059" s="0" t="s">
        <x:v>16081</x:v>
      </x:c>
      <x:c r="E4059" s="0" t="s">
        <x:v>16082</x:v>
      </x:c>
      <x:c r="F4059" s="0" t="s">
        <x:v>45</x:v>
      </x:c>
      <x:c r="G4059" s="0" t="s">
        <x:v>19</x:v>
      </x:c>
      <x:c r="H4059" s="0" t="s">
        <x:v>20</x:v>
      </x:c>
      <x:c r="I4059" s="0" t="s">
        <x:v>21</x:v>
      </x:c>
      <x:c r="K4059" s="0">
        <x:f>hyperlink("https://icd.who.int/dev11/l-ichi/en#/http%3A%2F%2Fid.who.int%2Ficd%2Fentity%2F247443842","browser")</x:f>
      </x:c>
      <x:c r="L4059" s="0">
        <x:f>hyperlink("https://icat2.azurewebsites.net/icat/?ontology=ICD&amp;tab=ClassesTab&amp;id=http%3A%2F%2Fwho.int%2Ficd%2320825_512ebf36_bf6b_4d70_85da_cf2637062af4","iCat")</x:f>
      </x:c>
      <x:c r="M4059" s="0" t="s">
        <x:v>21</x:v>
      </x:c>
      <x:c r="N4059" s="0" t="s">
        <x:v>46</x:v>
      </x:c>
    </x:row>
    <x:row r="4060" spans="1:16">
      <x:c r="A4060" s="0" t="s">
        <x:v>16083</x:v>
      </x:c>
      <x:c r="B4060" s="0" t="s">
        <x:v>16084</x:v>
      </x:c>
      <x:c r="C4060" s="0" t="s">
        <x:v>16085</x:v>
      </x:c>
      <x:c r="E4060" s="0" t="s">
        <x:v>16086</x:v>
      </x:c>
      <x:c r="F4060" s="0" t="s">
        <x:v>45</x:v>
      </x:c>
      <x:c r="G4060" s="0" t="s">
        <x:v>19</x:v>
      </x:c>
      <x:c r="H4060" s="0" t="s">
        <x:v>20</x:v>
      </x:c>
      <x:c r="I4060" s="0" t="s">
        <x:v>21</x:v>
      </x:c>
      <x:c r="K4060" s="0">
        <x:f>hyperlink("https://icd.who.int/dev11/l-ichi/en#/http%3A%2F%2Fid.who.int%2Ficd%2Fentity%2F1951745521","browser")</x:f>
      </x:c>
      <x:c r="L4060" s="0">
        <x:f>hyperlink("https://icat2.azurewebsites.net/icat/?ontology=ICD&amp;tab=ClassesTab&amp;id=http%3A%2F%2Fwho.int%2Ficd%2320844_512ebf36_bf6b_4d70_85da_cf2637062af4","iCat")</x:f>
      </x:c>
      <x:c r="M4060" s="0" t="s">
        <x:v>21</x:v>
      </x:c>
      <x:c r="N4060" s="0" t="s">
        <x:v>46</x:v>
      </x:c>
    </x:row>
    <x:row r="4061" spans="1:16">
      <x:c r="A4061" s="0" t="s">
        <x:v>16087</x:v>
      </x:c>
      <x:c r="B4061" s="0" t="s">
        <x:v>16088</x:v>
      </x:c>
      <x:c r="C4061" s="0" t="s">
        <x:v>16089</x:v>
      </x:c>
      <x:c r="E4061" s="0" t="s">
        <x:v>16090</x:v>
      </x:c>
      <x:c r="F4061" s="0" t="s">
        <x:v>45</x:v>
      </x:c>
      <x:c r="G4061" s="0" t="s">
        <x:v>19</x:v>
      </x:c>
      <x:c r="H4061" s="0" t="s">
        <x:v>20</x:v>
      </x:c>
      <x:c r="I4061" s="0" t="s">
        <x:v>21</x:v>
      </x:c>
      <x:c r="K4061" s="0">
        <x:f>hyperlink("https://icd.who.int/dev11/l-ichi/en#/http%3A%2F%2Fid.who.int%2Ficd%2Fentity%2F1324026135","browser")</x:f>
      </x:c>
      <x:c r="L4061" s="0">
        <x:f>hyperlink("https://icat2.azurewebsites.net/icat/?ontology=ICD&amp;tab=ClassesTab&amp;id=http%3A%2F%2Fwho.int%2Ficd%2320852_512ebf36_bf6b_4d70_85da_cf2637062af4","iCat")</x:f>
      </x:c>
      <x:c r="M4061" s="0" t="s">
        <x:v>21</x:v>
      </x:c>
      <x:c r="N4061" s="0" t="s">
        <x:v>46</x:v>
      </x:c>
    </x:row>
    <x:row r="4062" spans="1:16">
      <x:c r="A4062" s="0" t="s">
        <x:v>16091</x:v>
      </x:c>
      <x:c r="B4062" s="0" t="s">
        <x:v>16092</x:v>
      </x:c>
      <x:c r="C4062" s="0" t="s">
        <x:v>16093</x:v>
      </x:c>
      <x:c r="E4062" s="0" t="s">
        <x:v>16094</x:v>
      </x:c>
      <x:c r="F4062" s="0" t="s">
        <x:v>45</x:v>
      </x:c>
      <x:c r="G4062" s="0" t="s">
        <x:v>19</x:v>
      </x:c>
      <x:c r="H4062" s="0" t="s">
        <x:v>20</x:v>
      </x:c>
      <x:c r="I4062" s="0" t="s">
        <x:v>21</x:v>
      </x:c>
      <x:c r="K4062" s="0">
        <x:f>hyperlink("https://icd.who.int/dev11/l-ichi/en#/http%3A%2F%2Fid.who.int%2Ficd%2Fentity%2F454850798","browser")</x:f>
      </x:c>
      <x:c r="L4062" s="0">
        <x:f>hyperlink("https://icat2.azurewebsites.net/icat/?ontology=ICD&amp;tab=ClassesTab&amp;id=http%3A%2F%2Fwho.int%2Ficd%2315838_4869915e_217e_423d_acb3_33c0f920ef4b","iCat")</x:f>
      </x:c>
      <x:c r="M4062" s="0" t="s">
        <x:v>21</x:v>
      </x:c>
      <x:c r="N4062" s="0" t="s">
        <x:v>46</x:v>
      </x:c>
    </x:row>
    <x:row r="4063" spans="1:16">
      <x:c r="A4063" s="0" t="s">
        <x:v>16095</x:v>
      </x:c>
      <x:c r="B4063" s="0" t="s">
        <x:v>16096</x:v>
      </x:c>
      <x:c r="C4063" s="0" t="s">
        <x:v>16097</x:v>
      </x:c>
      <x:c r="E4063" s="0" t="s">
        <x:v>16098</x:v>
      </x:c>
      <x:c r="F4063" s="0" t="s">
        <x:v>45</x:v>
      </x:c>
      <x:c r="G4063" s="0" t="s">
        <x:v>19</x:v>
      </x:c>
      <x:c r="H4063" s="0" t="s">
        <x:v>20</x:v>
      </x:c>
      <x:c r="I4063" s="0" t="s">
        <x:v>21</x:v>
      </x:c>
      <x:c r="K4063" s="0">
        <x:f>hyperlink("https://icd.who.int/dev11/l-ichi/en#/http%3A%2F%2Fid.who.int%2Ficd%2Fentity%2F240797970","browser")</x:f>
      </x:c>
      <x:c r="L4063" s="0">
        <x:f>hyperlink("https://icat2.azurewebsites.net/icat/?ontology=ICD&amp;tab=ClassesTab&amp;id=http%3A%2F%2Fwho.int%2Ficd%2320862_512ebf36_bf6b_4d70_85da_cf2637062af4","iCat")</x:f>
      </x:c>
      <x:c r="M4063" s="0" t="s">
        <x:v>21</x:v>
      </x:c>
      <x:c r="N4063" s="0" t="s">
        <x:v>46</x:v>
      </x:c>
    </x:row>
    <x:row r="4064" spans="1:16">
      <x:c r="A4064" s="0" t="s">
        <x:v>16099</x:v>
      </x:c>
      <x:c r="B4064" s="0" t="s">
        <x:v>16100</x:v>
      </x:c>
      <x:c r="C4064" s="0" t="s">
        <x:v>16101</x:v>
      </x:c>
      <x:c r="E4064" s="0" t="s">
        <x:v>16102</x:v>
      </x:c>
      <x:c r="F4064" s="0" t="s">
        <x:v>45</x:v>
      </x:c>
      <x:c r="G4064" s="0" t="s">
        <x:v>19</x:v>
      </x:c>
      <x:c r="H4064" s="0" t="s">
        <x:v>20</x:v>
      </x:c>
      <x:c r="I4064" s="0" t="s">
        <x:v>21</x:v>
      </x:c>
      <x:c r="K4064" s="0">
        <x:f>hyperlink("https://icd.who.int/dev11/l-ichi/en#/http%3A%2F%2Fid.who.int%2Ficd%2Fentity%2F31703428","browser")</x:f>
      </x:c>
      <x:c r="L4064" s="0">
        <x:f>hyperlink("https://icat2.azurewebsites.net/icat/?ontology=ICD&amp;tab=ClassesTab&amp;id=http%3A%2F%2Fwho.int%2Ficd%2320870_512ebf36_bf6b_4d70_85da_cf2637062af4","iCat")</x:f>
      </x:c>
      <x:c r="M4064" s="0" t="s">
        <x:v>21</x:v>
      </x:c>
      <x:c r="N4064" s="0" t="s">
        <x:v>46</x:v>
      </x:c>
    </x:row>
    <x:row r="4065" spans="1:16">
      <x:c r="A4065" s="0" t="s">
        <x:v>16103</x:v>
      </x:c>
      <x:c r="B4065" s="0" t="s">
        <x:v>16104</x:v>
      </x:c>
      <x:c r="C4065" s="0" t="s">
        <x:v>16105</x:v>
      </x:c>
      <x:c r="E4065" s="0" t="s">
        <x:v>16106</x:v>
      </x:c>
      <x:c r="F4065" s="0" t="s">
        <x:v>45</x:v>
      </x:c>
      <x:c r="G4065" s="0" t="s">
        <x:v>19</x:v>
      </x:c>
      <x:c r="H4065" s="0" t="s">
        <x:v>20</x:v>
      </x:c>
      <x:c r="I4065" s="0" t="s">
        <x:v>21</x:v>
      </x:c>
      <x:c r="K4065" s="0">
        <x:f>hyperlink("https://icd.who.int/dev11/l-ichi/en#/http%3A%2F%2Fid.who.int%2Ficd%2Fentity%2F1368922163","browser")</x:f>
      </x:c>
      <x:c r="L4065" s="0">
        <x:f>hyperlink("https://icat2.azurewebsites.net/icat/?ontology=ICD&amp;tab=ClassesTab&amp;id=http%3A%2F%2Fwho.int%2Ficd%2320876_512ebf36_bf6b_4d70_85da_cf2637062af4","iCat")</x:f>
      </x:c>
      <x:c r="M4065" s="0" t="s">
        <x:v>21</x:v>
      </x:c>
      <x:c r="N4065" s="0" t="s">
        <x:v>46</x:v>
      </x:c>
    </x:row>
    <x:row r="4066" spans="1:16">
      <x:c r="A4066" s="0" t="s">
        <x:v>16107</x:v>
      </x:c>
      <x:c r="B4066" s="0" t="s">
        <x:v>16108</x:v>
      </x:c>
      <x:c r="C4066" s="0" t="s">
        <x:v>16109</x:v>
      </x:c>
      <x:c r="E4066" s="0" t="s">
        <x:v>16110</x:v>
      </x:c>
      <x:c r="F4066" s="0" t="s">
        <x:v>45</x:v>
      </x:c>
      <x:c r="G4066" s="0" t="s">
        <x:v>19</x:v>
      </x:c>
      <x:c r="H4066" s="0" t="s">
        <x:v>20</x:v>
      </x:c>
      <x:c r="I4066" s="0" t="s">
        <x:v>21</x:v>
      </x:c>
      <x:c r="K4066" s="0">
        <x:f>hyperlink("https://icd.who.int/dev11/l-ichi/en#/http%3A%2F%2Fid.who.int%2Ficd%2Fentity%2F237500344","browser")</x:f>
      </x:c>
      <x:c r="L4066" s="0">
        <x:f>hyperlink("https://icat2.azurewebsites.net/icat/?ontology=ICD&amp;tab=ClassesTab&amp;id=http%3A%2F%2Fwho.int%2Ficd%2315331_4869915e_217e_423d_acb3_33c0f920ef4b","iCat")</x:f>
      </x:c>
      <x:c r="M4066" s="0" t="s">
        <x:v>21</x:v>
      </x:c>
      <x:c r="N4066" s="0" t="s">
        <x:v>46</x:v>
      </x:c>
    </x:row>
    <x:row r="4067" spans="1:16">
      <x:c r="A4067" s="0" t="s">
        <x:v>16111</x:v>
      </x:c>
      <x:c r="B4067" s="0" t="s">
        <x:v>16112</x:v>
      </x:c>
      <x:c r="C4067" s="0" t="s">
        <x:v>16113</x:v>
      </x:c>
      <x:c r="E4067" s="0" t="s">
        <x:v>16114</x:v>
      </x:c>
      <x:c r="F4067" s="0" t="s">
        <x:v>45</x:v>
      </x:c>
      <x:c r="G4067" s="0" t="s">
        <x:v>19</x:v>
      </x:c>
      <x:c r="H4067" s="0" t="s">
        <x:v>20</x:v>
      </x:c>
      <x:c r="I4067" s="0" t="s">
        <x:v>21</x:v>
      </x:c>
      <x:c r="K4067" s="0">
        <x:f>hyperlink("https://icd.who.int/dev11/l-ichi/en#/http%3A%2F%2Fid.who.int%2Ficd%2Fentity%2F1006255382","browser")</x:f>
      </x:c>
      <x:c r="L4067" s="0">
        <x:f>hyperlink("https://icat2.azurewebsites.net/icat/?ontology=ICD&amp;tab=ClassesTab&amp;id=http%3A%2F%2Fwho.int%2Ficd%2320885_512ebf36_bf6b_4d70_85da_cf2637062af4","iCat")</x:f>
      </x:c>
      <x:c r="M4067" s="0" t="s">
        <x:v>21</x:v>
      </x:c>
      <x:c r="N4067" s="0" t="s">
        <x:v>46</x:v>
      </x:c>
    </x:row>
    <x:row r="4068" spans="1:16">
      <x:c r="A4068" s="0" t="s">
        <x:v>16115</x:v>
      </x:c>
      <x:c r="B4068" s="0" t="s">
        <x:v>16116</x:v>
      </x:c>
      <x:c r="C4068" s="0" t="s">
        <x:v>16117</x:v>
      </x:c>
      <x:c r="E4068" s="0" t="s">
        <x:v>16118</x:v>
      </x:c>
      <x:c r="F4068" s="0" t="s">
        <x:v>45</x:v>
      </x:c>
      <x:c r="G4068" s="0" t="s">
        <x:v>19</x:v>
      </x:c>
      <x:c r="H4068" s="0" t="s">
        <x:v>20</x:v>
      </x:c>
      <x:c r="I4068" s="0" t="s">
        <x:v>21</x:v>
      </x:c>
      <x:c r="K4068" s="0">
        <x:f>hyperlink("https://icd.who.int/dev11/l-ichi/en#/http%3A%2F%2Fid.who.int%2Ficd%2Fentity%2F21262834","browser")</x:f>
      </x:c>
      <x:c r="L4068" s="0">
        <x:f>hyperlink("https://icat2.azurewebsites.net/icat/?ontology=ICD&amp;tab=ClassesTab&amp;id=http%3A%2F%2Fwho.int%2Ficd%2320893_512ebf36_bf6b_4d70_85da_cf2637062af4","iCat")</x:f>
      </x:c>
      <x:c r="M4068" s="0" t="s">
        <x:v>21</x:v>
      </x:c>
      <x:c r="N4068" s="0" t="s">
        <x:v>46</x:v>
      </x:c>
    </x:row>
    <x:row r="4069" spans="1:16">
      <x:c r="A4069" s="0" t="s">
        <x:v>16119</x:v>
      </x:c>
      <x:c r="B4069" s="0" t="s">
        <x:v>16120</x:v>
      </x:c>
      <x:c r="C4069" s="0" t="s">
        <x:v>16121</x:v>
      </x:c>
      <x:c r="E4069" s="0" t="s">
        <x:v>16122</x:v>
      </x:c>
      <x:c r="F4069" s="0" t="s">
        <x:v>45</x:v>
      </x:c>
      <x:c r="G4069" s="0" t="s">
        <x:v>19</x:v>
      </x:c>
      <x:c r="H4069" s="0" t="s">
        <x:v>20</x:v>
      </x:c>
      <x:c r="I4069" s="0" t="s">
        <x:v>21</x:v>
      </x:c>
      <x:c r="K4069" s="0">
        <x:f>hyperlink("https://icd.who.int/dev11/l-ichi/en#/http%3A%2F%2Fid.who.int%2Ficd%2Fentity%2F567675328","browser")</x:f>
      </x:c>
      <x:c r="L4069" s="0">
        <x:f>hyperlink("https://icat2.azurewebsites.net/icat/?ontology=ICD&amp;tab=ClassesTab&amp;id=http%3A%2F%2Fwho.int%2Ficd%2320902_512ebf36_bf6b_4d70_85da_cf2637062af4","iCat")</x:f>
      </x:c>
      <x:c r="M4069" s="0" t="s">
        <x:v>21</x:v>
      </x:c>
      <x:c r="N4069" s="0" t="s">
        <x:v>46</x:v>
      </x:c>
    </x:row>
    <x:row r="4070" spans="1:16">
      <x:c r="A4070" s="0" t="s">
        <x:v>16123</x:v>
      </x:c>
      <x:c r="B4070" s="0" t="s">
        <x:v>16124</x:v>
      </x:c>
      <x:c r="C4070" s="0" t="s">
        <x:v>16125</x:v>
      </x:c>
      <x:c r="E4070" s="0" t="s">
        <x:v>16126</x:v>
      </x:c>
      <x:c r="F4070" s="0" t="s">
        <x:v>45</x:v>
      </x:c>
      <x:c r="G4070" s="0" t="s">
        <x:v>19</x:v>
      </x:c>
      <x:c r="H4070" s="0" t="s">
        <x:v>20</x:v>
      </x:c>
      <x:c r="I4070" s="0" t="s">
        <x:v>21</x:v>
      </x:c>
      <x:c r="K4070" s="0">
        <x:f>hyperlink("https://icd.who.int/dev11/l-ichi/en#/http%3A%2F%2Fid.who.int%2Ficd%2Fentity%2F244773744","browser")</x:f>
      </x:c>
      <x:c r="L4070" s="0">
        <x:f>hyperlink("https://icat2.azurewebsites.net/icat/?ontology=ICD&amp;tab=ClassesTab&amp;id=http%3A%2F%2Fwho.int%2Ficd%2320911_512ebf36_bf6b_4d70_85da_cf2637062af4","iCat")</x:f>
      </x:c>
      <x:c r="M4070" s="0" t="s">
        <x:v>21</x:v>
      </x:c>
      <x:c r="N4070" s="0" t="s">
        <x:v>46</x:v>
      </x:c>
    </x:row>
    <x:row r="4071" spans="1:16">
      <x:c r="A4071" s="0" t="s">
        <x:v>16127</x:v>
      </x:c>
      <x:c r="B4071" s="0" t="s">
        <x:v>16128</x:v>
      </x:c>
      <x:c r="C4071" s="0" t="s">
        <x:v>16129</x:v>
      </x:c>
      <x:c r="E4071" s="0" t="s">
        <x:v>16130</x:v>
      </x:c>
      <x:c r="F4071" s="0" t="s">
        <x:v>45</x:v>
      </x:c>
      <x:c r="G4071" s="0" t="s">
        <x:v>19</x:v>
      </x:c>
      <x:c r="H4071" s="0" t="s">
        <x:v>20</x:v>
      </x:c>
      <x:c r="I4071" s="0" t="s">
        <x:v>21</x:v>
      </x:c>
      <x:c r="K4071" s="0">
        <x:f>hyperlink("https://icd.who.int/dev11/l-ichi/en#/http%3A%2F%2Fid.who.int%2Ficd%2Fentity%2F1592601311","browser")</x:f>
      </x:c>
      <x:c r="L4071" s="0">
        <x:f>hyperlink("https://icat2.azurewebsites.net/icat/?ontology=ICD&amp;tab=ClassesTab&amp;id=http%3A%2F%2Fwho.int%2Ficd%2320917_512ebf36_bf6b_4d70_85da_cf2637062af4","iCat")</x:f>
      </x:c>
      <x:c r="M4071" s="0" t="s">
        <x:v>21</x:v>
      </x:c>
      <x:c r="N4071" s="0" t="s">
        <x:v>46</x:v>
      </x:c>
    </x:row>
    <x:row r="4072" spans="1:16">
      <x:c r="A4072" s="0" t="s">
        <x:v>16131</x:v>
      </x:c>
      <x:c r="B4072" s="0" t="s">
        <x:v>16132</x:v>
      </x:c>
      <x:c r="C4072" s="0" t="s">
        <x:v>16133</x:v>
      </x:c>
      <x:c r="E4072" s="0" t="s">
        <x:v>16134</x:v>
      </x:c>
      <x:c r="F4072" s="0" t="s">
        <x:v>45</x:v>
      </x:c>
      <x:c r="G4072" s="0" t="s">
        <x:v>19</x:v>
      </x:c>
      <x:c r="H4072" s="0" t="s">
        <x:v>20</x:v>
      </x:c>
      <x:c r="I4072" s="0" t="s">
        <x:v>21</x:v>
      </x:c>
      <x:c r="K4072" s="0">
        <x:f>hyperlink("https://icd.who.int/dev11/l-ichi/en#/http%3A%2F%2Fid.who.int%2Ficd%2Fentity%2F1540949281","browser")</x:f>
      </x:c>
      <x:c r="L4072" s="0">
        <x:f>hyperlink("https://icat2.azurewebsites.net/icat/?ontology=ICD&amp;tab=ClassesTab&amp;id=http%3A%2F%2Fwho.int%2Ficd%2320924_512ebf36_bf6b_4d70_85da_cf2637062af4","iCat")</x:f>
      </x:c>
      <x:c r="M4072" s="0" t="s">
        <x:v>21</x:v>
      </x:c>
      <x:c r="N4072" s="0" t="s">
        <x:v>46</x:v>
      </x:c>
    </x:row>
    <x:row r="4073" spans="1:16">
      <x:c r="A4073" s="0" t="s">
        <x:v>16135</x:v>
      </x:c>
      <x:c r="B4073" s="0" t="s">
        <x:v>16136</x:v>
      </x:c>
      <x:c r="C4073" s="0" t="s">
        <x:v>16137</x:v>
      </x:c>
      <x:c r="E4073" s="0" t="s">
        <x:v>16138</x:v>
      </x:c>
      <x:c r="F4073" s="0" t="s">
        <x:v>45</x:v>
      </x:c>
      <x:c r="G4073" s="0" t="s">
        <x:v>19</x:v>
      </x:c>
      <x:c r="H4073" s="0" t="s">
        <x:v>20</x:v>
      </x:c>
      <x:c r="I4073" s="0" t="s">
        <x:v>21</x:v>
      </x:c>
      <x:c r="K4073" s="0">
        <x:f>hyperlink("https://icd.who.int/dev11/l-ichi/en#/http%3A%2F%2Fid.who.int%2Ficd%2Fentity%2F618800702","browser")</x:f>
      </x:c>
      <x:c r="L4073" s="0">
        <x:f>hyperlink("https://icat2.azurewebsites.net/icat/?ontology=ICD&amp;tab=ClassesTab&amp;id=http%3A%2F%2Fwho.int%2Ficd%2320931_512ebf36_bf6b_4d70_85da_cf2637062af4","iCat")</x:f>
      </x:c>
      <x:c r="M4073" s="0" t="s">
        <x:v>21</x:v>
      </x:c>
      <x:c r="N4073" s="0" t="s">
        <x:v>46</x:v>
      </x:c>
    </x:row>
    <x:row r="4074" spans="1:16">
      <x:c r="A4074" s="0" t="s">
        <x:v>16139</x:v>
      </x:c>
      <x:c r="B4074" s="0" t="s">
        <x:v>16140</x:v>
      </x:c>
      <x:c r="C4074" s="0" t="s">
        <x:v>16141</x:v>
      </x:c>
      <x:c r="E4074" s="0" t="s">
        <x:v>16142</x:v>
      </x:c>
      <x:c r="F4074" s="0" t="s">
        <x:v>45</x:v>
      </x:c>
      <x:c r="G4074" s="0" t="s">
        <x:v>19</x:v>
      </x:c>
      <x:c r="H4074" s="0" t="s">
        <x:v>20</x:v>
      </x:c>
      <x:c r="I4074" s="0" t="s">
        <x:v>21</x:v>
      </x:c>
      <x:c r="K4074" s="0">
        <x:f>hyperlink("https://icd.who.int/dev11/l-ichi/en#/http%3A%2F%2Fid.who.int%2Ficd%2Fentity%2F1251616087","browser")</x:f>
      </x:c>
      <x:c r="L4074" s="0">
        <x:f>hyperlink("https://icat2.azurewebsites.net/icat/?ontology=ICD&amp;tab=ClassesTab&amp;id=http%3A%2F%2Fwho.int%2Ficd%2320938_512ebf36_bf6b_4d70_85da_cf2637062af4","iCat")</x:f>
      </x:c>
      <x:c r="M4074" s="0" t="s">
        <x:v>21</x:v>
      </x:c>
      <x:c r="N4074" s="0" t="s">
        <x:v>46</x:v>
      </x:c>
    </x:row>
    <x:row r="4075" spans="1:16">
      <x:c r="A4075" s="0" t="s">
        <x:v>16143</x:v>
      </x:c>
      <x:c r="B4075" s="0" t="s">
        <x:v>16144</x:v>
      </x:c>
      <x:c r="C4075" s="0" t="s">
        <x:v>16145</x:v>
      </x:c>
      <x:c r="E4075" s="0" t="s">
        <x:v>16146</x:v>
      </x:c>
      <x:c r="F4075" s="0" t="s">
        <x:v>45</x:v>
      </x:c>
      <x:c r="G4075" s="0" t="s">
        <x:v>19</x:v>
      </x:c>
      <x:c r="H4075" s="0" t="s">
        <x:v>20</x:v>
      </x:c>
      <x:c r="I4075" s="0" t="s">
        <x:v>21</x:v>
      </x:c>
      <x:c r="K4075" s="0">
        <x:f>hyperlink("https://icd.who.int/dev11/l-ichi/en#/http%3A%2F%2Fid.who.int%2Ficd%2Fentity%2F557052240","browser")</x:f>
      </x:c>
      <x:c r="L4075" s="0">
        <x:f>hyperlink("https://icat2.azurewebsites.net/icat/?ontology=ICD&amp;tab=ClassesTab&amp;id=http%3A%2F%2Fwho.int%2Ficd%2320945_512ebf36_bf6b_4d70_85da_cf2637062af4","iCat")</x:f>
      </x:c>
      <x:c r="M4075" s="0" t="s">
        <x:v>21</x:v>
      </x:c>
      <x:c r="N4075" s="0" t="s">
        <x:v>46</x:v>
      </x:c>
    </x:row>
    <x:row r="4076" spans="1:16">
      <x:c r="A4076" s="0" t="s">
        <x:v>16147</x:v>
      </x:c>
      <x:c r="B4076" s="0" t="s">
        <x:v>16148</x:v>
      </x:c>
      <x:c r="C4076" s="0" t="s">
        <x:v>16149</x:v>
      </x:c>
      <x:c r="E4076" s="0" t="s">
        <x:v>16150</x:v>
      </x:c>
      <x:c r="F4076" s="0" t="s">
        <x:v>45</x:v>
      </x:c>
      <x:c r="G4076" s="0" t="s">
        <x:v>19</x:v>
      </x:c>
      <x:c r="H4076" s="0" t="s">
        <x:v>20</x:v>
      </x:c>
      <x:c r="I4076" s="0" t="s">
        <x:v>21</x:v>
      </x:c>
      <x:c r="K4076" s="0">
        <x:f>hyperlink("https://icd.who.int/dev11/l-ichi/en#/http%3A%2F%2Fid.who.int%2Ficd%2Fentity%2F2129764467","browser")</x:f>
      </x:c>
      <x:c r="L4076" s="0">
        <x:f>hyperlink("https://icat2.azurewebsites.net/icat/?ontology=ICD&amp;tab=ClassesTab&amp;id=http%3A%2F%2Fwho.int%2Ficd%2320951_512ebf36_bf6b_4d70_85da_cf2637062af4","iCat")</x:f>
      </x:c>
      <x:c r="M4076" s="0" t="s">
        <x:v>21</x:v>
      </x:c>
      <x:c r="N4076" s="0" t="s">
        <x:v>46</x:v>
      </x:c>
    </x:row>
    <x:row r="4077" spans="1:16">
      <x:c r="A4077" s="0" t="s">
        <x:v>16151</x:v>
      </x:c>
      <x:c r="B4077" s="0" t="s">
        <x:v>16152</x:v>
      </x:c>
      <x:c r="C4077" s="0" t="s">
        <x:v>16153</x:v>
      </x:c>
      <x:c r="E4077" s="0" t="s">
        <x:v>16154</x:v>
      </x:c>
      <x:c r="F4077" s="0" t="s">
        <x:v>45</x:v>
      </x:c>
      <x:c r="G4077" s="0" t="s">
        <x:v>19</x:v>
      </x:c>
      <x:c r="H4077" s="0" t="s">
        <x:v>20</x:v>
      </x:c>
      <x:c r="I4077" s="0" t="s">
        <x:v>21</x:v>
      </x:c>
      <x:c r="K4077" s="0">
        <x:f>hyperlink("https://icd.who.int/dev11/l-ichi/en#/http%3A%2F%2Fid.who.int%2Ficd%2Fentity%2F780827074","browser")</x:f>
      </x:c>
      <x:c r="L4077" s="0">
        <x:f>hyperlink("https://icat2.azurewebsites.net/icat/?ontology=ICD&amp;tab=ClassesTab&amp;id=http%3A%2F%2Fwho.int%2Ficd%2320957_512ebf36_bf6b_4d70_85da_cf2637062af4","iCat")</x:f>
      </x:c>
      <x:c r="M4077" s="0" t="s">
        <x:v>21</x:v>
      </x:c>
      <x:c r="N4077" s="0" t="s">
        <x:v>46</x:v>
      </x:c>
    </x:row>
    <x:row r="4078" spans="1:16">
      <x:c r="A4078" s="0" t="s">
        <x:v>16155</x:v>
      </x:c>
      <x:c r="B4078" s="0" t="s">
        <x:v>16156</x:v>
      </x:c>
      <x:c r="C4078" s="0" t="s">
        <x:v>16157</x:v>
      </x:c>
      <x:c r="E4078" s="0" t="s">
        <x:v>16158</x:v>
      </x:c>
      <x:c r="F4078" s="0" t="s">
        <x:v>45</x:v>
      </x:c>
      <x:c r="G4078" s="0" t="s">
        <x:v>19</x:v>
      </x:c>
      <x:c r="H4078" s="0" t="s">
        <x:v>20</x:v>
      </x:c>
      <x:c r="I4078" s="0" t="s">
        <x:v>21</x:v>
      </x:c>
      <x:c r="K4078" s="0">
        <x:f>hyperlink("https://icd.who.int/dev11/l-ichi/en#/http%3A%2F%2Fid.who.int%2Ficd%2Fentity%2F1321356281","browser")</x:f>
      </x:c>
      <x:c r="L4078" s="0">
        <x:f>hyperlink("https://icat2.azurewebsites.net/icat/?ontology=ICD&amp;tab=ClassesTab&amp;id=http%3A%2F%2Fwho.int%2Ficd%2320966_512ebf36_bf6b_4d70_85da_cf2637062af4","iCat")</x:f>
      </x:c>
      <x:c r="M4078" s="0" t="s">
        <x:v>21</x:v>
      </x:c>
      <x:c r="N4078" s="0" t="s">
        <x:v>46</x:v>
      </x:c>
    </x:row>
    <x:row r="4079" spans="1:16">
      <x:c r="A4079" s="0" t="s">
        <x:v>16159</x:v>
      </x:c>
      <x:c r="B4079" s="0" t="s">
        <x:v>16160</x:v>
      </x:c>
      <x:c r="C4079" s="0" t="s">
        <x:v>16161</x:v>
      </x:c>
      <x:c r="E4079" s="0" t="s">
        <x:v>16162</x:v>
      </x:c>
      <x:c r="F4079" s="0" t="s">
        <x:v>45</x:v>
      </x:c>
      <x:c r="G4079" s="0" t="s">
        <x:v>19</x:v>
      </x:c>
      <x:c r="H4079" s="0" t="s">
        <x:v>20</x:v>
      </x:c>
      <x:c r="I4079" s="0" t="s">
        <x:v>21</x:v>
      </x:c>
      <x:c r="K4079" s="0">
        <x:f>hyperlink("https://icd.who.int/dev11/l-ichi/en#/http%3A%2F%2Fid.who.int%2Ficd%2Fentity%2F1635955031","browser")</x:f>
      </x:c>
      <x:c r="L4079" s="0">
        <x:f>hyperlink("https://icat2.azurewebsites.net/icat/?ontology=ICD&amp;tab=ClassesTab&amp;id=http%3A%2F%2Fwho.int%2Ficd%2320975_512ebf36_bf6b_4d70_85da_cf2637062af4","iCat")</x:f>
      </x:c>
      <x:c r="M4079" s="0" t="s">
        <x:v>21</x:v>
      </x:c>
      <x:c r="N4079" s="0" t="s">
        <x:v>46</x:v>
      </x:c>
    </x:row>
    <x:row r="4080" spans="1:16">
      <x:c r="A4080" s="0" t="s">
        <x:v>16163</x:v>
      </x:c>
      <x:c r="B4080" s="0" t="s">
        <x:v>16164</x:v>
      </x:c>
      <x:c r="C4080" s="0" t="s">
        <x:v>16165</x:v>
      </x:c>
      <x:c r="E4080" s="0" t="s">
        <x:v>16166</x:v>
      </x:c>
      <x:c r="F4080" s="0" t="s">
        <x:v>45</x:v>
      </x:c>
      <x:c r="G4080" s="0" t="s">
        <x:v>19</x:v>
      </x:c>
      <x:c r="H4080" s="0" t="s">
        <x:v>20</x:v>
      </x:c>
      <x:c r="I4080" s="0" t="s">
        <x:v>21</x:v>
      </x:c>
      <x:c r="K4080" s="0">
        <x:f>hyperlink("https://icd.who.int/dev11/l-ichi/en#/http%3A%2F%2Fid.who.int%2Ficd%2Fentity%2F834895907","browser")</x:f>
      </x:c>
      <x:c r="L4080" s="0">
        <x:f>hyperlink("https://icat2.azurewebsites.net/icat/?ontology=ICD&amp;tab=ClassesTab&amp;id=http%3A%2F%2Fwho.int%2Ficd%2314461_4869915e_217e_423d_acb3_33c0f920ef4b","iCat")</x:f>
      </x:c>
      <x:c r="M4080" s="0" t="s">
        <x:v>21</x:v>
      </x:c>
      <x:c r="N4080" s="0" t="s">
        <x:v>46</x:v>
      </x:c>
    </x:row>
    <x:row r="4081" spans="1:16">
      <x:c r="A4081" s="0" t="s">
        <x:v>16167</x:v>
      </x:c>
      <x:c r="B4081" s="0" t="s">
        <x:v>16168</x:v>
      </x:c>
      <x:c r="C4081" s="0" t="s">
        <x:v>16169</x:v>
      </x:c>
      <x:c r="E4081" s="0" t="s">
        <x:v>16170</x:v>
      </x:c>
      <x:c r="F4081" s="0" t="s">
        <x:v>45</x:v>
      </x:c>
      <x:c r="G4081" s="0" t="s">
        <x:v>19</x:v>
      </x:c>
      <x:c r="H4081" s="0" t="s">
        <x:v>20</x:v>
      </x:c>
      <x:c r="I4081" s="0" t="s">
        <x:v>21</x:v>
      </x:c>
      <x:c r="K4081" s="0">
        <x:f>hyperlink("https://icd.who.int/dev11/l-ichi/en#/http%3A%2F%2Fid.who.int%2Ficd%2Fentity%2F1855752629","browser")</x:f>
      </x:c>
      <x:c r="L4081" s="0">
        <x:f>hyperlink("https://icat2.azurewebsites.net/icat/?ontology=ICD&amp;tab=ClassesTab&amp;id=http%3A%2F%2Fwho.int%2Ficd%2320984_512ebf36_bf6b_4d70_85da_cf2637062af4","iCat")</x:f>
      </x:c>
      <x:c r="M4081" s="0" t="s">
        <x:v>21</x:v>
      </x:c>
      <x:c r="N4081" s="0" t="s">
        <x:v>46</x:v>
      </x:c>
    </x:row>
    <x:row r="4082" spans="1:16">
      <x:c r="A4082" s="0" t="s">
        <x:v>16171</x:v>
      </x:c>
      <x:c r="B4082" s="0" t="s">
        <x:v>16172</x:v>
      </x:c>
      <x:c r="C4082" s="0" t="s">
        <x:v>16173</x:v>
      </x:c>
      <x:c r="E4082" s="0" t="s">
        <x:v>16174</x:v>
      </x:c>
      <x:c r="F4082" s="0" t="s">
        <x:v>45</x:v>
      </x:c>
      <x:c r="G4082" s="0" t="s">
        <x:v>19</x:v>
      </x:c>
      <x:c r="H4082" s="0" t="s">
        <x:v>20</x:v>
      </x:c>
      <x:c r="I4082" s="0" t="s">
        <x:v>21</x:v>
      </x:c>
      <x:c r="K4082" s="0">
        <x:f>hyperlink("https://icd.who.int/dev11/l-ichi/en#/http%3A%2F%2Fid.who.int%2Ficd%2Fentity%2F828299416","browser")</x:f>
      </x:c>
      <x:c r="L4082" s="0">
        <x:f>hyperlink("https://icat2.azurewebsites.net/icat/?ontology=ICD&amp;tab=ClassesTab&amp;id=http%3A%2F%2Fwho.int%2Ficd%2320990_512ebf36_bf6b_4d70_85da_cf2637062af4","iCat")</x:f>
      </x:c>
      <x:c r="M4082" s="0" t="s">
        <x:v>21</x:v>
      </x:c>
      <x:c r="N4082" s="0" t="s">
        <x:v>46</x:v>
      </x:c>
    </x:row>
    <x:row r="4083" spans="1:16">
      <x:c r="A4083" s="0" t="s">
        <x:v>16175</x:v>
      </x:c>
      <x:c r="B4083" s="0" t="s">
        <x:v>16176</x:v>
      </x:c>
      <x:c r="C4083" s="0" t="s">
        <x:v>16177</x:v>
      </x:c>
      <x:c r="E4083" s="0" t="s">
        <x:v>16178</x:v>
      </x:c>
      <x:c r="F4083" s="0" t="s">
        <x:v>45</x:v>
      </x:c>
      <x:c r="G4083" s="0" t="s">
        <x:v>19</x:v>
      </x:c>
      <x:c r="H4083" s="0" t="s">
        <x:v>20</x:v>
      </x:c>
      <x:c r="I4083" s="0" t="s">
        <x:v>21</x:v>
      </x:c>
      <x:c r="K4083" s="0">
        <x:f>hyperlink("https://icd.who.int/dev11/l-ichi/en#/http%3A%2F%2Fid.who.int%2Ficd%2Fentity%2F1104966427","browser")</x:f>
      </x:c>
      <x:c r="L4083" s="0">
        <x:f>hyperlink("https://icat2.azurewebsites.net/icat/?ontology=ICD&amp;tab=ClassesTab&amp;id=http%3A%2F%2Fwho.int%2Ficd%2320997_512ebf36_bf6b_4d70_85da_cf2637062af4","iCat")</x:f>
      </x:c>
      <x:c r="M4083" s="0" t="s">
        <x:v>21</x:v>
      </x:c>
      <x:c r="N4083" s="0" t="s">
        <x:v>46</x:v>
      </x:c>
    </x:row>
    <x:row r="4084" spans="1:16">
      <x:c r="A4084" s="0" t="s">
        <x:v>16179</x:v>
      </x:c>
      <x:c r="B4084" s="0" t="s">
        <x:v>16180</x:v>
      </x:c>
      <x:c r="C4084" s="0" t="s">
        <x:v>16181</x:v>
      </x:c>
      <x:c r="E4084" s="0" t="s">
        <x:v>16182</x:v>
      </x:c>
      <x:c r="F4084" s="0" t="s">
        <x:v>45</x:v>
      </x:c>
      <x:c r="G4084" s="0" t="s">
        <x:v>19</x:v>
      </x:c>
      <x:c r="H4084" s="0" t="s">
        <x:v>20</x:v>
      </x:c>
      <x:c r="I4084" s="0" t="s">
        <x:v>21</x:v>
      </x:c>
      <x:c r="K4084" s="0">
        <x:f>hyperlink("https://icd.who.int/dev11/l-ichi/en#/http%3A%2F%2Fid.who.int%2Ficd%2Fentity%2F1463367477","browser")</x:f>
      </x:c>
      <x:c r="L4084" s="0">
        <x:f>hyperlink("https://icat2.azurewebsites.net/icat/?ontology=ICD&amp;tab=ClassesTab&amp;id=http%3A%2F%2Fwho.int%2Ficd%2321004_512ebf36_bf6b_4d70_85da_cf2637062af4","iCat")</x:f>
      </x:c>
      <x:c r="M4084" s="0" t="s">
        <x:v>21</x:v>
      </x:c>
      <x:c r="N4084" s="0" t="s">
        <x:v>46</x:v>
      </x:c>
    </x:row>
    <x:row r="4085" spans="1:16">
      <x:c r="A4085" s="0" t="s">
        <x:v>16183</x:v>
      </x:c>
      <x:c r="B4085" s="0" t="s">
        <x:v>16184</x:v>
      </x:c>
      <x:c r="C4085" s="0" t="s">
        <x:v>16185</x:v>
      </x:c>
      <x:c r="E4085" s="0" t="s">
        <x:v>16186</x:v>
      </x:c>
      <x:c r="F4085" s="0" t="s">
        <x:v>45</x:v>
      </x:c>
      <x:c r="G4085" s="0" t="s">
        <x:v>19</x:v>
      </x:c>
      <x:c r="H4085" s="0" t="s">
        <x:v>20</x:v>
      </x:c>
      <x:c r="I4085" s="0" t="s">
        <x:v>21</x:v>
      </x:c>
      <x:c r="K4085" s="0">
        <x:f>hyperlink("https://icd.who.int/dev11/l-ichi/en#/http%3A%2F%2Fid.who.int%2Ficd%2Fentity%2F671224874","browser")</x:f>
      </x:c>
      <x:c r="L4085" s="0">
        <x:f>hyperlink("https://icat2.azurewebsites.net/icat/?ontology=ICD&amp;tab=ClassesTab&amp;id=http%3A%2F%2Fwho.int%2Ficd%2321011_512ebf36_bf6b_4d70_85da_cf2637062af4","iCat")</x:f>
      </x:c>
      <x:c r="M4085" s="0" t="s">
        <x:v>21</x:v>
      </x:c>
      <x:c r="N4085" s="0" t="s">
        <x:v>46</x:v>
      </x:c>
    </x:row>
    <x:row r="4086" spans="1:16">
      <x:c r="A4086" s="0" t="s">
        <x:v>16187</x:v>
      </x:c>
      <x:c r="B4086" s="0" t="s">
        <x:v>16188</x:v>
      </x:c>
      <x:c r="C4086" s="0" t="s">
        <x:v>16189</x:v>
      </x:c>
      <x:c r="E4086" s="0" t="s">
        <x:v>16190</x:v>
      </x:c>
      <x:c r="F4086" s="0" t="s">
        <x:v>45</x:v>
      </x:c>
      <x:c r="G4086" s="0" t="s">
        <x:v>19</x:v>
      </x:c>
      <x:c r="H4086" s="0" t="s">
        <x:v>20</x:v>
      </x:c>
      <x:c r="I4086" s="0" t="s">
        <x:v>21</x:v>
      </x:c>
      <x:c r="K4086" s="0">
        <x:f>hyperlink("https://icd.who.int/dev11/l-ichi/en#/http%3A%2F%2Fid.who.int%2Ficd%2Fentity%2F1347215063","browser")</x:f>
      </x:c>
      <x:c r="L4086" s="0">
        <x:f>hyperlink("https://icat2.azurewebsites.net/icat/?ontology=ICD&amp;tab=ClassesTab&amp;id=http%3A%2F%2Fwho.int%2Ficd%2315844_4869915e_217e_423d_acb3_33c0f920ef4b","iCat")</x:f>
      </x:c>
      <x:c r="M4086" s="0" t="s">
        <x:v>21</x:v>
      </x:c>
      <x:c r="N4086" s="0" t="s">
        <x:v>46</x:v>
      </x:c>
    </x:row>
    <x:row r="4087" spans="1:16">
      <x:c r="A4087" s="0" t="s">
        <x:v>16191</x:v>
      </x:c>
      <x:c r="B4087" s="0" t="s">
        <x:v>16192</x:v>
      </x:c>
      <x:c r="C4087" s="0" t="s">
        <x:v>16193</x:v>
      </x:c>
      <x:c r="E4087" s="0" t="s">
        <x:v>16194</x:v>
      </x:c>
      <x:c r="F4087" s="0" t="s">
        <x:v>45</x:v>
      </x:c>
      <x:c r="G4087" s="0" t="s">
        <x:v>19</x:v>
      </x:c>
      <x:c r="H4087" s="0" t="s">
        <x:v>20</x:v>
      </x:c>
      <x:c r="I4087" s="0" t="s">
        <x:v>21</x:v>
      </x:c>
      <x:c r="K4087" s="0">
        <x:f>hyperlink("https://icd.who.int/dev11/l-ichi/en#/http%3A%2F%2Fid.who.int%2Ficd%2Fentity%2F1212818961","browser")</x:f>
      </x:c>
      <x:c r="L4087" s="0">
        <x:f>hyperlink("https://icat2.azurewebsites.net/icat/?ontology=ICD&amp;tab=ClassesTab&amp;id=http%3A%2F%2Fwho.int%2Ficd%2321020_512ebf36_bf6b_4d70_85da_cf2637062af4","iCat")</x:f>
      </x:c>
      <x:c r="M4087" s="0" t="s">
        <x:v>21</x:v>
      </x:c>
      <x:c r="N4087" s="0" t="s">
        <x:v>46</x:v>
      </x:c>
    </x:row>
    <x:row r="4088" spans="1:16">
      <x:c r="A4088" s="0" t="s">
        <x:v>16195</x:v>
      </x:c>
      <x:c r="B4088" s="0" t="s">
        <x:v>16196</x:v>
      </x:c>
      <x:c r="C4088" s="0" t="s">
        <x:v>16197</x:v>
      </x:c>
      <x:c r="E4088" s="0" t="s">
        <x:v>16198</x:v>
      </x:c>
      <x:c r="F4088" s="0" t="s">
        <x:v>45</x:v>
      </x:c>
      <x:c r="G4088" s="0" t="s">
        <x:v>19</x:v>
      </x:c>
      <x:c r="H4088" s="0" t="s">
        <x:v>20</x:v>
      </x:c>
      <x:c r="I4088" s="0" t="s">
        <x:v>21</x:v>
      </x:c>
      <x:c r="K4088" s="0">
        <x:f>hyperlink("https://icd.who.int/dev11/l-ichi/en#/http%3A%2F%2Fid.who.int%2Ficd%2Fentity%2F113989444","browser")</x:f>
      </x:c>
      <x:c r="L4088" s="0">
        <x:f>hyperlink("https://icat2.azurewebsites.net/icat/?ontology=ICD&amp;tab=ClassesTab&amp;id=http%3A%2F%2Fwho.int%2Ficd%2321028_512ebf36_bf6b_4d70_85da_cf2637062af4","iCat")</x:f>
      </x:c>
      <x:c r="M4088" s="0" t="s">
        <x:v>21</x:v>
      </x:c>
      <x:c r="N4088" s="0" t="s">
        <x:v>46</x:v>
      </x:c>
    </x:row>
    <x:row r="4089" spans="1:16">
      <x:c r="A4089" s="0" t="s">
        <x:v>16199</x:v>
      </x:c>
      <x:c r="B4089" s="0" t="s">
        <x:v>16200</x:v>
      </x:c>
      <x:c r="C4089" s="0" t="s">
        <x:v>16201</x:v>
      </x:c>
      <x:c r="E4089" s="0" t="s">
        <x:v>16202</x:v>
      </x:c>
      <x:c r="F4089" s="0" t="s">
        <x:v>45</x:v>
      </x:c>
      <x:c r="G4089" s="0" t="s">
        <x:v>19</x:v>
      </x:c>
      <x:c r="H4089" s="0" t="s">
        <x:v>20</x:v>
      </x:c>
      <x:c r="I4089" s="0" t="s">
        <x:v>21</x:v>
      </x:c>
      <x:c r="K4089" s="0">
        <x:f>hyperlink("https://icd.who.int/dev11/l-ichi/en#/http%3A%2F%2Fid.who.int%2Ficd%2Fentity%2F394819380","browser")</x:f>
      </x:c>
      <x:c r="L4089" s="0">
        <x:f>hyperlink("https://icat2.azurewebsites.net/icat/?ontology=ICD&amp;tab=ClassesTab&amp;id=http%3A%2F%2Fwho.int%2Ficd%2321034_512ebf36_bf6b_4d70_85da_cf2637062af4","iCat")</x:f>
      </x:c>
      <x:c r="M4089" s="0" t="s">
        <x:v>21</x:v>
      </x:c>
      <x:c r="N4089" s="0" t="s">
        <x:v>46</x:v>
      </x:c>
    </x:row>
    <x:row r="4090" spans="1:16">
      <x:c r="A4090" s="0" t="s">
        <x:v>16203</x:v>
      </x:c>
      <x:c r="B4090" s="0" t="s">
        <x:v>16204</x:v>
      </x:c>
      <x:c r="C4090" s="0" t="s">
        <x:v>16205</x:v>
      </x:c>
      <x:c r="E4090" s="0" t="s">
        <x:v>16206</x:v>
      </x:c>
      <x:c r="F4090" s="0" t="s">
        <x:v>45</x:v>
      </x:c>
      <x:c r="G4090" s="0" t="s">
        <x:v>19</x:v>
      </x:c>
      <x:c r="H4090" s="0" t="s">
        <x:v>20</x:v>
      </x:c>
      <x:c r="I4090" s="0" t="s">
        <x:v>21</x:v>
      </x:c>
      <x:c r="K4090" s="0">
        <x:f>hyperlink("https://icd.who.int/dev11/l-ichi/en#/http%3A%2F%2Fid.who.int%2Ficd%2Fentity%2F1583099399","browser")</x:f>
      </x:c>
      <x:c r="L4090" s="0">
        <x:f>hyperlink("https://icat2.azurewebsites.net/icat/?ontology=ICD&amp;tab=ClassesTab&amp;id=http%3A%2F%2Fwho.int%2Ficd%2315337_4869915e_217e_423d_acb3_33c0f920ef4b","iCat")</x:f>
      </x:c>
      <x:c r="M4090" s="0" t="s">
        <x:v>21</x:v>
      </x:c>
      <x:c r="N4090" s="0" t="s">
        <x:v>46</x:v>
      </x:c>
    </x:row>
    <x:row r="4091" spans="1:16">
      <x:c r="A4091" s="0" t="s">
        <x:v>16207</x:v>
      </x:c>
      <x:c r="B4091" s="0" t="s">
        <x:v>16208</x:v>
      </x:c>
      <x:c r="C4091" s="0" t="s">
        <x:v>16209</x:v>
      </x:c>
      <x:c r="E4091" s="0" t="s">
        <x:v>16210</x:v>
      </x:c>
      <x:c r="F4091" s="0" t="s">
        <x:v>45</x:v>
      </x:c>
      <x:c r="G4091" s="0" t="s">
        <x:v>19</x:v>
      </x:c>
      <x:c r="H4091" s="0" t="s">
        <x:v>20</x:v>
      </x:c>
      <x:c r="I4091" s="0" t="s">
        <x:v>21</x:v>
      </x:c>
      <x:c r="K4091" s="0">
        <x:f>hyperlink("https://icd.who.int/dev11/l-ichi/en#/http%3A%2F%2Fid.who.int%2Ficd%2Fentity%2F1474088869","browser")</x:f>
      </x:c>
      <x:c r="L4091" s="0">
        <x:f>hyperlink("https://icat2.azurewebsites.net/icat/?ontology=ICD&amp;tab=ClassesTab&amp;id=http%3A%2F%2Fwho.int%2Ficd%2321043_512ebf36_bf6b_4d70_85da_cf2637062af4","iCat")</x:f>
      </x:c>
      <x:c r="M4091" s="0" t="s">
        <x:v>21</x:v>
      </x:c>
      <x:c r="N4091" s="0" t="s">
        <x:v>46</x:v>
      </x:c>
    </x:row>
    <x:row r="4092" spans="1:16">
      <x:c r="A4092" s="0" t="s">
        <x:v>16211</x:v>
      </x:c>
      <x:c r="B4092" s="0" t="s">
        <x:v>16212</x:v>
      </x:c>
      <x:c r="C4092" s="0" t="s">
        <x:v>16213</x:v>
      </x:c>
      <x:c r="E4092" s="0" t="s">
        <x:v>16214</x:v>
      </x:c>
      <x:c r="F4092" s="0" t="s">
        <x:v>45</x:v>
      </x:c>
      <x:c r="G4092" s="0" t="s">
        <x:v>19</x:v>
      </x:c>
      <x:c r="H4092" s="0" t="s">
        <x:v>20</x:v>
      </x:c>
      <x:c r="I4092" s="0" t="s">
        <x:v>21</x:v>
      </x:c>
      <x:c r="K4092" s="0">
        <x:f>hyperlink("https://icd.who.int/dev11/l-ichi/en#/http%3A%2F%2Fid.who.int%2Ficd%2Fentity%2F2023503115","browser")</x:f>
      </x:c>
      <x:c r="L4092" s="0">
        <x:f>hyperlink("https://icat2.azurewebsites.net/icat/?ontology=ICD&amp;tab=ClassesTab&amp;id=http%3A%2F%2Fwho.int%2Ficd%2321050_512ebf36_bf6b_4d70_85da_cf2637062af4","iCat")</x:f>
      </x:c>
      <x:c r="M4092" s="0" t="s">
        <x:v>21</x:v>
      </x:c>
      <x:c r="N4092" s="0" t="s">
        <x:v>46</x:v>
      </x:c>
    </x:row>
    <x:row r="4093" spans="1:16">
      <x:c r="A4093" s="0" t="s">
        <x:v>16215</x:v>
      </x:c>
      <x:c r="B4093" s="0" t="s">
        <x:v>16216</x:v>
      </x:c>
      <x:c r="C4093" s="0" t="s">
        <x:v>16217</x:v>
      </x:c>
      <x:c r="E4093" s="0" t="s">
        <x:v>16218</x:v>
      </x:c>
      <x:c r="F4093" s="0" t="s">
        <x:v>45</x:v>
      </x:c>
      <x:c r="G4093" s="0" t="s">
        <x:v>19</x:v>
      </x:c>
      <x:c r="H4093" s="0" t="s">
        <x:v>20</x:v>
      </x:c>
      <x:c r="I4093" s="0" t="s">
        <x:v>21</x:v>
      </x:c>
      <x:c r="K4093" s="0">
        <x:f>hyperlink("https://icd.who.int/dev11/l-ichi/en#/http%3A%2F%2Fid.who.int%2Ficd%2Fentity%2F384054882","browser")</x:f>
      </x:c>
      <x:c r="L4093" s="0">
        <x:f>hyperlink("https://icat2.azurewebsites.net/icat/?ontology=ICD&amp;tab=ClassesTab&amp;id=http%3A%2F%2Fwho.int%2Ficd%2321059_512ebf36_bf6b_4d70_85da_cf2637062af4","iCat")</x:f>
      </x:c>
      <x:c r="M4093" s="0" t="s">
        <x:v>21</x:v>
      </x:c>
      <x:c r="N4093" s="0" t="s">
        <x:v>46</x:v>
      </x:c>
    </x:row>
    <x:row r="4094" spans="1:16">
      <x:c r="A4094" s="0" t="s">
        <x:v>16219</x:v>
      </x:c>
      <x:c r="B4094" s="0" t="s">
        <x:v>16220</x:v>
      </x:c>
      <x:c r="C4094" s="0" t="s">
        <x:v>16221</x:v>
      </x:c>
      <x:c r="E4094" s="0" t="s">
        <x:v>16222</x:v>
      </x:c>
      <x:c r="F4094" s="0" t="s">
        <x:v>45</x:v>
      </x:c>
      <x:c r="G4094" s="0" t="s">
        <x:v>19</x:v>
      </x:c>
      <x:c r="H4094" s="0" t="s">
        <x:v>20</x:v>
      </x:c>
      <x:c r="I4094" s="0" t="s">
        <x:v>21</x:v>
      </x:c>
      <x:c r="K4094" s="0">
        <x:f>hyperlink("https://icd.who.int/dev11/l-ichi/en#/http%3A%2F%2Fid.who.int%2Ficd%2Fentity%2F1990984793","browser")</x:f>
      </x:c>
      <x:c r="L4094" s="0">
        <x:f>hyperlink("https://icat2.azurewebsites.net/icat/?ontology=ICD&amp;tab=ClassesTab&amp;id=http%3A%2F%2Fwho.int%2Ficd%2321068_512ebf36_bf6b_4d70_85da_cf2637062af4","iCat")</x:f>
      </x:c>
      <x:c r="M4094" s="0" t="s">
        <x:v>21</x:v>
      </x:c>
      <x:c r="N4094" s="0" t="s">
        <x:v>46</x:v>
      </x:c>
    </x:row>
    <x:row r="4095" spans="1:16">
      <x:c r="A4095" s="0" t="s">
        <x:v>16223</x:v>
      </x:c>
      <x:c r="B4095" s="0" t="s">
        <x:v>16224</x:v>
      </x:c>
      <x:c r="C4095" s="0" t="s">
        <x:v>16225</x:v>
      </x:c>
      <x:c r="E4095" s="0" t="s">
        <x:v>16226</x:v>
      </x:c>
      <x:c r="F4095" s="0" t="s">
        <x:v>45</x:v>
      </x:c>
      <x:c r="G4095" s="0" t="s">
        <x:v>19</x:v>
      </x:c>
      <x:c r="H4095" s="0" t="s">
        <x:v>20</x:v>
      </x:c>
      <x:c r="I4095" s="0" t="s">
        <x:v>21</x:v>
      </x:c>
      <x:c r="K4095" s="0">
        <x:f>hyperlink("https://icd.who.int/dev11/l-ichi/en#/http%3A%2F%2Fid.who.int%2Ficd%2Fentity%2F1743725615","browser")</x:f>
      </x:c>
      <x:c r="L4095" s="0">
        <x:f>hyperlink("https://icat2.azurewebsites.net/icat/?ontology=ICD&amp;tab=ClassesTab&amp;id=http%3A%2F%2Fwho.int%2Ficd%2321074_512ebf36_bf6b_4d70_85da_cf2637062af4","iCat")</x:f>
      </x:c>
      <x:c r="M4095" s="0" t="s">
        <x:v>21</x:v>
      </x:c>
      <x:c r="N4095" s="0" t="s">
        <x:v>46</x:v>
      </x:c>
    </x:row>
    <x:row r="4096" spans="1:16">
      <x:c r="A4096" s="0" t="s">
        <x:v>16227</x:v>
      </x:c>
      <x:c r="B4096" s="0" t="s">
        <x:v>16228</x:v>
      </x:c>
      <x:c r="C4096" s="0" t="s">
        <x:v>16229</x:v>
      </x:c>
      <x:c r="E4096" s="0" t="s">
        <x:v>16230</x:v>
      </x:c>
      <x:c r="F4096" s="0" t="s">
        <x:v>45</x:v>
      </x:c>
      <x:c r="G4096" s="0" t="s">
        <x:v>19</x:v>
      </x:c>
      <x:c r="H4096" s="0" t="s">
        <x:v>20</x:v>
      </x:c>
      <x:c r="I4096" s="0" t="s">
        <x:v>21</x:v>
      </x:c>
      <x:c r="K4096" s="0">
        <x:f>hyperlink("https://icd.who.int/dev11/l-ichi/en#/http%3A%2F%2Fid.who.int%2Ficd%2Fentity%2F1576458425","browser")</x:f>
      </x:c>
      <x:c r="L4096" s="0">
        <x:f>hyperlink("https://icat2.azurewebsites.net/icat/?ontology=ICD&amp;tab=ClassesTab&amp;id=http%3A%2F%2Fwho.int%2Ficd%2321081_512ebf36_bf6b_4d70_85da_cf2637062af4","iCat")</x:f>
      </x:c>
      <x:c r="M4096" s="0" t="s">
        <x:v>21</x:v>
      </x:c>
      <x:c r="N4096" s="0" t="s">
        <x:v>46</x:v>
      </x:c>
    </x:row>
    <x:row r="4097" spans="1:16">
      <x:c r="A4097" s="0" t="s">
        <x:v>16231</x:v>
      </x:c>
      <x:c r="B4097" s="0" t="s">
        <x:v>16232</x:v>
      </x:c>
      <x:c r="C4097" s="0" t="s">
        <x:v>16233</x:v>
      </x:c>
      <x:c r="E4097" s="0" t="s">
        <x:v>16234</x:v>
      </x:c>
      <x:c r="F4097" s="0" t="s">
        <x:v>45</x:v>
      </x:c>
      <x:c r="G4097" s="0" t="s">
        <x:v>19</x:v>
      </x:c>
      <x:c r="H4097" s="0" t="s">
        <x:v>20</x:v>
      </x:c>
      <x:c r="I4097" s="0" t="s">
        <x:v>21</x:v>
      </x:c>
      <x:c r="K4097" s="0">
        <x:f>hyperlink("https://icd.who.int/dev11/l-ichi/en#/http%3A%2F%2Fid.who.int%2Ficd%2Fentity%2F326609390","browser")</x:f>
      </x:c>
      <x:c r="L4097" s="0">
        <x:f>hyperlink("https://icat2.azurewebsites.net/icat/?ontology=ICD&amp;tab=ClassesTab&amp;id=http%3A%2F%2Fwho.int%2Ficd%2321089_512ebf36_bf6b_4d70_85da_cf2637062af4","iCat")</x:f>
      </x:c>
      <x:c r="M4097" s="0" t="s">
        <x:v>21</x:v>
      </x:c>
      <x:c r="N4097" s="0" t="s">
        <x:v>46</x:v>
      </x:c>
    </x:row>
    <x:row r="4098" spans="1:16">
      <x:c r="A4098" s="0" t="s">
        <x:v>16235</x:v>
      </x:c>
      <x:c r="B4098" s="0" t="s">
        <x:v>16236</x:v>
      </x:c>
      <x:c r="C4098" s="0" t="s">
        <x:v>16237</x:v>
      </x:c>
      <x:c r="E4098" s="0" t="s">
        <x:v>16238</x:v>
      </x:c>
      <x:c r="F4098" s="0" t="s">
        <x:v>45</x:v>
      </x:c>
      <x:c r="G4098" s="0" t="s">
        <x:v>19</x:v>
      </x:c>
      <x:c r="H4098" s="0" t="s">
        <x:v>20</x:v>
      </x:c>
      <x:c r="I4098" s="0" t="s">
        <x:v>21</x:v>
      </x:c>
      <x:c r="K4098" s="0">
        <x:f>hyperlink("https://icd.who.int/dev11/l-ichi/en#/http%3A%2F%2Fid.who.int%2Ficd%2Fentity%2F1202841187","browser")</x:f>
      </x:c>
      <x:c r="L4098" s="0">
        <x:f>hyperlink("https://icat2.azurewebsites.net/icat/?ontology=ICD&amp;tab=ClassesTab&amp;id=http%3A%2F%2Fwho.int%2Ficd%2321096_512ebf36_bf6b_4d70_85da_cf2637062af4","iCat")</x:f>
      </x:c>
      <x:c r="M4098" s="0" t="s">
        <x:v>21</x:v>
      </x:c>
      <x:c r="N4098" s="0" t="s">
        <x:v>46</x:v>
      </x:c>
    </x:row>
    <x:row r="4099" spans="1:16">
      <x:c r="A4099" s="0" t="s">
        <x:v>16239</x:v>
      </x:c>
      <x:c r="B4099" s="0" t="s">
        <x:v>16240</x:v>
      </x:c>
      <x:c r="C4099" s="0" t="s">
        <x:v>16241</x:v>
      </x:c>
      <x:c r="E4099" s="0" t="s">
        <x:v>16242</x:v>
      </x:c>
      <x:c r="F4099" s="0" t="s">
        <x:v>45</x:v>
      </x:c>
      <x:c r="G4099" s="0" t="s">
        <x:v>19</x:v>
      </x:c>
      <x:c r="H4099" s="0" t="s">
        <x:v>20</x:v>
      </x:c>
      <x:c r="I4099" s="0" t="s">
        <x:v>21</x:v>
      </x:c>
      <x:c r="K4099" s="0">
        <x:f>hyperlink("https://icd.who.int/dev11/l-ichi/en#/http%3A%2F%2Fid.who.int%2Ficd%2Fentity%2F1378114085","browser")</x:f>
      </x:c>
      <x:c r="L4099" s="0">
        <x:f>hyperlink("https://icat2.azurewebsites.net/icat/?ontology=ICD&amp;tab=ClassesTab&amp;id=http%3A%2F%2Fwho.int%2Ficd%2321103_512ebf36_bf6b_4d70_85da_cf2637062af4","iCat")</x:f>
      </x:c>
      <x:c r="M4099" s="0" t="s">
        <x:v>21</x:v>
      </x:c>
      <x:c r="N4099" s="0" t="s">
        <x:v>46</x:v>
      </x:c>
    </x:row>
    <x:row r="4100" spans="1:16">
      <x:c r="A4100" s="0" t="s">
        <x:v>16243</x:v>
      </x:c>
      <x:c r="B4100" s="0" t="s">
        <x:v>16244</x:v>
      </x:c>
      <x:c r="C4100" s="0" t="s">
        <x:v>16245</x:v>
      </x:c>
      <x:c r="E4100" s="0" t="s">
        <x:v>16246</x:v>
      </x:c>
      <x:c r="F4100" s="0" t="s">
        <x:v>45</x:v>
      </x:c>
      <x:c r="G4100" s="0" t="s">
        <x:v>19</x:v>
      </x:c>
      <x:c r="H4100" s="0" t="s">
        <x:v>20</x:v>
      </x:c>
      <x:c r="I4100" s="0" t="s">
        <x:v>21</x:v>
      </x:c>
      <x:c r="K4100" s="0">
        <x:f>hyperlink("https://icd.who.int/dev11/l-ichi/en#/http%3A%2F%2Fid.who.int%2Ficd%2Fentity%2F2044278453","browser")</x:f>
      </x:c>
      <x:c r="L4100" s="0">
        <x:f>hyperlink("https://icat2.azurewebsites.net/icat/?ontology=ICD&amp;tab=ClassesTab&amp;id=http%3A%2F%2Fwho.int%2Ficd%2321109_512ebf36_bf6b_4d70_85da_cf2637062af4","iCat")</x:f>
      </x:c>
      <x:c r="M4100" s="0" t="s">
        <x:v>21</x:v>
      </x:c>
      <x:c r="N4100" s="0" t="s">
        <x:v>46</x:v>
      </x:c>
    </x:row>
    <x:row r="4101" spans="1:16">
      <x:c r="A4101" s="0" t="s">
        <x:v>16247</x:v>
      </x:c>
      <x:c r="B4101" s="0" t="s">
        <x:v>16248</x:v>
      </x:c>
      <x:c r="C4101" s="0" t="s">
        <x:v>16249</x:v>
      </x:c>
      <x:c r="E4101" s="0" t="s">
        <x:v>16250</x:v>
      </x:c>
      <x:c r="F4101" s="0" t="s">
        <x:v>45</x:v>
      </x:c>
      <x:c r="G4101" s="0" t="s">
        <x:v>19</x:v>
      </x:c>
      <x:c r="H4101" s="0" t="s">
        <x:v>20</x:v>
      </x:c>
      <x:c r="I4101" s="0" t="s">
        <x:v>21</x:v>
      </x:c>
      <x:c r="K4101" s="0">
        <x:f>hyperlink("https://icd.who.int/dev11/l-ichi/en#/http%3A%2F%2Fid.who.int%2Ficd%2Fentity%2F1754928835","browser")</x:f>
      </x:c>
      <x:c r="L4101" s="0">
        <x:f>hyperlink("https://icat2.azurewebsites.net/icat/?ontology=ICD&amp;tab=ClassesTab&amp;id=http%3A%2F%2Fwho.int%2Ficd%2321115_512ebf36_bf6b_4d70_85da_cf2637062af4","iCat")</x:f>
      </x:c>
      <x:c r="M4101" s="0" t="s">
        <x:v>21</x:v>
      </x:c>
      <x:c r="N4101" s="0" t="s">
        <x:v>46</x:v>
      </x:c>
    </x:row>
    <x:row r="4102" spans="1:16">
      <x:c r="A4102" s="0" t="s">
        <x:v>16251</x:v>
      </x:c>
      <x:c r="B4102" s="0" t="s">
        <x:v>16252</x:v>
      </x:c>
      <x:c r="C4102" s="0" t="s">
        <x:v>16253</x:v>
      </x:c>
      <x:c r="E4102" s="0" t="s">
        <x:v>16254</x:v>
      </x:c>
      <x:c r="F4102" s="0" t="s">
        <x:v>45</x:v>
      </x:c>
      <x:c r="G4102" s="0" t="s">
        <x:v>19</x:v>
      </x:c>
      <x:c r="H4102" s="0" t="s">
        <x:v>20</x:v>
      </x:c>
      <x:c r="I4102" s="0" t="s">
        <x:v>21</x:v>
      </x:c>
      <x:c r="K4102" s="0">
        <x:f>hyperlink("https://icd.who.int/dev11/l-ichi/en#/http%3A%2F%2Fid.who.int%2Ficd%2Fentity%2F1487535433","browser")</x:f>
      </x:c>
      <x:c r="L4102" s="0">
        <x:f>hyperlink("https://icat2.azurewebsites.net/icat/?ontology=ICD&amp;tab=ClassesTab&amp;id=http%3A%2F%2Fwho.int%2Ficd%2321122_512ebf36_bf6b_4d70_85da_cf2637062af4","iCat")</x:f>
      </x:c>
      <x:c r="M4102" s="0" t="s">
        <x:v>21</x:v>
      </x:c>
      <x:c r="N4102" s="0" t="s">
        <x:v>46</x:v>
      </x:c>
    </x:row>
    <x:row r="4103" spans="1:16">
      <x:c r="A4103" s="0" t="s">
        <x:v>16255</x:v>
      </x:c>
      <x:c r="B4103" s="0" t="s">
        <x:v>16256</x:v>
      </x:c>
      <x:c r="C4103" s="0" t="s">
        <x:v>16257</x:v>
      </x:c>
      <x:c r="E4103" s="0" t="s">
        <x:v>16258</x:v>
      </x:c>
      <x:c r="F4103" s="0" t="s">
        <x:v>45</x:v>
      </x:c>
      <x:c r="G4103" s="0" t="s">
        <x:v>19</x:v>
      </x:c>
      <x:c r="H4103" s="0" t="s">
        <x:v>20</x:v>
      </x:c>
      <x:c r="I4103" s="0" t="s">
        <x:v>21</x:v>
      </x:c>
      <x:c r="K4103" s="0">
        <x:f>hyperlink("https://icd.who.int/dev11/l-ichi/en#/http%3A%2F%2Fid.who.int%2Ficd%2Fentity%2F2011760615","browser")</x:f>
      </x:c>
      <x:c r="L4103" s="0">
        <x:f>hyperlink("https://icat2.azurewebsites.net/icat/?ontology=ICD&amp;tab=ClassesTab&amp;id=http%3A%2F%2Fwho.int%2Ficd%2321131_512ebf36_bf6b_4d70_85da_cf2637062af4","iCat")</x:f>
      </x:c>
      <x:c r="M4103" s="0" t="s">
        <x:v>21</x:v>
      </x:c>
      <x:c r="N4103" s="0" t="s">
        <x:v>46</x:v>
      </x:c>
    </x:row>
    <x:row r="4104" spans="1:16">
      <x:c r="A4104" s="0" t="s">
        <x:v>16259</x:v>
      </x:c>
      <x:c r="B4104" s="0" t="s">
        <x:v>16260</x:v>
      </x:c>
      <x:c r="C4104" s="0" t="s">
        <x:v>16261</x:v>
      </x:c>
      <x:c r="E4104" s="0" t="s">
        <x:v>16262</x:v>
      </x:c>
      <x:c r="F4104" s="0" t="s">
        <x:v>45</x:v>
      </x:c>
      <x:c r="G4104" s="0" t="s">
        <x:v>19</x:v>
      </x:c>
      <x:c r="H4104" s="0" t="s">
        <x:v>20</x:v>
      </x:c>
      <x:c r="I4104" s="0" t="s">
        <x:v>21</x:v>
      </x:c>
      <x:c r="K4104" s="0">
        <x:f>hyperlink("https://icd.who.int/dev11/l-ichi/en#/http%3A%2F%2Fid.who.int%2Ficd%2Fentity%2F1741055681","browser")</x:f>
      </x:c>
      <x:c r="L4104" s="0">
        <x:f>hyperlink("https://icat2.azurewebsites.net/icat/?ontology=ICD&amp;tab=ClassesTab&amp;id=http%3A%2F%2Fwho.int%2Ficd%2321140_512ebf36_bf6b_4d70_85da_cf2637062af4","iCat")</x:f>
      </x:c>
      <x:c r="M4104" s="0" t="s">
        <x:v>21</x:v>
      </x:c>
      <x:c r="N4104" s="0" t="s">
        <x:v>46</x:v>
      </x:c>
    </x:row>
    <x:row r="4105" spans="1:16">
      <x:c r="A4105" s="0" t="s">
        <x:v>16263</x:v>
      </x:c>
      <x:c r="B4105" s="0" t="s">
        <x:v>16264</x:v>
      </x:c>
      <x:c r="C4105" s="0" t="s">
        <x:v>16265</x:v>
      </x:c>
      <x:c r="E4105" s="0" t="s">
        <x:v>16266</x:v>
      </x:c>
      <x:c r="F4105" s="0" t="s">
        <x:v>45</x:v>
      </x:c>
      <x:c r="G4105" s="0" t="s">
        <x:v>19</x:v>
      </x:c>
      <x:c r="H4105" s="0" t="s">
        <x:v>20</x:v>
      </x:c>
      <x:c r="I4105" s="0" t="s">
        <x:v>21</x:v>
      </x:c>
      <x:c r="K4105" s="0">
        <x:f>hyperlink("https://icd.who.int/dev11/l-ichi/en#/http%3A%2F%2Fid.who.int%2Ficd%2Fentity%2F390384974","browser")</x:f>
      </x:c>
      <x:c r="L4105" s="0">
        <x:f>hyperlink("https://icat2.azurewebsites.net/icat/?ontology=ICD&amp;tab=ClassesTab&amp;id=http%3A%2F%2Fwho.int%2Ficd%2321147_512ebf36_bf6b_4d70_85da_cf2637062af4","iCat")</x:f>
      </x:c>
      <x:c r="M4105" s="0" t="s">
        <x:v>21</x:v>
      </x:c>
      <x:c r="N4105" s="0" t="s">
        <x:v>46</x:v>
      </x:c>
    </x:row>
    <x:row r="4106" spans="1:16">
      <x:c r="A4106" s="0" t="s">
        <x:v>16267</x:v>
      </x:c>
      <x:c r="B4106" s="0" t="s">
        <x:v>16268</x:v>
      </x:c>
      <x:c r="C4106" s="0" t="s">
        <x:v>16269</x:v>
      </x:c>
      <x:c r="E4106" s="0" t="s">
        <x:v>16270</x:v>
      </x:c>
      <x:c r="F4106" s="0" t="s">
        <x:v>45</x:v>
      </x:c>
      <x:c r="G4106" s="0" t="s">
        <x:v>19</x:v>
      </x:c>
      <x:c r="H4106" s="0" t="s">
        <x:v>20</x:v>
      </x:c>
      <x:c r="I4106" s="0" t="s">
        <x:v>21</x:v>
      </x:c>
      <x:c r="K4106" s="0">
        <x:f>hyperlink("https://icd.who.int/dev11/l-ichi/en#/http%3A%2F%2Fid.who.int%2Ficd%2Fentity%2F1216781423","browser")</x:f>
      </x:c>
      <x:c r="L4106" s="0">
        <x:f>hyperlink("https://icat2.azurewebsites.net/icat/?ontology=ICD&amp;tab=ClassesTab&amp;id=http%3A%2F%2Fwho.int%2Ficd%2321153_512ebf36_bf6b_4d70_85da_cf2637062af4","iCat")</x:f>
      </x:c>
      <x:c r="M4106" s="0" t="s">
        <x:v>21</x:v>
      </x:c>
      <x:c r="N4106" s="0" t="s">
        <x:v>46</x:v>
      </x:c>
    </x:row>
    <x:row r="4107" spans="1:16">
      <x:c r="A4107" s="0" t="s">
        <x:v>16271</x:v>
      </x:c>
      <x:c r="B4107" s="0" t="s">
        <x:v>16272</x:v>
      </x:c>
      <x:c r="C4107" s="0" t="s">
        <x:v>16273</x:v>
      </x:c>
      <x:c r="E4107" s="0" t="s">
        <x:v>16274</x:v>
      </x:c>
      <x:c r="F4107" s="0" t="s">
        <x:v>45</x:v>
      </x:c>
      <x:c r="G4107" s="0" t="s">
        <x:v>19</x:v>
      </x:c>
      <x:c r="H4107" s="0" t="s">
        <x:v>20</x:v>
      </x:c>
      <x:c r="I4107" s="0" t="s">
        <x:v>21</x:v>
      </x:c>
      <x:c r="K4107" s="0">
        <x:f>hyperlink("https://icd.who.int/dev11/l-ichi/en#/http%3A%2F%2Fid.who.int%2Ficd%2Fentity%2F1303557009","browser")</x:f>
      </x:c>
      <x:c r="L4107" s="0">
        <x:f>hyperlink("https://icat2.azurewebsites.net/icat/?ontology=ICD&amp;tab=ClassesTab&amp;id=http%3A%2F%2Fwho.int%2Ficd%2321160_512ebf36_bf6b_4d70_85da_cf2637062af4","iCat")</x:f>
      </x:c>
      <x:c r="M4107" s="0" t="s">
        <x:v>21</x:v>
      </x:c>
      <x:c r="N4107" s="0" t="s">
        <x:v>46</x:v>
      </x:c>
    </x:row>
    <x:row r="4108" spans="1:16">
      <x:c r="A4108" s="0" t="s">
        <x:v>16275</x:v>
      </x:c>
      <x:c r="B4108" s="0" t="s">
        <x:v>16276</x:v>
      </x:c>
      <x:c r="C4108" s="0" t="s">
        <x:v>16277</x:v>
      </x:c>
      <x:c r="E4108" s="0" t="s">
        <x:v>16278</x:v>
      </x:c>
      <x:c r="F4108" s="0" t="s">
        <x:v>45</x:v>
      </x:c>
      <x:c r="G4108" s="0" t="s">
        <x:v>19</x:v>
      </x:c>
      <x:c r="H4108" s="0" t="s">
        <x:v>20</x:v>
      </x:c>
      <x:c r="I4108" s="0" t="s">
        <x:v>21</x:v>
      </x:c>
      <x:c r="K4108" s="0">
        <x:f>hyperlink("https://icd.who.int/dev11/l-ichi/en#/http%3A%2F%2Fid.who.int%2Ficd%2Fentity%2F1026562076","browser")</x:f>
      </x:c>
      <x:c r="L4108" s="0">
        <x:f>hyperlink("https://icat2.azurewebsites.net/icat/?ontology=ICD&amp;tab=ClassesTab&amp;id=http%3A%2F%2Fwho.int%2Ficd%2321167_512ebf36_bf6b_4d70_85da_cf2637062af4","iCat")</x:f>
      </x:c>
      <x:c r="M4108" s="0" t="s">
        <x:v>21</x:v>
      </x:c>
      <x:c r="N4108" s="0" t="s">
        <x:v>46</x:v>
      </x:c>
    </x:row>
    <x:row r="4109" spans="1:16">
      <x:c r="A4109" s="0" t="s">
        <x:v>16279</x:v>
      </x:c>
      <x:c r="B4109" s="0" t="s">
        <x:v>16280</x:v>
      </x:c>
      <x:c r="C4109" s="0" t="s">
        <x:v>16281</x:v>
      </x:c>
      <x:c r="E4109" s="0" t="s">
        <x:v>16282</x:v>
      </x:c>
      <x:c r="F4109" s="0" t="s">
        <x:v>45</x:v>
      </x:c>
      <x:c r="G4109" s="0" t="s">
        <x:v>19</x:v>
      </x:c>
      <x:c r="H4109" s="0" t="s">
        <x:v>20</x:v>
      </x:c>
      <x:c r="I4109" s="0" t="s">
        <x:v>21</x:v>
      </x:c>
      <x:c r="K4109" s="0">
        <x:f>hyperlink("https://icd.who.int/dev11/l-ichi/en#/http%3A%2F%2Fid.who.int%2Ficd%2Fentity%2F309387956","browser")</x:f>
      </x:c>
      <x:c r="L4109" s="0">
        <x:f>hyperlink("https://icat2.azurewebsites.net/icat/?ontology=ICD&amp;tab=ClassesTab&amp;id=http%3A%2F%2Fwho.int%2Ficd%2321174_512ebf36_bf6b_4d70_85da_cf2637062af4","iCat")</x:f>
      </x:c>
      <x:c r="M4109" s="0" t="s">
        <x:v>21</x:v>
      </x:c>
      <x:c r="N4109" s="0" t="s">
        <x:v>46</x:v>
      </x:c>
    </x:row>
    <x:row r="4110" spans="1:16">
      <x:c r="A4110" s="0" t="s">
        <x:v>16283</x:v>
      </x:c>
      <x:c r="B4110" s="0" t="s">
        <x:v>16284</x:v>
      </x:c>
      <x:c r="C4110" s="0" t="s">
        <x:v>16285</x:v>
      </x:c>
      <x:c r="E4110" s="0" t="s">
        <x:v>16286</x:v>
      </x:c>
      <x:c r="F4110" s="0" t="s">
        <x:v>45</x:v>
      </x:c>
      <x:c r="G4110" s="0" t="s">
        <x:v>19</x:v>
      </x:c>
      <x:c r="H4110" s="0" t="s">
        <x:v>20</x:v>
      </x:c>
      <x:c r="I4110" s="0" t="s">
        <x:v>21</x:v>
      </x:c>
      <x:c r="K4110" s="0">
        <x:f>hyperlink("https://icd.who.int/dev11/l-ichi/en#/http%3A%2F%2Fid.who.int%2Ficd%2Fentity%2F261001204","browser")</x:f>
      </x:c>
      <x:c r="L4110" s="0">
        <x:f>hyperlink("https://icat2.azurewebsites.net/icat/?ontology=ICD&amp;tab=ClassesTab&amp;id=http%3A%2F%2Fwho.int%2Ficd%2315850_4869915e_217e_423d_acb3_33c0f920ef4b","iCat")</x:f>
      </x:c>
      <x:c r="M4110" s="0" t="s">
        <x:v>21</x:v>
      </x:c>
      <x:c r="N4110" s="0" t="s">
        <x:v>46</x:v>
      </x:c>
    </x:row>
    <x:row r="4111" spans="1:16">
      <x:c r="A4111" s="0" t="s">
        <x:v>16287</x:v>
      </x:c>
      <x:c r="B4111" s="0" t="s">
        <x:v>16288</x:v>
      </x:c>
      <x:c r="C4111" s="0" t="s">
        <x:v>16289</x:v>
      </x:c>
      <x:c r="E4111" s="0" t="s">
        <x:v>16290</x:v>
      </x:c>
      <x:c r="F4111" s="0" t="s">
        <x:v>45</x:v>
      </x:c>
      <x:c r="G4111" s="0" t="s">
        <x:v>19</x:v>
      </x:c>
      <x:c r="H4111" s="0" t="s">
        <x:v>20</x:v>
      </x:c>
      <x:c r="I4111" s="0" t="s">
        <x:v>21</x:v>
      </x:c>
      <x:c r="K4111" s="0">
        <x:f>hyperlink("https://icd.who.int/dev11/l-ichi/en#/http%3A%2F%2Fid.who.int%2Ficd%2Fentity%2F1293222881","browser")</x:f>
      </x:c>
      <x:c r="L4111" s="0">
        <x:f>hyperlink("https://icat2.azurewebsites.net/icat/?ontology=ICD&amp;tab=ClassesTab&amp;id=http%3A%2F%2Fwho.int%2Ficd%2321183_512ebf36_bf6b_4d70_85da_cf2637062af4","iCat")</x:f>
      </x:c>
      <x:c r="M4111" s="0" t="s">
        <x:v>21</x:v>
      </x:c>
      <x:c r="N4111" s="0" t="s">
        <x:v>46</x:v>
      </x:c>
    </x:row>
    <x:row r="4112" spans="1:16">
      <x:c r="A4112" s="0" t="s">
        <x:v>16291</x:v>
      </x:c>
      <x:c r="B4112" s="0" t="s">
        <x:v>16292</x:v>
      </x:c>
      <x:c r="D4112" s="0" t="s">
        <x:v>16293</x:v>
      </x:c>
      <x:c r="E4112" s="0" t="s">
        <x:v>16294</x:v>
      </x:c>
      <x:c r="F4112" s="0" t="s">
        <x:v>26</x:v>
      </x:c>
      <x:c r="G4112" s="0" t="s">
        <x:v>22</x:v>
      </x:c>
      <x:c r="H4112" s="0" t="s">
        <x:v>20</x:v>
      </x:c>
      <x:c r="I4112" s="0" t="s">
        <x:v>21</x:v>
      </x:c>
      <x:c r="K4112" s="0">
        <x:f>hyperlink("https://icd.who.int/dev11/l-ichi/en#/http%3A%2F%2Fid.who.int%2Ficd%2Fentity%2F120185994","browser")</x:f>
      </x:c>
      <x:c r="L4112" s="0">
        <x:f>hyperlink("https://icat2.azurewebsites.net/icat/?ontology=ICD&amp;tab=ClassesTab&amp;id=http%3A%2F%2Fwho.int%2Ficd%2321192_512ebf36_bf6b_4d70_85da_cf2637062af4","iCat")</x:f>
      </x:c>
      <x:c r="M4112" s="0" t="s">
        <x:v>20</x:v>
      </x:c>
      <x:c r="N4112" s="0" t="s">
        <x:v>16295</x:v>
      </x:c>
    </x:row>
    <x:row r="4113" spans="1:16">
      <x:c r="A4113" s="0" t="s">
        <x:v>16296</x:v>
      </x:c>
      <x:c r="B4113" s="0" t="s">
        <x:v>16297</x:v>
      </x:c>
      <x:c r="C4113" s="0" t="s">
        <x:v>16298</x:v>
      </x:c>
      <x:c r="E4113" s="0" t="s">
        <x:v>16299</x:v>
      </x:c>
      <x:c r="F4113" s="0" t="s">
        <x:v>45</x:v>
      </x:c>
      <x:c r="G4113" s="0" t="s">
        <x:v>19</x:v>
      </x:c>
      <x:c r="H4113" s="0" t="s">
        <x:v>20</x:v>
      </x:c>
      <x:c r="I4113" s="0" t="s">
        <x:v>21</x:v>
      </x:c>
      <x:c r="K4113" s="0">
        <x:f>hyperlink("https://icd.who.int/dev11/l-ichi/en#/http%3A%2F%2Fid.who.int%2Ficd%2Fentity%2F1118604147","browser")</x:f>
      </x:c>
      <x:c r="L4113" s="0">
        <x:f>hyperlink("https://icat2.azurewebsites.net/icat/?ontology=ICD&amp;tab=ClassesTab&amp;id=http%3A%2F%2Fwho.int%2Ficd%2321191_512ebf36_bf6b_4d70_85da_cf2637062af4","iCat")</x:f>
      </x:c>
      <x:c r="M4113" s="0" t="s">
        <x:v>21</x:v>
      </x:c>
      <x:c r="N4113" s="0" t="s">
        <x:v>46</x:v>
      </x:c>
    </x:row>
    <x:row r="4114" spans="1:16">
      <x:c r="A4114" s="0" t="s">
        <x:v>16300</x:v>
      </x:c>
      <x:c r="B4114" s="0" t="s">
        <x:v>16301</x:v>
      </x:c>
      <x:c r="C4114" s="0" t="s">
        <x:v>16302</x:v>
      </x:c>
      <x:c r="E4114" s="0" t="s">
        <x:v>16303</x:v>
      </x:c>
      <x:c r="F4114" s="0" t="s">
        <x:v>45</x:v>
      </x:c>
      <x:c r="G4114" s="0" t="s">
        <x:v>19</x:v>
      </x:c>
      <x:c r="H4114" s="0" t="s">
        <x:v>20</x:v>
      </x:c>
      <x:c r="I4114" s="0" t="s">
        <x:v>21</x:v>
      </x:c>
      <x:c r="K4114" s="0">
        <x:f>hyperlink("https://icd.who.int/dev11/l-ichi/en#/http%3A%2F%2Fid.who.int%2Ficd%2Fentity%2F863759998","browser")</x:f>
      </x:c>
      <x:c r="L4114" s="0">
        <x:f>hyperlink("https://icat2.azurewebsites.net/icat/?ontology=ICD&amp;tab=ClassesTab&amp;id=http%3A%2F%2Fwho.int%2Ficd%2321203_512ebf36_bf6b_4d70_85da_cf2637062af4","iCat")</x:f>
      </x:c>
      <x:c r="M4114" s="0" t="s">
        <x:v>21</x:v>
      </x:c>
      <x:c r="N4114" s="0" t="s">
        <x:v>46</x:v>
      </x:c>
    </x:row>
    <x:row r="4115" spans="1:16">
      <x:c r="A4115" s="0" t="s">
        <x:v>16304</x:v>
      </x:c>
      <x:c r="B4115" s="0" t="s">
        <x:v>16305</x:v>
      </x:c>
      <x:c r="C4115" s="0" t="s">
        <x:v>16306</x:v>
      </x:c>
      <x:c r="E4115" s="0" t="s">
        <x:v>16307</x:v>
      </x:c>
      <x:c r="F4115" s="0" t="s">
        <x:v>45</x:v>
      </x:c>
      <x:c r="G4115" s="0" t="s">
        <x:v>19</x:v>
      </x:c>
      <x:c r="H4115" s="0" t="s">
        <x:v>20</x:v>
      </x:c>
      <x:c r="I4115" s="0" t="s">
        <x:v>21</x:v>
      </x:c>
      <x:c r="K4115" s="0">
        <x:f>hyperlink("https://icd.who.int/dev11/l-ichi/en#/http%3A%2F%2Fid.who.int%2Ficd%2Fentity%2F411468526","browser")</x:f>
      </x:c>
      <x:c r="L4115" s="0">
        <x:f>hyperlink("https://icat2.azurewebsites.net/icat/?ontology=ICD&amp;tab=ClassesTab&amp;id=http%3A%2F%2Fwho.int%2Ficd%2321209_512ebf36_bf6b_4d70_85da_cf2637062af4","iCat")</x:f>
      </x:c>
      <x:c r="M4115" s="0" t="s">
        <x:v>21</x:v>
      </x:c>
      <x:c r="N4115" s="0" t="s">
        <x:v>46</x:v>
      </x:c>
    </x:row>
    <x:row r="4116" spans="1:16">
      <x:c r="A4116" s="0" t="s">
        <x:v>16308</x:v>
      </x:c>
      <x:c r="B4116" s="0" t="s">
        <x:v>16309</x:v>
      </x:c>
      <x:c r="C4116" s="0" t="s">
        <x:v>16310</x:v>
      </x:c>
      <x:c r="E4116" s="0" t="s">
        <x:v>16311</x:v>
      </x:c>
      <x:c r="F4116" s="0" t="s">
        <x:v>45</x:v>
      </x:c>
      <x:c r="G4116" s="0" t="s">
        <x:v>19</x:v>
      </x:c>
      <x:c r="H4116" s="0" t="s">
        <x:v>20</x:v>
      </x:c>
      <x:c r="I4116" s="0" t="s">
        <x:v>21</x:v>
      </x:c>
      <x:c r="K4116" s="0">
        <x:f>hyperlink("https://icd.who.int/dev11/l-ichi/en#/http%3A%2F%2Fid.who.int%2Ficd%2Fentity%2F163947162","browser")</x:f>
      </x:c>
      <x:c r="L4116" s="0">
        <x:f>hyperlink("https://icat2.azurewebsites.net/icat/?ontology=ICD&amp;tab=ClassesTab&amp;id=http%3A%2F%2Fwho.int%2Ficd%2321215_512ebf36_bf6b_4d70_85da_cf2637062af4","iCat")</x:f>
      </x:c>
      <x:c r="M4116" s="0" t="s">
        <x:v>21</x:v>
      </x:c>
      <x:c r="N4116" s="0" t="s">
        <x:v>46</x:v>
      </x:c>
    </x:row>
    <x:row r="4117" spans="1:16">
      <x:c r="A4117" s="0" t="s">
        <x:v>16312</x:v>
      </x:c>
      <x:c r="B4117" s="0" t="s">
        <x:v>16313</x:v>
      </x:c>
      <x:c r="C4117" s="0" t="s">
        <x:v>16314</x:v>
      </x:c>
      <x:c r="E4117" s="0" t="s">
        <x:v>16315</x:v>
      </x:c>
      <x:c r="F4117" s="0" t="s">
        <x:v>45</x:v>
      </x:c>
      <x:c r="G4117" s="0" t="s">
        <x:v>19</x:v>
      </x:c>
      <x:c r="H4117" s="0" t="s">
        <x:v>20</x:v>
      </x:c>
      <x:c r="I4117" s="0" t="s">
        <x:v>21</x:v>
      </x:c>
      <x:c r="K4117" s="0">
        <x:f>hyperlink("https://icd.who.int/dev11/l-ichi/en#/http%3A%2F%2Fid.who.int%2Ficd%2Fentity%2F2087921385","browser")</x:f>
      </x:c>
      <x:c r="L4117" s="0">
        <x:f>hyperlink("https://icat2.azurewebsites.net/icat/?ontology=ICD&amp;tab=ClassesTab&amp;id=http%3A%2F%2Fwho.int%2Ficd%2321221_512ebf36_bf6b_4d70_85da_cf2637062af4","iCat")</x:f>
      </x:c>
      <x:c r="M4117" s="0" t="s">
        <x:v>21</x:v>
      </x:c>
      <x:c r="N4117" s="0" t="s">
        <x:v>46</x:v>
      </x:c>
    </x:row>
    <x:row r="4118" spans="1:16">
      <x:c r="A4118" s="0" t="s">
        <x:v>16316</x:v>
      </x:c>
      <x:c r="B4118" s="0" t="s">
        <x:v>16317</x:v>
      </x:c>
      <x:c r="C4118" s="0" t="s">
        <x:v>16318</x:v>
      </x:c>
      <x:c r="E4118" s="0" t="s">
        <x:v>16319</x:v>
      </x:c>
      <x:c r="F4118" s="0" t="s">
        <x:v>45</x:v>
      </x:c>
      <x:c r="G4118" s="0" t="s">
        <x:v>19</x:v>
      </x:c>
      <x:c r="H4118" s="0" t="s">
        <x:v>20</x:v>
      </x:c>
      <x:c r="I4118" s="0" t="s">
        <x:v>21</x:v>
      </x:c>
      <x:c r="K4118" s="0">
        <x:f>hyperlink("https://icd.who.int/dev11/l-ichi/en#/http%3A%2F%2Fid.who.int%2Ficd%2Fentity%2F738787162","browser")</x:f>
      </x:c>
      <x:c r="L4118" s="0">
        <x:f>hyperlink("https://icat2.azurewebsites.net/icat/?ontology=ICD&amp;tab=ClassesTab&amp;id=http%3A%2F%2Fwho.int%2Ficd%2321227_512ebf36_bf6b_4d70_85da_cf2637062af4","iCat")</x:f>
      </x:c>
      <x:c r="M4118" s="0" t="s">
        <x:v>21</x:v>
      </x:c>
      <x:c r="N4118" s="0" t="s">
        <x:v>46</x:v>
      </x:c>
    </x:row>
    <x:row r="4119" spans="1:16">
      <x:c r="A4119" s="0" t="s">
        <x:v>16320</x:v>
      </x:c>
      <x:c r="B4119" s="0" t="s">
        <x:v>16321</x:v>
      </x:c>
      <x:c r="C4119" s="0" t="s">
        <x:v>16322</x:v>
      </x:c>
      <x:c r="E4119" s="0" t="s">
        <x:v>16323</x:v>
      </x:c>
      <x:c r="F4119" s="0" t="s">
        <x:v>45</x:v>
      </x:c>
      <x:c r="G4119" s="0" t="s">
        <x:v>19</x:v>
      </x:c>
      <x:c r="H4119" s="0" t="s">
        <x:v>20</x:v>
      </x:c>
      <x:c r="I4119" s="0" t="s">
        <x:v>21</x:v>
      </x:c>
      <x:c r="K4119" s="0">
        <x:f>hyperlink("https://icd.who.int/dev11/l-ichi/en#/http%3A%2F%2Fid.who.int%2Ficd%2Fentity%2F1942662779","browser")</x:f>
      </x:c>
      <x:c r="L4119" s="0">
        <x:f>hyperlink("https://icat2.azurewebsites.net/icat/?ontology=ICD&amp;tab=ClassesTab&amp;id=http%3A%2F%2Fwho.int%2Ficd%2321233_512ebf36_bf6b_4d70_85da_cf2637062af4","iCat")</x:f>
      </x:c>
      <x:c r="M4119" s="0" t="s">
        <x:v>21</x:v>
      </x:c>
      <x:c r="N4119" s="0" t="s">
        <x:v>46</x:v>
      </x:c>
    </x:row>
    <x:row r="4120" spans="1:16">
      <x:c r="A4120" s="0" t="s">
        <x:v>16324</x:v>
      </x:c>
      <x:c r="B4120" s="0" t="s">
        <x:v>16325</x:v>
      </x:c>
      <x:c r="C4120" s="0" t="s">
        <x:v>16326</x:v>
      </x:c>
      <x:c r="E4120" s="0" t="s">
        <x:v>16327</x:v>
      </x:c>
      <x:c r="F4120" s="0" t="s">
        <x:v>45</x:v>
      </x:c>
      <x:c r="G4120" s="0" t="s">
        <x:v>19</x:v>
      </x:c>
      <x:c r="H4120" s="0" t="s">
        <x:v>20</x:v>
      </x:c>
      <x:c r="I4120" s="0" t="s">
        <x:v>21</x:v>
      </x:c>
      <x:c r="K4120" s="0">
        <x:f>hyperlink("https://icd.who.int/dev11/l-ichi/en#/http%3A%2F%2Fid.who.int%2Ficd%2Fentity%2F110744216","browser")</x:f>
      </x:c>
      <x:c r="L4120" s="0">
        <x:f>hyperlink("https://icat2.azurewebsites.net/icat/?ontology=ICD&amp;tab=ClassesTab&amp;id=http%3A%2F%2Fwho.int%2Ficd%2321240_512ebf36_bf6b_4d70_85da_cf2637062af4","iCat")</x:f>
      </x:c>
      <x:c r="M4120" s="0" t="s">
        <x:v>21</x:v>
      </x:c>
      <x:c r="N4120" s="0" t="s">
        <x:v>46</x:v>
      </x:c>
    </x:row>
    <x:row r="4121" spans="1:16">
      <x:c r="A4121" s="0" t="s">
        <x:v>16328</x:v>
      </x:c>
      <x:c r="B4121" s="0" t="s">
        <x:v>16329</x:v>
      </x:c>
      <x:c r="C4121" s="0" t="s">
        <x:v>16330</x:v>
      </x:c>
      <x:c r="E4121" s="0" t="s">
        <x:v>16331</x:v>
      </x:c>
      <x:c r="F4121" s="0" t="s">
        <x:v>45</x:v>
      </x:c>
      <x:c r="G4121" s="0" t="s">
        <x:v>19</x:v>
      </x:c>
      <x:c r="H4121" s="0" t="s">
        <x:v>20</x:v>
      </x:c>
      <x:c r="I4121" s="0" t="s">
        <x:v>21</x:v>
      </x:c>
      <x:c r="K4121" s="0">
        <x:f>hyperlink("https://icd.who.int/dev11/l-ichi/en#/http%3A%2F%2Fid.who.int%2Ficd%2Fentity%2F1457654569","browser")</x:f>
      </x:c>
      <x:c r="L4121" s="0">
        <x:f>hyperlink("https://icat2.azurewebsites.net/icat/?ontology=ICD&amp;tab=ClassesTab&amp;id=http%3A%2F%2Fwho.int%2Ficd%2321246_512ebf36_bf6b_4d70_85da_cf2637062af4","iCat")</x:f>
      </x:c>
      <x:c r="M4121" s="0" t="s">
        <x:v>21</x:v>
      </x:c>
      <x:c r="N4121" s="0" t="s">
        <x:v>46</x:v>
      </x:c>
    </x:row>
    <x:row r="4122" spans="1:16">
      <x:c r="A4122" s="0" t="s">
        <x:v>16332</x:v>
      </x:c>
      <x:c r="B4122" s="0" t="s">
        <x:v>16333</x:v>
      </x:c>
      <x:c r="C4122" s="0" t="s">
        <x:v>16334</x:v>
      </x:c>
      <x:c r="E4122" s="0" t="s">
        <x:v>16335</x:v>
      </x:c>
      <x:c r="F4122" s="0" t="s">
        <x:v>45</x:v>
      </x:c>
      <x:c r="G4122" s="0" t="s">
        <x:v>19</x:v>
      </x:c>
      <x:c r="H4122" s="0" t="s">
        <x:v>20</x:v>
      </x:c>
      <x:c r="I4122" s="0" t="s">
        <x:v>21</x:v>
      </x:c>
      <x:c r="K4122" s="0">
        <x:f>hyperlink("https://icd.who.int/dev11/l-ichi/en#/http%3A%2F%2Fid.who.int%2Ficd%2Fentity%2F153115146","browser")</x:f>
      </x:c>
      <x:c r="L4122" s="0">
        <x:f>hyperlink("https://icat2.azurewebsites.net/icat/?ontology=ICD&amp;tab=ClassesTab&amp;id=http%3A%2F%2Fwho.int%2Ficd%2321252_512ebf36_bf6b_4d70_85da_cf2637062af4","iCat")</x:f>
      </x:c>
      <x:c r="M4122" s="0" t="s">
        <x:v>21</x:v>
      </x:c>
      <x:c r="N4122" s="0" t="s">
        <x:v>46</x:v>
      </x:c>
    </x:row>
    <x:row r="4123" spans="1:16">
      <x:c r="A4123" s="0" t="s">
        <x:v>16336</x:v>
      </x:c>
      <x:c r="B4123" s="0" t="s">
        <x:v>16337</x:v>
      </x:c>
      <x:c r="C4123" s="0" t="s">
        <x:v>16338</x:v>
      </x:c>
      <x:c r="E4123" s="0" t="s">
        <x:v>16339</x:v>
      </x:c>
      <x:c r="F4123" s="0" t="s">
        <x:v>45</x:v>
      </x:c>
      <x:c r="G4123" s="0" t="s">
        <x:v>19</x:v>
      </x:c>
      <x:c r="H4123" s="0" t="s">
        <x:v>20</x:v>
      </x:c>
      <x:c r="I4123" s="0" t="s">
        <x:v>21</x:v>
      </x:c>
      <x:c r="K4123" s="0">
        <x:f>hyperlink("https://icd.who.int/dev11/l-ichi/en#/http%3A%2F%2Fid.who.int%2Ficd%2Fentity%2F753731530","browser")</x:f>
      </x:c>
      <x:c r="L4123" s="0">
        <x:f>hyperlink("https://icat2.azurewebsites.net/icat/?ontology=ICD&amp;tab=ClassesTab&amp;id=http%3A%2F%2Fwho.int%2Ficd%2321260_512ebf36_bf6b_4d70_85da_cf2637062af4","iCat")</x:f>
      </x:c>
      <x:c r="M4123" s="0" t="s">
        <x:v>21</x:v>
      </x:c>
      <x:c r="N4123" s="0" t="s">
        <x:v>46</x:v>
      </x:c>
    </x:row>
    <x:row r="4124" spans="1:16">
      <x:c r="A4124" s="0" t="s">
        <x:v>16340</x:v>
      </x:c>
      <x:c r="B4124" s="0" t="s">
        <x:v>16341</x:v>
      </x:c>
      <x:c r="C4124" s="0" t="s">
        <x:v>16342</x:v>
      </x:c>
      <x:c r="E4124" s="0" t="s">
        <x:v>16343</x:v>
      </x:c>
      <x:c r="F4124" s="0" t="s">
        <x:v>45</x:v>
      </x:c>
      <x:c r="G4124" s="0" t="s">
        <x:v>19</x:v>
      </x:c>
      <x:c r="H4124" s="0" t="s">
        <x:v>20</x:v>
      </x:c>
      <x:c r="I4124" s="0" t="s">
        <x:v>21</x:v>
      </x:c>
      <x:c r="K4124" s="0">
        <x:f>hyperlink("https://icd.who.int/dev11/l-ichi/en#/http%3A%2F%2Fid.who.int%2Ficd%2Fentity%2F1550822469","browser")</x:f>
      </x:c>
      <x:c r="L4124" s="0">
        <x:f>hyperlink("https://icat2.azurewebsites.net/icat/?ontology=ICD&amp;tab=ClassesTab&amp;id=http%3A%2F%2Fwho.int%2Ficd%2321267_512ebf36_bf6b_4d70_85da_cf2637062af4","iCat")</x:f>
      </x:c>
      <x:c r="M4124" s="0" t="s">
        <x:v>21</x:v>
      </x:c>
      <x:c r="N4124" s="0" t="s">
        <x:v>46</x:v>
      </x:c>
    </x:row>
    <x:row r="4125" spans="1:16">
      <x:c r="A4125" s="0" t="s">
        <x:v>16344</x:v>
      </x:c>
      <x:c r="B4125" s="0" t="s">
        <x:v>16345</x:v>
      </x:c>
      <x:c r="C4125" s="0" t="s">
        <x:v>16346</x:v>
      </x:c>
      <x:c r="E4125" s="0" t="s">
        <x:v>16347</x:v>
      </x:c>
      <x:c r="F4125" s="0" t="s">
        <x:v>45</x:v>
      </x:c>
      <x:c r="G4125" s="0" t="s">
        <x:v>19</x:v>
      </x:c>
      <x:c r="H4125" s="0" t="s">
        <x:v>20</x:v>
      </x:c>
      <x:c r="I4125" s="0" t="s">
        <x:v>21</x:v>
      </x:c>
      <x:c r="K4125" s="0">
        <x:f>hyperlink("https://icd.who.int/dev11/l-ichi/en#/http%3A%2F%2Fid.who.int%2Ficd%2Fentity%2F1406543063","browser")</x:f>
      </x:c>
      <x:c r="L4125" s="0">
        <x:f>hyperlink("https://icat2.azurewebsites.net/icat/?ontology=ICD&amp;tab=ClassesTab&amp;id=http%3A%2F%2Fwho.int%2Ficd%2321275_512ebf36_bf6b_4d70_85da_cf2637062af4","iCat")</x:f>
      </x:c>
      <x:c r="M4125" s="0" t="s">
        <x:v>21</x:v>
      </x:c>
      <x:c r="N4125" s="0" t="s">
        <x:v>46</x:v>
      </x:c>
    </x:row>
    <x:row r="4126" spans="1:16">
      <x:c r="A4126" s="0" t="s">
        <x:v>16348</x:v>
      </x:c>
      <x:c r="B4126" s="0" t="s">
        <x:v>16349</x:v>
      </x:c>
      <x:c r="C4126" s="0" t="s">
        <x:v>16350</x:v>
      </x:c>
      <x:c r="E4126" s="0" t="s">
        <x:v>16351</x:v>
      </x:c>
      <x:c r="F4126" s="0" t="s">
        <x:v>45</x:v>
      </x:c>
      <x:c r="G4126" s="0" t="s">
        <x:v>19</x:v>
      </x:c>
      <x:c r="H4126" s="0" t="s">
        <x:v>20</x:v>
      </x:c>
      <x:c r="I4126" s="0" t="s">
        <x:v>21</x:v>
      </x:c>
      <x:c r="K4126" s="0">
        <x:f>hyperlink("https://icd.who.int/dev11/l-ichi/en#/http%3A%2F%2Fid.who.int%2Ficd%2Fentity%2F1228319357","browser")</x:f>
      </x:c>
      <x:c r="L4126" s="0">
        <x:f>hyperlink("https://icat2.azurewebsites.net/icat/?ontology=ICD&amp;tab=ClassesTab&amp;id=http%3A%2F%2Fwho.int%2Ficd%2321281_512ebf36_bf6b_4d70_85da_cf2637062af4","iCat")</x:f>
      </x:c>
      <x:c r="M4126" s="0" t="s">
        <x:v>21</x:v>
      </x:c>
      <x:c r="N4126" s="0" t="s">
        <x:v>46</x:v>
      </x:c>
    </x:row>
    <x:row r="4127" spans="1:16">
      <x:c r="A4127" s="0" t="s">
        <x:v>16352</x:v>
      </x:c>
      <x:c r="B4127" s="0" t="s">
        <x:v>16353</x:v>
      </x:c>
      <x:c r="C4127" s="0" t="s">
        <x:v>16354</x:v>
      </x:c>
      <x:c r="E4127" s="0" t="s">
        <x:v>16355</x:v>
      </x:c>
      <x:c r="F4127" s="0" t="s">
        <x:v>45</x:v>
      </x:c>
      <x:c r="G4127" s="0" t="s">
        <x:v>19</x:v>
      </x:c>
      <x:c r="H4127" s="0" t="s">
        <x:v>20</x:v>
      </x:c>
      <x:c r="I4127" s="0" t="s">
        <x:v>21</x:v>
      </x:c>
      <x:c r="K4127" s="0">
        <x:f>hyperlink("https://icd.who.int/dev11/l-ichi/en#/http%3A%2F%2Fid.who.int%2Ficd%2Fentity%2F603143978","browser")</x:f>
      </x:c>
      <x:c r="L4127" s="0">
        <x:f>hyperlink("https://icat2.azurewebsites.net/icat/?ontology=ICD&amp;tab=ClassesTab&amp;id=http%3A%2F%2Fwho.int%2Ficd%2321291_512ebf36_bf6b_4d70_85da_cf2637062af4","iCat")</x:f>
      </x:c>
      <x:c r="M4127" s="0" t="s">
        <x:v>21</x:v>
      </x:c>
      <x:c r="N4127" s="0" t="s">
        <x:v>46</x:v>
      </x:c>
    </x:row>
    <x:row r="4128" spans="1:16">
      <x:c r="A4128" s="0" t="s">
        <x:v>16356</x:v>
      </x:c>
      <x:c r="B4128" s="0" t="s">
        <x:v>16357</x:v>
      </x:c>
      <x:c r="C4128" s="0" t="s">
        <x:v>16358</x:v>
      </x:c>
      <x:c r="E4128" s="0" t="s">
        <x:v>16359</x:v>
      </x:c>
      <x:c r="F4128" s="0" t="s">
        <x:v>45</x:v>
      </x:c>
      <x:c r="G4128" s="0" t="s">
        <x:v>19</x:v>
      </x:c>
      <x:c r="H4128" s="0" t="s">
        <x:v>20</x:v>
      </x:c>
      <x:c r="I4128" s="0" t="s">
        <x:v>21</x:v>
      </x:c>
      <x:c r="K4128" s="0">
        <x:f>hyperlink("https://icd.who.int/dev11/l-ichi/en#/http%3A%2F%2Fid.who.int%2Ficd%2Fentity%2F1836207743","browser")</x:f>
      </x:c>
      <x:c r="L4128" s="0">
        <x:f>hyperlink("https://icat2.azurewebsites.net/icat/?ontology=ICD&amp;tab=ClassesTab&amp;id=http%3A%2F%2Fwho.int%2Ficd%2321299_512ebf36_bf6b_4d70_85da_cf2637062af4","iCat")</x:f>
      </x:c>
      <x:c r="M4128" s="0" t="s">
        <x:v>21</x:v>
      </x:c>
      <x:c r="N4128" s="0" t="s">
        <x:v>46</x:v>
      </x:c>
    </x:row>
    <x:row r="4129" spans="1:16">
      <x:c r="A4129" s="0" t="s">
        <x:v>16360</x:v>
      </x:c>
      <x:c r="B4129" s="0" t="s">
        <x:v>16361</x:v>
      </x:c>
      <x:c r="C4129" s="0" t="s">
        <x:v>16362</x:v>
      </x:c>
      <x:c r="E4129" s="0" t="s">
        <x:v>16363</x:v>
      </x:c>
      <x:c r="F4129" s="0" t="s">
        <x:v>45</x:v>
      </x:c>
      <x:c r="G4129" s="0" t="s">
        <x:v>19</x:v>
      </x:c>
      <x:c r="H4129" s="0" t="s">
        <x:v>20</x:v>
      </x:c>
      <x:c r="I4129" s="0" t="s">
        <x:v>21</x:v>
      </x:c>
      <x:c r="K4129" s="0">
        <x:f>hyperlink("https://icd.who.int/dev11/l-ichi/en#/http%3A%2F%2Fid.who.int%2Ficd%2Fentity%2F1394253481","browser")</x:f>
      </x:c>
      <x:c r="L4129" s="0">
        <x:f>hyperlink("https://icat2.azurewebsites.net/icat/?ontology=ICD&amp;tab=ClassesTab&amp;id=http%3A%2F%2Fwho.int%2Ficd%2321306_512ebf36_bf6b_4d70_85da_cf2637062af4","iCat")</x:f>
      </x:c>
      <x:c r="M4129" s="0" t="s">
        <x:v>21</x:v>
      </x:c>
      <x:c r="N4129" s="0" t="s">
        <x:v>46</x:v>
      </x:c>
    </x:row>
    <x:row r="4130" spans="1:16">
      <x:c r="A4130" s="0" t="s">
        <x:v>16364</x:v>
      </x:c>
      <x:c r="B4130" s="0" t="s">
        <x:v>16365</x:v>
      </x:c>
      <x:c r="C4130" s="0" t="s">
        <x:v>16366</x:v>
      </x:c>
      <x:c r="E4130" s="0" t="s">
        <x:v>16367</x:v>
      </x:c>
      <x:c r="F4130" s="0" t="s">
        <x:v>45</x:v>
      </x:c>
      <x:c r="G4130" s="0" t="s">
        <x:v>19</x:v>
      </x:c>
      <x:c r="H4130" s="0" t="s">
        <x:v>20</x:v>
      </x:c>
      <x:c r="I4130" s="0" t="s">
        <x:v>21</x:v>
      </x:c>
      <x:c r="K4130" s="0">
        <x:f>hyperlink("https://icd.who.int/dev11/l-ichi/en#/http%3A%2F%2Fid.who.int%2Ficd%2Fentity%2F740408760","browser")</x:f>
      </x:c>
      <x:c r="L4130" s="0">
        <x:f>hyperlink("https://icat2.azurewebsites.net/icat/?ontology=ICD&amp;tab=ClassesTab&amp;id=http%3A%2F%2Fwho.int%2Ficd%2321313_512ebf36_bf6b_4d70_85da_cf2637062af4","iCat")</x:f>
      </x:c>
      <x:c r="M4130" s="0" t="s">
        <x:v>21</x:v>
      </x:c>
      <x:c r="N4130" s="0" t="s">
        <x:v>46</x:v>
      </x:c>
    </x:row>
    <x:row r="4131" spans="1:16">
      <x:c r="A4131" s="0" t="s">
        <x:v>16368</x:v>
      </x:c>
      <x:c r="B4131" s="0" t="s">
        <x:v>16369</x:v>
      </x:c>
      <x:c r="C4131" s="0" t="s">
        <x:v>16370</x:v>
      </x:c>
      <x:c r="E4131" s="0" t="s">
        <x:v>16371</x:v>
      </x:c>
      <x:c r="F4131" s="0" t="s">
        <x:v>45</x:v>
      </x:c>
      <x:c r="G4131" s="0" t="s">
        <x:v>19</x:v>
      </x:c>
      <x:c r="H4131" s="0" t="s">
        <x:v>20</x:v>
      </x:c>
      <x:c r="I4131" s="0" t="s">
        <x:v>21</x:v>
      </x:c>
      <x:c r="K4131" s="0">
        <x:f>hyperlink("https://icd.who.int/dev11/l-ichi/en#/http%3A%2F%2Fid.who.int%2Ficd%2Fentity%2F131911976","browser")</x:f>
      </x:c>
      <x:c r="L4131" s="0">
        <x:f>hyperlink("https://icat2.azurewebsites.net/icat/?ontology=ICD&amp;tab=ClassesTab&amp;id=http%3A%2F%2Fwho.int%2Ficd%2321319_512ebf36_bf6b_4d70_85da_cf2637062af4","iCat")</x:f>
      </x:c>
      <x:c r="M4131" s="0" t="s">
        <x:v>21</x:v>
      </x:c>
      <x:c r="N4131" s="0" t="s">
        <x:v>46</x:v>
      </x:c>
    </x:row>
    <x:row r="4132" spans="1:16">
      <x:c r="A4132" s="0" t="s">
        <x:v>16372</x:v>
      </x:c>
      <x:c r="B4132" s="0" t="s">
        <x:v>16373</x:v>
      </x:c>
      <x:c r="C4132" s="0" t="s">
        <x:v>16374</x:v>
      </x:c>
      <x:c r="E4132" s="0" t="s">
        <x:v>16375</x:v>
      </x:c>
      <x:c r="F4132" s="0" t="s">
        <x:v>45</x:v>
      </x:c>
      <x:c r="G4132" s="0" t="s">
        <x:v>19</x:v>
      </x:c>
      <x:c r="H4132" s="0" t="s">
        <x:v>20</x:v>
      </x:c>
      <x:c r="I4132" s="0" t="s">
        <x:v>21</x:v>
      </x:c>
      <x:c r="K4132" s="0">
        <x:f>hyperlink("https://icd.who.int/dev11/l-ichi/en#/http%3A%2F%2Fid.who.int%2Ficd%2Fentity%2F2037271545","browser")</x:f>
      </x:c>
      <x:c r="L4132" s="0">
        <x:f>hyperlink("https://icat2.azurewebsites.net/icat/?ontology=ICD&amp;tab=ClassesTab&amp;id=http%3A%2F%2Fwho.int%2Ficd%2321326_512ebf36_bf6b_4d70_85da_cf2637062af4","iCat")</x:f>
      </x:c>
      <x:c r="M4132" s="0" t="s">
        <x:v>21</x:v>
      </x:c>
      <x:c r="N4132" s="0" t="s">
        <x:v>46</x:v>
      </x:c>
    </x:row>
    <x:row r="4133" spans="1:16">
      <x:c r="A4133" s="0" t="s">
        <x:v>16376</x:v>
      </x:c>
      <x:c r="B4133" s="0" t="s">
        <x:v>16377</x:v>
      </x:c>
      <x:c r="C4133" s="0" t="s">
        <x:v>16378</x:v>
      </x:c>
      <x:c r="E4133" s="0" t="s">
        <x:v>16379</x:v>
      </x:c>
      <x:c r="F4133" s="0" t="s">
        <x:v>45</x:v>
      </x:c>
      <x:c r="G4133" s="0" t="s">
        <x:v>19</x:v>
      </x:c>
      <x:c r="H4133" s="0" t="s">
        <x:v>20</x:v>
      </x:c>
      <x:c r="I4133" s="0" t="s">
        <x:v>21</x:v>
      </x:c>
      <x:c r="K4133" s="0">
        <x:f>hyperlink("https://icd.who.int/dev11/l-ichi/en#/http%3A%2F%2Fid.who.int%2Ficd%2Fentity%2F106260710","browser")</x:f>
      </x:c>
      <x:c r="L4133" s="0">
        <x:f>hyperlink("https://icat2.azurewebsites.net/icat/?ontology=ICD&amp;tab=ClassesTab&amp;id=http%3A%2F%2Fwho.int%2Ficd%2321333_512ebf36_bf6b_4d70_85da_cf2637062af4","iCat")</x:f>
      </x:c>
      <x:c r="M4133" s="0" t="s">
        <x:v>21</x:v>
      </x:c>
      <x:c r="N4133" s="0" t="s">
        <x:v>46</x:v>
      </x:c>
    </x:row>
    <x:row r="4134" spans="1:16">
      <x:c r="A4134" s="0" t="s">
        <x:v>16380</x:v>
      </x:c>
      <x:c r="B4134" s="0" t="s">
        <x:v>16381</x:v>
      </x:c>
      <x:c r="C4134" s="0" t="s">
        <x:v>16382</x:v>
      </x:c>
      <x:c r="E4134" s="0" t="s">
        <x:v>16383</x:v>
      </x:c>
      <x:c r="F4134" s="0" t="s">
        <x:v>45</x:v>
      </x:c>
      <x:c r="G4134" s="0" t="s">
        <x:v>19</x:v>
      </x:c>
      <x:c r="H4134" s="0" t="s">
        <x:v>20</x:v>
      </x:c>
      <x:c r="I4134" s="0" t="s">
        <x:v>21</x:v>
      </x:c>
      <x:c r="K4134" s="0">
        <x:f>hyperlink("https://icd.who.int/dev11/l-ichi/en#/http%3A%2F%2Fid.who.int%2Ficd%2Fentity%2F1929778181","browser")</x:f>
      </x:c>
      <x:c r="L4134" s="0">
        <x:f>hyperlink("https://icat2.azurewebsites.net/icat/?ontology=ICD&amp;tab=ClassesTab&amp;id=http%3A%2F%2Fwho.int%2Ficd%2321340_512ebf36_bf6b_4d70_85da_cf2637062af4","iCat")</x:f>
      </x:c>
      <x:c r="M4134" s="0" t="s">
        <x:v>21</x:v>
      </x:c>
      <x:c r="N4134" s="0" t="s">
        <x:v>46</x:v>
      </x:c>
    </x:row>
    <x:row r="4135" spans="1:16">
      <x:c r="A4135" s="0" t="s">
        <x:v>16384</x:v>
      </x:c>
      <x:c r="B4135" s="0" t="s">
        <x:v>16385</x:v>
      </x:c>
      <x:c r="C4135" s="0" t="s">
        <x:v>16386</x:v>
      </x:c>
      <x:c r="E4135" s="0" t="s">
        <x:v>16387</x:v>
      </x:c>
      <x:c r="F4135" s="0" t="s">
        <x:v>45</x:v>
      </x:c>
      <x:c r="G4135" s="0" t="s">
        <x:v>19</x:v>
      </x:c>
      <x:c r="H4135" s="0" t="s">
        <x:v>20</x:v>
      </x:c>
      <x:c r="I4135" s="0" t="s">
        <x:v>21</x:v>
      </x:c>
      <x:c r="K4135" s="0">
        <x:f>hyperlink("https://icd.who.int/dev11/l-ichi/en#/http%3A%2F%2Fid.who.int%2Ficd%2Fentity%2F595447222","browser")</x:f>
      </x:c>
      <x:c r="L4135" s="0">
        <x:f>hyperlink("https://icat2.azurewebsites.net/icat/?ontology=ICD&amp;tab=ClassesTab&amp;id=http%3A%2F%2Fwho.int%2Ficd%2321346_512ebf36_bf6b_4d70_85da_cf2637062af4","iCat")</x:f>
      </x:c>
      <x:c r="M4135" s="0" t="s">
        <x:v>21</x:v>
      </x:c>
      <x:c r="N4135" s="0" t="s">
        <x:v>46</x:v>
      </x:c>
    </x:row>
    <x:row r="4136" spans="1:16">
      <x:c r="A4136" s="0" t="s">
        <x:v>16388</x:v>
      </x:c>
      <x:c r="B4136" s="0" t="s">
        <x:v>16389</x:v>
      </x:c>
      <x:c r="C4136" s="0" t="s">
        <x:v>16390</x:v>
      </x:c>
      <x:c r="E4136" s="0" t="s">
        <x:v>16391</x:v>
      </x:c>
      <x:c r="F4136" s="0" t="s">
        <x:v>45</x:v>
      </x:c>
      <x:c r="G4136" s="0" t="s">
        <x:v>19</x:v>
      </x:c>
      <x:c r="H4136" s="0" t="s">
        <x:v>20</x:v>
      </x:c>
      <x:c r="I4136" s="0" t="s">
        <x:v>21</x:v>
      </x:c>
      <x:c r="K4136" s="0">
        <x:f>hyperlink("https://icd.who.int/dev11/l-ichi/en#/http%3A%2F%2Fid.who.int%2Ficd%2Fentity%2F751060264","browser")</x:f>
      </x:c>
      <x:c r="L4136" s="0">
        <x:f>hyperlink("https://icat2.azurewebsites.net/icat/?ontology=ICD&amp;tab=ClassesTab&amp;id=http%3A%2F%2Fwho.int%2Ficd%2321354_512ebf36_bf6b_4d70_85da_cf2637062af4","iCat")</x:f>
      </x:c>
      <x:c r="M4136" s="0" t="s">
        <x:v>21</x:v>
      </x:c>
      <x:c r="N4136" s="0" t="s">
        <x:v>46</x:v>
      </x:c>
    </x:row>
    <x:row r="4137" spans="1:16">
      <x:c r="A4137" s="0" t="s">
        <x:v>16392</x:v>
      </x:c>
      <x:c r="B4137" s="0" t="s">
        <x:v>16393</x:v>
      </x:c>
      <x:c r="C4137" s="0" t="s">
        <x:v>16394</x:v>
      </x:c>
      <x:c r="E4137" s="0" t="s">
        <x:v>16395</x:v>
      </x:c>
      <x:c r="F4137" s="0" t="s">
        <x:v>45</x:v>
      </x:c>
      <x:c r="G4137" s="0" t="s">
        <x:v>19</x:v>
      </x:c>
      <x:c r="H4137" s="0" t="s">
        <x:v>20</x:v>
      </x:c>
      <x:c r="I4137" s="0" t="s">
        <x:v>21</x:v>
      </x:c>
      <x:c r="K4137" s="0">
        <x:f>hyperlink("https://icd.who.int/dev11/l-ichi/en#/http%3A%2F%2Fid.who.int%2Ficd%2Fentity%2F2039198569","browser")</x:f>
      </x:c>
      <x:c r="L4137" s="0">
        <x:f>hyperlink("https://icat2.azurewebsites.net/icat/?ontology=ICD&amp;tab=ClassesTab&amp;id=http%3A%2F%2Fwho.int%2Ficd%2321361_512ebf36_bf6b_4d70_85da_cf2637062af4","iCat")</x:f>
      </x:c>
      <x:c r="M4137" s="0" t="s">
        <x:v>21</x:v>
      </x:c>
      <x:c r="N4137" s="0" t="s">
        <x:v>46</x:v>
      </x:c>
    </x:row>
    <x:row r="4138" spans="1:16">
      <x:c r="A4138" s="0" t="s">
        <x:v>16396</x:v>
      </x:c>
      <x:c r="B4138" s="0" t="s">
        <x:v>16397</x:v>
      </x:c>
      <x:c r="C4138" s="0" t="s">
        <x:v>16398</x:v>
      </x:c>
      <x:c r="E4138" s="0" t="s">
        <x:v>16399</x:v>
      </x:c>
      <x:c r="F4138" s="0" t="s">
        <x:v>45</x:v>
      </x:c>
      <x:c r="G4138" s="0" t="s">
        <x:v>19</x:v>
      </x:c>
      <x:c r="H4138" s="0" t="s">
        <x:v>20</x:v>
      </x:c>
      <x:c r="I4138" s="0" t="s">
        <x:v>21</x:v>
      </x:c>
      <x:c r="K4138" s="0">
        <x:f>hyperlink("https://icd.who.int/dev11/l-ichi/en#/http%3A%2F%2Fid.who.int%2Ficd%2Fentity%2F923451964","browser")</x:f>
      </x:c>
      <x:c r="L4138" s="0">
        <x:f>hyperlink("https://icat2.azurewebsites.net/icat/?ontology=ICD&amp;tab=ClassesTab&amp;id=http%3A%2F%2Fwho.int%2Ficd%2321369_512ebf36_bf6b_4d70_85da_cf2637062af4","iCat")</x:f>
      </x:c>
      <x:c r="M4138" s="0" t="s">
        <x:v>21</x:v>
      </x:c>
      <x:c r="N4138" s="0" t="s">
        <x:v>46</x:v>
      </x:c>
    </x:row>
    <x:row r="4139" spans="1:16">
      <x:c r="A4139" s="0" t="s">
        <x:v>16400</x:v>
      </x:c>
      <x:c r="B4139" s="0" t="s">
        <x:v>16401</x:v>
      </x:c>
      <x:c r="C4139" s="0" t="s">
        <x:v>16402</x:v>
      </x:c>
      <x:c r="E4139" s="0" t="s">
        <x:v>16403</x:v>
      </x:c>
      <x:c r="F4139" s="0" t="s">
        <x:v>45</x:v>
      </x:c>
      <x:c r="G4139" s="0" t="s">
        <x:v>19</x:v>
      </x:c>
      <x:c r="H4139" s="0" t="s">
        <x:v>20</x:v>
      </x:c>
      <x:c r="I4139" s="0" t="s">
        <x:v>21</x:v>
      </x:c>
      <x:c r="K4139" s="0">
        <x:f>hyperlink("https://icd.who.int/dev11/l-ichi/en#/http%3A%2F%2Fid.who.int%2Ficd%2Fentity%2F1127612303","browser")</x:f>
      </x:c>
      <x:c r="L4139" s="0">
        <x:f>hyperlink("https://icat2.azurewebsites.net/icat/?ontology=ICD&amp;tab=ClassesTab&amp;id=http%3A%2F%2Fwho.int%2Ficd%2321377_512ebf36_bf6b_4d70_85da_cf2637062af4","iCat")</x:f>
      </x:c>
      <x:c r="M4139" s="0" t="s">
        <x:v>21</x:v>
      </x:c>
      <x:c r="N4139" s="0" t="s">
        <x:v>46</x:v>
      </x:c>
    </x:row>
    <x:row r="4140" spans="1:16">
      <x:c r="A4140" s="0" t="s">
        <x:v>16404</x:v>
      </x:c>
      <x:c r="B4140" s="0" t="s">
        <x:v>16405</x:v>
      </x:c>
      <x:c r="C4140" s="0" t="s">
        <x:v>16406</x:v>
      </x:c>
      <x:c r="E4140" s="0" t="s">
        <x:v>16407</x:v>
      </x:c>
      <x:c r="F4140" s="0" t="s">
        <x:v>45</x:v>
      </x:c>
      <x:c r="G4140" s="0" t="s">
        <x:v>19</x:v>
      </x:c>
      <x:c r="H4140" s="0" t="s">
        <x:v>20</x:v>
      </x:c>
      <x:c r="I4140" s="0" t="s">
        <x:v>21</x:v>
      </x:c>
      <x:c r="K4140" s="0">
        <x:f>hyperlink("https://icd.who.int/dev11/l-ichi/en#/http%3A%2F%2Fid.who.int%2Ficd%2Fentity%2F1825748305","browser")</x:f>
      </x:c>
      <x:c r="L4140" s="0">
        <x:f>hyperlink("https://icat2.azurewebsites.net/icat/?ontology=ICD&amp;tab=ClassesTab&amp;id=http%3A%2F%2Fwho.int%2Ficd%2321387_512ebf36_bf6b_4d70_85da_cf2637062af4","iCat")</x:f>
      </x:c>
      <x:c r="M4140" s="0" t="s">
        <x:v>21</x:v>
      </x:c>
      <x:c r="N4140" s="0" t="s">
        <x:v>46</x:v>
      </x:c>
    </x:row>
    <x:row r="4141" spans="1:16">
      <x:c r="A4141" s="0" t="s">
        <x:v>16408</x:v>
      </x:c>
      <x:c r="B4141" s="0" t="s">
        <x:v>16409</x:v>
      </x:c>
      <x:c r="C4141" s="0" t="s">
        <x:v>16410</x:v>
      </x:c>
      <x:c r="E4141" s="0" t="s">
        <x:v>16411</x:v>
      </x:c>
      <x:c r="F4141" s="0" t="s">
        <x:v>45</x:v>
      </x:c>
      <x:c r="G4141" s="0" t="s">
        <x:v>19</x:v>
      </x:c>
      <x:c r="H4141" s="0" t="s">
        <x:v>20</x:v>
      </x:c>
      <x:c r="I4141" s="0" t="s">
        <x:v>21</x:v>
      </x:c>
      <x:c r="K4141" s="0">
        <x:f>hyperlink("https://icd.who.int/dev11/l-ichi/en#/http%3A%2F%2Fid.who.int%2Ficd%2Fentity%2F1667972547","browser")</x:f>
      </x:c>
      <x:c r="L4141" s="0">
        <x:f>hyperlink("https://icat2.azurewebsites.net/icat/?ontology=ICD&amp;tab=ClassesTab&amp;id=http%3A%2F%2Fwho.int%2Ficd%2321395_512ebf36_bf6b_4d70_85da_cf2637062af4","iCat")</x:f>
      </x:c>
      <x:c r="M4141" s="0" t="s">
        <x:v>21</x:v>
      </x:c>
      <x:c r="N4141" s="0" t="s">
        <x:v>46</x:v>
      </x:c>
    </x:row>
    <x:row r="4142" spans="1:16">
      <x:c r="A4142" s="0" t="s">
        <x:v>16412</x:v>
      </x:c>
      <x:c r="B4142" s="0" t="s">
        <x:v>16413</x:v>
      </x:c>
      <x:c r="C4142" s="0" t="s">
        <x:v>16414</x:v>
      </x:c>
      <x:c r="E4142" s="0" t="s">
        <x:v>16415</x:v>
      </x:c>
      <x:c r="F4142" s="0" t="s">
        <x:v>45</x:v>
      </x:c>
      <x:c r="G4142" s="0" t="s">
        <x:v>19</x:v>
      </x:c>
      <x:c r="H4142" s="0" t="s">
        <x:v>20</x:v>
      </x:c>
      <x:c r="I4142" s="0" t="s">
        <x:v>21</x:v>
      </x:c>
      <x:c r="K4142" s="0">
        <x:f>hyperlink("https://icd.who.int/dev11/l-ichi/en#/http%3A%2F%2Fid.who.int%2Ficd%2Fentity%2F172815025","browser")</x:f>
      </x:c>
      <x:c r="L4142" s="0">
        <x:f>hyperlink("https://icat2.azurewebsites.net/icat/?ontology=ICD&amp;tab=ClassesTab&amp;id=http%3A%2F%2Fwho.int%2Ficd%2321402_512ebf36_bf6b_4d70_85da_cf2637062af4","iCat")</x:f>
      </x:c>
      <x:c r="M4142" s="0" t="s">
        <x:v>21</x:v>
      </x:c>
      <x:c r="N4142" s="0" t="s">
        <x:v>46</x:v>
      </x:c>
    </x:row>
    <x:row r="4143" spans="1:16">
      <x:c r="A4143" s="0" t="s">
        <x:v>16416</x:v>
      </x:c>
      <x:c r="B4143" s="0" t="s">
        <x:v>16417</x:v>
      </x:c>
      <x:c r="C4143" s="0" t="s">
        <x:v>16418</x:v>
      </x:c>
      <x:c r="E4143" s="0" t="s">
        <x:v>16419</x:v>
      </x:c>
      <x:c r="F4143" s="0" t="s">
        <x:v>45</x:v>
      </x:c>
      <x:c r="G4143" s="0" t="s">
        <x:v>19</x:v>
      </x:c>
      <x:c r="H4143" s="0" t="s">
        <x:v>20</x:v>
      </x:c>
      <x:c r="I4143" s="0" t="s">
        <x:v>21</x:v>
      </x:c>
      <x:c r="K4143" s="0">
        <x:f>hyperlink("https://icd.who.int/dev11/l-ichi/en#/http%3A%2F%2Fid.who.int%2Ficd%2Fentity%2F99973667","browser")</x:f>
      </x:c>
      <x:c r="L4143" s="0">
        <x:f>hyperlink("https://icat2.azurewebsites.net/icat/?ontology=ICD&amp;tab=ClassesTab&amp;id=http%3A%2F%2Fwho.int%2Ficd%2321410_512ebf36_bf6b_4d70_85da_cf2637062af4","iCat")</x:f>
      </x:c>
      <x:c r="M4143" s="0" t="s">
        <x:v>21</x:v>
      </x:c>
      <x:c r="N4143" s="0" t="s">
        <x:v>46</x:v>
      </x:c>
    </x:row>
    <x:row r="4144" spans="1:16">
      <x:c r="A4144" s="0" t="s">
        <x:v>16420</x:v>
      </x:c>
      <x:c r="B4144" s="0" t="s">
        <x:v>16421</x:v>
      </x:c>
      <x:c r="C4144" s="0" t="s">
        <x:v>16422</x:v>
      </x:c>
      <x:c r="E4144" s="0" t="s">
        <x:v>16423</x:v>
      </x:c>
      <x:c r="F4144" s="0" t="s">
        <x:v>45</x:v>
      </x:c>
      <x:c r="G4144" s="0" t="s">
        <x:v>19</x:v>
      </x:c>
      <x:c r="H4144" s="0" t="s">
        <x:v>20</x:v>
      </x:c>
      <x:c r="I4144" s="0" t="s">
        <x:v>21</x:v>
      </x:c>
      <x:c r="K4144" s="0">
        <x:f>hyperlink("https://icd.who.int/dev11/l-ichi/en#/http%3A%2F%2Fid.who.int%2Ficd%2Fentity%2F1435411346","browser")</x:f>
      </x:c>
      <x:c r="L4144" s="0">
        <x:f>hyperlink("https://icat2.azurewebsites.net/icat/?ontology=ICD&amp;tab=ClassesTab&amp;id=http%3A%2F%2Fwho.int%2Ficd%2321416_512ebf36_bf6b_4d70_85da_cf2637062af4","iCat")</x:f>
      </x:c>
      <x:c r="M4144" s="0" t="s">
        <x:v>21</x:v>
      </x:c>
      <x:c r="N4144" s="0" t="s">
        <x:v>46</x:v>
      </x:c>
    </x:row>
    <x:row r="4145" spans="1:16">
      <x:c r="A4145" s="0" t="s">
        <x:v>16424</x:v>
      </x:c>
      <x:c r="B4145" s="0" t="s">
        <x:v>16425</x:v>
      </x:c>
      <x:c r="C4145" s="0" t="s">
        <x:v>16426</x:v>
      </x:c>
      <x:c r="E4145" s="0" t="s">
        <x:v>16427</x:v>
      </x:c>
      <x:c r="F4145" s="0" t="s">
        <x:v>45</x:v>
      </x:c>
      <x:c r="G4145" s="0" t="s">
        <x:v>19</x:v>
      </x:c>
      <x:c r="H4145" s="0" t="s">
        <x:v>20</x:v>
      </x:c>
      <x:c r="I4145" s="0" t="s">
        <x:v>21</x:v>
      </x:c>
      <x:c r="K4145" s="0">
        <x:f>hyperlink("https://icd.who.int/dev11/l-ichi/en#/http%3A%2F%2Fid.who.int%2Ficd%2Fentity%2F540551137","browser")</x:f>
      </x:c>
      <x:c r="L4145" s="0">
        <x:f>hyperlink("https://icat2.azurewebsites.net/icat/?ontology=ICD&amp;tab=ClassesTab&amp;id=http%3A%2F%2Fwho.int%2Ficd%2321422_512ebf36_bf6b_4d70_85da_cf2637062af4","iCat")</x:f>
      </x:c>
      <x:c r="M4145" s="0" t="s">
        <x:v>21</x:v>
      </x:c>
      <x:c r="N4145" s="0" t="s">
        <x:v>46</x:v>
      </x:c>
    </x:row>
    <x:row r="4146" spans="1:16">
      <x:c r="A4146" s="0" t="s">
        <x:v>16428</x:v>
      </x:c>
      <x:c r="B4146" s="0" t="s">
        <x:v>16429</x:v>
      </x:c>
      <x:c r="D4146" s="0" t="s">
        <x:v>16430</x:v>
      </x:c>
      <x:c r="E4146" s="0" t="s">
        <x:v>16431</x:v>
      </x:c>
      <x:c r="F4146" s="0" t="s">
        <x:v>26</x:v>
      </x:c>
      <x:c r="G4146" s="0" t="s">
        <x:v>22</x:v>
      </x:c>
      <x:c r="H4146" s="0" t="s">
        <x:v>20</x:v>
      </x:c>
      <x:c r="I4146" s="0" t="s">
        <x:v>21</x:v>
      </x:c>
      <x:c r="K4146" s="0">
        <x:f>hyperlink("https://icd.who.int/dev11/l-ichi/en#/http%3A%2F%2Fid.who.int%2Ficd%2Fentity%2F725367117","browser")</x:f>
      </x:c>
      <x:c r="L4146" s="0">
        <x:f>hyperlink("https://icat2.azurewebsites.net/icat/?ontology=ICD&amp;tab=ClassesTab&amp;id=http%3A%2F%2Fwho.int%2Ficd%2321429_512ebf36_bf6b_4d70_85da_cf2637062af4","iCat")</x:f>
      </x:c>
      <x:c r="M4146" s="0" t="s">
        <x:v>20</x:v>
      </x:c>
      <x:c r="N4146" s="0" t="s">
        <x:v>8549</x:v>
      </x:c>
    </x:row>
    <x:row r="4147" spans="1:16">
      <x:c r="A4147" s="0" t="s">
        <x:v>16432</x:v>
      </x:c>
      <x:c r="B4147" s="0" t="s">
        <x:v>16433</x:v>
      </x:c>
      <x:c r="C4147" s="0" t="s">
        <x:v>16434</x:v>
      </x:c>
      <x:c r="E4147" s="0" t="s">
        <x:v>16435</x:v>
      </x:c>
      <x:c r="F4147" s="0" t="s">
        <x:v>45</x:v>
      </x:c>
      <x:c r="G4147" s="0" t="s">
        <x:v>19</x:v>
      </x:c>
      <x:c r="H4147" s="0" t="s">
        <x:v>20</x:v>
      </x:c>
      <x:c r="I4147" s="0" t="s">
        <x:v>21</x:v>
      </x:c>
      <x:c r="K4147" s="0">
        <x:f>hyperlink("https://icd.who.int/dev11/l-ichi/en#/http%3A%2F%2Fid.who.int%2Ficd%2Fentity%2F197479281","browser")</x:f>
      </x:c>
      <x:c r="L4147" s="0">
        <x:f>hyperlink("https://icat2.azurewebsites.net/icat/?ontology=ICD&amp;tab=ClassesTab&amp;id=http%3A%2F%2Fwho.int%2Ficd%2321428_512ebf36_bf6b_4d70_85da_cf2637062af4","iCat")</x:f>
      </x:c>
      <x:c r="M4147" s="0" t="s">
        <x:v>21</x:v>
      </x:c>
      <x:c r="N4147" s="0" t="s">
        <x:v>46</x:v>
      </x:c>
    </x:row>
    <x:row r="4148" spans="1:16">
      <x:c r="A4148" s="0" t="s">
        <x:v>16436</x:v>
      </x:c>
      <x:c r="B4148" s="0" t="s">
        <x:v>16437</x:v>
      </x:c>
      <x:c r="C4148" s="0" t="s">
        <x:v>16438</x:v>
      </x:c>
      <x:c r="E4148" s="0" t="s">
        <x:v>16439</x:v>
      </x:c>
      <x:c r="F4148" s="0" t="s">
        <x:v>45</x:v>
      </x:c>
      <x:c r="G4148" s="0" t="s">
        <x:v>19</x:v>
      </x:c>
      <x:c r="H4148" s="0" t="s">
        <x:v>20</x:v>
      </x:c>
      <x:c r="I4148" s="0" t="s">
        <x:v>21</x:v>
      </x:c>
      <x:c r="K4148" s="0">
        <x:f>hyperlink("https://icd.who.int/dev11/l-ichi/en#/http%3A%2F%2Fid.who.int%2Ficd%2Fentity%2F2049679790","browser")</x:f>
      </x:c>
      <x:c r="L4148" s="0">
        <x:f>hyperlink("https://icat2.azurewebsites.net/icat/?ontology=ICD&amp;tab=ClassesTab&amp;id=http%3A%2F%2Fwho.int%2Ficd%2321442_512ebf36_bf6b_4d70_85da_cf2637062af4","iCat")</x:f>
      </x:c>
      <x:c r="M4148" s="0" t="s">
        <x:v>21</x:v>
      </x:c>
      <x:c r="N4148" s="0" t="s">
        <x:v>46</x:v>
      </x:c>
    </x:row>
    <x:row r="4149" spans="1:16">
      <x:c r="A4149" s="0" t="s">
        <x:v>16440</x:v>
      </x:c>
      <x:c r="B4149" s="0" t="s">
        <x:v>16441</x:v>
      </x:c>
      <x:c r="C4149" s="0" t="s">
        <x:v>16442</x:v>
      </x:c>
      <x:c r="E4149" s="0" t="s">
        <x:v>16443</x:v>
      </x:c>
      <x:c r="F4149" s="0" t="s">
        <x:v>45</x:v>
      </x:c>
      <x:c r="G4149" s="0" t="s">
        <x:v>19</x:v>
      </x:c>
      <x:c r="H4149" s="0" t="s">
        <x:v>20</x:v>
      </x:c>
      <x:c r="I4149" s="0" t="s">
        <x:v>21</x:v>
      </x:c>
      <x:c r="K4149" s="0">
        <x:f>hyperlink("https://icd.who.int/dev11/l-ichi/en#/http%3A%2F%2Fid.who.int%2Ficd%2Fentity%2F1433099010","browser")</x:f>
      </x:c>
      <x:c r="L4149" s="0">
        <x:f>hyperlink("https://icat2.azurewebsites.net/icat/?ontology=ICD&amp;tab=ClassesTab&amp;id=http%3A%2F%2Fwho.int%2Ficd%2321451_512ebf36_bf6b_4d70_85da_cf2637062af4","iCat")</x:f>
      </x:c>
      <x:c r="M4149" s="0" t="s">
        <x:v>21</x:v>
      </x:c>
      <x:c r="N4149" s="0" t="s">
        <x:v>46</x:v>
      </x:c>
    </x:row>
    <x:row r="4150" spans="1:16">
      <x:c r="A4150" s="0" t="s">
        <x:v>16444</x:v>
      </x:c>
      <x:c r="B4150" s="0" t="s">
        <x:v>16445</x:v>
      </x:c>
      <x:c r="C4150" s="0" t="s">
        <x:v>16446</x:v>
      </x:c>
      <x:c r="E4150" s="0" t="s">
        <x:v>16447</x:v>
      </x:c>
      <x:c r="F4150" s="0" t="s">
        <x:v>45</x:v>
      </x:c>
      <x:c r="G4150" s="0" t="s">
        <x:v>19</x:v>
      </x:c>
      <x:c r="H4150" s="0" t="s">
        <x:v>20</x:v>
      </x:c>
      <x:c r="I4150" s="0" t="s">
        <x:v>21</x:v>
      </x:c>
      <x:c r="K4150" s="0">
        <x:f>hyperlink("https://icd.who.int/dev11/l-ichi/en#/http%3A%2F%2Fid.who.int%2Ficd%2Fentity%2F991123563","browser")</x:f>
      </x:c>
      <x:c r="L4150" s="0">
        <x:f>hyperlink("https://icat2.azurewebsites.net/icat/?ontology=ICD&amp;tab=ClassesTab&amp;id=http%3A%2F%2Fwho.int%2Ficd%2321458_512ebf36_bf6b_4d70_85da_cf2637062af4","iCat")</x:f>
      </x:c>
      <x:c r="M4150" s="0" t="s">
        <x:v>21</x:v>
      </x:c>
      <x:c r="N4150" s="0" t="s">
        <x:v>46</x:v>
      </x:c>
    </x:row>
    <x:row r="4151" spans="1:16">
      <x:c r="A4151" s="0" t="s">
        <x:v>16448</x:v>
      </x:c>
      <x:c r="B4151" s="0" t="s">
        <x:v>16449</x:v>
      </x:c>
      <x:c r="C4151" s="0" t="s">
        <x:v>16450</x:v>
      </x:c>
      <x:c r="E4151" s="0" t="s">
        <x:v>16451</x:v>
      </x:c>
      <x:c r="F4151" s="0" t="s">
        <x:v>45</x:v>
      </x:c>
      <x:c r="G4151" s="0" t="s">
        <x:v>19</x:v>
      </x:c>
      <x:c r="H4151" s="0" t="s">
        <x:v>20</x:v>
      </x:c>
      <x:c r="I4151" s="0" t="s">
        <x:v>21</x:v>
      </x:c>
      <x:c r="K4151" s="0">
        <x:f>hyperlink("https://icd.who.int/dev11/l-ichi/en#/http%3A%2F%2Fid.who.int%2Ficd%2Fentity%2F1168229044","browser")</x:f>
      </x:c>
      <x:c r="L4151" s="0">
        <x:f>hyperlink("https://icat2.azurewebsites.net/icat/?ontology=ICD&amp;tab=ClassesTab&amp;id=http%3A%2F%2Fwho.int%2Ficd%2321467_512ebf36_bf6b_4d70_85da_cf2637062af4","iCat")</x:f>
      </x:c>
      <x:c r="M4151" s="0" t="s">
        <x:v>21</x:v>
      </x:c>
      <x:c r="N4151" s="0" t="s">
        <x:v>46</x:v>
      </x:c>
    </x:row>
    <x:row r="4152" spans="1:16">
      <x:c r="A4152" s="0" t="s">
        <x:v>16452</x:v>
      </x:c>
      <x:c r="B4152" s="0" t="s">
        <x:v>16453</x:v>
      </x:c>
      <x:c r="C4152" s="0" t="s">
        <x:v>16454</x:v>
      </x:c>
      <x:c r="E4152" s="0" t="s">
        <x:v>16455</x:v>
      </x:c>
      <x:c r="F4152" s="0" t="s">
        <x:v>45</x:v>
      </x:c>
      <x:c r="G4152" s="0" t="s">
        <x:v>19</x:v>
      </x:c>
      <x:c r="H4152" s="0" t="s">
        <x:v>20</x:v>
      </x:c>
      <x:c r="I4152" s="0" t="s">
        <x:v>21</x:v>
      </x:c>
      <x:c r="K4152" s="0">
        <x:f>hyperlink("https://icd.who.int/dev11/l-ichi/en#/http%3A%2F%2Fid.who.int%2Ficd%2Fentity%2F442733463","browser")</x:f>
      </x:c>
      <x:c r="L4152" s="0">
        <x:f>hyperlink("https://icat2.azurewebsites.net/icat/?ontology=ICD&amp;tab=ClassesTab&amp;id=http%3A%2F%2Fwho.int%2Ficd%2321473_512ebf36_bf6b_4d70_85da_cf2637062af4","iCat")</x:f>
      </x:c>
      <x:c r="M4152" s="0" t="s">
        <x:v>21</x:v>
      </x:c>
      <x:c r="N4152" s="0" t="s">
        <x:v>46</x:v>
      </x:c>
    </x:row>
    <x:row r="4153" spans="1:16">
      <x:c r="A4153" s="0" t="s">
        <x:v>16456</x:v>
      </x:c>
      <x:c r="B4153" s="0" t="s">
        <x:v>16457</x:v>
      </x:c>
      <x:c r="C4153" s="0" t="s">
        <x:v>16458</x:v>
      </x:c>
      <x:c r="E4153" s="0" t="s">
        <x:v>16459</x:v>
      </x:c>
      <x:c r="F4153" s="0" t="s">
        <x:v>45</x:v>
      </x:c>
      <x:c r="G4153" s="0" t="s">
        <x:v>19</x:v>
      </x:c>
      <x:c r="H4153" s="0" t="s">
        <x:v>20</x:v>
      </x:c>
      <x:c r="I4153" s="0" t="s">
        <x:v>21</x:v>
      </x:c>
      <x:c r="K4153" s="0">
        <x:f>hyperlink("https://icd.who.int/dev11/l-ichi/en#/http%3A%2F%2Fid.who.int%2Ficd%2Fentity%2F1879160496","browser")</x:f>
      </x:c>
      <x:c r="L4153" s="0">
        <x:f>hyperlink("https://icat2.azurewebsites.net/icat/?ontology=ICD&amp;tab=ClassesTab&amp;id=http%3A%2F%2Fwho.int%2Ficd%2321480_512ebf36_bf6b_4d70_85da_cf2637062af4","iCat")</x:f>
      </x:c>
      <x:c r="M4153" s="0" t="s">
        <x:v>21</x:v>
      </x:c>
      <x:c r="N4153" s="0" t="s">
        <x:v>46</x:v>
      </x:c>
    </x:row>
    <x:row r="4154" spans="1:16">
      <x:c r="A4154" s="0" t="s">
        <x:v>16460</x:v>
      </x:c>
      <x:c r="B4154" s="0" t="s">
        <x:v>16461</x:v>
      </x:c>
      <x:c r="C4154" s="0" t="s">
        <x:v>16462</x:v>
      </x:c>
      <x:c r="E4154" s="0" t="s">
        <x:v>16463</x:v>
      </x:c>
      <x:c r="F4154" s="0" t="s">
        <x:v>45</x:v>
      </x:c>
      <x:c r="G4154" s="0" t="s">
        <x:v>19</x:v>
      </x:c>
      <x:c r="H4154" s="0" t="s">
        <x:v>20</x:v>
      </x:c>
      <x:c r="I4154" s="0" t="s">
        <x:v>21</x:v>
      </x:c>
      <x:c r="K4154" s="0">
        <x:f>hyperlink("https://icd.who.int/dev11/l-ichi/en#/http%3A%2F%2Fid.who.int%2Ficd%2Fentity%2F544894721","browser")</x:f>
      </x:c>
      <x:c r="L4154" s="0">
        <x:f>hyperlink("https://icat2.azurewebsites.net/icat/?ontology=ICD&amp;tab=ClassesTab&amp;id=http%3A%2F%2Fwho.int%2Ficd%2321486_512ebf36_bf6b_4d70_85da_cf2637062af4","iCat")</x:f>
      </x:c>
      <x:c r="M4154" s="0" t="s">
        <x:v>21</x:v>
      </x:c>
      <x:c r="N4154" s="0" t="s">
        <x:v>46</x:v>
      </x:c>
    </x:row>
    <x:row r="4155" spans="1:16">
      <x:c r="A4155" s="0" t="s">
        <x:v>16464</x:v>
      </x:c>
      <x:c r="B4155" s="0" t="s">
        <x:v>16465</x:v>
      </x:c>
      <x:c r="C4155" s="0" t="s">
        <x:v>16466</x:v>
      </x:c>
      <x:c r="E4155" s="0" t="s">
        <x:v>16467</x:v>
      </x:c>
      <x:c r="F4155" s="0" t="s">
        <x:v>45</x:v>
      </x:c>
      <x:c r="G4155" s="0" t="s">
        <x:v>19</x:v>
      </x:c>
      <x:c r="H4155" s="0" t="s">
        <x:v>20</x:v>
      </x:c>
      <x:c r="I4155" s="0" t="s">
        <x:v>21</x:v>
      </x:c>
      <x:c r="K4155" s="0">
        <x:f>hyperlink("https://icd.who.int/dev11/l-ichi/en#/http%3A%2F%2Fid.who.int%2Ficd%2Fentity%2F1598114848","browser")</x:f>
      </x:c>
      <x:c r="L4155" s="0">
        <x:f>hyperlink("https://icat2.azurewebsites.net/icat/?ontology=ICD&amp;tab=ClassesTab&amp;id=http%3A%2F%2Fwho.int%2Ficd%2321493_512ebf36_bf6b_4d70_85da_cf2637062af4","iCat")</x:f>
      </x:c>
      <x:c r="M4155" s="0" t="s">
        <x:v>21</x:v>
      </x:c>
      <x:c r="N4155" s="0" t="s">
        <x:v>46</x:v>
      </x:c>
    </x:row>
    <x:row r="4156" spans="1:16">
      <x:c r="A4156" s="0" t="s">
        <x:v>16468</x:v>
      </x:c>
      <x:c r="B4156" s="0" t="s">
        <x:v>16469</x:v>
      </x:c>
      <x:c r="C4156" s="0" t="s">
        <x:v>16470</x:v>
      </x:c>
      <x:c r="E4156" s="0" t="s">
        <x:v>16471</x:v>
      </x:c>
      <x:c r="F4156" s="0" t="s">
        <x:v>45</x:v>
      </x:c>
      <x:c r="G4156" s="0" t="s">
        <x:v>19</x:v>
      </x:c>
      <x:c r="H4156" s="0" t="s">
        <x:v>20</x:v>
      </x:c>
      <x:c r="I4156" s="0" t="s">
        <x:v>21</x:v>
      </x:c>
      <x:c r="K4156" s="0">
        <x:f>hyperlink("https://icd.who.int/dev11/l-ichi/en#/http%3A%2F%2Fid.who.int%2Ficd%2Fentity%2F257007521","browser")</x:f>
      </x:c>
      <x:c r="L4156" s="0">
        <x:f>hyperlink("https://icat2.azurewebsites.net/icat/?ontology=ICD&amp;tab=ClassesTab&amp;id=http%3A%2F%2Fwho.int%2Ficd%2321505_512ebf36_bf6b_4d70_85da_cf2637062af4","iCat")</x:f>
      </x:c>
      <x:c r="M4156" s="0" t="s">
        <x:v>21</x:v>
      </x:c>
      <x:c r="N4156" s="0" t="s">
        <x:v>46</x:v>
      </x:c>
    </x:row>
    <x:row r="4157" spans="1:16">
      <x:c r="A4157" s="0" t="s">
        <x:v>16472</x:v>
      </x:c>
      <x:c r="B4157" s="0" t="s">
        <x:v>16473</x:v>
      </x:c>
      <x:c r="C4157" s="0" t="s">
        <x:v>16474</x:v>
      </x:c>
      <x:c r="E4157" s="0" t="s">
        <x:v>16475</x:v>
      </x:c>
      <x:c r="F4157" s="0" t="s">
        <x:v>45</x:v>
      </x:c>
      <x:c r="G4157" s="0" t="s">
        <x:v>19</x:v>
      </x:c>
      <x:c r="H4157" s="0" t="s">
        <x:v>20</x:v>
      </x:c>
      <x:c r="I4157" s="0" t="s">
        <x:v>21</x:v>
      </x:c>
      <x:c r="K4157" s="0">
        <x:f>hyperlink("https://icd.who.int/dev11/l-ichi/en#/http%3A%2F%2Fid.who.int%2Ficd%2Fentity%2F1351863938","browser")</x:f>
      </x:c>
      <x:c r="L4157" s="0">
        <x:f>hyperlink("https://icat2.azurewebsites.net/icat/?ontology=ICD&amp;tab=ClassesTab&amp;id=http%3A%2F%2Fwho.int%2Ficd%2321511_512ebf36_bf6b_4d70_85da_cf2637062af4","iCat")</x:f>
      </x:c>
      <x:c r="M4157" s="0" t="s">
        <x:v>21</x:v>
      </x:c>
      <x:c r="N4157" s="0" t="s">
        <x:v>46</x:v>
      </x:c>
    </x:row>
    <x:row r="4158" spans="1:16">
      <x:c r="A4158" s="0" t="s">
        <x:v>16476</x:v>
      </x:c>
      <x:c r="B4158" s="0" t="s">
        <x:v>16477</x:v>
      </x:c>
      <x:c r="C4158" s="0" t="s">
        <x:v>16478</x:v>
      </x:c>
      <x:c r="E4158" s="0" t="s">
        <x:v>16479</x:v>
      </x:c>
      <x:c r="F4158" s="0" t="s">
        <x:v>45</x:v>
      </x:c>
      <x:c r="G4158" s="0" t="s">
        <x:v>19</x:v>
      </x:c>
      <x:c r="H4158" s="0" t="s">
        <x:v>20</x:v>
      </x:c>
      <x:c r="I4158" s="0" t="s">
        <x:v>21</x:v>
      </x:c>
      <x:c r="K4158" s="0">
        <x:f>hyperlink("https://icd.who.int/dev11/l-ichi/en#/http%3A%2F%2Fid.who.int%2Ficd%2Fentity%2F819723449","browser")</x:f>
      </x:c>
      <x:c r="L4158" s="0">
        <x:f>hyperlink("https://icat2.azurewebsites.net/icat/?ontology=ICD&amp;tab=ClassesTab&amp;id=http%3A%2F%2Fwho.int%2Ficd%2321520_512ebf36_bf6b_4d70_85da_cf2637062af4","iCat")</x:f>
      </x:c>
      <x:c r="M4158" s="0" t="s">
        <x:v>21</x:v>
      </x:c>
      <x:c r="N4158" s="0" t="s">
        <x:v>46</x:v>
      </x:c>
    </x:row>
    <x:row r="4159" spans="1:16">
      <x:c r="A4159" s="0" t="s">
        <x:v>16480</x:v>
      </x:c>
      <x:c r="B4159" s="0" t="s">
        <x:v>16481</x:v>
      </x:c>
      <x:c r="C4159" s="0" t="s">
        <x:v>16482</x:v>
      </x:c>
      <x:c r="E4159" s="0" t="s">
        <x:v>16483</x:v>
      </x:c>
      <x:c r="F4159" s="0" t="s">
        <x:v>45</x:v>
      </x:c>
      <x:c r="G4159" s="0" t="s">
        <x:v>19</x:v>
      </x:c>
      <x:c r="H4159" s="0" t="s">
        <x:v>20</x:v>
      </x:c>
      <x:c r="I4159" s="0" t="s">
        <x:v>21</x:v>
      </x:c>
      <x:c r="K4159" s="0">
        <x:f>hyperlink("https://icd.who.int/dev11/l-ichi/en#/http%3A%2F%2Fid.who.int%2Ficd%2Fentity%2F2119863788","browser")</x:f>
      </x:c>
      <x:c r="L4159" s="0">
        <x:f>hyperlink("https://icat2.azurewebsites.net/icat/?ontology=ICD&amp;tab=ClassesTab&amp;id=http%3A%2F%2Fwho.int%2Ficd%2321528_512ebf36_bf6b_4d70_85da_cf2637062af4","iCat")</x:f>
      </x:c>
      <x:c r="M4159" s="0" t="s">
        <x:v>21</x:v>
      </x:c>
      <x:c r="N4159" s="0" t="s">
        <x:v>46</x:v>
      </x:c>
    </x:row>
    <x:row r="4160" spans="1:16">
      <x:c r="A4160" s="0" t="s">
        <x:v>16484</x:v>
      </x:c>
      <x:c r="B4160" s="0" t="s">
        <x:v>16485</x:v>
      </x:c>
      <x:c r="C4160" s="0" t="s">
        <x:v>16486</x:v>
      </x:c>
      <x:c r="E4160" s="0" t="s">
        <x:v>16487</x:v>
      </x:c>
      <x:c r="F4160" s="0" t="s">
        <x:v>45</x:v>
      </x:c>
      <x:c r="G4160" s="0" t="s">
        <x:v>19</x:v>
      </x:c>
      <x:c r="H4160" s="0" t="s">
        <x:v>20</x:v>
      </x:c>
      <x:c r="I4160" s="0" t="s">
        <x:v>21</x:v>
      </x:c>
      <x:c r="K4160" s="0">
        <x:f>hyperlink("https://icd.who.int/dev11/l-ichi/en#/http%3A%2F%2Fid.who.int%2Ficd%2Fentity%2F1340137382","browser")</x:f>
      </x:c>
      <x:c r="L4160" s="0">
        <x:f>hyperlink("https://icat2.azurewebsites.net/icat/?ontology=ICD&amp;tab=ClassesTab&amp;id=http%3A%2F%2Fwho.int%2Ficd%2321535_512ebf36_bf6b_4d70_85da_cf2637062af4","iCat")</x:f>
      </x:c>
      <x:c r="M4160" s="0" t="s">
        <x:v>21</x:v>
      </x:c>
      <x:c r="N4160" s="0" t="s">
        <x:v>46</x:v>
      </x:c>
    </x:row>
    <x:row r="4161" spans="1:16">
      <x:c r="A4161" s="0" t="s">
        <x:v>16488</x:v>
      </x:c>
      <x:c r="B4161" s="0" t="s">
        <x:v>16489</x:v>
      </x:c>
      <x:c r="C4161" s="0" t="s">
        <x:v>16490</x:v>
      </x:c>
      <x:c r="E4161" s="0" t="s">
        <x:v>16491</x:v>
      </x:c>
      <x:c r="F4161" s="0" t="s">
        <x:v>45</x:v>
      </x:c>
      <x:c r="G4161" s="0" t="s">
        <x:v>19</x:v>
      </x:c>
      <x:c r="H4161" s="0" t="s">
        <x:v>20</x:v>
      </x:c>
      <x:c r="I4161" s="0" t="s">
        <x:v>21</x:v>
      </x:c>
      <x:c r="K4161" s="0">
        <x:f>hyperlink("https://icd.who.int/dev11/l-ichi/en#/http%3A%2F%2Fid.who.int%2Ficd%2Fentity%2F1244727496","browser")</x:f>
      </x:c>
      <x:c r="L4161" s="0">
        <x:f>hyperlink("https://icat2.azurewebsites.net/icat/?ontology=ICD&amp;tab=ClassesTab&amp;id=http%3A%2F%2Fwho.int%2Ficd%2321541_512ebf36_bf6b_4d70_85da_cf2637062af4","iCat")</x:f>
      </x:c>
      <x:c r="M4161" s="0" t="s">
        <x:v>21</x:v>
      </x:c>
      <x:c r="N4161" s="0" t="s">
        <x:v>46</x:v>
      </x:c>
    </x:row>
    <x:row r="4162" spans="1:16">
      <x:c r="A4162" s="0" t="s">
        <x:v>16492</x:v>
      </x:c>
      <x:c r="B4162" s="0" t="s">
        <x:v>16493</x:v>
      </x:c>
      <x:c r="C4162" s="0" t="s">
        <x:v>16494</x:v>
      </x:c>
      <x:c r="E4162" s="0" t="s">
        <x:v>16495</x:v>
      </x:c>
      <x:c r="F4162" s="0" t="s">
        <x:v>45</x:v>
      </x:c>
      <x:c r="G4162" s="0" t="s">
        <x:v>19</x:v>
      </x:c>
      <x:c r="H4162" s="0" t="s">
        <x:v>20</x:v>
      </x:c>
      <x:c r="I4162" s="0" t="s">
        <x:v>21</x:v>
      </x:c>
      <x:c r="K4162" s="0">
        <x:f>hyperlink("https://icd.who.int/dev11/l-ichi/en#/http%3A%2F%2Fid.who.int%2Ficd%2Fentity%2F78674333","browser")</x:f>
      </x:c>
      <x:c r="L4162" s="0">
        <x:f>hyperlink("https://icat2.azurewebsites.net/icat/?ontology=ICD&amp;tab=ClassesTab&amp;id=http%3A%2F%2Fwho.int%2Ficd%2321549_512ebf36_bf6b_4d70_85da_cf2637062af4","iCat")</x:f>
      </x:c>
      <x:c r="M4162" s="0" t="s">
        <x:v>21</x:v>
      </x:c>
      <x:c r="N4162" s="0" t="s">
        <x:v>46</x:v>
      </x:c>
    </x:row>
    <x:row r="4163" spans="1:16">
      <x:c r="A4163" s="0" t="s">
        <x:v>16496</x:v>
      </x:c>
      <x:c r="B4163" s="0" t="s">
        <x:v>16497</x:v>
      </x:c>
      <x:c r="C4163" s="0" t="s">
        <x:v>16498</x:v>
      </x:c>
      <x:c r="E4163" s="0" t="s">
        <x:v>16499</x:v>
      </x:c>
      <x:c r="F4163" s="0" t="s">
        <x:v>45</x:v>
      </x:c>
      <x:c r="G4163" s="0" t="s">
        <x:v>19</x:v>
      </x:c>
      <x:c r="H4163" s="0" t="s">
        <x:v>20</x:v>
      </x:c>
      <x:c r="I4163" s="0" t="s">
        <x:v>21</x:v>
      </x:c>
      <x:c r="K4163" s="0">
        <x:f>hyperlink("https://icd.who.int/dev11/l-ichi/en#/http%3A%2F%2Fid.who.int%2Ficd%2Fentity%2F368269803","browser")</x:f>
      </x:c>
      <x:c r="L4163" s="0">
        <x:f>hyperlink("https://icat2.azurewebsites.net/icat/?ontology=ICD&amp;tab=ClassesTab&amp;id=http%3A%2F%2Fwho.int%2Ficd%2321555_512ebf36_bf6b_4d70_85da_cf2637062af4","iCat")</x:f>
      </x:c>
      <x:c r="M4163" s="0" t="s">
        <x:v>21</x:v>
      </x:c>
      <x:c r="N4163" s="0" t="s">
        <x:v>46</x:v>
      </x:c>
    </x:row>
    <x:row r="4164" spans="1:16">
      <x:c r="A4164" s="0" t="s">
        <x:v>16500</x:v>
      </x:c>
      <x:c r="B4164" s="0" t="s">
        <x:v>16501</x:v>
      </x:c>
      <x:c r="C4164" s="0" t="s">
        <x:v>16502</x:v>
      </x:c>
      <x:c r="E4164" s="0" t="s">
        <x:v>16503</x:v>
      </x:c>
      <x:c r="F4164" s="0" t="s">
        <x:v>45</x:v>
      </x:c>
      <x:c r="G4164" s="0" t="s">
        <x:v>19</x:v>
      </x:c>
      <x:c r="H4164" s="0" t="s">
        <x:v>20</x:v>
      </x:c>
      <x:c r="I4164" s="0" t="s">
        <x:v>21</x:v>
      </x:c>
      <x:c r="K4164" s="0">
        <x:f>hyperlink("https://icd.who.int/dev11/l-ichi/en#/http%3A%2F%2Fid.who.int%2Ficd%2Fentity%2F1615191450","browser")</x:f>
      </x:c>
      <x:c r="L4164" s="0">
        <x:f>hyperlink("https://icat2.azurewebsites.net/icat/?ontology=ICD&amp;tab=ClassesTab&amp;id=http%3A%2F%2Fwho.int%2Ficd%2321561_512ebf36_bf6b_4d70_85da_cf2637062af4","iCat")</x:f>
      </x:c>
      <x:c r="M4164" s="0" t="s">
        <x:v>21</x:v>
      </x:c>
      <x:c r="N4164" s="0" t="s">
        <x:v>46</x:v>
      </x:c>
    </x:row>
    <x:row r="4165" spans="1:16">
      <x:c r="A4165" s="0" t="s">
        <x:v>16504</x:v>
      </x:c>
      <x:c r="B4165" s="0" t="s">
        <x:v>16505</x:v>
      </x:c>
      <x:c r="C4165" s="0" t="s">
        <x:v>16506</x:v>
      </x:c>
      <x:c r="E4165" s="0" t="s">
        <x:v>16507</x:v>
      </x:c>
      <x:c r="F4165" s="0" t="s">
        <x:v>45</x:v>
      </x:c>
      <x:c r="G4165" s="0" t="s">
        <x:v>19</x:v>
      </x:c>
      <x:c r="H4165" s="0" t="s">
        <x:v>20</x:v>
      </x:c>
      <x:c r="I4165" s="0" t="s">
        <x:v>21</x:v>
      </x:c>
      <x:c r="K4165" s="0">
        <x:f>hyperlink("https://icd.who.int/dev11/l-ichi/en#/http%3A%2F%2Fid.who.int%2Ficd%2Fentity%2F809370665","browser")</x:f>
      </x:c>
      <x:c r="L4165" s="0">
        <x:f>hyperlink("https://icat2.azurewebsites.net/icat/?ontology=ICD&amp;tab=ClassesTab&amp;id=http%3A%2F%2Fwho.int%2Ficd%2321567_512ebf36_bf6b_4d70_85da_cf2637062af4","iCat")</x:f>
      </x:c>
      <x:c r="M4165" s="0" t="s">
        <x:v>21</x:v>
      </x:c>
      <x:c r="N4165" s="0" t="s">
        <x:v>46</x:v>
      </x:c>
    </x:row>
    <x:row r="4166" spans="1:16">
      <x:c r="A4166" s="0" t="s">
        <x:v>16508</x:v>
      </x:c>
      <x:c r="B4166" s="0" t="s">
        <x:v>16509</x:v>
      </x:c>
      <x:c r="C4166" s="0" t="s">
        <x:v>16510</x:v>
      </x:c>
      <x:c r="E4166" s="0" t="s">
        <x:v>16511</x:v>
      </x:c>
      <x:c r="F4166" s="0" t="s">
        <x:v>45</x:v>
      </x:c>
      <x:c r="G4166" s="0" t="s">
        <x:v>19</x:v>
      </x:c>
      <x:c r="H4166" s="0" t="s">
        <x:v>20</x:v>
      </x:c>
      <x:c r="I4166" s="0" t="s">
        <x:v>21</x:v>
      </x:c>
      <x:c r="K4166" s="0">
        <x:f>hyperlink("https://icd.who.int/dev11/l-ichi/en#/http%3A%2F%2Fid.who.int%2Ficd%2Fentity%2F2047009604","browser")</x:f>
      </x:c>
      <x:c r="L4166" s="0">
        <x:f>hyperlink("https://icat2.azurewebsites.net/icat/?ontology=ICD&amp;tab=ClassesTab&amp;id=http%3A%2F%2Fwho.int%2Ficd%2321576_512ebf36_bf6b_4d70_85da_cf2637062af4","iCat")</x:f>
      </x:c>
      <x:c r="M4166" s="0" t="s">
        <x:v>21</x:v>
      </x:c>
      <x:c r="N4166" s="0" t="s">
        <x:v>46</x:v>
      </x:c>
    </x:row>
    <x:row r="4167" spans="1:16">
      <x:c r="A4167" s="0" t="s">
        <x:v>16512</x:v>
      </x:c>
      <x:c r="B4167" s="0" t="s">
        <x:v>16513</x:v>
      </x:c>
      <x:c r="C4167" s="0" t="s">
        <x:v>16514</x:v>
      </x:c>
      <x:c r="E4167" s="0" t="s">
        <x:v>16515</x:v>
      </x:c>
      <x:c r="F4167" s="0" t="s">
        <x:v>45</x:v>
      </x:c>
      <x:c r="G4167" s="0" t="s">
        <x:v>19</x:v>
      </x:c>
      <x:c r="H4167" s="0" t="s">
        <x:v>20</x:v>
      </x:c>
      <x:c r="I4167" s="0" t="s">
        <x:v>21</x:v>
      </x:c>
      <x:c r="K4167" s="0">
        <x:f>hyperlink("https://icd.who.int/dev11/l-ichi/en#/http%3A%2F%2Fid.who.int%2Ficd%2Fentity%2F1625452008","browser")</x:f>
      </x:c>
      <x:c r="L4167" s="0">
        <x:f>hyperlink("https://icat2.azurewebsites.net/icat/?ontology=ICD&amp;tab=ClassesTab&amp;id=http%3A%2F%2Fwho.int%2Ficd%2321582_512ebf36_bf6b_4d70_85da_cf2637062af4","iCat")</x:f>
      </x:c>
      <x:c r="M4167" s="0" t="s">
        <x:v>21</x:v>
      </x:c>
      <x:c r="N4167" s="0" t="s">
        <x:v>46</x:v>
      </x:c>
    </x:row>
    <x:row r="4168" spans="1:16">
      <x:c r="A4168" s="0" t="s">
        <x:v>16516</x:v>
      </x:c>
      <x:c r="B4168" s="0" t="s">
        <x:v>16517</x:v>
      </x:c>
      <x:c r="C4168" s="0" t="s">
        <x:v>16518</x:v>
      </x:c>
      <x:c r="E4168" s="0" t="s">
        <x:v>16519</x:v>
      </x:c>
      <x:c r="F4168" s="0" t="s">
        <x:v>45</x:v>
      </x:c>
      <x:c r="G4168" s="0" t="s">
        <x:v>19</x:v>
      </x:c>
      <x:c r="H4168" s="0" t="s">
        <x:v>20</x:v>
      </x:c>
      <x:c r="I4168" s="0" t="s">
        <x:v>21</x:v>
      </x:c>
      <x:c r="K4168" s="0">
        <x:f>hyperlink("https://icd.who.int/dev11/l-ichi/en#/http%3A%2F%2Fid.who.int%2Ficd%2Fentity%2F1810264902","browser")</x:f>
      </x:c>
      <x:c r="L4168" s="0">
        <x:f>hyperlink("https://icat2.azurewebsites.net/icat/?ontology=ICD&amp;tab=ClassesTab&amp;id=http%3A%2F%2Fwho.int%2Ficd%2321589_512ebf36_bf6b_4d70_85da_cf2637062af4","iCat")</x:f>
      </x:c>
      <x:c r="M4168" s="0" t="s">
        <x:v>21</x:v>
      </x:c>
      <x:c r="N4168" s="0" t="s">
        <x:v>46</x:v>
      </x:c>
    </x:row>
    <x:row r="4169" spans="1:16">
      <x:c r="A4169" s="0" t="s">
        <x:v>16520</x:v>
      </x:c>
      <x:c r="B4169" s="0" t="s">
        <x:v>16521</x:v>
      </x:c>
      <x:c r="C4169" s="0" t="s">
        <x:v>16522</x:v>
      </x:c>
      <x:c r="E4169" s="0" t="s">
        <x:v>16523</x:v>
      </x:c>
      <x:c r="F4169" s="0" t="s">
        <x:v>45</x:v>
      </x:c>
      <x:c r="G4169" s="0" t="s">
        <x:v>19</x:v>
      </x:c>
      <x:c r="H4169" s="0" t="s">
        <x:v>20</x:v>
      </x:c>
      <x:c r="I4169" s="0" t="s">
        <x:v>21</x:v>
      </x:c>
      <x:c r="K4169" s="0">
        <x:f>hyperlink("https://icd.who.int/dev11/l-ichi/en#/http%3A%2F%2Fid.who.int%2Ficd%2Fentity%2F1527377806","browser")</x:f>
      </x:c>
      <x:c r="L4169" s="0">
        <x:f>hyperlink("https://icat2.azurewebsites.net/icat/?ontology=ICD&amp;tab=ClassesTab&amp;id=http%3A%2F%2Fwho.int%2Ficd%2321601_512ebf36_bf6b_4d70_85da_cf2637062af4","iCat")</x:f>
      </x:c>
      <x:c r="M4169" s="0" t="s">
        <x:v>21</x:v>
      </x:c>
      <x:c r="N4169" s="0" t="s">
        <x:v>46</x:v>
      </x:c>
    </x:row>
    <x:row r="4170" spans="1:16">
      <x:c r="A4170" s="0" t="s">
        <x:v>16524</x:v>
      </x:c>
      <x:c r="B4170" s="0" t="s">
        <x:v>16525</x:v>
      </x:c>
      <x:c r="C4170" s="0" t="s">
        <x:v>16526</x:v>
      </x:c>
      <x:c r="E4170" s="0" t="s">
        <x:v>16527</x:v>
      </x:c>
      <x:c r="F4170" s="0" t="s">
        <x:v>45</x:v>
      </x:c>
      <x:c r="G4170" s="0" t="s">
        <x:v>19</x:v>
      </x:c>
      <x:c r="H4170" s="0" t="s">
        <x:v>20</x:v>
      </x:c>
      <x:c r="I4170" s="0" t="s">
        <x:v>21</x:v>
      </x:c>
      <x:c r="K4170" s="0">
        <x:f>hyperlink("https://icd.who.int/dev11/l-ichi/en#/http%3A%2F%2Fid.who.int%2Ficd%2Fentity%2F361275097","browser")</x:f>
      </x:c>
      <x:c r="L4170" s="0">
        <x:f>hyperlink("https://icat2.azurewebsites.net/icat/?ontology=ICD&amp;tab=ClassesTab&amp;id=http%3A%2F%2Fwho.int%2Ficd%2321609_512ebf36_bf6b_4d70_85da_cf2637062af4","iCat")</x:f>
      </x:c>
      <x:c r="M4170" s="0" t="s">
        <x:v>21</x:v>
      </x:c>
      <x:c r="N4170" s="0" t="s">
        <x:v>46</x:v>
      </x:c>
    </x:row>
    <x:row r="4171" spans="1:16">
      <x:c r="A4171" s="0" t="s">
        <x:v>16528</x:v>
      </x:c>
      <x:c r="B4171" s="0" t="s">
        <x:v>16529</x:v>
      </x:c>
      <x:c r="C4171" s="0" t="s">
        <x:v>16530</x:v>
      </x:c>
      <x:c r="E4171" s="0" t="s">
        <x:v>16531</x:v>
      </x:c>
      <x:c r="F4171" s="0" t="s">
        <x:v>45</x:v>
      </x:c>
      <x:c r="G4171" s="0" t="s">
        <x:v>19</x:v>
      </x:c>
      <x:c r="H4171" s="0" t="s">
        <x:v>20</x:v>
      </x:c>
      <x:c r="I4171" s="0" t="s">
        <x:v>21</x:v>
      </x:c>
      <x:c r="K4171" s="0">
        <x:f>hyperlink("https://icd.who.int/dev11/l-ichi/en#/http%3A%2F%2Fid.who.int%2Ficd%2Fentity%2F80461487","browser")</x:f>
      </x:c>
      <x:c r="L4171" s="0">
        <x:f>hyperlink("https://icat2.azurewebsites.net/icat/?ontology=ICD&amp;tab=ClassesTab&amp;id=http%3A%2F%2Fwho.int%2Ficd%2321615_512ebf36_bf6b_4d70_85da_cf2637062af4","iCat")</x:f>
      </x:c>
      <x:c r="M4171" s="0" t="s">
        <x:v>21</x:v>
      </x:c>
      <x:c r="N4171" s="0" t="s">
        <x:v>46</x:v>
      </x:c>
    </x:row>
    <x:row r="4172" spans="1:16">
      <x:c r="A4172" s="0" t="s">
        <x:v>16532</x:v>
      </x:c>
      <x:c r="B4172" s="0" t="s">
        <x:v>16533</x:v>
      </x:c>
      <x:c r="C4172" s="0" t="s">
        <x:v>16534</x:v>
      </x:c>
      <x:c r="E4172" s="0" t="s">
        <x:v>16535</x:v>
      </x:c>
      <x:c r="F4172" s="0" t="s">
        <x:v>45</x:v>
      </x:c>
      <x:c r="G4172" s="0" t="s">
        <x:v>19</x:v>
      </x:c>
      <x:c r="H4172" s="0" t="s">
        <x:v>20</x:v>
      </x:c>
      <x:c r="I4172" s="0" t="s">
        <x:v>21</x:v>
      </x:c>
      <x:c r="K4172" s="0">
        <x:f>hyperlink("https://icd.who.int/dev11/l-ichi/en#/http%3A%2F%2Fid.who.int%2Ficd%2Fentity%2F1148911274","browser")</x:f>
      </x:c>
      <x:c r="L4172" s="0">
        <x:f>hyperlink("https://icat2.azurewebsites.net/icat/?ontology=ICD&amp;tab=ClassesTab&amp;id=http%3A%2F%2Fwho.int%2Ficd%2321625_512ebf36_bf6b_4d70_85da_cf2637062af4","iCat")</x:f>
      </x:c>
      <x:c r="M4172" s="0" t="s">
        <x:v>21</x:v>
      </x:c>
      <x:c r="N4172" s="0" t="s">
        <x:v>46</x:v>
      </x:c>
    </x:row>
    <x:row r="4173" spans="1:16">
      <x:c r="A4173" s="0" t="s">
        <x:v>16536</x:v>
      </x:c>
      <x:c r="B4173" s="0" t="s">
        <x:v>16537</x:v>
      </x:c>
      <x:c r="C4173" s="0" t="s">
        <x:v>16538</x:v>
      </x:c>
      <x:c r="E4173" s="0" t="s">
        <x:v>16539</x:v>
      </x:c>
      <x:c r="F4173" s="0" t="s">
        <x:v>45</x:v>
      </x:c>
      <x:c r="G4173" s="0" t="s">
        <x:v>19</x:v>
      </x:c>
      <x:c r="H4173" s="0" t="s">
        <x:v>20</x:v>
      </x:c>
      <x:c r="I4173" s="0" t="s">
        <x:v>21</x:v>
      </x:c>
      <x:c r="K4173" s="0">
        <x:f>hyperlink("https://icd.who.int/dev11/l-ichi/en#/http%3A%2F%2Fid.who.int%2Ficd%2Fentity%2F1542199070","browser")</x:f>
      </x:c>
      <x:c r="L4173" s="0">
        <x:f>hyperlink("https://icat2.azurewebsites.net/icat/?ontology=ICD&amp;tab=ClassesTab&amp;id=http%3A%2F%2Fwho.int%2Ficd%2321646_512ebf36_bf6b_4d70_85da_cf2637062af4","iCat")</x:f>
      </x:c>
      <x:c r="M4173" s="0" t="s">
        <x:v>21</x:v>
      </x:c>
      <x:c r="N4173" s="0" t="s">
        <x:v>46</x:v>
      </x:c>
    </x:row>
    <x:row r="4174" spans="1:16">
      <x:c r="A4174" s="0" t="s">
        <x:v>16540</x:v>
      </x:c>
      <x:c r="B4174" s="0" t="s">
        <x:v>16541</x:v>
      </x:c>
      <x:c r="C4174" s="0" t="s">
        <x:v>16542</x:v>
      </x:c>
      <x:c r="E4174" s="0" t="s">
        <x:v>16543</x:v>
      </x:c>
      <x:c r="F4174" s="0" t="s">
        <x:v>45</x:v>
      </x:c>
      <x:c r="G4174" s="0" t="s">
        <x:v>19</x:v>
      </x:c>
      <x:c r="H4174" s="0" t="s">
        <x:v>20</x:v>
      </x:c>
      <x:c r="I4174" s="0" t="s">
        <x:v>21</x:v>
      </x:c>
      <x:c r="K4174" s="0">
        <x:f>hyperlink("https://icd.who.int/dev11/l-ichi/en#/http%3A%2F%2Fid.who.int%2Ficd%2Fentity%2F254433427","browser")</x:f>
      </x:c>
      <x:c r="L4174" s="0">
        <x:f>hyperlink("https://icat2.azurewebsites.net/icat/?ontology=ICD&amp;tab=ClassesTab&amp;id=http%3A%2F%2Fwho.int%2Ficd%2321659_512ebf36_bf6b_4d70_85da_cf2637062af4","iCat")</x:f>
      </x:c>
      <x:c r="M4174" s="0" t="s">
        <x:v>21</x:v>
      </x:c>
      <x:c r="N4174" s="0" t="s">
        <x:v>46</x:v>
      </x:c>
    </x:row>
    <x:row r="4175" spans="1:16">
      <x:c r="A4175" s="0" t="s">
        <x:v>16544</x:v>
      </x:c>
      <x:c r="B4175" s="0" t="s">
        <x:v>16545</x:v>
      </x:c>
      <x:c r="C4175" s="0" t="s">
        <x:v>16546</x:v>
      </x:c>
      <x:c r="E4175" s="0" t="s">
        <x:v>16547</x:v>
      </x:c>
      <x:c r="F4175" s="0" t="s">
        <x:v>45</x:v>
      </x:c>
      <x:c r="G4175" s="0" t="s">
        <x:v>19</x:v>
      </x:c>
      <x:c r="H4175" s="0" t="s">
        <x:v>20</x:v>
      </x:c>
      <x:c r="I4175" s="0" t="s">
        <x:v>21</x:v>
      </x:c>
      <x:c r="K4175" s="0">
        <x:f>hyperlink("https://icd.who.int/dev11/l-ichi/en#/http%3A%2F%2Fid.who.int%2Ficd%2Fentity%2F1905836620","browser")</x:f>
      </x:c>
      <x:c r="L4175" s="0">
        <x:f>hyperlink("https://icat2.azurewebsites.net/icat/?ontology=ICD&amp;tab=ClassesTab&amp;id=http%3A%2F%2Fwho.int%2Ficd%2321666_512ebf36_bf6b_4d70_85da_cf2637062af4","iCat")</x:f>
      </x:c>
      <x:c r="M4175" s="0" t="s">
        <x:v>21</x:v>
      </x:c>
      <x:c r="N4175" s="0" t="s">
        <x:v>46</x:v>
      </x:c>
    </x:row>
    <x:row r="4176" spans="1:16">
      <x:c r="A4176" s="0" t="s">
        <x:v>16548</x:v>
      </x:c>
      <x:c r="B4176" s="0" t="s">
        <x:v>16549</x:v>
      </x:c>
      <x:c r="C4176" s="0" t="s">
        <x:v>16550</x:v>
      </x:c>
      <x:c r="E4176" s="0" t="s">
        <x:v>16551</x:v>
      </x:c>
      <x:c r="F4176" s="0" t="s">
        <x:v>45</x:v>
      </x:c>
      <x:c r="G4176" s="0" t="s">
        <x:v>19</x:v>
      </x:c>
      <x:c r="H4176" s="0" t="s">
        <x:v>20</x:v>
      </x:c>
      <x:c r="I4176" s="0" t="s">
        <x:v>21</x:v>
      </x:c>
      <x:c r="K4176" s="0">
        <x:f>hyperlink("https://icd.who.int/dev11/l-ichi/en#/http%3A%2F%2Fid.who.int%2Ficd%2Fentity%2F777687919","browser")</x:f>
      </x:c>
      <x:c r="L4176" s="0">
        <x:f>hyperlink("https://icat2.azurewebsites.net/icat/?ontology=ICD&amp;tab=ClassesTab&amp;id=http%3A%2F%2Fwho.int%2Ficd%2321672_512ebf36_bf6b_4d70_85da_cf2637062af4","iCat")</x:f>
      </x:c>
      <x:c r="M4176" s="0" t="s">
        <x:v>21</x:v>
      </x:c>
      <x:c r="N4176" s="0" t="s">
        <x:v>46</x:v>
      </x:c>
    </x:row>
    <x:row r="4177" spans="1:16">
      <x:c r="A4177" s="0" t="s">
        <x:v>16552</x:v>
      </x:c>
      <x:c r="B4177" s="0" t="s">
        <x:v>16553</x:v>
      </x:c>
      <x:c r="C4177" s="0" t="s">
        <x:v>16554</x:v>
      </x:c>
      <x:c r="E4177" s="0" t="s">
        <x:v>16555</x:v>
      </x:c>
      <x:c r="F4177" s="0" t="s">
        <x:v>45</x:v>
      </x:c>
      <x:c r="G4177" s="0" t="s">
        <x:v>19</x:v>
      </x:c>
      <x:c r="H4177" s="0" t="s">
        <x:v>20</x:v>
      </x:c>
      <x:c r="I4177" s="0" t="s">
        <x:v>21</x:v>
      </x:c>
      <x:c r="K4177" s="0">
        <x:f>hyperlink("https://icd.who.int/dev11/l-ichi/en#/http%3A%2F%2Fid.who.int%2Ficd%2Fentity%2F29219249","browser")</x:f>
      </x:c>
      <x:c r="L4177" s="0">
        <x:f>hyperlink("https://icat2.azurewebsites.net/icat/?ontology=ICD&amp;tab=ClassesTab&amp;id=http%3A%2F%2Fwho.int%2Ficd%2321682_512ebf36_bf6b_4d70_85da_cf2637062af4","iCat")</x:f>
      </x:c>
      <x:c r="M4177" s="0" t="s">
        <x:v>21</x:v>
      </x:c>
      <x:c r="N4177" s="0" t="s">
        <x:v>46</x:v>
      </x:c>
    </x:row>
    <x:row r="4178" spans="1:16">
      <x:c r="A4178" s="0" t="s">
        <x:v>16556</x:v>
      </x:c>
      <x:c r="B4178" s="0" t="s">
        <x:v>16557</x:v>
      </x:c>
      <x:c r="C4178" s="0" t="s">
        <x:v>16558</x:v>
      </x:c>
      <x:c r="E4178" s="0" t="s">
        <x:v>16559</x:v>
      </x:c>
      <x:c r="F4178" s="0" t="s">
        <x:v>45</x:v>
      </x:c>
      <x:c r="G4178" s="0" t="s">
        <x:v>19</x:v>
      </x:c>
      <x:c r="H4178" s="0" t="s">
        <x:v>20</x:v>
      </x:c>
      <x:c r="I4178" s="0" t="s">
        <x:v>21</x:v>
      </x:c>
      <x:c r="K4178" s="0">
        <x:f>hyperlink("https://icd.who.int/dev11/l-ichi/en#/http%3A%2F%2Fid.who.int%2Ficd%2Fentity%2F235163939","browser")</x:f>
      </x:c>
      <x:c r="L4178" s="0">
        <x:f>hyperlink("https://icat2.azurewebsites.net/icat/?ontology=ICD&amp;tab=ClassesTab&amp;id=http%3A%2F%2Fwho.int%2Ficd%2321690_512ebf36_bf6b_4d70_85da_cf2637062af4","iCat")</x:f>
      </x:c>
      <x:c r="M4178" s="0" t="s">
        <x:v>21</x:v>
      </x:c>
      <x:c r="N4178" s="0" t="s">
        <x:v>46</x:v>
      </x:c>
    </x:row>
    <x:row r="4179" spans="1:16">
      <x:c r="A4179" s="0" t="s">
        <x:v>16560</x:v>
      </x:c>
      <x:c r="B4179" s="0" t="s">
        <x:v>16561</x:v>
      </x:c>
      <x:c r="C4179" s="0" t="s">
        <x:v>16562</x:v>
      </x:c>
      <x:c r="E4179" s="0" t="s">
        <x:v>16563</x:v>
      </x:c>
      <x:c r="F4179" s="0" t="s">
        <x:v>45</x:v>
      </x:c>
      <x:c r="G4179" s="0" t="s">
        <x:v>19</x:v>
      </x:c>
      <x:c r="H4179" s="0" t="s">
        <x:v>20</x:v>
      </x:c>
      <x:c r="I4179" s="0" t="s">
        <x:v>21</x:v>
      </x:c>
      <x:c r="K4179" s="0">
        <x:f>hyperlink("https://icd.who.int/dev11/l-ichi/en#/http%3A%2F%2Fid.who.int%2Ficd%2Fentity%2F1082466424","browser")</x:f>
      </x:c>
      <x:c r="L4179" s="0">
        <x:f>hyperlink("https://icat2.azurewebsites.net/icat/?ontology=ICD&amp;tab=ClassesTab&amp;id=http%3A%2F%2Fwho.int%2Ficd%2321698_512ebf36_bf6b_4d70_85da_cf2637062af4","iCat")</x:f>
      </x:c>
      <x:c r="M4179" s="0" t="s">
        <x:v>21</x:v>
      </x:c>
      <x:c r="N4179" s="0" t="s">
        <x:v>46</x:v>
      </x:c>
    </x:row>
    <x:row r="4180" spans="1:16">
      <x:c r="A4180" s="0" t="s">
        <x:v>16564</x:v>
      </x:c>
      <x:c r="B4180" s="0" t="s">
        <x:v>16565</x:v>
      </x:c>
      <x:c r="C4180" s="0" t="s">
        <x:v>16566</x:v>
      </x:c>
      <x:c r="E4180" s="0" t="s">
        <x:v>16567</x:v>
      </x:c>
      <x:c r="F4180" s="0" t="s">
        <x:v>45</x:v>
      </x:c>
      <x:c r="G4180" s="0" t="s">
        <x:v>19</x:v>
      </x:c>
      <x:c r="H4180" s="0" t="s">
        <x:v>20</x:v>
      </x:c>
      <x:c r="I4180" s="0" t="s">
        <x:v>21</x:v>
      </x:c>
      <x:c r="K4180" s="0">
        <x:f>hyperlink("https://icd.who.int/dev11/l-ichi/en#/http%3A%2F%2Fid.who.int%2Ficd%2Fentity%2F1688915578","browser")</x:f>
      </x:c>
      <x:c r="L4180" s="0">
        <x:f>hyperlink("https://icat2.azurewebsites.net/icat/?ontology=ICD&amp;tab=ClassesTab&amp;id=http%3A%2F%2Fwho.int%2Ficd%2321710_512ebf36_bf6b_4d70_85da_cf2637062af4","iCat")</x:f>
      </x:c>
      <x:c r="M4180" s="0" t="s">
        <x:v>21</x:v>
      </x:c>
      <x:c r="N4180" s="0" t="s">
        <x:v>46</x:v>
      </x:c>
    </x:row>
    <x:row r="4181" spans="1:16">
      <x:c r="A4181" s="0" t="s">
        <x:v>16568</x:v>
      </x:c>
      <x:c r="B4181" s="0" t="s">
        <x:v>16569</x:v>
      </x:c>
      <x:c r="C4181" s="0" t="s">
        <x:v>16570</x:v>
      </x:c>
      <x:c r="E4181" s="0" t="s">
        <x:v>16571</x:v>
      </x:c>
      <x:c r="F4181" s="0" t="s">
        <x:v>45</x:v>
      </x:c>
      <x:c r="G4181" s="0" t="s">
        <x:v>19</x:v>
      </x:c>
      <x:c r="H4181" s="0" t="s">
        <x:v>20</x:v>
      </x:c>
      <x:c r="I4181" s="0" t="s">
        <x:v>21</x:v>
      </x:c>
      <x:c r="K4181" s="0">
        <x:f>hyperlink("https://icd.who.int/dev11/l-ichi/en#/http%3A%2F%2Fid.who.int%2Ficd%2Fentity%2F707510063","browser")</x:f>
      </x:c>
      <x:c r="L4181" s="0">
        <x:f>hyperlink("https://icat2.azurewebsites.net/icat/?ontology=ICD&amp;tab=ClassesTab&amp;id=http%3A%2F%2Fwho.int%2Ficd%2321718_512ebf36_bf6b_4d70_85da_cf2637062af4","iCat")</x:f>
      </x:c>
      <x:c r="M4181" s="0" t="s">
        <x:v>21</x:v>
      </x:c>
      <x:c r="N4181" s="0" t="s">
        <x:v>46</x:v>
      </x:c>
    </x:row>
    <x:row r="4182" spans="1:16">
      <x:c r="A4182" s="0" t="s">
        <x:v>16572</x:v>
      </x:c>
      <x:c r="B4182" s="0" t="s">
        <x:v>16573</x:v>
      </x:c>
      <x:c r="C4182" s="0" t="s">
        <x:v>16574</x:v>
      </x:c>
      <x:c r="E4182" s="0" t="s">
        <x:v>16575</x:v>
      </x:c>
      <x:c r="F4182" s="0" t="s">
        <x:v>45</x:v>
      </x:c>
      <x:c r="G4182" s="0" t="s">
        <x:v>19</x:v>
      </x:c>
      <x:c r="H4182" s="0" t="s">
        <x:v>20</x:v>
      </x:c>
      <x:c r="I4182" s="0" t="s">
        <x:v>21</x:v>
      </x:c>
      <x:c r="K4182" s="0">
        <x:f>hyperlink("https://icd.who.int/dev11/l-ichi/en#/http%3A%2F%2Fid.who.int%2Ficd%2Fentity%2F1609913925","browser")</x:f>
      </x:c>
      <x:c r="L4182" s="0">
        <x:f>hyperlink("https://icat2.azurewebsites.net/icat/?ontology=ICD&amp;tab=ClassesTab&amp;id=http%3A%2F%2Fwho.int%2Ficd%2315856_4869915e_217e_423d_acb3_33c0f920ef4b","iCat")</x:f>
      </x:c>
      <x:c r="M4182" s="0" t="s">
        <x:v>21</x:v>
      </x:c>
      <x:c r="N4182" s="0" t="s">
        <x:v>46</x:v>
      </x:c>
    </x:row>
    <x:row r="4183" spans="1:16">
      <x:c r="A4183" s="0" t="s">
        <x:v>16576</x:v>
      </x:c>
      <x:c r="B4183" s="0" t="s">
        <x:v>16577</x:v>
      </x:c>
      <x:c r="C4183" s="0" t="s">
        <x:v>16578</x:v>
      </x:c>
      <x:c r="E4183" s="0" t="s">
        <x:v>16579</x:v>
      </x:c>
      <x:c r="F4183" s="0" t="s">
        <x:v>45</x:v>
      </x:c>
      <x:c r="G4183" s="0" t="s">
        <x:v>19</x:v>
      </x:c>
      <x:c r="H4183" s="0" t="s">
        <x:v>20</x:v>
      </x:c>
      <x:c r="I4183" s="0" t="s">
        <x:v>21</x:v>
      </x:c>
      <x:c r="K4183" s="0">
        <x:f>hyperlink("https://icd.who.int/dev11/l-ichi/en#/http%3A%2F%2Fid.who.int%2Ficd%2Fentity%2F1259326534","browser")</x:f>
      </x:c>
      <x:c r="L4183" s="0">
        <x:f>hyperlink("https://icat2.azurewebsites.net/icat/?ontology=ICD&amp;tab=ClassesTab&amp;id=http%3A%2F%2Fwho.int%2Ficd%2321744_512ebf36_bf6b_4d70_85da_cf2637062af4","iCat")</x:f>
      </x:c>
      <x:c r="M4183" s="0" t="s">
        <x:v>21</x:v>
      </x:c>
      <x:c r="N4183" s="0" t="s">
        <x:v>46</x:v>
      </x:c>
    </x:row>
    <x:row r="4184" spans="1:16">
      <x:c r="A4184" s="0" t="s">
        <x:v>16580</x:v>
      </x:c>
      <x:c r="B4184" s="0" t="s">
        <x:v>16581</x:v>
      </x:c>
      <x:c r="D4184" s="0" t="s">
        <x:v>16582</x:v>
      </x:c>
      <x:c r="E4184" s="0" t="s">
        <x:v>16583</x:v>
      </x:c>
      <x:c r="F4184" s="0" t="s">
        <x:v>26</x:v>
      </x:c>
      <x:c r="G4184" s="0" t="s">
        <x:v>22</x:v>
      </x:c>
      <x:c r="H4184" s="0" t="s">
        <x:v>20</x:v>
      </x:c>
      <x:c r="I4184" s="0" t="s">
        <x:v>21</x:v>
      </x:c>
      <x:c r="K4184" s="0">
        <x:f>hyperlink("https://icd.who.int/dev11/l-ichi/en#/http%3A%2F%2Fid.who.int%2Ficd%2Fentity%2F20130607","browser")</x:f>
      </x:c>
      <x:c r="L4184" s="0">
        <x:f>hyperlink("https://icat2.azurewebsites.net/icat/?ontology=ICD&amp;tab=ClassesTab&amp;id=http%3A%2F%2Fwho.int%2Ficd%2321755_512ebf36_bf6b_4d70_85da_cf2637062af4","iCat")</x:f>
      </x:c>
      <x:c r="M4184" s="0" t="s">
        <x:v>20</x:v>
      </x:c>
      <x:c r="N4184" s="0" t="s">
        <x:v>903</x:v>
      </x:c>
    </x:row>
    <x:row r="4185" spans="1:16">
      <x:c r="A4185" s="0" t="s">
        <x:v>16584</x:v>
      </x:c>
      <x:c r="B4185" s="0" t="s">
        <x:v>16585</x:v>
      </x:c>
      <x:c r="C4185" s="0" t="s">
        <x:v>16586</x:v>
      </x:c>
      <x:c r="E4185" s="0" t="s">
        <x:v>16587</x:v>
      </x:c>
      <x:c r="F4185" s="0" t="s">
        <x:v>45</x:v>
      </x:c>
      <x:c r="G4185" s="0" t="s">
        <x:v>19</x:v>
      </x:c>
      <x:c r="H4185" s="0" t="s">
        <x:v>20</x:v>
      </x:c>
      <x:c r="I4185" s="0" t="s">
        <x:v>21</x:v>
      </x:c>
      <x:c r="K4185" s="0">
        <x:f>hyperlink("https://icd.who.int/dev11/l-ichi/en#/http%3A%2F%2Fid.who.int%2Ficd%2Fentity%2F566909203","browser")</x:f>
      </x:c>
      <x:c r="L4185" s="0">
        <x:f>hyperlink("https://icat2.azurewebsites.net/icat/?ontology=ICD&amp;tab=ClassesTab&amp;id=http%3A%2F%2Fwho.int%2Ficd%2321754_512ebf36_bf6b_4d70_85da_cf2637062af4","iCat")</x:f>
      </x:c>
      <x:c r="M4185" s="0" t="s">
        <x:v>21</x:v>
      </x:c>
      <x:c r="N4185" s="0" t="s">
        <x:v>46</x:v>
      </x:c>
    </x:row>
    <x:row r="4186" spans="1:16">
      <x:c r="A4186" s="0" t="s">
        <x:v>16588</x:v>
      </x:c>
      <x:c r="B4186" s="0" t="s">
        <x:v>16589</x:v>
      </x:c>
      <x:c r="C4186" s="0" t="s">
        <x:v>16590</x:v>
      </x:c>
      <x:c r="E4186" s="0" t="s">
        <x:v>16591</x:v>
      </x:c>
      <x:c r="F4186" s="0" t="s">
        <x:v>45</x:v>
      </x:c>
      <x:c r="G4186" s="0" t="s">
        <x:v>19</x:v>
      </x:c>
      <x:c r="H4186" s="0" t="s">
        <x:v>20</x:v>
      </x:c>
      <x:c r="I4186" s="0" t="s">
        <x:v>21</x:v>
      </x:c>
      <x:c r="K4186" s="0">
        <x:f>hyperlink("https://icd.who.int/dev11/l-ichi/en#/http%3A%2F%2Fid.who.int%2Ficd%2Fentity%2F620656365","browser")</x:f>
      </x:c>
      <x:c r="L4186" s="0">
        <x:f>hyperlink("https://icat2.azurewebsites.net/icat/?ontology=ICD&amp;tab=ClassesTab&amp;id=http%3A%2F%2Fwho.int%2Ficd%2321767_512ebf36_bf6b_4d70_85da_cf2637062af4","iCat")</x:f>
      </x:c>
      <x:c r="M4186" s="0" t="s">
        <x:v>21</x:v>
      </x:c>
      <x:c r="N4186" s="0" t="s">
        <x:v>46</x:v>
      </x:c>
    </x:row>
    <x:row r="4187" spans="1:16">
      <x:c r="A4187" s="0" t="s">
        <x:v>16592</x:v>
      </x:c>
      <x:c r="B4187" s="0" t="s">
        <x:v>16593</x:v>
      </x:c>
      <x:c r="C4187" s="0" t="s">
        <x:v>16594</x:v>
      </x:c>
      <x:c r="E4187" s="0" t="s">
        <x:v>16595</x:v>
      </x:c>
      <x:c r="F4187" s="0" t="s">
        <x:v>45</x:v>
      </x:c>
      <x:c r="G4187" s="0" t="s">
        <x:v>19</x:v>
      </x:c>
      <x:c r="H4187" s="0" t="s">
        <x:v>20</x:v>
      </x:c>
      <x:c r="I4187" s="0" t="s">
        <x:v>21</x:v>
      </x:c>
      <x:c r="K4187" s="0">
        <x:f>hyperlink("https://icd.who.int/dev11/l-ichi/en#/http%3A%2F%2Fid.who.int%2Ficd%2Fentity%2F197037123","browser")</x:f>
      </x:c>
      <x:c r="L4187" s="0">
        <x:f>hyperlink("https://icat2.azurewebsites.net/icat/?ontology=ICD&amp;tab=ClassesTab&amp;id=http%3A%2F%2Fwho.int%2Ficd%2321774_512ebf36_bf6b_4d70_85da_cf2637062af4","iCat")</x:f>
      </x:c>
      <x:c r="M4187" s="0" t="s">
        <x:v>21</x:v>
      </x:c>
      <x:c r="N4187" s="0" t="s">
        <x:v>46</x:v>
      </x:c>
    </x:row>
    <x:row r="4188" spans="1:16">
      <x:c r="A4188" s="0" t="s">
        <x:v>16596</x:v>
      </x:c>
      <x:c r="B4188" s="0" t="s">
        <x:v>16597</x:v>
      </x:c>
      <x:c r="C4188" s="0" t="s">
        <x:v>16598</x:v>
      </x:c>
      <x:c r="E4188" s="0" t="s">
        <x:v>16599</x:v>
      </x:c>
      <x:c r="F4188" s="0" t="s">
        <x:v>45</x:v>
      </x:c>
      <x:c r="G4188" s="0" t="s">
        <x:v>19</x:v>
      </x:c>
      <x:c r="H4188" s="0" t="s">
        <x:v>20</x:v>
      </x:c>
      <x:c r="I4188" s="0" t="s">
        <x:v>21</x:v>
      </x:c>
      <x:c r="K4188" s="0">
        <x:f>hyperlink("https://icd.who.int/dev11/l-ichi/en#/http%3A%2F%2Fid.who.int%2Ficd%2Fentity%2F1318867914","browser")</x:f>
      </x:c>
      <x:c r="L4188" s="0">
        <x:f>hyperlink("https://icat2.azurewebsites.net/icat/?ontology=ICD&amp;tab=ClassesTab&amp;id=http%3A%2F%2Fwho.int%2Ficd%2321794_512ebf36_bf6b_4d70_85da_cf2637062af4","iCat")</x:f>
      </x:c>
      <x:c r="M4188" s="0" t="s">
        <x:v>21</x:v>
      </x:c>
      <x:c r="N4188" s="0" t="s">
        <x:v>46</x:v>
      </x:c>
    </x:row>
    <x:row r="4189" spans="1:16">
      <x:c r="A4189" s="0" t="s">
        <x:v>16600</x:v>
      </x:c>
      <x:c r="B4189" s="0" t="s">
        <x:v>16601</x:v>
      </x:c>
      <x:c r="C4189" s="0" t="s">
        <x:v>16602</x:v>
      </x:c>
      <x:c r="E4189" s="0" t="s">
        <x:v>16603</x:v>
      </x:c>
      <x:c r="F4189" s="0" t="s">
        <x:v>45</x:v>
      </x:c>
      <x:c r="G4189" s="0" t="s">
        <x:v>19</x:v>
      </x:c>
      <x:c r="H4189" s="0" t="s">
        <x:v>20</x:v>
      </x:c>
      <x:c r="I4189" s="0" t="s">
        <x:v>21</x:v>
      </x:c>
      <x:c r="K4189" s="0">
        <x:f>hyperlink("https://icd.who.int/dev11/l-ichi/en#/http%3A%2F%2Fid.who.int%2Ficd%2Fentity%2F375048258","browser")</x:f>
      </x:c>
      <x:c r="L4189" s="0">
        <x:f>hyperlink("https://icat2.azurewebsites.net/icat/?ontology=ICD&amp;tab=ClassesTab&amp;id=http%3A%2F%2Fwho.int%2Ficd%2321809_512ebf36_bf6b_4d70_85da_cf2637062af4","iCat")</x:f>
      </x:c>
      <x:c r="M4189" s="0" t="s">
        <x:v>21</x:v>
      </x:c>
      <x:c r="N4189" s="0" t="s">
        <x:v>46</x:v>
      </x:c>
    </x:row>
    <x:row r="4190" spans="1:16">
      <x:c r="A4190" s="0" t="s">
        <x:v>16604</x:v>
      </x:c>
      <x:c r="B4190" s="0" t="s">
        <x:v>16605</x:v>
      </x:c>
      <x:c r="C4190" s="0" t="s">
        <x:v>16606</x:v>
      </x:c>
      <x:c r="E4190" s="0" t="s">
        <x:v>16607</x:v>
      </x:c>
      <x:c r="F4190" s="0" t="s">
        <x:v>45</x:v>
      </x:c>
      <x:c r="G4190" s="0" t="s">
        <x:v>19</x:v>
      </x:c>
      <x:c r="H4190" s="0" t="s">
        <x:v>20</x:v>
      </x:c>
      <x:c r="I4190" s="0" t="s">
        <x:v>21</x:v>
      </x:c>
      <x:c r="K4190" s="0">
        <x:f>hyperlink("https://icd.who.int/dev11/l-ichi/en#/http%3A%2F%2Fid.who.int%2Ficd%2Fentity%2F2113102831","browser")</x:f>
      </x:c>
      <x:c r="L4190" s="0">
        <x:f>hyperlink("https://icat2.azurewebsites.net/icat/?ontology=ICD&amp;tab=ClassesTab&amp;id=http%3A%2F%2Fwho.int%2Ficd%23795_bf15315e_f1c5_45f6_9637_651657d70d50","iCat")</x:f>
      </x:c>
      <x:c r="M4190" s="0" t="s">
        <x:v>21</x:v>
      </x:c>
      <x:c r="N4190" s="0" t="s">
        <x:v>46</x:v>
      </x:c>
    </x:row>
    <x:row r="4191" spans="1:16">
      <x:c r="A4191" s="0" t="s">
        <x:v>16608</x:v>
      </x:c>
      <x:c r="B4191" s="0" t="s">
        <x:v>16609</x:v>
      </x:c>
      <x:c r="C4191" s="0" t="s">
        <x:v>16610</x:v>
      </x:c>
      <x:c r="E4191" s="0" t="s">
        <x:v>16611</x:v>
      </x:c>
      <x:c r="F4191" s="0" t="s">
        <x:v>45</x:v>
      </x:c>
      <x:c r="G4191" s="0" t="s">
        <x:v>19</x:v>
      </x:c>
      <x:c r="H4191" s="0" t="s">
        <x:v>20</x:v>
      </x:c>
      <x:c r="I4191" s="0" t="s">
        <x:v>21</x:v>
      </x:c>
      <x:c r="K4191" s="0">
        <x:f>hyperlink("https://icd.who.int/dev11/l-ichi/en#/http%3A%2F%2Fid.who.int%2Ficd%2Fentity%2F1641851238","browser")</x:f>
      </x:c>
      <x:c r="L4191" s="0">
        <x:f>hyperlink("https://icat2.azurewebsites.net/icat/?ontology=ICD&amp;tab=ClassesTab&amp;id=http%3A%2F%2Fwho.int%2Ficd%2321787_512ebf36_bf6b_4d70_85da_cf2637062af4","iCat")</x:f>
      </x:c>
      <x:c r="M4191" s="0" t="s">
        <x:v>21</x:v>
      </x:c>
      <x:c r="N4191" s="0" t="s">
        <x:v>46</x:v>
      </x:c>
    </x:row>
    <x:row r="4192" spans="1:16">
      <x:c r="A4192" s="0" t="s">
        <x:v>16612</x:v>
      </x:c>
      <x:c r="B4192" s="0" t="s">
        <x:v>16613</x:v>
      </x:c>
      <x:c r="C4192" s="0" t="s">
        <x:v>16614</x:v>
      </x:c>
      <x:c r="E4192" s="0" t="s">
        <x:v>16615</x:v>
      </x:c>
      <x:c r="F4192" s="0" t="s">
        <x:v>45</x:v>
      </x:c>
      <x:c r="G4192" s="0" t="s">
        <x:v>19</x:v>
      </x:c>
      <x:c r="H4192" s="0" t="s">
        <x:v>20</x:v>
      </x:c>
      <x:c r="I4192" s="0" t="s">
        <x:v>21</x:v>
      </x:c>
      <x:c r="K4192" s="0">
        <x:f>hyperlink("https://icd.who.int/dev11/l-ichi/en#/http%3A%2F%2Fid.who.int%2Ficd%2Fentity%2F624293991","browser")</x:f>
      </x:c>
      <x:c r="L4192" s="0">
        <x:f>hyperlink("https://icat2.azurewebsites.net/icat/?ontology=ICD&amp;tab=ClassesTab&amp;id=http%3A%2F%2Fwho.int%2Ficd%23808_bf15315e_f1c5_45f6_9637_651657d70d50","iCat")</x:f>
      </x:c>
      <x:c r="M4192" s="0" t="s">
        <x:v>21</x:v>
      </x:c>
      <x:c r="N4192" s="0" t="s">
        <x:v>46</x:v>
      </x:c>
    </x:row>
    <x:row r="4193" spans="1:16">
      <x:c r="A4193" s="0" t="s">
        <x:v>16616</x:v>
      </x:c>
      <x:c r="B4193" s="0" t="s">
        <x:v>16617</x:v>
      </x:c>
      <x:c r="C4193" s="0" t="s">
        <x:v>16618</x:v>
      </x:c>
      <x:c r="E4193" s="0" t="s">
        <x:v>16619</x:v>
      </x:c>
      <x:c r="F4193" s="0" t="s">
        <x:v>45</x:v>
      </x:c>
      <x:c r="G4193" s="0" t="s">
        <x:v>19</x:v>
      </x:c>
      <x:c r="H4193" s="0" t="s">
        <x:v>20</x:v>
      </x:c>
      <x:c r="I4193" s="0" t="s">
        <x:v>21</x:v>
      </x:c>
      <x:c r="K4193" s="0">
        <x:f>hyperlink("https://icd.who.int/dev11/l-ichi/en#/http%3A%2F%2Fid.who.int%2Ficd%2Fentity%2F1650849265","browser")</x:f>
      </x:c>
      <x:c r="L4193" s="0">
        <x:f>hyperlink("https://icat2.azurewebsites.net/icat/?ontology=ICD&amp;tab=ClassesTab&amp;id=http%3A%2F%2Fwho.int%2Ficd%2321817_512ebf36_bf6b_4d70_85da_cf2637062af4","iCat")</x:f>
      </x:c>
      <x:c r="M4193" s="0" t="s">
        <x:v>21</x:v>
      </x:c>
      <x:c r="N4193" s="0" t="s">
        <x:v>46</x:v>
      </x:c>
    </x:row>
    <x:row r="4194" spans="1:16">
      <x:c r="A4194" s="0" t="s">
        <x:v>16620</x:v>
      </x:c>
      <x:c r="B4194" s="0" t="s">
        <x:v>16621</x:v>
      </x:c>
      <x:c r="C4194" s="0" t="s">
        <x:v>16622</x:v>
      </x:c>
      <x:c r="E4194" s="0" t="s">
        <x:v>16623</x:v>
      </x:c>
      <x:c r="F4194" s="0" t="s">
        <x:v>45</x:v>
      </x:c>
      <x:c r="G4194" s="0" t="s">
        <x:v>19</x:v>
      </x:c>
      <x:c r="H4194" s="0" t="s">
        <x:v>20</x:v>
      </x:c>
      <x:c r="I4194" s="0" t="s">
        <x:v>21</x:v>
      </x:c>
      <x:c r="K4194" s="0">
        <x:f>hyperlink("https://icd.who.int/dev11/l-ichi/en#/http%3A%2F%2Fid.who.int%2Ficd%2Fentity%2F1897287546","browser")</x:f>
      </x:c>
      <x:c r="L4194" s="0">
        <x:f>hyperlink("https://icat2.azurewebsites.net/icat/?ontology=ICD&amp;tab=ClassesTab&amp;id=http%3A%2F%2Fwho.int%2Ficd%23850_bf15315e_f1c5_45f6_9637_651657d70d50","iCat")</x:f>
      </x:c>
      <x:c r="M4194" s="0" t="s">
        <x:v>21</x:v>
      </x:c>
      <x:c r="N4194" s="0" t="s">
        <x:v>46</x:v>
      </x:c>
    </x:row>
    <x:row r="4195" spans="1:16">
      <x:c r="A4195" s="0" t="s">
        <x:v>16624</x:v>
      </x:c>
      <x:c r="B4195" s="0" t="s">
        <x:v>16625</x:v>
      </x:c>
      <x:c r="D4195" s="0" t="s">
        <x:v>16626</x:v>
      </x:c>
      <x:c r="E4195" s="0" t="s">
        <x:v>16627</x:v>
      </x:c>
      <x:c r="F4195" s="0" t="s">
        <x:v>26</x:v>
      </x:c>
      <x:c r="G4195" s="0" t="s">
        <x:v>22</x:v>
      </x:c>
      <x:c r="H4195" s="0" t="s">
        <x:v>20</x:v>
      </x:c>
      <x:c r="I4195" s="0" t="s">
        <x:v>21</x:v>
      </x:c>
      <x:c r="K4195" s="0">
        <x:f>hyperlink("https://icd.who.int/dev11/l-ichi/en#/http%3A%2F%2Fid.who.int%2Ficd%2Fentity%2F36554700","browser")</x:f>
      </x:c>
      <x:c r="L4195" s="0">
        <x:f>hyperlink("https://icat2.azurewebsites.net/icat/?ontology=ICD&amp;tab=ClassesTab&amp;id=http%3A%2F%2Fwho.int%2Ficd%2321826_512ebf36_bf6b_4d70_85da_cf2637062af4","iCat")</x:f>
      </x:c>
      <x:c r="M4195" s="0" t="s">
        <x:v>20</x:v>
      </x:c>
      <x:c r="N4195" s="0" t="s">
        <x:v>22</x:v>
      </x:c>
    </x:row>
    <x:row r="4196" spans="1:16">
      <x:c r="A4196" s="0" t="s">
        <x:v>16628</x:v>
      </x:c>
      <x:c r="B4196" s="0" t="s">
        <x:v>16629</x:v>
      </x:c>
      <x:c r="C4196" s="0" t="s">
        <x:v>16630</x:v>
      </x:c>
      <x:c r="E4196" s="0" t="s">
        <x:v>16631</x:v>
      </x:c>
      <x:c r="F4196" s="0" t="s">
        <x:v>45</x:v>
      </x:c>
      <x:c r="G4196" s="0" t="s">
        <x:v>19</x:v>
      </x:c>
      <x:c r="H4196" s="0" t="s">
        <x:v>20</x:v>
      </x:c>
      <x:c r="I4196" s="0" t="s">
        <x:v>21</x:v>
      </x:c>
      <x:c r="K4196" s="0">
        <x:f>hyperlink("https://icd.who.int/dev11/l-ichi/en#/http%3A%2F%2Fid.who.int%2Ficd%2Fentity%2F1202235443","browser")</x:f>
      </x:c>
      <x:c r="L4196" s="0">
        <x:f>hyperlink("https://icat2.azurewebsites.net/icat/?ontology=ICD&amp;tab=ClassesTab&amp;id=http%3A%2F%2Fwho.int%2Ficd%2321825_512ebf36_bf6b_4d70_85da_cf2637062af4","iCat")</x:f>
      </x:c>
      <x:c r="M4196" s="0" t="s">
        <x:v>21</x:v>
      </x:c>
      <x:c r="N4196" s="0" t="s">
        <x:v>46</x:v>
      </x:c>
    </x:row>
    <x:row r="4197" spans="1:16">
      <x:c r="A4197" s="0" t="s">
        <x:v>16632</x:v>
      </x:c>
      <x:c r="B4197" s="0" t="s">
        <x:v>16633</x:v>
      </x:c>
      <x:c r="C4197" s="0" t="s">
        <x:v>16634</x:v>
      </x:c>
      <x:c r="E4197" s="0" t="s">
        <x:v>16635</x:v>
      </x:c>
      <x:c r="F4197" s="0" t="s">
        <x:v>45</x:v>
      </x:c>
      <x:c r="G4197" s="0" t="s">
        <x:v>19</x:v>
      </x:c>
      <x:c r="H4197" s="0" t="s">
        <x:v>20</x:v>
      </x:c>
      <x:c r="I4197" s="0" t="s">
        <x:v>21</x:v>
      </x:c>
      <x:c r="K4197" s="0">
        <x:f>hyperlink("https://icd.who.int/dev11/l-ichi/en#/http%3A%2F%2Fid.who.int%2Ficd%2Fentity%2F1980955257","browser")</x:f>
      </x:c>
      <x:c r="L4197" s="0">
        <x:f>hyperlink("https://icat2.azurewebsites.net/icat/?ontology=ICD&amp;tab=ClassesTab&amp;id=http%3A%2F%2Fwho.int%2Ficd%2321838_512ebf36_bf6b_4d70_85da_cf2637062af4","iCat")</x:f>
      </x:c>
      <x:c r="M4197" s="0" t="s">
        <x:v>21</x:v>
      </x:c>
      <x:c r="N4197" s="0" t="s">
        <x:v>46</x:v>
      </x:c>
    </x:row>
    <x:row r="4198" spans="1:16">
      <x:c r="A4198" s="0" t="s">
        <x:v>16636</x:v>
      </x:c>
      <x:c r="B4198" s="0" t="s">
        <x:v>16637</x:v>
      </x:c>
      <x:c r="C4198" s="0" t="s">
        <x:v>16638</x:v>
      </x:c>
      <x:c r="E4198" s="0" t="s">
        <x:v>16639</x:v>
      </x:c>
      <x:c r="F4198" s="0" t="s">
        <x:v>45</x:v>
      </x:c>
      <x:c r="G4198" s="0" t="s">
        <x:v>19</x:v>
      </x:c>
      <x:c r="H4198" s="0" t="s">
        <x:v>20</x:v>
      </x:c>
      <x:c r="I4198" s="0" t="s">
        <x:v>21</x:v>
      </x:c>
      <x:c r="K4198" s="0">
        <x:f>hyperlink("https://icd.who.int/dev11/l-ichi/en#/http%3A%2F%2Fid.who.int%2Ficd%2Fentity%2F498806400","browser")</x:f>
      </x:c>
      <x:c r="L4198" s="0">
        <x:f>hyperlink("https://icat2.azurewebsites.net/icat/?ontology=ICD&amp;tab=ClassesTab&amp;id=http%3A%2F%2Fwho.int%2Ficd%2321845_512ebf36_bf6b_4d70_85da_cf2637062af4","iCat")</x:f>
      </x:c>
      <x:c r="M4198" s="0" t="s">
        <x:v>21</x:v>
      </x:c>
      <x:c r="N4198" s="0" t="s">
        <x:v>46</x:v>
      </x:c>
    </x:row>
    <x:row r="4199" spans="1:16">
      <x:c r="A4199" s="0" t="s">
        <x:v>16640</x:v>
      </x:c>
      <x:c r="B4199" s="0" t="s">
        <x:v>16641</x:v>
      </x:c>
      <x:c r="C4199" s="0" t="s">
        <x:v>16642</x:v>
      </x:c>
      <x:c r="E4199" s="0" t="s">
        <x:v>16643</x:v>
      </x:c>
      <x:c r="F4199" s="0" t="s">
        <x:v>45</x:v>
      </x:c>
      <x:c r="G4199" s="0" t="s">
        <x:v>19</x:v>
      </x:c>
      <x:c r="H4199" s="0" t="s">
        <x:v>20</x:v>
      </x:c>
      <x:c r="I4199" s="0" t="s">
        <x:v>21</x:v>
      </x:c>
      <x:c r="K4199" s="0">
        <x:f>hyperlink("https://icd.who.int/dev11/l-ichi/en#/http%3A%2F%2Fid.who.int%2Ficd%2Fentity%2F2004794153","browser")</x:f>
      </x:c>
      <x:c r="L4199" s="0">
        <x:f>hyperlink("https://icat2.azurewebsites.net/icat/?ontology=ICD&amp;tab=ClassesTab&amp;id=http%3A%2F%2Fwho.int%2Ficd%2321855_512ebf36_bf6b_4d70_85da_cf2637062af4","iCat")</x:f>
      </x:c>
      <x:c r="M4199" s="0" t="s">
        <x:v>21</x:v>
      </x:c>
      <x:c r="N4199" s="0" t="s">
        <x:v>46</x:v>
      </x:c>
    </x:row>
    <x:row r="4200" spans="1:16">
      <x:c r="A4200" s="0" t="s">
        <x:v>16644</x:v>
      </x:c>
      <x:c r="B4200" s="0" t="s">
        <x:v>16645</x:v>
      </x:c>
      <x:c r="D4200" s="0" t="s">
        <x:v>16646</x:v>
      </x:c>
      <x:c r="E4200" s="0" t="s">
        <x:v>16647</x:v>
      </x:c>
      <x:c r="F4200" s="0" t="s">
        <x:v>26</x:v>
      </x:c>
      <x:c r="G4200" s="0" t="s">
        <x:v>22</x:v>
      </x:c>
      <x:c r="H4200" s="0" t="s">
        <x:v>20</x:v>
      </x:c>
      <x:c r="I4200" s="0" t="s">
        <x:v>21</x:v>
      </x:c>
      <x:c r="K4200" s="0">
        <x:f>hyperlink("https://icd.who.int/dev11/l-ichi/en#/http%3A%2F%2Fid.who.int%2Ficd%2Fentity%2F1739858591","browser")</x:f>
      </x:c>
      <x:c r="L4200" s="0">
        <x:f>hyperlink("https://icat2.azurewebsites.net/icat/?ontology=ICD&amp;tab=ClassesTab&amp;id=http%3A%2F%2Fwho.int%2Ficd%2321863_512ebf36_bf6b_4d70_85da_cf2637062af4","iCat")</x:f>
      </x:c>
      <x:c r="M4200" s="0" t="s">
        <x:v>20</x:v>
      </x:c>
      <x:c r="N4200" s="0" t="s">
        <x:v>16648</x:v>
      </x:c>
    </x:row>
    <x:row r="4201" spans="1:16">
      <x:c r="A4201" s="0" t="s">
        <x:v>16649</x:v>
      </x:c>
      <x:c r="B4201" s="0" t="s">
        <x:v>16650</x:v>
      </x:c>
      <x:c r="C4201" s="0" t="s">
        <x:v>16651</x:v>
      </x:c>
      <x:c r="E4201" s="0" t="s">
        <x:v>16652</x:v>
      </x:c>
      <x:c r="F4201" s="0" t="s">
        <x:v>45</x:v>
      </x:c>
      <x:c r="G4201" s="0" t="s">
        <x:v>19</x:v>
      </x:c>
      <x:c r="H4201" s="0" t="s">
        <x:v>20</x:v>
      </x:c>
      <x:c r="I4201" s="0" t="s">
        <x:v>21</x:v>
      </x:c>
      <x:c r="K4201" s="0">
        <x:f>hyperlink("https://icd.who.int/dev11/l-ichi/en#/http%3A%2F%2Fid.who.int%2Ficd%2Fentity%2F1196249251","browser")</x:f>
      </x:c>
      <x:c r="L4201" s="0">
        <x:f>hyperlink("https://icat2.azurewebsites.net/icat/?ontology=ICD&amp;tab=ClassesTab&amp;id=http%3A%2F%2Fwho.int%2Ficd%2321862_512ebf36_bf6b_4d70_85da_cf2637062af4","iCat")</x:f>
      </x:c>
      <x:c r="M4201" s="0" t="s">
        <x:v>21</x:v>
      </x:c>
      <x:c r="N4201" s="0" t="s">
        <x:v>46</x:v>
      </x:c>
    </x:row>
    <x:row r="4202" spans="1:16">
      <x:c r="A4202" s="0" t="s">
        <x:v>16653</x:v>
      </x:c>
      <x:c r="B4202" s="0" t="s">
        <x:v>16654</x:v>
      </x:c>
      <x:c r="C4202" s="0" t="s">
        <x:v>16655</x:v>
      </x:c>
      <x:c r="E4202" s="0" t="s">
        <x:v>16656</x:v>
      </x:c>
      <x:c r="F4202" s="0" t="s">
        <x:v>45</x:v>
      </x:c>
      <x:c r="G4202" s="0" t="s">
        <x:v>19</x:v>
      </x:c>
      <x:c r="H4202" s="0" t="s">
        <x:v>20</x:v>
      </x:c>
      <x:c r="I4202" s="0" t="s">
        <x:v>21</x:v>
      </x:c>
      <x:c r="K4202" s="0">
        <x:f>hyperlink("https://icd.who.int/dev11/l-ichi/en#/http%3A%2F%2Fid.who.int%2Ficd%2Fentity%2F77646603","browser")</x:f>
      </x:c>
      <x:c r="L4202" s="0">
        <x:f>hyperlink("https://icat2.azurewebsites.net/icat/?ontology=ICD&amp;tab=ClassesTab&amp;id=http%3A%2F%2Fwho.int%2Ficd%23864_bf15315e_f1c5_45f6_9637_651657d70d50","iCat")</x:f>
      </x:c>
      <x:c r="M4202" s="0" t="s">
        <x:v>21</x:v>
      </x:c>
      <x:c r="N4202" s="0" t="s">
        <x:v>46</x:v>
      </x:c>
    </x:row>
    <x:row r="4203" spans="1:16">
      <x:c r="A4203" s="0" t="s">
        <x:v>16657</x:v>
      </x:c>
      <x:c r="B4203" s="0" t="s">
        <x:v>16658</x:v>
      </x:c>
      <x:c r="C4203" s="0" t="s">
        <x:v>16659</x:v>
      </x:c>
      <x:c r="E4203" s="0" t="s">
        <x:v>16660</x:v>
      </x:c>
      <x:c r="F4203" s="0" t="s">
        <x:v>45</x:v>
      </x:c>
      <x:c r="G4203" s="0" t="s">
        <x:v>19</x:v>
      </x:c>
      <x:c r="H4203" s="0" t="s">
        <x:v>20</x:v>
      </x:c>
      <x:c r="I4203" s="0" t="s">
        <x:v>21</x:v>
      </x:c>
      <x:c r="K4203" s="0">
        <x:f>hyperlink("https://icd.who.int/dev11/l-ichi/en#/http%3A%2F%2Fid.who.int%2Ficd%2Fentity%2F1560964729","browser")</x:f>
      </x:c>
      <x:c r="L4203" s="0">
        <x:f>hyperlink("https://icat2.azurewebsites.net/icat/?ontology=ICD&amp;tab=ClassesTab&amp;id=http%3A%2F%2Fwho.int%2Ficd%2321875_512ebf36_bf6b_4d70_85da_cf2637062af4","iCat")</x:f>
      </x:c>
      <x:c r="M4203" s="0" t="s">
        <x:v>21</x:v>
      </x:c>
      <x:c r="N4203" s="0" t="s">
        <x:v>46</x:v>
      </x:c>
    </x:row>
    <x:row r="4204" spans="1:16">
      <x:c r="A4204" s="0" t="s">
        <x:v>16661</x:v>
      </x:c>
      <x:c r="B4204" s="0" t="s">
        <x:v>16662</x:v>
      </x:c>
      <x:c r="C4204" s="0" t="s">
        <x:v>16663</x:v>
      </x:c>
      <x:c r="E4204" s="0" t="s">
        <x:v>16664</x:v>
      </x:c>
      <x:c r="F4204" s="0" t="s">
        <x:v>45</x:v>
      </x:c>
      <x:c r="G4204" s="0" t="s">
        <x:v>19</x:v>
      </x:c>
      <x:c r="H4204" s="0" t="s">
        <x:v>20</x:v>
      </x:c>
      <x:c r="I4204" s="0" t="s">
        <x:v>21</x:v>
      </x:c>
      <x:c r="K4204" s="0">
        <x:f>hyperlink("https://icd.who.int/dev11/l-ichi/en#/http%3A%2F%2Fid.who.int%2Ficd%2Fentity%2F1377064603","browser")</x:f>
      </x:c>
      <x:c r="L4204" s="0">
        <x:f>hyperlink("https://icat2.azurewebsites.net/icat/?ontology=ICD&amp;tab=ClassesTab&amp;id=http%3A%2F%2Fwho.int%2Ficd%2321884_512ebf36_bf6b_4d70_85da_cf2637062af4","iCat")</x:f>
      </x:c>
      <x:c r="M4204" s="0" t="s">
        <x:v>21</x:v>
      </x:c>
      <x:c r="N4204" s="0" t="s">
        <x:v>46</x:v>
      </x:c>
    </x:row>
    <x:row r="4205" spans="1:16">
      <x:c r="A4205" s="0" t="s">
        <x:v>16665</x:v>
      </x:c>
      <x:c r="B4205" s="0" t="s">
        <x:v>16666</x:v>
      </x:c>
      <x:c r="C4205" s="0" t="s">
        <x:v>16667</x:v>
      </x:c>
      <x:c r="E4205" s="0" t="s">
        <x:v>16668</x:v>
      </x:c>
      <x:c r="F4205" s="0" t="s">
        <x:v>45</x:v>
      </x:c>
      <x:c r="G4205" s="0" t="s">
        <x:v>19</x:v>
      </x:c>
      <x:c r="H4205" s="0" t="s">
        <x:v>20</x:v>
      </x:c>
      <x:c r="I4205" s="0" t="s">
        <x:v>21</x:v>
      </x:c>
      <x:c r="K4205" s="0">
        <x:f>hyperlink("https://icd.who.int/dev11/l-ichi/en#/http%3A%2F%2Fid.who.int%2Ficd%2Fentity%2F232130488","browser")</x:f>
      </x:c>
      <x:c r="L4205" s="0">
        <x:f>hyperlink("https://icat2.azurewebsites.net/icat/?ontology=ICD&amp;tab=ClassesTab&amp;id=http%3A%2F%2Fwho.int%2Ficd%2321890_512ebf36_bf6b_4d70_85da_cf2637062af4","iCat")</x:f>
      </x:c>
      <x:c r="M4205" s="0" t="s">
        <x:v>21</x:v>
      </x:c>
      <x:c r="N4205" s="0" t="s">
        <x:v>46</x:v>
      </x:c>
    </x:row>
    <x:row r="4206" spans="1:16">
      <x:c r="A4206" s="0" t="s">
        <x:v>16669</x:v>
      </x:c>
      <x:c r="B4206" s="0" t="s">
        <x:v>16670</x:v>
      </x:c>
      <x:c r="C4206" s="0" t="s">
        <x:v>16671</x:v>
      </x:c>
      <x:c r="E4206" s="0" t="s">
        <x:v>16672</x:v>
      </x:c>
      <x:c r="F4206" s="0" t="s">
        <x:v>45</x:v>
      </x:c>
      <x:c r="G4206" s="0" t="s">
        <x:v>19</x:v>
      </x:c>
      <x:c r="H4206" s="0" t="s">
        <x:v>20</x:v>
      </x:c>
      <x:c r="I4206" s="0" t="s">
        <x:v>21</x:v>
      </x:c>
      <x:c r="K4206" s="0">
        <x:f>hyperlink("https://icd.who.int/dev11/l-ichi/en#/http%3A%2F%2Fid.who.int%2Ficd%2Fentity%2F1571675657","browser")</x:f>
      </x:c>
      <x:c r="L4206" s="0">
        <x:f>hyperlink("https://icat2.azurewebsites.net/icat/?ontology=ICD&amp;tab=ClassesTab&amp;id=http%3A%2F%2Fwho.int%2Ficd%2321896_512ebf36_bf6b_4d70_85da_cf2637062af4","iCat")</x:f>
      </x:c>
      <x:c r="M4206" s="0" t="s">
        <x:v>21</x:v>
      </x:c>
      <x:c r="N4206" s="0" t="s">
        <x:v>46</x:v>
      </x:c>
    </x:row>
    <x:row r="4207" spans="1:16">
      <x:c r="A4207" s="0" t="s">
        <x:v>16673</x:v>
      </x:c>
      <x:c r="B4207" s="0" t="s">
        <x:v>16674</x:v>
      </x:c>
      <x:c r="C4207" s="0" t="s">
        <x:v>16675</x:v>
      </x:c>
      <x:c r="E4207" s="0" t="s">
        <x:v>16676</x:v>
      </x:c>
      <x:c r="F4207" s="0" t="s">
        <x:v>45</x:v>
      </x:c>
      <x:c r="G4207" s="0" t="s">
        <x:v>19</x:v>
      </x:c>
      <x:c r="H4207" s="0" t="s">
        <x:v>20</x:v>
      </x:c>
      <x:c r="I4207" s="0" t="s">
        <x:v>21</x:v>
      </x:c>
      <x:c r="K4207" s="0">
        <x:f>hyperlink("https://icd.who.int/dev11/l-ichi/en#/http%3A%2F%2Fid.who.int%2Ficd%2Fentity%2F407092224","browser")</x:f>
      </x:c>
      <x:c r="L4207" s="0">
        <x:f>hyperlink("https://icat2.azurewebsites.net/icat/?ontology=ICD&amp;tab=ClassesTab&amp;id=http%3A%2F%2Fwho.int%2Ficd%2321905_512ebf36_bf6b_4d70_85da_cf2637062af4","iCat")</x:f>
      </x:c>
      <x:c r="M4207" s="0" t="s">
        <x:v>21</x:v>
      </x:c>
      <x:c r="N4207" s="0" t="s">
        <x:v>46</x:v>
      </x:c>
    </x:row>
    <x:row r="4208" spans="1:16">
      <x:c r="A4208" s="0" t="s">
        <x:v>16677</x:v>
      </x:c>
      <x:c r="B4208" s="0" t="s">
        <x:v>16678</x:v>
      </x:c>
      <x:c r="C4208" s="0" t="s">
        <x:v>16679</x:v>
      </x:c>
      <x:c r="E4208" s="0" t="s">
        <x:v>16680</x:v>
      </x:c>
      <x:c r="F4208" s="0" t="s">
        <x:v>45</x:v>
      </x:c>
      <x:c r="G4208" s="0" t="s">
        <x:v>19</x:v>
      </x:c>
      <x:c r="H4208" s="0" t="s">
        <x:v>20</x:v>
      </x:c>
      <x:c r="I4208" s="0" t="s">
        <x:v>21</x:v>
      </x:c>
      <x:c r="K4208" s="0">
        <x:f>hyperlink("https://icd.who.int/dev11/l-ichi/en#/http%3A%2F%2Fid.who.int%2Ficd%2Fentity%2F1384078485","browser")</x:f>
      </x:c>
      <x:c r="L4208" s="0">
        <x:f>hyperlink("https://icat2.azurewebsites.net/icat/?ontology=ICD&amp;tab=ClassesTab&amp;id=http%3A%2F%2Fwho.int%2Ficd%2321914_512ebf36_bf6b_4d70_85da_cf2637062af4","iCat")</x:f>
      </x:c>
      <x:c r="M4208" s="0" t="s">
        <x:v>21</x:v>
      </x:c>
      <x:c r="N4208" s="0" t="s">
        <x:v>46</x:v>
      </x:c>
    </x:row>
    <x:row r="4209" spans="1:16">
      <x:c r="A4209" s="0" t="s">
        <x:v>16681</x:v>
      </x:c>
      <x:c r="B4209" s="0" t="s">
        <x:v>16682</x:v>
      </x:c>
      <x:c r="C4209" s="0" t="s">
        <x:v>16683</x:v>
      </x:c>
      <x:c r="E4209" s="0" t="s">
        <x:v>16684</x:v>
      </x:c>
      <x:c r="F4209" s="0" t="s">
        <x:v>45</x:v>
      </x:c>
      <x:c r="G4209" s="0" t="s">
        <x:v>19</x:v>
      </x:c>
      <x:c r="H4209" s="0" t="s">
        <x:v>20</x:v>
      </x:c>
      <x:c r="I4209" s="0" t="s">
        <x:v>21</x:v>
      </x:c>
      <x:c r="K4209" s="0">
        <x:f>hyperlink("https://icd.who.int/dev11/l-ichi/en#/http%3A%2F%2Fid.who.int%2Ficd%2Fentity%2F842493614","browser")</x:f>
      </x:c>
      <x:c r="L4209" s="0">
        <x:f>hyperlink("https://icat2.azurewebsites.net/icat/?ontology=ICD&amp;tab=ClassesTab&amp;id=http%3A%2F%2Fwho.int%2Ficd%2321925_512ebf36_bf6b_4d70_85da_cf2637062af4","iCat")</x:f>
      </x:c>
      <x:c r="M4209" s="0" t="s">
        <x:v>21</x:v>
      </x:c>
      <x:c r="N4209" s="0" t="s">
        <x:v>46</x:v>
      </x:c>
    </x:row>
    <x:row r="4210" spans="1:16">
      <x:c r="A4210" s="0" t="s">
        <x:v>16685</x:v>
      </x:c>
      <x:c r="B4210" s="0" t="s">
        <x:v>16686</x:v>
      </x:c>
      <x:c r="C4210" s="0" t="s">
        <x:v>16687</x:v>
      </x:c>
      <x:c r="E4210" s="0" t="s">
        <x:v>16688</x:v>
      </x:c>
      <x:c r="F4210" s="0" t="s">
        <x:v>45</x:v>
      </x:c>
      <x:c r="G4210" s="0" t="s">
        <x:v>19</x:v>
      </x:c>
      <x:c r="H4210" s="0" t="s">
        <x:v>20</x:v>
      </x:c>
      <x:c r="I4210" s="0" t="s">
        <x:v>21</x:v>
      </x:c>
      <x:c r="K4210" s="0">
        <x:f>hyperlink("https://icd.who.int/dev11/l-ichi/en#/http%3A%2F%2Fid.who.int%2Ficd%2Fentity%2F2014022085","browser")</x:f>
      </x:c>
      <x:c r="L4210" s="0">
        <x:f>hyperlink("https://icat2.azurewebsites.net/icat/?ontology=ICD&amp;tab=ClassesTab&amp;id=http%3A%2F%2Fwho.int%2Ficd%2321934_512ebf36_bf6b_4d70_85da_cf2637062af4","iCat")</x:f>
      </x:c>
      <x:c r="M4210" s="0" t="s">
        <x:v>21</x:v>
      </x:c>
      <x:c r="N4210" s="0" t="s">
        <x:v>46</x:v>
      </x:c>
    </x:row>
    <x:row r="4211" spans="1:16">
      <x:c r="A4211" s="0" t="s">
        <x:v>16689</x:v>
      </x:c>
      <x:c r="B4211" s="0" t="s">
        <x:v>16690</x:v>
      </x:c>
      <x:c r="C4211" s="0" t="s">
        <x:v>16691</x:v>
      </x:c>
      <x:c r="E4211" s="0" t="s">
        <x:v>16692</x:v>
      </x:c>
      <x:c r="F4211" s="0" t="s">
        <x:v>45</x:v>
      </x:c>
      <x:c r="G4211" s="0" t="s">
        <x:v>19</x:v>
      </x:c>
      <x:c r="H4211" s="0" t="s">
        <x:v>20</x:v>
      </x:c>
      <x:c r="I4211" s="0" t="s">
        <x:v>21</x:v>
      </x:c>
      <x:c r="K4211" s="0">
        <x:f>hyperlink("https://icd.who.int/dev11/l-ichi/en#/http%3A%2F%2Fid.who.int%2Ficd%2Fentity%2F2111463083","browser")</x:f>
      </x:c>
      <x:c r="L4211" s="0">
        <x:f>hyperlink("https://icat2.azurewebsites.net/icat/?ontology=ICD&amp;tab=ClassesTab&amp;id=http%3A%2F%2Fwho.int%2Ficd%2321940_512ebf36_bf6b_4d70_85da_cf2637062af4","iCat")</x:f>
      </x:c>
      <x:c r="M4211" s="0" t="s">
        <x:v>21</x:v>
      </x:c>
      <x:c r="N4211" s="0" t="s">
        <x:v>46</x:v>
      </x:c>
    </x:row>
    <x:row r="4212" spans="1:16">
      <x:c r="A4212" s="0" t="s">
        <x:v>16693</x:v>
      </x:c>
      <x:c r="B4212" s="0" t="s">
        <x:v>16694</x:v>
      </x:c>
      <x:c r="C4212" s="0" t="s">
        <x:v>16695</x:v>
      </x:c>
      <x:c r="E4212" s="0" t="s">
        <x:v>16696</x:v>
      </x:c>
      <x:c r="F4212" s="0" t="s">
        <x:v>45</x:v>
      </x:c>
      <x:c r="G4212" s="0" t="s">
        <x:v>19</x:v>
      </x:c>
      <x:c r="H4212" s="0" t="s">
        <x:v>20</x:v>
      </x:c>
      <x:c r="I4212" s="0" t="s">
        <x:v>21</x:v>
      </x:c>
      <x:c r="K4212" s="0">
        <x:f>hyperlink("https://icd.who.int/dev11/l-ichi/en#/http%3A%2F%2Fid.who.int%2Ficd%2Fentity%2F937867712","browser")</x:f>
      </x:c>
      <x:c r="L4212" s="0">
        <x:f>hyperlink("https://icat2.azurewebsites.net/icat/?ontology=ICD&amp;tab=ClassesTab&amp;id=http%3A%2F%2Fwho.int%2Ficd%2321951_512ebf36_bf6b_4d70_85da_cf2637062af4","iCat")</x:f>
      </x:c>
      <x:c r="M4212" s="0" t="s">
        <x:v>21</x:v>
      </x:c>
      <x:c r="N4212" s="0" t="s">
        <x:v>46</x:v>
      </x:c>
    </x:row>
    <x:row r="4213" spans="1:16">
      <x:c r="A4213" s="0" t="s">
        <x:v>16697</x:v>
      </x:c>
      <x:c r="B4213" s="0" t="s">
        <x:v>16698</x:v>
      </x:c>
      <x:c r="C4213" s="0" t="s">
        <x:v>16699</x:v>
      </x:c>
      <x:c r="E4213" s="0" t="s">
        <x:v>16700</x:v>
      </x:c>
      <x:c r="F4213" s="0" t="s">
        <x:v>45</x:v>
      </x:c>
      <x:c r="G4213" s="0" t="s">
        <x:v>19</x:v>
      </x:c>
      <x:c r="H4213" s="0" t="s">
        <x:v>20</x:v>
      </x:c>
      <x:c r="I4213" s="0" t="s">
        <x:v>21</x:v>
      </x:c>
      <x:c r="K4213" s="0">
        <x:f>hyperlink("https://icd.who.int/dev11/l-ichi/en#/http%3A%2F%2Fid.who.int%2Ficd%2Fentity%2F2002254279","browser")</x:f>
      </x:c>
      <x:c r="L4213" s="0">
        <x:f>hyperlink("https://icat2.azurewebsites.net/icat/?ontology=ICD&amp;tab=ClassesTab&amp;id=http%3A%2F%2Fwho.int%2Ficd%2321961_512ebf36_bf6b_4d70_85da_cf2637062af4","iCat")</x:f>
      </x:c>
      <x:c r="M4213" s="0" t="s">
        <x:v>21</x:v>
      </x:c>
      <x:c r="N4213" s="0" t="s">
        <x:v>46</x:v>
      </x:c>
    </x:row>
    <x:row r="4214" spans="1:16">
      <x:c r="A4214" s="0" t="s">
        <x:v>16701</x:v>
      </x:c>
      <x:c r="B4214" s="0" t="s">
        <x:v>16702</x:v>
      </x:c>
      <x:c r="C4214" s="0" t="s">
        <x:v>16703</x:v>
      </x:c>
      <x:c r="E4214" s="0" t="s">
        <x:v>16704</x:v>
      </x:c>
      <x:c r="F4214" s="0" t="s">
        <x:v>45</x:v>
      </x:c>
      <x:c r="G4214" s="0" t="s">
        <x:v>19</x:v>
      </x:c>
      <x:c r="H4214" s="0" t="s">
        <x:v>20</x:v>
      </x:c>
      <x:c r="I4214" s="0" t="s">
        <x:v>21</x:v>
      </x:c>
      <x:c r="K4214" s="0">
        <x:f>hyperlink("https://icd.who.int/dev11/l-ichi/en#/http%3A%2F%2Fid.who.int%2Ficd%2Fentity%2F680896740","browser")</x:f>
      </x:c>
      <x:c r="L4214" s="0">
        <x:f>hyperlink("https://icat2.azurewebsites.net/icat/?ontology=ICD&amp;tab=ClassesTab&amp;id=http%3A%2F%2Fwho.int%2Ficd%2321975_512ebf36_bf6b_4d70_85da_cf2637062af4","iCat")</x:f>
      </x:c>
      <x:c r="M4214" s="0" t="s">
        <x:v>21</x:v>
      </x:c>
      <x:c r="N4214" s="0" t="s">
        <x:v>46</x:v>
      </x:c>
    </x:row>
    <x:row r="4215" spans="1:16">
      <x:c r="A4215" s="0" t="s">
        <x:v>16705</x:v>
      </x:c>
      <x:c r="B4215" s="0" t="s">
        <x:v>16706</x:v>
      </x:c>
      <x:c r="C4215" s="0" t="s">
        <x:v>16707</x:v>
      </x:c>
      <x:c r="E4215" s="0" t="s">
        <x:v>16708</x:v>
      </x:c>
      <x:c r="F4215" s="0" t="s">
        <x:v>45</x:v>
      </x:c>
      <x:c r="G4215" s="0" t="s">
        <x:v>19</x:v>
      </x:c>
      <x:c r="H4215" s="0" t="s">
        <x:v>20</x:v>
      </x:c>
      <x:c r="I4215" s="0" t="s">
        <x:v>21</x:v>
      </x:c>
      <x:c r="K4215" s="0">
        <x:f>hyperlink("https://icd.who.int/dev11/l-ichi/en#/http%3A%2F%2Fid.who.int%2Ficd%2Fentity%2F846538320","browser")</x:f>
      </x:c>
      <x:c r="L4215" s="0">
        <x:f>hyperlink("https://icat2.azurewebsites.net/icat/?ontology=ICD&amp;tab=ClassesTab&amp;id=http%3A%2F%2Fwho.int%2Ficd%2321981_512ebf36_bf6b_4d70_85da_cf2637062af4","iCat")</x:f>
      </x:c>
      <x:c r="M4215" s="0" t="s">
        <x:v>21</x:v>
      </x:c>
      <x:c r="N4215" s="0" t="s">
        <x:v>46</x:v>
      </x:c>
    </x:row>
    <x:row r="4216" spans="1:16">
      <x:c r="A4216" s="0" t="s">
        <x:v>16709</x:v>
      </x:c>
      <x:c r="B4216" s="0" t="s">
        <x:v>16710</x:v>
      </x:c>
      <x:c r="C4216" s="0" t="s">
        <x:v>16711</x:v>
      </x:c>
      <x:c r="E4216" s="0" t="s">
        <x:v>16712</x:v>
      </x:c>
      <x:c r="F4216" s="0" t="s">
        <x:v>45</x:v>
      </x:c>
      <x:c r="G4216" s="0" t="s">
        <x:v>19</x:v>
      </x:c>
      <x:c r="H4216" s="0" t="s">
        <x:v>20</x:v>
      </x:c>
      <x:c r="I4216" s="0" t="s">
        <x:v>21</x:v>
      </x:c>
      <x:c r="K4216" s="0">
        <x:f>hyperlink("https://icd.who.int/dev11/l-ichi/en#/http%3A%2F%2Fid.who.int%2Ficd%2Fentity%2F2096387867","browser")</x:f>
      </x:c>
      <x:c r="L4216" s="0">
        <x:f>hyperlink("https://icat2.azurewebsites.net/icat/?ontology=ICD&amp;tab=ClassesTab&amp;id=http%3A%2F%2Fwho.int%2Ficd%2321989_512ebf36_bf6b_4d70_85da_cf2637062af4","iCat")</x:f>
      </x:c>
      <x:c r="M4216" s="0" t="s">
        <x:v>21</x:v>
      </x:c>
      <x:c r="N4216" s="0" t="s">
        <x:v>46</x:v>
      </x:c>
    </x:row>
    <x:row r="4217" spans="1:16">
      <x:c r="A4217" s="0" t="s">
        <x:v>16713</x:v>
      </x:c>
      <x:c r="B4217" s="0" t="s">
        <x:v>16714</x:v>
      </x:c>
      <x:c r="C4217" s="0" t="s">
        <x:v>16715</x:v>
      </x:c>
      <x:c r="E4217" s="0" t="s">
        <x:v>16716</x:v>
      </x:c>
      <x:c r="F4217" s="0" t="s">
        <x:v>45</x:v>
      </x:c>
      <x:c r="G4217" s="0" t="s">
        <x:v>19</x:v>
      </x:c>
      <x:c r="H4217" s="0" t="s">
        <x:v>20</x:v>
      </x:c>
      <x:c r="I4217" s="0" t="s">
        <x:v>21</x:v>
      </x:c>
      <x:c r="K4217" s="0">
        <x:f>hyperlink("https://icd.who.int/dev11/l-ichi/en#/http%3A%2F%2Fid.who.int%2Ficd%2Fentity%2F147548840","browser")</x:f>
      </x:c>
      <x:c r="L4217" s="0">
        <x:f>hyperlink("https://icat2.azurewebsites.net/icat/?ontology=ICD&amp;tab=ClassesTab&amp;id=http%3A%2F%2Fwho.int%2Ficd%2321997_512ebf36_bf6b_4d70_85da_cf2637062af4","iCat")</x:f>
      </x:c>
      <x:c r="M4217" s="0" t="s">
        <x:v>21</x:v>
      </x:c>
      <x:c r="N4217" s="0" t="s">
        <x:v>46</x:v>
      </x:c>
    </x:row>
    <x:row r="4218" spans="1:16">
      <x:c r="A4218" s="0" t="s">
        <x:v>16717</x:v>
      </x:c>
      <x:c r="B4218" s="0" t="s">
        <x:v>16718</x:v>
      </x:c>
      <x:c r="C4218" s="0" t="s">
        <x:v>16719</x:v>
      </x:c>
      <x:c r="E4218" s="0" t="s">
        <x:v>16720</x:v>
      </x:c>
      <x:c r="F4218" s="0" t="s">
        <x:v>45</x:v>
      </x:c>
      <x:c r="G4218" s="0" t="s">
        <x:v>19</x:v>
      </x:c>
      <x:c r="H4218" s="0" t="s">
        <x:v>20</x:v>
      </x:c>
      <x:c r="I4218" s="0" t="s">
        <x:v>21</x:v>
      </x:c>
      <x:c r="K4218" s="0">
        <x:f>hyperlink("https://icd.who.int/dev11/l-ichi/en#/http%3A%2F%2Fid.who.int%2Ficd%2Fentity%2F754429572","browser")</x:f>
      </x:c>
      <x:c r="L4218" s="0">
        <x:f>hyperlink("https://icat2.azurewebsites.net/icat/?ontology=ICD&amp;tab=ClassesTab&amp;id=http%3A%2F%2Fwho.int%2Ficd%2322008_512ebf36_bf6b_4d70_85da_cf2637062af4","iCat")</x:f>
      </x:c>
      <x:c r="M4218" s="0" t="s">
        <x:v>21</x:v>
      </x:c>
      <x:c r="N4218" s="0" t="s">
        <x:v>46</x:v>
      </x:c>
    </x:row>
    <x:row r="4219" spans="1:16">
      <x:c r="A4219" s="0" t="s">
        <x:v>16721</x:v>
      </x:c>
      <x:c r="B4219" s="0" t="s">
        <x:v>16722</x:v>
      </x:c>
      <x:c r="C4219" s="0" t="s">
        <x:v>16723</x:v>
      </x:c>
      <x:c r="E4219" s="0" t="s">
        <x:v>16724</x:v>
      </x:c>
      <x:c r="F4219" s="0" t="s">
        <x:v>45</x:v>
      </x:c>
      <x:c r="G4219" s="0" t="s">
        <x:v>19</x:v>
      </x:c>
      <x:c r="H4219" s="0" t="s">
        <x:v>20</x:v>
      </x:c>
      <x:c r="I4219" s="0" t="s">
        <x:v>21</x:v>
      </x:c>
      <x:c r="K4219" s="0">
        <x:f>hyperlink("https://icd.who.int/dev11/l-ichi/en#/http%3A%2F%2Fid.who.int%2Ficd%2Fentity%2F491650250","browser")</x:f>
      </x:c>
      <x:c r="L4219" s="0">
        <x:f>hyperlink("https://icat2.azurewebsites.net/icat/?ontology=ICD&amp;tab=ClassesTab&amp;id=http%3A%2F%2Fwho.int%2Ficd%2322015_512ebf36_bf6b_4d70_85da_cf2637062af4","iCat")</x:f>
      </x:c>
      <x:c r="M4219" s="0" t="s">
        <x:v>21</x:v>
      </x:c>
      <x:c r="N4219" s="0" t="s">
        <x:v>46</x:v>
      </x:c>
    </x:row>
    <x:row r="4220" spans="1:16">
      <x:c r="A4220" s="0" t="s">
        <x:v>16725</x:v>
      </x:c>
      <x:c r="B4220" s="0" t="s">
        <x:v>16726</x:v>
      </x:c>
      <x:c r="C4220" s="0" t="s">
        <x:v>16727</x:v>
      </x:c>
      <x:c r="E4220" s="0" t="s">
        <x:v>16728</x:v>
      </x:c>
      <x:c r="F4220" s="0" t="s">
        <x:v>45</x:v>
      </x:c>
      <x:c r="G4220" s="0" t="s">
        <x:v>19</x:v>
      </x:c>
      <x:c r="H4220" s="0" t="s">
        <x:v>20</x:v>
      </x:c>
      <x:c r="I4220" s="0" t="s">
        <x:v>21</x:v>
      </x:c>
      <x:c r="K4220" s="0">
        <x:f>hyperlink("https://icd.who.int/dev11/l-ichi/en#/http%3A%2F%2Fid.who.int%2Ficd%2Fentity%2F410637112","browser")</x:f>
      </x:c>
      <x:c r="L4220" s="0">
        <x:f>hyperlink("https://icat2.azurewebsites.net/icat/?ontology=ICD&amp;tab=ClassesTab&amp;id=http%3A%2F%2Fwho.int%2Ficd%2322026_512ebf36_bf6b_4d70_85da_cf2637062af4","iCat")</x:f>
      </x:c>
      <x:c r="M4220" s="0" t="s">
        <x:v>21</x:v>
      </x:c>
      <x:c r="N4220" s="0" t="s">
        <x:v>46</x:v>
      </x:c>
    </x:row>
    <x:row r="4221" spans="1:16">
      <x:c r="A4221" s="0" t="s">
        <x:v>16729</x:v>
      </x:c>
      <x:c r="B4221" s="0" t="s">
        <x:v>16730</x:v>
      </x:c>
      <x:c r="C4221" s="0" t="s">
        <x:v>16731</x:v>
      </x:c>
      <x:c r="E4221" s="0" t="s">
        <x:v>16732</x:v>
      </x:c>
      <x:c r="F4221" s="0" t="s">
        <x:v>45</x:v>
      </x:c>
      <x:c r="G4221" s="0" t="s">
        <x:v>19</x:v>
      </x:c>
      <x:c r="H4221" s="0" t="s">
        <x:v>20</x:v>
      </x:c>
      <x:c r="I4221" s="0" t="s">
        <x:v>21</x:v>
      </x:c>
      <x:c r="K4221" s="0">
        <x:f>hyperlink("https://icd.who.int/dev11/l-ichi/en#/http%3A%2F%2Fid.who.int%2Ficd%2Fentity%2F1732440105","browser")</x:f>
      </x:c>
      <x:c r="L4221" s="0">
        <x:f>hyperlink("https://icat2.azurewebsites.net/icat/?ontology=ICD&amp;tab=ClassesTab&amp;id=http%3A%2F%2Fwho.int%2Ficd%2322033_512ebf36_bf6b_4d70_85da_cf2637062af4","iCat")</x:f>
      </x:c>
      <x:c r="M4221" s="0" t="s">
        <x:v>21</x:v>
      </x:c>
      <x:c r="N4221" s="0" t="s">
        <x:v>46</x:v>
      </x:c>
    </x:row>
    <x:row r="4222" spans="1:16">
      <x:c r="A4222" s="0" t="s">
        <x:v>16733</x:v>
      </x:c>
      <x:c r="B4222" s="0" t="s">
        <x:v>16734</x:v>
      </x:c>
      <x:c r="C4222" s="0" t="s">
        <x:v>16735</x:v>
      </x:c>
      <x:c r="E4222" s="0" t="s">
        <x:v>16736</x:v>
      </x:c>
      <x:c r="F4222" s="0" t="s">
        <x:v>45</x:v>
      </x:c>
      <x:c r="G4222" s="0" t="s">
        <x:v>19</x:v>
      </x:c>
      <x:c r="H4222" s="0" t="s">
        <x:v>20</x:v>
      </x:c>
      <x:c r="I4222" s="0" t="s">
        <x:v>21</x:v>
      </x:c>
      <x:c r="K4222" s="0">
        <x:f>hyperlink("https://icd.who.int/dev11/l-ichi/en#/http%3A%2F%2Fid.who.int%2Ficd%2Fentity%2F1287625913","browser")</x:f>
      </x:c>
      <x:c r="L4222" s="0">
        <x:f>hyperlink("https://icat2.azurewebsites.net/icat/?ontology=ICD&amp;tab=ClassesTab&amp;id=http%3A%2F%2Fwho.int%2Ficd%2322039_512ebf36_bf6b_4d70_85da_cf2637062af4","iCat")</x:f>
      </x:c>
      <x:c r="M4222" s="0" t="s">
        <x:v>21</x:v>
      </x:c>
      <x:c r="N4222" s="0" t="s">
        <x:v>46</x:v>
      </x:c>
    </x:row>
    <x:row r="4223" spans="1:16">
      <x:c r="A4223" s="0" t="s">
        <x:v>16737</x:v>
      </x:c>
      <x:c r="B4223" s="0" t="s">
        <x:v>16738</x:v>
      </x:c>
      <x:c r="C4223" s="0" t="s">
        <x:v>16739</x:v>
      </x:c>
      <x:c r="E4223" s="0" t="s">
        <x:v>16740</x:v>
      </x:c>
      <x:c r="F4223" s="0" t="s">
        <x:v>45</x:v>
      </x:c>
      <x:c r="G4223" s="0" t="s">
        <x:v>19</x:v>
      </x:c>
      <x:c r="H4223" s="0" t="s">
        <x:v>20</x:v>
      </x:c>
      <x:c r="I4223" s="0" t="s">
        <x:v>21</x:v>
      </x:c>
      <x:c r="K4223" s="0">
        <x:f>hyperlink("https://icd.who.int/dev11/l-ichi/en#/http%3A%2F%2Fid.who.int%2Ficd%2Fentity%2F497550426","browser")</x:f>
      </x:c>
      <x:c r="L4223" s="0">
        <x:f>hyperlink("https://icat2.azurewebsites.net/icat/?ontology=ICD&amp;tab=ClassesTab&amp;id=http%3A%2F%2Fwho.int%2Ficd%2322052_512ebf36_bf6b_4d70_85da_cf2637062af4","iCat")</x:f>
      </x:c>
      <x:c r="M4223" s="0" t="s">
        <x:v>21</x:v>
      </x:c>
      <x:c r="N4223" s="0" t="s">
        <x:v>46</x:v>
      </x:c>
    </x:row>
    <x:row r="4224" spans="1:16">
      <x:c r="A4224" s="0" t="s">
        <x:v>16741</x:v>
      </x:c>
      <x:c r="B4224" s="0" t="s">
        <x:v>16742</x:v>
      </x:c>
      <x:c r="C4224" s="0" t="s">
        <x:v>16743</x:v>
      </x:c>
      <x:c r="E4224" s="0" t="s">
        <x:v>16744</x:v>
      </x:c>
      <x:c r="F4224" s="0" t="s">
        <x:v>45</x:v>
      </x:c>
      <x:c r="G4224" s="0" t="s">
        <x:v>19</x:v>
      </x:c>
      <x:c r="H4224" s="0" t="s">
        <x:v>20</x:v>
      </x:c>
      <x:c r="I4224" s="0" t="s">
        <x:v>21</x:v>
      </x:c>
      <x:c r="K4224" s="0">
        <x:f>hyperlink("https://icd.who.int/dev11/l-ichi/en#/http%3A%2F%2Fid.who.int%2Ficd%2Fentity%2F911567050","browser")</x:f>
      </x:c>
      <x:c r="L4224" s="0">
        <x:f>hyperlink("https://icat2.azurewebsites.net/icat/?ontology=ICD&amp;tab=ClassesTab&amp;id=http%3A%2F%2Fwho.int%2Ficd%2322058_512ebf36_bf6b_4d70_85da_cf2637062af4","iCat")</x:f>
      </x:c>
      <x:c r="M4224" s="0" t="s">
        <x:v>21</x:v>
      </x:c>
      <x:c r="N4224" s="0" t="s">
        <x:v>46</x:v>
      </x:c>
    </x:row>
    <x:row r="4225" spans="1:16">
      <x:c r="A4225" s="0" t="s">
        <x:v>16745</x:v>
      </x:c>
      <x:c r="B4225" s="0" t="s">
        <x:v>16746</x:v>
      </x:c>
      <x:c r="C4225" s="0" t="s">
        <x:v>16747</x:v>
      </x:c>
      <x:c r="E4225" s="0" t="s">
        <x:v>16748</x:v>
      </x:c>
      <x:c r="F4225" s="0" t="s">
        <x:v>45</x:v>
      </x:c>
      <x:c r="G4225" s="0" t="s">
        <x:v>19</x:v>
      </x:c>
      <x:c r="H4225" s="0" t="s">
        <x:v>20</x:v>
      </x:c>
      <x:c r="I4225" s="0" t="s">
        <x:v>21</x:v>
      </x:c>
      <x:c r="K4225" s="0">
        <x:f>hyperlink("https://icd.who.int/dev11/l-ichi/en#/http%3A%2F%2Fid.who.int%2Ficd%2Fentity%2F388342582","browser")</x:f>
      </x:c>
      <x:c r="L4225" s="0">
        <x:f>hyperlink("https://icat2.azurewebsites.net/icat/?ontology=ICD&amp;tab=ClassesTab&amp;id=http%3A%2F%2Fwho.int%2Ficd%2322073_512ebf36_bf6b_4d70_85da_cf2637062af4","iCat")</x:f>
      </x:c>
      <x:c r="M4225" s="0" t="s">
        <x:v>21</x:v>
      </x:c>
      <x:c r="N4225" s="0" t="s">
        <x:v>46</x:v>
      </x:c>
    </x:row>
    <x:row r="4226" spans="1:16">
      <x:c r="A4226" s="0" t="s">
        <x:v>16749</x:v>
      </x:c>
      <x:c r="B4226" s="0" t="s">
        <x:v>16750</x:v>
      </x:c>
      <x:c r="C4226" s="0" t="s">
        <x:v>16751</x:v>
      </x:c>
      <x:c r="E4226" s="0" t="s">
        <x:v>16752</x:v>
      </x:c>
      <x:c r="F4226" s="0" t="s">
        <x:v>45</x:v>
      </x:c>
      <x:c r="G4226" s="0" t="s">
        <x:v>19</x:v>
      </x:c>
      <x:c r="H4226" s="0" t="s">
        <x:v>20</x:v>
      </x:c>
      <x:c r="I4226" s="0" t="s">
        <x:v>21</x:v>
      </x:c>
      <x:c r="K4226" s="0">
        <x:f>hyperlink("https://icd.who.int/dev11/l-ichi/en#/http%3A%2F%2Fid.who.int%2Ficd%2Fentity%2F1020841894","browser")</x:f>
      </x:c>
      <x:c r="L4226" s="0">
        <x:f>hyperlink("https://icat2.azurewebsites.net/icat/?ontology=ICD&amp;tab=ClassesTab&amp;id=http%3A%2F%2Fwho.int%2Ficd%2322079_512ebf36_bf6b_4d70_85da_cf2637062af4","iCat")</x:f>
      </x:c>
      <x:c r="M4226" s="0" t="s">
        <x:v>21</x:v>
      </x:c>
      <x:c r="N4226" s="0" t="s">
        <x:v>46</x:v>
      </x:c>
    </x:row>
    <x:row r="4227" spans="1:16">
      <x:c r="A4227" s="0" t="s">
        <x:v>16753</x:v>
      </x:c>
      <x:c r="B4227" s="0" t="s">
        <x:v>16754</x:v>
      </x:c>
      <x:c r="C4227" s="0" t="s">
        <x:v>16755</x:v>
      </x:c>
      <x:c r="E4227" s="0" t="s">
        <x:v>16756</x:v>
      </x:c>
      <x:c r="F4227" s="0" t="s">
        <x:v>45</x:v>
      </x:c>
      <x:c r="G4227" s="0" t="s">
        <x:v>19</x:v>
      </x:c>
      <x:c r="H4227" s="0" t="s">
        <x:v>20</x:v>
      </x:c>
      <x:c r="I4227" s="0" t="s">
        <x:v>21</x:v>
      </x:c>
      <x:c r="K4227" s="0">
        <x:f>hyperlink("https://icd.who.int/dev11/l-ichi/en#/http%3A%2F%2Fid.who.int%2Ficd%2Fentity%2F758931364","browser")</x:f>
      </x:c>
      <x:c r="L4227" s="0">
        <x:f>hyperlink("https://icat2.azurewebsites.net/icat/?ontology=ICD&amp;tab=ClassesTab&amp;id=http%3A%2F%2Fwho.int%2Ficd%2322086_512ebf36_bf6b_4d70_85da_cf2637062af4","iCat")</x:f>
      </x:c>
      <x:c r="M4227" s="0" t="s">
        <x:v>21</x:v>
      </x:c>
      <x:c r="N4227" s="0" t="s">
        <x:v>46</x:v>
      </x:c>
    </x:row>
    <x:row r="4228" spans="1:16">
      <x:c r="A4228" s="0" t="s">
        <x:v>16757</x:v>
      </x:c>
      <x:c r="B4228" s="0" t="s">
        <x:v>16758</x:v>
      </x:c>
      <x:c r="C4228" s="0" t="s">
        <x:v>16759</x:v>
      </x:c>
      <x:c r="E4228" s="0" t="s">
        <x:v>16760</x:v>
      </x:c>
      <x:c r="F4228" s="0" t="s">
        <x:v>45</x:v>
      </x:c>
      <x:c r="G4228" s="0" t="s">
        <x:v>19</x:v>
      </x:c>
      <x:c r="H4228" s="0" t="s">
        <x:v>20</x:v>
      </x:c>
      <x:c r="I4228" s="0" t="s">
        <x:v>21</x:v>
      </x:c>
      <x:c r="K4228" s="0">
        <x:f>hyperlink("https://icd.who.int/dev11/l-ichi/en#/http%3A%2F%2Fid.who.int%2Ficd%2Fentity%2F1929252481","browser")</x:f>
      </x:c>
      <x:c r="L4228" s="0">
        <x:f>hyperlink("https://icat2.azurewebsites.net/icat/?ontology=ICD&amp;tab=ClassesTab&amp;id=http%3A%2F%2Fwho.int%2Ficd%2322092_512ebf36_bf6b_4d70_85da_cf2637062af4","iCat")</x:f>
      </x:c>
      <x:c r="M4228" s="0" t="s">
        <x:v>21</x:v>
      </x:c>
      <x:c r="N4228" s="0" t="s">
        <x:v>46</x:v>
      </x:c>
    </x:row>
    <x:row r="4229" spans="1:16">
      <x:c r="A4229" s="0" t="s">
        <x:v>16761</x:v>
      </x:c>
      <x:c r="B4229" s="0" t="s">
        <x:v>16762</x:v>
      </x:c>
      <x:c r="C4229" s="0" t="s">
        <x:v>16763</x:v>
      </x:c>
      <x:c r="E4229" s="0" t="s">
        <x:v>16764</x:v>
      </x:c>
      <x:c r="F4229" s="0" t="s">
        <x:v>45</x:v>
      </x:c>
      <x:c r="G4229" s="0" t="s">
        <x:v>19</x:v>
      </x:c>
      <x:c r="H4229" s="0" t="s">
        <x:v>20</x:v>
      </x:c>
      <x:c r="I4229" s="0" t="s">
        <x:v>21</x:v>
      </x:c>
      <x:c r="K4229" s="0">
        <x:f>hyperlink("https://icd.who.int/dev11/l-ichi/en#/http%3A%2F%2Fid.who.int%2Ficd%2Fentity%2F401152332","browser")</x:f>
      </x:c>
      <x:c r="L4229" s="0">
        <x:f>hyperlink("https://icat2.azurewebsites.net/icat/?ontology=ICD&amp;tab=ClassesTab&amp;id=http%3A%2F%2Fwho.int%2Ficd%2322100_512ebf36_bf6b_4d70_85da_cf2637062af4","iCat")</x:f>
      </x:c>
      <x:c r="M4229" s="0" t="s">
        <x:v>21</x:v>
      </x:c>
      <x:c r="N4229" s="0" t="s">
        <x:v>46</x:v>
      </x:c>
    </x:row>
    <x:row r="4230" spans="1:16">
      <x:c r="A4230" s="0" t="s">
        <x:v>16765</x:v>
      </x:c>
      <x:c r="B4230" s="0" t="s">
        <x:v>16766</x:v>
      </x:c>
      <x:c r="C4230" s="0" t="s">
        <x:v>16767</x:v>
      </x:c>
      <x:c r="E4230" s="0" t="s">
        <x:v>16768</x:v>
      </x:c>
      <x:c r="F4230" s="0" t="s">
        <x:v>45</x:v>
      </x:c>
      <x:c r="G4230" s="0" t="s">
        <x:v>19</x:v>
      </x:c>
      <x:c r="H4230" s="0" t="s">
        <x:v>20</x:v>
      </x:c>
      <x:c r="I4230" s="0" t="s">
        <x:v>21</x:v>
      </x:c>
      <x:c r="K4230" s="0">
        <x:f>hyperlink("https://icd.who.int/dev11/l-ichi/en#/http%3A%2F%2Fid.who.int%2Ficd%2Fentity%2F1735111367","browser")</x:f>
      </x:c>
      <x:c r="L4230" s="0">
        <x:f>hyperlink("https://icat2.azurewebsites.net/icat/?ontology=ICD&amp;tab=ClassesTab&amp;id=http%3A%2F%2Fwho.int%2Ficd%2322107_512ebf36_bf6b_4d70_85da_cf2637062af4","iCat")</x:f>
      </x:c>
      <x:c r="M4230" s="0" t="s">
        <x:v>21</x:v>
      </x:c>
      <x:c r="N4230" s="0" t="s">
        <x:v>46</x:v>
      </x:c>
    </x:row>
    <x:row r="4231" spans="1:16">
      <x:c r="A4231" s="0" t="s">
        <x:v>16769</x:v>
      </x:c>
      <x:c r="B4231" s="0" t="s">
        <x:v>16770</x:v>
      </x:c>
      <x:c r="C4231" s="0" t="s">
        <x:v>16771</x:v>
      </x:c>
      <x:c r="E4231" s="0" t="s">
        <x:v>16772</x:v>
      </x:c>
      <x:c r="F4231" s="0" t="s">
        <x:v>45</x:v>
      </x:c>
      <x:c r="G4231" s="0" t="s">
        <x:v>19</x:v>
      </x:c>
      <x:c r="H4231" s="0" t="s">
        <x:v>20</x:v>
      </x:c>
      <x:c r="I4231" s="0" t="s">
        <x:v>21</x:v>
      </x:c>
      <x:c r="K4231" s="0">
        <x:f>hyperlink("https://icd.who.int/dev11/l-ichi/en#/http%3A%2F%2Fid.who.int%2Ficd%2Fentity%2F1210796137","browser")</x:f>
      </x:c>
      <x:c r="L4231" s="0">
        <x:f>hyperlink("https://icat2.azurewebsites.net/icat/?ontology=ICD&amp;tab=ClassesTab&amp;id=http%3A%2F%2Fwho.int%2Ficd%2322114_512ebf36_bf6b_4d70_85da_cf2637062af4","iCat")</x:f>
      </x:c>
      <x:c r="M4231" s="0" t="s">
        <x:v>21</x:v>
      </x:c>
      <x:c r="N4231" s="0" t="s">
        <x:v>46</x:v>
      </x:c>
    </x:row>
    <x:row r="4232" spans="1:16">
      <x:c r="A4232" s="0" t="s">
        <x:v>16773</x:v>
      </x:c>
      <x:c r="B4232" s="0" t="s">
        <x:v>16774</x:v>
      </x:c>
      <x:c r="C4232" s="0" t="s">
        <x:v>16775</x:v>
      </x:c>
      <x:c r="E4232" s="0" t="s">
        <x:v>16776</x:v>
      </x:c>
      <x:c r="F4232" s="0" t="s">
        <x:v>45</x:v>
      </x:c>
      <x:c r="G4232" s="0" t="s">
        <x:v>19</x:v>
      </x:c>
      <x:c r="H4232" s="0" t="s">
        <x:v>20</x:v>
      </x:c>
      <x:c r="I4232" s="0" t="s">
        <x:v>21</x:v>
      </x:c>
      <x:c r="K4232" s="0">
        <x:f>hyperlink("https://icd.who.int/dev11/l-ichi/en#/http%3A%2F%2Fid.who.int%2Ficd%2Fentity%2F1033751578","browser")</x:f>
      </x:c>
      <x:c r="L4232" s="0">
        <x:f>hyperlink("https://icat2.azurewebsites.net/icat/?ontology=ICD&amp;tab=ClassesTab&amp;id=http%3A%2F%2Fwho.int%2Ficd%2322120_512ebf36_bf6b_4d70_85da_cf2637062af4","iCat")</x:f>
      </x:c>
      <x:c r="M4232" s="0" t="s">
        <x:v>21</x:v>
      </x:c>
      <x:c r="N4232" s="0" t="s">
        <x:v>46</x:v>
      </x:c>
    </x:row>
    <x:row r="4233" spans="1:16">
      <x:c r="A4233" s="0" t="s">
        <x:v>16777</x:v>
      </x:c>
      <x:c r="B4233" s="0" t="s">
        <x:v>16778</x:v>
      </x:c>
      <x:c r="C4233" s="0" t="s">
        <x:v>16779</x:v>
      </x:c>
      <x:c r="E4233" s="0" t="s">
        <x:v>16780</x:v>
      </x:c>
      <x:c r="F4233" s="0" t="s">
        <x:v>45</x:v>
      </x:c>
      <x:c r="G4233" s="0" t="s">
        <x:v>19</x:v>
      </x:c>
      <x:c r="H4233" s="0" t="s">
        <x:v>20</x:v>
      </x:c>
      <x:c r="I4233" s="0" t="s">
        <x:v>21</x:v>
      </x:c>
      <x:c r="K4233" s="0">
        <x:f>hyperlink("https://icd.who.int/dev11/l-ichi/en#/http%3A%2F%2Fid.who.int%2Ficd%2Fentity%2F1843795371","browser")</x:f>
      </x:c>
      <x:c r="L4233" s="0">
        <x:f>hyperlink("https://icat2.azurewebsites.net/icat/?ontology=ICD&amp;tab=ClassesTab&amp;id=http%3A%2F%2Fwho.int%2Ficd%2322126_512ebf36_bf6b_4d70_85da_cf2637062af4","iCat")</x:f>
      </x:c>
      <x:c r="M4233" s="0" t="s">
        <x:v>21</x:v>
      </x:c>
      <x:c r="N4233" s="0" t="s">
        <x:v>46</x:v>
      </x:c>
    </x:row>
    <x:row r="4234" spans="1:16">
      <x:c r="A4234" s="0" t="s">
        <x:v>16781</x:v>
      </x:c>
      <x:c r="B4234" s="0" t="s">
        <x:v>16782</x:v>
      </x:c>
      <x:c r="C4234" s="0" t="s">
        <x:v>16783</x:v>
      </x:c>
      <x:c r="E4234" s="0" t="s">
        <x:v>16784</x:v>
      </x:c>
      <x:c r="F4234" s="0" t="s">
        <x:v>45</x:v>
      </x:c>
      <x:c r="G4234" s="0" t="s">
        <x:v>19</x:v>
      </x:c>
      <x:c r="H4234" s="0" t="s">
        <x:v>20</x:v>
      </x:c>
      <x:c r="I4234" s="0" t="s">
        <x:v>21</x:v>
      </x:c>
      <x:c r="K4234" s="0">
        <x:f>hyperlink("https://icd.who.int/dev11/l-ichi/en#/http%3A%2F%2Fid.who.int%2Ficd%2Fentity%2F316487350","browser")</x:f>
      </x:c>
      <x:c r="L4234" s="0">
        <x:f>hyperlink("https://icat2.azurewebsites.net/icat/?ontology=ICD&amp;tab=ClassesTab&amp;id=http%3A%2F%2Fwho.int%2Ficd%2322133_512ebf36_bf6b_4d70_85da_cf2637062af4","iCat")</x:f>
      </x:c>
      <x:c r="M4234" s="0" t="s">
        <x:v>21</x:v>
      </x:c>
      <x:c r="N4234" s="0" t="s">
        <x:v>46</x:v>
      </x:c>
    </x:row>
    <x:row r="4235" spans="1:16">
      <x:c r="A4235" s="0" t="s">
        <x:v>16785</x:v>
      </x:c>
      <x:c r="B4235" s="0" t="s">
        <x:v>16786</x:v>
      </x:c>
      <x:c r="C4235" s="0" t="s">
        <x:v>16787</x:v>
      </x:c>
      <x:c r="E4235" s="0" t="s">
        <x:v>16788</x:v>
      </x:c>
      <x:c r="F4235" s="0" t="s">
        <x:v>45</x:v>
      </x:c>
      <x:c r="G4235" s="0" t="s">
        <x:v>19</x:v>
      </x:c>
      <x:c r="H4235" s="0" t="s">
        <x:v>20</x:v>
      </x:c>
      <x:c r="I4235" s="0" t="s">
        <x:v>21</x:v>
      </x:c>
      <x:c r="K4235" s="0">
        <x:f>hyperlink("https://icd.who.int/dev11/l-ichi/en#/http%3A%2F%2Fid.who.int%2Ficd%2Fentity%2F49436564","browser")</x:f>
      </x:c>
      <x:c r="L4235" s="0">
        <x:f>hyperlink("https://icat2.azurewebsites.net/icat/?ontology=ICD&amp;tab=ClassesTab&amp;id=http%3A%2F%2Fwho.int%2Ficd%2322142_512ebf36_bf6b_4d70_85da_cf2637062af4","iCat")</x:f>
      </x:c>
      <x:c r="M4235" s="0" t="s">
        <x:v>21</x:v>
      </x:c>
      <x:c r="N4235" s="0" t="s">
        <x:v>46</x:v>
      </x:c>
    </x:row>
    <x:row r="4236" spans="1:16">
      <x:c r="A4236" s="0" t="s">
        <x:v>16789</x:v>
      </x:c>
      <x:c r="B4236" s="0" t="s">
        <x:v>16790</x:v>
      </x:c>
      <x:c r="C4236" s="0" t="s">
        <x:v>16791</x:v>
      </x:c>
      <x:c r="E4236" s="0" t="s">
        <x:v>16792</x:v>
      </x:c>
      <x:c r="F4236" s="0" t="s">
        <x:v>45</x:v>
      </x:c>
      <x:c r="G4236" s="0" t="s">
        <x:v>19</x:v>
      </x:c>
      <x:c r="H4236" s="0" t="s">
        <x:v>20</x:v>
      </x:c>
      <x:c r="I4236" s="0" t="s">
        <x:v>21</x:v>
      </x:c>
      <x:c r="K4236" s="0">
        <x:f>hyperlink("https://icd.who.int/dev11/l-ichi/en#/http%3A%2F%2Fid.who.int%2Ficd%2Fentity%2F167135550","browser")</x:f>
      </x:c>
      <x:c r="L4236" s="0">
        <x:f>hyperlink("https://icat2.azurewebsites.net/icat/?ontology=ICD&amp;tab=ClassesTab&amp;id=http%3A%2F%2Fwho.int%2Ficd%2322149_512ebf36_bf6b_4d70_85da_cf2637062af4","iCat")</x:f>
      </x:c>
      <x:c r="M4236" s="0" t="s">
        <x:v>21</x:v>
      </x:c>
      <x:c r="N4236" s="0" t="s">
        <x:v>46</x:v>
      </x:c>
    </x:row>
    <x:row r="4237" spans="1:16">
      <x:c r="A4237" s="0" t="s">
        <x:v>16793</x:v>
      </x:c>
      <x:c r="B4237" s="0" t="s">
        <x:v>16794</x:v>
      </x:c>
      <x:c r="C4237" s="0" t="s">
        <x:v>16795</x:v>
      </x:c>
      <x:c r="E4237" s="0" t="s">
        <x:v>16796</x:v>
      </x:c>
      <x:c r="F4237" s="0" t="s">
        <x:v>45</x:v>
      </x:c>
      <x:c r="G4237" s="0" t="s">
        <x:v>19</x:v>
      </x:c>
      <x:c r="H4237" s="0" t="s">
        <x:v>20</x:v>
      </x:c>
      <x:c r="I4237" s="0" t="s">
        <x:v>21</x:v>
      </x:c>
      <x:c r="K4237" s="0">
        <x:f>hyperlink("https://icd.who.int/dev11/l-ichi/en#/http%3A%2F%2Fid.who.int%2Ficd%2Fentity%2F414542154","browser")</x:f>
      </x:c>
      <x:c r="L4237" s="0">
        <x:f>hyperlink("https://icat2.azurewebsites.net/icat/?ontology=ICD&amp;tab=ClassesTab&amp;id=http%3A%2F%2Fwho.int%2Ficd%2322155_512ebf36_bf6b_4d70_85da_cf2637062af4","iCat")</x:f>
      </x:c>
      <x:c r="M4237" s="0" t="s">
        <x:v>21</x:v>
      </x:c>
      <x:c r="N4237" s="0" t="s">
        <x:v>46</x:v>
      </x:c>
    </x:row>
    <x:row r="4238" spans="1:16">
      <x:c r="A4238" s="0" t="s">
        <x:v>16797</x:v>
      </x:c>
      <x:c r="B4238" s="0" t="s">
        <x:v>16798</x:v>
      </x:c>
      <x:c r="C4238" s="0" t="s">
        <x:v>16799</x:v>
      </x:c>
      <x:c r="E4238" s="0" t="s">
        <x:v>16800</x:v>
      </x:c>
      <x:c r="F4238" s="0" t="s">
        <x:v>45</x:v>
      </x:c>
      <x:c r="G4238" s="0" t="s">
        <x:v>19</x:v>
      </x:c>
      <x:c r="H4238" s="0" t="s">
        <x:v>20</x:v>
      </x:c>
      <x:c r="I4238" s="0" t="s">
        <x:v>21</x:v>
      </x:c>
      <x:c r="K4238" s="0">
        <x:f>hyperlink("https://icd.who.int/dev11/l-ichi/en#/http%3A%2F%2Fid.who.int%2Ficd%2Fentity%2F709087800","browser")</x:f>
      </x:c>
      <x:c r="L4238" s="0">
        <x:f>hyperlink("https://icat2.azurewebsites.net/icat/?ontology=ICD&amp;tab=ClassesTab&amp;id=http%3A%2F%2Fwho.int%2Ficd%2315862_4869915e_217e_423d_acb3_33c0f920ef4b","iCat")</x:f>
      </x:c>
      <x:c r="M4238" s="0" t="s">
        <x:v>21</x:v>
      </x:c>
      <x:c r="N4238" s="0" t="s">
        <x:v>46</x:v>
      </x:c>
    </x:row>
    <x:row r="4239" spans="1:16">
      <x:c r="A4239" s="0" t="s">
        <x:v>16801</x:v>
      </x:c>
      <x:c r="B4239" s="0" t="s">
        <x:v>16802</x:v>
      </x:c>
      <x:c r="C4239" s="0" t="s">
        <x:v>16803</x:v>
      </x:c>
      <x:c r="E4239" s="0" t="s">
        <x:v>16804</x:v>
      </x:c>
      <x:c r="F4239" s="0" t="s">
        <x:v>45</x:v>
      </x:c>
      <x:c r="G4239" s="0" t="s">
        <x:v>19</x:v>
      </x:c>
      <x:c r="H4239" s="0" t="s">
        <x:v>20</x:v>
      </x:c>
      <x:c r="I4239" s="0" t="s">
        <x:v>21</x:v>
      </x:c>
      <x:c r="K4239" s="0">
        <x:f>hyperlink("https://icd.who.int/dev11/l-ichi/en#/http%3A%2F%2Fid.who.int%2Ficd%2Fentity%2F492754672","browser")</x:f>
      </x:c>
      <x:c r="L4239" s="0">
        <x:f>hyperlink("https://icat2.azurewebsites.net/icat/?ontology=ICD&amp;tab=ClassesTab&amp;id=http%3A%2F%2Fwho.int%2Ficd%2321802_512ebf36_bf6b_4d70_85da_cf2637062af4","iCat")</x:f>
      </x:c>
      <x:c r="M4239" s="0" t="s">
        <x:v>21</x:v>
      </x:c>
      <x:c r="N4239" s="0" t="s">
        <x:v>46</x:v>
      </x:c>
    </x:row>
    <x:row r="4240" spans="1:16">
      <x:c r="A4240" s="0" t="s">
        <x:v>16805</x:v>
      </x:c>
      <x:c r="B4240" s="0" t="s">
        <x:v>16806</x:v>
      </x:c>
      <x:c r="C4240" s="0" t="s">
        <x:v>16807</x:v>
      </x:c>
      <x:c r="E4240" s="0" t="s">
        <x:v>16808</x:v>
      </x:c>
      <x:c r="F4240" s="0" t="s">
        <x:v>45</x:v>
      </x:c>
      <x:c r="G4240" s="0" t="s">
        <x:v>19</x:v>
      </x:c>
      <x:c r="H4240" s="0" t="s">
        <x:v>20</x:v>
      </x:c>
      <x:c r="I4240" s="0" t="s">
        <x:v>21</x:v>
      </x:c>
      <x:c r="K4240" s="0">
        <x:f>hyperlink("https://icd.who.int/dev11/l-ichi/en#/http%3A%2F%2Fid.who.int%2Ficd%2Fentity%2F679903938","browser")</x:f>
      </x:c>
      <x:c r="L4240" s="0">
        <x:f>hyperlink("https://icat2.azurewebsites.net/icat/?ontology=ICD&amp;tab=ClassesTab&amp;id=http%3A%2F%2Fwho.int%2Ficd%2322162_512ebf36_bf6b_4d70_85da_cf2637062af4","iCat")</x:f>
      </x:c>
      <x:c r="M4240" s="0" t="s">
        <x:v>21</x:v>
      </x:c>
      <x:c r="N4240" s="0" t="s">
        <x:v>46</x:v>
      </x:c>
    </x:row>
    <x:row r="4241" spans="1:16">
      <x:c r="A4241" s="0" t="s">
        <x:v>16809</x:v>
      </x:c>
      <x:c r="B4241" s="0" t="s">
        <x:v>16810</x:v>
      </x:c>
      <x:c r="C4241" s="0" t="s">
        <x:v>16811</x:v>
      </x:c>
      <x:c r="E4241" s="0" t="s">
        <x:v>16812</x:v>
      </x:c>
      <x:c r="F4241" s="0" t="s">
        <x:v>45</x:v>
      </x:c>
      <x:c r="G4241" s="0" t="s">
        <x:v>19</x:v>
      </x:c>
      <x:c r="H4241" s="0" t="s">
        <x:v>20</x:v>
      </x:c>
      <x:c r="I4241" s="0" t="s">
        <x:v>21</x:v>
      </x:c>
      <x:c r="K4241" s="0">
        <x:f>hyperlink("https://icd.who.int/dev11/l-ichi/en#/http%3A%2F%2Fid.who.int%2Ficd%2Fentity%2F58453586","browser")</x:f>
      </x:c>
      <x:c r="L4241" s="0">
        <x:f>hyperlink("https://icat2.azurewebsites.net/icat/?ontology=ICD&amp;tab=ClassesTab&amp;id=http%3A%2F%2Fwho.int%2Ficd%2322168_512ebf36_bf6b_4d70_85da_cf2637062af4","iCat")</x:f>
      </x:c>
      <x:c r="M4241" s="0" t="s">
        <x:v>21</x:v>
      </x:c>
      <x:c r="N4241" s="0" t="s">
        <x:v>46</x:v>
      </x:c>
    </x:row>
    <x:row r="4242" spans="1:16">
      <x:c r="A4242" s="0" t="s">
        <x:v>16813</x:v>
      </x:c>
      <x:c r="B4242" s="0" t="s">
        <x:v>16814</x:v>
      </x:c>
      <x:c r="C4242" s="0" t="s">
        <x:v>16815</x:v>
      </x:c>
      <x:c r="E4242" s="0" t="s">
        <x:v>16816</x:v>
      </x:c>
      <x:c r="F4242" s="0" t="s">
        <x:v>45</x:v>
      </x:c>
      <x:c r="G4242" s="0" t="s">
        <x:v>19</x:v>
      </x:c>
      <x:c r="H4242" s="0" t="s">
        <x:v>20</x:v>
      </x:c>
      <x:c r="I4242" s="0" t="s">
        <x:v>21</x:v>
      </x:c>
      <x:c r="K4242" s="0">
        <x:f>hyperlink("https://icd.who.int/dev11/l-ichi/en#/http%3A%2F%2Fid.who.int%2Ficd%2Fentity%2F1472045533","browser")</x:f>
      </x:c>
      <x:c r="L4242" s="0">
        <x:f>hyperlink("https://icat2.azurewebsites.net/icat/?ontology=ICD&amp;tab=ClassesTab&amp;id=http%3A%2F%2Fwho.int%2Ficd%2322177_512ebf36_bf6b_4d70_85da_cf2637062af4","iCat")</x:f>
      </x:c>
      <x:c r="M4242" s="0" t="s">
        <x:v>21</x:v>
      </x:c>
      <x:c r="N4242" s="0" t="s">
        <x:v>46</x:v>
      </x:c>
    </x:row>
    <x:row r="4243" spans="1:16">
      <x:c r="B4243" s="0" t="s">
        <x:v>16817</x:v>
      </x:c>
      <x:c r="C4243" s="0" t="s">
        <x:v>16818</x:v>
      </x:c>
      <x:c r="E4243" s="0" t="s">
        <x:v>16819</x:v>
      </x:c>
      <x:c r="F4243" s="0" t="s">
        <x:v>45</x:v>
      </x:c>
      <x:c r="G4243" s="0" t="s">
        <x:v>19</x:v>
      </x:c>
      <x:c r="H4243" s="0" t="s">
        <x:v>21</x:v>
      </x:c>
      <x:c r="I4243" s="0" t="s">
        <x:v>21</x:v>
      </x:c>
      <x:c r="K4243" s="0">
        <x:f>hyperlink("https://icd.who.int/dev11/l-ichi/en#/http%3A%2F%2Fid.who.int%2Ficd%2Fentity%2F743418171%2Fichi%2Fother","browser")</x:f>
      </x:c>
      <x:c r="L4243" s="0">
        <x:f>hyperlink("","iCat")</x:f>
      </x:c>
      <x:c r="M4243" s="0" t="s">
        <x:v>21</x:v>
      </x:c>
      <x:c r="N4243" s="0" t="s">
        <x:v>46</x:v>
      </x:c>
    </x:row>
    <x:row r="4244" spans="1:16">
      <x:c r="B4244" s="0" t="s">
        <x:v>16820</x:v>
      </x:c>
      <x:c r="C4244" s="0" t="s">
        <x:v>16815</x:v>
      </x:c>
      <x:c r="E4244" s="0" t="s">
        <x:v>16821</x:v>
      </x:c>
      <x:c r="F4244" s="0" t="s">
        <x:v>45</x:v>
      </x:c>
      <x:c r="G4244" s="0" t="s">
        <x:v>19</x:v>
      </x:c>
      <x:c r="H4244" s="0" t="s">
        <x:v>21</x:v>
      </x:c>
      <x:c r="I4244" s="0" t="s">
        <x:v>21</x:v>
      </x:c>
      <x:c r="K4244" s="0">
        <x:f>hyperlink("https://icd.who.int/dev11/l-ichi/en#/http%3A%2F%2Fid.who.int%2Ficd%2Fentity%2F743418171%2Fichi%2Funspecified","browser")</x:f>
      </x:c>
      <x:c r="L4244" s="0">
        <x:f>hyperlink("","iCat")</x:f>
      </x:c>
      <x:c r="M4244" s="0" t="s">
        <x:v>21</x:v>
      </x:c>
      <x:c r="N4244" s="0" t="s">
        <x:v>46</x:v>
      </x:c>
    </x:row>
    <x:row r="4245" spans="1:16">
      <x:c r="A4245" s="0" t="s">
        <x:v>16822</x:v>
      </x:c>
      <x:c r="B4245" s="0" t="s">
        <x:v>16823</x:v>
      </x:c>
      <x:c r="D4245" s="0" t="s">
        <x:v>16824</x:v>
      </x:c>
      <x:c r="E4245" s="0" t="s">
        <x:v>16825</x:v>
      </x:c>
      <x:c r="F4245" s="0" t="s">
        <x:v>26</x:v>
      </x:c>
      <x:c r="G4245" s="0" t="s">
        <x:v>35</x:v>
      </x:c>
      <x:c r="H4245" s="0" t="s">
        <x:v>20</x:v>
      </x:c>
      <x:c r="I4245" s="0" t="s">
        <x:v>21</x:v>
      </x:c>
      <x:c r="K4245" s="0">
        <x:f>hyperlink("https://icd.who.int/dev11/l-ichi/en#/http%3A%2F%2Fid.who.int%2Ficd%2Fentity%2F332050646","browser")</x:f>
      </x:c>
      <x:c r="L4245" s="0">
        <x:f>hyperlink("https://icat2.azurewebsites.net/icat/?ontology=ICD&amp;tab=ClassesTab&amp;id=http%3A%2F%2Fwho.int%2Ficd%2322202_512ebf36_bf6b_4d70_85da_cf2637062af4","iCat")</x:f>
      </x:c>
      <x:c r="M4245" s="0" t="s">
        <x:v>20</x:v>
      </x:c>
      <x:c r="N4245" s="0" t="s">
        <x:v>7780</x:v>
      </x:c>
    </x:row>
    <x:row r="4246" spans="1:16">
      <x:c r="A4246" s="0" t="s">
        <x:v>16826</x:v>
      </x:c>
      <x:c r="B4246" s="0" t="s">
        <x:v>16827</x:v>
      </x:c>
      <x:c r="D4246" s="0" t="s">
        <x:v>16828</x:v>
      </x:c>
      <x:c r="E4246" s="0" t="s">
        <x:v>16829</x:v>
      </x:c>
      <x:c r="F4246" s="0" t="s">
        <x:v>26</x:v>
      </x:c>
      <x:c r="G4246" s="0" t="s">
        <x:v>22</x:v>
      </x:c>
      <x:c r="H4246" s="0" t="s">
        <x:v>20</x:v>
      </x:c>
      <x:c r="I4246" s="0" t="s">
        <x:v>21</x:v>
      </x:c>
      <x:c r="K4246" s="0">
        <x:f>hyperlink("https://icd.who.int/dev11/l-ichi/en#/http%3A%2F%2Fid.who.int%2Ficd%2Fentity%2F943184966","browser")</x:f>
      </x:c>
      <x:c r="L4246" s="0">
        <x:f>hyperlink("https://icat2.azurewebsites.net/icat/?ontology=ICD&amp;tab=ClassesTab&amp;id=http%3A%2F%2Fwho.int%2Ficd%2322208_512ebf36_bf6b_4d70_85da_cf2637062af4","iCat")</x:f>
      </x:c>
      <x:c r="M4246" s="0" t="s">
        <x:v>20</x:v>
      </x:c>
      <x:c r="N4246" s="0" t="s">
        <x:v>16830</x:v>
      </x:c>
    </x:row>
    <x:row r="4247" spans="1:16">
      <x:c r="A4247" s="0" t="s">
        <x:v>16831</x:v>
      </x:c>
      <x:c r="B4247" s="0" t="s">
        <x:v>16832</x:v>
      </x:c>
      <x:c r="C4247" s="0" t="s">
        <x:v>16833</x:v>
      </x:c>
      <x:c r="E4247" s="0" t="s">
        <x:v>16834</x:v>
      </x:c>
      <x:c r="F4247" s="0" t="s">
        <x:v>45</x:v>
      </x:c>
      <x:c r="G4247" s="0" t="s">
        <x:v>19</x:v>
      </x:c>
      <x:c r="H4247" s="0" t="s">
        <x:v>20</x:v>
      </x:c>
      <x:c r="I4247" s="0" t="s">
        <x:v>21</x:v>
      </x:c>
      <x:c r="K4247" s="0">
        <x:f>hyperlink("https://icd.who.int/dev11/l-ichi/en#/http%3A%2F%2Fid.who.int%2Ficd%2Fentity%2F1448075055","browser")</x:f>
      </x:c>
      <x:c r="L4247" s="0">
        <x:f>hyperlink("https://icat2.azurewebsites.net/icat/?ontology=ICD&amp;tab=ClassesTab&amp;id=http%3A%2F%2Fwho.int%2Ficd%2322201_512ebf36_bf6b_4d70_85da_cf2637062af4","iCat")</x:f>
      </x:c>
      <x:c r="M4247" s="0" t="s">
        <x:v>21</x:v>
      </x:c>
      <x:c r="N4247" s="0" t="s">
        <x:v>46</x:v>
      </x:c>
    </x:row>
    <x:row r="4248" spans="1:16">
      <x:c r="A4248" s="0" t="s">
        <x:v>16835</x:v>
      </x:c>
      <x:c r="B4248" s="0" t="s">
        <x:v>16836</x:v>
      </x:c>
      <x:c r="C4248" s="0" t="s">
        <x:v>16837</x:v>
      </x:c>
      <x:c r="E4248" s="0" t="s">
        <x:v>16838</x:v>
      </x:c>
      <x:c r="F4248" s="0" t="s">
        <x:v>45</x:v>
      </x:c>
      <x:c r="G4248" s="0" t="s">
        <x:v>19</x:v>
      </x:c>
      <x:c r="H4248" s="0" t="s">
        <x:v>20</x:v>
      </x:c>
      <x:c r="I4248" s="0" t="s">
        <x:v>21</x:v>
      </x:c>
      <x:c r="K4248" s="0">
        <x:f>hyperlink("https://icd.who.int/dev11/l-ichi/en#/http%3A%2F%2Fid.who.int%2Ficd%2Fentity%2F2084244095","browser")</x:f>
      </x:c>
      <x:c r="L4248" s="0">
        <x:f>hyperlink("https://icat2.azurewebsites.net/icat/?ontology=ICD&amp;tab=ClassesTab&amp;id=http%3A%2F%2Fwho.int%2Ficd%2322221_512ebf36_bf6b_4d70_85da_cf2637062af4","iCat")</x:f>
      </x:c>
      <x:c r="M4248" s="0" t="s">
        <x:v>21</x:v>
      </x:c>
      <x:c r="N4248" s="0" t="s">
        <x:v>46</x:v>
      </x:c>
    </x:row>
    <x:row r="4249" spans="1:16">
      <x:c r="A4249" s="0" t="s">
        <x:v>16839</x:v>
      </x:c>
      <x:c r="B4249" s="0" t="s">
        <x:v>16840</x:v>
      </x:c>
      <x:c r="C4249" s="0" t="s">
        <x:v>16841</x:v>
      </x:c>
      <x:c r="E4249" s="0" t="s">
        <x:v>16842</x:v>
      </x:c>
      <x:c r="F4249" s="0" t="s">
        <x:v>45</x:v>
      </x:c>
      <x:c r="G4249" s="0" t="s">
        <x:v>19</x:v>
      </x:c>
      <x:c r="H4249" s="0" t="s">
        <x:v>20</x:v>
      </x:c>
      <x:c r="I4249" s="0" t="s">
        <x:v>21</x:v>
      </x:c>
      <x:c r="K4249" s="0">
        <x:f>hyperlink("https://icd.who.int/dev11/l-ichi/en#/http%3A%2F%2Fid.who.int%2Ficd%2Fentity%2F742446032","browser")</x:f>
      </x:c>
      <x:c r="L4249" s="0">
        <x:f>hyperlink("https://icat2.azurewebsites.net/icat/?ontology=ICD&amp;tab=ClassesTab&amp;id=http%3A%2F%2Fwho.int%2Ficd%2322227_512ebf36_bf6b_4d70_85da_cf2637062af4","iCat")</x:f>
      </x:c>
      <x:c r="M4249" s="0" t="s">
        <x:v>21</x:v>
      </x:c>
      <x:c r="N4249" s="0" t="s">
        <x:v>46</x:v>
      </x:c>
    </x:row>
    <x:row r="4250" spans="1:16">
      <x:c r="A4250" s="0" t="s">
        <x:v>16843</x:v>
      </x:c>
      <x:c r="B4250" s="0" t="s">
        <x:v>16844</x:v>
      </x:c>
      <x:c r="C4250" s="0" t="s">
        <x:v>16845</x:v>
      </x:c>
      <x:c r="E4250" s="0" t="s">
        <x:v>16846</x:v>
      </x:c>
      <x:c r="F4250" s="0" t="s">
        <x:v>45</x:v>
      </x:c>
      <x:c r="G4250" s="0" t="s">
        <x:v>19</x:v>
      </x:c>
      <x:c r="H4250" s="0" t="s">
        <x:v>20</x:v>
      </x:c>
      <x:c r="I4250" s="0" t="s">
        <x:v>21</x:v>
      </x:c>
      <x:c r="K4250" s="0">
        <x:f>hyperlink("https://icd.who.int/dev11/l-ichi/en#/http%3A%2F%2Fid.who.int%2Ficd%2Fentity%2F50342240","browser")</x:f>
      </x:c>
      <x:c r="L4250" s="0">
        <x:f>hyperlink("https://icat2.azurewebsites.net/icat/?ontology=ICD&amp;tab=ClassesTab&amp;id=http%3A%2F%2Fwho.int%2Ficd%2322234_512ebf36_bf6b_4d70_85da_cf2637062af4","iCat")</x:f>
      </x:c>
      <x:c r="M4250" s="0" t="s">
        <x:v>21</x:v>
      </x:c>
      <x:c r="N4250" s="0" t="s">
        <x:v>46</x:v>
      </x:c>
    </x:row>
    <x:row r="4251" spans="1:16">
      <x:c r="A4251" s="0" t="s">
        <x:v>16847</x:v>
      </x:c>
      <x:c r="B4251" s="0" t="s">
        <x:v>16848</x:v>
      </x:c>
      <x:c r="C4251" s="0" t="s">
        <x:v>16849</x:v>
      </x:c>
      <x:c r="E4251" s="0" t="s">
        <x:v>16850</x:v>
      </x:c>
      <x:c r="F4251" s="0" t="s">
        <x:v>45</x:v>
      </x:c>
      <x:c r="G4251" s="0" t="s">
        <x:v>19</x:v>
      </x:c>
      <x:c r="H4251" s="0" t="s">
        <x:v>20</x:v>
      </x:c>
      <x:c r="I4251" s="0" t="s">
        <x:v>21</x:v>
      </x:c>
      <x:c r="K4251" s="0">
        <x:f>hyperlink("https://icd.who.int/dev11/l-ichi/en#/http%3A%2F%2Fid.who.int%2Ficd%2Fentity%2F114425358","browser")</x:f>
      </x:c>
      <x:c r="L4251" s="0">
        <x:f>hyperlink("https://icat2.azurewebsites.net/icat/?ontology=ICD&amp;tab=ClassesTab&amp;id=http%3A%2F%2Fwho.int%2Ficd%2322240_512ebf36_bf6b_4d70_85da_cf2637062af4","iCat")</x:f>
      </x:c>
      <x:c r="M4251" s="0" t="s">
        <x:v>21</x:v>
      </x:c>
      <x:c r="N4251" s="0" t="s">
        <x:v>46</x:v>
      </x:c>
    </x:row>
    <x:row r="4252" spans="1:16">
      <x:c r="A4252" s="0" t="s">
        <x:v>16851</x:v>
      </x:c>
      <x:c r="B4252" s="0" t="s">
        <x:v>16852</x:v>
      </x:c>
      <x:c r="C4252" s="0" t="s">
        <x:v>16853</x:v>
      </x:c>
      <x:c r="E4252" s="0" t="s">
        <x:v>16854</x:v>
      </x:c>
      <x:c r="F4252" s="0" t="s">
        <x:v>45</x:v>
      </x:c>
      <x:c r="G4252" s="0" t="s">
        <x:v>19</x:v>
      </x:c>
      <x:c r="H4252" s="0" t="s">
        <x:v>20</x:v>
      </x:c>
      <x:c r="I4252" s="0" t="s">
        <x:v>21</x:v>
      </x:c>
      <x:c r="K4252" s="0">
        <x:f>hyperlink("https://icd.who.int/dev11/l-ichi/en#/http%3A%2F%2Fid.who.int%2Ficd%2Fentity%2F479641812","browser")</x:f>
      </x:c>
      <x:c r="L4252" s="0">
        <x:f>hyperlink("https://icat2.azurewebsites.net/icat/?ontology=ICD&amp;tab=ClassesTab&amp;id=http%3A%2F%2Fwho.int%2Ficd%2322257_512ebf36_bf6b_4d70_85da_cf2637062af4","iCat")</x:f>
      </x:c>
      <x:c r="M4252" s="0" t="s">
        <x:v>21</x:v>
      </x:c>
      <x:c r="N4252" s="0" t="s">
        <x:v>46</x:v>
      </x:c>
    </x:row>
    <x:row r="4253" spans="1:16">
      <x:c r="A4253" s="0" t="s">
        <x:v>16855</x:v>
      </x:c>
      <x:c r="B4253" s="0" t="s">
        <x:v>16856</x:v>
      </x:c>
      <x:c r="C4253" s="0" t="s">
        <x:v>16857</x:v>
      </x:c>
      <x:c r="E4253" s="0" t="s">
        <x:v>16858</x:v>
      </x:c>
      <x:c r="F4253" s="0" t="s">
        <x:v>45</x:v>
      </x:c>
      <x:c r="G4253" s="0" t="s">
        <x:v>19</x:v>
      </x:c>
      <x:c r="H4253" s="0" t="s">
        <x:v>20</x:v>
      </x:c>
      <x:c r="I4253" s="0" t="s">
        <x:v>21</x:v>
      </x:c>
      <x:c r="K4253" s="0">
        <x:f>hyperlink("https://icd.who.int/dev11/l-ichi/en#/http%3A%2F%2Fid.who.int%2Ficd%2Fentity%2F430108458","browser")</x:f>
      </x:c>
      <x:c r="L4253" s="0">
        <x:f>hyperlink("https://icat2.azurewebsites.net/icat/?ontology=ICD&amp;tab=ClassesTab&amp;id=http%3A%2F%2Fwho.int%2Ficd%2322264_512ebf36_bf6b_4d70_85da_cf2637062af4","iCat")</x:f>
      </x:c>
      <x:c r="M4253" s="0" t="s">
        <x:v>21</x:v>
      </x:c>
      <x:c r="N4253" s="0" t="s">
        <x:v>46</x:v>
      </x:c>
    </x:row>
    <x:row r="4254" spans="1:16">
      <x:c r="A4254" s="0" t="s">
        <x:v>16859</x:v>
      </x:c>
      <x:c r="B4254" s="0" t="s">
        <x:v>16860</x:v>
      </x:c>
      <x:c r="C4254" s="0" t="s">
        <x:v>16861</x:v>
      </x:c>
      <x:c r="E4254" s="0" t="s">
        <x:v>16862</x:v>
      </x:c>
      <x:c r="F4254" s="0" t="s">
        <x:v>45</x:v>
      </x:c>
      <x:c r="G4254" s="0" t="s">
        <x:v>19</x:v>
      </x:c>
      <x:c r="H4254" s="0" t="s">
        <x:v>20</x:v>
      </x:c>
      <x:c r="I4254" s="0" t="s">
        <x:v>21</x:v>
      </x:c>
      <x:c r="K4254" s="0">
        <x:f>hyperlink("https://icd.who.int/dev11/l-ichi/en#/http%3A%2F%2Fid.who.int%2Ficd%2Fentity%2F168442020","browser")</x:f>
      </x:c>
      <x:c r="L4254" s="0">
        <x:f>hyperlink("https://icat2.azurewebsites.net/icat/?ontology=ICD&amp;tab=ClassesTab&amp;id=http%3A%2F%2Fwho.int%2Ficd%2313328_4869915e_217e_423d_acb3_33c0f920ef4b","iCat")</x:f>
      </x:c>
      <x:c r="M4254" s="0" t="s">
        <x:v>21</x:v>
      </x:c>
      <x:c r="N4254" s="0" t="s">
        <x:v>46</x:v>
      </x:c>
    </x:row>
    <x:row r="4255" spans="1:16">
      <x:c r="A4255" s="0" t="s">
        <x:v>16863</x:v>
      </x:c>
      <x:c r="B4255" s="0" t="s">
        <x:v>16864</x:v>
      </x:c>
      <x:c r="C4255" s="0" t="s">
        <x:v>16865</x:v>
      </x:c>
      <x:c r="E4255" s="0" t="s">
        <x:v>16866</x:v>
      </x:c>
      <x:c r="F4255" s="0" t="s">
        <x:v>45</x:v>
      </x:c>
      <x:c r="G4255" s="0" t="s">
        <x:v>19</x:v>
      </x:c>
      <x:c r="H4255" s="0" t="s">
        <x:v>20</x:v>
      </x:c>
      <x:c r="I4255" s="0" t="s">
        <x:v>21</x:v>
      </x:c>
      <x:c r="K4255" s="0">
        <x:f>hyperlink("https://icd.who.int/dev11/l-ichi/en#/http%3A%2F%2Fid.who.int%2Ficd%2Fentity%2F457775316","browser")</x:f>
      </x:c>
      <x:c r="L4255" s="0">
        <x:f>hyperlink("https://icat2.azurewebsites.net/icat/?ontology=ICD&amp;tab=ClassesTab&amp;id=http%3A%2F%2Fwho.int%2Ficd%2313334_4869915e_217e_423d_acb3_33c0f920ef4b","iCat")</x:f>
      </x:c>
      <x:c r="M4255" s="0" t="s">
        <x:v>21</x:v>
      </x:c>
      <x:c r="N4255" s="0" t="s">
        <x:v>46</x:v>
      </x:c>
    </x:row>
    <x:row r="4256" spans="1:16">
      <x:c r="A4256" s="0" t="s">
        <x:v>16867</x:v>
      </x:c>
      <x:c r="B4256" s="0" t="s">
        <x:v>16868</x:v>
      </x:c>
      <x:c r="C4256" s="0" t="s">
        <x:v>16869</x:v>
      </x:c>
      <x:c r="E4256" s="0" t="s">
        <x:v>16870</x:v>
      </x:c>
      <x:c r="F4256" s="0" t="s">
        <x:v>45</x:v>
      </x:c>
      <x:c r="G4256" s="0" t="s">
        <x:v>19</x:v>
      </x:c>
      <x:c r="H4256" s="0" t="s">
        <x:v>20</x:v>
      </x:c>
      <x:c r="I4256" s="0" t="s">
        <x:v>21</x:v>
      </x:c>
      <x:c r="K4256" s="0">
        <x:f>hyperlink("https://icd.who.int/dev11/l-ichi/en#/http%3A%2F%2Fid.who.int%2Ficd%2Fentity%2F1721355317","browser")</x:f>
      </x:c>
      <x:c r="L4256" s="0">
        <x:f>hyperlink("https://icat2.azurewebsites.net/icat/?ontology=ICD&amp;tab=ClassesTab&amp;id=http%3A%2F%2Fwho.int%2Ficd%2322271_512ebf36_bf6b_4d70_85da_cf2637062af4","iCat")</x:f>
      </x:c>
      <x:c r="M4256" s="0" t="s">
        <x:v>21</x:v>
      </x:c>
      <x:c r="N4256" s="0" t="s">
        <x:v>46</x:v>
      </x:c>
    </x:row>
    <x:row r="4257" spans="1:16">
      <x:c r="A4257" s="0" t="s">
        <x:v>16871</x:v>
      </x:c>
      <x:c r="B4257" s="0" t="s">
        <x:v>16872</x:v>
      </x:c>
      <x:c r="C4257" s="0" t="s">
        <x:v>16873</x:v>
      </x:c>
      <x:c r="E4257" s="0" t="s">
        <x:v>16874</x:v>
      </x:c>
      <x:c r="F4257" s="0" t="s">
        <x:v>45</x:v>
      </x:c>
      <x:c r="G4257" s="0" t="s">
        <x:v>19</x:v>
      </x:c>
      <x:c r="H4257" s="0" t="s">
        <x:v>20</x:v>
      </x:c>
      <x:c r="I4257" s="0" t="s">
        <x:v>21</x:v>
      </x:c>
      <x:c r="K4257" s="0">
        <x:f>hyperlink("https://icd.who.int/dev11/l-ichi/en#/http%3A%2F%2Fid.who.int%2Ficd%2Fentity%2F920786310","browser")</x:f>
      </x:c>
      <x:c r="L4257" s="0">
        <x:f>hyperlink("https://icat2.azurewebsites.net/icat/?ontology=ICD&amp;tab=ClassesTab&amp;id=http%3A%2F%2Fwho.int%2Ficd%2322277_512ebf36_bf6b_4d70_85da_cf2637062af4","iCat")</x:f>
      </x:c>
      <x:c r="M4257" s="0" t="s">
        <x:v>21</x:v>
      </x:c>
      <x:c r="N4257" s="0" t="s">
        <x:v>46</x:v>
      </x:c>
    </x:row>
    <x:row r="4258" spans="1:16">
      <x:c r="A4258" s="0" t="s">
        <x:v>16875</x:v>
      </x:c>
      <x:c r="B4258" s="0" t="s">
        <x:v>16876</x:v>
      </x:c>
      <x:c r="C4258" s="0" t="s">
        <x:v>16877</x:v>
      </x:c>
      <x:c r="E4258" s="0" t="s">
        <x:v>16878</x:v>
      </x:c>
      <x:c r="F4258" s="0" t="s">
        <x:v>45</x:v>
      </x:c>
      <x:c r="G4258" s="0" t="s">
        <x:v>19</x:v>
      </x:c>
      <x:c r="H4258" s="0" t="s">
        <x:v>20</x:v>
      </x:c>
      <x:c r="I4258" s="0" t="s">
        <x:v>21</x:v>
      </x:c>
      <x:c r="K4258" s="0">
        <x:f>hyperlink("https://icd.who.int/dev11/l-ichi/en#/http%3A%2F%2Fid.who.int%2Ficd%2Fentity%2F1551904931","browser")</x:f>
      </x:c>
      <x:c r="L4258" s="0">
        <x:f>hyperlink("https://icat2.azurewebsites.net/icat/?ontology=ICD&amp;tab=ClassesTab&amp;id=http%3A%2F%2Fwho.int%2Ficd%2322284_512ebf36_bf6b_4d70_85da_cf2637062af4","iCat")</x:f>
      </x:c>
      <x:c r="M4258" s="0" t="s">
        <x:v>21</x:v>
      </x:c>
      <x:c r="N4258" s="0" t="s">
        <x:v>46</x:v>
      </x:c>
    </x:row>
    <x:row r="4259" spans="1:16">
      <x:c r="A4259" s="0" t="s">
        <x:v>16879</x:v>
      </x:c>
      <x:c r="B4259" s="0" t="s">
        <x:v>16880</x:v>
      </x:c>
      <x:c r="C4259" s="0" t="s">
        <x:v>16881</x:v>
      </x:c>
      <x:c r="E4259" s="0" t="s">
        <x:v>16882</x:v>
      </x:c>
      <x:c r="F4259" s="0" t="s">
        <x:v>45</x:v>
      </x:c>
      <x:c r="G4259" s="0" t="s">
        <x:v>19</x:v>
      </x:c>
      <x:c r="H4259" s="0" t="s">
        <x:v>20</x:v>
      </x:c>
      <x:c r="I4259" s="0" t="s">
        <x:v>21</x:v>
      </x:c>
      <x:c r="K4259" s="0">
        <x:f>hyperlink("https://icd.who.int/dev11/l-ichi/en#/http%3A%2F%2Fid.who.int%2Ficd%2Fentity%2F1396291633","browser")</x:f>
      </x:c>
      <x:c r="L4259" s="0">
        <x:f>hyperlink("https://icat2.azurewebsites.net/icat/?ontology=ICD&amp;tab=ClassesTab&amp;id=http%3A%2F%2Fwho.int%2Ficd%2322296_512ebf36_bf6b_4d70_85da_cf2637062af4","iCat")</x:f>
      </x:c>
      <x:c r="M4259" s="0" t="s">
        <x:v>21</x:v>
      </x:c>
      <x:c r="N4259" s="0" t="s">
        <x:v>46</x:v>
      </x:c>
    </x:row>
    <x:row r="4260" spans="1:16">
      <x:c r="A4260" s="0" t="s">
        <x:v>16883</x:v>
      </x:c>
      <x:c r="B4260" s="0" t="s">
        <x:v>16884</x:v>
      </x:c>
      <x:c r="C4260" s="0" t="s">
        <x:v>16885</x:v>
      </x:c>
      <x:c r="E4260" s="0" t="s">
        <x:v>16886</x:v>
      </x:c>
      <x:c r="F4260" s="0" t="s">
        <x:v>45</x:v>
      </x:c>
      <x:c r="G4260" s="0" t="s">
        <x:v>19</x:v>
      </x:c>
      <x:c r="H4260" s="0" t="s">
        <x:v>20</x:v>
      </x:c>
      <x:c r="I4260" s="0" t="s">
        <x:v>21</x:v>
      </x:c>
      <x:c r="K4260" s="0">
        <x:f>hyperlink("https://icd.who.int/dev11/l-ichi/en#/http%3A%2F%2Fid.who.int%2Ficd%2Fentity%2F1185678455","browser")</x:f>
      </x:c>
      <x:c r="L4260" s="0">
        <x:f>hyperlink("https://icat2.azurewebsites.net/icat/?ontology=ICD&amp;tab=ClassesTab&amp;id=http%3A%2F%2Fwho.int%2Ficd%2322303_512ebf36_bf6b_4d70_85da_cf2637062af4","iCat")</x:f>
      </x:c>
      <x:c r="M4260" s="0" t="s">
        <x:v>21</x:v>
      </x:c>
      <x:c r="N4260" s="0" t="s">
        <x:v>46</x:v>
      </x:c>
    </x:row>
    <x:row r="4261" spans="1:16">
      <x:c r="A4261" s="0" t="s">
        <x:v>16887</x:v>
      </x:c>
      <x:c r="B4261" s="0" t="s">
        <x:v>16888</x:v>
      </x:c>
      <x:c r="C4261" s="0" t="s">
        <x:v>16889</x:v>
      </x:c>
      <x:c r="E4261" s="0" t="s">
        <x:v>16890</x:v>
      </x:c>
      <x:c r="F4261" s="0" t="s">
        <x:v>45</x:v>
      </x:c>
      <x:c r="G4261" s="0" t="s">
        <x:v>19</x:v>
      </x:c>
      <x:c r="H4261" s="0" t="s">
        <x:v>20</x:v>
      </x:c>
      <x:c r="I4261" s="0" t="s">
        <x:v>21</x:v>
      </x:c>
      <x:c r="K4261" s="0">
        <x:f>hyperlink("https://icd.who.int/dev11/l-ichi/en#/http%3A%2F%2Fid.who.int%2Ficd%2Fentity%2F1226149093","browser")</x:f>
      </x:c>
      <x:c r="L4261" s="0">
        <x:f>hyperlink("https://icat2.azurewebsites.net/icat/?ontology=ICD&amp;tab=ClassesTab&amp;id=http%3A%2F%2Fwho.int%2Ficd%2322311_512ebf36_bf6b_4d70_85da_cf2637062af4","iCat")</x:f>
      </x:c>
      <x:c r="M4261" s="0" t="s">
        <x:v>21</x:v>
      </x:c>
      <x:c r="N4261" s="0" t="s">
        <x:v>46</x:v>
      </x:c>
    </x:row>
    <x:row r="4262" spans="1:16">
      <x:c r="A4262" s="0" t="s">
        <x:v>16891</x:v>
      </x:c>
      <x:c r="B4262" s="0" t="s">
        <x:v>16892</x:v>
      </x:c>
      <x:c r="C4262" s="0" t="s">
        <x:v>16893</x:v>
      </x:c>
      <x:c r="E4262" s="0" t="s">
        <x:v>16894</x:v>
      </x:c>
      <x:c r="F4262" s="0" t="s">
        <x:v>45</x:v>
      </x:c>
      <x:c r="G4262" s="0" t="s">
        <x:v>19</x:v>
      </x:c>
      <x:c r="H4262" s="0" t="s">
        <x:v>20</x:v>
      </x:c>
      <x:c r="I4262" s="0" t="s">
        <x:v>21</x:v>
      </x:c>
      <x:c r="K4262" s="0">
        <x:f>hyperlink("https://icd.who.int/dev11/l-ichi/en#/http%3A%2F%2Fid.who.int%2Ficd%2Fentity%2F127204786","browser")</x:f>
      </x:c>
      <x:c r="L4262" s="0">
        <x:f>hyperlink("https://icat2.azurewebsites.net/icat/?ontology=ICD&amp;tab=ClassesTab&amp;id=http%3A%2F%2Fwho.int%2Ficd%2322319_512ebf36_bf6b_4d70_85da_cf2637062af4","iCat")</x:f>
      </x:c>
      <x:c r="M4262" s="0" t="s">
        <x:v>21</x:v>
      </x:c>
      <x:c r="N4262" s="0" t="s">
        <x:v>46</x:v>
      </x:c>
    </x:row>
    <x:row r="4263" spans="1:16">
      <x:c r="A4263" s="0" t="s">
        <x:v>16895</x:v>
      </x:c>
      <x:c r="B4263" s="0" t="s">
        <x:v>16896</x:v>
      </x:c>
      <x:c r="C4263" s="0" t="s">
        <x:v>16897</x:v>
      </x:c>
      <x:c r="E4263" s="0" t="s">
        <x:v>16898</x:v>
      </x:c>
      <x:c r="F4263" s="0" t="s">
        <x:v>45</x:v>
      </x:c>
      <x:c r="G4263" s="0" t="s">
        <x:v>19</x:v>
      </x:c>
      <x:c r="H4263" s="0" t="s">
        <x:v>20</x:v>
      </x:c>
      <x:c r="I4263" s="0" t="s">
        <x:v>21</x:v>
      </x:c>
      <x:c r="K4263" s="0">
        <x:f>hyperlink("https://icd.who.int/dev11/l-ichi/en#/http%3A%2F%2Fid.who.int%2Ficd%2Fentity%2F2032559983","browser")</x:f>
      </x:c>
      <x:c r="L4263" s="0">
        <x:f>hyperlink("https://icat2.azurewebsites.net/icat/?ontology=ICD&amp;tab=ClassesTab&amp;id=http%3A%2F%2Fwho.int%2Ficd%2322326_512ebf36_bf6b_4d70_85da_cf2637062af4","iCat")</x:f>
      </x:c>
      <x:c r="M4263" s="0" t="s">
        <x:v>21</x:v>
      </x:c>
      <x:c r="N4263" s="0" t="s">
        <x:v>46</x:v>
      </x:c>
    </x:row>
    <x:row r="4264" spans="1:16">
      <x:c r="A4264" s="0" t="s">
        <x:v>16899</x:v>
      </x:c>
      <x:c r="B4264" s="0" t="s">
        <x:v>16900</x:v>
      </x:c>
      <x:c r="C4264" s="0" t="s">
        <x:v>16901</x:v>
      </x:c>
      <x:c r="E4264" s="0" t="s">
        <x:v>16902</x:v>
      </x:c>
      <x:c r="F4264" s="0" t="s">
        <x:v>45</x:v>
      </x:c>
      <x:c r="G4264" s="0" t="s">
        <x:v>19</x:v>
      </x:c>
      <x:c r="H4264" s="0" t="s">
        <x:v>20</x:v>
      </x:c>
      <x:c r="I4264" s="0" t="s">
        <x:v>21</x:v>
      </x:c>
      <x:c r="K4264" s="0">
        <x:f>hyperlink("https://icd.who.int/dev11/l-ichi/en#/http%3A%2F%2Fid.who.int%2Ficd%2Fentity%2F102581360","browser")</x:f>
      </x:c>
      <x:c r="L4264" s="0">
        <x:f>hyperlink("https://icat2.azurewebsites.net/icat/?ontology=ICD&amp;tab=ClassesTab&amp;id=http%3A%2F%2Fwho.int%2Ficd%2322333_512ebf36_bf6b_4d70_85da_cf2637062af4","iCat")</x:f>
      </x:c>
      <x:c r="M4264" s="0" t="s">
        <x:v>21</x:v>
      </x:c>
      <x:c r="N4264" s="0" t="s">
        <x:v>46</x:v>
      </x:c>
    </x:row>
    <x:row r="4265" spans="1:16">
      <x:c r="A4265" s="0" t="s">
        <x:v>16903</x:v>
      </x:c>
      <x:c r="B4265" s="0" t="s">
        <x:v>16904</x:v>
      </x:c>
      <x:c r="C4265" s="0" t="s">
        <x:v>16905</x:v>
      </x:c>
      <x:c r="E4265" s="0" t="s">
        <x:v>16906</x:v>
      </x:c>
      <x:c r="F4265" s="0" t="s">
        <x:v>45</x:v>
      </x:c>
      <x:c r="G4265" s="0" t="s">
        <x:v>19</x:v>
      </x:c>
      <x:c r="H4265" s="0" t="s">
        <x:v>20</x:v>
      </x:c>
      <x:c r="I4265" s="0" t="s">
        <x:v>21</x:v>
      </x:c>
      <x:c r="K4265" s="0">
        <x:f>hyperlink("https://icd.who.int/dev11/l-ichi/en#/http%3A%2F%2Fid.who.int%2Ficd%2Fentity%2F1179253991","browser")</x:f>
      </x:c>
      <x:c r="L4265" s="0">
        <x:f>hyperlink("https://icat2.azurewebsites.net/icat/?ontology=ICD&amp;tab=ClassesTab&amp;id=http%3A%2F%2Fwho.int%2Ficd%2322344_512ebf36_bf6b_4d70_85da_cf2637062af4","iCat")</x:f>
      </x:c>
      <x:c r="M4265" s="0" t="s">
        <x:v>21</x:v>
      </x:c>
      <x:c r="N4265" s="0" t="s">
        <x:v>46</x:v>
      </x:c>
    </x:row>
    <x:row r="4266" spans="1:16">
      <x:c r="A4266" s="0" t="s">
        <x:v>16907</x:v>
      </x:c>
      <x:c r="B4266" s="0" t="s">
        <x:v>16908</x:v>
      </x:c>
      <x:c r="C4266" s="0" t="s">
        <x:v>16909</x:v>
      </x:c>
      <x:c r="E4266" s="0" t="s">
        <x:v>16910</x:v>
      </x:c>
      <x:c r="F4266" s="0" t="s">
        <x:v>45</x:v>
      </x:c>
      <x:c r="G4266" s="0" t="s">
        <x:v>19</x:v>
      </x:c>
      <x:c r="H4266" s="0" t="s">
        <x:v>20</x:v>
      </x:c>
      <x:c r="I4266" s="0" t="s">
        <x:v>21</x:v>
      </x:c>
      <x:c r="K4266" s="0">
        <x:f>hyperlink("https://icd.who.int/dev11/l-ichi/en#/http%3A%2F%2Fid.who.int%2Ficd%2Fentity%2F2062985005","browser")</x:f>
      </x:c>
      <x:c r="L4266" s="0">
        <x:f>hyperlink("https://icat2.azurewebsites.net/icat/?ontology=ICD&amp;tab=ClassesTab&amp;id=http%3A%2F%2Fwho.int%2Ficd%23714_63e30ea5_14bd_4823_bf2d_a6a05c9b9750","iCat")</x:f>
      </x:c>
      <x:c r="M4266" s="0" t="s">
        <x:v>21</x:v>
      </x:c>
      <x:c r="N4266" s="0" t="s">
        <x:v>46</x:v>
      </x:c>
    </x:row>
    <x:row r="4267" spans="1:16">
      <x:c r="A4267" s="0" t="s">
        <x:v>16911</x:v>
      </x:c>
      <x:c r="B4267" s="0" t="s">
        <x:v>16912</x:v>
      </x:c>
      <x:c r="C4267" s="0" t="s">
        <x:v>16913</x:v>
      </x:c>
      <x:c r="E4267" s="0" t="s">
        <x:v>16914</x:v>
      </x:c>
      <x:c r="F4267" s="0" t="s">
        <x:v>45</x:v>
      </x:c>
      <x:c r="G4267" s="0" t="s">
        <x:v>19</x:v>
      </x:c>
      <x:c r="H4267" s="0" t="s">
        <x:v>20</x:v>
      </x:c>
      <x:c r="I4267" s="0" t="s">
        <x:v>21</x:v>
      </x:c>
      <x:c r="K4267" s="0">
        <x:f>hyperlink("https://icd.who.int/dev11/l-ichi/en#/http%3A%2F%2Fid.who.int%2Ficd%2Fentity%2F428584388","browser")</x:f>
      </x:c>
      <x:c r="L4267" s="0">
        <x:f>hyperlink("https://icat2.azurewebsites.net/icat/?ontology=ICD&amp;tab=ClassesTab&amp;id=http%3A%2F%2Fwho.int%2Ficd%2322350_512ebf36_bf6b_4d70_85da_cf2637062af4","iCat")</x:f>
      </x:c>
      <x:c r="M4267" s="0" t="s">
        <x:v>21</x:v>
      </x:c>
      <x:c r="N4267" s="0" t="s">
        <x:v>46</x:v>
      </x:c>
    </x:row>
    <x:row r="4268" spans="1:16">
      <x:c r="A4268" s="0" t="s">
        <x:v>16915</x:v>
      </x:c>
      <x:c r="B4268" s="0" t="s">
        <x:v>16916</x:v>
      </x:c>
      <x:c r="C4268" s="0" t="s">
        <x:v>16917</x:v>
      </x:c>
      <x:c r="E4268" s="0" t="s">
        <x:v>16918</x:v>
      </x:c>
      <x:c r="F4268" s="0" t="s">
        <x:v>45</x:v>
      </x:c>
      <x:c r="G4268" s="0" t="s">
        <x:v>19</x:v>
      </x:c>
      <x:c r="H4268" s="0" t="s">
        <x:v>20</x:v>
      </x:c>
      <x:c r="I4268" s="0" t="s">
        <x:v>21</x:v>
      </x:c>
      <x:c r="K4268" s="0">
        <x:f>hyperlink("https://icd.who.int/dev11/l-ichi/en#/http%3A%2F%2Fid.who.int%2Ficd%2Fentity%2F1762199113","browser")</x:f>
      </x:c>
      <x:c r="L4268" s="0">
        <x:f>hyperlink("https://icat2.azurewebsites.net/icat/?ontology=ICD&amp;tab=ClassesTab&amp;id=http%3A%2F%2Fwho.int%2Ficd%2322357_512ebf36_bf6b_4d70_85da_cf2637062af4","iCat")</x:f>
      </x:c>
      <x:c r="M4268" s="0" t="s">
        <x:v>21</x:v>
      </x:c>
      <x:c r="N4268" s="0" t="s">
        <x:v>46</x:v>
      </x:c>
    </x:row>
    <x:row r="4269" spans="1:16">
      <x:c r="A4269" s="0" t="s">
        <x:v>16919</x:v>
      </x:c>
      <x:c r="B4269" s="0" t="s">
        <x:v>16920</x:v>
      </x:c>
      <x:c r="C4269" s="0" t="s">
        <x:v>16921</x:v>
      </x:c>
      <x:c r="E4269" s="0" t="s">
        <x:v>16922</x:v>
      </x:c>
      <x:c r="F4269" s="0" t="s">
        <x:v>45</x:v>
      </x:c>
      <x:c r="G4269" s="0" t="s">
        <x:v>19</x:v>
      </x:c>
      <x:c r="H4269" s="0" t="s">
        <x:v>20</x:v>
      </x:c>
      <x:c r="I4269" s="0" t="s">
        <x:v>21</x:v>
      </x:c>
      <x:c r="K4269" s="0">
        <x:f>hyperlink("https://icd.who.int/dev11/l-ichi/en#/http%3A%2F%2Fid.who.int%2Ficd%2Fentity%2F482312762","browser")</x:f>
      </x:c>
      <x:c r="L4269" s="0">
        <x:f>hyperlink("https://icat2.azurewebsites.net/icat/?ontology=ICD&amp;tab=ClassesTab&amp;id=http%3A%2F%2Fwho.int%2Ficd%2322363_512ebf36_bf6b_4d70_85da_cf2637062af4","iCat")</x:f>
      </x:c>
      <x:c r="M4269" s="0" t="s">
        <x:v>21</x:v>
      </x:c>
      <x:c r="N4269" s="0" t="s">
        <x:v>46</x:v>
      </x:c>
    </x:row>
    <x:row r="4270" spans="1:16">
      <x:c r="A4270" s="0" t="s">
        <x:v>16923</x:v>
      </x:c>
      <x:c r="B4270" s="0" t="s">
        <x:v>16924</x:v>
      </x:c>
      <x:c r="C4270" s="0" t="s">
        <x:v>16925</x:v>
      </x:c>
      <x:c r="E4270" s="0" t="s">
        <x:v>16926</x:v>
      </x:c>
      <x:c r="F4270" s="0" t="s">
        <x:v>45</x:v>
      </x:c>
      <x:c r="G4270" s="0" t="s">
        <x:v>19</x:v>
      </x:c>
      <x:c r="H4270" s="0" t="s">
        <x:v>20</x:v>
      </x:c>
      <x:c r="I4270" s="0" t="s">
        <x:v>21</x:v>
      </x:c>
      <x:c r="K4270" s="0">
        <x:f>hyperlink("https://icd.who.int/dev11/l-ichi/en#/http%3A%2F%2Fid.who.int%2Ficd%2Fentity%2F872380566","browser")</x:f>
      </x:c>
      <x:c r="L4270" s="0">
        <x:f>hyperlink("https://icat2.azurewebsites.net/icat/?ontology=ICD&amp;tab=ClassesTab&amp;id=http%3A%2F%2Fwho.int%2Ficd%2322370_512ebf36_bf6b_4d70_85da_cf2637062af4","iCat")</x:f>
      </x:c>
      <x:c r="M4270" s="0" t="s">
        <x:v>21</x:v>
      </x:c>
      <x:c r="N4270" s="0" t="s">
        <x:v>46</x:v>
      </x:c>
    </x:row>
    <x:row r="4271" spans="1:16">
      <x:c r="A4271" s="0" t="s">
        <x:v>16927</x:v>
      </x:c>
      <x:c r="B4271" s="0" t="s">
        <x:v>16928</x:v>
      </x:c>
      <x:c r="C4271" s="0" t="s">
        <x:v>16929</x:v>
      </x:c>
      <x:c r="E4271" s="0" t="s">
        <x:v>16930</x:v>
      </x:c>
      <x:c r="F4271" s="0" t="s">
        <x:v>45</x:v>
      </x:c>
      <x:c r="G4271" s="0" t="s">
        <x:v>19</x:v>
      </x:c>
      <x:c r="H4271" s="0" t="s">
        <x:v>20</x:v>
      </x:c>
      <x:c r="I4271" s="0" t="s">
        <x:v>21</x:v>
      </x:c>
      <x:c r="K4271" s="0">
        <x:f>hyperlink("https://icd.who.int/dev11/l-ichi/en#/http%3A%2F%2Fid.who.int%2Ficd%2Fentity%2F2105412033","browser")</x:f>
      </x:c>
      <x:c r="L4271" s="0">
        <x:f>hyperlink("https://icat2.azurewebsites.net/icat/?ontology=ICD&amp;tab=ClassesTab&amp;id=http%3A%2F%2Fwho.int%2Ficd%2322378_512ebf36_bf6b_4d70_85da_cf2637062af4","iCat")</x:f>
      </x:c>
      <x:c r="M4271" s="0" t="s">
        <x:v>21</x:v>
      </x:c>
      <x:c r="N4271" s="0" t="s">
        <x:v>46</x:v>
      </x:c>
    </x:row>
    <x:row r="4272" spans="1:16">
      <x:c r="A4272" s="0" t="s">
        <x:v>16931</x:v>
      </x:c>
      <x:c r="B4272" s="0" t="s">
        <x:v>16932</x:v>
      </x:c>
      <x:c r="C4272" s="0" t="s">
        <x:v>16933</x:v>
      </x:c>
      <x:c r="E4272" s="0" t="s">
        <x:v>16934</x:v>
      </x:c>
      <x:c r="F4272" s="0" t="s">
        <x:v>45</x:v>
      </x:c>
      <x:c r="G4272" s="0" t="s">
        <x:v>19</x:v>
      </x:c>
      <x:c r="H4272" s="0" t="s">
        <x:v>20</x:v>
      </x:c>
      <x:c r="I4272" s="0" t="s">
        <x:v>21</x:v>
      </x:c>
      <x:c r="K4272" s="0">
        <x:f>hyperlink("https://icd.who.int/dev11/l-ichi/en#/http%3A%2F%2Fid.who.int%2Ficd%2Fentity%2F861456612","browser")</x:f>
      </x:c>
      <x:c r="L4272" s="0">
        <x:f>hyperlink("https://icat2.azurewebsites.net/icat/?ontology=ICD&amp;tab=ClassesTab&amp;id=http%3A%2F%2Fwho.int%2Ficd%2322393_512ebf36_bf6b_4d70_85da_cf2637062af4","iCat")</x:f>
      </x:c>
      <x:c r="M4272" s="0" t="s">
        <x:v>21</x:v>
      </x:c>
      <x:c r="N4272" s="0" t="s">
        <x:v>46</x:v>
      </x:c>
    </x:row>
    <x:row r="4273" spans="1:16">
      <x:c r="A4273" s="0" t="s">
        <x:v>16935</x:v>
      </x:c>
      <x:c r="B4273" s="0" t="s">
        <x:v>16936</x:v>
      </x:c>
      <x:c r="C4273" s="0" t="s">
        <x:v>16937</x:v>
      </x:c>
      <x:c r="E4273" s="0" t="s">
        <x:v>16938</x:v>
      </x:c>
      <x:c r="F4273" s="0" t="s">
        <x:v>45</x:v>
      </x:c>
      <x:c r="G4273" s="0" t="s">
        <x:v>19</x:v>
      </x:c>
      <x:c r="H4273" s="0" t="s">
        <x:v>20</x:v>
      </x:c>
      <x:c r="I4273" s="0" t="s">
        <x:v>21</x:v>
      </x:c>
      <x:c r="K4273" s="0">
        <x:f>hyperlink("https://icd.who.int/dev11/l-ichi/en#/http%3A%2F%2Fid.who.int%2Ficd%2Fentity%2F413508724","browser")</x:f>
      </x:c>
      <x:c r="L4273" s="0">
        <x:f>hyperlink("https://icat2.azurewebsites.net/icat/?ontology=ICD&amp;tab=ClassesTab&amp;id=http%3A%2F%2Fwho.int%2Ficd%2322399_512ebf36_bf6b_4d70_85da_cf2637062af4","iCat")</x:f>
      </x:c>
      <x:c r="M4273" s="0" t="s">
        <x:v>21</x:v>
      </x:c>
      <x:c r="N4273" s="0" t="s">
        <x:v>46</x:v>
      </x:c>
    </x:row>
    <x:row r="4274" spans="1:16">
      <x:c r="A4274" s="0" t="s">
        <x:v>16939</x:v>
      </x:c>
      <x:c r="B4274" s="0" t="s">
        <x:v>16940</x:v>
      </x:c>
      <x:c r="C4274" s="0" t="s">
        <x:v>16941</x:v>
      </x:c>
      <x:c r="E4274" s="0" t="s">
        <x:v>16942</x:v>
      </x:c>
      <x:c r="F4274" s="0" t="s">
        <x:v>45</x:v>
      </x:c>
      <x:c r="G4274" s="0" t="s">
        <x:v>19</x:v>
      </x:c>
      <x:c r="H4274" s="0" t="s">
        <x:v>20</x:v>
      </x:c>
      <x:c r="I4274" s="0" t="s">
        <x:v>21</x:v>
      </x:c>
      <x:c r="K4274" s="0">
        <x:f>hyperlink("https://icd.who.int/dev11/l-ichi/en#/http%3A%2F%2Fid.who.int%2Ficd%2Fentity%2F536504431","browser")</x:f>
      </x:c>
      <x:c r="L4274" s="0">
        <x:f>hyperlink("https://icat2.azurewebsites.net/icat/?ontology=ICD&amp;tab=ClassesTab&amp;id=http%3A%2F%2Fwho.int%2Ficd%2322407_512ebf36_bf6b_4d70_85da_cf2637062af4","iCat")</x:f>
      </x:c>
      <x:c r="M4274" s="0" t="s">
        <x:v>21</x:v>
      </x:c>
      <x:c r="N4274" s="0" t="s">
        <x:v>46</x:v>
      </x:c>
    </x:row>
    <x:row r="4275" spans="1:16">
      <x:c r="A4275" s="0" t="s">
        <x:v>16943</x:v>
      </x:c>
      <x:c r="B4275" s="0" t="s">
        <x:v>16944</x:v>
      </x:c>
      <x:c r="C4275" s="0" t="s">
        <x:v>16945</x:v>
      </x:c>
      <x:c r="E4275" s="0" t="s">
        <x:v>16946</x:v>
      </x:c>
      <x:c r="F4275" s="0" t="s">
        <x:v>45</x:v>
      </x:c>
      <x:c r="G4275" s="0" t="s">
        <x:v>19</x:v>
      </x:c>
      <x:c r="H4275" s="0" t="s">
        <x:v>20</x:v>
      </x:c>
      <x:c r="I4275" s="0" t="s">
        <x:v>21</x:v>
      </x:c>
      <x:c r="K4275" s="0">
        <x:f>hyperlink("https://icd.who.int/dev11/l-ichi/en#/http%3A%2F%2Fid.who.int%2Ficd%2Fentity%2F817533633","browser")</x:f>
      </x:c>
      <x:c r="L4275" s="0">
        <x:f>hyperlink("https://icat2.azurewebsites.net/icat/?ontology=ICD&amp;tab=ClassesTab&amp;id=http%3A%2F%2Fwho.int%2Ficd%2322414_512ebf36_bf6b_4d70_85da_cf2637062af4","iCat")</x:f>
      </x:c>
      <x:c r="M4275" s="0" t="s">
        <x:v>21</x:v>
      </x:c>
      <x:c r="N4275" s="0" t="s">
        <x:v>46</x:v>
      </x:c>
    </x:row>
    <x:row r="4276" spans="1:16">
      <x:c r="A4276" s="0" t="s">
        <x:v>16947</x:v>
      </x:c>
      <x:c r="B4276" s="0" t="s">
        <x:v>16948</x:v>
      </x:c>
      <x:c r="C4276" s="0" t="s">
        <x:v>16949</x:v>
      </x:c>
      <x:c r="E4276" s="0" t="s">
        <x:v>16950</x:v>
      </x:c>
      <x:c r="F4276" s="0" t="s">
        <x:v>45</x:v>
      </x:c>
      <x:c r="G4276" s="0" t="s">
        <x:v>19</x:v>
      </x:c>
      <x:c r="H4276" s="0" t="s">
        <x:v>20</x:v>
      </x:c>
      <x:c r="I4276" s="0" t="s">
        <x:v>21</x:v>
      </x:c>
      <x:c r="K4276" s="0">
        <x:f>hyperlink("https://icd.who.int/dev11/l-ichi/en#/http%3A%2F%2Fid.who.int%2Ficd%2Fentity%2F1158420146","browser")</x:f>
      </x:c>
      <x:c r="L4276" s="0">
        <x:f>hyperlink("https://icat2.azurewebsites.net/icat/?ontology=ICD&amp;tab=ClassesTab&amp;id=http%3A%2F%2Fwho.int%2Ficd%2322420_512ebf36_bf6b_4d70_85da_cf2637062af4","iCat")</x:f>
      </x:c>
      <x:c r="M4276" s="0" t="s">
        <x:v>21</x:v>
      </x:c>
      <x:c r="N4276" s="0" t="s">
        <x:v>46</x:v>
      </x:c>
    </x:row>
    <x:row r="4277" spans="1:16">
      <x:c r="A4277" s="0" t="s">
        <x:v>16951</x:v>
      </x:c>
      <x:c r="B4277" s="0" t="s">
        <x:v>16952</x:v>
      </x:c>
      <x:c r="C4277" s="0" t="s">
        <x:v>16953</x:v>
      </x:c>
      <x:c r="E4277" s="0" t="s">
        <x:v>16954</x:v>
      </x:c>
      <x:c r="F4277" s="0" t="s">
        <x:v>45</x:v>
      </x:c>
      <x:c r="G4277" s="0" t="s">
        <x:v>19</x:v>
      </x:c>
      <x:c r="H4277" s="0" t="s">
        <x:v>20</x:v>
      </x:c>
      <x:c r="I4277" s="0" t="s">
        <x:v>21</x:v>
      </x:c>
      <x:c r="K4277" s="0">
        <x:f>hyperlink("https://icd.who.int/dev11/l-ichi/en#/http%3A%2F%2Fid.who.int%2Ficd%2Fentity%2F898547007","browser")</x:f>
      </x:c>
      <x:c r="L4277" s="0">
        <x:f>hyperlink("https://icat2.azurewebsites.net/icat/?ontology=ICD&amp;tab=ClassesTab&amp;id=http%3A%2F%2Fwho.int%2Ficd%2322427_512ebf36_bf6b_4d70_85da_cf2637062af4","iCat")</x:f>
      </x:c>
      <x:c r="M4277" s="0" t="s">
        <x:v>21</x:v>
      </x:c>
      <x:c r="N4277" s="0" t="s">
        <x:v>46</x:v>
      </x:c>
    </x:row>
    <x:row r="4278" spans="1:16">
      <x:c r="A4278" s="0" t="s">
        <x:v>16955</x:v>
      </x:c>
      <x:c r="B4278" s="0" t="s">
        <x:v>16956</x:v>
      </x:c>
      <x:c r="C4278" s="0" t="s">
        <x:v>16957</x:v>
      </x:c>
      <x:c r="E4278" s="0" t="s">
        <x:v>16958</x:v>
      </x:c>
      <x:c r="F4278" s="0" t="s">
        <x:v>45</x:v>
      </x:c>
      <x:c r="G4278" s="0" t="s">
        <x:v>19</x:v>
      </x:c>
      <x:c r="H4278" s="0" t="s">
        <x:v>20</x:v>
      </x:c>
      <x:c r="I4278" s="0" t="s">
        <x:v>21</x:v>
      </x:c>
      <x:c r="K4278" s="0">
        <x:f>hyperlink("https://icd.who.int/dev11/l-ichi/en#/http%3A%2F%2Fid.who.int%2Ficd%2Fentity%2F1783426078","browser")</x:f>
      </x:c>
      <x:c r="L4278" s="0">
        <x:f>hyperlink("https://icat2.azurewebsites.net/icat/?ontology=ICD&amp;tab=ClassesTab&amp;id=http%3A%2F%2Fwho.int%2Ficd%2322433_512ebf36_bf6b_4d70_85da_cf2637062af4","iCat")</x:f>
      </x:c>
      <x:c r="M4278" s="0" t="s">
        <x:v>21</x:v>
      </x:c>
      <x:c r="N4278" s="0" t="s">
        <x:v>46</x:v>
      </x:c>
    </x:row>
    <x:row r="4279" spans="1:16">
      <x:c r="A4279" s="0" t="s">
        <x:v>16959</x:v>
      </x:c>
      <x:c r="B4279" s="0" t="s">
        <x:v>16960</x:v>
      </x:c>
      <x:c r="C4279" s="0" t="s">
        <x:v>16961</x:v>
      </x:c>
      <x:c r="E4279" s="0" t="s">
        <x:v>16962</x:v>
      </x:c>
      <x:c r="F4279" s="0" t="s">
        <x:v>45</x:v>
      </x:c>
      <x:c r="G4279" s="0" t="s">
        <x:v>19</x:v>
      </x:c>
      <x:c r="H4279" s="0" t="s">
        <x:v>20</x:v>
      </x:c>
      <x:c r="I4279" s="0" t="s">
        <x:v>21</x:v>
      </x:c>
      <x:c r="K4279" s="0">
        <x:f>hyperlink("https://icd.who.int/dev11/l-ichi/en#/http%3A%2F%2Fid.who.int%2Ficd%2Fentity%2F1072095939","browser")</x:f>
      </x:c>
      <x:c r="L4279" s="0">
        <x:f>hyperlink("https://icat2.azurewebsites.net/icat/?ontology=ICD&amp;tab=ClassesTab&amp;id=http%3A%2F%2Fwho.int%2Ficd%2322441_512ebf36_bf6b_4d70_85da_cf2637062af4","iCat")</x:f>
      </x:c>
      <x:c r="M4279" s="0" t="s">
        <x:v>21</x:v>
      </x:c>
      <x:c r="N4279" s="0" t="s">
        <x:v>46</x:v>
      </x:c>
    </x:row>
    <x:row r="4280" spans="1:16">
      <x:c r="A4280" s="0" t="s">
        <x:v>16963</x:v>
      </x:c>
      <x:c r="B4280" s="0" t="s">
        <x:v>16964</x:v>
      </x:c>
      <x:c r="C4280" s="0" t="s">
        <x:v>16965</x:v>
      </x:c>
      <x:c r="E4280" s="0" t="s">
        <x:v>16966</x:v>
      </x:c>
      <x:c r="F4280" s="0" t="s">
        <x:v>45</x:v>
      </x:c>
      <x:c r="G4280" s="0" t="s">
        <x:v>19</x:v>
      </x:c>
      <x:c r="H4280" s="0" t="s">
        <x:v>20</x:v>
      </x:c>
      <x:c r="I4280" s="0" t="s">
        <x:v>21</x:v>
      </x:c>
      <x:c r="K4280" s="0">
        <x:f>hyperlink("https://icd.who.int/dev11/l-ichi/en#/http%3A%2F%2Fid.who.int%2Ficd%2Fentity%2F1369366956","browser")</x:f>
      </x:c>
      <x:c r="L4280" s="0">
        <x:f>hyperlink("https://icat2.azurewebsites.net/icat/?ontology=ICD&amp;tab=ClassesTab&amp;id=http%3A%2F%2Fwho.int%2Ficd%2322448_512ebf36_bf6b_4d70_85da_cf2637062af4","iCat")</x:f>
      </x:c>
      <x:c r="M4280" s="0" t="s">
        <x:v>21</x:v>
      </x:c>
      <x:c r="N4280" s="0" t="s">
        <x:v>46</x:v>
      </x:c>
    </x:row>
    <x:row r="4281" spans="1:16">
      <x:c r="A4281" s="0" t="s">
        <x:v>16967</x:v>
      </x:c>
      <x:c r="B4281" s="0" t="s">
        <x:v>16968</x:v>
      </x:c>
      <x:c r="C4281" s="0" t="s">
        <x:v>16969</x:v>
      </x:c>
      <x:c r="E4281" s="0" t="s">
        <x:v>16970</x:v>
      </x:c>
      <x:c r="F4281" s="0" t="s">
        <x:v>45</x:v>
      </x:c>
      <x:c r="G4281" s="0" t="s">
        <x:v>19</x:v>
      </x:c>
      <x:c r="H4281" s="0" t="s">
        <x:v>20</x:v>
      </x:c>
      <x:c r="I4281" s="0" t="s">
        <x:v>21</x:v>
      </x:c>
      <x:c r="K4281" s="0">
        <x:f>hyperlink("https://icd.who.int/dev11/l-ichi/en#/http%3A%2F%2Fid.who.int%2Ficd%2Fentity%2F1088274908","browser")</x:f>
      </x:c>
      <x:c r="L4281" s="0">
        <x:f>hyperlink("https://icat2.azurewebsites.net/icat/?ontology=ICD&amp;tab=ClassesTab&amp;id=http%3A%2F%2Fwho.int%2Ficd%2322454_512ebf36_bf6b_4d70_85da_cf2637062af4","iCat")</x:f>
      </x:c>
      <x:c r="M4281" s="0" t="s">
        <x:v>21</x:v>
      </x:c>
      <x:c r="N4281" s="0" t="s">
        <x:v>46</x:v>
      </x:c>
    </x:row>
    <x:row r="4282" spans="1:16">
      <x:c r="A4282" s="0" t="s">
        <x:v>16971</x:v>
      </x:c>
      <x:c r="B4282" s="0" t="s">
        <x:v>16972</x:v>
      </x:c>
      <x:c r="C4282" s="0" t="s">
        <x:v>16973</x:v>
      </x:c>
      <x:c r="E4282" s="0" t="s">
        <x:v>16974</x:v>
      </x:c>
      <x:c r="F4282" s="0" t="s">
        <x:v>45</x:v>
      </x:c>
      <x:c r="G4282" s="0" t="s">
        <x:v>19</x:v>
      </x:c>
      <x:c r="H4282" s="0" t="s">
        <x:v>20</x:v>
      </x:c>
      <x:c r="I4282" s="0" t="s">
        <x:v>21</x:v>
      </x:c>
      <x:c r="K4282" s="0">
        <x:f>hyperlink("https://icd.who.int/dev11/l-ichi/en#/http%3A%2F%2Fid.who.int%2Ficd%2Fentity%2F361904019","browser")</x:f>
      </x:c>
      <x:c r="L4282" s="0">
        <x:f>hyperlink("https://icat2.azurewebsites.net/icat/?ontology=ICD&amp;tab=ClassesTab&amp;id=http%3A%2F%2Fwho.int%2Ficd%2322461_512ebf36_bf6b_4d70_85da_cf2637062af4","iCat")</x:f>
      </x:c>
      <x:c r="M4282" s="0" t="s">
        <x:v>21</x:v>
      </x:c>
      <x:c r="N4282" s="0" t="s">
        <x:v>46</x:v>
      </x:c>
    </x:row>
    <x:row r="4283" spans="1:16">
      <x:c r="A4283" s="0" t="s">
        <x:v>16975</x:v>
      </x:c>
      <x:c r="B4283" s="0" t="s">
        <x:v>16976</x:v>
      </x:c>
      <x:c r="C4283" s="0" t="s">
        <x:v>16977</x:v>
      </x:c>
      <x:c r="E4283" s="0" t="s">
        <x:v>16978</x:v>
      </x:c>
      <x:c r="F4283" s="0" t="s">
        <x:v>45</x:v>
      </x:c>
      <x:c r="G4283" s="0" t="s">
        <x:v>19</x:v>
      </x:c>
      <x:c r="H4283" s="0" t="s">
        <x:v>20</x:v>
      </x:c>
      <x:c r="I4283" s="0" t="s">
        <x:v>21</x:v>
      </x:c>
      <x:c r="K4283" s="0">
        <x:f>hyperlink("https://icd.who.int/dev11/l-ichi/en#/http%3A%2F%2Fid.who.int%2Ficd%2Fentity%2F1172958754","browser")</x:f>
      </x:c>
      <x:c r="L4283" s="0">
        <x:f>hyperlink("https://icat2.azurewebsites.net/icat/?ontology=ICD&amp;tab=ClassesTab&amp;id=http%3A%2F%2Fwho.int%2Ficd%2322467_512ebf36_bf6b_4d70_85da_cf2637062af4","iCat")</x:f>
      </x:c>
      <x:c r="M4283" s="0" t="s">
        <x:v>21</x:v>
      </x:c>
      <x:c r="N4283" s="0" t="s">
        <x:v>46</x:v>
      </x:c>
    </x:row>
    <x:row r="4284" spans="1:16">
      <x:c r="A4284" s="0" t="s">
        <x:v>16979</x:v>
      </x:c>
      <x:c r="B4284" s="0" t="s">
        <x:v>16980</x:v>
      </x:c>
      <x:c r="C4284" s="0" t="s">
        <x:v>16981</x:v>
      </x:c>
      <x:c r="E4284" s="0" t="s">
        <x:v>16982</x:v>
      </x:c>
      <x:c r="F4284" s="0" t="s">
        <x:v>45</x:v>
      </x:c>
      <x:c r="G4284" s="0" t="s">
        <x:v>19</x:v>
      </x:c>
      <x:c r="H4284" s="0" t="s">
        <x:v>20</x:v>
      </x:c>
      <x:c r="I4284" s="0" t="s">
        <x:v>21</x:v>
      </x:c>
      <x:c r="K4284" s="0">
        <x:f>hyperlink("https://icd.who.int/dev11/l-ichi/en#/http%3A%2F%2Fid.who.int%2Ficd%2Fentity%2F791444341","browser")</x:f>
      </x:c>
      <x:c r="L4284" s="0">
        <x:f>hyperlink("https://icat2.azurewebsites.net/icat/?ontology=ICD&amp;tab=ClassesTab&amp;id=http%3A%2F%2Fwho.int%2Ficd%2322477_512ebf36_bf6b_4d70_85da_cf2637062af4","iCat")</x:f>
      </x:c>
      <x:c r="M4284" s="0" t="s">
        <x:v>21</x:v>
      </x:c>
      <x:c r="N4284" s="0" t="s">
        <x:v>46</x:v>
      </x:c>
    </x:row>
    <x:row r="4285" spans="1:16">
      <x:c r="A4285" s="0" t="s">
        <x:v>16983</x:v>
      </x:c>
      <x:c r="B4285" s="0" t="s">
        <x:v>16984</x:v>
      </x:c>
      <x:c r="C4285" s="0" t="s">
        <x:v>16985</x:v>
      </x:c>
      <x:c r="E4285" s="0" t="s">
        <x:v>16986</x:v>
      </x:c>
      <x:c r="F4285" s="0" t="s">
        <x:v>45</x:v>
      </x:c>
      <x:c r="G4285" s="0" t="s">
        <x:v>19</x:v>
      </x:c>
      <x:c r="H4285" s="0" t="s">
        <x:v>20</x:v>
      </x:c>
      <x:c r="I4285" s="0" t="s">
        <x:v>21</x:v>
      </x:c>
      <x:c r="K4285" s="0">
        <x:f>hyperlink("https://icd.who.int/dev11/l-ichi/en#/http%3A%2F%2Fid.who.int%2Ficd%2Fentity%2F902624735","browser")</x:f>
      </x:c>
      <x:c r="L4285" s="0">
        <x:f>hyperlink("https://icat2.azurewebsites.net/icat/?ontology=ICD&amp;tab=ClassesTab&amp;id=http%3A%2F%2Fwho.int%2Ficd%2322483_512ebf36_bf6b_4d70_85da_cf2637062af4","iCat")</x:f>
      </x:c>
      <x:c r="M4285" s="0" t="s">
        <x:v>21</x:v>
      </x:c>
      <x:c r="N4285" s="0" t="s">
        <x:v>46</x:v>
      </x:c>
    </x:row>
    <x:row r="4286" spans="1:16">
      <x:c r="A4286" s="0" t="s">
        <x:v>16987</x:v>
      </x:c>
      <x:c r="B4286" s="0" t="s">
        <x:v>16988</x:v>
      </x:c>
      <x:c r="C4286" s="0" t="s">
        <x:v>16989</x:v>
      </x:c>
      <x:c r="E4286" s="0" t="s">
        <x:v>16990</x:v>
      </x:c>
      <x:c r="F4286" s="0" t="s">
        <x:v>45</x:v>
      </x:c>
      <x:c r="G4286" s="0" t="s">
        <x:v>19</x:v>
      </x:c>
      <x:c r="H4286" s="0" t="s">
        <x:v>20</x:v>
      </x:c>
      <x:c r="I4286" s="0" t="s">
        <x:v>21</x:v>
      </x:c>
      <x:c r="K4286" s="0">
        <x:f>hyperlink("https://icd.who.int/dev11/l-ichi/en#/http%3A%2F%2Fid.who.int%2Ficd%2Fentity%2F797690629","browser")</x:f>
      </x:c>
      <x:c r="L4286" s="0">
        <x:f>hyperlink("https://icat2.azurewebsites.net/icat/?ontology=ICD&amp;tab=ClassesTab&amp;id=http%3A%2F%2Fwho.int%2Ficd%2322494_512ebf36_bf6b_4d70_85da_cf2637062af4","iCat")</x:f>
      </x:c>
      <x:c r="M4286" s="0" t="s">
        <x:v>21</x:v>
      </x:c>
      <x:c r="N4286" s="0" t="s">
        <x:v>46</x:v>
      </x:c>
    </x:row>
    <x:row r="4287" spans="1:16">
      <x:c r="A4287" s="0" t="s">
        <x:v>16991</x:v>
      </x:c>
      <x:c r="B4287" s="0" t="s">
        <x:v>16992</x:v>
      </x:c>
      <x:c r="C4287" s="0" t="s">
        <x:v>16993</x:v>
      </x:c>
      <x:c r="E4287" s="0" t="s">
        <x:v>16994</x:v>
      </x:c>
      <x:c r="F4287" s="0" t="s">
        <x:v>45</x:v>
      </x:c>
      <x:c r="G4287" s="0" t="s">
        <x:v>19</x:v>
      </x:c>
      <x:c r="H4287" s="0" t="s">
        <x:v>20</x:v>
      </x:c>
      <x:c r="I4287" s="0" t="s">
        <x:v>21</x:v>
      </x:c>
      <x:c r="K4287" s="0">
        <x:f>hyperlink("https://icd.who.int/dev11/l-ichi/en#/http%3A%2F%2Fid.who.int%2Ficd%2Fentity%2F627926631","browser")</x:f>
      </x:c>
      <x:c r="L4287" s="0">
        <x:f>hyperlink("https://icat2.azurewebsites.net/icat/?ontology=ICD&amp;tab=ClassesTab&amp;id=http%3A%2F%2Fwho.int%2Ficd%2322525_512ebf36_bf6b_4d70_85da_cf2637062af4","iCat")</x:f>
      </x:c>
      <x:c r="M4287" s="0" t="s">
        <x:v>21</x:v>
      </x:c>
      <x:c r="N4287" s="0" t="s">
        <x:v>46</x:v>
      </x:c>
    </x:row>
    <x:row r="4288" spans="1:16">
      <x:c r="A4288" s="0" t="s">
        <x:v>16995</x:v>
      </x:c>
      <x:c r="B4288" s="0" t="s">
        <x:v>16996</x:v>
      </x:c>
      <x:c r="C4288" s="0" t="s">
        <x:v>16997</x:v>
      </x:c>
      <x:c r="E4288" s="0" t="s">
        <x:v>16998</x:v>
      </x:c>
      <x:c r="F4288" s="0" t="s">
        <x:v>45</x:v>
      </x:c>
      <x:c r="G4288" s="0" t="s">
        <x:v>19</x:v>
      </x:c>
      <x:c r="H4288" s="0" t="s">
        <x:v>20</x:v>
      </x:c>
      <x:c r="I4288" s="0" t="s">
        <x:v>21</x:v>
      </x:c>
      <x:c r="K4288" s="0">
        <x:f>hyperlink("https://icd.who.int/dev11/l-ichi/en#/http%3A%2F%2Fid.who.int%2Ficd%2Fentity%2F170761417","browser")</x:f>
      </x:c>
      <x:c r="L4288" s="0">
        <x:f>hyperlink("https://icat2.azurewebsites.net/icat/?ontology=ICD&amp;tab=ClassesTab&amp;id=http%3A%2F%2Fwho.int%2Ficd%2322536_512ebf36_bf6b_4d70_85da_cf2637062af4","iCat")</x:f>
      </x:c>
      <x:c r="M4288" s="0" t="s">
        <x:v>21</x:v>
      </x:c>
      <x:c r="N4288" s="0" t="s">
        <x:v>46</x:v>
      </x:c>
    </x:row>
    <x:row r="4289" spans="1:16">
      <x:c r="A4289" s="0" t="s">
        <x:v>16999</x:v>
      </x:c>
      <x:c r="B4289" s="0" t="s">
        <x:v>17000</x:v>
      </x:c>
      <x:c r="C4289" s="0" t="s">
        <x:v>17001</x:v>
      </x:c>
      <x:c r="E4289" s="0" t="s">
        <x:v>17002</x:v>
      </x:c>
      <x:c r="F4289" s="0" t="s">
        <x:v>45</x:v>
      </x:c>
      <x:c r="G4289" s="0" t="s">
        <x:v>19</x:v>
      </x:c>
      <x:c r="H4289" s="0" t="s">
        <x:v>20</x:v>
      </x:c>
      <x:c r="I4289" s="0" t="s">
        <x:v>21</x:v>
      </x:c>
      <x:c r="K4289" s="0">
        <x:f>hyperlink("https://icd.who.int/dev11/l-ichi/en#/http%3A%2F%2Fid.who.int%2Ficd%2Fentity%2F788871579","browser")</x:f>
      </x:c>
      <x:c r="L4289" s="0">
        <x:f>hyperlink("https://icat2.azurewebsites.net/icat/?ontology=ICD&amp;tab=ClassesTab&amp;id=http%3A%2F%2Fwho.int%2Ficd%2322543_512ebf36_bf6b_4d70_85da_cf2637062af4","iCat")</x:f>
      </x:c>
      <x:c r="M4289" s="0" t="s">
        <x:v>21</x:v>
      </x:c>
      <x:c r="N4289" s="0" t="s">
        <x:v>46</x:v>
      </x:c>
    </x:row>
    <x:row r="4290" spans="1:16">
      <x:c r="A4290" s="0" t="s">
        <x:v>17003</x:v>
      </x:c>
      <x:c r="B4290" s="0" t="s">
        <x:v>17004</x:v>
      </x:c>
      <x:c r="C4290" s="0" t="s">
        <x:v>17005</x:v>
      </x:c>
      <x:c r="E4290" s="0" t="s">
        <x:v>17006</x:v>
      </x:c>
      <x:c r="F4290" s="0" t="s">
        <x:v>45</x:v>
      </x:c>
      <x:c r="G4290" s="0" t="s">
        <x:v>19</x:v>
      </x:c>
      <x:c r="H4290" s="0" t="s">
        <x:v>20</x:v>
      </x:c>
      <x:c r="I4290" s="0" t="s">
        <x:v>21</x:v>
      </x:c>
      <x:c r="K4290" s="0">
        <x:f>hyperlink("https://icd.who.int/dev11/l-ichi/en#/http%3A%2F%2Fid.who.int%2Ficd%2Fentity%2F83383563","browser")</x:f>
      </x:c>
      <x:c r="L4290" s="0">
        <x:f>hyperlink("https://icat2.azurewebsites.net/icat/?ontology=ICD&amp;tab=ClassesTab&amp;id=http%3A%2F%2Fwho.int%2Ficd%2322549_512ebf36_bf6b_4d70_85da_cf2637062af4","iCat")</x:f>
      </x:c>
      <x:c r="M4290" s="0" t="s">
        <x:v>21</x:v>
      </x:c>
      <x:c r="N4290" s="0" t="s">
        <x:v>46</x:v>
      </x:c>
    </x:row>
    <x:row r="4291" spans="1:16">
      <x:c r="A4291" s="0" t="s">
        <x:v>17007</x:v>
      </x:c>
      <x:c r="B4291" s="0" t="s">
        <x:v>17008</x:v>
      </x:c>
      <x:c r="C4291" s="0" t="s">
        <x:v>17009</x:v>
      </x:c>
      <x:c r="E4291" s="0" t="s">
        <x:v>17010</x:v>
      </x:c>
      <x:c r="F4291" s="0" t="s">
        <x:v>45</x:v>
      </x:c>
      <x:c r="G4291" s="0" t="s">
        <x:v>19</x:v>
      </x:c>
      <x:c r="H4291" s="0" t="s">
        <x:v>20</x:v>
      </x:c>
      <x:c r="I4291" s="0" t="s">
        <x:v>21</x:v>
      </x:c>
      <x:c r="K4291" s="0">
        <x:f>hyperlink("https://icd.who.int/dev11/l-ichi/en#/http%3A%2F%2Fid.who.int%2Ficd%2Fentity%2F1892116666","browser")</x:f>
      </x:c>
      <x:c r="L4291" s="0">
        <x:f>hyperlink("https://icat2.azurewebsites.net/icat/?ontology=ICD&amp;tab=ClassesTab&amp;id=http%3A%2F%2Fwho.int%2Ficd%2322557_512ebf36_bf6b_4d70_85da_cf2637062af4","iCat")</x:f>
      </x:c>
      <x:c r="M4291" s="0" t="s">
        <x:v>21</x:v>
      </x:c>
      <x:c r="N4291" s="0" t="s">
        <x:v>46</x:v>
      </x:c>
    </x:row>
    <x:row r="4292" spans="1:16">
      <x:c r="A4292" s="0" t="s">
        <x:v>17011</x:v>
      </x:c>
      <x:c r="B4292" s="0" t="s">
        <x:v>17012</x:v>
      </x:c>
      <x:c r="C4292" s="0" t="s">
        <x:v>17013</x:v>
      </x:c>
      <x:c r="E4292" s="0" t="s">
        <x:v>17014</x:v>
      </x:c>
      <x:c r="F4292" s="0" t="s">
        <x:v>45</x:v>
      </x:c>
      <x:c r="G4292" s="0" t="s">
        <x:v>19</x:v>
      </x:c>
      <x:c r="H4292" s="0" t="s">
        <x:v>20</x:v>
      </x:c>
      <x:c r="I4292" s="0" t="s">
        <x:v>21</x:v>
      </x:c>
      <x:c r="K4292" s="0">
        <x:f>hyperlink("https://icd.who.int/dev11/l-ichi/en#/http%3A%2F%2Fid.who.int%2Ficd%2Fentity%2F1978877768","browser")</x:f>
      </x:c>
      <x:c r="L4292" s="0">
        <x:f>hyperlink("https://icat2.azurewebsites.net/icat/?ontology=ICD&amp;tab=ClassesTab&amp;id=http%3A%2F%2Fwho.int%2Ficd%2322564_512ebf36_bf6b_4d70_85da_cf2637062af4","iCat")</x:f>
      </x:c>
      <x:c r="M4292" s="0" t="s">
        <x:v>21</x:v>
      </x:c>
      <x:c r="N4292" s="0" t="s">
        <x:v>46</x:v>
      </x:c>
    </x:row>
    <x:row r="4293" spans="1:16">
      <x:c r="A4293" s="0" t="s">
        <x:v>17015</x:v>
      </x:c>
      <x:c r="B4293" s="0" t="s">
        <x:v>17016</x:v>
      </x:c>
      <x:c r="C4293" s="0" t="s">
        <x:v>17017</x:v>
      </x:c>
      <x:c r="E4293" s="0" t="s">
        <x:v>17018</x:v>
      </x:c>
      <x:c r="F4293" s="0" t="s">
        <x:v>45</x:v>
      </x:c>
      <x:c r="G4293" s="0" t="s">
        <x:v>19</x:v>
      </x:c>
      <x:c r="H4293" s="0" t="s">
        <x:v>20</x:v>
      </x:c>
      <x:c r="I4293" s="0" t="s">
        <x:v>21</x:v>
      </x:c>
      <x:c r="K4293" s="0">
        <x:f>hyperlink("https://icd.who.int/dev11/l-ichi/en#/http%3A%2F%2Fid.who.int%2Ficd%2Fentity%2F1330449312","browser")</x:f>
      </x:c>
      <x:c r="L4293" s="0">
        <x:f>hyperlink("https://icat2.azurewebsites.net/icat/?ontology=ICD&amp;tab=ClassesTab&amp;id=http%3A%2F%2Fwho.int%2Ficd%2322572_512ebf36_bf6b_4d70_85da_cf2637062af4","iCat")</x:f>
      </x:c>
      <x:c r="M4293" s="0" t="s">
        <x:v>21</x:v>
      </x:c>
      <x:c r="N4293" s="0" t="s">
        <x:v>46</x:v>
      </x:c>
    </x:row>
    <x:row r="4294" spans="1:16">
      <x:c r="A4294" s="0" t="s">
        <x:v>17019</x:v>
      </x:c>
      <x:c r="B4294" s="0" t="s">
        <x:v>17020</x:v>
      </x:c>
      <x:c r="C4294" s="0" t="s">
        <x:v>17021</x:v>
      </x:c>
      <x:c r="E4294" s="0" t="s">
        <x:v>17022</x:v>
      </x:c>
      <x:c r="F4294" s="0" t="s">
        <x:v>45</x:v>
      </x:c>
      <x:c r="G4294" s="0" t="s">
        <x:v>19</x:v>
      </x:c>
      <x:c r="H4294" s="0" t="s">
        <x:v>20</x:v>
      </x:c>
      <x:c r="I4294" s="0" t="s">
        <x:v>21</x:v>
      </x:c>
      <x:c r="K4294" s="0">
        <x:f>hyperlink("https://icd.who.int/dev11/l-ichi/en#/http%3A%2F%2Fid.who.int%2Ficd%2Fentity%2F589694382","browser")</x:f>
      </x:c>
      <x:c r="L4294" s="0">
        <x:f>hyperlink("https://icat2.azurewebsites.net/icat/?ontology=ICD&amp;tab=ClassesTab&amp;id=http%3A%2F%2Fwho.int%2Ficd%23290_145da35b_2606_49b1_9645_9e3aeecd5c47","iCat")</x:f>
      </x:c>
      <x:c r="M4294" s="0" t="s">
        <x:v>21</x:v>
      </x:c>
      <x:c r="N4294" s="0" t="s">
        <x:v>46</x:v>
      </x:c>
    </x:row>
    <x:row r="4295" spans="1:16">
      <x:c r="A4295" s="0" t="s">
        <x:v>17023</x:v>
      </x:c>
      <x:c r="B4295" s="0" t="s">
        <x:v>17024</x:v>
      </x:c>
      <x:c r="C4295" s="0" t="s">
        <x:v>17025</x:v>
      </x:c>
      <x:c r="E4295" s="0" t="s">
        <x:v>17026</x:v>
      </x:c>
      <x:c r="F4295" s="0" t="s">
        <x:v>45</x:v>
      </x:c>
      <x:c r="G4295" s="0" t="s">
        <x:v>19</x:v>
      </x:c>
      <x:c r="H4295" s="0" t="s">
        <x:v>20</x:v>
      </x:c>
      <x:c r="I4295" s="0" t="s">
        <x:v>21</x:v>
      </x:c>
      <x:c r="K4295" s="0">
        <x:f>hyperlink("https://icd.who.int/dev11/l-ichi/en#/http%3A%2F%2Fid.who.int%2Ficd%2Fentity%2F1689282352","browser")</x:f>
      </x:c>
      <x:c r="L4295" s="0">
        <x:f>hyperlink("https://icat2.azurewebsites.net/icat/?ontology=ICD&amp;tab=ClassesTab&amp;id=http%3A%2F%2Fwho.int%2Ficd%2322578_512ebf36_bf6b_4d70_85da_cf2637062af4","iCat")</x:f>
      </x:c>
      <x:c r="M4295" s="0" t="s">
        <x:v>21</x:v>
      </x:c>
      <x:c r="N4295" s="0" t="s">
        <x:v>46</x:v>
      </x:c>
    </x:row>
    <x:row r="4296" spans="1:16">
      <x:c r="A4296" s="0" t="s">
        <x:v>17027</x:v>
      </x:c>
      <x:c r="B4296" s="0" t="s">
        <x:v>17028</x:v>
      </x:c>
      <x:c r="C4296" s="0" t="s">
        <x:v>17029</x:v>
      </x:c>
      <x:c r="E4296" s="0" t="s">
        <x:v>17030</x:v>
      </x:c>
      <x:c r="F4296" s="0" t="s">
        <x:v>45</x:v>
      </x:c>
      <x:c r="G4296" s="0" t="s">
        <x:v>19</x:v>
      </x:c>
      <x:c r="H4296" s="0" t="s">
        <x:v>20</x:v>
      </x:c>
      <x:c r="I4296" s="0" t="s">
        <x:v>21</x:v>
      </x:c>
      <x:c r="K4296" s="0">
        <x:f>hyperlink("https://icd.who.int/dev11/l-ichi/en#/http%3A%2F%2Fid.who.int%2Ficd%2Fentity%2F819042511","browser")</x:f>
      </x:c>
      <x:c r="L4296" s="0">
        <x:f>hyperlink("https://icat2.azurewebsites.net/icat/?ontology=ICD&amp;tab=ClassesTab&amp;id=http%3A%2F%2Fwho.int%2Ficd%2322584_512ebf36_bf6b_4d70_85da_cf2637062af4","iCat")</x:f>
      </x:c>
      <x:c r="M4296" s="0" t="s">
        <x:v>21</x:v>
      </x:c>
      <x:c r="N4296" s="0" t="s">
        <x:v>46</x:v>
      </x:c>
    </x:row>
    <x:row r="4297" spans="1:16">
      <x:c r="A4297" s="0" t="s">
        <x:v>17031</x:v>
      </x:c>
      <x:c r="B4297" s="0" t="s">
        <x:v>17032</x:v>
      </x:c>
      <x:c r="C4297" s="0" t="s">
        <x:v>17033</x:v>
      </x:c>
      <x:c r="E4297" s="0" t="s">
        <x:v>17034</x:v>
      </x:c>
      <x:c r="F4297" s="0" t="s">
        <x:v>45</x:v>
      </x:c>
      <x:c r="G4297" s="0" t="s">
        <x:v>19</x:v>
      </x:c>
      <x:c r="H4297" s="0" t="s">
        <x:v>20</x:v>
      </x:c>
      <x:c r="I4297" s="0" t="s">
        <x:v>21</x:v>
      </x:c>
      <x:c r="K4297" s="0">
        <x:f>hyperlink("https://icd.who.int/dev11/l-ichi/en#/http%3A%2F%2Fid.who.int%2Ficd%2Fentity%2F1863567852","browser")</x:f>
      </x:c>
      <x:c r="L4297" s="0">
        <x:f>hyperlink("https://icat2.azurewebsites.net/icat/?ontology=ICD&amp;tab=ClassesTab&amp;id=http%3A%2F%2Fwho.int%2Ficd%2322590_512ebf36_bf6b_4d70_85da_cf2637062af4","iCat")</x:f>
      </x:c>
      <x:c r="M4297" s="0" t="s">
        <x:v>21</x:v>
      </x:c>
      <x:c r="N4297" s="0" t="s">
        <x:v>46</x:v>
      </x:c>
    </x:row>
    <x:row r="4298" spans="1:16">
      <x:c r="A4298" s="0" t="s">
        <x:v>17035</x:v>
      </x:c>
      <x:c r="B4298" s="0" t="s">
        <x:v>17036</x:v>
      </x:c>
      <x:c r="C4298" s="0" t="s">
        <x:v>17037</x:v>
      </x:c>
      <x:c r="E4298" s="0" t="s">
        <x:v>17038</x:v>
      </x:c>
      <x:c r="F4298" s="0" t="s">
        <x:v>45</x:v>
      </x:c>
      <x:c r="G4298" s="0" t="s">
        <x:v>19</x:v>
      </x:c>
      <x:c r="H4298" s="0" t="s">
        <x:v>20</x:v>
      </x:c>
      <x:c r="I4298" s="0" t="s">
        <x:v>21</x:v>
      </x:c>
      <x:c r="K4298" s="0">
        <x:f>hyperlink("https://icd.who.int/dev11/l-ichi/en#/http%3A%2F%2Fid.who.int%2Ficd%2Fentity%2F2075701542","browser")</x:f>
      </x:c>
      <x:c r="L4298" s="0">
        <x:f>hyperlink("https://icat2.azurewebsites.net/icat/?ontology=ICD&amp;tab=ClassesTab&amp;id=http%3A%2F%2Fwho.int%2Ficd%2322600_512ebf36_bf6b_4d70_85da_cf2637062af4","iCat")</x:f>
      </x:c>
      <x:c r="M4298" s="0" t="s">
        <x:v>21</x:v>
      </x:c>
      <x:c r="N4298" s="0" t="s">
        <x:v>46</x:v>
      </x:c>
    </x:row>
    <x:row r="4299" spans="1:16">
      <x:c r="A4299" s="0" t="s">
        <x:v>17039</x:v>
      </x:c>
      <x:c r="B4299" s="0" t="s">
        <x:v>17040</x:v>
      </x:c>
      <x:c r="C4299" s="0" t="s">
        <x:v>17041</x:v>
      </x:c>
      <x:c r="E4299" s="0" t="s">
        <x:v>17042</x:v>
      </x:c>
      <x:c r="F4299" s="0" t="s">
        <x:v>45</x:v>
      </x:c>
      <x:c r="G4299" s="0" t="s">
        <x:v>19</x:v>
      </x:c>
      <x:c r="H4299" s="0" t="s">
        <x:v>20</x:v>
      </x:c>
      <x:c r="I4299" s="0" t="s">
        <x:v>21</x:v>
      </x:c>
      <x:c r="K4299" s="0">
        <x:f>hyperlink("https://icd.who.int/dev11/l-ichi/en#/http%3A%2F%2Fid.who.int%2Ficd%2Fentity%2F364950095","browser")</x:f>
      </x:c>
      <x:c r="L4299" s="0">
        <x:f>hyperlink("https://icat2.azurewebsites.net/icat/?ontology=ICD&amp;tab=ClassesTab&amp;id=http%3A%2F%2Fwho.int%2Ficd%2322609_512ebf36_bf6b_4d70_85da_cf2637062af4","iCat")</x:f>
      </x:c>
      <x:c r="M4299" s="0" t="s">
        <x:v>21</x:v>
      </x:c>
      <x:c r="N4299" s="0" t="s">
        <x:v>46</x:v>
      </x:c>
    </x:row>
    <x:row r="4300" spans="1:16">
      <x:c r="A4300" s="0" t="s">
        <x:v>17043</x:v>
      </x:c>
      <x:c r="B4300" s="0" t="s">
        <x:v>17044</x:v>
      </x:c>
      <x:c r="C4300" s="0" t="s">
        <x:v>17045</x:v>
      </x:c>
      <x:c r="E4300" s="0" t="s">
        <x:v>17046</x:v>
      </x:c>
      <x:c r="F4300" s="0" t="s">
        <x:v>45</x:v>
      </x:c>
      <x:c r="G4300" s="0" t="s">
        <x:v>19</x:v>
      </x:c>
      <x:c r="H4300" s="0" t="s">
        <x:v>20</x:v>
      </x:c>
      <x:c r="I4300" s="0" t="s">
        <x:v>21</x:v>
      </x:c>
      <x:c r="K4300" s="0">
        <x:f>hyperlink("https://icd.who.int/dev11/l-ichi/en#/http%3A%2F%2Fid.who.int%2Ficd%2Fentity%2F75731513","browser")</x:f>
      </x:c>
      <x:c r="L4300" s="0">
        <x:f>hyperlink("https://icat2.azurewebsites.net/icat/?ontology=ICD&amp;tab=ClassesTab&amp;id=http%3A%2F%2Fwho.int%2Ficd%2322615_512ebf36_bf6b_4d70_85da_cf2637062af4","iCat")</x:f>
      </x:c>
      <x:c r="M4300" s="0" t="s">
        <x:v>21</x:v>
      </x:c>
      <x:c r="N4300" s="0" t="s">
        <x:v>46</x:v>
      </x:c>
    </x:row>
    <x:row r="4301" spans="1:16">
      <x:c r="A4301" s="0" t="s">
        <x:v>17047</x:v>
      </x:c>
      <x:c r="B4301" s="0" t="s">
        <x:v>17048</x:v>
      </x:c>
      <x:c r="C4301" s="0" t="s">
        <x:v>17049</x:v>
      </x:c>
      <x:c r="E4301" s="0" t="s">
        <x:v>17050</x:v>
      </x:c>
      <x:c r="F4301" s="0" t="s">
        <x:v>45</x:v>
      </x:c>
      <x:c r="G4301" s="0" t="s">
        <x:v>19</x:v>
      </x:c>
      <x:c r="H4301" s="0" t="s">
        <x:v>20</x:v>
      </x:c>
      <x:c r="I4301" s="0" t="s">
        <x:v>21</x:v>
      </x:c>
      <x:c r="K4301" s="0">
        <x:f>hyperlink("https://icd.who.int/dev11/l-ichi/en#/http%3A%2F%2Fid.who.int%2Ficd%2Fentity%2F1899304522","browser")</x:f>
      </x:c>
      <x:c r="L4301" s="0">
        <x:f>hyperlink("https://icat2.azurewebsites.net/icat/?ontology=ICD&amp;tab=ClassesTab&amp;id=http%3A%2F%2Fwho.int%2Ficd%2322621_512ebf36_bf6b_4d70_85da_cf2637062af4","iCat")</x:f>
      </x:c>
      <x:c r="M4301" s="0" t="s">
        <x:v>21</x:v>
      </x:c>
      <x:c r="N4301" s="0" t="s">
        <x:v>46</x:v>
      </x:c>
    </x:row>
    <x:row r="4302" spans="1:16">
      <x:c r="A4302" s="0" t="s">
        <x:v>17051</x:v>
      </x:c>
      <x:c r="B4302" s="0" t="s">
        <x:v>17052</x:v>
      </x:c>
      <x:c r="C4302" s="0" t="s">
        <x:v>17053</x:v>
      </x:c>
      <x:c r="E4302" s="0" t="s">
        <x:v>17054</x:v>
      </x:c>
      <x:c r="F4302" s="0" t="s">
        <x:v>45</x:v>
      </x:c>
      <x:c r="G4302" s="0" t="s">
        <x:v>19</x:v>
      </x:c>
      <x:c r="H4302" s="0" t="s">
        <x:v>20</x:v>
      </x:c>
      <x:c r="I4302" s="0" t="s">
        <x:v>21</x:v>
      </x:c>
      <x:c r="K4302" s="0">
        <x:f>hyperlink("https://icd.who.int/dev11/l-ichi/en#/http%3A%2F%2Fid.who.int%2Ficd%2Fentity%2F558813179","browser")</x:f>
      </x:c>
      <x:c r="L4302" s="0">
        <x:f>hyperlink("https://icat2.azurewebsites.net/icat/?ontology=ICD&amp;tab=ClassesTab&amp;id=http%3A%2F%2Fwho.int%2Ficd%2322627_512ebf36_bf6b_4d70_85da_cf2637062af4","iCat")</x:f>
      </x:c>
      <x:c r="M4302" s="0" t="s">
        <x:v>21</x:v>
      </x:c>
      <x:c r="N4302" s="0" t="s">
        <x:v>46</x:v>
      </x:c>
    </x:row>
    <x:row r="4303" spans="1:16">
      <x:c r="A4303" s="0" t="s">
        <x:v>17055</x:v>
      </x:c>
      <x:c r="B4303" s="0" t="s">
        <x:v>17056</x:v>
      </x:c>
      <x:c r="C4303" s="0" t="s">
        <x:v>17057</x:v>
      </x:c>
      <x:c r="E4303" s="0" t="s">
        <x:v>17058</x:v>
      </x:c>
      <x:c r="F4303" s="0" t="s">
        <x:v>45</x:v>
      </x:c>
      <x:c r="G4303" s="0" t="s">
        <x:v>19</x:v>
      </x:c>
      <x:c r="H4303" s="0" t="s">
        <x:v>20</x:v>
      </x:c>
      <x:c r="I4303" s="0" t="s">
        <x:v>21</x:v>
      </x:c>
      <x:c r="K4303" s="0">
        <x:f>hyperlink("https://icd.who.int/dev11/l-ichi/en#/http%3A%2F%2Fid.who.int%2Ficd%2Fentity%2F235812181","browser")</x:f>
      </x:c>
      <x:c r="L4303" s="0">
        <x:f>hyperlink("https://icat2.azurewebsites.net/icat/?ontology=ICD&amp;tab=ClassesTab&amp;id=http%3A%2F%2Fwho.int%2Ficd%2322634_512ebf36_bf6b_4d70_85da_cf2637062af4","iCat")</x:f>
      </x:c>
      <x:c r="M4303" s="0" t="s">
        <x:v>21</x:v>
      </x:c>
      <x:c r="N4303" s="0" t="s">
        <x:v>46</x:v>
      </x:c>
    </x:row>
    <x:row r="4304" spans="1:16">
      <x:c r="A4304" s="0" t="s">
        <x:v>17059</x:v>
      </x:c>
      <x:c r="B4304" s="0" t="s">
        <x:v>17060</x:v>
      </x:c>
      <x:c r="C4304" s="0" t="s">
        <x:v>17061</x:v>
      </x:c>
      <x:c r="E4304" s="0" t="s">
        <x:v>17062</x:v>
      </x:c>
      <x:c r="F4304" s="0" t="s">
        <x:v>45</x:v>
      </x:c>
      <x:c r="G4304" s="0" t="s">
        <x:v>19</x:v>
      </x:c>
      <x:c r="H4304" s="0" t="s">
        <x:v>20</x:v>
      </x:c>
      <x:c r="I4304" s="0" t="s">
        <x:v>21</x:v>
      </x:c>
      <x:c r="K4304" s="0">
        <x:f>hyperlink("https://icd.who.int/dev11/l-ichi/en#/http%3A%2F%2Fid.who.int%2Ficd%2Fentity%2F723947527","browser")</x:f>
      </x:c>
      <x:c r="L4304" s="0">
        <x:f>hyperlink("https://icat2.azurewebsites.net/icat/?ontology=ICD&amp;tab=ClassesTab&amp;id=http%3A%2F%2Fwho.int%2Ficd%2322641_512ebf36_bf6b_4d70_85da_cf2637062af4","iCat")</x:f>
      </x:c>
      <x:c r="M4304" s="0" t="s">
        <x:v>21</x:v>
      </x:c>
      <x:c r="N4304" s="0" t="s">
        <x:v>46</x:v>
      </x:c>
    </x:row>
    <x:row r="4305" spans="1:16">
      <x:c r="A4305" s="0" t="s">
        <x:v>17063</x:v>
      </x:c>
      <x:c r="B4305" s="0" t="s">
        <x:v>17064</x:v>
      </x:c>
      <x:c r="C4305" s="0" t="s">
        <x:v>17065</x:v>
      </x:c>
      <x:c r="E4305" s="0" t="s">
        <x:v>17066</x:v>
      </x:c>
      <x:c r="F4305" s="0" t="s">
        <x:v>45</x:v>
      </x:c>
      <x:c r="G4305" s="0" t="s">
        <x:v>19</x:v>
      </x:c>
      <x:c r="H4305" s="0" t="s">
        <x:v>20</x:v>
      </x:c>
      <x:c r="I4305" s="0" t="s">
        <x:v>21</x:v>
      </x:c>
      <x:c r="K4305" s="0">
        <x:f>hyperlink("https://icd.who.int/dev11/l-ichi/en#/http%3A%2F%2Fid.who.int%2Ficd%2Fentity%2F2069711286","browser")</x:f>
      </x:c>
      <x:c r="L4305" s="0">
        <x:f>hyperlink("https://icat2.azurewebsites.net/icat/?ontology=ICD&amp;tab=ClassesTab&amp;id=http%3A%2F%2Fwho.int%2Ficd%2322647_512ebf36_bf6b_4d70_85da_cf2637062af4","iCat")</x:f>
      </x:c>
      <x:c r="M4305" s="0" t="s">
        <x:v>21</x:v>
      </x:c>
      <x:c r="N4305" s="0" t="s">
        <x:v>46</x:v>
      </x:c>
    </x:row>
    <x:row r="4306" spans="1:16">
      <x:c r="A4306" s="0" t="s">
        <x:v>17067</x:v>
      </x:c>
      <x:c r="B4306" s="0" t="s">
        <x:v>17068</x:v>
      </x:c>
      <x:c r="C4306" s="0" t="s">
        <x:v>17069</x:v>
      </x:c>
      <x:c r="E4306" s="0" t="s">
        <x:v>17070</x:v>
      </x:c>
      <x:c r="F4306" s="0" t="s">
        <x:v>45</x:v>
      </x:c>
      <x:c r="G4306" s="0" t="s">
        <x:v>19</x:v>
      </x:c>
      <x:c r="H4306" s="0" t="s">
        <x:v>20</x:v>
      </x:c>
      <x:c r="I4306" s="0" t="s">
        <x:v>21</x:v>
      </x:c>
      <x:c r="K4306" s="0">
        <x:f>hyperlink("https://icd.who.int/dev11/l-ichi/en#/http%3A%2F%2Fid.who.int%2Ficd%2Fentity%2F614406293","browser")</x:f>
      </x:c>
      <x:c r="L4306" s="0">
        <x:f>hyperlink("https://icat2.azurewebsites.net/icat/?ontology=ICD&amp;tab=ClassesTab&amp;id=http%3A%2F%2Fwho.int%2Ficd%2322653_512ebf36_bf6b_4d70_85da_cf2637062af4","iCat")</x:f>
      </x:c>
      <x:c r="M4306" s="0" t="s">
        <x:v>21</x:v>
      </x:c>
      <x:c r="N4306" s="0" t="s">
        <x:v>46</x:v>
      </x:c>
    </x:row>
    <x:row r="4307" spans="1:16">
      <x:c r="A4307" s="0" t="s">
        <x:v>17071</x:v>
      </x:c>
      <x:c r="B4307" s="0" t="s">
        <x:v>17072</x:v>
      </x:c>
      <x:c r="C4307" s="0" t="s">
        <x:v>17073</x:v>
      </x:c>
      <x:c r="E4307" s="0" t="s">
        <x:v>17074</x:v>
      </x:c>
      <x:c r="F4307" s="0" t="s">
        <x:v>45</x:v>
      </x:c>
      <x:c r="G4307" s="0" t="s">
        <x:v>19</x:v>
      </x:c>
      <x:c r="H4307" s="0" t="s">
        <x:v>20</x:v>
      </x:c>
      <x:c r="I4307" s="0" t="s">
        <x:v>21</x:v>
      </x:c>
      <x:c r="K4307" s="0">
        <x:f>hyperlink("https://icd.who.int/dev11/l-ichi/en#/http%3A%2F%2Fid.who.int%2Ficd%2Fentity%2F22168919","browser")</x:f>
      </x:c>
      <x:c r="L4307" s="0">
        <x:f>hyperlink("https://icat2.azurewebsites.net/icat/?ontology=ICD&amp;tab=ClassesTab&amp;id=http%3A%2F%2Fwho.int%2Ficd%2322661_512ebf36_bf6b_4d70_85da_cf2637062af4","iCat")</x:f>
      </x:c>
      <x:c r="M4307" s="0" t="s">
        <x:v>21</x:v>
      </x:c>
      <x:c r="N4307" s="0" t="s">
        <x:v>46</x:v>
      </x:c>
    </x:row>
    <x:row r="4308" spans="1:16">
      <x:c r="A4308" s="0" t="s">
        <x:v>17075</x:v>
      </x:c>
      <x:c r="B4308" s="0" t="s">
        <x:v>17076</x:v>
      </x:c>
      <x:c r="C4308" s="0" t="s">
        <x:v>17077</x:v>
      </x:c>
      <x:c r="E4308" s="0" t="s">
        <x:v>17078</x:v>
      </x:c>
      <x:c r="F4308" s="0" t="s">
        <x:v>45</x:v>
      </x:c>
      <x:c r="G4308" s="0" t="s">
        <x:v>19</x:v>
      </x:c>
      <x:c r="H4308" s="0" t="s">
        <x:v>20</x:v>
      </x:c>
      <x:c r="I4308" s="0" t="s">
        <x:v>21</x:v>
      </x:c>
      <x:c r="K4308" s="0">
        <x:f>hyperlink("https://icd.who.int/dev11/l-ichi/en#/http%3A%2F%2Fid.who.int%2Ficd%2Fentity%2F1361681640","browser")</x:f>
      </x:c>
      <x:c r="L4308" s="0">
        <x:f>hyperlink("https://icat2.azurewebsites.net/icat/?ontology=ICD&amp;tab=ClassesTab&amp;id=http%3A%2F%2Fwho.int%2Ficd%2322667_512ebf36_bf6b_4d70_85da_cf2637062af4","iCat")</x:f>
      </x:c>
      <x:c r="M4308" s="0" t="s">
        <x:v>21</x:v>
      </x:c>
      <x:c r="N4308" s="0" t="s">
        <x:v>46</x:v>
      </x:c>
    </x:row>
    <x:row r="4309" spans="1:16">
      <x:c r="A4309" s="0" t="s">
        <x:v>17079</x:v>
      </x:c>
      <x:c r="B4309" s="0" t="s">
        <x:v>17080</x:v>
      </x:c>
      <x:c r="C4309" s="0" t="s">
        <x:v>17081</x:v>
      </x:c>
      <x:c r="E4309" s="0" t="s">
        <x:v>17082</x:v>
      </x:c>
      <x:c r="F4309" s="0" t="s">
        <x:v>45</x:v>
      </x:c>
      <x:c r="G4309" s="0" t="s">
        <x:v>19</x:v>
      </x:c>
      <x:c r="H4309" s="0" t="s">
        <x:v>20</x:v>
      </x:c>
      <x:c r="I4309" s="0" t="s">
        <x:v>21</x:v>
      </x:c>
      <x:c r="K4309" s="0">
        <x:f>hyperlink("https://icd.who.int/dev11/l-ichi/en#/http%3A%2F%2Fid.who.int%2Ficd%2Fentity%2F2120836680","browser")</x:f>
      </x:c>
      <x:c r="L4309" s="0">
        <x:f>hyperlink("https://icat2.azurewebsites.net/icat/?ontology=ICD&amp;tab=ClassesTab&amp;id=http%3A%2F%2Fwho.int%2Ficd%2322674_512ebf36_bf6b_4d70_85da_cf2637062af4","iCat")</x:f>
      </x:c>
      <x:c r="M4309" s="0" t="s">
        <x:v>21</x:v>
      </x:c>
      <x:c r="N4309" s="0" t="s">
        <x:v>46</x:v>
      </x:c>
    </x:row>
    <x:row r="4310" spans="1:16">
      <x:c r="A4310" s="0" t="s">
        <x:v>17083</x:v>
      </x:c>
      <x:c r="B4310" s="0" t="s">
        <x:v>17084</x:v>
      </x:c>
      <x:c r="C4310" s="0" t="s">
        <x:v>17085</x:v>
      </x:c>
      <x:c r="E4310" s="0" t="s">
        <x:v>17086</x:v>
      </x:c>
      <x:c r="F4310" s="0" t="s">
        <x:v>45</x:v>
      </x:c>
      <x:c r="G4310" s="0" t="s">
        <x:v>19</x:v>
      </x:c>
      <x:c r="H4310" s="0" t="s">
        <x:v>20</x:v>
      </x:c>
      <x:c r="I4310" s="0" t="s">
        <x:v>21</x:v>
      </x:c>
      <x:c r="K4310" s="0">
        <x:f>hyperlink("https://icd.who.int/dev11/l-ichi/en#/http%3A%2F%2Fid.who.int%2Ficd%2Fentity%2F32896295","browser")</x:f>
      </x:c>
      <x:c r="L4310" s="0">
        <x:f>hyperlink("https://icat2.azurewebsites.net/icat/?ontology=ICD&amp;tab=ClassesTab&amp;id=http%3A%2F%2Fwho.int%2Ficd%2322682_512ebf36_bf6b_4d70_85da_cf2637062af4","iCat")</x:f>
      </x:c>
      <x:c r="M4310" s="0" t="s">
        <x:v>21</x:v>
      </x:c>
      <x:c r="N4310" s="0" t="s">
        <x:v>46</x:v>
      </x:c>
    </x:row>
    <x:row r="4311" spans="1:16">
      <x:c r="A4311" s="0" t="s">
        <x:v>17087</x:v>
      </x:c>
      <x:c r="B4311" s="0" t="s">
        <x:v>17088</x:v>
      </x:c>
      <x:c r="C4311" s="0" t="s">
        <x:v>17089</x:v>
      </x:c>
      <x:c r="E4311" s="0" t="s">
        <x:v>17090</x:v>
      </x:c>
      <x:c r="F4311" s="0" t="s">
        <x:v>45</x:v>
      </x:c>
      <x:c r="G4311" s="0" t="s">
        <x:v>19</x:v>
      </x:c>
      <x:c r="H4311" s="0" t="s">
        <x:v>20</x:v>
      </x:c>
      <x:c r="I4311" s="0" t="s">
        <x:v>21</x:v>
      </x:c>
      <x:c r="K4311" s="0">
        <x:f>hyperlink("https://icd.who.int/dev11/l-ichi/en#/http%3A%2F%2Fid.who.int%2Ficd%2Fentity%2F183626635","browser")</x:f>
      </x:c>
      <x:c r="L4311" s="0">
        <x:f>hyperlink("https://icat2.azurewebsites.net/icat/?ontology=ICD&amp;tab=ClassesTab&amp;id=http%3A%2F%2Fwho.int%2Ficd%2322689_512ebf36_bf6b_4d70_85da_cf2637062af4","iCat")</x:f>
      </x:c>
      <x:c r="M4311" s="0" t="s">
        <x:v>21</x:v>
      </x:c>
      <x:c r="N4311" s="0" t="s">
        <x:v>46</x:v>
      </x:c>
    </x:row>
    <x:row r="4312" spans="1:16">
      <x:c r="A4312" s="0" t="s">
        <x:v>17091</x:v>
      </x:c>
      <x:c r="B4312" s="0" t="s">
        <x:v>17092</x:v>
      </x:c>
      <x:c r="C4312" s="0" t="s">
        <x:v>17093</x:v>
      </x:c>
      <x:c r="E4312" s="0" t="s">
        <x:v>17094</x:v>
      </x:c>
      <x:c r="F4312" s="0" t="s">
        <x:v>45</x:v>
      </x:c>
      <x:c r="G4312" s="0" t="s">
        <x:v>19</x:v>
      </x:c>
      <x:c r="H4312" s="0" t="s">
        <x:v>20</x:v>
      </x:c>
      <x:c r="I4312" s="0" t="s">
        <x:v>21</x:v>
      </x:c>
      <x:c r="K4312" s="0">
        <x:f>hyperlink("https://icd.who.int/dev11/l-ichi/en#/http%3A%2F%2Fid.who.int%2Ficd%2Fentity%2F237467579","browser")</x:f>
      </x:c>
      <x:c r="L4312" s="0">
        <x:f>hyperlink("https://icat2.azurewebsites.net/icat/?ontology=ICD&amp;tab=ClassesTab&amp;id=http%3A%2F%2Fwho.int%2Ficd%2322700_512ebf36_bf6b_4d70_85da_cf2637062af4","iCat")</x:f>
      </x:c>
      <x:c r="M4312" s="0" t="s">
        <x:v>21</x:v>
      </x:c>
      <x:c r="N4312" s="0" t="s">
        <x:v>46</x:v>
      </x:c>
    </x:row>
    <x:row r="4313" spans="1:16">
      <x:c r="A4313" s="0" t="s">
        <x:v>17095</x:v>
      </x:c>
      <x:c r="B4313" s="0" t="s">
        <x:v>17096</x:v>
      </x:c>
      <x:c r="C4313" s="0" t="s">
        <x:v>17097</x:v>
      </x:c>
      <x:c r="E4313" s="0" t="s">
        <x:v>17098</x:v>
      </x:c>
      <x:c r="F4313" s="0" t="s">
        <x:v>45</x:v>
      </x:c>
      <x:c r="G4313" s="0" t="s">
        <x:v>19</x:v>
      </x:c>
      <x:c r="H4313" s="0" t="s">
        <x:v>20</x:v>
      </x:c>
      <x:c r="I4313" s="0" t="s">
        <x:v>21</x:v>
      </x:c>
      <x:c r="K4313" s="0">
        <x:f>hyperlink("https://icd.who.int/dev11/l-ichi/en#/http%3A%2F%2Fid.who.int%2Ficd%2Fentity%2F2124799030","browser")</x:f>
      </x:c>
      <x:c r="L4313" s="0">
        <x:f>hyperlink("https://icat2.azurewebsites.net/icat/?ontology=ICD&amp;tab=ClassesTab&amp;id=http%3A%2F%2Fwho.int%2Ficd%2322707_512ebf36_bf6b_4d70_85da_cf2637062af4","iCat")</x:f>
      </x:c>
      <x:c r="M4313" s="0" t="s">
        <x:v>21</x:v>
      </x:c>
      <x:c r="N4313" s="0" t="s">
        <x:v>46</x:v>
      </x:c>
    </x:row>
    <x:row r="4314" spans="1:16">
      <x:c r="A4314" s="0" t="s">
        <x:v>17099</x:v>
      </x:c>
      <x:c r="B4314" s="0" t="s">
        <x:v>17100</x:v>
      </x:c>
      <x:c r="C4314" s="0" t="s">
        <x:v>17101</x:v>
      </x:c>
      <x:c r="E4314" s="0" t="s">
        <x:v>17102</x:v>
      </x:c>
      <x:c r="F4314" s="0" t="s">
        <x:v>45</x:v>
      </x:c>
      <x:c r="G4314" s="0" t="s">
        <x:v>19</x:v>
      </x:c>
      <x:c r="H4314" s="0" t="s">
        <x:v>20</x:v>
      </x:c>
      <x:c r="I4314" s="0" t="s">
        <x:v>21</x:v>
      </x:c>
      <x:c r="K4314" s="0">
        <x:f>hyperlink("https://icd.who.int/dev11/l-ichi/en#/http%3A%2F%2Fid.who.int%2Ficd%2Fentity%2F560434453","browser")</x:f>
      </x:c>
      <x:c r="L4314" s="0">
        <x:f>hyperlink("https://icat2.azurewebsites.net/icat/?ontology=ICD&amp;tab=ClassesTab&amp;id=http%3A%2F%2Fwho.int%2Ficd%2322713_512ebf36_bf6b_4d70_85da_cf2637062af4","iCat")</x:f>
      </x:c>
      <x:c r="M4314" s="0" t="s">
        <x:v>21</x:v>
      </x:c>
      <x:c r="N4314" s="0" t="s">
        <x:v>46</x:v>
      </x:c>
    </x:row>
    <x:row r="4315" spans="1:16">
      <x:c r="A4315" s="0" t="s">
        <x:v>17103</x:v>
      </x:c>
      <x:c r="B4315" s="0" t="s">
        <x:v>17104</x:v>
      </x:c>
      <x:c r="C4315" s="0" t="s">
        <x:v>17105</x:v>
      </x:c>
      <x:c r="E4315" s="0" t="s">
        <x:v>17106</x:v>
      </x:c>
      <x:c r="F4315" s="0" t="s">
        <x:v>45</x:v>
      </x:c>
      <x:c r="G4315" s="0" t="s">
        <x:v>19</x:v>
      </x:c>
      <x:c r="H4315" s="0" t="s">
        <x:v>20</x:v>
      </x:c>
      <x:c r="I4315" s="0" t="s">
        <x:v>21</x:v>
      </x:c>
      <x:c r="K4315" s="0">
        <x:f>hyperlink("https://icd.who.int/dev11/l-ichi/en#/http%3A%2F%2Fid.who.int%2Ficd%2Fentity%2F1093648176","browser")</x:f>
      </x:c>
      <x:c r="L4315" s="0">
        <x:f>hyperlink("https://icat2.azurewebsites.net/icat/?ontology=ICD&amp;tab=ClassesTab&amp;id=http%3A%2F%2Fwho.int%2Ficd%2322722_512ebf36_bf6b_4d70_85da_cf2637062af4","iCat")</x:f>
      </x:c>
      <x:c r="M4315" s="0" t="s">
        <x:v>21</x:v>
      </x:c>
      <x:c r="N4315" s="0" t="s">
        <x:v>46</x:v>
      </x:c>
    </x:row>
    <x:row r="4316" spans="1:16">
      <x:c r="A4316" s="0" t="s">
        <x:v>17107</x:v>
      </x:c>
      <x:c r="B4316" s="0" t="s">
        <x:v>17108</x:v>
      </x:c>
      <x:c r="C4316" s="0" t="s">
        <x:v>17109</x:v>
      </x:c>
      <x:c r="E4316" s="0" t="s">
        <x:v>17110</x:v>
      </x:c>
      <x:c r="F4316" s="0" t="s">
        <x:v>45</x:v>
      </x:c>
      <x:c r="G4316" s="0" t="s">
        <x:v>19</x:v>
      </x:c>
      <x:c r="H4316" s="0" t="s">
        <x:v>20</x:v>
      </x:c>
      <x:c r="I4316" s="0" t="s">
        <x:v>21</x:v>
      </x:c>
      <x:c r="K4316" s="0">
        <x:f>hyperlink("https://icd.who.int/dev11/l-ichi/en#/http%3A%2F%2Fid.who.int%2Ficd%2Fentity%2F1852786048","browser")</x:f>
      </x:c>
      <x:c r="L4316" s="0">
        <x:f>hyperlink("https://icat2.azurewebsites.net/icat/?ontology=ICD&amp;tab=ClassesTab&amp;id=http%3A%2F%2Fwho.int%2Ficd%2322731_512ebf36_bf6b_4d70_85da_cf2637062af4","iCat")</x:f>
      </x:c>
      <x:c r="M4316" s="0" t="s">
        <x:v>21</x:v>
      </x:c>
      <x:c r="N4316" s="0" t="s">
        <x:v>46</x:v>
      </x:c>
    </x:row>
    <x:row r="4317" spans="1:16">
      <x:c r="A4317" s="0" t="s">
        <x:v>17111</x:v>
      </x:c>
      <x:c r="B4317" s="0" t="s">
        <x:v>17112</x:v>
      </x:c>
      <x:c r="C4317" s="0" t="s">
        <x:v>17113</x:v>
      </x:c>
      <x:c r="E4317" s="0" t="s">
        <x:v>17114</x:v>
      </x:c>
      <x:c r="F4317" s="0" t="s">
        <x:v>45</x:v>
      </x:c>
      <x:c r="G4317" s="0" t="s">
        <x:v>19</x:v>
      </x:c>
      <x:c r="H4317" s="0" t="s">
        <x:v>20</x:v>
      </x:c>
      <x:c r="I4317" s="0" t="s">
        <x:v>21</x:v>
      </x:c>
      <x:c r="K4317" s="0">
        <x:f>hyperlink("https://icd.who.int/dev11/l-ichi/en#/http%3A%2F%2Fid.who.int%2Ficd%2Fentity%2F1525481","browser")</x:f>
      </x:c>
      <x:c r="L4317" s="0">
        <x:f>hyperlink("https://icat2.azurewebsites.net/icat/?ontology=ICD&amp;tab=ClassesTab&amp;id=http%3A%2F%2Fwho.int%2Ficd%2322738_512ebf36_bf6b_4d70_85da_cf2637062af4","iCat")</x:f>
      </x:c>
      <x:c r="M4317" s="0" t="s">
        <x:v>21</x:v>
      </x:c>
      <x:c r="N4317" s="0" t="s">
        <x:v>46</x:v>
      </x:c>
    </x:row>
    <x:row r="4318" spans="1:16">
      <x:c r="A4318" s="0" t="s">
        <x:v>17115</x:v>
      </x:c>
      <x:c r="B4318" s="0" t="s">
        <x:v>17116</x:v>
      </x:c>
      <x:c r="C4318" s="0" t="s">
        <x:v>17117</x:v>
      </x:c>
      <x:c r="E4318" s="0" t="s">
        <x:v>17118</x:v>
      </x:c>
      <x:c r="F4318" s="0" t="s">
        <x:v>45</x:v>
      </x:c>
      <x:c r="G4318" s="0" t="s">
        <x:v>19</x:v>
      </x:c>
      <x:c r="H4318" s="0" t="s">
        <x:v>20</x:v>
      </x:c>
      <x:c r="I4318" s="0" t="s">
        <x:v>21</x:v>
      </x:c>
      <x:c r="K4318" s="0">
        <x:f>hyperlink("https://icd.who.int/dev11/l-ichi/en#/http%3A%2F%2Fid.who.int%2Ficd%2Fentity%2F817976819","browser")</x:f>
      </x:c>
      <x:c r="L4318" s="0">
        <x:f>hyperlink("https://icat2.azurewebsites.net/icat/?ontology=ICD&amp;tab=ClassesTab&amp;id=http%3A%2F%2Fwho.int%2Ficd%2322748_512ebf36_bf6b_4d70_85da_cf2637062af4","iCat")</x:f>
      </x:c>
      <x:c r="M4318" s="0" t="s">
        <x:v>21</x:v>
      </x:c>
      <x:c r="N4318" s="0" t="s">
        <x:v>46</x:v>
      </x:c>
    </x:row>
    <x:row r="4319" spans="1:16">
      <x:c r="A4319" s="0" t="s">
        <x:v>17119</x:v>
      </x:c>
      <x:c r="B4319" s="0" t="s">
        <x:v>17120</x:v>
      </x:c>
      <x:c r="C4319" s="0" t="s">
        <x:v>17121</x:v>
      </x:c>
      <x:c r="E4319" s="0" t="s">
        <x:v>17122</x:v>
      </x:c>
      <x:c r="F4319" s="0" t="s">
        <x:v>45</x:v>
      </x:c>
      <x:c r="G4319" s="0" t="s">
        <x:v>19</x:v>
      </x:c>
      <x:c r="H4319" s="0" t="s">
        <x:v>20</x:v>
      </x:c>
      <x:c r="I4319" s="0" t="s">
        <x:v>21</x:v>
      </x:c>
      <x:c r="K4319" s="0">
        <x:f>hyperlink("https://icd.who.int/dev11/l-ichi/en#/http%3A%2F%2Fid.who.int%2Ficd%2Fentity%2F24840121","browser")</x:f>
      </x:c>
      <x:c r="L4319" s="0">
        <x:f>hyperlink("https://icat2.azurewebsites.net/icat/?ontology=ICD&amp;tab=ClassesTab&amp;id=http%3A%2F%2Fwho.int%2Ficd%2322755_512ebf36_bf6b_4d70_85da_cf2637062af4","iCat")</x:f>
      </x:c>
      <x:c r="M4319" s="0" t="s">
        <x:v>21</x:v>
      </x:c>
      <x:c r="N4319" s="0" t="s">
        <x:v>46</x:v>
      </x:c>
    </x:row>
    <x:row r="4320" spans="1:16">
      <x:c r="A4320" s="0" t="s">
        <x:v>17123</x:v>
      </x:c>
      <x:c r="B4320" s="0" t="s">
        <x:v>17124</x:v>
      </x:c>
      <x:c r="C4320" s="0" t="s">
        <x:v>17125</x:v>
      </x:c>
      <x:c r="E4320" s="0" t="s">
        <x:v>17126</x:v>
      </x:c>
      <x:c r="F4320" s="0" t="s">
        <x:v>45</x:v>
      </x:c>
      <x:c r="G4320" s="0" t="s">
        <x:v>19</x:v>
      </x:c>
      <x:c r="H4320" s="0" t="s">
        <x:v>20</x:v>
      </x:c>
      <x:c r="I4320" s="0" t="s">
        <x:v>21</x:v>
      </x:c>
      <x:c r="K4320" s="0">
        <x:f>hyperlink("https://icd.who.int/dev11/l-ichi/en#/http%3A%2F%2Fid.who.int%2Ficd%2Fentity%2F826862643","browser")</x:f>
      </x:c>
      <x:c r="L4320" s="0">
        <x:f>hyperlink("https://icat2.azurewebsites.net/icat/?ontology=ICD&amp;tab=ClassesTab&amp;id=http%3A%2F%2Fwho.int%2Ficd%2322762_512ebf36_bf6b_4d70_85da_cf2637062af4","iCat")</x:f>
      </x:c>
      <x:c r="M4320" s="0" t="s">
        <x:v>21</x:v>
      </x:c>
      <x:c r="N4320" s="0" t="s">
        <x:v>46</x:v>
      </x:c>
    </x:row>
    <x:row r="4321" spans="1:16">
      <x:c r="A4321" s="0" t="s">
        <x:v>17127</x:v>
      </x:c>
      <x:c r="B4321" s="0" t="s">
        <x:v>17128</x:v>
      </x:c>
      <x:c r="C4321" s="0" t="s">
        <x:v>17129</x:v>
      </x:c>
      <x:c r="E4321" s="0" t="s">
        <x:v>17130</x:v>
      </x:c>
      <x:c r="F4321" s="0" t="s">
        <x:v>45</x:v>
      </x:c>
      <x:c r="G4321" s="0" t="s">
        <x:v>19</x:v>
      </x:c>
      <x:c r="H4321" s="0" t="s">
        <x:v>20</x:v>
      </x:c>
      <x:c r="I4321" s="0" t="s">
        <x:v>21</x:v>
      </x:c>
      <x:c r="K4321" s="0">
        <x:f>hyperlink("https://icd.who.int/dev11/l-ichi/en#/http%3A%2F%2Fid.who.int%2Ficd%2Fentity%2F1056007329","browser")</x:f>
      </x:c>
      <x:c r="L4321" s="0">
        <x:f>hyperlink("https://icat2.azurewebsites.net/icat/?ontology=ICD&amp;tab=ClassesTab&amp;id=http%3A%2F%2Fwho.int%2Ficd%2322770_512ebf36_bf6b_4d70_85da_cf2637062af4","iCat")</x:f>
      </x:c>
      <x:c r="M4321" s="0" t="s">
        <x:v>21</x:v>
      </x:c>
      <x:c r="N4321" s="0" t="s">
        <x:v>46</x:v>
      </x:c>
    </x:row>
    <x:row r="4322" spans="1:16">
      <x:c r="A4322" s="0" t="s">
        <x:v>17131</x:v>
      </x:c>
      <x:c r="B4322" s="0" t="s">
        <x:v>17132</x:v>
      </x:c>
      <x:c r="C4322" s="0" t="s">
        <x:v>17133</x:v>
      </x:c>
      <x:c r="E4322" s="0" t="s">
        <x:v>17134</x:v>
      </x:c>
      <x:c r="F4322" s="0" t="s">
        <x:v>45</x:v>
      </x:c>
      <x:c r="G4322" s="0" t="s">
        <x:v>19</x:v>
      </x:c>
      <x:c r="H4322" s="0" t="s">
        <x:v>20</x:v>
      </x:c>
      <x:c r="I4322" s="0" t="s">
        <x:v>21</x:v>
      </x:c>
      <x:c r="K4322" s="0">
        <x:f>hyperlink("https://icd.who.int/dev11/l-ichi/en#/http%3A%2F%2Fid.who.int%2Ficd%2Fentity%2F1953117116","browser")</x:f>
      </x:c>
      <x:c r="L4322" s="0">
        <x:f>hyperlink("https://icat2.azurewebsites.net/icat/?ontology=ICD&amp;tab=ClassesTab&amp;id=http%3A%2F%2Fwho.int%2Ficd%2322782_512ebf36_bf6b_4d70_85da_cf2637062af4","iCat")</x:f>
      </x:c>
      <x:c r="M4322" s="0" t="s">
        <x:v>21</x:v>
      </x:c>
      <x:c r="N4322" s="0" t="s">
        <x:v>46</x:v>
      </x:c>
    </x:row>
    <x:row r="4323" spans="1:16">
      <x:c r="A4323" s="0" t="s">
        <x:v>17135</x:v>
      </x:c>
      <x:c r="B4323" s="0" t="s">
        <x:v>17136</x:v>
      </x:c>
      <x:c r="C4323" s="0" t="s">
        <x:v>17137</x:v>
      </x:c>
      <x:c r="E4323" s="0" t="s">
        <x:v>17138</x:v>
      </x:c>
      <x:c r="F4323" s="0" t="s">
        <x:v>45</x:v>
      </x:c>
      <x:c r="G4323" s="0" t="s">
        <x:v>19</x:v>
      </x:c>
      <x:c r="H4323" s="0" t="s">
        <x:v>20</x:v>
      </x:c>
      <x:c r="I4323" s="0" t="s">
        <x:v>21</x:v>
      </x:c>
      <x:c r="K4323" s="0">
        <x:f>hyperlink("https://icd.who.int/dev11/l-ichi/en#/http%3A%2F%2Fid.who.int%2Ficd%2Fentity%2F2077473578","browser")</x:f>
      </x:c>
      <x:c r="L4323" s="0">
        <x:f>hyperlink("https://icat2.azurewebsites.net/icat/?ontology=ICD&amp;tab=ClassesTab&amp;id=http%3A%2F%2Fwho.int%2Ficd%2322790_512ebf36_bf6b_4d70_85da_cf2637062af4","iCat")</x:f>
      </x:c>
      <x:c r="M4323" s="0" t="s">
        <x:v>21</x:v>
      </x:c>
      <x:c r="N4323" s="0" t="s">
        <x:v>46</x:v>
      </x:c>
    </x:row>
    <x:row r="4324" spans="1:16">
      <x:c r="A4324" s="0" t="s">
        <x:v>17139</x:v>
      </x:c>
      <x:c r="B4324" s="0" t="s">
        <x:v>17140</x:v>
      </x:c>
      <x:c r="C4324" s="0" t="s">
        <x:v>17141</x:v>
      </x:c>
      <x:c r="E4324" s="0" t="s">
        <x:v>17142</x:v>
      </x:c>
      <x:c r="F4324" s="0" t="s">
        <x:v>45</x:v>
      </x:c>
      <x:c r="G4324" s="0" t="s">
        <x:v>19</x:v>
      </x:c>
      <x:c r="H4324" s="0" t="s">
        <x:v>20</x:v>
      </x:c>
      <x:c r="I4324" s="0" t="s">
        <x:v>21</x:v>
      </x:c>
      <x:c r="K4324" s="0">
        <x:f>hyperlink("https://icd.who.int/dev11/l-ichi/en#/http%3A%2F%2Fid.who.int%2Ficd%2Fentity%2F894618237","browser")</x:f>
      </x:c>
      <x:c r="L4324" s="0">
        <x:f>hyperlink("https://icat2.azurewebsites.net/icat/?ontology=ICD&amp;tab=ClassesTab&amp;id=http%3A%2F%2Fwho.int%2Ficd%2322798_512ebf36_bf6b_4d70_85da_cf2637062af4","iCat")</x:f>
      </x:c>
      <x:c r="M4324" s="0" t="s">
        <x:v>21</x:v>
      </x:c>
      <x:c r="N4324" s="0" t="s">
        <x:v>46</x:v>
      </x:c>
    </x:row>
    <x:row r="4325" spans="1:16">
      <x:c r="A4325" s="0" t="s">
        <x:v>17143</x:v>
      </x:c>
      <x:c r="B4325" s="0" t="s">
        <x:v>17144</x:v>
      </x:c>
      <x:c r="C4325" s="0" t="s">
        <x:v>17145</x:v>
      </x:c>
      <x:c r="E4325" s="0" t="s">
        <x:v>17146</x:v>
      </x:c>
      <x:c r="F4325" s="0" t="s">
        <x:v>45</x:v>
      </x:c>
      <x:c r="G4325" s="0" t="s">
        <x:v>19</x:v>
      </x:c>
      <x:c r="H4325" s="0" t="s">
        <x:v>20</x:v>
      </x:c>
      <x:c r="I4325" s="0" t="s">
        <x:v>21</x:v>
      </x:c>
      <x:c r="K4325" s="0">
        <x:f>hyperlink("https://icd.who.int/dev11/l-ichi/en#/http%3A%2F%2Fid.who.int%2Ficd%2Fentity%2F672218636","browser")</x:f>
      </x:c>
      <x:c r="L4325" s="0">
        <x:f>hyperlink("https://icat2.azurewebsites.net/icat/?ontology=ICD&amp;tab=ClassesTab&amp;id=http%3A%2F%2Fwho.int%2Ficd%2322806_512ebf36_bf6b_4d70_85da_cf2637062af4","iCat")</x:f>
      </x:c>
      <x:c r="M4325" s="0" t="s">
        <x:v>21</x:v>
      </x:c>
      <x:c r="N4325" s="0" t="s">
        <x:v>46</x:v>
      </x:c>
    </x:row>
    <x:row r="4326" spans="1:16">
      <x:c r="A4326" s="0" t="s">
        <x:v>17147</x:v>
      </x:c>
      <x:c r="B4326" s="0" t="s">
        <x:v>17148</x:v>
      </x:c>
      <x:c r="C4326" s="0" t="s">
        <x:v>17149</x:v>
      </x:c>
      <x:c r="E4326" s="0" t="s">
        <x:v>17150</x:v>
      </x:c>
      <x:c r="F4326" s="0" t="s">
        <x:v>45</x:v>
      </x:c>
      <x:c r="G4326" s="0" t="s">
        <x:v>19</x:v>
      </x:c>
      <x:c r="H4326" s="0" t="s">
        <x:v>20</x:v>
      </x:c>
      <x:c r="I4326" s="0" t="s">
        <x:v>21</x:v>
      </x:c>
      <x:c r="K4326" s="0">
        <x:f>hyperlink("https://icd.who.int/dev11/l-ichi/en#/http%3A%2F%2Fid.who.int%2Ficd%2Fentity%2F2047460438","browser")</x:f>
      </x:c>
      <x:c r="L4326" s="0">
        <x:f>hyperlink("https://icat2.azurewebsites.net/icat/?ontology=ICD&amp;tab=ClassesTab&amp;id=http%3A%2F%2Fwho.int%2Ficd%23402_97087496_4a82_4efa_a45a_b3256f81bd7e","iCat")</x:f>
      </x:c>
      <x:c r="M4326" s="0" t="s">
        <x:v>21</x:v>
      </x:c>
      <x:c r="N4326" s="0" t="s">
        <x:v>46</x:v>
      </x:c>
    </x:row>
    <x:row r="4327" spans="1:16">
      <x:c r="A4327" s="0" t="s">
        <x:v>17151</x:v>
      </x:c>
      <x:c r="B4327" s="0" t="s">
        <x:v>17152</x:v>
      </x:c>
      <x:c r="C4327" s="0" t="s">
        <x:v>17153</x:v>
      </x:c>
      <x:c r="E4327" s="0" t="s">
        <x:v>17154</x:v>
      </x:c>
      <x:c r="F4327" s="0" t="s">
        <x:v>45</x:v>
      </x:c>
      <x:c r="G4327" s="0" t="s">
        <x:v>19</x:v>
      </x:c>
      <x:c r="H4327" s="0" t="s">
        <x:v>20</x:v>
      </x:c>
      <x:c r="I4327" s="0" t="s">
        <x:v>21</x:v>
      </x:c>
      <x:c r="K4327" s="0">
        <x:f>hyperlink("https://icd.who.int/dev11/l-ichi/en#/http%3A%2F%2Fid.who.int%2Ficd%2Fentity%2F665368222","browser")</x:f>
      </x:c>
      <x:c r="L4327" s="0">
        <x:f>hyperlink("https://icat2.azurewebsites.net/icat/?ontology=ICD&amp;tab=ClassesTab&amp;id=http%3A%2F%2Fwho.int%2Ficd%2322814_512ebf36_bf6b_4d70_85da_cf2637062af4","iCat")</x:f>
      </x:c>
      <x:c r="M4327" s="0" t="s">
        <x:v>21</x:v>
      </x:c>
      <x:c r="N4327" s="0" t="s">
        <x:v>46</x:v>
      </x:c>
    </x:row>
    <x:row r="4328" spans="1:16">
      <x:c r="A4328" s="0" t="s">
        <x:v>17155</x:v>
      </x:c>
      <x:c r="B4328" s="0" t="s">
        <x:v>17156</x:v>
      </x:c>
      <x:c r="C4328" s="0" t="s">
        <x:v>17157</x:v>
      </x:c>
      <x:c r="E4328" s="0" t="s">
        <x:v>17158</x:v>
      </x:c>
      <x:c r="F4328" s="0" t="s">
        <x:v>45</x:v>
      </x:c>
      <x:c r="G4328" s="0" t="s">
        <x:v>19</x:v>
      </x:c>
      <x:c r="H4328" s="0" t="s">
        <x:v>20</x:v>
      </x:c>
      <x:c r="I4328" s="0" t="s">
        <x:v>21</x:v>
      </x:c>
      <x:c r="K4328" s="0">
        <x:f>hyperlink("https://icd.who.int/dev11/l-ichi/en#/http%3A%2F%2Fid.who.int%2Ficd%2Fentity%2F396057878","browser")</x:f>
      </x:c>
      <x:c r="L4328" s="0">
        <x:f>hyperlink("https://icat2.azurewebsites.net/icat/?ontology=ICD&amp;tab=ClassesTab&amp;id=http%3A%2F%2Fwho.int%2Ficd%2322823_512ebf36_bf6b_4d70_85da_cf2637062af4","iCat")</x:f>
      </x:c>
      <x:c r="M4328" s="0" t="s">
        <x:v>21</x:v>
      </x:c>
      <x:c r="N4328" s="0" t="s">
        <x:v>46</x:v>
      </x:c>
    </x:row>
    <x:row r="4329" spans="1:16">
      <x:c r="A4329" s="0" t="s">
        <x:v>17159</x:v>
      </x:c>
      <x:c r="B4329" s="0" t="s">
        <x:v>17160</x:v>
      </x:c>
      <x:c r="C4329" s="0" t="s">
        <x:v>17161</x:v>
      </x:c>
      <x:c r="E4329" s="0" t="s">
        <x:v>17162</x:v>
      </x:c>
      <x:c r="F4329" s="0" t="s">
        <x:v>45</x:v>
      </x:c>
      <x:c r="G4329" s="0" t="s">
        <x:v>19</x:v>
      </x:c>
      <x:c r="H4329" s="0" t="s">
        <x:v>20</x:v>
      </x:c>
      <x:c r="I4329" s="0" t="s">
        <x:v>21</x:v>
      </x:c>
      <x:c r="K4329" s="0">
        <x:f>hyperlink("https://icd.who.int/dev11/l-ichi/en#/http%3A%2F%2Fid.who.int%2Ficd%2Fentity%2F212869790","browser")</x:f>
      </x:c>
      <x:c r="L4329" s="0">
        <x:f>hyperlink("https://icat2.azurewebsites.net/icat/?ontology=ICD&amp;tab=ClassesTab&amp;id=http%3A%2F%2Fwho.int%2Ficd%2322859_512ebf36_bf6b_4d70_85da_cf2637062af4","iCat")</x:f>
      </x:c>
      <x:c r="M4329" s="0" t="s">
        <x:v>21</x:v>
      </x:c>
      <x:c r="N4329" s="0" t="s">
        <x:v>46</x:v>
      </x:c>
    </x:row>
    <x:row r="4330" spans="1:16">
      <x:c r="A4330" s="0" t="s">
        <x:v>17163</x:v>
      </x:c>
      <x:c r="B4330" s="0" t="s">
        <x:v>17164</x:v>
      </x:c>
      <x:c r="C4330" s="0" t="s">
        <x:v>17165</x:v>
      </x:c>
      <x:c r="E4330" s="0" t="s">
        <x:v>17166</x:v>
      </x:c>
      <x:c r="F4330" s="0" t="s">
        <x:v>45</x:v>
      </x:c>
      <x:c r="G4330" s="0" t="s">
        <x:v>19</x:v>
      </x:c>
      <x:c r="H4330" s="0" t="s">
        <x:v>20</x:v>
      </x:c>
      <x:c r="I4330" s="0" t="s">
        <x:v>21</x:v>
      </x:c>
      <x:c r="K4330" s="0">
        <x:f>hyperlink("https://icd.who.int/dev11/l-ichi/en#/http%3A%2F%2Fid.who.int%2Ficd%2Fentity%2F1392233085","browser")</x:f>
      </x:c>
      <x:c r="L4330" s="0">
        <x:f>hyperlink("https://icat2.azurewebsites.net/icat/?ontology=ICD&amp;tab=ClassesTab&amp;id=http%3A%2F%2Fwho.int%2Ficd%2322867_512ebf36_bf6b_4d70_85da_cf2637062af4","iCat")</x:f>
      </x:c>
      <x:c r="M4330" s="0" t="s">
        <x:v>21</x:v>
      </x:c>
      <x:c r="N4330" s="0" t="s">
        <x:v>46</x:v>
      </x:c>
    </x:row>
    <x:row r="4331" spans="1:16">
      <x:c r="A4331" s="0" t="s">
        <x:v>17167</x:v>
      </x:c>
      <x:c r="B4331" s="0" t="s">
        <x:v>17168</x:v>
      </x:c>
      <x:c r="C4331" s="0" t="s">
        <x:v>17169</x:v>
      </x:c>
      <x:c r="E4331" s="0" t="s">
        <x:v>17170</x:v>
      </x:c>
      <x:c r="F4331" s="0" t="s">
        <x:v>45</x:v>
      </x:c>
      <x:c r="G4331" s="0" t="s">
        <x:v>19</x:v>
      </x:c>
      <x:c r="H4331" s="0" t="s">
        <x:v>20</x:v>
      </x:c>
      <x:c r="I4331" s="0" t="s">
        <x:v>21</x:v>
      </x:c>
      <x:c r="K4331" s="0">
        <x:f>hyperlink("https://icd.who.int/dev11/l-ichi/en#/http%3A%2F%2Fid.who.int%2Ficd%2Fentity%2F1564623599","browser")</x:f>
      </x:c>
      <x:c r="L4331" s="0">
        <x:f>hyperlink("https://icat2.azurewebsites.net/icat/?ontology=ICD&amp;tab=ClassesTab&amp;id=http%3A%2F%2Fwho.int%2Ficd%2322875_512ebf36_bf6b_4d70_85da_cf2637062af4","iCat")</x:f>
      </x:c>
      <x:c r="M4331" s="0" t="s">
        <x:v>21</x:v>
      </x:c>
      <x:c r="N4331" s="0" t="s">
        <x:v>46</x:v>
      </x:c>
    </x:row>
    <x:row r="4332" spans="1:16">
      <x:c r="A4332" s="0" t="s">
        <x:v>17171</x:v>
      </x:c>
      <x:c r="B4332" s="0" t="s">
        <x:v>17172</x:v>
      </x:c>
      <x:c r="C4332" s="0" t="s">
        <x:v>17173</x:v>
      </x:c>
      <x:c r="E4332" s="0" t="s">
        <x:v>17174</x:v>
      </x:c>
      <x:c r="F4332" s="0" t="s">
        <x:v>45</x:v>
      </x:c>
      <x:c r="G4332" s="0" t="s">
        <x:v>19</x:v>
      </x:c>
      <x:c r="H4332" s="0" t="s">
        <x:v>20</x:v>
      </x:c>
      <x:c r="I4332" s="0" t="s">
        <x:v>21</x:v>
      </x:c>
      <x:c r="K4332" s="0">
        <x:f>hyperlink("https://icd.who.int/dev11/l-ichi/en#/http%3A%2F%2Fid.who.int%2Ficd%2Fentity%2F36152252","browser")</x:f>
      </x:c>
      <x:c r="L4332" s="0">
        <x:f>hyperlink("https://icat2.azurewebsites.net/icat/?ontology=ICD&amp;tab=ClassesTab&amp;id=http%3A%2F%2Fwho.int%2Ficd%2322882_512ebf36_bf6b_4d70_85da_cf2637062af4","iCat")</x:f>
      </x:c>
      <x:c r="M4332" s="0" t="s">
        <x:v>21</x:v>
      </x:c>
      <x:c r="N4332" s="0" t="s">
        <x:v>46</x:v>
      </x:c>
    </x:row>
    <x:row r="4333" spans="1:16">
      <x:c r="A4333" s="0" t="s">
        <x:v>17175</x:v>
      </x:c>
      <x:c r="B4333" s="0" t="s">
        <x:v>17176</x:v>
      </x:c>
      <x:c r="C4333" s="0" t="s">
        <x:v>17177</x:v>
      </x:c>
      <x:c r="E4333" s="0" t="s">
        <x:v>17178</x:v>
      </x:c>
      <x:c r="F4333" s="0" t="s">
        <x:v>45</x:v>
      </x:c>
      <x:c r="G4333" s="0" t="s">
        <x:v>19</x:v>
      </x:c>
      <x:c r="H4333" s="0" t="s">
        <x:v>20</x:v>
      </x:c>
      <x:c r="I4333" s="0" t="s">
        <x:v>21</x:v>
      </x:c>
      <x:c r="K4333" s="0">
        <x:f>hyperlink("https://icd.who.int/dev11/l-ichi/en#/http%3A%2F%2Fid.who.int%2Ficd%2Fentity%2F1759655659","browser")</x:f>
      </x:c>
      <x:c r="L4333" s="0">
        <x:f>hyperlink("https://icat2.azurewebsites.net/icat/?ontology=ICD&amp;tab=ClassesTab&amp;id=http%3A%2F%2Fwho.int%2Ficd%2322892_512ebf36_bf6b_4d70_85da_cf2637062af4","iCat")</x:f>
      </x:c>
      <x:c r="M4333" s="0" t="s">
        <x:v>21</x:v>
      </x:c>
      <x:c r="N4333" s="0" t="s">
        <x:v>46</x:v>
      </x:c>
    </x:row>
    <x:row r="4334" spans="1:16">
      <x:c r="A4334" s="0" t="s">
        <x:v>17179</x:v>
      </x:c>
      <x:c r="B4334" s="0" t="s">
        <x:v>17180</x:v>
      </x:c>
      <x:c r="C4334" s="0" t="s">
        <x:v>17181</x:v>
      </x:c>
      <x:c r="E4334" s="0" t="s">
        <x:v>17182</x:v>
      </x:c>
      <x:c r="F4334" s="0" t="s">
        <x:v>45</x:v>
      </x:c>
      <x:c r="G4334" s="0" t="s">
        <x:v>19</x:v>
      </x:c>
      <x:c r="H4334" s="0" t="s">
        <x:v>20</x:v>
      </x:c>
      <x:c r="I4334" s="0" t="s">
        <x:v>21</x:v>
      </x:c>
      <x:c r="K4334" s="0">
        <x:f>hyperlink("https://icd.who.int/dev11/l-ichi/en#/http%3A%2F%2Fid.who.int%2Ficd%2Fentity%2F1215319769","browser")</x:f>
      </x:c>
      <x:c r="L4334" s="0">
        <x:f>hyperlink("https://icat2.azurewebsites.net/icat/?ontology=ICD&amp;tab=ClassesTab&amp;id=http%3A%2F%2Fwho.int%2Ficd%2322903_512ebf36_bf6b_4d70_85da_cf2637062af4","iCat")</x:f>
      </x:c>
      <x:c r="M4334" s="0" t="s">
        <x:v>21</x:v>
      </x:c>
      <x:c r="N4334" s="0" t="s">
        <x:v>46</x:v>
      </x:c>
    </x:row>
    <x:row r="4335" spans="1:16">
      <x:c r="A4335" s="0" t="s">
        <x:v>17183</x:v>
      </x:c>
      <x:c r="B4335" s="0" t="s">
        <x:v>17184</x:v>
      </x:c>
      <x:c r="C4335" s="0" t="s">
        <x:v>17185</x:v>
      </x:c>
      <x:c r="E4335" s="0" t="s">
        <x:v>17186</x:v>
      </x:c>
      <x:c r="F4335" s="0" t="s">
        <x:v>45</x:v>
      </x:c>
      <x:c r="G4335" s="0" t="s">
        <x:v>19</x:v>
      </x:c>
      <x:c r="H4335" s="0" t="s">
        <x:v>20</x:v>
      </x:c>
      <x:c r="I4335" s="0" t="s">
        <x:v>21</x:v>
      </x:c>
      <x:c r="K4335" s="0">
        <x:f>hyperlink("https://icd.who.int/dev11/l-ichi/en#/http%3A%2F%2Fid.who.int%2Ficd%2Fentity%2F927690182","browser")</x:f>
      </x:c>
      <x:c r="L4335" s="0">
        <x:f>hyperlink("https://icat2.azurewebsites.net/icat/?ontology=ICD&amp;tab=ClassesTab&amp;id=http%3A%2F%2Fwho.int%2Ficd%2322916_512ebf36_bf6b_4d70_85da_cf2637062af4","iCat")</x:f>
      </x:c>
      <x:c r="M4335" s="0" t="s">
        <x:v>21</x:v>
      </x:c>
      <x:c r="N4335" s="0" t="s">
        <x:v>46</x:v>
      </x:c>
    </x:row>
    <x:row r="4336" spans="1:16">
      <x:c r="A4336" s="0" t="s">
        <x:v>17187</x:v>
      </x:c>
      <x:c r="B4336" s="0" t="s">
        <x:v>17188</x:v>
      </x:c>
      <x:c r="C4336" s="0" t="s">
        <x:v>17189</x:v>
      </x:c>
      <x:c r="E4336" s="0" t="s">
        <x:v>17190</x:v>
      </x:c>
      <x:c r="F4336" s="0" t="s">
        <x:v>45</x:v>
      </x:c>
      <x:c r="G4336" s="0" t="s">
        <x:v>19</x:v>
      </x:c>
      <x:c r="H4336" s="0" t="s">
        <x:v>20</x:v>
      </x:c>
      <x:c r="I4336" s="0" t="s">
        <x:v>21</x:v>
      </x:c>
      <x:c r="K4336" s="0">
        <x:f>hyperlink("https://icd.who.int/dev11/l-ichi/en#/http%3A%2F%2Fid.who.int%2Ficd%2Fentity%2F1123936693","browser")</x:f>
      </x:c>
      <x:c r="L4336" s="0">
        <x:f>hyperlink("https://icat2.azurewebsites.net/icat/?ontology=ICD&amp;tab=ClassesTab&amp;id=http%3A%2F%2Fwho.int%2Ficd%2322922_512ebf36_bf6b_4d70_85da_cf2637062af4","iCat")</x:f>
      </x:c>
      <x:c r="M4336" s="0" t="s">
        <x:v>21</x:v>
      </x:c>
      <x:c r="N4336" s="0" t="s">
        <x:v>46</x:v>
      </x:c>
    </x:row>
    <x:row r="4337" spans="1:16">
      <x:c r="A4337" s="0" t="s">
        <x:v>17191</x:v>
      </x:c>
      <x:c r="B4337" s="0" t="s">
        <x:v>17192</x:v>
      </x:c>
      <x:c r="C4337" s="0" t="s">
        <x:v>17193</x:v>
      </x:c>
      <x:c r="E4337" s="0" t="s">
        <x:v>17194</x:v>
      </x:c>
      <x:c r="F4337" s="0" t="s">
        <x:v>45</x:v>
      </x:c>
      <x:c r="G4337" s="0" t="s">
        <x:v>19</x:v>
      </x:c>
      <x:c r="H4337" s="0" t="s">
        <x:v>20</x:v>
      </x:c>
      <x:c r="I4337" s="0" t="s">
        <x:v>21</x:v>
      </x:c>
      <x:c r="K4337" s="0">
        <x:f>hyperlink("https://icd.who.int/dev11/l-ichi/en#/http%3A%2F%2Fid.who.int%2Ficd%2Fentity%2F490715288","browser")</x:f>
      </x:c>
      <x:c r="L4337" s="0">
        <x:f>hyperlink("https://icat2.azurewebsites.net/icat/?ontology=ICD&amp;tab=ClassesTab&amp;id=http%3A%2F%2Fwho.int%2Ficd%2322936_512ebf36_bf6b_4d70_85da_cf2637062af4","iCat")</x:f>
      </x:c>
      <x:c r="M4337" s="0" t="s">
        <x:v>21</x:v>
      </x:c>
      <x:c r="N4337" s="0" t="s">
        <x:v>46</x:v>
      </x:c>
    </x:row>
    <x:row r="4338" spans="1:16">
      <x:c r="A4338" s="0" t="s">
        <x:v>17195</x:v>
      </x:c>
      <x:c r="B4338" s="0" t="s">
        <x:v>17196</x:v>
      </x:c>
      <x:c r="C4338" s="0" t="s">
        <x:v>17197</x:v>
      </x:c>
      <x:c r="E4338" s="0" t="s">
        <x:v>17198</x:v>
      </x:c>
      <x:c r="F4338" s="0" t="s">
        <x:v>45</x:v>
      </x:c>
      <x:c r="G4338" s="0" t="s">
        <x:v>19</x:v>
      </x:c>
      <x:c r="H4338" s="0" t="s">
        <x:v>20</x:v>
      </x:c>
      <x:c r="I4338" s="0" t="s">
        <x:v>21</x:v>
      </x:c>
      <x:c r="K4338" s="0">
        <x:f>hyperlink("https://icd.who.int/dev11/l-ichi/en#/http%3A%2F%2Fid.who.int%2Ficd%2Fentity%2F219208114","browser")</x:f>
      </x:c>
      <x:c r="L4338" s="0">
        <x:f>hyperlink("https://icat2.azurewebsites.net/icat/?ontology=ICD&amp;tab=ClassesTab&amp;id=http%3A%2F%2Fwho.int%2Ficd%2322947_512ebf36_bf6b_4d70_85da_cf2637062af4","iCat")</x:f>
      </x:c>
      <x:c r="M4338" s="0" t="s">
        <x:v>21</x:v>
      </x:c>
      <x:c r="N4338" s="0" t="s">
        <x:v>46</x:v>
      </x:c>
    </x:row>
    <x:row r="4339" spans="1:16">
      <x:c r="A4339" s="0" t="s">
        <x:v>17199</x:v>
      </x:c>
      <x:c r="B4339" s="0" t="s">
        <x:v>17200</x:v>
      </x:c>
      <x:c r="C4339" s="0" t="s">
        <x:v>17201</x:v>
      </x:c>
      <x:c r="E4339" s="0" t="s">
        <x:v>17202</x:v>
      </x:c>
      <x:c r="F4339" s="0" t="s">
        <x:v>45</x:v>
      </x:c>
      <x:c r="G4339" s="0" t="s">
        <x:v>19</x:v>
      </x:c>
      <x:c r="H4339" s="0" t="s">
        <x:v>20</x:v>
      </x:c>
      <x:c r="I4339" s="0" t="s">
        <x:v>21</x:v>
      </x:c>
      <x:c r="K4339" s="0">
        <x:f>hyperlink("https://icd.who.int/dev11/l-ichi/en#/http%3A%2F%2Fid.who.int%2Ficd%2Fentity%2F358518253","browser")</x:f>
      </x:c>
      <x:c r="L4339" s="0">
        <x:f>hyperlink("https://icat2.azurewebsites.net/icat/?ontology=ICD&amp;tab=ClassesTab&amp;id=http%3A%2F%2Fwho.int%2Ficd%2322512_512ebf36_bf6b_4d70_85da_cf2637062af4","iCat")</x:f>
      </x:c>
      <x:c r="M4339" s="0" t="s">
        <x:v>21</x:v>
      </x:c>
      <x:c r="N4339" s="0" t="s">
        <x:v>46</x:v>
      </x:c>
    </x:row>
    <x:row r="4340" spans="1:16">
      <x:c r="A4340" s="0" t="s">
        <x:v>17203</x:v>
      </x:c>
      <x:c r="B4340" s="0" t="s">
        <x:v>17204</x:v>
      </x:c>
      <x:c r="C4340" s="0" t="s">
        <x:v>17205</x:v>
      </x:c>
      <x:c r="E4340" s="0" t="s">
        <x:v>17206</x:v>
      </x:c>
      <x:c r="F4340" s="0" t="s">
        <x:v>45</x:v>
      </x:c>
      <x:c r="G4340" s="0" t="s">
        <x:v>19</x:v>
      </x:c>
      <x:c r="H4340" s="0" t="s">
        <x:v>20</x:v>
      </x:c>
      <x:c r="I4340" s="0" t="s">
        <x:v>21</x:v>
      </x:c>
      <x:c r="K4340" s="0">
        <x:f>hyperlink("https://icd.who.int/dev11/l-ichi/en#/http%3A%2F%2Fid.who.int%2Ficd%2Fentity%2F575677214","browser")</x:f>
      </x:c>
      <x:c r="L4340" s="0">
        <x:f>hyperlink("https://icat2.azurewebsites.net/icat/?ontology=ICD&amp;tab=ClassesTab&amp;id=http%3A%2F%2Fwho.int%2Ficd%2322954_512ebf36_bf6b_4d70_85da_cf2637062af4","iCat")</x:f>
      </x:c>
      <x:c r="M4340" s="0" t="s">
        <x:v>21</x:v>
      </x:c>
      <x:c r="N4340" s="0" t="s">
        <x:v>46</x:v>
      </x:c>
    </x:row>
    <x:row r="4341" spans="1:16">
      <x:c r="A4341" s="0" t="s">
        <x:v>17207</x:v>
      </x:c>
      <x:c r="B4341" s="0" t="s">
        <x:v>17208</x:v>
      </x:c>
      <x:c r="C4341" s="0" t="s">
        <x:v>17209</x:v>
      </x:c>
      <x:c r="E4341" s="0" t="s">
        <x:v>17210</x:v>
      </x:c>
      <x:c r="F4341" s="0" t="s">
        <x:v>45</x:v>
      </x:c>
      <x:c r="G4341" s="0" t="s">
        <x:v>19</x:v>
      </x:c>
      <x:c r="H4341" s="0" t="s">
        <x:v>20</x:v>
      </x:c>
      <x:c r="I4341" s="0" t="s">
        <x:v>21</x:v>
      </x:c>
      <x:c r="K4341" s="0">
        <x:f>hyperlink("https://icd.who.int/dev11/l-ichi/en#/http%3A%2F%2Fid.who.int%2Ficd%2Fentity%2F1474733933","browser")</x:f>
      </x:c>
      <x:c r="L4341" s="0">
        <x:f>hyperlink("https://icat2.azurewebsites.net/icat/?ontology=ICD&amp;tab=ClassesTab&amp;id=http%3A%2F%2Fwho.int%2Ficd%2322960_512ebf36_bf6b_4d70_85da_cf2637062af4","iCat")</x:f>
      </x:c>
      <x:c r="M4341" s="0" t="s">
        <x:v>21</x:v>
      </x:c>
      <x:c r="N4341" s="0" t="s">
        <x:v>46</x:v>
      </x:c>
    </x:row>
    <x:row r="4342" spans="1:16">
      <x:c r="A4342" s="0" t="s">
        <x:v>17211</x:v>
      </x:c>
      <x:c r="B4342" s="0" t="s">
        <x:v>17212</x:v>
      </x:c>
      <x:c r="C4342" s="0" t="s">
        <x:v>17213</x:v>
      </x:c>
      <x:c r="E4342" s="0" t="s">
        <x:v>17214</x:v>
      </x:c>
      <x:c r="F4342" s="0" t="s">
        <x:v>45</x:v>
      </x:c>
      <x:c r="G4342" s="0" t="s">
        <x:v>19</x:v>
      </x:c>
      <x:c r="H4342" s="0" t="s">
        <x:v>20</x:v>
      </x:c>
      <x:c r="I4342" s="0" t="s">
        <x:v>21</x:v>
      </x:c>
      <x:c r="K4342" s="0">
        <x:f>hyperlink("https://icd.who.int/dev11/l-ichi/en#/http%3A%2F%2Fid.who.int%2Ficd%2Fentity%2F426235448","browser")</x:f>
      </x:c>
      <x:c r="L4342" s="0">
        <x:f>hyperlink("https://icat2.azurewebsites.net/icat/?ontology=ICD&amp;tab=ClassesTab&amp;id=http%3A%2F%2Fwho.int%2Ficd%2322968_512ebf36_bf6b_4d70_85da_cf2637062af4","iCat")</x:f>
      </x:c>
      <x:c r="M4342" s="0" t="s">
        <x:v>21</x:v>
      </x:c>
      <x:c r="N4342" s="0" t="s">
        <x:v>46</x:v>
      </x:c>
    </x:row>
    <x:row r="4343" spans="1:16">
      <x:c r="A4343" s="0" t="s">
        <x:v>17215</x:v>
      </x:c>
      <x:c r="B4343" s="0" t="s">
        <x:v>17216</x:v>
      </x:c>
      <x:c r="C4343" s="0" t="s">
        <x:v>17217</x:v>
      </x:c>
      <x:c r="E4343" s="0" t="s">
        <x:v>17218</x:v>
      </x:c>
      <x:c r="F4343" s="0" t="s">
        <x:v>45</x:v>
      </x:c>
      <x:c r="G4343" s="0" t="s">
        <x:v>19</x:v>
      </x:c>
      <x:c r="H4343" s="0" t="s">
        <x:v>20</x:v>
      </x:c>
      <x:c r="I4343" s="0" t="s">
        <x:v>21</x:v>
      </x:c>
      <x:c r="K4343" s="0">
        <x:f>hyperlink("https://icd.who.int/dev11/l-ichi/en#/http%3A%2F%2Fid.who.int%2Ficd%2Fentity%2F1475264083","browser")</x:f>
      </x:c>
      <x:c r="L4343" s="0">
        <x:f>hyperlink("https://icat2.azurewebsites.net/icat/?ontology=ICD&amp;tab=ClassesTab&amp;id=http%3A%2F%2Fwho.int%2Ficd%23129_daad0bf0_ff4e_4553_92d6_19c72048c1a7","iCat")</x:f>
      </x:c>
      <x:c r="M4343" s="0" t="s">
        <x:v>21</x:v>
      </x:c>
      <x:c r="N4343" s="0" t="s">
        <x:v>46</x:v>
      </x:c>
    </x:row>
    <x:row r="4344" spans="1:16">
      <x:c r="A4344" s="0" t="s">
        <x:v>17219</x:v>
      </x:c>
      <x:c r="B4344" s="0" t="s">
        <x:v>17220</x:v>
      </x:c>
      <x:c r="C4344" s="0" t="s">
        <x:v>17221</x:v>
      </x:c>
      <x:c r="E4344" s="0" t="s">
        <x:v>17222</x:v>
      </x:c>
      <x:c r="F4344" s="0" t="s">
        <x:v>45</x:v>
      </x:c>
      <x:c r="G4344" s="0" t="s">
        <x:v>19</x:v>
      </x:c>
      <x:c r="H4344" s="0" t="s">
        <x:v>20</x:v>
      </x:c>
      <x:c r="I4344" s="0" t="s">
        <x:v>21</x:v>
      </x:c>
      <x:c r="K4344" s="0">
        <x:f>hyperlink("https://icd.who.int/dev11/l-ichi/en#/http%3A%2F%2Fid.who.int%2Ficd%2Fentity%2F2081673923","browser")</x:f>
      </x:c>
      <x:c r="L4344" s="0">
        <x:f>hyperlink("https://icat2.azurewebsites.net/icat/?ontology=ICD&amp;tab=ClassesTab&amp;id=http%3A%2F%2Fwho.int%2Ficd%23123_daad0bf0_ff4e_4553_92d6_19c72048c1a7","iCat")</x:f>
      </x:c>
      <x:c r="M4344" s="0" t="s">
        <x:v>21</x:v>
      </x:c>
      <x:c r="N4344" s="0" t="s">
        <x:v>46</x:v>
      </x:c>
    </x:row>
    <x:row r="4345" spans="1:16">
      <x:c r="A4345" s="0" t="s">
        <x:v>17223</x:v>
      </x:c>
      <x:c r="B4345" s="0" t="s">
        <x:v>17224</x:v>
      </x:c>
      <x:c r="C4345" s="0" t="s">
        <x:v>17225</x:v>
      </x:c>
      <x:c r="E4345" s="0" t="s">
        <x:v>17226</x:v>
      </x:c>
      <x:c r="F4345" s="0" t="s">
        <x:v>45</x:v>
      </x:c>
      <x:c r="G4345" s="0" t="s">
        <x:v>19</x:v>
      </x:c>
      <x:c r="H4345" s="0" t="s">
        <x:v>20</x:v>
      </x:c>
      <x:c r="I4345" s="0" t="s">
        <x:v>21</x:v>
      </x:c>
      <x:c r="K4345" s="0">
        <x:f>hyperlink("https://icd.who.int/dev11/l-ichi/en#/http%3A%2F%2Fid.who.int%2Ficd%2Fentity%2F685606002","browser")</x:f>
      </x:c>
      <x:c r="L4345" s="0">
        <x:f>hyperlink("https://icat2.azurewebsites.net/icat/?ontology=ICD&amp;tab=ClassesTab&amp;id=http%3A%2F%2Fwho.int%2Ficd%2322975_512ebf36_bf6b_4d70_85da_cf2637062af4","iCat")</x:f>
      </x:c>
      <x:c r="M4345" s="0" t="s">
        <x:v>21</x:v>
      </x:c>
      <x:c r="N4345" s="0" t="s">
        <x:v>46</x:v>
      </x:c>
    </x:row>
    <x:row r="4346" spans="1:16">
      <x:c r="A4346" s="0" t="s">
        <x:v>17227</x:v>
      </x:c>
      <x:c r="B4346" s="0" t="s">
        <x:v>17228</x:v>
      </x:c>
      <x:c r="C4346" s="0" t="s">
        <x:v>17229</x:v>
      </x:c>
      <x:c r="E4346" s="0" t="s">
        <x:v>17230</x:v>
      </x:c>
      <x:c r="F4346" s="0" t="s">
        <x:v>45</x:v>
      </x:c>
      <x:c r="G4346" s="0" t="s">
        <x:v>19</x:v>
      </x:c>
      <x:c r="H4346" s="0" t="s">
        <x:v>20</x:v>
      </x:c>
      <x:c r="I4346" s="0" t="s">
        <x:v>21</x:v>
      </x:c>
      <x:c r="K4346" s="0">
        <x:f>hyperlink("https://icd.who.int/dev11/l-ichi/en#/http%3A%2F%2Fid.who.int%2Ficd%2Fentity%2F958587563","browser")</x:f>
      </x:c>
      <x:c r="L4346" s="0">
        <x:f>hyperlink("https://icat2.azurewebsites.net/icat/?ontology=ICD&amp;tab=ClassesTab&amp;id=http%3A%2F%2Fwho.int%2Ficd%238415_4869915e_217e_423d_acb3_33c0f920ef4b","iCat")</x:f>
      </x:c>
      <x:c r="M4346" s="0" t="s">
        <x:v>21</x:v>
      </x:c>
      <x:c r="N4346" s="0" t="s">
        <x:v>46</x:v>
      </x:c>
    </x:row>
    <x:row r="4347" spans="1:16">
      <x:c r="A4347" s="0" t="s">
        <x:v>17231</x:v>
      </x:c>
      <x:c r="B4347" s="0" t="s">
        <x:v>17232</x:v>
      </x:c>
      <x:c r="C4347" s="0" t="s">
        <x:v>17233</x:v>
      </x:c>
      <x:c r="E4347" s="0" t="s">
        <x:v>17234</x:v>
      </x:c>
      <x:c r="F4347" s="0" t="s">
        <x:v>45</x:v>
      </x:c>
      <x:c r="G4347" s="0" t="s">
        <x:v>19</x:v>
      </x:c>
      <x:c r="H4347" s="0" t="s">
        <x:v>20</x:v>
      </x:c>
      <x:c r="I4347" s="0" t="s">
        <x:v>21</x:v>
      </x:c>
      <x:c r="K4347" s="0">
        <x:f>hyperlink("https://icd.who.int/dev11/l-ichi/en#/http%3A%2F%2Fid.who.int%2Ficd%2Fentity%2F1284794074","browser")</x:f>
      </x:c>
      <x:c r="L4347" s="0">
        <x:f>hyperlink("https://icat2.azurewebsites.net/icat/?ontology=ICD&amp;tab=ClassesTab&amp;id=http%3A%2F%2Fwho.int%2Ficd%238421_4869915e_217e_423d_acb3_33c0f920ef4b","iCat")</x:f>
      </x:c>
      <x:c r="M4347" s="0" t="s">
        <x:v>21</x:v>
      </x:c>
      <x:c r="N4347" s="0" t="s">
        <x:v>46</x:v>
      </x:c>
    </x:row>
    <x:row r="4348" spans="1:16">
      <x:c r="A4348" s="0" t="s">
        <x:v>17235</x:v>
      </x:c>
      <x:c r="B4348" s="0" t="s">
        <x:v>17236</x:v>
      </x:c>
      <x:c r="C4348" s="0" t="s">
        <x:v>17237</x:v>
      </x:c>
      <x:c r="E4348" s="0" t="s">
        <x:v>17238</x:v>
      </x:c>
      <x:c r="F4348" s="0" t="s">
        <x:v>45</x:v>
      </x:c>
      <x:c r="G4348" s="0" t="s">
        <x:v>19</x:v>
      </x:c>
      <x:c r="H4348" s="0" t="s">
        <x:v>20</x:v>
      </x:c>
      <x:c r="I4348" s="0" t="s">
        <x:v>21</x:v>
      </x:c>
      <x:c r="K4348" s="0">
        <x:f>hyperlink("https://icd.who.int/dev11/l-ichi/en#/http%3A%2F%2Fid.who.int%2Ficd%2Fentity%2F485474153","browser")</x:f>
      </x:c>
      <x:c r="L4348" s="0">
        <x:f>hyperlink("https://icat2.azurewebsites.net/icat/?ontology=ICD&amp;tab=ClassesTab&amp;id=http%3A%2F%2Fwho.int%2Ficd%238427_4869915e_217e_423d_acb3_33c0f920ef4b","iCat")</x:f>
      </x:c>
      <x:c r="M4348" s="0" t="s">
        <x:v>21</x:v>
      </x:c>
      <x:c r="N4348" s="0" t="s">
        <x:v>46</x:v>
      </x:c>
    </x:row>
    <x:row r="4349" spans="1:16">
      <x:c r="A4349" s="0" t="s">
        <x:v>17239</x:v>
      </x:c>
      <x:c r="B4349" s="0" t="s">
        <x:v>17240</x:v>
      </x:c>
      <x:c r="C4349" s="0" t="s">
        <x:v>17241</x:v>
      </x:c>
      <x:c r="E4349" s="0" t="s">
        <x:v>17242</x:v>
      </x:c>
      <x:c r="F4349" s="0" t="s">
        <x:v>45</x:v>
      </x:c>
      <x:c r="G4349" s="0" t="s">
        <x:v>19</x:v>
      </x:c>
      <x:c r="H4349" s="0" t="s">
        <x:v>20</x:v>
      </x:c>
      <x:c r="I4349" s="0" t="s">
        <x:v>21</x:v>
      </x:c>
      <x:c r="K4349" s="0">
        <x:f>hyperlink("https://icd.who.int/dev11/l-ichi/en#/http%3A%2F%2Fid.who.int%2Ficd%2Fentity%2F1854586128","browser")</x:f>
      </x:c>
      <x:c r="L4349" s="0">
        <x:f>hyperlink("https://icat2.azurewebsites.net/icat/?ontology=ICD&amp;tab=ClassesTab&amp;id=http%3A%2F%2Fwho.int%2Ficd%2322776_512ebf36_bf6b_4d70_85da_cf2637062af4","iCat")</x:f>
      </x:c>
      <x:c r="M4349" s="0" t="s">
        <x:v>21</x:v>
      </x:c>
      <x:c r="N4349" s="0" t="s">
        <x:v>46</x:v>
      </x:c>
    </x:row>
    <x:row r="4350" spans="1:16">
      <x:c r="A4350" s="0" t="s">
        <x:v>17243</x:v>
      </x:c>
      <x:c r="B4350" s="0" t="s">
        <x:v>17244</x:v>
      </x:c>
      <x:c r="C4350" s="0" t="s">
        <x:v>17245</x:v>
      </x:c>
      <x:c r="E4350" s="0" t="s">
        <x:v>17246</x:v>
      </x:c>
      <x:c r="F4350" s="0" t="s">
        <x:v>45</x:v>
      </x:c>
      <x:c r="G4350" s="0" t="s">
        <x:v>19</x:v>
      </x:c>
      <x:c r="H4350" s="0" t="s">
        <x:v>20</x:v>
      </x:c>
      <x:c r="I4350" s="0" t="s">
        <x:v>21</x:v>
      </x:c>
      <x:c r="K4350" s="0">
        <x:f>hyperlink("https://icd.who.int/dev11/l-ichi/en#/http%3A%2F%2Fid.who.int%2Ficd%2Fentity%2F688430352","browser")</x:f>
      </x:c>
      <x:c r="L4350" s="0">
        <x:f>hyperlink("https://icat2.azurewebsites.net/icat/?ontology=ICD&amp;tab=ClassesTab&amp;id=http%3A%2F%2Fwho.int%2Ficd%239281_4869915e_217e_423d_acb3_33c0f920ef4b","iCat")</x:f>
      </x:c>
      <x:c r="M4350" s="0" t="s">
        <x:v>21</x:v>
      </x:c>
      <x:c r="N4350" s="0" t="s">
        <x:v>46</x:v>
      </x:c>
    </x:row>
    <x:row r="4351" spans="1:16">
      <x:c r="A4351" s="0" t="s">
        <x:v>17247</x:v>
      </x:c>
      <x:c r="B4351" s="0" t="s">
        <x:v>17248</x:v>
      </x:c>
      <x:c r="C4351" s="0" t="s">
        <x:v>17249</x:v>
      </x:c>
      <x:c r="E4351" s="0" t="s">
        <x:v>17250</x:v>
      </x:c>
      <x:c r="F4351" s="0" t="s">
        <x:v>45</x:v>
      </x:c>
      <x:c r="G4351" s="0" t="s">
        <x:v>19</x:v>
      </x:c>
      <x:c r="H4351" s="0" t="s">
        <x:v>20</x:v>
      </x:c>
      <x:c r="I4351" s="0" t="s">
        <x:v>21</x:v>
      </x:c>
      <x:c r="K4351" s="0">
        <x:f>hyperlink("https://icd.who.int/dev11/l-ichi/en#/http%3A%2F%2Fid.who.int%2Ficd%2Fentity%2F2037597375","browser")</x:f>
      </x:c>
      <x:c r="L4351" s="0">
        <x:f>hyperlink("https://icat2.azurewebsites.net/icat/?ontology=ICD&amp;tab=ClassesTab&amp;id=http%3A%2F%2Fwho.int%2Ficd%239287_4869915e_217e_423d_acb3_33c0f920ef4b","iCat")</x:f>
      </x:c>
      <x:c r="M4351" s="0" t="s">
        <x:v>21</x:v>
      </x:c>
      <x:c r="N4351" s="0" t="s">
        <x:v>46</x:v>
      </x:c>
    </x:row>
    <x:row r="4352" spans="1:16">
      <x:c r="A4352" s="0" t="s">
        <x:v>17251</x:v>
      </x:c>
      <x:c r="B4352" s="0" t="s">
        <x:v>17252</x:v>
      </x:c>
      <x:c r="C4352" s="0" t="s">
        <x:v>17253</x:v>
      </x:c>
      <x:c r="E4352" s="0" t="s">
        <x:v>17254</x:v>
      </x:c>
      <x:c r="F4352" s="0" t="s">
        <x:v>45</x:v>
      </x:c>
      <x:c r="G4352" s="0" t="s">
        <x:v>19</x:v>
      </x:c>
      <x:c r="H4352" s="0" t="s">
        <x:v>20</x:v>
      </x:c>
      <x:c r="I4352" s="0" t="s">
        <x:v>21</x:v>
      </x:c>
      <x:c r="K4352" s="0">
        <x:f>hyperlink("https://icd.who.int/dev11/l-ichi/en#/http%3A%2F%2Fid.who.int%2Ficd%2Fentity%2F649139614","browser")</x:f>
      </x:c>
      <x:c r="L4352" s="0">
        <x:f>hyperlink("https://icat2.azurewebsites.net/icat/?ontology=ICD&amp;tab=ClassesTab&amp;id=http%3A%2F%2Fwho.int%2Ficd%239293_4869915e_217e_423d_acb3_33c0f920ef4b","iCat")</x:f>
      </x:c>
      <x:c r="M4352" s="0" t="s">
        <x:v>21</x:v>
      </x:c>
      <x:c r="N4352" s="0" t="s">
        <x:v>46</x:v>
      </x:c>
    </x:row>
    <x:row r="4353" spans="1:16">
      <x:c r="A4353" s="0" t="s">
        <x:v>17255</x:v>
      </x:c>
      <x:c r="B4353" s="0" t="s">
        <x:v>17256</x:v>
      </x:c>
      <x:c r="C4353" s="0" t="s">
        <x:v>17257</x:v>
      </x:c>
      <x:c r="E4353" s="0" t="s">
        <x:v>17258</x:v>
      </x:c>
      <x:c r="F4353" s="0" t="s">
        <x:v>45</x:v>
      </x:c>
      <x:c r="G4353" s="0" t="s">
        <x:v>19</x:v>
      </x:c>
      <x:c r="H4353" s="0" t="s">
        <x:v>20</x:v>
      </x:c>
      <x:c r="I4353" s="0" t="s">
        <x:v>21</x:v>
      </x:c>
      <x:c r="K4353" s="0">
        <x:f>hyperlink("https://icd.who.int/dev11/l-ichi/en#/http%3A%2F%2Fid.who.int%2Ficd%2Fentity%2F223115534","browser")</x:f>
      </x:c>
      <x:c r="L4353" s="0">
        <x:f>hyperlink("https://icat2.azurewebsites.net/icat/?ontology=ICD&amp;tab=ClassesTab&amp;id=http%3A%2F%2Fwho.int%2Ficd%239299_4869915e_217e_423d_acb3_33c0f920ef4b","iCat")</x:f>
      </x:c>
      <x:c r="M4353" s="0" t="s">
        <x:v>21</x:v>
      </x:c>
      <x:c r="N4353" s="0" t="s">
        <x:v>46</x:v>
      </x:c>
    </x:row>
    <x:row r="4354" spans="1:16">
      <x:c r="A4354" s="0" t="s">
        <x:v>17259</x:v>
      </x:c>
      <x:c r="B4354" s="0" t="s">
        <x:v>17260</x:v>
      </x:c>
      <x:c r="C4354" s="0" t="s">
        <x:v>17261</x:v>
      </x:c>
      <x:c r="E4354" s="0" t="s">
        <x:v>17262</x:v>
      </x:c>
      <x:c r="F4354" s="0" t="s">
        <x:v>45</x:v>
      </x:c>
      <x:c r="G4354" s="0" t="s">
        <x:v>19</x:v>
      </x:c>
      <x:c r="H4354" s="0" t="s">
        <x:v>20</x:v>
      </x:c>
      <x:c r="I4354" s="0" t="s">
        <x:v>21</x:v>
      </x:c>
      <x:c r="K4354" s="0">
        <x:f>hyperlink("https://icd.who.int/dev11/l-ichi/en#/http%3A%2F%2Fid.who.int%2Ficd%2Fentity%2F729915516","browser")</x:f>
      </x:c>
      <x:c r="L4354" s="0">
        <x:f>hyperlink("https://icat2.azurewebsites.net/icat/?ontology=ICD&amp;tab=ClassesTab&amp;id=http%3A%2F%2Fwho.int%2Ficd%2315293_4869915e_217e_423d_acb3_33c0f920ef4b","iCat")</x:f>
      </x:c>
      <x:c r="M4354" s="0" t="s">
        <x:v>21</x:v>
      </x:c>
      <x:c r="N4354" s="0" t="s">
        <x:v>46</x:v>
      </x:c>
    </x:row>
    <x:row r="4355" spans="1:16">
      <x:c r="A4355" s="0" t="s">
        <x:v>17263</x:v>
      </x:c>
      <x:c r="B4355" s="0" t="s">
        <x:v>17264</x:v>
      </x:c>
      <x:c r="C4355" s="0" t="s">
        <x:v>17265</x:v>
      </x:c>
      <x:c r="E4355" s="0" t="s">
        <x:v>17266</x:v>
      </x:c>
      <x:c r="F4355" s="0" t="s">
        <x:v>45</x:v>
      </x:c>
      <x:c r="G4355" s="0" t="s">
        <x:v>19</x:v>
      </x:c>
      <x:c r="H4355" s="0" t="s">
        <x:v>20</x:v>
      </x:c>
      <x:c r="I4355" s="0" t="s">
        <x:v>21</x:v>
      </x:c>
      <x:c r="K4355" s="0">
        <x:f>hyperlink("https://icd.who.int/dev11/l-ichi/en#/http%3A%2F%2Fid.who.int%2Ficd%2Fentity%2F8178924","browser")</x:f>
      </x:c>
      <x:c r="L4355" s="0">
        <x:f>hyperlink("https://icat2.azurewebsites.net/icat/?ontology=ICD&amp;tab=ClassesTab&amp;id=http%3A%2F%2Fwho.int%2Ficd%2315299_4869915e_217e_423d_acb3_33c0f920ef4b","iCat")</x:f>
      </x:c>
      <x:c r="M4355" s="0" t="s">
        <x:v>21</x:v>
      </x:c>
      <x:c r="N4355" s="0" t="s">
        <x:v>46</x:v>
      </x:c>
    </x:row>
    <x:row r="4356" spans="1:16">
      <x:c r="A4356" s="0" t="s">
        <x:v>17267</x:v>
      </x:c>
      <x:c r="B4356" s="0" t="s">
        <x:v>17268</x:v>
      </x:c>
      <x:c r="C4356" s="0" t="s">
        <x:v>17269</x:v>
      </x:c>
      <x:c r="E4356" s="0" t="s">
        <x:v>17270</x:v>
      </x:c>
      <x:c r="F4356" s="0" t="s">
        <x:v>45</x:v>
      </x:c>
      <x:c r="G4356" s="0" t="s">
        <x:v>19</x:v>
      </x:c>
      <x:c r="H4356" s="0" t="s">
        <x:v>20</x:v>
      </x:c>
      <x:c r="I4356" s="0" t="s">
        <x:v>21</x:v>
      </x:c>
      <x:c r="K4356" s="0">
        <x:f>hyperlink("https://icd.who.int/dev11/l-ichi/en#/http%3A%2F%2Fid.who.int%2Ficd%2Fentity%2F595600609","browser")</x:f>
      </x:c>
      <x:c r="L4356" s="0">
        <x:f>hyperlink("https://icat2.azurewebsites.net/icat/?ontology=ICD&amp;tab=ClassesTab&amp;id=http%3A%2F%2Fwho.int%2Ficd%238445_4869915e_217e_423d_acb3_33c0f920ef4b","iCat")</x:f>
      </x:c>
      <x:c r="M4356" s="0" t="s">
        <x:v>21</x:v>
      </x:c>
      <x:c r="N4356" s="0" t="s">
        <x:v>46</x:v>
      </x:c>
    </x:row>
    <x:row r="4357" spans="1:16">
      <x:c r="A4357" s="0" t="s">
        <x:v>17271</x:v>
      </x:c>
      <x:c r="B4357" s="0" t="s">
        <x:v>17272</x:v>
      </x:c>
      <x:c r="C4357" s="0" t="s">
        <x:v>17273</x:v>
      </x:c>
      <x:c r="E4357" s="0" t="s">
        <x:v>17274</x:v>
      </x:c>
      <x:c r="F4357" s="0" t="s">
        <x:v>45</x:v>
      </x:c>
      <x:c r="G4357" s="0" t="s">
        <x:v>19</x:v>
      </x:c>
      <x:c r="H4357" s="0" t="s">
        <x:v>20</x:v>
      </x:c>
      <x:c r="I4357" s="0" t="s">
        <x:v>21</x:v>
      </x:c>
      <x:c r="K4357" s="0">
        <x:f>hyperlink("https://icd.who.int/dev11/l-ichi/en#/http%3A%2F%2Fid.who.int%2Ficd%2Fentity%2F953919418","browser")</x:f>
      </x:c>
      <x:c r="L4357" s="0">
        <x:f>hyperlink("https://icat2.azurewebsites.net/icat/?ontology=ICD&amp;tab=ClassesTab&amp;id=http%3A%2F%2Fwho.int%2Ficd%2322830_512ebf36_bf6b_4d70_85da_cf2637062af4","iCat")</x:f>
      </x:c>
      <x:c r="M4357" s="0" t="s">
        <x:v>21</x:v>
      </x:c>
      <x:c r="N4357" s="0" t="s">
        <x:v>46</x:v>
      </x:c>
    </x:row>
    <x:row r="4358" spans="1:16">
      <x:c r="A4358" s="0" t="s">
        <x:v>17275</x:v>
      </x:c>
      <x:c r="B4358" s="0" t="s">
        <x:v>17276</x:v>
      </x:c>
      <x:c r="C4358" s="0" t="s">
        <x:v>17277</x:v>
      </x:c>
      <x:c r="E4358" s="0" t="s">
        <x:v>17278</x:v>
      </x:c>
      <x:c r="F4358" s="0" t="s">
        <x:v>45</x:v>
      </x:c>
      <x:c r="G4358" s="0" t="s">
        <x:v>19</x:v>
      </x:c>
      <x:c r="H4358" s="0" t="s">
        <x:v>20</x:v>
      </x:c>
      <x:c r="I4358" s="0" t="s">
        <x:v>21</x:v>
      </x:c>
      <x:c r="K4358" s="0">
        <x:f>hyperlink("https://icd.who.int/dev11/l-ichi/en#/http%3A%2F%2Fid.who.int%2Ficd%2Fentity%2F1453565139","browser")</x:f>
      </x:c>
      <x:c r="L4358" s="0">
        <x:f>hyperlink("https://icat2.azurewebsites.net/icat/?ontology=ICD&amp;tab=ClassesTab&amp;id=http%3A%2F%2Fwho.int%2Ficd%2322839_512ebf36_bf6b_4d70_85da_cf2637062af4","iCat")</x:f>
      </x:c>
      <x:c r="M4358" s="0" t="s">
        <x:v>21</x:v>
      </x:c>
      <x:c r="N4358" s="0" t="s">
        <x:v>46</x:v>
      </x:c>
    </x:row>
    <x:row r="4359" spans="1:16">
      <x:c r="A4359" s="0" t="s">
        <x:v>17279</x:v>
      </x:c>
      <x:c r="B4359" s="0" t="s">
        <x:v>17280</x:v>
      </x:c>
      <x:c r="C4359" s="0" t="s">
        <x:v>17281</x:v>
      </x:c>
      <x:c r="E4359" s="0" t="s">
        <x:v>17282</x:v>
      </x:c>
      <x:c r="F4359" s="0" t="s">
        <x:v>45</x:v>
      </x:c>
      <x:c r="G4359" s="0" t="s">
        <x:v>19</x:v>
      </x:c>
      <x:c r="H4359" s="0" t="s">
        <x:v>20</x:v>
      </x:c>
      <x:c r="I4359" s="0" t="s">
        <x:v>21</x:v>
      </x:c>
      <x:c r="K4359" s="0">
        <x:f>hyperlink("https://icd.who.int/dev11/l-ichi/en#/http%3A%2F%2Fid.who.int%2Ficd%2Fentity%2F502465258","browser")</x:f>
      </x:c>
      <x:c r="L4359" s="0">
        <x:f>hyperlink("https://icat2.azurewebsites.net/icat/?ontology=ICD&amp;tab=ClassesTab&amp;id=http%3A%2F%2Fwho.int%2Ficd%2322845_512ebf36_bf6b_4d70_85da_cf2637062af4","iCat")</x:f>
      </x:c>
      <x:c r="M4359" s="0" t="s">
        <x:v>21</x:v>
      </x:c>
      <x:c r="N4359" s="0" t="s">
        <x:v>46</x:v>
      </x:c>
    </x:row>
    <x:row r="4360" spans="1:16">
      <x:c r="A4360" s="0" t="s">
        <x:v>17283</x:v>
      </x:c>
      <x:c r="B4360" s="0" t="s">
        <x:v>17284</x:v>
      </x:c>
      <x:c r="C4360" s="0" t="s">
        <x:v>17285</x:v>
      </x:c>
      <x:c r="E4360" s="0" t="s">
        <x:v>17286</x:v>
      </x:c>
      <x:c r="F4360" s="0" t="s">
        <x:v>45</x:v>
      </x:c>
      <x:c r="G4360" s="0" t="s">
        <x:v>19</x:v>
      </x:c>
      <x:c r="H4360" s="0" t="s">
        <x:v>20</x:v>
      </x:c>
      <x:c r="I4360" s="0" t="s">
        <x:v>21</x:v>
      </x:c>
      <x:c r="K4360" s="0">
        <x:f>hyperlink("https://icd.who.int/dev11/l-ichi/en#/http%3A%2F%2Fid.who.int%2Ficd%2Fentity%2F1110528971","browser")</x:f>
      </x:c>
      <x:c r="L4360" s="0">
        <x:f>hyperlink("https://icat2.azurewebsites.net/icat/?ontology=ICD&amp;tab=ClassesTab&amp;id=http%3A%2F%2Fwho.int%2Ficd%2322851_512ebf36_bf6b_4d70_85da_cf2637062af4","iCat")</x:f>
      </x:c>
      <x:c r="M4360" s="0" t="s">
        <x:v>21</x:v>
      </x:c>
      <x:c r="N4360" s="0" t="s">
        <x:v>46</x:v>
      </x:c>
    </x:row>
    <x:row r="4361" spans="1:16">
      <x:c r="A4361" s="0" t="s">
        <x:v>17287</x:v>
      </x:c>
      <x:c r="B4361" s="0" t="s">
        <x:v>17288</x:v>
      </x:c>
      <x:c r="C4361" s="0" t="s">
        <x:v>17289</x:v>
      </x:c>
      <x:c r="E4361" s="0" t="s">
        <x:v>17290</x:v>
      </x:c>
      <x:c r="F4361" s="0" t="s">
        <x:v>45</x:v>
      </x:c>
      <x:c r="G4361" s="0" t="s">
        <x:v>19</x:v>
      </x:c>
      <x:c r="H4361" s="0" t="s">
        <x:v>20</x:v>
      </x:c>
      <x:c r="I4361" s="0" t="s">
        <x:v>21</x:v>
      </x:c>
      <x:c r="K4361" s="0">
        <x:f>hyperlink("https://icd.who.int/dev11/l-ichi/en#/http%3A%2F%2Fid.who.int%2Ficd%2Fentity%2F213966415","browser")</x:f>
      </x:c>
      <x:c r="L4361" s="0">
        <x:f>hyperlink("https://icat2.azurewebsites.net/icat/?ontology=ICD&amp;tab=ClassesTab&amp;id=http%3A%2F%2Fwho.int%2Ficd%238456_4869915e_217e_423d_acb3_33c0f920ef4b","iCat")</x:f>
      </x:c>
      <x:c r="M4361" s="0" t="s">
        <x:v>21</x:v>
      </x:c>
      <x:c r="N4361" s="0" t="s">
        <x:v>46</x:v>
      </x:c>
    </x:row>
    <x:row r="4362" spans="1:16">
      <x:c r="A4362" s="0" t="s">
        <x:v>17291</x:v>
      </x:c>
      <x:c r="B4362" s="0" t="s">
        <x:v>17292</x:v>
      </x:c>
      <x:c r="C4362" s="0" t="s">
        <x:v>17293</x:v>
      </x:c>
      <x:c r="E4362" s="0" t="s">
        <x:v>17294</x:v>
      </x:c>
      <x:c r="F4362" s="0" t="s">
        <x:v>45</x:v>
      </x:c>
      <x:c r="G4362" s="0" t="s">
        <x:v>19</x:v>
      </x:c>
      <x:c r="H4362" s="0" t="s">
        <x:v>20</x:v>
      </x:c>
      <x:c r="I4362" s="0" t="s">
        <x:v>21</x:v>
      </x:c>
      <x:c r="K4362" s="0">
        <x:f>hyperlink("https://icd.who.int/dev11/l-ichi/en#/http%3A%2F%2Fid.who.int%2Ficd%2Fentity%2F2037799484","browser")</x:f>
      </x:c>
      <x:c r="L4362" s="0">
        <x:f>hyperlink("https://icat2.azurewebsites.net/icat/?ontology=ICD&amp;tab=ClassesTab&amp;id=http%3A%2F%2Fwho.int%2Ficd%238462_4869915e_217e_423d_acb3_33c0f920ef4b","iCat")</x:f>
      </x:c>
      <x:c r="M4362" s="0" t="s">
        <x:v>21</x:v>
      </x:c>
      <x:c r="N4362" s="0" t="s">
        <x:v>46</x:v>
      </x:c>
    </x:row>
    <x:row r="4363" spans="1:16">
      <x:c r="A4363" s="0" t="s">
        <x:v>17295</x:v>
      </x:c>
      <x:c r="B4363" s="0" t="s">
        <x:v>17296</x:v>
      </x:c>
      <x:c r="C4363" s="0" t="s">
        <x:v>17297</x:v>
      </x:c>
      <x:c r="E4363" s="0" t="s">
        <x:v>17298</x:v>
      </x:c>
      <x:c r="F4363" s="0" t="s">
        <x:v>45</x:v>
      </x:c>
      <x:c r="G4363" s="0" t="s">
        <x:v>19</x:v>
      </x:c>
      <x:c r="H4363" s="0" t="s">
        <x:v>20</x:v>
      </x:c>
      <x:c r="I4363" s="0" t="s">
        <x:v>21</x:v>
      </x:c>
      <x:c r="K4363" s="0">
        <x:f>hyperlink("https://icd.who.int/dev11/l-ichi/en#/http%3A%2F%2Fid.who.int%2Ficd%2Fentity%2F1670193737","browser")</x:f>
      </x:c>
      <x:c r="L4363" s="0">
        <x:f>hyperlink("https://icat2.azurewebsites.net/icat/?ontology=ICD&amp;tab=ClassesTab&amp;id=http%3A%2F%2Fwho.int%2Ficd%2322909_512ebf36_bf6b_4d70_85da_cf2637062af4","iCat")</x:f>
      </x:c>
      <x:c r="M4363" s="0" t="s">
        <x:v>21</x:v>
      </x:c>
      <x:c r="N4363" s="0" t="s">
        <x:v>46</x:v>
      </x:c>
    </x:row>
    <x:row r="4364" spans="1:16">
      <x:c r="A4364" s="0" t="s">
        <x:v>17299</x:v>
      </x:c>
      <x:c r="B4364" s="0" t="s">
        <x:v>17300</x:v>
      </x:c>
      <x:c r="C4364" s="0" t="s">
        <x:v>17301</x:v>
      </x:c>
      <x:c r="E4364" s="0" t="s">
        <x:v>17302</x:v>
      </x:c>
      <x:c r="F4364" s="0" t="s">
        <x:v>45</x:v>
      </x:c>
      <x:c r="G4364" s="0" t="s">
        <x:v>19</x:v>
      </x:c>
      <x:c r="H4364" s="0" t="s">
        <x:v>20</x:v>
      </x:c>
      <x:c r="I4364" s="0" t="s">
        <x:v>21</x:v>
      </x:c>
      <x:c r="K4364" s="0">
        <x:f>hyperlink("https://icd.who.int/dev11/l-ichi/en#/http%3A%2F%2Fid.who.int%2Ficd%2Fentity%2F96548747","browser")</x:f>
      </x:c>
      <x:c r="L4364" s="0">
        <x:f>hyperlink("https://icat2.azurewebsites.net/icat/?ontology=ICD&amp;tab=ClassesTab&amp;id=http%3A%2F%2Fwho.int%2Ficd%239485_4869915e_217e_423d_acb3_33c0f920ef4b","iCat")</x:f>
      </x:c>
      <x:c r="M4364" s="0" t="s">
        <x:v>21</x:v>
      </x:c>
      <x:c r="N4364" s="0" t="s">
        <x:v>46</x:v>
      </x:c>
    </x:row>
    <x:row r="4365" spans="1:16">
      <x:c r="A4365" s="0" t="s">
        <x:v>17303</x:v>
      </x:c>
      <x:c r="B4365" s="0" t="s">
        <x:v>17304</x:v>
      </x:c>
      <x:c r="C4365" s="0" t="s">
        <x:v>17305</x:v>
      </x:c>
      <x:c r="E4365" s="0" t="s">
        <x:v>17306</x:v>
      </x:c>
      <x:c r="F4365" s="0" t="s">
        <x:v>45</x:v>
      </x:c>
      <x:c r="G4365" s="0" t="s">
        <x:v>19</x:v>
      </x:c>
      <x:c r="H4365" s="0" t="s">
        <x:v>20</x:v>
      </x:c>
      <x:c r="I4365" s="0" t="s">
        <x:v>21</x:v>
      </x:c>
      <x:c r="K4365" s="0">
        <x:f>hyperlink("https://icd.who.int/dev11/l-ichi/en#/http%3A%2F%2Fid.who.int%2Ficd%2Fentity%2F1510172328","browser")</x:f>
      </x:c>
      <x:c r="L4365" s="0">
        <x:f>hyperlink("https://icat2.azurewebsites.net/icat/?ontology=ICD&amp;tab=ClassesTab&amp;id=http%3A%2F%2Fwho.int%2Ficd%239491_4869915e_217e_423d_acb3_33c0f920ef4b","iCat")</x:f>
      </x:c>
      <x:c r="M4365" s="0" t="s">
        <x:v>21</x:v>
      </x:c>
      <x:c r="N4365" s="0" t="s">
        <x:v>46</x:v>
      </x:c>
    </x:row>
    <x:row r="4366" spans="1:16">
      <x:c r="A4366" s="0" t="s">
        <x:v>17307</x:v>
      </x:c>
      <x:c r="B4366" s="0" t="s">
        <x:v>17308</x:v>
      </x:c>
      <x:c r="C4366" s="0" t="s">
        <x:v>17309</x:v>
      </x:c>
      <x:c r="E4366" s="0" t="s">
        <x:v>17310</x:v>
      </x:c>
      <x:c r="F4366" s="0" t="s">
        <x:v>45</x:v>
      </x:c>
      <x:c r="G4366" s="0" t="s">
        <x:v>19</x:v>
      </x:c>
      <x:c r="H4366" s="0" t="s">
        <x:v>20</x:v>
      </x:c>
      <x:c r="I4366" s="0" t="s">
        <x:v>21</x:v>
      </x:c>
      <x:c r="K4366" s="0">
        <x:f>hyperlink("https://icd.who.int/dev11/l-ichi/en#/http%3A%2F%2Fid.who.int%2Ficd%2Fentity%2F175685401","browser")</x:f>
      </x:c>
      <x:c r="L4366" s="0">
        <x:f>hyperlink("https://icat2.azurewebsites.net/icat/?ontology=ICD&amp;tab=ClassesTab&amp;id=http%3A%2F%2Fwho.int%2Ficd%239497_4869915e_217e_423d_acb3_33c0f920ef4b","iCat")</x:f>
      </x:c>
      <x:c r="M4366" s="0" t="s">
        <x:v>21</x:v>
      </x:c>
      <x:c r="N4366" s="0" t="s">
        <x:v>46</x:v>
      </x:c>
    </x:row>
    <x:row r="4367" spans="1:16">
      <x:c r="A4367" s="0" t="s">
        <x:v>17311</x:v>
      </x:c>
      <x:c r="B4367" s="0" t="s">
        <x:v>17312</x:v>
      </x:c>
      <x:c r="C4367" s="0" t="s">
        <x:v>17313</x:v>
      </x:c>
      <x:c r="E4367" s="0" t="s">
        <x:v>17314</x:v>
      </x:c>
      <x:c r="F4367" s="0" t="s">
        <x:v>45</x:v>
      </x:c>
      <x:c r="G4367" s="0" t="s">
        <x:v>19</x:v>
      </x:c>
      <x:c r="H4367" s="0" t="s">
        <x:v>20</x:v>
      </x:c>
      <x:c r="I4367" s="0" t="s">
        <x:v>21</x:v>
      </x:c>
      <x:c r="K4367" s="0">
        <x:f>hyperlink("https://icd.who.int/dev11/l-ichi/en#/http%3A%2F%2Fid.who.int%2Ficd%2Fentity%2F2008573217","browser")</x:f>
      </x:c>
      <x:c r="L4367" s="0">
        <x:f>hyperlink("https://icat2.azurewebsites.net/icat/?ontology=ICD&amp;tab=ClassesTab&amp;id=http%3A%2F%2Fwho.int%2Ficd%2322982_512ebf36_bf6b_4d70_85da_cf2637062af4","iCat")</x:f>
      </x:c>
      <x:c r="M4367" s="0" t="s">
        <x:v>21</x:v>
      </x:c>
      <x:c r="N4367" s="0" t="s">
        <x:v>46</x:v>
      </x:c>
    </x:row>
    <x:row r="4368" spans="1:16">
      <x:c r="A4368" s="0" t="s">
        <x:v>17315</x:v>
      </x:c>
      <x:c r="B4368" s="0" t="s">
        <x:v>17316</x:v>
      </x:c>
      <x:c r="C4368" s="0" t="s">
        <x:v>17317</x:v>
      </x:c>
      <x:c r="E4368" s="0" t="s">
        <x:v>17318</x:v>
      </x:c>
      <x:c r="F4368" s="0" t="s">
        <x:v>45</x:v>
      </x:c>
      <x:c r="G4368" s="0" t="s">
        <x:v>19</x:v>
      </x:c>
      <x:c r="H4368" s="0" t="s">
        <x:v>20</x:v>
      </x:c>
      <x:c r="I4368" s="0" t="s">
        <x:v>21</x:v>
      </x:c>
      <x:c r="K4368" s="0">
        <x:f>hyperlink("https://icd.who.int/dev11/l-ichi/en#/http%3A%2F%2Fid.who.int%2Ficd%2Fentity%2F1492688783","browser")</x:f>
      </x:c>
      <x:c r="L4368" s="0">
        <x:f>hyperlink("https://icat2.azurewebsites.net/icat/?ontology=ICD&amp;tab=ClassesTab&amp;id=http%3A%2F%2Fwho.int%2Ficd%2322991_512ebf36_bf6b_4d70_85da_cf2637062af4","iCat")</x:f>
      </x:c>
      <x:c r="M4368" s="0" t="s">
        <x:v>21</x:v>
      </x:c>
      <x:c r="N4368" s="0" t="s">
        <x:v>46</x:v>
      </x:c>
    </x:row>
    <x:row r="4369" spans="1:16">
      <x:c r="A4369" s="0" t="s">
        <x:v>17319</x:v>
      </x:c>
      <x:c r="B4369" s="0" t="s">
        <x:v>17320</x:v>
      </x:c>
      <x:c r="C4369" s="0" t="s">
        <x:v>17321</x:v>
      </x:c>
      <x:c r="E4369" s="0" t="s">
        <x:v>17322</x:v>
      </x:c>
      <x:c r="F4369" s="0" t="s">
        <x:v>45</x:v>
      </x:c>
      <x:c r="G4369" s="0" t="s">
        <x:v>19</x:v>
      </x:c>
      <x:c r="H4369" s="0" t="s">
        <x:v>20</x:v>
      </x:c>
      <x:c r="I4369" s="0" t="s">
        <x:v>21</x:v>
      </x:c>
      <x:c r="K4369" s="0">
        <x:f>hyperlink("https://icd.who.int/dev11/l-ichi/en#/http%3A%2F%2Fid.who.int%2Ficd%2Fentity%2F555988217","browser")</x:f>
      </x:c>
      <x:c r="L4369" s="0">
        <x:f>hyperlink("https://icat2.azurewebsites.net/icat/?ontology=ICD&amp;tab=ClassesTab&amp;id=http%3A%2F%2Fwho.int%2Ficd%2329681_7353cc8f_16bd_4231_887a_95ea54e27297","iCat")</x:f>
      </x:c>
      <x:c r="M4369" s="0" t="s">
        <x:v>21</x:v>
      </x:c>
      <x:c r="N4369" s="0" t="s">
        <x:v>46</x:v>
      </x:c>
    </x:row>
    <x:row r="4370" spans="1:16">
      <x:c r="A4370" s="0" t="s">
        <x:v>17323</x:v>
      </x:c>
      <x:c r="B4370" s="0" t="s">
        <x:v>17324</x:v>
      </x:c>
      <x:c r="C4370" s="0" t="s">
        <x:v>17325</x:v>
      </x:c>
      <x:c r="E4370" s="0" t="s">
        <x:v>17326</x:v>
      </x:c>
      <x:c r="F4370" s="0" t="s">
        <x:v>45</x:v>
      </x:c>
      <x:c r="G4370" s="0" t="s">
        <x:v>19</x:v>
      </x:c>
      <x:c r="H4370" s="0" t="s">
        <x:v>20</x:v>
      </x:c>
      <x:c r="I4370" s="0" t="s">
        <x:v>21</x:v>
      </x:c>
      <x:c r="K4370" s="0">
        <x:f>hyperlink("https://icd.who.int/dev11/l-ichi/en#/http%3A%2F%2Fid.who.int%2Ficd%2Fentity%2F914398438","browser")</x:f>
      </x:c>
      <x:c r="L4370" s="0">
        <x:f>hyperlink("https://icat2.azurewebsites.net/icat/?ontology=ICD&amp;tab=ClassesTab&amp;id=http%3A%2F%2Fwho.int%2Ficd%2322998_512ebf36_bf6b_4d70_85da_cf2637062af4","iCat")</x:f>
      </x:c>
      <x:c r="M4370" s="0" t="s">
        <x:v>21</x:v>
      </x:c>
      <x:c r="N4370" s="0" t="s">
        <x:v>46</x:v>
      </x:c>
    </x:row>
    <x:row r="4371" spans="1:16">
      <x:c r="A4371" s="0" t="s">
        <x:v>17327</x:v>
      </x:c>
      <x:c r="B4371" s="0" t="s">
        <x:v>17328</x:v>
      </x:c>
      <x:c r="C4371" s="0" t="s">
        <x:v>17329</x:v>
      </x:c>
      <x:c r="E4371" s="0" t="s">
        <x:v>17330</x:v>
      </x:c>
      <x:c r="F4371" s="0" t="s">
        <x:v>45</x:v>
      </x:c>
      <x:c r="G4371" s="0" t="s">
        <x:v>19</x:v>
      </x:c>
      <x:c r="H4371" s="0" t="s">
        <x:v>20</x:v>
      </x:c>
      <x:c r="I4371" s="0" t="s">
        <x:v>21</x:v>
      </x:c>
      <x:c r="K4371" s="0">
        <x:f>hyperlink("https://icd.who.int/dev11/l-ichi/en#/http%3A%2F%2Fid.who.int%2Ficd%2Fentity%2F510001682","browser")</x:f>
      </x:c>
      <x:c r="L4371" s="0">
        <x:f>hyperlink("https://icat2.azurewebsites.net/icat/?ontology=ICD&amp;tab=ClassesTab&amp;id=http%3A%2F%2Fwho.int%2Ficd%2323004_512ebf36_bf6b_4d70_85da_cf2637062af4","iCat")</x:f>
      </x:c>
      <x:c r="M4371" s="0" t="s">
        <x:v>21</x:v>
      </x:c>
      <x:c r="N4371" s="0" t="s">
        <x:v>46</x:v>
      </x:c>
    </x:row>
    <x:row r="4372" spans="1:16">
      <x:c r="A4372" s="0" t="s">
        <x:v>17331</x:v>
      </x:c>
      <x:c r="B4372" s="0" t="s">
        <x:v>17332</x:v>
      </x:c>
      <x:c r="C4372" s="0" t="s">
        <x:v>17333</x:v>
      </x:c>
      <x:c r="E4372" s="0" t="s">
        <x:v>17334</x:v>
      </x:c>
      <x:c r="F4372" s="0" t="s">
        <x:v>45</x:v>
      </x:c>
      <x:c r="G4372" s="0" t="s">
        <x:v>19</x:v>
      </x:c>
      <x:c r="H4372" s="0" t="s">
        <x:v>20</x:v>
      </x:c>
      <x:c r="I4372" s="0" t="s">
        <x:v>21</x:v>
      </x:c>
      <x:c r="K4372" s="0">
        <x:f>hyperlink("https://icd.who.int/dev11/l-ichi/en#/http%3A%2F%2Fid.who.int%2Ficd%2Fentity%2F1633493263","browser")</x:f>
      </x:c>
      <x:c r="L4372" s="0">
        <x:f>hyperlink("https://icat2.azurewebsites.net/icat/?ontology=ICD&amp;tab=ClassesTab&amp;id=http%3A%2F%2Fwho.int%2Ficd%2323011_512ebf36_bf6b_4d70_85da_cf2637062af4","iCat")</x:f>
      </x:c>
      <x:c r="M4372" s="0" t="s">
        <x:v>21</x:v>
      </x:c>
      <x:c r="N4372" s="0" t="s">
        <x:v>46</x:v>
      </x:c>
    </x:row>
    <x:row r="4373" spans="1:16">
      <x:c r="A4373" s="0" t="s">
        <x:v>17335</x:v>
      </x:c>
      <x:c r="B4373" s="0" t="s">
        <x:v>17336</x:v>
      </x:c>
      <x:c r="C4373" s="0" t="s">
        <x:v>17337</x:v>
      </x:c>
      <x:c r="E4373" s="0" t="s">
        <x:v>17338</x:v>
      </x:c>
      <x:c r="F4373" s="0" t="s">
        <x:v>45</x:v>
      </x:c>
      <x:c r="G4373" s="0" t="s">
        <x:v>19</x:v>
      </x:c>
      <x:c r="H4373" s="0" t="s">
        <x:v>20</x:v>
      </x:c>
      <x:c r="I4373" s="0" t="s">
        <x:v>21</x:v>
      </x:c>
      <x:c r="K4373" s="0">
        <x:f>hyperlink("https://icd.who.int/dev11/l-ichi/en#/http%3A%2F%2Fid.who.int%2Ficd%2Fentity%2F177708259","browser")</x:f>
      </x:c>
      <x:c r="L4373" s="0">
        <x:f>hyperlink("https://icat2.azurewebsites.net/icat/?ontology=ICD&amp;tab=ClassesTab&amp;id=http%3A%2F%2Fwho.int%2Ficd%23958_94acc4f6_b696_4796_914a_62879ddd4f65","iCat")</x:f>
      </x:c>
      <x:c r="M4373" s="0" t="s">
        <x:v>21</x:v>
      </x:c>
      <x:c r="N4373" s="0" t="s">
        <x:v>46</x:v>
      </x:c>
    </x:row>
    <x:row r="4374" spans="1:16">
      <x:c r="A4374" s="0" t="s">
        <x:v>17339</x:v>
      </x:c>
      <x:c r="B4374" s="0" t="s">
        <x:v>17340</x:v>
      </x:c>
      <x:c r="C4374" s="0" t="s">
        <x:v>17341</x:v>
      </x:c>
      <x:c r="E4374" s="0" t="s">
        <x:v>17342</x:v>
      </x:c>
      <x:c r="F4374" s="0" t="s">
        <x:v>45</x:v>
      </x:c>
      <x:c r="G4374" s="0" t="s">
        <x:v>19</x:v>
      </x:c>
      <x:c r="H4374" s="0" t="s">
        <x:v>20</x:v>
      </x:c>
      <x:c r="I4374" s="0" t="s">
        <x:v>21</x:v>
      </x:c>
      <x:c r="K4374" s="0">
        <x:f>hyperlink("https://icd.who.int/dev11/l-ichi/en#/http%3A%2F%2Fid.who.int%2Ficd%2Fentity%2F824637630","browser")</x:f>
      </x:c>
      <x:c r="L4374" s="0">
        <x:f>hyperlink("https://icat2.azurewebsites.net/icat/?ontology=ICD&amp;tab=ClassesTab&amp;id=http%3A%2F%2Fwho.int%2Ficd%2323017_512ebf36_bf6b_4d70_85da_cf2637062af4","iCat")</x:f>
      </x:c>
      <x:c r="M4374" s="0" t="s">
        <x:v>21</x:v>
      </x:c>
      <x:c r="N4374" s="0" t="s">
        <x:v>46</x:v>
      </x:c>
    </x:row>
    <x:row r="4375" spans="1:16">
      <x:c r="A4375" s="0" t="s">
        <x:v>17343</x:v>
      </x:c>
      <x:c r="B4375" s="0" t="s">
        <x:v>17344</x:v>
      </x:c>
      <x:c r="C4375" s="0" t="s">
        <x:v>17345</x:v>
      </x:c>
      <x:c r="E4375" s="0" t="s">
        <x:v>17346</x:v>
      </x:c>
      <x:c r="F4375" s="0" t="s">
        <x:v>45</x:v>
      </x:c>
      <x:c r="G4375" s="0" t="s">
        <x:v>19</x:v>
      </x:c>
      <x:c r="H4375" s="0" t="s">
        <x:v>20</x:v>
      </x:c>
      <x:c r="I4375" s="0" t="s">
        <x:v>21</x:v>
      </x:c>
      <x:c r="K4375" s="0">
        <x:f>hyperlink("https://icd.who.int/dev11/l-ichi/en#/http%3A%2F%2Fid.who.int%2Ficd%2Fentity%2F1150319821","browser")</x:f>
      </x:c>
      <x:c r="L4375" s="0">
        <x:f>hyperlink("https://icat2.azurewebsites.net/icat/?ontology=ICD&amp;tab=ClassesTab&amp;id=http%3A%2F%2Fwho.int%2Ficd%2323023_512ebf36_bf6b_4d70_85da_cf2637062af4","iCat")</x:f>
      </x:c>
      <x:c r="M4375" s="0" t="s">
        <x:v>21</x:v>
      </x:c>
      <x:c r="N4375" s="0" t="s">
        <x:v>46</x:v>
      </x:c>
    </x:row>
    <x:row r="4376" spans="1:16">
      <x:c r="A4376" s="0" t="s">
        <x:v>17347</x:v>
      </x:c>
      <x:c r="B4376" s="0" t="s">
        <x:v>17348</x:v>
      </x:c>
      <x:c r="C4376" s="0" t="s">
        <x:v>17349</x:v>
      </x:c>
      <x:c r="E4376" s="0" t="s">
        <x:v>17350</x:v>
      </x:c>
      <x:c r="F4376" s="0" t="s">
        <x:v>45</x:v>
      </x:c>
      <x:c r="G4376" s="0" t="s">
        <x:v>19</x:v>
      </x:c>
      <x:c r="H4376" s="0" t="s">
        <x:v>20</x:v>
      </x:c>
      <x:c r="I4376" s="0" t="s">
        <x:v>21</x:v>
      </x:c>
      <x:c r="K4376" s="0">
        <x:f>hyperlink("https://icd.who.int/dev11/l-ichi/en#/http%3A%2F%2Fid.who.int%2Ficd%2Fentity%2F1869418589","browser")</x:f>
      </x:c>
      <x:c r="L4376" s="0">
        <x:f>hyperlink("https://icat2.azurewebsites.net/icat/?ontology=ICD&amp;tab=ClassesTab&amp;id=http%3A%2F%2Fwho.int%2Ficd%2323029_512ebf36_bf6b_4d70_85da_cf2637062af4","iCat")</x:f>
      </x:c>
      <x:c r="M4376" s="0" t="s">
        <x:v>21</x:v>
      </x:c>
      <x:c r="N4376" s="0" t="s">
        <x:v>46</x:v>
      </x:c>
    </x:row>
    <x:row r="4377" spans="1:16">
      <x:c r="A4377" s="0" t="s">
        <x:v>17351</x:v>
      </x:c>
      <x:c r="B4377" s="0" t="s">
        <x:v>17352</x:v>
      </x:c>
      <x:c r="C4377" s="0" t="s">
        <x:v>17353</x:v>
      </x:c>
      <x:c r="E4377" s="0" t="s">
        <x:v>17354</x:v>
      </x:c>
      <x:c r="F4377" s="0" t="s">
        <x:v>45</x:v>
      </x:c>
      <x:c r="G4377" s="0" t="s">
        <x:v>19</x:v>
      </x:c>
      <x:c r="H4377" s="0" t="s">
        <x:v>20</x:v>
      </x:c>
      <x:c r="I4377" s="0" t="s">
        <x:v>21</x:v>
      </x:c>
      <x:c r="K4377" s="0">
        <x:f>hyperlink("https://icd.who.int/dev11/l-ichi/en#/http%3A%2F%2Fid.who.int%2Ficd%2Fentity%2F2116956203","browser")</x:f>
      </x:c>
      <x:c r="L4377" s="0">
        <x:f>hyperlink("https://icat2.azurewebsites.net/icat/?ontology=ICD&amp;tab=ClassesTab&amp;id=http%3A%2F%2Fwho.int%2Ficd%2323035_512ebf36_bf6b_4d70_85da_cf2637062af4","iCat")</x:f>
      </x:c>
      <x:c r="M4377" s="0" t="s">
        <x:v>21</x:v>
      </x:c>
      <x:c r="N4377" s="0" t="s">
        <x:v>46</x:v>
      </x:c>
    </x:row>
    <x:row r="4378" spans="1:16">
      <x:c r="A4378" s="0" t="s">
        <x:v>17355</x:v>
      </x:c>
      <x:c r="B4378" s="0" t="s">
        <x:v>17356</x:v>
      </x:c>
      <x:c r="C4378" s="0" t="s">
        <x:v>17357</x:v>
      </x:c>
      <x:c r="E4378" s="0" t="s">
        <x:v>17358</x:v>
      </x:c>
      <x:c r="F4378" s="0" t="s">
        <x:v>45</x:v>
      </x:c>
      <x:c r="G4378" s="0" t="s">
        <x:v>19</x:v>
      </x:c>
      <x:c r="H4378" s="0" t="s">
        <x:v>20</x:v>
      </x:c>
      <x:c r="I4378" s="0" t="s">
        <x:v>21</x:v>
      </x:c>
      <x:c r="K4378" s="0">
        <x:f>hyperlink("https://icd.who.int/dev11/l-ichi/en#/http%3A%2F%2Fid.who.int%2Ficd%2Fentity%2F1048217788","browser")</x:f>
      </x:c>
      <x:c r="L4378" s="0">
        <x:f>hyperlink("https://icat2.azurewebsites.net/icat/?ontology=ICD&amp;tab=ClassesTab&amp;id=http%3A%2F%2Fwho.int%2Ficd%2323042_512ebf36_bf6b_4d70_85da_cf2637062af4","iCat")</x:f>
      </x:c>
      <x:c r="M4378" s="0" t="s">
        <x:v>21</x:v>
      </x:c>
      <x:c r="N4378" s="0" t="s">
        <x:v>46</x:v>
      </x:c>
    </x:row>
    <x:row r="4379" spans="1:16">
      <x:c r="A4379" s="0" t="s">
        <x:v>17359</x:v>
      </x:c>
      <x:c r="B4379" s="0" t="s">
        <x:v>17360</x:v>
      </x:c>
      <x:c r="C4379" s="0" t="s">
        <x:v>17361</x:v>
      </x:c>
      <x:c r="E4379" s="0" t="s">
        <x:v>17362</x:v>
      </x:c>
      <x:c r="F4379" s="0" t="s">
        <x:v>45</x:v>
      </x:c>
      <x:c r="G4379" s="0" t="s">
        <x:v>19</x:v>
      </x:c>
      <x:c r="H4379" s="0" t="s">
        <x:v>20</x:v>
      </x:c>
      <x:c r="I4379" s="0" t="s">
        <x:v>21</x:v>
      </x:c>
      <x:c r="K4379" s="0">
        <x:f>hyperlink("https://icd.who.int/dev11/l-ichi/en#/http%3A%2F%2Fid.who.int%2Ficd%2Fentity%2F897488402","browser")</x:f>
      </x:c>
      <x:c r="L4379" s="0">
        <x:f>hyperlink("https://icat2.azurewebsites.net/icat/?ontology=ICD&amp;tab=ClassesTab&amp;id=http%3A%2F%2Fwho.int%2Ficd%2323049_512ebf36_bf6b_4d70_85da_cf2637062af4","iCat")</x:f>
      </x:c>
      <x:c r="M4379" s="0" t="s">
        <x:v>21</x:v>
      </x:c>
      <x:c r="N4379" s="0" t="s">
        <x:v>46</x:v>
      </x:c>
    </x:row>
    <x:row r="4380" spans="1:16">
      <x:c r="A4380" s="0" t="s">
        <x:v>17363</x:v>
      </x:c>
      <x:c r="B4380" s="0" t="s">
        <x:v>17364</x:v>
      </x:c>
      <x:c r="C4380" s="0" t="s">
        <x:v>17365</x:v>
      </x:c>
      <x:c r="E4380" s="0" t="s">
        <x:v>17366</x:v>
      </x:c>
      <x:c r="F4380" s="0" t="s">
        <x:v>45</x:v>
      </x:c>
      <x:c r="G4380" s="0" t="s">
        <x:v>19</x:v>
      </x:c>
      <x:c r="H4380" s="0" t="s">
        <x:v>20</x:v>
      </x:c>
      <x:c r="I4380" s="0" t="s">
        <x:v>21</x:v>
      </x:c>
      <x:c r="K4380" s="0">
        <x:f>hyperlink("https://icd.who.int/dev11/l-ichi/en#/http%3A%2F%2Fid.who.int%2Ficd%2Fentity%2F1639504287","browser")</x:f>
      </x:c>
      <x:c r="L4380" s="0">
        <x:f>hyperlink("https://icat2.azurewebsites.net/icat/?ontology=ICD&amp;tab=ClassesTab&amp;id=http%3A%2F%2Fwho.int%2Ficd%2323056_512ebf36_bf6b_4d70_85da_cf2637062af4","iCat")</x:f>
      </x:c>
      <x:c r="M4380" s="0" t="s">
        <x:v>21</x:v>
      </x:c>
      <x:c r="N4380" s="0" t="s">
        <x:v>46</x:v>
      </x:c>
    </x:row>
    <x:row r="4381" spans="1:16">
      <x:c r="A4381" s="0" t="s">
        <x:v>17367</x:v>
      </x:c>
      <x:c r="B4381" s="0" t="s">
        <x:v>17368</x:v>
      </x:c>
      <x:c r="D4381" s="0" t="s">
        <x:v>17369</x:v>
      </x:c>
      <x:c r="E4381" s="0" t="s">
        <x:v>17370</x:v>
      </x:c>
      <x:c r="F4381" s="0" t="s">
        <x:v>26</x:v>
      </x:c>
      <x:c r="G4381" s="0" t="s">
        <x:v>22</x:v>
      </x:c>
      <x:c r="H4381" s="0" t="s">
        <x:v>20</x:v>
      </x:c>
      <x:c r="I4381" s="0" t="s">
        <x:v>21</x:v>
      </x:c>
      <x:c r="K4381" s="0">
        <x:f>hyperlink("https://icd.who.int/dev11/l-ichi/en#/http%3A%2F%2Fid.who.int%2Ficd%2Fentity%2F1271663823","browser")</x:f>
      </x:c>
      <x:c r="L4381" s="0">
        <x:f>hyperlink("https://icat2.azurewebsites.net/icat/?ontology=ICD&amp;tab=ClassesTab&amp;id=http%3A%2F%2Fwho.int%2Ficd%2323076_512ebf36_bf6b_4d70_85da_cf2637062af4","iCat")</x:f>
      </x:c>
      <x:c r="M4381" s="0" t="s">
        <x:v>20</x:v>
      </x:c>
      <x:c r="N4381" s="0" t="s">
        <x:v>17371</x:v>
      </x:c>
    </x:row>
    <x:row r="4382" spans="1:16">
      <x:c r="A4382" s="0" t="s">
        <x:v>17372</x:v>
      </x:c>
      <x:c r="B4382" s="0" t="s">
        <x:v>17373</x:v>
      </x:c>
      <x:c r="C4382" s="0" t="s">
        <x:v>17374</x:v>
      </x:c>
      <x:c r="E4382" s="0" t="s">
        <x:v>17375</x:v>
      </x:c>
      <x:c r="F4382" s="0" t="s">
        <x:v>45</x:v>
      </x:c>
      <x:c r="G4382" s="0" t="s">
        <x:v>19</x:v>
      </x:c>
      <x:c r="H4382" s="0" t="s">
        <x:v>20</x:v>
      </x:c>
      <x:c r="I4382" s="0" t="s">
        <x:v>21</x:v>
      </x:c>
      <x:c r="K4382" s="0">
        <x:f>hyperlink("https://icd.who.int/dev11/l-ichi/en#/http%3A%2F%2Fid.who.int%2Ficd%2Fentity%2F239690552","browser")</x:f>
      </x:c>
      <x:c r="L4382" s="0">
        <x:f>hyperlink("https://icat2.azurewebsites.net/icat/?ontology=ICD&amp;tab=ClassesTab&amp;id=http%3A%2F%2Fwho.int%2Ficd%2323075_512ebf36_bf6b_4d70_85da_cf2637062af4","iCat")</x:f>
      </x:c>
      <x:c r="M4382" s="0" t="s">
        <x:v>21</x:v>
      </x:c>
      <x:c r="N4382" s="0" t="s">
        <x:v>46</x:v>
      </x:c>
    </x:row>
    <x:row r="4383" spans="1:16">
      <x:c r="A4383" s="0" t="s">
        <x:v>17376</x:v>
      </x:c>
      <x:c r="B4383" s="0" t="s">
        <x:v>17377</x:v>
      </x:c>
      <x:c r="C4383" s="0" t="s">
        <x:v>17378</x:v>
      </x:c>
      <x:c r="E4383" s="0" t="s">
        <x:v>17379</x:v>
      </x:c>
      <x:c r="F4383" s="0" t="s">
        <x:v>45</x:v>
      </x:c>
      <x:c r="G4383" s="0" t="s">
        <x:v>19</x:v>
      </x:c>
      <x:c r="H4383" s="0" t="s">
        <x:v>20</x:v>
      </x:c>
      <x:c r="I4383" s="0" t="s">
        <x:v>21</x:v>
      </x:c>
      <x:c r="K4383" s="0">
        <x:f>hyperlink("https://icd.who.int/dev11/l-ichi/en#/http%3A%2F%2Fid.who.int%2Ficd%2Fentity%2F1154626605","browser")</x:f>
      </x:c>
      <x:c r="L4383" s="0">
        <x:f>hyperlink("https://icat2.azurewebsites.net/icat/?ontology=ICD&amp;tab=ClassesTab&amp;id=http%3A%2F%2Fwho.int%2Ficd%2323087_512ebf36_bf6b_4d70_85da_cf2637062af4","iCat")</x:f>
      </x:c>
      <x:c r="M4383" s="0" t="s">
        <x:v>21</x:v>
      </x:c>
      <x:c r="N4383" s="0" t="s">
        <x:v>46</x:v>
      </x:c>
    </x:row>
    <x:row r="4384" spans="1:16">
      <x:c r="A4384" s="0" t="s">
        <x:v>17380</x:v>
      </x:c>
      <x:c r="B4384" s="0" t="s">
        <x:v>17381</x:v>
      </x:c>
      <x:c r="C4384" s="0" t="s">
        <x:v>17382</x:v>
      </x:c>
      <x:c r="E4384" s="0" t="s">
        <x:v>17383</x:v>
      </x:c>
      <x:c r="F4384" s="0" t="s">
        <x:v>45</x:v>
      </x:c>
      <x:c r="G4384" s="0" t="s">
        <x:v>19</x:v>
      </x:c>
      <x:c r="H4384" s="0" t="s">
        <x:v>20</x:v>
      </x:c>
      <x:c r="I4384" s="0" t="s">
        <x:v>21</x:v>
      </x:c>
      <x:c r="K4384" s="0">
        <x:f>hyperlink("https://icd.who.int/dev11/l-ichi/en#/http%3A%2F%2Fid.who.int%2Ficd%2Fentity%2F115786415","browser")</x:f>
      </x:c>
      <x:c r="L4384" s="0">
        <x:f>hyperlink("https://icat2.azurewebsites.net/icat/?ontology=ICD&amp;tab=ClassesTab&amp;id=http%3A%2F%2Fwho.int%2Ficd%23110_0b1ba77e_1110_4c95_88d7_b3da3232f4d4","iCat")</x:f>
      </x:c>
      <x:c r="M4384" s="0" t="s">
        <x:v>21</x:v>
      </x:c>
      <x:c r="N4384" s="0" t="s">
        <x:v>46</x:v>
      </x:c>
    </x:row>
    <x:row r="4385" spans="1:16">
      <x:c r="A4385" s="0" t="s">
        <x:v>17384</x:v>
      </x:c>
      <x:c r="B4385" s="0" t="s">
        <x:v>17385</x:v>
      </x:c>
      <x:c r="C4385" s="0" t="s">
        <x:v>17386</x:v>
      </x:c>
      <x:c r="E4385" s="0" t="s">
        <x:v>17387</x:v>
      </x:c>
      <x:c r="F4385" s="0" t="s">
        <x:v>45</x:v>
      </x:c>
      <x:c r="G4385" s="0" t="s">
        <x:v>19</x:v>
      </x:c>
      <x:c r="H4385" s="0" t="s">
        <x:v>20</x:v>
      </x:c>
      <x:c r="I4385" s="0" t="s">
        <x:v>21</x:v>
      </x:c>
      <x:c r="K4385" s="0">
        <x:f>hyperlink("https://icd.who.int/dev11/l-ichi/en#/http%3A%2F%2Fid.who.int%2Ficd%2Fentity%2F454059278","browser")</x:f>
      </x:c>
      <x:c r="L4385" s="0">
        <x:f>hyperlink("https://icat2.azurewebsites.net/icat/?ontology=ICD&amp;tab=ClassesTab&amp;id=http%3A%2F%2Fwho.int%2Ficd%2323093_512ebf36_bf6b_4d70_85da_cf2637062af4","iCat")</x:f>
      </x:c>
      <x:c r="M4385" s="0" t="s">
        <x:v>21</x:v>
      </x:c>
      <x:c r="N4385" s="0" t="s">
        <x:v>46</x:v>
      </x:c>
    </x:row>
    <x:row r="4386" spans="1:16">
      <x:c r="A4386" s="0" t="s">
        <x:v>17388</x:v>
      </x:c>
      <x:c r="B4386" s="0" t="s">
        <x:v>17389</x:v>
      </x:c>
      <x:c r="C4386" s="0" t="s">
        <x:v>17390</x:v>
      </x:c>
      <x:c r="E4386" s="0" t="s">
        <x:v>17391</x:v>
      </x:c>
      <x:c r="F4386" s="0" t="s">
        <x:v>45</x:v>
      </x:c>
      <x:c r="G4386" s="0" t="s">
        <x:v>19</x:v>
      </x:c>
      <x:c r="H4386" s="0" t="s">
        <x:v>20</x:v>
      </x:c>
      <x:c r="I4386" s="0" t="s">
        <x:v>21</x:v>
      </x:c>
      <x:c r="K4386" s="0">
        <x:f>hyperlink("https://icd.who.int/dev11/l-ichi/en#/http%3A%2F%2Fid.who.int%2Ficd%2Fentity%2F820840862","browser")</x:f>
      </x:c>
      <x:c r="L4386" s="0">
        <x:f>hyperlink("https://icat2.azurewebsites.net/icat/?ontology=ICD&amp;tab=ClassesTab&amp;id=http%3A%2F%2Fwho.int%2Ficd%2323099_512ebf36_bf6b_4d70_85da_cf2637062af4","iCat")</x:f>
      </x:c>
      <x:c r="M4386" s="0" t="s">
        <x:v>21</x:v>
      </x:c>
      <x:c r="N4386" s="0" t="s">
        <x:v>46</x:v>
      </x:c>
    </x:row>
    <x:row r="4387" spans="1:16">
      <x:c r="A4387" s="0" t="s">
        <x:v>17392</x:v>
      </x:c>
      <x:c r="B4387" s="0" t="s">
        <x:v>17393</x:v>
      </x:c>
      <x:c r="C4387" s="0" t="s">
        <x:v>17394</x:v>
      </x:c>
      <x:c r="E4387" s="0" t="s">
        <x:v>17395</x:v>
      </x:c>
      <x:c r="F4387" s="0" t="s">
        <x:v>45</x:v>
      </x:c>
      <x:c r="G4387" s="0" t="s">
        <x:v>19</x:v>
      </x:c>
      <x:c r="H4387" s="0" t="s">
        <x:v>20</x:v>
      </x:c>
      <x:c r="I4387" s="0" t="s">
        <x:v>21</x:v>
      </x:c>
      <x:c r="K4387" s="0">
        <x:f>hyperlink("https://icd.who.int/dev11/l-ichi/en#/http%3A%2F%2Fid.who.int%2Ficd%2Fentity%2F1258337969","browser")</x:f>
      </x:c>
      <x:c r="L4387" s="0">
        <x:f>hyperlink("https://icat2.azurewebsites.net/icat/?ontology=ICD&amp;tab=ClassesTab&amp;id=http%3A%2F%2Fwho.int%2Ficd%2323105_512ebf36_bf6b_4d70_85da_cf2637062af4","iCat")</x:f>
      </x:c>
      <x:c r="M4387" s="0" t="s">
        <x:v>21</x:v>
      </x:c>
      <x:c r="N4387" s="0" t="s">
        <x:v>46</x:v>
      </x:c>
    </x:row>
    <x:row r="4388" spans="1:16">
      <x:c r="A4388" s="0" t="s">
        <x:v>17396</x:v>
      </x:c>
      <x:c r="B4388" s="0" t="s">
        <x:v>17397</x:v>
      </x:c>
      <x:c r="C4388" s="0" t="s">
        <x:v>17398</x:v>
      </x:c>
      <x:c r="E4388" s="0" t="s">
        <x:v>17399</x:v>
      </x:c>
      <x:c r="F4388" s="0" t="s">
        <x:v>45</x:v>
      </x:c>
      <x:c r="G4388" s="0" t="s">
        <x:v>19</x:v>
      </x:c>
      <x:c r="H4388" s="0" t="s">
        <x:v>20</x:v>
      </x:c>
      <x:c r="I4388" s="0" t="s">
        <x:v>21</x:v>
      </x:c>
      <x:c r="K4388" s="0">
        <x:f>hyperlink("https://icd.who.int/dev11/l-ichi/en#/http%3A%2F%2Fid.who.int%2Ficd%2Fentity%2F1363642475","browser")</x:f>
      </x:c>
      <x:c r="L4388" s="0">
        <x:f>hyperlink("https://icat2.azurewebsites.net/icat/?ontology=ICD&amp;tab=ClassesTab&amp;id=http%3A%2F%2Fwho.int%2Ficd%2323112_512ebf36_bf6b_4d70_85da_cf2637062af4","iCat")</x:f>
      </x:c>
      <x:c r="M4388" s="0" t="s">
        <x:v>21</x:v>
      </x:c>
      <x:c r="N4388" s="0" t="s">
        <x:v>46</x:v>
      </x:c>
    </x:row>
    <x:row r="4389" spans="1:16">
      <x:c r="A4389" s="0" t="s">
        <x:v>17400</x:v>
      </x:c>
      <x:c r="B4389" s="0" t="s">
        <x:v>17401</x:v>
      </x:c>
      <x:c r="C4389" s="0" t="s">
        <x:v>17402</x:v>
      </x:c>
      <x:c r="E4389" s="0" t="s">
        <x:v>17403</x:v>
      </x:c>
      <x:c r="F4389" s="0" t="s">
        <x:v>45</x:v>
      </x:c>
      <x:c r="G4389" s="0" t="s">
        <x:v>19</x:v>
      </x:c>
      <x:c r="H4389" s="0" t="s">
        <x:v>20</x:v>
      </x:c>
      <x:c r="I4389" s="0" t="s">
        <x:v>21</x:v>
      </x:c>
      <x:c r="K4389" s="0">
        <x:f>hyperlink("https://icd.who.int/dev11/l-ichi/en#/http%3A%2F%2Fid.who.int%2Ficd%2Fentity%2F1514378951","browser")</x:f>
      </x:c>
      <x:c r="L4389" s="0">
        <x:f>hyperlink("https://icat2.azurewebsites.net/icat/?ontology=ICD&amp;tab=ClassesTab&amp;id=http%3A%2F%2Fwho.int%2Ficd%2323119_512ebf36_bf6b_4d70_85da_cf2637062af4","iCat")</x:f>
      </x:c>
      <x:c r="M4389" s="0" t="s">
        <x:v>21</x:v>
      </x:c>
      <x:c r="N4389" s="0" t="s">
        <x:v>46</x:v>
      </x:c>
    </x:row>
    <x:row r="4390" spans="1:16">
      <x:c r="A4390" s="0" t="s">
        <x:v>17404</x:v>
      </x:c>
      <x:c r="B4390" s="0" t="s">
        <x:v>17405</x:v>
      </x:c>
      <x:c r="C4390" s="0" t="s">
        <x:v>17406</x:v>
      </x:c>
      <x:c r="E4390" s="0" t="s">
        <x:v>17407</x:v>
      </x:c>
      <x:c r="F4390" s="0" t="s">
        <x:v>45</x:v>
      </x:c>
      <x:c r="G4390" s="0" t="s">
        <x:v>19</x:v>
      </x:c>
      <x:c r="H4390" s="0" t="s">
        <x:v>20</x:v>
      </x:c>
      <x:c r="I4390" s="0" t="s">
        <x:v>21</x:v>
      </x:c>
      <x:c r="K4390" s="0">
        <x:f>hyperlink("https://icd.who.int/dev11/l-ichi/en#/http%3A%2F%2Fid.who.int%2Ficd%2Fentity%2F619777048","browser")</x:f>
      </x:c>
      <x:c r="L4390" s="0">
        <x:f>hyperlink("https://icat2.azurewebsites.net/icat/?ontology=ICD&amp;tab=ClassesTab&amp;id=http%3A%2F%2Fwho.int%2Ficd%2323126_512ebf36_bf6b_4d70_85da_cf2637062af4","iCat")</x:f>
      </x:c>
      <x:c r="M4390" s="0" t="s">
        <x:v>21</x:v>
      </x:c>
      <x:c r="N4390" s="0" t="s">
        <x:v>46</x:v>
      </x:c>
    </x:row>
    <x:row r="4391" spans="1:16">
      <x:c r="A4391" s="0" t="s">
        <x:v>17408</x:v>
      </x:c>
      <x:c r="B4391" s="0" t="s">
        <x:v>17409</x:v>
      </x:c>
      <x:c r="C4391" s="0" t="s">
        <x:v>17410</x:v>
      </x:c>
      <x:c r="E4391" s="0" t="s">
        <x:v>17411</x:v>
      </x:c>
      <x:c r="F4391" s="0" t="s">
        <x:v>45</x:v>
      </x:c>
      <x:c r="G4391" s="0" t="s">
        <x:v>19</x:v>
      </x:c>
      <x:c r="H4391" s="0" t="s">
        <x:v>20</x:v>
      </x:c>
      <x:c r="I4391" s="0" t="s">
        <x:v>21</x:v>
      </x:c>
      <x:c r="K4391" s="0">
        <x:f>hyperlink("https://icd.who.int/dev11/l-ichi/en#/http%3A%2F%2Fid.who.int%2Ficd%2Fentity%2F1539976967","browser")</x:f>
      </x:c>
      <x:c r="L4391" s="0">
        <x:f>hyperlink("https://icat2.azurewebsites.net/icat/?ontology=ICD&amp;tab=ClassesTab&amp;id=http%3A%2F%2Fwho.int%2Ficd%2323133_512ebf36_bf6b_4d70_85da_cf2637062af4","iCat")</x:f>
      </x:c>
      <x:c r="M4391" s="0" t="s">
        <x:v>21</x:v>
      </x:c>
      <x:c r="N4391" s="0" t="s">
        <x:v>46</x:v>
      </x:c>
    </x:row>
    <x:row r="4392" spans="1:16">
      <x:c r="A4392" s="0" t="s">
        <x:v>17412</x:v>
      </x:c>
      <x:c r="B4392" s="0" t="s">
        <x:v>17413</x:v>
      </x:c>
      <x:c r="C4392" s="0" t="s">
        <x:v>17414</x:v>
      </x:c>
      <x:c r="E4392" s="0" t="s">
        <x:v>17415</x:v>
      </x:c>
      <x:c r="F4392" s="0" t="s">
        <x:v>45</x:v>
      </x:c>
      <x:c r="G4392" s="0" t="s">
        <x:v>19</x:v>
      </x:c>
      <x:c r="H4392" s="0" t="s">
        <x:v>20</x:v>
      </x:c>
      <x:c r="I4392" s="0" t="s">
        <x:v>21</x:v>
      </x:c>
      <x:c r="K4392" s="0">
        <x:f>hyperlink("https://icd.who.int/dev11/l-ichi/en#/http%3A%2F%2Fid.who.int%2Ficd%2Fentity%2F1510851525","browser")</x:f>
      </x:c>
      <x:c r="L4392" s="0">
        <x:f>hyperlink("https://icat2.azurewebsites.net/icat/?ontology=ICD&amp;tab=ClassesTab&amp;id=http%3A%2F%2Fwho.int%2Ficd%2315916_4869915e_217e_423d_acb3_33c0f920ef4b","iCat")</x:f>
      </x:c>
      <x:c r="M4392" s="0" t="s">
        <x:v>21</x:v>
      </x:c>
      <x:c r="N4392" s="0" t="s">
        <x:v>46</x:v>
      </x:c>
    </x:row>
    <x:row r="4393" spans="1:16">
      <x:c r="A4393" s="0" t="s">
        <x:v>17416</x:v>
      </x:c>
      <x:c r="B4393" s="0" t="s">
        <x:v>17417</x:v>
      </x:c>
      <x:c r="C4393" s="0" t="s">
        <x:v>17418</x:v>
      </x:c>
      <x:c r="E4393" s="0" t="s">
        <x:v>17419</x:v>
      </x:c>
      <x:c r="F4393" s="0" t="s">
        <x:v>45</x:v>
      </x:c>
      <x:c r="G4393" s="0" t="s">
        <x:v>19</x:v>
      </x:c>
      <x:c r="H4393" s="0" t="s">
        <x:v>20</x:v>
      </x:c>
      <x:c r="I4393" s="0" t="s">
        <x:v>21</x:v>
      </x:c>
      <x:c r="K4393" s="0">
        <x:f>hyperlink("https://icd.who.int/dev11/l-ichi/en#/http%3A%2F%2Fid.who.int%2Ficd%2Fentity%2F241181146","browser")</x:f>
      </x:c>
      <x:c r="L4393" s="0">
        <x:f>hyperlink("https://icat2.azurewebsites.net/icat/?ontology=ICD&amp;tab=ClassesTab&amp;id=http%3A%2F%2Fwho.int%2Ficd%2323141_512ebf36_bf6b_4d70_85da_cf2637062af4","iCat")</x:f>
      </x:c>
      <x:c r="M4393" s="0" t="s">
        <x:v>21</x:v>
      </x:c>
      <x:c r="N4393" s="0" t="s">
        <x:v>46</x:v>
      </x:c>
    </x:row>
    <x:row r="4394" spans="1:16">
      <x:c r="A4394" s="0" t="s">
        <x:v>17420</x:v>
      </x:c>
      <x:c r="B4394" s="0" t="s">
        <x:v>17421</x:v>
      </x:c>
      <x:c r="C4394" s="0" t="s">
        <x:v>17422</x:v>
      </x:c>
      <x:c r="E4394" s="0" t="s">
        <x:v>17423</x:v>
      </x:c>
      <x:c r="F4394" s="0" t="s">
        <x:v>45</x:v>
      </x:c>
      <x:c r="G4394" s="0" t="s">
        <x:v>19</x:v>
      </x:c>
      <x:c r="H4394" s="0" t="s">
        <x:v>20</x:v>
      </x:c>
      <x:c r="I4394" s="0" t="s">
        <x:v>21</x:v>
      </x:c>
      <x:c r="K4394" s="0">
        <x:f>hyperlink("https://icd.who.int/dev11/l-ichi/en#/http%3A%2F%2Fid.who.int%2Ficd%2Fentity%2F1088508045","browser")</x:f>
      </x:c>
      <x:c r="L4394" s="0">
        <x:f>hyperlink("https://icat2.azurewebsites.net/icat/?ontology=ICD&amp;tab=ClassesTab&amp;id=http%3A%2F%2Fwho.int%2Ficd%2323149_512ebf36_bf6b_4d70_85da_cf2637062af4","iCat")</x:f>
      </x:c>
      <x:c r="M4394" s="0" t="s">
        <x:v>21</x:v>
      </x:c>
      <x:c r="N4394" s="0" t="s">
        <x:v>46</x:v>
      </x:c>
    </x:row>
    <x:row r="4395" spans="1:16">
      <x:c r="A4395" s="0" t="s">
        <x:v>17424</x:v>
      </x:c>
      <x:c r="B4395" s="0" t="s">
        <x:v>17425</x:v>
      </x:c>
      <x:c r="C4395" s="0" t="s">
        <x:v>17426</x:v>
      </x:c>
      <x:c r="E4395" s="0" t="s">
        <x:v>17427</x:v>
      </x:c>
      <x:c r="F4395" s="0" t="s">
        <x:v>45</x:v>
      </x:c>
      <x:c r="G4395" s="0" t="s">
        <x:v>19</x:v>
      </x:c>
      <x:c r="H4395" s="0" t="s">
        <x:v>20</x:v>
      </x:c>
      <x:c r="I4395" s="0" t="s">
        <x:v>21</x:v>
      </x:c>
      <x:c r="K4395" s="0">
        <x:f>hyperlink("https://icd.who.int/dev11/l-ichi/en#/http%3A%2F%2Fid.who.int%2Ficd%2Fentity%2F338108164","browser")</x:f>
      </x:c>
      <x:c r="L4395" s="0">
        <x:f>hyperlink("https://icat2.azurewebsites.net/icat/?ontology=ICD&amp;tab=ClassesTab&amp;id=http%3A%2F%2Fwho.int%2Ficd%2323156_512ebf36_bf6b_4d70_85da_cf2637062af4","iCat")</x:f>
      </x:c>
      <x:c r="M4395" s="0" t="s">
        <x:v>21</x:v>
      </x:c>
      <x:c r="N4395" s="0" t="s">
        <x:v>46</x:v>
      </x:c>
    </x:row>
    <x:row r="4396" spans="1:16">
      <x:c r="A4396" s="0" t="s">
        <x:v>17428</x:v>
      </x:c>
      <x:c r="B4396" s="0" t="s">
        <x:v>17429</x:v>
      </x:c>
      <x:c r="C4396" s="0" t="s">
        <x:v>17430</x:v>
      </x:c>
      <x:c r="E4396" s="0" t="s">
        <x:v>17431</x:v>
      </x:c>
      <x:c r="F4396" s="0" t="s">
        <x:v>45</x:v>
      </x:c>
      <x:c r="G4396" s="0" t="s">
        <x:v>19</x:v>
      </x:c>
      <x:c r="H4396" s="0" t="s">
        <x:v>20</x:v>
      </x:c>
      <x:c r="I4396" s="0" t="s">
        <x:v>21</x:v>
      </x:c>
      <x:c r="K4396" s="0">
        <x:f>hyperlink("https://icd.who.int/dev11/l-ichi/en#/http%3A%2F%2Fid.who.int%2Ficd%2Fentity%2F1636932465","browser")</x:f>
      </x:c>
      <x:c r="L4396" s="0">
        <x:f>hyperlink("https://icat2.azurewebsites.net/icat/?ontology=ICD&amp;tab=ClassesTab&amp;id=http%3A%2F%2Fwho.int%2Ficd%2323162_512ebf36_bf6b_4d70_85da_cf2637062af4","iCat")</x:f>
      </x:c>
      <x:c r="M4396" s="0" t="s">
        <x:v>21</x:v>
      </x:c>
      <x:c r="N4396" s="0" t="s">
        <x:v>46</x:v>
      </x:c>
    </x:row>
    <x:row r="4397" spans="1:16">
      <x:c r="A4397" s="0" t="s">
        <x:v>17432</x:v>
      </x:c>
      <x:c r="B4397" s="0" t="s">
        <x:v>17433</x:v>
      </x:c>
      <x:c r="C4397" s="0" t="s">
        <x:v>17434</x:v>
      </x:c>
      <x:c r="E4397" s="0" t="s">
        <x:v>17435</x:v>
      </x:c>
      <x:c r="F4397" s="0" t="s">
        <x:v>45</x:v>
      </x:c>
      <x:c r="G4397" s="0" t="s">
        <x:v>19</x:v>
      </x:c>
      <x:c r="H4397" s="0" t="s">
        <x:v>20</x:v>
      </x:c>
      <x:c r="I4397" s="0" t="s">
        <x:v>21</x:v>
      </x:c>
      <x:c r="K4397" s="0">
        <x:f>hyperlink("https://icd.who.int/dev11/l-ichi/en#/http%3A%2F%2Fid.who.int%2Ficd%2Fentity%2F1788184029","browser")</x:f>
      </x:c>
      <x:c r="L4397" s="0">
        <x:f>hyperlink("https://icat2.azurewebsites.net/icat/?ontology=ICD&amp;tab=ClassesTab&amp;id=http%3A%2F%2Fwho.int%2Ficd%2323169_512ebf36_bf6b_4d70_85da_cf2637062af4","iCat")</x:f>
      </x:c>
      <x:c r="M4397" s="0" t="s">
        <x:v>21</x:v>
      </x:c>
      <x:c r="N4397" s="0" t="s">
        <x:v>46</x:v>
      </x:c>
    </x:row>
    <x:row r="4398" spans="1:16">
      <x:c r="A4398" s="0" t="s">
        <x:v>17436</x:v>
      </x:c>
      <x:c r="B4398" s="0" t="s">
        <x:v>17437</x:v>
      </x:c>
      <x:c r="C4398" s="0" t="s">
        <x:v>17438</x:v>
      </x:c>
      <x:c r="E4398" s="0" t="s">
        <x:v>17439</x:v>
      </x:c>
      <x:c r="F4398" s="0" t="s">
        <x:v>45</x:v>
      </x:c>
      <x:c r="G4398" s="0" t="s">
        <x:v>19</x:v>
      </x:c>
      <x:c r="H4398" s="0" t="s">
        <x:v>20</x:v>
      </x:c>
      <x:c r="I4398" s="0" t="s">
        <x:v>21</x:v>
      </x:c>
      <x:c r="K4398" s="0">
        <x:f>hyperlink("https://icd.who.int/dev11/l-ichi/en#/http%3A%2F%2Fid.who.int%2Ficd%2Fentity%2F2077664683","browser")</x:f>
      </x:c>
      <x:c r="L4398" s="0">
        <x:f>hyperlink("https://icat2.azurewebsites.net/icat/?ontology=ICD&amp;tab=ClassesTab&amp;id=http%3A%2F%2Fwho.int%2Ficd%2323175_512ebf36_bf6b_4d70_85da_cf2637062af4","iCat")</x:f>
      </x:c>
      <x:c r="M4398" s="0" t="s">
        <x:v>21</x:v>
      </x:c>
      <x:c r="N4398" s="0" t="s">
        <x:v>46</x:v>
      </x:c>
    </x:row>
    <x:row r="4399" spans="1:16">
      <x:c r="A4399" s="0" t="s">
        <x:v>17440</x:v>
      </x:c>
      <x:c r="B4399" s="0" t="s">
        <x:v>17441</x:v>
      </x:c>
      <x:c r="C4399" s="0" t="s">
        <x:v>17442</x:v>
      </x:c>
      <x:c r="E4399" s="0" t="s">
        <x:v>17443</x:v>
      </x:c>
      <x:c r="F4399" s="0" t="s">
        <x:v>45</x:v>
      </x:c>
      <x:c r="G4399" s="0" t="s">
        <x:v>19</x:v>
      </x:c>
      <x:c r="H4399" s="0" t="s">
        <x:v>20</x:v>
      </x:c>
      <x:c r="I4399" s="0" t="s">
        <x:v>21</x:v>
      </x:c>
      <x:c r="K4399" s="0">
        <x:f>hyperlink("https://icd.who.int/dev11/l-ichi/en#/http%3A%2F%2Fid.who.int%2Ficd%2Fentity%2F615728378","browser")</x:f>
      </x:c>
      <x:c r="L4399" s="0">
        <x:f>hyperlink("https://icat2.azurewebsites.net/icat/?ontology=ICD&amp;tab=ClassesTab&amp;id=http%3A%2F%2Fwho.int%2Ficd%2323182_512ebf36_bf6b_4d70_85da_cf2637062af4","iCat")</x:f>
      </x:c>
      <x:c r="M4399" s="0" t="s">
        <x:v>21</x:v>
      </x:c>
      <x:c r="N4399" s="0" t="s">
        <x:v>46</x:v>
      </x:c>
    </x:row>
    <x:row r="4400" spans="1:16">
      <x:c r="A4400" s="0" t="s">
        <x:v>17444</x:v>
      </x:c>
      <x:c r="B4400" s="0" t="s">
        <x:v>17445</x:v>
      </x:c>
      <x:c r="C4400" s="0" t="s">
        <x:v>17446</x:v>
      </x:c>
      <x:c r="E4400" s="0" t="s">
        <x:v>17447</x:v>
      </x:c>
      <x:c r="F4400" s="0" t="s">
        <x:v>45</x:v>
      </x:c>
      <x:c r="G4400" s="0" t="s">
        <x:v>19</x:v>
      </x:c>
      <x:c r="H4400" s="0" t="s">
        <x:v>20</x:v>
      </x:c>
      <x:c r="I4400" s="0" t="s">
        <x:v>21</x:v>
      </x:c>
      <x:c r="K4400" s="0">
        <x:f>hyperlink("https://icd.who.int/dev11/l-ichi/en#/http%3A%2F%2Fid.who.int%2Ficd%2Fentity%2F800545364","browser")</x:f>
      </x:c>
      <x:c r="L4400" s="0">
        <x:f>hyperlink("https://icat2.azurewebsites.net/icat/?ontology=ICD&amp;tab=ClassesTab&amp;id=http%3A%2F%2Fwho.int%2Ficd%2323189_512ebf36_bf6b_4d70_85da_cf2637062af4","iCat")</x:f>
      </x:c>
      <x:c r="M4400" s="0" t="s">
        <x:v>21</x:v>
      </x:c>
      <x:c r="N4400" s="0" t="s">
        <x:v>46</x:v>
      </x:c>
    </x:row>
    <x:row r="4401" spans="1:16">
      <x:c r="A4401" s="0" t="s">
        <x:v>17448</x:v>
      </x:c>
      <x:c r="B4401" s="0" t="s">
        <x:v>17449</x:v>
      </x:c>
      <x:c r="C4401" s="0" t="s">
        <x:v>17450</x:v>
      </x:c>
      <x:c r="E4401" s="0" t="s">
        <x:v>17451</x:v>
      </x:c>
      <x:c r="F4401" s="0" t="s">
        <x:v>45</x:v>
      </x:c>
      <x:c r="G4401" s="0" t="s">
        <x:v>19</x:v>
      </x:c>
      <x:c r="H4401" s="0" t="s">
        <x:v>20</x:v>
      </x:c>
      <x:c r="I4401" s="0" t="s">
        <x:v>21</x:v>
      </x:c>
      <x:c r="K4401" s="0">
        <x:f>hyperlink("https://icd.who.int/dev11/l-ichi/en#/http%3A%2F%2Fid.who.int%2Ficd%2Fentity%2F1056209444","browser")</x:f>
      </x:c>
      <x:c r="L4401" s="0">
        <x:f>hyperlink("https://icat2.azurewebsites.net/icat/?ontology=ICD&amp;tab=ClassesTab&amp;id=http%3A%2F%2Fwho.int%2Ficd%2323195_512ebf36_bf6b_4d70_85da_cf2637062af4","iCat")</x:f>
      </x:c>
      <x:c r="M4401" s="0" t="s">
        <x:v>21</x:v>
      </x:c>
      <x:c r="N4401" s="0" t="s">
        <x:v>46</x:v>
      </x:c>
    </x:row>
    <x:row r="4402" spans="1:16">
      <x:c r="A4402" s="0" t="s">
        <x:v>17452</x:v>
      </x:c>
      <x:c r="B4402" s="0" t="s">
        <x:v>17453</x:v>
      </x:c>
      <x:c r="C4402" s="0" t="s">
        <x:v>17454</x:v>
      </x:c>
      <x:c r="E4402" s="0" t="s">
        <x:v>17455</x:v>
      </x:c>
      <x:c r="F4402" s="0" t="s">
        <x:v>45</x:v>
      </x:c>
      <x:c r="G4402" s="0" t="s">
        <x:v>19</x:v>
      </x:c>
      <x:c r="H4402" s="0" t="s">
        <x:v>20</x:v>
      </x:c>
      <x:c r="I4402" s="0" t="s">
        <x:v>21</x:v>
      </x:c>
      <x:c r="K4402" s="0">
        <x:f>hyperlink("https://icd.who.int/dev11/l-ichi/en#/http%3A%2F%2Fid.who.int%2Ficd%2Fentity%2F525911708","browser")</x:f>
      </x:c>
      <x:c r="L4402" s="0">
        <x:f>hyperlink("https://icat2.azurewebsites.net/icat/?ontology=ICD&amp;tab=ClassesTab&amp;id=http%3A%2F%2Fwho.int%2Ficd%2323201_512ebf36_bf6b_4d70_85da_cf2637062af4","iCat")</x:f>
      </x:c>
      <x:c r="M4402" s="0" t="s">
        <x:v>21</x:v>
      </x:c>
      <x:c r="N4402" s="0" t="s">
        <x:v>46</x:v>
      </x:c>
    </x:row>
    <x:row r="4403" spans="1:16">
      <x:c r="A4403" s="0" t="s">
        <x:v>17456</x:v>
      </x:c>
      <x:c r="B4403" s="0" t="s">
        <x:v>17457</x:v>
      </x:c>
      <x:c r="C4403" s="0" t="s">
        <x:v>17458</x:v>
      </x:c>
      <x:c r="E4403" s="0" t="s">
        <x:v>17459</x:v>
      </x:c>
      <x:c r="F4403" s="0" t="s">
        <x:v>45</x:v>
      </x:c>
      <x:c r="G4403" s="0" t="s">
        <x:v>19</x:v>
      </x:c>
      <x:c r="H4403" s="0" t="s">
        <x:v>20</x:v>
      </x:c>
      <x:c r="I4403" s="0" t="s">
        <x:v>21</x:v>
      </x:c>
      <x:c r="K4403" s="0">
        <x:f>hyperlink("https://icd.who.int/dev11/l-ichi/en#/http%3A%2F%2Fid.who.int%2Ficd%2Fentity%2F1327701805","browser")</x:f>
      </x:c>
      <x:c r="L4403" s="0">
        <x:f>hyperlink("https://icat2.azurewebsites.net/icat/?ontology=ICD&amp;tab=ClassesTab&amp;id=http%3A%2F%2Fwho.int%2Ficd%2323207_512ebf36_bf6b_4d70_85da_cf2637062af4","iCat")</x:f>
      </x:c>
      <x:c r="M4403" s="0" t="s">
        <x:v>21</x:v>
      </x:c>
      <x:c r="N4403" s="0" t="s">
        <x:v>46</x:v>
      </x:c>
    </x:row>
    <x:row r="4404" spans="1:16">
      <x:c r="A4404" s="0" t="s">
        <x:v>17460</x:v>
      </x:c>
      <x:c r="B4404" s="0" t="s">
        <x:v>17461</x:v>
      </x:c>
      <x:c r="C4404" s="0" t="s">
        <x:v>17462</x:v>
      </x:c>
      <x:c r="E4404" s="0" t="s">
        <x:v>17463</x:v>
      </x:c>
      <x:c r="F4404" s="0" t="s">
        <x:v>45</x:v>
      </x:c>
      <x:c r="G4404" s="0" t="s">
        <x:v>19</x:v>
      </x:c>
      <x:c r="H4404" s="0" t="s">
        <x:v>20</x:v>
      </x:c>
      <x:c r="I4404" s="0" t="s">
        <x:v>21</x:v>
      </x:c>
      <x:c r="K4404" s="0">
        <x:f>hyperlink("https://icd.who.int/dev11/l-ichi/en#/http%3A%2F%2Fid.who.int%2Ficd%2Fentity%2F1617159555","browser")</x:f>
      </x:c>
      <x:c r="L4404" s="0">
        <x:f>hyperlink("https://icat2.azurewebsites.net/icat/?ontology=ICD&amp;tab=ClassesTab&amp;id=http%3A%2F%2Fwho.int%2Ficd%2323214_512ebf36_bf6b_4d70_85da_cf2637062af4","iCat")</x:f>
      </x:c>
      <x:c r="M4404" s="0" t="s">
        <x:v>21</x:v>
      </x:c>
      <x:c r="N4404" s="0" t="s">
        <x:v>46</x:v>
      </x:c>
    </x:row>
    <x:row r="4405" spans="1:16">
      <x:c r="A4405" s="0" t="s">
        <x:v>17464</x:v>
      </x:c>
      <x:c r="B4405" s="0" t="s">
        <x:v>17465</x:v>
      </x:c>
      <x:c r="C4405" s="0" t="s">
        <x:v>17466</x:v>
      </x:c>
      <x:c r="E4405" s="0" t="s">
        <x:v>17467</x:v>
      </x:c>
      <x:c r="F4405" s="0" t="s">
        <x:v>45</x:v>
      </x:c>
      <x:c r="G4405" s="0" t="s">
        <x:v>19</x:v>
      </x:c>
      <x:c r="H4405" s="0" t="s">
        <x:v>20</x:v>
      </x:c>
      <x:c r="I4405" s="0" t="s">
        <x:v>21</x:v>
      </x:c>
      <x:c r="K4405" s="0">
        <x:f>hyperlink("https://icd.who.int/dev11/l-ichi/en#/http%3A%2F%2Fid.who.int%2Ficd%2Fentity%2F1347423753","browser")</x:f>
      </x:c>
      <x:c r="L4405" s="0">
        <x:f>hyperlink("https://icat2.azurewebsites.net/icat/?ontology=ICD&amp;tab=ClassesTab&amp;id=http%3A%2F%2Fwho.int%2Ficd%2323223_512ebf36_bf6b_4d70_85da_cf2637062af4","iCat")</x:f>
      </x:c>
      <x:c r="M4405" s="0" t="s">
        <x:v>21</x:v>
      </x:c>
      <x:c r="N4405" s="0" t="s">
        <x:v>46</x:v>
      </x:c>
    </x:row>
    <x:row r="4406" spans="1:16">
      <x:c r="A4406" s="0" t="s">
        <x:v>17468</x:v>
      </x:c>
      <x:c r="B4406" s="0" t="s">
        <x:v>17469</x:v>
      </x:c>
      <x:c r="C4406" s="0" t="s">
        <x:v>17470</x:v>
      </x:c>
      <x:c r="E4406" s="0" t="s">
        <x:v>17471</x:v>
      </x:c>
      <x:c r="F4406" s="0" t="s">
        <x:v>45</x:v>
      </x:c>
      <x:c r="G4406" s="0" t="s">
        <x:v>19</x:v>
      </x:c>
      <x:c r="H4406" s="0" t="s">
        <x:v>20</x:v>
      </x:c>
      <x:c r="I4406" s="0" t="s">
        <x:v>21</x:v>
      </x:c>
      <x:c r="K4406" s="0">
        <x:f>hyperlink("https://icd.who.int/dev11/l-ichi/en#/http%3A%2F%2Fid.who.int%2Ficd%2Fentity%2F2074960537","browser")</x:f>
      </x:c>
      <x:c r="L4406" s="0">
        <x:f>hyperlink("https://icat2.azurewebsites.net/icat/?ontology=ICD&amp;tab=ClassesTab&amp;id=http%3A%2F%2Fwho.int%2Ficd%2323229_512ebf36_bf6b_4d70_85da_cf2637062af4","iCat")</x:f>
      </x:c>
      <x:c r="M4406" s="0" t="s">
        <x:v>21</x:v>
      </x:c>
      <x:c r="N4406" s="0" t="s">
        <x:v>46</x:v>
      </x:c>
    </x:row>
    <x:row r="4407" spans="1:16">
      <x:c r="A4407" s="0" t="s">
        <x:v>17472</x:v>
      </x:c>
      <x:c r="B4407" s="0" t="s">
        <x:v>17473</x:v>
      </x:c>
      <x:c r="C4407" s="0" t="s">
        <x:v>17474</x:v>
      </x:c>
      <x:c r="E4407" s="0" t="s">
        <x:v>17475</x:v>
      </x:c>
      <x:c r="F4407" s="0" t="s">
        <x:v>45</x:v>
      </x:c>
      <x:c r="G4407" s="0" t="s">
        <x:v>19</x:v>
      </x:c>
      <x:c r="H4407" s="0" t="s">
        <x:v>20</x:v>
      </x:c>
      <x:c r="I4407" s="0" t="s">
        <x:v>21</x:v>
      </x:c>
      <x:c r="K4407" s="0">
        <x:f>hyperlink("https://icd.who.int/dev11/l-ichi/en#/http%3A%2F%2Fid.who.int%2Ficd%2Fentity%2F795553048","browser")</x:f>
      </x:c>
      <x:c r="L4407" s="0">
        <x:f>hyperlink("https://icat2.azurewebsites.net/icat/?ontology=ICD&amp;tab=ClassesTab&amp;id=http%3A%2F%2Fwho.int%2Ficd%2323236_512ebf36_bf6b_4d70_85da_cf2637062af4","iCat")</x:f>
      </x:c>
      <x:c r="M4407" s="0" t="s">
        <x:v>21</x:v>
      </x:c>
      <x:c r="N4407" s="0" t="s">
        <x:v>46</x:v>
      </x:c>
    </x:row>
    <x:row r="4408" spans="1:16">
      <x:c r="A4408" s="0" t="s">
        <x:v>17476</x:v>
      </x:c>
      <x:c r="B4408" s="0" t="s">
        <x:v>17477</x:v>
      </x:c>
      <x:c r="C4408" s="0" t="s">
        <x:v>17478</x:v>
      </x:c>
      <x:c r="E4408" s="0" t="s">
        <x:v>17479</x:v>
      </x:c>
      <x:c r="F4408" s="0" t="s">
        <x:v>45</x:v>
      </x:c>
      <x:c r="G4408" s="0" t="s">
        <x:v>19</x:v>
      </x:c>
      <x:c r="H4408" s="0" t="s">
        <x:v>20</x:v>
      </x:c>
      <x:c r="I4408" s="0" t="s">
        <x:v>21</x:v>
      </x:c>
      <x:c r="K4408" s="0">
        <x:f>hyperlink("https://icd.who.int/dev11/l-ichi/en#/http%3A%2F%2Fid.who.int%2Ficd%2Fentity%2F172197956","browser")</x:f>
      </x:c>
      <x:c r="L4408" s="0">
        <x:f>hyperlink("https://icat2.azurewebsites.net/icat/?ontology=ICD&amp;tab=ClassesTab&amp;id=http%3A%2F%2Fwho.int%2Ficd%2323243_512ebf36_bf6b_4d70_85da_cf2637062af4","iCat")</x:f>
      </x:c>
      <x:c r="M4408" s="0" t="s">
        <x:v>21</x:v>
      </x:c>
      <x:c r="N4408" s="0" t="s">
        <x:v>46</x:v>
      </x:c>
    </x:row>
    <x:row r="4409" spans="1:16">
      <x:c r="A4409" s="0" t="s">
        <x:v>17480</x:v>
      </x:c>
      <x:c r="B4409" s="0" t="s">
        <x:v>17481</x:v>
      </x:c>
      <x:c r="C4409" s="0" t="s">
        <x:v>17482</x:v>
      </x:c>
      <x:c r="E4409" s="0" t="s">
        <x:v>17483</x:v>
      </x:c>
      <x:c r="F4409" s="0" t="s">
        <x:v>45</x:v>
      </x:c>
      <x:c r="G4409" s="0" t="s">
        <x:v>19</x:v>
      </x:c>
      <x:c r="H4409" s="0" t="s">
        <x:v>20</x:v>
      </x:c>
      <x:c r="I4409" s="0" t="s">
        <x:v>21</x:v>
      </x:c>
      <x:c r="K4409" s="0">
        <x:f>hyperlink("https://icd.who.int/dev11/l-ichi/en#/http%3A%2F%2Fid.who.int%2Ficd%2Fentity%2F620983020","browser")</x:f>
      </x:c>
      <x:c r="L4409" s="0">
        <x:f>hyperlink("https://icat2.azurewebsites.net/icat/?ontology=ICD&amp;tab=ClassesTab&amp;id=http%3A%2F%2Fwho.int%2Ficd%2323250_512ebf36_bf6b_4d70_85da_cf2637062af4","iCat")</x:f>
      </x:c>
      <x:c r="M4409" s="0" t="s">
        <x:v>21</x:v>
      </x:c>
      <x:c r="N4409" s="0" t="s">
        <x:v>46</x:v>
      </x:c>
    </x:row>
    <x:row r="4410" spans="1:16">
      <x:c r="A4410" s="0" t="s">
        <x:v>17484</x:v>
      </x:c>
      <x:c r="B4410" s="0" t="s">
        <x:v>17485</x:v>
      </x:c>
      <x:c r="C4410" s="0" t="s">
        <x:v>17486</x:v>
      </x:c>
      <x:c r="E4410" s="0" t="s">
        <x:v>17487</x:v>
      </x:c>
      <x:c r="F4410" s="0" t="s">
        <x:v>45</x:v>
      </x:c>
      <x:c r="G4410" s="0" t="s">
        <x:v>19</x:v>
      </x:c>
      <x:c r="H4410" s="0" t="s">
        <x:v>20</x:v>
      </x:c>
      <x:c r="I4410" s="0" t="s">
        <x:v>21</x:v>
      </x:c>
      <x:c r="K4410" s="0">
        <x:f>hyperlink("https://icd.who.int/dev11/l-ichi/en#/http%3A%2F%2Fid.who.int%2Ficd%2Fentity%2F1970842459","browser")</x:f>
      </x:c>
      <x:c r="L4410" s="0">
        <x:f>hyperlink("https://icat2.azurewebsites.net/icat/?ontology=ICD&amp;tab=ClassesTab&amp;id=http%3A%2F%2Fwho.int%2Ficd%2323256_512ebf36_bf6b_4d70_85da_cf2637062af4","iCat")</x:f>
      </x:c>
      <x:c r="M4410" s="0" t="s">
        <x:v>21</x:v>
      </x:c>
      <x:c r="N4410" s="0" t="s">
        <x:v>46</x:v>
      </x:c>
    </x:row>
    <x:row r="4411" spans="1:16">
      <x:c r="A4411" s="0" t="s">
        <x:v>17488</x:v>
      </x:c>
      <x:c r="B4411" s="0" t="s">
        <x:v>17489</x:v>
      </x:c>
      <x:c r="C4411" s="0" t="s">
        <x:v>17490</x:v>
      </x:c>
      <x:c r="E4411" s="0" t="s">
        <x:v>17491</x:v>
      </x:c>
      <x:c r="F4411" s="0" t="s">
        <x:v>45</x:v>
      </x:c>
      <x:c r="G4411" s="0" t="s">
        <x:v>19</x:v>
      </x:c>
      <x:c r="H4411" s="0" t="s">
        <x:v>20</x:v>
      </x:c>
      <x:c r="I4411" s="0" t="s">
        <x:v>21</x:v>
      </x:c>
      <x:c r="K4411" s="0">
        <x:f>hyperlink("https://icd.who.int/dev11/l-ichi/en#/http%3A%2F%2Fid.who.int%2Ficd%2Fentity%2F13512488","browser")</x:f>
      </x:c>
      <x:c r="L4411" s="0">
        <x:f>hyperlink("https://icat2.azurewebsites.net/icat/?ontology=ICD&amp;tab=ClassesTab&amp;id=http%3A%2F%2Fwho.int%2Ficd%2323262_512ebf36_bf6b_4d70_85da_cf2637062af4","iCat")</x:f>
      </x:c>
      <x:c r="M4411" s="0" t="s">
        <x:v>21</x:v>
      </x:c>
      <x:c r="N4411" s="0" t="s">
        <x:v>46</x:v>
      </x:c>
    </x:row>
    <x:row r="4412" spans="1:16">
      <x:c r="A4412" s="0" t="s">
        <x:v>17492</x:v>
      </x:c>
      <x:c r="B4412" s="0" t="s">
        <x:v>17493</x:v>
      </x:c>
      <x:c r="C4412" s="0" t="s">
        <x:v>17494</x:v>
      </x:c>
      <x:c r="E4412" s="0" t="s">
        <x:v>17495</x:v>
      </x:c>
      <x:c r="F4412" s="0" t="s">
        <x:v>45</x:v>
      </x:c>
      <x:c r="G4412" s="0" t="s">
        <x:v>19</x:v>
      </x:c>
      <x:c r="H4412" s="0" t="s">
        <x:v>20</x:v>
      </x:c>
      <x:c r="I4412" s="0" t="s">
        <x:v>21</x:v>
      </x:c>
      <x:c r="K4412" s="0">
        <x:f>hyperlink("https://icd.who.int/dev11/l-ichi/en#/http%3A%2F%2Fid.who.int%2Ficd%2Fentity%2F724779960","browser")</x:f>
      </x:c>
      <x:c r="L4412" s="0">
        <x:f>hyperlink("https://icat2.azurewebsites.net/icat/?ontology=ICD&amp;tab=ClassesTab&amp;id=http%3A%2F%2Fwho.int%2Ficd%2323268_512ebf36_bf6b_4d70_85da_cf2637062af4","iCat")</x:f>
      </x:c>
      <x:c r="M4412" s="0" t="s">
        <x:v>21</x:v>
      </x:c>
      <x:c r="N4412" s="0" t="s">
        <x:v>46</x:v>
      </x:c>
    </x:row>
    <x:row r="4413" spans="1:16">
      <x:c r="A4413" s="0" t="s">
        <x:v>17496</x:v>
      </x:c>
      <x:c r="B4413" s="0" t="s">
        <x:v>17497</x:v>
      </x:c>
      <x:c r="C4413" s="0" t="s">
        <x:v>17498</x:v>
      </x:c>
      <x:c r="E4413" s="0" t="s">
        <x:v>17499</x:v>
      </x:c>
      <x:c r="F4413" s="0" t="s">
        <x:v>45</x:v>
      </x:c>
      <x:c r="G4413" s="0" t="s">
        <x:v>19</x:v>
      </x:c>
      <x:c r="H4413" s="0" t="s">
        <x:v>20</x:v>
      </x:c>
      <x:c r="I4413" s="0" t="s">
        <x:v>21</x:v>
      </x:c>
      <x:c r="K4413" s="0">
        <x:f>hyperlink("https://icd.who.int/dev11/l-ichi/en#/http%3A%2F%2Fid.who.int%2Ficd%2Fentity%2F1594654219","browser")</x:f>
      </x:c>
      <x:c r="L4413" s="0">
        <x:f>hyperlink("https://icat2.azurewebsites.net/icat/?ontology=ICD&amp;tab=ClassesTab&amp;id=http%3A%2F%2Fwho.int%2Ficd%2323276_512ebf36_bf6b_4d70_85da_cf2637062af4","iCat")</x:f>
      </x:c>
      <x:c r="M4413" s="0" t="s">
        <x:v>21</x:v>
      </x:c>
      <x:c r="N4413" s="0" t="s">
        <x:v>46</x:v>
      </x:c>
    </x:row>
    <x:row r="4414" spans="1:16">
      <x:c r="A4414" s="0" t="s">
        <x:v>17500</x:v>
      </x:c>
      <x:c r="B4414" s="0" t="s">
        <x:v>17501</x:v>
      </x:c>
      <x:c r="C4414" s="0" t="s">
        <x:v>17502</x:v>
      </x:c>
      <x:c r="E4414" s="0" t="s">
        <x:v>17503</x:v>
      </x:c>
      <x:c r="F4414" s="0" t="s">
        <x:v>45</x:v>
      </x:c>
      <x:c r="G4414" s="0" t="s">
        <x:v>19</x:v>
      </x:c>
      <x:c r="H4414" s="0" t="s">
        <x:v>20</x:v>
      </x:c>
      <x:c r="I4414" s="0" t="s">
        <x:v>21</x:v>
      </x:c>
      <x:c r="K4414" s="0">
        <x:f>hyperlink("https://icd.who.int/dev11/l-ichi/en#/http%3A%2F%2Fid.who.int%2Ficd%2Fentity%2F1173156001","browser")</x:f>
      </x:c>
      <x:c r="L4414" s="0">
        <x:f>hyperlink("https://icat2.azurewebsites.net/icat/?ontology=ICD&amp;tab=ClassesTab&amp;id=http%3A%2F%2Fwho.int%2Ficd%2323282_512ebf36_bf6b_4d70_85da_cf2637062af4","iCat")</x:f>
      </x:c>
      <x:c r="M4414" s="0" t="s">
        <x:v>21</x:v>
      </x:c>
      <x:c r="N4414" s="0" t="s">
        <x:v>46</x:v>
      </x:c>
    </x:row>
    <x:row r="4415" spans="1:16">
      <x:c r="A4415" s="0" t="s">
        <x:v>17504</x:v>
      </x:c>
      <x:c r="B4415" s="0" t="s">
        <x:v>17505</x:v>
      </x:c>
      <x:c r="C4415" s="0" t="s">
        <x:v>17506</x:v>
      </x:c>
      <x:c r="E4415" s="0" t="s">
        <x:v>17507</x:v>
      </x:c>
      <x:c r="F4415" s="0" t="s">
        <x:v>45</x:v>
      </x:c>
      <x:c r="G4415" s="0" t="s">
        <x:v>19</x:v>
      </x:c>
      <x:c r="H4415" s="0" t="s">
        <x:v>20</x:v>
      </x:c>
      <x:c r="I4415" s="0" t="s">
        <x:v>21</x:v>
      </x:c>
      <x:c r="K4415" s="0">
        <x:f>hyperlink("https://icd.who.int/dev11/l-ichi/en#/http%3A%2F%2Fid.who.int%2Ficd%2Fentity%2F1846647857","browser")</x:f>
      </x:c>
      <x:c r="L4415" s="0">
        <x:f>hyperlink("https://icat2.azurewebsites.net/icat/?ontology=ICD&amp;tab=ClassesTab&amp;id=http%3A%2F%2Fwho.int%2Ficd%2323288_512ebf36_bf6b_4d70_85da_cf2637062af4","iCat")</x:f>
      </x:c>
      <x:c r="M4415" s="0" t="s">
        <x:v>21</x:v>
      </x:c>
      <x:c r="N4415" s="0" t="s">
        <x:v>46</x:v>
      </x:c>
    </x:row>
    <x:row r="4416" spans="1:16">
      <x:c r="A4416" s="0" t="s">
        <x:v>17508</x:v>
      </x:c>
      <x:c r="B4416" s="0" t="s">
        <x:v>17509</x:v>
      </x:c>
      <x:c r="C4416" s="0" t="s">
        <x:v>17510</x:v>
      </x:c>
      <x:c r="E4416" s="0" t="s">
        <x:v>17511</x:v>
      </x:c>
      <x:c r="F4416" s="0" t="s">
        <x:v>45</x:v>
      </x:c>
      <x:c r="G4416" s="0" t="s">
        <x:v>19</x:v>
      </x:c>
      <x:c r="H4416" s="0" t="s">
        <x:v>20</x:v>
      </x:c>
      <x:c r="I4416" s="0" t="s">
        <x:v>21</x:v>
      </x:c>
      <x:c r="K4416" s="0">
        <x:f>hyperlink("https://icd.who.int/dev11/l-ichi/en#/http%3A%2F%2Fid.who.int%2Ficd%2Fentity%2F1245606461","browser")</x:f>
      </x:c>
      <x:c r="L4416" s="0">
        <x:f>hyperlink("https://icat2.azurewebsites.net/icat/?ontology=ICD&amp;tab=ClassesTab&amp;id=http%3A%2F%2Fwho.int%2Ficd%2323300_512ebf36_bf6b_4d70_85da_cf2637062af4","iCat")</x:f>
      </x:c>
      <x:c r="M4416" s="0" t="s">
        <x:v>21</x:v>
      </x:c>
      <x:c r="N4416" s="0" t="s">
        <x:v>46</x:v>
      </x:c>
    </x:row>
    <x:row r="4417" spans="1:16">
      <x:c r="A4417" s="0" t="s">
        <x:v>17512</x:v>
      </x:c>
      <x:c r="B4417" s="0" t="s">
        <x:v>17513</x:v>
      </x:c>
      <x:c r="C4417" s="0" t="s">
        <x:v>17514</x:v>
      </x:c>
      <x:c r="E4417" s="0" t="s">
        <x:v>17515</x:v>
      </x:c>
      <x:c r="F4417" s="0" t="s">
        <x:v>45</x:v>
      </x:c>
      <x:c r="G4417" s="0" t="s">
        <x:v>19</x:v>
      </x:c>
      <x:c r="H4417" s="0" t="s">
        <x:v>20</x:v>
      </x:c>
      <x:c r="I4417" s="0" t="s">
        <x:v>21</x:v>
      </x:c>
      <x:c r="K4417" s="0">
        <x:f>hyperlink("https://icd.who.int/dev11/l-ichi/en#/http%3A%2F%2Fid.who.int%2Ficd%2Fentity%2F440773516","browser")</x:f>
      </x:c>
      <x:c r="L4417" s="0">
        <x:f>hyperlink("https://icat2.azurewebsites.net/icat/?ontology=ICD&amp;tab=ClassesTab&amp;id=http%3A%2F%2Fwho.int%2Ficd%2323306_512ebf36_bf6b_4d70_85da_cf2637062af4","iCat")</x:f>
      </x:c>
      <x:c r="M4417" s="0" t="s">
        <x:v>21</x:v>
      </x:c>
      <x:c r="N4417" s="0" t="s">
        <x:v>46</x:v>
      </x:c>
    </x:row>
    <x:row r="4418" spans="1:16">
      <x:c r="A4418" s="0" t="s">
        <x:v>17516</x:v>
      </x:c>
      <x:c r="B4418" s="0" t="s">
        <x:v>17517</x:v>
      </x:c>
      <x:c r="C4418" s="0" t="s">
        <x:v>17518</x:v>
      </x:c>
      <x:c r="E4418" s="0" t="s">
        <x:v>17519</x:v>
      </x:c>
      <x:c r="F4418" s="0" t="s">
        <x:v>45</x:v>
      </x:c>
      <x:c r="G4418" s="0" t="s">
        <x:v>19</x:v>
      </x:c>
      <x:c r="H4418" s="0" t="s">
        <x:v>20</x:v>
      </x:c>
      <x:c r="I4418" s="0" t="s">
        <x:v>21</x:v>
      </x:c>
      <x:c r="K4418" s="0">
        <x:f>hyperlink("https://icd.who.int/dev11/l-ichi/en#/http%3A%2F%2Fid.who.int%2Ficd%2Fentity%2F1166539439","browser")</x:f>
      </x:c>
      <x:c r="L4418" s="0">
        <x:f>hyperlink("https://icat2.azurewebsites.net/icat/?ontology=ICD&amp;tab=ClassesTab&amp;id=http%3A%2F%2Fwho.int%2Ficd%2323312_512ebf36_bf6b_4d70_85da_cf2637062af4","iCat")</x:f>
      </x:c>
      <x:c r="M4418" s="0" t="s">
        <x:v>21</x:v>
      </x:c>
      <x:c r="N4418" s="0" t="s">
        <x:v>46</x:v>
      </x:c>
    </x:row>
    <x:row r="4419" spans="1:16">
      <x:c r="A4419" s="0" t="s">
        <x:v>17520</x:v>
      </x:c>
      <x:c r="B4419" s="0" t="s">
        <x:v>17521</x:v>
      </x:c>
      <x:c r="C4419" s="0" t="s">
        <x:v>17522</x:v>
      </x:c>
      <x:c r="E4419" s="0" t="s">
        <x:v>17523</x:v>
      </x:c>
      <x:c r="F4419" s="0" t="s">
        <x:v>45</x:v>
      </x:c>
      <x:c r="G4419" s="0" t="s">
        <x:v>19</x:v>
      </x:c>
      <x:c r="H4419" s="0" t="s">
        <x:v>20</x:v>
      </x:c>
      <x:c r="I4419" s="0" t="s">
        <x:v>21</x:v>
      </x:c>
      <x:c r="K4419" s="0">
        <x:f>hyperlink("https://icd.who.int/dev11/l-ichi/en#/http%3A%2F%2Fid.who.int%2Ficd%2Fentity%2F1853527615","browser")</x:f>
      </x:c>
      <x:c r="L4419" s="0">
        <x:f>hyperlink("https://icat2.azurewebsites.net/icat/?ontology=ICD&amp;tab=ClassesTab&amp;id=http%3A%2F%2Fwho.int%2Ficd%2323318_512ebf36_bf6b_4d70_85da_cf2637062af4","iCat")</x:f>
      </x:c>
      <x:c r="M4419" s="0" t="s">
        <x:v>21</x:v>
      </x:c>
      <x:c r="N4419" s="0" t="s">
        <x:v>46</x:v>
      </x:c>
    </x:row>
    <x:row r="4420" spans="1:16">
      <x:c r="A4420" s="0" t="s">
        <x:v>17524</x:v>
      </x:c>
      <x:c r="B4420" s="0" t="s">
        <x:v>17525</x:v>
      </x:c>
      <x:c r="C4420" s="0" t="s">
        <x:v>17526</x:v>
      </x:c>
      <x:c r="E4420" s="0" t="s">
        <x:v>17527</x:v>
      </x:c>
      <x:c r="F4420" s="0" t="s">
        <x:v>45</x:v>
      </x:c>
      <x:c r="G4420" s="0" t="s">
        <x:v>19</x:v>
      </x:c>
      <x:c r="H4420" s="0" t="s">
        <x:v>20</x:v>
      </x:c>
      <x:c r="I4420" s="0" t="s">
        <x:v>21</x:v>
      </x:c>
      <x:c r="K4420" s="0">
        <x:f>hyperlink("https://icd.who.int/dev11/l-ichi/en#/http%3A%2F%2Fid.who.int%2Ficd%2Fentity%2F1431135001","browser")</x:f>
      </x:c>
      <x:c r="L4420" s="0">
        <x:f>hyperlink("https://icat2.azurewebsites.net/icat/?ontology=ICD&amp;tab=ClassesTab&amp;id=http%3A%2F%2Fwho.int%2Ficd%2323324_512ebf36_bf6b_4d70_85da_cf2637062af4","iCat")</x:f>
      </x:c>
      <x:c r="M4420" s="0" t="s">
        <x:v>21</x:v>
      </x:c>
      <x:c r="N4420" s="0" t="s">
        <x:v>46</x:v>
      </x:c>
    </x:row>
    <x:row r="4421" spans="1:16">
      <x:c r="A4421" s="0" t="s">
        <x:v>17528</x:v>
      </x:c>
      <x:c r="B4421" s="0" t="s">
        <x:v>17529</x:v>
      </x:c>
      <x:c r="C4421" s="0" t="s">
        <x:v>17530</x:v>
      </x:c>
      <x:c r="E4421" s="0" t="s">
        <x:v>17531</x:v>
      </x:c>
      <x:c r="F4421" s="0" t="s">
        <x:v>45</x:v>
      </x:c>
      <x:c r="G4421" s="0" t="s">
        <x:v>19</x:v>
      </x:c>
      <x:c r="H4421" s="0" t="s">
        <x:v>20</x:v>
      </x:c>
      <x:c r="I4421" s="0" t="s">
        <x:v>21</x:v>
      </x:c>
      <x:c r="K4421" s="0">
        <x:f>hyperlink("https://icd.who.int/dev11/l-ichi/en#/http%3A%2F%2Fid.who.int%2Ficd%2Fentity%2F177156666","browser")</x:f>
      </x:c>
      <x:c r="L4421" s="0">
        <x:f>hyperlink("https://icat2.azurewebsites.net/icat/?ontology=ICD&amp;tab=ClassesTab&amp;id=http%3A%2F%2Fwho.int%2Ficd%2323330_512ebf36_bf6b_4d70_85da_cf2637062af4","iCat")</x:f>
      </x:c>
      <x:c r="M4421" s="0" t="s">
        <x:v>21</x:v>
      </x:c>
      <x:c r="N4421" s="0" t="s">
        <x:v>46</x:v>
      </x:c>
    </x:row>
    <x:row r="4422" spans="1:16">
      <x:c r="A4422" s="0" t="s">
        <x:v>17532</x:v>
      </x:c>
      <x:c r="B4422" s="0" t="s">
        <x:v>17533</x:v>
      </x:c>
      <x:c r="C4422" s="0" t="s">
        <x:v>17534</x:v>
      </x:c>
      <x:c r="E4422" s="0" t="s">
        <x:v>17535</x:v>
      </x:c>
      <x:c r="F4422" s="0" t="s">
        <x:v>45</x:v>
      </x:c>
      <x:c r="G4422" s="0" t="s">
        <x:v>19</x:v>
      </x:c>
      <x:c r="H4422" s="0" t="s">
        <x:v>20</x:v>
      </x:c>
      <x:c r="I4422" s="0" t="s">
        <x:v>21</x:v>
      </x:c>
      <x:c r="K4422" s="0">
        <x:f>hyperlink("https://icd.who.int/dev11/l-ichi/en#/http%3A%2F%2Fid.who.int%2Ficd%2Fentity%2F2047711671","browser")</x:f>
      </x:c>
      <x:c r="L4422" s="0">
        <x:f>hyperlink("https://icat2.azurewebsites.net/icat/?ontology=ICD&amp;tab=ClassesTab&amp;id=http%3A%2F%2Fwho.int%2Ficd%2323337_512ebf36_bf6b_4d70_85da_cf2637062af4","iCat")</x:f>
      </x:c>
      <x:c r="M4422" s="0" t="s">
        <x:v>21</x:v>
      </x:c>
      <x:c r="N4422" s="0" t="s">
        <x:v>46</x:v>
      </x:c>
    </x:row>
    <x:row r="4423" spans="1:16">
      <x:c r="A4423" s="0" t="s">
        <x:v>17536</x:v>
      </x:c>
      <x:c r="B4423" s="0" t="s">
        <x:v>17537</x:v>
      </x:c>
      <x:c r="C4423" s="0" t="s">
        <x:v>17538</x:v>
      </x:c>
      <x:c r="E4423" s="0" t="s">
        <x:v>17539</x:v>
      </x:c>
      <x:c r="F4423" s="0" t="s">
        <x:v>45</x:v>
      </x:c>
      <x:c r="G4423" s="0" t="s">
        <x:v>19</x:v>
      </x:c>
      <x:c r="H4423" s="0" t="s">
        <x:v>20</x:v>
      </x:c>
      <x:c r="I4423" s="0" t="s">
        <x:v>21</x:v>
      </x:c>
      <x:c r="K4423" s="0">
        <x:f>hyperlink("https://icd.who.int/dev11/l-ichi/en#/http%3A%2F%2Fid.who.int%2Ficd%2Fentity%2F257877332","browser")</x:f>
      </x:c>
      <x:c r="L4423" s="0">
        <x:f>hyperlink("https://icat2.azurewebsites.net/icat/?ontology=ICD&amp;tab=ClassesTab&amp;id=http%3A%2F%2Fwho.int%2Ficd%2323344_512ebf36_bf6b_4d70_85da_cf2637062af4","iCat")</x:f>
      </x:c>
      <x:c r="M4423" s="0" t="s">
        <x:v>21</x:v>
      </x:c>
      <x:c r="N4423" s="0" t="s">
        <x:v>46</x:v>
      </x:c>
    </x:row>
    <x:row r="4424" spans="1:16">
      <x:c r="A4424" s="0" t="s">
        <x:v>17540</x:v>
      </x:c>
      <x:c r="B4424" s="0" t="s">
        <x:v>17541</x:v>
      </x:c>
      <x:c r="C4424" s="0" t="s">
        <x:v>17542</x:v>
      </x:c>
      <x:c r="E4424" s="0" t="s">
        <x:v>17543</x:v>
      </x:c>
      <x:c r="F4424" s="0" t="s">
        <x:v>45</x:v>
      </x:c>
      <x:c r="G4424" s="0" t="s">
        <x:v>19</x:v>
      </x:c>
      <x:c r="H4424" s="0" t="s">
        <x:v>20</x:v>
      </x:c>
      <x:c r="I4424" s="0" t="s">
        <x:v>21</x:v>
      </x:c>
      <x:c r="K4424" s="0">
        <x:f>hyperlink("https://icd.who.int/dev11/l-ichi/en#/http%3A%2F%2Fid.who.int%2Ficd%2Fentity%2F1885718091","browser")</x:f>
      </x:c>
      <x:c r="L4424" s="0">
        <x:f>hyperlink("https://icat2.azurewebsites.net/icat/?ontology=ICD&amp;tab=ClassesTab&amp;id=http%3A%2F%2Fwho.int%2Ficd%2323351_512ebf36_bf6b_4d70_85da_cf2637062af4","iCat")</x:f>
      </x:c>
      <x:c r="M4424" s="0" t="s">
        <x:v>21</x:v>
      </x:c>
      <x:c r="N4424" s="0" t="s">
        <x:v>46</x:v>
      </x:c>
    </x:row>
    <x:row r="4425" spans="1:16">
      <x:c r="A4425" s="0" t="s">
        <x:v>17544</x:v>
      </x:c>
      <x:c r="B4425" s="0" t="s">
        <x:v>17545</x:v>
      </x:c>
      <x:c r="C4425" s="0" t="s">
        <x:v>17546</x:v>
      </x:c>
      <x:c r="E4425" s="0" t="s">
        <x:v>17547</x:v>
      </x:c>
      <x:c r="F4425" s="0" t="s">
        <x:v>45</x:v>
      </x:c>
      <x:c r="G4425" s="0" t="s">
        <x:v>19</x:v>
      </x:c>
      <x:c r="H4425" s="0" t="s">
        <x:v>20</x:v>
      </x:c>
      <x:c r="I4425" s="0" t="s">
        <x:v>21</x:v>
      </x:c>
      <x:c r="K4425" s="0">
        <x:f>hyperlink("https://icd.who.int/dev11/l-ichi/en#/http%3A%2F%2Fid.who.int%2Ficd%2Fentity%2F505267492","browser")</x:f>
      </x:c>
      <x:c r="L4425" s="0">
        <x:f>hyperlink("https://icat2.azurewebsites.net/icat/?ontology=ICD&amp;tab=ClassesTab&amp;id=http%3A%2F%2Fwho.int%2Ficd%2323358_512ebf36_bf6b_4d70_85da_cf2637062af4","iCat")</x:f>
      </x:c>
      <x:c r="M4425" s="0" t="s">
        <x:v>21</x:v>
      </x:c>
      <x:c r="N4425" s="0" t="s">
        <x:v>46</x:v>
      </x:c>
    </x:row>
    <x:row r="4426" spans="1:16">
      <x:c r="A4426" s="0" t="s">
        <x:v>17548</x:v>
      </x:c>
      <x:c r="B4426" s="0" t="s">
        <x:v>17549</x:v>
      </x:c>
      <x:c r="C4426" s="0" t="s">
        <x:v>17550</x:v>
      </x:c>
      <x:c r="E4426" s="0" t="s">
        <x:v>17551</x:v>
      </x:c>
      <x:c r="F4426" s="0" t="s">
        <x:v>45</x:v>
      </x:c>
      <x:c r="G4426" s="0" t="s">
        <x:v>19</x:v>
      </x:c>
      <x:c r="H4426" s="0" t="s">
        <x:v>20</x:v>
      </x:c>
      <x:c r="I4426" s="0" t="s">
        <x:v>21</x:v>
      </x:c>
      <x:c r="K4426" s="0">
        <x:f>hyperlink("https://icd.who.int/dev11/l-ichi/en#/http%3A%2F%2Fid.who.int%2Ficd%2Fentity%2F800802744","browser")</x:f>
      </x:c>
      <x:c r="L4426" s="0">
        <x:f>hyperlink("https://icat2.azurewebsites.net/icat/?ontology=ICD&amp;tab=ClassesTab&amp;id=http%3A%2F%2Fwho.int%2Ficd%2315922_4869915e_217e_423d_acb3_33c0f920ef4b","iCat")</x:f>
      </x:c>
      <x:c r="M4426" s="0" t="s">
        <x:v>21</x:v>
      </x:c>
      <x:c r="N4426" s="0" t="s">
        <x:v>46</x:v>
      </x:c>
    </x:row>
    <x:row r="4427" spans="1:16">
      <x:c r="A4427" s="0" t="s">
        <x:v>17552</x:v>
      </x:c>
      <x:c r="B4427" s="0" t="s">
        <x:v>17553</x:v>
      </x:c>
      <x:c r="C4427" s="0" t="s">
        <x:v>17554</x:v>
      </x:c>
      <x:c r="E4427" s="0" t="s">
        <x:v>17555</x:v>
      </x:c>
      <x:c r="F4427" s="0" t="s">
        <x:v>45</x:v>
      </x:c>
      <x:c r="G4427" s="0" t="s">
        <x:v>19</x:v>
      </x:c>
      <x:c r="H4427" s="0" t="s">
        <x:v>20</x:v>
      </x:c>
      <x:c r="I4427" s="0" t="s">
        <x:v>21</x:v>
      </x:c>
      <x:c r="K4427" s="0">
        <x:f>hyperlink("https://icd.who.int/dev11/l-ichi/en#/http%3A%2F%2Fid.who.int%2Ficd%2Fentity%2F1079389633","browser")</x:f>
      </x:c>
      <x:c r="L4427" s="0">
        <x:f>hyperlink("https://icat2.azurewebsites.net/icat/?ontology=ICD&amp;tab=ClassesTab&amp;id=http%3A%2F%2Fwho.int%2Ficd%2323366_512ebf36_bf6b_4d70_85da_cf2637062af4","iCat")</x:f>
      </x:c>
      <x:c r="M4427" s="0" t="s">
        <x:v>21</x:v>
      </x:c>
      <x:c r="N4427" s="0" t="s">
        <x:v>46</x:v>
      </x:c>
    </x:row>
    <x:row r="4428" spans="1:16">
      <x:c r="A4428" s="0" t="s">
        <x:v>17556</x:v>
      </x:c>
      <x:c r="B4428" s="0" t="s">
        <x:v>17557</x:v>
      </x:c>
      <x:c r="C4428" s="0" t="s">
        <x:v>17558</x:v>
      </x:c>
      <x:c r="E4428" s="0" t="s">
        <x:v>17559</x:v>
      </x:c>
      <x:c r="F4428" s="0" t="s">
        <x:v>45</x:v>
      </x:c>
      <x:c r="G4428" s="0" t="s">
        <x:v>19</x:v>
      </x:c>
      <x:c r="H4428" s="0" t="s">
        <x:v>20</x:v>
      </x:c>
      <x:c r="I4428" s="0" t="s">
        <x:v>21</x:v>
      </x:c>
      <x:c r="K4428" s="0">
        <x:f>hyperlink("https://icd.who.int/dev11/l-ichi/en#/http%3A%2F%2Fid.who.int%2Ficd%2Fentity%2F1341105491","browser")</x:f>
      </x:c>
      <x:c r="L4428" s="0">
        <x:f>hyperlink("https://icat2.azurewebsites.net/icat/?ontology=ICD&amp;tab=ClassesTab&amp;id=http%3A%2F%2Fwho.int%2Ficd%2323374_512ebf36_bf6b_4d70_85da_cf2637062af4","iCat")</x:f>
      </x:c>
      <x:c r="M4428" s="0" t="s">
        <x:v>21</x:v>
      </x:c>
      <x:c r="N4428" s="0" t="s">
        <x:v>46</x:v>
      </x:c>
    </x:row>
    <x:row r="4429" spans="1:16">
      <x:c r="A4429" s="0" t="s">
        <x:v>17560</x:v>
      </x:c>
      <x:c r="B4429" s="0" t="s">
        <x:v>17561</x:v>
      </x:c>
      <x:c r="C4429" s="0" t="s">
        <x:v>17562</x:v>
      </x:c>
      <x:c r="E4429" s="0" t="s">
        <x:v>17563</x:v>
      </x:c>
      <x:c r="F4429" s="0" t="s">
        <x:v>45</x:v>
      </x:c>
      <x:c r="G4429" s="0" t="s">
        <x:v>19</x:v>
      </x:c>
      <x:c r="H4429" s="0" t="s">
        <x:v>20</x:v>
      </x:c>
      <x:c r="I4429" s="0" t="s">
        <x:v>21</x:v>
      </x:c>
      <x:c r="K4429" s="0">
        <x:f>hyperlink("https://icd.who.int/dev11/l-ichi/en#/http%3A%2F%2Fid.who.int%2Ficd%2Fentity%2F1979079109","browser")</x:f>
      </x:c>
      <x:c r="L4429" s="0">
        <x:f>hyperlink("https://icat2.azurewebsites.net/icat/?ontology=ICD&amp;tab=ClassesTab&amp;id=http%3A%2F%2Fwho.int%2Ficd%2323381_512ebf36_bf6b_4d70_85da_cf2637062af4","iCat")</x:f>
      </x:c>
      <x:c r="M4429" s="0" t="s">
        <x:v>21</x:v>
      </x:c>
      <x:c r="N4429" s="0" t="s">
        <x:v>46</x:v>
      </x:c>
    </x:row>
    <x:row r="4430" spans="1:16">
      <x:c r="A4430" s="0" t="s">
        <x:v>17564</x:v>
      </x:c>
      <x:c r="B4430" s="0" t="s">
        <x:v>17565</x:v>
      </x:c>
      <x:c r="C4430" s="0" t="s">
        <x:v>17566</x:v>
      </x:c>
      <x:c r="E4430" s="0" t="s">
        <x:v>17567</x:v>
      </x:c>
      <x:c r="F4430" s="0" t="s">
        <x:v>45</x:v>
      </x:c>
      <x:c r="G4430" s="0" t="s">
        <x:v>19</x:v>
      </x:c>
      <x:c r="H4430" s="0" t="s">
        <x:v>20</x:v>
      </x:c>
      <x:c r="I4430" s="0" t="s">
        <x:v>21</x:v>
      </x:c>
      <x:c r="K4430" s="0">
        <x:f>hyperlink("https://icd.who.int/dev11/l-ichi/en#/http%3A%2F%2Fid.who.int%2Ficd%2Fentity%2F462314156","browser")</x:f>
      </x:c>
      <x:c r="L4430" s="0">
        <x:f>hyperlink("https://icat2.azurewebsites.net/icat/?ontology=ICD&amp;tab=ClassesTab&amp;id=http%3A%2F%2Fwho.int%2Ficd%2323388_512ebf36_bf6b_4d70_85da_cf2637062af4","iCat")</x:f>
      </x:c>
      <x:c r="M4430" s="0" t="s">
        <x:v>21</x:v>
      </x:c>
      <x:c r="N4430" s="0" t="s">
        <x:v>46</x:v>
      </x:c>
    </x:row>
    <x:row r="4431" spans="1:16">
      <x:c r="A4431" s="0" t="s">
        <x:v>17568</x:v>
      </x:c>
      <x:c r="B4431" s="0" t="s">
        <x:v>17569</x:v>
      </x:c>
      <x:c r="C4431" s="0" t="s">
        <x:v>17570</x:v>
      </x:c>
      <x:c r="E4431" s="0" t="s">
        <x:v>17571</x:v>
      </x:c>
      <x:c r="F4431" s="0" t="s">
        <x:v>45</x:v>
      </x:c>
      <x:c r="G4431" s="0" t="s">
        <x:v>19</x:v>
      </x:c>
      <x:c r="H4431" s="0" t="s">
        <x:v>20</x:v>
      </x:c>
      <x:c r="I4431" s="0" t="s">
        <x:v>21</x:v>
      </x:c>
      <x:c r="K4431" s="0">
        <x:f>hyperlink("https://icd.who.int/dev11/l-ichi/en#/http%3A%2F%2Fid.who.int%2Ficd%2Fentity%2F181238492","browser")</x:f>
      </x:c>
      <x:c r="L4431" s="0">
        <x:f>hyperlink("https://icat2.azurewebsites.net/icat/?ontology=ICD&amp;tab=ClassesTab&amp;id=http%3A%2F%2Fwho.int%2Ficd%2323394_512ebf36_bf6b_4d70_85da_cf2637062af4","iCat")</x:f>
      </x:c>
      <x:c r="M4431" s="0" t="s">
        <x:v>21</x:v>
      </x:c>
      <x:c r="N4431" s="0" t="s">
        <x:v>46</x:v>
      </x:c>
    </x:row>
    <x:row r="4432" spans="1:16">
      <x:c r="A4432" s="0" t="s">
        <x:v>17572</x:v>
      </x:c>
      <x:c r="B4432" s="0" t="s">
        <x:v>17573</x:v>
      </x:c>
      <x:c r="C4432" s="0" t="s">
        <x:v>17574</x:v>
      </x:c>
      <x:c r="E4432" s="0" t="s">
        <x:v>17575</x:v>
      </x:c>
      <x:c r="F4432" s="0" t="s">
        <x:v>45</x:v>
      </x:c>
      <x:c r="G4432" s="0" t="s">
        <x:v>19</x:v>
      </x:c>
      <x:c r="H4432" s="0" t="s">
        <x:v>20</x:v>
      </x:c>
      <x:c r="I4432" s="0" t="s">
        <x:v>21</x:v>
      </x:c>
      <x:c r="K4432" s="0">
        <x:f>hyperlink("https://icd.who.int/dev11/l-ichi/en#/http%3A%2F%2Fid.who.int%2Ficd%2Fentity%2F110536813","browser")</x:f>
      </x:c>
      <x:c r="L4432" s="0">
        <x:f>hyperlink("https://icat2.azurewebsites.net/icat/?ontology=ICD&amp;tab=ClassesTab&amp;id=http%3A%2F%2Fwho.int%2Ficd%2323401_512ebf36_bf6b_4d70_85da_cf2637062af4","iCat")</x:f>
      </x:c>
      <x:c r="M4432" s="0" t="s">
        <x:v>21</x:v>
      </x:c>
      <x:c r="N4432" s="0" t="s">
        <x:v>46</x:v>
      </x:c>
    </x:row>
    <x:row r="4433" spans="1:16">
      <x:c r="A4433" s="0" t="s">
        <x:v>17576</x:v>
      </x:c>
      <x:c r="B4433" s="0" t="s">
        <x:v>17577</x:v>
      </x:c>
      <x:c r="C4433" s="0" t="s">
        <x:v>17578</x:v>
      </x:c>
      <x:c r="E4433" s="0" t="s">
        <x:v>17579</x:v>
      </x:c>
      <x:c r="F4433" s="0" t="s">
        <x:v>45</x:v>
      </x:c>
      <x:c r="G4433" s="0" t="s">
        <x:v>19</x:v>
      </x:c>
      <x:c r="H4433" s="0" t="s">
        <x:v>20</x:v>
      </x:c>
      <x:c r="I4433" s="0" t="s">
        <x:v>21</x:v>
      </x:c>
      <x:c r="K4433" s="0">
        <x:f>hyperlink("https://icd.who.int/dev11/l-ichi/en#/http%3A%2F%2Fid.who.int%2Ficd%2Fentity%2F1458401756","browser")</x:f>
      </x:c>
      <x:c r="L4433" s="0">
        <x:f>hyperlink("https://icat2.azurewebsites.net/icat/?ontology=ICD&amp;tab=ClassesTab&amp;id=http%3A%2F%2Fwho.int%2Ficd%2323407_512ebf36_bf6b_4d70_85da_cf2637062af4","iCat")</x:f>
      </x:c>
      <x:c r="M4433" s="0" t="s">
        <x:v>21</x:v>
      </x:c>
      <x:c r="N4433" s="0" t="s">
        <x:v>46</x:v>
      </x:c>
    </x:row>
    <x:row r="4434" spans="1:16">
      <x:c r="A4434" s="0" t="s">
        <x:v>17580</x:v>
      </x:c>
      <x:c r="B4434" s="0" t="s">
        <x:v>17581</x:v>
      </x:c>
      <x:c r="C4434" s="0" t="s">
        <x:v>17582</x:v>
      </x:c>
      <x:c r="E4434" s="0" t="s">
        <x:v>17583</x:v>
      </x:c>
      <x:c r="F4434" s="0" t="s">
        <x:v>45</x:v>
      </x:c>
      <x:c r="G4434" s="0" t="s">
        <x:v>19</x:v>
      </x:c>
      <x:c r="H4434" s="0" t="s">
        <x:v>20</x:v>
      </x:c>
      <x:c r="I4434" s="0" t="s">
        <x:v>21</x:v>
      </x:c>
      <x:c r="K4434" s="0">
        <x:f>hyperlink("https://icd.who.int/dev11/l-ichi/en#/http%3A%2F%2Fid.who.int%2Ficd%2Fentity%2F2041416564","browser")</x:f>
      </x:c>
      <x:c r="L4434" s="0">
        <x:f>hyperlink("https://icat2.azurewebsites.net/icat/?ontology=ICD&amp;tab=ClassesTab&amp;id=http%3A%2F%2Fwho.int%2Ficd%2323414_512ebf36_bf6b_4d70_85da_cf2637062af4","iCat")</x:f>
      </x:c>
      <x:c r="M4434" s="0" t="s">
        <x:v>21</x:v>
      </x:c>
      <x:c r="N4434" s="0" t="s">
        <x:v>46</x:v>
      </x:c>
    </x:row>
    <x:row r="4435" spans="1:16">
      <x:c r="A4435" s="0" t="s">
        <x:v>17584</x:v>
      </x:c>
      <x:c r="B4435" s="0" t="s">
        <x:v>17585</x:v>
      </x:c>
      <x:c r="C4435" s="0" t="s">
        <x:v>17586</x:v>
      </x:c>
      <x:c r="E4435" s="0" t="s">
        <x:v>17587</x:v>
      </x:c>
      <x:c r="F4435" s="0" t="s">
        <x:v>45</x:v>
      </x:c>
      <x:c r="G4435" s="0" t="s">
        <x:v>19</x:v>
      </x:c>
      <x:c r="H4435" s="0" t="s">
        <x:v>20</x:v>
      </x:c>
      <x:c r="I4435" s="0" t="s">
        <x:v>21</x:v>
      </x:c>
      <x:c r="K4435" s="0">
        <x:f>hyperlink("https://icd.who.int/dev11/l-ichi/en#/http%3A%2F%2Fid.who.int%2Ficd%2Fentity%2F753040701","browser")</x:f>
      </x:c>
      <x:c r="L4435" s="0">
        <x:f>hyperlink("https://icat2.azurewebsites.net/icat/?ontology=ICD&amp;tab=ClassesTab&amp;id=http%3A%2F%2Fwho.int%2Ficd%2323421_512ebf36_bf6b_4d70_85da_cf2637062af4","iCat")</x:f>
      </x:c>
      <x:c r="M4435" s="0" t="s">
        <x:v>21</x:v>
      </x:c>
      <x:c r="N4435" s="0" t="s">
        <x:v>46</x:v>
      </x:c>
    </x:row>
    <x:row r="4436" spans="1:16">
      <x:c r="A4436" s="0" t="s">
        <x:v>17588</x:v>
      </x:c>
      <x:c r="B4436" s="0" t="s">
        <x:v>17589</x:v>
      </x:c>
      <x:c r="C4436" s="0" t="s">
        <x:v>17590</x:v>
      </x:c>
      <x:c r="E4436" s="0" t="s">
        <x:v>17591</x:v>
      </x:c>
      <x:c r="F4436" s="0" t="s">
        <x:v>45</x:v>
      </x:c>
      <x:c r="G4436" s="0" t="s">
        <x:v>19</x:v>
      </x:c>
      <x:c r="H4436" s="0" t="s">
        <x:v>20</x:v>
      </x:c>
      <x:c r="I4436" s="0" t="s">
        <x:v>21</x:v>
      </x:c>
      <x:c r="K4436" s="0">
        <x:f>hyperlink("https://icd.who.int/dev11/l-ichi/en#/http%3A%2F%2Fid.who.int%2Ficd%2Fentity%2F2090443918","browser")</x:f>
      </x:c>
      <x:c r="L4436" s="0">
        <x:f>hyperlink("https://icat2.azurewebsites.net/icat/?ontology=ICD&amp;tab=ClassesTab&amp;id=http%3A%2F%2Fwho.int%2Ficd%2323427_512ebf36_bf6b_4d70_85da_cf2637062af4","iCat")</x:f>
      </x:c>
      <x:c r="M4436" s="0" t="s">
        <x:v>21</x:v>
      </x:c>
      <x:c r="N4436" s="0" t="s">
        <x:v>46</x:v>
      </x:c>
    </x:row>
    <x:row r="4437" spans="1:16">
      <x:c r="A4437" s="0" t="s">
        <x:v>17592</x:v>
      </x:c>
      <x:c r="B4437" s="0" t="s">
        <x:v>17593</x:v>
      </x:c>
      <x:c r="C4437" s="0" t="s">
        <x:v>17594</x:v>
      </x:c>
      <x:c r="E4437" s="0" t="s">
        <x:v>17595</x:v>
      </x:c>
      <x:c r="F4437" s="0" t="s">
        <x:v>45</x:v>
      </x:c>
      <x:c r="G4437" s="0" t="s">
        <x:v>19</x:v>
      </x:c>
      <x:c r="H4437" s="0" t="s">
        <x:v>20</x:v>
      </x:c>
      <x:c r="I4437" s="0" t="s">
        <x:v>21</x:v>
      </x:c>
      <x:c r="K4437" s="0">
        <x:f>hyperlink("https://icd.who.int/dev11/l-ichi/en#/http%3A%2F%2Fid.who.int%2Ficd%2Fentity%2F593229231","browser")</x:f>
      </x:c>
      <x:c r="L4437" s="0">
        <x:f>hyperlink("https://icat2.azurewebsites.net/icat/?ontology=ICD&amp;tab=ClassesTab&amp;id=http%3A%2F%2Fwho.int%2Ficd%2323433_512ebf36_bf6b_4d70_85da_cf2637062af4","iCat")</x:f>
      </x:c>
      <x:c r="M4437" s="0" t="s">
        <x:v>21</x:v>
      </x:c>
      <x:c r="N4437" s="0" t="s">
        <x:v>46</x:v>
      </x:c>
    </x:row>
    <x:row r="4438" spans="1:16">
      <x:c r="A4438" s="0" t="s">
        <x:v>17596</x:v>
      </x:c>
      <x:c r="B4438" s="0" t="s">
        <x:v>17597</x:v>
      </x:c>
      <x:c r="C4438" s="0" t="s">
        <x:v>17598</x:v>
      </x:c>
      <x:c r="E4438" s="0" t="s">
        <x:v>17599</x:v>
      </x:c>
      <x:c r="F4438" s="0" t="s">
        <x:v>45</x:v>
      </x:c>
      <x:c r="G4438" s="0" t="s">
        <x:v>19</x:v>
      </x:c>
      <x:c r="H4438" s="0" t="s">
        <x:v>20</x:v>
      </x:c>
      <x:c r="I4438" s="0" t="s">
        <x:v>21</x:v>
      </x:c>
      <x:c r="K4438" s="0">
        <x:f>hyperlink("https://icd.who.int/dev11/l-ichi/en#/http%3A%2F%2Fid.who.int%2Ficd%2Fentity%2F1443400012","browser")</x:f>
      </x:c>
      <x:c r="L4438" s="0">
        <x:f>hyperlink("https://icat2.azurewebsites.net/icat/?ontology=ICD&amp;tab=ClassesTab&amp;id=http%3A%2F%2Fwho.int%2Ficd%2323440_512ebf36_bf6b_4d70_85da_cf2637062af4","iCat")</x:f>
      </x:c>
      <x:c r="M4438" s="0" t="s">
        <x:v>21</x:v>
      </x:c>
      <x:c r="N4438" s="0" t="s">
        <x:v>46</x:v>
      </x:c>
    </x:row>
    <x:row r="4439" spans="1:16">
      <x:c r="A4439" s="0" t="s">
        <x:v>17600</x:v>
      </x:c>
      <x:c r="B4439" s="0" t="s">
        <x:v>17601</x:v>
      </x:c>
      <x:c r="C4439" s="0" t="s">
        <x:v>17602</x:v>
      </x:c>
      <x:c r="E4439" s="0" t="s">
        <x:v>17603</x:v>
      </x:c>
      <x:c r="F4439" s="0" t="s">
        <x:v>45</x:v>
      </x:c>
      <x:c r="G4439" s="0" t="s">
        <x:v>19</x:v>
      </x:c>
      <x:c r="H4439" s="0" t="s">
        <x:v>20</x:v>
      </x:c>
      <x:c r="I4439" s="0" t="s">
        <x:v>21</x:v>
      </x:c>
      <x:c r="K4439" s="0">
        <x:f>hyperlink("https://icd.who.int/dev11/l-ichi/en#/http%3A%2F%2Fid.who.int%2Ficd%2Fentity%2F108220669","browser")</x:f>
      </x:c>
      <x:c r="L4439" s="0">
        <x:f>hyperlink("https://icat2.azurewebsites.net/icat/?ontology=ICD&amp;tab=ClassesTab&amp;id=http%3A%2F%2Fwho.int%2Ficd%2323446_512ebf36_bf6b_4d70_85da_cf2637062af4","iCat")</x:f>
      </x:c>
      <x:c r="M4439" s="0" t="s">
        <x:v>21</x:v>
      </x:c>
      <x:c r="N4439" s="0" t="s">
        <x:v>46</x:v>
      </x:c>
    </x:row>
    <x:row r="4440" spans="1:16">
      <x:c r="A4440" s="0" t="s">
        <x:v>17604</x:v>
      </x:c>
      <x:c r="B4440" s="0" t="s">
        <x:v>17605</x:v>
      </x:c>
      <x:c r="C4440" s="0" t="s">
        <x:v>17606</x:v>
      </x:c>
      <x:c r="E4440" s="0" t="s">
        <x:v>17607</x:v>
      </x:c>
      <x:c r="F4440" s="0" t="s">
        <x:v>45</x:v>
      </x:c>
      <x:c r="G4440" s="0" t="s">
        <x:v>19</x:v>
      </x:c>
      <x:c r="H4440" s="0" t="s">
        <x:v>20</x:v>
      </x:c>
      <x:c r="I4440" s="0" t="s">
        <x:v>21</x:v>
      </x:c>
      <x:c r="K4440" s="0">
        <x:f>hyperlink("https://icd.who.int/dev11/l-ichi/en#/http%3A%2F%2Fid.who.int%2Ficd%2Fentity%2F2034791396","browser")</x:f>
      </x:c>
      <x:c r="L4440" s="0">
        <x:f>hyperlink("https://icat2.azurewebsites.net/icat/?ontology=ICD&amp;tab=ClassesTab&amp;id=http%3A%2F%2Fwho.int%2Ficd%2323453_512ebf36_bf6b_4d70_85da_cf2637062af4","iCat")</x:f>
      </x:c>
      <x:c r="M4440" s="0" t="s">
        <x:v>21</x:v>
      </x:c>
      <x:c r="N4440" s="0" t="s">
        <x:v>46</x:v>
      </x:c>
    </x:row>
    <x:row r="4441" spans="1:16">
      <x:c r="A4441" s="0" t="s">
        <x:v>17608</x:v>
      </x:c>
      <x:c r="B4441" s="0" t="s">
        <x:v>17609</x:v>
      </x:c>
      <x:c r="C4441" s="0" t="s">
        <x:v>17610</x:v>
      </x:c>
      <x:c r="E4441" s="0" t="s">
        <x:v>17611</x:v>
      </x:c>
      <x:c r="F4441" s="0" t="s">
        <x:v>45</x:v>
      </x:c>
      <x:c r="G4441" s="0" t="s">
        <x:v>19</x:v>
      </x:c>
      <x:c r="H4441" s="0" t="s">
        <x:v>20</x:v>
      </x:c>
      <x:c r="I4441" s="0" t="s">
        <x:v>21</x:v>
      </x:c>
      <x:c r="K4441" s="0">
        <x:f>hyperlink("https://icd.who.int/dev11/l-ichi/en#/http%3A%2F%2Fid.who.int%2Ficd%2Fentity%2F419447257","browser")</x:f>
      </x:c>
      <x:c r="L4441" s="0">
        <x:f>hyperlink("https://icat2.azurewebsites.net/icat/?ontology=ICD&amp;tab=ClassesTab&amp;id=http%3A%2F%2Fwho.int%2Ficd%2323462_512ebf36_bf6b_4d70_85da_cf2637062af4","iCat")</x:f>
      </x:c>
      <x:c r="M4441" s="0" t="s">
        <x:v>21</x:v>
      </x:c>
      <x:c r="N4441" s="0" t="s">
        <x:v>46</x:v>
      </x:c>
    </x:row>
    <x:row r="4442" spans="1:16">
      <x:c r="A4442" s="0" t="s">
        <x:v>17612</x:v>
      </x:c>
      <x:c r="B4442" s="0" t="s">
        <x:v>17613</x:v>
      </x:c>
      <x:c r="C4442" s="0" t="s">
        <x:v>17614</x:v>
      </x:c>
      <x:c r="E4442" s="0" t="s">
        <x:v>17615</x:v>
      </x:c>
      <x:c r="F4442" s="0" t="s">
        <x:v>45</x:v>
      </x:c>
      <x:c r="G4442" s="0" t="s">
        <x:v>19</x:v>
      </x:c>
      <x:c r="H4442" s="0" t="s">
        <x:v>20</x:v>
      </x:c>
      <x:c r="I4442" s="0" t="s">
        <x:v>21</x:v>
      </x:c>
      <x:c r="K4442" s="0">
        <x:f>hyperlink("https://icd.who.int/dev11/l-ichi/en#/http%3A%2F%2Fid.who.int%2Ficd%2Fentity%2F855453001","browser")</x:f>
      </x:c>
      <x:c r="L4442" s="0">
        <x:f>hyperlink("https://icat2.azurewebsites.net/icat/?ontology=ICD&amp;tab=ClassesTab&amp;id=http%3A%2F%2Fwho.int%2Ficd%2323468_512ebf36_bf6b_4d70_85da_cf2637062af4","iCat")</x:f>
      </x:c>
      <x:c r="M4442" s="0" t="s">
        <x:v>21</x:v>
      </x:c>
      <x:c r="N4442" s="0" t="s">
        <x:v>46</x:v>
      </x:c>
    </x:row>
    <x:row r="4443" spans="1:16">
      <x:c r="A4443" s="0" t="s">
        <x:v>17616</x:v>
      </x:c>
      <x:c r="B4443" s="0" t="s">
        <x:v>17617</x:v>
      </x:c>
      <x:c r="C4443" s="0" t="s">
        <x:v>17618</x:v>
      </x:c>
      <x:c r="E4443" s="0" t="s">
        <x:v>17619</x:v>
      </x:c>
      <x:c r="F4443" s="0" t="s">
        <x:v>45</x:v>
      </x:c>
      <x:c r="G4443" s="0" t="s">
        <x:v>19</x:v>
      </x:c>
      <x:c r="H4443" s="0" t="s">
        <x:v>20</x:v>
      </x:c>
      <x:c r="I4443" s="0" t="s">
        <x:v>21</x:v>
      </x:c>
      <x:c r="K4443" s="0">
        <x:f>hyperlink("https://icd.who.int/dev11/l-ichi/en#/http%3A%2F%2Fid.who.int%2Ficd%2Fentity%2F55017219","browser")</x:f>
      </x:c>
      <x:c r="L4443" s="0">
        <x:f>hyperlink("https://icat2.azurewebsites.net/icat/?ontology=ICD&amp;tab=ClassesTab&amp;id=http%3A%2F%2Fwho.int%2Ficd%2323475_512ebf36_bf6b_4d70_85da_cf2637062af4","iCat")</x:f>
      </x:c>
      <x:c r="M4443" s="0" t="s">
        <x:v>21</x:v>
      </x:c>
      <x:c r="N4443" s="0" t="s">
        <x:v>46</x:v>
      </x:c>
    </x:row>
    <x:row r="4444" spans="1:16">
      <x:c r="A4444" s="0" t="s">
        <x:v>17620</x:v>
      </x:c>
      <x:c r="B4444" s="0" t="s">
        <x:v>17621</x:v>
      </x:c>
      <x:c r="C4444" s="0" t="s">
        <x:v>17622</x:v>
      </x:c>
      <x:c r="E4444" s="0" t="s">
        <x:v>17623</x:v>
      </x:c>
      <x:c r="F4444" s="0" t="s">
        <x:v>45</x:v>
      </x:c>
      <x:c r="G4444" s="0" t="s">
        <x:v>19</x:v>
      </x:c>
      <x:c r="H4444" s="0" t="s">
        <x:v>20</x:v>
      </x:c>
      <x:c r="I4444" s="0" t="s">
        <x:v>21</x:v>
      </x:c>
      <x:c r="K4444" s="0">
        <x:f>hyperlink("https://icd.who.int/dev11/l-ichi/en#/http%3A%2F%2Fid.who.int%2Ficd%2Fentity%2F1545772626","browser")</x:f>
      </x:c>
      <x:c r="L4444" s="0">
        <x:f>hyperlink("https://icat2.azurewebsites.net/icat/?ontology=ICD&amp;tab=ClassesTab&amp;id=http%3A%2F%2Fwho.int%2Ficd%2323482_512ebf36_bf6b_4d70_85da_cf2637062af4","iCat")</x:f>
      </x:c>
      <x:c r="M4444" s="0" t="s">
        <x:v>21</x:v>
      </x:c>
      <x:c r="N4444" s="0" t="s">
        <x:v>46</x:v>
      </x:c>
    </x:row>
    <x:row r="4445" spans="1:16">
      <x:c r="A4445" s="0" t="s">
        <x:v>17624</x:v>
      </x:c>
      <x:c r="B4445" s="0" t="s">
        <x:v>17625</x:v>
      </x:c>
      <x:c r="C4445" s="0" t="s">
        <x:v>17626</x:v>
      </x:c>
      <x:c r="E4445" s="0" t="s">
        <x:v>17627</x:v>
      </x:c>
      <x:c r="F4445" s="0" t="s">
        <x:v>45</x:v>
      </x:c>
      <x:c r="G4445" s="0" t="s">
        <x:v>19</x:v>
      </x:c>
      <x:c r="H4445" s="0" t="s">
        <x:v>20</x:v>
      </x:c>
      <x:c r="I4445" s="0" t="s">
        <x:v>21</x:v>
      </x:c>
      <x:c r="K4445" s="0">
        <x:f>hyperlink("https://icd.who.int/dev11/l-ichi/en#/http%3A%2F%2Fid.who.int%2Ficd%2Fentity%2F1462141180","browser")</x:f>
      </x:c>
      <x:c r="L4445" s="0">
        <x:f>hyperlink("https://icat2.azurewebsites.net/icat/?ontology=ICD&amp;tab=ClassesTab&amp;id=http%3A%2F%2Fwho.int%2Ficd%2323489_512ebf36_bf6b_4d70_85da_cf2637062af4","iCat")</x:f>
      </x:c>
      <x:c r="M4445" s="0" t="s">
        <x:v>21</x:v>
      </x:c>
      <x:c r="N4445" s="0" t="s">
        <x:v>46</x:v>
      </x:c>
    </x:row>
    <x:row r="4446" spans="1:16">
      <x:c r="A4446" s="0" t="s">
        <x:v>17628</x:v>
      </x:c>
      <x:c r="B4446" s="0" t="s">
        <x:v>17629</x:v>
      </x:c>
      <x:c r="C4446" s="0" t="s">
        <x:v>17630</x:v>
      </x:c>
      <x:c r="E4446" s="0" t="s">
        <x:v>17631</x:v>
      </x:c>
      <x:c r="F4446" s="0" t="s">
        <x:v>45</x:v>
      </x:c>
      <x:c r="G4446" s="0" t="s">
        <x:v>19</x:v>
      </x:c>
      <x:c r="H4446" s="0" t="s">
        <x:v>20</x:v>
      </x:c>
      <x:c r="I4446" s="0" t="s">
        <x:v>21</x:v>
      </x:c>
      <x:c r="K4446" s="0">
        <x:f>hyperlink("https://icd.who.int/dev11/l-ichi/en#/http%3A%2F%2Fid.who.int%2Ficd%2Fentity%2F1181065356","browser")</x:f>
      </x:c>
      <x:c r="L4446" s="0">
        <x:f>hyperlink("https://icat2.azurewebsites.net/icat/?ontology=ICD&amp;tab=ClassesTab&amp;id=http%3A%2F%2Fwho.int%2Ficd%2323495_512ebf36_bf6b_4d70_85da_cf2637062af4","iCat")</x:f>
      </x:c>
      <x:c r="M4446" s="0" t="s">
        <x:v>21</x:v>
      </x:c>
      <x:c r="N4446" s="0" t="s">
        <x:v>46</x:v>
      </x:c>
    </x:row>
    <x:row r="4447" spans="1:16">
      <x:c r="A4447" s="0" t="s">
        <x:v>17632</x:v>
      </x:c>
      <x:c r="B4447" s="0" t="s">
        <x:v>17633</x:v>
      </x:c>
      <x:c r="C4447" s="0" t="s">
        <x:v>17634</x:v>
      </x:c>
      <x:c r="E4447" s="0" t="s">
        <x:v>17635</x:v>
      </x:c>
      <x:c r="F4447" s="0" t="s">
        <x:v>45</x:v>
      </x:c>
      <x:c r="G4447" s="0" t="s">
        <x:v>19</x:v>
      </x:c>
      <x:c r="H4447" s="0" t="s">
        <x:v>20</x:v>
      </x:c>
      <x:c r="I4447" s="0" t="s">
        <x:v>21</x:v>
      </x:c>
      <x:c r="K4447" s="0">
        <x:f>hyperlink("https://icd.who.int/dev11/l-ichi/en#/http%3A%2F%2Fid.who.int%2Ficd%2Fentity%2F1929998066","browser")</x:f>
      </x:c>
      <x:c r="L4447" s="0">
        <x:f>hyperlink("https://icat2.azurewebsites.net/icat/?ontology=ICD&amp;tab=ClassesTab&amp;id=http%3A%2F%2Fwho.int%2Ficd%2323501_512ebf36_bf6b_4d70_85da_cf2637062af4","iCat")</x:f>
      </x:c>
      <x:c r="M4447" s="0" t="s">
        <x:v>21</x:v>
      </x:c>
      <x:c r="N4447" s="0" t="s">
        <x:v>46</x:v>
      </x:c>
    </x:row>
    <x:row r="4448" spans="1:16">
      <x:c r="A4448" s="0" t="s">
        <x:v>17636</x:v>
      </x:c>
      <x:c r="B4448" s="0" t="s">
        <x:v>17637</x:v>
      </x:c>
      <x:c r="C4448" s="0" t="s">
        <x:v>17638</x:v>
      </x:c>
      <x:c r="E4448" s="0" t="s">
        <x:v>17639</x:v>
      </x:c>
      <x:c r="F4448" s="0" t="s">
        <x:v>45</x:v>
      </x:c>
      <x:c r="G4448" s="0" t="s">
        <x:v>19</x:v>
      </x:c>
      <x:c r="H4448" s="0" t="s">
        <x:v>20</x:v>
      </x:c>
      <x:c r="I4448" s="0" t="s">
        <x:v>21</x:v>
      </x:c>
      <x:c r="K4448" s="0">
        <x:f>hyperlink("https://icd.who.int/dev11/l-ichi/en#/http%3A%2F%2Fid.who.int%2Ficd%2Fentity%2F594720577","browser")</x:f>
      </x:c>
      <x:c r="L4448" s="0">
        <x:f>hyperlink("https://icat2.azurewebsites.net/icat/?ontology=ICD&amp;tab=ClassesTab&amp;id=http%3A%2F%2Fwho.int%2Ficd%2323507_512ebf36_bf6b_4d70_85da_cf2637062af4","iCat")</x:f>
      </x:c>
      <x:c r="M4448" s="0" t="s">
        <x:v>21</x:v>
      </x:c>
      <x:c r="N4448" s="0" t="s">
        <x:v>46</x:v>
      </x:c>
    </x:row>
    <x:row r="4449" spans="1:16">
      <x:c r="A4449" s="0" t="s">
        <x:v>17640</x:v>
      </x:c>
      <x:c r="B4449" s="0" t="s">
        <x:v>17641</x:v>
      </x:c>
      <x:c r="C4449" s="0" t="s">
        <x:v>17642</x:v>
      </x:c>
      <x:c r="E4449" s="0" t="s">
        <x:v>17643</x:v>
      </x:c>
      <x:c r="F4449" s="0" t="s">
        <x:v>45</x:v>
      </x:c>
      <x:c r="G4449" s="0" t="s">
        <x:v>19</x:v>
      </x:c>
      <x:c r="H4449" s="0" t="s">
        <x:v>20</x:v>
      </x:c>
      <x:c r="I4449" s="0" t="s">
        <x:v>21</x:v>
      </x:c>
      <x:c r="K4449" s="0">
        <x:f>hyperlink("https://icd.who.int/dev11/l-ichi/en#/http%3A%2F%2Fid.who.int%2Ficd%2Fentity%2F204623343","browser")</x:f>
      </x:c>
      <x:c r="L4449" s="0">
        <x:f>hyperlink("https://icat2.azurewebsites.net/icat/?ontology=ICD&amp;tab=ClassesTab&amp;id=http%3A%2F%2Fwho.int%2Ficd%2323514_512ebf36_bf6b_4d70_85da_cf2637062af4","iCat")</x:f>
      </x:c>
      <x:c r="M4449" s="0" t="s">
        <x:v>21</x:v>
      </x:c>
      <x:c r="N4449" s="0" t="s">
        <x:v>46</x:v>
      </x:c>
    </x:row>
    <x:row r="4450" spans="1:16">
      <x:c r="A4450" s="0" t="s">
        <x:v>17644</x:v>
      </x:c>
      <x:c r="B4450" s="0" t="s">
        <x:v>17645</x:v>
      </x:c>
      <x:c r="C4450" s="0" t="s">
        <x:v>17646</x:v>
      </x:c>
      <x:c r="E4450" s="0" t="s">
        <x:v>17647</x:v>
      </x:c>
      <x:c r="F4450" s="0" t="s">
        <x:v>45</x:v>
      </x:c>
      <x:c r="G4450" s="0" t="s">
        <x:v>19</x:v>
      </x:c>
      <x:c r="H4450" s="0" t="s">
        <x:v>20</x:v>
      </x:c>
      <x:c r="I4450" s="0" t="s">
        <x:v>21</x:v>
      </x:c>
      <x:c r="K4450" s="0">
        <x:f>hyperlink("https://icd.who.int/dev11/l-ichi/en#/http%3A%2F%2Fid.who.int%2Ficd%2Fentity%2F2038745502","browser")</x:f>
      </x:c>
      <x:c r="L4450" s="0">
        <x:f>hyperlink("https://icat2.azurewebsites.net/icat/?ontology=ICD&amp;tab=ClassesTab&amp;id=http%3A%2F%2Fwho.int%2Ficd%2323520_512ebf36_bf6b_4d70_85da_cf2637062af4","iCat")</x:f>
      </x:c>
      <x:c r="M4450" s="0" t="s">
        <x:v>21</x:v>
      </x:c>
      <x:c r="N4450" s="0" t="s">
        <x:v>46</x:v>
      </x:c>
    </x:row>
    <x:row r="4451" spans="1:16">
      <x:c r="A4451" s="0" t="s">
        <x:v>17648</x:v>
      </x:c>
      <x:c r="B4451" s="0" t="s">
        <x:v>17649</x:v>
      </x:c>
      <x:c r="C4451" s="0" t="s">
        <x:v>17650</x:v>
      </x:c>
      <x:c r="E4451" s="0" t="s">
        <x:v>17651</x:v>
      </x:c>
      <x:c r="F4451" s="0" t="s">
        <x:v>45</x:v>
      </x:c>
      <x:c r="G4451" s="0" t="s">
        <x:v>19</x:v>
      </x:c>
      <x:c r="H4451" s="0" t="s">
        <x:v>20</x:v>
      </x:c>
      <x:c r="I4451" s="0" t="s">
        <x:v>21</x:v>
      </x:c>
      <x:c r="K4451" s="0">
        <x:f>hyperlink("https://icd.who.int/dev11/l-ichi/en#/http%3A%2F%2Fid.who.int%2Ficd%2Fentity%2F704581677","browser")</x:f>
      </x:c>
      <x:c r="L4451" s="0">
        <x:f>hyperlink("https://icat2.azurewebsites.net/icat/?ontology=ICD&amp;tab=ClassesTab&amp;id=http%3A%2F%2Fwho.int%2Ficd%2323526_512ebf36_bf6b_4d70_85da_cf2637062af4","iCat")</x:f>
      </x:c>
      <x:c r="M4451" s="0" t="s">
        <x:v>21</x:v>
      </x:c>
      <x:c r="N4451" s="0" t="s">
        <x:v>46</x:v>
      </x:c>
    </x:row>
    <x:row r="4452" spans="1:16">
      <x:c r="A4452" s="0" t="s">
        <x:v>17652</x:v>
      </x:c>
      <x:c r="B4452" s="0" t="s">
        <x:v>17653</x:v>
      </x:c>
      <x:c r="C4452" s="0" t="s">
        <x:v>17654</x:v>
      </x:c>
      <x:c r="E4452" s="0" t="s">
        <x:v>17655</x:v>
      </x:c>
      <x:c r="F4452" s="0" t="s">
        <x:v>45</x:v>
      </x:c>
      <x:c r="G4452" s="0" t="s">
        <x:v>19</x:v>
      </x:c>
      <x:c r="H4452" s="0" t="s">
        <x:v>20</x:v>
      </x:c>
      <x:c r="I4452" s="0" t="s">
        <x:v>21</x:v>
      </x:c>
      <x:c r="K4452" s="0">
        <x:f>hyperlink("https://icd.who.int/dev11/l-ichi/en#/http%3A%2F%2Fid.who.int%2Ficd%2Fentity%2F1673787208","browser")</x:f>
      </x:c>
      <x:c r="L4452" s="0">
        <x:f>hyperlink("https://icat2.azurewebsites.net/icat/?ontology=ICD&amp;tab=ClassesTab&amp;id=http%3A%2F%2Fwho.int%2Ficd%2323537_512ebf36_bf6b_4d70_85da_cf2637062af4","iCat")</x:f>
      </x:c>
      <x:c r="M4452" s="0" t="s">
        <x:v>21</x:v>
      </x:c>
      <x:c r="N4452" s="0" t="s">
        <x:v>46</x:v>
      </x:c>
    </x:row>
    <x:row r="4453" spans="1:16">
      <x:c r="A4453" s="0" t="s">
        <x:v>17656</x:v>
      </x:c>
      <x:c r="B4453" s="0" t="s">
        <x:v>17657</x:v>
      </x:c>
      <x:c r="C4453" s="0" t="s">
        <x:v>17658</x:v>
      </x:c>
      <x:c r="E4453" s="0" t="s">
        <x:v>17659</x:v>
      </x:c>
      <x:c r="F4453" s="0" t="s">
        <x:v>45</x:v>
      </x:c>
      <x:c r="G4453" s="0" t="s">
        <x:v>19</x:v>
      </x:c>
      <x:c r="H4453" s="0" t="s">
        <x:v>20</x:v>
      </x:c>
      <x:c r="I4453" s="0" t="s">
        <x:v>21</x:v>
      </x:c>
      <x:c r="K4453" s="0">
        <x:f>hyperlink("https://icd.who.int/dev11/l-ichi/en#/http%3A%2F%2Fid.who.int%2Ficd%2Fentity%2F1712463914","browser")</x:f>
      </x:c>
      <x:c r="L4453" s="0">
        <x:f>hyperlink("https://icat2.azurewebsites.net/icat/?ontology=ICD&amp;tab=ClassesTab&amp;id=http%3A%2F%2Fwho.int%2Ficd%2323543_512ebf36_bf6b_4d70_85da_cf2637062af4","iCat")</x:f>
      </x:c>
      <x:c r="M4453" s="0" t="s">
        <x:v>21</x:v>
      </x:c>
      <x:c r="N4453" s="0" t="s">
        <x:v>46</x:v>
      </x:c>
    </x:row>
    <x:row r="4454" spans="1:16">
      <x:c r="A4454" s="0" t="s">
        <x:v>17660</x:v>
      </x:c>
      <x:c r="B4454" s="0" t="s">
        <x:v>17661</x:v>
      </x:c>
      <x:c r="C4454" s="0" t="s">
        <x:v>17662</x:v>
      </x:c>
      <x:c r="E4454" s="0" t="s">
        <x:v>17663</x:v>
      </x:c>
      <x:c r="F4454" s="0" t="s">
        <x:v>45</x:v>
      </x:c>
      <x:c r="G4454" s="0" t="s">
        <x:v>19</x:v>
      </x:c>
      <x:c r="H4454" s="0" t="s">
        <x:v>20</x:v>
      </x:c>
      <x:c r="I4454" s="0" t="s">
        <x:v>21</x:v>
      </x:c>
      <x:c r="K4454" s="0">
        <x:f>hyperlink("https://icd.who.int/dev11/l-ichi/en#/http%3A%2F%2Fid.who.int%2Ficd%2Fentity%2F191265270","browser")</x:f>
      </x:c>
      <x:c r="L4454" s="0">
        <x:f>hyperlink("https://icat2.azurewebsites.net/icat/?ontology=ICD&amp;tab=ClassesTab&amp;id=http%3A%2F%2Fwho.int%2Ficd%2313345_4869915e_217e_423d_acb3_33c0f920ef4b","iCat")</x:f>
      </x:c>
      <x:c r="M4454" s="0" t="s">
        <x:v>21</x:v>
      </x:c>
      <x:c r="N4454" s="0" t="s">
        <x:v>46</x:v>
      </x:c>
    </x:row>
    <x:row r="4455" spans="1:16">
      <x:c r="A4455" s="0" t="s">
        <x:v>17664</x:v>
      </x:c>
      <x:c r="B4455" s="0" t="s">
        <x:v>17665</x:v>
      </x:c>
      <x:c r="C4455" s="0" t="s">
        <x:v>17666</x:v>
      </x:c>
      <x:c r="E4455" s="0" t="s">
        <x:v>17667</x:v>
      </x:c>
      <x:c r="F4455" s="0" t="s">
        <x:v>45</x:v>
      </x:c>
      <x:c r="G4455" s="0" t="s">
        <x:v>19</x:v>
      </x:c>
      <x:c r="H4455" s="0" t="s">
        <x:v>20</x:v>
      </x:c>
      <x:c r="I4455" s="0" t="s">
        <x:v>21</x:v>
      </x:c>
      <x:c r="K4455" s="0">
        <x:f>hyperlink("https://icd.who.int/dev11/l-ichi/en#/http%3A%2F%2Fid.who.int%2Ficd%2Fentity%2F1420044503","browser")</x:f>
      </x:c>
      <x:c r="L4455" s="0">
        <x:f>hyperlink("https://icat2.azurewebsites.net/icat/?ontology=ICD&amp;tab=ClassesTab&amp;id=http%3A%2F%2Fwho.int%2Ficd%2313351_4869915e_217e_423d_acb3_33c0f920ef4b","iCat")</x:f>
      </x:c>
      <x:c r="M4455" s="0" t="s">
        <x:v>21</x:v>
      </x:c>
      <x:c r="N4455" s="0" t="s">
        <x:v>46</x:v>
      </x:c>
    </x:row>
    <x:row r="4456" spans="1:16">
      <x:c r="A4456" s="0" t="s">
        <x:v>17668</x:v>
      </x:c>
      <x:c r="B4456" s="0" t="s">
        <x:v>17669</x:v>
      </x:c>
      <x:c r="C4456" s="0" t="s">
        <x:v>17670</x:v>
      </x:c>
      <x:c r="E4456" s="0" t="s">
        <x:v>17671</x:v>
      </x:c>
      <x:c r="F4456" s="0" t="s">
        <x:v>45</x:v>
      </x:c>
      <x:c r="G4456" s="0" t="s">
        <x:v>19</x:v>
      </x:c>
      <x:c r="H4456" s="0" t="s">
        <x:v>20</x:v>
      </x:c>
      <x:c r="I4456" s="0" t="s">
        <x:v>21</x:v>
      </x:c>
      <x:c r="K4456" s="0">
        <x:f>hyperlink("https://icd.who.int/dev11/l-ichi/en#/http%3A%2F%2Fid.who.int%2Ficd%2Fentity%2F81785192","browser")</x:f>
      </x:c>
      <x:c r="L4456" s="0">
        <x:f>hyperlink("https://icat2.azurewebsites.net/icat/?ontology=ICD&amp;tab=ClassesTab&amp;id=http%3A%2F%2Fwho.int%2Ficd%2313357_4869915e_217e_423d_acb3_33c0f920ef4b","iCat")</x:f>
      </x:c>
      <x:c r="M4456" s="0" t="s">
        <x:v>21</x:v>
      </x:c>
      <x:c r="N4456" s="0" t="s">
        <x:v>46</x:v>
      </x:c>
    </x:row>
    <x:row r="4457" spans="1:16">
      <x:c r="A4457" s="0" t="s">
        <x:v>17672</x:v>
      </x:c>
      <x:c r="B4457" s="0" t="s">
        <x:v>17673</x:v>
      </x:c>
      <x:c r="C4457" s="0" t="s">
        <x:v>17674</x:v>
      </x:c>
      <x:c r="E4457" s="0" t="s">
        <x:v>17675</x:v>
      </x:c>
      <x:c r="F4457" s="0" t="s">
        <x:v>45</x:v>
      </x:c>
      <x:c r="G4457" s="0" t="s">
        <x:v>19</x:v>
      </x:c>
      <x:c r="H4457" s="0" t="s">
        <x:v>20</x:v>
      </x:c>
      <x:c r="I4457" s="0" t="s">
        <x:v>21</x:v>
      </x:c>
      <x:c r="K4457" s="0">
        <x:f>hyperlink("https://icd.who.int/dev11/l-ichi/en#/http%3A%2F%2Fid.who.int%2Ficd%2Fentity%2F1902736661","browser")</x:f>
      </x:c>
      <x:c r="L4457" s="0">
        <x:f>hyperlink("https://icat2.azurewebsites.net/icat/?ontology=ICD&amp;tab=ClassesTab&amp;id=http%3A%2F%2Fwho.int%2Ficd%2313363_4869915e_217e_423d_acb3_33c0f920ef4b","iCat")</x:f>
      </x:c>
      <x:c r="M4457" s="0" t="s">
        <x:v>21</x:v>
      </x:c>
      <x:c r="N4457" s="0" t="s">
        <x:v>46</x:v>
      </x:c>
    </x:row>
    <x:row r="4458" spans="1:16">
      <x:c r="A4458" s="0" t="s">
        <x:v>17676</x:v>
      </x:c>
      <x:c r="B4458" s="0" t="s">
        <x:v>17677</x:v>
      </x:c>
      <x:c r="C4458" s="0" t="s">
        <x:v>17678</x:v>
      </x:c>
      <x:c r="E4458" s="0" t="s">
        <x:v>17679</x:v>
      </x:c>
      <x:c r="F4458" s="0" t="s">
        <x:v>45</x:v>
      </x:c>
      <x:c r="G4458" s="0" t="s">
        <x:v>19</x:v>
      </x:c>
      <x:c r="H4458" s="0" t="s">
        <x:v>20</x:v>
      </x:c>
      <x:c r="I4458" s="0" t="s">
        <x:v>21</x:v>
      </x:c>
      <x:c r="K4458" s="0">
        <x:f>hyperlink("https://icd.who.int/dev11/l-ichi/en#/http%3A%2F%2Fid.who.int%2Ficd%2Fentity%2F1307528378","browser")</x:f>
      </x:c>
      <x:c r="L4458" s="0">
        <x:f>hyperlink("https://icat2.azurewebsites.net/icat/?ontology=ICD&amp;tab=ClassesTab&amp;id=http%3A%2F%2Fwho.int%2Ficd%2323549_512ebf36_bf6b_4d70_85da_cf2637062af4","iCat")</x:f>
      </x:c>
      <x:c r="M4458" s="0" t="s">
        <x:v>21</x:v>
      </x:c>
      <x:c r="N4458" s="0" t="s">
        <x:v>46</x:v>
      </x:c>
    </x:row>
    <x:row r="4459" spans="1:16">
      <x:c r="A4459" s="0" t="s">
        <x:v>17680</x:v>
      </x:c>
      <x:c r="B4459" s="0" t="s">
        <x:v>17681</x:v>
      </x:c>
      <x:c r="C4459" s="0" t="s">
        <x:v>17682</x:v>
      </x:c>
      <x:c r="E4459" s="0" t="s">
        <x:v>17683</x:v>
      </x:c>
      <x:c r="F4459" s="0" t="s">
        <x:v>45</x:v>
      </x:c>
      <x:c r="G4459" s="0" t="s">
        <x:v>19</x:v>
      </x:c>
      <x:c r="H4459" s="0" t="s">
        <x:v>20</x:v>
      </x:c>
      <x:c r="I4459" s="0" t="s">
        <x:v>21</x:v>
      </x:c>
      <x:c r="K4459" s="0">
        <x:f>hyperlink("https://icd.who.int/dev11/l-ichi/en#/http%3A%2F%2Fid.who.int%2Ficd%2Fentity%2F1554803918","browser")</x:f>
      </x:c>
      <x:c r="L4459" s="0">
        <x:f>hyperlink("https://icat2.azurewebsites.net/icat/?ontology=ICD&amp;tab=ClassesTab&amp;id=http%3A%2F%2Fwho.int%2Ficd%2323555_512ebf36_bf6b_4d70_85da_cf2637062af4","iCat")</x:f>
      </x:c>
      <x:c r="M4459" s="0" t="s">
        <x:v>21</x:v>
      </x:c>
      <x:c r="N4459" s="0" t="s">
        <x:v>46</x:v>
      </x:c>
    </x:row>
    <x:row r="4460" spans="1:16">
      <x:c r="A4460" s="0" t="s">
        <x:v>17684</x:v>
      </x:c>
      <x:c r="B4460" s="0" t="s">
        <x:v>17685</x:v>
      </x:c>
      <x:c r="C4460" s="0" t="s">
        <x:v>17686</x:v>
      </x:c>
      <x:c r="E4460" s="0" t="s">
        <x:v>17687</x:v>
      </x:c>
      <x:c r="F4460" s="0" t="s">
        <x:v>45</x:v>
      </x:c>
      <x:c r="G4460" s="0" t="s">
        <x:v>19</x:v>
      </x:c>
      <x:c r="H4460" s="0" t="s">
        <x:v>20</x:v>
      </x:c>
      <x:c r="I4460" s="0" t="s">
        <x:v>21</x:v>
      </x:c>
      <x:c r="K4460" s="0">
        <x:f>hyperlink("https://icd.who.int/dev11/l-ichi/en#/http%3A%2F%2Fid.who.int%2Ficd%2Fentity%2F1822394182","browser")</x:f>
      </x:c>
      <x:c r="L4460" s="0">
        <x:f>hyperlink("https://icat2.azurewebsites.net/icat/?ontology=ICD&amp;tab=ClassesTab&amp;id=http%3A%2F%2Fwho.int%2Ficd%2323562_512ebf36_bf6b_4d70_85da_cf2637062af4","iCat")</x:f>
      </x:c>
      <x:c r="M4460" s="0" t="s">
        <x:v>21</x:v>
      </x:c>
      <x:c r="N4460" s="0" t="s">
        <x:v>46</x:v>
      </x:c>
    </x:row>
    <x:row r="4461" spans="1:16">
      <x:c r="A4461" s="0" t="s">
        <x:v>17688</x:v>
      </x:c>
      <x:c r="B4461" s="0" t="s">
        <x:v>17689</x:v>
      </x:c>
      <x:c r="C4461" s="0" t="s">
        <x:v>17690</x:v>
      </x:c>
      <x:c r="E4461" s="0" t="s">
        <x:v>17691</x:v>
      </x:c>
      <x:c r="F4461" s="0" t="s">
        <x:v>45</x:v>
      </x:c>
      <x:c r="G4461" s="0" t="s">
        <x:v>19</x:v>
      </x:c>
      <x:c r="H4461" s="0" t="s">
        <x:v>20</x:v>
      </x:c>
      <x:c r="I4461" s="0" t="s">
        <x:v>21</x:v>
      </x:c>
      <x:c r="K4461" s="0">
        <x:f>hyperlink("https://icd.who.int/dev11/l-ichi/en#/http%3A%2F%2Fid.who.int%2Ficd%2Fentity%2F1197665238","browser")</x:f>
      </x:c>
      <x:c r="L4461" s="0">
        <x:f>hyperlink("https://icat2.azurewebsites.net/icat/?ontology=ICD&amp;tab=ClassesTab&amp;id=http%3A%2F%2Fwho.int%2Ficd%2323568_512ebf36_bf6b_4d70_85da_cf2637062af4","iCat")</x:f>
      </x:c>
      <x:c r="M4461" s="0" t="s">
        <x:v>21</x:v>
      </x:c>
      <x:c r="N4461" s="0" t="s">
        <x:v>46</x:v>
      </x:c>
    </x:row>
    <x:row r="4462" spans="1:16">
      <x:c r="A4462" s="0" t="s">
        <x:v>17692</x:v>
      </x:c>
      <x:c r="B4462" s="0" t="s">
        <x:v>17693</x:v>
      </x:c>
      <x:c r="C4462" s="0" t="s">
        <x:v>17694</x:v>
      </x:c>
      <x:c r="E4462" s="0" t="s">
        <x:v>17695</x:v>
      </x:c>
      <x:c r="F4462" s="0" t="s">
        <x:v>45</x:v>
      </x:c>
      <x:c r="G4462" s="0" t="s">
        <x:v>19</x:v>
      </x:c>
      <x:c r="H4462" s="0" t="s">
        <x:v>20</x:v>
      </x:c>
      <x:c r="I4462" s="0" t="s">
        <x:v>21</x:v>
      </x:c>
      <x:c r="K4462" s="0">
        <x:f>hyperlink("https://icd.who.int/dev11/l-ichi/en#/http%3A%2F%2Fid.who.int%2Ficd%2Fentity%2F1445055394","browser")</x:f>
      </x:c>
      <x:c r="L4462" s="0">
        <x:f>hyperlink("https://icat2.azurewebsites.net/icat/?ontology=ICD&amp;tab=ClassesTab&amp;id=http%3A%2F%2Fwho.int%2Ficd%2323574_512ebf36_bf6b_4d70_85da_cf2637062af4","iCat")</x:f>
      </x:c>
      <x:c r="M4462" s="0" t="s">
        <x:v>21</x:v>
      </x:c>
      <x:c r="N4462" s="0" t="s">
        <x:v>46</x:v>
      </x:c>
    </x:row>
    <x:row r="4463" spans="1:16">
      <x:c r="A4463" s="0" t="s">
        <x:v>17696</x:v>
      </x:c>
      <x:c r="B4463" s="0" t="s">
        <x:v>17697</x:v>
      </x:c>
      <x:c r="C4463" s="0" t="s">
        <x:v>17698</x:v>
      </x:c>
      <x:c r="E4463" s="0" t="s">
        <x:v>17699</x:v>
      </x:c>
      <x:c r="F4463" s="0" t="s">
        <x:v>45</x:v>
      </x:c>
      <x:c r="G4463" s="0" t="s">
        <x:v>19</x:v>
      </x:c>
      <x:c r="H4463" s="0" t="s">
        <x:v>20</x:v>
      </x:c>
      <x:c r="I4463" s="0" t="s">
        <x:v>21</x:v>
      </x:c>
      <x:c r="K4463" s="0">
        <x:f>hyperlink("https://icd.who.int/dev11/l-ichi/en#/http%3A%2F%2Fid.who.int%2Ficd%2Fentity%2F1287734538","browser")</x:f>
      </x:c>
      <x:c r="L4463" s="0">
        <x:f>hyperlink("https://icat2.azurewebsites.net/icat/?ontology=ICD&amp;tab=ClassesTab&amp;id=http%3A%2F%2Fwho.int%2Ficd%2323580_512ebf36_bf6b_4d70_85da_cf2637062af4","iCat")</x:f>
      </x:c>
      <x:c r="M4463" s="0" t="s">
        <x:v>21</x:v>
      </x:c>
      <x:c r="N4463" s="0" t="s">
        <x:v>46</x:v>
      </x:c>
    </x:row>
    <x:row r="4464" spans="1:16">
      <x:c r="A4464" s="0" t="s">
        <x:v>17700</x:v>
      </x:c>
      <x:c r="B4464" s="0" t="s">
        <x:v>17701</x:v>
      </x:c>
      <x:c r="C4464" s="0" t="s">
        <x:v>17702</x:v>
      </x:c>
      <x:c r="E4464" s="0" t="s">
        <x:v>17703</x:v>
      </x:c>
      <x:c r="F4464" s="0" t="s">
        <x:v>45</x:v>
      </x:c>
      <x:c r="G4464" s="0" t="s">
        <x:v>19</x:v>
      </x:c>
      <x:c r="H4464" s="0" t="s">
        <x:v>20</x:v>
      </x:c>
      <x:c r="I4464" s="0" t="s">
        <x:v>21</x:v>
      </x:c>
      <x:c r="K4464" s="0">
        <x:f>hyperlink("https://icd.who.int/dev11/l-ichi/en#/http%3A%2F%2Fid.who.int%2Ficd%2Fentity%2F1011084933","browser")</x:f>
      </x:c>
      <x:c r="L4464" s="0">
        <x:f>hyperlink("https://icat2.azurewebsites.net/icat/?ontology=ICD&amp;tab=ClassesTab&amp;id=http%3A%2F%2Fwho.int%2Ficd%2323587_512ebf36_bf6b_4d70_85da_cf2637062af4","iCat")</x:f>
      </x:c>
      <x:c r="M4464" s="0" t="s">
        <x:v>21</x:v>
      </x:c>
      <x:c r="N4464" s="0" t="s">
        <x:v>46</x:v>
      </x:c>
    </x:row>
    <x:row r="4465" spans="1:16">
      <x:c r="A4465" s="0" t="s">
        <x:v>17704</x:v>
      </x:c>
      <x:c r="B4465" s="0" t="s">
        <x:v>17705</x:v>
      </x:c>
      <x:c r="C4465" s="0" t="s">
        <x:v>17706</x:v>
      </x:c>
      <x:c r="E4465" s="0" t="s">
        <x:v>17707</x:v>
      </x:c>
      <x:c r="F4465" s="0" t="s">
        <x:v>45</x:v>
      </x:c>
      <x:c r="G4465" s="0" t="s">
        <x:v>19</x:v>
      </x:c>
      <x:c r="H4465" s="0" t="s">
        <x:v>20</x:v>
      </x:c>
      <x:c r="I4465" s="0" t="s">
        <x:v>21</x:v>
      </x:c>
      <x:c r="K4465" s="0">
        <x:f>hyperlink("https://icd.who.int/dev11/l-ichi/en#/http%3A%2F%2Fid.who.int%2Ficd%2Fentity%2F318968875","browser")</x:f>
      </x:c>
      <x:c r="L4465" s="0">
        <x:f>hyperlink("https://icat2.azurewebsites.net/icat/?ontology=ICD&amp;tab=ClassesTab&amp;id=http%3A%2F%2Fwho.int%2Ficd%2323594_512ebf36_bf6b_4d70_85da_cf2637062af4","iCat")</x:f>
      </x:c>
      <x:c r="M4465" s="0" t="s">
        <x:v>21</x:v>
      </x:c>
      <x:c r="N4465" s="0" t="s">
        <x:v>46</x:v>
      </x:c>
    </x:row>
    <x:row r="4466" spans="1:16">
      <x:c r="A4466" s="0" t="s">
        <x:v>17708</x:v>
      </x:c>
      <x:c r="B4466" s="0" t="s">
        <x:v>17709</x:v>
      </x:c>
      <x:c r="C4466" s="0" t="s">
        <x:v>17710</x:v>
      </x:c>
      <x:c r="E4466" s="0" t="s">
        <x:v>17711</x:v>
      </x:c>
      <x:c r="F4466" s="0" t="s">
        <x:v>45</x:v>
      </x:c>
      <x:c r="G4466" s="0" t="s">
        <x:v>19</x:v>
      </x:c>
      <x:c r="H4466" s="0" t="s">
        <x:v>20</x:v>
      </x:c>
      <x:c r="I4466" s="0" t="s">
        <x:v>21</x:v>
      </x:c>
      <x:c r="K4466" s="0">
        <x:f>hyperlink("https://icd.who.int/dev11/l-ichi/en#/http%3A%2F%2Fid.who.int%2Ficd%2Fentity%2F307681961","browser")</x:f>
      </x:c>
      <x:c r="L4466" s="0">
        <x:f>hyperlink("https://icat2.azurewebsites.net/icat/?ontology=ICD&amp;tab=ClassesTab&amp;id=http%3A%2F%2Fwho.int%2Ficd%2323601_512ebf36_bf6b_4d70_85da_cf2637062af4","iCat")</x:f>
      </x:c>
      <x:c r="M4466" s="0" t="s">
        <x:v>21</x:v>
      </x:c>
      <x:c r="N4466" s="0" t="s">
        <x:v>46</x:v>
      </x:c>
    </x:row>
    <x:row r="4467" spans="1:16">
      <x:c r="A4467" s="0" t="s">
        <x:v>17712</x:v>
      </x:c>
      <x:c r="B4467" s="0" t="s">
        <x:v>17713</x:v>
      </x:c>
      <x:c r="C4467" s="0" t="s">
        <x:v>17714</x:v>
      </x:c>
      <x:c r="E4467" s="0" t="s">
        <x:v>17715</x:v>
      </x:c>
      <x:c r="F4467" s="0" t="s">
        <x:v>45</x:v>
      </x:c>
      <x:c r="G4467" s="0" t="s">
        <x:v>19</x:v>
      </x:c>
      <x:c r="H4467" s="0" t="s">
        <x:v>20</x:v>
      </x:c>
      <x:c r="I4467" s="0" t="s">
        <x:v>21</x:v>
      </x:c>
      <x:c r="K4467" s="0">
        <x:f>hyperlink("https://icd.who.int/dev11/l-ichi/en#/http%3A%2F%2Fid.who.int%2Ficd%2Fentity%2F2083445186","browser")</x:f>
      </x:c>
      <x:c r="L4467" s="0">
        <x:f>hyperlink("https://icat2.azurewebsites.net/icat/?ontology=ICD&amp;tab=ClassesTab&amp;id=http%3A%2F%2Fwho.int%2Ficd%2323608_512ebf36_bf6b_4d70_85da_cf2637062af4","iCat")</x:f>
      </x:c>
      <x:c r="M4467" s="0" t="s">
        <x:v>21</x:v>
      </x:c>
      <x:c r="N4467" s="0" t="s">
        <x:v>46</x:v>
      </x:c>
    </x:row>
    <x:row r="4468" spans="1:16">
      <x:c r="A4468" s="0" t="s">
        <x:v>17716</x:v>
      </x:c>
      <x:c r="B4468" s="0" t="s">
        <x:v>17717</x:v>
      </x:c>
      <x:c r="C4468" s="0" t="s">
        <x:v>17718</x:v>
      </x:c>
      <x:c r="E4468" s="0" t="s">
        <x:v>17719</x:v>
      </x:c>
      <x:c r="F4468" s="0" t="s">
        <x:v>45</x:v>
      </x:c>
      <x:c r="G4468" s="0" t="s">
        <x:v>19</x:v>
      </x:c>
      <x:c r="H4468" s="0" t="s">
        <x:v>20</x:v>
      </x:c>
      <x:c r="I4468" s="0" t="s">
        <x:v>21</x:v>
      </x:c>
      <x:c r="K4468" s="0">
        <x:f>hyperlink("https://icd.who.int/dev11/l-ichi/en#/http%3A%2F%2Fid.who.int%2Ficd%2Fentity%2F71707432","browser")</x:f>
      </x:c>
      <x:c r="L4468" s="0">
        <x:f>hyperlink("https://icat2.azurewebsites.net/icat/?ontology=ICD&amp;tab=ClassesTab&amp;id=http%3A%2F%2Fwho.int%2Ficd%2315928_4869915e_217e_423d_acb3_33c0f920ef4b","iCat")</x:f>
      </x:c>
      <x:c r="M4468" s="0" t="s">
        <x:v>21</x:v>
      </x:c>
      <x:c r="N4468" s="0" t="s">
        <x:v>46</x:v>
      </x:c>
    </x:row>
    <x:row r="4469" spans="1:16">
      <x:c r="A4469" s="0" t="s">
        <x:v>17720</x:v>
      </x:c>
      <x:c r="B4469" s="0" t="s">
        <x:v>17721</x:v>
      </x:c>
      <x:c r="C4469" s="0" t="s">
        <x:v>17722</x:v>
      </x:c>
      <x:c r="E4469" s="0" t="s">
        <x:v>17723</x:v>
      </x:c>
      <x:c r="F4469" s="0" t="s">
        <x:v>45</x:v>
      </x:c>
      <x:c r="G4469" s="0" t="s">
        <x:v>19</x:v>
      </x:c>
      <x:c r="H4469" s="0" t="s">
        <x:v>20</x:v>
      </x:c>
      <x:c r="I4469" s="0" t="s">
        <x:v>21</x:v>
      </x:c>
      <x:c r="K4469" s="0">
        <x:f>hyperlink("https://icd.who.int/dev11/l-ichi/en#/http%3A%2F%2Fid.who.int%2Ficd%2Fentity%2F384519319","browser")</x:f>
      </x:c>
      <x:c r="L4469" s="0">
        <x:f>hyperlink("https://icat2.azurewebsites.net/icat/?ontology=ICD&amp;tab=ClassesTab&amp;id=http%3A%2F%2Fwho.int%2Ficd%2323618_512ebf36_bf6b_4d70_85da_cf2637062af4","iCat")</x:f>
      </x:c>
      <x:c r="M4469" s="0" t="s">
        <x:v>21</x:v>
      </x:c>
      <x:c r="N4469" s="0" t="s">
        <x:v>46</x:v>
      </x:c>
    </x:row>
    <x:row r="4470" spans="1:16">
      <x:c r="A4470" s="0" t="s">
        <x:v>17724</x:v>
      </x:c>
      <x:c r="B4470" s="0" t="s">
        <x:v>17725</x:v>
      </x:c>
      <x:c r="C4470" s="0" t="s">
        <x:v>17726</x:v>
      </x:c>
      <x:c r="E4470" s="0" t="s">
        <x:v>17727</x:v>
      </x:c>
      <x:c r="F4470" s="0" t="s">
        <x:v>45</x:v>
      </x:c>
      <x:c r="G4470" s="0" t="s">
        <x:v>19</x:v>
      </x:c>
      <x:c r="H4470" s="0" t="s">
        <x:v>20</x:v>
      </x:c>
      <x:c r="I4470" s="0" t="s">
        <x:v>21</x:v>
      </x:c>
      <x:c r="K4470" s="0">
        <x:f>hyperlink("https://icd.who.int/dev11/l-ichi/en#/http%3A%2F%2Fid.who.int%2Ficd%2Fentity%2F1218487414","browser")</x:f>
      </x:c>
      <x:c r="L4470" s="0">
        <x:f>hyperlink("https://icat2.azurewebsites.net/icat/?ontology=ICD&amp;tab=ClassesTab&amp;id=http%3A%2F%2Fwho.int%2Ficd%2323626_512ebf36_bf6b_4d70_85da_cf2637062af4","iCat")</x:f>
      </x:c>
      <x:c r="M4470" s="0" t="s">
        <x:v>21</x:v>
      </x:c>
      <x:c r="N4470" s="0" t="s">
        <x:v>46</x:v>
      </x:c>
    </x:row>
    <x:row r="4471" spans="1:16">
      <x:c r="A4471" s="0" t="s">
        <x:v>17728</x:v>
      </x:c>
      <x:c r="B4471" s="0" t="s">
        <x:v>17729</x:v>
      </x:c>
      <x:c r="C4471" s="0" t="s">
        <x:v>17730</x:v>
      </x:c>
      <x:c r="E4471" s="0" t="s">
        <x:v>17731</x:v>
      </x:c>
      <x:c r="F4471" s="0" t="s">
        <x:v>45</x:v>
      </x:c>
      <x:c r="G4471" s="0" t="s">
        <x:v>19</x:v>
      </x:c>
      <x:c r="H4471" s="0" t="s">
        <x:v>20</x:v>
      </x:c>
      <x:c r="I4471" s="0" t="s">
        <x:v>21</x:v>
      </x:c>
      <x:c r="K4471" s="0">
        <x:f>hyperlink("https://icd.who.int/dev11/l-ichi/en#/http%3A%2F%2Fid.who.int%2Ficd%2Fentity%2F932939627","browser")</x:f>
      </x:c>
      <x:c r="L4471" s="0">
        <x:f>hyperlink("https://icat2.azurewebsites.net/icat/?ontology=ICD&amp;tab=ClassesTab&amp;id=http%3A%2F%2Fwho.int%2Ficd%2323633_512ebf36_bf6b_4d70_85da_cf2637062af4","iCat")</x:f>
      </x:c>
      <x:c r="M4471" s="0" t="s">
        <x:v>21</x:v>
      </x:c>
      <x:c r="N4471" s="0" t="s">
        <x:v>46</x:v>
      </x:c>
    </x:row>
    <x:row r="4472" spans="1:16">
      <x:c r="A4472" s="0" t="s">
        <x:v>17732</x:v>
      </x:c>
      <x:c r="B4472" s="0" t="s">
        <x:v>17733</x:v>
      </x:c>
      <x:c r="C4472" s="0" t="s">
        <x:v>17734</x:v>
      </x:c>
      <x:c r="E4472" s="0" t="s">
        <x:v>17735</x:v>
      </x:c>
      <x:c r="F4472" s="0" t="s">
        <x:v>45</x:v>
      </x:c>
      <x:c r="G4472" s="0" t="s">
        <x:v>19</x:v>
      </x:c>
      <x:c r="H4472" s="0" t="s">
        <x:v>20</x:v>
      </x:c>
      <x:c r="I4472" s="0" t="s">
        <x:v>21</x:v>
      </x:c>
      <x:c r="K4472" s="0">
        <x:f>hyperlink("https://icd.who.int/dev11/l-ichi/en#/http%3A%2F%2Fid.who.int%2Ficd%2Fentity%2F1120467850","browser")</x:f>
      </x:c>
      <x:c r="L4472" s="0">
        <x:f>hyperlink("https://icat2.azurewebsites.net/icat/?ontology=ICD&amp;tab=ClassesTab&amp;id=http%3A%2F%2Fwho.int%2Ficd%2323640_512ebf36_bf6b_4d70_85da_cf2637062af4","iCat")</x:f>
      </x:c>
      <x:c r="M4472" s="0" t="s">
        <x:v>21</x:v>
      </x:c>
      <x:c r="N4472" s="0" t="s">
        <x:v>46</x:v>
      </x:c>
    </x:row>
    <x:row r="4473" spans="1:16">
      <x:c r="A4473" s="0" t="s">
        <x:v>17736</x:v>
      </x:c>
      <x:c r="B4473" s="0" t="s">
        <x:v>17737</x:v>
      </x:c>
      <x:c r="C4473" s="0" t="s">
        <x:v>17738</x:v>
      </x:c>
      <x:c r="E4473" s="0" t="s">
        <x:v>17739</x:v>
      </x:c>
      <x:c r="F4473" s="0" t="s">
        <x:v>45</x:v>
      </x:c>
      <x:c r="G4473" s="0" t="s">
        <x:v>19</x:v>
      </x:c>
      <x:c r="H4473" s="0" t="s">
        <x:v>20</x:v>
      </x:c>
      <x:c r="I4473" s="0" t="s">
        <x:v>21</x:v>
      </x:c>
      <x:c r="K4473" s="0">
        <x:f>hyperlink("https://icd.who.int/dev11/l-ichi/en#/http%3A%2F%2Fid.who.int%2Ficd%2Fentity%2F313729593","browser")</x:f>
      </x:c>
      <x:c r="L4473" s="0">
        <x:f>hyperlink("https://icat2.azurewebsites.net/icat/?ontology=ICD&amp;tab=ClassesTab&amp;id=http%3A%2F%2Fwho.int%2Ficd%2323646_512ebf36_bf6b_4d70_85da_cf2637062af4","iCat")</x:f>
      </x:c>
      <x:c r="M4473" s="0" t="s">
        <x:v>21</x:v>
      </x:c>
      <x:c r="N4473" s="0" t="s">
        <x:v>46</x:v>
      </x:c>
    </x:row>
    <x:row r="4474" spans="1:16">
      <x:c r="A4474" s="0" t="s">
        <x:v>17740</x:v>
      </x:c>
      <x:c r="B4474" s="0" t="s">
        <x:v>17741</x:v>
      </x:c>
      <x:c r="C4474" s="0" t="s">
        <x:v>17742</x:v>
      </x:c>
      <x:c r="E4474" s="0" t="s">
        <x:v>17743</x:v>
      </x:c>
      <x:c r="F4474" s="0" t="s">
        <x:v>45</x:v>
      </x:c>
      <x:c r="G4474" s="0" t="s">
        <x:v>19</x:v>
      </x:c>
      <x:c r="H4474" s="0" t="s">
        <x:v>20</x:v>
      </x:c>
      <x:c r="I4474" s="0" t="s">
        <x:v>21</x:v>
      </x:c>
      <x:c r="K4474" s="0">
        <x:f>hyperlink("https://icd.who.int/dev11/l-ichi/en#/http%3A%2F%2Fid.who.int%2Ficd%2Fentity%2F1837629734","browser")</x:f>
      </x:c>
      <x:c r="L4474" s="0">
        <x:f>hyperlink("https://icat2.azurewebsites.net/icat/?ontology=ICD&amp;tab=ClassesTab&amp;id=http%3A%2F%2Fwho.int%2Ficd%2323653_512ebf36_bf6b_4d70_85da_cf2637062af4","iCat")</x:f>
      </x:c>
      <x:c r="M4474" s="0" t="s">
        <x:v>21</x:v>
      </x:c>
      <x:c r="N4474" s="0" t="s">
        <x:v>46</x:v>
      </x:c>
    </x:row>
    <x:row r="4475" spans="1:16">
      <x:c r="A4475" s="0" t="s">
        <x:v>17744</x:v>
      </x:c>
      <x:c r="B4475" s="0" t="s">
        <x:v>17745</x:v>
      </x:c>
      <x:c r="C4475" s="0" t="s">
        <x:v>17746</x:v>
      </x:c>
      <x:c r="E4475" s="0" t="s">
        <x:v>17747</x:v>
      </x:c>
      <x:c r="F4475" s="0" t="s">
        <x:v>45</x:v>
      </x:c>
      <x:c r="G4475" s="0" t="s">
        <x:v>19</x:v>
      </x:c>
      <x:c r="H4475" s="0" t="s">
        <x:v>20</x:v>
      </x:c>
      <x:c r="I4475" s="0" t="s">
        <x:v>21</x:v>
      </x:c>
      <x:c r="K4475" s="0">
        <x:f>hyperlink("https://icd.who.int/dev11/l-ichi/en#/http%3A%2F%2Fid.who.int%2Ficd%2Fentity%2F1182100918","browser")</x:f>
      </x:c>
      <x:c r="L4475" s="0">
        <x:f>hyperlink("https://icat2.azurewebsites.net/icat/?ontology=ICD&amp;tab=ClassesTab&amp;id=http%3A%2F%2Fwho.int%2Ficd%2323659_512ebf36_bf6b_4d70_85da_cf2637062af4","iCat")</x:f>
      </x:c>
      <x:c r="M4475" s="0" t="s">
        <x:v>21</x:v>
      </x:c>
      <x:c r="N4475" s="0" t="s">
        <x:v>46</x:v>
      </x:c>
    </x:row>
    <x:row r="4476" spans="1:16">
      <x:c r="A4476" s="0" t="s">
        <x:v>17748</x:v>
      </x:c>
      <x:c r="B4476" s="0" t="s">
        <x:v>17749</x:v>
      </x:c>
      <x:c r="C4476" s="0" t="s">
        <x:v>17750</x:v>
      </x:c>
      <x:c r="E4476" s="0" t="s">
        <x:v>17751</x:v>
      </x:c>
      <x:c r="F4476" s="0" t="s">
        <x:v>45</x:v>
      </x:c>
      <x:c r="G4476" s="0" t="s">
        <x:v>19</x:v>
      </x:c>
      <x:c r="H4476" s="0" t="s">
        <x:v>20</x:v>
      </x:c>
      <x:c r="I4476" s="0" t="s">
        <x:v>21</x:v>
      </x:c>
      <x:c r="K4476" s="0">
        <x:f>hyperlink("https://icd.who.int/dev11/l-ichi/en#/http%3A%2F%2Fid.who.int%2Ficd%2Fentity%2F952629097","browser")</x:f>
      </x:c>
      <x:c r="L4476" s="0">
        <x:f>hyperlink("https://icat2.azurewebsites.net/icat/?ontology=ICD&amp;tab=ClassesTab&amp;id=http%3A%2F%2Fwho.int%2Ficd%2323666_512ebf36_bf6b_4d70_85da_cf2637062af4","iCat")</x:f>
      </x:c>
      <x:c r="M4476" s="0" t="s">
        <x:v>21</x:v>
      </x:c>
      <x:c r="N4476" s="0" t="s">
        <x:v>46</x:v>
      </x:c>
    </x:row>
    <x:row r="4477" spans="1:16">
      <x:c r="A4477" s="0" t="s">
        <x:v>17752</x:v>
      </x:c>
      <x:c r="B4477" s="0" t="s">
        <x:v>17753</x:v>
      </x:c>
      <x:c r="C4477" s="0" t="s">
        <x:v>17754</x:v>
      </x:c>
      <x:c r="E4477" s="0" t="s">
        <x:v>17755</x:v>
      </x:c>
      <x:c r="F4477" s="0" t="s">
        <x:v>45</x:v>
      </x:c>
      <x:c r="G4477" s="0" t="s">
        <x:v>19</x:v>
      </x:c>
      <x:c r="H4477" s="0" t="s">
        <x:v>20</x:v>
      </x:c>
      <x:c r="I4477" s="0" t="s">
        <x:v>21</x:v>
      </x:c>
      <x:c r="K4477" s="0">
        <x:f>hyperlink("https://icd.who.int/dev11/l-ichi/en#/http%3A%2F%2Fid.who.int%2Ficd%2Fentity%2F1207751800","browser")</x:f>
      </x:c>
      <x:c r="L4477" s="0">
        <x:f>hyperlink("https://icat2.azurewebsites.net/icat/?ontology=ICD&amp;tab=ClassesTab&amp;id=http%3A%2F%2Fwho.int%2Ficd%2323673_512ebf36_bf6b_4d70_85da_cf2637062af4","iCat")</x:f>
      </x:c>
      <x:c r="M4477" s="0" t="s">
        <x:v>21</x:v>
      </x:c>
      <x:c r="N4477" s="0" t="s">
        <x:v>46</x:v>
      </x:c>
    </x:row>
    <x:row r="4478" spans="1:16">
      <x:c r="A4478" s="0" t="s">
        <x:v>17756</x:v>
      </x:c>
      <x:c r="B4478" s="0" t="s">
        <x:v>17757</x:v>
      </x:c>
      <x:c r="C4478" s="0" t="s">
        <x:v>17758</x:v>
      </x:c>
      <x:c r="E4478" s="0" t="s">
        <x:v>17759</x:v>
      </x:c>
      <x:c r="F4478" s="0" t="s">
        <x:v>45</x:v>
      </x:c>
      <x:c r="G4478" s="0" t="s">
        <x:v>19</x:v>
      </x:c>
      <x:c r="H4478" s="0" t="s">
        <x:v>20</x:v>
      </x:c>
      <x:c r="I4478" s="0" t="s">
        <x:v>21</x:v>
      </x:c>
      <x:c r="K4478" s="0">
        <x:f>hyperlink("https://icd.who.int/dev11/l-ichi/en#/http%3A%2F%2Fid.who.int%2Ficd%2Fentity%2F1812052200","browser")</x:f>
      </x:c>
      <x:c r="L4478" s="0">
        <x:f>hyperlink("https://icat2.azurewebsites.net/icat/?ontology=ICD&amp;tab=ClassesTab&amp;id=http%3A%2F%2Fwho.int%2Ficd%2323679_512ebf36_bf6b_4d70_85da_cf2637062af4","iCat")</x:f>
      </x:c>
      <x:c r="M4478" s="0" t="s">
        <x:v>21</x:v>
      </x:c>
      <x:c r="N4478" s="0" t="s">
        <x:v>46</x:v>
      </x:c>
    </x:row>
    <x:row r="4479" spans="1:16">
      <x:c r="A4479" s="0" t="s">
        <x:v>17760</x:v>
      </x:c>
      <x:c r="B4479" s="0" t="s">
        <x:v>17761</x:v>
      </x:c>
      <x:c r="C4479" s="0" t="s">
        <x:v>17762</x:v>
      </x:c>
      <x:c r="E4479" s="0" t="s">
        <x:v>17763</x:v>
      </x:c>
      <x:c r="F4479" s="0" t="s">
        <x:v>45</x:v>
      </x:c>
      <x:c r="G4479" s="0" t="s">
        <x:v>19</x:v>
      </x:c>
      <x:c r="H4479" s="0" t="s">
        <x:v>20</x:v>
      </x:c>
      <x:c r="I4479" s="0" t="s">
        <x:v>21</x:v>
      </x:c>
      <x:c r="K4479" s="0">
        <x:f>hyperlink("https://icd.who.int/dev11/l-ichi/en#/http%3A%2F%2Fid.who.int%2Ficd%2Fentity%2F945833753","browser")</x:f>
      </x:c>
      <x:c r="L4479" s="0">
        <x:f>hyperlink("https://icat2.azurewebsites.net/icat/?ontology=ICD&amp;tab=ClassesTab&amp;id=http%3A%2F%2Fwho.int%2Ficd%2323685_512ebf36_bf6b_4d70_85da_cf2637062af4","iCat")</x:f>
      </x:c>
      <x:c r="M4479" s="0" t="s">
        <x:v>21</x:v>
      </x:c>
      <x:c r="N4479" s="0" t="s">
        <x:v>46</x:v>
      </x:c>
    </x:row>
    <x:row r="4480" spans="1:16">
      <x:c r="A4480" s="0" t="s">
        <x:v>17764</x:v>
      </x:c>
      <x:c r="B4480" s="0" t="s">
        <x:v>17765</x:v>
      </x:c>
      <x:c r="C4480" s="0" t="s">
        <x:v>17766</x:v>
      </x:c>
      <x:c r="E4480" s="0" t="s">
        <x:v>17767</x:v>
      </x:c>
      <x:c r="F4480" s="0" t="s">
        <x:v>45</x:v>
      </x:c>
      <x:c r="G4480" s="0" t="s">
        <x:v>19</x:v>
      </x:c>
      <x:c r="H4480" s="0" t="s">
        <x:v>20</x:v>
      </x:c>
      <x:c r="I4480" s="0" t="s">
        <x:v>21</x:v>
      </x:c>
      <x:c r="K4480" s="0">
        <x:f>hyperlink("https://icd.who.int/dev11/l-ichi/en#/http%3A%2F%2Fid.who.int%2Ficd%2Fentity%2F573012419","browser")</x:f>
      </x:c>
      <x:c r="L4480" s="0">
        <x:f>hyperlink("https://icat2.azurewebsites.net/icat/?ontology=ICD&amp;tab=ClassesTab&amp;id=http%3A%2F%2Fwho.int%2Ficd%2323692_512ebf36_bf6b_4d70_85da_cf2637062af4","iCat")</x:f>
      </x:c>
      <x:c r="M4480" s="0" t="s">
        <x:v>21</x:v>
      </x:c>
      <x:c r="N4480" s="0" t="s">
        <x:v>46</x:v>
      </x:c>
    </x:row>
    <x:row r="4481" spans="1:16">
      <x:c r="A4481" s="0" t="s">
        <x:v>17768</x:v>
      </x:c>
      <x:c r="B4481" s="0" t="s">
        <x:v>17769</x:v>
      </x:c>
      <x:c r="C4481" s="0" t="s">
        <x:v>17770</x:v>
      </x:c>
      <x:c r="E4481" s="0" t="s">
        <x:v>17771</x:v>
      </x:c>
      <x:c r="F4481" s="0" t="s">
        <x:v>45</x:v>
      </x:c>
      <x:c r="G4481" s="0" t="s">
        <x:v>19</x:v>
      </x:c>
      <x:c r="H4481" s="0" t="s">
        <x:v>20</x:v>
      </x:c>
      <x:c r="I4481" s="0" t="s">
        <x:v>21</x:v>
      </x:c>
      <x:c r="K4481" s="0">
        <x:f>hyperlink("https://icd.who.int/dev11/l-ichi/en#/http%3A%2F%2Fid.who.int%2Ficd%2Fentity%2F165287251","browser")</x:f>
      </x:c>
      <x:c r="L4481" s="0">
        <x:f>hyperlink("https://icat2.azurewebsites.net/icat/?ontology=ICD&amp;tab=ClassesTab&amp;id=http%3A%2F%2Fwho.int%2Ficd%2323698_512ebf36_bf6b_4d70_85da_cf2637062af4","iCat")</x:f>
      </x:c>
      <x:c r="M4481" s="0" t="s">
        <x:v>21</x:v>
      </x:c>
      <x:c r="N4481" s="0" t="s">
        <x:v>46</x:v>
      </x:c>
    </x:row>
    <x:row r="4482" spans="1:16">
      <x:c r="A4482" s="0" t="s">
        <x:v>17772</x:v>
      </x:c>
      <x:c r="B4482" s="0" t="s">
        <x:v>17773</x:v>
      </x:c>
      <x:c r="C4482" s="0" t="s">
        <x:v>17774</x:v>
      </x:c>
      <x:c r="E4482" s="0" t="s">
        <x:v>17775</x:v>
      </x:c>
      <x:c r="F4482" s="0" t="s">
        <x:v>45</x:v>
      </x:c>
      <x:c r="G4482" s="0" t="s">
        <x:v>19</x:v>
      </x:c>
      <x:c r="H4482" s="0" t="s">
        <x:v>20</x:v>
      </x:c>
      <x:c r="I4482" s="0" t="s">
        <x:v>21</x:v>
      </x:c>
      <x:c r="K4482" s="0">
        <x:f>hyperlink("https://icd.who.int/dev11/l-ichi/en#/http%3A%2F%2Fid.who.int%2Ficd%2Fentity%2F1389287490","browser")</x:f>
      </x:c>
      <x:c r="L4482" s="0">
        <x:f>hyperlink("https://icat2.azurewebsites.net/icat/?ontology=ICD&amp;tab=ClassesTab&amp;id=http%3A%2F%2Fwho.int%2Ficd%2323705_512ebf36_bf6b_4d70_85da_cf2637062af4","iCat")</x:f>
      </x:c>
      <x:c r="M4482" s="0" t="s">
        <x:v>21</x:v>
      </x:c>
      <x:c r="N4482" s="0" t="s">
        <x:v>46</x:v>
      </x:c>
    </x:row>
    <x:row r="4483" spans="1:16">
      <x:c r="A4483" s="0" t="s">
        <x:v>17776</x:v>
      </x:c>
      <x:c r="B4483" s="0" t="s">
        <x:v>17777</x:v>
      </x:c>
      <x:c r="C4483" s="0" t="s">
        <x:v>17778</x:v>
      </x:c>
      <x:c r="E4483" s="0" t="s">
        <x:v>17779</x:v>
      </x:c>
      <x:c r="F4483" s="0" t="s">
        <x:v>45</x:v>
      </x:c>
      <x:c r="G4483" s="0" t="s">
        <x:v>19</x:v>
      </x:c>
      <x:c r="H4483" s="0" t="s">
        <x:v>20</x:v>
      </x:c>
      <x:c r="I4483" s="0" t="s">
        <x:v>21</x:v>
      </x:c>
      <x:c r="K4483" s="0">
        <x:f>hyperlink("https://icd.who.int/dev11/l-ichi/en#/http%3A%2F%2Fid.who.int%2Ficd%2Fentity%2F418529067","browser")</x:f>
      </x:c>
      <x:c r="L4483" s="0">
        <x:f>hyperlink("https://icat2.azurewebsites.net/icat/?ontology=ICD&amp;tab=ClassesTab&amp;id=http%3A%2F%2Fwho.int%2Ficd%2323714_512ebf36_bf6b_4d70_85da_cf2637062af4","iCat")</x:f>
      </x:c>
      <x:c r="M4483" s="0" t="s">
        <x:v>21</x:v>
      </x:c>
      <x:c r="N4483" s="0" t="s">
        <x:v>46</x:v>
      </x:c>
    </x:row>
    <x:row r="4484" spans="1:16">
      <x:c r="A4484" s="0" t="s">
        <x:v>17780</x:v>
      </x:c>
      <x:c r="B4484" s="0" t="s">
        <x:v>17781</x:v>
      </x:c>
      <x:c r="C4484" s="0" t="s">
        <x:v>17782</x:v>
      </x:c>
      <x:c r="E4484" s="0" t="s">
        <x:v>17783</x:v>
      </x:c>
      <x:c r="F4484" s="0" t="s">
        <x:v>45</x:v>
      </x:c>
      <x:c r="G4484" s="0" t="s">
        <x:v>19</x:v>
      </x:c>
      <x:c r="H4484" s="0" t="s">
        <x:v>20</x:v>
      </x:c>
      <x:c r="I4484" s="0" t="s">
        <x:v>21</x:v>
      </x:c>
      <x:c r="K4484" s="0">
        <x:f>hyperlink("https://icd.who.int/dev11/l-ichi/en#/http%3A%2F%2Fid.who.int%2Ficd%2Fentity%2F1293425797","browser")</x:f>
      </x:c>
      <x:c r="L4484" s="0">
        <x:f>hyperlink("https://icat2.azurewebsites.net/icat/?ontology=ICD&amp;tab=ClassesTab&amp;id=http%3A%2F%2Fwho.int%2Ficd%23265_daf54e7f_3c71_448d_b36c_01e98ec00e06","iCat")</x:f>
      </x:c>
      <x:c r="M4484" s="0" t="s">
        <x:v>21</x:v>
      </x:c>
      <x:c r="N4484" s="0" t="s">
        <x:v>46</x:v>
      </x:c>
    </x:row>
    <x:row r="4485" spans="1:16">
      <x:c r="A4485" s="0" t="s">
        <x:v>17784</x:v>
      </x:c>
      <x:c r="B4485" s="0" t="s">
        <x:v>17785</x:v>
      </x:c>
      <x:c r="C4485" s="0" t="s">
        <x:v>17786</x:v>
      </x:c>
      <x:c r="E4485" s="0" t="s">
        <x:v>17787</x:v>
      </x:c>
      <x:c r="F4485" s="0" t="s">
        <x:v>45</x:v>
      </x:c>
      <x:c r="G4485" s="0" t="s">
        <x:v>19</x:v>
      </x:c>
      <x:c r="H4485" s="0" t="s">
        <x:v>20</x:v>
      </x:c>
      <x:c r="I4485" s="0" t="s">
        <x:v>21</x:v>
      </x:c>
      <x:c r="K4485" s="0">
        <x:f>hyperlink("https://icd.who.int/dev11/l-ichi/en#/http%3A%2F%2Fid.who.int%2Ficd%2Fentity%2F1982851491","browser")</x:f>
      </x:c>
      <x:c r="L4485" s="0">
        <x:f>hyperlink("https://icat2.azurewebsites.net/icat/?ontology=ICD&amp;tab=ClassesTab&amp;id=http%3A%2F%2Fwho.int%2Ficd%23259_daf54e7f_3c71_448d_b36c_01e98ec00e06","iCat")</x:f>
      </x:c>
      <x:c r="M4485" s="0" t="s">
        <x:v>21</x:v>
      </x:c>
      <x:c r="N4485" s="0" t="s">
        <x:v>46</x:v>
      </x:c>
    </x:row>
    <x:row r="4486" spans="1:16">
      <x:c r="A4486" s="0" t="s">
        <x:v>17788</x:v>
      </x:c>
      <x:c r="B4486" s="0" t="s">
        <x:v>17789</x:v>
      </x:c>
      <x:c r="C4486" s="0" t="s">
        <x:v>17790</x:v>
      </x:c>
      <x:c r="E4486" s="0" t="s">
        <x:v>17791</x:v>
      </x:c>
      <x:c r="F4486" s="0" t="s">
        <x:v>45</x:v>
      </x:c>
      <x:c r="G4486" s="0" t="s">
        <x:v>19</x:v>
      </x:c>
      <x:c r="H4486" s="0" t="s">
        <x:v>20</x:v>
      </x:c>
      <x:c r="I4486" s="0" t="s">
        <x:v>21</x:v>
      </x:c>
      <x:c r="K4486" s="0">
        <x:f>hyperlink("https://icd.who.int/dev11/l-ichi/en#/http%3A%2F%2Fid.who.int%2Ficd%2Fentity%2F1833220952","browser")</x:f>
      </x:c>
      <x:c r="L4486" s="0">
        <x:f>hyperlink("https://icat2.azurewebsites.net/icat/?ontology=ICD&amp;tab=ClassesTab&amp;id=http%3A%2F%2Fwho.int%2Ficd%2323720_512ebf36_bf6b_4d70_85da_cf2637062af4","iCat")</x:f>
      </x:c>
      <x:c r="M4486" s="0" t="s">
        <x:v>21</x:v>
      </x:c>
      <x:c r="N4486" s="0" t="s">
        <x:v>46</x:v>
      </x:c>
    </x:row>
    <x:row r="4487" spans="1:16">
      <x:c r="A4487" s="0" t="s">
        <x:v>17792</x:v>
      </x:c>
      <x:c r="B4487" s="0" t="s">
        <x:v>17793</x:v>
      </x:c>
      <x:c r="C4487" s="0" t="s">
        <x:v>17794</x:v>
      </x:c>
      <x:c r="E4487" s="0" t="s">
        <x:v>17795</x:v>
      </x:c>
      <x:c r="F4487" s="0" t="s">
        <x:v>45</x:v>
      </x:c>
      <x:c r="G4487" s="0" t="s">
        <x:v>19</x:v>
      </x:c>
      <x:c r="H4487" s="0" t="s">
        <x:v>20</x:v>
      </x:c>
      <x:c r="I4487" s="0" t="s">
        <x:v>21</x:v>
      </x:c>
      <x:c r="K4487" s="0">
        <x:f>hyperlink("https://icd.who.int/dev11/l-ichi/en#/http%3A%2F%2Fid.who.int%2Ficd%2Fentity%2F499519701","browser")</x:f>
      </x:c>
      <x:c r="L4487" s="0">
        <x:f>hyperlink("https://icat2.azurewebsites.net/icat/?ontology=ICD&amp;tab=ClassesTab&amp;id=http%3A%2F%2Fwho.int%2Ficd%2323727_512ebf36_bf6b_4d70_85da_cf2637062af4","iCat")</x:f>
      </x:c>
      <x:c r="M4487" s="0" t="s">
        <x:v>21</x:v>
      </x:c>
      <x:c r="N4487" s="0" t="s">
        <x:v>46</x:v>
      </x:c>
    </x:row>
    <x:row r="4488" spans="1:16">
      <x:c r="A4488" s="0" t="s">
        <x:v>17796</x:v>
      </x:c>
      <x:c r="B4488" s="0" t="s">
        <x:v>17797</x:v>
      </x:c>
      <x:c r="C4488" s="0" t="s">
        <x:v>17798</x:v>
      </x:c>
      <x:c r="E4488" s="0" t="s">
        <x:v>17799</x:v>
      </x:c>
      <x:c r="F4488" s="0" t="s">
        <x:v>45</x:v>
      </x:c>
      <x:c r="G4488" s="0" t="s">
        <x:v>19</x:v>
      </x:c>
      <x:c r="H4488" s="0" t="s">
        <x:v>20</x:v>
      </x:c>
      <x:c r="I4488" s="0" t="s">
        <x:v>21</x:v>
      </x:c>
      <x:c r="K4488" s="0">
        <x:f>hyperlink("https://icd.who.int/dev11/l-ichi/en#/http%3A%2F%2Fid.who.int%2Ficd%2Fentity%2F847702651","browser")</x:f>
      </x:c>
      <x:c r="L4488" s="0">
        <x:f>hyperlink("https://icat2.azurewebsites.net/icat/?ontology=ICD&amp;tab=ClassesTab&amp;id=http%3A%2F%2Fwho.int%2Ficd%2323734_512ebf36_bf6b_4d70_85da_cf2637062af4","iCat")</x:f>
      </x:c>
      <x:c r="M4488" s="0" t="s">
        <x:v>21</x:v>
      </x:c>
      <x:c r="N4488" s="0" t="s">
        <x:v>46</x:v>
      </x:c>
    </x:row>
    <x:row r="4489" spans="1:16">
      <x:c r="A4489" s="0" t="s">
        <x:v>17800</x:v>
      </x:c>
      <x:c r="B4489" s="0" t="s">
        <x:v>17801</x:v>
      </x:c>
      <x:c r="C4489" s="0" t="s">
        <x:v>17802</x:v>
      </x:c>
      <x:c r="E4489" s="0" t="s">
        <x:v>17803</x:v>
      </x:c>
      <x:c r="F4489" s="0" t="s">
        <x:v>45</x:v>
      </x:c>
      <x:c r="G4489" s="0" t="s">
        <x:v>19</x:v>
      </x:c>
      <x:c r="H4489" s="0" t="s">
        <x:v>20</x:v>
      </x:c>
      <x:c r="I4489" s="0" t="s">
        <x:v>21</x:v>
      </x:c>
      <x:c r="K4489" s="0">
        <x:f>hyperlink("https://icd.who.int/dev11/l-ichi/en#/http%3A%2F%2Fid.who.int%2Ficd%2Fentity%2F1627793343","browser")</x:f>
      </x:c>
      <x:c r="L4489" s="0">
        <x:f>hyperlink("https://icat2.azurewebsites.net/icat/?ontology=ICD&amp;tab=ClassesTab&amp;id=http%3A%2F%2Fwho.int%2Ficd%2323806_512ebf36_bf6b_4d70_85da_cf2637062af4","iCat")</x:f>
      </x:c>
      <x:c r="M4489" s="0" t="s">
        <x:v>21</x:v>
      </x:c>
      <x:c r="N4489" s="0" t="s">
        <x:v>46</x:v>
      </x:c>
    </x:row>
    <x:row r="4490" spans="1:16">
      <x:c r="A4490" s="0" t="s">
        <x:v>17804</x:v>
      </x:c>
      <x:c r="B4490" s="0" t="s">
        <x:v>17805</x:v>
      </x:c>
      <x:c r="C4490" s="0" t="s">
        <x:v>17806</x:v>
      </x:c>
      <x:c r="E4490" s="0" t="s">
        <x:v>17807</x:v>
      </x:c>
      <x:c r="F4490" s="0" t="s">
        <x:v>45</x:v>
      </x:c>
      <x:c r="G4490" s="0" t="s">
        <x:v>19</x:v>
      </x:c>
      <x:c r="H4490" s="0" t="s">
        <x:v>20</x:v>
      </x:c>
      <x:c r="I4490" s="0" t="s">
        <x:v>21</x:v>
      </x:c>
      <x:c r="K4490" s="0">
        <x:f>hyperlink("https://icd.who.int/dev11/l-ichi/en#/http%3A%2F%2Fid.who.int%2Ficd%2Fentity%2F185504155","browser")</x:f>
      </x:c>
      <x:c r="L4490" s="0">
        <x:f>hyperlink("https://icat2.azurewebsites.net/icat/?ontology=ICD&amp;tab=ClassesTab&amp;id=http%3A%2F%2Fwho.int%2Ficd%231192_94acc4f6_b696_4796_914a_62879ddd4f65","iCat")</x:f>
      </x:c>
      <x:c r="M4490" s="0" t="s">
        <x:v>21</x:v>
      </x:c>
      <x:c r="N4490" s="0" t="s">
        <x:v>46</x:v>
      </x:c>
    </x:row>
    <x:row r="4491" spans="1:16">
      <x:c r="A4491" s="0" t="s">
        <x:v>17808</x:v>
      </x:c>
      <x:c r="B4491" s="0" t="s">
        <x:v>17809</x:v>
      </x:c>
      <x:c r="C4491" s="0" t="s">
        <x:v>17810</x:v>
      </x:c>
      <x:c r="E4491" s="0" t="s">
        <x:v>17811</x:v>
      </x:c>
      <x:c r="F4491" s="0" t="s">
        <x:v>45</x:v>
      </x:c>
      <x:c r="G4491" s="0" t="s">
        <x:v>19</x:v>
      </x:c>
      <x:c r="H4491" s="0" t="s">
        <x:v>20</x:v>
      </x:c>
      <x:c r="I4491" s="0" t="s">
        <x:v>21</x:v>
      </x:c>
      <x:c r="K4491" s="0">
        <x:f>hyperlink("https://icd.who.int/dev11/l-ichi/en#/http%3A%2F%2Fid.who.int%2Ficd%2Fentity%2F1313270138","browser")</x:f>
      </x:c>
      <x:c r="L4491" s="0">
        <x:f>hyperlink("https://icat2.azurewebsites.net/icat/?ontology=ICD&amp;tab=ClassesTab&amp;id=http%3A%2F%2Fwho.int%2Ficd%2354_ca295345_04da_4973_8b0f_7a84ba6d528f","iCat")</x:f>
      </x:c>
      <x:c r="M4491" s="0" t="s">
        <x:v>21</x:v>
      </x:c>
      <x:c r="N4491" s="0" t="s">
        <x:v>46</x:v>
      </x:c>
    </x:row>
    <x:row r="4492" spans="1:16">
      <x:c r="A4492" s="0" t="s">
        <x:v>17812</x:v>
      </x:c>
      <x:c r="B4492" s="0" t="s">
        <x:v>17813</x:v>
      </x:c>
      <x:c r="C4492" s="0" t="s">
        <x:v>17814</x:v>
      </x:c>
      <x:c r="E4492" s="0" t="s">
        <x:v>17815</x:v>
      </x:c>
      <x:c r="F4492" s="0" t="s">
        <x:v>45</x:v>
      </x:c>
      <x:c r="G4492" s="0" t="s">
        <x:v>19</x:v>
      </x:c>
      <x:c r="H4492" s="0" t="s">
        <x:v>20</x:v>
      </x:c>
      <x:c r="I4492" s="0" t="s">
        <x:v>21</x:v>
      </x:c>
      <x:c r="K4492" s="0">
        <x:f>hyperlink("https://icd.who.int/dev11/l-ichi/en#/http%3A%2F%2Fid.who.int%2Ficd%2Fentity%2F397299497","browser")</x:f>
      </x:c>
      <x:c r="L4492" s="0">
        <x:f>hyperlink("https://icat2.azurewebsites.net/icat/?ontology=ICD&amp;tab=ClassesTab&amp;id=http%3A%2F%2Fwho.int%2Ficd%2323741_512ebf36_bf6b_4d70_85da_cf2637062af4","iCat")</x:f>
      </x:c>
      <x:c r="M4492" s="0" t="s">
        <x:v>21</x:v>
      </x:c>
      <x:c r="N4492" s="0" t="s">
        <x:v>46</x:v>
      </x:c>
    </x:row>
    <x:row r="4493" spans="1:16">
      <x:c r="A4493" s="0" t="s">
        <x:v>17816</x:v>
      </x:c>
      <x:c r="B4493" s="0" t="s">
        <x:v>17817</x:v>
      </x:c>
      <x:c r="C4493" s="0" t="s">
        <x:v>17818</x:v>
      </x:c>
      <x:c r="E4493" s="0" t="s">
        <x:v>17819</x:v>
      </x:c>
      <x:c r="F4493" s="0" t="s">
        <x:v>45</x:v>
      </x:c>
      <x:c r="G4493" s="0" t="s">
        <x:v>19</x:v>
      </x:c>
      <x:c r="H4493" s="0" t="s">
        <x:v>20</x:v>
      </x:c>
      <x:c r="I4493" s="0" t="s">
        <x:v>21</x:v>
      </x:c>
      <x:c r="K4493" s="0">
        <x:f>hyperlink("https://icd.who.int/dev11/l-ichi/en#/http%3A%2F%2Fid.who.int%2Ficd%2Fentity%2F1205180058","browser")</x:f>
      </x:c>
      <x:c r="L4493" s="0">
        <x:f>hyperlink("https://icat2.azurewebsites.net/icat/?ontology=ICD&amp;tab=ClassesTab&amp;id=http%3A%2F%2Fwho.int%2Ficd%2323747_512ebf36_bf6b_4d70_85da_cf2637062af4","iCat")</x:f>
      </x:c>
      <x:c r="M4493" s="0" t="s">
        <x:v>21</x:v>
      </x:c>
      <x:c r="N4493" s="0" t="s">
        <x:v>46</x:v>
      </x:c>
    </x:row>
    <x:row r="4494" spans="1:16">
      <x:c r="A4494" s="0" t="s">
        <x:v>17820</x:v>
      </x:c>
      <x:c r="B4494" s="0" t="s">
        <x:v>17821</x:v>
      </x:c>
      <x:c r="C4494" s="0" t="s">
        <x:v>17822</x:v>
      </x:c>
      <x:c r="E4494" s="0" t="s">
        <x:v>17823</x:v>
      </x:c>
      <x:c r="F4494" s="0" t="s">
        <x:v>45</x:v>
      </x:c>
      <x:c r="G4494" s="0" t="s">
        <x:v>19</x:v>
      </x:c>
      <x:c r="H4494" s="0" t="s">
        <x:v>20</x:v>
      </x:c>
      <x:c r="I4494" s="0" t="s">
        <x:v>21</x:v>
      </x:c>
      <x:c r="K4494" s="0">
        <x:f>hyperlink("https://icd.who.int/dev11/l-ichi/en#/http%3A%2F%2Fid.who.int%2Ficd%2Fentity%2F404211643","browser")</x:f>
      </x:c>
      <x:c r="L4494" s="0">
        <x:f>hyperlink("https://icat2.azurewebsites.net/icat/?ontology=ICD&amp;tab=ClassesTab&amp;id=http%3A%2F%2Fwho.int%2Ficd%2323753_512ebf36_bf6b_4d70_85da_cf2637062af4","iCat")</x:f>
      </x:c>
      <x:c r="M4494" s="0" t="s">
        <x:v>21</x:v>
      </x:c>
      <x:c r="N4494" s="0" t="s">
        <x:v>46</x:v>
      </x:c>
    </x:row>
    <x:row r="4495" spans="1:16">
      <x:c r="A4495" s="0" t="s">
        <x:v>17824</x:v>
      </x:c>
      <x:c r="B4495" s="0" t="s">
        <x:v>17825</x:v>
      </x:c>
      <x:c r="C4495" s="0" t="s">
        <x:v>17826</x:v>
      </x:c>
      <x:c r="E4495" s="0" t="s">
        <x:v>17827</x:v>
      </x:c>
      <x:c r="F4495" s="0" t="s">
        <x:v>45</x:v>
      </x:c>
      <x:c r="G4495" s="0" t="s">
        <x:v>19</x:v>
      </x:c>
      <x:c r="H4495" s="0" t="s">
        <x:v>20</x:v>
      </x:c>
      <x:c r="I4495" s="0" t="s">
        <x:v>21</x:v>
      </x:c>
      <x:c r="K4495" s="0">
        <x:f>hyperlink("https://icd.who.int/dev11/l-ichi/en#/http%3A%2F%2Fid.who.int%2Ficd%2Fentity%2F507315362","browser")</x:f>
      </x:c>
      <x:c r="L4495" s="0">
        <x:f>hyperlink("https://icat2.azurewebsites.net/icat/?ontology=ICD&amp;tab=ClassesTab&amp;id=http%3A%2F%2Fwho.int%2Ficd%2323813_512ebf36_bf6b_4d70_85da_cf2637062af4","iCat")</x:f>
      </x:c>
      <x:c r="M4495" s="0" t="s">
        <x:v>21</x:v>
      </x:c>
      <x:c r="N4495" s="0" t="s">
        <x:v>46</x:v>
      </x:c>
    </x:row>
    <x:row r="4496" spans="1:16">
      <x:c r="A4496" s="0" t="s">
        <x:v>17828</x:v>
      </x:c>
      <x:c r="B4496" s="0" t="s">
        <x:v>17829</x:v>
      </x:c>
      <x:c r="C4496" s="0" t="s">
        <x:v>17830</x:v>
      </x:c>
      <x:c r="E4496" s="0" t="s">
        <x:v>17831</x:v>
      </x:c>
      <x:c r="F4496" s="0" t="s">
        <x:v>45</x:v>
      </x:c>
      <x:c r="G4496" s="0" t="s">
        <x:v>19</x:v>
      </x:c>
      <x:c r="H4496" s="0" t="s">
        <x:v>20</x:v>
      </x:c>
      <x:c r="I4496" s="0" t="s">
        <x:v>21</x:v>
      </x:c>
      <x:c r="K4496" s="0">
        <x:f>hyperlink("https://icd.who.int/dev11/l-ichi/en#/http%3A%2F%2Fid.who.int%2Ficd%2Fentity%2F871017259","browser")</x:f>
      </x:c>
      <x:c r="L4496" s="0">
        <x:f>hyperlink("https://icat2.azurewebsites.net/icat/?ontology=ICD&amp;tab=ClassesTab&amp;id=http%3A%2F%2Fwho.int%2Ficd%2323759_512ebf36_bf6b_4d70_85da_cf2637062af4","iCat")</x:f>
      </x:c>
      <x:c r="M4496" s="0" t="s">
        <x:v>21</x:v>
      </x:c>
      <x:c r="N4496" s="0" t="s">
        <x:v>46</x:v>
      </x:c>
    </x:row>
    <x:row r="4497" spans="1:16">
      <x:c r="A4497" s="0" t="s">
        <x:v>17832</x:v>
      </x:c>
      <x:c r="B4497" s="0" t="s">
        <x:v>17833</x:v>
      </x:c>
      <x:c r="C4497" s="0" t="s">
        <x:v>17834</x:v>
      </x:c>
      <x:c r="E4497" s="0" t="s">
        <x:v>17835</x:v>
      </x:c>
      <x:c r="F4497" s="0" t="s">
        <x:v>45</x:v>
      </x:c>
      <x:c r="G4497" s="0" t="s">
        <x:v>19</x:v>
      </x:c>
      <x:c r="H4497" s="0" t="s">
        <x:v>20</x:v>
      </x:c>
      <x:c r="I4497" s="0" t="s">
        <x:v>21</x:v>
      </x:c>
      <x:c r="K4497" s="0">
        <x:f>hyperlink("https://icd.who.int/dev11/l-ichi/en#/http%3A%2F%2Fid.who.int%2Ficd%2Fentity%2F148725261","browser")</x:f>
      </x:c>
      <x:c r="L4497" s="0">
        <x:f>hyperlink("https://icat2.azurewebsites.net/icat/?ontology=ICD&amp;tab=ClassesTab&amp;id=http%3A%2F%2Fwho.int%2Ficd%2323765_512ebf36_bf6b_4d70_85da_cf2637062af4","iCat")</x:f>
      </x:c>
      <x:c r="M4497" s="0" t="s">
        <x:v>21</x:v>
      </x:c>
      <x:c r="N4497" s="0" t="s">
        <x:v>46</x:v>
      </x:c>
    </x:row>
    <x:row r="4498" spans="1:16">
      <x:c r="A4498" s="0" t="s">
        <x:v>17836</x:v>
      </x:c>
      <x:c r="B4498" s="0" t="s">
        <x:v>17837</x:v>
      </x:c>
      <x:c r="C4498" s="0" t="s">
        <x:v>17838</x:v>
      </x:c>
      <x:c r="E4498" s="0" t="s">
        <x:v>17839</x:v>
      </x:c>
      <x:c r="F4498" s="0" t="s">
        <x:v>45</x:v>
      </x:c>
      <x:c r="G4498" s="0" t="s">
        <x:v>19</x:v>
      </x:c>
      <x:c r="H4498" s="0" t="s">
        <x:v>20</x:v>
      </x:c>
      <x:c r="I4498" s="0" t="s">
        <x:v>21</x:v>
      </x:c>
      <x:c r="K4498" s="0">
        <x:f>hyperlink("https://icd.who.int/dev11/l-ichi/en#/http%3A%2F%2Fid.who.int%2Ficd%2Fentity%2F312107223","browser")</x:f>
      </x:c>
      <x:c r="L4498" s="0">
        <x:f>hyperlink("https://icat2.azurewebsites.net/icat/?ontology=ICD&amp;tab=ClassesTab&amp;id=http%3A%2F%2Fwho.int%2Ficd%2323772_512ebf36_bf6b_4d70_85da_cf2637062af4","iCat")</x:f>
      </x:c>
      <x:c r="M4498" s="0" t="s">
        <x:v>21</x:v>
      </x:c>
      <x:c r="N4498" s="0" t="s">
        <x:v>46</x:v>
      </x:c>
    </x:row>
    <x:row r="4499" spans="1:16">
      <x:c r="A4499" s="0" t="s">
        <x:v>17840</x:v>
      </x:c>
      <x:c r="B4499" s="0" t="s">
        <x:v>17841</x:v>
      </x:c>
      <x:c r="C4499" s="0" t="s">
        <x:v>17842</x:v>
      </x:c>
      <x:c r="E4499" s="0" t="s">
        <x:v>17843</x:v>
      </x:c>
      <x:c r="F4499" s="0" t="s">
        <x:v>45</x:v>
      </x:c>
      <x:c r="G4499" s="0" t="s">
        <x:v>19</x:v>
      </x:c>
      <x:c r="H4499" s="0" t="s">
        <x:v>20</x:v>
      </x:c>
      <x:c r="I4499" s="0" t="s">
        <x:v>21</x:v>
      </x:c>
      <x:c r="K4499" s="0">
        <x:f>hyperlink("https://icd.who.int/dev11/l-ichi/en#/http%3A%2F%2Fid.who.int%2Ficd%2Fentity%2F963054663","browser")</x:f>
      </x:c>
      <x:c r="L4499" s="0">
        <x:f>hyperlink("https://icat2.azurewebsites.net/icat/?ontology=ICD&amp;tab=ClassesTab&amp;id=http%3A%2F%2Fwho.int%2Ficd%2323778_512ebf36_bf6b_4d70_85da_cf2637062af4","iCat")</x:f>
      </x:c>
      <x:c r="M4499" s="0" t="s">
        <x:v>21</x:v>
      </x:c>
      <x:c r="N4499" s="0" t="s">
        <x:v>46</x:v>
      </x:c>
    </x:row>
    <x:row r="4500" spans="1:16">
      <x:c r="A4500" s="0" t="s">
        <x:v>17844</x:v>
      </x:c>
      <x:c r="B4500" s="0" t="s">
        <x:v>17845</x:v>
      </x:c>
      <x:c r="C4500" s="0" t="s">
        <x:v>17846</x:v>
      </x:c>
      <x:c r="E4500" s="0" t="s">
        <x:v>17847</x:v>
      </x:c>
      <x:c r="F4500" s="0" t="s">
        <x:v>45</x:v>
      </x:c>
      <x:c r="G4500" s="0" t="s">
        <x:v>19</x:v>
      </x:c>
      <x:c r="H4500" s="0" t="s">
        <x:v>20</x:v>
      </x:c>
      <x:c r="I4500" s="0" t="s">
        <x:v>21</x:v>
      </x:c>
      <x:c r="K4500" s="0">
        <x:f>hyperlink("https://icd.who.int/dev11/l-ichi/en#/http%3A%2F%2Fid.who.int%2Ficd%2Fentity%2F1308590468","browser")</x:f>
      </x:c>
      <x:c r="L4500" s="0">
        <x:f>hyperlink("https://icat2.azurewebsites.net/icat/?ontology=ICD&amp;tab=ClassesTab&amp;id=http%3A%2F%2Fwho.int%2Ficd%2323785_512ebf36_bf6b_4d70_85da_cf2637062af4","iCat")</x:f>
      </x:c>
      <x:c r="M4500" s="0" t="s">
        <x:v>21</x:v>
      </x:c>
      <x:c r="N4500" s="0" t="s">
        <x:v>46</x:v>
      </x:c>
    </x:row>
    <x:row r="4501" spans="1:16">
      <x:c r="A4501" s="0" t="s">
        <x:v>17848</x:v>
      </x:c>
      <x:c r="B4501" s="0" t="s">
        <x:v>17849</x:v>
      </x:c>
      <x:c r="C4501" s="0" t="s">
        <x:v>17850</x:v>
      </x:c>
      <x:c r="E4501" s="0" t="s">
        <x:v>17851</x:v>
      </x:c>
      <x:c r="F4501" s="0" t="s">
        <x:v>45</x:v>
      </x:c>
      <x:c r="G4501" s="0" t="s">
        <x:v>19</x:v>
      </x:c>
      <x:c r="H4501" s="0" t="s">
        <x:v>20</x:v>
      </x:c>
      <x:c r="I4501" s="0" t="s">
        <x:v>21</x:v>
      </x:c>
      <x:c r="K4501" s="0">
        <x:f>hyperlink("https://icd.who.int/dev11/l-ichi/en#/http%3A%2F%2Fid.who.int%2Ficd%2Fentity%2F1471725406","browser")</x:f>
      </x:c>
      <x:c r="L4501" s="0">
        <x:f>hyperlink("https://icat2.azurewebsites.net/icat/?ontology=ICD&amp;tab=ClassesTab&amp;id=http%3A%2F%2Fwho.int%2Ficd%2323792_512ebf36_bf6b_4d70_85da_cf2637062af4","iCat")</x:f>
      </x:c>
      <x:c r="M4501" s="0" t="s">
        <x:v>21</x:v>
      </x:c>
      <x:c r="N4501" s="0" t="s">
        <x:v>46</x:v>
      </x:c>
    </x:row>
    <x:row r="4502" spans="1:16">
      <x:c r="A4502" s="0" t="s">
        <x:v>17852</x:v>
      </x:c>
      <x:c r="B4502" s="0" t="s">
        <x:v>17853</x:v>
      </x:c>
      <x:c r="C4502" s="0" t="s">
        <x:v>17854</x:v>
      </x:c>
      <x:c r="E4502" s="0" t="s">
        <x:v>17855</x:v>
      </x:c>
      <x:c r="F4502" s="0" t="s">
        <x:v>45</x:v>
      </x:c>
      <x:c r="G4502" s="0" t="s">
        <x:v>19</x:v>
      </x:c>
      <x:c r="H4502" s="0" t="s">
        <x:v>20</x:v>
      </x:c>
      <x:c r="I4502" s="0" t="s">
        <x:v>21</x:v>
      </x:c>
      <x:c r="K4502" s="0">
        <x:f>hyperlink("https://icd.who.int/dev11/l-ichi/en#/http%3A%2F%2Fid.who.int%2Ficd%2Fentity%2F1555866100","browser")</x:f>
      </x:c>
      <x:c r="L4502" s="0">
        <x:f>hyperlink("https://icat2.azurewebsites.net/icat/?ontology=ICD&amp;tab=ClassesTab&amp;id=http%3A%2F%2Fwho.int%2Ficd%2323799_512ebf36_bf6b_4d70_85da_cf2637062af4","iCat")</x:f>
      </x:c>
      <x:c r="M4502" s="0" t="s">
        <x:v>21</x:v>
      </x:c>
      <x:c r="N4502" s="0" t="s">
        <x:v>46</x:v>
      </x:c>
    </x:row>
    <x:row r="4503" spans="1:16">
      <x:c r="A4503" s="0" t="s">
        <x:v>17856</x:v>
      </x:c>
      <x:c r="B4503" s="0" t="s">
        <x:v>17857</x:v>
      </x:c>
      <x:c r="C4503" s="0" t="s">
        <x:v>17858</x:v>
      </x:c>
      <x:c r="E4503" s="0" t="s">
        <x:v>17859</x:v>
      </x:c>
      <x:c r="F4503" s="0" t="s">
        <x:v>45</x:v>
      </x:c>
      <x:c r="G4503" s="0" t="s">
        <x:v>19</x:v>
      </x:c>
      <x:c r="H4503" s="0" t="s">
        <x:v>20</x:v>
      </x:c>
      <x:c r="I4503" s="0" t="s">
        <x:v>21</x:v>
      </x:c>
      <x:c r="K4503" s="0">
        <x:f>hyperlink("https://icd.who.int/dev11/l-ichi/en#/http%3A%2F%2Fid.who.int%2Ficd%2Fentity%2F772730666","browser")</x:f>
      </x:c>
      <x:c r="L4503" s="0">
        <x:f>hyperlink("https://icat2.azurewebsites.net/icat/?ontology=ICD&amp;tab=ClassesTab&amp;id=http%3A%2F%2Fwho.int%2Ficd%2323824_512ebf36_bf6b_4d70_85da_cf2637062af4","iCat")</x:f>
      </x:c>
      <x:c r="M4503" s="0" t="s">
        <x:v>21</x:v>
      </x:c>
      <x:c r="N4503" s="0" t="s">
        <x:v>46</x:v>
      </x:c>
    </x:row>
    <x:row r="4504" spans="1:16">
      <x:c r="A4504" s="0" t="s">
        <x:v>17860</x:v>
      </x:c>
      <x:c r="B4504" s="0" t="s">
        <x:v>17861</x:v>
      </x:c>
      <x:c r="C4504" s="0" t="s">
        <x:v>17862</x:v>
      </x:c>
      <x:c r="E4504" s="0" t="s">
        <x:v>17863</x:v>
      </x:c>
      <x:c r="F4504" s="0" t="s">
        <x:v>45</x:v>
      </x:c>
      <x:c r="G4504" s="0" t="s">
        <x:v>19</x:v>
      </x:c>
      <x:c r="H4504" s="0" t="s">
        <x:v>20</x:v>
      </x:c>
      <x:c r="I4504" s="0" t="s">
        <x:v>21</x:v>
      </x:c>
      <x:c r="K4504" s="0">
        <x:f>hyperlink("https://icd.who.int/dev11/l-ichi/en#/http%3A%2F%2Fid.who.int%2Ficd%2Fentity%2F1909243401","browser")</x:f>
      </x:c>
      <x:c r="L4504" s="0">
        <x:f>hyperlink("https://icat2.azurewebsites.net/icat/?ontology=ICD&amp;tab=ClassesTab&amp;id=http%3A%2F%2Fwho.int%2Ficd%2323830_512ebf36_bf6b_4d70_85da_cf2637062af4","iCat")</x:f>
      </x:c>
      <x:c r="M4504" s="0" t="s">
        <x:v>21</x:v>
      </x:c>
      <x:c r="N4504" s="0" t="s">
        <x:v>46</x:v>
      </x:c>
    </x:row>
    <x:row r="4505" spans="1:16">
      <x:c r="A4505" s="0" t="s">
        <x:v>17864</x:v>
      </x:c>
      <x:c r="B4505" s="0" t="s">
        <x:v>17865</x:v>
      </x:c>
      <x:c r="C4505" s="0" t="s">
        <x:v>17866</x:v>
      </x:c>
      <x:c r="E4505" s="0" t="s">
        <x:v>17867</x:v>
      </x:c>
      <x:c r="F4505" s="0" t="s">
        <x:v>45</x:v>
      </x:c>
      <x:c r="G4505" s="0" t="s">
        <x:v>19</x:v>
      </x:c>
      <x:c r="H4505" s="0" t="s">
        <x:v>20</x:v>
      </x:c>
      <x:c r="I4505" s="0" t="s">
        <x:v>21</x:v>
      </x:c>
      <x:c r="K4505" s="0">
        <x:f>hyperlink("https://icd.who.int/dev11/l-ichi/en#/http%3A%2F%2Fid.who.int%2Ficd%2Fentity%2F21894534","browser")</x:f>
      </x:c>
      <x:c r="L4505" s="0">
        <x:f>hyperlink("https://icat2.azurewebsites.net/icat/?ontology=ICD&amp;tab=ClassesTab&amp;id=http%3A%2F%2Fwho.int%2Ficd%2323837_512ebf36_bf6b_4d70_85da_cf2637062af4","iCat")</x:f>
      </x:c>
      <x:c r="M4505" s="0" t="s">
        <x:v>21</x:v>
      </x:c>
      <x:c r="N4505" s="0" t="s">
        <x:v>46</x:v>
      </x:c>
    </x:row>
    <x:row r="4506" spans="1:16">
      <x:c r="A4506" s="0" t="s">
        <x:v>17868</x:v>
      </x:c>
      <x:c r="B4506" s="0" t="s">
        <x:v>17869</x:v>
      </x:c>
      <x:c r="C4506" s="0" t="s">
        <x:v>17870</x:v>
      </x:c>
      <x:c r="E4506" s="0" t="s">
        <x:v>17871</x:v>
      </x:c>
      <x:c r="F4506" s="0" t="s">
        <x:v>45</x:v>
      </x:c>
      <x:c r="G4506" s="0" t="s">
        <x:v>19</x:v>
      </x:c>
      <x:c r="H4506" s="0" t="s">
        <x:v>20</x:v>
      </x:c>
      <x:c r="I4506" s="0" t="s">
        <x:v>21</x:v>
      </x:c>
      <x:c r="K4506" s="0">
        <x:f>hyperlink("https://icd.who.int/dev11/l-ichi/en#/http%3A%2F%2Fid.who.int%2Ficd%2Fentity%2F77578988","browser")</x:f>
      </x:c>
      <x:c r="L4506" s="0">
        <x:f>hyperlink("https://icat2.azurewebsites.net/icat/?ontology=ICD&amp;tab=ClassesTab&amp;id=http%3A%2F%2Fwho.int%2Ficd%2323843_512ebf36_bf6b_4d70_85da_cf2637062af4","iCat")</x:f>
      </x:c>
      <x:c r="M4506" s="0" t="s">
        <x:v>21</x:v>
      </x:c>
      <x:c r="N4506" s="0" t="s">
        <x:v>46</x:v>
      </x:c>
    </x:row>
    <x:row r="4507" spans="1:16">
      <x:c r="A4507" s="0" t="s">
        <x:v>17872</x:v>
      </x:c>
      <x:c r="B4507" s="0" t="s">
        <x:v>17873</x:v>
      </x:c>
      <x:c r="C4507" s="0" t="s">
        <x:v>17874</x:v>
      </x:c>
      <x:c r="E4507" s="0" t="s">
        <x:v>17875</x:v>
      </x:c>
      <x:c r="F4507" s="0" t="s">
        <x:v>45</x:v>
      </x:c>
      <x:c r="G4507" s="0" t="s">
        <x:v>19</x:v>
      </x:c>
      <x:c r="H4507" s="0" t="s">
        <x:v>20</x:v>
      </x:c>
      <x:c r="I4507" s="0" t="s">
        <x:v>21</x:v>
      </x:c>
      <x:c r="K4507" s="0">
        <x:f>hyperlink("https://icd.who.int/dev11/l-ichi/en#/http%3A%2F%2Fid.who.int%2Ficd%2Fentity%2F794996348","browser")</x:f>
      </x:c>
      <x:c r="L4507" s="0">
        <x:f>hyperlink("https://icat2.azurewebsites.net/icat/?ontology=ICD&amp;tab=ClassesTab&amp;id=http%3A%2F%2Fwho.int%2Ficd%2323849_512ebf36_bf6b_4d70_85da_cf2637062af4","iCat")</x:f>
      </x:c>
      <x:c r="M4507" s="0" t="s">
        <x:v>21</x:v>
      </x:c>
      <x:c r="N4507" s="0" t="s">
        <x:v>46</x:v>
      </x:c>
    </x:row>
    <x:row r="4508" spans="1:16">
      <x:c r="A4508" s="0" t="s">
        <x:v>17876</x:v>
      </x:c>
      <x:c r="B4508" s="0" t="s">
        <x:v>17877</x:v>
      </x:c>
      <x:c r="C4508" s="0" t="s">
        <x:v>17878</x:v>
      </x:c>
      <x:c r="E4508" s="0" t="s">
        <x:v>17879</x:v>
      </x:c>
      <x:c r="F4508" s="0" t="s">
        <x:v>45</x:v>
      </x:c>
      <x:c r="G4508" s="0" t="s">
        <x:v>19</x:v>
      </x:c>
      <x:c r="H4508" s="0" t="s">
        <x:v>20</x:v>
      </x:c>
      <x:c r="I4508" s="0" t="s">
        <x:v>21</x:v>
      </x:c>
      <x:c r="K4508" s="0">
        <x:f>hyperlink("https://icd.who.int/dev11/l-ichi/en#/http%3A%2F%2Fid.who.int%2Ficd%2Fentity%2F1042386444","browser")</x:f>
      </x:c>
      <x:c r="L4508" s="0">
        <x:f>hyperlink("https://icat2.azurewebsites.net/icat/?ontology=ICD&amp;tab=ClassesTab&amp;id=http%3A%2F%2Fwho.int%2Ficd%2323855_512ebf36_bf6b_4d70_85da_cf2637062af4","iCat")</x:f>
      </x:c>
      <x:c r="M4508" s="0" t="s">
        <x:v>21</x:v>
      </x:c>
      <x:c r="N4508" s="0" t="s">
        <x:v>46</x:v>
      </x:c>
    </x:row>
    <x:row r="4509" spans="1:16">
      <x:c r="A4509" s="0" t="s">
        <x:v>17880</x:v>
      </x:c>
      <x:c r="B4509" s="0" t="s">
        <x:v>17881</x:v>
      </x:c>
      <x:c r="C4509" s="0" t="s">
        <x:v>17882</x:v>
      </x:c>
      <x:c r="E4509" s="0" t="s">
        <x:v>17883</x:v>
      </x:c>
      <x:c r="F4509" s="0" t="s">
        <x:v>45</x:v>
      </x:c>
      <x:c r="G4509" s="0" t="s">
        <x:v>19</x:v>
      </x:c>
      <x:c r="H4509" s="0" t="s">
        <x:v>20</x:v>
      </x:c>
      <x:c r="I4509" s="0" t="s">
        <x:v>21</x:v>
      </x:c>
      <x:c r="K4509" s="0">
        <x:f>hyperlink("https://icd.who.int/dev11/l-ichi/en#/http%3A%2F%2Fid.who.int%2Ficd%2Fentity%2F236086664","browser")</x:f>
      </x:c>
      <x:c r="L4509" s="0">
        <x:f>hyperlink("https://icat2.azurewebsites.net/icat/?ontology=ICD&amp;tab=ClassesTab&amp;id=http%3A%2F%2Fwho.int%2Ficd%2323862_512ebf36_bf6b_4d70_85da_cf2637062af4","iCat")</x:f>
      </x:c>
      <x:c r="M4509" s="0" t="s">
        <x:v>21</x:v>
      </x:c>
      <x:c r="N4509" s="0" t="s">
        <x:v>46</x:v>
      </x:c>
    </x:row>
    <x:row r="4510" spans="1:16">
      <x:c r="A4510" s="0" t="s">
        <x:v>17884</x:v>
      </x:c>
      <x:c r="B4510" s="0" t="s">
        <x:v>17885</x:v>
      </x:c>
      <x:c r="C4510" s="0" t="s">
        <x:v>17886</x:v>
      </x:c>
      <x:c r="E4510" s="0" t="s">
        <x:v>17887</x:v>
      </x:c>
      <x:c r="F4510" s="0" t="s">
        <x:v>45</x:v>
      </x:c>
      <x:c r="G4510" s="0" t="s">
        <x:v>19</x:v>
      </x:c>
      <x:c r="H4510" s="0" t="s">
        <x:v>20</x:v>
      </x:c>
      <x:c r="I4510" s="0" t="s">
        <x:v>21</x:v>
      </x:c>
      <x:c r="K4510" s="0">
        <x:f>hyperlink("https://icd.who.int/dev11/l-ichi/en#/http%3A%2F%2Fid.who.int%2Ficd%2Fentity%2F85359402","browser")</x:f>
      </x:c>
      <x:c r="L4510" s="0">
        <x:f>hyperlink("https://icat2.azurewebsites.net/icat/?ontology=ICD&amp;tab=ClassesTab&amp;id=http%3A%2F%2Fwho.int%2Ficd%2323869_512ebf36_bf6b_4d70_85da_cf2637062af4","iCat")</x:f>
      </x:c>
      <x:c r="M4510" s="0" t="s">
        <x:v>21</x:v>
      </x:c>
      <x:c r="N4510" s="0" t="s">
        <x:v>46</x:v>
      </x:c>
    </x:row>
    <x:row r="4511" spans="1:16">
      <x:c r="A4511" s="0" t="s">
        <x:v>17888</x:v>
      </x:c>
      <x:c r="B4511" s="0" t="s">
        <x:v>17889</x:v>
      </x:c>
      <x:c r="C4511" s="0" t="s">
        <x:v>17890</x:v>
      </x:c>
      <x:c r="E4511" s="0" t="s">
        <x:v>17891</x:v>
      </x:c>
      <x:c r="F4511" s="0" t="s">
        <x:v>45</x:v>
      </x:c>
      <x:c r="G4511" s="0" t="s">
        <x:v>19</x:v>
      </x:c>
      <x:c r="H4511" s="0" t="s">
        <x:v>20</x:v>
      </x:c>
      <x:c r="I4511" s="0" t="s">
        <x:v>21</x:v>
      </x:c>
      <x:c r="K4511" s="0">
        <x:f>hyperlink("https://icd.who.int/dev11/l-ichi/en#/http%3A%2F%2Fid.who.int%2Ficd%2Fentity%2F1372599461","browser")</x:f>
      </x:c>
      <x:c r="L4511" s="0">
        <x:f>hyperlink("https://icat2.azurewebsites.net/icat/?ontology=ICD&amp;tab=ClassesTab&amp;id=http%3A%2F%2Fwho.int%2Ficd%2323876_512ebf36_bf6b_4d70_85da_cf2637062af4","iCat")</x:f>
      </x:c>
      <x:c r="M4511" s="0" t="s">
        <x:v>21</x:v>
      </x:c>
      <x:c r="N4511" s="0" t="s">
        <x:v>46</x:v>
      </x:c>
    </x:row>
    <x:row r="4512" spans="1:16">
      <x:c r="A4512" s="0" t="s">
        <x:v>17892</x:v>
      </x:c>
      <x:c r="B4512" s="0" t="s">
        <x:v>17893</x:v>
      </x:c>
      <x:c r="C4512" s="0" t="s">
        <x:v>17894</x:v>
      </x:c>
      <x:c r="E4512" s="0" t="s">
        <x:v>17895</x:v>
      </x:c>
      <x:c r="F4512" s="0" t="s">
        <x:v>45</x:v>
      </x:c>
      <x:c r="G4512" s="0" t="s">
        <x:v>19</x:v>
      </x:c>
      <x:c r="H4512" s="0" t="s">
        <x:v>20</x:v>
      </x:c>
      <x:c r="I4512" s="0" t="s">
        <x:v>21</x:v>
      </x:c>
      <x:c r="K4512" s="0">
        <x:f>hyperlink("https://icd.who.int/dev11/l-ichi/en#/http%3A%2F%2Fid.who.int%2Ficd%2Fentity%2F1808386099","browser")</x:f>
      </x:c>
      <x:c r="L4512" s="0">
        <x:f>hyperlink("https://icat2.azurewebsites.net/icat/?ontology=ICD&amp;tab=ClassesTab&amp;id=http%3A%2F%2Fwho.int%2Ficd%2323883_512ebf36_bf6b_4d70_85da_cf2637062af4","iCat")</x:f>
      </x:c>
      <x:c r="M4512" s="0" t="s">
        <x:v>21</x:v>
      </x:c>
      <x:c r="N4512" s="0" t="s">
        <x:v>46</x:v>
      </x:c>
    </x:row>
    <x:row r="4513" spans="1:16">
      <x:c r="A4513" s="0" t="s">
        <x:v>17896</x:v>
      </x:c>
      <x:c r="B4513" s="0" t="s">
        <x:v>17897</x:v>
      </x:c>
      <x:c r="C4513" s="0" t="s">
        <x:v>17898</x:v>
      </x:c>
      <x:c r="E4513" s="0" t="s">
        <x:v>17899</x:v>
      </x:c>
      <x:c r="F4513" s="0" t="s">
        <x:v>45</x:v>
      </x:c>
      <x:c r="G4513" s="0" t="s">
        <x:v>19</x:v>
      </x:c>
      <x:c r="H4513" s="0" t="s">
        <x:v>20</x:v>
      </x:c>
      <x:c r="I4513" s="0" t="s">
        <x:v>21</x:v>
      </x:c>
      <x:c r="K4513" s="0">
        <x:f>hyperlink("https://icd.who.int/dev11/l-ichi/en#/http%3A%2F%2Fid.who.int%2Ficd%2Fentity%2F1685078177","browser")</x:f>
      </x:c>
      <x:c r="L4513" s="0">
        <x:f>hyperlink("https://icat2.azurewebsites.net/icat/?ontology=ICD&amp;tab=ClassesTab&amp;id=http%3A%2F%2Fwho.int%2Ficd%2323891_512ebf36_bf6b_4d70_85da_cf2637062af4","iCat")</x:f>
      </x:c>
      <x:c r="M4513" s="0" t="s">
        <x:v>21</x:v>
      </x:c>
      <x:c r="N4513" s="0" t="s">
        <x:v>46</x:v>
      </x:c>
    </x:row>
    <x:row r="4514" spans="1:16">
      <x:c r="A4514" s="0" t="s">
        <x:v>17900</x:v>
      </x:c>
      <x:c r="B4514" s="0" t="s">
        <x:v>17901</x:v>
      </x:c>
      <x:c r="C4514" s="0" t="s">
        <x:v>17902</x:v>
      </x:c>
      <x:c r="E4514" s="0" t="s">
        <x:v>17903</x:v>
      </x:c>
      <x:c r="F4514" s="0" t="s">
        <x:v>45</x:v>
      </x:c>
      <x:c r="G4514" s="0" t="s">
        <x:v>19</x:v>
      </x:c>
      <x:c r="H4514" s="0" t="s">
        <x:v>20</x:v>
      </x:c>
      <x:c r="I4514" s="0" t="s">
        <x:v>21</x:v>
      </x:c>
      <x:c r="K4514" s="0">
        <x:f>hyperlink("https://icd.who.int/dev11/l-ichi/en#/http%3A%2F%2Fid.who.int%2Ficd%2Fentity%2F873175314","browser")</x:f>
      </x:c>
      <x:c r="L4514" s="0">
        <x:f>hyperlink("https://icat2.azurewebsites.net/icat/?ontology=ICD&amp;tab=ClassesTab&amp;id=http%3A%2F%2Fwho.int%2Ficd%2323897_512ebf36_bf6b_4d70_85da_cf2637062af4","iCat")</x:f>
      </x:c>
      <x:c r="M4514" s="0" t="s">
        <x:v>21</x:v>
      </x:c>
      <x:c r="N4514" s="0" t="s">
        <x:v>46</x:v>
      </x:c>
    </x:row>
    <x:row r="4515" spans="1:16">
      <x:c r="A4515" s="0" t="s">
        <x:v>17904</x:v>
      </x:c>
      <x:c r="B4515" s="0" t="s">
        <x:v>17905</x:v>
      </x:c>
      <x:c r="C4515" s="0" t="s">
        <x:v>17906</x:v>
      </x:c>
      <x:c r="E4515" s="0" t="s">
        <x:v>17907</x:v>
      </x:c>
      <x:c r="F4515" s="0" t="s">
        <x:v>45</x:v>
      </x:c>
      <x:c r="G4515" s="0" t="s">
        <x:v>19</x:v>
      </x:c>
      <x:c r="H4515" s="0" t="s">
        <x:v>20</x:v>
      </x:c>
      <x:c r="I4515" s="0" t="s">
        <x:v>21</x:v>
      </x:c>
      <x:c r="K4515" s="0">
        <x:f>hyperlink("https://icd.who.int/dev11/l-ichi/en#/http%3A%2F%2Fid.who.int%2Ficd%2Fentity%2F1360826075","browser")</x:f>
      </x:c>
      <x:c r="L4515" s="0">
        <x:f>hyperlink("https://icat2.azurewebsites.net/icat/?ontology=ICD&amp;tab=ClassesTab&amp;id=http%3A%2F%2Fwho.int%2Ficd%2323905_512ebf36_bf6b_4d70_85da_cf2637062af4","iCat")</x:f>
      </x:c>
      <x:c r="M4515" s="0" t="s">
        <x:v>21</x:v>
      </x:c>
      <x:c r="N4515" s="0" t="s">
        <x:v>46</x:v>
      </x:c>
    </x:row>
    <x:row r="4516" spans="1:16">
      <x:c r="A4516" s="0" t="s">
        <x:v>17908</x:v>
      </x:c>
      <x:c r="B4516" s="0" t="s">
        <x:v>17909</x:v>
      </x:c>
      <x:c r="C4516" s="0" t="s">
        <x:v>17910</x:v>
      </x:c>
      <x:c r="E4516" s="0" t="s">
        <x:v>17911</x:v>
      </x:c>
      <x:c r="F4516" s="0" t="s">
        <x:v>45</x:v>
      </x:c>
      <x:c r="G4516" s="0" t="s">
        <x:v>19</x:v>
      </x:c>
      <x:c r="H4516" s="0" t="s">
        <x:v>20</x:v>
      </x:c>
      <x:c r="I4516" s="0" t="s">
        <x:v>21</x:v>
      </x:c>
      <x:c r="K4516" s="0">
        <x:f>hyperlink("https://icd.who.int/dev11/l-ichi/en#/http%3A%2F%2Fid.who.int%2Ficd%2Fentity%2F1264300033","browser")</x:f>
      </x:c>
      <x:c r="L4516" s="0">
        <x:f>hyperlink("https://icat2.azurewebsites.net/icat/?ontology=ICD&amp;tab=ClassesTab&amp;id=http%3A%2F%2Fwho.int%2Ficd%2323912_512ebf36_bf6b_4d70_85da_cf2637062af4","iCat")</x:f>
      </x:c>
      <x:c r="M4516" s="0" t="s">
        <x:v>21</x:v>
      </x:c>
      <x:c r="N4516" s="0" t="s">
        <x:v>46</x:v>
      </x:c>
    </x:row>
    <x:row r="4517" spans="1:16">
      <x:c r="A4517" s="0" t="s">
        <x:v>17912</x:v>
      </x:c>
      <x:c r="B4517" s="0" t="s">
        <x:v>17913</x:v>
      </x:c>
      <x:c r="C4517" s="0" t="s">
        <x:v>17914</x:v>
      </x:c>
      <x:c r="E4517" s="0" t="s">
        <x:v>17915</x:v>
      </x:c>
      <x:c r="F4517" s="0" t="s">
        <x:v>45</x:v>
      </x:c>
      <x:c r="G4517" s="0" t="s">
        <x:v>19</x:v>
      </x:c>
      <x:c r="H4517" s="0" t="s">
        <x:v>20</x:v>
      </x:c>
      <x:c r="I4517" s="0" t="s">
        <x:v>21</x:v>
      </x:c>
      <x:c r="K4517" s="0">
        <x:f>hyperlink("https://icd.who.int/dev11/l-ichi/en#/http%3A%2F%2Fid.who.int%2Ficd%2Fentity%2F1621548177","browser")</x:f>
      </x:c>
      <x:c r="L4517" s="0">
        <x:f>hyperlink("https://icat2.azurewebsites.net/icat/?ontology=ICD&amp;tab=ClassesTab&amp;id=http%3A%2F%2Fwho.int%2Ficd%2323918_512ebf36_bf6b_4d70_85da_cf2637062af4","iCat")</x:f>
      </x:c>
      <x:c r="M4517" s="0" t="s">
        <x:v>21</x:v>
      </x:c>
      <x:c r="N4517" s="0" t="s">
        <x:v>46</x:v>
      </x:c>
    </x:row>
    <x:row r="4518" spans="1:16">
      <x:c r="A4518" s="0" t="s">
        <x:v>17916</x:v>
      </x:c>
      <x:c r="B4518" s="0" t="s">
        <x:v>17917</x:v>
      </x:c>
      <x:c r="C4518" s="0" t="s">
        <x:v>17918</x:v>
      </x:c>
      <x:c r="E4518" s="0" t="s">
        <x:v>17919</x:v>
      </x:c>
      <x:c r="F4518" s="0" t="s">
        <x:v>45</x:v>
      </x:c>
      <x:c r="G4518" s="0" t="s">
        <x:v>19</x:v>
      </x:c>
      <x:c r="H4518" s="0" t="s">
        <x:v>20</x:v>
      </x:c>
      <x:c r="I4518" s="0" t="s">
        <x:v>21</x:v>
      </x:c>
      <x:c r="K4518" s="0">
        <x:f>hyperlink("https://icd.who.int/dev11/l-ichi/en#/http%3A%2F%2Fid.who.int%2Ficd%2Fentity%2F2070436747","browser")</x:f>
      </x:c>
      <x:c r="L4518" s="0">
        <x:f>hyperlink("https://icat2.azurewebsites.net/icat/?ontology=ICD&amp;tab=ClassesTab&amp;id=http%3A%2F%2Fwho.int%2Ficd%2323925_512ebf36_bf6b_4d70_85da_cf2637062af4","iCat")</x:f>
      </x:c>
      <x:c r="M4518" s="0" t="s">
        <x:v>21</x:v>
      </x:c>
      <x:c r="N4518" s="0" t="s">
        <x:v>46</x:v>
      </x:c>
    </x:row>
    <x:row r="4519" spans="1:16">
      <x:c r="A4519" s="0" t="s">
        <x:v>17920</x:v>
      </x:c>
      <x:c r="B4519" s="0" t="s">
        <x:v>17921</x:v>
      </x:c>
      <x:c r="C4519" s="0" t="s">
        <x:v>17922</x:v>
      </x:c>
      <x:c r="E4519" s="0" t="s">
        <x:v>17923</x:v>
      </x:c>
      <x:c r="F4519" s="0" t="s">
        <x:v>45</x:v>
      </x:c>
      <x:c r="G4519" s="0" t="s">
        <x:v>19</x:v>
      </x:c>
      <x:c r="H4519" s="0" t="s">
        <x:v>20</x:v>
      </x:c>
      <x:c r="I4519" s="0" t="s">
        <x:v>21</x:v>
      </x:c>
      <x:c r="K4519" s="0">
        <x:f>hyperlink("https://icd.who.int/dev11/l-ichi/en#/http%3A%2F%2Fid.who.int%2Ficd%2Fentity%2F615123624","browser")</x:f>
      </x:c>
      <x:c r="L4519" s="0">
        <x:f>hyperlink("https://icat2.azurewebsites.net/icat/?ontology=ICD&amp;tab=ClassesTab&amp;id=http%3A%2F%2Fwho.int%2Ficd%2323931_512ebf36_bf6b_4d70_85da_cf2637062af4","iCat")</x:f>
      </x:c>
      <x:c r="M4519" s="0" t="s">
        <x:v>21</x:v>
      </x:c>
      <x:c r="N4519" s="0" t="s">
        <x:v>46</x:v>
      </x:c>
    </x:row>
    <x:row r="4520" spans="1:16">
      <x:c r="A4520" s="0" t="s">
        <x:v>17924</x:v>
      </x:c>
      <x:c r="B4520" s="0" t="s">
        <x:v>17925</x:v>
      </x:c>
      <x:c r="C4520" s="0" t="s">
        <x:v>17926</x:v>
      </x:c>
      <x:c r="E4520" s="0" t="s">
        <x:v>17927</x:v>
      </x:c>
      <x:c r="F4520" s="0" t="s">
        <x:v>45</x:v>
      </x:c>
      <x:c r="G4520" s="0" t="s">
        <x:v>19</x:v>
      </x:c>
      <x:c r="H4520" s="0" t="s">
        <x:v>20</x:v>
      </x:c>
      <x:c r="I4520" s="0" t="s">
        <x:v>21</x:v>
      </x:c>
      <x:c r="K4520" s="0">
        <x:f>hyperlink("https://icd.who.int/dev11/l-ichi/en#/http%3A%2F%2Fid.who.int%2Ficd%2Fentity%2F1255279041","browser")</x:f>
      </x:c>
      <x:c r="L4520" s="0">
        <x:f>hyperlink("https://icat2.azurewebsites.net/icat/?ontology=ICD&amp;tab=ClassesTab&amp;id=http%3A%2F%2Fwho.int%2Ficd%2323938_512ebf36_bf6b_4d70_85da_cf2637062af4","iCat")</x:f>
      </x:c>
      <x:c r="M4520" s="0" t="s">
        <x:v>21</x:v>
      </x:c>
      <x:c r="N4520" s="0" t="s">
        <x:v>46</x:v>
      </x:c>
    </x:row>
    <x:row r="4521" spans="1:16">
      <x:c r="A4521" s="0" t="s">
        <x:v>17928</x:v>
      </x:c>
      <x:c r="B4521" s="0" t="s">
        <x:v>17929</x:v>
      </x:c>
      <x:c r="C4521" s="0" t="s">
        <x:v>17930</x:v>
      </x:c>
      <x:c r="E4521" s="0" t="s">
        <x:v>17931</x:v>
      </x:c>
      <x:c r="F4521" s="0" t="s">
        <x:v>45</x:v>
      </x:c>
      <x:c r="G4521" s="0" t="s">
        <x:v>19</x:v>
      </x:c>
      <x:c r="H4521" s="0" t="s">
        <x:v>20</x:v>
      </x:c>
      <x:c r="I4521" s="0" t="s">
        <x:v>21</x:v>
      </x:c>
      <x:c r="K4521" s="0">
        <x:f>hyperlink("https://icd.who.int/dev11/l-ichi/en#/http%3A%2F%2Fid.who.int%2Ficd%2Fentity%2F561765830","browser")</x:f>
      </x:c>
      <x:c r="L4521" s="0">
        <x:f>hyperlink("https://icat2.azurewebsites.net/icat/?ontology=ICD&amp;tab=ClassesTab&amp;id=http%3A%2F%2Fwho.int%2Ficd%2323945_512ebf36_bf6b_4d70_85da_cf2637062af4","iCat")</x:f>
      </x:c>
      <x:c r="M4521" s="0" t="s">
        <x:v>21</x:v>
      </x:c>
      <x:c r="N4521" s="0" t="s">
        <x:v>46</x:v>
      </x:c>
    </x:row>
    <x:row r="4522" spans="1:16">
      <x:c r="A4522" s="0" t="s">
        <x:v>17932</x:v>
      </x:c>
      <x:c r="B4522" s="0" t="s">
        <x:v>17933</x:v>
      </x:c>
      <x:c r="C4522" s="0" t="s">
        <x:v>17934</x:v>
      </x:c>
      <x:c r="E4522" s="0" t="s">
        <x:v>17935</x:v>
      </x:c>
      <x:c r="F4522" s="0" t="s">
        <x:v>45</x:v>
      </x:c>
      <x:c r="G4522" s="0" t="s">
        <x:v>19</x:v>
      </x:c>
      <x:c r="H4522" s="0" t="s">
        <x:v>20</x:v>
      </x:c>
      <x:c r="I4522" s="0" t="s">
        <x:v>21</x:v>
      </x:c>
      <x:c r="K4522" s="0">
        <x:f>hyperlink("https://icd.who.int/dev11/l-ichi/en#/http%3A%2F%2Fid.who.int%2Ficd%2Fentity%2F2126089445","browser")</x:f>
      </x:c>
      <x:c r="L4522" s="0">
        <x:f>hyperlink("https://icat2.azurewebsites.net/icat/?ontology=ICD&amp;tab=ClassesTab&amp;id=http%3A%2F%2Fwho.int%2Ficd%2323951_512ebf36_bf6b_4d70_85da_cf2637062af4","iCat")</x:f>
      </x:c>
      <x:c r="M4522" s="0" t="s">
        <x:v>21</x:v>
      </x:c>
      <x:c r="N4522" s="0" t="s">
        <x:v>46</x:v>
      </x:c>
    </x:row>
    <x:row r="4523" spans="1:16">
      <x:c r="A4523" s="0" t="s">
        <x:v>17936</x:v>
      </x:c>
      <x:c r="B4523" s="0" t="s">
        <x:v>17937</x:v>
      </x:c>
      <x:c r="C4523" s="0" t="s">
        <x:v>17938</x:v>
      </x:c>
      <x:c r="E4523" s="0" t="s">
        <x:v>17939</x:v>
      </x:c>
      <x:c r="F4523" s="0" t="s">
        <x:v>45</x:v>
      </x:c>
      <x:c r="G4523" s="0" t="s">
        <x:v>19</x:v>
      </x:c>
      <x:c r="H4523" s="0" t="s">
        <x:v>20</x:v>
      </x:c>
      <x:c r="I4523" s="0" t="s">
        <x:v>21</x:v>
      </x:c>
      <x:c r="K4523" s="0">
        <x:f>hyperlink("https://icd.who.int/dev11/l-ichi/en#/http%3A%2F%2Fid.who.int%2Ficd%2Fentity%2F281120652","browser")</x:f>
      </x:c>
      <x:c r="L4523" s="0">
        <x:f>hyperlink("https://icat2.azurewebsites.net/icat/?ontology=ICD&amp;tab=ClassesTab&amp;id=http%3A%2F%2Fwho.int%2Ficd%2323958_512ebf36_bf6b_4d70_85da_cf2637062af4","iCat")</x:f>
      </x:c>
      <x:c r="M4523" s="0" t="s">
        <x:v>21</x:v>
      </x:c>
      <x:c r="N4523" s="0" t="s">
        <x:v>46</x:v>
      </x:c>
    </x:row>
    <x:row r="4524" spans="1:16">
      <x:c r="A4524" s="0" t="s">
        <x:v>17940</x:v>
      </x:c>
      <x:c r="B4524" s="0" t="s">
        <x:v>17941</x:v>
      </x:c>
      <x:c r="C4524" s="0" t="s">
        <x:v>17942</x:v>
      </x:c>
      <x:c r="E4524" s="0" t="s">
        <x:v>17943</x:v>
      </x:c>
      <x:c r="F4524" s="0" t="s">
        <x:v>45</x:v>
      </x:c>
      <x:c r="G4524" s="0" t="s">
        <x:v>19</x:v>
      </x:c>
      <x:c r="H4524" s="0" t="s">
        <x:v>20</x:v>
      </x:c>
      <x:c r="I4524" s="0" t="s">
        <x:v>21</x:v>
      </x:c>
      <x:c r="K4524" s="0">
        <x:f>hyperlink("https://icd.who.int/dev11/l-ichi/en#/http%3A%2F%2Fid.who.int%2Ficd%2Fentity%2F737573546","browser")</x:f>
      </x:c>
      <x:c r="L4524" s="0">
        <x:f>hyperlink("https://icat2.azurewebsites.net/icat/?ontology=ICD&amp;tab=ClassesTab&amp;id=http%3A%2F%2Fwho.int%2Ficd%2323964_512ebf36_bf6b_4d70_85da_cf2637062af4","iCat")</x:f>
      </x:c>
      <x:c r="M4524" s="0" t="s">
        <x:v>21</x:v>
      </x:c>
      <x:c r="N4524" s="0" t="s">
        <x:v>46</x:v>
      </x:c>
    </x:row>
    <x:row r="4525" spans="1:16">
      <x:c r="A4525" s="0" t="s">
        <x:v>17944</x:v>
      </x:c>
      <x:c r="B4525" s="0" t="s">
        <x:v>17945</x:v>
      </x:c>
      <x:c r="C4525" s="0" t="s">
        <x:v>17946</x:v>
      </x:c>
      <x:c r="E4525" s="0" t="s">
        <x:v>17947</x:v>
      </x:c>
      <x:c r="F4525" s="0" t="s">
        <x:v>45</x:v>
      </x:c>
      <x:c r="G4525" s="0" t="s">
        <x:v>19</x:v>
      </x:c>
      <x:c r="H4525" s="0" t="s">
        <x:v>20</x:v>
      </x:c>
      <x:c r="I4525" s="0" t="s">
        <x:v>21</x:v>
      </x:c>
      <x:c r="K4525" s="0">
        <x:f>hyperlink("https://icd.who.int/dev11/l-ichi/en#/http%3A%2F%2Fid.who.int%2Ficd%2Fentity%2F1422743989","browser")</x:f>
      </x:c>
      <x:c r="L4525" s="0">
        <x:f>hyperlink("https://icat2.azurewebsites.net/icat/?ontology=ICD&amp;tab=ClassesTab&amp;id=http%3A%2F%2Fwho.int%2Ficd%2323971_512ebf36_bf6b_4d70_85da_cf2637062af4","iCat")</x:f>
      </x:c>
      <x:c r="M4525" s="0" t="s">
        <x:v>21</x:v>
      </x:c>
      <x:c r="N4525" s="0" t="s">
        <x:v>46</x:v>
      </x:c>
    </x:row>
    <x:row r="4526" spans="1:16">
      <x:c r="A4526" s="0" t="s">
        <x:v>17948</x:v>
      </x:c>
      <x:c r="B4526" s="0" t="s">
        <x:v>17949</x:v>
      </x:c>
      <x:c r="C4526" s="0" t="s">
        <x:v>17950</x:v>
      </x:c>
      <x:c r="E4526" s="0" t="s">
        <x:v>17951</x:v>
      </x:c>
      <x:c r="F4526" s="0" t="s">
        <x:v>45</x:v>
      </x:c>
      <x:c r="G4526" s="0" t="s">
        <x:v>19</x:v>
      </x:c>
      <x:c r="H4526" s="0" t="s">
        <x:v>20</x:v>
      </x:c>
      <x:c r="I4526" s="0" t="s">
        <x:v>21</x:v>
      </x:c>
      <x:c r="K4526" s="0">
        <x:f>hyperlink("https://icd.who.int/dev11/l-ichi/en#/http%3A%2F%2Fid.who.int%2Ficd%2Fentity%2F1540579671","browser")</x:f>
      </x:c>
      <x:c r="L4526" s="0">
        <x:f>hyperlink("https://icat2.azurewebsites.net/icat/?ontology=ICD&amp;tab=ClassesTab&amp;id=http%3A%2F%2Fwho.int%2Ficd%2323980_512ebf36_bf6b_4d70_85da_cf2637062af4","iCat")</x:f>
      </x:c>
      <x:c r="M4526" s="0" t="s">
        <x:v>21</x:v>
      </x:c>
      <x:c r="N4526" s="0" t="s">
        <x:v>46</x:v>
      </x:c>
    </x:row>
    <x:row r="4527" spans="1:16">
      <x:c r="A4527" s="0" t="s">
        <x:v>17952</x:v>
      </x:c>
      <x:c r="B4527" s="0" t="s">
        <x:v>17953</x:v>
      </x:c>
      <x:c r="C4527" s="0" t="s">
        <x:v>17954</x:v>
      </x:c>
      <x:c r="E4527" s="0" t="s">
        <x:v>17955</x:v>
      </x:c>
      <x:c r="F4527" s="0" t="s">
        <x:v>45</x:v>
      </x:c>
      <x:c r="G4527" s="0" t="s">
        <x:v>19</x:v>
      </x:c>
      <x:c r="H4527" s="0" t="s">
        <x:v>20</x:v>
      </x:c>
      <x:c r="I4527" s="0" t="s">
        <x:v>21</x:v>
      </x:c>
      <x:c r="K4527" s="0">
        <x:f>hyperlink("https://icd.who.int/dev11/l-ichi/en#/http%3A%2F%2Fid.who.int%2Ficd%2Fentity%2F726780636","browser")</x:f>
      </x:c>
      <x:c r="L4527" s="0">
        <x:f>hyperlink("https://icat2.azurewebsites.net/icat/?ontology=ICD&amp;tab=ClassesTab&amp;id=http%3A%2F%2Fwho.int%2Ficd%2323987_512ebf36_bf6b_4d70_85da_cf2637062af4","iCat")</x:f>
      </x:c>
      <x:c r="M4527" s="0" t="s">
        <x:v>21</x:v>
      </x:c>
      <x:c r="N4527" s="0" t="s">
        <x:v>46</x:v>
      </x:c>
    </x:row>
    <x:row r="4528" spans="1:16">
      <x:c r="A4528" s="0" t="s">
        <x:v>17956</x:v>
      </x:c>
      <x:c r="B4528" s="0" t="s">
        <x:v>17957</x:v>
      </x:c>
      <x:c r="C4528" s="0" t="s">
        <x:v>17958</x:v>
      </x:c>
      <x:c r="E4528" s="0" t="s">
        <x:v>17959</x:v>
      </x:c>
      <x:c r="F4528" s="0" t="s">
        <x:v>45</x:v>
      </x:c>
      <x:c r="G4528" s="0" t="s">
        <x:v>19</x:v>
      </x:c>
      <x:c r="H4528" s="0" t="s">
        <x:v>20</x:v>
      </x:c>
      <x:c r="I4528" s="0" t="s">
        <x:v>21</x:v>
      </x:c>
      <x:c r="K4528" s="0">
        <x:f>hyperlink("https://icd.who.int/dev11/l-ichi/en#/http%3A%2F%2Fid.who.int%2Ficd%2Fentity%2F68235380","browser")</x:f>
      </x:c>
      <x:c r="L4528" s="0">
        <x:f>hyperlink("https://icat2.azurewebsites.net/icat/?ontology=ICD&amp;tab=ClassesTab&amp;id=http%3A%2F%2Fwho.int%2Ficd%2323994_512ebf36_bf6b_4d70_85da_cf2637062af4","iCat")</x:f>
      </x:c>
      <x:c r="M4528" s="0" t="s">
        <x:v>21</x:v>
      </x:c>
      <x:c r="N4528" s="0" t="s">
        <x:v>46</x:v>
      </x:c>
    </x:row>
    <x:row r="4529" spans="1:16">
      <x:c r="A4529" s="0" t="s">
        <x:v>17960</x:v>
      </x:c>
      <x:c r="B4529" s="0" t="s">
        <x:v>17961</x:v>
      </x:c>
      <x:c r="C4529" s="0" t="s">
        <x:v>17962</x:v>
      </x:c>
      <x:c r="E4529" s="0" t="s">
        <x:v>17963</x:v>
      </x:c>
      <x:c r="F4529" s="0" t="s">
        <x:v>45</x:v>
      </x:c>
      <x:c r="G4529" s="0" t="s">
        <x:v>19</x:v>
      </x:c>
      <x:c r="H4529" s="0" t="s">
        <x:v>20</x:v>
      </x:c>
      <x:c r="I4529" s="0" t="s">
        <x:v>21</x:v>
      </x:c>
      <x:c r="K4529" s="0">
        <x:f>hyperlink("https://icd.who.int/dev11/l-ichi/en#/http%3A%2F%2Fid.who.int%2Ficd%2Fentity%2F1109390535","browser")</x:f>
      </x:c>
      <x:c r="L4529" s="0">
        <x:f>hyperlink("https://icat2.azurewebsites.net/icat/?ontology=ICD&amp;tab=ClassesTab&amp;id=http%3A%2F%2Fwho.int%2Ficd%2324001_512ebf36_bf6b_4d70_85da_cf2637062af4","iCat")</x:f>
      </x:c>
      <x:c r="M4529" s="0" t="s">
        <x:v>21</x:v>
      </x:c>
      <x:c r="N4529" s="0" t="s">
        <x:v>46</x:v>
      </x:c>
    </x:row>
    <x:row r="4530" spans="1:16">
      <x:c r="A4530" s="0" t="s">
        <x:v>17964</x:v>
      </x:c>
      <x:c r="B4530" s="0" t="s">
        <x:v>17965</x:v>
      </x:c>
      <x:c r="C4530" s="0" t="s">
        <x:v>17966</x:v>
      </x:c>
      <x:c r="E4530" s="0" t="s">
        <x:v>17967</x:v>
      </x:c>
      <x:c r="F4530" s="0" t="s">
        <x:v>45</x:v>
      </x:c>
      <x:c r="G4530" s="0" t="s">
        <x:v>19</x:v>
      </x:c>
      <x:c r="H4530" s="0" t="s">
        <x:v>20</x:v>
      </x:c>
      <x:c r="I4530" s="0" t="s">
        <x:v>21</x:v>
      </x:c>
      <x:c r="K4530" s="0">
        <x:f>hyperlink("https://icd.who.int/dev11/l-ichi/en#/http%3A%2F%2Fid.who.int%2Ficd%2Fentity%2F308555128","browser")</x:f>
      </x:c>
      <x:c r="L4530" s="0">
        <x:f>hyperlink("https://icat2.azurewebsites.net/icat/?ontology=ICD&amp;tab=ClassesTab&amp;id=http%3A%2F%2Fwho.int%2Ficd%2324007_512ebf36_bf6b_4d70_85da_cf2637062af4","iCat")</x:f>
      </x:c>
      <x:c r="M4530" s="0" t="s">
        <x:v>21</x:v>
      </x:c>
      <x:c r="N4530" s="0" t="s">
        <x:v>46</x:v>
      </x:c>
    </x:row>
    <x:row r="4531" spans="1:16">
      <x:c r="A4531" s="0" t="s">
        <x:v>17968</x:v>
      </x:c>
      <x:c r="B4531" s="0" t="s">
        <x:v>17969</x:v>
      </x:c>
      <x:c r="C4531" s="0" t="s">
        <x:v>17970</x:v>
      </x:c>
      <x:c r="E4531" s="0" t="s">
        <x:v>17971</x:v>
      </x:c>
      <x:c r="F4531" s="0" t="s">
        <x:v>45</x:v>
      </x:c>
      <x:c r="G4531" s="0" t="s">
        <x:v>19</x:v>
      </x:c>
      <x:c r="H4531" s="0" t="s">
        <x:v>20</x:v>
      </x:c>
      <x:c r="I4531" s="0" t="s">
        <x:v>21</x:v>
      </x:c>
      <x:c r="K4531" s="0">
        <x:f>hyperlink("https://icd.who.int/dev11/l-ichi/en#/http%3A%2F%2Fid.who.int%2Ficd%2Fentity%2F1302756437","browser")</x:f>
      </x:c>
      <x:c r="L4531" s="0">
        <x:f>hyperlink("https://icat2.azurewebsites.net/icat/?ontology=ICD&amp;tab=ClassesTab&amp;id=http%3A%2F%2Fwho.int%2Ficd%2324013_512ebf36_bf6b_4d70_85da_cf2637062af4","iCat")</x:f>
      </x:c>
      <x:c r="M4531" s="0" t="s">
        <x:v>21</x:v>
      </x:c>
      <x:c r="N4531" s="0" t="s">
        <x:v>46</x:v>
      </x:c>
    </x:row>
    <x:row r="4532" spans="1:16">
      <x:c r="A4532" s="0" t="s">
        <x:v>17972</x:v>
      </x:c>
      <x:c r="B4532" s="0" t="s">
        <x:v>17973</x:v>
      </x:c>
      <x:c r="C4532" s="0" t="s">
        <x:v>17974</x:v>
      </x:c>
      <x:c r="E4532" s="0" t="s">
        <x:v>17975</x:v>
      </x:c>
      <x:c r="F4532" s="0" t="s">
        <x:v>45</x:v>
      </x:c>
      <x:c r="G4532" s="0" t="s">
        <x:v>19</x:v>
      </x:c>
      <x:c r="H4532" s="0" t="s">
        <x:v>20</x:v>
      </x:c>
      <x:c r="I4532" s="0" t="s">
        <x:v>21</x:v>
      </x:c>
      <x:c r="K4532" s="0">
        <x:f>hyperlink("https://icd.who.int/dev11/l-ichi/en#/http%3A%2F%2Fid.who.int%2Ficd%2Fentity%2F1717244101","browser")</x:f>
      </x:c>
      <x:c r="L4532" s="0">
        <x:f>hyperlink("https://icat2.azurewebsites.net/icat/?ontology=ICD&amp;tab=ClassesTab&amp;id=http%3A%2F%2Fwho.int%2Ficd%2324019_512ebf36_bf6b_4d70_85da_cf2637062af4","iCat")</x:f>
      </x:c>
      <x:c r="M4532" s="0" t="s">
        <x:v>21</x:v>
      </x:c>
      <x:c r="N4532" s="0" t="s">
        <x:v>46</x:v>
      </x:c>
    </x:row>
    <x:row r="4533" spans="1:16">
      <x:c r="A4533" s="0" t="s">
        <x:v>17976</x:v>
      </x:c>
      <x:c r="B4533" s="0" t="s">
        <x:v>17977</x:v>
      </x:c>
      <x:c r="C4533" s="0" t="s">
        <x:v>17978</x:v>
      </x:c>
      <x:c r="E4533" s="0" t="s">
        <x:v>17979</x:v>
      </x:c>
      <x:c r="F4533" s="0" t="s">
        <x:v>45</x:v>
      </x:c>
      <x:c r="G4533" s="0" t="s">
        <x:v>19</x:v>
      </x:c>
      <x:c r="H4533" s="0" t="s">
        <x:v>20</x:v>
      </x:c>
      <x:c r="I4533" s="0" t="s">
        <x:v>21</x:v>
      </x:c>
      <x:c r="K4533" s="0">
        <x:f>hyperlink("https://icd.who.int/dev11/l-ichi/en#/http%3A%2F%2Fid.who.int%2Ficd%2Fentity%2F417958428","browser")</x:f>
      </x:c>
      <x:c r="L4533" s="0">
        <x:f>hyperlink("https://icat2.azurewebsites.net/icat/?ontology=ICD&amp;tab=ClassesTab&amp;id=http%3A%2F%2Fwho.int%2Ficd%2324026_512ebf36_bf6b_4d70_85da_cf2637062af4","iCat")</x:f>
      </x:c>
      <x:c r="M4533" s="0" t="s">
        <x:v>21</x:v>
      </x:c>
      <x:c r="N4533" s="0" t="s">
        <x:v>46</x:v>
      </x:c>
    </x:row>
    <x:row r="4534" spans="1:16">
      <x:c r="A4534" s="0" t="s">
        <x:v>17980</x:v>
      </x:c>
      <x:c r="B4534" s="0" t="s">
        <x:v>17981</x:v>
      </x:c>
      <x:c r="C4534" s="0" t="s">
        <x:v>17982</x:v>
      </x:c>
      <x:c r="E4534" s="0" t="s">
        <x:v>17983</x:v>
      </x:c>
      <x:c r="F4534" s="0" t="s">
        <x:v>45</x:v>
      </x:c>
      <x:c r="G4534" s="0" t="s">
        <x:v>19</x:v>
      </x:c>
      <x:c r="H4534" s="0" t="s">
        <x:v>20</x:v>
      </x:c>
      <x:c r="I4534" s="0" t="s">
        <x:v>21</x:v>
      </x:c>
      <x:c r="K4534" s="0">
        <x:f>hyperlink("https://icd.who.int/dev11/l-ichi/en#/http%3A%2F%2Fid.who.int%2Ficd%2Fentity%2F1741859077","browser")</x:f>
      </x:c>
      <x:c r="L4534" s="0">
        <x:f>hyperlink("https://icat2.azurewebsites.net/icat/?ontology=ICD&amp;tab=ClassesTab&amp;id=http%3A%2F%2Fwho.int%2Ficd%2324033_512ebf36_bf6b_4d70_85da_cf2637062af4","iCat")</x:f>
      </x:c>
      <x:c r="M4534" s="0" t="s">
        <x:v>21</x:v>
      </x:c>
      <x:c r="N4534" s="0" t="s">
        <x:v>46</x:v>
      </x:c>
    </x:row>
    <x:row r="4535" spans="1:16">
      <x:c r="A4535" s="0" t="s">
        <x:v>17984</x:v>
      </x:c>
      <x:c r="B4535" s="0" t="s">
        <x:v>17985</x:v>
      </x:c>
      <x:c r="C4535" s="0" t="s">
        <x:v>17986</x:v>
      </x:c>
      <x:c r="E4535" s="0" t="s">
        <x:v>17987</x:v>
      </x:c>
      <x:c r="F4535" s="0" t="s">
        <x:v>45</x:v>
      </x:c>
      <x:c r="G4535" s="0" t="s">
        <x:v>19</x:v>
      </x:c>
      <x:c r="H4535" s="0" t="s">
        <x:v>20</x:v>
      </x:c>
      <x:c r="I4535" s="0" t="s">
        <x:v>21</x:v>
      </x:c>
      <x:c r="K4535" s="0">
        <x:f>hyperlink("https://icd.who.int/dev11/l-ichi/en#/http%3A%2F%2Fid.who.int%2Ficd%2Fentity%2F310498792","browser")</x:f>
      </x:c>
      <x:c r="L4535" s="0">
        <x:f>hyperlink("https://icat2.azurewebsites.net/icat/?ontology=ICD&amp;tab=ClassesTab&amp;id=http%3A%2F%2Fwho.int%2Ficd%2324040_512ebf36_bf6b_4d70_85da_cf2637062af4","iCat")</x:f>
      </x:c>
      <x:c r="M4535" s="0" t="s">
        <x:v>21</x:v>
      </x:c>
      <x:c r="N4535" s="0" t="s">
        <x:v>46</x:v>
      </x:c>
    </x:row>
    <x:row r="4536" spans="1:16">
      <x:c r="A4536" s="0" t="s">
        <x:v>17988</x:v>
      </x:c>
      <x:c r="B4536" s="0" t="s">
        <x:v>17989</x:v>
      </x:c>
      <x:c r="C4536" s="0" t="s">
        <x:v>17990</x:v>
      </x:c>
      <x:c r="E4536" s="0" t="s">
        <x:v>17991</x:v>
      </x:c>
      <x:c r="F4536" s="0" t="s">
        <x:v>45</x:v>
      </x:c>
      <x:c r="G4536" s="0" t="s">
        <x:v>19</x:v>
      </x:c>
      <x:c r="H4536" s="0" t="s">
        <x:v>20</x:v>
      </x:c>
      <x:c r="I4536" s="0" t="s">
        <x:v>21</x:v>
      </x:c>
      <x:c r="K4536" s="0">
        <x:f>hyperlink("https://icd.who.int/dev11/l-ichi/en#/http%3A%2F%2Fid.who.int%2Ficd%2Fentity%2F1644396139","browser")</x:f>
      </x:c>
      <x:c r="L4536" s="0">
        <x:f>hyperlink("https://icat2.azurewebsites.net/icat/?ontology=ICD&amp;tab=ClassesTab&amp;id=http%3A%2F%2Fwho.int%2Ficd%2324047_512ebf36_bf6b_4d70_85da_cf2637062af4","iCat")</x:f>
      </x:c>
      <x:c r="M4536" s="0" t="s">
        <x:v>21</x:v>
      </x:c>
      <x:c r="N4536" s="0" t="s">
        <x:v>46</x:v>
      </x:c>
    </x:row>
    <x:row r="4537" spans="1:16">
      <x:c r="A4537" s="0" t="s">
        <x:v>17992</x:v>
      </x:c>
      <x:c r="B4537" s="0" t="s">
        <x:v>17993</x:v>
      </x:c>
      <x:c r="C4537" s="0" t="s">
        <x:v>17994</x:v>
      </x:c>
      <x:c r="E4537" s="0" t="s">
        <x:v>17995</x:v>
      </x:c>
      <x:c r="F4537" s="0" t="s">
        <x:v>45</x:v>
      </x:c>
      <x:c r="G4537" s="0" t="s">
        <x:v>19</x:v>
      </x:c>
      <x:c r="H4537" s="0" t="s">
        <x:v>20</x:v>
      </x:c>
      <x:c r="I4537" s="0" t="s">
        <x:v>21</x:v>
      </x:c>
      <x:c r="K4537" s="0">
        <x:f>hyperlink("https://icd.who.int/dev11/l-ichi/en#/http%3A%2F%2Fid.who.int%2Ficd%2Fentity%2F1840969465","browser")</x:f>
      </x:c>
      <x:c r="L4537" s="0">
        <x:f>hyperlink("https://icat2.azurewebsites.net/icat/?ontology=ICD&amp;tab=ClassesTab&amp;id=http%3A%2F%2Fwho.int%2Ficd%2324055_512ebf36_bf6b_4d70_85da_cf2637062af4","iCat")</x:f>
      </x:c>
      <x:c r="M4537" s="0" t="s">
        <x:v>21</x:v>
      </x:c>
      <x:c r="N4537" s="0" t="s">
        <x:v>46</x:v>
      </x:c>
    </x:row>
    <x:row r="4538" spans="1:16">
      <x:c r="A4538" s="0" t="s">
        <x:v>17996</x:v>
      </x:c>
      <x:c r="B4538" s="0" t="s">
        <x:v>17997</x:v>
      </x:c>
      <x:c r="C4538" s="0" t="s">
        <x:v>17998</x:v>
      </x:c>
      <x:c r="E4538" s="0" t="s">
        <x:v>17999</x:v>
      </x:c>
      <x:c r="F4538" s="0" t="s">
        <x:v>45</x:v>
      </x:c>
      <x:c r="G4538" s="0" t="s">
        <x:v>19</x:v>
      </x:c>
      <x:c r="H4538" s="0" t="s">
        <x:v>20</x:v>
      </x:c>
      <x:c r="I4538" s="0" t="s">
        <x:v>21</x:v>
      </x:c>
      <x:c r="K4538" s="0">
        <x:f>hyperlink("https://icd.who.int/dev11/l-ichi/en#/http%3A%2F%2Fid.who.int%2Ficd%2Fentity%2F2104520527","browser")</x:f>
      </x:c>
      <x:c r="L4538" s="0">
        <x:f>hyperlink("https://icat2.azurewebsites.net/icat/?ontology=ICD&amp;tab=ClassesTab&amp;id=http%3A%2F%2Fwho.int%2Ficd%2324063_512ebf36_bf6b_4d70_85da_cf2637062af4","iCat")</x:f>
      </x:c>
      <x:c r="M4538" s="0" t="s">
        <x:v>21</x:v>
      </x:c>
      <x:c r="N4538" s="0" t="s">
        <x:v>46</x:v>
      </x:c>
    </x:row>
    <x:row r="4539" spans="1:16">
      <x:c r="A4539" s="0" t="s">
        <x:v>18000</x:v>
      </x:c>
      <x:c r="B4539" s="0" t="s">
        <x:v>18001</x:v>
      </x:c>
      <x:c r="C4539" s="0" t="s">
        <x:v>18002</x:v>
      </x:c>
      <x:c r="E4539" s="0" t="s">
        <x:v>18003</x:v>
      </x:c>
      <x:c r="F4539" s="0" t="s">
        <x:v>45</x:v>
      </x:c>
      <x:c r="G4539" s="0" t="s">
        <x:v>19</x:v>
      </x:c>
      <x:c r="H4539" s="0" t="s">
        <x:v>20</x:v>
      </x:c>
      <x:c r="I4539" s="0" t="s">
        <x:v>21</x:v>
      </x:c>
      <x:c r="K4539" s="0">
        <x:f>hyperlink("https://icd.who.int/dev11/l-ichi/en#/http%3A%2F%2Fid.who.int%2Ficd%2Fentity%2F1378915809","browser")</x:f>
      </x:c>
      <x:c r="L4539" s="0">
        <x:f>hyperlink("https://icat2.azurewebsites.net/icat/?ontology=ICD&amp;tab=ClassesTab&amp;id=http%3A%2F%2Fwho.int%2Ficd%2324070_512ebf36_bf6b_4d70_85da_cf2637062af4","iCat")</x:f>
      </x:c>
      <x:c r="M4539" s="0" t="s">
        <x:v>21</x:v>
      </x:c>
      <x:c r="N4539" s="0" t="s">
        <x:v>46</x:v>
      </x:c>
    </x:row>
    <x:row r="4540" spans="1:16">
      <x:c r="A4540" s="0" t="s">
        <x:v>18004</x:v>
      </x:c>
      <x:c r="B4540" s="0" t="s">
        <x:v>18005</x:v>
      </x:c>
      <x:c r="C4540" s="0" t="s">
        <x:v>18006</x:v>
      </x:c>
      <x:c r="E4540" s="0" t="s">
        <x:v>18007</x:v>
      </x:c>
      <x:c r="F4540" s="0" t="s">
        <x:v>45</x:v>
      </x:c>
      <x:c r="G4540" s="0" t="s">
        <x:v>19</x:v>
      </x:c>
      <x:c r="H4540" s="0" t="s">
        <x:v>20</x:v>
      </x:c>
      <x:c r="I4540" s="0" t="s">
        <x:v>21</x:v>
      </x:c>
      <x:c r="K4540" s="0">
        <x:f>hyperlink("https://icd.who.int/dev11/l-ichi/en#/http%3A%2F%2Fid.who.int%2Ficd%2Fentity%2F38489170","browser")</x:f>
      </x:c>
      <x:c r="L4540" s="0">
        <x:f>hyperlink("https://icat2.azurewebsites.net/icat/?ontology=ICD&amp;tab=ClassesTab&amp;id=http%3A%2F%2Fwho.int%2Ficd%2324076_512ebf36_bf6b_4d70_85da_cf2637062af4","iCat")</x:f>
      </x:c>
      <x:c r="M4540" s="0" t="s">
        <x:v>21</x:v>
      </x:c>
      <x:c r="N4540" s="0" t="s">
        <x:v>46</x:v>
      </x:c>
    </x:row>
    <x:row r="4541" spans="1:16">
      <x:c r="A4541" s="0" t="s">
        <x:v>18008</x:v>
      </x:c>
      <x:c r="B4541" s="0" t="s">
        <x:v>18009</x:v>
      </x:c>
      <x:c r="C4541" s="0" t="s">
        <x:v>18010</x:v>
      </x:c>
      <x:c r="E4541" s="0" t="s">
        <x:v>18011</x:v>
      </x:c>
      <x:c r="F4541" s="0" t="s">
        <x:v>45</x:v>
      </x:c>
      <x:c r="G4541" s="0" t="s">
        <x:v>19</x:v>
      </x:c>
      <x:c r="H4541" s="0" t="s">
        <x:v>20</x:v>
      </x:c>
      <x:c r="I4541" s="0" t="s">
        <x:v>21</x:v>
      </x:c>
      <x:c r="K4541" s="0">
        <x:f>hyperlink("https://icd.who.int/dev11/l-ichi/en#/http%3A%2F%2Fid.who.int%2Ficd%2Fentity%2F944943304","browser")</x:f>
      </x:c>
      <x:c r="L4541" s="0">
        <x:f>hyperlink("https://icat2.azurewebsites.net/icat/?ontology=ICD&amp;tab=ClassesTab&amp;id=http%3A%2F%2Fwho.int%2Ficd%2324083_512ebf36_bf6b_4d70_85da_cf2637062af4","iCat")</x:f>
      </x:c>
      <x:c r="M4541" s="0" t="s">
        <x:v>21</x:v>
      </x:c>
      <x:c r="N4541" s="0" t="s">
        <x:v>46</x:v>
      </x:c>
    </x:row>
    <x:row r="4542" spans="1:16">
      <x:c r="A4542" s="0" t="s">
        <x:v>18012</x:v>
      </x:c>
      <x:c r="B4542" s="0" t="s">
        <x:v>18013</x:v>
      </x:c>
      <x:c r="C4542" s="0" t="s">
        <x:v>18014</x:v>
      </x:c>
      <x:c r="E4542" s="0" t="s">
        <x:v>18015</x:v>
      </x:c>
      <x:c r="F4542" s="0" t="s">
        <x:v>45</x:v>
      </x:c>
      <x:c r="G4542" s="0" t="s">
        <x:v>19</x:v>
      </x:c>
      <x:c r="H4542" s="0" t="s">
        <x:v>20</x:v>
      </x:c>
      <x:c r="I4542" s="0" t="s">
        <x:v>21</x:v>
      </x:c>
      <x:c r="K4542" s="0">
        <x:f>hyperlink("https://icd.who.int/dev11/l-ichi/en#/http%3A%2F%2Fid.who.int%2Ficd%2Fentity%2F330292312","browser")</x:f>
      </x:c>
      <x:c r="L4542" s="0">
        <x:f>hyperlink("https://icat2.azurewebsites.net/icat/?ontology=ICD&amp;tab=ClassesTab&amp;id=http%3A%2F%2Fwho.int%2Ficd%2324089_512ebf36_bf6b_4d70_85da_cf2637062af4","iCat")</x:f>
      </x:c>
      <x:c r="M4542" s="0" t="s">
        <x:v>21</x:v>
      </x:c>
      <x:c r="N4542" s="0" t="s">
        <x:v>46</x:v>
      </x:c>
    </x:row>
    <x:row r="4543" spans="1:16">
      <x:c r="A4543" s="0" t="s">
        <x:v>18016</x:v>
      </x:c>
      <x:c r="B4543" s="0" t="s">
        <x:v>18017</x:v>
      </x:c>
      <x:c r="C4543" s="0" t="s">
        <x:v>18018</x:v>
      </x:c>
      <x:c r="E4543" s="0" t="s">
        <x:v>18019</x:v>
      </x:c>
      <x:c r="F4543" s="0" t="s">
        <x:v>45</x:v>
      </x:c>
      <x:c r="G4543" s="0" t="s">
        <x:v>19</x:v>
      </x:c>
      <x:c r="H4543" s="0" t="s">
        <x:v>20</x:v>
      </x:c>
      <x:c r="I4543" s="0" t="s">
        <x:v>21</x:v>
      </x:c>
      <x:c r="K4543" s="0">
        <x:f>hyperlink("https://icd.who.int/dev11/l-ichi/en#/http%3A%2F%2Fid.who.int%2Ficd%2Fentity%2F1198101465","browser")</x:f>
      </x:c>
      <x:c r="L4543" s="0">
        <x:f>hyperlink("https://icat2.azurewebsites.net/icat/?ontology=ICD&amp;tab=ClassesTab&amp;id=http%3A%2F%2Fwho.int%2Ficd%2324096_512ebf36_bf6b_4d70_85da_cf2637062af4","iCat")</x:f>
      </x:c>
      <x:c r="M4543" s="0" t="s">
        <x:v>21</x:v>
      </x:c>
      <x:c r="N4543" s="0" t="s">
        <x:v>46</x:v>
      </x:c>
    </x:row>
    <x:row r="4544" spans="1:16">
      <x:c r="A4544" s="0" t="s">
        <x:v>18020</x:v>
      </x:c>
      <x:c r="B4544" s="0" t="s">
        <x:v>18021</x:v>
      </x:c>
      <x:c r="C4544" s="0" t="s">
        <x:v>18022</x:v>
      </x:c>
      <x:c r="E4544" s="0" t="s">
        <x:v>18023</x:v>
      </x:c>
      <x:c r="F4544" s="0" t="s">
        <x:v>45</x:v>
      </x:c>
      <x:c r="G4544" s="0" t="s">
        <x:v>19</x:v>
      </x:c>
      <x:c r="H4544" s="0" t="s">
        <x:v>20</x:v>
      </x:c>
      <x:c r="I4544" s="0" t="s">
        <x:v>21</x:v>
      </x:c>
      <x:c r="K4544" s="0">
        <x:f>hyperlink("https://icd.who.int/dev11/l-ichi/en#/http%3A%2F%2Fid.who.int%2Ficd%2Fentity%2F1392258975","browser")</x:f>
      </x:c>
      <x:c r="L4544" s="0">
        <x:f>hyperlink("https://icat2.azurewebsites.net/icat/?ontology=ICD&amp;tab=ClassesTab&amp;id=http%3A%2F%2Fwho.int%2Ficd%2324103_512ebf36_bf6b_4d70_85da_cf2637062af4","iCat")</x:f>
      </x:c>
      <x:c r="M4544" s="0" t="s">
        <x:v>21</x:v>
      </x:c>
      <x:c r="N4544" s="0" t="s">
        <x:v>46</x:v>
      </x:c>
    </x:row>
    <x:row r="4545" spans="1:16">
      <x:c r="A4545" s="0" t="s">
        <x:v>18024</x:v>
      </x:c>
      <x:c r="B4545" s="0" t="s">
        <x:v>18025</x:v>
      </x:c>
      <x:c r="C4545" s="0" t="s">
        <x:v>18026</x:v>
      </x:c>
      <x:c r="E4545" s="0" t="s">
        <x:v>18027</x:v>
      </x:c>
      <x:c r="F4545" s="0" t="s">
        <x:v>45</x:v>
      </x:c>
      <x:c r="G4545" s="0" t="s">
        <x:v>19</x:v>
      </x:c>
      <x:c r="H4545" s="0" t="s">
        <x:v>20</x:v>
      </x:c>
      <x:c r="I4545" s="0" t="s">
        <x:v>21</x:v>
      </x:c>
      <x:c r="K4545" s="0">
        <x:f>hyperlink("https://icd.who.int/dev11/l-ichi/en#/http%3A%2F%2Fid.who.int%2Ficd%2Fentity%2F2030125839","browser")</x:f>
      </x:c>
      <x:c r="L4545" s="0">
        <x:f>hyperlink("https://icat2.azurewebsites.net/icat/?ontology=ICD&amp;tab=ClassesTab&amp;id=http%3A%2F%2Fwho.int%2Ficd%2324109_512ebf36_bf6b_4d70_85da_cf2637062af4","iCat")</x:f>
      </x:c>
      <x:c r="M4545" s="0" t="s">
        <x:v>21</x:v>
      </x:c>
      <x:c r="N4545" s="0" t="s">
        <x:v>46</x:v>
      </x:c>
    </x:row>
    <x:row r="4546" spans="1:16">
      <x:c r="A4546" s="0" t="s">
        <x:v>18028</x:v>
      </x:c>
      <x:c r="B4546" s="0" t="s">
        <x:v>18029</x:v>
      </x:c>
      <x:c r="C4546" s="0" t="s">
        <x:v>18030</x:v>
      </x:c>
      <x:c r="E4546" s="0" t="s">
        <x:v>18031</x:v>
      </x:c>
      <x:c r="F4546" s="0" t="s">
        <x:v>45</x:v>
      </x:c>
      <x:c r="G4546" s="0" t="s">
        <x:v>19</x:v>
      </x:c>
      <x:c r="H4546" s="0" t="s">
        <x:v>20</x:v>
      </x:c>
      <x:c r="I4546" s="0" t="s">
        <x:v>21</x:v>
      </x:c>
      <x:c r="K4546" s="0">
        <x:f>hyperlink("https://icd.who.int/dev11/l-ichi/en#/http%3A%2F%2Fid.who.int%2Ficd%2Fentity%2F859677798","browser")</x:f>
      </x:c>
      <x:c r="L4546" s="0">
        <x:f>hyperlink("https://icat2.azurewebsites.net/icat/?ontology=ICD&amp;tab=ClassesTab&amp;id=http%3A%2F%2Fwho.int%2Ficd%2324118_512ebf36_bf6b_4d70_85da_cf2637062af4","iCat")</x:f>
      </x:c>
      <x:c r="M4546" s="0" t="s">
        <x:v>21</x:v>
      </x:c>
      <x:c r="N4546" s="0" t="s">
        <x:v>46</x:v>
      </x:c>
    </x:row>
    <x:row r="4547" spans="1:16">
      <x:c r="A4547" s="0" t="s">
        <x:v>18032</x:v>
      </x:c>
      <x:c r="B4547" s="0" t="s">
        <x:v>18033</x:v>
      </x:c>
      <x:c r="C4547" s="0" t="s">
        <x:v>18034</x:v>
      </x:c>
      <x:c r="E4547" s="0" t="s">
        <x:v>18035</x:v>
      </x:c>
      <x:c r="F4547" s="0" t="s">
        <x:v>45</x:v>
      </x:c>
      <x:c r="G4547" s="0" t="s">
        <x:v>19</x:v>
      </x:c>
      <x:c r="H4547" s="0" t="s">
        <x:v>20</x:v>
      </x:c>
      <x:c r="I4547" s="0" t="s">
        <x:v>21</x:v>
      </x:c>
      <x:c r="K4547" s="0">
        <x:f>hyperlink("https://icd.who.int/dev11/l-ichi/en#/http%3A%2F%2Fid.who.int%2Ficd%2Fentity%2F1301233339","browser")</x:f>
      </x:c>
      <x:c r="L4547" s="0">
        <x:f>hyperlink("https://icat2.azurewebsites.net/icat/?ontology=ICD&amp;tab=ClassesTab&amp;id=http%3A%2F%2Fwho.int%2Ficd%2324127_512ebf36_bf6b_4d70_85da_cf2637062af4","iCat")</x:f>
      </x:c>
      <x:c r="M4547" s="0" t="s">
        <x:v>21</x:v>
      </x:c>
      <x:c r="N4547" s="0" t="s">
        <x:v>46</x:v>
      </x:c>
    </x:row>
    <x:row r="4548" spans="1:16">
      <x:c r="A4548" s="0" t="s">
        <x:v>18036</x:v>
      </x:c>
      <x:c r="B4548" s="0" t="s">
        <x:v>18037</x:v>
      </x:c>
      <x:c r="C4548" s="0" t="s">
        <x:v>18038</x:v>
      </x:c>
      <x:c r="E4548" s="0" t="s">
        <x:v>18039</x:v>
      </x:c>
      <x:c r="F4548" s="0" t="s">
        <x:v>45</x:v>
      </x:c>
      <x:c r="G4548" s="0" t="s">
        <x:v>19</x:v>
      </x:c>
      <x:c r="H4548" s="0" t="s">
        <x:v>20</x:v>
      </x:c>
      <x:c r="I4548" s="0" t="s">
        <x:v>21</x:v>
      </x:c>
      <x:c r="K4548" s="0">
        <x:f>hyperlink("https://icd.who.int/dev11/l-ichi/en#/http%3A%2F%2Fid.who.int%2Ficd%2Fentity%2F588432708","browser")</x:f>
      </x:c>
      <x:c r="L4548" s="0">
        <x:f>hyperlink("https://icat2.azurewebsites.net/icat/?ontology=ICD&amp;tab=ClassesTab&amp;id=http%3A%2F%2Fwho.int%2Ficd%2324169_512ebf36_bf6b_4d70_85da_cf2637062af4","iCat")</x:f>
      </x:c>
      <x:c r="M4548" s="0" t="s">
        <x:v>21</x:v>
      </x:c>
      <x:c r="N4548" s="0" t="s">
        <x:v>46</x:v>
      </x:c>
    </x:row>
    <x:row r="4549" spans="1:16">
      <x:c r="A4549" s="0" t="s">
        <x:v>18040</x:v>
      </x:c>
      <x:c r="B4549" s="0" t="s">
        <x:v>18041</x:v>
      </x:c>
      <x:c r="C4549" s="0" t="s">
        <x:v>18042</x:v>
      </x:c>
      <x:c r="E4549" s="0" t="s">
        <x:v>18043</x:v>
      </x:c>
      <x:c r="F4549" s="0" t="s">
        <x:v>45</x:v>
      </x:c>
      <x:c r="G4549" s="0" t="s">
        <x:v>19</x:v>
      </x:c>
      <x:c r="H4549" s="0" t="s">
        <x:v>20</x:v>
      </x:c>
      <x:c r="I4549" s="0" t="s">
        <x:v>21</x:v>
      </x:c>
      <x:c r="K4549" s="0">
        <x:f>hyperlink("https://icd.who.int/dev11/l-ichi/en#/http%3A%2F%2Fid.who.int%2Ficd%2Fentity%2F844227892","browser")</x:f>
      </x:c>
      <x:c r="L4549" s="0">
        <x:f>hyperlink("https://icat2.azurewebsites.net/icat/?ontology=ICD&amp;tab=ClassesTab&amp;id=http%3A%2F%2Fwho.int%2Ficd%2324175_512ebf36_bf6b_4d70_85da_cf2637062af4","iCat")</x:f>
      </x:c>
      <x:c r="M4549" s="0" t="s">
        <x:v>21</x:v>
      </x:c>
      <x:c r="N4549" s="0" t="s">
        <x:v>46</x:v>
      </x:c>
    </x:row>
    <x:row r="4550" spans="1:16">
      <x:c r="A4550" s="0" t="s">
        <x:v>18044</x:v>
      </x:c>
      <x:c r="B4550" s="0" t="s">
        <x:v>18045</x:v>
      </x:c>
      <x:c r="C4550" s="0" t="s">
        <x:v>18046</x:v>
      </x:c>
      <x:c r="E4550" s="0" t="s">
        <x:v>18047</x:v>
      </x:c>
      <x:c r="F4550" s="0" t="s">
        <x:v>45</x:v>
      </x:c>
      <x:c r="G4550" s="0" t="s">
        <x:v>19</x:v>
      </x:c>
      <x:c r="H4550" s="0" t="s">
        <x:v>20</x:v>
      </x:c>
      <x:c r="I4550" s="0" t="s">
        <x:v>21</x:v>
      </x:c>
      <x:c r="K4550" s="0">
        <x:f>hyperlink("https://icd.who.int/dev11/l-ichi/en#/http%3A%2F%2Fid.who.int%2Ficd%2Fentity%2F682716064","browser")</x:f>
      </x:c>
      <x:c r="L4550" s="0">
        <x:f>hyperlink("https://icat2.azurewebsites.net/icat/?ontology=ICD&amp;tab=ClassesTab&amp;id=http%3A%2F%2Fwho.int%2Ficd%2324181_512ebf36_bf6b_4d70_85da_cf2637062af4","iCat")</x:f>
      </x:c>
      <x:c r="M4550" s="0" t="s">
        <x:v>21</x:v>
      </x:c>
      <x:c r="N4550" s="0" t="s">
        <x:v>46</x:v>
      </x:c>
    </x:row>
    <x:row r="4551" spans="1:16">
      <x:c r="A4551" s="0" t="s">
        <x:v>18048</x:v>
      </x:c>
      <x:c r="B4551" s="0" t="s">
        <x:v>18049</x:v>
      </x:c>
      <x:c r="C4551" s="0" t="s">
        <x:v>18050</x:v>
      </x:c>
      <x:c r="E4551" s="0" t="s">
        <x:v>18051</x:v>
      </x:c>
      <x:c r="F4551" s="0" t="s">
        <x:v>45</x:v>
      </x:c>
      <x:c r="G4551" s="0" t="s">
        <x:v>19</x:v>
      </x:c>
      <x:c r="H4551" s="0" t="s">
        <x:v>20</x:v>
      </x:c>
      <x:c r="I4551" s="0" t="s">
        <x:v>21</x:v>
      </x:c>
      <x:c r="K4551" s="0">
        <x:f>hyperlink("https://icd.who.int/dev11/l-ichi/en#/http%3A%2F%2Fid.who.int%2Ficd%2Fentity%2F2026549807","browser")</x:f>
      </x:c>
      <x:c r="L4551" s="0">
        <x:f>hyperlink("https://icat2.azurewebsites.net/icat/?ontology=ICD&amp;tab=ClassesTab&amp;id=http%3A%2F%2Fwho.int%2Ficd%2324187_512ebf36_bf6b_4d70_85da_cf2637062af4","iCat")</x:f>
      </x:c>
      <x:c r="M4551" s="0" t="s">
        <x:v>21</x:v>
      </x:c>
      <x:c r="N4551" s="0" t="s">
        <x:v>46</x:v>
      </x:c>
    </x:row>
    <x:row r="4552" spans="1:16">
      <x:c r="A4552" s="0" t="s">
        <x:v>18052</x:v>
      </x:c>
      <x:c r="B4552" s="0" t="s">
        <x:v>18053</x:v>
      </x:c>
      <x:c r="C4552" s="0" t="s">
        <x:v>18054</x:v>
      </x:c>
      <x:c r="E4552" s="0" t="s">
        <x:v>18055</x:v>
      </x:c>
      <x:c r="F4552" s="0" t="s">
        <x:v>45</x:v>
      </x:c>
      <x:c r="G4552" s="0" t="s">
        <x:v>19</x:v>
      </x:c>
      <x:c r="H4552" s="0" t="s">
        <x:v>20</x:v>
      </x:c>
      <x:c r="I4552" s="0" t="s">
        <x:v>21</x:v>
      </x:c>
      <x:c r="K4552" s="0">
        <x:f>hyperlink("https://icd.who.int/dev11/l-ichi/en#/http%3A%2F%2Fid.who.int%2Ficd%2Fentity%2F1468680321","browser")</x:f>
      </x:c>
      <x:c r="L4552" s="0">
        <x:f>hyperlink("https://icat2.azurewebsites.net/icat/?ontology=ICD&amp;tab=ClassesTab&amp;id=http%3A%2F%2Fwho.int%2Ficd%2324194_512ebf36_bf6b_4d70_85da_cf2637062af4","iCat")</x:f>
      </x:c>
      <x:c r="M4552" s="0" t="s">
        <x:v>21</x:v>
      </x:c>
      <x:c r="N4552" s="0" t="s">
        <x:v>46</x:v>
      </x:c>
    </x:row>
    <x:row r="4553" spans="1:16">
      <x:c r="A4553" s="0" t="s">
        <x:v>18056</x:v>
      </x:c>
      <x:c r="B4553" s="0" t="s">
        <x:v>18057</x:v>
      </x:c>
      <x:c r="C4553" s="0" t="s">
        <x:v>18058</x:v>
      </x:c>
      <x:c r="E4553" s="0" t="s">
        <x:v>18059</x:v>
      </x:c>
      <x:c r="F4553" s="0" t="s">
        <x:v>45</x:v>
      </x:c>
      <x:c r="G4553" s="0" t="s">
        <x:v>19</x:v>
      </x:c>
      <x:c r="H4553" s="0" t="s">
        <x:v>20</x:v>
      </x:c>
      <x:c r="I4553" s="0" t="s">
        <x:v>21</x:v>
      </x:c>
      <x:c r="K4553" s="0">
        <x:f>hyperlink("https://icd.who.int/dev11/l-ichi/en#/http%3A%2F%2Fid.who.int%2Ficd%2Fentity%2F1192059695","browser")</x:f>
      </x:c>
      <x:c r="L4553" s="0">
        <x:f>hyperlink("https://icat2.azurewebsites.net/icat/?ontology=ICD&amp;tab=ClassesTab&amp;id=http%3A%2F%2Fwho.int%2Ficd%2311376_4869915e_217e_423d_acb3_33c0f920ef4b","iCat")</x:f>
      </x:c>
      <x:c r="M4553" s="0" t="s">
        <x:v>21</x:v>
      </x:c>
      <x:c r="N4553" s="0" t="s">
        <x:v>46</x:v>
      </x:c>
    </x:row>
    <x:row r="4554" spans="1:16">
      <x:c r="A4554" s="0" t="s">
        <x:v>18060</x:v>
      </x:c>
      <x:c r="B4554" s="0" t="s">
        <x:v>18061</x:v>
      </x:c>
      <x:c r="C4554" s="0" t="s">
        <x:v>18062</x:v>
      </x:c>
      <x:c r="E4554" s="0" t="s">
        <x:v>18063</x:v>
      </x:c>
      <x:c r="F4554" s="0" t="s">
        <x:v>45</x:v>
      </x:c>
      <x:c r="G4554" s="0" t="s">
        <x:v>19</x:v>
      </x:c>
      <x:c r="H4554" s="0" t="s">
        <x:v>20</x:v>
      </x:c>
      <x:c r="I4554" s="0" t="s">
        <x:v>21</x:v>
      </x:c>
      <x:c r="K4554" s="0">
        <x:f>hyperlink("https://icd.who.int/dev11/l-ichi/en#/http%3A%2F%2Fid.who.int%2Ficd%2Fentity%2F1457489411","browser")</x:f>
      </x:c>
      <x:c r="L4554" s="0">
        <x:f>hyperlink("https://icat2.azurewebsites.net/icat/?ontology=ICD&amp;tab=ClassesTab&amp;id=http%3A%2F%2Fwho.int%2Ficd%2324201_512ebf36_bf6b_4d70_85da_cf2637062af4","iCat")</x:f>
      </x:c>
      <x:c r="M4554" s="0" t="s">
        <x:v>21</x:v>
      </x:c>
      <x:c r="N4554" s="0" t="s">
        <x:v>46</x:v>
      </x:c>
    </x:row>
    <x:row r="4555" spans="1:16">
      <x:c r="A4555" s="0" t="s">
        <x:v>18064</x:v>
      </x:c>
      <x:c r="B4555" s="0" t="s">
        <x:v>18065</x:v>
      </x:c>
      <x:c r="C4555" s="0" t="s">
        <x:v>18066</x:v>
      </x:c>
      <x:c r="E4555" s="0" t="s">
        <x:v>18067</x:v>
      </x:c>
      <x:c r="F4555" s="0" t="s">
        <x:v>45</x:v>
      </x:c>
      <x:c r="G4555" s="0" t="s">
        <x:v>19</x:v>
      </x:c>
      <x:c r="H4555" s="0" t="s">
        <x:v>20</x:v>
      </x:c>
      <x:c r="I4555" s="0" t="s">
        <x:v>21</x:v>
      </x:c>
      <x:c r="K4555" s="0">
        <x:f>hyperlink("https://icd.who.int/dev11/l-ichi/en#/http%3A%2F%2Fid.who.int%2Ficd%2Fentity%2F111435698","browser")</x:f>
      </x:c>
      <x:c r="L4555" s="0">
        <x:f>hyperlink("https://icat2.azurewebsites.net/icat/?ontology=ICD&amp;tab=ClassesTab&amp;id=http%3A%2F%2Fwho.int%2Ficd%2324207_512ebf36_bf6b_4d70_85da_cf2637062af4","iCat")</x:f>
      </x:c>
      <x:c r="M4555" s="0" t="s">
        <x:v>21</x:v>
      </x:c>
      <x:c r="N4555" s="0" t="s">
        <x:v>46</x:v>
      </x:c>
    </x:row>
    <x:row r="4556" spans="1:16">
      <x:c r="A4556" s="0" t="s">
        <x:v>18068</x:v>
      </x:c>
      <x:c r="B4556" s="0" t="s">
        <x:v>18069</x:v>
      </x:c>
      <x:c r="C4556" s="0" t="s">
        <x:v>18070</x:v>
      </x:c>
      <x:c r="E4556" s="0" t="s">
        <x:v>18071</x:v>
      </x:c>
      <x:c r="F4556" s="0" t="s">
        <x:v>45</x:v>
      </x:c>
      <x:c r="G4556" s="0" t="s">
        <x:v>19</x:v>
      </x:c>
      <x:c r="H4556" s="0" t="s">
        <x:v>20</x:v>
      </x:c>
      <x:c r="I4556" s="0" t="s">
        <x:v>21</x:v>
      </x:c>
      <x:c r="K4556" s="0">
        <x:f>hyperlink("https://icd.who.int/dev11/l-ichi/en#/http%3A%2F%2Fid.who.int%2Ficd%2Fentity%2F943079472","browser")</x:f>
      </x:c>
      <x:c r="L4556" s="0">
        <x:f>hyperlink("https://icat2.azurewebsites.net/icat/?ontology=ICD&amp;tab=ClassesTab&amp;id=http%3A%2F%2Fwho.int%2Ficd%2311363_4869915e_217e_423d_acb3_33c0f920ef4b","iCat")</x:f>
      </x:c>
      <x:c r="M4556" s="0" t="s">
        <x:v>21</x:v>
      </x:c>
      <x:c r="N4556" s="0" t="s">
        <x:v>46</x:v>
      </x:c>
    </x:row>
    <x:row r="4557" spans="1:16">
      <x:c r="A4557" s="0" t="s">
        <x:v>18072</x:v>
      </x:c>
      <x:c r="B4557" s="0" t="s">
        <x:v>18073</x:v>
      </x:c>
      <x:c r="C4557" s="0" t="s">
        <x:v>18074</x:v>
      </x:c>
      <x:c r="E4557" s="0" t="s">
        <x:v>18075</x:v>
      </x:c>
      <x:c r="F4557" s="0" t="s">
        <x:v>45</x:v>
      </x:c>
      <x:c r="G4557" s="0" t="s">
        <x:v>19</x:v>
      </x:c>
      <x:c r="H4557" s="0" t="s">
        <x:v>20</x:v>
      </x:c>
      <x:c r="I4557" s="0" t="s">
        <x:v>21</x:v>
      </x:c>
      <x:c r="K4557" s="0">
        <x:f>hyperlink("https://icd.who.int/dev11/l-ichi/en#/http%3A%2F%2Fid.who.int%2Ficd%2Fentity%2F702850334","browser")</x:f>
      </x:c>
      <x:c r="L4557" s="0">
        <x:f>hyperlink("https://icat2.azurewebsites.net/icat/?ontology=ICD&amp;tab=ClassesTab&amp;id=http%3A%2F%2Fwho.int%2Ficd%2324214_512ebf36_bf6b_4d70_85da_cf2637062af4","iCat")</x:f>
      </x:c>
      <x:c r="M4557" s="0" t="s">
        <x:v>21</x:v>
      </x:c>
      <x:c r="N4557" s="0" t="s">
        <x:v>46</x:v>
      </x:c>
    </x:row>
    <x:row r="4558" spans="1:16">
      <x:c r="A4558" s="0" t="s">
        <x:v>18076</x:v>
      </x:c>
      <x:c r="B4558" s="0" t="s">
        <x:v>18077</x:v>
      </x:c>
      <x:c r="C4558" s="0" t="s">
        <x:v>18078</x:v>
      </x:c>
      <x:c r="E4558" s="0" t="s">
        <x:v>18079</x:v>
      </x:c>
      <x:c r="F4558" s="0" t="s">
        <x:v>45</x:v>
      </x:c>
      <x:c r="G4558" s="0" t="s">
        <x:v>19</x:v>
      </x:c>
      <x:c r="H4558" s="0" t="s">
        <x:v>20</x:v>
      </x:c>
      <x:c r="I4558" s="0" t="s">
        <x:v>21</x:v>
      </x:c>
      <x:c r="K4558" s="0">
        <x:f>hyperlink("https://icd.who.int/dev11/l-ichi/en#/http%3A%2F%2Fid.who.int%2Ficd%2Fentity%2F352652112","browser")</x:f>
      </x:c>
      <x:c r="L4558" s="0">
        <x:f>hyperlink("https://icat2.azurewebsites.net/icat/?ontology=ICD&amp;tab=ClassesTab&amp;id=http%3A%2F%2Fwho.int%2Ficd%2315934_4869915e_217e_423d_acb3_33c0f920ef4b","iCat")</x:f>
      </x:c>
      <x:c r="M4558" s="0" t="s">
        <x:v>21</x:v>
      </x:c>
      <x:c r="N4558" s="0" t="s">
        <x:v>46</x:v>
      </x:c>
    </x:row>
    <x:row r="4559" spans="1:16">
      <x:c r="A4559" s="0" t="s">
        <x:v>18080</x:v>
      </x:c>
      <x:c r="B4559" s="0" t="s">
        <x:v>18081</x:v>
      </x:c>
      <x:c r="C4559" s="0" t="s">
        <x:v>18082</x:v>
      </x:c>
      <x:c r="E4559" s="0" t="s">
        <x:v>18083</x:v>
      </x:c>
      <x:c r="F4559" s="0" t="s">
        <x:v>45</x:v>
      </x:c>
      <x:c r="G4559" s="0" t="s">
        <x:v>19</x:v>
      </x:c>
      <x:c r="H4559" s="0" t="s">
        <x:v>20</x:v>
      </x:c>
      <x:c r="I4559" s="0" t="s">
        <x:v>21</x:v>
      </x:c>
      <x:c r="K4559" s="0">
        <x:f>hyperlink("https://icd.who.int/dev11/l-ichi/en#/http%3A%2F%2Fid.who.int%2Ficd%2Fentity%2F2091602771","browser")</x:f>
      </x:c>
      <x:c r="L4559" s="0">
        <x:f>hyperlink("https://icat2.azurewebsites.net/icat/?ontology=ICD&amp;tab=ClassesTab&amp;id=http%3A%2F%2Fwho.int%2Ficd%2324221_512ebf36_bf6b_4d70_85da_cf2637062af4","iCat")</x:f>
      </x:c>
      <x:c r="M4559" s="0" t="s">
        <x:v>21</x:v>
      </x:c>
      <x:c r="N4559" s="0" t="s">
        <x:v>46</x:v>
      </x:c>
    </x:row>
    <x:row r="4560" spans="1:16">
      <x:c r="A4560" s="0" t="s">
        <x:v>18084</x:v>
      </x:c>
      <x:c r="B4560" s="0" t="s">
        <x:v>18085</x:v>
      </x:c>
      <x:c r="C4560" s="0" t="s">
        <x:v>18086</x:v>
      </x:c>
      <x:c r="E4560" s="0" t="s">
        <x:v>18087</x:v>
      </x:c>
      <x:c r="F4560" s="0" t="s">
        <x:v>45</x:v>
      </x:c>
      <x:c r="G4560" s="0" t="s">
        <x:v>19</x:v>
      </x:c>
      <x:c r="H4560" s="0" t="s">
        <x:v>20</x:v>
      </x:c>
      <x:c r="I4560" s="0" t="s">
        <x:v>21</x:v>
      </x:c>
      <x:c r="K4560" s="0">
        <x:f>hyperlink("https://icd.who.int/dev11/l-ichi/en#/http%3A%2F%2Fid.who.int%2Ficd%2Fentity%2F751864548","browser")</x:f>
      </x:c>
      <x:c r="L4560" s="0">
        <x:f>hyperlink("https://icat2.azurewebsites.net/icat/?ontology=ICD&amp;tab=ClassesTab&amp;id=http%3A%2F%2Fwho.int%2Ficd%2324227_512ebf36_bf6b_4d70_85da_cf2637062af4","iCat")</x:f>
      </x:c>
      <x:c r="M4560" s="0" t="s">
        <x:v>21</x:v>
      </x:c>
      <x:c r="N4560" s="0" t="s">
        <x:v>46</x:v>
      </x:c>
    </x:row>
    <x:row r="4561" spans="1:16">
      <x:c r="A4561" s="0" t="s">
        <x:v>18088</x:v>
      </x:c>
      <x:c r="B4561" s="0" t="s">
        <x:v>18089</x:v>
      </x:c>
      <x:c r="C4561" s="0" t="s">
        <x:v>18090</x:v>
      </x:c>
      <x:c r="E4561" s="0" t="s">
        <x:v>18091</x:v>
      </x:c>
      <x:c r="F4561" s="0" t="s">
        <x:v>45</x:v>
      </x:c>
      <x:c r="G4561" s="0" t="s">
        <x:v>19</x:v>
      </x:c>
      <x:c r="H4561" s="0" t="s">
        <x:v>20</x:v>
      </x:c>
      <x:c r="I4561" s="0" t="s">
        <x:v>21</x:v>
      </x:c>
      <x:c r="K4561" s="0">
        <x:f>hyperlink("https://icd.who.int/dev11/l-ichi/en#/http%3A%2F%2Fid.who.int%2Ficd%2Fentity%2F59797580","browser")</x:f>
      </x:c>
      <x:c r="L4561" s="0">
        <x:f>hyperlink("https://icat2.azurewebsites.net/icat/?ontology=ICD&amp;tab=ClassesTab&amp;id=http%3A%2F%2Fwho.int%2Ficd%2324234_512ebf36_bf6b_4d70_85da_cf2637062af4","iCat")</x:f>
      </x:c>
      <x:c r="M4561" s="0" t="s">
        <x:v>21</x:v>
      </x:c>
      <x:c r="N4561" s="0" t="s">
        <x:v>46</x:v>
      </x:c>
    </x:row>
    <x:row r="4562" spans="1:16">
      <x:c r="A4562" s="0" t="s">
        <x:v>18092</x:v>
      </x:c>
      <x:c r="B4562" s="0" t="s">
        <x:v>18093</x:v>
      </x:c>
      <x:c r="C4562" s="0" t="s">
        <x:v>18094</x:v>
      </x:c>
      <x:c r="E4562" s="0" t="s">
        <x:v>18095</x:v>
      </x:c>
      <x:c r="F4562" s="0" t="s">
        <x:v>45</x:v>
      </x:c>
      <x:c r="G4562" s="0" t="s">
        <x:v>19</x:v>
      </x:c>
      <x:c r="H4562" s="0" t="s">
        <x:v>20</x:v>
      </x:c>
      <x:c r="I4562" s="0" t="s">
        <x:v>21</x:v>
      </x:c>
      <x:c r="K4562" s="0">
        <x:f>hyperlink("https://icd.who.int/dev11/l-ichi/en#/http%3A%2F%2Fid.who.int%2Ficd%2Fentity%2F104965922","browser")</x:f>
      </x:c>
      <x:c r="L4562" s="0">
        <x:f>hyperlink("https://icat2.azurewebsites.net/icat/?ontology=ICD&amp;tab=ClassesTab&amp;id=http%3A%2F%2Fwho.int%2Ficd%2324240_512ebf36_bf6b_4d70_85da_cf2637062af4","iCat")</x:f>
      </x:c>
      <x:c r="M4562" s="0" t="s">
        <x:v>21</x:v>
      </x:c>
      <x:c r="N4562" s="0" t="s">
        <x:v>46</x:v>
      </x:c>
    </x:row>
    <x:row r="4563" spans="1:16">
      <x:c r="A4563" s="0" t="s">
        <x:v>18096</x:v>
      </x:c>
      <x:c r="B4563" s="0" t="s">
        <x:v>18097</x:v>
      </x:c>
      <x:c r="C4563" s="0" t="s">
        <x:v>18098</x:v>
      </x:c>
      <x:c r="E4563" s="0" t="s">
        <x:v>18099</x:v>
      </x:c>
      <x:c r="F4563" s="0" t="s">
        <x:v>45</x:v>
      </x:c>
      <x:c r="G4563" s="0" t="s">
        <x:v>19</x:v>
      </x:c>
      <x:c r="H4563" s="0" t="s">
        <x:v>20</x:v>
      </x:c>
      <x:c r="I4563" s="0" t="s">
        <x:v>21</x:v>
      </x:c>
      <x:c r="K4563" s="0">
        <x:f>hyperlink("https://icd.who.int/dev11/l-ichi/en#/http%3A%2F%2Fid.who.int%2Ficd%2Fentity%2F1992494255","browser")</x:f>
      </x:c>
      <x:c r="L4563" s="0">
        <x:f>hyperlink("https://icat2.azurewebsites.net/icat/?ontology=ICD&amp;tab=ClassesTab&amp;id=http%3A%2F%2Fwho.int%2Ficd%2324247_512ebf36_bf6b_4d70_85da_cf2637062af4","iCat")</x:f>
      </x:c>
      <x:c r="M4563" s="0" t="s">
        <x:v>21</x:v>
      </x:c>
      <x:c r="N4563" s="0" t="s">
        <x:v>46</x:v>
      </x:c>
    </x:row>
    <x:row r="4564" spans="1:16">
      <x:c r="A4564" s="0" t="s">
        <x:v>18100</x:v>
      </x:c>
      <x:c r="B4564" s="0" t="s">
        <x:v>18101</x:v>
      </x:c>
      <x:c r="C4564" s="0" t="s">
        <x:v>18102</x:v>
      </x:c>
      <x:c r="E4564" s="0" t="s">
        <x:v>18103</x:v>
      </x:c>
      <x:c r="F4564" s="0" t="s">
        <x:v>45</x:v>
      </x:c>
      <x:c r="G4564" s="0" t="s">
        <x:v>19</x:v>
      </x:c>
      <x:c r="H4564" s="0" t="s">
        <x:v>20</x:v>
      </x:c>
      <x:c r="I4564" s="0" t="s">
        <x:v>21</x:v>
      </x:c>
      <x:c r="K4564" s="0">
        <x:f>hyperlink("https://icd.who.int/dev11/l-ichi/en#/http%3A%2F%2Fid.who.int%2Ficd%2Fentity%2F1501820417","browser")</x:f>
      </x:c>
      <x:c r="L4564" s="0">
        <x:f>hyperlink("https://icat2.azurewebsites.net/icat/?ontology=ICD&amp;tab=ClassesTab&amp;id=http%3A%2F%2Fwho.int%2Ficd%2324254_512ebf36_bf6b_4d70_85da_cf2637062af4","iCat")</x:f>
      </x:c>
      <x:c r="M4564" s="0" t="s">
        <x:v>21</x:v>
      </x:c>
      <x:c r="N4564" s="0" t="s">
        <x:v>46</x:v>
      </x:c>
    </x:row>
    <x:row r="4565" spans="1:16">
      <x:c r="A4565" s="0" t="s">
        <x:v>18104</x:v>
      </x:c>
      <x:c r="B4565" s="0" t="s">
        <x:v>18105</x:v>
      </x:c>
      <x:c r="C4565" s="0" t="s">
        <x:v>18106</x:v>
      </x:c>
      <x:c r="E4565" s="0" t="s">
        <x:v>18107</x:v>
      </x:c>
      <x:c r="F4565" s="0" t="s">
        <x:v>45</x:v>
      </x:c>
      <x:c r="G4565" s="0" t="s">
        <x:v>19</x:v>
      </x:c>
      <x:c r="H4565" s="0" t="s">
        <x:v>20</x:v>
      </x:c>
      <x:c r="I4565" s="0" t="s">
        <x:v>21</x:v>
      </x:c>
      <x:c r="K4565" s="0">
        <x:f>hyperlink("https://icd.who.int/dev11/l-ichi/en#/http%3A%2F%2Fid.who.int%2Ficd%2Fentity%2F741700212","browser")</x:f>
      </x:c>
      <x:c r="L4565" s="0">
        <x:f>hyperlink("https://icat2.azurewebsites.net/icat/?ontology=ICD&amp;tab=ClassesTab&amp;id=http%3A%2F%2Fwho.int%2Ficd%2324260_512ebf36_bf6b_4d70_85da_cf2637062af4","iCat")</x:f>
      </x:c>
      <x:c r="M4565" s="0" t="s">
        <x:v>21</x:v>
      </x:c>
      <x:c r="N4565" s="0" t="s">
        <x:v>46</x:v>
      </x:c>
    </x:row>
    <x:row r="4566" spans="1:16">
      <x:c r="A4566" s="0" t="s">
        <x:v>18108</x:v>
      </x:c>
      <x:c r="B4566" s="0" t="s">
        <x:v>18109</x:v>
      </x:c>
      <x:c r="C4566" s="0" t="s">
        <x:v>18110</x:v>
      </x:c>
      <x:c r="E4566" s="0" t="s">
        <x:v>18111</x:v>
      </x:c>
      <x:c r="F4566" s="0" t="s">
        <x:v>45</x:v>
      </x:c>
      <x:c r="G4566" s="0" t="s">
        <x:v>19</x:v>
      </x:c>
      <x:c r="H4566" s="0" t="s">
        <x:v>20</x:v>
      </x:c>
      <x:c r="I4566" s="0" t="s">
        <x:v>21</x:v>
      </x:c>
      <x:c r="K4566" s="0">
        <x:f>hyperlink("https://icd.who.int/dev11/l-ichi/en#/http%3A%2F%2Fid.who.int%2Ficd%2Fentity%2F1555552767","browser")</x:f>
      </x:c>
      <x:c r="L4566" s="0">
        <x:f>hyperlink("https://icat2.azurewebsites.net/icat/?ontology=ICD&amp;tab=ClassesTab&amp;id=http%3A%2F%2Fwho.int%2Ficd%2324267_512ebf36_bf6b_4d70_85da_cf2637062af4","iCat")</x:f>
      </x:c>
      <x:c r="M4566" s="0" t="s">
        <x:v>21</x:v>
      </x:c>
      <x:c r="N4566" s="0" t="s">
        <x:v>46</x:v>
      </x:c>
    </x:row>
    <x:row r="4567" spans="1:16">
      <x:c r="A4567" s="0" t="s">
        <x:v>18112</x:v>
      </x:c>
      <x:c r="B4567" s="0" t="s">
        <x:v>18113</x:v>
      </x:c>
      <x:c r="C4567" s="0" t="s">
        <x:v>18114</x:v>
      </x:c>
      <x:c r="E4567" s="0" t="s">
        <x:v>18115</x:v>
      </x:c>
      <x:c r="F4567" s="0" t="s">
        <x:v>45</x:v>
      </x:c>
      <x:c r="G4567" s="0" t="s">
        <x:v>19</x:v>
      </x:c>
      <x:c r="H4567" s="0" t="s">
        <x:v>20</x:v>
      </x:c>
      <x:c r="I4567" s="0" t="s">
        <x:v>21</x:v>
      </x:c>
      <x:c r="K4567" s="0">
        <x:f>hyperlink("https://icd.who.int/dev11/l-ichi/en#/http%3A%2F%2Fid.who.int%2Ficd%2Fentity%2F58034396","browser")</x:f>
      </x:c>
      <x:c r="L4567" s="0">
        <x:f>hyperlink("https://icat2.azurewebsites.net/icat/?ontology=ICD&amp;tab=ClassesTab&amp;id=http%3A%2F%2Fwho.int%2Ficd%2324273_512ebf36_bf6b_4d70_85da_cf2637062af4","iCat")</x:f>
      </x:c>
      <x:c r="M4567" s="0" t="s">
        <x:v>21</x:v>
      </x:c>
      <x:c r="N4567" s="0" t="s">
        <x:v>46</x:v>
      </x:c>
    </x:row>
    <x:row r="4568" spans="1:16">
      <x:c r="A4568" s="0" t="s">
        <x:v>18116</x:v>
      </x:c>
      <x:c r="B4568" s="0" t="s">
        <x:v>18117</x:v>
      </x:c>
      <x:c r="C4568" s="0" t="s">
        <x:v>18118</x:v>
      </x:c>
      <x:c r="E4568" s="0" t="s">
        <x:v>18119</x:v>
      </x:c>
      <x:c r="F4568" s="0" t="s">
        <x:v>45</x:v>
      </x:c>
      <x:c r="G4568" s="0" t="s">
        <x:v>19</x:v>
      </x:c>
      <x:c r="H4568" s="0" t="s">
        <x:v>20</x:v>
      </x:c>
      <x:c r="I4568" s="0" t="s">
        <x:v>21</x:v>
      </x:c>
      <x:c r="K4568" s="0">
        <x:f>hyperlink("https://icd.who.int/dev11/l-ichi/en#/http%3A%2F%2Fid.who.int%2Ficd%2Fentity%2F1763159547","browser")</x:f>
      </x:c>
      <x:c r="L4568" s="0">
        <x:f>hyperlink("https://icat2.azurewebsites.net/icat/?ontology=ICD&amp;tab=ClassesTab&amp;id=http%3A%2F%2Fwho.int%2Ficd%2324280_512ebf36_bf6b_4d70_85da_cf2637062af4","iCat")</x:f>
      </x:c>
      <x:c r="M4568" s="0" t="s">
        <x:v>21</x:v>
      </x:c>
      <x:c r="N4568" s="0" t="s">
        <x:v>46</x:v>
      </x:c>
    </x:row>
    <x:row r="4569" spans="1:16">
      <x:c r="A4569" s="0" t="s">
        <x:v>18120</x:v>
      </x:c>
      <x:c r="B4569" s="0" t="s">
        <x:v>18121</x:v>
      </x:c>
      <x:c r="C4569" s="0" t="s">
        <x:v>18122</x:v>
      </x:c>
      <x:c r="E4569" s="0" t="s">
        <x:v>18123</x:v>
      </x:c>
      <x:c r="F4569" s="0" t="s">
        <x:v>45</x:v>
      </x:c>
      <x:c r="G4569" s="0" t="s">
        <x:v>19</x:v>
      </x:c>
      <x:c r="H4569" s="0" t="s">
        <x:v>20</x:v>
      </x:c>
      <x:c r="I4569" s="0" t="s">
        <x:v>21</x:v>
      </x:c>
      <x:c r="K4569" s="0">
        <x:f>hyperlink("https://icd.who.int/dev11/l-ichi/en#/http%3A%2F%2Fid.who.int%2Ficd%2Fentity%2F429196920","browser")</x:f>
      </x:c>
      <x:c r="L4569" s="0">
        <x:f>hyperlink("https://icat2.azurewebsites.net/icat/?ontology=ICD&amp;tab=ClassesTab&amp;id=http%3A%2F%2Fwho.int%2Ficd%2324287_512ebf36_bf6b_4d70_85da_cf2637062af4","iCat")</x:f>
      </x:c>
      <x:c r="M4569" s="0" t="s">
        <x:v>21</x:v>
      </x:c>
      <x:c r="N4569" s="0" t="s">
        <x:v>46</x:v>
      </x:c>
    </x:row>
    <x:row r="4570" spans="1:16">
      <x:c r="A4570" s="0" t="s">
        <x:v>18124</x:v>
      </x:c>
      <x:c r="B4570" s="0" t="s">
        <x:v>18125</x:v>
      </x:c>
      <x:c r="C4570" s="0" t="s">
        <x:v>18126</x:v>
      </x:c>
      <x:c r="E4570" s="0" t="s">
        <x:v>18127</x:v>
      </x:c>
      <x:c r="F4570" s="0" t="s">
        <x:v>45</x:v>
      </x:c>
      <x:c r="G4570" s="0" t="s">
        <x:v>19</x:v>
      </x:c>
      <x:c r="H4570" s="0" t="s">
        <x:v>20</x:v>
      </x:c>
      <x:c r="I4570" s="0" t="s">
        <x:v>21</x:v>
      </x:c>
      <x:c r="K4570" s="0">
        <x:f>hyperlink("https://icd.who.int/dev11/l-ichi/en#/http%3A%2F%2Fid.who.int%2Ficd%2Fentity%2F1180129109","browser")</x:f>
      </x:c>
      <x:c r="L4570" s="0">
        <x:f>hyperlink("https://icat2.azurewebsites.net/icat/?ontology=ICD&amp;tab=ClassesTab&amp;id=http%3A%2F%2Fwho.int%2Ficd%2324293_512ebf36_bf6b_4d70_85da_cf2637062af4","iCat")</x:f>
      </x:c>
      <x:c r="M4570" s="0" t="s">
        <x:v>21</x:v>
      </x:c>
      <x:c r="N4570" s="0" t="s">
        <x:v>46</x:v>
      </x:c>
    </x:row>
    <x:row r="4571" spans="1:16">
      <x:c r="A4571" s="0" t="s">
        <x:v>18128</x:v>
      </x:c>
      <x:c r="B4571" s="0" t="s">
        <x:v>18129</x:v>
      </x:c>
      <x:c r="C4571" s="0" t="s">
        <x:v>18130</x:v>
      </x:c>
      <x:c r="E4571" s="0" t="s">
        <x:v>18131</x:v>
      </x:c>
      <x:c r="F4571" s="0" t="s">
        <x:v>45</x:v>
      </x:c>
      <x:c r="G4571" s="0" t="s">
        <x:v>19</x:v>
      </x:c>
      <x:c r="H4571" s="0" t="s">
        <x:v>20</x:v>
      </x:c>
      <x:c r="I4571" s="0" t="s">
        <x:v>21</x:v>
      </x:c>
      <x:c r="K4571" s="0">
        <x:f>hyperlink("https://icd.who.int/dev11/l-ichi/en#/http%3A%2F%2Fid.who.int%2Ficd%2Fentity%2F1933285679","browser")</x:f>
      </x:c>
      <x:c r="L4571" s="0">
        <x:f>hyperlink("https://icat2.azurewebsites.net/icat/?ontology=ICD&amp;tab=ClassesTab&amp;id=http%3A%2F%2Fwho.int%2Ficd%2324307_512ebf36_bf6b_4d70_85da_cf2637062af4","iCat")</x:f>
      </x:c>
      <x:c r="M4571" s="0" t="s">
        <x:v>21</x:v>
      </x:c>
      <x:c r="N4571" s="0" t="s">
        <x:v>46</x:v>
      </x:c>
    </x:row>
    <x:row r="4572" spans="1:16">
      <x:c r="A4572" s="0" t="s">
        <x:v>18132</x:v>
      </x:c>
      <x:c r="B4572" s="0" t="s">
        <x:v>18133</x:v>
      </x:c>
      <x:c r="C4572" s="0" t="s">
        <x:v>18134</x:v>
      </x:c>
      <x:c r="E4572" s="0" t="s">
        <x:v>18135</x:v>
      </x:c>
      <x:c r="F4572" s="0" t="s">
        <x:v>45</x:v>
      </x:c>
      <x:c r="G4572" s="0" t="s">
        <x:v>19</x:v>
      </x:c>
      <x:c r="H4572" s="0" t="s">
        <x:v>20</x:v>
      </x:c>
      <x:c r="I4572" s="0" t="s">
        <x:v>21</x:v>
      </x:c>
      <x:c r="K4572" s="0">
        <x:f>hyperlink("https://icd.who.int/dev11/l-ichi/en#/http%3A%2F%2Fid.who.int%2Ficd%2Fentity%2F1551590273","browser")</x:f>
      </x:c>
      <x:c r="L4572" s="0">
        <x:f>hyperlink("https://icat2.azurewebsites.net/icat/?ontology=ICD&amp;tab=ClassesTab&amp;id=http%3A%2F%2Fwho.int%2Ficd%2324314_512ebf36_bf6b_4d70_85da_cf2637062af4","iCat")</x:f>
      </x:c>
      <x:c r="M4572" s="0" t="s">
        <x:v>21</x:v>
      </x:c>
      <x:c r="N4572" s="0" t="s">
        <x:v>46</x:v>
      </x:c>
    </x:row>
    <x:row r="4573" spans="1:16">
      <x:c r="A4573" s="0" t="s">
        <x:v>18136</x:v>
      </x:c>
      <x:c r="B4573" s="0" t="s">
        <x:v>18137</x:v>
      </x:c>
      <x:c r="C4573" s="0" t="s">
        <x:v>18138</x:v>
      </x:c>
      <x:c r="E4573" s="0" t="s">
        <x:v>18139</x:v>
      </x:c>
      <x:c r="F4573" s="0" t="s">
        <x:v>45</x:v>
      </x:c>
      <x:c r="G4573" s="0" t="s">
        <x:v>19</x:v>
      </x:c>
      <x:c r="H4573" s="0" t="s">
        <x:v>20</x:v>
      </x:c>
      <x:c r="I4573" s="0" t="s">
        <x:v>21</x:v>
      </x:c>
      <x:c r="K4573" s="0">
        <x:f>hyperlink("https://icd.who.int/dev11/l-ichi/en#/http%3A%2F%2Fid.who.int%2Ficd%2Fentity%2F1203102875","browser")</x:f>
      </x:c>
      <x:c r="L4573" s="0">
        <x:f>hyperlink("https://icat2.azurewebsites.net/icat/?ontology=ICD&amp;tab=ClassesTab&amp;id=http%3A%2F%2Fwho.int%2Ficd%2324329_512ebf36_bf6b_4d70_85da_cf2637062af4","iCat")</x:f>
      </x:c>
      <x:c r="M4573" s="0" t="s">
        <x:v>21</x:v>
      </x:c>
      <x:c r="N4573" s="0" t="s">
        <x:v>46</x:v>
      </x:c>
    </x:row>
    <x:row r="4574" spans="1:16">
      <x:c r="A4574" s="0" t="s">
        <x:v>18140</x:v>
      </x:c>
      <x:c r="B4574" s="0" t="s">
        <x:v>18141</x:v>
      </x:c>
      <x:c r="C4574" s="0" t="s">
        <x:v>18142</x:v>
      </x:c>
      <x:c r="E4574" s="0" t="s">
        <x:v>18143</x:v>
      </x:c>
      <x:c r="F4574" s="0" t="s">
        <x:v>45</x:v>
      </x:c>
      <x:c r="G4574" s="0" t="s">
        <x:v>19</x:v>
      </x:c>
      <x:c r="H4574" s="0" t="s">
        <x:v>20</x:v>
      </x:c>
      <x:c r="I4574" s="0" t="s">
        <x:v>21</x:v>
      </x:c>
      <x:c r="K4574" s="0">
        <x:f>hyperlink("https://icd.who.int/dev11/l-ichi/en#/http%3A%2F%2Fid.who.int%2Ficd%2Fentity%2F326347540","browser")</x:f>
      </x:c>
      <x:c r="L4574" s="0">
        <x:f>hyperlink("https://icat2.azurewebsites.net/icat/?ontology=ICD&amp;tab=ClassesTab&amp;id=http%3A%2F%2Fwho.int%2Ficd%2324336_512ebf36_bf6b_4d70_85da_cf2637062af4","iCat")</x:f>
      </x:c>
      <x:c r="M4574" s="0" t="s">
        <x:v>21</x:v>
      </x:c>
      <x:c r="N4574" s="0" t="s">
        <x:v>46</x:v>
      </x:c>
    </x:row>
    <x:row r="4575" spans="1:16">
      <x:c r="A4575" s="0" t="s">
        <x:v>18144</x:v>
      </x:c>
      <x:c r="B4575" s="0" t="s">
        <x:v>18145</x:v>
      </x:c>
      <x:c r="C4575" s="0" t="s">
        <x:v>18146</x:v>
      </x:c>
      <x:c r="E4575" s="0" t="s">
        <x:v>18147</x:v>
      </x:c>
      <x:c r="F4575" s="0" t="s">
        <x:v>45</x:v>
      </x:c>
      <x:c r="G4575" s="0" t="s">
        <x:v>19</x:v>
      </x:c>
      <x:c r="H4575" s="0" t="s">
        <x:v>20</x:v>
      </x:c>
      <x:c r="I4575" s="0" t="s">
        <x:v>21</x:v>
      </x:c>
      <x:c r="K4575" s="0">
        <x:f>hyperlink("https://icd.who.int/dev11/l-ichi/en#/http%3A%2F%2Fid.who.int%2Ficd%2Fentity%2F1713428471","browser")</x:f>
      </x:c>
      <x:c r="L4575" s="0">
        <x:f>hyperlink("https://icat2.azurewebsites.net/icat/?ontology=ICD&amp;tab=ClassesTab&amp;id=http%3A%2F%2Fwho.int%2Ficd%2324345_512ebf36_bf6b_4d70_85da_cf2637062af4","iCat")</x:f>
      </x:c>
      <x:c r="M4575" s="0" t="s">
        <x:v>21</x:v>
      </x:c>
      <x:c r="N4575" s="0" t="s">
        <x:v>46</x:v>
      </x:c>
    </x:row>
    <x:row r="4576" spans="1:16">
      <x:c r="A4576" s="0" t="s">
        <x:v>18148</x:v>
      </x:c>
      <x:c r="B4576" s="0" t="s">
        <x:v>18149</x:v>
      </x:c>
      <x:c r="C4576" s="0" t="s">
        <x:v>18150</x:v>
      </x:c>
      <x:c r="E4576" s="0" t="s">
        <x:v>18151</x:v>
      </x:c>
      <x:c r="F4576" s="0" t="s">
        <x:v>45</x:v>
      </x:c>
      <x:c r="G4576" s="0" t="s">
        <x:v>19</x:v>
      </x:c>
      <x:c r="H4576" s="0" t="s">
        <x:v>20</x:v>
      </x:c>
      <x:c r="I4576" s="0" t="s">
        <x:v>21</x:v>
      </x:c>
      <x:c r="K4576" s="0">
        <x:f>hyperlink("https://icd.who.int/dev11/l-ichi/en#/http%3A%2F%2Fid.who.int%2Ficd%2Fentity%2F1469744573","browser")</x:f>
      </x:c>
      <x:c r="L4576" s="0">
        <x:f>hyperlink("https://icat2.azurewebsites.net/icat/?ontology=ICD&amp;tab=ClassesTab&amp;id=http%3A%2F%2Fwho.int%2Ficd%2324358_512ebf36_bf6b_4d70_85da_cf2637062af4","iCat")</x:f>
      </x:c>
      <x:c r="M4576" s="0" t="s">
        <x:v>21</x:v>
      </x:c>
      <x:c r="N4576" s="0" t="s">
        <x:v>46</x:v>
      </x:c>
    </x:row>
    <x:row r="4577" spans="1:16">
      <x:c r="A4577" s="0" t="s">
        <x:v>18152</x:v>
      </x:c>
      <x:c r="B4577" s="0" t="s">
        <x:v>18153</x:v>
      </x:c>
      <x:c r="C4577" s="0" t="s">
        <x:v>18154</x:v>
      </x:c>
      <x:c r="E4577" s="0" t="s">
        <x:v>18155</x:v>
      </x:c>
      <x:c r="F4577" s="0" t="s">
        <x:v>45</x:v>
      </x:c>
      <x:c r="G4577" s="0" t="s">
        <x:v>19</x:v>
      </x:c>
      <x:c r="H4577" s="0" t="s">
        <x:v>20</x:v>
      </x:c>
      <x:c r="I4577" s="0" t="s">
        <x:v>21</x:v>
      </x:c>
      <x:c r="K4577" s="0">
        <x:f>hyperlink("https://icd.who.int/dev11/l-ichi/en#/http%3A%2F%2Fid.who.int%2Ficd%2Fentity%2F1823305883","browser")</x:f>
      </x:c>
      <x:c r="L4577" s="0">
        <x:f>hyperlink("https://icat2.azurewebsites.net/icat/?ontology=ICD&amp;tab=ClassesTab&amp;id=http%3A%2F%2Fwho.int%2Ficd%2324364_512ebf36_bf6b_4d70_85da_cf2637062af4","iCat")</x:f>
      </x:c>
      <x:c r="M4577" s="0" t="s">
        <x:v>21</x:v>
      </x:c>
      <x:c r="N4577" s="0" t="s">
        <x:v>46</x:v>
      </x:c>
    </x:row>
    <x:row r="4578" spans="1:16">
      <x:c r="A4578" s="0" t="s">
        <x:v>18156</x:v>
      </x:c>
      <x:c r="B4578" s="0" t="s">
        <x:v>18157</x:v>
      </x:c>
      <x:c r="C4578" s="0" t="s">
        <x:v>18158</x:v>
      </x:c>
      <x:c r="E4578" s="0" t="s">
        <x:v>18159</x:v>
      </x:c>
      <x:c r="F4578" s="0" t="s">
        <x:v>45</x:v>
      </x:c>
      <x:c r="G4578" s="0" t="s">
        <x:v>19</x:v>
      </x:c>
      <x:c r="H4578" s="0" t="s">
        <x:v>20</x:v>
      </x:c>
      <x:c r="I4578" s="0" t="s">
        <x:v>21</x:v>
      </x:c>
      <x:c r="K4578" s="0">
        <x:f>hyperlink("https://icd.who.int/dev11/l-ichi/en#/http%3A%2F%2Fid.who.int%2Ficd%2Fentity%2F862921146","browser")</x:f>
      </x:c>
      <x:c r="L4578" s="0">
        <x:f>hyperlink("https://icat2.azurewebsites.net/icat/?ontology=ICD&amp;tab=ClassesTab&amp;id=http%3A%2F%2Fwho.int%2Ficd%2324370_512ebf36_bf6b_4d70_85da_cf2637062af4","iCat")</x:f>
      </x:c>
      <x:c r="M4578" s="0" t="s">
        <x:v>21</x:v>
      </x:c>
      <x:c r="N4578" s="0" t="s">
        <x:v>46</x:v>
      </x:c>
    </x:row>
    <x:row r="4579" spans="1:16">
      <x:c r="A4579" s="0" t="s">
        <x:v>18160</x:v>
      </x:c>
      <x:c r="B4579" s="0" t="s">
        <x:v>18161</x:v>
      </x:c>
      <x:c r="C4579" s="0" t="s">
        <x:v>18162</x:v>
      </x:c>
      <x:c r="E4579" s="0" t="s">
        <x:v>18163</x:v>
      </x:c>
      <x:c r="F4579" s="0" t="s">
        <x:v>45</x:v>
      </x:c>
      <x:c r="G4579" s="0" t="s">
        <x:v>19</x:v>
      </x:c>
      <x:c r="H4579" s="0" t="s">
        <x:v>20</x:v>
      </x:c>
      <x:c r="I4579" s="0" t="s">
        <x:v>21</x:v>
      </x:c>
      <x:c r="K4579" s="0">
        <x:f>hyperlink("https://icd.who.int/dev11/l-ichi/en#/http%3A%2F%2Fid.who.int%2Ficd%2Fentity%2F1662318601","browser")</x:f>
      </x:c>
      <x:c r="L4579" s="0">
        <x:f>hyperlink("https://icat2.azurewebsites.net/icat/?ontology=ICD&amp;tab=ClassesTab&amp;id=http%3A%2F%2Fwho.int%2Ficd%2324376_512ebf36_bf6b_4d70_85da_cf2637062af4","iCat")</x:f>
      </x:c>
      <x:c r="M4579" s="0" t="s">
        <x:v>21</x:v>
      </x:c>
      <x:c r="N4579" s="0" t="s">
        <x:v>46</x:v>
      </x:c>
    </x:row>
    <x:row r="4580" spans="1:16">
      <x:c r="A4580" s="0" t="s">
        <x:v>18164</x:v>
      </x:c>
      <x:c r="B4580" s="0" t="s">
        <x:v>18165</x:v>
      </x:c>
      <x:c r="C4580" s="0" t="s">
        <x:v>18166</x:v>
      </x:c>
      <x:c r="E4580" s="0" t="s">
        <x:v>18167</x:v>
      </x:c>
      <x:c r="F4580" s="0" t="s">
        <x:v>45</x:v>
      </x:c>
      <x:c r="G4580" s="0" t="s">
        <x:v>19</x:v>
      </x:c>
      <x:c r="H4580" s="0" t="s">
        <x:v>20</x:v>
      </x:c>
      <x:c r="I4580" s="0" t="s">
        <x:v>21</x:v>
      </x:c>
      <x:c r="K4580" s="0">
        <x:f>hyperlink("https://icd.who.int/dev11/l-ichi/en#/http%3A%2F%2Fid.who.int%2Ficd%2Fentity%2F1657783317","browser")</x:f>
      </x:c>
      <x:c r="L4580" s="0">
        <x:f>hyperlink("https://icat2.azurewebsites.net/icat/?ontology=ICD&amp;tab=ClassesTab&amp;id=http%3A%2F%2Fwho.int%2Ficd%2324134_512ebf36_bf6b_4d70_85da_cf2637062af4","iCat")</x:f>
      </x:c>
      <x:c r="M4580" s="0" t="s">
        <x:v>21</x:v>
      </x:c>
      <x:c r="N4580" s="0" t="s">
        <x:v>46</x:v>
      </x:c>
    </x:row>
    <x:row r="4581" spans="1:16">
      <x:c r="A4581" s="0" t="s">
        <x:v>18168</x:v>
      </x:c>
      <x:c r="B4581" s="0" t="s">
        <x:v>18169</x:v>
      </x:c>
      <x:c r="C4581" s="0" t="s">
        <x:v>18170</x:v>
      </x:c>
      <x:c r="E4581" s="0" t="s">
        <x:v>18171</x:v>
      </x:c>
      <x:c r="F4581" s="0" t="s">
        <x:v>45</x:v>
      </x:c>
      <x:c r="G4581" s="0" t="s">
        <x:v>19</x:v>
      </x:c>
      <x:c r="H4581" s="0" t="s">
        <x:v>20</x:v>
      </x:c>
      <x:c r="I4581" s="0" t="s">
        <x:v>21</x:v>
      </x:c>
      <x:c r="K4581" s="0">
        <x:f>hyperlink("https://icd.who.int/dev11/l-ichi/en#/http%3A%2F%2Fid.who.int%2Ficd%2Fentity%2F1730024315","browser")</x:f>
      </x:c>
      <x:c r="L4581" s="0">
        <x:f>hyperlink("https://icat2.azurewebsites.net/icat/?ontology=ICD&amp;tab=ClassesTab&amp;id=http%3A%2F%2Fwho.int%2Ficd%2324140_512ebf36_bf6b_4d70_85da_cf2637062af4","iCat")</x:f>
      </x:c>
      <x:c r="M4581" s="0" t="s">
        <x:v>21</x:v>
      </x:c>
      <x:c r="N4581" s="0" t="s">
        <x:v>46</x:v>
      </x:c>
    </x:row>
    <x:row r="4582" spans="1:16">
      <x:c r="A4582" s="0" t="s">
        <x:v>18172</x:v>
      </x:c>
      <x:c r="B4582" s="0" t="s">
        <x:v>18173</x:v>
      </x:c>
      <x:c r="C4582" s="0" t="s">
        <x:v>18174</x:v>
      </x:c>
      <x:c r="E4582" s="0" t="s">
        <x:v>18175</x:v>
      </x:c>
      <x:c r="F4582" s="0" t="s">
        <x:v>45</x:v>
      </x:c>
      <x:c r="G4582" s="0" t="s">
        <x:v>19</x:v>
      </x:c>
      <x:c r="H4582" s="0" t="s">
        <x:v>20</x:v>
      </x:c>
      <x:c r="I4582" s="0" t="s">
        <x:v>21</x:v>
      </x:c>
      <x:c r="K4582" s="0">
        <x:f>hyperlink("https://icd.who.int/dev11/l-ichi/en#/http%3A%2F%2Fid.who.int%2Ficd%2Fentity%2F1105070199","browser")</x:f>
      </x:c>
      <x:c r="L4582" s="0">
        <x:f>hyperlink("https://icat2.azurewebsites.net/icat/?ontology=ICD&amp;tab=ClassesTab&amp;id=http%3A%2F%2Fwho.int%2Ficd%2310227_4869915e_217e_423d_acb3_33c0f920ef4b","iCat")</x:f>
      </x:c>
      <x:c r="M4582" s="0" t="s">
        <x:v>21</x:v>
      </x:c>
      <x:c r="N4582" s="0" t="s">
        <x:v>46</x:v>
      </x:c>
    </x:row>
    <x:row r="4583" spans="1:16">
      <x:c r="A4583" s="0" t="s">
        <x:v>18176</x:v>
      </x:c>
      <x:c r="B4583" s="0" t="s">
        <x:v>18177</x:v>
      </x:c>
      <x:c r="C4583" s="0" t="s">
        <x:v>18178</x:v>
      </x:c>
      <x:c r="E4583" s="0" t="s">
        <x:v>18179</x:v>
      </x:c>
      <x:c r="F4583" s="0" t="s">
        <x:v>45</x:v>
      </x:c>
      <x:c r="G4583" s="0" t="s">
        <x:v>19</x:v>
      </x:c>
      <x:c r="H4583" s="0" t="s">
        <x:v>20</x:v>
      </x:c>
      <x:c r="I4583" s="0" t="s">
        <x:v>21</x:v>
      </x:c>
      <x:c r="K4583" s="0">
        <x:f>hyperlink("https://icd.who.int/dev11/l-ichi/en#/http%3A%2F%2Fid.who.int%2Ficd%2Fentity%2F929417930","browser")</x:f>
      </x:c>
      <x:c r="L4583" s="0">
        <x:f>hyperlink("https://icat2.azurewebsites.net/icat/?ontology=ICD&amp;tab=ClassesTab&amp;id=http%3A%2F%2Fwho.int%2Ficd%2324146_512ebf36_bf6b_4d70_85da_cf2637062af4","iCat")</x:f>
      </x:c>
      <x:c r="M4583" s="0" t="s">
        <x:v>21</x:v>
      </x:c>
      <x:c r="N4583" s="0" t="s">
        <x:v>46</x:v>
      </x:c>
    </x:row>
    <x:row r="4584" spans="1:16">
      <x:c r="A4584" s="0" t="s">
        <x:v>18180</x:v>
      </x:c>
      <x:c r="B4584" s="0" t="s">
        <x:v>18181</x:v>
      </x:c>
      <x:c r="C4584" s="0" t="s">
        <x:v>18182</x:v>
      </x:c>
      <x:c r="E4584" s="0" t="s">
        <x:v>18183</x:v>
      </x:c>
      <x:c r="F4584" s="0" t="s">
        <x:v>45</x:v>
      </x:c>
      <x:c r="G4584" s="0" t="s">
        <x:v>19</x:v>
      </x:c>
      <x:c r="H4584" s="0" t="s">
        <x:v>20</x:v>
      </x:c>
      <x:c r="I4584" s="0" t="s">
        <x:v>21</x:v>
      </x:c>
      <x:c r="K4584" s="0">
        <x:f>hyperlink("https://icd.who.int/dev11/l-ichi/en#/http%3A%2F%2Fid.who.int%2Ficd%2Fentity%2F1726030517","browser")</x:f>
      </x:c>
      <x:c r="L4584" s="0">
        <x:f>hyperlink("https://icat2.azurewebsites.net/icat/?ontology=ICD&amp;tab=ClassesTab&amp;id=http%3A%2F%2Fwho.int%2Ficd%23237_145da35b_2606_49b1_9645_9e3aeecd5c47","iCat")</x:f>
      </x:c>
      <x:c r="M4584" s="0" t="s">
        <x:v>21</x:v>
      </x:c>
      <x:c r="N4584" s="0" t="s">
        <x:v>46</x:v>
      </x:c>
    </x:row>
    <x:row r="4585" spans="1:16">
      <x:c r="A4585" s="0" t="s">
        <x:v>18184</x:v>
      </x:c>
      <x:c r="B4585" s="0" t="s">
        <x:v>18185</x:v>
      </x:c>
      <x:c r="C4585" s="0" t="s">
        <x:v>18186</x:v>
      </x:c>
      <x:c r="E4585" s="0" t="s">
        <x:v>18187</x:v>
      </x:c>
      <x:c r="F4585" s="0" t="s">
        <x:v>45</x:v>
      </x:c>
      <x:c r="G4585" s="0" t="s">
        <x:v>19</x:v>
      </x:c>
      <x:c r="H4585" s="0" t="s">
        <x:v>20</x:v>
      </x:c>
      <x:c r="I4585" s="0" t="s">
        <x:v>21</x:v>
      </x:c>
      <x:c r="K4585" s="0">
        <x:f>hyperlink("https://icd.who.int/dev11/l-ichi/en#/http%3A%2F%2Fid.who.int%2Ficd%2Fentity%2F1214179797","browser")</x:f>
      </x:c>
      <x:c r="L4585" s="0">
        <x:f>hyperlink("https://icat2.azurewebsites.net/icat/?ontology=ICD&amp;tab=ClassesTab&amp;id=http%3A%2F%2Fwho.int%2Ficd%2324153_512ebf36_bf6b_4d70_85da_cf2637062af4","iCat")</x:f>
      </x:c>
      <x:c r="M4585" s="0" t="s">
        <x:v>21</x:v>
      </x:c>
      <x:c r="N4585" s="0" t="s">
        <x:v>46</x:v>
      </x:c>
    </x:row>
    <x:row r="4586" spans="1:16">
      <x:c r="A4586" s="0" t="s">
        <x:v>18188</x:v>
      </x:c>
      <x:c r="B4586" s="0" t="s">
        <x:v>18189</x:v>
      </x:c>
      <x:c r="C4586" s="0" t="s">
        <x:v>18190</x:v>
      </x:c>
      <x:c r="E4586" s="0" t="s">
        <x:v>18191</x:v>
      </x:c>
      <x:c r="F4586" s="0" t="s">
        <x:v>45</x:v>
      </x:c>
      <x:c r="G4586" s="0" t="s">
        <x:v>19</x:v>
      </x:c>
      <x:c r="H4586" s="0" t="s">
        <x:v>20</x:v>
      </x:c>
      <x:c r="I4586" s="0" t="s">
        <x:v>21</x:v>
      </x:c>
      <x:c r="K4586" s="0">
        <x:f>hyperlink("https://icd.who.int/dev11/l-ichi/en#/http%3A%2F%2Fid.who.int%2Ficd%2Fentity%2F1671660869","browser")</x:f>
      </x:c>
      <x:c r="L4586" s="0">
        <x:f>hyperlink("https://icat2.azurewebsites.net/icat/?ontology=ICD&amp;tab=ClassesTab&amp;id=http%3A%2F%2Fwho.int%2Ficd%2324159_512ebf36_bf6b_4d70_85da_cf2637062af4","iCat")</x:f>
      </x:c>
      <x:c r="M4586" s="0" t="s">
        <x:v>21</x:v>
      </x:c>
      <x:c r="N4586" s="0" t="s">
        <x:v>46</x:v>
      </x:c>
    </x:row>
    <x:row r="4587" spans="1:16">
      <x:c r="A4587" s="0" t="s">
        <x:v>18192</x:v>
      </x:c>
      <x:c r="B4587" s="0" t="s">
        <x:v>18193</x:v>
      </x:c>
      <x:c r="D4587" s="0" t="s">
        <x:v>18194</x:v>
      </x:c>
      <x:c r="E4587" s="0" t="s">
        <x:v>18195</x:v>
      </x:c>
      <x:c r="F4587" s="0" t="s">
        <x:v>26</x:v>
      </x:c>
      <x:c r="G4587" s="0" t="s">
        <x:v>22</x:v>
      </x:c>
      <x:c r="H4587" s="0" t="s">
        <x:v>20</x:v>
      </x:c>
      <x:c r="I4587" s="0" t="s">
        <x:v>21</x:v>
      </x:c>
      <x:c r="K4587" s="0">
        <x:f>hyperlink("https://icd.who.int/dev11/l-ichi/en#/http%3A%2F%2Fid.who.int%2Ficd%2Fentity%2F1494025375","browser")</x:f>
      </x:c>
      <x:c r="L4587" s="0">
        <x:f>hyperlink("https://icat2.azurewebsites.net/icat/?ontology=ICD&amp;tab=ClassesTab&amp;id=http%3A%2F%2Fwho.int%2Ficd%2324383_512ebf36_bf6b_4d70_85da_cf2637062af4","iCat")</x:f>
      </x:c>
      <x:c r="M4587" s="0" t="s">
        <x:v>20</x:v>
      </x:c>
      <x:c r="N4587" s="0" t="s">
        <x:v>8440</x:v>
      </x:c>
    </x:row>
    <x:row r="4588" spans="1:16">
      <x:c r="A4588" s="0" t="s">
        <x:v>18196</x:v>
      </x:c>
      <x:c r="B4588" s="0" t="s">
        <x:v>18197</x:v>
      </x:c>
      <x:c r="C4588" s="0" t="s">
        <x:v>18198</x:v>
      </x:c>
      <x:c r="E4588" s="0" t="s">
        <x:v>18199</x:v>
      </x:c>
      <x:c r="F4588" s="0" t="s">
        <x:v>45</x:v>
      </x:c>
      <x:c r="G4588" s="0" t="s">
        <x:v>19</x:v>
      </x:c>
      <x:c r="H4588" s="0" t="s">
        <x:v>20</x:v>
      </x:c>
      <x:c r="I4588" s="0" t="s">
        <x:v>21</x:v>
      </x:c>
      <x:c r="K4588" s="0">
        <x:f>hyperlink("https://icd.who.int/dev11/l-ichi/en#/http%3A%2F%2Fid.who.int%2Ficd%2Fentity%2F2046064291","browser")</x:f>
      </x:c>
      <x:c r="L4588" s="0">
        <x:f>hyperlink("https://icat2.azurewebsites.net/icat/?ontology=ICD&amp;tab=ClassesTab&amp;id=http%3A%2F%2Fwho.int%2Ficd%2324382_512ebf36_bf6b_4d70_85da_cf2637062af4","iCat")</x:f>
      </x:c>
      <x:c r="M4588" s="0" t="s">
        <x:v>21</x:v>
      </x:c>
      <x:c r="N4588" s="0" t="s">
        <x:v>46</x:v>
      </x:c>
    </x:row>
    <x:row r="4589" spans="1:16">
      <x:c r="A4589" s="0" t="s">
        <x:v>18200</x:v>
      </x:c>
      <x:c r="B4589" s="0" t="s">
        <x:v>18201</x:v>
      </x:c>
      <x:c r="C4589" s="0" t="s">
        <x:v>18202</x:v>
      </x:c>
      <x:c r="E4589" s="0" t="s">
        <x:v>18203</x:v>
      </x:c>
      <x:c r="F4589" s="0" t="s">
        <x:v>45</x:v>
      </x:c>
      <x:c r="G4589" s="0" t="s">
        <x:v>19</x:v>
      </x:c>
      <x:c r="H4589" s="0" t="s">
        <x:v>20</x:v>
      </x:c>
      <x:c r="I4589" s="0" t="s">
        <x:v>21</x:v>
      </x:c>
      <x:c r="K4589" s="0">
        <x:f>hyperlink("https://icd.who.int/dev11/l-ichi/en#/http%3A%2F%2Fid.who.int%2Ficd%2Fentity%2F1128938053","browser")</x:f>
      </x:c>
      <x:c r="L4589" s="0">
        <x:f>hyperlink("https://icat2.azurewebsites.net/icat/?ontology=ICD&amp;tab=ClassesTab&amp;id=http%3A%2F%2Fwho.int%2Ficd%2324394_512ebf36_bf6b_4d70_85da_cf2637062af4","iCat")</x:f>
      </x:c>
      <x:c r="M4589" s="0" t="s">
        <x:v>21</x:v>
      </x:c>
      <x:c r="N4589" s="0" t="s">
        <x:v>46</x:v>
      </x:c>
    </x:row>
    <x:row r="4590" spans="1:16">
      <x:c r="A4590" s="0" t="s">
        <x:v>18204</x:v>
      </x:c>
      <x:c r="B4590" s="0" t="s">
        <x:v>18205</x:v>
      </x:c>
      <x:c r="C4590" s="0" t="s">
        <x:v>18206</x:v>
      </x:c>
      <x:c r="E4590" s="0" t="s">
        <x:v>18207</x:v>
      </x:c>
      <x:c r="F4590" s="0" t="s">
        <x:v>45</x:v>
      </x:c>
      <x:c r="G4590" s="0" t="s">
        <x:v>19</x:v>
      </x:c>
      <x:c r="H4590" s="0" t="s">
        <x:v>20</x:v>
      </x:c>
      <x:c r="I4590" s="0" t="s">
        <x:v>21</x:v>
      </x:c>
      <x:c r="K4590" s="0">
        <x:f>hyperlink("https://icd.who.int/dev11/l-ichi/en#/http%3A%2F%2Fid.who.int%2Ficd%2Fentity%2F1877514960","browser")</x:f>
      </x:c>
      <x:c r="L4590" s="0">
        <x:f>hyperlink("https://icat2.azurewebsites.net/icat/?ontology=ICD&amp;tab=ClassesTab&amp;id=http%3A%2F%2Fwho.int%2Ficd%2324400_512ebf36_bf6b_4d70_85da_cf2637062af4","iCat")</x:f>
      </x:c>
      <x:c r="M4590" s="0" t="s">
        <x:v>21</x:v>
      </x:c>
      <x:c r="N4590" s="0" t="s">
        <x:v>46</x:v>
      </x:c>
    </x:row>
    <x:row r="4591" spans="1:16">
      <x:c r="A4591" s="0" t="s">
        <x:v>18208</x:v>
      </x:c>
      <x:c r="B4591" s="0" t="s">
        <x:v>18209</x:v>
      </x:c>
      <x:c r="C4591" s="0" t="s">
        <x:v>18210</x:v>
      </x:c>
      <x:c r="E4591" s="0" t="s">
        <x:v>18211</x:v>
      </x:c>
      <x:c r="F4591" s="0" t="s">
        <x:v>45</x:v>
      </x:c>
      <x:c r="G4591" s="0" t="s">
        <x:v>19</x:v>
      </x:c>
      <x:c r="H4591" s="0" t="s">
        <x:v>20</x:v>
      </x:c>
      <x:c r="I4591" s="0" t="s">
        <x:v>21</x:v>
      </x:c>
      <x:c r="K4591" s="0">
        <x:f>hyperlink("https://icd.who.int/dev11/l-ichi/en#/http%3A%2F%2Fid.who.int%2Ficd%2Fentity%2F560589723","browser")</x:f>
      </x:c>
      <x:c r="L4591" s="0">
        <x:f>hyperlink("https://icat2.azurewebsites.net/icat/?ontology=ICD&amp;tab=ClassesTab&amp;id=http%3A%2F%2Fwho.int%2Ficd%2324408_512ebf36_bf6b_4d70_85da_cf2637062af4","iCat")</x:f>
      </x:c>
      <x:c r="M4591" s="0" t="s">
        <x:v>21</x:v>
      </x:c>
      <x:c r="N4591" s="0" t="s">
        <x:v>46</x:v>
      </x:c>
    </x:row>
    <x:row r="4592" spans="1:16">
      <x:c r="A4592" s="0" t="s">
        <x:v>18212</x:v>
      </x:c>
      <x:c r="B4592" s="0" t="s">
        <x:v>18213</x:v>
      </x:c>
      <x:c r="C4592" s="0" t="s">
        <x:v>18214</x:v>
      </x:c>
      <x:c r="E4592" s="0" t="s">
        <x:v>18215</x:v>
      </x:c>
      <x:c r="F4592" s="0" t="s">
        <x:v>45</x:v>
      </x:c>
      <x:c r="G4592" s="0" t="s">
        <x:v>19</x:v>
      </x:c>
      <x:c r="H4592" s="0" t="s">
        <x:v>20</x:v>
      </x:c>
      <x:c r="I4592" s="0" t="s">
        <x:v>21</x:v>
      </x:c>
      <x:c r="K4592" s="0">
        <x:f>hyperlink("https://icd.who.int/dev11/l-ichi/en#/http%3A%2F%2Fid.who.int%2Ficd%2Fentity%2F808111085","browser")</x:f>
      </x:c>
      <x:c r="L4592" s="0">
        <x:f>hyperlink("https://icat2.azurewebsites.net/icat/?ontology=ICD&amp;tab=ClassesTab&amp;id=http%3A%2F%2Fwho.int%2Ficd%2324414_512ebf36_bf6b_4d70_85da_cf2637062af4","iCat")</x:f>
      </x:c>
      <x:c r="M4592" s="0" t="s">
        <x:v>21</x:v>
      </x:c>
      <x:c r="N4592" s="0" t="s">
        <x:v>46</x:v>
      </x:c>
    </x:row>
    <x:row r="4593" spans="1:16">
      <x:c r="A4593" s="0" t="s">
        <x:v>18216</x:v>
      </x:c>
      <x:c r="B4593" s="0" t="s">
        <x:v>18217</x:v>
      </x:c>
      <x:c r="C4593" s="0" t="s">
        <x:v>18218</x:v>
      </x:c>
      <x:c r="E4593" s="0" t="s">
        <x:v>18219</x:v>
      </x:c>
      <x:c r="F4593" s="0" t="s">
        <x:v>45</x:v>
      </x:c>
      <x:c r="G4593" s="0" t="s">
        <x:v>19</x:v>
      </x:c>
      <x:c r="H4593" s="0" t="s">
        <x:v>20</x:v>
      </x:c>
      <x:c r="I4593" s="0" t="s">
        <x:v>21</x:v>
      </x:c>
      <x:c r="K4593" s="0">
        <x:f>hyperlink("https://icd.who.int/dev11/l-ichi/en#/http%3A%2F%2Fid.who.int%2Ficd%2Fentity%2F551572059","browser")</x:f>
      </x:c>
      <x:c r="L4593" s="0">
        <x:f>hyperlink("https://icat2.azurewebsites.net/icat/?ontology=ICD&amp;tab=ClassesTab&amp;id=http%3A%2F%2Fwho.int%2Ficd%2324422_512ebf36_bf6b_4d70_85da_cf2637062af4","iCat")</x:f>
      </x:c>
      <x:c r="M4593" s="0" t="s">
        <x:v>21</x:v>
      </x:c>
      <x:c r="N4593" s="0" t="s">
        <x:v>46</x:v>
      </x:c>
    </x:row>
    <x:row r="4594" spans="1:16">
      <x:c r="A4594" s="0" t="s">
        <x:v>18220</x:v>
      </x:c>
      <x:c r="B4594" s="0" t="s">
        <x:v>18221</x:v>
      </x:c>
      <x:c r="C4594" s="0" t="s">
        <x:v>18222</x:v>
      </x:c>
      <x:c r="E4594" s="0" t="s">
        <x:v>18223</x:v>
      </x:c>
      <x:c r="F4594" s="0" t="s">
        <x:v>45</x:v>
      </x:c>
      <x:c r="G4594" s="0" t="s">
        <x:v>19</x:v>
      </x:c>
      <x:c r="H4594" s="0" t="s">
        <x:v>20</x:v>
      </x:c>
      <x:c r="I4594" s="0" t="s">
        <x:v>21</x:v>
      </x:c>
      <x:c r="K4594" s="0">
        <x:f>hyperlink("https://icd.who.int/dev11/l-ichi/en#/http%3A%2F%2Fid.who.int%2Ficd%2Fentity%2F736382199","browser")</x:f>
      </x:c>
      <x:c r="L4594" s="0">
        <x:f>hyperlink("https://icat2.azurewebsites.net/icat/?ontology=ICD&amp;tab=ClassesTab&amp;id=http%3A%2F%2Fwho.int%2Ficd%2324429_512ebf36_bf6b_4d70_85da_cf2637062af4","iCat")</x:f>
      </x:c>
      <x:c r="M4594" s="0" t="s">
        <x:v>21</x:v>
      </x:c>
      <x:c r="N4594" s="0" t="s">
        <x:v>46</x:v>
      </x:c>
    </x:row>
    <x:row r="4595" spans="1:16">
      <x:c r="A4595" s="0" t="s">
        <x:v>18224</x:v>
      </x:c>
      <x:c r="B4595" s="0" t="s">
        <x:v>18225</x:v>
      </x:c>
      <x:c r="C4595" s="0" t="s">
        <x:v>18226</x:v>
      </x:c>
      <x:c r="E4595" s="0" t="s">
        <x:v>18227</x:v>
      </x:c>
      <x:c r="F4595" s="0" t="s">
        <x:v>45</x:v>
      </x:c>
      <x:c r="G4595" s="0" t="s">
        <x:v>19</x:v>
      </x:c>
      <x:c r="H4595" s="0" t="s">
        <x:v>20</x:v>
      </x:c>
      <x:c r="I4595" s="0" t="s">
        <x:v>21</x:v>
      </x:c>
      <x:c r="K4595" s="0">
        <x:f>hyperlink("https://icd.who.int/dev11/l-ichi/en#/http%3A%2F%2Fid.who.int%2Ficd%2Fentity%2F984050817","browser")</x:f>
      </x:c>
      <x:c r="L4595" s="0">
        <x:f>hyperlink("https://icat2.azurewebsites.net/icat/?ontology=ICD&amp;tab=ClassesTab&amp;id=http%3A%2F%2Fwho.int%2Ficd%2324435_512ebf36_bf6b_4d70_85da_cf2637062af4","iCat")</x:f>
      </x:c>
      <x:c r="M4595" s="0" t="s">
        <x:v>21</x:v>
      </x:c>
      <x:c r="N4595" s="0" t="s">
        <x:v>46</x:v>
      </x:c>
    </x:row>
    <x:row r="4596" spans="1:16">
      <x:c r="A4596" s="0" t="s">
        <x:v>18228</x:v>
      </x:c>
      <x:c r="B4596" s="0" t="s">
        <x:v>18229</x:v>
      </x:c>
      <x:c r="C4596" s="0" t="s">
        <x:v>18230</x:v>
      </x:c>
      <x:c r="E4596" s="0" t="s">
        <x:v>18231</x:v>
      </x:c>
      <x:c r="F4596" s="0" t="s">
        <x:v>45</x:v>
      </x:c>
      <x:c r="G4596" s="0" t="s">
        <x:v>19</x:v>
      </x:c>
      <x:c r="H4596" s="0" t="s">
        <x:v>20</x:v>
      </x:c>
      <x:c r="I4596" s="0" t="s">
        <x:v>21</x:v>
      </x:c>
      <x:c r="K4596" s="0">
        <x:f>hyperlink("https://icd.who.int/dev11/l-ichi/en#/http%3A%2F%2Fid.who.int%2Ficd%2Fentity%2F1510647338","browser")</x:f>
      </x:c>
      <x:c r="L4596" s="0">
        <x:f>hyperlink("https://icat2.azurewebsites.net/icat/?ontology=ICD&amp;tab=ClassesTab&amp;id=http%3A%2F%2Fwho.int%2Ficd%2324443_512ebf36_bf6b_4d70_85da_cf2637062af4","iCat")</x:f>
      </x:c>
      <x:c r="M4596" s="0" t="s">
        <x:v>21</x:v>
      </x:c>
      <x:c r="N4596" s="0" t="s">
        <x:v>46</x:v>
      </x:c>
    </x:row>
    <x:row r="4597" spans="1:16">
      <x:c r="A4597" s="0" t="s">
        <x:v>18232</x:v>
      </x:c>
      <x:c r="B4597" s="0" t="s">
        <x:v>18233</x:v>
      </x:c>
      <x:c r="C4597" s="0" t="s">
        <x:v>18234</x:v>
      </x:c>
      <x:c r="E4597" s="0" t="s">
        <x:v>18235</x:v>
      </x:c>
      <x:c r="F4597" s="0" t="s">
        <x:v>45</x:v>
      </x:c>
      <x:c r="G4597" s="0" t="s">
        <x:v>19</x:v>
      </x:c>
      <x:c r="H4597" s="0" t="s">
        <x:v>20</x:v>
      </x:c>
      <x:c r="I4597" s="0" t="s">
        <x:v>21</x:v>
      </x:c>
      <x:c r="K4597" s="0">
        <x:f>hyperlink("https://icd.who.int/dev11/l-ichi/en#/http%3A%2F%2Fid.who.int%2Ficd%2Fentity%2F1912064698","browser")</x:f>
      </x:c>
      <x:c r="L4597" s="0">
        <x:f>hyperlink("https://icat2.azurewebsites.net/icat/?ontology=ICD&amp;tab=ClassesTab&amp;id=http%3A%2F%2Fwho.int%2Ficd%2324449_512ebf36_bf6b_4d70_85da_cf2637062af4","iCat")</x:f>
      </x:c>
      <x:c r="M4597" s="0" t="s">
        <x:v>21</x:v>
      </x:c>
      <x:c r="N4597" s="0" t="s">
        <x:v>46</x:v>
      </x:c>
    </x:row>
    <x:row r="4598" spans="1:16">
      <x:c r="A4598" s="0" t="s">
        <x:v>18236</x:v>
      </x:c>
      <x:c r="B4598" s="0" t="s">
        <x:v>18237</x:v>
      </x:c>
      <x:c r="C4598" s="0" t="s">
        <x:v>18238</x:v>
      </x:c>
      <x:c r="E4598" s="0" t="s">
        <x:v>18239</x:v>
      </x:c>
      <x:c r="F4598" s="0" t="s">
        <x:v>45</x:v>
      </x:c>
      <x:c r="G4598" s="0" t="s">
        <x:v>19</x:v>
      </x:c>
      <x:c r="H4598" s="0" t="s">
        <x:v>20</x:v>
      </x:c>
      <x:c r="I4598" s="0" t="s">
        <x:v>21</x:v>
      </x:c>
      <x:c r="K4598" s="0">
        <x:f>hyperlink("https://icd.who.int/dev11/l-ichi/en#/http%3A%2F%2Fid.who.int%2Ficd%2Fentity%2F97056521","browser")</x:f>
      </x:c>
      <x:c r="L4598" s="0">
        <x:f>hyperlink("https://icat2.azurewebsites.net/icat/?ontology=ICD&amp;tab=ClassesTab&amp;id=http%3A%2F%2Fwho.int%2Ficd%2324457_512ebf36_bf6b_4d70_85da_cf2637062af4","iCat")</x:f>
      </x:c>
      <x:c r="M4598" s="0" t="s">
        <x:v>21</x:v>
      </x:c>
      <x:c r="N4598" s="0" t="s">
        <x:v>46</x:v>
      </x:c>
    </x:row>
    <x:row r="4599" spans="1:16">
      <x:c r="A4599" s="0" t="s">
        <x:v>18240</x:v>
      </x:c>
      <x:c r="B4599" s="0" t="s">
        <x:v>18241</x:v>
      </x:c>
      <x:c r="C4599" s="0" t="s">
        <x:v>18242</x:v>
      </x:c>
      <x:c r="E4599" s="0" t="s">
        <x:v>18243</x:v>
      </x:c>
      <x:c r="F4599" s="0" t="s">
        <x:v>45</x:v>
      </x:c>
      <x:c r="G4599" s="0" t="s">
        <x:v>19</x:v>
      </x:c>
      <x:c r="H4599" s="0" t="s">
        <x:v>20</x:v>
      </x:c>
      <x:c r="I4599" s="0" t="s">
        <x:v>21</x:v>
      </x:c>
      <x:c r="K4599" s="0">
        <x:f>hyperlink("https://icd.who.int/dev11/l-ichi/en#/http%3A%2F%2Fid.who.int%2Ficd%2Fentity%2F16570615","browser")</x:f>
      </x:c>
      <x:c r="L4599" s="0">
        <x:f>hyperlink("https://icat2.azurewebsites.net/icat/?ontology=ICD&amp;tab=ClassesTab&amp;id=http%3A%2F%2Fwho.int%2Ficd%2324464_512ebf36_bf6b_4d70_85da_cf2637062af4","iCat")</x:f>
      </x:c>
      <x:c r="M4599" s="0" t="s">
        <x:v>21</x:v>
      </x:c>
      <x:c r="N4599" s="0" t="s">
        <x:v>46</x:v>
      </x:c>
    </x:row>
    <x:row r="4600" spans="1:16">
      <x:c r="A4600" s="0" t="s">
        <x:v>18244</x:v>
      </x:c>
      <x:c r="B4600" s="0" t="s">
        <x:v>18245</x:v>
      </x:c>
      <x:c r="C4600" s="0" t="s">
        <x:v>18246</x:v>
      </x:c>
      <x:c r="E4600" s="0" t="s">
        <x:v>18247</x:v>
      </x:c>
      <x:c r="F4600" s="0" t="s">
        <x:v>45</x:v>
      </x:c>
      <x:c r="G4600" s="0" t="s">
        <x:v>19</x:v>
      </x:c>
      <x:c r="H4600" s="0" t="s">
        <x:v>20</x:v>
      </x:c>
      <x:c r="I4600" s="0" t="s">
        <x:v>21</x:v>
      </x:c>
      <x:c r="K4600" s="0">
        <x:f>hyperlink("https://icd.who.int/dev11/l-ichi/en#/http%3A%2F%2Fid.who.int%2Ficd%2Fentity%2F1597934036","browser")</x:f>
      </x:c>
      <x:c r="L4600" s="0">
        <x:f>hyperlink("https://icat2.azurewebsites.net/icat/?ontology=ICD&amp;tab=ClassesTab&amp;id=http%3A%2F%2Fwho.int%2Ficd%2324470_512ebf36_bf6b_4d70_85da_cf2637062af4","iCat")</x:f>
      </x:c>
      <x:c r="M4600" s="0" t="s">
        <x:v>21</x:v>
      </x:c>
      <x:c r="N4600" s="0" t="s">
        <x:v>46</x:v>
      </x:c>
    </x:row>
    <x:row r="4601" spans="1:16">
      <x:c r="A4601" s="0" t="s">
        <x:v>18248</x:v>
      </x:c>
      <x:c r="B4601" s="0" t="s">
        <x:v>18249</x:v>
      </x:c>
      <x:c r="C4601" s="0" t="s">
        <x:v>18250</x:v>
      </x:c>
      <x:c r="E4601" s="0" t="s">
        <x:v>18251</x:v>
      </x:c>
      <x:c r="F4601" s="0" t="s">
        <x:v>45</x:v>
      </x:c>
      <x:c r="G4601" s="0" t="s">
        <x:v>19</x:v>
      </x:c>
      <x:c r="H4601" s="0" t="s">
        <x:v>20</x:v>
      </x:c>
      <x:c r="I4601" s="0" t="s">
        <x:v>21</x:v>
      </x:c>
      <x:c r="K4601" s="0">
        <x:f>hyperlink("https://icd.who.int/dev11/l-ichi/en#/http%3A%2F%2Fid.who.int%2Ficd%2Fentity%2F800858713","browser")</x:f>
      </x:c>
      <x:c r="L4601" s="0">
        <x:f>hyperlink("https://icat2.azurewebsites.net/icat/?ontology=ICD&amp;tab=ClassesTab&amp;id=http%3A%2F%2Fwho.int%2Ficd%2324477_512ebf36_bf6b_4d70_85da_cf2637062af4","iCat")</x:f>
      </x:c>
      <x:c r="M4601" s="0" t="s">
        <x:v>21</x:v>
      </x:c>
      <x:c r="N4601" s="0" t="s">
        <x:v>46</x:v>
      </x:c>
    </x:row>
    <x:row r="4602" spans="1:16">
      <x:c r="A4602" s="0" t="s">
        <x:v>18252</x:v>
      </x:c>
      <x:c r="B4602" s="0" t="s">
        <x:v>18253</x:v>
      </x:c>
      <x:c r="C4602" s="0" t="s">
        <x:v>18254</x:v>
      </x:c>
      <x:c r="E4602" s="0" t="s">
        <x:v>18255</x:v>
      </x:c>
      <x:c r="F4602" s="0" t="s">
        <x:v>45</x:v>
      </x:c>
      <x:c r="G4602" s="0" t="s">
        <x:v>19</x:v>
      </x:c>
      <x:c r="H4602" s="0" t="s">
        <x:v>20</x:v>
      </x:c>
      <x:c r="I4602" s="0" t="s">
        <x:v>21</x:v>
      </x:c>
      <x:c r="K4602" s="0">
        <x:f>hyperlink("https://icd.who.int/dev11/l-ichi/en#/http%3A%2F%2Fid.who.int%2Ficd%2Fentity%2F5990535","browser")</x:f>
      </x:c>
      <x:c r="L4602" s="0">
        <x:f>hyperlink("https://icat2.azurewebsites.net/icat/?ontology=ICD&amp;tab=ClassesTab&amp;id=http%3A%2F%2Fwho.int%2Ficd%2324487_512ebf36_bf6b_4d70_85da_cf2637062af4","iCat")</x:f>
      </x:c>
      <x:c r="M4602" s="0" t="s">
        <x:v>21</x:v>
      </x:c>
      <x:c r="N4602" s="0" t="s">
        <x:v>46</x:v>
      </x:c>
    </x:row>
    <x:row r="4603" spans="1:16">
      <x:c r="A4603" s="0" t="s">
        <x:v>18256</x:v>
      </x:c>
      <x:c r="B4603" s="0" t="s">
        <x:v>18257</x:v>
      </x:c>
      <x:c r="C4603" s="0" t="s">
        <x:v>18258</x:v>
      </x:c>
      <x:c r="E4603" s="0" t="s">
        <x:v>18259</x:v>
      </x:c>
      <x:c r="F4603" s="0" t="s">
        <x:v>45</x:v>
      </x:c>
      <x:c r="G4603" s="0" t="s">
        <x:v>19</x:v>
      </x:c>
      <x:c r="H4603" s="0" t="s">
        <x:v>20</x:v>
      </x:c>
      <x:c r="I4603" s="0" t="s">
        <x:v>21</x:v>
      </x:c>
      <x:c r="K4603" s="0">
        <x:f>hyperlink("https://icd.who.int/dev11/l-ichi/en#/http%3A%2F%2Fid.who.int%2Ficd%2Fentity%2F1248301038","browser")</x:f>
      </x:c>
      <x:c r="L4603" s="0">
        <x:f>hyperlink("https://icat2.azurewebsites.net/icat/?ontology=ICD&amp;tab=ClassesTab&amp;id=http%3A%2F%2Fwho.int%2Ficd%2324496_512ebf36_bf6b_4d70_85da_cf2637062af4","iCat")</x:f>
      </x:c>
      <x:c r="M4603" s="0" t="s">
        <x:v>21</x:v>
      </x:c>
      <x:c r="N4603" s="0" t="s">
        <x:v>46</x:v>
      </x:c>
    </x:row>
    <x:row r="4604" spans="1:16">
      <x:c r="A4604" s="0" t="s">
        <x:v>18260</x:v>
      </x:c>
      <x:c r="B4604" s="0" t="s">
        <x:v>18261</x:v>
      </x:c>
      <x:c r="C4604" s="0" t="s">
        <x:v>18262</x:v>
      </x:c>
      <x:c r="E4604" s="0" t="s">
        <x:v>18263</x:v>
      </x:c>
      <x:c r="F4604" s="0" t="s">
        <x:v>45</x:v>
      </x:c>
      <x:c r="G4604" s="0" t="s">
        <x:v>19</x:v>
      </x:c>
      <x:c r="H4604" s="0" t="s">
        <x:v>20</x:v>
      </x:c>
      <x:c r="I4604" s="0" t="s">
        <x:v>21</x:v>
      </x:c>
      <x:c r="K4604" s="0">
        <x:f>hyperlink("https://icd.who.int/dev11/l-ichi/en#/http%3A%2F%2Fid.who.int%2Ficd%2Fentity%2F1794504672","browser")</x:f>
      </x:c>
      <x:c r="L4604" s="0">
        <x:f>hyperlink("https://icat2.azurewebsites.net/icat/?ontology=ICD&amp;tab=ClassesTab&amp;id=http%3A%2F%2Fwho.int%2Ficd%2324507_512ebf36_bf6b_4d70_85da_cf2637062af4","iCat")</x:f>
      </x:c>
      <x:c r="M4604" s="0" t="s">
        <x:v>21</x:v>
      </x:c>
      <x:c r="N4604" s="0" t="s">
        <x:v>46</x:v>
      </x:c>
    </x:row>
    <x:row r="4605" spans="1:16">
      <x:c r="A4605" s="0" t="s">
        <x:v>18264</x:v>
      </x:c>
      <x:c r="B4605" s="0" t="s">
        <x:v>18265</x:v>
      </x:c>
      <x:c r="C4605" s="0" t="s">
        <x:v>18266</x:v>
      </x:c>
      <x:c r="E4605" s="0" t="s">
        <x:v>18267</x:v>
      </x:c>
      <x:c r="F4605" s="0" t="s">
        <x:v>45</x:v>
      </x:c>
      <x:c r="G4605" s="0" t="s">
        <x:v>19</x:v>
      </x:c>
      <x:c r="H4605" s="0" t="s">
        <x:v>20</x:v>
      </x:c>
      <x:c r="I4605" s="0" t="s">
        <x:v>21</x:v>
      </x:c>
      <x:c r="K4605" s="0">
        <x:f>hyperlink("https://icd.who.int/dev11/l-ichi/en#/http%3A%2F%2Fid.who.int%2Ficd%2Fentity%2F1169493360","browser")</x:f>
      </x:c>
      <x:c r="L4605" s="0">
        <x:f>hyperlink("https://icat2.azurewebsites.net/icat/?ontology=ICD&amp;tab=ClassesTab&amp;id=http%3A%2F%2Fwho.int%2Ficd%2324514_512ebf36_bf6b_4d70_85da_cf2637062af4","iCat")</x:f>
      </x:c>
      <x:c r="M4605" s="0" t="s">
        <x:v>21</x:v>
      </x:c>
      <x:c r="N4605" s="0" t="s">
        <x:v>46</x:v>
      </x:c>
    </x:row>
    <x:row r="4606" spans="1:16">
      <x:c r="A4606" s="0" t="s">
        <x:v>18268</x:v>
      </x:c>
      <x:c r="B4606" s="0" t="s">
        <x:v>18269</x:v>
      </x:c>
      <x:c r="C4606" s="0" t="s">
        <x:v>18270</x:v>
      </x:c>
      <x:c r="E4606" s="0" t="s">
        <x:v>18271</x:v>
      </x:c>
      <x:c r="F4606" s="0" t="s">
        <x:v>45</x:v>
      </x:c>
      <x:c r="G4606" s="0" t="s">
        <x:v>19</x:v>
      </x:c>
      <x:c r="H4606" s="0" t="s">
        <x:v>20</x:v>
      </x:c>
      <x:c r="I4606" s="0" t="s">
        <x:v>21</x:v>
      </x:c>
      <x:c r="K4606" s="0">
        <x:f>hyperlink("https://icd.who.int/dev11/l-ichi/en#/http%3A%2F%2Fid.who.int%2Ficd%2Fentity%2F805538051","browser")</x:f>
      </x:c>
      <x:c r="L4606" s="0">
        <x:f>hyperlink("https://icat2.azurewebsites.net/icat/?ontology=ICD&amp;tab=ClassesTab&amp;id=http%3A%2F%2Fwho.int%2Ficd%2324520_512ebf36_bf6b_4d70_85da_cf2637062af4","iCat")</x:f>
      </x:c>
      <x:c r="M4606" s="0" t="s">
        <x:v>21</x:v>
      </x:c>
      <x:c r="N4606" s="0" t="s">
        <x:v>46</x:v>
      </x:c>
    </x:row>
    <x:row r="4607" spans="1:16">
      <x:c r="A4607" s="0" t="s">
        <x:v>18272</x:v>
      </x:c>
      <x:c r="B4607" s="0" t="s">
        <x:v>18273</x:v>
      </x:c>
      <x:c r="C4607" s="0" t="s">
        <x:v>18274</x:v>
      </x:c>
      <x:c r="E4607" s="0" t="s">
        <x:v>18275</x:v>
      </x:c>
      <x:c r="F4607" s="0" t="s">
        <x:v>45</x:v>
      </x:c>
      <x:c r="G4607" s="0" t="s">
        <x:v>19</x:v>
      </x:c>
      <x:c r="H4607" s="0" t="s">
        <x:v>20</x:v>
      </x:c>
      <x:c r="I4607" s="0" t="s">
        <x:v>21</x:v>
      </x:c>
      <x:c r="K4607" s="0">
        <x:f>hyperlink("https://icd.who.int/dev11/l-ichi/en#/http%3A%2F%2Fid.who.int%2Ficd%2Fentity%2F1618497716","browser")</x:f>
      </x:c>
      <x:c r="L4607" s="0">
        <x:f>hyperlink("https://icat2.azurewebsites.net/icat/?ontology=ICD&amp;tab=ClassesTab&amp;id=http%3A%2F%2Fwho.int%2Ficd%2324526_512ebf36_bf6b_4d70_85da_cf2637062af4","iCat")</x:f>
      </x:c>
      <x:c r="M4607" s="0" t="s">
        <x:v>21</x:v>
      </x:c>
      <x:c r="N4607" s="0" t="s">
        <x:v>46</x:v>
      </x:c>
    </x:row>
    <x:row r="4608" spans="1:16">
      <x:c r="A4608" s="0" t="s">
        <x:v>18276</x:v>
      </x:c>
      <x:c r="B4608" s="0" t="s">
        <x:v>18277</x:v>
      </x:c>
      <x:c r="C4608" s="0" t="s">
        <x:v>18278</x:v>
      </x:c>
      <x:c r="E4608" s="0" t="s">
        <x:v>18279</x:v>
      </x:c>
      <x:c r="F4608" s="0" t="s">
        <x:v>45</x:v>
      </x:c>
      <x:c r="G4608" s="0" t="s">
        <x:v>19</x:v>
      </x:c>
      <x:c r="H4608" s="0" t="s">
        <x:v>20</x:v>
      </x:c>
      <x:c r="I4608" s="0" t="s">
        <x:v>21</x:v>
      </x:c>
      <x:c r="K4608" s="0">
        <x:f>hyperlink("https://icd.who.int/dev11/l-ichi/en#/http%3A%2F%2Fid.who.int%2Ficd%2Fentity%2F524514221","browser")</x:f>
      </x:c>
      <x:c r="L4608" s="0">
        <x:f>hyperlink("https://icat2.azurewebsites.net/icat/?ontology=ICD&amp;tab=ClassesTab&amp;id=http%3A%2F%2Fwho.int%2Ficd%2324533_512ebf36_bf6b_4d70_85da_cf2637062af4","iCat")</x:f>
      </x:c>
      <x:c r="M4608" s="0" t="s">
        <x:v>21</x:v>
      </x:c>
      <x:c r="N4608" s="0" t="s">
        <x:v>46</x:v>
      </x:c>
    </x:row>
    <x:row r="4609" spans="1:16">
      <x:c r="A4609" s="0" t="s">
        <x:v>18280</x:v>
      </x:c>
      <x:c r="B4609" s="0" t="s">
        <x:v>18281</x:v>
      </x:c>
      <x:c r="C4609" s="0" t="s">
        <x:v>18282</x:v>
      </x:c>
      <x:c r="E4609" s="0" t="s">
        <x:v>18283</x:v>
      </x:c>
      <x:c r="F4609" s="0" t="s">
        <x:v>45</x:v>
      </x:c>
      <x:c r="G4609" s="0" t="s">
        <x:v>19</x:v>
      </x:c>
      <x:c r="H4609" s="0" t="s">
        <x:v>20</x:v>
      </x:c>
      <x:c r="I4609" s="0" t="s">
        <x:v>21</x:v>
      </x:c>
      <x:c r="K4609" s="0">
        <x:f>hyperlink("https://icd.who.int/dev11/l-ichi/en#/http%3A%2F%2Fid.who.int%2Ficd%2Fentity%2F884875069","browser")</x:f>
      </x:c>
      <x:c r="L4609" s="0">
        <x:f>hyperlink("https://icat2.azurewebsites.net/icat/?ontology=ICD&amp;tab=ClassesTab&amp;id=http%3A%2F%2Fwho.int%2Ficd%2324539_512ebf36_bf6b_4d70_85da_cf2637062af4","iCat")</x:f>
      </x:c>
      <x:c r="M4609" s="0" t="s">
        <x:v>21</x:v>
      </x:c>
      <x:c r="N4609" s="0" t="s">
        <x:v>46</x:v>
      </x:c>
    </x:row>
    <x:row r="4610" spans="1:16">
      <x:c r="A4610" s="0" t="s">
        <x:v>18284</x:v>
      </x:c>
      <x:c r="B4610" s="0" t="s">
        <x:v>18285</x:v>
      </x:c>
      <x:c r="C4610" s="0" t="s">
        <x:v>18286</x:v>
      </x:c>
      <x:c r="E4610" s="0" t="s">
        <x:v>18287</x:v>
      </x:c>
      <x:c r="F4610" s="0" t="s">
        <x:v>45</x:v>
      </x:c>
      <x:c r="G4610" s="0" t="s">
        <x:v>19</x:v>
      </x:c>
      <x:c r="H4610" s="0" t="s">
        <x:v>20</x:v>
      </x:c>
      <x:c r="I4610" s="0" t="s">
        <x:v>21</x:v>
      </x:c>
      <x:c r="K4610" s="0">
        <x:f>hyperlink("https://icd.who.int/dev11/l-ichi/en#/http%3A%2F%2Fid.who.int%2Ficd%2Fentity%2F980145919","browser")</x:f>
      </x:c>
      <x:c r="L4610" s="0">
        <x:f>hyperlink("https://icat2.azurewebsites.net/icat/?ontology=ICD&amp;tab=ClassesTab&amp;id=http%3A%2F%2Fwho.int%2Ficd%2324546_512ebf36_bf6b_4d70_85da_cf2637062af4","iCat")</x:f>
      </x:c>
      <x:c r="M4610" s="0" t="s">
        <x:v>21</x:v>
      </x:c>
      <x:c r="N4610" s="0" t="s">
        <x:v>46</x:v>
      </x:c>
    </x:row>
    <x:row r="4611" spans="1:16">
      <x:c r="A4611" s="0" t="s">
        <x:v>18288</x:v>
      </x:c>
      <x:c r="B4611" s="0" t="s">
        <x:v>18289</x:v>
      </x:c>
      <x:c r="C4611" s="0" t="s">
        <x:v>18290</x:v>
      </x:c>
      <x:c r="E4611" s="0" t="s">
        <x:v>18291</x:v>
      </x:c>
      <x:c r="F4611" s="0" t="s">
        <x:v>45</x:v>
      </x:c>
      <x:c r="G4611" s="0" t="s">
        <x:v>19</x:v>
      </x:c>
      <x:c r="H4611" s="0" t="s">
        <x:v>20</x:v>
      </x:c>
      <x:c r="I4611" s="0" t="s">
        <x:v>21</x:v>
      </x:c>
      <x:c r="K4611" s="0">
        <x:f>hyperlink("https://icd.who.int/dev11/l-ichi/en#/http%3A%2F%2Fid.who.int%2Ficd%2Fentity%2F1705609182","browser")</x:f>
      </x:c>
      <x:c r="L4611" s="0">
        <x:f>hyperlink("https://icat2.azurewebsites.net/icat/?ontology=ICD&amp;tab=ClassesTab&amp;id=http%3A%2F%2Fwho.int%2Ficd%2324552_512ebf36_bf6b_4d70_85da_cf2637062af4","iCat")</x:f>
      </x:c>
      <x:c r="M4611" s="0" t="s">
        <x:v>21</x:v>
      </x:c>
      <x:c r="N4611" s="0" t="s">
        <x:v>46</x:v>
      </x:c>
    </x:row>
    <x:row r="4612" spans="1:16">
      <x:c r="A4612" s="0" t="s">
        <x:v>18292</x:v>
      </x:c>
      <x:c r="B4612" s="0" t="s">
        <x:v>18293</x:v>
      </x:c>
      <x:c r="C4612" s="0" t="s">
        <x:v>18294</x:v>
      </x:c>
      <x:c r="E4612" s="0" t="s">
        <x:v>18295</x:v>
      </x:c>
      <x:c r="F4612" s="0" t="s">
        <x:v>45</x:v>
      </x:c>
      <x:c r="G4612" s="0" t="s">
        <x:v>19</x:v>
      </x:c>
      <x:c r="H4612" s="0" t="s">
        <x:v>20</x:v>
      </x:c>
      <x:c r="I4612" s="0" t="s">
        <x:v>21</x:v>
      </x:c>
      <x:c r="K4612" s="0">
        <x:f>hyperlink("https://icd.who.int/dev11/l-ichi/en#/http%3A%2F%2Fid.who.int%2Ficd%2Fentity%2F622381019","browser")</x:f>
      </x:c>
      <x:c r="L4612" s="0">
        <x:f>hyperlink("https://icat2.azurewebsites.net/icat/?ontology=ICD&amp;tab=ClassesTab&amp;id=http%3A%2F%2Fwho.int%2Ficd%2324562_512ebf36_bf6b_4d70_85da_cf2637062af4","iCat")</x:f>
      </x:c>
      <x:c r="M4612" s="0" t="s">
        <x:v>21</x:v>
      </x:c>
      <x:c r="N4612" s="0" t="s">
        <x:v>46</x:v>
      </x:c>
    </x:row>
    <x:row r="4613" spans="1:16">
      <x:c r="A4613" s="0" t="s">
        <x:v>18296</x:v>
      </x:c>
      <x:c r="B4613" s="0" t="s">
        <x:v>18297</x:v>
      </x:c>
      <x:c r="C4613" s="0" t="s">
        <x:v>18298</x:v>
      </x:c>
      <x:c r="E4613" s="0" t="s">
        <x:v>18299</x:v>
      </x:c>
      <x:c r="F4613" s="0" t="s">
        <x:v>45</x:v>
      </x:c>
      <x:c r="G4613" s="0" t="s">
        <x:v>19</x:v>
      </x:c>
      <x:c r="H4613" s="0" t="s">
        <x:v>20</x:v>
      </x:c>
      <x:c r="I4613" s="0" t="s">
        <x:v>21</x:v>
      </x:c>
      <x:c r="K4613" s="0">
        <x:f>hyperlink("https://icd.who.int/dev11/l-ichi/en#/http%3A%2F%2Fid.who.int%2Ficd%2Fentity%2F249932619","browser")</x:f>
      </x:c>
      <x:c r="L4613" s="0">
        <x:f>hyperlink("https://icat2.azurewebsites.net/icat/?ontology=ICD&amp;tab=ClassesTab&amp;id=http%3A%2F%2Fwho.int%2Ficd%2324568_512ebf36_bf6b_4d70_85da_cf2637062af4","iCat")</x:f>
      </x:c>
      <x:c r="M4613" s="0" t="s">
        <x:v>21</x:v>
      </x:c>
      <x:c r="N4613" s="0" t="s">
        <x:v>46</x:v>
      </x:c>
    </x:row>
    <x:row r="4614" spans="1:16">
      <x:c r="A4614" s="0" t="s">
        <x:v>18300</x:v>
      </x:c>
      <x:c r="B4614" s="0" t="s">
        <x:v>18301</x:v>
      </x:c>
      <x:c r="D4614" s="0" t="s">
        <x:v>18302</x:v>
      </x:c>
      <x:c r="E4614" s="0" t="s">
        <x:v>18303</x:v>
      </x:c>
      <x:c r="F4614" s="0" t="s">
        <x:v>26</x:v>
      </x:c>
      <x:c r="G4614" s="0" t="s">
        <x:v>22</x:v>
      </x:c>
      <x:c r="H4614" s="0" t="s">
        <x:v>20</x:v>
      </x:c>
      <x:c r="I4614" s="0" t="s">
        <x:v>21</x:v>
      </x:c>
      <x:c r="K4614" s="0">
        <x:f>hyperlink("https://icd.who.int/dev11/l-ichi/en#/http%3A%2F%2Fid.who.int%2Ficd%2Fentity%2F1063254273","browser")</x:f>
      </x:c>
      <x:c r="L4614" s="0">
        <x:f>hyperlink("https://icat2.azurewebsites.net/icat/?ontology=ICD&amp;tab=ClassesTab&amp;id=http%3A%2F%2Fwho.int%2Ficd%2324575_512ebf36_bf6b_4d70_85da_cf2637062af4","iCat")</x:f>
      </x:c>
      <x:c r="M4614" s="0" t="s">
        <x:v>20</x:v>
      </x:c>
      <x:c r="N4614" s="0" t="s">
        <x:v>18304</x:v>
      </x:c>
    </x:row>
    <x:row r="4615" spans="1:16">
      <x:c r="A4615" s="0" t="s">
        <x:v>18305</x:v>
      </x:c>
      <x:c r="B4615" s="0" t="s">
        <x:v>18306</x:v>
      </x:c>
      <x:c r="C4615" s="0" t="s">
        <x:v>18307</x:v>
      </x:c>
      <x:c r="E4615" s="0" t="s">
        <x:v>18308</x:v>
      </x:c>
      <x:c r="F4615" s="0" t="s">
        <x:v>45</x:v>
      </x:c>
      <x:c r="G4615" s="0" t="s">
        <x:v>19</x:v>
      </x:c>
      <x:c r="H4615" s="0" t="s">
        <x:v>20</x:v>
      </x:c>
      <x:c r="I4615" s="0" t="s">
        <x:v>21</x:v>
      </x:c>
      <x:c r="K4615" s="0">
        <x:f>hyperlink("https://icd.who.int/dev11/l-ichi/en#/http%3A%2F%2Fid.who.int%2Ficd%2Fentity%2F531008317","browser")</x:f>
      </x:c>
      <x:c r="L4615" s="0">
        <x:f>hyperlink("https://icat2.azurewebsites.net/icat/?ontology=ICD&amp;tab=ClassesTab&amp;id=http%3A%2F%2Fwho.int%2Ficd%2324574_512ebf36_bf6b_4d70_85da_cf2637062af4","iCat")</x:f>
      </x:c>
      <x:c r="M4615" s="0" t="s">
        <x:v>21</x:v>
      </x:c>
      <x:c r="N4615" s="0" t="s">
        <x:v>46</x:v>
      </x:c>
    </x:row>
    <x:row r="4616" spans="1:16">
      <x:c r="A4616" s="0" t="s">
        <x:v>18309</x:v>
      </x:c>
      <x:c r="B4616" s="0" t="s">
        <x:v>18310</x:v>
      </x:c>
      <x:c r="C4616" s="0" t="s">
        <x:v>18311</x:v>
      </x:c>
      <x:c r="E4616" s="0" t="s">
        <x:v>18312</x:v>
      </x:c>
      <x:c r="F4616" s="0" t="s">
        <x:v>45</x:v>
      </x:c>
      <x:c r="G4616" s="0" t="s">
        <x:v>19</x:v>
      </x:c>
      <x:c r="H4616" s="0" t="s">
        <x:v>20</x:v>
      </x:c>
      <x:c r="I4616" s="0" t="s">
        <x:v>21</x:v>
      </x:c>
      <x:c r="K4616" s="0">
        <x:f>hyperlink("https://icd.who.int/dev11/l-ichi/en#/http%3A%2F%2Fid.who.int%2Ficd%2Fentity%2F1975823898","browser")</x:f>
      </x:c>
      <x:c r="L4616" s="0">
        <x:f>hyperlink("https://icat2.azurewebsites.net/icat/?ontology=ICD&amp;tab=ClassesTab&amp;id=http%3A%2F%2Fwho.int%2Ficd%2324587_512ebf36_bf6b_4d70_85da_cf2637062af4","iCat")</x:f>
      </x:c>
      <x:c r="M4616" s="0" t="s">
        <x:v>21</x:v>
      </x:c>
      <x:c r="N4616" s="0" t="s">
        <x:v>46</x:v>
      </x:c>
    </x:row>
    <x:row r="4617" spans="1:16">
      <x:c r="A4617" s="0" t="s">
        <x:v>18313</x:v>
      </x:c>
      <x:c r="B4617" s="0" t="s">
        <x:v>18314</x:v>
      </x:c>
      <x:c r="C4617" s="0" t="s">
        <x:v>18315</x:v>
      </x:c>
      <x:c r="E4617" s="0" t="s">
        <x:v>18316</x:v>
      </x:c>
      <x:c r="F4617" s="0" t="s">
        <x:v>45</x:v>
      </x:c>
      <x:c r="G4617" s="0" t="s">
        <x:v>19</x:v>
      </x:c>
      <x:c r="H4617" s="0" t="s">
        <x:v>20</x:v>
      </x:c>
      <x:c r="I4617" s="0" t="s">
        <x:v>21</x:v>
      </x:c>
      <x:c r="K4617" s="0">
        <x:f>hyperlink("https://icd.who.int/dev11/l-ichi/en#/http%3A%2F%2Fid.who.int%2Ficd%2Fentity%2F1518621878","browser")</x:f>
      </x:c>
      <x:c r="L4617" s="0">
        <x:f>hyperlink("https://icat2.azurewebsites.net/icat/?ontology=ICD&amp;tab=ClassesTab&amp;id=http%3A%2F%2Fwho.int%2Ficd%2324594_512ebf36_bf6b_4d70_85da_cf2637062af4","iCat")</x:f>
      </x:c>
      <x:c r="M4617" s="0" t="s">
        <x:v>21</x:v>
      </x:c>
      <x:c r="N4617" s="0" t="s">
        <x:v>46</x:v>
      </x:c>
    </x:row>
    <x:row r="4618" spans="1:16">
      <x:c r="A4618" s="0" t="s">
        <x:v>18317</x:v>
      </x:c>
      <x:c r="B4618" s="0" t="s">
        <x:v>18318</x:v>
      </x:c>
      <x:c r="C4618" s="0" t="s">
        <x:v>18319</x:v>
      </x:c>
      <x:c r="E4618" s="0" t="s">
        <x:v>18320</x:v>
      </x:c>
      <x:c r="F4618" s="0" t="s">
        <x:v>45</x:v>
      </x:c>
      <x:c r="G4618" s="0" t="s">
        <x:v>19</x:v>
      </x:c>
      <x:c r="H4618" s="0" t="s">
        <x:v>20</x:v>
      </x:c>
      <x:c r="I4618" s="0" t="s">
        <x:v>21</x:v>
      </x:c>
      <x:c r="K4618" s="0">
        <x:f>hyperlink("https://icd.who.int/dev11/l-ichi/en#/http%3A%2F%2Fid.who.int%2Ficd%2Fentity%2F1540463160","browser")</x:f>
      </x:c>
      <x:c r="L4618" s="0">
        <x:f>hyperlink("https://icat2.azurewebsites.net/icat/?ontology=ICD&amp;tab=ClassesTab&amp;id=http%3A%2F%2Fwho.int%2Ficd%2324601_512ebf36_bf6b_4d70_85da_cf2637062af4","iCat")</x:f>
      </x:c>
      <x:c r="M4618" s="0" t="s">
        <x:v>21</x:v>
      </x:c>
      <x:c r="N4618" s="0" t="s">
        <x:v>46</x:v>
      </x:c>
    </x:row>
    <x:row r="4619" spans="1:16">
      <x:c r="A4619" s="0" t="s">
        <x:v>18321</x:v>
      </x:c>
      <x:c r="B4619" s="0" t="s">
        <x:v>18322</x:v>
      </x:c>
      <x:c r="C4619" s="0" t="s">
        <x:v>18323</x:v>
      </x:c>
      <x:c r="E4619" s="0" t="s">
        <x:v>18324</x:v>
      </x:c>
      <x:c r="F4619" s="0" t="s">
        <x:v>45</x:v>
      </x:c>
      <x:c r="G4619" s="0" t="s">
        <x:v>19</x:v>
      </x:c>
      <x:c r="H4619" s="0" t="s">
        <x:v>20</x:v>
      </x:c>
      <x:c r="I4619" s="0" t="s">
        <x:v>21</x:v>
      </x:c>
      <x:c r="K4619" s="0">
        <x:f>hyperlink("https://icd.who.int/dev11/l-ichi/en#/http%3A%2F%2Fid.who.int%2Ficd%2Fentity%2F300776797","browser")</x:f>
      </x:c>
      <x:c r="L4619" s="0">
        <x:f>hyperlink("https://icat2.azurewebsites.net/icat/?ontology=ICD&amp;tab=ClassesTab&amp;id=http%3A%2F%2Fwho.int%2Ficd%2324610_512ebf36_bf6b_4d70_85da_cf2637062af4","iCat")</x:f>
      </x:c>
      <x:c r="M4619" s="0" t="s">
        <x:v>21</x:v>
      </x:c>
      <x:c r="N4619" s="0" t="s">
        <x:v>46</x:v>
      </x:c>
    </x:row>
    <x:row r="4620" spans="1:16">
      <x:c r="A4620" s="0" t="s">
        <x:v>18325</x:v>
      </x:c>
      <x:c r="B4620" s="0" t="s">
        <x:v>18326</x:v>
      </x:c>
      <x:c r="C4620" s="0" t="s">
        <x:v>18327</x:v>
      </x:c>
      <x:c r="E4620" s="0" t="s">
        <x:v>18328</x:v>
      </x:c>
      <x:c r="F4620" s="0" t="s">
        <x:v>45</x:v>
      </x:c>
      <x:c r="G4620" s="0" t="s">
        <x:v>19</x:v>
      </x:c>
      <x:c r="H4620" s="0" t="s">
        <x:v>20</x:v>
      </x:c>
      <x:c r="I4620" s="0" t="s">
        <x:v>21</x:v>
      </x:c>
      <x:c r="K4620" s="0">
        <x:f>hyperlink("https://icd.who.int/dev11/l-ichi/en#/http%3A%2F%2Fid.who.int%2Ficd%2Fentity%2F1634719440","browser")</x:f>
      </x:c>
      <x:c r="L4620" s="0">
        <x:f>hyperlink("https://icat2.azurewebsites.net/icat/?ontology=ICD&amp;tab=ClassesTab&amp;id=http%3A%2F%2Fwho.int%2Ficd%2324617_512ebf36_bf6b_4d70_85da_cf2637062af4","iCat")</x:f>
      </x:c>
      <x:c r="M4620" s="0" t="s">
        <x:v>21</x:v>
      </x:c>
      <x:c r="N4620" s="0" t="s">
        <x:v>46</x:v>
      </x:c>
    </x:row>
    <x:row r="4621" spans="1:16">
      <x:c r="A4621" s="0" t="s">
        <x:v>18329</x:v>
      </x:c>
      <x:c r="B4621" s="0" t="s">
        <x:v>18330</x:v>
      </x:c>
      <x:c r="C4621" s="0" t="s">
        <x:v>18331</x:v>
      </x:c>
      <x:c r="E4621" s="0" t="s">
        <x:v>18332</x:v>
      </x:c>
      <x:c r="F4621" s="0" t="s">
        <x:v>45</x:v>
      </x:c>
      <x:c r="G4621" s="0" t="s">
        <x:v>19</x:v>
      </x:c>
      <x:c r="H4621" s="0" t="s">
        <x:v>20</x:v>
      </x:c>
      <x:c r="I4621" s="0" t="s">
        <x:v>21</x:v>
      </x:c>
      <x:c r="K4621" s="0">
        <x:f>hyperlink("https://icd.who.int/dev11/l-ichi/en#/http%3A%2F%2Fid.who.int%2Ficd%2Fentity%2F1683749166","browser")</x:f>
      </x:c>
      <x:c r="L4621" s="0">
        <x:f>hyperlink("https://icat2.azurewebsites.net/icat/?ontology=ICD&amp;tab=ClassesTab&amp;id=http%3A%2F%2Fwho.int%2Ficd%2324624_512ebf36_bf6b_4d70_85da_cf2637062af4","iCat")</x:f>
      </x:c>
      <x:c r="M4621" s="0" t="s">
        <x:v>21</x:v>
      </x:c>
      <x:c r="N4621" s="0" t="s">
        <x:v>46</x:v>
      </x:c>
    </x:row>
    <x:row r="4622" spans="1:16">
      <x:c r="A4622" s="0" t="s">
        <x:v>18333</x:v>
      </x:c>
      <x:c r="B4622" s="0" t="s">
        <x:v>18334</x:v>
      </x:c>
      <x:c r="C4622" s="0" t="s">
        <x:v>18335</x:v>
      </x:c>
      <x:c r="E4622" s="0" t="s">
        <x:v>18336</x:v>
      </x:c>
      <x:c r="F4622" s="0" t="s">
        <x:v>45</x:v>
      </x:c>
      <x:c r="G4622" s="0" t="s">
        <x:v>19</x:v>
      </x:c>
      <x:c r="H4622" s="0" t="s">
        <x:v>20</x:v>
      </x:c>
      <x:c r="I4622" s="0" t="s">
        <x:v>21</x:v>
      </x:c>
      <x:c r="K4622" s="0">
        <x:f>hyperlink("https://icd.who.int/dev11/l-ichi/en#/http%3A%2F%2Fid.who.int%2Ficd%2Fentity%2F1592112586","browser")</x:f>
      </x:c>
      <x:c r="L4622" s="0">
        <x:f>hyperlink("https://icat2.azurewebsites.net/icat/?ontology=ICD&amp;tab=ClassesTab&amp;id=http%3A%2F%2Fwho.int%2Ficd%2324632_512ebf36_bf6b_4d70_85da_cf2637062af4","iCat")</x:f>
      </x:c>
      <x:c r="M4622" s="0" t="s">
        <x:v>21</x:v>
      </x:c>
      <x:c r="N4622" s="0" t="s">
        <x:v>46</x:v>
      </x:c>
    </x:row>
    <x:row r="4623" spans="1:16">
      <x:c r="A4623" s="0" t="s">
        <x:v>18337</x:v>
      </x:c>
      <x:c r="B4623" s="0" t="s">
        <x:v>18338</x:v>
      </x:c>
      <x:c r="C4623" s="0" t="s">
        <x:v>18339</x:v>
      </x:c>
      <x:c r="E4623" s="0" t="s">
        <x:v>18340</x:v>
      </x:c>
      <x:c r="F4623" s="0" t="s">
        <x:v>45</x:v>
      </x:c>
      <x:c r="G4623" s="0" t="s">
        <x:v>19</x:v>
      </x:c>
      <x:c r="H4623" s="0" t="s">
        <x:v>20</x:v>
      </x:c>
      <x:c r="I4623" s="0" t="s">
        <x:v>21</x:v>
      </x:c>
      <x:c r="K4623" s="0">
        <x:f>hyperlink("https://icd.who.int/dev11/l-ichi/en#/http%3A%2F%2Fid.who.int%2Ficd%2Fentity%2F1440852836","browser")</x:f>
      </x:c>
      <x:c r="L4623" s="0">
        <x:f>hyperlink("https://icat2.azurewebsites.net/icat/?ontology=ICD&amp;tab=ClassesTab&amp;id=http%3A%2F%2Fwho.int%2Ficd%2324639_512ebf36_bf6b_4d70_85da_cf2637062af4","iCat")</x:f>
      </x:c>
      <x:c r="M4623" s="0" t="s">
        <x:v>21</x:v>
      </x:c>
      <x:c r="N4623" s="0" t="s">
        <x:v>46</x:v>
      </x:c>
    </x:row>
    <x:row r="4624" spans="1:16">
      <x:c r="A4624" s="0" t="s">
        <x:v>18341</x:v>
      </x:c>
      <x:c r="B4624" s="0" t="s">
        <x:v>18342</x:v>
      </x:c>
      <x:c r="C4624" s="0" t="s">
        <x:v>18343</x:v>
      </x:c>
      <x:c r="E4624" s="0" t="s">
        <x:v>18344</x:v>
      </x:c>
      <x:c r="F4624" s="0" t="s">
        <x:v>45</x:v>
      </x:c>
      <x:c r="G4624" s="0" t="s">
        <x:v>19</x:v>
      </x:c>
      <x:c r="H4624" s="0" t="s">
        <x:v>20</x:v>
      </x:c>
      <x:c r="I4624" s="0" t="s">
        <x:v>21</x:v>
      </x:c>
      <x:c r="K4624" s="0">
        <x:f>hyperlink("https://icd.who.int/dev11/l-ichi/en#/http%3A%2F%2Fid.who.int%2Ficd%2Fentity%2F1530159784","browser")</x:f>
      </x:c>
      <x:c r="L4624" s="0">
        <x:f>hyperlink("https://icat2.azurewebsites.net/icat/?ontology=ICD&amp;tab=ClassesTab&amp;id=http%3A%2F%2Fwho.int%2Ficd%2324646_512ebf36_bf6b_4d70_85da_cf2637062af4","iCat")</x:f>
      </x:c>
      <x:c r="M4624" s="0" t="s">
        <x:v>21</x:v>
      </x:c>
      <x:c r="N4624" s="0" t="s">
        <x:v>46</x:v>
      </x:c>
    </x:row>
    <x:row r="4625" spans="1:16">
      <x:c r="A4625" s="0" t="s">
        <x:v>18345</x:v>
      </x:c>
      <x:c r="B4625" s="0" t="s">
        <x:v>18346</x:v>
      </x:c>
      <x:c r="C4625" s="0" t="s">
        <x:v>18347</x:v>
      </x:c>
      <x:c r="E4625" s="0" t="s">
        <x:v>18348</x:v>
      </x:c>
      <x:c r="F4625" s="0" t="s">
        <x:v>45</x:v>
      </x:c>
      <x:c r="G4625" s="0" t="s">
        <x:v>19</x:v>
      </x:c>
      <x:c r="H4625" s="0" t="s">
        <x:v>20</x:v>
      </x:c>
      <x:c r="I4625" s="0" t="s">
        <x:v>21</x:v>
      </x:c>
      <x:c r="K4625" s="0">
        <x:f>hyperlink("https://icd.who.int/dev11/l-ichi/en#/http%3A%2F%2Fid.who.int%2Ficd%2Fentity%2F604979641","browser")</x:f>
      </x:c>
      <x:c r="L4625" s="0">
        <x:f>hyperlink("https://icat2.azurewebsites.net/icat/?ontology=ICD&amp;tab=ClassesTab&amp;id=http%3A%2F%2Fwho.int%2Ficd%2324653_512ebf36_bf6b_4d70_85da_cf2637062af4","iCat")</x:f>
      </x:c>
      <x:c r="M4625" s="0" t="s">
        <x:v>21</x:v>
      </x:c>
      <x:c r="N4625" s="0" t="s">
        <x:v>46</x:v>
      </x:c>
    </x:row>
    <x:row r="4626" spans="1:16">
      <x:c r="A4626" s="0" t="s">
        <x:v>18349</x:v>
      </x:c>
      <x:c r="B4626" s="0" t="s">
        <x:v>18350</x:v>
      </x:c>
      <x:c r="C4626" s="0" t="s">
        <x:v>18351</x:v>
      </x:c>
      <x:c r="E4626" s="0" t="s">
        <x:v>18352</x:v>
      </x:c>
      <x:c r="F4626" s="0" t="s">
        <x:v>45</x:v>
      </x:c>
      <x:c r="G4626" s="0" t="s">
        <x:v>19</x:v>
      </x:c>
      <x:c r="H4626" s="0" t="s">
        <x:v>20</x:v>
      </x:c>
      <x:c r="I4626" s="0" t="s">
        <x:v>21</x:v>
      </x:c>
      <x:c r="K4626" s="0">
        <x:f>hyperlink("https://icd.who.int/dev11/l-ichi/en#/http%3A%2F%2Fid.who.int%2Ficd%2Fentity%2F1145533316","browser")</x:f>
      </x:c>
      <x:c r="L4626" s="0">
        <x:f>hyperlink("https://icat2.azurewebsites.net/icat/?ontology=ICD&amp;tab=ClassesTab&amp;id=http%3A%2F%2Fwho.int%2Ficd%2324662_512ebf36_bf6b_4d70_85da_cf2637062af4","iCat")</x:f>
      </x:c>
      <x:c r="M4626" s="0" t="s">
        <x:v>21</x:v>
      </x:c>
      <x:c r="N4626" s="0" t="s">
        <x:v>46</x:v>
      </x:c>
    </x:row>
    <x:row r="4627" spans="1:16">
      <x:c r="A4627" s="0" t="s">
        <x:v>18353</x:v>
      </x:c>
      <x:c r="B4627" s="0" t="s">
        <x:v>18354</x:v>
      </x:c>
      <x:c r="C4627" s="0" t="s">
        <x:v>18355</x:v>
      </x:c>
      <x:c r="E4627" s="0" t="s">
        <x:v>18356</x:v>
      </x:c>
      <x:c r="F4627" s="0" t="s">
        <x:v>45</x:v>
      </x:c>
      <x:c r="G4627" s="0" t="s">
        <x:v>19</x:v>
      </x:c>
      <x:c r="H4627" s="0" t="s">
        <x:v>20</x:v>
      </x:c>
      <x:c r="I4627" s="0" t="s">
        <x:v>21</x:v>
      </x:c>
      <x:c r="K4627" s="0">
        <x:f>hyperlink("https://icd.who.int/dev11/l-ichi/en#/http%3A%2F%2Fid.who.int%2Ficd%2Fentity%2F1329818926","browser")</x:f>
      </x:c>
      <x:c r="L4627" s="0">
        <x:f>hyperlink("https://icat2.azurewebsites.net/icat/?ontology=ICD&amp;tab=ClassesTab&amp;id=http%3A%2F%2Fwho.int%2Ficd%2324669_512ebf36_bf6b_4d70_85da_cf2637062af4","iCat")</x:f>
      </x:c>
      <x:c r="M4627" s="0" t="s">
        <x:v>21</x:v>
      </x:c>
      <x:c r="N4627" s="0" t="s">
        <x:v>46</x:v>
      </x:c>
    </x:row>
    <x:row r="4628" spans="1:16">
      <x:c r="A4628" s="0" t="s">
        <x:v>18357</x:v>
      </x:c>
      <x:c r="B4628" s="0" t="s">
        <x:v>18358</x:v>
      </x:c>
      <x:c r="C4628" s="0" t="s">
        <x:v>18359</x:v>
      </x:c>
      <x:c r="E4628" s="0" t="s">
        <x:v>18360</x:v>
      </x:c>
      <x:c r="F4628" s="0" t="s">
        <x:v>45</x:v>
      </x:c>
      <x:c r="G4628" s="0" t="s">
        <x:v>19</x:v>
      </x:c>
      <x:c r="H4628" s="0" t="s">
        <x:v>20</x:v>
      </x:c>
      <x:c r="I4628" s="0" t="s">
        <x:v>21</x:v>
      </x:c>
      <x:c r="K4628" s="0">
        <x:f>hyperlink("https://icd.who.int/dev11/l-ichi/en#/http%3A%2F%2Fid.who.int%2Ficd%2Fentity%2F92244549","browser")</x:f>
      </x:c>
      <x:c r="L4628" s="0">
        <x:f>hyperlink("https://icat2.azurewebsites.net/icat/?ontology=ICD&amp;tab=ClassesTab&amp;id=http%3A%2F%2Fwho.int%2Ficd%2324678_512ebf36_bf6b_4d70_85da_cf2637062af4","iCat")</x:f>
      </x:c>
      <x:c r="M4628" s="0" t="s">
        <x:v>21</x:v>
      </x:c>
      <x:c r="N4628" s="0" t="s">
        <x:v>46</x:v>
      </x:c>
    </x:row>
    <x:row r="4629" spans="1:16">
      <x:c r="A4629" s="0" t="s">
        <x:v>18361</x:v>
      </x:c>
      <x:c r="B4629" s="0" t="s">
        <x:v>18362</x:v>
      </x:c>
      <x:c r="C4629" s="0" t="s">
        <x:v>18363</x:v>
      </x:c>
      <x:c r="E4629" s="0" t="s">
        <x:v>18364</x:v>
      </x:c>
      <x:c r="F4629" s="0" t="s">
        <x:v>45</x:v>
      </x:c>
      <x:c r="G4629" s="0" t="s">
        <x:v>19</x:v>
      </x:c>
      <x:c r="H4629" s="0" t="s">
        <x:v>20</x:v>
      </x:c>
      <x:c r="I4629" s="0" t="s">
        <x:v>21</x:v>
      </x:c>
      <x:c r="K4629" s="0">
        <x:f>hyperlink("https://icd.who.int/dev11/l-ichi/en#/http%3A%2F%2Fid.who.int%2Ficd%2Fentity%2F345709123","browser")</x:f>
      </x:c>
      <x:c r="L4629" s="0">
        <x:f>hyperlink("https://icat2.azurewebsites.net/icat/?ontology=ICD&amp;tab=ClassesTab&amp;id=http%3A%2F%2Fwho.int%2Ficd%2324687_512ebf36_bf6b_4d70_85da_cf2637062af4","iCat")</x:f>
      </x:c>
      <x:c r="M4629" s="0" t="s">
        <x:v>21</x:v>
      </x:c>
      <x:c r="N4629" s="0" t="s">
        <x:v>46</x:v>
      </x:c>
    </x:row>
    <x:row r="4630" spans="1:16">
      <x:c r="A4630" s="0" t="s">
        <x:v>18365</x:v>
      </x:c>
      <x:c r="B4630" s="0" t="s">
        <x:v>18366</x:v>
      </x:c>
      <x:c r="C4630" s="0" t="s">
        <x:v>18367</x:v>
      </x:c>
      <x:c r="E4630" s="0" t="s">
        <x:v>18368</x:v>
      </x:c>
      <x:c r="F4630" s="0" t="s">
        <x:v>45</x:v>
      </x:c>
      <x:c r="G4630" s="0" t="s">
        <x:v>19</x:v>
      </x:c>
      <x:c r="H4630" s="0" t="s">
        <x:v>20</x:v>
      </x:c>
      <x:c r="I4630" s="0" t="s">
        <x:v>21</x:v>
      </x:c>
      <x:c r="K4630" s="0">
        <x:f>hyperlink("https://icd.who.int/dev11/l-ichi/en#/http%3A%2F%2Fid.who.int%2Ficd%2Fentity%2F1004265709","browser")</x:f>
      </x:c>
      <x:c r="L4630" s="0">
        <x:f>hyperlink("https://icat2.azurewebsites.net/icat/?ontology=ICD&amp;tab=ClassesTab&amp;id=http%3A%2F%2Fwho.int%2Ficd%2324694_512ebf36_bf6b_4d70_85da_cf2637062af4","iCat")</x:f>
      </x:c>
      <x:c r="M4630" s="0" t="s">
        <x:v>21</x:v>
      </x:c>
      <x:c r="N4630" s="0" t="s">
        <x:v>46</x:v>
      </x:c>
    </x:row>
    <x:row r="4631" spans="1:16">
      <x:c r="A4631" s="0" t="s">
        <x:v>18369</x:v>
      </x:c>
      <x:c r="B4631" s="0" t="s">
        <x:v>18370</x:v>
      </x:c>
      <x:c r="C4631" s="0" t="s">
        <x:v>18371</x:v>
      </x:c>
      <x:c r="E4631" s="0" t="s">
        <x:v>18372</x:v>
      </x:c>
      <x:c r="F4631" s="0" t="s">
        <x:v>45</x:v>
      </x:c>
      <x:c r="G4631" s="0" t="s">
        <x:v>19</x:v>
      </x:c>
      <x:c r="H4631" s="0" t="s">
        <x:v>20</x:v>
      </x:c>
      <x:c r="I4631" s="0" t="s">
        <x:v>21</x:v>
      </x:c>
      <x:c r="K4631" s="0">
        <x:f>hyperlink("https://icd.who.int/dev11/l-ichi/en#/http%3A%2F%2Fid.who.int%2Ficd%2Fentity%2F776887467","browser")</x:f>
      </x:c>
      <x:c r="L4631" s="0">
        <x:f>hyperlink("https://icat2.azurewebsites.net/icat/?ontology=ICD&amp;tab=ClassesTab&amp;id=http%3A%2F%2Fwho.int%2Ficd%2324701_512ebf36_bf6b_4d70_85da_cf2637062af4","iCat")</x:f>
      </x:c>
      <x:c r="M4631" s="0" t="s">
        <x:v>21</x:v>
      </x:c>
      <x:c r="N4631" s="0" t="s">
        <x:v>46</x:v>
      </x:c>
    </x:row>
    <x:row r="4632" spans="1:16">
      <x:c r="A4632" s="0" t="s">
        <x:v>18373</x:v>
      </x:c>
      <x:c r="B4632" s="0" t="s">
        <x:v>18374</x:v>
      </x:c>
      <x:c r="C4632" s="0" t="s">
        <x:v>18375</x:v>
      </x:c>
      <x:c r="E4632" s="0" t="s">
        <x:v>18376</x:v>
      </x:c>
      <x:c r="F4632" s="0" t="s">
        <x:v>45</x:v>
      </x:c>
      <x:c r="G4632" s="0" t="s">
        <x:v>19</x:v>
      </x:c>
      <x:c r="H4632" s="0" t="s">
        <x:v>20</x:v>
      </x:c>
      <x:c r="I4632" s="0" t="s">
        <x:v>21</x:v>
      </x:c>
      <x:c r="K4632" s="0">
        <x:f>hyperlink("https://icd.who.int/dev11/l-ichi/en#/http%3A%2F%2Fid.who.int%2Ficd%2Fentity%2F2117436698","browser")</x:f>
      </x:c>
      <x:c r="L4632" s="0">
        <x:f>hyperlink("https://icat2.azurewebsites.net/icat/?ontology=ICD&amp;tab=ClassesTab&amp;id=http%3A%2F%2Fwho.int%2Ficd%2324707_512ebf36_bf6b_4d70_85da_cf2637062af4","iCat")</x:f>
      </x:c>
      <x:c r="M4632" s="0" t="s">
        <x:v>21</x:v>
      </x:c>
      <x:c r="N4632" s="0" t="s">
        <x:v>46</x:v>
      </x:c>
    </x:row>
    <x:row r="4633" spans="1:16">
      <x:c r="A4633" s="0" t="s">
        <x:v>18377</x:v>
      </x:c>
      <x:c r="B4633" s="0" t="s">
        <x:v>18378</x:v>
      </x:c>
      <x:c r="C4633" s="0" t="s">
        <x:v>18379</x:v>
      </x:c>
      <x:c r="E4633" s="0" t="s">
        <x:v>18380</x:v>
      </x:c>
      <x:c r="F4633" s="0" t="s">
        <x:v>45</x:v>
      </x:c>
      <x:c r="G4633" s="0" t="s">
        <x:v>19</x:v>
      </x:c>
      <x:c r="H4633" s="0" t="s">
        <x:v>20</x:v>
      </x:c>
      <x:c r="I4633" s="0" t="s">
        <x:v>21</x:v>
      </x:c>
      <x:c r="K4633" s="0">
        <x:f>hyperlink("https://icd.who.int/dev11/l-ichi/en#/http%3A%2F%2Fid.who.int%2Ficd%2Fentity%2F1366654902","browser")</x:f>
      </x:c>
      <x:c r="L4633" s="0">
        <x:f>hyperlink("https://icat2.azurewebsites.net/icat/?ontology=ICD&amp;tab=ClassesTab&amp;id=http%3A%2F%2Fwho.int%2Ficd%2324714_512ebf36_bf6b_4d70_85da_cf2637062af4","iCat")</x:f>
      </x:c>
      <x:c r="M4633" s="0" t="s">
        <x:v>21</x:v>
      </x:c>
      <x:c r="N4633" s="0" t="s">
        <x:v>46</x:v>
      </x:c>
    </x:row>
    <x:row r="4634" spans="1:16">
      <x:c r="A4634" s="0" t="s">
        <x:v>18381</x:v>
      </x:c>
      <x:c r="B4634" s="0" t="s">
        <x:v>18382</x:v>
      </x:c>
      <x:c r="C4634" s="0" t="s">
        <x:v>18383</x:v>
      </x:c>
      <x:c r="E4634" s="0" t="s">
        <x:v>18384</x:v>
      </x:c>
      <x:c r="F4634" s="0" t="s">
        <x:v>45</x:v>
      </x:c>
      <x:c r="G4634" s="0" t="s">
        <x:v>19</x:v>
      </x:c>
      <x:c r="H4634" s="0" t="s">
        <x:v>20</x:v>
      </x:c>
      <x:c r="I4634" s="0" t="s">
        <x:v>21</x:v>
      </x:c>
      <x:c r="K4634" s="0">
        <x:f>hyperlink("https://icd.who.int/dev11/l-ichi/en#/http%3A%2F%2Fid.who.int%2Ficd%2Fentity%2F298074035","browser")</x:f>
      </x:c>
      <x:c r="L4634" s="0">
        <x:f>hyperlink("https://icat2.azurewebsites.net/icat/?ontology=ICD&amp;tab=ClassesTab&amp;id=http%3A%2F%2Fwho.int%2Ficd%2324724_512ebf36_bf6b_4d70_85da_cf2637062af4","iCat")</x:f>
      </x:c>
      <x:c r="M4634" s="0" t="s">
        <x:v>21</x:v>
      </x:c>
      <x:c r="N4634" s="0" t="s">
        <x:v>46</x:v>
      </x:c>
    </x:row>
    <x:row r="4635" spans="1:16">
      <x:c r="A4635" s="0" t="s">
        <x:v>18385</x:v>
      </x:c>
      <x:c r="B4635" s="0" t="s">
        <x:v>18386</x:v>
      </x:c>
      <x:c r="C4635" s="0" t="s">
        <x:v>18387</x:v>
      </x:c>
      <x:c r="E4635" s="0" t="s">
        <x:v>18388</x:v>
      </x:c>
      <x:c r="F4635" s="0" t="s">
        <x:v>45</x:v>
      </x:c>
      <x:c r="G4635" s="0" t="s">
        <x:v>19</x:v>
      </x:c>
      <x:c r="H4635" s="0" t="s">
        <x:v>20</x:v>
      </x:c>
      <x:c r="I4635" s="0" t="s">
        <x:v>21</x:v>
      </x:c>
      <x:c r="K4635" s="0">
        <x:f>hyperlink("https://icd.who.int/dev11/l-ichi/en#/http%3A%2F%2Fid.who.int%2Ficd%2Fentity%2F1309044370","browser")</x:f>
      </x:c>
      <x:c r="L4635" s="0">
        <x:f>hyperlink("https://icat2.azurewebsites.net/icat/?ontology=ICD&amp;tab=ClassesTab&amp;id=http%3A%2F%2Fwho.int%2Ficd%2324730_512ebf36_bf6b_4d70_85da_cf2637062af4","iCat")</x:f>
      </x:c>
      <x:c r="M4635" s="0" t="s">
        <x:v>21</x:v>
      </x:c>
      <x:c r="N4635" s="0" t="s">
        <x:v>46</x:v>
      </x:c>
    </x:row>
    <x:row r="4636" spans="1:16">
      <x:c r="A4636" s="0" t="s">
        <x:v>18389</x:v>
      </x:c>
      <x:c r="B4636" s="0" t="s">
        <x:v>18390</x:v>
      </x:c>
      <x:c r="C4636" s="0" t="s">
        <x:v>18391</x:v>
      </x:c>
      <x:c r="E4636" s="0" t="s">
        <x:v>18392</x:v>
      </x:c>
      <x:c r="F4636" s="0" t="s">
        <x:v>45</x:v>
      </x:c>
      <x:c r="G4636" s="0" t="s">
        <x:v>19</x:v>
      </x:c>
      <x:c r="H4636" s="0" t="s">
        <x:v>20</x:v>
      </x:c>
      <x:c r="I4636" s="0" t="s">
        <x:v>21</x:v>
      </x:c>
      <x:c r="K4636" s="0">
        <x:f>hyperlink("https://icd.who.int/dev11/l-ichi/en#/http%3A%2F%2Fid.who.int%2Ficd%2Fentity%2F8855493","browser")</x:f>
      </x:c>
      <x:c r="L4636" s="0">
        <x:f>hyperlink("https://icat2.azurewebsites.net/icat/?ontology=ICD&amp;tab=ClassesTab&amp;id=http%3A%2F%2Fwho.int%2Ficd%2324738_512ebf36_bf6b_4d70_85da_cf2637062af4","iCat")</x:f>
      </x:c>
      <x:c r="M4636" s="0" t="s">
        <x:v>21</x:v>
      </x:c>
      <x:c r="N4636" s="0" t="s">
        <x:v>46</x:v>
      </x:c>
    </x:row>
    <x:row r="4637" spans="1:16">
      <x:c r="A4637" s="0" t="s">
        <x:v>18393</x:v>
      </x:c>
      <x:c r="B4637" s="0" t="s">
        <x:v>18394</x:v>
      </x:c>
      <x:c r="C4637" s="0" t="s">
        <x:v>18395</x:v>
      </x:c>
      <x:c r="E4637" s="0" t="s">
        <x:v>18396</x:v>
      </x:c>
      <x:c r="F4637" s="0" t="s">
        <x:v>45</x:v>
      </x:c>
      <x:c r="G4637" s="0" t="s">
        <x:v>19</x:v>
      </x:c>
      <x:c r="H4637" s="0" t="s">
        <x:v>20</x:v>
      </x:c>
      <x:c r="I4637" s="0" t="s">
        <x:v>21</x:v>
      </x:c>
      <x:c r="K4637" s="0">
        <x:f>hyperlink("https://icd.who.int/dev11/l-ichi/en#/http%3A%2F%2Fid.who.int%2Ficd%2Fentity%2F1272429056","browser")</x:f>
      </x:c>
      <x:c r="L4637" s="0">
        <x:f>hyperlink("https://icat2.azurewebsites.net/icat/?ontology=ICD&amp;tab=ClassesTab&amp;id=http%3A%2F%2Fwho.int%2Ficd%2324744_512ebf36_bf6b_4d70_85da_cf2637062af4","iCat")</x:f>
      </x:c>
      <x:c r="M4637" s="0" t="s">
        <x:v>21</x:v>
      </x:c>
      <x:c r="N4637" s="0" t="s">
        <x:v>46</x:v>
      </x:c>
    </x:row>
    <x:row r="4638" spans="1:16">
      <x:c r="A4638" s="0" t="s">
        <x:v>18397</x:v>
      </x:c>
      <x:c r="B4638" s="0" t="s">
        <x:v>18398</x:v>
      </x:c>
      <x:c r="C4638" s="0" t="s">
        <x:v>18399</x:v>
      </x:c>
      <x:c r="E4638" s="0" t="s">
        <x:v>18400</x:v>
      </x:c>
      <x:c r="F4638" s="0" t="s">
        <x:v>45</x:v>
      </x:c>
      <x:c r="G4638" s="0" t="s">
        <x:v>19</x:v>
      </x:c>
      <x:c r="H4638" s="0" t="s">
        <x:v>20</x:v>
      </x:c>
      <x:c r="I4638" s="0" t="s">
        <x:v>21</x:v>
      </x:c>
      <x:c r="K4638" s="0">
        <x:f>hyperlink("https://icd.who.int/dev11/l-ichi/en#/http%3A%2F%2Fid.who.int%2Ficd%2Fentity%2F336980189","browser")</x:f>
      </x:c>
      <x:c r="L4638" s="0">
        <x:f>hyperlink("https://icat2.azurewebsites.net/icat/?ontology=ICD&amp;tab=ClassesTab&amp;id=http%3A%2F%2Fwho.int%2Ficd%2324750_512ebf36_bf6b_4d70_85da_cf2637062af4","iCat")</x:f>
      </x:c>
      <x:c r="M4638" s="0" t="s">
        <x:v>21</x:v>
      </x:c>
      <x:c r="N4638" s="0" t="s">
        <x:v>46</x:v>
      </x:c>
    </x:row>
    <x:row r="4639" spans="1:16">
      <x:c r="A4639" s="0" t="s">
        <x:v>18401</x:v>
      </x:c>
      <x:c r="B4639" s="0" t="s">
        <x:v>18402</x:v>
      </x:c>
      <x:c r="C4639" s="0" t="s">
        <x:v>18403</x:v>
      </x:c>
      <x:c r="E4639" s="0" t="s">
        <x:v>18404</x:v>
      </x:c>
      <x:c r="F4639" s="0" t="s">
        <x:v>45</x:v>
      </x:c>
      <x:c r="G4639" s="0" t="s">
        <x:v>19</x:v>
      </x:c>
      <x:c r="H4639" s="0" t="s">
        <x:v>20</x:v>
      </x:c>
      <x:c r="I4639" s="0" t="s">
        <x:v>21</x:v>
      </x:c>
      <x:c r="K4639" s="0">
        <x:f>hyperlink("https://icd.who.int/dev11/l-ichi/en#/http%3A%2F%2Fid.who.int%2Ficd%2Fentity%2F1148072302","browser")</x:f>
      </x:c>
      <x:c r="L4639" s="0">
        <x:f>hyperlink("https://icat2.azurewebsites.net/icat/?ontology=ICD&amp;tab=ClassesTab&amp;id=http%3A%2F%2Fwho.int%2Ficd%2324756_512ebf36_bf6b_4d70_85da_cf2637062af4","iCat")</x:f>
      </x:c>
      <x:c r="M4639" s="0" t="s">
        <x:v>21</x:v>
      </x:c>
      <x:c r="N4639" s="0" t="s">
        <x:v>46</x:v>
      </x:c>
    </x:row>
    <x:row r="4640" spans="1:16">
      <x:c r="A4640" s="0" t="s">
        <x:v>18405</x:v>
      </x:c>
      <x:c r="B4640" s="0" t="s">
        <x:v>18406</x:v>
      </x:c>
      <x:c r="C4640" s="0" t="s">
        <x:v>18407</x:v>
      </x:c>
      <x:c r="E4640" s="0" t="s">
        <x:v>18408</x:v>
      </x:c>
      <x:c r="F4640" s="0" t="s">
        <x:v>45</x:v>
      </x:c>
      <x:c r="G4640" s="0" t="s">
        <x:v>19</x:v>
      </x:c>
      <x:c r="H4640" s="0" t="s">
        <x:v>20</x:v>
      </x:c>
      <x:c r="I4640" s="0" t="s">
        <x:v>21</x:v>
      </x:c>
      <x:c r="K4640" s="0">
        <x:f>hyperlink("https://icd.who.int/dev11/l-ichi/en#/http%3A%2F%2Fid.who.int%2Ficd%2Fentity%2F836285727","browser")</x:f>
      </x:c>
      <x:c r="L4640" s="0">
        <x:f>hyperlink("https://icat2.azurewebsites.net/icat/?ontology=ICD&amp;tab=ClassesTab&amp;id=http%3A%2F%2Fwho.int%2Ficd%2324762_512ebf36_bf6b_4d70_85da_cf2637062af4","iCat")</x:f>
      </x:c>
      <x:c r="M4640" s="0" t="s">
        <x:v>21</x:v>
      </x:c>
      <x:c r="N4640" s="0" t="s">
        <x:v>46</x:v>
      </x:c>
    </x:row>
    <x:row r="4641" spans="1:16">
      <x:c r="A4641" s="0" t="s">
        <x:v>18409</x:v>
      </x:c>
      <x:c r="B4641" s="0" t="s">
        <x:v>18410</x:v>
      </x:c>
      <x:c r="C4641" s="0" t="s">
        <x:v>18411</x:v>
      </x:c>
      <x:c r="E4641" s="0" t="s">
        <x:v>18412</x:v>
      </x:c>
      <x:c r="F4641" s="0" t="s">
        <x:v>45</x:v>
      </x:c>
      <x:c r="G4641" s="0" t="s">
        <x:v>19</x:v>
      </x:c>
      <x:c r="H4641" s="0" t="s">
        <x:v>20</x:v>
      </x:c>
      <x:c r="I4641" s="0" t="s">
        <x:v>21</x:v>
      </x:c>
      <x:c r="K4641" s="0">
        <x:f>hyperlink("https://icd.who.int/dev11/l-ichi/en#/http%3A%2F%2Fid.who.int%2Ficd%2Fentity%2F438688143","browser")</x:f>
      </x:c>
      <x:c r="L4641" s="0">
        <x:f>hyperlink("https://icat2.azurewebsites.net/icat/?ontology=ICD&amp;tab=ClassesTab&amp;id=http%3A%2F%2Fwho.int%2Ficd%2324768_512ebf36_bf6b_4d70_85da_cf2637062af4","iCat")</x:f>
      </x:c>
      <x:c r="M4641" s="0" t="s">
        <x:v>21</x:v>
      </x:c>
      <x:c r="N4641" s="0" t="s">
        <x:v>46</x:v>
      </x:c>
    </x:row>
    <x:row r="4642" spans="1:16">
      <x:c r="A4642" s="0" t="s">
        <x:v>18413</x:v>
      </x:c>
      <x:c r="B4642" s="0" t="s">
        <x:v>18414</x:v>
      </x:c>
      <x:c r="C4642" s="0" t="s">
        <x:v>18415</x:v>
      </x:c>
      <x:c r="E4642" s="0" t="s">
        <x:v>18416</x:v>
      </x:c>
      <x:c r="F4642" s="0" t="s">
        <x:v>45</x:v>
      </x:c>
      <x:c r="G4642" s="0" t="s">
        <x:v>19</x:v>
      </x:c>
      <x:c r="H4642" s="0" t="s">
        <x:v>20</x:v>
      </x:c>
      <x:c r="I4642" s="0" t="s">
        <x:v>21</x:v>
      </x:c>
      <x:c r="K4642" s="0">
        <x:f>hyperlink("https://icd.who.int/dev11/l-ichi/en#/http%3A%2F%2Fid.who.int%2Ficd%2Fentity%2F191298041","browser")</x:f>
      </x:c>
      <x:c r="L4642" s="0">
        <x:f>hyperlink("https://icat2.azurewebsites.net/icat/?ontology=ICD&amp;tab=ClassesTab&amp;id=http%3A%2F%2Fwho.int%2Ficd%2324774_512ebf36_bf6b_4d70_85da_cf2637062af4","iCat")</x:f>
      </x:c>
      <x:c r="M4642" s="0" t="s">
        <x:v>21</x:v>
      </x:c>
      <x:c r="N4642" s="0" t="s">
        <x:v>46</x:v>
      </x:c>
    </x:row>
    <x:row r="4643" spans="1:16">
      <x:c r="A4643" s="0" t="s">
        <x:v>18417</x:v>
      </x:c>
      <x:c r="B4643" s="0" t="s">
        <x:v>18418</x:v>
      </x:c>
      <x:c r="C4643" s="0" t="s">
        <x:v>18419</x:v>
      </x:c>
      <x:c r="E4643" s="0" t="s">
        <x:v>18420</x:v>
      </x:c>
      <x:c r="F4643" s="0" t="s">
        <x:v>45</x:v>
      </x:c>
      <x:c r="G4643" s="0" t="s">
        <x:v>19</x:v>
      </x:c>
      <x:c r="H4643" s="0" t="s">
        <x:v>20</x:v>
      </x:c>
      <x:c r="I4643" s="0" t="s">
        <x:v>21</x:v>
      </x:c>
      <x:c r="K4643" s="0">
        <x:f>hyperlink("https://icd.who.int/dev11/l-ichi/en#/http%3A%2F%2Fid.who.int%2Ficd%2Fentity%2F294025043","browser")</x:f>
      </x:c>
      <x:c r="L4643" s="0">
        <x:f>hyperlink("https://icat2.azurewebsites.net/icat/?ontology=ICD&amp;tab=ClassesTab&amp;id=http%3A%2F%2Fwho.int%2Ficd%2324780_512ebf36_bf6b_4d70_85da_cf2637062af4","iCat")</x:f>
      </x:c>
      <x:c r="M4643" s="0" t="s">
        <x:v>21</x:v>
      </x:c>
      <x:c r="N4643" s="0" t="s">
        <x:v>46</x:v>
      </x:c>
    </x:row>
    <x:row r="4644" spans="1:16">
      <x:c r="A4644" s="0" t="s">
        <x:v>18421</x:v>
      </x:c>
      <x:c r="B4644" s="0" t="s">
        <x:v>18422</x:v>
      </x:c>
      <x:c r="C4644" s="0" t="s">
        <x:v>18423</x:v>
      </x:c>
      <x:c r="E4644" s="0" t="s">
        <x:v>18424</x:v>
      </x:c>
      <x:c r="F4644" s="0" t="s">
        <x:v>45</x:v>
      </x:c>
      <x:c r="G4644" s="0" t="s">
        <x:v>19</x:v>
      </x:c>
      <x:c r="H4644" s="0" t="s">
        <x:v>20</x:v>
      </x:c>
      <x:c r="I4644" s="0" t="s">
        <x:v>21</x:v>
      </x:c>
      <x:c r="K4644" s="0">
        <x:f>hyperlink("https://icd.who.int/dev11/l-ichi/en#/http%3A%2F%2Fid.who.int%2Ficd%2Fentity%2F1627708640","browser")</x:f>
      </x:c>
      <x:c r="L4644" s="0">
        <x:f>hyperlink("https://icat2.azurewebsites.net/icat/?ontology=ICD&amp;tab=ClassesTab&amp;id=http%3A%2F%2Fwho.int%2Ficd%2324787_512ebf36_bf6b_4d70_85da_cf2637062af4","iCat")</x:f>
      </x:c>
      <x:c r="M4644" s="0" t="s">
        <x:v>21</x:v>
      </x:c>
      <x:c r="N4644" s="0" t="s">
        <x:v>46</x:v>
      </x:c>
    </x:row>
    <x:row r="4645" spans="1:16">
      <x:c r="A4645" s="0" t="s">
        <x:v>18425</x:v>
      </x:c>
      <x:c r="B4645" s="0" t="s">
        <x:v>18426</x:v>
      </x:c>
      <x:c r="C4645" s="0" t="s">
        <x:v>18427</x:v>
      </x:c>
      <x:c r="E4645" s="0" t="s">
        <x:v>18428</x:v>
      </x:c>
      <x:c r="F4645" s="0" t="s">
        <x:v>45</x:v>
      </x:c>
      <x:c r="G4645" s="0" t="s">
        <x:v>19</x:v>
      </x:c>
      <x:c r="H4645" s="0" t="s">
        <x:v>20</x:v>
      </x:c>
      <x:c r="I4645" s="0" t="s">
        <x:v>21</x:v>
      </x:c>
      <x:c r="K4645" s="0">
        <x:f>hyperlink("https://icd.who.int/dev11/l-ichi/en#/http%3A%2F%2Fid.who.int%2Ficd%2Fentity%2F1053199869","browser")</x:f>
      </x:c>
      <x:c r="L4645" s="0">
        <x:f>hyperlink("https://icat2.azurewebsites.net/icat/?ontology=ICD&amp;tab=ClassesTab&amp;id=http%3A%2F%2Fwho.int%2Ficd%2324793_512ebf36_bf6b_4d70_85da_cf2637062af4","iCat")</x:f>
      </x:c>
      <x:c r="M4645" s="0" t="s">
        <x:v>21</x:v>
      </x:c>
      <x:c r="N4645" s="0" t="s">
        <x:v>46</x:v>
      </x:c>
    </x:row>
    <x:row r="4646" spans="1:16">
      <x:c r="A4646" s="0" t="s">
        <x:v>18429</x:v>
      </x:c>
      <x:c r="B4646" s="0" t="s">
        <x:v>18430</x:v>
      </x:c>
      <x:c r="C4646" s="0" t="s">
        <x:v>18431</x:v>
      </x:c>
      <x:c r="E4646" s="0" t="s">
        <x:v>18432</x:v>
      </x:c>
      <x:c r="F4646" s="0" t="s">
        <x:v>45</x:v>
      </x:c>
      <x:c r="G4646" s="0" t="s">
        <x:v>19</x:v>
      </x:c>
      <x:c r="H4646" s="0" t="s">
        <x:v>20</x:v>
      </x:c>
      <x:c r="I4646" s="0" t="s">
        <x:v>21</x:v>
      </x:c>
      <x:c r="K4646" s="0">
        <x:f>hyperlink("https://icd.who.int/dev11/l-ichi/en#/http%3A%2F%2Fid.who.int%2Ficd%2Fentity%2F2029698705","browser")</x:f>
      </x:c>
      <x:c r="L4646" s="0">
        <x:f>hyperlink("https://icat2.azurewebsites.net/icat/?ontology=ICD&amp;tab=ClassesTab&amp;id=http%3A%2F%2Fwho.int%2Ficd%2324800_512ebf36_bf6b_4d70_85da_cf2637062af4","iCat")</x:f>
      </x:c>
      <x:c r="M4646" s="0" t="s">
        <x:v>21</x:v>
      </x:c>
      <x:c r="N4646" s="0" t="s">
        <x:v>46</x:v>
      </x:c>
    </x:row>
    <x:row r="4647" spans="1:16">
      <x:c r="A4647" s="0" t="s">
        <x:v>18433</x:v>
      </x:c>
      <x:c r="B4647" s="0" t="s">
        <x:v>18434</x:v>
      </x:c>
      <x:c r="C4647" s="0" t="s">
        <x:v>18435</x:v>
      </x:c>
      <x:c r="E4647" s="0" t="s">
        <x:v>18436</x:v>
      </x:c>
      <x:c r="F4647" s="0" t="s">
        <x:v>45</x:v>
      </x:c>
      <x:c r="G4647" s="0" t="s">
        <x:v>19</x:v>
      </x:c>
      <x:c r="H4647" s="0" t="s">
        <x:v>20</x:v>
      </x:c>
      <x:c r="I4647" s="0" t="s">
        <x:v>21</x:v>
      </x:c>
      <x:c r="K4647" s="0">
        <x:f>hyperlink("https://icd.who.int/dev11/l-ichi/en#/http%3A%2F%2Fid.who.int%2Ficd%2Fentity%2F142087454","browser")</x:f>
      </x:c>
      <x:c r="L4647" s="0">
        <x:f>hyperlink("https://icat2.azurewebsites.net/icat/?ontology=ICD&amp;tab=ClassesTab&amp;id=http%3A%2F%2Fwho.int%2Ficd%2324807_512ebf36_bf6b_4d70_85da_cf2637062af4","iCat")</x:f>
      </x:c>
      <x:c r="M4647" s="0" t="s">
        <x:v>21</x:v>
      </x:c>
      <x:c r="N4647" s="0" t="s">
        <x:v>46</x:v>
      </x:c>
    </x:row>
    <x:row r="4648" spans="1:16">
      <x:c r="A4648" s="0" t="s">
        <x:v>18437</x:v>
      </x:c>
      <x:c r="B4648" s="0" t="s">
        <x:v>18438</x:v>
      </x:c>
      <x:c r="C4648" s="0" t="s">
        <x:v>18439</x:v>
      </x:c>
      <x:c r="E4648" s="0" t="s">
        <x:v>18440</x:v>
      </x:c>
      <x:c r="F4648" s="0" t="s">
        <x:v>45</x:v>
      </x:c>
      <x:c r="G4648" s="0" t="s">
        <x:v>19</x:v>
      </x:c>
      <x:c r="H4648" s="0" t="s">
        <x:v>20</x:v>
      </x:c>
      <x:c r="I4648" s="0" t="s">
        <x:v>21</x:v>
      </x:c>
      <x:c r="K4648" s="0">
        <x:f>hyperlink("https://icd.who.int/dev11/l-ichi/en#/http%3A%2F%2Fid.who.int%2Ficd%2Fentity%2F1225350203","browser")</x:f>
      </x:c>
      <x:c r="L4648" s="0">
        <x:f>hyperlink("https://icat2.azurewebsites.net/icat/?ontology=ICD&amp;tab=ClassesTab&amp;id=http%3A%2F%2Fwho.int%2Ficd%2314976_4869915e_217e_423d_acb3_33c0f920ef4b","iCat")</x:f>
      </x:c>
      <x:c r="M4648" s="0" t="s">
        <x:v>21</x:v>
      </x:c>
      <x:c r="N4648" s="0" t="s">
        <x:v>46</x:v>
      </x:c>
    </x:row>
    <x:row r="4649" spans="1:16">
      <x:c r="A4649" s="0" t="s">
        <x:v>18441</x:v>
      </x:c>
      <x:c r="B4649" s="0" t="s">
        <x:v>18442</x:v>
      </x:c>
      <x:c r="C4649" s="0" t="s">
        <x:v>18443</x:v>
      </x:c>
      <x:c r="E4649" s="0" t="s">
        <x:v>18444</x:v>
      </x:c>
      <x:c r="F4649" s="0" t="s">
        <x:v>45</x:v>
      </x:c>
      <x:c r="G4649" s="0" t="s">
        <x:v>19</x:v>
      </x:c>
      <x:c r="H4649" s="0" t="s">
        <x:v>20</x:v>
      </x:c>
      <x:c r="I4649" s="0" t="s">
        <x:v>21</x:v>
      </x:c>
      <x:c r="K4649" s="0">
        <x:f>hyperlink("https://icd.who.int/dev11/l-ichi/en#/http%3A%2F%2Fid.who.int%2Ficd%2Fentity%2F426935690","browser")</x:f>
      </x:c>
      <x:c r="L4649" s="0">
        <x:f>hyperlink("https://icat2.azurewebsites.net/icat/?ontology=ICD&amp;tab=ClassesTab&amp;id=http%3A%2F%2Fwho.int%2Ficd%2314970_4869915e_217e_423d_acb3_33c0f920ef4b","iCat")</x:f>
      </x:c>
      <x:c r="M4649" s="0" t="s">
        <x:v>21</x:v>
      </x:c>
      <x:c r="N4649" s="0" t="s">
        <x:v>46</x:v>
      </x:c>
    </x:row>
    <x:row r="4650" spans="1:16">
      <x:c r="A4650" s="0" t="s">
        <x:v>18445</x:v>
      </x:c>
      <x:c r="B4650" s="0" t="s">
        <x:v>18446</x:v>
      </x:c>
      <x:c r="C4650" s="0" t="s">
        <x:v>18447</x:v>
      </x:c>
      <x:c r="E4650" s="0" t="s">
        <x:v>18448</x:v>
      </x:c>
      <x:c r="F4650" s="0" t="s">
        <x:v>45</x:v>
      </x:c>
      <x:c r="G4650" s="0" t="s">
        <x:v>19</x:v>
      </x:c>
      <x:c r="H4650" s="0" t="s">
        <x:v>20</x:v>
      </x:c>
      <x:c r="I4650" s="0" t="s">
        <x:v>21</x:v>
      </x:c>
      <x:c r="K4650" s="0">
        <x:f>hyperlink("https://icd.who.int/dev11/l-ichi/en#/http%3A%2F%2Fid.who.int%2Ficd%2Fentity%2F1471824959","browser")</x:f>
      </x:c>
      <x:c r="L4650" s="0">
        <x:f>hyperlink("https://icat2.azurewebsites.net/icat/?ontology=ICD&amp;tab=ClassesTab&amp;id=http%3A%2F%2Fwho.int%2Ficd%2324813_512ebf36_bf6b_4d70_85da_cf2637062af4","iCat")</x:f>
      </x:c>
      <x:c r="M4650" s="0" t="s">
        <x:v>21</x:v>
      </x:c>
      <x:c r="N4650" s="0" t="s">
        <x:v>46</x:v>
      </x:c>
    </x:row>
    <x:row r="4651" spans="1:16">
      <x:c r="A4651" s="0" t="s">
        <x:v>18449</x:v>
      </x:c>
      <x:c r="B4651" s="0" t="s">
        <x:v>18450</x:v>
      </x:c>
      <x:c r="C4651" s="0" t="s">
        <x:v>18451</x:v>
      </x:c>
      <x:c r="E4651" s="0" t="s">
        <x:v>18452</x:v>
      </x:c>
      <x:c r="F4651" s="0" t="s">
        <x:v>45</x:v>
      </x:c>
      <x:c r="G4651" s="0" t="s">
        <x:v>19</x:v>
      </x:c>
      <x:c r="H4651" s="0" t="s">
        <x:v>20</x:v>
      </x:c>
      <x:c r="I4651" s="0" t="s">
        <x:v>21</x:v>
      </x:c>
      <x:c r="K4651" s="0">
        <x:f>hyperlink("https://icd.who.int/dev11/l-ichi/en#/http%3A%2F%2Fid.who.int%2Ficd%2Fentity%2F49656434","browser")</x:f>
      </x:c>
      <x:c r="L4651" s="0">
        <x:f>hyperlink("https://icat2.azurewebsites.net/icat/?ontology=ICD&amp;tab=ClassesTab&amp;id=http%3A%2F%2Fwho.int%2Ficd%2324826_512ebf36_bf6b_4d70_85da_cf2637062af4","iCat")</x:f>
      </x:c>
      <x:c r="M4651" s="0" t="s">
        <x:v>21</x:v>
      </x:c>
      <x:c r="N4651" s="0" t="s">
        <x:v>46</x:v>
      </x:c>
    </x:row>
    <x:row r="4652" spans="1:16">
      <x:c r="A4652" s="0" t="s">
        <x:v>18453</x:v>
      </x:c>
      <x:c r="B4652" s="0" t="s">
        <x:v>18454</x:v>
      </x:c>
      <x:c r="C4652" s="0" t="s">
        <x:v>18455</x:v>
      </x:c>
      <x:c r="E4652" s="0" t="s">
        <x:v>18456</x:v>
      </x:c>
      <x:c r="F4652" s="0" t="s">
        <x:v>45</x:v>
      </x:c>
      <x:c r="G4652" s="0" t="s">
        <x:v>19</x:v>
      </x:c>
      <x:c r="H4652" s="0" t="s">
        <x:v>20</x:v>
      </x:c>
      <x:c r="I4652" s="0" t="s">
        <x:v>21</x:v>
      </x:c>
      <x:c r="K4652" s="0">
        <x:f>hyperlink("https://icd.who.int/dev11/l-ichi/en#/http%3A%2F%2Fid.who.int%2Ficd%2Fentity%2F1563943763","browser")</x:f>
      </x:c>
      <x:c r="L4652" s="0">
        <x:f>hyperlink("https://icat2.azurewebsites.net/icat/?ontology=ICD&amp;tab=ClassesTab&amp;id=http%3A%2F%2Fwho.int%2Ficd%2324832_512ebf36_bf6b_4d70_85da_cf2637062af4","iCat")</x:f>
      </x:c>
      <x:c r="M4652" s="0" t="s">
        <x:v>21</x:v>
      </x:c>
      <x:c r="N4652" s="0" t="s">
        <x:v>46</x:v>
      </x:c>
    </x:row>
    <x:row r="4653" spans="1:16">
      <x:c r="A4653" s="0" t="s">
        <x:v>18457</x:v>
      </x:c>
      <x:c r="B4653" s="0" t="s">
        <x:v>18458</x:v>
      </x:c>
      <x:c r="C4653" s="0" t="s">
        <x:v>18459</x:v>
      </x:c>
      <x:c r="E4653" s="0" t="s">
        <x:v>18460</x:v>
      </x:c>
      <x:c r="F4653" s="0" t="s">
        <x:v>45</x:v>
      </x:c>
      <x:c r="G4653" s="0" t="s">
        <x:v>19</x:v>
      </x:c>
      <x:c r="H4653" s="0" t="s">
        <x:v>20</x:v>
      </x:c>
      <x:c r="I4653" s="0" t="s">
        <x:v>21</x:v>
      </x:c>
      <x:c r="K4653" s="0">
        <x:f>hyperlink("https://icd.who.int/dev11/l-ichi/en#/http%3A%2F%2Fid.who.int%2Ficd%2Fentity%2F1992986563","browser")</x:f>
      </x:c>
      <x:c r="L4653" s="0">
        <x:f>hyperlink("https://icat2.azurewebsites.net/icat/?ontology=ICD&amp;tab=ClassesTab&amp;id=http%3A%2F%2Fwho.int%2Ficd%2324838_512ebf36_bf6b_4d70_85da_cf2637062af4","iCat")</x:f>
      </x:c>
      <x:c r="M4653" s="0" t="s">
        <x:v>21</x:v>
      </x:c>
      <x:c r="N4653" s="0" t="s">
        <x:v>46</x:v>
      </x:c>
    </x:row>
    <x:row r="4654" spans="1:16">
      <x:c r="A4654" s="0" t="s">
        <x:v>18461</x:v>
      </x:c>
      <x:c r="B4654" s="0" t="s">
        <x:v>18462</x:v>
      </x:c>
      <x:c r="C4654" s="0" t="s">
        <x:v>18463</x:v>
      </x:c>
      <x:c r="E4654" s="0" t="s">
        <x:v>18464</x:v>
      </x:c>
      <x:c r="F4654" s="0" t="s">
        <x:v>45</x:v>
      </x:c>
      <x:c r="G4654" s="0" t="s">
        <x:v>19</x:v>
      </x:c>
      <x:c r="H4654" s="0" t="s">
        <x:v>20</x:v>
      </x:c>
      <x:c r="I4654" s="0" t="s">
        <x:v>21</x:v>
      </x:c>
      <x:c r="K4654" s="0">
        <x:f>hyperlink("https://icd.who.int/dev11/l-ichi/en#/http%3A%2F%2Fid.who.int%2Ficd%2Fentity%2F1176280281","browser")</x:f>
      </x:c>
      <x:c r="L4654" s="0">
        <x:f>hyperlink("https://icat2.azurewebsites.net/icat/?ontology=ICD&amp;tab=ClassesTab&amp;id=http%3A%2F%2Fwho.int%2Ficd%2324848_512ebf36_bf6b_4d70_85da_cf2637062af4","iCat")</x:f>
      </x:c>
      <x:c r="M4654" s="0" t="s">
        <x:v>21</x:v>
      </x:c>
      <x:c r="N4654" s="0" t="s">
        <x:v>46</x:v>
      </x:c>
    </x:row>
    <x:row r="4655" spans="1:16">
      <x:c r="A4655" s="0" t="s">
        <x:v>18465</x:v>
      </x:c>
      <x:c r="B4655" s="0" t="s">
        <x:v>18466</x:v>
      </x:c>
      <x:c r="C4655" s="0" t="s">
        <x:v>18467</x:v>
      </x:c>
      <x:c r="E4655" s="0" t="s">
        <x:v>18468</x:v>
      </x:c>
      <x:c r="F4655" s="0" t="s">
        <x:v>45</x:v>
      </x:c>
      <x:c r="G4655" s="0" t="s">
        <x:v>19</x:v>
      </x:c>
      <x:c r="H4655" s="0" t="s">
        <x:v>20</x:v>
      </x:c>
      <x:c r="I4655" s="0" t="s">
        <x:v>21</x:v>
      </x:c>
      <x:c r="K4655" s="0">
        <x:f>hyperlink("https://icd.who.int/dev11/l-ichi/en#/http%3A%2F%2Fid.who.int%2Ficd%2Fentity%2F752421264","browser")</x:f>
      </x:c>
      <x:c r="L4655" s="0">
        <x:f>hyperlink("https://icat2.azurewebsites.net/icat/?ontology=ICD&amp;tab=ClassesTab&amp;id=http%3A%2F%2Fwho.int%2Ficd%2324858_512ebf36_bf6b_4d70_85da_cf2637062af4","iCat")</x:f>
      </x:c>
      <x:c r="M4655" s="0" t="s">
        <x:v>21</x:v>
      </x:c>
      <x:c r="N4655" s="0" t="s">
        <x:v>46</x:v>
      </x:c>
    </x:row>
    <x:row r="4656" spans="1:16">
      <x:c r="A4656" s="0" t="s">
        <x:v>18469</x:v>
      </x:c>
      <x:c r="B4656" s="0" t="s">
        <x:v>18470</x:v>
      </x:c>
      <x:c r="C4656" s="0" t="s">
        <x:v>18471</x:v>
      </x:c>
      <x:c r="E4656" s="0" t="s">
        <x:v>18472</x:v>
      </x:c>
      <x:c r="F4656" s="0" t="s">
        <x:v>45</x:v>
      </x:c>
      <x:c r="G4656" s="0" t="s">
        <x:v>19</x:v>
      </x:c>
      <x:c r="H4656" s="0" t="s">
        <x:v>20</x:v>
      </x:c>
      <x:c r="I4656" s="0" t="s">
        <x:v>21</x:v>
      </x:c>
      <x:c r="K4656" s="0">
        <x:f>hyperlink("https://icd.who.int/dev11/l-ichi/en#/http%3A%2F%2Fid.who.int%2Ficd%2Fentity%2F55674128","browser")</x:f>
      </x:c>
      <x:c r="L4656" s="0">
        <x:f>hyperlink("https://icat2.azurewebsites.net/icat/?ontology=ICD&amp;tab=ClassesTab&amp;id=http%3A%2F%2Fwho.int%2Ficd%23346_145da35b_2606_49b1_9645_9e3aeecd5c47","iCat")</x:f>
      </x:c>
      <x:c r="M4656" s="0" t="s">
        <x:v>21</x:v>
      </x:c>
      <x:c r="N4656" s="0" t="s">
        <x:v>46</x:v>
      </x:c>
    </x:row>
    <x:row r="4657" spans="1:16">
      <x:c r="A4657" s="0" t="s">
        <x:v>18473</x:v>
      </x:c>
      <x:c r="B4657" s="0" t="s">
        <x:v>18474</x:v>
      </x:c>
      <x:c r="C4657" s="0" t="s">
        <x:v>18475</x:v>
      </x:c>
      <x:c r="E4657" s="0" t="s">
        <x:v>18476</x:v>
      </x:c>
      <x:c r="F4657" s="0" t="s">
        <x:v>45</x:v>
      </x:c>
      <x:c r="G4657" s="0" t="s">
        <x:v>19</x:v>
      </x:c>
      <x:c r="H4657" s="0" t="s">
        <x:v>20</x:v>
      </x:c>
      <x:c r="I4657" s="0" t="s">
        <x:v>21</x:v>
      </x:c>
      <x:c r="K4657" s="0">
        <x:f>hyperlink("https://icd.who.int/dev11/l-ichi/en#/http%3A%2F%2Fid.who.int%2Ficd%2Fentity%2F401538218","browser")</x:f>
      </x:c>
      <x:c r="L4657" s="0">
        <x:f>hyperlink("https://icat2.azurewebsites.net/icat/?ontology=ICD&amp;tab=ClassesTab&amp;id=http%3A%2F%2Fwho.int%2Ficd%2324864_512ebf36_bf6b_4d70_85da_cf2637062af4","iCat")</x:f>
      </x:c>
      <x:c r="M4657" s="0" t="s">
        <x:v>21</x:v>
      </x:c>
      <x:c r="N4657" s="0" t="s">
        <x:v>46</x:v>
      </x:c>
    </x:row>
    <x:row r="4658" spans="1:16">
      <x:c r="A4658" s="0" t="s">
        <x:v>18477</x:v>
      </x:c>
      <x:c r="B4658" s="0" t="s">
        <x:v>18478</x:v>
      </x:c>
      <x:c r="C4658" s="0" t="s">
        <x:v>18479</x:v>
      </x:c>
      <x:c r="E4658" s="0" t="s">
        <x:v>18480</x:v>
      </x:c>
      <x:c r="F4658" s="0" t="s">
        <x:v>45</x:v>
      </x:c>
      <x:c r="G4658" s="0" t="s">
        <x:v>19</x:v>
      </x:c>
      <x:c r="H4658" s="0" t="s">
        <x:v>20</x:v>
      </x:c>
      <x:c r="I4658" s="0" t="s">
        <x:v>21</x:v>
      </x:c>
      <x:c r="K4658" s="0">
        <x:f>hyperlink("https://icd.who.int/dev11/l-ichi/en#/http%3A%2F%2Fid.who.int%2Ficd%2Fentity%2F1210887563","browser")</x:f>
      </x:c>
      <x:c r="L4658" s="0">
        <x:f>hyperlink("https://icat2.azurewebsites.net/icat/?ontology=ICD&amp;tab=ClassesTab&amp;id=http%3A%2F%2Fwho.int%2Ficd%2324870_512ebf36_bf6b_4d70_85da_cf2637062af4","iCat")</x:f>
      </x:c>
      <x:c r="M4658" s="0" t="s">
        <x:v>21</x:v>
      </x:c>
      <x:c r="N4658" s="0" t="s">
        <x:v>46</x:v>
      </x:c>
    </x:row>
    <x:row r="4659" spans="1:16">
      <x:c r="A4659" s="0" t="s">
        <x:v>18481</x:v>
      </x:c>
      <x:c r="B4659" s="0" t="s">
        <x:v>18482</x:v>
      </x:c>
      <x:c r="C4659" s="0" t="s">
        <x:v>18483</x:v>
      </x:c>
      <x:c r="E4659" s="0" t="s">
        <x:v>18484</x:v>
      </x:c>
      <x:c r="F4659" s="0" t="s">
        <x:v>45</x:v>
      </x:c>
      <x:c r="G4659" s="0" t="s">
        <x:v>19</x:v>
      </x:c>
      <x:c r="H4659" s="0" t="s">
        <x:v>20</x:v>
      </x:c>
      <x:c r="I4659" s="0" t="s">
        <x:v>21</x:v>
      </x:c>
      <x:c r="K4659" s="0">
        <x:f>hyperlink("https://icd.who.int/dev11/l-ichi/en#/http%3A%2F%2Fid.who.int%2Ficd%2Fentity%2F112057566","browser")</x:f>
      </x:c>
      <x:c r="L4659" s="0">
        <x:f>hyperlink("https://icat2.azurewebsites.net/icat/?ontology=ICD&amp;tab=ClassesTab&amp;id=http%3A%2F%2Fwho.int%2Ficd%2324878_512ebf36_bf6b_4d70_85da_cf2637062af4","iCat")</x:f>
      </x:c>
      <x:c r="M4659" s="0" t="s">
        <x:v>21</x:v>
      </x:c>
      <x:c r="N4659" s="0" t="s">
        <x:v>46</x:v>
      </x:c>
    </x:row>
    <x:row r="4660" spans="1:16">
      <x:c r="A4660" s="0" t="s">
        <x:v>18485</x:v>
      </x:c>
      <x:c r="B4660" s="0" t="s">
        <x:v>18486</x:v>
      </x:c>
      <x:c r="C4660" s="0" t="s">
        <x:v>18487</x:v>
      </x:c>
      <x:c r="E4660" s="0" t="s">
        <x:v>18488</x:v>
      </x:c>
      <x:c r="F4660" s="0" t="s">
        <x:v>45</x:v>
      </x:c>
      <x:c r="G4660" s="0" t="s">
        <x:v>19</x:v>
      </x:c>
      <x:c r="H4660" s="0" t="s">
        <x:v>20</x:v>
      </x:c>
      <x:c r="I4660" s="0" t="s">
        <x:v>21</x:v>
      </x:c>
      <x:c r="K4660" s="0">
        <x:f>hyperlink("https://icd.who.int/dev11/l-ichi/en#/http%3A%2F%2Fid.who.int%2Ficd%2Fentity%2F1916096797","browser")</x:f>
      </x:c>
      <x:c r="L4660" s="0">
        <x:f>hyperlink("https://icat2.azurewebsites.net/icat/?ontology=ICD&amp;tab=ClassesTab&amp;id=http%3A%2F%2Fwho.int%2Ficd%2324885_512ebf36_bf6b_4d70_85da_cf2637062af4","iCat")</x:f>
      </x:c>
      <x:c r="M4660" s="0" t="s">
        <x:v>21</x:v>
      </x:c>
      <x:c r="N4660" s="0" t="s">
        <x:v>46</x:v>
      </x:c>
    </x:row>
    <x:row r="4661" spans="1:16">
      <x:c r="A4661" s="0" t="s">
        <x:v>18489</x:v>
      </x:c>
      <x:c r="B4661" s="0" t="s">
        <x:v>18490</x:v>
      </x:c>
      <x:c r="C4661" s="0" t="s">
        <x:v>18491</x:v>
      </x:c>
      <x:c r="E4661" s="0" t="s">
        <x:v>18492</x:v>
      </x:c>
      <x:c r="F4661" s="0" t="s">
        <x:v>45</x:v>
      </x:c>
      <x:c r="G4661" s="0" t="s">
        <x:v>19</x:v>
      </x:c>
      <x:c r="H4661" s="0" t="s">
        <x:v>20</x:v>
      </x:c>
      <x:c r="I4661" s="0" t="s">
        <x:v>21</x:v>
      </x:c>
      <x:c r="K4661" s="0">
        <x:f>hyperlink("https://icd.who.int/dev11/l-ichi/en#/http%3A%2F%2Fid.who.int%2Ficd%2Fentity%2F1217076731","browser")</x:f>
      </x:c>
      <x:c r="L4661" s="0">
        <x:f>hyperlink("https://icat2.azurewebsites.net/icat/?ontology=ICD&amp;tab=ClassesTab&amp;id=http%3A%2F%2Fwho.int%2Ficd%2324893_512ebf36_bf6b_4d70_85da_cf2637062af4","iCat")</x:f>
      </x:c>
      <x:c r="M4661" s="0" t="s">
        <x:v>21</x:v>
      </x:c>
      <x:c r="N4661" s="0" t="s">
        <x:v>46</x:v>
      </x:c>
    </x:row>
    <x:row r="4662" spans="1:16">
      <x:c r="A4662" s="0" t="s">
        <x:v>18493</x:v>
      </x:c>
      <x:c r="B4662" s="0" t="s">
        <x:v>18494</x:v>
      </x:c>
      <x:c r="C4662" s="0" t="s">
        <x:v>18495</x:v>
      </x:c>
      <x:c r="E4662" s="0" t="s">
        <x:v>18496</x:v>
      </x:c>
      <x:c r="F4662" s="0" t="s">
        <x:v>45</x:v>
      </x:c>
      <x:c r="G4662" s="0" t="s">
        <x:v>19</x:v>
      </x:c>
      <x:c r="H4662" s="0" t="s">
        <x:v>20</x:v>
      </x:c>
      <x:c r="I4662" s="0" t="s">
        <x:v>21</x:v>
      </x:c>
      <x:c r="K4662" s="0">
        <x:f>hyperlink("https://icd.who.int/dev11/l-ichi/en#/http%3A%2F%2Fid.who.int%2Ficd%2Fentity%2F1668706667","browser")</x:f>
      </x:c>
      <x:c r="L4662" s="0">
        <x:f>hyperlink("https://icat2.azurewebsites.net/icat/?ontology=ICD&amp;tab=ClassesTab&amp;id=http%3A%2F%2Fwho.int%2Ficd%2324899_512ebf36_bf6b_4d70_85da_cf2637062af4","iCat")</x:f>
      </x:c>
      <x:c r="M4662" s="0" t="s">
        <x:v>21</x:v>
      </x:c>
      <x:c r="N4662" s="0" t="s">
        <x:v>46</x:v>
      </x:c>
    </x:row>
    <x:row r="4663" spans="1:16">
      <x:c r="A4663" s="0" t="s">
        <x:v>18497</x:v>
      </x:c>
      <x:c r="B4663" s="0" t="s">
        <x:v>18498</x:v>
      </x:c>
      <x:c r="C4663" s="0" t="s">
        <x:v>18499</x:v>
      </x:c>
      <x:c r="E4663" s="0" t="s">
        <x:v>18500</x:v>
      </x:c>
      <x:c r="F4663" s="0" t="s">
        <x:v>45</x:v>
      </x:c>
      <x:c r="G4663" s="0" t="s">
        <x:v>19</x:v>
      </x:c>
      <x:c r="H4663" s="0" t="s">
        <x:v>20</x:v>
      </x:c>
      <x:c r="I4663" s="0" t="s">
        <x:v>21</x:v>
      </x:c>
      <x:c r="K4663" s="0">
        <x:f>hyperlink("https://icd.who.int/dev11/l-ichi/en#/http%3A%2F%2Fid.who.int%2Ficd%2Fentity%2F412864070","browser")</x:f>
      </x:c>
      <x:c r="L4663" s="0">
        <x:f>hyperlink("https://icat2.azurewebsites.net/icat/?ontology=ICD&amp;tab=ClassesTab&amp;id=http%3A%2F%2Fwho.int%2Ficd%2324905_512ebf36_bf6b_4d70_85da_cf2637062af4","iCat")</x:f>
      </x:c>
      <x:c r="M4663" s="0" t="s">
        <x:v>21</x:v>
      </x:c>
      <x:c r="N4663" s="0" t="s">
        <x:v>46</x:v>
      </x:c>
    </x:row>
    <x:row r="4664" spans="1:16">
      <x:c r="A4664" s="0" t="s">
        <x:v>18501</x:v>
      </x:c>
      <x:c r="B4664" s="0" t="s">
        <x:v>18502</x:v>
      </x:c>
      <x:c r="C4664" s="0" t="s">
        <x:v>18503</x:v>
      </x:c>
      <x:c r="E4664" s="0" t="s">
        <x:v>18504</x:v>
      </x:c>
      <x:c r="F4664" s="0" t="s">
        <x:v>45</x:v>
      </x:c>
      <x:c r="G4664" s="0" t="s">
        <x:v>19</x:v>
      </x:c>
      <x:c r="H4664" s="0" t="s">
        <x:v>20</x:v>
      </x:c>
      <x:c r="I4664" s="0" t="s">
        <x:v>21</x:v>
      </x:c>
      <x:c r="K4664" s="0">
        <x:f>hyperlink("https://icd.who.int/dev11/l-ichi/en#/http%3A%2F%2Fid.who.int%2Ficd%2Fentity%2F1197055847","browser")</x:f>
      </x:c>
      <x:c r="L4664" s="0">
        <x:f>hyperlink("https://icat2.azurewebsites.net/icat/?ontology=ICD&amp;tab=ClassesTab&amp;id=http%3A%2F%2Fwho.int%2Ficd%2324911_512ebf36_bf6b_4d70_85da_cf2637062af4","iCat")</x:f>
      </x:c>
      <x:c r="M4664" s="0" t="s">
        <x:v>21</x:v>
      </x:c>
      <x:c r="N4664" s="0" t="s">
        <x:v>46</x:v>
      </x:c>
    </x:row>
    <x:row r="4665" spans="1:16">
      <x:c r="A4665" s="0" t="s">
        <x:v>18505</x:v>
      </x:c>
      <x:c r="B4665" s="0" t="s">
        <x:v>18506</x:v>
      </x:c>
      <x:c r="C4665" s="0" t="s">
        <x:v>18507</x:v>
      </x:c>
      <x:c r="E4665" s="0" t="s">
        <x:v>18508</x:v>
      </x:c>
      <x:c r="F4665" s="0" t="s">
        <x:v>45</x:v>
      </x:c>
      <x:c r="G4665" s="0" t="s">
        <x:v>19</x:v>
      </x:c>
      <x:c r="H4665" s="0" t="s">
        <x:v>20</x:v>
      </x:c>
      <x:c r="I4665" s="0" t="s">
        <x:v>21</x:v>
      </x:c>
      <x:c r="K4665" s="0">
        <x:f>hyperlink("https://icd.who.int/dev11/l-ichi/en#/http%3A%2F%2Fid.who.int%2Ficd%2Fentity%2F388122328","browser")</x:f>
      </x:c>
      <x:c r="L4665" s="0">
        <x:f>hyperlink("https://icat2.azurewebsites.net/icat/?ontology=ICD&amp;tab=ClassesTab&amp;id=http%3A%2F%2Fwho.int%2Ficd%2324917_512ebf36_bf6b_4d70_85da_cf2637062af4","iCat")</x:f>
      </x:c>
      <x:c r="M4665" s="0" t="s">
        <x:v>21</x:v>
      </x:c>
      <x:c r="N4665" s="0" t="s">
        <x:v>46</x:v>
      </x:c>
    </x:row>
    <x:row r="4666" spans="1:16">
      <x:c r="A4666" s="0" t="s">
        <x:v>18509</x:v>
      </x:c>
      <x:c r="B4666" s="0" t="s">
        <x:v>18510</x:v>
      </x:c>
      <x:c r="C4666" s="0" t="s">
        <x:v>18511</x:v>
      </x:c>
      <x:c r="E4666" s="0" t="s">
        <x:v>18512</x:v>
      </x:c>
      <x:c r="F4666" s="0" t="s">
        <x:v>45</x:v>
      </x:c>
      <x:c r="G4666" s="0" t="s">
        <x:v>19</x:v>
      </x:c>
      <x:c r="H4666" s="0" t="s">
        <x:v>20</x:v>
      </x:c>
      <x:c r="I4666" s="0" t="s">
        <x:v>21</x:v>
      </x:c>
      <x:c r="K4666" s="0">
        <x:f>hyperlink("https://icd.who.int/dev11/l-ichi/en#/http%3A%2F%2Fid.who.int%2Ficd%2Fentity%2F303458602","browser")</x:f>
      </x:c>
      <x:c r="L4666" s="0">
        <x:f>hyperlink("https://icat2.azurewebsites.net/icat/?ontology=ICD&amp;tab=ClassesTab&amp;id=http%3A%2F%2Fwho.int%2Ficd%2324924_512ebf36_bf6b_4d70_85da_cf2637062af4","iCat")</x:f>
      </x:c>
      <x:c r="M4666" s="0" t="s">
        <x:v>21</x:v>
      </x:c>
      <x:c r="N4666" s="0" t="s">
        <x:v>46</x:v>
      </x:c>
    </x:row>
    <x:row r="4667" spans="1:16">
      <x:c r="A4667" s="0" t="s">
        <x:v>18513</x:v>
      </x:c>
      <x:c r="B4667" s="0" t="s">
        <x:v>18514</x:v>
      </x:c>
      <x:c r="C4667" s="0" t="s">
        <x:v>18515</x:v>
      </x:c>
      <x:c r="E4667" s="0" t="s">
        <x:v>18516</x:v>
      </x:c>
      <x:c r="F4667" s="0" t="s">
        <x:v>45</x:v>
      </x:c>
      <x:c r="G4667" s="0" t="s">
        <x:v>19</x:v>
      </x:c>
      <x:c r="H4667" s="0" t="s">
        <x:v>20</x:v>
      </x:c>
      <x:c r="I4667" s="0" t="s">
        <x:v>21</x:v>
      </x:c>
      <x:c r="K4667" s="0">
        <x:f>hyperlink("https://icd.who.int/dev11/l-ichi/en#/http%3A%2F%2Fid.who.int%2Ficd%2Fentity%2F1831684663","browser")</x:f>
      </x:c>
      <x:c r="L4667" s="0">
        <x:f>hyperlink("https://icat2.azurewebsites.net/icat/?ontology=ICD&amp;tab=ClassesTab&amp;id=http%3A%2F%2Fwho.int%2Ficd%2324931_512ebf36_bf6b_4d70_85da_cf2637062af4","iCat")</x:f>
      </x:c>
      <x:c r="M4667" s="0" t="s">
        <x:v>21</x:v>
      </x:c>
      <x:c r="N4667" s="0" t="s">
        <x:v>46</x:v>
      </x:c>
    </x:row>
    <x:row r="4668" spans="1:16">
      <x:c r="A4668" s="0" t="s">
        <x:v>18517</x:v>
      </x:c>
      <x:c r="B4668" s="0" t="s">
        <x:v>18518</x:v>
      </x:c>
      <x:c r="C4668" s="0" t="s">
        <x:v>18519</x:v>
      </x:c>
      <x:c r="E4668" s="0" t="s">
        <x:v>18520</x:v>
      </x:c>
      <x:c r="F4668" s="0" t="s">
        <x:v>45</x:v>
      </x:c>
      <x:c r="G4668" s="0" t="s">
        <x:v>19</x:v>
      </x:c>
      <x:c r="H4668" s="0" t="s">
        <x:v>20</x:v>
      </x:c>
      <x:c r="I4668" s="0" t="s">
        <x:v>21</x:v>
      </x:c>
      <x:c r="K4668" s="0">
        <x:f>hyperlink("https://icd.who.int/dev11/l-ichi/en#/http%3A%2F%2Fid.who.int%2Ficd%2Fentity%2F1103188491","browser")</x:f>
      </x:c>
      <x:c r="L4668" s="0">
        <x:f>hyperlink("https://icat2.azurewebsites.net/icat/?ontology=ICD&amp;tab=ClassesTab&amp;id=http%3A%2F%2Fwho.int%2Ficd%23728_63e30ea5_14bd_4823_bf2d_a6a05c9b9750","iCat")</x:f>
      </x:c>
      <x:c r="M4668" s="0" t="s">
        <x:v>21</x:v>
      </x:c>
      <x:c r="N4668" s="0" t="s">
        <x:v>46</x:v>
      </x:c>
    </x:row>
    <x:row r="4669" spans="1:16">
      <x:c r="A4669" s="0" t="s">
        <x:v>18521</x:v>
      </x:c>
      <x:c r="B4669" s="0" t="s">
        <x:v>18522</x:v>
      </x:c>
      <x:c r="C4669" s="0" t="s">
        <x:v>18523</x:v>
      </x:c>
      <x:c r="E4669" s="0" t="s">
        <x:v>18524</x:v>
      </x:c>
      <x:c r="F4669" s="0" t="s">
        <x:v>45</x:v>
      </x:c>
      <x:c r="G4669" s="0" t="s">
        <x:v>19</x:v>
      </x:c>
      <x:c r="H4669" s="0" t="s">
        <x:v>20</x:v>
      </x:c>
      <x:c r="I4669" s="0" t="s">
        <x:v>21</x:v>
      </x:c>
      <x:c r="K4669" s="0">
        <x:f>hyperlink("https://icd.who.int/dev11/l-ichi/en#/http%3A%2F%2Fid.who.int%2Ficd%2Fentity%2F598489956","browser")</x:f>
      </x:c>
      <x:c r="L4669" s="0">
        <x:f>hyperlink("https://icat2.azurewebsites.net/icat/?ontology=ICD&amp;tab=ClassesTab&amp;id=http%3A%2F%2Fwho.int%2Ficd%2324939_512ebf36_bf6b_4d70_85da_cf2637062af4","iCat")</x:f>
      </x:c>
      <x:c r="M4669" s="0" t="s">
        <x:v>21</x:v>
      </x:c>
      <x:c r="N4669" s="0" t="s">
        <x:v>46</x:v>
      </x:c>
    </x:row>
    <x:row r="4670" spans="1:16">
      <x:c r="A4670" s="0" t="s">
        <x:v>18525</x:v>
      </x:c>
      <x:c r="B4670" s="0" t="s">
        <x:v>18526</x:v>
      </x:c>
      <x:c r="C4670" s="0" t="s">
        <x:v>18527</x:v>
      </x:c>
      <x:c r="E4670" s="0" t="s">
        <x:v>18528</x:v>
      </x:c>
      <x:c r="F4670" s="0" t="s">
        <x:v>45</x:v>
      </x:c>
      <x:c r="G4670" s="0" t="s">
        <x:v>19</x:v>
      </x:c>
      <x:c r="H4670" s="0" t="s">
        <x:v>20</x:v>
      </x:c>
      <x:c r="I4670" s="0" t="s">
        <x:v>21</x:v>
      </x:c>
      <x:c r="K4670" s="0">
        <x:f>hyperlink("https://icd.who.int/dev11/l-ichi/en#/http%3A%2F%2Fid.who.int%2Ficd%2Fentity%2F1761385817","browser")</x:f>
      </x:c>
      <x:c r="L4670" s="0">
        <x:f>hyperlink("https://icat2.azurewebsites.net/icat/?ontology=ICD&amp;tab=ClassesTab&amp;id=http%3A%2F%2Fwho.int%2Ficd%2324945_512ebf36_bf6b_4d70_85da_cf2637062af4","iCat")</x:f>
      </x:c>
      <x:c r="M4670" s="0" t="s">
        <x:v>21</x:v>
      </x:c>
      <x:c r="N4670" s="0" t="s">
        <x:v>46</x:v>
      </x:c>
    </x:row>
    <x:row r="4671" spans="1:16">
      <x:c r="A4671" s="0" t="s">
        <x:v>18529</x:v>
      </x:c>
      <x:c r="B4671" s="0" t="s">
        <x:v>18530</x:v>
      </x:c>
      <x:c r="C4671" s="0" t="s">
        <x:v>18531</x:v>
      </x:c>
      <x:c r="E4671" s="0" t="s">
        <x:v>18532</x:v>
      </x:c>
      <x:c r="F4671" s="0" t="s">
        <x:v>45</x:v>
      </x:c>
      <x:c r="G4671" s="0" t="s">
        <x:v>19</x:v>
      </x:c>
      <x:c r="H4671" s="0" t="s">
        <x:v>20</x:v>
      </x:c>
      <x:c r="I4671" s="0" t="s">
        <x:v>21</x:v>
      </x:c>
      <x:c r="K4671" s="0">
        <x:f>hyperlink("https://icd.who.int/dev11/l-ichi/en#/http%3A%2F%2Fid.who.int%2Ficd%2Fentity%2F1924899715","browser")</x:f>
      </x:c>
      <x:c r="L4671" s="0">
        <x:f>hyperlink("https://icat2.azurewebsites.net/icat/?ontology=ICD&amp;tab=ClassesTab&amp;id=http%3A%2F%2Fwho.int%2Ficd%2324952_512ebf36_bf6b_4d70_85da_cf2637062af4","iCat")</x:f>
      </x:c>
      <x:c r="M4671" s="0" t="s">
        <x:v>21</x:v>
      </x:c>
      <x:c r="N4671" s="0" t="s">
        <x:v>46</x:v>
      </x:c>
    </x:row>
    <x:row r="4672" spans="1:16">
      <x:c r="A4672" s="0" t="s">
        <x:v>18533</x:v>
      </x:c>
      <x:c r="B4672" s="0" t="s">
        <x:v>18534</x:v>
      </x:c>
      <x:c r="C4672" s="0" t="s">
        <x:v>18535</x:v>
      </x:c>
      <x:c r="E4672" s="0" t="s">
        <x:v>18536</x:v>
      </x:c>
      <x:c r="F4672" s="0" t="s">
        <x:v>45</x:v>
      </x:c>
      <x:c r="G4672" s="0" t="s">
        <x:v>19</x:v>
      </x:c>
      <x:c r="H4672" s="0" t="s">
        <x:v>20</x:v>
      </x:c>
      <x:c r="I4672" s="0" t="s">
        <x:v>21</x:v>
      </x:c>
      <x:c r="K4672" s="0">
        <x:f>hyperlink("https://icd.who.int/dev11/l-ichi/en#/http%3A%2F%2Fid.who.int%2Ficd%2Fentity%2F2005896317","browser")</x:f>
      </x:c>
      <x:c r="L4672" s="0">
        <x:f>hyperlink("https://icat2.azurewebsites.net/icat/?ontology=ICD&amp;tab=ClassesTab&amp;id=http%3A%2F%2Fwho.int%2Ficd%2324961_512ebf36_bf6b_4d70_85da_cf2637062af4","iCat")</x:f>
      </x:c>
      <x:c r="M4672" s="0" t="s">
        <x:v>21</x:v>
      </x:c>
      <x:c r="N4672" s="0" t="s">
        <x:v>46</x:v>
      </x:c>
    </x:row>
    <x:row r="4673" spans="1:16">
      <x:c r="A4673" s="0" t="s">
        <x:v>18537</x:v>
      </x:c>
      <x:c r="B4673" s="0" t="s">
        <x:v>18538</x:v>
      </x:c>
      <x:c r="C4673" s="0" t="s">
        <x:v>18539</x:v>
      </x:c>
      <x:c r="E4673" s="0" t="s">
        <x:v>18540</x:v>
      </x:c>
      <x:c r="F4673" s="0" t="s">
        <x:v>45</x:v>
      </x:c>
      <x:c r="G4673" s="0" t="s">
        <x:v>19</x:v>
      </x:c>
      <x:c r="H4673" s="0" t="s">
        <x:v>20</x:v>
      </x:c>
      <x:c r="I4673" s="0" t="s">
        <x:v>21</x:v>
      </x:c>
      <x:c r="K4673" s="0">
        <x:f>hyperlink("https://icd.who.int/dev11/l-ichi/en#/http%3A%2F%2Fid.who.int%2Ficd%2Fentity%2F1361658866","browser")</x:f>
      </x:c>
      <x:c r="L4673" s="0">
        <x:f>hyperlink("https://icat2.azurewebsites.net/icat/?ontology=ICD&amp;tab=ClassesTab&amp;id=http%3A%2F%2Fwho.int%2Ficd%23176_fdfbe215_099f_43a9_be44_e4f78deaea50","iCat")</x:f>
      </x:c>
      <x:c r="M4673" s="0" t="s">
        <x:v>21</x:v>
      </x:c>
      <x:c r="N4673" s="0" t="s">
        <x:v>46</x:v>
      </x:c>
    </x:row>
    <x:row r="4674" spans="1:16">
      <x:c r="A4674" s="0" t="s">
        <x:v>18541</x:v>
      </x:c>
      <x:c r="B4674" s="0" t="s">
        <x:v>18542</x:v>
      </x:c>
      <x:c r="C4674" s="0" t="s">
        <x:v>18543</x:v>
      </x:c>
      <x:c r="E4674" s="0" t="s">
        <x:v>18544</x:v>
      </x:c>
      <x:c r="F4674" s="0" t="s">
        <x:v>45</x:v>
      </x:c>
      <x:c r="G4674" s="0" t="s">
        <x:v>19</x:v>
      </x:c>
      <x:c r="H4674" s="0" t="s">
        <x:v>20</x:v>
      </x:c>
      <x:c r="I4674" s="0" t="s">
        <x:v>21</x:v>
      </x:c>
      <x:c r="K4674" s="0">
        <x:f>hyperlink("https://icd.who.int/dev11/l-ichi/en#/http%3A%2F%2Fid.who.int%2Ficd%2Fentity%2F670324172","browser")</x:f>
      </x:c>
      <x:c r="L4674" s="0">
        <x:f>hyperlink("https://icat2.azurewebsites.net/icat/?ontology=ICD&amp;tab=ClassesTab&amp;id=http%3A%2F%2Fwho.int%2Ficd%2324967_512ebf36_bf6b_4d70_85da_cf2637062af4","iCat")</x:f>
      </x:c>
      <x:c r="M4674" s="0" t="s">
        <x:v>21</x:v>
      </x:c>
      <x:c r="N4674" s="0" t="s">
        <x:v>46</x:v>
      </x:c>
    </x:row>
    <x:row r="4675" spans="1:16">
      <x:c r="A4675" s="0" t="s">
        <x:v>18545</x:v>
      </x:c>
      <x:c r="B4675" s="0" t="s">
        <x:v>18546</x:v>
      </x:c>
      <x:c r="C4675" s="0" t="s">
        <x:v>18547</x:v>
      </x:c>
      <x:c r="E4675" s="0" t="s">
        <x:v>18548</x:v>
      </x:c>
      <x:c r="F4675" s="0" t="s">
        <x:v>45</x:v>
      </x:c>
      <x:c r="G4675" s="0" t="s">
        <x:v>19</x:v>
      </x:c>
      <x:c r="H4675" s="0" t="s">
        <x:v>20</x:v>
      </x:c>
      <x:c r="I4675" s="0" t="s">
        <x:v>21</x:v>
      </x:c>
      <x:c r="K4675" s="0">
        <x:f>hyperlink("https://icd.who.int/dev11/l-ichi/en#/http%3A%2F%2Fid.who.int%2Ficd%2Fentity%2F146059108","browser")</x:f>
      </x:c>
      <x:c r="L4675" s="0">
        <x:f>hyperlink("https://icat2.azurewebsites.net/icat/?ontology=ICD&amp;tab=ClassesTab&amp;id=http%3A%2F%2Fwho.int%2Ficd%2324974_512ebf36_bf6b_4d70_85da_cf2637062af4","iCat")</x:f>
      </x:c>
      <x:c r="M4675" s="0" t="s">
        <x:v>21</x:v>
      </x:c>
      <x:c r="N4675" s="0" t="s">
        <x:v>46</x:v>
      </x:c>
    </x:row>
    <x:row r="4676" spans="1:16">
      <x:c r="A4676" s="0" t="s">
        <x:v>18549</x:v>
      </x:c>
      <x:c r="B4676" s="0" t="s">
        <x:v>18550</x:v>
      </x:c>
      <x:c r="C4676" s="0" t="s">
        <x:v>18551</x:v>
      </x:c>
      <x:c r="E4676" s="0" t="s">
        <x:v>18552</x:v>
      </x:c>
      <x:c r="F4676" s="0" t="s">
        <x:v>45</x:v>
      </x:c>
      <x:c r="G4676" s="0" t="s">
        <x:v>19</x:v>
      </x:c>
      <x:c r="H4676" s="0" t="s">
        <x:v>20</x:v>
      </x:c>
      <x:c r="I4676" s="0" t="s">
        <x:v>21</x:v>
      </x:c>
      <x:c r="K4676" s="0">
        <x:f>hyperlink("https://icd.who.int/dev11/l-ichi/en#/http%3A%2F%2Fid.who.int%2Ficd%2Fentity%2F850220022","browser")</x:f>
      </x:c>
      <x:c r="L4676" s="0">
        <x:f>hyperlink("https://icat2.azurewebsites.net/icat/?ontology=ICD&amp;tab=ClassesTab&amp;id=http%3A%2F%2Fwho.int%2Ficd%2324981_512ebf36_bf6b_4d70_85da_cf2637062af4","iCat")</x:f>
      </x:c>
      <x:c r="M4676" s="0" t="s">
        <x:v>21</x:v>
      </x:c>
      <x:c r="N4676" s="0" t="s">
        <x:v>46</x:v>
      </x:c>
    </x:row>
    <x:row r="4677" spans="1:16">
      <x:c r="A4677" s="0" t="s">
        <x:v>18553</x:v>
      </x:c>
      <x:c r="B4677" s="0" t="s">
        <x:v>18554</x:v>
      </x:c>
      <x:c r="C4677" s="0" t="s">
        <x:v>18555</x:v>
      </x:c>
      <x:c r="E4677" s="0" t="s">
        <x:v>18556</x:v>
      </x:c>
      <x:c r="F4677" s="0" t="s">
        <x:v>45</x:v>
      </x:c>
      <x:c r="G4677" s="0" t="s">
        <x:v>19</x:v>
      </x:c>
      <x:c r="H4677" s="0" t="s">
        <x:v>20</x:v>
      </x:c>
      <x:c r="I4677" s="0" t="s">
        <x:v>21</x:v>
      </x:c>
      <x:c r="K4677" s="0">
        <x:f>hyperlink("https://icd.who.int/dev11/l-ichi/en#/http%3A%2F%2Fid.who.int%2Ficd%2Fentity%2F1557483677","browser")</x:f>
      </x:c>
      <x:c r="L4677" s="0">
        <x:f>hyperlink("https://icat2.azurewebsites.net/icat/?ontology=ICD&amp;tab=ClassesTab&amp;id=http%3A%2F%2Fwho.int%2Ficd%2324988_512ebf36_bf6b_4d70_85da_cf2637062af4","iCat")</x:f>
      </x:c>
      <x:c r="M4677" s="0" t="s">
        <x:v>21</x:v>
      </x:c>
      <x:c r="N4677" s="0" t="s">
        <x:v>46</x:v>
      </x:c>
    </x:row>
    <x:row r="4678" spans="1:16">
      <x:c r="A4678" s="0" t="s">
        <x:v>18557</x:v>
      </x:c>
      <x:c r="B4678" s="0" t="s">
        <x:v>18558</x:v>
      </x:c>
      <x:c r="C4678" s="0" t="s">
        <x:v>18559</x:v>
      </x:c>
      <x:c r="E4678" s="0" t="s">
        <x:v>18560</x:v>
      </x:c>
      <x:c r="F4678" s="0" t="s">
        <x:v>45</x:v>
      </x:c>
      <x:c r="G4678" s="0" t="s">
        <x:v>19</x:v>
      </x:c>
      <x:c r="H4678" s="0" t="s">
        <x:v>20</x:v>
      </x:c>
      <x:c r="I4678" s="0" t="s">
        <x:v>21</x:v>
      </x:c>
      <x:c r="K4678" s="0">
        <x:f>hyperlink("https://icd.who.int/dev11/l-ichi/en#/http%3A%2F%2Fid.who.int%2Ficd%2Fentity%2F1301704939","browser")</x:f>
      </x:c>
      <x:c r="L4678" s="0">
        <x:f>hyperlink("https://icat2.azurewebsites.net/icat/?ontology=ICD&amp;tab=ClassesTab&amp;id=http%3A%2F%2Fwho.int%2Ficd%2324994_512ebf36_bf6b_4d70_85da_cf2637062af4","iCat")</x:f>
      </x:c>
      <x:c r="M4678" s="0" t="s">
        <x:v>21</x:v>
      </x:c>
      <x:c r="N4678" s="0" t="s">
        <x:v>46</x:v>
      </x:c>
    </x:row>
    <x:row r="4679" spans="1:16">
      <x:c r="A4679" s="0" t="s">
        <x:v>18561</x:v>
      </x:c>
      <x:c r="B4679" s="0" t="s">
        <x:v>18562</x:v>
      </x:c>
      <x:c r="C4679" s="0" t="s">
        <x:v>18563</x:v>
      </x:c>
      <x:c r="E4679" s="0" t="s">
        <x:v>18564</x:v>
      </x:c>
      <x:c r="F4679" s="0" t="s">
        <x:v>45</x:v>
      </x:c>
      <x:c r="G4679" s="0" t="s">
        <x:v>19</x:v>
      </x:c>
      <x:c r="H4679" s="0" t="s">
        <x:v>20</x:v>
      </x:c>
      <x:c r="I4679" s="0" t="s">
        <x:v>21</x:v>
      </x:c>
      <x:c r="K4679" s="0">
        <x:f>hyperlink("https://icd.who.int/dev11/l-ichi/en#/http%3A%2F%2Fid.who.int%2Ficd%2Fentity%2F1853157553","browser")</x:f>
      </x:c>
      <x:c r="L4679" s="0">
        <x:f>hyperlink("https://icat2.azurewebsites.net/icat/?ontology=ICD&amp;tab=ClassesTab&amp;id=http%3A%2F%2Fwho.int%2Ficd%2325003_512ebf36_bf6b_4d70_85da_cf2637062af4","iCat")</x:f>
      </x:c>
      <x:c r="M4679" s="0" t="s">
        <x:v>21</x:v>
      </x:c>
      <x:c r="N4679" s="0" t="s">
        <x:v>46</x:v>
      </x:c>
    </x:row>
    <x:row r="4680" spans="1:16">
      <x:c r="A4680" s="0" t="s">
        <x:v>18565</x:v>
      </x:c>
      <x:c r="B4680" s="0" t="s">
        <x:v>18566</x:v>
      </x:c>
      <x:c r="C4680" s="0" t="s">
        <x:v>18567</x:v>
      </x:c>
      <x:c r="E4680" s="0" t="s">
        <x:v>18568</x:v>
      </x:c>
      <x:c r="F4680" s="0" t="s">
        <x:v>45</x:v>
      </x:c>
      <x:c r="G4680" s="0" t="s">
        <x:v>19</x:v>
      </x:c>
      <x:c r="H4680" s="0" t="s">
        <x:v>20</x:v>
      </x:c>
      <x:c r="I4680" s="0" t="s">
        <x:v>21</x:v>
      </x:c>
      <x:c r="K4680" s="0">
        <x:f>hyperlink("https://icd.who.int/dev11/l-ichi/en#/http%3A%2F%2Fid.who.int%2Ficd%2Fentity%2F1093929503","browser")</x:f>
      </x:c>
      <x:c r="L4680" s="0">
        <x:f>hyperlink("https://icat2.azurewebsites.net/icat/?ontology=ICD&amp;tab=ClassesTab&amp;id=http%3A%2F%2Fwho.int%2Ficd%2325010_512ebf36_bf6b_4d70_85da_cf2637062af4","iCat")</x:f>
      </x:c>
      <x:c r="M4680" s="0" t="s">
        <x:v>21</x:v>
      </x:c>
      <x:c r="N4680" s="0" t="s">
        <x:v>46</x:v>
      </x:c>
    </x:row>
    <x:row r="4681" spans="1:16">
      <x:c r="A4681" s="0" t="s">
        <x:v>18569</x:v>
      </x:c>
      <x:c r="B4681" s="0" t="s">
        <x:v>18570</x:v>
      </x:c>
      <x:c r="C4681" s="0" t="s">
        <x:v>18571</x:v>
      </x:c>
      <x:c r="E4681" s="0" t="s">
        <x:v>18572</x:v>
      </x:c>
      <x:c r="F4681" s="0" t="s">
        <x:v>45</x:v>
      </x:c>
      <x:c r="G4681" s="0" t="s">
        <x:v>19</x:v>
      </x:c>
      <x:c r="H4681" s="0" t="s">
        <x:v>20</x:v>
      </x:c>
      <x:c r="I4681" s="0" t="s">
        <x:v>21</x:v>
      </x:c>
      <x:c r="K4681" s="0">
        <x:f>hyperlink("https://icd.who.int/dev11/l-ichi/en#/http%3A%2F%2Fid.who.int%2Ficd%2Fentity%2F290444208","browser")</x:f>
      </x:c>
      <x:c r="L4681" s="0">
        <x:f>hyperlink("https://icat2.azurewebsites.net/icat/?ontology=ICD&amp;tab=ClassesTab&amp;id=http%3A%2F%2Fwho.int%2Ficd%2325016_512ebf36_bf6b_4d70_85da_cf2637062af4","iCat")</x:f>
      </x:c>
      <x:c r="M4681" s="0" t="s">
        <x:v>21</x:v>
      </x:c>
      <x:c r="N4681" s="0" t="s">
        <x:v>46</x:v>
      </x:c>
    </x:row>
    <x:row r="4682" spans="1:16">
      <x:c r="A4682" s="0" t="s">
        <x:v>18573</x:v>
      </x:c>
      <x:c r="B4682" s="0" t="s">
        <x:v>18574</x:v>
      </x:c>
      <x:c r="C4682" s="0" t="s">
        <x:v>18575</x:v>
      </x:c>
      <x:c r="E4682" s="0" t="s">
        <x:v>18576</x:v>
      </x:c>
      <x:c r="F4682" s="0" t="s">
        <x:v>45</x:v>
      </x:c>
      <x:c r="G4682" s="0" t="s">
        <x:v>19</x:v>
      </x:c>
      <x:c r="H4682" s="0" t="s">
        <x:v>20</x:v>
      </x:c>
      <x:c r="I4682" s="0" t="s">
        <x:v>21</x:v>
      </x:c>
      <x:c r="K4682" s="0">
        <x:f>hyperlink("https://icd.who.int/dev11/l-ichi/en#/http%3A%2F%2Fid.who.int%2Ficd%2Fentity%2F1694062557","browser")</x:f>
      </x:c>
      <x:c r="L4682" s="0">
        <x:f>hyperlink("https://icat2.azurewebsites.net/icat/?ontology=ICD&amp;tab=ClassesTab&amp;id=http%3A%2F%2Fwho.int%2Ficd%2325022_512ebf36_bf6b_4d70_85da_cf2637062af4","iCat")</x:f>
      </x:c>
      <x:c r="M4682" s="0" t="s">
        <x:v>21</x:v>
      </x:c>
      <x:c r="N4682" s="0" t="s">
        <x:v>46</x:v>
      </x:c>
    </x:row>
    <x:row r="4683" spans="1:16">
      <x:c r="A4683" s="0" t="s">
        <x:v>18577</x:v>
      </x:c>
      <x:c r="B4683" s="0" t="s">
        <x:v>18578</x:v>
      </x:c>
      <x:c r="C4683" s="0" t="s">
        <x:v>18579</x:v>
      </x:c>
      <x:c r="E4683" s="0" t="s">
        <x:v>18580</x:v>
      </x:c>
      <x:c r="F4683" s="0" t="s">
        <x:v>45</x:v>
      </x:c>
      <x:c r="G4683" s="0" t="s">
        <x:v>19</x:v>
      </x:c>
      <x:c r="H4683" s="0" t="s">
        <x:v>20</x:v>
      </x:c>
      <x:c r="I4683" s="0" t="s">
        <x:v>21</x:v>
      </x:c>
      <x:c r="K4683" s="0">
        <x:f>hyperlink("https://icd.who.int/dev11/l-ichi/en#/http%3A%2F%2Fid.who.int%2Ficd%2Fentity%2F1325677389","browser")</x:f>
      </x:c>
      <x:c r="L4683" s="0">
        <x:f>hyperlink("https://icat2.azurewebsites.net/icat/?ontology=ICD&amp;tab=ClassesTab&amp;id=http%3A%2F%2Fwho.int%2Ficd%2325028_512ebf36_bf6b_4d70_85da_cf2637062af4","iCat")</x:f>
      </x:c>
      <x:c r="M4683" s="0" t="s">
        <x:v>21</x:v>
      </x:c>
      <x:c r="N4683" s="0" t="s">
        <x:v>46</x:v>
      </x:c>
    </x:row>
    <x:row r="4684" spans="1:16">
      <x:c r="A4684" s="0" t="s">
        <x:v>18581</x:v>
      </x:c>
      <x:c r="B4684" s="0" t="s">
        <x:v>18582</x:v>
      </x:c>
      <x:c r="C4684" s="0" t="s">
        <x:v>18583</x:v>
      </x:c>
      <x:c r="E4684" s="0" t="s">
        <x:v>18584</x:v>
      </x:c>
      <x:c r="F4684" s="0" t="s">
        <x:v>45</x:v>
      </x:c>
      <x:c r="G4684" s="0" t="s">
        <x:v>19</x:v>
      </x:c>
      <x:c r="H4684" s="0" t="s">
        <x:v>20</x:v>
      </x:c>
      <x:c r="I4684" s="0" t="s">
        <x:v>21</x:v>
      </x:c>
      <x:c r="K4684" s="0">
        <x:f>hyperlink("https://icd.who.int/dev11/l-ichi/en#/http%3A%2F%2Fid.who.int%2Ficd%2Fentity%2F1581718331","browser")</x:f>
      </x:c>
      <x:c r="L4684" s="0">
        <x:f>hyperlink("https://icat2.azurewebsites.net/icat/?ontology=ICD&amp;tab=ClassesTab&amp;id=http%3A%2F%2Fwho.int%2Ficd%2325034_512ebf36_bf6b_4d70_85da_cf2637062af4","iCat")</x:f>
      </x:c>
      <x:c r="M4684" s="0" t="s">
        <x:v>21</x:v>
      </x:c>
      <x:c r="N4684" s="0" t="s">
        <x:v>46</x:v>
      </x:c>
    </x:row>
    <x:row r="4685" spans="1:16">
      <x:c r="A4685" s="0" t="s">
        <x:v>18585</x:v>
      </x:c>
      <x:c r="B4685" s="0" t="s">
        <x:v>18586</x:v>
      </x:c>
      <x:c r="C4685" s="0" t="s">
        <x:v>18587</x:v>
      </x:c>
      <x:c r="E4685" s="0" t="s">
        <x:v>18588</x:v>
      </x:c>
      <x:c r="F4685" s="0" t="s">
        <x:v>45</x:v>
      </x:c>
      <x:c r="G4685" s="0" t="s">
        <x:v>19</x:v>
      </x:c>
      <x:c r="H4685" s="0" t="s">
        <x:v>20</x:v>
      </x:c>
      <x:c r="I4685" s="0" t="s">
        <x:v>21</x:v>
      </x:c>
      <x:c r="K4685" s="0">
        <x:f>hyperlink("https://icd.who.int/dev11/l-ichi/en#/http%3A%2F%2Fid.who.int%2Ficd%2Fentity%2F1536609365","browser")</x:f>
      </x:c>
      <x:c r="L4685" s="0">
        <x:f>hyperlink("https://icat2.azurewebsites.net/icat/?ontology=ICD&amp;tab=ClassesTab&amp;id=http%3A%2F%2Fwho.int%2Ficd%2325040_512ebf36_bf6b_4d70_85da_cf2637062af4","iCat")</x:f>
      </x:c>
      <x:c r="M4685" s="0" t="s">
        <x:v>21</x:v>
      </x:c>
      <x:c r="N4685" s="0" t="s">
        <x:v>46</x:v>
      </x:c>
    </x:row>
    <x:row r="4686" spans="1:16">
      <x:c r="A4686" s="0" t="s">
        <x:v>18589</x:v>
      </x:c>
      <x:c r="B4686" s="0" t="s">
        <x:v>18590</x:v>
      </x:c>
      <x:c r="C4686" s="0" t="s">
        <x:v>18591</x:v>
      </x:c>
      <x:c r="E4686" s="0" t="s">
        <x:v>18592</x:v>
      </x:c>
      <x:c r="F4686" s="0" t="s">
        <x:v>45</x:v>
      </x:c>
      <x:c r="G4686" s="0" t="s">
        <x:v>19</x:v>
      </x:c>
      <x:c r="H4686" s="0" t="s">
        <x:v>20</x:v>
      </x:c>
      <x:c r="I4686" s="0" t="s">
        <x:v>21</x:v>
      </x:c>
      <x:c r="K4686" s="0">
        <x:f>hyperlink("https://icd.who.int/dev11/l-ichi/en#/http%3A%2F%2Fid.who.int%2Ficd%2Fentity%2F200087014","browser")</x:f>
      </x:c>
      <x:c r="L4686" s="0">
        <x:f>hyperlink("https://icat2.azurewebsites.net/icat/?ontology=ICD&amp;tab=ClassesTab&amp;id=http%3A%2F%2Fwho.int%2Ficd%2325046_512ebf36_bf6b_4d70_85da_cf2637062af4","iCat")</x:f>
      </x:c>
      <x:c r="M4686" s="0" t="s">
        <x:v>21</x:v>
      </x:c>
      <x:c r="N4686" s="0" t="s">
        <x:v>46</x:v>
      </x:c>
    </x:row>
    <x:row r="4687" spans="1:16">
      <x:c r="A4687" s="0" t="s">
        <x:v>18593</x:v>
      </x:c>
      <x:c r="B4687" s="0" t="s">
        <x:v>18594</x:v>
      </x:c>
      <x:c r="D4687" s="0" t="s">
        <x:v>18595</x:v>
      </x:c>
      <x:c r="E4687" s="0" t="s">
        <x:v>18596</x:v>
      </x:c>
      <x:c r="F4687" s="0" t="s">
        <x:v>26</x:v>
      </x:c>
      <x:c r="G4687" s="0" t="s">
        <x:v>22</x:v>
      </x:c>
      <x:c r="H4687" s="0" t="s">
        <x:v>20</x:v>
      </x:c>
      <x:c r="I4687" s="0" t="s">
        <x:v>21</x:v>
      </x:c>
      <x:c r="K4687" s="0">
        <x:f>hyperlink("https://icd.who.int/dev11/l-ichi/en#/http%3A%2F%2Fid.who.int%2Ficd%2Fentity%2F1960195835","browser")</x:f>
      </x:c>
      <x:c r="L4687" s="0">
        <x:f>hyperlink("https://icat2.azurewebsites.net/icat/?ontology=ICD&amp;tab=ClassesTab&amp;id=http%3A%2F%2Fwho.int%2Ficd%2325053_512ebf36_bf6b_4d70_85da_cf2637062af4","iCat")</x:f>
      </x:c>
      <x:c r="M4687" s="0" t="s">
        <x:v>20</x:v>
      </x:c>
      <x:c r="N4687" s="0" t="s">
        <x:v>18597</x:v>
      </x:c>
    </x:row>
    <x:row r="4688" spans="1:16">
      <x:c r="A4688" s="0" t="s">
        <x:v>18598</x:v>
      </x:c>
      <x:c r="B4688" s="0" t="s">
        <x:v>18599</x:v>
      </x:c>
      <x:c r="C4688" s="0" t="s">
        <x:v>18600</x:v>
      </x:c>
      <x:c r="E4688" s="0" t="s">
        <x:v>18601</x:v>
      </x:c>
      <x:c r="F4688" s="0" t="s">
        <x:v>45</x:v>
      </x:c>
      <x:c r="G4688" s="0" t="s">
        <x:v>19</x:v>
      </x:c>
      <x:c r="H4688" s="0" t="s">
        <x:v>20</x:v>
      </x:c>
      <x:c r="I4688" s="0" t="s">
        <x:v>21</x:v>
      </x:c>
      <x:c r="K4688" s="0">
        <x:f>hyperlink("https://icd.who.int/dev11/l-ichi/en#/http%3A%2F%2Fid.who.int%2Ficd%2Fentity%2F1412383943","browser")</x:f>
      </x:c>
      <x:c r="L4688" s="0">
        <x:f>hyperlink("https://icat2.azurewebsites.net/icat/?ontology=ICD&amp;tab=ClassesTab&amp;id=http%3A%2F%2Fwho.int%2Ficd%2325052_512ebf36_bf6b_4d70_85da_cf2637062af4","iCat")</x:f>
      </x:c>
      <x:c r="M4688" s="0" t="s">
        <x:v>21</x:v>
      </x:c>
      <x:c r="N4688" s="0" t="s">
        <x:v>46</x:v>
      </x:c>
    </x:row>
    <x:row r="4689" spans="1:16">
      <x:c r="A4689" s="0" t="s">
        <x:v>18602</x:v>
      </x:c>
      <x:c r="B4689" s="0" t="s">
        <x:v>18603</x:v>
      </x:c>
      <x:c r="C4689" s="0" t="s">
        <x:v>18604</x:v>
      </x:c>
      <x:c r="E4689" s="0" t="s">
        <x:v>18605</x:v>
      </x:c>
      <x:c r="F4689" s="0" t="s">
        <x:v>45</x:v>
      </x:c>
      <x:c r="G4689" s="0" t="s">
        <x:v>19</x:v>
      </x:c>
      <x:c r="H4689" s="0" t="s">
        <x:v>20</x:v>
      </x:c>
      <x:c r="I4689" s="0" t="s">
        <x:v>21</x:v>
      </x:c>
      <x:c r="K4689" s="0">
        <x:f>hyperlink("https://icd.who.int/dev11/l-ichi/en#/http%3A%2F%2Fid.who.int%2Ficd%2Fentity%2F1155915121","browser")</x:f>
      </x:c>
      <x:c r="L4689" s="0">
        <x:f>hyperlink("https://icat2.azurewebsites.net/icat/?ontology=ICD&amp;tab=ClassesTab&amp;id=http%3A%2F%2Fwho.int%2Ficd%2325064_512ebf36_bf6b_4d70_85da_cf2637062af4","iCat")</x:f>
      </x:c>
      <x:c r="M4689" s="0" t="s">
        <x:v>21</x:v>
      </x:c>
      <x:c r="N4689" s="0" t="s">
        <x:v>46</x:v>
      </x:c>
    </x:row>
    <x:row r="4690" spans="1:16">
      <x:c r="A4690" s="0" t="s">
        <x:v>18606</x:v>
      </x:c>
      <x:c r="B4690" s="0" t="s">
        <x:v>18607</x:v>
      </x:c>
      <x:c r="C4690" s="0" t="s">
        <x:v>18608</x:v>
      </x:c>
      <x:c r="E4690" s="0" t="s">
        <x:v>18609</x:v>
      </x:c>
      <x:c r="F4690" s="0" t="s">
        <x:v>45</x:v>
      </x:c>
      <x:c r="G4690" s="0" t="s">
        <x:v>19</x:v>
      </x:c>
      <x:c r="H4690" s="0" t="s">
        <x:v>20</x:v>
      </x:c>
      <x:c r="I4690" s="0" t="s">
        <x:v>21</x:v>
      </x:c>
      <x:c r="K4690" s="0">
        <x:f>hyperlink("https://icd.who.int/dev11/l-ichi/en#/http%3A%2F%2Fid.who.int%2Ficd%2Fentity%2F455576660","browser")</x:f>
      </x:c>
      <x:c r="L4690" s="0">
        <x:f>hyperlink("https://icat2.azurewebsites.net/icat/?ontology=ICD&amp;tab=ClassesTab&amp;id=http%3A%2F%2Fwho.int%2Ficd%2325070_512ebf36_bf6b_4d70_85da_cf2637062af4","iCat")</x:f>
      </x:c>
      <x:c r="M4690" s="0" t="s">
        <x:v>21</x:v>
      </x:c>
      <x:c r="N4690" s="0" t="s">
        <x:v>46</x:v>
      </x:c>
    </x:row>
    <x:row r="4691" spans="1:16">
      <x:c r="A4691" s="0" t="s">
        <x:v>18610</x:v>
      </x:c>
      <x:c r="B4691" s="0" t="s">
        <x:v>18611</x:v>
      </x:c>
      <x:c r="C4691" s="0" t="s">
        <x:v>18612</x:v>
      </x:c>
      <x:c r="E4691" s="0" t="s">
        <x:v>18613</x:v>
      </x:c>
      <x:c r="F4691" s="0" t="s">
        <x:v>45</x:v>
      </x:c>
      <x:c r="G4691" s="0" t="s">
        <x:v>19</x:v>
      </x:c>
      <x:c r="H4691" s="0" t="s">
        <x:v>20</x:v>
      </x:c>
      <x:c r="I4691" s="0" t="s">
        <x:v>21</x:v>
      </x:c>
      <x:c r="K4691" s="0">
        <x:f>hyperlink("https://icd.who.int/dev11/l-ichi/en#/http%3A%2F%2Fid.who.int%2Ficd%2Fentity%2F1264342499","browser")</x:f>
      </x:c>
      <x:c r="L4691" s="0">
        <x:f>hyperlink("https://icat2.azurewebsites.net/icat/?ontology=ICD&amp;tab=ClassesTab&amp;id=http%3A%2F%2Fwho.int%2Ficd%2325076_512ebf36_bf6b_4d70_85da_cf2637062af4","iCat")</x:f>
      </x:c>
      <x:c r="M4691" s="0" t="s">
        <x:v>21</x:v>
      </x:c>
      <x:c r="N4691" s="0" t="s">
        <x:v>46</x:v>
      </x:c>
    </x:row>
    <x:row r="4692" spans="1:16">
      <x:c r="A4692" s="0" t="s">
        <x:v>18614</x:v>
      </x:c>
      <x:c r="B4692" s="0" t="s">
        <x:v>18615</x:v>
      </x:c>
      <x:c r="C4692" s="0" t="s">
        <x:v>18616</x:v>
      </x:c>
      <x:c r="E4692" s="0" t="s">
        <x:v>18617</x:v>
      </x:c>
      <x:c r="F4692" s="0" t="s">
        <x:v>45</x:v>
      </x:c>
      <x:c r="G4692" s="0" t="s">
        <x:v>19</x:v>
      </x:c>
      <x:c r="H4692" s="0" t="s">
        <x:v>20</x:v>
      </x:c>
      <x:c r="I4692" s="0" t="s">
        <x:v>21</x:v>
      </x:c>
      <x:c r="K4692" s="0">
        <x:f>hyperlink("https://icd.who.int/dev11/l-ichi/en#/http%3A%2F%2Fid.who.int%2Ficd%2Fentity%2F557740230","browser")</x:f>
      </x:c>
      <x:c r="L4692" s="0">
        <x:f>hyperlink("https://icat2.azurewebsites.net/icat/?ontology=ICD&amp;tab=ClassesTab&amp;id=http%3A%2F%2Fwho.int%2Ficd%2325085_512ebf36_bf6b_4d70_85da_cf2637062af4","iCat")</x:f>
      </x:c>
      <x:c r="M4692" s="0" t="s">
        <x:v>21</x:v>
      </x:c>
      <x:c r="N4692" s="0" t="s">
        <x:v>46</x:v>
      </x:c>
    </x:row>
    <x:row r="4693" spans="1:16">
      <x:c r="A4693" s="0" t="s">
        <x:v>18618</x:v>
      </x:c>
      <x:c r="B4693" s="0" t="s">
        <x:v>18619</x:v>
      </x:c>
      <x:c r="C4693" s="0" t="s">
        <x:v>18620</x:v>
      </x:c>
      <x:c r="E4693" s="0" t="s">
        <x:v>18621</x:v>
      </x:c>
      <x:c r="F4693" s="0" t="s">
        <x:v>45</x:v>
      </x:c>
      <x:c r="G4693" s="0" t="s">
        <x:v>19</x:v>
      </x:c>
      <x:c r="H4693" s="0" t="s">
        <x:v>20</x:v>
      </x:c>
      <x:c r="I4693" s="0" t="s">
        <x:v>21</x:v>
      </x:c>
      <x:c r="K4693" s="0">
        <x:f>hyperlink("https://icd.who.int/dev11/l-ichi/en#/http%3A%2F%2Fid.who.int%2Ficd%2Fentity%2F997805600","browser")</x:f>
      </x:c>
      <x:c r="L4693" s="0">
        <x:f>hyperlink("https://icat2.azurewebsites.net/icat/?ontology=ICD&amp;tab=ClassesTab&amp;id=http%3A%2F%2Fwho.int%2Ficd%2325092_512ebf36_bf6b_4d70_85da_cf2637062af4","iCat")</x:f>
      </x:c>
      <x:c r="M4693" s="0" t="s">
        <x:v>21</x:v>
      </x:c>
      <x:c r="N4693" s="0" t="s">
        <x:v>46</x:v>
      </x:c>
    </x:row>
    <x:row r="4694" spans="1:16">
      <x:c r="A4694" s="0" t="s">
        <x:v>18622</x:v>
      </x:c>
      <x:c r="B4694" s="0" t="s">
        <x:v>18623</x:v>
      </x:c>
      <x:c r="C4694" s="0" t="s">
        <x:v>18624</x:v>
      </x:c>
      <x:c r="E4694" s="0" t="s">
        <x:v>18625</x:v>
      </x:c>
      <x:c r="F4694" s="0" t="s">
        <x:v>45</x:v>
      </x:c>
      <x:c r="G4694" s="0" t="s">
        <x:v>19</x:v>
      </x:c>
      <x:c r="H4694" s="0" t="s">
        <x:v>20</x:v>
      </x:c>
      <x:c r="I4694" s="0" t="s">
        <x:v>21</x:v>
      </x:c>
      <x:c r="K4694" s="0">
        <x:f>hyperlink("https://icd.who.int/dev11/l-ichi/en#/http%3A%2F%2Fid.who.int%2Ficd%2Fentity%2F813519026","browser")</x:f>
      </x:c>
      <x:c r="L4694" s="0">
        <x:f>hyperlink("https://icat2.azurewebsites.net/icat/?ontology=ICD&amp;tab=ClassesTab&amp;id=http%3A%2F%2Fwho.int%2Ficd%2325099_512ebf36_bf6b_4d70_85da_cf2637062af4","iCat")</x:f>
      </x:c>
      <x:c r="M4694" s="0" t="s">
        <x:v>21</x:v>
      </x:c>
      <x:c r="N4694" s="0" t="s">
        <x:v>46</x:v>
      </x:c>
    </x:row>
    <x:row r="4695" spans="1:16">
      <x:c r="A4695" s="0" t="s">
        <x:v>18626</x:v>
      </x:c>
      <x:c r="B4695" s="0" t="s">
        <x:v>18627</x:v>
      </x:c>
      <x:c r="C4695" s="0" t="s">
        <x:v>18628</x:v>
      </x:c>
      <x:c r="E4695" s="0" t="s">
        <x:v>18629</x:v>
      </x:c>
      <x:c r="F4695" s="0" t="s">
        <x:v>45</x:v>
      </x:c>
      <x:c r="G4695" s="0" t="s">
        <x:v>19</x:v>
      </x:c>
      <x:c r="H4695" s="0" t="s">
        <x:v>20</x:v>
      </x:c>
      <x:c r="I4695" s="0" t="s">
        <x:v>21</x:v>
      </x:c>
      <x:c r="K4695" s="0">
        <x:f>hyperlink("https://icd.who.int/dev11/l-ichi/en#/http%3A%2F%2Fid.who.int%2Ficd%2Fentity%2F1267789725","browser")</x:f>
      </x:c>
      <x:c r="L4695" s="0">
        <x:f>hyperlink("https://icat2.azurewebsites.net/icat/?ontology=ICD&amp;tab=ClassesTab&amp;id=http%3A%2F%2Fwho.int%2Ficd%2325105_512ebf36_bf6b_4d70_85da_cf2637062af4","iCat")</x:f>
      </x:c>
      <x:c r="M4695" s="0" t="s">
        <x:v>21</x:v>
      </x:c>
      <x:c r="N4695" s="0" t="s">
        <x:v>46</x:v>
      </x:c>
    </x:row>
    <x:row r="4696" spans="1:16">
      <x:c r="A4696" s="0" t="s">
        <x:v>18630</x:v>
      </x:c>
      <x:c r="B4696" s="0" t="s">
        <x:v>18631</x:v>
      </x:c>
      <x:c r="C4696" s="0" t="s">
        <x:v>18632</x:v>
      </x:c>
      <x:c r="E4696" s="0" t="s">
        <x:v>18633</x:v>
      </x:c>
      <x:c r="F4696" s="0" t="s">
        <x:v>45</x:v>
      </x:c>
      <x:c r="G4696" s="0" t="s">
        <x:v>19</x:v>
      </x:c>
      <x:c r="H4696" s="0" t="s">
        <x:v>20</x:v>
      </x:c>
      <x:c r="I4696" s="0" t="s">
        <x:v>21</x:v>
      </x:c>
      <x:c r="K4696" s="0">
        <x:f>hyperlink("https://icd.who.int/dev11/l-ichi/en#/http%3A%2F%2Fid.who.int%2Ficd%2Fentity%2F1373098311","browser")</x:f>
      </x:c>
      <x:c r="L4696" s="0">
        <x:f>hyperlink("https://icat2.azurewebsites.net/icat/?ontology=ICD&amp;tab=ClassesTab&amp;id=http%3A%2F%2Fwho.int%2Ficd%2325112_512ebf36_bf6b_4d70_85da_cf2637062af4","iCat")</x:f>
      </x:c>
      <x:c r="M4696" s="0" t="s">
        <x:v>21</x:v>
      </x:c>
      <x:c r="N4696" s="0" t="s">
        <x:v>46</x:v>
      </x:c>
    </x:row>
    <x:row r="4697" spans="1:16">
      <x:c r="A4697" s="0" t="s">
        <x:v>18634</x:v>
      </x:c>
      <x:c r="B4697" s="0" t="s">
        <x:v>18635</x:v>
      </x:c>
      <x:c r="C4697" s="0" t="s">
        <x:v>18636</x:v>
      </x:c>
      <x:c r="E4697" s="0" t="s">
        <x:v>18637</x:v>
      </x:c>
      <x:c r="F4697" s="0" t="s">
        <x:v>45</x:v>
      </x:c>
      <x:c r="G4697" s="0" t="s">
        <x:v>19</x:v>
      </x:c>
      <x:c r="H4697" s="0" t="s">
        <x:v>20</x:v>
      </x:c>
      <x:c r="I4697" s="0" t="s">
        <x:v>21</x:v>
      </x:c>
      <x:c r="K4697" s="0">
        <x:f>hyperlink("https://icd.who.int/dev11/l-ichi/en#/http%3A%2F%2Fid.who.int%2Ficd%2Fentity%2F1947896965","browser")</x:f>
      </x:c>
      <x:c r="L4697" s="0">
        <x:f>hyperlink("https://icat2.azurewebsites.net/icat/?ontology=ICD&amp;tab=ClassesTab&amp;id=http%3A%2F%2Fwho.int%2Ficd%2325120_512ebf36_bf6b_4d70_85da_cf2637062af4","iCat")</x:f>
      </x:c>
      <x:c r="M4697" s="0" t="s">
        <x:v>21</x:v>
      </x:c>
      <x:c r="N4697" s="0" t="s">
        <x:v>46</x:v>
      </x:c>
    </x:row>
    <x:row r="4698" spans="1:16">
      <x:c r="A4698" s="0" t="s">
        <x:v>18638</x:v>
      </x:c>
      <x:c r="B4698" s="0" t="s">
        <x:v>18639</x:v>
      </x:c>
      <x:c r="C4698" s="0" t="s">
        <x:v>18640</x:v>
      </x:c>
      <x:c r="E4698" s="0" t="s">
        <x:v>18641</x:v>
      </x:c>
      <x:c r="F4698" s="0" t="s">
        <x:v>45</x:v>
      </x:c>
      <x:c r="G4698" s="0" t="s">
        <x:v>19</x:v>
      </x:c>
      <x:c r="H4698" s="0" t="s">
        <x:v>20</x:v>
      </x:c>
      <x:c r="I4698" s="0" t="s">
        <x:v>21</x:v>
      </x:c>
      <x:c r="K4698" s="0">
        <x:f>hyperlink("https://icd.who.int/dev11/l-ichi/en#/http%3A%2F%2Fid.who.int%2Ficd%2Fentity%2F610358580","browser")</x:f>
      </x:c>
      <x:c r="L4698" s="0">
        <x:f>hyperlink("https://icat2.azurewebsites.net/icat/?ontology=ICD&amp;tab=ClassesTab&amp;id=http%3A%2F%2Fwho.int%2Ficd%2325126_512ebf36_bf6b_4d70_85da_cf2637062af4","iCat")</x:f>
      </x:c>
      <x:c r="M4698" s="0" t="s">
        <x:v>21</x:v>
      </x:c>
      <x:c r="N4698" s="0" t="s">
        <x:v>46</x:v>
      </x:c>
    </x:row>
    <x:row r="4699" spans="1:16">
      <x:c r="A4699" s="0" t="s">
        <x:v>18642</x:v>
      </x:c>
      <x:c r="B4699" s="0" t="s">
        <x:v>18643</x:v>
      </x:c>
      <x:c r="C4699" s="0" t="s">
        <x:v>18644</x:v>
      </x:c>
      <x:c r="E4699" s="0" t="s">
        <x:v>18645</x:v>
      </x:c>
      <x:c r="F4699" s="0" t="s">
        <x:v>45</x:v>
      </x:c>
      <x:c r="G4699" s="0" t="s">
        <x:v>19</x:v>
      </x:c>
      <x:c r="H4699" s="0" t="s">
        <x:v>20</x:v>
      </x:c>
      <x:c r="I4699" s="0" t="s">
        <x:v>21</x:v>
      </x:c>
      <x:c r="K4699" s="0">
        <x:f>hyperlink("https://icd.who.int/dev11/l-ichi/en#/http%3A%2F%2Fid.who.int%2Ficd%2Fentity%2F1532655147","browser")</x:f>
      </x:c>
      <x:c r="L4699" s="0">
        <x:f>hyperlink("https://icat2.azurewebsites.net/icat/?ontology=ICD&amp;tab=ClassesTab&amp;id=http%3A%2F%2Fwho.int%2Ficd%2325133_512ebf36_bf6b_4d70_85da_cf2637062af4","iCat")</x:f>
      </x:c>
      <x:c r="M4699" s="0" t="s">
        <x:v>21</x:v>
      </x:c>
      <x:c r="N4699" s="0" t="s">
        <x:v>46</x:v>
      </x:c>
    </x:row>
    <x:row r="4700" spans="1:16">
      <x:c r="A4700" s="0" t="s">
        <x:v>18646</x:v>
      </x:c>
      <x:c r="B4700" s="0" t="s">
        <x:v>18647</x:v>
      </x:c>
      <x:c r="C4700" s="0" t="s">
        <x:v>18648</x:v>
      </x:c>
      <x:c r="E4700" s="0" t="s">
        <x:v>18649</x:v>
      </x:c>
      <x:c r="F4700" s="0" t="s">
        <x:v>45</x:v>
      </x:c>
      <x:c r="G4700" s="0" t="s">
        <x:v>19</x:v>
      </x:c>
      <x:c r="H4700" s="0" t="s">
        <x:v>20</x:v>
      </x:c>
      <x:c r="I4700" s="0" t="s">
        <x:v>21</x:v>
      </x:c>
      <x:c r="K4700" s="0">
        <x:f>hyperlink("https://icd.who.int/dev11/l-ichi/en#/http%3A%2F%2Fid.who.int%2Ficd%2Fentity%2F1889999547","browser")</x:f>
      </x:c>
      <x:c r="L4700" s="0">
        <x:f>hyperlink("https://icat2.azurewebsites.net/icat/?ontology=ICD&amp;tab=ClassesTab&amp;id=http%3A%2F%2Fwho.int%2Ficd%2325139_512ebf36_bf6b_4d70_85da_cf2637062af4","iCat")</x:f>
      </x:c>
      <x:c r="M4700" s="0" t="s">
        <x:v>21</x:v>
      </x:c>
      <x:c r="N4700" s="0" t="s">
        <x:v>46</x:v>
      </x:c>
    </x:row>
    <x:row r="4701" spans="1:16">
      <x:c r="A4701" s="0" t="s">
        <x:v>18650</x:v>
      </x:c>
      <x:c r="B4701" s="0" t="s">
        <x:v>18651</x:v>
      </x:c>
      <x:c r="C4701" s="0" t="s">
        <x:v>18652</x:v>
      </x:c>
      <x:c r="E4701" s="0" t="s">
        <x:v>18653</x:v>
      </x:c>
      <x:c r="F4701" s="0" t="s">
        <x:v>45</x:v>
      </x:c>
      <x:c r="G4701" s="0" t="s">
        <x:v>19</x:v>
      </x:c>
      <x:c r="H4701" s="0" t="s">
        <x:v>20</x:v>
      </x:c>
      <x:c r="I4701" s="0" t="s">
        <x:v>21</x:v>
      </x:c>
      <x:c r="K4701" s="0">
        <x:f>hyperlink("https://icd.who.int/dev11/l-ichi/en#/http%3A%2F%2Fid.who.int%2Ficd%2Fentity%2F2121454457","browser")</x:f>
      </x:c>
      <x:c r="L4701" s="0">
        <x:f>hyperlink("https://icat2.azurewebsites.net/icat/?ontology=ICD&amp;tab=ClassesTab&amp;id=http%3A%2F%2Fwho.int%2Ficd%2325146_512ebf36_bf6b_4d70_85da_cf2637062af4","iCat")</x:f>
      </x:c>
      <x:c r="M4701" s="0" t="s">
        <x:v>21</x:v>
      </x:c>
      <x:c r="N4701" s="0" t="s">
        <x:v>46</x:v>
      </x:c>
    </x:row>
    <x:row r="4702" spans="1:16">
      <x:c r="A4702" s="0" t="s">
        <x:v>18654</x:v>
      </x:c>
      <x:c r="B4702" s="0" t="s">
        <x:v>18655</x:v>
      </x:c>
      <x:c r="C4702" s="0" t="s">
        <x:v>18656</x:v>
      </x:c>
      <x:c r="E4702" s="0" t="s">
        <x:v>18657</x:v>
      </x:c>
      <x:c r="F4702" s="0" t="s">
        <x:v>45</x:v>
      </x:c>
      <x:c r="G4702" s="0" t="s">
        <x:v>19</x:v>
      </x:c>
      <x:c r="H4702" s="0" t="s">
        <x:v>20</x:v>
      </x:c>
      <x:c r="I4702" s="0" t="s">
        <x:v>21</x:v>
      </x:c>
      <x:c r="K4702" s="0">
        <x:f>hyperlink("https://icd.who.int/dev11/l-ichi/en#/http%3A%2F%2Fid.who.int%2Ficd%2Fentity%2F565215834","browser")</x:f>
      </x:c>
      <x:c r="L4702" s="0">
        <x:f>hyperlink("https://icat2.azurewebsites.net/icat/?ontology=ICD&amp;tab=ClassesTab&amp;id=http%3A%2F%2Fwho.int%2Ficd%2325152_512ebf36_bf6b_4d70_85da_cf2637062af4","iCat")</x:f>
      </x:c>
      <x:c r="M4702" s="0" t="s">
        <x:v>21</x:v>
      </x:c>
      <x:c r="N4702" s="0" t="s">
        <x:v>46</x:v>
      </x:c>
    </x:row>
    <x:row r="4703" spans="1:16">
      <x:c r="A4703" s="0" t="s">
        <x:v>18658</x:v>
      </x:c>
      <x:c r="B4703" s="0" t="s">
        <x:v>18659</x:v>
      </x:c>
      <x:c r="C4703" s="0" t="s">
        <x:v>18660</x:v>
      </x:c>
      <x:c r="E4703" s="0" t="s">
        <x:v>18661</x:v>
      </x:c>
      <x:c r="F4703" s="0" t="s">
        <x:v>45</x:v>
      </x:c>
      <x:c r="G4703" s="0" t="s">
        <x:v>19</x:v>
      </x:c>
      <x:c r="H4703" s="0" t="s">
        <x:v>20</x:v>
      </x:c>
      <x:c r="I4703" s="0" t="s">
        <x:v>21</x:v>
      </x:c>
      <x:c r="K4703" s="0">
        <x:f>hyperlink("https://icd.who.int/dev11/l-ichi/en#/http%3A%2F%2Fid.who.int%2Ficd%2Fentity%2F716479736","browser")</x:f>
      </x:c>
      <x:c r="L4703" s="0">
        <x:f>hyperlink("https://icat2.azurewebsites.net/icat/?ontology=ICD&amp;tab=ClassesTab&amp;id=http%3A%2F%2Fwho.int%2Ficd%2325159_512ebf36_bf6b_4d70_85da_cf2637062af4","iCat")</x:f>
      </x:c>
      <x:c r="M4703" s="0" t="s">
        <x:v>21</x:v>
      </x:c>
      <x:c r="N4703" s="0" t="s">
        <x:v>46</x:v>
      </x:c>
    </x:row>
    <x:row r="4704" spans="1:16">
      <x:c r="A4704" s="0" t="s">
        <x:v>18662</x:v>
      </x:c>
      <x:c r="B4704" s="0" t="s">
        <x:v>18663</x:v>
      </x:c>
      <x:c r="C4704" s="0" t="s">
        <x:v>18664</x:v>
      </x:c>
      <x:c r="E4704" s="0" t="s">
        <x:v>18665</x:v>
      </x:c>
      <x:c r="F4704" s="0" t="s">
        <x:v>45</x:v>
      </x:c>
      <x:c r="G4704" s="0" t="s">
        <x:v>19</x:v>
      </x:c>
      <x:c r="H4704" s="0" t="s">
        <x:v>20</x:v>
      </x:c>
      <x:c r="I4704" s="0" t="s">
        <x:v>21</x:v>
      </x:c>
      <x:c r="K4704" s="0">
        <x:f>hyperlink("https://icd.who.int/dev11/l-ichi/en#/http%3A%2F%2Fid.who.int%2Ficd%2Fentity%2F293824978","browser")</x:f>
      </x:c>
      <x:c r="L4704" s="0">
        <x:f>hyperlink("https://icat2.azurewebsites.net/icat/?ontology=ICD&amp;tab=ClassesTab&amp;id=http%3A%2F%2Fwho.int%2Ficd%2325165_512ebf36_bf6b_4d70_85da_cf2637062af4","iCat")</x:f>
      </x:c>
      <x:c r="M4704" s="0" t="s">
        <x:v>21</x:v>
      </x:c>
      <x:c r="N4704" s="0" t="s">
        <x:v>46</x:v>
      </x:c>
    </x:row>
    <x:row r="4705" spans="1:16">
      <x:c r="A4705" s="0" t="s">
        <x:v>18666</x:v>
      </x:c>
      <x:c r="B4705" s="0" t="s">
        <x:v>18667</x:v>
      </x:c>
      <x:c r="C4705" s="0" t="s">
        <x:v>18668</x:v>
      </x:c>
      <x:c r="E4705" s="0" t="s">
        <x:v>18669</x:v>
      </x:c>
      <x:c r="F4705" s="0" t="s">
        <x:v>45</x:v>
      </x:c>
      <x:c r="G4705" s="0" t="s">
        <x:v>19</x:v>
      </x:c>
      <x:c r="H4705" s="0" t="s">
        <x:v>20</x:v>
      </x:c>
      <x:c r="I4705" s="0" t="s">
        <x:v>21</x:v>
      </x:c>
      <x:c r="K4705" s="0">
        <x:f>hyperlink("https://icd.who.int/dev11/l-ichi/en#/http%3A%2F%2Fid.who.int%2Ficd%2Fentity%2F1312897267","browser")</x:f>
      </x:c>
      <x:c r="L4705" s="0">
        <x:f>hyperlink("https://icat2.azurewebsites.net/icat/?ontology=ICD&amp;tab=ClassesTab&amp;id=http%3A%2F%2Fwho.int%2Ficd%2325171_512ebf36_bf6b_4d70_85da_cf2637062af4","iCat")</x:f>
      </x:c>
      <x:c r="M4705" s="0" t="s">
        <x:v>21</x:v>
      </x:c>
      <x:c r="N4705" s="0" t="s">
        <x:v>46</x:v>
      </x:c>
    </x:row>
    <x:row r="4706" spans="1:16">
      <x:c r="A4706" s="0" t="s">
        <x:v>18670</x:v>
      </x:c>
      <x:c r="B4706" s="0" t="s">
        <x:v>18671</x:v>
      </x:c>
      <x:c r="C4706" s="0" t="s">
        <x:v>18672</x:v>
      </x:c>
      <x:c r="E4706" s="0" t="s">
        <x:v>18673</x:v>
      </x:c>
      <x:c r="F4706" s="0" t="s">
        <x:v>45</x:v>
      </x:c>
      <x:c r="G4706" s="0" t="s">
        <x:v>19</x:v>
      </x:c>
      <x:c r="H4706" s="0" t="s">
        <x:v>20</x:v>
      </x:c>
      <x:c r="I4706" s="0" t="s">
        <x:v>21</x:v>
      </x:c>
      <x:c r="K4706" s="0">
        <x:f>hyperlink("https://icd.who.int/dev11/l-ichi/en#/http%3A%2F%2Fid.who.int%2Ficd%2Fentity%2F540621724","browser")</x:f>
      </x:c>
      <x:c r="L4706" s="0">
        <x:f>hyperlink("https://icat2.azurewebsites.net/icat/?ontology=ICD&amp;tab=ClassesTab&amp;id=http%3A%2F%2Fwho.int%2Ficd%2325178_512ebf36_bf6b_4d70_85da_cf2637062af4","iCat")</x:f>
      </x:c>
      <x:c r="M4706" s="0" t="s">
        <x:v>21</x:v>
      </x:c>
      <x:c r="N4706" s="0" t="s">
        <x:v>46</x:v>
      </x:c>
    </x:row>
    <x:row r="4707" spans="1:16">
      <x:c r="A4707" s="0" t="s">
        <x:v>18674</x:v>
      </x:c>
      <x:c r="B4707" s="0" t="s">
        <x:v>18675</x:v>
      </x:c>
      <x:c r="C4707" s="0" t="s">
        <x:v>18676</x:v>
      </x:c>
      <x:c r="E4707" s="0" t="s">
        <x:v>18677</x:v>
      </x:c>
      <x:c r="F4707" s="0" t="s">
        <x:v>45</x:v>
      </x:c>
      <x:c r="G4707" s="0" t="s">
        <x:v>19</x:v>
      </x:c>
      <x:c r="H4707" s="0" t="s">
        <x:v>20</x:v>
      </x:c>
      <x:c r="I4707" s="0" t="s">
        <x:v>21</x:v>
      </x:c>
      <x:c r="K4707" s="0">
        <x:f>hyperlink("https://icd.who.int/dev11/l-ichi/en#/http%3A%2F%2Fid.who.int%2Ficd%2Fentity%2F266236230","browser")</x:f>
      </x:c>
      <x:c r="L4707" s="0">
        <x:f>hyperlink("https://icat2.azurewebsites.net/icat/?ontology=ICD&amp;tab=ClassesTab&amp;id=http%3A%2F%2Fwho.int%2Ficd%2325188_512ebf36_bf6b_4d70_85da_cf2637062af4","iCat")</x:f>
      </x:c>
      <x:c r="M4707" s="0" t="s">
        <x:v>21</x:v>
      </x:c>
      <x:c r="N4707" s="0" t="s">
        <x:v>46</x:v>
      </x:c>
    </x:row>
    <x:row r="4708" spans="1:16">
      <x:c r="A4708" s="0" t="s">
        <x:v>18678</x:v>
      </x:c>
      <x:c r="B4708" s="0" t="s">
        <x:v>18679</x:v>
      </x:c>
      <x:c r="C4708" s="0" t="s">
        <x:v>18680</x:v>
      </x:c>
      <x:c r="E4708" s="0" t="s">
        <x:v>18681</x:v>
      </x:c>
      <x:c r="F4708" s="0" t="s">
        <x:v>45</x:v>
      </x:c>
      <x:c r="G4708" s="0" t="s">
        <x:v>19</x:v>
      </x:c>
      <x:c r="H4708" s="0" t="s">
        <x:v>20</x:v>
      </x:c>
      <x:c r="I4708" s="0" t="s">
        <x:v>21</x:v>
      </x:c>
      <x:c r="K4708" s="0">
        <x:f>hyperlink("https://icd.who.int/dev11/l-ichi/en#/http%3A%2F%2Fid.who.int%2Ficd%2Fentity%2F513626418","browser")</x:f>
      </x:c>
      <x:c r="L4708" s="0">
        <x:f>hyperlink("https://icat2.azurewebsites.net/icat/?ontology=ICD&amp;tab=ClassesTab&amp;id=http%3A%2F%2Fwho.int%2Ficd%2325194_512ebf36_bf6b_4d70_85da_cf2637062af4","iCat")</x:f>
      </x:c>
      <x:c r="M4708" s="0" t="s">
        <x:v>21</x:v>
      </x:c>
      <x:c r="N4708" s="0" t="s">
        <x:v>46</x:v>
      </x:c>
    </x:row>
    <x:row r="4709" spans="1:16">
      <x:c r="A4709" s="0" t="s">
        <x:v>18682</x:v>
      </x:c>
      <x:c r="B4709" s="0" t="s">
        <x:v>18683</x:v>
      </x:c>
      <x:c r="C4709" s="0" t="s">
        <x:v>18684</x:v>
      </x:c>
      <x:c r="E4709" s="0" t="s">
        <x:v>18685</x:v>
      </x:c>
      <x:c r="F4709" s="0" t="s">
        <x:v>45</x:v>
      </x:c>
      <x:c r="G4709" s="0" t="s">
        <x:v>19</x:v>
      </x:c>
      <x:c r="H4709" s="0" t="s">
        <x:v>20</x:v>
      </x:c>
      <x:c r="I4709" s="0" t="s">
        <x:v>21</x:v>
      </x:c>
      <x:c r="K4709" s="0">
        <x:f>hyperlink("https://icd.who.int/dev11/l-ichi/en#/http%3A%2F%2Fid.who.int%2Ficd%2Fentity%2F1060236686","browser")</x:f>
      </x:c>
      <x:c r="L4709" s="0">
        <x:f>hyperlink("https://icat2.azurewebsites.net/icat/?ontology=ICD&amp;tab=ClassesTab&amp;id=http%3A%2F%2Fwho.int%2Ficd%2325200_512ebf36_bf6b_4d70_85da_cf2637062af4","iCat")</x:f>
      </x:c>
      <x:c r="M4709" s="0" t="s">
        <x:v>21</x:v>
      </x:c>
      <x:c r="N4709" s="0" t="s">
        <x:v>46</x:v>
      </x:c>
    </x:row>
    <x:row r="4710" spans="1:16">
      <x:c r="A4710" s="0" t="s">
        <x:v>18686</x:v>
      </x:c>
      <x:c r="B4710" s="0" t="s">
        <x:v>18687</x:v>
      </x:c>
      <x:c r="C4710" s="0" t="s">
        <x:v>18688</x:v>
      </x:c>
      <x:c r="E4710" s="0" t="s">
        <x:v>18689</x:v>
      </x:c>
      <x:c r="F4710" s="0" t="s">
        <x:v>45</x:v>
      </x:c>
      <x:c r="G4710" s="0" t="s">
        <x:v>19</x:v>
      </x:c>
      <x:c r="H4710" s="0" t="s">
        <x:v>20</x:v>
      </x:c>
      <x:c r="I4710" s="0" t="s">
        <x:v>21</x:v>
      </x:c>
      <x:c r="K4710" s="0">
        <x:f>hyperlink("https://icd.who.int/dev11/l-ichi/en#/http%3A%2F%2Fid.who.int%2Ficd%2Fentity%2F1337148929","browser")</x:f>
      </x:c>
      <x:c r="L4710" s="0">
        <x:f>hyperlink("https://icat2.azurewebsites.net/icat/?ontology=ICD&amp;tab=ClassesTab&amp;id=http%3A%2F%2Fwho.int%2Ficd%2325207_512ebf36_bf6b_4d70_85da_cf2637062af4","iCat")</x:f>
      </x:c>
      <x:c r="M4710" s="0" t="s">
        <x:v>21</x:v>
      </x:c>
      <x:c r="N4710" s="0" t="s">
        <x:v>46</x:v>
      </x:c>
    </x:row>
    <x:row r="4711" spans="1:16">
      <x:c r="A4711" s="0" t="s">
        <x:v>18690</x:v>
      </x:c>
      <x:c r="B4711" s="0" t="s">
        <x:v>18691</x:v>
      </x:c>
      <x:c r="C4711" s="0" t="s">
        <x:v>18692</x:v>
      </x:c>
      <x:c r="E4711" s="0" t="s">
        <x:v>18693</x:v>
      </x:c>
      <x:c r="F4711" s="0" t="s">
        <x:v>45</x:v>
      </x:c>
      <x:c r="G4711" s="0" t="s">
        <x:v>19</x:v>
      </x:c>
      <x:c r="H4711" s="0" t="s">
        <x:v>20</x:v>
      </x:c>
      <x:c r="I4711" s="0" t="s">
        <x:v>21</x:v>
      </x:c>
      <x:c r="K4711" s="0">
        <x:f>hyperlink("https://icd.who.int/dev11/l-ichi/en#/http%3A%2F%2Fid.who.int%2Ficd%2Fentity%2F275846946","browser")</x:f>
      </x:c>
      <x:c r="L4711" s="0">
        <x:f>hyperlink("https://icat2.azurewebsites.net/icat/?ontology=ICD&amp;tab=ClassesTab&amp;id=http%3A%2F%2Fwho.int%2Ficd%2325213_512ebf36_bf6b_4d70_85da_cf2637062af4","iCat")</x:f>
      </x:c>
      <x:c r="M4711" s="0" t="s">
        <x:v>21</x:v>
      </x:c>
      <x:c r="N4711" s="0" t="s">
        <x:v>46</x:v>
      </x:c>
    </x:row>
    <x:row r="4712" spans="1:16">
      <x:c r="A4712" s="0" t="s">
        <x:v>18694</x:v>
      </x:c>
      <x:c r="B4712" s="0" t="s">
        <x:v>18695</x:v>
      </x:c>
      <x:c r="C4712" s="0" t="s">
        <x:v>18696</x:v>
      </x:c>
      <x:c r="E4712" s="0" t="s">
        <x:v>18697</x:v>
      </x:c>
      <x:c r="F4712" s="0" t="s">
        <x:v>45</x:v>
      </x:c>
      <x:c r="G4712" s="0" t="s">
        <x:v>19</x:v>
      </x:c>
      <x:c r="H4712" s="0" t="s">
        <x:v>20</x:v>
      </x:c>
      <x:c r="I4712" s="0" t="s">
        <x:v>21</x:v>
      </x:c>
      <x:c r="K4712" s="0">
        <x:f>hyperlink("https://icd.who.int/dev11/l-ichi/en#/http%3A%2F%2Fid.who.int%2Ficd%2Fentity%2F999062450","browser")</x:f>
      </x:c>
      <x:c r="L4712" s="0">
        <x:f>hyperlink("https://icat2.azurewebsites.net/icat/?ontology=ICD&amp;tab=ClassesTab&amp;id=http%3A%2F%2Fwho.int%2Ficd%2325219_512ebf36_bf6b_4d70_85da_cf2637062af4","iCat")</x:f>
      </x:c>
      <x:c r="M4712" s="0" t="s">
        <x:v>21</x:v>
      </x:c>
      <x:c r="N4712" s="0" t="s">
        <x:v>46</x:v>
      </x:c>
    </x:row>
    <x:row r="4713" spans="1:16">
      <x:c r="A4713" s="0" t="s">
        <x:v>18698</x:v>
      </x:c>
      <x:c r="B4713" s="0" t="s">
        <x:v>18699</x:v>
      </x:c>
      <x:c r="C4713" s="0" t="s">
        <x:v>18700</x:v>
      </x:c>
      <x:c r="E4713" s="0" t="s">
        <x:v>18701</x:v>
      </x:c>
      <x:c r="F4713" s="0" t="s">
        <x:v>45</x:v>
      </x:c>
      <x:c r="G4713" s="0" t="s">
        <x:v>19</x:v>
      </x:c>
      <x:c r="H4713" s="0" t="s">
        <x:v>20</x:v>
      </x:c>
      <x:c r="I4713" s="0" t="s">
        <x:v>21</x:v>
      </x:c>
      <x:c r="K4713" s="0">
        <x:f>hyperlink("https://icd.who.int/dev11/l-ichi/en#/http%3A%2F%2Fid.who.int%2Ficd%2Fentity%2F1161748845","browser")</x:f>
      </x:c>
      <x:c r="L4713" s="0">
        <x:f>hyperlink("https://icat2.azurewebsites.net/icat/?ontology=ICD&amp;tab=ClassesTab&amp;id=http%3A%2F%2Fwho.int%2Ficd%2325226_512ebf36_bf6b_4d70_85da_cf2637062af4","iCat")</x:f>
      </x:c>
      <x:c r="M4713" s="0" t="s">
        <x:v>21</x:v>
      </x:c>
      <x:c r="N4713" s="0" t="s">
        <x:v>46</x:v>
      </x:c>
    </x:row>
    <x:row r="4714" spans="1:16">
      <x:c r="A4714" s="0" t="s">
        <x:v>18702</x:v>
      </x:c>
      <x:c r="B4714" s="0" t="s">
        <x:v>18703</x:v>
      </x:c>
      <x:c r="C4714" s="0" t="s">
        <x:v>18704</x:v>
      </x:c>
      <x:c r="E4714" s="0" t="s">
        <x:v>18705</x:v>
      </x:c>
      <x:c r="F4714" s="0" t="s">
        <x:v>45</x:v>
      </x:c>
      <x:c r="G4714" s="0" t="s">
        <x:v>19</x:v>
      </x:c>
      <x:c r="H4714" s="0" t="s">
        <x:v>20</x:v>
      </x:c>
      <x:c r="I4714" s="0" t="s">
        <x:v>21</x:v>
      </x:c>
      <x:c r="K4714" s="0">
        <x:f>hyperlink("https://icd.who.int/dev11/l-ichi/en#/http%3A%2F%2Fid.who.int%2Ficd%2Fentity%2F452767822","browser")</x:f>
      </x:c>
      <x:c r="L4714" s="0">
        <x:f>hyperlink("https://icat2.azurewebsites.net/icat/?ontology=ICD&amp;tab=ClassesTab&amp;id=http%3A%2F%2Fwho.int%2Ficd%2325232_512ebf36_bf6b_4d70_85da_cf2637062af4","iCat")</x:f>
      </x:c>
      <x:c r="M4714" s="0" t="s">
        <x:v>21</x:v>
      </x:c>
      <x:c r="N4714" s="0" t="s">
        <x:v>46</x:v>
      </x:c>
    </x:row>
    <x:row r="4715" spans="1:16">
      <x:c r="A4715" s="0" t="s">
        <x:v>18706</x:v>
      </x:c>
      <x:c r="B4715" s="0" t="s">
        <x:v>18707</x:v>
      </x:c>
      <x:c r="C4715" s="0" t="s">
        <x:v>18708</x:v>
      </x:c>
      <x:c r="E4715" s="0" t="s">
        <x:v>18709</x:v>
      </x:c>
      <x:c r="F4715" s="0" t="s">
        <x:v>45</x:v>
      </x:c>
      <x:c r="G4715" s="0" t="s">
        <x:v>19</x:v>
      </x:c>
      <x:c r="H4715" s="0" t="s">
        <x:v>20</x:v>
      </x:c>
      <x:c r="I4715" s="0" t="s">
        <x:v>21</x:v>
      </x:c>
      <x:c r="K4715" s="0">
        <x:f>hyperlink("https://icd.who.int/dev11/l-ichi/en#/http%3A%2F%2Fid.who.int%2Ficd%2Fentity%2F822205662","browser")</x:f>
      </x:c>
      <x:c r="L4715" s="0">
        <x:f>hyperlink("https://icat2.azurewebsites.net/icat/?ontology=ICD&amp;tab=ClassesTab&amp;id=http%3A%2F%2Fwho.int%2Ficd%2325238_512ebf36_bf6b_4d70_85da_cf2637062af4","iCat")</x:f>
      </x:c>
      <x:c r="M4715" s="0" t="s">
        <x:v>21</x:v>
      </x:c>
      <x:c r="N4715" s="0" t="s">
        <x:v>46</x:v>
      </x:c>
    </x:row>
    <x:row r="4716" spans="1:16">
      <x:c r="A4716" s="0" t="s">
        <x:v>18710</x:v>
      </x:c>
      <x:c r="B4716" s="0" t="s">
        <x:v>18711</x:v>
      </x:c>
      <x:c r="C4716" s="0" t="s">
        <x:v>18712</x:v>
      </x:c>
      <x:c r="E4716" s="0" t="s">
        <x:v>18713</x:v>
      </x:c>
      <x:c r="F4716" s="0" t="s">
        <x:v>45</x:v>
      </x:c>
      <x:c r="G4716" s="0" t="s">
        <x:v>19</x:v>
      </x:c>
      <x:c r="H4716" s="0" t="s">
        <x:v>20</x:v>
      </x:c>
      <x:c r="I4716" s="0" t="s">
        <x:v>21</x:v>
      </x:c>
      <x:c r="K4716" s="0">
        <x:f>hyperlink("https://icd.who.int/dev11/l-ichi/en#/http%3A%2F%2Fid.who.int%2Ficd%2Fentity%2F1520961753","browser")</x:f>
      </x:c>
      <x:c r="L4716" s="0">
        <x:f>hyperlink("https://icat2.azurewebsites.net/icat/?ontology=ICD&amp;tab=ClassesTab&amp;id=http%3A%2F%2Fwho.int%2Ficd%2325245_512ebf36_bf6b_4d70_85da_cf2637062af4","iCat")</x:f>
      </x:c>
      <x:c r="M4716" s="0" t="s">
        <x:v>21</x:v>
      </x:c>
      <x:c r="N4716" s="0" t="s">
        <x:v>46</x:v>
      </x:c>
    </x:row>
    <x:row r="4717" spans="1:16">
      <x:c r="A4717" s="0" t="s">
        <x:v>18714</x:v>
      </x:c>
      <x:c r="B4717" s="0" t="s">
        <x:v>18715</x:v>
      </x:c>
      <x:c r="C4717" s="0" t="s">
        <x:v>18716</x:v>
      </x:c>
      <x:c r="E4717" s="0" t="s">
        <x:v>18717</x:v>
      </x:c>
      <x:c r="F4717" s="0" t="s">
        <x:v>45</x:v>
      </x:c>
      <x:c r="G4717" s="0" t="s">
        <x:v>19</x:v>
      </x:c>
      <x:c r="H4717" s="0" t="s">
        <x:v>20</x:v>
      </x:c>
      <x:c r="I4717" s="0" t="s">
        <x:v>21</x:v>
      </x:c>
      <x:c r="K4717" s="0">
        <x:f>hyperlink("https://icd.who.int/dev11/l-ichi/en#/http%3A%2F%2Fid.who.int%2Ficd%2Fentity%2F90855930","browser")</x:f>
      </x:c>
      <x:c r="L4717" s="0">
        <x:f>hyperlink("https://icat2.azurewebsites.net/icat/?ontology=ICD&amp;tab=ClassesTab&amp;id=http%3A%2F%2Fwho.int%2Ficd%2325251_512ebf36_bf6b_4d70_85da_cf2637062af4","iCat")</x:f>
      </x:c>
      <x:c r="M4717" s="0" t="s">
        <x:v>21</x:v>
      </x:c>
      <x:c r="N4717" s="0" t="s">
        <x:v>46</x:v>
      </x:c>
    </x:row>
    <x:row r="4718" spans="1:16">
      <x:c r="A4718" s="0" t="s">
        <x:v>18718</x:v>
      </x:c>
      <x:c r="B4718" s="0" t="s">
        <x:v>18719</x:v>
      </x:c>
      <x:c r="C4718" s="0" t="s">
        <x:v>18720</x:v>
      </x:c>
      <x:c r="E4718" s="0" t="s">
        <x:v>18721</x:v>
      </x:c>
      <x:c r="F4718" s="0" t="s">
        <x:v>45</x:v>
      </x:c>
      <x:c r="G4718" s="0" t="s">
        <x:v>19</x:v>
      </x:c>
      <x:c r="H4718" s="0" t="s">
        <x:v>20</x:v>
      </x:c>
      <x:c r="I4718" s="0" t="s">
        <x:v>21</x:v>
      </x:c>
      <x:c r="K4718" s="0">
        <x:f>hyperlink("https://icd.who.int/dev11/l-ichi/en#/http%3A%2F%2Fid.who.int%2Ficd%2Fentity%2F1796364947","browser")</x:f>
      </x:c>
      <x:c r="L4718" s="0">
        <x:f>hyperlink("https://icat2.azurewebsites.net/icat/?ontology=ICD&amp;tab=ClassesTab&amp;id=http%3A%2F%2Fwho.int%2Ficd%2325258_512ebf36_bf6b_4d70_85da_cf2637062af4","iCat")</x:f>
      </x:c>
      <x:c r="M4718" s="0" t="s">
        <x:v>21</x:v>
      </x:c>
      <x:c r="N4718" s="0" t="s">
        <x:v>46</x:v>
      </x:c>
    </x:row>
    <x:row r="4719" spans="1:16">
      <x:c r="A4719" s="0" t="s">
        <x:v>18722</x:v>
      </x:c>
      <x:c r="B4719" s="0" t="s">
        <x:v>18723</x:v>
      </x:c>
      <x:c r="C4719" s="0" t="s">
        <x:v>18724</x:v>
      </x:c>
      <x:c r="E4719" s="0" t="s">
        <x:v>18725</x:v>
      </x:c>
      <x:c r="F4719" s="0" t="s">
        <x:v>45</x:v>
      </x:c>
      <x:c r="G4719" s="0" t="s">
        <x:v>19</x:v>
      </x:c>
      <x:c r="H4719" s="0" t="s">
        <x:v>20</x:v>
      </x:c>
      <x:c r="I4719" s="0" t="s">
        <x:v>21</x:v>
      </x:c>
      <x:c r="K4719" s="0">
        <x:f>hyperlink("https://icd.who.int/dev11/l-ichi/en#/http%3A%2F%2Fid.who.int%2Ficd%2Fentity%2F1893522825","browser")</x:f>
      </x:c>
      <x:c r="L4719" s="0">
        <x:f>hyperlink("https://icat2.azurewebsites.net/icat/?ontology=ICD&amp;tab=ClassesTab&amp;id=http%3A%2F%2Fwho.int%2Ficd%2325265_512ebf36_bf6b_4d70_85da_cf2637062af4","iCat")</x:f>
      </x:c>
      <x:c r="M4719" s="0" t="s">
        <x:v>21</x:v>
      </x:c>
      <x:c r="N4719" s="0" t="s">
        <x:v>46</x:v>
      </x:c>
    </x:row>
    <x:row r="4720" spans="1:16">
      <x:c r="A4720" s="0" t="s">
        <x:v>18726</x:v>
      </x:c>
      <x:c r="B4720" s="0" t="s">
        <x:v>18727</x:v>
      </x:c>
      <x:c r="C4720" s="0" t="s">
        <x:v>18728</x:v>
      </x:c>
      <x:c r="E4720" s="0" t="s">
        <x:v>18729</x:v>
      </x:c>
      <x:c r="F4720" s="0" t="s">
        <x:v>45</x:v>
      </x:c>
      <x:c r="G4720" s="0" t="s">
        <x:v>19</x:v>
      </x:c>
      <x:c r="H4720" s="0" t="s">
        <x:v>20</x:v>
      </x:c>
      <x:c r="I4720" s="0" t="s">
        <x:v>21</x:v>
      </x:c>
      <x:c r="K4720" s="0">
        <x:f>hyperlink("https://icd.who.int/dev11/l-ichi/en#/http%3A%2F%2Fid.who.int%2Ficd%2Fentity%2F439041804","browser")</x:f>
      </x:c>
      <x:c r="L4720" s="0">
        <x:f>hyperlink("https://icat2.azurewebsites.net/icat/?ontology=ICD&amp;tab=ClassesTab&amp;id=http%3A%2F%2Fwho.int%2Ficd%2315042_4869915e_217e_423d_acb3_33c0f920ef4b","iCat")</x:f>
      </x:c>
      <x:c r="M4720" s="0" t="s">
        <x:v>21</x:v>
      </x:c>
      <x:c r="N4720" s="0" t="s">
        <x:v>46</x:v>
      </x:c>
    </x:row>
    <x:row r="4721" spans="1:16">
      <x:c r="A4721" s="0" t="s">
        <x:v>18730</x:v>
      </x:c>
      <x:c r="B4721" s="0" t="s">
        <x:v>18731</x:v>
      </x:c>
      <x:c r="C4721" s="0" t="s">
        <x:v>18732</x:v>
      </x:c>
      <x:c r="E4721" s="0" t="s">
        <x:v>18733</x:v>
      </x:c>
      <x:c r="F4721" s="0" t="s">
        <x:v>45</x:v>
      </x:c>
      <x:c r="G4721" s="0" t="s">
        <x:v>19</x:v>
      </x:c>
      <x:c r="H4721" s="0" t="s">
        <x:v>20</x:v>
      </x:c>
      <x:c r="I4721" s="0" t="s">
        <x:v>21</x:v>
      </x:c>
      <x:c r="K4721" s="0">
        <x:f>hyperlink("https://icd.who.int/dev11/l-ichi/en#/http%3A%2F%2Fid.who.int%2Ficd%2Fentity%2F836129692","browser")</x:f>
      </x:c>
      <x:c r="L4721" s="0">
        <x:f>hyperlink("https://icat2.azurewebsites.net/icat/?ontology=ICD&amp;tab=ClassesTab&amp;id=http%3A%2F%2Fwho.int%2Ficd%2315048_4869915e_217e_423d_acb3_33c0f920ef4b","iCat")</x:f>
      </x:c>
      <x:c r="M4721" s="0" t="s">
        <x:v>21</x:v>
      </x:c>
      <x:c r="N4721" s="0" t="s">
        <x:v>46</x:v>
      </x:c>
    </x:row>
    <x:row r="4722" spans="1:16">
      <x:c r="A4722" s="0" t="s">
        <x:v>18734</x:v>
      </x:c>
      <x:c r="B4722" s="0" t="s">
        <x:v>18735</x:v>
      </x:c>
      <x:c r="C4722" s="0" t="s">
        <x:v>18736</x:v>
      </x:c>
      <x:c r="E4722" s="0" t="s">
        <x:v>18737</x:v>
      </x:c>
      <x:c r="F4722" s="0" t="s">
        <x:v>45</x:v>
      </x:c>
      <x:c r="G4722" s="0" t="s">
        <x:v>19</x:v>
      </x:c>
      <x:c r="H4722" s="0" t="s">
        <x:v>20</x:v>
      </x:c>
      <x:c r="I4722" s="0" t="s">
        <x:v>21</x:v>
      </x:c>
      <x:c r="K4722" s="0">
        <x:f>hyperlink("https://icd.who.int/dev11/l-ichi/en#/http%3A%2F%2Fid.who.int%2Ficd%2Fentity%2F790531244","browser")</x:f>
      </x:c>
      <x:c r="L4722" s="0">
        <x:f>hyperlink("https://icat2.azurewebsites.net/icat/?ontology=ICD&amp;tab=ClassesTab&amp;id=http%3A%2F%2Fwho.int%2Ficd%2325271_512ebf36_bf6b_4d70_85da_cf2637062af4","iCat")</x:f>
      </x:c>
      <x:c r="M4722" s="0" t="s">
        <x:v>21</x:v>
      </x:c>
      <x:c r="N4722" s="0" t="s">
        <x:v>46</x:v>
      </x:c>
    </x:row>
    <x:row r="4723" spans="1:16">
      <x:c r="A4723" s="0" t="s">
        <x:v>18738</x:v>
      </x:c>
      <x:c r="B4723" s="0" t="s">
        <x:v>18739</x:v>
      </x:c>
      <x:c r="C4723" s="0" t="s">
        <x:v>18740</x:v>
      </x:c>
      <x:c r="E4723" s="0" t="s">
        <x:v>18741</x:v>
      </x:c>
      <x:c r="F4723" s="0" t="s">
        <x:v>45</x:v>
      </x:c>
      <x:c r="G4723" s="0" t="s">
        <x:v>19</x:v>
      </x:c>
      <x:c r="H4723" s="0" t="s">
        <x:v>20</x:v>
      </x:c>
      <x:c r="I4723" s="0" t="s">
        <x:v>21</x:v>
      </x:c>
      <x:c r="K4723" s="0">
        <x:f>hyperlink("https://icd.who.int/dev11/l-ichi/en#/http%3A%2F%2Fid.who.int%2Ficd%2Fentity%2F1165797773","browser")</x:f>
      </x:c>
      <x:c r="L4723" s="0">
        <x:f>hyperlink("https://icat2.azurewebsites.net/icat/?ontology=ICD&amp;tab=ClassesTab&amp;id=http%3A%2F%2Fwho.int%2Ficd%2325282_512ebf36_bf6b_4d70_85da_cf2637062af4","iCat")</x:f>
      </x:c>
      <x:c r="M4723" s="0" t="s">
        <x:v>21</x:v>
      </x:c>
      <x:c r="N4723" s="0" t="s">
        <x:v>46</x:v>
      </x:c>
    </x:row>
    <x:row r="4724" spans="1:16">
      <x:c r="A4724" s="0" t="s">
        <x:v>18742</x:v>
      </x:c>
      <x:c r="B4724" s="0" t="s">
        <x:v>18743</x:v>
      </x:c>
      <x:c r="C4724" s="0" t="s">
        <x:v>18744</x:v>
      </x:c>
      <x:c r="E4724" s="0" t="s">
        <x:v>18745</x:v>
      </x:c>
      <x:c r="F4724" s="0" t="s">
        <x:v>45</x:v>
      </x:c>
      <x:c r="G4724" s="0" t="s">
        <x:v>19</x:v>
      </x:c>
      <x:c r="H4724" s="0" t="s">
        <x:v>20</x:v>
      </x:c>
      <x:c r="I4724" s="0" t="s">
        <x:v>21</x:v>
      </x:c>
      <x:c r="K4724" s="0">
        <x:f>hyperlink("https://icd.who.int/dev11/l-ichi/en#/http%3A%2F%2Fid.who.int%2Ficd%2Fentity%2F1853998365","browser")</x:f>
      </x:c>
      <x:c r="L4724" s="0">
        <x:f>hyperlink("https://icat2.azurewebsites.net/icat/?ontology=ICD&amp;tab=ClassesTab&amp;id=http%3A%2F%2Fwho.int%2Ficd%2325288_512ebf36_bf6b_4d70_85da_cf2637062af4","iCat")</x:f>
      </x:c>
      <x:c r="M4724" s="0" t="s">
        <x:v>21</x:v>
      </x:c>
      <x:c r="N4724" s="0" t="s">
        <x:v>46</x:v>
      </x:c>
    </x:row>
    <x:row r="4725" spans="1:16">
      <x:c r="A4725" s="0" t="s">
        <x:v>18746</x:v>
      </x:c>
      <x:c r="B4725" s="0" t="s">
        <x:v>18747</x:v>
      </x:c>
      <x:c r="C4725" s="0" t="s">
        <x:v>18748</x:v>
      </x:c>
      <x:c r="E4725" s="0" t="s">
        <x:v>18749</x:v>
      </x:c>
      <x:c r="F4725" s="0" t="s">
        <x:v>45</x:v>
      </x:c>
      <x:c r="G4725" s="0" t="s">
        <x:v>19</x:v>
      </x:c>
      <x:c r="H4725" s="0" t="s">
        <x:v>20</x:v>
      </x:c>
      <x:c r="I4725" s="0" t="s">
        <x:v>21</x:v>
      </x:c>
      <x:c r="K4725" s="0">
        <x:f>hyperlink("https://icd.who.int/dev11/l-ichi/en#/http%3A%2F%2Fid.who.int%2Ficd%2Fentity%2F2143479147","browser")</x:f>
      </x:c>
      <x:c r="L4725" s="0">
        <x:f>hyperlink("https://icat2.azurewebsites.net/icat/?ontology=ICD&amp;tab=ClassesTab&amp;id=http%3A%2F%2Fwho.int%2Ficd%2325294_512ebf36_bf6b_4d70_85da_cf2637062af4","iCat")</x:f>
      </x:c>
      <x:c r="M4725" s="0" t="s">
        <x:v>21</x:v>
      </x:c>
      <x:c r="N4725" s="0" t="s">
        <x:v>46</x:v>
      </x:c>
    </x:row>
    <x:row r="4726" spans="1:16">
      <x:c r="A4726" s="0" t="s">
        <x:v>18750</x:v>
      </x:c>
      <x:c r="B4726" s="0" t="s">
        <x:v>18751</x:v>
      </x:c>
      <x:c r="C4726" s="0" t="s">
        <x:v>18752</x:v>
      </x:c>
      <x:c r="E4726" s="0" t="s">
        <x:v>18753</x:v>
      </x:c>
      <x:c r="F4726" s="0" t="s">
        <x:v>45</x:v>
      </x:c>
      <x:c r="G4726" s="0" t="s">
        <x:v>19</x:v>
      </x:c>
      <x:c r="H4726" s="0" t="s">
        <x:v>20</x:v>
      </x:c>
      <x:c r="I4726" s="0" t="s">
        <x:v>21</x:v>
      </x:c>
      <x:c r="K4726" s="0">
        <x:f>hyperlink("https://icd.who.int/dev11/l-ichi/en#/http%3A%2F%2Fid.who.int%2Ficd%2Fentity%2F254493928","browser")</x:f>
      </x:c>
      <x:c r="L4726" s="0">
        <x:f>hyperlink("https://icat2.azurewebsites.net/icat/?ontology=ICD&amp;tab=ClassesTab&amp;id=http%3A%2F%2Fwho.int%2Ficd%2325303_512ebf36_bf6b_4d70_85da_cf2637062af4","iCat")</x:f>
      </x:c>
      <x:c r="M4726" s="0" t="s">
        <x:v>21</x:v>
      </x:c>
      <x:c r="N4726" s="0" t="s">
        <x:v>46</x:v>
      </x:c>
    </x:row>
    <x:row r="4727" spans="1:16">
      <x:c r="A4727" s="0" t="s">
        <x:v>18754</x:v>
      </x:c>
      <x:c r="B4727" s="0" t="s">
        <x:v>18755</x:v>
      </x:c>
      <x:c r="C4727" s="0" t="s">
        <x:v>18756</x:v>
      </x:c>
      <x:c r="E4727" s="0" t="s">
        <x:v>18757</x:v>
      </x:c>
      <x:c r="F4727" s="0" t="s">
        <x:v>45</x:v>
      </x:c>
      <x:c r="G4727" s="0" t="s">
        <x:v>19</x:v>
      </x:c>
      <x:c r="H4727" s="0" t="s">
        <x:v>20</x:v>
      </x:c>
      <x:c r="I4727" s="0" t="s">
        <x:v>21</x:v>
      </x:c>
      <x:c r="K4727" s="0">
        <x:f>hyperlink("https://icd.who.int/dev11/l-ichi/en#/http%3A%2F%2Fid.who.int%2Ficd%2Fentity%2F1159177091","browser")</x:f>
      </x:c>
      <x:c r="L4727" s="0">
        <x:f>hyperlink("https://icat2.azurewebsites.net/icat/?ontology=ICD&amp;tab=ClassesTab&amp;id=http%3A%2F%2Fwho.int%2Ficd%2325312_512ebf36_bf6b_4d70_85da_cf2637062af4","iCat")</x:f>
      </x:c>
      <x:c r="M4727" s="0" t="s">
        <x:v>21</x:v>
      </x:c>
      <x:c r="N4727" s="0" t="s">
        <x:v>46</x:v>
      </x:c>
    </x:row>
    <x:row r="4728" spans="1:16">
      <x:c r="A4728" s="0" t="s">
        <x:v>18758</x:v>
      </x:c>
      <x:c r="B4728" s="0" t="s">
        <x:v>18759</x:v>
      </x:c>
      <x:c r="C4728" s="0" t="s">
        <x:v>18760</x:v>
      </x:c>
      <x:c r="E4728" s="0" t="s">
        <x:v>18761</x:v>
      </x:c>
      <x:c r="F4728" s="0" t="s">
        <x:v>45</x:v>
      </x:c>
      <x:c r="G4728" s="0" t="s">
        <x:v>19</x:v>
      </x:c>
      <x:c r="H4728" s="0" t="s">
        <x:v>20</x:v>
      </x:c>
      <x:c r="I4728" s="0" t="s">
        <x:v>21</x:v>
      </x:c>
      <x:c r="K4728" s="0">
        <x:f>hyperlink("https://icd.who.int/dev11/l-ichi/en#/http%3A%2F%2Fid.who.int%2Ficd%2Fentity%2F1860882195","browser")</x:f>
      </x:c>
      <x:c r="L4728" s="0">
        <x:f>hyperlink("https://icat2.azurewebsites.net/icat/?ontology=ICD&amp;tab=ClassesTab&amp;id=http%3A%2F%2Fwho.int%2Ficd%2325318_512ebf36_bf6b_4d70_85da_cf2637062af4","iCat")</x:f>
      </x:c>
      <x:c r="M4728" s="0" t="s">
        <x:v>21</x:v>
      </x:c>
      <x:c r="N4728" s="0" t="s">
        <x:v>46</x:v>
      </x:c>
    </x:row>
    <x:row r="4729" spans="1:16">
      <x:c r="A4729" s="0" t="s">
        <x:v>18762</x:v>
      </x:c>
      <x:c r="B4729" s="0" t="s">
        <x:v>18763</x:v>
      </x:c>
      <x:c r="C4729" s="0" t="s">
        <x:v>18764</x:v>
      </x:c>
      <x:c r="E4729" s="0" t="s">
        <x:v>18765</x:v>
      </x:c>
      <x:c r="F4729" s="0" t="s">
        <x:v>45</x:v>
      </x:c>
      <x:c r="G4729" s="0" t="s">
        <x:v>19</x:v>
      </x:c>
      <x:c r="H4729" s="0" t="s">
        <x:v>20</x:v>
      </x:c>
      <x:c r="I4729" s="0" t="s">
        <x:v>21</x:v>
      </x:c>
      <x:c r="K4729" s="0">
        <x:f>hyperlink("https://icd.who.int/dev11/l-ichi/en#/http%3A%2F%2Fid.who.int%2Ficd%2Fentity%2F1440561717","browser")</x:f>
      </x:c>
      <x:c r="L4729" s="0">
        <x:f>hyperlink("https://icat2.azurewebsites.net/icat/?ontology=ICD&amp;tab=ClassesTab&amp;id=http%3A%2F%2Fwho.int%2Ficd%2325324_512ebf36_bf6b_4d70_85da_cf2637062af4","iCat")</x:f>
      </x:c>
      <x:c r="M4729" s="0" t="s">
        <x:v>21</x:v>
      </x:c>
      <x:c r="N4729" s="0" t="s">
        <x:v>46</x:v>
      </x:c>
    </x:row>
    <x:row r="4730" spans="1:16">
      <x:c r="A4730" s="0" t="s">
        <x:v>18766</x:v>
      </x:c>
      <x:c r="B4730" s="0" t="s">
        <x:v>18767</x:v>
      </x:c>
      <x:c r="C4730" s="0" t="s">
        <x:v>18768</x:v>
      </x:c>
      <x:c r="E4730" s="0" t="s">
        <x:v>18769</x:v>
      </x:c>
      <x:c r="F4730" s="0" t="s">
        <x:v>45</x:v>
      </x:c>
      <x:c r="G4730" s="0" t="s">
        <x:v>19</x:v>
      </x:c>
      <x:c r="H4730" s="0" t="s">
        <x:v>20</x:v>
      </x:c>
      <x:c r="I4730" s="0" t="s">
        <x:v>21</x:v>
      </x:c>
      <x:c r="K4730" s="0">
        <x:f>hyperlink("https://icd.who.int/dev11/l-ichi/en#/http%3A%2F%2Fid.who.int%2Ficd%2Fentity%2F169831190","browser")</x:f>
      </x:c>
      <x:c r="L4730" s="0">
        <x:f>hyperlink("https://icat2.azurewebsites.net/icat/?ontology=ICD&amp;tab=ClassesTab&amp;id=http%3A%2F%2Fwho.int%2Ficd%2325330_512ebf36_bf6b_4d70_85da_cf2637062af4","iCat")</x:f>
      </x:c>
      <x:c r="M4730" s="0" t="s">
        <x:v>21</x:v>
      </x:c>
      <x:c r="N4730" s="0" t="s">
        <x:v>46</x:v>
      </x:c>
    </x:row>
    <x:row r="4731" spans="1:16">
      <x:c r="A4731" s="0" t="s">
        <x:v>18770</x:v>
      </x:c>
      <x:c r="B4731" s="0" t="s">
        <x:v>18771</x:v>
      </x:c>
      <x:c r="C4731" s="0" t="s">
        <x:v>18772</x:v>
      </x:c>
      <x:c r="E4731" s="0" t="s">
        <x:v>18773</x:v>
      </x:c>
      <x:c r="F4731" s="0" t="s">
        <x:v>45</x:v>
      </x:c>
      <x:c r="G4731" s="0" t="s">
        <x:v>19</x:v>
      </x:c>
      <x:c r="H4731" s="0" t="s">
        <x:v>20</x:v>
      </x:c>
      <x:c r="I4731" s="0" t="s">
        <x:v>21</x:v>
      </x:c>
      <x:c r="K4731" s="0">
        <x:f>hyperlink("https://icd.who.int/dev11/l-ichi/en#/http%3A%2F%2Fid.who.int%2Ficd%2Fentity%2F1151212099","browser")</x:f>
      </x:c>
      <x:c r="L4731" s="0">
        <x:f>hyperlink("https://icat2.azurewebsites.net/icat/?ontology=ICD&amp;tab=ClassesTab&amp;id=http%3A%2F%2Fwho.int%2Ficd%2325338_512ebf36_bf6b_4d70_85da_cf2637062af4","iCat")</x:f>
      </x:c>
      <x:c r="M4731" s="0" t="s">
        <x:v>21</x:v>
      </x:c>
      <x:c r="N4731" s="0" t="s">
        <x:v>46</x:v>
      </x:c>
    </x:row>
    <x:row r="4732" spans="1:16">
      <x:c r="A4732" s="0" t="s">
        <x:v>18774</x:v>
      </x:c>
      <x:c r="B4732" s="0" t="s">
        <x:v>18775</x:v>
      </x:c>
      <x:c r="C4732" s="0" t="s">
        <x:v>18776</x:v>
      </x:c>
      <x:c r="E4732" s="0" t="s">
        <x:v>18777</x:v>
      </x:c>
      <x:c r="F4732" s="0" t="s">
        <x:v>45</x:v>
      </x:c>
      <x:c r="G4732" s="0" t="s">
        <x:v>19</x:v>
      </x:c>
      <x:c r="H4732" s="0" t="s">
        <x:v>20</x:v>
      </x:c>
      <x:c r="I4732" s="0" t="s">
        <x:v>21</x:v>
      </x:c>
      <x:c r="K4732" s="0">
        <x:f>hyperlink("https://icd.who.int/dev11/l-ichi/en#/http%3A%2F%2Fid.who.int%2Ficd%2Fentity%2F1790091709","browser")</x:f>
      </x:c>
      <x:c r="L4732" s="0">
        <x:f>hyperlink("https://icat2.azurewebsites.net/icat/?ontology=ICD&amp;tab=ClassesTab&amp;id=http%3A%2F%2Fwho.int%2Ficd%2325346_512ebf36_bf6b_4d70_85da_cf2637062af4","iCat")</x:f>
      </x:c>
      <x:c r="M4732" s="0" t="s">
        <x:v>21</x:v>
      </x:c>
      <x:c r="N4732" s="0" t="s">
        <x:v>46</x:v>
      </x:c>
    </x:row>
    <x:row r="4733" spans="1:16">
      <x:c r="A4733" s="0" t="s">
        <x:v>18778</x:v>
      </x:c>
      <x:c r="B4733" s="0" t="s">
        <x:v>18779</x:v>
      </x:c>
      <x:c r="C4733" s="0" t="s">
        <x:v>18780</x:v>
      </x:c>
      <x:c r="E4733" s="0" t="s">
        <x:v>18781</x:v>
      </x:c>
      <x:c r="F4733" s="0" t="s">
        <x:v>45</x:v>
      </x:c>
      <x:c r="G4733" s="0" t="s">
        <x:v>19</x:v>
      </x:c>
      <x:c r="H4733" s="0" t="s">
        <x:v>20</x:v>
      </x:c>
      <x:c r="I4733" s="0" t="s">
        <x:v>21</x:v>
      </x:c>
      <x:c r="K4733" s="0">
        <x:f>hyperlink("https://icd.who.int/dev11/l-ichi/en#/http%3A%2F%2Fid.who.int%2Ficd%2Fentity%2F1695230255","browser")</x:f>
      </x:c>
      <x:c r="L4733" s="0">
        <x:f>hyperlink("https://icat2.azurewebsites.net/icat/?ontology=ICD&amp;tab=ClassesTab&amp;id=http%3A%2F%2Fwho.int%2Ficd%2325354_512ebf36_bf6b_4d70_85da_cf2637062af4","iCat")</x:f>
      </x:c>
      <x:c r="M4733" s="0" t="s">
        <x:v>21</x:v>
      </x:c>
      <x:c r="N4733" s="0" t="s">
        <x:v>46</x:v>
      </x:c>
    </x:row>
    <x:row r="4734" spans="1:16">
      <x:c r="A4734" s="0" t="s">
        <x:v>18782</x:v>
      </x:c>
      <x:c r="B4734" s="0" t="s">
        <x:v>18783</x:v>
      </x:c>
      <x:c r="C4734" s="0" t="s">
        <x:v>18784</x:v>
      </x:c>
      <x:c r="E4734" s="0" t="s">
        <x:v>18785</x:v>
      </x:c>
      <x:c r="F4734" s="0" t="s">
        <x:v>45</x:v>
      </x:c>
      <x:c r="G4734" s="0" t="s">
        <x:v>19</x:v>
      </x:c>
      <x:c r="H4734" s="0" t="s">
        <x:v>20</x:v>
      </x:c>
      <x:c r="I4734" s="0" t="s">
        <x:v>21</x:v>
      </x:c>
      <x:c r="K4734" s="0">
        <x:f>hyperlink("https://icd.who.int/dev11/l-ichi/en#/http%3A%2F%2Fid.who.int%2Ficd%2Fentity%2F1975627929","browser")</x:f>
      </x:c>
      <x:c r="L4734" s="0">
        <x:f>hyperlink("https://icat2.azurewebsites.net/icat/?ontology=ICD&amp;tab=ClassesTab&amp;id=http%3A%2F%2Fwho.int%2Ficd%2325362_512ebf36_bf6b_4d70_85da_cf2637062af4","iCat")</x:f>
      </x:c>
      <x:c r="M4734" s="0" t="s">
        <x:v>21</x:v>
      </x:c>
      <x:c r="N4734" s="0" t="s">
        <x:v>46</x:v>
      </x:c>
    </x:row>
    <x:row r="4735" spans="1:16">
      <x:c r="A4735" s="0" t="s">
        <x:v>18786</x:v>
      </x:c>
      <x:c r="B4735" s="0" t="s">
        <x:v>18787</x:v>
      </x:c>
      <x:c r="C4735" s="0" t="s">
        <x:v>18788</x:v>
      </x:c>
      <x:c r="E4735" s="0" t="s">
        <x:v>18789</x:v>
      </x:c>
      <x:c r="F4735" s="0" t="s">
        <x:v>45</x:v>
      </x:c>
      <x:c r="G4735" s="0" t="s">
        <x:v>19</x:v>
      </x:c>
      <x:c r="H4735" s="0" t="s">
        <x:v>20</x:v>
      </x:c>
      <x:c r="I4735" s="0" t="s">
        <x:v>21</x:v>
      </x:c>
      <x:c r="K4735" s="0">
        <x:f>hyperlink("https://icd.who.int/dev11/l-ichi/en#/http%3A%2F%2Fid.who.int%2Ficd%2Fentity%2F1581046793","browser")</x:f>
      </x:c>
      <x:c r="L4735" s="0">
        <x:f>hyperlink("https://icat2.azurewebsites.net/icat/?ontology=ICD&amp;tab=ClassesTab&amp;id=http%3A%2F%2Fwho.int%2Ficd%2325368_512ebf36_bf6b_4d70_85da_cf2637062af4","iCat")</x:f>
      </x:c>
      <x:c r="M4735" s="0" t="s">
        <x:v>21</x:v>
      </x:c>
      <x:c r="N4735" s="0" t="s">
        <x:v>46</x:v>
      </x:c>
    </x:row>
    <x:row r="4736" spans="1:16">
      <x:c r="A4736" s="0" t="s">
        <x:v>18790</x:v>
      </x:c>
      <x:c r="B4736" s="0" t="s">
        <x:v>18791</x:v>
      </x:c>
      <x:c r="C4736" s="0" t="s">
        <x:v>18792</x:v>
      </x:c>
      <x:c r="E4736" s="0" t="s">
        <x:v>18793</x:v>
      </x:c>
      <x:c r="F4736" s="0" t="s">
        <x:v>45</x:v>
      </x:c>
      <x:c r="G4736" s="0" t="s">
        <x:v>19</x:v>
      </x:c>
      <x:c r="H4736" s="0" t="s">
        <x:v>20</x:v>
      </x:c>
      <x:c r="I4736" s="0" t="s">
        <x:v>21</x:v>
      </x:c>
      <x:c r="K4736" s="0">
        <x:f>hyperlink("https://icd.who.int/dev11/l-ichi/en#/http%3A%2F%2Fid.who.int%2Ficd%2Fentity%2F1333787775","browser")</x:f>
      </x:c>
      <x:c r="L4736" s="0">
        <x:f>hyperlink("https://icat2.azurewebsites.net/icat/?ontology=ICD&amp;tab=ClassesTab&amp;id=http%3A%2F%2Fwho.int%2Ficd%2325374_512ebf36_bf6b_4d70_85da_cf2637062af4","iCat")</x:f>
      </x:c>
      <x:c r="M4736" s="0" t="s">
        <x:v>21</x:v>
      </x:c>
      <x:c r="N4736" s="0" t="s">
        <x:v>46</x:v>
      </x:c>
    </x:row>
    <x:row r="4737" spans="1:16">
      <x:c r="A4737" s="0" t="s">
        <x:v>18794</x:v>
      </x:c>
      <x:c r="B4737" s="0" t="s">
        <x:v>18795</x:v>
      </x:c>
      <x:c r="C4737" s="0" t="s">
        <x:v>18796</x:v>
      </x:c>
      <x:c r="E4737" s="0" t="s">
        <x:v>18797</x:v>
      </x:c>
      <x:c r="F4737" s="0" t="s">
        <x:v>45</x:v>
      </x:c>
      <x:c r="G4737" s="0" t="s">
        <x:v>19</x:v>
      </x:c>
      <x:c r="H4737" s="0" t="s">
        <x:v>20</x:v>
      </x:c>
      <x:c r="I4737" s="0" t="s">
        <x:v>21</x:v>
      </x:c>
      <x:c r="K4737" s="0">
        <x:f>hyperlink("https://icd.who.int/dev11/l-ichi/en#/http%3A%2F%2Fid.who.int%2Ficd%2Fentity%2F1436512981","browser")</x:f>
      </x:c>
      <x:c r="L4737" s="0">
        <x:f>hyperlink("https://icat2.azurewebsites.net/icat/?ontology=ICD&amp;tab=ClassesTab&amp;id=http%3A%2F%2Fwho.int%2Ficd%2325380_512ebf36_bf6b_4d70_85da_cf2637062af4","iCat")</x:f>
      </x:c>
      <x:c r="M4737" s="0" t="s">
        <x:v>21</x:v>
      </x:c>
      <x:c r="N4737" s="0" t="s">
        <x:v>46</x:v>
      </x:c>
    </x:row>
    <x:row r="4738" spans="1:16">
      <x:c r="A4738" s="0" t="s">
        <x:v>18798</x:v>
      </x:c>
      <x:c r="B4738" s="0" t="s">
        <x:v>18799</x:v>
      </x:c>
      <x:c r="C4738" s="0" t="s">
        <x:v>18800</x:v>
      </x:c>
      <x:c r="E4738" s="0" t="s">
        <x:v>18801</x:v>
      </x:c>
      <x:c r="F4738" s="0" t="s">
        <x:v>45</x:v>
      </x:c>
      <x:c r="G4738" s="0" t="s">
        <x:v>19</x:v>
      </x:c>
      <x:c r="H4738" s="0" t="s">
        <x:v>20</x:v>
      </x:c>
      <x:c r="I4738" s="0" t="s">
        <x:v>21</x:v>
      </x:c>
      <x:c r="K4738" s="0">
        <x:f>hyperlink("https://icd.who.int/dev11/l-ichi/en#/http%3A%2F%2Fid.who.int%2Ficd%2Fentity%2F622713176","browser")</x:f>
      </x:c>
      <x:c r="L4738" s="0">
        <x:f>hyperlink("https://icat2.azurewebsites.net/icat/?ontology=ICD&amp;tab=ClassesTab&amp;id=http%3A%2F%2Fwho.int%2Ficd%2325387_512ebf36_bf6b_4d70_85da_cf2637062af4","iCat")</x:f>
      </x:c>
      <x:c r="M4738" s="0" t="s">
        <x:v>21</x:v>
      </x:c>
      <x:c r="N4738" s="0" t="s">
        <x:v>46</x:v>
      </x:c>
    </x:row>
    <x:row r="4739" spans="1:16">
      <x:c r="A4739" s="0" t="s">
        <x:v>18802</x:v>
      </x:c>
      <x:c r="B4739" s="0" t="s">
        <x:v>18803</x:v>
      </x:c>
      <x:c r="C4739" s="0" t="s">
        <x:v>18804</x:v>
      </x:c>
      <x:c r="E4739" s="0" t="s">
        <x:v>18805</x:v>
      </x:c>
      <x:c r="F4739" s="0" t="s">
        <x:v>45</x:v>
      </x:c>
      <x:c r="G4739" s="0" t="s">
        <x:v>19</x:v>
      </x:c>
      <x:c r="H4739" s="0" t="s">
        <x:v>20</x:v>
      </x:c>
      <x:c r="I4739" s="0" t="s">
        <x:v>21</x:v>
      </x:c>
      <x:c r="K4739" s="0">
        <x:f>hyperlink("https://icd.who.int/dev11/l-ichi/en#/http%3A%2F%2Fid.who.int%2Ficd%2Fentity%2F173876216","browser")</x:f>
      </x:c>
      <x:c r="L4739" s="0">
        <x:f>hyperlink("https://icat2.azurewebsites.net/icat/?ontology=ICD&amp;tab=ClassesTab&amp;id=http%3A%2F%2Fwho.int%2Ficd%2325394_512ebf36_bf6b_4d70_85da_cf2637062af4","iCat")</x:f>
      </x:c>
      <x:c r="M4739" s="0" t="s">
        <x:v>21</x:v>
      </x:c>
      <x:c r="N4739" s="0" t="s">
        <x:v>46</x:v>
      </x:c>
    </x:row>
    <x:row r="4740" spans="1:16">
      <x:c r="A4740" s="0" t="s">
        <x:v>18806</x:v>
      </x:c>
      <x:c r="B4740" s="0" t="s">
        <x:v>18807</x:v>
      </x:c>
      <x:c r="C4740" s="0" t="s">
        <x:v>18808</x:v>
      </x:c>
      <x:c r="E4740" s="0" t="s">
        <x:v>18809</x:v>
      </x:c>
      <x:c r="F4740" s="0" t="s">
        <x:v>45</x:v>
      </x:c>
      <x:c r="G4740" s="0" t="s">
        <x:v>19</x:v>
      </x:c>
      <x:c r="H4740" s="0" t="s">
        <x:v>20</x:v>
      </x:c>
      <x:c r="I4740" s="0" t="s">
        <x:v>21</x:v>
      </x:c>
      <x:c r="K4740" s="0">
        <x:f>hyperlink("https://icd.who.int/dev11/l-ichi/en#/http%3A%2F%2Fid.who.int%2Ficd%2Fentity%2F213595947","browser")</x:f>
      </x:c>
      <x:c r="L4740" s="0">
        <x:f>hyperlink("https://icat2.azurewebsites.net/icat/?ontology=ICD&amp;tab=ClassesTab&amp;id=http%3A%2F%2Fwho.int%2Ficd%23814_63e30ea5_14bd_4823_bf2d_a6a05c9b9750","iCat")</x:f>
      </x:c>
      <x:c r="M4740" s="0" t="s">
        <x:v>21</x:v>
      </x:c>
      <x:c r="N4740" s="0" t="s">
        <x:v>46</x:v>
      </x:c>
    </x:row>
    <x:row r="4741" spans="1:16">
      <x:c r="A4741" s="0" t="s">
        <x:v>18810</x:v>
      </x:c>
      <x:c r="B4741" s="0" t="s">
        <x:v>18811</x:v>
      </x:c>
      <x:c r="C4741" s="0" t="s">
        <x:v>18812</x:v>
      </x:c>
      <x:c r="E4741" s="0" t="s">
        <x:v>18813</x:v>
      </x:c>
      <x:c r="F4741" s="0" t="s">
        <x:v>45</x:v>
      </x:c>
      <x:c r="G4741" s="0" t="s">
        <x:v>19</x:v>
      </x:c>
      <x:c r="H4741" s="0" t="s">
        <x:v>20</x:v>
      </x:c>
      <x:c r="I4741" s="0" t="s">
        <x:v>21</x:v>
      </x:c>
      <x:c r="K4741" s="0">
        <x:f>hyperlink("https://icd.who.int/dev11/l-ichi/en#/http%3A%2F%2Fid.who.int%2Ficd%2Fentity%2F101118273","browser")</x:f>
      </x:c>
      <x:c r="L4741" s="0">
        <x:f>hyperlink("https://icat2.azurewebsites.net/icat/?ontology=ICD&amp;tab=ClassesTab&amp;id=http%3A%2F%2Fwho.int%2Ficd%2325401_512ebf36_bf6b_4d70_85da_cf2637062af4","iCat")</x:f>
      </x:c>
      <x:c r="M4741" s="0" t="s">
        <x:v>21</x:v>
      </x:c>
      <x:c r="N4741" s="0" t="s">
        <x:v>46</x:v>
      </x:c>
    </x:row>
    <x:row r="4742" spans="1:16">
      <x:c r="A4742" s="0" t="s">
        <x:v>18814</x:v>
      </x:c>
      <x:c r="B4742" s="0" t="s">
        <x:v>18815</x:v>
      </x:c>
      <x:c r="C4742" s="0" t="s">
        <x:v>18816</x:v>
      </x:c>
      <x:c r="E4742" s="0" t="s">
        <x:v>18817</x:v>
      </x:c>
      <x:c r="F4742" s="0" t="s">
        <x:v>45</x:v>
      </x:c>
      <x:c r="G4742" s="0" t="s">
        <x:v>19</x:v>
      </x:c>
      <x:c r="H4742" s="0" t="s">
        <x:v>20</x:v>
      </x:c>
      <x:c r="I4742" s="0" t="s">
        <x:v>21</x:v>
      </x:c>
      <x:c r="K4742" s="0">
        <x:f>hyperlink("https://icd.who.int/dev11/l-ichi/en#/http%3A%2F%2Fid.who.int%2Ficd%2Fentity%2F1753149992","browser")</x:f>
      </x:c>
      <x:c r="L4742" s="0">
        <x:f>hyperlink("https://icat2.azurewebsites.net/icat/?ontology=ICD&amp;tab=ClassesTab&amp;id=http%3A%2F%2Fwho.int%2Ficd%2325408_512ebf36_bf6b_4d70_85da_cf2637062af4","iCat")</x:f>
      </x:c>
      <x:c r="M4742" s="0" t="s">
        <x:v>21</x:v>
      </x:c>
      <x:c r="N4742" s="0" t="s">
        <x:v>46</x:v>
      </x:c>
    </x:row>
    <x:row r="4743" spans="1:16">
      <x:c r="A4743" s="0" t="s">
        <x:v>18818</x:v>
      </x:c>
      <x:c r="B4743" s="0" t="s">
        <x:v>18819</x:v>
      </x:c>
      <x:c r="C4743" s="0" t="s">
        <x:v>18820</x:v>
      </x:c>
      <x:c r="E4743" s="0" t="s">
        <x:v>18821</x:v>
      </x:c>
      <x:c r="F4743" s="0" t="s">
        <x:v>45</x:v>
      </x:c>
      <x:c r="G4743" s="0" t="s">
        <x:v>19</x:v>
      </x:c>
      <x:c r="H4743" s="0" t="s">
        <x:v>20</x:v>
      </x:c>
      <x:c r="I4743" s="0" t="s">
        <x:v>21</x:v>
      </x:c>
      <x:c r="K4743" s="0">
        <x:f>hyperlink("https://icd.who.int/dev11/l-ichi/en#/http%3A%2F%2Fid.who.int%2Ficd%2Fentity%2F1506058338","browser")</x:f>
      </x:c>
      <x:c r="L4743" s="0">
        <x:f>hyperlink("https://icat2.azurewebsites.net/icat/?ontology=ICD&amp;tab=ClassesTab&amp;id=http%3A%2F%2Fwho.int%2Ficd%2325415_512ebf36_bf6b_4d70_85da_cf2637062af4","iCat")</x:f>
      </x:c>
      <x:c r="M4743" s="0" t="s">
        <x:v>21</x:v>
      </x:c>
      <x:c r="N4743" s="0" t="s">
        <x:v>46</x:v>
      </x:c>
    </x:row>
    <x:row r="4744" spans="1:16">
      <x:c r="A4744" s="0" t="s">
        <x:v>18822</x:v>
      </x:c>
      <x:c r="B4744" s="0" t="s">
        <x:v>18823</x:v>
      </x:c>
      <x:c r="C4744" s="0" t="s">
        <x:v>18824</x:v>
      </x:c>
      <x:c r="E4744" s="0" t="s">
        <x:v>18825</x:v>
      </x:c>
      <x:c r="F4744" s="0" t="s">
        <x:v>45</x:v>
      </x:c>
      <x:c r="G4744" s="0" t="s">
        <x:v>19</x:v>
      </x:c>
      <x:c r="H4744" s="0" t="s">
        <x:v>20</x:v>
      </x:c>
      <x:c r="I4744" s="0" t="s">
        <x:v>21</x:v>
      </x:c>
      <x:c r="K4744" s="0">
        <x:f>hyperlink("https://icd.who.int/dev11/l-ichi/en#/http%3A%2F%2Fid.who.int%2Ficd%2Fentity%2F745677841","browser")</x:f>
      </x:c>
      <x:c r="L4744" s="0">
        <x:f>hyperlink("https://icat2.azurewebsites.net/icat/?ontology=ICD&amp;tab=ClassesTab&amp;id=http%3A%2F%2Fwho.int%2Ficd%2325421_512ebf36_bf6b_4d70_85da_cf2637062af4","iCat")</x:f>
      </x:c>
      <x:c r="M4744" s="0" t="s">
        <x:v>21</x:v>
      </x:c>
      <x:c r="N4744" s="0" t="s">
        <x:v>46</x:v>
      </x:c>
    </x:row>
    <x:row r="4745" spans="1:16">
      <x:c r="A4745" s="0" t="s">
        <x:v>18826</x:v>
      </x:c>
      <x:c r="B4745" s="0" t="s">
        <x:v>18827</x:v>
      </x:c>
      <x:c r="C4745" s="0" t="s">
        <x:v>18828</x:v>
      </x:c>
      <x:c r="E4745" s="0" t="s">
        <x:v>18829</x:v>
      </x:c>
      <x:c r="F4745" s="0" t="s">
        <x:v>45</x:v>
      </x:c>
      <x:c r="G4745" s="0" t="s">
        <x:v>19</x:v>
      </x:c>
      <x:c r="H4745" s="0" t="s">
        <x:v>20</x:v>
      </x:c>
      <x:c r="I4745" s="0" t="s">
        <x:v>21</x:v>
      </x:c>
      <x:c r="K4745" s="0">
        <x:f>hyperlink("https://icd.who.int/dev11/l-ichi/en#/http%3A%2F%2Fid.who.int%2Ficd%2Fentity%2F1107961722","browser")</x:f>
      </x:c>
      <x:c r="L4745" s="0">
        <x:f>hyperlink("https://icat2.azurewebsites.net/icat/?ontology=ICD&amp;tab=ClassesTab&amp;id=http%3A%2F%2Fwho.int%2Ficd%2325428_512ebf36_bf6b_4d70_85da_cf2637062af4","iCat")</x:f>
      </x:c>
      <x:c r="M4745" s="0" t="s">
        <x:v>21</x:v>
      </x:c>
      <x:c r="N4745" s="0" t="s">
        <x:v>46</x:v>
      </x:c>
    </x:row>
    <x:row r="4746" spans="1:16">
      <x:c r="A4746" s="0" t="s">
        <x:v>18830</x:v>
      </x:c>
      <x:c r="B4746" s="0" t="s">
        <x:v>18831</x:v>
      </x:c>
      <x:c r="C4746" s="0" t="s">
        <x:v>18832</x:v>
      </x:c>
      <x:c r="E4746" s="0" t="s">
        <x:v>18833</x:v>
      </x:c>
      <x:c r="F4746" s="0" t="s">
        <x:v>45</x:v>
      </x:c>
      <x:c r="G4746" s="0" t="s">
        <x:v>19</x:v>
      </x:c>
      <x:c r="H4746" s="0" t="s">
        <x:v>20</x:v>
      </x:c>
      <x:c r="I4746" s="0" t="s">
        <x:v>21</x:v>
      </x:c>
      <x:c r="K4746" s="0">
        <x:f>hyperlink("https://icd.who.int/dev11/l-ichi/en#/http%3A%2F%2Fid.who.int%2Ficd%2Fentity%2F382494967","browser")</x:f>
      </x:c>
      <x:c r="L4746" s="0">
        <x:f>hyperlink("https://icat2.azurewebsites.net/icat/?ontology=ICD&amp;tab=ClassesTab&amp;id=http%3A%2F%2Fwho.int%2Ficd%2325437_512ebf36_bf6b_4d70_85da_cf2637062af4","iCat")</x:f>
      </x:c>
      <x:c r="M4746" s="0" t="s">
        <x:v>21</x:v>
      </x:c>
      <x:c r="N4746" s="0" t="s">
        <x:v>46</x:v>
      </x:c>
    </x:row>
    <x:row r="4747" spans="1:16">
      <x:c r="A4747" s="0" t="s">
        <x:v>18834</x:v>
      </x:c>
      <x:c r="B4747" s="0" t="s">
        <x:v>18835</x:v>
      </x:c>
      <x:c r="C4747" s="0" t="s">
        <x:v>18836</x:v>
      </x:c>
      <x:c r="E4747" s="0" t="s">
        <x:v>18837</x:v>
      </x:c>
      <x:c r="F4747" s="0" t="s">
        <x:v>45</x:v>
      </x:c>
      <x:c r="G4747" s="0" t="s">
        <x:v>19</x:v>
      </x:c>
      <x:c r="H4747" s="0" t="s">
        <x:v>20</x:v>
      </x:c>
      <x:c r="I4747" s="0" t="s">
        <x:v>21</x:v>
      </x:c>
      <x:c r="K4747" s="0">
        <x:f>hyperlink("https://icd.who.int/dev11/l-ichi/en#/http%3A%2F%2Fid.who.int%2Ficd%2Fentity%2F320716697","browser")</x:f>
      </x:c>
      <x:c r="L4747" s="0">
        <x:f>hyperlink("https://icat2.azurewebsites.net/icat/?ontology=ICD&amp;tab=ClassesTab&amp;id=http%3A%2F%2Fwho.int%2Ficd%2325443_512ebf36_bf6b_4d70_85da_cf2637062af4","iCat")</x:f>
      </x:c>
      <x:c r="M4747" s="0" t="s">
        <x:v>21</x:v>
      </x:c>
      <x:c r="N4747" s="0" t="s">
        <x:v>46</x:v>
      </x:c>
    </x:row>
    <x:row r="4748" spans="1:16">
      <x:c r="A4748" s="0" t="s">
        <x:v>18838</x:v>
      </x:c>
      <x:c r="B4748" s="0" t="s">
        <x:v>18839</x:v>
      </x:c>
      <x:c r="C4748" s="0" t="s">
        <x:v>18840</x:v>
      </x:c>
      <x:c r="E4748" s="0" t="s">
        <x:v>18841</x:v>
      </x:c>
      <x:c r="F4748" s="0" t="s">
        <x:v>45</x:v>
      </x:c>
      <x:c r="G4748" s="0" t="s">
        <x:v>19</x:v>
      </x:c>
      <x:c r="H4748" s="0" t="s">
        <x:v>20</x:v>
      </x:c>
      <x:c r="I4748" s="0" t="s">
        <x:v>21</x:v>
      </x:c>
      <x:c r="K4748" s="0">
        <x:f>hyperlink("https://icd.who.int/dev11/l-ichi/en#/http%3A%2F%2Fid.who.int%2Ficd%2Fentity%2F954258185","browser")</x:f>
      </x:c>
      <x:c r="L4748" s="0">
        <x:f>hyperlink("https://icat2.azurewebsites.net/icat/?ontology=ICD&amp;tab=ClassesTab&amp;id=http%3A%2F%2Fwho.int%2Ficd%2325449_512ebf36_bf6b_4d70_85da_cf2637062af4","iCat")</x:f>
      </x:c>
      <x:c r="M4748" s="0" t="s">
        <x:v>21</x:v>
      </x:c>
      <x:c r="N4748" s="0" t="s">
        <x:v>46</x:v>
      </x:c>
    </x:row>
    <x:row r="4749" spans="1:16">
      <x:c r="A4749" s="0" t="s">
        <x:v>18842</x:v>
      </x:c>
      <x:c r="B4749" s="0" t="s">
        <x:v>18843</x:v>
      </x:c>
      <x:c r="C4749" s="0" t="s">
        <x:v>18844</x:v>
      </x:c>
      <x:c r="E4749" s="0" t="s">
        <x:v>18845</x:v>
      </x:c>
      <x:c r="F4749" s="0" t="s">
        <x:v>45</x:v>
      </x:c>
      <x:c r="G4749" s="0" t="s">
        <x:v>19</x:v>
      </x:c>
      <x:c r="H4749" s="0" t="s">
        <x:v>20</x:v>
      </x:c>
      <x:c r="I4749" s="0" t="s">
        <x:v>21</x:v>
      </x:c>
      <x:c r="K4749" s="0">
        <x:f>hyperlink("https://icd.who.int/dev11/l-ichi/en#/http%3A%2F%2Fid.who.int%2Ficd%2Fentity%2F698610559","browser")</x:f>
      </x:c>
      <x:c r="L4749" s="0">
        <x:f>hyperlink("https://icat2.azurewebsites.net/icat/?ontology=ICD&amp;tab=ClassesTab&amp;id=http%3A%2F%2Fwho.int%2Ficd%2325455_512ebf36_bf6b_4d70_85da_cf2637062af4","iCat")</x:f>
      </x:c>
      <x:c r="M4749" s="0" t="s">
        <x:v>21</x:v>
      </x:c>
      <x:c r="N4749" s="0" t="s">
        <x:v>46</x:v>
      </x:c>
    </x:row>
    <x:row r="4750" spans="1:16">
      <x:c r="A4750" s="0" t="s">
        <x:v>18846</x:v>
      </x:c>
      <x:c r="B4750" s="0" t="s">
        <x:v>18847</x:v>
      </x:c>
      <x:c r="C4750" s="0" t="s">
        <x:v>18848</x:v>
      </x:c>
      <x:c r="E4750" s="0" t="s">
        <x:v>18849</x:v>
      </x:c>
      <x:c r="F4750" s="0" t="s">
        <x:v>45</x:v>
      </x:c>
      <x:c r="G4750" s="0" t="s">
        <x:v>19</x:v>
      </x:c>
      <x:c r="H4750" s="0" t="s">
        <x:v>20</x:v>
      </x:c>
      <x:c r="I4750" s="0" t="s">
        <x:v>21</x:v>
      </x:c>
      <x:c r="K4750" s="0">
        <x:f>hyperlink("https://icd.who.int/dev11/l-ichi/en#/http%3A%2F%2Fid.who.int%2Ficd%2Fentity%2F428873973","browser")</x:f>
      </x:c>
      <x:c r="L4750" s="0">
        <x:f>hyperlink("https://icat2.azurewebsites.net/icat/?ontology=ICD&amp;tab=ClassesTab&amp;id=http%3A%2F%2Fwho.int%2Ficd%2325462_512ebf36_bf6b_4d70_85da_cf2637062af4","iCat")</x:f>
      </x:c>
      <x:c r="M4750" s="0" t="s">
        <x:v>21</x:v>
      </x:c>
      <x:c r="N4750" s="0" t="s">
        <x:v>46</x:v>
      </x:c>
    </x:row>
    <x:row r="4751" spans="1:16">
      <x:c r="A4751" s="0" t="s">
        <x:v>18850</x:v>
      </x:c>
      <x:c r="B4751" s="0" t="s">
        <x:v>18851</x:v>
      </x:c>
      <x:c r="C4751" s="0" t="s">
        <x:v>18852</x:v>
      </x:c>
      <x:c r="E4751" s="0" t="s">
        <x:v>18853</x:v>
      </x:c>
      <x:c r="F4751" s="0" t="s">
        <x:v>45</x:v>
      </x:c>
      <x:c r="G4751" s="0" t="s">
        <x:v>19</x:v>
      </x:c>
      <x:c r="H4751" s="0" t="s">
        <x:v>20</x:v>
      </x:c>
      <x:c r="I4751" s="0" t="s">
        <x:v>21</x:v>
      </x:c>
      <x:c r="K4751" s="0">
        <x:f>hyperlink("https://icd.who.int/dev11/l-ichi/en#/http%3A%2F%2Fid.who.int%2Ficd%2Fentity%2F311690841","browser")</x:f>
      </x:c>
      <x:c r="L4751" s="0">
        <x:f>hyperlink("https://icat2.azurewebsites.net/icat/?ontology=ICD&amp;tab=ClassesTab&amp;id=http%3A%2F%2Fwho.int%2Ficd%2325469_512ebf36_bf6b_4d70_85da_cf2637062af4","iCat")</x:f>
      </x:c>
      <x:c r="M4751" s="0" t="s">
        <x:v>21</x:v>
      </x:c>
      <x:c r="N4751" s="0" t="s">
        <x:v>46</x:v>
      </x:c>
    </x:row>
    <x:row r="4752" spans="1:16">
      <x:c r="A4752" s="0" t="s">
        <x:v>18854</x:v>
      </x:c>
      <x:c r="B4752" s="0" t="s">
        <x:v>18855</x:v>
      </x:c>
      <x:c r="C4752" s="0" t="s">
        <x:v>18856</x:v>
      </x:c>
      <x:c r="E4752" s="0" t="s">
        <x:v>18857</x:v>
      </x:c>
      <x:c r="F4752" s="0" t="s">
        <x:v>45</x:v>
      </x:c>
      <x:c r="G4752" s="0" t="s">
        <x:v>19</x:v>
      </x:c>
      <x:c r="H4752" s="0" t="s">
        <x:v>20</x:v>
      </x:c>
      <x:c r="I4752" s="0" t="s">
        <x:v>21</x:v>
      </x:c>
      <x:c r="K4752" s="0">
        <x:f>hyperlink("https://icd.who.int/dev11/l-ichi/en#/http%3A%2F%2Fid.who.int%2Ficd%2Fentity%2F64431663","browser")</x:f>
      </x:c>
      <x:c r="L4752" s="0">
        <x:f>hyperlink("https://icat2.azurewebsites.net/icat/?ontology=ICD&amp;tab=ClassesTab&amp;id=http%3A%2F%2Fwho.int%2Ficd%2325475_512ebf36_bf6b_4d70_85da_cf2637062af4","iCat")</x:f>
      </x:c>
      <x:c r="M4752" s="0" t="s">
        <x:v>21</x:v>
      </x:c>
      <x:c r="N4752" s="0" t="s">
        <x:v>46</x:v>
      </x:c>
    </x:row>
    <x:row r="4753" spans="1:16">
      <x:c r="A4753" s="0" t="s">
        <x:v>18858</x:v>
      </x:c>
      <x:c r="B4753" s="0" t="s">
        <x:v>18859</x:v>
      </x:c>
      <x:c r="C4753" s="0" t="s">
        <x:v>18860</x:v>
      </x:c>
      <x:c r="E4753" s="0" t="s">
        <x:v>18861</x:v>
      </x:c>
      <x:c r="F4753" s="0" t="s">
        <x:v>45</x:v>
      </x:c>
      <x:c r="G4753" s="0" t="s">
        <x:v>19</x:v>
      </x:c>
      <x:c r="H4753" s="0" t="s">
        <x:v>20</x:v>
      </x:c>
      <x:c r="I4753" s="0" t="s">
        <x:v>21</x:v>
      </x:c>
      <x:c r="K4753" s="0">
        <x:f>hyperlink("https://icd.who.int/dev11/l-ichi/en#/http%3A%2F%2Fid.who.int%2Ficd%2Fentity%2F214507213","browser")</x:f>
      </x:c>
      <x:c r="L4753" s="0">
        <x:f>hyperlink("https://icat2.azurewebsites.net/icat/?ontology=ICD&amp;tab=ClassesTab&amp;id=http%3A%2F%2Fwho.int%2Ficd%2325484_512ebf36_bf6b_4d70_85da_cf2637062af4","iCat")</x:f>
      </x:c>
      <x:c r="M4753" s="0" t="s">
        <x:v>21</x:v>
      </x:c>
      <x:c r="N4753" s="0" t="s">
        <x:v>46</x:v>
      </x:c>
    </x:row>
    <x:row r="4754" spans="1:16">
      <x:c r="A4754" s="0" t="s">
        <x:v>18862</x:v>
      </x:c>
      <x:c r="B4754" s="0" t="s">
        <x:v>18863</x:v>
      </x:c>
      <x:c r="C4754" s="0" t="s">
        <x:v>18864</x:v>
      </x:c>
      <x:c r="E4754" s="0" t="s">
        <x:v>18865</x:v>
      </x:c>
      <x:c r="F4754" s="0" t="s">
        <x:v>45</x:v>
      </x:c>
      <x:c r="G4754" s="0" t="s">
        <x:v>19</x:v>
      </x:c>
      <x:c r="H4754" s="0" t="s">
        <x:v>20</x:v>
      </x:c>
      <x:c r="I4754" s="0" t="s">
        <x:v>21</x:v>
      </x:c>
      <x:c r="K4754" s="0">
        <x:f>hyperlink("https://icd.who.int/dev11/l-ichi/en#/http%3A%2F%2Fid.who.int%2Ficd%2Fentity%2F1393250288","browser")</x:f>
      </x:c>
      <x:c r="L4754" s="0">
        <x:f>hyperlink("https://icat2.azurewebsites.net/icat/?ontology=ICD&amp;tab=ClassesTab&amp;id=http%3A%2F%2Fwho.int%2Ficd%2325490_512ebf36_bf6b_4d70_85da_cf2637062af4","iCat")</x:f>
      </x:c>
      <x:c r="M4754" s="0" t="s">
        <x:v>21</x:v>
      </x:c>
      <x:c r="N4754" s="0" t="s">
        <x:v>46</x:v>
      </x:c>
    </x:row>
    <x:row r="4755" spans="1:16">
      <x:c r="A4755" s="0" t="s">
        <x:v>18866</x:v>
      </x:c>
      <x:c r="B4755" s="0" t="s">
        <x:v>18867</x:v>
      </x:c>
      <x:c r="C4755" s="0" t="s">
        <x:v>18868</x:v>
      </x:c>
      <x:c r="E4755" s="0" t="s">
        <x:v>18869</x:v>
      </x:c>
      <x:c r="F4755" s="0" t="s">
        <x:v>45</x:v>
      </x:c>
      <x:c r="G4755" s="0" t="s">
        <x:v>19</x:v>
      </x:c>
      <x:c r="H4755" s="0" t="s">
        <x:v>20</x:v>
      </x:c>
      <x:c r="I4755" s="0" t="s">
        <x:v>21</x:v>
      </x:c>
      <x:c r="K4755" s="0">
        <x:f>hyperlink("https://icd.who.int/dev11/l-ichi/en#/http%3A%2F%2Fid.who.int%2Ficd%2Fentity%2F57710175","browser")</x:f>
      </x:c>
      <x:c r="L4755" s="0">
        <x:f>hyperlink("https://icat2.azurewebsites.net/icat/?ontology=ICD&amp;tab=ClassesTab&amp;id=http%3A%2F%2Fwho.int%2Ficd%2325496_512ebf36_bf6b_4d70_85da_cf2637062af4","iCat")</x:f>
      </x:c>
      <x:c r="M4755" s="0" t="s">
        <x:v>21</x:v>
      </x:c>
      <x:c r="N4755" s="0" t="s">
        <x:v>46</x:v>
      </x:c>
    </x:row>
    <x:row r="4756" spans="1:16">
      <x:c r="A4756" s="0" t="s">
        <x:v>18870</x:v>
      </x:c>
      <x:c r="B4756" s="0" t="s">
        <x:v>18871</x:v>
      </x:c>
      <x:c r="C4756" s="0" t="s">
        <x:v>18872</x:v>
      </x:c>
      <x:c r="E4756" s="0" t="s">
        <x:v>18873</x:v>
      </x:c>
      <x:c r="F4756" s="0" t="s">
        <x:v>45</x:v>
      </x:c>
      <x:c r="G4756" s="0" t="s">
        <x:v>19</x:v>
      </x:c>
      <x:c r="H4756" s="0" t="s">
        <x:v>20</x:v>
      </x:c>
      <x:c r="I4756" s="0" t="s">
        <x:v>21</x:v>
      </x:c>
      <x:c r="K4756" s="0">
        <x:f>hyperlink("https://icd.who.int/dev11/l-ichi/en#/http%3A%2F%2Fid.who.int%2Ficd%2Fentity%2F907827237","browser")</x:f>
      </x:c>
      <x:c r="L4756" s="0">
        <x:f>hyperlink("https://icat2.azurewebsites.net/icat/?ontology=ICD&amp;tab=ClassesTab&amp;id=http%3A%2F%2Fwho.int%2Ficd%2325502_512ebf36_bf6b_4d70_85da_cf2637062af4","iCat")</x:f>
      </x:c>
      <x:c r="M4756" s="0" t="s">
        <x:v>21</x:v>
      </x:c>
      <x:c r="N4756" s="0" t="s">
        <x:v>46</x:v>
      </x:c>
    </x:row>
    <x:row r="4757" spans="1:16">
      <x:c r="A4757" s="0" t="s">
        <x:v>18874</x:v>
      </x:c>
      <x:c r="B4757" s="0" t="s">
        <x:v>18875</x:v>
      </x:c>
      <x:c r="C4757" s="0" t="s">
        <x:v>18876</x:v>
      </x:c>
      <x:c r="E4757" s="0" t="s">
        <x:v>18877</x:v>
      </x:c>
      <x:c r="F4757" s="0" t="s">
        <x:v>45</x:v>
      </x:c>
      <x:c r="G4757" s="0" t="s">
        <x:v>19</x:v>
      </x:c>
      <x:c r="H4757" s="0" t="s">
        <x:v>20</x:v>
      </x:c>
      <x:c r="I4757" s="0" t="s">
        <x:v>21</x:v>
      </x:c>
      <x:c r="K4757" s="0">
        <x:f>hyperlink("https://icd.who.int/dev11/l-ichi/en#/http%3A%2F%2Fid.who.int%2Ficd%2Fentity%2F501298357","browser")</x:f>
      </x:c>
      <x:c r="L4757" s="0">
        <x:f>hyperlink("https://icat2.azurewebsites.net/icat/?ontology=ICD&amp;tab=ClassesTab&amp;id=http%3A%2F%2Fwho.int%2Ficd%2325508_512ebf36_bf6b_4d70_85da_cf2637062af4","iCat")</x:f>
      </x:c>
      <x:c r="M4757" s="0" t="s">
        <x:v>21</x:v>
      </x:c>
      <x:c r="N4757" s="0" t="s">
        <x:v>46</x:v>
      </x:c>
    </x:row>
    <x:row r="4758" spans="1:16">
      <x:c r="A4758" s="0" t="s">
        <x:v>18878</x:v>
      </x:c>
      <x:c r="B4758" s="0" t="s">
        <x:v>18879</x:v>
      </x:c>
      <x:c r="C4758" s="0" t="s">
        <x:v>18880</x:v>
      </x:c>
      <x:c r="E4758" s="0" t="s">
        <x:v>18881</x:v>
      </x:c>
      <x:c r="F4758" s="0" t="s">
        <x:v>45</x:v>
      </x:c>
      <x:c r="G4758" s="0" t="s">
        <x:v>19</x:v>
      </x:c>
      <x:c r="H4758" s="0" t="s">
        <x:v>20</x:v>
      </x:c>
      <x:c r="I4758" s="0" t="s">
        <x:v>21</x:v>
      </x:c>
      <x:c r="K4758" s="0">
        <x:f>hyperlink("https://icd.who.int/dev11/l-ichi/en#/http%3A%2F%2Fid.who.int%2Ficd%2Fentity%2F744187647","browser")</x:f>
      </x:c>
      <x:c r="L4758" s="0">
        <x:f>hyperlink("https://icat2.azurewebsites.net/icat/?ontology=ICD&amp;tab=ClassesTab&amp;id=http%3A%2F%2Fwho.int%2Ficd%2325515_512ebf36_bf6b_4d70_85da_cf2637062af4","iCat")</x:f>
      </x:c>
      <x:c r="M4758" s="0" t="s">
        <x:v>21</x:v>
      </x:c>
      <x:c r="N4758" s="0" t="s">
        <x:v>46</x:v>
      </x:c>
    </x:row>
    <x:row r="4759" spans="1:16">
      <x:c r="A4759" s="0" t="s">
        <x:v>18882</x:v>
      </x:c>
      <x:c r="B4759" s="0" t="s">
        <x:v>18883</x:v>
      </x:c>
      <x:c r="C4759" s="0" t="s">
        <x:v>18884</x:v>
      </x:c>
      <x:c r="E4759" s="0" t="s">
        <x:v>18885</x:v>
      </x:c>
      <x:c r="F4759" s="0" t="s">
        <x:v>45</x:v>
      </x:c>
      <x:c r="G4759" s="0" t="s">
        <x:v>19</x:v>
      </x:c>
      <x:c r="H4759" s="0" t="s">
        <x:v>20</x:v>
      </x:c>
      <x:c r="I4759" s="0" t="s">
        <x:v>21</x:v>
      </x:c>
      <x:c r="K4759" s="0">
        <x:f>hyperlink("https://icd.who.int/dev11/l-ichi/en#/http%3A%2F%2Fid.who.int%2Ficd%2Fentity%2F1508762252","browser")</x:f>
      </x:c>
      <x:c r="L4759" s="0">
        <x:f>hyperlink("https://icat2.azurewebsites.net/icat/?ontology=ICD&amp;tab=ClassesTab&amp;id=http%3A%2F%2Fwho.int%2Ficd%2325521_512ebf36_bf6b_4d70_85da_cf2637062af4","iCat")</x:f>
      </x:c>
      <x:c r="M4759" s="0" t="s">
        <x:v>21</x:v>
      </x:c>
      <x:c r="N4759" s="0" t="s">
        <x:v>46</x:v>
      </x:c>
    </x:row>
    <x:row r="4760" spans="1:16">
      <x:c r="A4760" s="0" t="s">
        <x:v>18886</x:v>
      </x:c>
      <x:c r="B4760" s="0" t="s">
        <x:v>18887</x:v>
      </x:c>
      <x:c r="C4760" s="0" t="s">
        <x:v>18888</x:v>
      </x:c>
      <x:c r="E4760" s="0" t="s">
        <x:v>18889</x:v>
      </x:c>
      <x:c r="F4760" s="0" t="s">
        <x:v>45</x:v>
      </x:c>
      <x:c r="G4760" s="0" t="s">
        <x:v>19</x:v>
      </x:c>
      <x:c r="H4760" s="0" t="s">
        <x:v>20</x:v>
      </x:c>
      <x:c r="I4760" s="0" t="s">
        <x:v>21</x:v>
      </x:c>
      <x:c r="K4760" s="0">
        <x:f>hyperlink("https://icd.who.int/dev11/l-ichi/en#/http%3A%2F%2Fid.who.int%2Ficd%2Fentity%2F332465639","browser")</x:f>
      </x:c>
      <x:c r="L4760" s="0">
        <x:f>hyperlink("https://icat2.azurewebsites.net/icat/?ontology=ICD&amp;tab=ClassesTab&amp;id=http%3A%2F%2Fwho.int%2Ficd%2325530_512ebf36_bf6b_4d70_85da_cf2637062af4","iCat")</x:f>
      </x:c>
      <x:c r="M4760" s="0" t="s">
        <x:v>21</x:v>
      </x:c>
      <x:c r="N4760" s="0" t="s">
        <x:v>46</x:v>
      </x:c>
    </x:row>
    <x:row r="4761" spans="1:16">
      <x:c r="A4761" s="0" t="s">
        <x:v>18890</x:v>
      </x:c>
      <x:c r="B4761" s="0" t="s">
        <x:v>18891</x:v>
      </x:c>
      <x:c r="D4761" s="0" t="s">
        <x:v>18892</x:v>
      </x:c>
      <x:c r="E4761" s="0" t="s">
        <x:v>18893</x:v>
      </x:c>
      <x:c r="F4761" s="0" t="s">
        <x:v>26</x:v>
      </x:c>
      <x:c r="G4761" s="0" t="s">
        <x:v>22</x:v>
      </x:c>
      <x:c r="H4761" s="0" t="s">
        <x:v>20</x:v>
      </x:c>
      <x:c r="I4761" s="0" t="s">
        <x:v>21</x:v>
      </x:c>
      <x:c r="K4761" s="0">
        <x:f>hyperlink("https://icd.who.int/dev11/l-ichi/en#/http%3A%2F%2Fid.who.int%2Ficd%2Fentity%2F1666428524","browser")</x:f>
      </x:c>
      <x:c r="L4761" s="0">
        <x:f>hyperlink("https://icat2.azurewebsites.net/icat/?ontology=ICD&amp;tab=ClassesTab&amp;id=http%3A%2F%2Fwho.int%2Ficd%2325537_512ebf36_bf6b_4d70_85da_cf2637062af4","iCat")</x:f>
      </x:c>
      <x:c r="M4761" s="0" t="s">
        <x:v>20</x:v>
      </x:c>
      <x:c r="N4761" s="0" t="s">
        <x:v>18894</x:v>
      </x:c>
    </x:row>
    <x:row r="4762" spans="1:16">
      <x:c r="A4762" s="0" t="s">
        <x:v>18895</x:v>
      </x:c>
      <x:c r="B4762" s="0" t="s">
        <x:v>18896</x:v>
      </x:c>
      <x:c r="C4762" s="0" t="s">
        <x:v>18897</x:v>
      </x:c>
      <x:c r="E4762" s="0" t="s">
        <x:v>18898</x:v>
      </x:c>
      <x:c r="F4762" s="0" t="s">
        <x:v>45</x:v>
      </x:c>
      <x:c r="G4762" s="0" t="s">
        <x:v>19</x:v>
      </x:c>
      <x:c r="H4762" s="0" t="s">
        <x:v>20</x:v>
      </x:c>
      <x:c r="I4762" s="0" t="s">
        <x:v>21</x:v>
      </x:c>
      <x:c r="K4762" s="0">
        <x:f>hyperlink("https://icd.who.int/dev11/l-ichi/en#/http%3A%2F%2Fid.who.int%2Ficd%2Fentity%2F1135270998","browser")</x:f>
      </x:c>
      <x:c r="L4762" s="0">
        <x:f>hyperlink("https://icat2.azurewebsites.net/icat/?ontology=ICD&amp;tab=ClassesTab&amp;id=http%3A%2F%2Fwho.int%2Ficd%2325536_512ebf36_bf6b_4d70_85da_cf2637062af4","iCat")</x:f>
      </x:c>
      <x:c r="M4762" s="0" t="s">
        <x:v>21</x:v>
      </x:c>
      <x:c r="N4762" s="0" t="s">
        <x:v>46</x:v>
      </x:c>
    </x:row>
    <x:row r="4763" spans="1:16">
      <x:c r="A4763" s="0" t="s">
        <x:v>18899</x:v>
      </x:c>
      <x:c r="B4763" s="0" t="s">
        <x:v>18900</x:v>
      </x:c>
      <x:c r="C4763" s="0" t="s">
        <x:v>18901</x:v>
      </x:c>
      <x:c r="E4763" s="0" t="s">
        <x:v>18902</x:v>
      </x:c>
      <x:c r="F4763" s="0" t="s">
        <x:v>45</x:v>
      </x:c>
      <x:c r="G4763" s="0" t="s">
        <x:v>19</x:v>
      </x:c>
      <x:c r="H4763" s="0" t="s">
        <x:v>20</x:v>
      </x:c>
      <x:c r="I4763" s="0" t="s">
        <x:v>21</x:v>
      </x:c>
      <x:c r="K4763" s="0">
        <x:f>hyperlink("https://icd.who.int/dev11/l-ichi/en#/http%3A%2F%2Fid.who.int%2Ficd%2Fentity%2F1300174230","browser")</x:f>
      </x:c>
      <x:c r="L4763" s="0">
        <x:f>hyperlink("https://icat2.azurewebsites.net/icat/?ontology=ICD&amp;tab=ClassesTab&amp;id=http%3A%2F%2Fwho.int%2Ficd%2325549_512ebf36_bf6b_4d70_85da_cf2637062af4","iCat")</x:f>
      </x:c>
      <x:c r="M4763" s="0" t="s">
        <x:v>21</x:v>
      </x:c>
      <x:c r="N4763" s="0" t="s">
        <x:v>46</x:v>
      </x:c>
    </x:row>
    <x:row r="4764" spans="1:16">
      <x:c r="A4764" s="0" t="s">
        <x:v>18903</x:v>
      </x:c>
      <x:c r="B4764" s="0" t="s">
        <x:v>18904</x:v>
      </x:c>
      <x:c r="C4764" s="0" t="s">
        <x:v>18905</x:v>
      </x:c>
      <x:c r="E4764" s="0" t="s">
        <x:v>18906</x:v>
      </x:c>
      <x:c r="F4764" s="0" t="s">
        <x:v>45</x:v>
      </x:c>
      <x:c r="G4764" s="0" t="s">
        <x:v>19</x:v>
      </x:c>
      <x:c r="H4764" s="0" t="s">
        <x:v>20</x:v>
      </x:c>
      <x:c r="I4764" s="0" t="s">
        <x:v>21</x:v>
      </x:c>
      <x:c r="K4764" s="0">
        <x:f>hyperlink("https://icd.who.int/dev11/l-ichi/en#/http%3A%2F%2Fid.who.int%2Ficd%2Fentity%2F1547449826","browser")</x:f>
      </x:c>
      <x:c r="L4764" s="0">
        <x:f>hyperlink("https://icat2.azurewebsites.net/icat/?ontology=ICD&amp;tab=ClassesTab&amp;id=http%3A%2F%2Fwho.int%2Ficd%2325555_512ebf36_bf6b_4d70_85da_cf2637062af4","iCat")</x:f>
      </x:c>
      <x:c r="M4764" s="0" t="s">
        <x:v>21</x:v>
      </x:c>
      <x:c r="N4764" s="0" t="s">
        <x:v>46</x:v>
      </x:c>
    </x:row>
    <x:row r="4765" spans="1:16">
      <x:c r="A4765" s="0" t="s">
        <x:v>18907</x:v>
      </x:c>
      <x:c r="B4765" s="0" t="s">
        <x:v>18908</x:v>
      </x:c>
      <x:c r="C4765" s="0" t="s">
        <x:v>18909</x:v>
      </x:c>
      <x:c r="E4765" s="0" t="s">
        <x:v>18910</x:v>
      </x:c>
      <x:c r="F4765" s="0" t="s">
        <x:v>45</x:v>
      </x:c>
      <x:c r="G4765" s="0" t="s">
        <x:v>19</x:v>
      </x:c>
      <x:c r="H4765" s="0" t="s">
        <x:v>20</x:v>
      </x:c>
      <x:c r="I4765" s="0" t="s">
        <x:v>21</x:v>
      </x:c>
      <x:c r="K4765" s="0">
        <x:f>hyperlink("https://icd.who.int/dev11/l-ichi/en#/http%3A%2F%2Fid.who.int%2Ficd%2Fentity%2F1812979306","browser")</x:f>
      </x:c>
      <x:c r="L4765" s="0">
        <x:f>hyperlink("https://icat2.azurewebsites.net/icat/?ontology=ICD&amp;tab=ClassesTab&amp;id=http%3A%2F%2Fwho.int%2Ficd%2325562_512ebf36_bf6b_4d70_85da_cf2637062af4","iCat")</x:f>
      </x:c>
      <x:c r="M4765" s="0" t="s">
        <x:v>21</x:v>
      </x:c>
      <x:c r="N4765" s="0" t="s">
        <x:v>46</x:v>
      </x:c>
    </x:row>
    <x:row r="4766" spans="1:16">
      <x:c r="A4766" s="0" t="s">
        <x:v>18911</x:v>
      </x:c>
      <x:c r="B4766" s="0" t="s">
        <x:v>18912</x:v>
      </x:c>
      <x:c r="C4766" s="0" t="s">
        <x:v>18913</x:v>
      </x:c>
      <x:c r="E4766" s="0" t="s">
        <x:v>18914</x:v>
      </x:c>
      <x:c r="F4766" s="0" t="s">
        <x:v>45</x:v>
      </x:c>
      <x:c r="G4766" s="0" t="s">
        <x:v>19</x:v>
      </x:c>
      <x:c r="H4766" s="0" t="s">
        <x:v>20</x:v>
      </x:c>
      <x:c r="I4766" s="0" t="s">
        <x:v>21</x:v>
      </x:c>
      <x:c r="K4766" s="0">
        <x:f>hyperlink("https://icd.who.int/dev11/l-ichi/en#/http%3A%2F%2Fid.who.int%2Ficd%2Fentity%2F113920831","browser")</x:f>
      </x:c>
      <x:c r="L4766" s="0">
        <x:f>hyperlink("https://icat2.azurewebsites.net/icat/?ontology=ICD&amp;tab=ClassesTab&amp;id=http%3A%2F%2Fwho.int%2Ficd%2325572_512ebf36_bf6b_4d70_85da_cf2637062af4","iCat")</x:f>
      </x:c>
      <x:c r="M4766" s="0" t="s">
        <x:v>21</x:v>
      </x:c>
      <x:c r="N4766" s="0" t="s">
        <x:v>46</x:v>
      </x:c>
    </x:row>
    <x:row r="4767" spans="1:16">
      <x:c r="A4767" s="0" t="s">
        <x:v>18915</x:v>
      </x:c>
      <x:c r="B4767" s="0" t="s">
        <x:v>18916</x:v>
      </x:c>
      <x:c r="C4767" s="0" t="s">
        <x:v>18917</x:v>
      </x:c>
      <x:c r="E4767" s="0" t="s">
        <x:v>18918</x:v>
      </x:c>
      <x:c r="F4767" s="0" t="s">
        <x:v>45</x:v>
      </x:c>
      <x:c r="G4767" s="0" t="s">
        <x:v>19</x:v>
      </x:c>
      <x:c r="H4767" s="0" t="s">
        <x:v>20</x:v>
      </x:c>
      <x:c r="I4767" s="0" t="s">
        <x:v>21</x:v>
      </x:c>
      <x:c r="K4767" s="0">
        <x:f>hyperlink("https://icd.who.int/dev11/l-ichi/en#/http%3A%2F%2Fid.who.int%2Ficd%2Fentity%2F758589359","browser")</x:f>
      </x:c>
      <x:c r="L4767" s="0">
        <x:f>hyperlink("https://icat2.azurewebsites.net/icat/?ontology=ICD&amp;tab=ClassesTab&amp;id=http%3A%2F%2Fwho.int%2Ficd%2325578_512ebf36_bf6b_4d70_85da_cf2637062af4","iCat")</x:f>
      </x:c>
      <x:c r="M4767" s="0" t="s">
        <x:v>21</x:v>
      </x:c>
      <x:c r="N4767" s="0" t="s">
        <x:v>46</x:v>
      </x:c>
    </x:row>
    <x:row r="4768" spans="1:16">
      <x:c r="A4768" s="0" t="s">
        <x:v>18919</x:v>
      </x:c>
      <x:c r="B4768" s="0" t="s">
        <x:v>18920</x:v>
      </x:c>
      <x:c r="C4768" s="0" t="s">
        <x:v>18921</x:v>
      </x:c>
      <x:c r="E4768" s="0" t="s">
        <x:v>18922</x:v>
      </x:c>
      <x:c r="F4768" s="0" t="s">
        <x:v>45</x:v>
      </x:c>
      <x:c r="G4768" s="0" t="s">
        <x:v>19</x:v>
      </x:c>
      <x:c r="H4768" s="0" t="s">
        <x:v>20</x:v>
      </x:c>
      <x:c r="I4768" s="0" t="s">
        <x:v>21</x:v>
      </x:c>
      <x:c r="K4768" s="0">
        <x:f>hyperlink("https://icd.who.int/dev11/l-ichi/en#/http%3A%2F%2Fid.who.int%2Ficd%2Fentity%2F2035734608","browser")</x:f>
      </x:c>
      <x:c r="L4768" s="0">
        <x:f>hyperlink("https://icat2.azurewebsites.net/icat/?ontology=ICD&amp;tab=ClassesTab&amp;id=http%3A%2F%2Fwho.int%2Ficd%2325584_512ebf36_bf6b_4d70_85da_cf2637062af4","iCat")</x:f>
      </x:c>
      <x:c r="M4768" s="0" t="s">
        <x:v>21</x:v>
      </x:c>
      <x:c r="N4768" s="0" t="s">
        <x:v>46</x:v>
      </x:c>
    </x:row>
    <x:row r="4769" spans="1:16">
      <x:c r="A4769" s="0" t="s">
        <x:v>18923</x:v>
      </x:c>
      <x:c r="B4769" s="0" t="s">
        <x:v>18924</x:v>
      </x:c>
      <x:c r="C4769" s="0" t="s">
        <x:v>18925</x:v>
      </x:c>
      <x:c r="E4769" s="0" t="s">
        <x:v>18926</x:v>
      </x:c>
      <x:c r="F4769" s="0" t="s">
        <x:v>45</x:v>
      </x:c>
      <x:c r="G4769" s="0" t="s">
        <x:v>19</x:v>
      </x:c>
      <x:c r="H4769" s="0" t="s">
        <x:v>20</x:v>
      </x:c>
      <x:c r="I4769" s="0" t="s">
        <x:v>21</x:v>
      </x:c>
      <x:c r="K4769" s="0">
        <x:f>hyperlink("https://icd.who.int/dev11/l-ichi/en#/http%3A%2F%2Fid.who.int%2Ficd%2Fentity%2F647268723","browser")</x:f>
      </x:c>
      <x:c r="L4769" s="0">
        <x:f>hyperlink("https://icat2.azurewebsites.net/icat/?ontology=ICD&amp;tab=ClassesTab&amp;id=http%3A%2F%2Fwho.int%2Ficd%2325590_512ebf36_bf6b_4d70_85da_cf2637062af4","iCat")</x:f>
      </x:c>
      <x:c r="M4769" s="0" t="s">
        <x:v>21</x:v>
      </x:c>
      <x:c r="N4769" s="0" t="s">
        <x:v>46</x:v>
      </x:c>
    </x:row>
    <x:row r="4770" spans="1:16">
      <x:c r="A4770" s="0" t="s">
        <x:v>18927</x:v>
      </x:c>
      <x:c r="B4770" s="0" t="s">
        <x:v>18928</x:v>
      </x:c>
      <x:c r="C4770" s="0" t="s">
        <x:v>18929</x:v>
      </x:c>
      <x:c r="E4770" s="0" t="s">
        <x:v>18930</x:v>
      </x:c>
      <x:c r="F4770" s="0" t="s">
        <x:v>45</x:v>
      </x:c>
      <x:c r="G4770" s="0" t="s">
        <x:v>19</x:v>
      </x:c>
      <x:c r="H4770" s="0" t="s">
        <x:v>20</x:v>
      </x:c>
      <x:c r="I4770" s="0" t="s">
        <x:v>21</x:v>
      </x:c>
      <x:c r="K4770" s="0">
        <x:f>hyperlink("https://icd.who.int/dev11/l-ichi/en#/http%3A%2F%2Fid.who.int%2Ficd%2Fentity%2F1995395266","browser")</x:f>
      </x:c>
      <x:c r="L4770" s="0">
        <x:f>hyperlink("https://icat2.azurewebsites.net/icat/?ontology=ICD&amp;tab=ClassesTab&amp;id=http%3A%2F%2Fwho.int%2Ficd%2325596_512ebf36_bf6b_4d70_85da_cf2637062af4","iCat")</x:f>
      </x:c>
      <x:c r="M4770" s="0" t="s">
        <x:v>21</x:v>
      </x:c>
      <x:c r="N4770" s="0" t="s">
        <x:v>46</x:v>
      </x:c>
    </x:row>
    <x:row r="4771" spans="1:16">
      <x:c r="A4771" s="0" t="s">
        <x:v>18931</x:v>
      </x:c>
      <x:c r="B4771" s="0" t="s">
        <x:v>18932</x:v>
      </x:c>
      <x:c r="C4771" s="0" t="s">
        <x:v>18933</x:v>
      </x:c>
      <x:c r="E4771" s="0" t="s">
        <x:v>18934</x:v>
      </x:c>
      <x:c r="F4771" s="0" t="s">
        <x:v>45</x:v>
      </x:c>
      <x:c r="G4771" s="0" t="s">
        <x:v>19</x:v>
      </x:c>
      <x:c r="H4771" s="0" t="s">
        <x:v>20</x:v>
      </x:c>
      <x:c r="I4771" s="0" t="s">
        <x:v>21</x:v>
      </x:c>
      <x:c r="K4771" s="0">
        <x:f>hyperlink("https://icd.who.int/dev11/l-ichi/en#/http%3A%2F%2Fid.who.int%2Ficd%2Fentity%2F1464069246","browser")</x:f>
      </x:c>
      <x:c r="L4771" s="0">
        <x:f>hyperlink("https://icat2.azurewebsites.net/icat/?ontology=ICD&amp;tab=ClassesTab&amp;id=http%3A%2F%2Fwho.int%2Ficd%2325602_512ebf36_bf6b_4d70_85da_cf2637062af4","iCat")</x:f>
      </x:c>
      <x:c r="M4771" s="0" t="s">
        <x:v>21</x:v>
      </x:c>
      <x:c r="N4771" s="0" t="s">
        <x:v>46</x:v>
      </x:c>
    </x:row>
    <x:row r="4772" spans="1:16">
      <x:c r="A4772" s="0" t="s">
        <x:v>18935</x:v>
      </x:c>
      <x:c r="B4772" s="0" t="s">
        <x:v>18936</x:v>
      </x:c>
      <x:c r="C4772" s="0" t="s">
        <x:v>18937</x:v>
      </x:c>
      <x:c r="E4772" s="0" t="s">
        <x:v>18938</x:v>
      </x:c>
      <x:c r="F4772" s="0" t="s">
        <x:v>45</x:v>
      </x:c>
      <x:c r="G4772" s="0" t="s">
        <x:v>19</x:v>
      </x:c>
      <x:c r="H4772" s="0" t="s">
        <x:v>20</x:v>
      </x:c>
      <x:c r="I4772" s="0" t="s">
        <x:v>21</x:v>
      </x:c>
      <x:c r="K4772" s="0">
        <x:f>hyperlink("https://icd.who.int/dev11/l-ichi/en#/http%3A%2F%2Fid.who.int%2Ficd%2Fentity%2F2092859630","browser")</x:f>
      </x:c>
      <x:c r="L4772" s="0">
        <x:f>hyperlink("https://icat2.azurewebsites.net/icat/?ontology=ICD&amp;tab=ClassesTab&amp;id=http%3A%2F%2Fwho.int%2Ficd%2325608_512ebf36_bf6b_4d70_85da_cf2637062af4","iCat")</x:f>
      </x:c>
      <x:c r="M4772" s="0" t="s">
        <x:v>21</x:v>
      </x:c>
      <x:c r="N4772" s="0" t="s">
        <x:v>46</x:v>
      </x:c>
    </x:row>
    <x:row r="4773" spans="1:16">
      <x:c r="A4773" s="0" t="s">
        <x:v>18939</x:v>
      </x:c>
      <x:c r="B4773" s="0" t="s">
        <x:v>18940</x:v>
      </x:c>
      <x:c r="C4773" s="0" t="s">
        <x:v>18941</x:v>
      </x:c>
      <x:c r="E4773" s="0" t="s">
        <x:v>18942</x:v>
      </x:c>
      <x:c r="F4773" s="0" t="s">
        <x:v>45</x:v>
      </x:c>
      <x:c r="G4773" s="0" t="s">
        <x:v>19</x:v>
      </x:c>
      <x:c r="H4773" s="0" t="s">
        <x:v>20</x:v>
      </x:c>
      <x:c r="I4773" s="0" t="s">
        <x:v>21</x:v>
      </x:c>
      <x:c r="K4773" s="0">
        <x:f>hyperlink("https://icd.who.int/dev11/l-ichi/en#/http%3A%2F%2Fid.who.int%2Ficd%2Fentity%2F142720351","browser")</x:f>
      </x:c>
      <x:c r="L4773" s="0">
        <x:f>hyperlink("https://icat2.azurewebsites.net/icat/?ontology=ICD&amp;tab=ClassesTab&amp;id=http%3A%2F%2Fwho.int%2Ficd%2325616_512ebf36_bf6b_4d70_85da_cf2637062af4","iCat")</x:f>
      </x:c>
      <x:c r="M4773" s="0" t="s">
        <x:v>21</x:v>
      </x:c>
      <x:c r="N4773" s="0" t="s">
        <x:v>46</x:v>
      </x:c>
    </x:row>
    <x:row r="4774" spans="1:16">
      <x:c r="A4774" s="0" t="s">
        <x:v>18943</x:v>
      </x:c>
      <x:c r="B4774" s="0" t="s">
        <x:v>18944</x:v>
      </x:c>
      <x:c r="C4774" s="0" t="s">
        <x:v>18945</x:v>
      </x:c>
      <x:c r="E4774" s="0" t="s">
        <x:v>18946</x:v>
      </x:c>
      <x:c r="F4774" s="0" t="s">
        <x:v>45</x:v>
      </x:c>
      <x:c r="G4774" s="0" t="s">
        <x:v>19</x:v>
      </x:c>
      <x:c r="H4774" s="0" t="s">
        <x:v>20</x:v>
      </x:c>
      <x:c r="I4774" s="0" t="s">
        <x:v>21</x:v>
      </x:c>
      <x:c r="K4774" s="0">
        <x:f>hyperlink("https://icd.who.int/dev11/l-ichi/en#/http%3A%2F%2Fid.who.int%2Ficd%2Fentity%2F1573800722","browser")</x:f>
      </x:c>
      <x:c r="L4774" s="0">
        <x:f>hyperlink("https://icat2.azurewebsites.net/icat/?ontology=ICD&amp;tab=ClassesTab&amp;id=http%3A%2F%2Fwho.int%2Ficd%2325623_512ebf36_bf6b_4d70_85da_cf2637062af4","iCat")</x:f>
      </x:c>
      <x:c r="M4774" s="0" t="s">
        <x:v>21</x:v>
      </x:c>
      <x:c r="N4774" s="0" t="s">
        <x:v>46</x:v>
      </x:c>
    </x:row>
    <x:row r="4775" spans="1:16">
      <x:c r="A4775" s="0" t="s">
        <x:v>18947</x:v>
      </x:c>
      <x:c r="B4775" s="0" t="s">
        <x:v>18948</x:v>
      </x:c>
      <x:c r="C4775" s="0" t="s">
        <x:v>18949</x:v>
      </x:c>
      <x:c r="E4775" s="0" t="s">
        <x:v>18950</x:v>
      </x:c>
      <x:c r="F4775" s="0" t="s">
        <x:v>45</x:v>
      </x:c>
      <x:c r="G4775" s="0" t="s">
        <x:v>19</x:v>
      </x:c>
      <x:c r="H4775" s="0" t="s">
        <x:v>20</x:v>
      </x:c>
      <x:c r="I4775" s="0" t="s">
        <x:v>21</x:v>
      </x:c>
      <x:c r="K4775" s="0">
        <x:f>hyperlink("https://icd.who.int/dev11/l-ichi/en#/http%3A%2F%2Fid.who.int%2Ficd%2Fentity%2F1983063938","browser")</x:f>
      </x:c>
      <x:c r="L4775" s="0">
        <x:f>hyperlink("https://icat2.azurewebsites.net/icat/?ontology=ICD&amp;tab=ClassesTab&amp;id=http%3A%2F%2Fwho.int%2Ficd%2325629_512ebf36_bf6b_4d70_85da_cf2637062af4","iCat")</x:f>
      </x:c>
      <x:c r="M4775" s="0" t="s">
        <x:v>21</x:v>
      </x:c>
      <x:c r="N4775" s="0" t="s">
        <x:v>46</x:v>
      </x:c>
    </x:row>
    <x:row r="4776" spans="1:16">
      <x:c r="A4776" s="0" t="s">
        <x:v>18951</x:v>
      </x:c>
      <x:c r="B4776" s="0" t="s">
        <x:v>18952</x:v>
      </x:c>
      <x:c r="C4776" s="0" t="s">
        <x:v>18953</x:v>
      </x:c>
      <x:c r="E4776" s="0" t="s">
        <x:v>18954</x:v>
      </x:c>
      <x:c r="F4776" s="0" t="s">
        <x:v>45</x:v>
      </x:c>
      <x:c r="G4776" s="0" t="s">
        <x:v>19</x:v>
      </x:c>
      <x:c r="H4776" s="0" t="s">
        <x:v>20</x:v>
      </x:c>
      <x:c r="I4776" s="0" t="s">
        <x:v>21</x:v>
      </x:c>
      <x:c r="K4776" s="0">
        <x:f>hyperlink("https://icd.who.int/dev11/l-ichi/en#/http%3A%2F%2Fid.who.int%2Ficd%2Fentity%2F1735395318","browser")</x:f>
      </x:c>
      <x:c r="L4776" s="0">
        <x:f>hyperlink("https://icat2.azurewebsites.net/icat/?ontology=ICD&amp;tab=ClassesTab&amp;id=http%3A%2F%2Fwho.int%2Ficd%2325635_512ebf36_bf6b_4d70_85da_cf2637062af4","iCat")</x:f>
      </x:c>
      <x:c r="M4776" s="0" t="s">
        <x:v>21</x:v>
      </x:c>
      <x:c r="N4776" s="0" t="s">
        <x:v>46</x:v>
      </x:c>
    </x:row>
    <x:row r="4777" spans="1:16">
      <x:c r="A4777" s="0" t="s">
        <x:v>18955</x:v>
      </x:c>
      <x:c r="B4777" s="0" t="s">
        <x:v>18956</x:v>
      </x:c>
      <x:c r="C4777" s="0" t="s">
        <x:v>18957</x:v>
      </x:c>
      <x:c r="E4777" s="0" t="s">
        <x:v>18958</x:v>
      </x:c>
      <x:c r="F4777" s="0" t="s">
        <x:v>45</x:v>
      </x:c>
      <x:c r="G4777" s="0" t="s">
        <x:v>19</x:v>
      </x:c>
      <x:c r="H4777" s="0" t="s">
        <x:v>20</x:v>
      </x:c>
      <x:c r="I4777" s="0" t="s">
        <x:v>21</x:v>
      </x:c>
      <x:c r="K4777" s="0">
        <x:f>hyperlink("https://icd.who.int/dev11/l-ichi/en#/http%3A%2F%2Fid.who.int%2Ficd%2Fentity%2F1654771864","browser")</x:f>
      </x:c>
      <x:c r="L4777" s="0">
        <x:f>hyperlink("https://icat2.azurewebsites.net/icat/?ontology=ICD&amp;tab=ClassesTab&amp;id=http%3A%2F%2Fwho.int%2Ficd%2325641_512ebf36_bf6b_4d70_85da_cf2637062af4","iCat")</x:f>
      </x:c>
      <x:c r="M4777" s="0" t="s">
        <x:v>21</x:v>
      </x:c>
      <x:c r="N4777" s="0" t="s">
        <x:v>46</x:v>
      </x:c>
    </x:row>
    <x:row r="4778" spans="1:16">
      <x:c r="A4778" s="0" t="s">
        <x:v>18959</x:v>
      </x:c>
      <x:c r="B4778" s="0" t="s">
        <x:v>18960</x:v>
      </x:c>
      <x:c r="C4778" s="0" t="s">
        <x:v>18961</x:v>
      </x:c>
      <x:c r="E4778" s="0" t="s">
        <x:v>18962</x:v>
      </x:c>
      <x:c r="F4778" s="0" t="s">
        <x:v>45</x:v>
      </x:c>
      <x:c r="G4778" s="0" t="s">
        <x:v>19</x:v>
      </x:c>
      <x:c r="H4778" s="0" t="s">
        <x:v>20</x:v>
      </x:c>
      <x:c r="I4778" s="0" t="s">
        <x:v>21</x:v>
      </x:c>
      <x:c r="K4778" s="0">
        <x:f>hyperlink("https://icd.who.int/dev11/l-ichi/en#/http%3A%2F%2Fid.who.int%2Ficd%2Fentity%2F853149993","browser")</x:f>
      </x:c>
      <x:c r="L4778" s="0">
        <x:f>hyperlink("https://icat2.azurewebsites.net/icat/?ontology=ICD&amp;tab=ClassesTab&amp;id=http%3A%2F%2Fwho.int%2Ficd%2325647_512ebf36_bf6b_4d70_85da_cf2637062af4","iCat")</x:f>
      </x:c>
      <x:c r="M4778" s="0" t="s">
        <x:v>21</x:v>
      </x:c>
      <x:c r="N4778" s="0" t="s">
        <x:v>46</x:v>
      </x:c>
    </x:row>
    <x:row r="4779" spans="1:16">
      <x:c r="A4779" s="0" t="s">
        <x:v>18963</x:v>
      </x:c>
      <x:c r="B4779" s="0" t="s">
        <x:v>18964</x:v>
      </x:c>
      <x:c r="C4779" s="0" t="s">
        <x:v>18965</x:v>
      </x:c>
      <x:c r="E4779" s="0" t="s">
        <x:v>18966</x:v>
      </x:c>
      <x:c r="F4779" s="0" t="s">
        <x:v>45</x:v>
      </x:c>
      <x:c r="G4779" s="0" t="s">
        <x:v>19</x:v>
      </x:c>
      <x:c r="H4779" s="0" t="s">
        <x:v>20</x:v>
      </x:c>
      <x:c r="I4779" s="0" t="s">
        <x:v>21</x:v>
      </x:c>
      <x:c r="K4779" s="0">
        <x:f>hyperlink("https://icd.who.int/dev11/l-ichi/en#/http%3A%2F%2Fid.who.int%2Ficd%2Fentity%2F1830311946","browser")</x:f>
      </x:c>
      <x:c r="L4779" s="0">
        <x:f>hyperlink("https://icat2.azurewebsites.net/icat/?ontology=ICD&amp;tab=ClassesTab&amp;id=http%3A%2F%2Fwho.int%2Ficd%2325653_512ebf36_bf6b_4d70_85da_cf2637062af4","iCat")</x:f>
      </x:c>
      <x:c r="M4779" s="0" t="s">
        <x:v>21</x:v>
      </x:c>
      <x:c r="N4779" s="0" t="s">
        <x:v>46</x:v>
      </x:c>
    </x:row>
    <x:row r="4780" spans="1:16">
      <x:c r="A4780" s="0" t="s">
        <x:v>18967</x:v>
      </x:c>
      <x:c r="B4780" s="0" t="s">
        <x:v>18968</x:v>
      </x:c>
      <x:c r="C4780" s="0" t="s">
        <x:v>18969</x:v>
      </x:c>
      <x:c r="E4780" s="0" t="s">
        <x:v>18970</x:v>
      </x:c>
      <x:c r="F4780" s="0" t="s">
        <x:v>45</x:v>
      </x:c>
      <x:c r="G4780" s="0" t="s">
        <x:v>19</x:v>
      </x:c>
      <x:c r="H4780" s="0" t="s">
        <x:v>20</x:v>
      </x:c>
      <x:c r="I4780" s="0" t="s">
        <x:v>21</x:v>
      </x:c>
      <x:c r="K4780" s="0">
        <x:f>hyperlink("https://icd.who.int/dev11/l-ichi/en#/http%3A%2F%2Fid.who.int%2Ficd%2Fentity%2F1747744756","browser")</x:f>
      </x:c>
      <x:c r="L4780" s="0">
        <x:f>hyperlink("https://icat2.azurewebsites.net/icat/?ontology=ICD&amp;tab=ClassesTab&amp;id=http%3A%2F%2Fwho.int%2Ficd%2325660_512ebf36_bf6b_4d70_85da_cf2637062af4","iCat")</x:f>
      </x:c>
      <x:c r="M4780" s="0" t="s">
        <x:v>21</x:v>
      </x:c>
      <x:c r="N4780" s="0" t="s">
        <x:v>46</x:v>
      </x:c>
    </x:row>
    <x:row r="4781" spans="1:16">
      <x:c r="A4781" s="0" t="s">
        <x:v>18971</x:v>
      </x:c>
      <x:c r="B4781" s="0" t="s">
        <x:v>18972</x:v>
      </x:c>
      <x:c r="C4781" s="0" t="s">
        <x:v>18973</x:v>
      </x:c>
      <x:c r="E4781" s="0" t="s">
        <x:v>18974</x:v>
      </x:c>
      <x:c r="F4781" s="0" t="s">
        <x:v>45</x:v>
      </x:c>
      <x:c r="G4781" s="0" t="s">
        <x:v>19</x:v>
      </x:c>
      <x:c r="H4781" s="0" t="s">
        <x:v>20</x:v>
      </x:c>
      <x:c r="I4781" s="0" t="s">
        <x:v>21</x:v>
      </x:c>
      <x:c r="K4781" s="0">
        <x:f>hyperlink("https://icd.who.int/dev11/l-ichi/en#/http%3A%2F%2Fid.who.int%2Ficd%2Fentity%2F414112889","browser")</x:f>
      </x:c>
      <x:c r="L4781" s="0">
        <x:f>hyperlink("https://icat2.azurewebsites.net/icat/?ontology=ICD&amp;tab=ClassesTab&amp;id=http%3A%2F%2Fwho.int%2Ficd%2325667_512ebf36_bf6b_4d70_85da_cf2637062af4","iCat")</x:f>
      </x:c>
      <x:c r="M4781" s="0" t="s">
        <x:v>21</x:v>
      </x:c>
      <x:c r="N4781" s="0" t="s">
        <x:v>46</x:v>
      </x:c>
    </x:row>
    <x:row r="4782" spans="1:16">
      <x:c r="A4782" s="0" t="s">
        <x:v>18975</x:v>
      </x:c>
      <x:c r="B4782" s="0" t="s">
        <x:v>18976</x:v>
      </x:c>
      <x:c r="C4782" s="0" t="s">
        <x:v>18977</x:v>
      </x:c>
      <x:c r="E4782" s="0" t="s">
        <x:v>18978</x:v>
      </x:c>
      <x:c r="F4782" s="0" t="s">
        <x:v>45</x:v>
      </x:c>
      <x:c r="G4782" s="0" t="s">
        <x:v>19</x:v>
      </x:c>
      <x:c r="H4782" s="0" t="s">
        <x:v>20</x:v>
      </x:c>
      <x:c r="I4782" s="0" t="s">
        <x:v>21</x:v>
      </x:c>
      <x:c r="K4782" s="0">
        <x:f>hyperlink("https://icd.who.int/dev11/l-ichi/en#/http%3A%2F%2Fid.who.int%2Ficd%2Fentity%2F1198296412","browser")</x:f>
      </x:c>
      <x:c r="L4782" s="0">
        <x:f>hyperlink("https://icat2.azurewebsites.net/icat/?ontology=ICD&amp;tab=ClassesTab&amp;id=http%3A%2F%2Fwho.int%2Ficd%2325673_512ebf36_bf6b_4d70_85da_cf2637062af4","iCat")</x:f>
      </x:c>
      <x:c r="M4782" s="0" t="s">
        <x:v>21</x:v>
      </x:c>
      <x:c r="N4782" s="0" t="s">
        <x:v>46</x:v>
      </x:c>
    </x:row>
    <x:row r="4783" spans="1:16">
      <x:c r="A4783" s="0" t="s">
        <x:v>18979</x:v>
      </x:c>
      <x:c r="B4783" s="0" t="s">
        <x:v>18980</x:v>
      </x:c>
      <x:c r="C4783" s="0" t="s">
        <x:v>18981</x:v>
      </x:c>
      <x:c r="E4783" s="0" t="s">
        <x:v>18982</x:v>
      </x:c>
      <x:c r="F4783" s="0" t="s">
        <x:v>45</x:v>
      </x:c>
      <x:c r="G4783" s="0" t="s">
        <x:v>19</x:v>
      </x:c>
      <x:c r="H4783" s="0" t="s">
        <x:v>20</x:v>
      </x:c>
      <x:c r="I4783" s="0" t="s">
        <x:v>21</x:v>
      </x:c>
      <x:c r="K4783" s="0">
        <x:f>hyperlink("https://icd.who.int/dev11/l-ichi/en#/http%3A%2F%2Fid.who.int%2Ficd%2Fentity%2F1821499852","browser")</x:f>
      </x:c>
      <x:c r="L4783" s="0">
        <x:f>hyperlink("https://icat2.azurewebsites.net/icat/?ontology=ICD&amp;tab=ClassesTab&amp;id=http%3A%2F%2Fwho.int%2Ficd%2325679_512ebf36_bf6b_4d70_85da_cf2637062af4","iCat")</x:f>
      </x:c>
      <x:c r="M4783" s="0" t="s">
        <x:v>21</x:v>
      </x:c>
      <x:c r="N4783" s="0" t="s">
        <x:v>46</x:v>
      </x:c>
    </x:row>
    <x:row r="4784" spans="1:16">
      <x:c r="A4784" s="0" t="s">
        <x:v>18983</x:v>
      </x:c>
      <x:c r="B4784" s="0" t="s">
        <x:v>18984</x:v>
      </x:c>
      <x:c r="C4784" s="0" t="s">
        <x:v>18985</x:v>
      </x:c>
      <x:c r="E4784" s="0" t="s">
        <x:v>18986</x:v>
      </x:c>
      <x:c r="F4784" s="0" t="s">
        <x:v>45</x:v>
      </x:c>
      <x:c r="G4784" s="0" t="s">
        <x:v>19</x:v>
      </x:c>
      <x:c r="H4784" s="0" t="s">
        <x:v>20</x:v>
      </x:c>
      <x:c r="I4784" s="0" t="s">
        <x:v>21</x:v>
      </x:c>
      <x:c r="K4784" s="0">
        <x:f>hyperlink("https://icd.who.int/dev11/l-ichi/en#/http%3A%2F%2Fid.who.int%2Ficd%2Fentity%2F2104848846","browser")</x:f>
      </x:c>
      <x:c r="L4784" s="0">
        <x:f>hyperlink("https://icat2.azurewebsites.net/icat/?ontology=ICD&amp;tab=ClassesTab&amp;id=http%3A%2F%2Fwho.int%2Ficd%2325686_512ebf36_bf6b_4d70_85da_cf2637062af4","iCat")</x:f>
      </x:c>
      <x:c r="M4784" s="0" t="s">
        <x:v>21</x:v>
      </x:c>
      <x:c r="N4784" s="0" t="s">
        <x:v>46</x:v>
      </x:c>
    </x:row>
    <x:row r="4785" spans="1:16">
      <x:c r="A4785" s="0" t="s">
        <x:v>18987</x:v>
      </x:c>
      <x:c r="B4785" s="0" t="s">
        <x:v>18988</x:v>
      </x:c>
      <x:c r="C4785" s="0" t="s">
        <x:v>18989</x:v>
      </x:c>
      <x:c r="E4785" s="0" t="s">
        <x:v>18990</x:v>
      </x:c>
      <x:c r="F4785" s="0" t="s">
        <x:v>45</x:v>
      </x:c>
      <x:c r="G4785" s="0" t="s">
        <x:v>19</x:v>
      </x:c>
      <x:c r="H4785" s="0" t="s">
        <x:v>20</x:v>
      </x:c>
      <x:c r="I4785" s="0" t="s">
        <x:v>21</x:v>
      </x:c>
      <x:c r="K4785" s="0">
        <x:f>hyperlink("https://icd.who.int/dev11/l-ichi/en#/http%3A%2F%2Fid.who.int%2Ficd%2Fentity%2F582426863","browser")</x:f>
      </x:c>
      <x:c r="L4785" s="0">
        <x:f>hyperlink("https://icat2.azurewebsites.net/icat/?ontology=ICD&amp;tab=ClassesTab&amp;id=http%3A%2F%2Fwho.int%2Ficd%2325692_512ebf36_bf6b_4d70_85da_cf2637062af4","iCat")</x:f>
      </x:c>
      <x:c r="M4785" s="0" t="s">
        <x:v>21</x:v>
      </x:c>
      <x:c r="N4785" s="0" t="s">
        <x:v>46</x:v>
      </x:c>
    </x:row>
    <x:row r="4786" spans="1:16">
      <x:c r="A4786" s="0" t="s">
        <x:v>18991</x:v>
      </x:c>
      <x:c r="B4786" s="0" t="s">
        <x:v>18992</x:v>
      </x:c>
      <x:c r="C4786" s="0" t="s">
        <x:v>18993</x:v>
      </x:c>
      <x:c r="E4786" s="0" t="s">
        <x:v>18994</x:v>
      </x:c>
      <x:c r="F4786" s="0" t="s">
        <x:v>45</x:v>
      </x:c>
      <x:c r="G4786" s="0" t="s">
        <x:v>19</x:v>
      </x:c>
      <x:c r="H4786" s="0" t="s">
        <x:v>20</x:v>
      </x:c>
      <x:c r="I4786" s="0" t="s">
        <x:v>21</x:v>
      </x:c>
      <x:c r="K4786" s="0">
        <x:f>hyperlink("https://icd.who.int/dev11/l-ichi/en#/http%3A%2F%2Fid.who.int%2Ficd%2Fentity%2F155864191","browser")</x:f>
      </x:c>
      <x:c r="L4786" s="0">
        <x:f>hyperlink("https://icat2.azurewebsites.net/icat/?ontology=ICD&amp;tab=ClassesTab&amp;id=http%3A%2F%2Fwho.int%2Ficd%2325698_512ebf36_bf6b_4d70_85da_cf2637062af4","iCat")</x:f>
      </x:c>
      <x:c r="M4786" s="0" t="s">
        <x:v>21</x:v>
      </x:c>
      <x:c r="N4786" s="0" t="s">
        <x:v>46</x:v>
      </x:c>
    </x:row>
    <x:row r="4787" spans="1:16">
      <x:c r="A4787" s="0" t="s">
        <x:v>18995</x:v>
      </x:c>
      <x:c r="B4787" s="0" t="s">
        <x:v>18996</x:v>
      </x:c>
      <x:c r="C4787" s="0" t="s">
        <x:v>18997</x:v>
      </x:c>
      <x:c r="E4787" s="0" t="s">
        <x:v>18998</x:v>
      </x:c>
      <x:c r="F4787" s="0" t="s">
        <x:v>45</x:v>
      </x:c>
      <x:c r="G4787" s="0" t="s">
        <x:v>19</x:v>
      </x:c>
      <x:c r="H4787" s="0" t="s">
        <x:v>20</x:v>
      </x:c>
      <x:c r="I4787" s="0" t="s">
        <x:v>21</x:v>
      </x:c>
      <x:c r="K4787" s="0">
        <x:f>hyperlink("https://icd.who.int/dev11/l-ichi/en#/http%3A%2F%2Fid.who.int%2Ficd%2Fentity%2F1923609424","browser")</x:f>
      </x:c>
      <x:c r="L4787" s="0">
        <x:f>hyperlink("https://icat2.azurewebsites.net/icat/?ontology=ICD&amp;tab=ClassesTab&amp;id=http%3A%2F%2Fwho.int%2Ficd%2325704_512ebf36_bf6b_4d70_85da_cf2637062af4","iCat")</x:f>
      </x:c>
      <x:c r="M4787" s="0" t="s">
        <x:v>21</x:v>
      </x:c>
      <x:c r="N4787" s="0" t="s">
        <x:v>46</x:v>
      </x:c>
    </x:row>
    <x:row r="4788" spans="1:16">
      <x:c r="A4788" s="0" t="s">
        <x:v>18999</x:v>
      </x:c>
      <x:c r="B4788" s="0" t="s">
        <x:v>19000</x:v>
      </x:c>
      <x:c r="C4788" s="0" t="s">
        <x:v>19001</x:v>
      </x:c>
      <x:c r="E4788" s="0" t="s">
        <x:v>19002</x:v>
      </x:c>
      <x:c r="F4788" s="0" t="s">
        <x:v>45</x:v>
      </x:c>
      <x:c r="G4788" s="0" t="s">
        <x:v>19</x:v>
      </x:c>
      <x:c r="H4788" s="0" t="s">
        <x:v>20</x:v>
      </x:c>
      <x:c r="I4788" s="0" t="s">
        <x:v>21</x:v>
      </x:c>
      <x:c r="K4788" s="0">
        <x:f>hyperlink("https://icd.who.int/dev11/l-ichi/en#/http%3A%2F%2Fid.who.int%2Ficd%2Fentity%2F761635443","browser")</x:f>
      </x:c>
      <x:c r="L4788" s="0">
        <x:f>hyperlink("https://icat2.azurewebsites.net/icat/?ontology=ICD&amp;tab=ClassesTab&amp;id=http%3A%2F%2Fwho.int%2Ficd%2325710_512ebf36_bf6b_4d70_85da_cf2637062af4","iCat")</x:f>
      </x:c>
      <x:c r="M4788" s="0" t="s">
        <x:v>21</x:v>
      </x:c>
      <x:c r="N4788" s="0" t="s">
        <x:v>46</x:v>
      </x:c>
    </x:row>
    <x:row r="4789" spans="1:16">
      <x:c r="A4789" s="0" t="s">
        <x:v>19003</x:v>
      </x:c>
      <x:c r="B4789" s="0" t="s">
        <x:v>19004</x:v>
      </x:c>
      <x:c r="C4789" s="0" t="s">
        <x:v>19005</x:v>
      </x:c>
      <x:c r="E4789" s="0" t="s">
        <x:v>19006</x:v>
      </x:c>
      <x:c r="F4789" s="0" t="s">
        <x:v>45</x:v>
      </x:c>
      <x:c r="G4789" s="0" t="s">
        <x:v>19</x:v>
      </x:c>
      <x:c r="H4789" s="0" t="s">
        <x:v>20</x:v>
      </x:c>
      <x:c r="I4789" s="0" t="s">
        <x:v>21</x:v>
      </x:c>
      <x:c r="K4789" s="0">
        <x:f>hyperlink("https://icd.who.int/dev11/l-ichi/en#/http%3A%2F%2Fid.who.int%2Ficd%2Fentity%2F2099149762","browser")</x:f>
      </x:c>
      <x:c r="L4789" s="0">
        <x:f>hyperlink("https://icat2.azurewebsites.net/icat/?ontology=ICD&amp;tab=ClassesTab&amp;id=http%3A%2F%2Fwho.int%2Ficd%2325716_512ebf36_bf6b_4d70_85da_cf2637062af4","iCat")</x:f>
      </x:c>
      <x:c r="M4789" s="0" t="s">
        <x:v>21</x:v>
      </x:c>
      <x:c r="N4789" s="0" t="s">
        <x:v>46</x:v>
      </x:c>
    </x:row>
    <x:row r="4790" spans="1:16">
      <x:c r="A4790" s="0" t="s">
        <x:v>19007</x:v>
      </x:c>
      <x:c r="B4790" s="0" t="s">
        <x:v>19008</x:v>
      </x:c>
      <x:c r="C4790" s="0" t="s">
        <x:v>19009</x:v>
      </x:c>
      <x:c r="E4790" s="0" t="s">
        <x:v>19010</x:v>
      </x:c>
      <x:c r="F4790" s="0" t="s">
        <x:v>45</x:v>
      </x:c>
      <x:c r="G4790" s="0" t="s">
        <x:v>19</x:v>
      </x:c>
      <x:c r="H4790" s="0" t="s">
        <x:v>20</x:v>
      </x:c>
      <x:c r="I4790" s="0" t="s">
        <x:v>21</x:v>
      </x:c>
      <x:c r="K4790" s="0">
        <x:f>hyperlink("https://icd.who.int/dev11/l-ichi/en#/http%3A%2F%2Fid.who.int%2Ficd%2Fentity%2F676433293","browser")</x:f>
      </x:c>
      <x:c r="L4790" s="0">
        <x:f>hyperlink("https://icat2.azurewebsites.net/icat/?ontology=ICD&amp;tab=ClassesTab&amp;id=http%3A%2F%2Fwho.int%2Ficd%2325723_512ebf36_bf6b_4d70_85da_cf2637062af4","iCat")</x:f>
      </x:c>
      <x:c r="M4790" s="0" t="s">
        <x:v>21</x:v>
      </x:c>
      <x:c r="N4790" s="0" t="s">
        <x:v>46</x:v>
      </x:c>
    </x:row>
    <x:row r="4791" spans="1:16">
      <x:c r="A4791" s="0" t="s">
        <x:v>19011</x:v>
      </x:c>
      <x:c r="B4791" s="0" t="s">
        <x:v>19012</x:v>
      </x:c>
      <x:c r="C4791" s="0" t="s">
        <x:v>19013</x:v>
      </x:c>
      <x:c r="E4791" s="0" t="s">
        <x:v>19014</x:v>
      </x:c>
      <x:c r="F4791" s="0" t="s">
        <x:v>45</x:v>
      </x:c>
      <x:c r="G4791" s="0" t="s">
        <x:v>19</x:v>
      </x:c>
      <x:c r="H4791" s="0" t="s">
        <x:v>20</x:v>
      </x:c>
      <x:c r="I4791" s="0" t="s">
        <x:v>21</x:v>
      </x:c>
      <x:c r="K4791" s="0">
        <x:f>hyperlink("https://icd.who.int/dev11/l-ichi/en#/http%3A%2F%2Fid.who.int%2Ficd%2Fentity%2F118585123","browser")</x:f>
      </x:c>
      <x:c r="L4791" s="0">
        <x:f>hyperlink("https://icat2.azurewebsites.net/icat/?ontology=ICD&amp;tab=ClassesTab&amp;id=http%3A%2F%2Fwho.int%2Ficd%2325730_512ebf36_bf6b_4d70_85da_cf2637062af4","iCat")</x:f>
      </x:c>
      <x:c r="M4791" s="0" t="s">
        <x:v>21</x:v>
      </x:c>
      <x:c r="N4791" s="0" t="s">
        <x:v>46</x:v>
      </x:c>
    </x:row>
    <x:row r="4792" spans="1:16">
      <x:c r="A4792" s="0" t="s">
        <x:v>19015</x:v>
      </x:c>
      <x:c r="B4792" s="0" t="s">
        <x:v>19016</x:v>
      </x:c>
      <x:c r="C4792" s="0" t="s">
        <x:v>19017</x:v>
      </x:c>
      <x:c r="E4792" s="0" t="s">
        <x:v>19018</x:v>
      </x:c>
      <x:c r="F4792" s="0" t="s">
        <x:v>45</x:v>
      </x:c>
      <x:c r="G4792" s="0" t="s">
        <x:v>19</x:v>
      </x:c>
      <x:c r="H4792" s="0" t="s">
        <x:v>20</x:v>
      </x:c>
      <x:c r="I4792" s="0" t="s">
        <x:v>21</x:v>
      </x:c>
      <x:c r="K4792" s="0">
        <x:f>hyperlink("https://icd.who.int/dev11/l-ichi/en#/http%3A%2F%2Fid.who.int%2Ficd%2Fentity%2F2006178990","browser")</x:f>
      </x:c>
      <x:c r="L4792" s="0">
        <x:f>hyperlink("https://icat2.azurewebsites.net/icat/?ontology=ICD&amp;tab=ClassesTab&amp;id=http%3A%2F%2Fwho.int%2Ficd%2325737_512ebf36_bf6b_4d70_85da_cf2637062af4","iCat")</x:f>
      </x:c>
      <x:c r="M4792" s="0" t="s">
        <x:v>21</x:v>
      </x:c>
      <x:c r="N4792" s="0" t="s">
        <x:v>46</x:v>
      </x:c>
    </x:row>
    <x:row r="4793" spans="1:16">
      <x:c r="A4793" s="0" t="s">
        <x:v>19019</x:v>
      </x:c>
      <x:c r="B4793" s="0" t="s">
        <x:v>19020</x:v>
      </x:c>
      <x:c r="C4793" s="0" t="s">
        <x:v>19021</x:v>
      </x:c>
      <x:c r="E4793" s="0" t="s">
        <x:v>19022</x:v>
      </x:c>
      <x:c r="F4793" s="0" t="s">
        <x:v>45</x:v>
      </x:c>
      <x:c r="G4793" s="0" t="s">
        <x:v>19</x:v>
      </x:c>
      <x:c r="H4793" s="0" t="s">
        <x:v>20</x:v>
      </x:c>
      <x:c r="I4793" s="0" t="s">
        <x:v>21</x:v>
      </x:c>
      <x:c r="K4793" s="0">
        <x:f>hyperlink("https://icd.who.int/dev11/l-ichi/en#/http%3A%2F%2Fid.who.int%2Ficd%2Fentity%2F1916931008","browser")</x:f>
      </x:c>
      <x:c r="L4793" s="0">
        <x:f>hyperlink("https://icat2.azurewebsites.net/icat/?ontology=ICD&amp;tab=ClassesTab&amp;id=http%3A%2F%2Fwho.int%2Ficd%2325743_512ebf36_bf6b_4d70_85da_cf2637062af4","iCat")</x:f>
      </x:c>
      <x:c r="M4793" s="0" t="s">
        <x:v>21</x:v>
      </x:c>
      <x:c r="N4793" s="0" t="s">
        <x:v>46</x:v>
      </x:c>
    </x:row>
    <x:row r="4794" spans="1:16">
      <x:c r="A4794" s="0" t="s">
        <x:v>19023</x:v>
      </x:c>
      <x:c r="B4794" s="0" t="s">
        <x:v>19024</x:v>
      </x:c>
      <x:c r="C4794" s="0" t="s">
        <x:v>19025</x:v>
      </x:c>
      <x:c r="E4794" s="0" t="s">
        <x:v>19026</x:v>
      </x:c>
      <x:c r="F4794" s="0" t="s">
        <x:v>45</x:v>
      </x:c>
      <x:c r="G4794" s="0" t="s">
        <x:v>19</x:v>
      </x:c>
      <x:c r="H4794" s="0" t="s">
        <x:v>20</x:v>
      </x:c>
      <x:c r="I4794" s="0" t="s">
        <x:v>21</x:v>
      </x:c>
      <x:c r="K4794" s="0">
        <x:f>hyperlink("https://icd.who.int/dev11/l-ichi/en#/http%3A%2F%2Fid.who.int%2Ficd%2Fentity%2F1560473968","browser")</x:f>
      </x:c>
      <x:c r="L4794" s="0">
        <x:f>hyperlink("https://icat2.azurewebsites.net/icat/?ontology=ICD&amp;tab=ClassesTab&amp;id=http%3A%2F%2Fwho.int%2Ficd%2325750_512ebf36_bf6b_4d70_85da_cf2637062af4","iCat")</x:f>
      </x:c>
      <x:c r="M4794" s="0" t="s">
        <x:v>21</x:v>
      </x:c>
      <x:c r="N4794" s="0" t="s">
        <x:v>46</x:v>
      </x:c>
    </x:row>
    <x:row r="4795" spans="1:16">
      <x:c r="A4795" s="0" t="s">
        <x:v>19027</x:v>
      </x:c>
      <x:c r="B4795" s="0" t="s">
        <x:v>19028</x:v>
      </x:c>
      <x:c r="C4795" s="0" t="s">
        <x:v>19029</x:v>
      </x:c>
      <x:c r="E4795" s="0" t="s">
        <x:v>19030</x:v>
      </x:c>
      <x:c r="F4795" s="0" t="s">
        <x:v>45</x:v>
      </x:c>
      <x:c r="G4795" s="0" t="s">
        <x:v>19</x:v>
      </x:c>
      <x:c r="H4795" s="0" t="s">
        <x:v>20</x:v>
      </x:c>
      <x:c r="I4795" s="0" t="s">
        <x:v>21</x:v>
      </x:c>
      <x:c r="K4795" s="0">
        <x:f>hyperlink("https://icd.who.int/dev11/l-ichi/en#/http%3A%2F%2Fid.who.int%2Ficd%2Fentity%2F763386595","browser")</x:f>
      </x:c>
      <x:c r="L4795" s="0">
        <x:f>hyperlink("https://icat2.azurewebsites.net/icat/?ontology=ICD&amp;tab=ClassesTab&amp;id=http%3A%2F%2Fwho.int%2Ficd%2325757_512ebf36_bf6b_4d70_85da_cf2637062af4","iCat")</x:f>
      </x:c>
      <x:c r="M4795" s="0" t="s">
        <x:v>21</x:v>
      </x:c>
      <x:c r="N4795" s="0" t="s">
        <x:v>46</x:v>
      </x:c>
    </x:row>
    <x:row r="4796" spans="1:16">
      <x:c r="A4796" s="0" t="s">
        <x:v>19031</x:v>
      </x:c>
      <x:c r="B4796" s="0" t="s">
        <x:v>19032</x:v>
      </x:c>
      <x:c r="C4796" s="0" t="s">
        <x:v>19033</x:v>
      </x:c>
      <x:c r="E4796" s="0" t="s">
        <x:v>19034</x:v>
      </x:c>
      <x:c r="F4796" s="0" t="s">
        <x:v>45</x:v>
      </x:c>
      <x:c r="G4796" s="0" t="s">
        <x:v>19</x:v>
      </x:c>
      <x:c r="H4796" s="0" t="s">
        <x:v>20</x:v>
      </x:c>
      <x:c r="I4796" s="0" t="s">
        <x:v>21</x:v>
      </x:c>
      <x:c r="K4796" s="0">
        <x:f>hyperlink("https://icd.who.int/dev11/l-ichi/en#/http%3A%2F%2Fid.who.int%2Ficd%2Fentity%2F463636174","browser")</x:f>
      </x:c>
      <x:c r="L4796" s="0">
        <x:f>hyperlink("https://icat2.azurewebsites.net/icat/?ontology=ICD&amp;tab=ClassesTab&amp;id=http%3A%2F%2Fwho.int%2Ficd%2315068_4869915e_217e_423d_acb3_33c0f920ef4b","iCat")</x:f>
      </x:c>
      <x:c r="M4796" s="0" t="s">
        <x:v>21</x:v>
      </x:c>
      <x:c r="N4796" s="0" t="s">
        <x:v>46</x:v>
      </x:c>
    </x:row>
    <x:row r="4797" spans="1:16">
      <x:c r="A4797" s="0" t="s">
        <x:v>19035</x:v>
      </x:c>
      <x:c r="B4797" s="0" t="s">
        <x:v>19036</x:v>
      </x:c>
      <x:c r="C4797" s="0" t="s">
        <x:v>19037</x:v>
      </x:c>
      <x:c r="E4797" s="0" t="s">
        <x:v>19038</x:v>
      </x:c>
      <x:c r="F4797" s="0" t="s">
        <x:v>45</x:v>
      </x:c>
      <x:c r="G4797" s="0" t="s">
        <x:v>19</x:v>
      </x:c>
      <x:c r="H4797" s="0" t="s">
        <x:v>20</x:v>
      </x:c>
      <x:c r="I4797" s="0" t="s">
        <x:v>21</x:v>
      </x:c>
      <x:c r="K4797" s="0">
        <x:f>hyperlink("https://icd.who.int/dev11/l-ichi/en#/http%3A%2F%2Fid.who.int%2Ficd%2Fentity%2F182560442","browser")</x:f>
      </x:c>
      <x:c r="L4797" s="0">
        <x:f>hyperlink("https://icat2.azurewebsites.net/icat/?ontology=ICD&amp;tab=ClassesTab&amp;id=http%3A%2F%2Fwho.int%2Ficd%2315074_4869915e_217e_423d_acb3_33c0f920ef4b","iCat")</x:f>
      </x:c>
      <x:c r="M4797" s="0" t="s">
        <x:v>21</x:v>
      </x:c>
      <x:c r="N4797" s="0" t="s">
        <x:v>46</x:v>
      </x:c>
    </x:row>
    <x:row r="4798" spans="1:16">
      <x:c r="A4798" s="0" t="s">
        <x:v>19039</x:v>
      </x:c>
      <x:c r="B4798" s="0" t="s">
        <x:v>19040</x:v>
      </x:c>
      <x:c r="C4798" s="0" t="s">
        <x:v>19041</x:v>
      </x:c>
      <x:c r="E4798" s="0" t="s">
        <x:v>19042</x:v>
      </x:c>
      <x:c r="F4798" s="0" t="s">
        <x:v>45</x:v>
      </x:c>
      <x:c r="G4798" s="0" t="s">
        <x:v>19</x:v>
      </x:c>
      <x:c r="H4798" s="0" t="s">
        <x:v>20</x:v>
      </x:c>
      <x:c r="I4798" s="0" t="s">
        <x:v>21</x:v>
      </x:c>
      <x:c r="K4798" s="0">
        <x:f>hyperlink("https://icd.who.int/dev11/l-ichi/en#/http%3A%2F%2Fid.who.int%2Ficd%2Fentity%2F1479990930","browser")</x:f>
      </x:c>
      <x:c r="L4798" s="0">
        <x:f>hyperlink("https://icat2.azurewebsites.net/icat/?ontology=ICD&amp;tab=ClassesTab&amp;id=http%3A%2F%2Fwho.int%2Ficd%2325763_512ebf36_bf6b_4d70_85da_cf2637062af4","iCat")</x:f>
      </x:c>
      <x:c r="M4798" s="0" t="s">
        <x:v>21</x:v>
      </x:c>
      <x:c r="N4798" s="0" t="s">
        <x:v>46</x:v>
      </x:c>
    </x:row>
    <x:row r="4799" spans="1:16">
      <x:c r="A4799" s="0" t="s">
        <x:v>19043</x:v>
      </x:c>
      <x:c r="B4799" s="0" t="s">
        <x:v>19044</x:v>
      </x:c>
      <x:c r="C4799" s="0" t="s">
        <x:v>19045</x:v>
      </x:c>
      <x:c r="E4799" s="0" t="s">
        <x:v>19046</x:v>
      </x:c>
      <x:c r="F4799" s="0" t="s">
        <x:v>45</x:v>
      </x:c>
      <x:c r="G4799" s="0" t="s">
        <x:v>19</x:v>
      </x:c>
      <x:c r="H4799" s="0" t="s">
        <x:v>20</x:v>
      </x:c>
      <x:c r="I4799" s="0" t="s">
        <x:v>21</x:v>
      </x:c>
      <x:c r="K4799" s="0">
        <x:f>hyperlink("https://icd.who.int/dev11/l-ichi/en#/http%3A%2F%2Fid.who.int%2Ficd%2Fentity%2F302660091","browser")</x:f>
      </x:c>
      <x:c r="L4799" s="0">
        <x:f>hyperlink("https://icat2.azurewebsites.net/icat/?ontology=ICD&amp;tab=ClassesTab&amp;id=http%3A%2F%2Fwho.int%2Ficd%2325772_512ebf36_bf6b_4d70_85da_cf2637062af4","iCat")</x:f>
      </x:c>
      <x:c r="M4799" s="0" t="s">
        <x:v>21</x:v>
      </x:c>
      <x:c r="N4799" s="0" t="s">
        <x:v>46</x:v>
      </x:c>
    </x:row>
    <x:row r="4800" spans="1:16">
      <x:c r="A4800" s="0" t="s">
        <x:v>19047</x:v>
      </x:c>
      <x:c r="B4800" s="0" t="s">
        <x:v>19048</x:v>
      </x:c>
      <x:c r="C4800" s="0" t="s">
        <x:v>19049</x:v>
      </x:c>
      <x:c r="E4800" s="0" t="s">
        <x:v>19050</x:v>
      </x:c>
      <x:c r="F4800" s="0" t="s">
        <x:v>45</x:v>
      </x:c>
      <x:c r="G4800" s="0" t="s">
        <x:v>19</x:v>
      </x:c>
      <x:c r="H4800" s="0" t="s">
        <x:v>20</x:v>
      </x:c>
      <x:c r="I4800" s="0" t="s">
        <x:v>21</x:v>
      </x:c>
      <x:c r="K4800" s="0">
        <x:f>hyperlink("https://icd.who.int/dev11/l-ichi/en#/http%3A%2F%2Fid.who.int%2Ficd%2Fentity%2F972510571","browser")</x:f>
      </x:c>
      <x:c r="L4800" s="0">
        <x:f>hyperlink("https://icat2.azurewebsites.net/icat/?ontology=ICD&amp;tab=ClassesTab&amp;id=http%3A%2F%2Fwho.int%2Ficd%2325778_512ebf36_bf6b_4d70_85da_cf2637062af4","iCat")</x:f>
      </x:c>
      <x:c r="M4800" s="0" t="s">
        <x:v>21</x:v>
      </x:c>
      <x:c r="N4800" s="0" t="s">
        <x:v>46</x:v>
      </x:c>
    </x:row>
    <x:row r="4801" spans="1:16">
      <x:c r="A4801" s="0" t="s">
        <x:v>19051</x:v>
      </x:c>
      <x:c r="B4801" s="0" t="s">
        <x:v>19052</x:v>
      </x:c>
      <x:c r="C4801" s="0" t="s">
        <x:v>19053</x:v>
      </x:c>
      <x:c r="E4801" s="0" t="s">
        <x:v>19054</x:v>
      </x:c>
      <x:c r="F4801" s="0" t="s">
        <x:v>45</x:v>
      </x:c>
      <x:c r="G4801" s="0" t="s">
        <x:v>19</x:v>
      </x:c>
      <x:c r="H4801" s="0" t="s">
        <x:v>20</x:v>
      </x:c>
      <x:c r="I4801" s="0" t="s">
        <x:v>21</x:v>
      </x:c>
      <x:c r="K4801" s="0">
        <x:f>hyperlink("https://icd.who.int/dev11/l-ichi/en#/http%3A%2F%2Fid.who.int%2Ficd%2Fentity%2F1838590614","browser")</x:f>
      </x:c>
      <x:c r="L4801" s="0">
        <x:f>hyperlink("https://icat2.azurewebsites.net/icat/?ontology=ICD&amp;tab=ClassesTab&amp;id=http%3A%2F%2Fwho.int%2Ficd%2325784_512ebf36_bf6b_4d70_85da_cf2637062af4","iCat")</x:f>
      </x:c>
      <x:c r="M4801" s="0" t="s">
        <x:v>21</x:v>
      </x:c>
      <x:c r="N4801" s="0" t="s">
        <x:v>46</x:v>
      </x:c>
    </x:row>
    <x:row r="4802" spans="1:16">
      <x:c r="A4802" s="0" t="s">
        <x:v>19055</x:v>
      </x:c>
      <x:c r="B4802" s="0" t="s">
        <x:v>19056</x:v>
      </x:c>
      <x:c r="C4802" s="0" t="s">
        <x:v>19057</x:v>
      </x:c>
      <x:c r="E4802" s="0" t="s">
        <x:v>19058</x:v>
      </x:c>
      <x:c r="F4802" s="0" t="s">
        <x:v>45</x:v>
      </x:c>
      <x:c r="G4802" s="0" t="s">
        <x:v>19</x:v>
      </x:c>
      <x:c r="H4802" s="0" t="s">
        <x:v>20</x:v>
      </x:c>
      <x:c r="I4802" s="0" t="s">
        <x:v>21</x:v>
      </x:c>
      <x:c r="K4802" s="0">
        <x:f>hyperlink("https://icd.who.int/dev11/l-ichi/en#/http%3A%2F%2Fid.who.int%2Ficd%2Fentity%2F1462298226","browser")</x:f>
      </x:c>
      <x:c r="L4802" s="0">
        <x:f>hyperlink("https://icat2.azurewebsites.net/icat/?ontology=ICD&amp;tab=ClassesTab&amp;id=http%3A%2F%2Fwho.int%2Ficd%2325792_512ebf36_bf6b_4d70_85da_cf2637062af4","iCat")</x:f>
      </x:c>
      <x:c r="M4802" s="0" t="s">
        <x:v>21</x:v>
      </x:c>
      <x:c r="N4802" s="0" t="s">
        <x:v>46</x:v>
      </x:c>
    </x:row>
    <x:row r="4803" spans="1:16">
      <x:c r="A4803" s="0" t="s">
        <x:v>19059</x:v>
      </x:c>
      <x:c r="B4803" s="0" t="s">
        <x:v>19060</x:v>
      </x:c>
      <x:c r="C4803" s="0" t="s">
        <x:v>19061</x:v>
      </x:c>
      <x:c r="E4803" s="0" t="s">
        <x:v>19062</x:v>
      </x:c>
      <x:c r="F4803" s="0" t="s">
        <x:v>45</x:v>
      </x:c>
      <x:c r="G4803" s="0" t="s">
        <x:v>19</x:v>
      </x:c>
      <x:c r="H4803" s="0" t="s">
        <x:v>20</x:v>
      </x:c>
      <x:c r="I4803" s="0" t="s">
        <x:v>21</x:v>
      </x:c>
      <x:c r="K4803" s="0">
        <x:f>hyperlink("https://icd.who.int/dev11/l-ichi/en#/http%3A%2F%2Fid.who.int%2Ficd%2Fentity%2F837658402","browser")</x:f>
      </x:c>
      <x:c r="L4803" s="0">
        <x:f>hyperlink("https://icat2.azurewebsites.net/icat/?ontology=ICD&amp;tab=ClassesTab&amp;id=http%3A%2F%2Fwho.int%2Ficd%2325800_512ebf36_bf6b_4d70_85da_cf2637062af4","iCat")</x:f>
      </x:c>
      <x:c r="M4803" s="0" t="s">
        <x:v>21</x:v>
      </x:c>
      <x:c r="N4803" s="0" t="s">
        <x:v>46</x:v>
      </x:c>
    </x:row>
    <x:row r="4804" spans="1:16">
      <x:c r="A4804" s="0" t="s">
        <x:v>19063</x:v>
      </x:c>
      <x:c r="B4804" s="0" t="s">
        <x:v>19064</x:v>
      </x:c>
      <x:c r="C4804" s="0" t="s">
        <x:v>19065</x:v>
      </x:c>
      <x:c r="E4804" s="0" t="s">
        <x:v>19066</x:v>
      </x:c>
      <x:c r="F4804" s="0" t="s">
        <x:v>45</x:v>
      </x:c>
      <x:c r="G4804" s="0" t="s">
        <x:v>19</x:v>
      </x:c>
      <x:c r="H4804" s="0" t="s">
        <x:v>20</x:v>
      </x:c>
      <x:c r="I4804" s="0" t="s">
        <x:v>21</x:v>
      </x:c>
      <x:c r="K4804" s="0">
        <x:f>hyperlink("https://icd.who.int/dev11/l-ichi/en#/http%3A%2F%2Fid.who.int%2Ficd%2Fentity%2F1637252755","browser")</x:f>
      </x:c>
      <x:c r="L4804" s="0">
        <x:f>hyperlink("https://icat2.azurewebsites.net/icat/?ontology=ICD&amp;tab=ClassesTab&amp;id=http%3A%2F%2Fwho.int%2Ficd%2325806_512ebf36_bf6b_4d70_85da_cf2637062af4","iCat")</x:f>
      </x:c>
      <x:c r="M4804" s="0" t="s">
        <x:v>21</x:v>
      </x:c>
      <x:c r="N4804" s="0" t="s">
        <x:v>46</x:v>
      </x:c>
    </x:row>
    <x:row r="4805" spans="1:16">
      <x:c r="A4805" s="0" t="s">
        <x:v>19067</x:v>
      </x:c>
      <x:c r="B4805" s="0" t="s">
        <x:v>19068</x:v>
      </x:c>
      <x:c r="C4805" s="0" t="s">
        <x:v>19069</x:v>
      </x:c>
      <x:c r="E4805" s="0" t="s">
        <x:v>19070</x:v>
      </x:c>
      <x:c r="F4805" s="0" t="s">
        <x:v>45</x:v>
      </x:c>
      <x:c r="G4805" s="0" t="s">
        <x:v>19</x:v>
      </x:c>
      <x:c r="H4805" s="0" t="s">
        <x:v>20</x:v>
      </x:c>
      <x:c r="I4805" s="0" t="s">
        <x:v>21</x:v>
      </x:c>
      <x:c r="K4805" s="0">
        <x:f>hyperlink("https://icd.who.int/dev11/l-ichi/en#/http%3A%2F%2Fid.who.int%2Ficd%2Fentity%2F1045704624","browser")</x:f>
      </x:c>
      <x:c r="L4805" s="0">
        <x:f>hyperlink("https://icat2.azurewebsites.net/icat/?ontology=ICD&amp;tab=ClassesTab&amp;id=http%3A%2F%2Fwho.int%2Ficd%2325812_512ebf36_bf6b_4d70_85da_cf2637062af4","iCat")</x:f>
      </x:c>
      <x:c r="M4805" s="0" t="s">
        <x:v>21</x:v>
      </x:c>
      <x:c r="N4805" s="0" t="s">
        <x:v>46</x:v>
      </x:c>
    </x:row>
    <x:row r="4806" spans="1:16">
      <x:c r="A4806" s="0" t="s">
        <x:v>19071</x:v>
      </x:c>
      <x:c r="B4806" s="0" t="s">
        <x:v>19072</x:v>
      </x:c>
      <x:c r="C4806" s="0" t="s">
        <x:v>19073</x:v>
      </x:c>
      <x:c r="E4806" s="0" t="s">
        <x:v>19074</x:v>
      </x:c>
      <x:c r="F4806" s="0" t="s">
        <x:v>45</x:v>
      </x:c>
      <x:c r="G4806" s="0" t="s">
        <x:v>19</x:v>
      </x:c>
      <x:c r="H4806" s="0" t="s">
        <x:v>20</x:v>
      </x:c>
      <x:c r="I4806" s="0" t="s">
        <x:v>21</x:v>
      </x:c>
      <x:c r="K4806" s="0">
        <x:f>hyperlink("https://icd.who.int/dev11/l-ichi/en#/http%3A%2F%2Fid.who.int%2Ficd%2Fentity%2F363414304","browser")</x:f>
      </x:c>
      <x:c r="L4806" s="0">
        <x:f>hyperlink("https://icat2.azurewebsites.net/icat/?ontology=ICD&amp;tab=ClassesTab&amp;id=http%3A%2F%2Fwho.int%2Ficd%2325818_512ebf36_bf6b_4d70_85da_cf2637062af4","iCat")</x:f>
      </x:c>
      <x:c r="M4806" s="0" t="s">
        <x:v>21</x:v>
      </x:c>
      <x:c r="N4806" s="0" t="s">
        <x:v>46</x:v>
      </x:c>
    </x:row>
    <x:row r="4807" spans="1:16">
      <x:c r="A4807" s="0" t="s">
        <x:v>19075</x:v>
      </x:c>
      <x:c r="B4807" s="0" t="s">
        <x:v>19076</x:v>
      </x:c>
      <x:c r="C4807" s="0" t="s">
        <x:v>19077</x:v>
      </x:c>
      <x:c r="E4807" s="0" t="s">
        <x:v>19078</x:v>
      </x:c>
      <x:c r="F4807" s="0" t="s">
        <x:v>45</x:v>
      </x:c>
      <x:c r="G4807" s="0" t="s">
        <x:v>19</x:v>
      </x:c>
      <x:c r="H4807" s="0" t="s">
        <x:v>20</x:v>
      </x:c>
      <x:c r="I4807" s="0" t="s">
        <x:v>21</x:v>
      </x:c>
      <x:c r="K4807" s="0">
        <x:f>hyperlink("https://icd.who.int/dev11/l-ichi/en#/http%3A%2F%2Fid.who.int%2Ficd%2Fentity%2F1273146307","browser")</x:f>
      </x:c>
      <x:c r="L4807" s="0">
        <x:f>hyperlink("https://icat2.azurewebsites.net/icat/?ontology=ICD&amp;tab=ClassesTab&amp;id=http%3A%2F%2Fwho.int%2Ficd%2325826_512ebf36_bf6b_4d70_85da_cf2637062af4","iCat")</x:f>
      </x:c>
      <x:c r="M4807" s="0" t="s">
        <x:v>21</x:v>
      </x:c>
      <x:c r="N4807" s="0" t="s">
        <x:v>46</x:v>
      </x:c>
    </x:row>
    <x:row r="4808" spans="1:16">
      <x:c r="A4808" s="0" t="s">
        <x:v>19079</x:v>
      </x:c>
      <x:c r="B4808" s="0" t="s">
        <x:v>19080</x:v>
      </x:c>
      <x:c r="C4808" s="0" t="s">
        <x:v>19081</x:v>
      </x:c>
      <x:c r="E4808" s="0" t="s">
        <x:v>19082</x:v>
      </x:c>
      <x:c r="F4808" s="0" t="s">
        <x:v>45</x:v>
      </x:c>
      <x:c r="G4808" s="0" t="s">
        <x:v>19</x:v>
      </x:c>
      <x:c r="H4808" s="0" t="s">
        <x:v>20</x:v>
      </x:c>
      <x:c r="I4808" s="0" t="s">
        <x:v>21</x:v>
      </x:c>
      <x:c r="K4808" s="0">
        <x:f>hyperlink("https://icd.who.int/dev11/l-ichi/en#/http%3A%2F%2Fid.who.int%2Ficd%2Fentity%2F886671580","browser")</x:f>
      </x:c>
      <x:c r="L4808" s="0">
        <x:f>hyperlink("https://icat2.azurewebsites.net/icat/?ontology=ICD&amp;tab=ClassesTab&amp;id=http%3A%2F%2Fwho.int%2Ficd%2325833_512ebf36_bf6b_4d70_85da_cf2637062af4","iCat")</x:f>
      </x:c>
      <x:c r="M4808" s="0" t="s">
        <x:v>21</x:v>
      </x:c>
      <x:c r="N4808" s="0" t="s">
        <x:v>46</x:v>
      </x:c>
    </x:row>
    <x:row r="4809" spans="1:16">
      <x:c r="A4809" s="0" t="s">
        <x:v>19083</x:v>
      </x:c>
      <x:c r="B4809" s="0" t="s">
        <x:v>19084</x:v>
      </x:c>
      <x:c r="C4809" s="0" t="s">
        <x:v>19085</x:v>
      </x:c>
      <x:c r="E4809" s="0" t="s">
        <x:v>19086</x:v>
      </x:c>
      <x:c r="F4809" s="0" t="s">
        <x:v>45</x:v>
      </x:c>
      <x:c r="G4809" s="0" t="s">
        <x:v>19</x:v>
      </x:c>
      <x:c r="H4809" s="0" t="s">
        <x:v>20</x:v>
      </x:c>
      <x:c r="I4809" s="0" t="s">
        <x:v>21</x:v>
      </x:c>
      <x:c r="K4809" s="0">
        <x:f>hyperlink("https://icd.who.int/dev11/l-ichi/en#/http%3A%2F%2Fid.who.int%2Ficd%2Fentity%2F522511436","browser")</x:f>
      </x:c>
      <x:c r="L4809" s="0">
        <x:f>hyperlink("https://icat2.azurewebsites.net/icat/?ontology=ICD&amp;tab=ClassesTab&amp;id=http%3A%2F%2Fwho.int%2Ficd%2325839_512ebf36_bf6b_4d70_85da_cf2637062af4","iCat")</x:f>
      </x:c>
      <x:c r="M4809" s="0" t="s">
        <x:v>21</x:v>
      </x:c>
      <x:c r="N4809" s="0" t="s">
        <x:v>46</x:v>
      </x:c>
    </x:row>
    <x:row r="4810" spans="1:16">
      <x:c r="A4810" s="0" t="s">
        <x:v>19087</x:v>
      </x:c>
      <x:c r="B4810" s="0" t="s">
        <x:v>19088</x:v>
      </x:c>
      <x:c r="C4810" s="0" t="s">
        <x:v>19089</x:v>
      </x:c>
      <x:c r="E4810" s="0" t="s">
        <x:v>19090</x:v>
      </x:c>
      <x:c r="F4810" s="0" t="s">
        <x:v>45</x:v>
      </x:c>
      <x:c r="G4810" s="0" t="s">
        <x:v>19</x:v>
      </x:c>
      <x:c r="H4810" s="0" t="s">
        <x:v>20</x:v>
      </x:c>
      <x:c r="I4810" s="0" t="s">
        <x:v>21</x:v>
      </x:c>
      <x:c r="K4810" s="0">
        <x:f>hyperlink("https://icd.who.int/dev11/l-ichi/en#/http%3A%2F%2Fid.who.int%2Ficd%2Fentity%2F822632370","browser")</x:f>
      </x:c>
      <x:c r="L4810" s="0">
        <x:f>hyperlink("https://icat2.azurewebsites.net/icat/?ontology=ICD&amp;tab=ClassesTab&amp;id=http%3A%2F%2Fwho.int%2Ficd%2325847_512ebf36_bf6b_4d70_85da_cf2637062af4","iCat")</x:f>
      </x:c>
      <x:c r="M4810" s="0" t="s">
        <x:v>21</x:v>
      </x:c>
      <x:c r="N4810" s="0" t="s">
        <x:v>46</x:v>
      </x:c>
    </x:row>
    <x:row r="4811" spans="1:16">
      <x:c r="A4811" s="0" t="s">
        <x:v>19091</x:v>
      </x:c>
      <x:c r="B4811" s="0" t="s">
        <x:v>19092</x:v>
      </x:c>
      <x:c r="C4811" s="0" t="s">
        <x:v>19093</x:v>
      </x:c>
      <x:c r="E4811" s="0" t="s">
        <x:v>19094</x:v>
      </x:c>
      <x:c r="F4811" s="0" t="s">
        <x:v>45</x:v>
      </x:c>
      <x:c r="G4811" s="0" t="s">
        <x:v>19</x:v>
      </x:c>
      <x:c r="H4811" s="0" t="s">
        <x:v>20</x:v>
      </x:c>
      <x:c r="I4811" s="0" t="s">
        <x:v>21</x:v>
      </x:c>
      <x:c r="K4811" s="0">
        <x:f>hyperlink("https://icd.who.int/dev11/l-ichi/en#/http%3A%2F%2Fid.who.int%2Ficd%2Fentity%2F1858735761","browser")</x:f>
      </x:c>
      <x:c r="L4811" s="0">
        <x:f>hyperlink("https://icat2.azurewebsites.net/icat/?ontology=ICD&amp;tab=ClassesTab&amp;id=http%3A%2F%2Fwho.int%2Ficd%2325853_512ebf36_bf6b_4d70_85da_cf2637062af4","iCat")</x:f>
      </x:c>
      <x:c r="M4811" s="0" t="s">
        <x:v>21</x:v>
      </x:c>
      <x:c r="N4811" s="0" t="s">
        <x:v>46</x:v>
      </x:c>
    </x:row>
    <x:row r="4812" spans="1:16">
      <x:c r="A4812" s="0" t="s">
        <x:v>19095</x:v>
      </x:c>
      <x:c r="B4812" s="0" t="s">
        <x:v>19096</x:v>
      </x:c>
      <x:c r="C4812" s="0" t="s">
        <x:v>19097</x:v>
      </x:c>
      <x:c r="E4812" s="0" t="s">
        <x:v>19098</x:v>
      </x:c>
      <x:c r="F4812" s="0" t="s">
        <x:v>45</x:v>
      </x:c>
      <x:c r="G4812" s="0" t="s">
        <x:v>19</x:v>
      </x:c>
      <x:c r="H4812" s="0" t="s">
        <x:v>20</x:v>
      </x:c>
      <x:c r="I4812" s="0" t="s">
        <x:v>21</x:v>
      </x:c>
      <x:c r="K4812" s="0">
        <x:f>hyperlink("https://icd.who.int/dev11/l-ichi/en#/http%3A%2F%2Fid.who.int%2Ficd%2Fentity%2F1161257473","browser")</x:f>
      </x:c>
      <x:c r="L4812" s="0">
        <x:f>hyperlink("https://icat2.azurewebsites.net/icat/?ontology=ICD&amp;tab=ClassesTab&amp;id=http%3A%2F%2Fwho.int%2Ficd%2325859_512ebf36_bf6b_4d70_85da_cf2637062af4","iCat")</x:f>
      </x:c>
      <x:c r="M4812" s="0" t="s">
        <x:v>21</x:v>
      </x:c>
      <x:c r="N4812" s="0" t="s">
        <x:v>46</x:v>
      </x:c>
    </x:row>
    <x:row r="4813" spans="1:16">
      <x:c r="A4813" s="0" t="s">
        <x:v>19099</x:v>
      </x:c>
      <x:c r="B4813" s="0" t="s">
        <x:v>19100</x:v>
      </x:c>
      <x:c r="C4813" s="0" t="s">
        <x:v>19101</x:v>
      </x:c>
      <x:c r="E4813" s="0" t="s">
        <x:v>19102</x:v>
      </x:c>
      <x:c r="F4813" s="0" t="s">
        <x:v>45</x:v>
      </x:c>
      <x:c r="G4813" s="0" t="s">
        <x:v>19</x:v>
      </x:c>
      <x:c r="H4813" s="0" t="s">
        <x:v>20</x:v>
      </x:c>
      <x:c r="I4813" s="0" t="s">
        <x:v>21</x:v>
      </x:c>
      <x:c r="K4813" s="0">
        <x:f>hyperlink("https://icd.who.int/dev11/l-ichi/en#/http%3A%2F%2Fid.who.int%2Ficd%2Fentity%2F2113967911","browser")</x:f>
      </x:c>
      <x:c r="L4813" s="0">
        <x:f>hyperlink("https://icat2.azurewebsites.net/icat/?ontology=ICD&amp;tab=ClassesTab&amp;id=http%3A%2F%2Fwho.int%2Ficd%2325865_512ebf36_bf6b_4d70_85da_cf2637062af4","iCat")</x:f>
      </x:c>
      <x:c r="M4813" s="0" t="s">
        <x:v>21</x:v>
      </x:c>
      <x:c r="N4813" s="0" t="s">
        <x:v>46</x:v>
      </x:c>
    </x:row>
    <x:row r="4814" spans="1:16">
      <x:c r="A4814" s="0" t="s">
        <x:v>19103</x:v>
      </x:c>
      <x:c r="B4814" s="0" t="s">
        <x:v>19104</x:v>
      </x:c>
      <x:c r="C4814" s="0" t="s">
        <x:v>19105</x:v>
      </x:c>
      <x:c r="E4814" s="0" t="s">
        <x:v>19106</x:v>
      </x:c>
      <x:c r="F4814" s="0" t="s">
        <x:v>45</x:v>
      </x:c>
      <x:c r="G4814" s="0" t="s">
        <x:v>19</x:v>
      </x:c>
      <x:c r="H4814" s="0" t="s">
        <x:v>20</x:v>
      </x:c>
      <x:c r="I4814" s="0" t="s">
        <x:v>21</x:v>
      </x:c>
      <x:c r="K4814" s="0">
        <x:f>hyperlink("https://icd.who.int/dev11/l-ichi/en#/http%3A%2F%2Fid.who.int%2Ficd%2Fentity%2F348455538","browser")</x:f>
      </x:c>
      <x:c r="L4814" s="0">
        <x:f>hyperlink("https://icat2.azurewebsites.net/icat/?ontology=ICD&amp;tab=ClassesTab&amp;id=http%3A%2F%2Fwho.int%2Ficd%2325875_512ebf36_bf6b_4d70_85da_cf2637062af4","iCat")</x:f>
      </x:c>
      <x:c r="M4814" s="0" t="s">
        <x:v>21</x:v>
      </x:c>
      <x:c r="N4814" s="0" t="s">
        <x:v>46</x:v>
      </x:c>
    </x:row>
    <x:row r="4815" spans="1:16">
      <x:c r="A4815" s="0" t="s">
        <x:v>19107</x:v>
      </x:c>
      <x:c r="B4815" s="0" t="s">
        <x:v>19108</x:v>
      </x:c>
      <x:c r="C4815" s="0" t="s">
        <x:v>19109</x:v>
      </x:c>
      <x:c r="E4815" s="0" t="s">
        <x:v>19110</x:v>
      </x:c>
      <x:c r="F4815" s="0" t="s">
        <x:v>45</x:v>
      </x:c>
      <x:c r="G4815" s="0" t="s">
        <x:v>19</x:v>
      </x:c>
      <x:c r="H4815" s="0" t="s">
        <x:v>20</x:v>
      </x:c>
      <x:c r="I4815" s="0" t="s">
        <x:v>21</x:v>
      </x:c>
      <x:c r="K4815" s="0">
        <x:f>hyperlink("https://icd.who.int/dev11/l-ichi/en#/http%3A%2F%2Fid.who.int%2Ficd%2Fentity%2F1801031967","browser")</x:f>
      </x:c>
      <x:c r="L4815" s="0">
        <x:f>hyperlink("https://icat2.azurewebsites.net/icat/?ontology=ICD&amp;tab=ClassesTab&amp;id=http%3A%2F%2Fwho.int%2Ficd%2325883_512ebf36_bf6b_4d70_85da_cf2637062af4","iCat")</x:f>
      </x:c>
      <x:c r="M4815" s="0" t="s">
        <x:v>21</x:v>
      </x:c>
      <x:c r="N4815" s="0" t="s">
        <x:v>46</x:v>
      </x:c>
    </x:row>
    <x:row r="4816" spans="1:16">
      <x:c r="A4816" s="0" t="s">
        <x:v>19111</x:v>
      </x:c>
      <x:c r="B4816" s="0" t="s">
        <x:v>19112</x:v>
      </x:c>
      <x:c r="C4816" s="0" t="s">
        <x:v>19113</x:v>
      </x:c>
      <x:c r="E4816" s="0" t="s">
        <x:v>19114</x:v>
      </x:c>
      <x:c r="F4816" s="0" t="s">
        <x:v>45</x:v>
      </x:c>
      <x:c r="G4816" s="0" t="s">
        <x:v>19</x:v>
      </x:c>
      <x:c r="H4816" s="0" t="s">
        <x:v>20</x:v>
      </x:c>
      <x:c r="I4816" s="0" t="s">
        <x:v>21</x:v>
      </x:c>
      <x:c r="K4816" s="0">
        <x:f>hyperlink("https://icd.who.int/dev11/l-ichi/en#/http%3A%2F%2Fid.who.int%2Ficd%2Fentity%2F1135869886","browser")</x:f>
      </x:c>
      <x:c r="L4816" s="0">
        <x:f>hyperlink("https://icat2.azurewebsites.net/icat/?ontology=ICD&amp;tab=ClassesTab&amp;id=http%3A%2F%2Fwho.int%2Ficd%23836_63e30ea5_14bd_4823_bf2d_a6a05c9b9750","iCat")</x:f>
      </x:c>
      <x:c r="M4816" s="0" t="s">
        <x:v>21</x:v>
      </x:c>
      <x:c r="N4816" s="0" t="s">
        <x:v>46</x:v>
      </x:c>
    </x:row>
    <x:row r="4817" spans="1:16">
      <x:c r="A4817" s="0" t="s">
        <x:v>19115</x:v>
      </x:c>
      <x:c r="B4817" s="0" t="s">
        <x:v>19116</x:v>
      </x:c>
      <x:c r="C4817" s="0" t="s">
        <x:v>19117</x:v>
      </x:c>
      <x:c r="E4817" s="0" t="s">
        <x:v>19118</x:v>
      </x:c>
      <x:c r="F4817" s="0" t="s">
        <x:v>45</x:v>
      </x:c>
      <x:c r="G4817" s="0" t="s">
        <x:v>19</x:v>
      </x:c>
      <x:c r="H4817" s="0" t="s">
        <x:v>20</x:v>
      </x:c>
      <x:c r="I4817" s="0" t="s">
        <x:v>21</x:v>
      </x:c>
      <x:c r="K4817" s="0">
        <x:f>hyperlink("https://icd.who.int/dev11/l-ichi/en#/http%3A%2F%2Fid.who.int%2Ficd%2Fentity%2F1084554639","browser")</x:f>
      </x:c>
      <x:c r="L4817" s="0">
        <x:f>hyperlink("https://icat2.azurewebsites.net/icat/?ontology=ICD&amp;tab=ClassesTab&amp;id=http%3A%2F%2Fwho.int%2Ficd%2325889_512ebf36_bf6b_4d70_85da_cf2637062af4","iCat")</x:f>
      </x:c>
      <x:c r="M4817" s="0" t="s">
        <x:v>21</x:v>
      </x:c>
      <x:c r="N4817" s="0" t="s">
        <x:v>46</x:v>
      </x:c>
    </x:row>
    <x:row r="4818" spans="1:16">
      <x:c r="A4818" s="0" t="s">
        <x:v>19119</x:v>
      </x:c>
      <x:c r="B4818" s="0" t="s">
        <x:v>19120</x:v>
      </x:c>
      <x:c r="C4818" s="0" t="s">
        <x:v>19121</x:v>
      </x:c>
      <x:c r="E4818" s="0" t="s">
        <x:v>19122</x:v>
      </x:c>
      <x:c r="F4818" s="0" t="s">
        <x:v>45</x:v>
      </x:c>
      <x:c r="G4818" s="0" t="s">
        <x:v>19</x:v>
      </x:c>
      <x:c r="H4818" s="0" t="s">
        <x:v>20</x:v>
      </x:c>
      <x:c r="I4818" s="0" t="s">
        <x:v>21</x:v>
      </x:c>
      <x:c r="K4818" s="0">
        <x:f>hyperlink("https://icd.who.int/dev11/l-ichi/en#/http%3A%2F%2Fid.who.int%2Ficd%2Fentity%2F342012416","browser")</x:f>
      </x:c>
      <x:c r="L4818" s="0">
        <x:f>hyperlink("https://icat2.azurewebsites.net/icat/?ontology=ICD&amp;tab=ClassesTab&amp;id=http%3A%2F%2Fwho.int%2Ficd%2325896_512ebf36_bf6b_4d70_85da_cf2637062af4","iCat")</x:f>
      </x:c>
      <x:c r="M4818" s="0" t="s">
        <x:v>21</x:v>
      </x:c>
      <x:c r="N4818" s="0" t="s">
        <x:v>46</x:v>
      </x:c>
    </x:row>
    <x:row r="4819" spans="1:16">
      <x:c r="A4819" s="0" t="s">
        <x:v>19123</x:v>
      </x:c>
      <x:c r="B4819" s="0" t="s">
        <x:v>19124</x:v>
      </x:c>
      <x:c r="C4819" s="0" t="s">
        <x:v>19125</x:v>
      </x:c>
      <x:c r="E4819" s="0" t="s">
        <x:v>19126</x:v>
      </x:c>
      <x:c r="F4819" s="0" t="s">
        <x:v>45</x:v>
      </x:c>
      <x:c r="G4819" s="0" t="s">
        <x:v>19</x:v>
      </x:c>
      <x:c r="H4819" s="0" t="s">
        <x:v>20</x:v>
      </x:c>
      <x:c r="I4819" s="0" t="s">
        <x:v>21</x:v>
      </x:c>
      <x:c r="K4819" s="0">
        <x:f>hyperlink("https://icd.who.int/dev11/l-ichi/en#/http%3A%2F%2Fid.who.int%2Ficd%2Fentity%2F32968264","browser")</x:f>
      </x:c>
      <x:c r="L4819" s="0">
        <x:f>hyperlink("https://icat2.azurewebsites.net/icat/?ontology=ICD&amp;tab=ClassesTab&amp;id=http%3A%2F%2Fwho.int%2Ficd%2325903_512ebf36_bf6b_4d70_85da_cf2637062af4","iCat")</x:f>
      </x:c>
      <x:c r="M4819" s="0" t="s">
        <x:v>21</x:v>
      </x:c>
      <x:c r="N4819" s="0" t="s">
        <x:v>46</x:v>
      </x:c>
    </x:row>
    <x:row r="4820" spans="1:16">
      <x:c r="A4820" s="0" t="s">
        <x:v>19127</x:v>
      </x:c>
      <x:c r="B4820" s="0" t="s">
        <x:v>19128</x:v>
      </x:c>
      <x:c r="C4820" s="0" t="s">
        <x:v>19129</x:v>
      </x:c>
      <x:c r="E4820" s="0" t="s">
        <x:v>19130</x:v>
      </x:c>
      <x:c r="F4820" s="0" t="s">
        <x:v>45</x:v>
      </x:c>
      <x:c r="G4820" s="0" t="s">
        <x:v>19</x:v>
      </x:c>
      <x:c r="H4820" s="0" t="s">
        <x:v>20</x:v>
      </x:c>
      <x:c r="I4820" s="0" t="s">
        <x:v>21</x:v>
      </x:c>
      <x:c r="K4820" s="0">
        <x:f>hyperlink("https://icd.who.int/dev11/l-ichi/en#/http%3A%2F%2Fid.who.int%2Ficd%2Fentity%2F705323736","browser")</x:f>
      </x:c>
      <x:c r="L4820" s="0">
        <x:f>hyperlink("https://icat2.azurewebsites.net/icat/?ontology=ICD&amp;tab=ClassesTab&amp;id=http%3A%2F%2Fwho.int%2Ficd%2325909_512ebf36_bf6b_4d70_85da_cf2637062af4","iCat")</x:f>
      </x:c>
      <x:c r="M4820" s="0" t="s">
        <x:v>21</x:v>
      </x:c>
      <x:c r="N4820" s="0" t="s">
        <x:v>46</x:v>
      </x:c>
    </x:row>
    <x:row r="4821" spans="1:16">
      <x:c r="A4821" s="0" t="s">
        <x:v>19131</x:v>
      </x:c>
      <x:c r="B4821" s="0" t="s">
        <x:v>19132</x:v>
      </x:c>
      <x:c r="C4821" s="0" t="s">
        <x:v>19133</x:v>
      </x:c>
      <x:c r="E4821" s="0" t="s">
        <x:v>19134</x:v>
      </x:c>
      <x:c r="F4821" s="0" t="s">
        <x:v>45</x:v>
      </x:c>
      <x:c r="G4821" s="0" t="s">
        <x:v>19</x:v>
      </x:c>
      <x:c r="H4821" s="0" t="s">
        <x:v>20</x:v>
      </x:c>
      <x:c r="I4821" s="0" t="s">
        <x:v>21</x:v>
      </x:c>
      <x:c r="K4821" s="0">
        <x:f>hyperlink("https://icd.who.int/dev11/l-ichi/en#/http%3A%2F%2Fid.who.int%2Ficd%2Fentity%2F994656928","browser")</x:f>
      </x:c>
      <x:c r="L4821" s="0">
        <x:f>hyperlink("https://icat2.azurewebsites.net/icat/?ontology=ICD&amp;tab=ClassesTab&amp;id=http%3A%2F%2Fwho.int%2Ficd%2325915_512ebf36_bf6b_4d70_85da_cf2637062af4","iCat")</x:f>
      </x:c>
      <x:c r="M4821" s="0" t="s">
        <x:v>21</x:v>
      </x:c>
      <x:c r="N4821" s="0" t="s">
        <x:v>46</x:v>
      </x:c>
    </x:row>
    <x:row r="4822" spans="1:16">
      <x:c r="A4822" s="0" t="s">
        <x:v>19135</x:v>
      </x:c>
      <x:c r="B4822" s="0" t="s">
        <x:v>19136</x:v>
      </x:c>
      <x:c r="C4822" s="0" t="s">
        <x:v>19137</x:v>
      </x:c>
      <x:c r="E4822" s="0" t="s">
        <x:v>19138</x:v>
      </x:c>
      <x:c r="F4822" s="0" t="s">
        <x:v>45</x:v>
      </x:c>
      <x:c r="G4822" s="0" t="s">
        <x:v>19</x:v>
      </x:c>
      <x:c r="H4822" s="0" t="s">
        <x:v>20</x:v>
      </x:c>
      <x:c r="I4822" s="0" t="s">
        <x:v>21</x:v>
      </x:c>
      <x:c r="K4822" s="0">
        <x:f>hyperlink("https://icd.who.int/dev11/l-ichi/en#/http%3A%2F%2Fid.who.int%2Ficd%2Fentity%2F1325385427","browser")</x:f>
      </x:c>
      <x:c r="L4822" s="0">
        <x:f>hyperlink("https://icat2.azurewebsites.net/icat/?ontology=ICD&amp;tab=ClassesTab&amp;id=http%3A%2F%2Fwho.int%2Ficd%2325921_512ebf36_bf6b_4d70_85da_cf2637062af4","iCat")</x:f>
      </x:c>
      <x:c r="M4822" s="0" t="s">
        <x:v>21</x:v>
      </x:c>
      <x:c r="N4822" s="0" t="s">
        <x:v>46</x:v>
      </x:c>
    </x:row>
    <x:row r="4823" spans="1:16">
      <x:c r="A4823" s="0" t="s">
        <x:v>19139</x:v>
      </x:c>
      <x:c r="B4823" s="0" t="s">
        <x:v>19140</x:v>
      </x:c>
      <x:c r="C4823" s="0" t="s">
        <x:v>19141</x:v>
      </x:c>
      <x:c r="E4823" s="0" t="s">
        <x:v>19142</x:v>
      </x:c>
      <x:c r="F4823" s="0" t="s">
        <x:v>45</x:v>
      </x:c>
      <x:c r="G4823" s="0" t="s">
        <x:v>19</x:v>
      </x:c>
      <x:c r="H4823" s="0" t="s">
        <x:v>20</x:v>
      </x:c>
      <x:c r="I4823" s="0" t="s">
        <x:v>21</x:v>
      </x:c>
      <x:c r="K4823" s="0">
        <x:f>hyperlink("https://icd.who.int/dev11/l-ichi/en#/http%3A%2F%2Fid.who.int%2Ficd%2Fentity%2F545768892","browser")</x:f>
      </x:c>
      <x:c r="L4823" s="0">
        <x:f>hyperlink("https://icat2.azurewebsites.net/icat/?ontology=ICD&amp;tab=ClassesTab&amp;id=http%3A%2F%2Fwho.int%2Ficd%2325928_512ebf36_bf6b_4d70_85da_cf2637062af4","iCat")</x:f>
      </x:c>
      <x:c r="M4823" s="0" t="s">
        <x:v>21</x:v>
      </x:c>
      <x:c r="N4823" s="0" t="s">
        <x:v>46</x:v>
      </x:c>
    </x:row>
    <x:row r="4824" spans="1:16">
      <x:c r="A4824" s="0" t="s">
        <x:v>19143</x:v>
      </x:c>
      <x:c r="B4824" s="0" t="s">
        <x:v>19144</x:v>
      </x:c>
      <x:c r="C4824" s="0" t="s">
        <x:v>19145</x:v>
      </x:c>
      <x:c r="E4824" s="0" t="s">
        <x:v>19146</x:v>
      </x:c>
      <x:c r="F4824" s="0" t="s">
        <x:v>45</x:v>
      </x:c>
      <x:c r="G4824" s="0" t="s">
        <x:v>19</x:v>
      </x:c>
      <x:c r="H4824" s="0" t="s">
        <x:v>20</x:v>
      </x:c>
      <x:c r="I4824" s="0" t="s">
        <x:v>21</x:v>
      </x:c>
      <x:c r="K4824" s="0">
        <x:f>hyperlink("https://icd.who.int/dev11/l-ichi/en#/http%3A%2F%2Fid.who.int%2Ficd%2Fentity%2F1950452277","browser")</x:f>
      </x:c>
      <x:c r="L4824" s="0">
        <x:f>hyperlink("https://icat2.azurewebsites.net/icat/?ontology=ICD&amp;tab=ClassesTab&amp;id=http%3A%2F%2Fwho.int%2Ficd%2325937_512ebf36_bf6b_4d70_85da_cf2637062af4","iCat")</x:f>
      </x:c>
      <x:c r="M4824" s="0" t="s">
        <x:v>21</x:v>
      </x:c>
      <x:c r="N4824" s="0" t="s">
        <x:v>46</x:v>
      </x:c>
    </x:row>
    <x:row r="4825" spans="1:16">
      <x:c r="A4825" s="0" t="s">
        <x:v>19147</x:v>
      </x:c>
      <x:c r="B4825" s="0" t="s">
        <x:v>19148</x:v>
      </x:c>
      <x:c r="C4825" s="0" t="s">
        <x:v>19149</x:v>
      </x:c>
      <x:c r="E4825" s="0" t="s">
        <x:v>19150</x:v>
      </x:c>
      <x:c r="F4825" s="0" t="s">
        <x:v>45</x:v>
      </x:c>
      <x:c r="G4825" s="0" t="s">
        <x:v>19</x:v>
      </x:c>
      <x:c r="H4825" s="0" t="s">
        <x:v>20</x:v>
      </x:c>
      <x:c r="I4825" s="0" t="s">
        <x:v>21</x:v>
      </x:c>
      <x:c r="K4825" s="0">
        <x:f>hyperlink("https://icd.who.int/dev11/l-ichi/en#/http%3A%2F%2Fid.who.int%2Ficd%2Fentity%2F469268577","browser")</x:f>
      </x:c>
      <x:c r="L4825" s="0">
        <x:f>hyperlink("https://icat2.azurewebsites.net/icat/?ontology=ICD&amp;tab=ClassesTab&amp;id=http%3A%2F%2Fwho.int%2Ficd%23200_e02c2df3_77b6_419a_b43f_c4531334dd70","iCat")</x:f>
      </x:c>
      <x:c r="M4825" s="0" t="s">
        <x:v>21</x:v>
      </x:c>
      <x:c r="N4825" s="0" t="s">
        <x:v>46</x:v>
      </x:c>
    </x:row>
    <x:row r="4826" spans="1:16">
      <x:c r="A4826" s="0" t="s">
        <x:v>19151</x:v>
      </x:c>
      <x:c r="B4826" s="0" t="s">
        <x:v>19152</x:v>
      </x:c>
      <x:c r="C4826" s="0" t="s">
        <x:v>19153</x:v>
      </x:c>
      <x:c r="E4826" s="0" t="s">
        <x:v>19154</x:v>
      </x:c>
      <x:c r="F4826" s="0" t="s">
        <x:v>45</x:v>
      </x:c>
      <x:c r="G4826" s="0" t="s">
        <x:v>19</x:v>
      </x:c>
      <x:c r="H4826" s="0" t="s">
        <x:v>20</x:v>
      </x:c>
      <x:c r="I4826" s="0" t="s">
        <x:v>21</x:v>
      </x:c>
      <x:c r="K4826" s="0">
        <x:f>hyperlink("https://icd.who.int/dev11/l-ichi/en#/http%3A%2F%2Fid.who.int%2Ficd%2Fentity%2F1905286491","browser")</x:f>
      </x:c>
      <x:c r="L4826" s="0">
        <x:f>hyperlink("https://icat2.azurewebsites.net/icat/?ontology=ICD&amp;tab=ClassesTab&amp;id=http%3A%2F%2Fwho.int%2Ficd%2325943_512ebf36_bf6b_4d70_85da_cf2637062af4","iCat")</x:f>
      </x:c>
      <x:c r="M4826" s="0" t="s">
        <x:v>21</x:v>
      </x:c>
      <x:c r="N4826" s="0" t="s">
        <x:v>46</x:v>
      </x:c>
    </x:row>
    <x:row r="4827" spans="1:16">
      <x:c r="A4827" s="0" t="s">
        <x:v>19155</x:v>
      </x:c>
      <x:c r="B4827" s="0" t="s">
        <x:v>19156</x:v>
      </x:c>
      <x:c r="C4827" s="0" t="s">
        <x:v>19157</x:v>
      </x:c>
      <x:c r="E4827" s="0" t="s">
        <x:v>19158</x:v>
      </x:c>
      <x:c r="F4827" s="0" t="s">
        <x:v>45</x:v>
      </x:c>
      <x:c r="G4827" s="0" t="s">
        <x:v>19</x:v>
      </x:c>
      <x:c r="H4827" s="0" t="s">
        <x:v>20</x:v>
      </x:c>
      <x:c r="I4827" s="0" t="s">
        <x:v>21</x:v>
      </x:c>
      <x:c r="K4827" s="0">
        <x:f>hyperlink("https://icd.who.int/dev11/l-ichi/en#/http%3A%2F%2Fid.who.int%2Ficd%2Fentity%2F1517105611","browser")</x:f>
      </x:c>
      <x:c r="L4827" s="0">
        <x:f>hyperlink("https://icat2.azurewebsites.net/icat/?ontology=ICD&amp;tab=ClassesTab&amp;id=http%3A%2F%2Fwho.int%2Ficd%2325949_512ebf36_bf6b_4d70_85da_cf2637062af4","iCat")</x:f>
      </x:c>
      <x:c r="M4827" s="0" t="s">
        <x:v>21</x:v>
      </x:c>
      <x:c r="N4827" s="0" t="s">
        <x:v>46</x:v>
      </x:c>
    </x:row>
    <x:row r="4828" spans="1:16">
      <x:c r="A4828" s="0" t="s">
        <x:v>19159</x:v>
      </x:c>
      <x:c r="B4828" s="0" t="s">
        <x:v>19160</x:v>
      </x:c>
      <x:c r="C4828" s="0" t="s">
        <x:v>19161</x:v>
      </x:c>
      <x:c r="E4828" s="0" t="s">
        <x:v>19162</x:v>
      </x:c>
      <x:c r="F4828" s="0" t="s">
        <x:v>45</x:v>
      </x:c>
      <x:c r="G4828" s="0" t="s">
        <x:v>19</x:v>
      </x:c>
      <x:c r="H4828" s="0" t="s">
        <x:v>20</x:v>
      </x:c>
      <x:c r="I4828" s="0" t="s">
        <x:v>21</x:v>
      </x:c>
      <x:c r="K4828" s="0">
        <x:f>hyperlink("https://icd.who.int/dev11/l-ichi/en#/http%3A%2F%2Fid.who.int%2Ficd%2Fentity%2F1261310397","browser")</x:f>
      </x:c>
      <x:c r="L4828" s="0">
        <x:f>hyperlink("https://icat2.azurewebsites.net/icat/?ontology=ICD&amp;tab=ClassesTab&amp;id=http%3A%2F%2Fwho.int%2Ficd%2325955_512ebf36_bf6b_4d70_85da_cf2637062af4","iCat")</x:f>
      </x:c>
      <x:c r="M4828" s="0" t="s">
        <x:v>21</x:v>
      </x:c>
      <x:c r="N4828" s="0" t="s">
        <x:v>46</x:v>
      </x:c>
    </x:row>
    <x:row r="4829" spans="1:16">
      <x:c r="A4829" s="0" t="s">
        <x:v>19163</x:v>
      </x:c>
      <x:c r="B4829" s="0" t="s">
        <x:v>19164</x:v>
      </x:c>
      <x:c r="C4829" s="0" t="s">
        <x:v>19165</x:v>
      </x:c>
      <x:c r="E4829" s="0" t="s">
        <x:v>19166</x:v>
      </x:c>
      <x:c r="F4829" s="0" t="s">
        <x:v>45</x:v>
      </x:c>
      <x:c r="G4829" s="0" t="s">
        <x:v>19</x:v>
      </x:c>
      <x:c r="H4829" s="0" t="s">
        <x:v>20</x:v>
      </x:c>
      <x:c r="I4829" s="0" t="s">
        <x:v>21</x:v>
      </x:c>
      <x:c r="K4829" s="0">
        <x:f>hyperlink("https://icd.who.int/dev11/l-ichi/en#/http%3A%2F%2Fid.who.int%2Ficd%2Fentity%2F2065562167","browser")</x:f>
      </x:c>
      <x:c r="L4829" s="0">
        <x:f>hyperlink("https://icat2.azurewebsites.net/icat/?ontology=ICD&amp;tab=ClassesTab&amp;id=http%3A%2F%2Fwho.int%2Ficd%2325962_512ebf36_bf6b_4d70_85da_cf2637062af4","iCat")</x:f>
      </x:c>
      <x:c r="M4829" s="0" t="s">
        <x:v>21</x:v>
      </x:c>
      <x:c r="N4829" s="0" t="s">
        <x:v>46</x:v>
      </x:c>
    </x:row>
    <x:row r="4830" spans="1:16">
      <x:c r="A4830" s="0" t="s">
        <x:v>19167</x:v>
      </x:c>
      <x:c r="B4830" s="0" t="s">
        <x:v>19168</x:v>
      </x:c>
      <x:c r="C4830" s="0" t="s">
        <x:v>19169</x:v>
      </x:c>
      <x:c r="E4830" s="0" t="s">
        <x:v>19170</x:v>
      </x:c>
      <x:c r="F4830" s="0" t="s">
        <x:v>45</x:v>
      </x:c>
      <x:c r="G4830" s="0" t="s">
        <x:v>19</x:v>
      </x:c>
      <x:c r="H4830" s="0" t="s">
        <x:v>20</x:v>
      </x:c>
      <x:c r="I4830" s="0" t="s">
        <x:v>21</x:v>
      </x:c>
      <x:c r="K4830" s="0">
        <x:f>hyperlink("https://icd.who.int/dev11/l-ichi/en#/http%3A%2F%2Fid.who.int%2Ficd%2Fentity%2F1880745115","browser")</x:f>
      </x:c>
      <x:c r="L4830" s="0">
        <x:f>hyperlink("https://icat2.azurewebsites.net/icat/?ontology=ICD&amp;tab=ClassesTab&amp;id=http%3A%2F%2Fwho.int%2Ficd%2325969_512ebf36_bf6b_4d70_85da_cf2637062af4","iCat")</x:f>
      </x:c>
      <x:c r="M4830" s="0" t="s">
        <x:v>21</x:v>
      </x:c>
      <x:c r="N4830" s="0" t="s">
        <x:v>46</x:v>
      </x:c>
    </x:row>
    <x:row r="4831" spans="1:16">
      <x:c r="A4831" s="0" t="s">
        <x:v>19171</x:v>
      </x:c>
      <x:c r="B4831" s="0" t="s">
        <x:v>19172</x:v>
      </x:c>
      <x:c r="C4831" s="0" t="s">
        <x:v>19173</x:v>
      </x:c>
      <x:c r="E4831" s="0" t="s">
        <x:v>19174</x:v>
      </x:c>
      <x:c r="F4831" s="0" t="s">
        <x:v>45</x:v>
      </x:c>
      <x:c r="G4831" s="0" t="s">
        <x:v>19</x:v>
      </x:c>
      <x:c r="H4831" s="0" t="s">
        <x:v>20</x:v>
      </x:c>
      <x:c r="I4831" s="0" t="s">
        <x:v>21</x:v>
      </x:c>
      <x:c r="K4831" s="0">
        <x:f>hyperlink("https://icd.who.int/dev11/l-ichi/en#/http%3A%2F%2Fid.who.int%2Ficd%2Fentity%2F1633338605","browser")</x:f>
      </x:c>
      <x:c r="L4831" s="0">
        <x:f>hyperlink("https://icat2.azurewebsites.net/icat/?ontology=ICD&amp;tab=ClassesTab&amp;id=http%3A%2F%2Fwho.int%2Ficd%2325975_512ebf36_bf6b_4d70_85da_cf2637062af4","iCat")</x:f>
      </x:c>
      <x:c r="M4831" s="0" t="s">
        <x:v>21</x:v>
      </x:c>
      <x:c r="N4831" s="0" t="s">
        <x:v>46</x:v>
      </x:c>
    </x:row>
    <x:row r="4832" spans="1:16">
      <x:c r="A4832" s="0" t="s">
        <x:v>19175</x:v>
      </x:c>
      <x:c r="B4832" s="0" t="s">
        <x:v>19176</x:v>
      </x:c>
      <x:c r="C4832" s="0" t="s">
        <x:v>19177</x:v>
      </x:c>
      <x:c r="E4832" s="0" t="s">
        <x:v>19178</x:v>
      </x:c>
      <x:c r="F4832" s="0" t="s">
        <x:v>45</x:v>
      </x:c>
      <x:c r="G4832" s="0" t="s">
        <x:v>19</x:v>
      </x:c>
      <x:c r="H4832" s="0" t="s">
        <x:v>20</x:v>
      </x:c>
      <x:c r="I4832" s="0" t="s">
        <x:v>21</x:v>
      </x:c>
      <x:c r="K4832" s="0">
        <x:f>hyperlink("https://icd.who.int/dev11/l-ichi/en#/http%3A%2F%2Fid.who.int%2Ficd%2Fentity%2F1850014735","browser")</x:f>
      </x:c>
      <x:c r="L4832" s="0">
        <x:f>hyperlink("https://icat2.azurewebsites.net/icat/?ontology=ICD&amp;tab=ClassesTab&amp;id=http%3A%2F%2Fwho.int%2Ficd%2325984_512ebf36_bf6b_4d70_85da_cf2637062af4","iCat")</x:f>
      </x:c>
      <x:c r="M4832" s="0" t="s">
        <x:v>21</x:v>
      </x:c>
      <x:c r="N4832" s="0" t="s">
        <x:v>46</x:v>
      </x:c>
    </x:row>
    <x:row r="4833" spans="1:16">
      <x:c r="A4833" s="0" t="s">
        <x:v>19179</x:v>
      </x:c>
      <x:c r="B4833" s="0" t="s">
        <x:v>19180</x:v>
      </x:c>
      <x:c r="C4833" s="0" t="s">
        <x:v>19181</x:v>
      </x:c>
      <x:c r="E4833" s="0" t="s">
        <x:v>19182</x:v>
      </x:c>
      <x:c r="F4833" s="0" t="s">
        <x:v>45</x:v>
      </x:c>
      <x:c r="G4833" s="0" t="s">
        <x:v>19</x:v>
      </x:c>
      <x:c r="H4833" s="0" t="s">
        <x:v>20</x:v>
      </x:c>
      <x:c r="I4833" s="0" t="s">
        <x:v>21</x:v>
      </x:c>
      <x:c r="K4833" s="0">
        <x:f>hyperlink("https://icd.who.int/dev11/l-ichi/en#/http%3A%2F%2Fid.who.int%2Ficd%2Fentity%2F1448946281","browser")</x:f>
      </x:c>
      <x:c r="L4833" s="0">
        <x:f>hyperlink("https://icat2.azurewebsites.net/icat/?ontology=ICD&amp;tab=ClassesTab&amp;id=http%3A%2F%2Fwho.int%2Ficd%234_dd4d4347_e398_43b9_84dd_c9611ca6abfa","iCat")</x:f>
      </x:c>
      <x:c r="M4833" s="0" t="s">
        <x:v>21</x:v>
      </x:c>
      <x:c r="N4833" s="0" t="s">
        <x:v>46</x:v>
      </x:c>
    </x:row>
    <x:row r="4834" spans="1:16">
      <x:c r="A4834" s="0" t="s">
        <x:v>19183</x:v>
      </x:c>
      <x:c r="B4834" s="0" t="s">
        <x:v>19184</x:v>
      </x:c>
      <x:c r="C4834" s="0" t="s">
        <x:v>19185</x:v>
      </x:c>
      <x:c r="E4834" s="0" t="s">
        <x:v>19186</x:v>
      </x:c>
      <x:c r="F4834" s="0" t="s">
        <x:v>45</x:v>
      </x:c>
      <x:c r="G4834" s="0" t="s">
        <x:v>19</x:v>
      </x:c>
      <x:c r="H4834" s="0" t="s">
        <x:v>20</x:v>
      </x:c>
      <x:c r="I4834" s="0" t="s">
        <x:v>21</x:v>
      </x:c>
      <x:c r="K4834" s="0">
        <x:f>hyperlink("https://icd.who.int/dev11/l-ichi/en#/http%3A%2F%2Fid.who.int%2Ficd%2Fentity%2F1870478776","browser")</x:f>
      </x:c>
      <x:c r="L4834" s="0">
        <x:f>hyperlink("https://icat2.azurewebsites.net/icat/?ontology=ICD&amp;tab=ClassesTab&amp;id=http%3A%2F%2Fwho.int%2Ficd%2310_dd4d4347_e398_43b9_84dd_c9611ca6abfa","iCat")</x:f>
      </x:c>
      <x:c r="M4834" s="0" t="s">
        <x:v>21</x:v>
      </x:c>
      <x:c r="N4834" s="0" t="s">
        <x:v>46</x:v>
      </x:c>
    </x:row>
    <x:row r="4835" spans="1:16">
      <x:c r="A4835" s="0" t="s">
        <x:v>19187</x:v>
      </x:c>
      <x:c r="B4835" s="0" t="s">
        <x:v>19188</x:v>
      </x:c>
      <x:c r="C4835" s="0" t="s">
        <x:v>19189</x:v>
      </x:c>
      <x:c r="E4835" s="0" t="s">
        <x:v>19190</x:v>
      </x:c>
      <x:c r="F4835" s="0" t="s">
        <x:v>45</x:v>
      </x:c>
      <x:c r="G4835" s="0" t="s">
        <x:v>19</x:v>
      </x:c>
      <x:c r="H4835" s="0" t="s">
        <x:v>20</x:v>
      </x:c>
      <x:c r="I4835" s="0" t="s">
        <x:v>21</x:v>
      </x:c>
      <x:c r="K4835" s="0">
        <x:f>hyperlink("https://icd.who.int/dev11/l-ichi/en#/http%3A%2F%2Fid.who.int%2Ficd%2Fentity%2F830909742","browser")</x:f>
      </x:c>
      <x:c r="L4835" s="0">
        <x:f>hyperlink("https://icat2.azurewebsites.net/icat/?ontology=ICD&amp;tab=ClassesTab&amp;id=http%3A%2F%2Fwho.int%2Ficd%2325990_512ebf36_bf6b_4d70_85da_cf2637062af4","iCat")</x:f>
      </x:c>
      <x:c r="M4835" s="0" t="s">
        <x:v>21</x:v>
      </x:c>
      <x:c r="N4835" s="0" t="s">
        <x:v>46</x:v>
      </x:c>
    </x:row>
    <x:row r="4836" spans="1:16">
      <x:c r="A4836" s="0" t="s">
        <x:v>19191</x:v>
      </x:c>
      <x:c r="B4836" s="0" t="s">
        <x:v>19192</x:v>
      </x:c>
      <x:c r="C4836" s="0" t="s">
        <x:v>19193</x:v>
      </x:c>
      <x:c r="E4836" s="0" t="s">
        <x:v>19194</x:v>
      </x:c>
      <x:c r="F4836" s="0" t="s">
        <x:v>45</x:v>
      </x:c>
      <x:c r="G4836" s="0" t="s">
        <x:v>19</x:v>
      </x:c>
      <x:c r="H4836" s="0" t="s">
        <x:v>20</x:v>
      </x:c>
      <x:c r="I4836" s="0" t="s">
        <x:v>21</x:v>
      </x:c>
      <x:c r="K4836" s="0">
        <x:f>hyperlink("https://icd.who.int/dev11/l-ichi/en#/http%3A%2F%2Fid.who.int%2Ficd%2Fentity%2F1644000413","browser")</x:f>
      </x:c>
      <x:c r="L4836" s="0">
        <x:f>hyperlink("https://icat2.azurewebsites.net/icat/?ontology=ICD&amp;tab=ClassesTab&amp;id=http%3A%2F%2Fwho.int%2Ficd%2325996_512ebf36_bf6b_4d70_85da_cf2637062af4","iCat")</x:f>
      </x:c>
      <x:c r="M4836" s="0" t="s">
        <x:v>21</x:v>
      </x:c>
      <x:c r="N4836" s="0" t="s">
        <x:v>46</x:v>
      </x:c>
    </x:row>
    <x:row r="4837" spans="1:16">
      <x:c r="A4837" s="0" t="s">
        <x:v>19195</x:v>
      </x:c>
      <x:c r="B4837" s="0" t="s">
        <x:v>19196</x:v>
      </x:c>
      <x:c r="C4837" s="0" t="s">
        <x:v>19197</x:v>
      </x:c>
      <x:c r="E4837" s="0" t="s">
        <x:v>19198</x:v>
      </x:c>
      <x:c r="F4837" s="0" t="s">
        <x:v>45</x:v>
      </x:c>
      <x:c r="G4837" s="0" t="s">
        <x:v>19</x:v>
      </x:c>
      <x:c r="H4837" s="0" t="s">
        <x:v>20</x:v>
      </x:c>
      <x:c r="I4837" s="0" t="s">
        <x:v>21</x:v>
      </x:c>
      <x:c r="K4837" s="0">
        <x:f>hyperlink("https://icd.who.int/dev11/l-ichi/en#/http%3A%2F%2Fid.who.int%2Ficd%2Fentity%2F1321578011","browser")</x:f>
      </x:c>
      <x:c r="L4837" s="0">
        <x:f>hyperlink("https://icat2.azurewebsites.net/icat/?ontology=ICD&amp;tab=ClassesTab&amp;id=http%3A%2F%2Fwho.int%2Ficd%2326002_512ebf36_bf6b_4d70_85da_cf2637062af4","iCat")</x:f>
      </x:c>
      <x:c r="M4837" s="0" t="s">
        <x:v>21</x:v>
      </x:c>
      <x:c r="N4837" s="0" t="s">
        <x:v>46</x:v>
      </x:c>
    </x:row>
    <x:row r="4838" spans="1:16">
      <x:c r="A4838" s="0" t="s">
        <x:v>19199</x:v>
      </x:c>
      <x:c r="B4838" s="0" t="s">
        <x:v>19200</x:v>
      </x:c>
      <x:c r="C4838" s="0" t="s">
        <x:v>19201</x:v>
      </x:c>
      <x:c r="E4838" s="0" t="s">
        <x:v>19202</x:v>
      </x:c>
      <x:c r="F4838" s="0" t="s">
        <x:v>45</x:v>
      </x:c>
      <x:c r="G4838" s="0" t="s">
        <x:v>19</x:v>
      </x:c>
      <x:c r="H4838" s="0" t="s">
        <x:v>20</x:v>
      </x:c>
      <x:c r="I4838" s="0" t="s">
        <x:v>21</x:v>
      </x:c>
      <x:c r="K4838" s="0">
        <x:f>hyperlink("https://icd.who.int/dev11/l-ichi/en#/http%3A%2F%2Fid.who.int%2Ficd%2Fentity%2F1170321591","browser")</x:f>
      </x:c>
      <x:c r="L4838" s="0">
        <x:f>hyperlink("https://icat2.azurewebsites.net/icat/?ontology=ICD&amp;tab=ClassesTab&amp;id=http%3A%2F%2Fwho.int%2Ficd%2326009_512ebf36_bf6b_4d70_85da_cf2637062af4","iCat")</x:f>
      </x:c>
      <x:c r="M4838" s="0" t="s">
        <x:v>21</x:v>
      </x:c>
      <x:c r="N4838" s="0" t="s">
        <x:v>46</x:v>
      </x:c>
    </x:row>
    <x:row r="4839" spans="1:16">
      <x:c r="A4839" s="0" t="s">
        <x:v>19203</x:v>
      </x:c>
      <x:c r="B4839" s="0" t="s">
        <x:v>19204</x:v>
      </x:c>
      <x:c r="C4839" s="0" t="s">
        <x:v>19205</x:v>
      </x:c>
      <x:c r="E4839" s="0" t="s">
        <x:v>19206</x:v>
      </x:c>
      <x:c r="F4839" s="0" t="s">
        <x:v>45</x:v>
      </x:c>
      <x:c r="G4839" s="0" t="s">
        <x:v>19</x:v>
      </x:c>
      <x:c r="H4839" s="0" t="s">
        <x:v>20</x:v>
      </x:c>
      <x:c r="I4839" s="0" t="s">
        <x:v>21</x:v>
      </x:c>
      <x:c r="K4839" s="0">
        <x:f>hyperlink("https://icd.who.int/dev11/l-ichi/en#/http%3A%2F%2Fid.who.int%2Ficd%2Fentity%2F1615989172","browser")</x:f>
      </x:c>
      <x:c r="L4839" s="0">
        <x:f>hyperlink("https://icat2.azurewebsites.net/icat/?ontology=ICD&amp;tab=ClassesTab&amp;id=http%3A%2F%2Fwho.int%2Ficd%23948_94acc4f6_b696_4796_914a_62879ddd4f65","iCat")</x:f>
      </x:c>
      <x:c r="M4839" s="0" t="s">
        <x:v>21</x:v>
      </x:c>
      <x:c r="N4839" s="0" t="s">
        <x:v>46</x:v>
      </x:c>
    </x:row>
    <x:row r="4840" spans="1:16">
      <x:c r="A4840" s="0" t="s">
        <x:v>19207</x:v>
      </x:c>
      <x:c r="B4840" s="0" t="s">
        <x:v>19208</x:v>
      </x:c>
      <x:c r="C4840" s="0" t="s">
        <x:v>19209</x:v>
      </x:c>
      <x:c r="E4840" s="0" t="s">
        <x:v>19210</x:v>
      </x:c>
      <x:c r="F4840" s="0" t="s">
        <x:v>45</x:v>
      </x:c>
      <x:c r="G4840" s="0" t="s">
        <x:v>19</x:v>
      </x:c>
      <x:c r="H4840" s="0" t="s">
        <x:v>20</x:v>
      </x:c>
      <x:c r="I4840" s="0" t="s">
        <x:v>21</x:v>
      </x:c>
      <x:c r="K4840" s="0">
        <x:f>hyperlink("https://icd.who.int/dev11/l-ichi/en#/http%3A%2F%2Fid.who.int%2Ficd%2Fentity%2F285736762","browser")</x:f>
      </x:c>
      <x:c r="L4840" s="0">
        <x:f>hyperlink("https://icat2.azurewebsites.net/icat/?ontology=ICD&amp;tab=ClassesTab&amp;id=http%3A%2F%2Fwho.int%2Ficd%2326016_512ebf36_bf6b_4d70_85da_cf2637062af4","iCat")</x:f>
      </x:c>
      <x:c r="M4840" s="0" t="s">
        <x:v>21</x:v>
      </x:c>
      <x:c r="N4840" s="0" t="s">
        <x:v>46</x:v>
      </x:c>
    </x:row>
    <x:row r="4841" spans="1:16">
      <x:c r="A4841" s="0" t="s">
        <x:v>19211</x:v>
      </x:c>
      <x:c r="B4841" s="0" t="s">
        <x:v>19212</x:v>
      </x:c>
      <x:c r="C4841" s="0" t="s">
        <x:v>19213</x:v>
      </x:c>
      <x:c r="E4841" s="0" t="s">
        <x:v>19214</x:v>
      </x:c>
      <x:c r="F4841" s="0" t="s">
        <x:v>45</x:v>
      </x:c>
      <x:c r="G4841" s="0" t="s">
        <x:v>19</x:v>
      </x:c>
      <x:c r="H4841" s="0" t="s">
        <x:v>20</x:v>
      </x:c>
      <x:c r="I4841" s="0" t="s">
        <x:v>21</x:v>
      </x:c>
      <x:c r="K4841" s="0">
        <x:f>hyperlink("https://icd.who.int/dev11/l-ichi/en#/http%3A%2F%2Fid.who.int%2Ficd%2Fentity%2F1689353035","browser")</x:f>
      </x:c>
      <x:c r="L4841" s="0">
        <x:f>hyperlink("https://icat2.azurewebsites.net/icat/?ontology=ICD&amp;tab=ClassesTab&amp;id=http%3A%2F%2Fwho.int%2Ficd%2326022_512ebf36_bf6b_4d70_85da_cf2637062af4","iCat")</x:f>
      </x:c>
      <x:c r="M4841" s="0" t="s">
        <x:v>21</x:v>
      </x:c>
      <x:c r="N4841" s="0" t="s">
        <x:v>46</x:v>
      </x:c>
    </x:row>
    <x:row r="4842" spans="1:16">
      <x:c r="A4842" s="0" t="s">
        <x:v>19215</x:v>
      </x:c>
      <x:c r="B4842" s="0" t="s">
        <x:v>19216</x:v>
      </x:c>
      <x:c r="C4842" s="0" t="s">
        <x:v>19217</x:v>
      </x:c>
      <x:c r="E4842" s="0" t="s">
        <x:v>19218</x:v>
      </x:c>
      <x:c r="F4842" s="0" t="s">
        <x:v>45</x:v>
      </x:c>
      <x:c r="G4842" s="0" t="s">
        <x:v>19</x:v>
      </x:c>
      <x:c r="H4842" s="0" t="s">
        <x:v>20</x:v>
      </x:c>
      <x:c r="I4842" s="0" t="s">
        <x:v>21</x:v>
      </x:c>
      <x:c r="K4842" s="0">
        <x:f>hyperlink("https://icd.who.int/dev11/l-ichi/en#/http%3A%2F%2Fid.who.int%2Ficd%2Fentity%2F1795748825","browser")</x:f>
      </x:c>
      <x:c r="L4842" s="0">
        <x:f>hyperlink("https://icat2.azurewebsites.net/icat/?ontology=ICD&amp;tab=ClassesTab&amp;id=http%3A%2F%2Fwho.int%2Ficd%2326030_512ebf36_bf6b_4d70_85da_cf2637062af4","iCat")</x:f>
      </x:c>
      <x:c r="M4842" s="0" t="s">
        <x:v>21</x:v>
      </x:c>
      <x:c r="N4842" s="0" t="s">
        <x:v>46</x:v>
      </x:c>
    </x:row>
    <x:row r="4843" spans="1:16">
      <x:c r="A4843" s="0" t="s">
        <x:v>19219</x:v>
      </x:c>
      <x:c r="B4843" s="0" t="s">
        <x:v>19220</x:v>
      </x:c>
      <x:c r="C4843" s="0" t="s">
        <x:v>19221</x:v>
      </x:c>
      <x:c r="E4843" s="0" t="s">
        <x:v>19222</x:v>
      </x:c>
      <x:c r="F4843" s="0" t="s">
        <x:v>45</x:v>
      </x:c>
      <x:c r="G4843" s="0" t="s">
        <x:v>19</x:v>
      </x:c>
      <x:c r="H4843" s="0" t="s">
        <x:v>20</x:v>
      </x:c>
      <x:c r="I4843" s="0" t="s">
        <x:v>21</x:v>
      </x:c>
      <x:c r="K4843" s="0">
        <x:f>hyperlink("https://icd.who.int/dev11/l-ichi/en#/http%3A%2F%2Fid.who.int%2Ficd%2Fentity%2F997403240","browser")</x:f>
      </x:c>
      <x:c r="L4843" s="0">
        <x:f>hyperlink("https://icat2.azurewebsites.net/icat/?ontology=ICD&amp;tab=ClassesTab&amp;id=http%3A%2F%2Fwho.int%2Ficd%2326036_512ebf36_bf6b_4d70_85da_cf2637062af4","iCat")</x:f>
      </x:c>
      <x:c r="M4843" s="0" t="s">
        <x:v>21</x:v>
      </x:c>
      <x:c r="N4843" s="0" t="s">
        <x:v>46</x:v>
      </x:c>
    </x:row>
    <x:row r="4844" spans="1:16">
      <x:c r="A4844" s="0" t="s">
        <x:v>19223</x:v>
      </x:c>
      <x:c r="B4844" s="0" t="s">
        <x:v>19224</x:v>
      </x:c>
      <x:c r="D4844" s="0" t="s">
        <x:v>19225</x:v>
      </x:c>
      <x:c r="E4844" s="0" t="s">
        <x:v>19226</x:v>
      </x:c>
      <x:c r="F4844" s="0" t="s">
        <x:v>26</x:v>
      </x:c>
      <x:c r="G4844" s="0" t="s">
        <x:v>22</x:v>
      </x:c>
      <x:c r="H4844" s="0" t="s">
        <x:v>20</x:v>
      </x:c>
      <x:c r="I4844" s="0" t="s">
        <x:v>21</x:v>
      </x:c>
      <x:c r="K4844" s="0">
        <x:f>hyperlink("https://icd.who.int/dev11/l-ichi/en#/http%3A%2F%2Fid.who.int%2Ficd%2Fentity%2F1859724471","browser")</x:f>
      </x:c>
      <x:c r="L4844" s="0">
        <x:f>hyperlink("https://icat2.azurewebsites.net/icat/?ontology=ICD&amp;tab=ClassesTab&amp;id=http%3A%2F%2Fwho.int%2Ficd%2326044_512ebf36_bf6b_4d70_85da_cf2637062af4","iCat")</x:f>
      </x:c>
      <x:c r="M4844" s="0" t="s">
        <x:v>20</x:v>
      </x:c>
      <x:c r="N4844" s="0" t="s">
        <x:v>19227</x:v>
      </x:c>
    </x:row>
    <x:row r="4845" spans="1:16">
      <x:c r="A4845" s="0" t="s">
        <x:v>19228</x:v>
      </x:c>
      <x:c r="B4845" s="0" t="s">
        <x:v>19229</x:v>
      </x:c>
      <x:c r="C4845" s="0" t="s">
        <x:v>19230</x:v>
      </x:c>
      <x:c r="E4845" s="0" t="s">
        <x:v>19231</x:v>
      </x:c>
      <x:c r="F4845" s="0" t="s">
        <x:v>45</x:v>
      </x:c>
      <x:c r="G4845" s="0" t="s">
        <x:v>19</x:v>
      </x:c>
      <x:c r="H4845" s="0" t="s">
        <x:v>20</x:v>
      </x:c>
      <x:c r="I4845" s="0" t="s">
        <x:v>21</x:v>
      </x:c>
      <x:c r="K4845" s="0">
        <x:f>hyperlink("https://icd.who.int/dev11/l-ichi/en#/http%3A%2F%2Fid.who.int%2Ficd%2Fentity%2F509316924","browser")</x:f>
      </x:c>
      <x:c r="L4845" s="0">
        <x:f>hyperlink("https://icat2.azurewebsites.net/icat/?ontology=ICD&amp;tab=ClassesTab&amp;id=http%3A%2F%2Fwho.int%2Ficd%2326043_512ebf36_bf6b_4d70_85da_cf2637062af4","iCat")</x:f>
      </x:c>
      <x:c r="M4845" s="0" t="s">
        <x:v>21</x:v>
      </x:c>
      <x:c r="N4845" s="0" t="s">
        <x:v>46</x:v>
      </x:c>
    </x:row>
    <x:row r="4846" spans="1:16">
      <x:c r="A4846" s="0" t="s">
        <x:v>19232</x:v>
      </x:c>
      <x:c r="B4846" s="0" t="s">
        <x:v>19233</x:v>
      </x:c>
      <x:c r="C4846" s="0" t="s">
        <x:v>19234</x:v>
      </x:c>
      <x:c r="E4846" s="0" t="s">
        <x:v>19235</x:v>
      </x:c>
      <x:c r="F4846" s="0" t="s">
        <x:v>45</x:v>
      </x:c>
      <x:c r="G4846" s="0" t="s">
        <x:v>19</x:v>
      </x:c>
      <x:c r="H4846" s="0" t="s">
        <x:v>20</x:v>
      </x:c>
      <x:c r="I4846" s="0" t="s">
        <x:v>21</x:v>
      </x:c>
      <x:c r="K4846" s="0">
        <x:f>hyperlink("https://icd.who.int/dev11/l-ichi/en#/http%3A%2F%2Fid.who.int%2Ficd%2Fentity%2F619037660","browser")</x:f>
      </x:c>
      <x:c r="L4846" s="0">
        <x:f>hyperlink("https://icat2.azurewebsites.net/icat/?ontology=ICD&amp;tab=ClassesTab&amp;id=http%3A%2F%2Fwho.int%2Ficd%2326055_512ebf36_bf6b_4d70_85da_cf2637062af4","iCat")</x:f>
      </x:c>
      <x:c r="M4846" s="0" t="s">
        <x:v>21</x:v>
      </x:c>
      <x:c r="N4846" s="0" t="s">
        <x:v>46</x:v>
      </x:c>
    </x:row>
    <x:row r="4847" spans="1:16">
      <x:c r="A4847" s="0" t="s">
        <x:v>19236</x:v>
      </x:c>
      <x:c r="B4847" s="0" t="s">
        <x:v>19237</x:v>
      </x:c>
      <x:c r="C4847" s="0" t="s">
        <x:v>19238</x:v>
      </x:c>
      <x:c r="E4847" s="0" t="s">
        <x:v>19239</x:v>
      </x:c>
      <x:c r="F4847" s="0" t="s">
        <x:v>45</x:v>
      </x:c>
      <x:c r="G4847" s="0" t="s">
        <x:v>19</x:v>
      </x:c>
      <x:c r="H4847" s="0" t="s">
        <x:v>20</x:v>
      </x:c>
      <x:c r="I4847" s="0" t="s">
        <x:v>21</x:v>
      </x:c>
      <x:c r="K4847" s="0">
        <x:f>hyperlink("https://icd.who.int/dev11/l-ichi/en#/http%3A%2F%2Fid.who.int%2Ficd%2Fentity%2F1364412335","browser")</x:f>
      </x:c>
      <x:c r="L4847" s="0">
        <x:f>hyperlink("https://icat2.azurewebsites.net/icat/?ontology=ICD&amp;tab=ClassesTab&amp;id=http%3A%2F%2Fwho.int%2Ficd%2326061_512ebf36_bf6b_4d70_85da_cf2637062af4","iCat")</x:f>
      </x:c>
      <x:c r="M4847" s="0" t="s">
        <x:v>21</x:v>
      </x:c>
      <x:c r="N4847" s="0" t="s">
        <x:v>46</x:v>
      </x:c>
    </x:row>
    <x:row r="4848" spans="1:16">
      <x:c r="A4848" s="0" t="s">
        <x:v>19240</x:v>
      </x:c>
      <x:c r="B4848" s="0" t="s">
        <x:v>19241</x:v>
      </x:c>
      <x:c r="C4848" s="0" t="s">
        <x:v>19242</x:v>
      </x:c>
      <x:c r="E4848" s="0" t="s">
        <x:v>19243</x:v>
      </x:c>
      <x:c r="F4848" s="0" t="s">
        <x:v>45</x:v>
      </x:c>
      <x:c r="G4848" s="0" t="s">
        <x:v>19</x:v>
      </x:c>
      <x:c r="H4848" s="0" t="s">
        <x:v>20</x:v>
      </x:c>
      <x:c r="I4848" s="0" t="s">
        <x:v>21</x:v>
      </x:c>
      <x:c r="K4848" s="0">
        <x:f>hyperlink("https://icd.who.int/dev11/l-ichi/en#/http%3A%2F%2Fid.who.int%2Ficd%2Fentity%2F19439136","browser")</x:f>
      </x:c>
      <x:c r="L4848" s="0">
        <x:f>hyperlink("https://icat2.azurewebsites.net/icat/?ontology=ICD&amp;tab=ClassesTab&amp;id=http%3A%2F%2Fwho.int%2Ficd%2326067_512ebf36_bf6b_4d70_85da_cf2637062af4","iCat")</x:f>
      </x:c>
      <x:c r="M4848" s="0" t="s">
        <x:v>21</x:v>
      </x:c>
      <x:c r="N4848" s="0" t="s">
        <x:v>46</x:v>
      </x:c>
    </x:row>
    <x:row r="4849" spans="1:16">
      <x:c r="A4849" s="0" t="s">
        <x:v>19244</x:v>
      </x:c>
      <x:c r="B4849" s="0" t="s">
        <x:v>19245</x:v>
      </x:c>
      <x:c r="C4849" s="0" t="s">
        <x:v>19246</x:v>
      </x:c>
      <x:c r="E4849" s="0" t="s">
        <x:v>19247</x:v>
      </x:c>
      <x:c r="F4849" s="0" t="s">
        <x:v>45</x:v>
      </x:c>
      <x:c r="G4849" s="0" t="s">
        <x:v>19</x:v>
      </x:c>
      <x:c r="H4849" s="0" t="s">
        <x:v>20</x:v>
      </x:c>
      <x:c r="I4849" s="0" t="s">
        <x:v>21</x:v>
      </x:c>
      <x:c r="K4849" s="0">
        <x:f>hyperlink("https://icd.who.int/dev11/l-ichi/en#/http%3A%2F%2Fid.who.int%2Ficd%2Fentity%2F1259633013","browser")</x:f>
      </x:c>
      <x:c r="L4849" s="0">
        <x:f>hyperlink("https://icat2.azurewebsites.net/icat/?ontology=ICD&amp;tab=ClassesTab&amp;id=http%3A%2F%2Fwho.int%2Ficd%2326076_512ebf36_bf6b_4d70_85da_cf2637062af4","iCat")</x:f>
      </x:c>
      <x:c r="M4849" s="0" t="s">
        <x:v>21</x:v>
      </x:c>
      <x:c r="N4849" s="0" t="s">
        <x:v>46</x:v>
      </x:c>
    </x:row>
    <x:row r="4850" spans="1:16">
      <x:c r="A4850" s="0" t="s">
        <x:v>19248</x:v>
      </x:c>
      <x:c r="B4850" s="0" t="s">
        <x:v>19249</x:v>
      </x:c>
      <x:c r="C4850" s="0" t="s">
        <x:v>19250</x:v>
      </x:c>
      <x:c r="E4850" s="0" t="s">
        <x:v>19251</x:v>
      </x:c>
      <x:c r="F4850" s="0" t="s">
        <x:v>45</x:v>
      </x:c>
      <x:c r="G4850" s="0" t="s">
        <x:v>19</x:v>
      </x:c>
      <x:c r="H4850" s="0" t="s">
        <x:v>20</x:v>
      </x:c>
      <x:c r="I4850" s="0" t="s">
        <x:v>21</x:v>
      </x:c>
      <x:c r="K4850" s="0">
        <x:f>hyperlink("https://icd.who.int/dev11/l-ichi/en#/http%3A%2F%2Fid.who.int%2Ficd%2Fentity%2F1375008735","browser")</x:f>
      </x:c>
      <x:c r="L4850" s="0">
        <x:f>hyperlink("https://icat2.azurewebsites.net/icat/?ontology=ICD&amp;tab=ClassesTab&amp;id=http%3A%2F%2Fwho.int%2Ficd%2326082_512ebf36_bf6b_4d70_85da_cf2637062af4","iCat")</x:f>
      </x:c>
      <x:c r="M4850" s="0" t="s">
        <x:v>21</x:v>
      </x:c>
      <x:c r="N4850" s="0" t="s">
        <x:v>46</x:v>
      </x:c>
    </x:row>
    <x:row r="4851" spans="1:16">
      <x:c r="A4851" s="0" t="s">
        <x:v>19252</x:v>
      </x:c>
      <x:c r="B4851" s="0" t="s">
        <x:v>19253</x:v>
      </x:c>
      <x:c r="C4851" s="0" t="s">
        <x:v>19254</x:v>
      </x:c>
      <x:c r="E4851" s="0" t="s">
        <x:v>19255</x:v>
      </x:c>
      <x:c r="F4851" s="0" t="s">
        <x:v>45</x:v>
      </x:c>
      <x:c r="G4851" s="0" t="s">
        <x:v>19</x:v>
      </x:c>
      <x:c r="H4851" s="0" t="s">
        <x:v>20</x:v>
      </x:c>
      <x:c r="I4851" s="0" t="s">
        <x:v>21</x:v>
      </x:c>
      <x:c r="K4851" s="0">
        <x:f>hyperlink("https://icd.who.int/dev11/l-ichi/en#/http%3A%2F%2Fid.who.int%2Ficd%2Fentity%2F1525737843","browser")</x:f>
      </x:c>
      <x:c r="L4851" s="0">
        <x:f>hyperlink("https://icat2.azurewebsites.net/icat/?ontology=ICD&amp;tab=ClassesTab&amp;id=http%3A%2F%2Fwho.int%2Ficd%2326089_512ebf36_bf6b_4d70_85da_cf2637062af4","iCat")</x:f>
      </x:c>
      <x:c r="M4851" s="0" t="s">
        <x:v>21</x:v>
      </x:c>
      <x:c r="N4851" s="0" t="s">
        <x:v>46</x:v>
      </x:c>
    </x:row>
    <x:row r="4852" spans="1:16">
      <x:c r="A4852" s="0" t="s">
        <x:v>19256</x:v>
      </x:c>
      <x:c r="B4852" s="0" t="s">
        <x:v>19257</x:v>
      </x:c>
      <x:c r="C4852" s="0" t="s">
        <x:v>19258</x:v>
      </x:c>
      <x:c r="E4852" s="0" t="s">
        <x:v>19259</x:v>
      </x:c>
      <x:c r="F4852" s="0" t="s">
        <x:v>45</x:v>
      </x:c>
      <x:c r="G4852" s="0" t="s">
        <x:v>19</x:v>
      </x:c>
      <x:c r="H4852" s="0" t="s">
        <x:v>20</x:v>
      </x:c>
      <x:c r="I4852" s="0" t="s">
        <x:v>21</x:v>
      </x:c>
      <x:c r="K4852" s="0">
        <x:f>hyperlink("https://icd.who.int/dev11/l-ichi/en#/http%3A%2F%2Fid.who.int%2Ficd%2Fentity%2F1270073605","browser")</x:f>
      </x:c>
      <x:c r="L4852" s="0">
        <x:f>hyperlink("https://icat2.azurewebsites.net/icat/?ontology=ICD&amp;tab=ClassesTab&amp;id=http%3A%2F%2Fwho.int%2Ficd%2326095_512ebf36_bf6b_4d70_85da_cf2637062af4","iCat")</x:f>
      </x:c>
      <x:c r="M4852" s="0" t="s">
        <x:v>21</x:v>
      </x:c>
      <x:c r="N4852" s="0" t="s">
        <x:v>46</x:v>
      </x:c>
    </x:row>
    <x:row r="4853" spans="1:16">
      <x:c r="A4853" s="0" t="s">
        <x:v>19260</x:v>
      </x:c>
      <x:c r="B4853" s="0" t="s">
        <x:v>19261</x:v>
      </x:c>
      <x:c r="C4853" s="0" t="s">
        <x:v>19262</x:v>
      </x:c>
      <x:c r="E4853" s="0" t="s">
        <x:v>19263</x:v>
      </x:c>
      <x:c r="F4853" s="0" t="s">
        <x:v>45</x:v>
      </x:c>
      <x:c r="G4853" s="0" t="s">
        <x:v>19</x:v>
      </x:c>
      <x:c r="H4853" s="0" t="s">
        <x:v>20</x:v>
      </x:c>
      <x:c r="I4853" s="0" t="s">
        <x:v>21</x:v>
      </x:c>
      <x:c r="K4853" s="0">
        <x:f>hyperlink("https://icd.who.int/dev11/l-ichi/en#/http%3A%2F%2Fid.who.int%2Ficd%2Fentity%2F995780742","browser")</x:f>
      </x:c>
      <x:c r="L4853" s="0">
        <x:f>hyperlink("https://icat2.azurewebsites.net/icat/?ontology=ICD&amp;tab=ClassesTab&amp;id=http%3A%2F%2Fwho.int%2Ficd%2326102_512ebf36_bf6b_4d70_85da_cf2637062af4","iCat")</x:f>
      </x:c>
      <x:c r="M4853" s="0" t="s">
        <x:v>21</x:v>
      </x:c>
      <x:c r="N4853" s="0" t="s">
        <x:v>46</x:v>
      </x:c>
    </x:row>
    <x:row r="4854" spans="1:16">
      <x:c r="A4854" s="0" t="s">
        <x:v>19264</x:v>
      </x:c>
      <x:c r="B4854" s="0" t="s">
        <x:v>19265</x:v>
      </x:c>
      <x:c r="C4854" s="0" t="s">
        <x:v>19266</x:v>
      </x:c>
      <x:c r="E4854" s="0" t="s">
        <x:v>19267</x:v>
      </x:c>
      <x:c r="F4854" s="0" t="s">
        <x:v>45</x:v>
      </x:c>
      <x:c r="G4854" s="0" t="s">
        <x:v>19</x:v>
      </x:c>
      <x:c r="H4854" s="0" t="s">
        <x:v>20</x:v>
      </x:c>
      <x:c r="I4854" s="0" t="s">
        <x:v>21</x:v>
      </x:c>
      <x:c r="K4854" s="0">
        <x:f>hyperlink("https://icd.who.int/dev11/l-ichi/en#/http%3A%2F%2Fid.who.int%2Ficd%2Fentity%2F279381014","browser")</x:f>
      </x:c>
      <x:c r="L4854" s="0">
        <x:f>hyperlink("https://icat2.azurewebsites.net/icat/?ontology=ICD&amp;tab=ClassesTab&amp;id=http%3A%2F%2Fwho.int%2Ficd%2326108_512ebf36_bf6b_4d70_85da_cf2637062af4","iCat")</x:f>
      </x:c>
      <x:c r="M4854" s="0" t="s">
        <x:v>21</x:v>
      </x:c>
      <x:c r="N4854" s="0" t="s">
        <x:v>46</x:v>
      </x:c>
    </x:row>
    <x:row r="4855" spans="1:16">
      <x:c r="A4855" s="0" t="s">
        <x:v>19268</x:v>
      </x:c>
      <x:c r="B4855" s="0" t="s">
        <x:v>19269</x:v>
      </x:c>
      <x:c r="C4855" s="0" t="s">
        <x:v>19270</x:v>
      </x:c>
      <x:c r="E4855" s="0" t="s">
        <x:v>19271</x:v>
      </x:c>
      <x:c r="F4855" s="0" t="s">
        <x:v>45</x:v>
      </x:c>
      <x:c r="G4855" s="0" t="s">
        <x:v>19</x:v>
      </x:c>
      <x:c r="H4855" s="0" t="s">
        <x:v>20</x:v>
      </x:c>
      <x:c r="I4855" s="0" t="s">
        <x:v>21</x:v>
      </x:c>
      <x:c r="K4855" s="0">
        <x:f>hyperlink("https://icd.who.int/dev11/l-ichi/en#/http%3A%2F%2Fid.who.int%2Ficd%2Fentity%2F31728738","browser")</x:f>
      </x:c>
      <x:c r="L4855" s="0">
        <x:f>hyperlink("https://icat2.azurewebsites.net/icat/?ontology=ICD&amp;tab=ClassesTab&amp;id=http%3A%2F%2Fwho.int%2Ficd%2326114_512ebf36_bf6b_4d70_85da_cf2637062af4","iCat")</x:f>
      </x:c>
      <x:c r="M4855" s="0" t="s">
        <x:v>21</x:v>
      </x:c>
      <x:c r="N4855" s="0" t="s">
        <x:v>46</x:v>
      </x:c>
    </x:row>
    <x:row r="4856" spans="1:16">
      <x:c r="A4856" s="0" t="s">
        <x:v>19272</x:v>
      </x:c>
      <x:c r="B4856" s="0" t="s">
        <x:v>19273</x:v>
      </x:c>
      <x:c r="C4856" s="0" t="s">
        <x:v>19274</x:v>
      </x:c>
      <x:c r="E4856" s="0" t="s">
        <x:v>19275</x:v>
      </x:c>
      <x:c r="F4856" s="0" t="s">
        <x:v>45</x:v>
      </x:c>
      <x:c r="G4856" s="0" t="s">
        <x:v>19</x:v>
      </x:c>
      <x:c r="H4856" s="0" t="s">
        <x:v>20</x:v>
      </x:c>
      <x:c r="I4856" s="0" t="s">
        <x:v>21</x:v>
      </x:c>
      <x:c r="K4856" s="0">
        <x:f>hyperlink("https://icd.who.int/dev11/l-ichi/en#/http%3A%2F%2Fid.who.int%2Ficd%2Fentity%2F288275928","browser")</x:f>
      </x:c>
      <x:c r="L4856" s="0">
        <x:f>hyperlink("https://icat2.azurewebsites.net/icat/?ontology=ICD&amp;tab=ClassesTab&amp;id=http%3A%2F%2Fwho.int%2Ficd%2326122_512ebf36_bf6b_4d70_85da_cf2637062af4","iCat")</x:f>
      </x:c>
      <x:c r="M4856" s="0" t="s">
        <x:v>21</x:v>
      </x:c>
      <x:c r="N4856" s="0" t="s">
        <x:v>46</x:v>
      </x:c>
    </x:row>
    <x:row r="4857" spans="1:16">
      <x:c r="A4857" s="0" t="s">
        <x:v>19276</x:v>
      </x:c>
      <x:c r="B4857" s="0" t="s">
        <x:v>19277</x:v>
      </x:c>
      <x:c r="C4857" s="0" t="s">
        <x:v>19278</x:v>
      </x:c>
      <x:c r="E4857" s="0" t="s">
        <x:v>19279</x:v>
      </x:c>
      <x:c r="F4857" s="0" t="s">
        <x:v>45</x:v>
      </x:c>
      <x:c r="G4857" s="0" t="s">
        <x:v>19</x:v>
      </x:c>
      <x:c r="H4857" s="0" t="s">
        <x:v>20</x:v>
      </x:c>
      <x:c r="I4857" s="0" t="s">
        <x:v>21</x:v>
      </x:c>
      <x:c r="K4857" s="0">
        <x:f>hyperlink("https://icd.who.int/dev11/l-ichi/en#/http%3A%2F%2Fid.who.int%2Ficd%2Fentity%2F986960200","browser")</x:f>
      </x:c>
      <x:c r="L4857" s="0">
        <x:f>hyperlink("https://icat2.azurewebsites.net/icat/?ontology=ICD&amp;tab=ClassesTab&amp;id=http%3A%2F%2Fwho.int%2Ficd%2326128_512ebf36_bf6b_4d70_85da_cf2637062af4","iCat")</x:f>
      </x:c>
      <x:c r="M4857" s="0" t="s">
        <x:v>21</x:v>
      </x:c>
      <x:c r="N4857" s="0" t="s">
        <x:v>46</x:v>
      </x:c>
    </x:row>
    <x:row r="4858" spans="1:16">
      <x:c r="A4858" s="0" t="s">
        <x:v>19280</x:v>
      </x:c>
      <x:c r="B4858" s="0" t="s">
        <x:v>19281</x:v>
      </x:c>
      <x:c r="C4858" s="0" t="s">
        <x:v>19282</x:v>
      </x:c>
      <x:c r="E4858" s="0" t="s">
        <x:v>19283</x:v>
      </x:c>
      <x:c r="F4858" s="0" t="s">
        <x:v>45</x:v>
      </x:c>
      <x:c r="G4858" s="0" t="s">
        <x:v>19</x:v>
      </x:c>
      <x:c r="H4858" s="0" t="s">
        <x:v>20</x:v>
      </x:c>
      <x:c r="I4858" s="0" t="s">
        <x:v>21</x:v>
      </x:c>
      <x:c r="K4858" s="0">
        <x:f>hyperlink("https://icd.who.int/dev11/l-ichi/en#/http%3A%2F%2Fid.who.int%2Ficd%2Fentity%2F191464206","browser")</x:f>
      </x:c>
      <x:c r="L4858" s="0">
        <x:f>hyperlink("https://icat2.azurewebsites.net/icat/?ontology=ICD&amp;tab=ClassesTab&amp;id=http%3A%2F%2Fwho.int%2Ficd%2326135_512ebf36_bf6b_4d70_85da_cf2637062af4","iCat")</x:f>
      </x:c>
      <x:c r="M4858" s="0" t="s">
        <x:v>21</x:v>
      </x:c>
      <x:c r="N4858" s="0" t="s">
        <x:v>46</x:v>
      </x:c>
    </x:row>
    <x:row r="4859" spans="1:16">
      <x:c r="A4859" s="0" t="s">
        <x:v>19284</x:v>
      </x:c>
      <x:c r="B4859" s="0" t="s">
        <x:v>19285</x:v>
      </x:c>
      <x:c r="C4859" s="0" t="s">
        <x:v>19286</x:v>
      </x:c>
      <x:c r="E4859" s="0" t="s">
        <x:v>19287</x:v>
      </x:c>
      <x:c r="F4859" s="0" t="s">
        <x:v>45</x:v>
      </x:c>
      <x:c r="G4859" s="0" t="s">
        <x:v>19</x:v>
      </x:c>
      <x:c r="H4859" s="0" t="s">
        <x:v>20</x:v>
      </x:c>
      <x:c r="I4859" s="0" t="s">
        <x:v>21</x:v>
      </x:c>
      <x:c r="K4859" s="0">
        <x:f>hyperlink("https://icd.who.int/dev11/l-ichi/en#/http%3A%2F%2Fid.who.int%2Ficd%2Fentity%2F246961252","browser")</x:f>
      </x:c>
      <x:c r="L4859" s="0">
        <x:f>hyperlink("https://icat2.azurewebsites.net/icat/?ontology=ICD&amp;tab=ClassesTab&amp;id=http%3A%2F%2Fwho.int%2Ficd%2326141_512ebf36_bf6b_4d70_85da_cf2637062af4","iCat")</x:f>
      </x:c>
      <x:c r="M4859" s="0" t="s">
        <x:v>21</x:v>
      </x:c>
      <x:c r="N4859" s="0" t="s">
        <x:v>46</x:v>
      </x:c>
    </x:row>
    <x:row r="4860" spans="1:16">
      <x:c r="A4860" s="0" t="s">
        <x:v>19288</x:v>
      </x:c>
      <x:c r="B4860" s="0" t="s">
        <x:v>19289</x:v>
      </x:c>
      <x:c r="C4860" s="0" t="s">
        <x:v>19290</x:v>
      </x:c>
      <x:c r="E4860" s="0" t="s">
        <x:v>19291</x:v>
      </x:c>
      <x:c r="F4860" s="0" t="s">
        <x:v>45</x:v>
      </x:c>
      <x:c r="G4860" s="0" t="s">
        <x:v>19</x:v>
      </x:c>
      <x:c r="H4860" s="0" t="s">
        <x:v>20</x:v>
      </x:c>
      <x:c r="I4860" s="0" t="s">
        <x:v>21</x:v>
      </x:c>
      <x:c r="K4860" s="0">
        <x:f>hyperlink("https://icd.who.int/dev11/l-ichi/en#/http%3A%2F%2Fid.who.int%2Ficd%2Fentity%2F1589874131","browser")</x:f>
      </x:c>
      <x:c r="L4860" s="0">
        <x:f>hyperlink("https://icat2.azurewebsites.net/icat/?ontology=ICD&amp;tab=ClassesTab&amp;id=http%3A%2F%2Fwho.int%2Ficd%2326147_512ebf36_bf6b_4d70_85da_cf2637062af4","iCat")</x:f>
      </x:c>
      <x:c r="M4860" s="0" t="s">
        <x:v>21</x:v>
      </x:c>
      <x:c r="N4860" s="0" t="s">
        <x:v>46</x:v>
      </x:c>
    </x:row>
    <x:row r="4861" spans="1:16">
      <x:c r="A4861" s="0" t="s">
        <x:v>19292</x:v>
      </x:c>
      <x:c r="B4861" s="0" t="s">
        <x:v>19293</x:v>
      </x:c>
      <x:c r="C4861" s="0" t="s">
        <x:v>19294</x:v>
      </x:c>
      <x:c r="E4861" s="0" t="s">
        <x:v>19295</x:v>
      </x:c>
      <x:c r="F4861" s="0" t="s">
        <x:v>45</x:v>
      </x:c>
      <x:c r="G4861" s="0" t="s">
        <x:v>19</x:v>
      </x:c>
      <x:c r="H4861" s="0" t="s">
        <x:v>20</x:v>
      </x:c>
      <x:c r="I4861" s="0" t="s">
        <x:v>21</x:v>
      </x:c>
      <x:c r="K4861" s="0">
        <x:f>hyperlink("https://icd.who.int/dev11/l-ichi/en#/http%3A%2F%2Fid.who.int%2Ficd%2Fentity%2F16899314","browser")</x:f>
      </x:c>
      <x:c r="L4861" s="0">
        <x:f>hyperlink("https://icat2.azurewebsites.net/icat/?ontology=ICD&amp;tab=ClassesTab&amp;id=http%3A%2F%2Fwho.int%2Ficd%2326153_512ebf36_bf6b_4d70_85da_cf2637062af4","iCat")</x:f>
      </x:c>
      <x:c r="M4861" s="0" t="s">
        <x:v>21</x:v>
      </x:c>
      <x:c r="N4861" s="0" t="s">
        <x:v>46</x:v>
      </x:c>
    </x:row>
    <x:row r="4862" spans="1:16">
      <x:c r="A4862" s="0" t="s">
        <x:v>19296</x:v>
      </x:c>
      <x:c r="B4862" s="0" t="s">
        <x:v>19297</x:v>
      </x:c>
      <x:c r="C4862" s="0" t="s">
        <x:v>19298</x:v>
      </x:c>
      <x:c r="E4862" s="0" t="s">
        <x:v>19299</x:v>
      </x:c>
      <x:c r="F4862" s="0" t="s">
        <x:v>45</x:v>
      </x:c>
      <x:c r="G4862" s="0" t="s">
        <x:v>19</x:v>
      </x:c>
      <x:c r="H4862" s="0" t="s">
        <x:v>20</x:v>
      </x:c>
      <x:c r="I4862" s="0" t="s">
        <x:v>21</x:v>
      </x:c>
      <x:c r="K4862" s="0">
        <x:f>hyperlink("https://icd.who.int/dev11/l-ichi/en#/http%3A%2F%2Fid.who.int%2Ficd%2Fentity%2F721203298","browser")</x:f>
      </x:c>
      <x:c r="L4862" s="0">
        <x:f>hyperlink("https://icat2.azurewebsites.net/icat/?ontology=ICD&amp;tab=ClassesTab&amp;id=http%3A%2F%2Fwho.int%2Ficd%2326159_512ebf36_bf6b_4d70_85da_cf2637062af4","iCat")</x:f>
      </x:c>
      <x:c r="M4862" s="0" t="s">
        <x:v>21</x:v>
      </x:c>
      <x:c r="N4862" s="0" t="s">
        <x:v>46</x:v>
      </x:c>
    </x:row>
    <x:row r="4863" spans="1:16">
      <x:c r="A4863" s="0" t="s">
        <x:v>19300</x:v>
      </x:c>
      <x:c r="B4863" s="0" t="s">
        <x:v>19301</x:v>
      </x:c>
      <x:c r="C4863" s="0" t="s">
        <x:v>19302</x:v>
      </x:c>
      <x:c r="E4863" s="0" t="s">
        <x:v>19303</x:v>
      </x:c>
      <x:c r="F4863" s="0" t="s">
        <x:v>45</x:v>
      </x:c>
      <x:c r="G4863" s="0" t="s">
        <x:v>19</x:v>
      </x:c>
      <x:c r="H4863" s="0" t="s">
        <x:v>20</x:v>
      </x:c>
      <x:c r="I4863" s="0" t="s">
        <x:v>21</x:v>
      </x:c>
      <x:c r="K4863" s="0">
        <x:f>hyperlink("https://icd.who.int/dev11/l-ichi/en#/http%3A%2F%2Fid.who.int%2Ficd%2Fentity%2F1414408895","browser")</x:f>
      </x:c>
      <x:c r="L4863" s="0">
        <x:f>hyperlink("https://icat2.azurewebsites.net/icat/?ontology=ICD&amp;tab=ClassesTab&amp;id=http%3A%2F%2Fwho.int%2Ficd%2326166_512ebf36_bf6b_4d70_85da_cf2637062af4","iCat")</x:f>
      </x:c>
      <x:c r="M4863" s="0" t="s">
        <x:v>21</x:v>
      </x:c>
      <x:c r="N4863" s="0" t="s">
        <x:v>46</x:v>
      </x:c>
    </x:row>
    <x:row r="4864" spans="1:16">
      <x:c r="A4864" s="0" t="s">
        <x:v>19304</x:v>
      </x:c>
      <x:c r="B4864" s="0" t="s">
        <x:v>19305</x:v>
      </x:c>
      <x:c r="C4864" s="0" t="s">
        <x:v>19306</x:v>
      </x:c>
      <x:c r="E4864" s="0" t="s">
        <x:v>19307</x:v>
      </x:c>
      <x:c r="F4864" s="0" t="s">
        <x:v>45</x:v>
      </x:c>
      <x:c r="G4864" s="0" t="s">
        <x:v>19</x:v>
      </x:c>
      <x:c r="H4864" s="0" t="s">
        <x:v>20</x:v>
      </x:c>
      <x:c r="I4864" s="0" t="s">
        <x:v>21</x:v>
      </x:c>
      <x:c r="K4864" s="0">
        <x:f>hyperlink("https://icd.who.int/dev11/l-ichi/en#/http%3A%2F%2Fid.who.int%2Ficd%2Fentity%2F2064568337","browser")</x:f>
      </x:c>
      <x:c r="L4864" s="0">
        <x:f>hyperlink("https://icat2.azurewebsites.net/icat/?ontology=ICD&amp;tab=ClassesTab&amp;id=http%3A%2F%2Fwho.int%2Ficd%2326175_512ebf36_bf6b_4d70_85da_cf2637062af4","iCat")</x:f>
      </x:c>
      <x:c r="M4864" s="0" t="s">
        <x:v>21</x:v>
      </x:c>
      <x:c r="N4864" s="0" t="s">
        <x:v>46</x:v>
      </x:c>
    </x:row>
    <x:row r="4865" spans="1:16">
      <x:c r="A4865" s="0" t="s">
        <x:v>19308</x:v>
      </x:c>
      <x:c r="B4865" s="0" t="s">
        <x:v>19309</x:v>
      </x:c>
      <x:c r="C4865" s="0" t="s">
        <x:v>19310</x:v>
      </x:c>
      <x:c r="E4865" s="0" t="s">
        <x:v>19311</x:v>
      </x:c>
      <x:c r="F4865" s="0" t="s">
        <x:v>45</x:v>
      </x:c>
      <x:c r="G4865" s="0" t="s">
        <x:v>19</x:v>
      </x:c>
      <x:c r="H4865" s="0" t="s">
        <x:v>20</x:v>
      </x:c>
      <x:c r="I4865" s="0" t="s">
        <x:v>21</x:v>
      </x:c>
      <x:c r="K4865" s="0">
        <x:f>hyperlink("https://icd.who.int/dev11/l-ichi/en#/http%3A%2F%2Fid.who.int%2Ficd%2Fentity%2F1643011771","browser")</x:f>
      </x:c>
      <x:c r="L4865" s="0">
        <x:f>hyperlink("https://icat2.azurewebsites.net/icat/?ontology=ICD&amp;tab=ClassesTab&amp;id=http%3A%2F%2Fwho.int%2Ficd%2326181_512ebf36_bf6b_4d70_85da_cf2637062af4","iCat")</x:f>
      </x:c>
      <x:c r="M4865" s="0" t="s">
        <x:v>21</x:v>
      </x:c>
      <x:c r="N4865" s="0" t="s">
        <x:v>46</x:v>
      </x:c>
    </x:row>
    <x:row r="4866" spans="1:16">
      <x:c r="A4866" s="0" t="s">
        <x:v>19312</x:v>
      </x:c>
      <x:c r="B4866" s="0" t="s">
        <x:v>19313</x:v>
      </x:c>
      <x:c r="C4866" s="0" t="s">
        <x:v>19314</x:v>
      </x:c>
      <x:c r="E4866" s="0" t="s">
        <x:v>19315</x:v>
      </x:c>
      <x:c r="F4866" s="0" t="s">
        <x:v>45</x:v>
      </x:c>
      <x:c r="G4866" s="0" t="s">
        <x:v>19</x:v>
      </x:c>
      <x:c r="H4866" s="0" t="s">
        <x:v>20</x:v>
      </x:c>
      <x:c r="I4866" s="0" t="s">
        <x:v>21</x:v>
      </x:c>
      <x:c r="K4866" s="0">
        <x:f>hyperlink("https://icd.who.int/dev11/l-ichi/en#/http%3A%2F%2Fid.who.int%2Ficd%2Fentity%2F831883020","browser")</x:f>
      </x:c>
      <x:c r="L4866" s="0">
        <x:f>hyperlink("https://icat2.azurewebsites.net/icat/?ontology=ICD&amp;tab=ClassesTab&amp;id=http%3A%2F%2Fwho.int%2Ficd%2326187_512ebf36_bf6b_4d70_85da_cf2637062af4","iCat")</x:f>
      </x:c>
      <x:c r="M4866" s="0" t="s">
        <x:v>21</x:v>
      </x:c>
      <x:c r="N4866" s="0" t="s">
        <x:v>46</x:v>
      </x:c>
    </x:row>
    <x:row r="4867" spans="1:16">
      <x:c r="A4867" s="0" t="s">
        <x:v>19316</x:v>
      </x:c>
      <x:c r="B4867" s="0" t="s">
        <x:v>19317</x:v>
      </x:c>
      <x:c r="C4867" s="0" t="s">
        <x:v>19318</x:v>
      </x:c>
      <x:c r="E4867" s="0" t="s">
        <x:v>19319</x:v>
      </x:c>
      <x:c r="F4867" s="0" t="s">
        <x:v>45</x:v>
      </x:c>
      <x:c r="G4867" s="0" t="s">
        <x:v>19</x:v>
      </x:c>
      <x:c r="H4867" s="0" t="s">
        <x:v>20</x:v>
      </x:c>
      <x:c r="I4867" s="0" t="s">
        <x:v>21</x:v>
      </x:c>
      <x:c r="K4867" s="0">
        <x:f>hyperlink("https://icd.who.int/dev11/l-ichi/en#/http%3A%2F%2Fid.who.int%2Ficd%2Fentity%2F2074697825","browser")</x:f>
      </x:c>
      <x:c r="L4867" s="0">
        <x:f>hyperlink("https://icat2.azurewebsites.net/icat/?ontology=ICD&amp;tab=ClassesTab&amp;id=http%3A%2F%2Fwho.int%2Ficd%2326196_512ebf36_bf6b_4d70_85da_cf2637062af4","iCat")</x:f>
      </x:c>
      <x:c r="M4867" s="0" t="s">
        <x:v>21</x:v>
      </x:c>
      <x:c r="N4867" s="0" t="s">
        <x:v>46</x:v>
      </x:c>
    </x:row>
    <x:row r="4868" spans="1:16">
      <x:c r="A4868" s="0" t="s">
        <x:v>19320</x:v>
      </x:c>
      <x:c r="B4868" s="0" t="s">
        <x:v>19321</x:v>
      </x:c>
      <x:c r="C4868" s="0" t="s">
        <x:v>19322</x:v>
      </x:c>
      <x:c r="E4868" s="0" t="s">
        <x:v>19323</x:v>
      </x:c>
      <x:c r="F4868" s="0" t="s">
        <x:v>45</x:v>
      </x:c>
      <x:c r="G4868" s="0" t="s">
        <x:v>19</x:v>
      </x:c>
      <x:c r="H4868" s="0" t="s">
        <x:v>20</x:v>
      </x:c>
      <x:c r="I4868" s="0" t="s">
        <x:v>21</x:v>
      </x:c>
      <x:c r="K4868" s="0">
        <x:f>hyperlink("https://icd.who.int/dev11/l-ichi/en#/http%3A%2F%2Fid.who.int%2Ficd%2Fentity%2F1510333663","browser")</x:f>
      </x:c>
      <x:c r="L4868" s="0">
        <x:f>hyperlink("https://icat2.azurewebsites.net/icat/?ontology=ICD&amp;tab=ClassesTab&amp;id=http%3A%2F%2Fwho.int%2Ficd%2326202_512ebf36_bf6b_4d70_85da_cf2637062af4","iCat")</x:f>
      </x:c>
      <x:c r="M4868" s="0" t="s">
        <x:v>21</x:v>
      </x:c>
      <x:c r="N4868" s="0" t="s">
        <x:v>46</x:v>
      </x:c>
    </x:row>
    <x:row r="4869" spans="1:16">
      <x:c r="A4869" s="0" t="s">
        <x:v>19324</x:v>
      </x:c>
      <x:c r="B4869" s="0" t="s">
        <x:v>19325</x:v>
      </x:c>
      <x:c r="C4869" s="0" t="s">
        <x:v>19326</x:v>
      </x:c>
      <x:c r="E4869" s="0" t="s">
        <x:v>19327</x:v>
      </x:c>
      <x:c r="F4869" s="0" t="s">
        <x:v>45</x:v>
      </x:c>
      <x:c r="G4869" s="0" t="s">
        <x:v>19</x:v>
      </x:c>
      <x:c r="H4869" s="0" t="s">
        <x:v>20</x:v>
      </x:c>
      <x:c r="I4869" s="0" t="s">
        <x:v>21</x:v>
      </x:c>
      <x:c r="K4869" s="0">
        <x:f>hyperlink("https://icd.who.int/dev11/l-ichi/en#/http%3A%2F%2Fid.who.int%2Ficd%2Fentity%2F1912123471","browser")</x:f>
      </x:c>
      <x:c r="L4869" s="0">
        <x:f>hyperlink("https://icat2.azurewebsites.net/icat/?ontology=ICD&amp;tab=ClassesTab&amp;id=http%3A%2F%2Fwho.int%2Ficd%2326208_512ebf36_bf6b_4d70_85da_cf2637062af4","iCat")</x:f>
      </x:c>
      <x:c r="M4869" s="0" t="s">
        <x:v>21</x:v>
      </x:c>
      <x:c r="N4869" s="0" t="s">
        <x:v>46</x:v>
      </x:c>
    </x:row>
    <x:row r="4870" spans="1:16">
      <x:c r="A4870" s="0" t="s">
        <x:v>19328</x:v>
      </x:c>
      <x:c r="B4870" s="0" t="s">
        <x:v>19329</x:v>
      </x:c>
      <x:c r="C4870" s="0" t="s">
        <x:v>19330</x:v>
      </x:c>
      <x:c r="E4870" s="0" t="s">
        <x:v>19331</x:v>
      </x:c>
      <x:c r="F4870" s="0" t="s">
        <x:v>45</x:v>
      </x:c>
      <x:c r="G4870" s="0" t="s">
        <x:v>19</x:v>
      </x:c>
      <x:c r="H4870" s="0" t="s">
        <x:v>20</x:v>
      </x:c>
      <x:c r="I4870" s="0" t="s">
        <x:v>21</x:v>
      </x:c>
      <x:c r="K4870" s="0">
        <x:f>hyperlink("https://icd.who.int/dev11/l-ichi/en#/http%3A%2F%2Fid.who.int%2Ficd%2Fentity%2F1622904889","browser")</x:f>
      </x:c>
      <x:c r="L4870" s="0">
        <x:f>hyperlink("https://icat2.azurewebsites.net/icat/?ontology=ICD&amp;tab=ClassesTab&amp;id=http%3A%2F%2Fwho.int%2Ficd%2326214_512ebf36_bf6b_4d70_85da_cf2637062af4","iCat")</x:f>
      </x:c>
      <x:c r="M4870" s="0" t="s">
        <x:v>21</x:v>
      </x:c>
      <x:c r="N4870" s="0" t="s">
        <x:v>46</x:v>
      </x:c>
    </x:row>
    <x:row r="4871" spans="1:16">
      <x:c r="A4871" s="0" t="s">
        <x:v>19332</x:v>
      </x:c>
      <x:c r="B4871" s="0" t="s">
        <x:v>19333</x:v>
      </x:c>
      <x:c r="C4871" s="0" t="s">
        <x:v>19334</x:v>
      </x:c>
      <x:c r="E4871" s="0" t="s">
        <x:v>19335</x:v>
      </x:c>
      <x:c r="F4871" s="0" t="s">
        <x:v>45</x:v>
      </x:c>
      <x:c r="G4871" s="0" t="s">
        <x:v>19</x:v>
      </x:c>
      <x:c r="H4871" s="0" t="s">
        <x:v>20</x:v>
      </x:c>
      <x:c r="I4871" s="0" t="s">
        <x:v>21</x:v>
      </x:c>
      <x:c r="K4871" s="0">
        <x:f>hyperlink("https://icd.who.int/dev11/l-ichi/en#/http%3A%2F%2Fid.who.int%2Ficd%2Fentity%2F353178698","browser")</x:f>
      </x:c>
      <x:c r="L4871" s="0">
        <x:f>hyperlink("https://icat2.azurewebsites.net/icat/?ontology=ICD&amp;tab=ClassesTab&amp;id=http%3A%2F%2Fwho.int%2Ficd%2326220_512ebf36_bf6b_4d70_85da_cf2637062af4","iCat")</x:f>
      </x:c>
      <x:c r="M4871" s="0" t="s">
        <x:v>21</x:v>
      </x:c>
      <x:c r="N4871" s="0" t="s">
        <x:v>46</x:v>
      </x:c>
    </x:row>
    <x:row r="4872" spans="1:16">
      <x:c r="A4872" s="0" t="s">
        <x:v>19336</x:v>
      </x:c>
      <x:c r="B4872" s="0" t="s">
        <x:v>19337</x:v>
      </x:c>
      <x:c r="C4872" s="0" t="s">
        <x:v>19338</x:v>
      </x:c>
      <x:c r="E4872" s="0" t="s">
        <x:v>19339</x:v>
      </x:c>
      <x:c r="F4872" s="0" t="s">
        <x:v>45</x:v>
      </x:c>
      <x:c r="G4872" s="0" t="s">
        <x:v>19</x:v>
      </x:c>
      <x:c r="H4872" s="0" t="s">
        <x:v>20</x:v>
      </x:c>
      <x:c r="I4872" s="0" t="s">
        <x:v>21</x:v>
      </x:c>
      <x:c r="K4872" s="0">
        <x:f>hyperlink("https://icd.who.int/dev11/l-ichi/en#/http%3A%2F%2Fid.who.int%2Ficd%2Fentity%2F1338210611","browser")</x:f>
      </x:c>
      <x:c r="L4872" s="0">
        <x:f>hyperlink("https://icat2.azurewebsites.net/icat/?ontology=ICD&amp;tab=ClassesTab&amp;id=http%3A%2F%2Fwho.int%2Ficd%2315094_4869915e_217e_423d_acb3_33c0f920ef4b","iCat")</x:f>
      </x:c>
      <x:c r="M4872" s="0" t="s">
        <x:v>21</x:v>
      </x:c>
      <x:c r="N4872" s="0" t="s">
        <x:v>46</x:v>
      </x:c>
    </x:row>
    <x:row r="4873" spans="1:16">
      <x:c r="A4873" s="0" t="s">
        <x:v>19340</x:v>
      </x:c>
      <x:c r="B4873" s="0" t="s">
        <x:v>19341</x:v>
      </x:c>
      <x:c r="C4873" s="0" t="s">
        <x:v>19342</x:v>
      </x:c>
      <x:c r="E4873" s="0" t="s">
        <x:v>19343</x:v>
      </x:c>
      <x:c r="F4873" s="0" t="s">
        <x:v>45</x:v>
      </x:c>
      <x:c r="G4873" s="0" t="s">
        <x:v>19</x:v>
      </x:c>
      <x:c r="H4873" s="0" t="s">
        <x:v>20</x:v>
      </x:c>
      <x:c r="I4873" s="0" t="s">
        <x:v>21</x:v>
      </x:c>
      <x:c r="K4873" s="0">
        <x:f>hyperlink("https://icd.who.int/dev11/l-ichi/en#/http%3A%2F%2Fid.who.int%2Ficd%2Fentity%2F2058336073","browser")</x:f>
      </x:c>
      <x:c r="L4873" s="0">
        <x:f>hyperlink("https://icat2.azurewebsites.net/icat/?ontology=ICD&amp;tab=ClassesTab&amp;id=http%3A%2F%2Fwho.int%2Ficd%2315100_4869915e_217e_423d_acb3_33c0f920ef4b","iCat")</x:f>
      </x:c>
      <x:c r="M4873" s="0" t="s">
        <x:v>21</x:v>
      </x:c>
      <x:c r="N4873" s="0" t="s">
        <x:v>46</x:v>
      </x:c>
    </x:row>
    <x:row r="4874" spans="1:16">
      <x:c r="A4874" s="0" t="s">
        <x:v>19344</x:v>
      </x:c>
      <x:c r="B4874" s="0" t="s">
        <x:v>19345</x:v>
      </x:c>
      <x:c r="C4874" s="0" t="s">
        <x:v>19346</x:v>
      </x:c>
      <x:c r="E4874" s="0" t="s">
        <x:v>19347</x:v>
      </x:c>
      <x:c r="F4874" s="0" t="s">
        <x:v>45</x:v>
      </x:c>
      <x:c r="G4874" s="0" t="s">
        <x:v>19</x:v>
      </x:c>
      <x:c r="H4874" s="0" t="s">
        <x:v>20</x:v>
      </x:c>
      <x:c r="I4874" s="0" t="s">
        <x:v>21</x:v>
      </x:c>
      <x:c r="K4874" s="0">
        <x:f>hyperlink("https://icd.who.int/dev11/l-ichi/en#/http%3A%2F%2Fid.who.int%2Ficd%2Fentity%2F1165413883","browser")</x:f>
      </x:c>
      <x:c r="L4874" s="0">
        <x:f>hyperlink("https://icat2.azurewebsites.net/icat/?ontology=ICD&amp;tab=ClassesTab&amp;id=http%3A%2F%2Fwho.int%2Ficd%2326226_512ebf36_bf6b_4d70_85da_cf2637062af4","iCat")</x:f>
      </x:c>
      <x:c r="M4874" s="0" t="s">
        <x:v>21</x:v>
      </x:c>
      <x:c r="N4874" s="0" t="s">
        <x:v>46</x:v>
      </x:c>
    </x:row>
    <x:row r="4875" spans="1:16">
      <x:c r="A4875" s="0" t="s">
        <x:v>19348</x:v>
      </x:c>
      <x:c r="B4875" s="0" t="s">
        <x:v>19349</x:v>
      </x:c>
      <x:c r="C4875" s="0" t="s">
        <x:v>19350</x:v>
      </x:c>
      <x:c r="E4875" s="0" t="s">
        <x:v>19351</x:v>
      </x:c>
      <x:c r="F4875" s="0" t="s">
        <x:v>45</x:v>
      </x:c>
      <x:c r="G4875" s="0" t="s">
        <x:v>19</x:v>
      </x:c>
      <x:c r="H4875" s="0" t="s">
        <x:v>20</x:v>
      </x:c>
      <x:c r="I4875" s="0" t="s">
        <x:v>21</x:v>
      </x:c>
      <x:c r="K4875" s="0">
        <x:f>hyperlink("https://icd.who.int/dev11/l-ichi/en#/http%3A%2F%2Fid.who.int%2Ficd%2Fentity%2F448044248","browser")</x:f>
      </x:c>
      <x:c r="L4875" s="0">
        <x:f>hyperlink("https://icat2.azurewebsites.net/icat/?ontology=ICD&amp;tab=ClassesTab&amp;id=http%3A%2F%2Fwho.int%2Ficd%2326232_512ebf36_bf6b_4d70_85da_cf2637062af4","iCat")</x:f>
      </x:c>
      <x:c r="M4875" s="0" t="s">
        <x:v>21</x:v>
      </x:c>
      <x:c r="N4875" s="0" t="s">
        <x:v>46</x:v>
      </x:c>
    </x:row>
    <x:row r="4876" spans="1:16">
      <x:c r="A4876" s="0" t="s">
        <x:v>19352</x:v>
      </x:c>
      <x:c r="B4876" s="0" t="s">
        <x:v>19353</x:v>
      </x:c>
      <x:c r="C4876" s="0" t="s">
        <x:v>19354</x:v>
      </x:c>
      <x:c r="E4876" s="0" t="s">
        <x:v>19355</x:v>
      </x:c>
      <x:c r="F4876" s="0" t="s">
        <x:v>45</x:v>
      </x:c>
      <x:c r="G4876" s="0" t="s">
        <x:v>19</x:v>
      </x:c>
      <x:c r="H4876" s="0" t="s">
        <x:v>20</x:v>
      </x:c>
      <x:c r="I4876" s="0" t="s">
        <x:v>21</x:v>
      </x:c>
      <x:c r="K4876" s="0">
        <x:f>hyperlink("https://icd.who.int/dev11/l-ichi/en#/http%3A%2F%2Fid.who.int%2Ficd%2Fentity%2F1327403527","browser")</x:f>
      </x:c>
      <x:c r="L4876" s="0">
        <x:f>hyperlink("https://icat2.azurewebsites.net/icat/?ontology=ICD&amp;tab=ClassesTab&amp;id=http%3A%2F%2Fwho.int%2Ficd%2326240_512ebf36_bf6b_4d70_85da_cf2637062af4","iCat")</x:f>
      </x:c>
      <x:c r="M4876" s="0" t="s">
        <x:v>21</x:v>
      </x:c>
      <x:c r="N4876" s="0" t="s">
        <x:v>46</x:v>
      </x:c>
    </x:row>
    <x:row r="4877" spans="1:16">
      <x:c r="A4877" s="0" t="s">
        <x:v>19356</x:v>
      </x:c>
      <x:c r="B4877" s="0" t="s">
        <x:v>19357</x:v>
      </x:c>
      <x:c r="C4877" s="0" t="s">
        <x:v>19358</x:v>
      </x:c>
      <x:c r="E4877" s="0" t="s">
        <x:v>19359</x:v>
      </x:c>
      <x:c r="F4877" s="0" t="s">
        <x:v>45</x:v>
      </x:c>
      <x:c r="G4877" s="0" t="s">
        <x:v>19</x:v>
      </x:c>
      <x:c r="H4877" s="0" t="s">
        <x:v>20</x:v>
      </x:c>
      <x:c r="I4877" s="0" t="s">
        <x:v>21</x:v>
      </x:c>
      <x:c r="K4877" s="0">
        <x:f>hyperlink("https://icd.who.int/dev11/l-ichi/en#/http%3A%2F%2Fid.who.int%2Ficd%2Fentity%2F526732214","browser")</x:f>
      </x:c>
      <x:c r="L4877" s="0">
        <x:f>hyperlink("https://icat2.azurewebsites.net/icat/?ontology=ICD&amp;tab=ClassesTab&amp;id=http%3A%2F%2Fwho.int%2Ficd%2326246_512ebf36_bf6b_4d70_85da_cf2637062af4","iCat")</x:f>
      </x:c>
      <x:c r="M4877" s="0" t="s">
        <x:v>21</x:v>
      </x:c>
      <x:c r="N4877" s="0" t="s">
        <x:v>46</x:v>
      </x:c>
    </x:row>
    <x:row r="4878" spans="1:16">
      <x:c r="A4878" s="0" t="s">
        <x:v>19360</x:v>
      </x:c>
      <x:c r="B4878" s="0" t="s">
        <x:v>19361</x:v>
      </x:c>
      <x:c r="C4878" s="0" t="s">
        <x:v>19362</x:v>
      </x:c>
      <x:c r="E4878" s="0" t="s">
        <x:v>19363</x:v>
      </x:c>
      <x:c r="F4878" s="0" t="s">
        <x:v>45</x:v>
      </x:c>
      <x:c r="G4878" s="0" t="s">
        <x:v>19</x:v>
      </x:c>
      <x:c r="H4878" s="0" t="s">
        <x:v>20</x:v>
      </x:c>
      <x:c r="I4878" s="0" t="s">
        <x:v>21</x:v>
      </x:c>
      <x:c r="K4878" s="0">
        <x:f>hyperlink("https://icd.who.int/dev11/l-ichi/en#/http%3A%2F%2Fid.who.int%2Ficd%2Fentity%2F282903332","browser")</x:f>
      </x:c>
      <x:c r="L4878" s="0">
        <x:f>hyperlink("https://icat2.azurewebsites.net/icat/?ontology=ICD&amp;tab=ClassesTab&amp;id=http%3A%2F%2Fwho.int%2Ficd%2326254_512ebf36_bf6b_4d70_85da_cf2637062af4","iCat")</x:f>
      </x:c>
      <x:c r="M4878" s="0" t="s">
        <x:v>21</x:v>
      </x:c>
      <x:c r="N4878" s="0" t="s">
        <x:v>46</x:v>
      </x:c>
    </x:row>
    <x:row r="4879" spans="1:16">
      <x:c r="A4879" s="0" t="s">
        <x:v>19364</x:v>
      </x:c>
      <x:c r="B4879" s="0" t="s">
        <x:v>19365</x:v>
      </x:c>
      <x:c r="C4879" s="0" t="s">
        <x:v>19366</x:v>
      </x:c>
      <x:c r="E4879" s="0" t="s">
        <x:v>19367</x:v>
      </x:c>
      <x:c r="F4879" s="0" t="s">
        <x:v>45</x:v>
      </x:c>
      <x:c r="G4879" s="0" t="s">
        <x:v>19</x:v>
      </x:c>
      <x:c r="H4879" s="0" t="s">
        <x:v>20</x:v>
      </x:c>
      <x:c r="I4879" s="0" t="s">
        <x:v>21</x:v>
      </x:c>
      <x:c r="K4879" s="0">
        <x:f>hyperlink("https://icd.who.int/dev11/l-ichi/en#/http%3A%2F%2Fid.who.int%2Ficd%2Fentity%2F1464978","browser")</x:f>
      </x:c>
      <x:c r="L4879" s="0">
        <x:f>hyperlink("https://icat2.azurewebsites.net/icat/?ontology=ICD&amp;tab=ClassesTab&amp;id=http%3A%2F%2Fwho.int%2Ficd%2326262_512ebf36_bf6b_4d70_85da_cf2637062af4","iCat")</x:f>
      </x:c>
      <x:c r="M4879" s="0" t="s">
        <x:v>21</x:v>
      </x:c>
      <x:c r="N4879" s="0" t="s">
        <x:v>46</x:v>
      </x:c>
    </x:row>
    <x:row r="4880" spans="1:16">
      <x:c r="A4880" s="0" t="s">
        <x:v>19368</x:v>
      </x:c>
      <x:c r="B4880" s="0" t="s">
        <x:v>19369</x:v>
      </x:c>
      <x:c r="C4880" s="0" t="s">
        <x:v>19370</x:v>
      </x:c>
      <x:c r="E4880" s="0" t="s">
        <x:v>19371</x:v>
      </x:c>
      <x:c r="F4880" s="0" t="s">
        <x:v>45</x:v>
      </x:c>
      <x:c r="G4880" s="0" t="s">
        <x:v>19</x:v>
      </x:c>
      <x:c r="H4880" s="0" t="s">
        <x:v>20</x:v>
      </x:c>
      <x:c r="I4880" s="0" t="s">
        <x:v>21</x:v>
      </x:c>
      <x:c r="K4880" s="0">
        <x:f>hyperlink("https://icd.who.int/dev11/l-ichi/en#/http%3A%2F%2Fid.who.int%2Ficd%2Fentity%2F736835074","browser")</x:f>
      </x:c>
      <x:c r="L4880" s="0">
        <x:f>hyperlink("https://icat2.azurewebsites.net/icat/?ontology=ICD&amp;tab=ClassesTab&amp;id=http%3A%2F%2Fwho.int%2Ficd%2326268_512ebf36_bf6b_4d70_85da_cf2637062af4","iCat")</x:f>
      </x:c>
      <x:c r="M4880" s="0" t="s">
        <x:v>21</x:v>
      </x:c>
      <x:c r="N4880" s="0" t="s">
        <x:v>46</x:v>
      </x:c>
    </x:row>
    <x:row r="4881" spans="1:16">
      <x:c r="A4881" s="0" t="s">
        <x:v>19372</x:v>
      </x:c>
      <x:c r="B4881" s="0" t="s">
        <x:v>19373</x:v>
      </x:c>
      <x:c r="C4881" s="0" t="s">
        <x:v>19374</x:v>
      </x:c>
      <x:c r="E4881" s="0" t="s">
        <x:v>19375</x:v>
      </x:c>
      <x:c r="F4881" s="0" t="s">
        <x:v>45</x:v>
      </x:c>
      <x:c r="G4881" s="0" t="s">
        <x:v>19</x:v>
      </x:c>
      <x:c r="H4881" s="0" t="s">
        <x:v>20</x:v>
      </x:c>
      <x:c r="I4881" s="0" t="s">
        <x:v>21</x:v>
      </x:c>
      <x:c r="K4881" s="0">
        <x:f>hyperlink("https://icd.who.int/dev11/l-ichi/en#/http%3A%2F%2Fid.who.int%2Ficd%2Fentity%2F984094326","browser")</x:f>
      </x:c>
      <x:c r="L4881" s="0">
        <x:f>hyperlink("https://icat2.azurewebsites.net/icat/?ontology=ICD&amp;tab=ClassesTab&amp;id=http%3A%2F%2Fwho.int%2Ficd%2326274_512ebf36_bf6b_4d70_85da_cf2637062af4","iCat")</x:f>
      </x:c>
      <x:c r="M4881" s="0" t="s">
        <x:v>21</x:v>
      </x:c>
      <x:c r="N4881" s="0" t="s">
        <x:v>46</x:v>
      </x:c>
    </x:row>
    <x:row r="4882" spans="1:16">
      <x:c r="A4882" s="0" t="s">
        <x:v>19376</x:v>
      </x:c>
      <x:c r="B4882" s="0" t="s">
        <x:v>19377</x:v>
      </x:c>
      <x:c r="C4882" s="0" t="s">
        <x:v>19378</x:v>
      </x:c>
      <x:c r="E4882" s="0" t="s">
        <x:v>19379</x:v>
      </x:c>
      <x:c r="F4882" s="0" t="s">
        <x:v>45</x:v>
      </x:c>
      <x:c r="G4882" s="0" t="s">
        <x:v>19</x:v>
      </x:c>
      <x:c r="H4882" s="0" t="s">
        <x:v>20</x:v>
      </x:c>
      <x:c r="I4882" s="0" t="s">
        <x:v>21</x:v>
      </x:c>
      <x:c r="K4882" s="0">
        <x:f>hyperlink("https://icd.who.int/dev11/l-ichi/en#/http%3A%2F%2Fid.who.int%2Ficd%2Fentity%2F1161069851","browser")</x:f>
      </x:c>
      <x:c r="L4882" s="0">
        <x:f>hyperlink("https://icat2.azurewebsites.net/icat/?ontology=ICD&amp;tab=ClassesTab&amp;id=http%3A%2F%2Fwho.int%2Ficd%2326282_512ebf36_bf6b_4d70_85da_cf2637062af4","iCat")</x:f>
      </x:c>
      <x:c r="M4882" s="0" t="s">
        <x:v>21</x:v>
      </x:c>
      <x:c r="N4882" s="0" t="s">
        <x:v>46</x:v>
      </x:c>
    </x:row>
    <x:row r="4883" spans="1:16">
      <x:c r="A4883" s="0" t="s">
        <x:v>19380</x:v>
      </x:c>
      <x:c r="B4883" s="0" t="s">
        <x:v>19381</x:v>
      </x:c>
      <x:c r="C4883" s="0" t="s">
        <x:v>19382</x:v>
      </x:c>
      <x:c r="E4883" s="0" t="s">
        <x:v>19383</x:v>
      </x:c>
      <x:c r="F4883" s="0" t="s">
        <x:v>45</x:v>
      </x:c>
      <x:c r="G4883" s="0" t="s">
        <x:v>19</x:v>
      </x:c>
      <x:c r="H4883" s="0" t="s">
        <x:v>20</x:v>
      </x:c>
      <x:c r="I4883" s="0" t="s">
        <x:v>21</x:v>
      </x:c>
      <x:c r="K4883" s="0">
        <x:f>hyperlink("https://icd.who.int/dev11/l-ichi/en#/http%3A%2F%2Fid.who.int%2Ficd%2Fentity%2F1311808439","browser")</x:f>
      </x:c>
      <x:c r="L4883" s="0">
        <x:f>hyperlink("https://icat2.azurewebsites.net/icat/?ontology=ICD&amp;tab=ClassesTab&amp;id=http%3A%2F%2Fwho.int%2Ficd%2326289_512ebf36_bf6b_4d70_85da_cf2637062af4","iCat")</x:f>
      </x:c>
      <x:c r="M4883" s="0" t="s">
        <x:v>21</x:v>
      </x:c>
      <x:c r="N4883" s="0" t="s">
        <x:v>46</x:v>
      </x:c>
    </x:row>
    <x:row r="4884" spans="1:16">
      <x:c r="A4884" s="0" t="s">
        <x:v>19384</x:v>
      </x:c>
      <x:c r="B4884" s="0" t="s">
        <x:v>19385</x:v>
      </x:c>
      <x:c r="C4884" s="0" t="s">
        <x:v>19386</x:v>
      </x:c>
      <x:c r="E4884" s="0" t="s">
        <x:v>19387</x:v>
      </x:c>
      <x:c r="F4884" s="0" t="s">
        <x:v>45</x:v>
      </x:c>
      <x:c r="G4884" s="0" t="s">
        <x:v>19</x:v>
      </x:c>
      <x:c r="H4884" s="0" t="s">
        <x:v>20</x:v>
      </x:c>
      <x:c r="I4884" s="0" t="s">
        <x:v>21</x:v>
      </x:c>
      <x:c r="K4884" s="0">
        <x:f>hyperlink("https://icd.who.int/dev11/l-ichi/en#/http%3A%2F%2Fid.who.int%2Ficd%2Fentity%2F452383802","browser")</x:f>
      </x:c>
      <x:c r="L4884" s="0">
        <x:f>hyperlink("https://icat2.azurewebsites.net/icat/?ontology=ICD&amp;tab=ClassesTab&amp;id=http%3A%2F%2Fwho.int%2Ficd%2326296_512ebf36_bf6b_4d70_85da_cf2637062af4","iCat")</x:f>
      </x:c>
      <x:c r="M4884" s="0" t="s">
        <x:v>21</x:v>
      </x:c>
      <x:c r="N4884" s="0" t="s">
        <x:v>46</x:v>
      </x:c>
    </x:row>
    <x:row r="4885" spans="1:16">
      <x:c r="A4885" s="0" t="s">
        <x:v>19388</x:v>
      </x:c>
      <x:c r="B4885" s="0" t="s">
        <x:v>19389</x:v>
      </x:c>
      <x:c r="C4885" s="0" t="s">
        <x:v>19390</x:v>
      </x:c>
      <x:c r="E4885" s="0" t="s">
        <x:v>19391</x:v>
      </x:c>
      <x:c r="F4885" s="0" t="s">
        <x:v>45</x:v>
      </x:c>
      <x:c r="G4885" s="0" t="s">
        <x:v>19</x:v>
      </x:c>
      <x:c r="H4885" s="0" t="s">
        <x:v>20</x:v>
      </x:c>
      <x:c r="I4885" s="0" t="s">
        <x:v>21</x:v>
      </x:c>
      <x:c r="K4885" s="0">
        <x:f>hyperlink("https://icd.who.int/dev11/l-ichi/en#/http%3A%2F%2Fid.who.int%2Ficd%2Fentity%2F2145502195","browser")</x:f>
      </x:c>
      <x:c r="L4885" s="0">
        <x:f>hyperlink("https://icat2.azurewebsites.net/icat/?ontology=ICD&amp;tab=ClassesTab&amp;id=http%3A%2F%2Fwho.int%2Ficd%2326304_512ebf36_bf6b_4d70_85da_cf2637062af4","iCat")</x:f>
      </x:c>
      <x:c r="M4885" s="0" t="s">
        <x:v>21</x:v>
      </x:c>
      <x:c r="N4885" s="0" t="s">
        <x:v>46</x:v>
      </x:c>
    </x:row>
    <x:row r="4886" spans="1:16">
      <x:c r="A4886" s="0" t="s">
        <x:v>19392</x:v>
      </x:c>
      <x:c r="B4886" s="0" t="s">
        <x:v>19393</x:v>
      </x:c>
      <x:c r="C4886" s="0" t="s">
        <x:v>19394</x:v>
      </x:c>
      <x:c r="E4886" s="0" t="s">
        <x:v>19395</x:v>
      </x:c>
      <x:c r="F4886" s="0" t="s">
        <x:v>45</x:v>
      </x:c>
      <x:c r="G4886" s="0" t="s">
        <x:v>19</x:v>
      </x:c>
      <x:c r="H4886" s="0" t="s">
        <x:v>20</x:v>
      </x:c>
      <x:c r="I4886" s="0" t="s">
        <x:v>21</x:v>
      </x:c>
      <x:c r="K4886" s="0">
        <x:f>hyperlink("https://icd.who.int/dev11/l-ichi/en#/http%3A%2F%2Fid.who.int%2Ficd%2Fentity%2F539202258","browser")</x:f>
      </x:c>
      <x:c r="L4886" s="0">
        <x:f>hyperlink("https://icat2.azurewebsites.net/icat/?ontology=ICD&amp;tab=ClassesTab&amp;id=http%3A%2F%2Fwho.int%2Ficd%2326310_512ebf36_bf6b_4d70_85da_cf2637062af4","iCat")</x:f>
      </x:c>
      <x:c r="M4886" s="0" t="s">
        <x:v>21</x:v>
      </x:c>
      <x:c r="N4886" s="0" t="s">
        <x:v>46</x:v>
      </x:c>
    </x:row>
    <x:row r="4887" spans="1:16">
      <x:c r="A4887" s="0" t="s">
        <x:v>19396</x:v>
      </x:c>
      <x:c r="B4887" s="0" t="s">
        <x:v>19397</x:v>
      </x:c>
      <x:c r="C4887" s="0" t="s">
        <x:v>19398</x:v>
      </x:c>
      <x:c r="E4887" s="0" t="s">
        <x:v>19399</x:v>
      </x:c>
      <x:c r="F4887" s="0" t="s">
        <x:v>45</x:v>
      </x:c>
      <x:c r="G4887" s="0" t="s">
        <x:v>19</x:v>
      </x:c>
      <x:c r="H4887" s="0" t="s">
        <x:v>20</x:v>
      </x:c>
      <x:c r="I4887" s="0" t="s">
        <x:v>21</x:v>
      </x:c>
      <x:c r="K4887" s="0">
        <x:f>hyperlink("https://icd.who.int/dev11/l-ichi/en#/http%3A%2F%2Fid.who.int%2Ficd%2Fentity%2F1884834657","browser")</x:f>
      </x:c>
      <x:c r="L4887" s="0">
        <x:f>hyperlink("https://icat2.azurewebsites.net/icat/?ontology=ICD&amp;tab=ClassesTab&amp;id=http%3A%2F%2Fwho.int%2Ficd%2326316_512ebf36_bf6b_4d70_85da_cf2637062af4","iCat")</x:f>
      </x:c>
      <x:c r="M4887" s="0" t="s">
        <x:v>21</x:v>
      </x:c>
      <x:c r="N4887" s="0" t="s">
        <x:v>46</x:v>
      </x:c>
    </x:row>
    <x:row r="4888" spans="1:16">
      <x:c r="A4888" s="0" t="s">
        <x:v>19400</x:v>
      </x:c>
      <x:c r="B4888" s="0" t="s">
        <x:v>19401</x:v>
      </x:c>
      <x:c r="C4888" s="0" t="s">
        <x:v>19402</x:v>
      </x:c>
      <x:c r="E4888" s="0" t="s">
        <x:v>19403</x:v>
      </x:c>
      <x:c r="F4888" s="0" t="s">
        <x:v>45</x:v>
      </x:c>
      <x:c r="G4888" s="0" t="s">
        <x:v>19</x:v>
      </x:c>
      <x:c r="H4888" s="0" t="s">
        <x:v>20</x:v>
      </x:c>
      <x:c r="I4888" s="0" t="s">
        <x:v>21</x:v>
      </x:c>
      <x:c r="K4888" s="0">
        <x:f>hyperlink("https://icd.who.int/dev11/l-ichi/en#/http%3A%2F%2Fid.who.int%2Ficd%2Fentity%2F1435834019","browser")</x:f>
      </x:c>
      <x:c r="L4888" s="0">
        <x:f>hyperlink("https://icat2.azurewebsites.net/icat/?ontology=ICD&amp;tab=ClassesTab&amp;id=http%3A%2F%2Fwho.int%2Ficd%2326324_512ebf36_bf6b_4d70_85da_cf2637062af4","iCat")</x:f>
      </x:c>
      <x:c r="M4888" s="0" t="s">
        <x:v>21</x:v>
      </x:c>
      <x:c r="N4888" s="0" t="s">
        <x:v>46</x:v>
      </x:c>
    </x:row>
    <x:row r="4889" spans="1:16">
      <x:c r="A4889" s="0" t="s">
        <x:v>19404</x:v>
      </x:c>
      <x:c r="B4889" s="0" t="s">
        <x:v>19405</x:v>
      </x:c>
      <x:c r="C4889" s="0" t="s">
        <x:v>19406</x:v>
      </x:c>
      <x:c r="E4889" s="0" t="s">
        <x:v>19407</x:v>
      </x:c>
      <x:c r="F4889" s="0" t="s">
        <x:v>45</x:v>
      </x:c>
      <x:c r="G4889" s="0" t="s">
        <x:v>19</x:v>
      </x:c>
      <x:c r="H4889" s="0" t="s">
        <x:v>20</x:v>
      </x:c>
      <x:c r="I4889" s="0" t="s">
        <x:v>21</x:v>
      </x:c>
      <x:c r="K4889" s="0">
        <x:f>hyperlink("https://icd.who.int/dev11/l-ichi/en#/http%3A%2F%2Fid.who.int%2Ficd%2Fentity%2F1865112133","browser")</x:f>
      </x:c>
      <x:c r="L4889" s="0">
        <x:f>hyperlink("https://icat2.azurewebsites.net/icat/?ontology=ICD&amp;tab=ClassesTab&amp;id=http%3A%2F%2Fwho.int%2Ficd%2326332_512ebf36_bf6b_4d70_85da_cf2637062af4","iCat")</x:f>
      </x:c>
      <x:c r="M4889" s="0" t="s">
        <x:v>21</x:v>
      </x:c>
      <x:c r="N4889" s="0" t="s">
        <x:v>46</x:v>
      </x:c>
    </x:row>
    <x:row r="4890" spans="1:16">
      <x:c r="A4890" s="0" t="s">
        <x:v>19408</x:v>
      </x:c>
      <x:c r="B4890" s="0" t="s">
        <x:v>19409</x:v>
      </x:c>
      <x:c r="C4890" s="0" t="s">
        <x:v>19410</x:v>
      </x:c>
      <x:c r="E4890" s="0" t="s">
        <x:v>19411</x:v>
      </x:c>
      <x:c r="F4890" s="0" t="s">
        <x:v>45</x:v>
      </x:c>
      <x:c r="G4890" s="0" t="s">
        <x:v>19</x:v>
      </x:c>
      <x:c r="H4890" s="0" t="s">
        <x:v>20</x:v>
      </x:c>
      <x:c r="I4890" s="0" t="s">
        <x:v>21</x:v>
      </x:c>
      <x:c r="K4890" s="0">
        <x:f>hyperlink("https://icd.who.int/dev11/l-ichi/en#/http%3A%2F%2Fid.who.int%2Ficd%2Fentity%2F1290768316","browser")</x:f>
      </x:c>
      <x:c r="L4890" s="0">
        <x:f>hyperlink("https://icat2.azurewebsites.net/icat/?ontology=ICD&amp;tab=ClassesTab&amp;id=http%3A%2F%2Fwho.int%2Ficd%23863_63e30ea5_14bd_4823_bf2d_a6a05c9b9750","iCat")</x:f>
      </x:c>
      <x:c r="M4890" s="0" t="s">
        <x:v>21</x:v>
      </x:c>
      <x:c r="N4890" s="0" t="s">
        <x:v>46</x:v>
      </x:c>
    </x:row>
    <x:row r="4891" spans="1:16">
      <x:c r="A4891" s="0" t="s">
        <x:v>19412</x:v>
      </x:c>
      <x:c r="B4891" s="0" t="s">
        <x:v>19413</x:v>
      </x:c>
      <x:c r="C4891" s="0" t="s">
        <x:v>19414</x:v>
      </x:c>
      <x:c r="E4891" s="0" t="s">
        <x:v>19415</x:v>
      </x:c>
      <x:c r="F4891" s="0" t="s">
        <x:v>45</x:v>
      </x:c>
      <x:c r="G4891" s="0" t="s">
        <x:v>19</x:v>
      </x:c>
      <x:c r="H4891" s="0" t="s">
        <x:v>20</x:v>
      </x:c>
      <x:c r="I4891" s="0" t="s">
        <x:v>21</x:v>
      </x:c>
      <x:c r="K4891" s="0">
        <x:f>hyperlink("https://icd.who.int/dev11/l-ichi/en#/http%3A%2F%2Fid.who.int%2Ficd%2Fentity%2F981554332","browser")</x:f>
      </x:c>
      <x:c r="L4891" s="0">
        <x:f>hyperlink("https://icat2.azurewebsites.net/icat/?ontology=ICD&amp;tab=ClassesTab&amp;id=http%3A%2F%2Fwho.int%2Ficd%2326340_512ebf36_bf6b_4d70_85da_cf2637062af4","iCat")</x:f>
      </x:c>
      <x:c r="M4891" s="0" t="s">
        <x:v>21</x:v>
      </x:c>
      <x:c r="N4891" s="0" t="s">
        <x:v>46</x:v>
      </x:c>
    </x:row>
    <x:row r="4892" spans="1:16">
      <x:c r="A4892" s="0" t="s">
        <x:v>19416</x:v>
      </x:c>
      <x:c r="B4892" s="0" t="s">
        <x:v>19417</x:v>
      </x:c>
      <x:c r="C4892" s="0" t="s">
        <x:v>19418</x:v>
      </x:c>
      <x:c r="E4892" s="0" t="s">
        <x:v>19419</x:v>
      </x:c>
      <x:c r="F4892" s="0" t="s">
        <x:v>45</x:v>
      </x:c>
      <x:c r="G4892" s="0" t="s">
        <x:v>19</x:v>
      </x:c>
      <x:c r="H4892" s="0" t="s">
        <x:v>20</x:v>
      </x:c>
      <x:c r="I4892" s="0" t="s">
        <x:v>21</x:v>
      </x:c>
      <x:c r="K4892" s="0">
        <x:f>hyperlink("https://icd.who.int/dev11/l-ichi/en#/http%3A%2F%2Fid.who.int%2Ficd%2Fentity%2F1794805035","browser")</x:f>
      </x:c>
      <x:c r="L4892" s="0">
        <x:f>hyperlink("https://icat2.azurewebsites.net/icat/?ontology=ICD&amp;tab=ClassesTab&amp;id=http%3A%2F%2Fwho.int%2Ficd%2326346_512ebf36_bf6b_4d70_85da_cf2637062af4","iCat")</x:f>
      </x:c>
      <x:c r="M4892" s="0" t="s">
        <x:v>21</x:v>
      </x:c>
      <x:c r="N4892" s="0" t="s">
        <x:v>46</x:v>
      </x:c>
    </x:row>
    <x:row r="4893" spans="1:16">
      <x:c r="A4893" s="0" t="s">
        <x:v>19420</x:v>
      </x:c>
      <x:c r="B4893" s="0" t="s">
        <x:v>19421</x:v>
      </x:c>
      <x:c r="C4893" s="0" t="s">
        <x:v>19422</x:v>
      </x:c>
      <x:c r="E4893" s="0" t="s">
        <x:v>19423</x:v>
      </x:c>
      <x:c r="F4893" s="0" t="s">
        <x:v>45</x:v>
      </x:c>
      <x:c r="G4893" s="0" t="s">
        <x:v>19</x:v>
      </x:c>
      <x:c r="H4893" s="0" t="s">
        <x:v>20</x:v>
      </x:c>
      <x:c r="I4893" s="0" t="s">
        <x:v>21</x:v>
      </x:c>
      <x:c r="K4893" s="0">
        <x:f>hyperlink("https://icd.who.int/dev11/l-ichi/en#/http%3A%2F%2Fid.who.int%2Ficd%2Fentity%2F892918794","browser")</x:f>
      </x:c>
      <x:c r="L4893" s="0">
        <x:f>hyperlink("https://icat2.azurewebsites.net/icat/?ontology=ICD&amp;tab=ClassesTab&amp;id=http%3A%2F%2Fwho.int%2Ficd%2326352_512ebf36_bf6b_4d70_85da_cf2637062af4","iCat")</x:f>
      </x:c>
      <x:c r="M4893" s="0" t="s">
        <x:v>21</x:v>
      </x:c>
      <x:c r="N4893" s="0" t="s">
        <x:v>46</x:v>
      </x:c>
    </x:row>
    <x:row r="4894" spans="1:16">
      <x:c r="A4894" s="0" t="s">
        <x:v>19424</x:v>
      </x:c>
      <x:c r="B4894" s="0" t="s">
        <x:v>19425</x:v>
      </x:c>
      <x:c r="C4894" s="0" t="s">
        <x:v>19426</x:v>
      </x:c>
      <x:c r="E4894" s="0" t="s">
        <x:v>19427</x:v>
      </x:c>
      <x:c r="F4894" s="0" t="s">
        <x:v>45</x:v>
      </x:c>
      <x:c r="G4894" s="0" t="s">
        <x:v>19</x:v>
      </x:c>
      <x:c r="H4894" s="0" t="s">
        <x:v>20</x:v>
      </x:c>
      <x:c r="I4894" s="0" t="s">
        <x:v>21</x:v>
      </x:c>
      <x:c r="K4894" s="0">
        <x:f>hyperlink("https://icd.who.int/dev11/l-ichi/en#/http%3A%2F%2Fid.who.int%2Ficd%2Fentity%2F1044169380","browser")</x:f>
      </x:c>
      <x:c r="L4894" s="0">
        <x:f>hyperlink("https://icat2.azurewebsites.net/icat/?ontology=ICD&amp;tab=ClassesTab&amp;id=http%3A%2F%2Fwho.int%2Ficd%2326359_512ebf36_bf6b_4d70_85da_cf2637062af4","iCat")</x:f>
      </x:c>
      <x:c r="M4894" s="0" t="s">
        <x:v>21</x:v>
      </x:c>
      <x:c r="N4894" s="0" t="s">
        <x:v>46</x:v>
      </x:c>
    </x:row>
    <x:row r="4895" spans="1:16">
      <x:c r="A4895" s="0" t="s">
        <x:v>19428</x:v>
      </x:c>
      <x:c r="B4895" s="0" t="s">
        <x:v>19429</x:v>
      </x:c>
      <x:c r="C4895" s="0" t="s">
        <x:v>19430</x:v>
      </x:c>
      <x:c r="E4895" s="0" t="s">
        <x:v>19431</x:v>
      </x:c>
      <x:c r="F4895" s="0" t="s">
        <x:v>45</x:v>
      </x:c>
      <x:c r="G4895" s="0" t="s">
        <x:v>19</x:v>
      </x:c>
      <x:c r="H4895" s="0" t="s">
        <x:v>20</x:v>
      </x:c>
      <x:c r="I4895" s="0" t="s">
        <x:v>21</x:v>
      </x:c>
      <x:c r="K4895" s="0">
        <x:f>hyperlink("https://icd.who.int/dev11/l-ichi/en#/http%3A%2F%2Fid.who.int%2Ficd%2Fentity%2F1584722079","browser")</x:f>
      </x:c>
      <x:c r="L4895" s="0">
        <x:f>hyperlink("https://icat2.azurewebsites.net/icat/?ontology=ICD&amp;tab=ClassesTab&amp;id=http%3A%2F%2Fwho.int%2Ficd%2326368_512ebf36_bf6b_4d70_85da_cf2637062af4","iCat")</x:f>
      </x:c>
      <x:c r="M4895" s="0" t="s">
        <x:v>21</x:v>
      </x:c>
      <x:c r="N4895" s="0" t="s">
        <x:v>46</x:v>
      </x:c>
    </x:row>
    <x:row r="4896" spans="1:16">
      <x:c r="A4896" s="0" t="s">
        <x:v>19432</x:v>
      </x:c>
      <x:c r="B4896" s="0" t="s">
        <x:v>19433</x:v>
      </x:c>
      <x:c r="C4896" s="0" t="s">
        <x:v>19434</x:v>
      </x:c>
      <x:c r="E4896" s="0" t="s">
        <x:v>19435</x:v>
      </x:c>
      <x:c r="F4896" s="0" t="s">
        <x:v>45</x:v>
      </x:c>
      <x:c r="G4896" s="0" t="s">
        <x:v>19</x:v>
      </x:c>
      <x:c r="H4896" s="0" t="s">
        <x:v>20</x:v>
      </x:c>
      <x:c r="I4896" s="0" t="s">
        <x:v>21</x:v>
      </x:c>
      <x:c r="K4896" s="0">
        <x:f>hyperlink("https://icd.who.int/dev11/l-ichi/en#/http%3A%2F%2Fid.who.int%2Ficd%2Fentity%2F179486480","browser")</x:f>
      </x:c>
      <x:c r="L4896" s="0">
        <x:f>hyperlink("https://icat2.azurewebsites.net/icat/?ontology=ICD&amp;tab=ClassesTab&amp;id=http%3A%2F%2Fwho.int%2Ficd%2326377_512ebf36_bf6b_4d70_85da_cf2637062af4","iCat")</x:f>
      </x:c>
      <x:c r="M4896" s="0" t="s">
        <x:v>21</x:v>
      </x:c>
      <x:c r="N4896" s="0" t="s">
        <x:v>46</x:v>
      </x:c>
    </x:row>
    <x:row r="4897" spans="1:16">
      <x:c r="A4897" s="0" t="s">
        <x:v>19436</x:v>
      </x:c>
      <x:c r="B4897" s="0" t="s">
        <x:v>19437</x:v>
      </x:c>
      <x:c r="C4897" s="0" t="s">
        <x:v>19438</x:v>
      </x:c>
      <x:c r="E4897" s="0" t="s">
        <x:v>19439</x:v>
      </x:c>
      <x:c r="F4897" s="0" t="s">
        <x:v>45</x:v>
      </x:c>
      <x:c r="G4897" s="0" t="s">
        <x:v>19</x:v>
      </x:c>
      <x:c r="H4897" s="0" t="s">
        <x:v>20</x:v>
      </x:c>
      <x:c r="I4897" s="0" t="s">
        <x:v>21</x:v>
      </x:c>
      <x:c r="K4897" s="0">
        <x:f>hyperlink("https://icd.who.int/dev11/l-ichi/en#/http%3A%2F%2Fid.who.int%2Ficd%2Fentity%2F273822140","browser")</x:f>
      </x:c>
      <x:c r="L4897" s="0">
        <x:f>hyperlink("https://icat2.azurewebsites.net/icat/?ontology=ICD&amp;tab=ClassesTab&amp;id=http%3A%2F%2Fwho.int%2Ficd%2326383_512ebf36_bf6b_4d70_85da_cf2637062af4","iCat")</x:f>
      </x:c>
      <x:c r="M4897" s="0" t="s">
        <x:v>21</x:v>
      </x:c>
      <x:c r="N4897" s="0" t="s">
        <x:v>46</x:v>
      </x:c>
    </x:row>
    <x:row r="4898" spans="1:16">
      <x:c r="A4898" s="0" t="s">
        <x:v>19440</x:v>
      </x:c>
      <x:c r="B4898" s="0" t="s">
        <x:v>19441</x:v>
      </x:c>
      <x:c r="C4898" s="0" t="s">
        <x:v>19442</x:v>
      </x:c>
      <x:c r="E4898" s="0" t="s">
        <x:v>19443</x:v>
      </x:c>
      <x:c r="F4898" s="0" t="s">
        <x:v>45</x:v>
      </x:c>
      <x:c r="G4898" s="0" t="s">
        <x:v>19</x:v>
      </x:c>
      <x:c r="H4898" s="0" t="s">
        <x:v>20</x:v>
      </x:c>
      <x:c r="I4898" s="0" t="s">
        <x:v>21</x:v>
      </x:c>
      <x:c r="K4898" s="0">
        <x:f>hyperlink("https://icd.who.int/dev11/l-ichi/en#/http%3A%2F%2Fid.who.int%2Ficd%2Fentity%2F535542058","browser")</x:f>
      </x:c>
      <x:c r="L4898" s="0">
        <x:f>hyperlink("https://icat2.azurewebsites.net/icat/?ontology=ICD&amp;tab=ClassesTab&amp;id=http%3A%2F%2Fwho.int%2Ficd%2326391_512ebf36_bf6b_4d70_85da_cf2637062af4","iCat")</x:f>
      </x:c>
      <x:c r="M4898" s="0" t="s">
        <x:v>21</x:v>
      </x:c>
      <x:c r="N4898" s="0" t="s">
        <x:v>46</x:v>
      </x:c>
    </x:row>
    <x:row r="4899" spans="1:16">
      <x:c r="A4899" s="0" t="s">
        <x:v>19444</x:v>
      </x:c>
      <x:c r="B4899" s="0" t="s">
        <x:v>19445</x:v>
      </x:c>
      <x:c r="C4899" s="0" t="s">
        <x:v>19446</x:v>
      </x:c>
      <x:c r="E4899" s="0" t="s">
        <x:v>19447</x:v>
      </x:c>
      <x:c r="F4899" s="0" t="s">
        <x:v>45</x:v>
      </x:c>
      <x:c r="G4899" s="0" t="s">
        <x:v>19</x:v>
      </x:c>
      <x:c r="H4899" s="0" t="s">
        <x:v>20</x:v>
      </x:c>
      <x:c r="I4899" s="0" t="s">
        <x:v>21</x:v>
      </x:c>
      <x:c r="K4899" s="0">
        <x:f>hyperlink("https://icd.who.int/dev11/l-ichi/en#/http%3A%2F%2Fid.who.int%2Ficd%2Fentity%2F1905506881","browser")</x:f>
      </x:c>
      <x:c r="L4899" s="0">
        <x:f>hyperlink("https://icat2.azurewebsites.net/icat/?ontology=ICD&amp;tab=ClassesTab&amp;id=http%3A%2F%2Fwho.int%2Ficd%2326398_512ebf36_bf6b_4d70_85da_cf2637062af4","iCat")</x:f>
      </x:c>
      <x:c r="M4899" s="0" t="s">
        <x:v>21</x:v>
      </x:c>
      <x:c r="N4899" s="0" t="s">
        <x:v>46</x:v>
      </x:c>
    </x:row>
    <x:row r="4900" spans="1:16">
      <x:c r="A4900" s="0" t="s">
        <x:v>19448</x:v>
      </x:c>
      <x:c r="B4900" s="0" t="s">
        <x:v>19449</x:v>
      </x:c>
      <x:c r="C4900" s="0" t="s">
        <x:v>19450</x:v>
      </x:c>
      <x:c r="E4900" s="0" t="s">
        <x:v>19451</x:v>
      </x:c>
      <x:c r="F4900" s="0" t="s">
        <x:v>45</x:v>
      </x:c>
      <x:c r="G4900" s="0" t="s">
        <x:v>19</x:v>
      </x:c>
      <x:c r="H4900" s="0" t="s">
        <x:v>20</x:v>
      </x:c>
      <x:c r="I4900" s="0" t="s">
        <x:v>21</x:v>
      </x:c>
      <x:c r="K4900" s="0">
        <x:f>hyperlink("https://icd.who.int/dev11/l-ichi/en#/http%3A%2F%2Fid.who.int%2Ficd%2Fentity%2F330328991","browser")</x:f>
      </x:c>
      <x:c r="L4900" s="0">
        <x:f>hyperlink("https://icat2.azurewebsites.net/icat/?ontology=ICD&amp;tab=ClassesTab&amp;id=http%3A%2F%2Fwho.int%2Ficd%2326404_512ebf36_bf6b_4d70_85da_cf2637062af4","iCat")</x:f>
      </x:c>
      <x:c r="M4900" s="0" t="s">
        <x:v>21</x:v>
      </x:c>
      <x:c r="N4900" s="0" t="s">
        <x:v>46</x:v>
      </x:c>
    </x:row>
    <x:row r="4901" spans="1:16">
      <x:c r="A4901" s="0" t="s">
        <x:v>19452</x:v>
      </x:c>
      <x:c r="B4901" s="0" t="s">
        <x:v>19453</x:v>
      </x:c>
      <x:c r="C4901" s="0" t="s">
        <x:v>19454</x:v>
      </x:c>
      <x:c r="E4901" s="0" t="s">
        <x:v>19455</x:v>
      </x:c>
      <x:c r="F4901" s="0" t="s">
        <x:v>45</x:v>
      </x:c>
      <x:c r="G4901" s="0" t="s">
        <x:v>19</x:v>
      </x:c>
      <x:c r="H4901" s="0" t="s">
        <x:v>20</x:v>
      </x:c>
      <x:c r="I4901" s="0" t="s">
        <x:v>21</x:v>
      </x:c>
      <x:c r="K4901" s="0">
        <x:f>hyperlink("https://icd.who.int/dev11/l-ichi/en#/http%3A%2F%2Fid.who.int%2Ficd%2Fentity%2F1282554556","browser")</x:f>
      </x:c>
      <x:c r="L4901" s="0">
        <x:f>hyperlink("https://icat2.azurewebsites.net/icat/?ontology=ICD&amp;tab=ClassesTab&amp;id=http%3A%2F%2Fwho.int%2Ficd%2326410_512ebf36_bf6b_4d70_85da_cf2637062af4","iCat")</x:f>
      </x:c>
      <x:c r="M4901" s="0" t="s">
        <x:v>21</x:v>
      </x:c>
      <x:c r="N4901" s="0" t="s">
        <x:v>46</x:v>
      </x:c>
    </x:row>
    <x:row r="4902" spans="1:16">
      <x:c r="A4902" s="0" t="s">
        <x:v>19456</x:v>
      </x:c>
      <x:c r="B4902" s="0" t="s">
        <x:v>19457</x:v>
      </x:c>
      <x:c r="C4902" s="0" t="s">
        <x:v>19458</x:v>
      </x:c>
      <x:c r="E4902" s="0" t="s">
        <x:v>19459</x:v>
      </x:c>
      <x:c r="F4902" s="0" t="s">
        <x:v>45</x:v>
      </x:c>
      <x:c r="G4902" s="0" t="s">
        <x:v>19</x:v>
      </x:c>
      <x:c r="H4902" s="0" t="s">
        <x:v>20</x:v>
      </x:c>
      <x:c r="I4902" s="0" t="s">
        <x:v>21</x:v>
      </x:c>
      <x:c r="K4902" s="0">
        <x:f>hyperlink("https://icd.who.int/dev11/l-ichi/en#/http%3A%2F%2Fid.who.int%2Ficd%2Fentity%2F214137531","browser")</x:f>
      </x:c>
      <x:c r="L4902" s="0">
        <x:f>hyperlink("https://icat2.azurewebsites.net/icat/?ontology=ICD&amp;tab=ClassesTab&amp;id=http%3A%2F%2Fwho.int%2Ficd%2326420_512ebf36_bf6b_4d70_85da_cf2637062af4","iCat")</x:f>
      </x:c>
      <x:c r="M4902" s="0" t="s">
        <x:v>21</x:v>
      </x:c>
      <x:c r="N4902" s="0" t="s">
        <x:v>46</x:v>
      </x:c>
    </x:row>
    <x:row r="4903" spans="1:16">
      <x:c r="A4903" s="0" t="s">
        <x:v>19460</x:v>
      </x:c>
      <x:c r="B4903" s="0" t="s">
        <x:v>19461</x:v>
      </x:c>
      <x:c r="C4903" s="0" t="s">
        <x:v>19462</x:v>
      </x:c>
      <x:c r="E4903" s="0" t="s">
        <x:v>19463</x:v>
      </x:c>
      <x:c r="F4903" s="0" t="s">
        <x:v>45</x:v>
      </x:c>
      <x:c r="G4903" s="0" t="s">
        <x:v>19</x:v>
      </x:c>
      <x:c r="H4903" s="0" t="s">
        <x:v>20</x:v>
      </x:c>
      <x:c r="I4903" s="0" t="s">
        <x:v>21</x:v>
      </x:c>
      <x:c r="K4903" s="0">
        <x:f>hyperlink("https://icd.who.int/dev11/l-ichi/en#/http%3A%2F%2Fid.who.int%2Ficd%2Fentity%2F2084688184","browser")</x:f>
      </x:c>
      <x:c r="L4903" s="0">
        <x:f>hyperlink("https://icat2.azurewebsites.net/icat/?ontology=ICD&amp;tab=ClassesTab&amp;id=http%3A%2F%2Fwho.int%2Ficd%2326427_512ebf36_bf6b_4d70_85da_cf2637062af4","iCat")</x:f>
      </x:c>
      <x:c r="M4903" s="0" t="s">
        <x:v>21</x:v>
      </x:c>
      <x:c r="N4903" s="0" t="s">
        <x:v>46</x:v>
      </x:c>
    </x:row>
    <x:row r="4904" spans="1:16">
      <x:c r="A4904" s="0" t="s">
        <x:v>19464</x:v>
      </x:c>
      <x:c r="B4904" s="0" t="s">
        <x:v>19465</x:v>
      </x:c>
      <x:c r="C4904" s="0" t="s">
        <x:v>19466</x:v>
      </x:c>
      <x:c r="E4904" s="0" t="s">
        <x:v>19467</x:v>
      </x:c>
      <x:c r="F4904" s="0" t="s">
        <x:v>45</x:v>
      </x:c>
      <x:c r="G4904" s="0" t="s">
        <x:v>19</x:v>
      </x:c>
      <x:c r="H4904" s="0" t="s">
        <x:v>20</x:v>
      </x:c>
      <x:c r="I4904" s="0" t="s">
        <x:v>21</x:v>
      </x:c>
      <x:c r="K4904" s="0">
        <x:f>hyperlink("https://icd.who.int/dev11/l-ichi/en#/http%3A%2F%2Fid.who.int%2Ficd%2Fentity%2F595820565","browser")</x:f>
      </x:c>
      <x:c r="L4904" s="0">
        <x:f>hyperlink("https://icat2.azurewebsites.net/icat/?ontology=ICD&amp;tab=ClassesTab&amp;id=http%3A%2F%2Fwho.int%2Ficd%2326433_512ebf36_bf6b_4d70_85da_cf2637062af4","iCat")</x:f>
      </x:c>
      <x:c r="M4904" s="0" t="s">
        <x:v>21</x:v>
      </x:c>
      <x:c r="N4904" s="0" t="s">
        <x:v>46</x:v>
      </x:c>
    </x:row>
    <x:row r="4905" spans="1:16">
      <x:c r="A4905" s="0" t="s">
        <x:v>19468</x:v>
      </x:c>
      <x:c r="B4905" s="0" t="s">
        <x:v>19469</x:v>
      </x:c>
      <x:c r="C4905" s="0" t="s">
        <x:v>19470</x:v>
      </x:c>
      <x:c r="E4905" s="0" t="s">
        <x:v>19471</x:v>
      </x:c>
      <x:c r="F4905" s="0" t="s">
        <x:v>45</x:v>
      </x:c>
      <x:c r="G4905" s="0" t="s">
        <x:v>19</x:v>
      </x:c>
      <x:c r="H4905" s="0" t="s">
        <x:v>20</x:v>
      </x:c>
      <x:c r="I4905" s="0" t="s">
        <x:v>21</x:v>
      </x:c>
      <x:c r="K4905" s="0">
        <x:f>hyperlink("https://icd.who.int/dev11/l-ichi/en#/http%3A%2F%2Fid.who.int%2Ficd%2Fentity%2F866967859","browser")</x:f>
      </x:c>
      <x:c r="L4905" s="0">
        <x:f>hyperlink("https://icat2.azurewebsites.net/icat/?ontology=ICD&amp;tab=ClassesTab&amp;id=http%3A%2F%2Fwho.int%2Ficd%2326442_512ebf36_bf6b_4d70_85da_cf2637062af4","iCat")</x:f>
      </x:c>
      <x:c r="M4905" s="0" t="s">
        <x:v>21</x:v>
      </x:c>
      <x:c r="N4905" s="0" t="s">
        <x:v>46</x:v>
      </x:c>
    </x:row>
    <x:row r="4906" spans="1:16">
      <x:c r="A4906" s="0" t="s">
        <x:v>19472</x:v>
      </x:c>
      <x:c r="B4906" s="0" t="s">
        <x:v>19473</x:v>
      </x:c>
      <x:c r="C4906" s="0" t="s">
        <x:v>19474</x:v>
      </x:c>
      <x:c r="E4906" s="0" t="s">
        <x:v>19475</x:v>
      </x:c>
      <x:c r="F4906" s="0" t="s">
        <x:v>45</x:v>
      </x:c>
      <x:c r="G4906" s="0" t="s">
        <x:v>19</x:v>
      </x:c>
      <x:c r="H4906" s="0" t="s">
        <x:v>20</x:v>
      </x:c>
      <x:c r="I4906" s="0" t="s">
        <x:v>21</x:v>
      </x:c>
      <x:c r="K4906" s="0">
        <x:f>hyperlink("https://icd.who.int/dev11/l-ichi/en#/http%3A%2F%2Fid.who.int%2Ficd%2Fentity%2F407997859","browser")</x:f>
      </x:c>
      <x:c r="L4906" s="0">
        <x:f>hyperlink("https://icat2.azurewebsites.net/icat/?ontology=ICD&amp;tab=ClassesTab&amp;id=http%3A%2F%2Fwho.int%2Ficd%2326448_512ebf36_bf6b_4d70_85da_cf2637062af4","iCat")</x:f>
      </x:c>
      <x:c r="M4906" s="0" t="s">
        <x:v>21</x:v>
      </x:c>
      <x:c r="N4906" s="0" t="s">
        <x:v>46</x:v>
      </x:c>
    </x:row>
    <x:row r="4907" spans="1:16">
      <x:c r="A4907" s="0" t="s">
        <x:v>19476</x:v>
      </x:c>
      <x:c r="B4907" s="0" t="s">
        <x:v>19477</x:v>
      </x:c>
      <x:c r="C4907" s="0" t="s">
        <x:v>19478</x:v>
      </x:c>
      <x:c r="E4907" s="0" t="s">
        <x:v>19479</x:v>
      </x:c>
      <x:c r="F4907" s="0" t="s">
        <x:v>45</x:v>
      </x:c>
      <x:c r="G4907" s="0" t="s">
        <x:v>19</x:v>
      </x:c>
      <x:c r="H4907" s="0" t="s">
        <x:v>20</x:v>
      </x:c>
      <x:c r="I4907" s="0" t="s">
        <x:v>21</x:v>
      </x:c>
      <x:c r="K4907" s="0">
        <x:f>hyperlink("https://icd.who.int/dev11/l-ichi/en#/http%3A%2F%2Fid.who.int%2Ficd%2Fentity%2F152219093","browser")</x:f>
      </x:c>
      <x:c r="L4907" s="0">
        <x:f>hyperlink("https://icat2.azurewebsites.net/icat/?ontology=ICD&amp;tab=ClassesTab&amp;id=http%3A%2F%2Fwho.int%2Ficd%2326454_512ebf36_bf6b_4d70_85da_cf2637062af4","iCat")</x:f>
      </x:c>
      <x:c r="M4907" s="0" t="s">
        <x:v>21</x:v>
      </x:c>
      <x:c r="N4907" s="0" t="s">
        <x:v>46</x:v>
      </x:c>
    </x:row>
    <x:row r="4908" spans="1:16">
      <x:c r="A4908" s="0" t="s">
        <x:v>19480</x:v>
      </x:c>
      <x:c r="B4908" s="0" t="s">
        <x:v>19481</x:v>
      </x:c>
      <x:c r="C4908" s="0" t="s">
        <x:v>19482</x:v>
      </x:c>
      <x:c r="E4908" s="0" t="s">
        <x:v>19483</x:v>
      </x:c>
      <x:c r="F4908" s="0" t="s">
        <x:v>45</x:v>
      </x:c>
      <x:c r="G4908" s="0" t="s">
        <x:v>19</x:v>
      </x:c>
      <x:c r="H4908" s="0" t="s">
        <x:v>20</x:v>
      </x:c>
      <x:c r="I4908" s="0" t="s">
        <x:v>21</x:v>
      </x:c>
      <x:c r="K4908" s="0">
        <x:f>hyperlink("https://icd.who.int/dev11/l-ichi/en#/http%3A%2F%2Fid.who.int%2Ficd%2Fentity%2F2091133352","browser")</x:f>
      </x:c>
      <x:c r="L4908" s="0">
        <x:f>hyperlink("https://icat2.azurewebsites.net/icat/?ontology=ICD&amp;tab=ClassesTab&amp;id=http%3A%2F%2Fwho.int%2Ficd%2326460_512ebf36_bf6b_4d70_85da_cf2637062af4","iCat")</x:f>
      </x:c>
      <x:c r="M4908" s="0" t="s">
        <x:v>21</x:v>
      </x:c>
      <x:c r="N4908" s="0" t="s">
        <x:v>46</x:v>
      </x:c>
    </x:row>
    <x:row r="4909" spans="1:16">
      <x:c r="A4909" s="0" t="s">
        <x:v>19484</x:v>
      </x:c>
      <x:c r="B4909" s="0" t="s">
        <x:v>19485</x:v>
      </x:c>
      <x:c r="C4909" s="0" t="s">
        <x:v>19486</x:v>
      </x:c>
      <x:c r="E4909" s="0" t="s">
        <x:v>19487</x:v>
      </x:c>
      <x:c r="F4909" s="0" t="s">
        <x:v>45</x:v>
      </x:c>
      <x:c r="G4909" s="0" t="s">
        <x:v>19</x:v>
      </x:c>
      <x:c r="H4909" s="0" t="s">
        <x:v>20</x:v>
      </x:c>
      <x:c r="I4909" s="0" t="s">
        <x:v>21</x:v>
      </x:c>
      <x:c r="K4909" s="0">
        <x:f>hyperlink("https://icd.who.int/dev11/l-ichi/en#/http%3A%2F%2Fid.who.int%2Ficd%2Fentity%2F752873495","browser")</x:f>
      </x:c>
      <x:c r="L4909" s="0">
        <x:f>hyperlink("https://icat2.azurewebsites.net/icat/?ontology=ICD&amp;tab=ClassesTab&amp;id=http%3A%2F%2Fwho.int%2Ficd%2326466_512ebf36_bf6b_4d70_85da_cf2637062af4","iCat")</x:f>
      </x:c>
      <x:c r="M4909" s="0" t="s">
        <x:v>21</x:v>
      </x:c>
      <x:c r="N4909" s="0" t="s">
        <x:v>46</x:v>
      </x:c>
    </x:row>
    <x:row r="4910" spans="1:16">
      <x:c r="A4910" s="0" t="s">
        <x:v>19488</x:v>
      </x:c>
      <x:c r="B4910" s="0" t="s">
        <x:v>19489</x:v>
      </x:c>
      <x:c r="C4910" s="0" t="s">
        <x:v>19490</x:v>
      </x:c>
      <x:c r="E4910" s="0" t="s">
        <x:v>19491</x:v>
      </x:c>
      <x:c r="F4910" s="0" t="s">
        <x:v>45</x:v>
      </x:c>
      <x:c r="G4910" s="0" t="s">
        <x:v>19</x:v>
      </x:c>
      <x:c r="H4910" s="0" t="s">
        <x:v>20</x:v>
      </x:c>
      <x:c r="I4910" s="0" t="s">
        <x:v>21</x:v>
      </x:c>
      <x:c r="K4910" s="0">
        <x:f>hyperlink("https://icd.who.int/dev11/l-ichi/en#/http%3A%2F%2Fid.who.int%2Ficd%2Fentity%2F593918085","browser")</x:f>
      </x:c>
      <x:c r="L4910" s="0">
        <x:f>hyperlink("https://icat2.azurewebsites.net/icat/?ontology=ICD&amp;tab=ClassesTab&amp;id=http%3A%2F%2Fwho.int%2Ficd%2326474_512ebf36_bf6b_4d70_85da_cf2637062af4","iCat")</x:f>
      </x:c>
      <x:c r="M4910" s="0" t="s">
        <x:v>21</x:v>
      </x:c>
      <x:c r="N4910" s="0" t="s">
        <x:v>46</x:v>
      </x:c>
    </x:row>
    <x:row r="4911" spans="1:16">
      <x:c r="A4911" s="0" t="s">
        <x:v>19492</x:v>
      </x:c>
      <x:c r="B4911" s="0" t="s">
        <x:v>19493</x:v>
      </x:c>
      <x:c r="C4911" s="0" t="s">
        <x:v>19494</x:v>
      </x:c>
      <x:c r="E4911" s="0" t="s">
        <x:v>19495</x:v>
      </x:c>
      <x:c r="F4911" s="0" t="s">
        <x:v>45</x:v>
      </x:c>
      <x:c r="G4911" s="0" t="s">
        <x:v>19</x:v>
      </x:c>
      <x:c r="H4911" s="0" t="s">
        <x:v>20</x:v>
      </x:c>
      <x:c r="I4911" s="0" t="s">
        <x:v>21</x:v>
      </x:c>
      <x:c r="K4911" s="0">
        <x:f>hyperlink("https://icd.who.int/dev11/l-ichi/en#/http%3A%2F%2Fid.who.int%2Ficd%2Fentity%2F427787283","browser")</x:f>
      </x:c>
      <x:c r="L4911" s="0">
        <x:f>hyperlink("https://icat2.azurewebsites.net/icat/?ontology=ICD&amp;tab=ClassesTab&amp;id=http%3A%2F%2Fwho.int%2Ficd%2326481_512ebf36_bf6b_4d70_85da_cf2637062af4","iCat")</x:f>
      </x:c>
      <x:c r="M4911" s="0" t="s">
        <x:v>21</x:v>
      </x:c>
      <x:c r="N4911" s="0" t="s">
        <x:v>46</x:v>
      </x:c>
    </x:row>
    <x:row r="4912" spans="1:16">
      <x:c r="A4912" s="0" t="s">
        <x:v>19496</x:v>
      </x:c>
      <x:c r="B4912" s="0" t="s">
        <x:v>19497</x:v>
      </x:c>
      <x:c r="C4912" s="0" t="s">
        <x:v>19498</x:v>
      </x:c>
      <x:c r="E4912" s="0" t="s">
        <x:v>19499</x:v>
      </x:c>
      <x:c r="F4912" s="0" t="s">
        <x:v>45</x:v>
      </x:c>
      <x:c r="G4912" s="0" t="s">
        <x:v>19</x:v>
      </x:c>
      <x:c r="H4912" s="0" t="s">
        <x:v>20</x:v>
      </x:c>
      <x:c r="I4912" s="0" t="s">
        <x:v>21</x:v>
      </x:c>
      <x:c r="K4912" s="0">
        <x:f>hyperlink("https://icd.who.int/dev11/l-ichi/en#/http%3A%2F%2Fid.who.int%2Ficd%2Fentity%2F1225022884","browser")</x:f>
      </x:c>
      <x:c r="L4912" s="0">
        <x:f>hyperlink("https://icat2.azurewebsites.net/icat/?ontology=ICD&amp;tab=ClassesTab&amp;id=http%3A%2F%2Fwho.int%2Ficd%2326487_512ebf36_bf6b_4d70_85da_cf2637062af4","iCat")</x:f>
      </x:c>
      <x:c r="M4912" s="0" t="s">
        <x:v>21</x:v>
      </x:c>
      <x:c r="N4912" s="0" t="s">
        <x:v>46</x:v>
      </x:c>
    </x:row>
    <x:row r="4913" spans="1:16">
      <x:c r="A4913" s="0" t="s">
        <x:v>19500</x:v>
      </x:c>
      <x:c r="B4913" s="0" t="s">
        <x:v>19501</x:v>
      </x:c>
      <x:c r="C4913" s="0" t="s">
        <x:v>19502</x:v>
      </x:c>
      <x:c r="E4913" s="0" t="s">
        <x:v>19503</x:v>
      </x:c>
      <x:c r="F4913" s="0" t="s">
        <x:v>45</x:v>
      </x:c>
      <x:c r="G4913" s="0" t="s">
        <x:v>19</x:v>
      </x:c>
      <x:c r="H4913" s="0" t="s">
        <x:v>20</x:v>
      </x:c>
      <x:c r="I4913" s="0" t="s">
        <x:v>21</x:v>
      </x:c>
      <x:c r="K4913" s="0">
        <x:f>hyperlink("https://icd.who.int/dev11/l-ichi/en#/http%3A%2F%2Fid.who.int%2Ficd%2Fentity%2F1715775244","browser")</x:f>
      </x:c>
      <x:c r="L4913" s="0">
        <x:f>hyperlink("https://icat2.azurewebsites.net/icat/?ontology=ICD&amp;tab=ClassesTab&amp;id=http%3A%2F%2Fwho.int%2Ficd%2326494_512ebf36_bf6b_4d70_85da_cf2637062af4","iCat")</x:f>
      </x:c>
      <x:c r="M4913" s="0" t="s">
        <x:v>21</x:v>
      </x:c>
      <x:c r="N4913" s="0" t="s">
        <x:v>46</x:v>
      </x:c>
    </x:row>
    <x:row r="4914" spans="1:16">
      <x:c r="A4914" s="0" t="s">
        <x:v>19504</x:v>
      </x:c>
      <x:c r="B4914" s="0" t="s">
        <x:v>19505</x:v>
      </x:c>
      <x:c r="C4914" s="0" t="s">
        <x:v>19506</x:v>
      </x:c>
      <x:c r="E4914" s="0" t="s">
        <x:v>19507</x:v>
      </x:c>
      <x:c r="F4914" s="0" t="s">
        <x:v>45</x:v>
      </x:c>
      <x:c r="G4914" s="0" t="s">
        <x:v>19</x:v>
      </x:c>
      <x:c r="H4914" s="0" t="s">
        <x:v>20</x:v>
      </x:c>
      <x:c r="I4914" s="0" t="s">
        <x:v>21</x:v>
      </x:c>
      <x:c r="K4914" s="0">
        <x:f>hyperlink("https://icd.who.int/dev11/l-ichi/en#/http%3A%2F%2Fid.who.int%2Ficd%2Fentity%2F1395157366","browser")</x:f>
      </x:c>
      <x:c r="L4914" s="0">
        <x:f>hyperlink("https://icat2.azurewebsites.net/icat/?ontology=ICD&amp;tab=ClassesTab&amp;id=http%3A%2F%2Fwho.int%2Ficd%2326500_512ebf36_bf6b_4d70_85da_cf2637062af4","iCat")</x:f>
      </x:c>
      <x:c r="M4914" s="0" t="s">
        <x:v>21</x:v>
      </x:c>
      <x:c r="N4914" s="0" t="s">
        <x:v>46</x:v>
      </x:c>
    </x:row>
    <x:row r="4915" spans="1:16">
      <x:c r="A4915" s="0" t="s">
        <x:v>19508</x:v>
      </x:c>
      <x:c r="B4915" s="0" t="s">
        <x:v>19509</x:v>
      </x:c>
      <x:c r="C4915" s="0" t="s">
        <x:v>19510</x:v>
      </x:c>
      <x:c r="E4915" s="0" t="s">
        <x:v>19511</x:v>
      </x:c>
      <x:c r="F4915" s="0" t="s">
        <x:v>45</x:v>
      </x:c>
      <x:c r="G4915" s="0" t="s">
        <x:v>19</x:v>
      </x:c>
      <x:c r="H4915" s="0" t="s">
        <x:v>20</x:v>
      </x:c>
      <x:c r="I4915" s="0" t="s">
        <x:v>21</x:v>
      </x:c>
      <x:c r="K4915" s="0">
        <x:f>hyperlink("https://icd.who.int/dev11/l-ichi/en#/http%3A%2F%2Fid.who.int%2Ficd%2Fentity%2F216676437","browser")</x:f>
      </x:c>
      <x:c r="L4915" s="0">
        <x:f>hyperlink("https://icat2.azurewebsites.net/icat/?ontology=ICD&amp;tab=ClassesTab&amp;id=http%3A%2F%2Fwho.int%2Ficd%2326514_512ebf36_bf6b_4d70_85da_cf2637062af4","iCat")</x:f>
      </x:c>
      <x:c r="M4915" s="0" t="s">
        <x:v>21</x:v>
      </x:c>
      <x:c r="N4915" s="0" t="s">
        <x:v>46</x:v>
      </x:c>
    </x:row>
    <x:row r="4916" spans="1:16">
      <x:c r="A4916" s="0" t="s">
        <x:v>19512</x:v>
      </x:c>
      <x:c r="B4916" s="0" t="s">
        <x:v>19513</x:v>
      </x:c>
      <x:c r="C4916" s="0" t="s">
        <x:v>19514</x:v>
      </x:c>
      <x:c r="E4916" s="0" t="s">
        <x:v>19515</x:v>
      </x:c>
      <x:c r="F4916" s="0" t="s">
        <x:v>45</x:v>
      </x:c>
      <x:c r="G4916" s="0" t="s">
        <x:v>19</x:v>
      </x:c>
      <x:c r="H4916" s="0" t="s">
        <x:v>20</x:v>
      </x:c>
      <x:c r="I4916" s="0" t="s">
        <x:v>21</x:v>
      </x:c>
      <x:c r="K4916" s="0">
        <x:f>hyperlink("https://icd.who.int/dev11/l-ichi/en#/http%3A%2F%2Fid.who.int%2Ficd%2Fentity%2F1504038426","browser")</x:f>
      </x:c>
      <x:c r="L4916" s="0">
        <x:f>hyperlink("https://icat2.azurewebsites.net/icat/?ontology=ICD&amp;tab=ClassesTab&amp;id=http%3A%2F%2Fwho.int%2Ficd%2326521_512ebf36_bf6b_4d70_85da_cf2637062af4","iCat")</x:f>
      </x:c>
      <x:c r="M4916" s="0" t="s">
        <x:v>21</x:v>
      </x:c>
      <x:c r="N4916" s="0" t="s">
        <x:v>46</x:v>
      </x:c>
    </x:row>
    <x:row r="4917" spans="1:16">
      <x:c r="A4917" s="0" t="s">
        <x:v>19516</x:v>
      </x:c>
      <x:c r="B4917" s="0" t="s">
        <x:v>19517</x:v>
      </x:c>
      <x:c r="C4917" s="0" t="s">
        <x:v>19518</x:v>
      </x:c>
      <x:c r="E4917" s="0" t="s">
        <x:v>19519</x:v>
      </x:c>
      <x:c r="F4917" s="0" t="s">
        <x:v>45</x:v>
      </x:c>
      <x:c r="G4917" s="0" t="s">
        <x:v>19</x:v>
      </x:c>
      <x:c r="H4917" s="0" t="s">
        <x:v>20</x:v>
      </x:c>
      <x:c r="I4917" s="0" t="s">
        <x:v>21</x:v>
      </x:c>
      <x:c r="K4917" s="0">
        <x:f>hyperlink("https://icd.who.int/dev11/l-ichi/en#/http%3A%2F%2Fid.who.int%2Ficd%2Fentity%2F165549995","browser")</x:f>
      </x:c>
      <x:c r="L4917" s="0">
        <x:f>hyperlink("https://icat2.azurewebsites.net/icat/?ontology=ICD&amp;tab=ClassesTab&amp;id=http%3A%2F%2Fwho.int%2Ficd%2326527_512ebf36_bf6b_4d70_85da_cf2637062af4","iCat")</x:f>
      </x:c>
      <x:c r="M4917" s="0" t="s">
        <x:v>21</x:v>
      </x:c>
      <x:c r="N4917" s="0" t="s">
        <x:v>46</x:v>
      </x:c>
    </x:row>
    <x:row r="4918" spans="1:16">
      <x:c r="A4918" s="0" t="s">
        <x:v>19520</x:v>
      </x:c>
      <x:c r="B4918" s="0" t="s">
        <x:v>19521</x:v>
      </x:c>
      <x:c r="C4918" s="0" t="s">
        <x:v>19522</x:v>
      </x:c>
      <x:c r="E4918" s="0" t="s">
        <x:v>19523</x:v>
      </x:c>
      <x:c r="F4918" s="0" t="s">
        <x:v>45</x:v>
      </x:c>
      <x:c r="G4918" s="0" t="s">
        <x:v>19</x:v>
      </x:c>
      <x:c r="H4918" s="0" t="s">
        <x:v>20</x:v>
      </x:c>
      <x:c r="I4918" s="0" t="s">
        <x:v>21</x:v>
      </x:c>
      <x:c r="K4918" s="0">
        <x:f>hyperlink("https://icd.who.int/dev11/l-ichi/en#/http%3A%2F%2Fid.who.int%2Ficd%2Fentity%2F107454265","browser")</x:f>
      </x:c>
      <x:c r="L4918" s="0">
        <x:f>hyperlink("https://icat2.azurewebsites.net/icat/?ontology=ICD&amp;tab=ClassesTab&amp;id=http%3A%2F%2Fwho.int%2Ficd%2326535_512ebf36_bf6b_4d70_85da_cf2637062af4","iCat")</x:f>
      </x:c>
      <x:c r="M4918" s="0" t="s">
        <x:v>21</x:v>
      </x:c>
      <x:c r="N4918" s="0" t="s">
        <x:v>46</x:v>
      </x:c>
    </x:row>
    <x:row r="4919" spans="1:16">
      <x:c r="A4919" s="0" t="s">
        <x:v>19524</x:v>
      </x:c>
      <x:c r="B4919" s="0" t="s">
        <x:v>19525</x:v>
      </x:c>
      <x:c r="C4919" s="0" t="s">
        <x:v>19526</x:v>
      </x:c>
      <x:c r="E4919" s="0" t="s">
        <x:v>19527</x:v>
      </x:c>
      <x:c r="F4919" s="0" t="s">
        <x:v>45</x:v>
      </x:c>
      <x:c r="G4919" s="0" t="s">
        <x:v>19</x:v>
      </x:c>
      <x:c r="H4919" s="0" t="s">
        <x:v>20</x:v>
      </x:c>
      <x:c r="I4919" s="0" t="s">
        <x:v>21</x:v>
      </x:c>
      <x:c r="K4919" s="0">
        <x:f>hyperlink("https://icd.who.int/dev11/l-ichi/en#/http%3A%2F%2Fid.who.int%2Ficd%2Fentity%2F1724536212","browser")</x:f>
      </x:c>
      <x:c r="L4919" s="0">
        <x:f>hyperlink("https://icat2.azurewebsites.net/icat/?ontology=ICD&amp;tab=ClassesTab&amp;id=http%3A%2F%2Fwho.int%2Ficd%2326543_512ebf36_bf6b_4d70_85da_cf2637062af4","iCat")</x:f>
      </x:c>
      <x:c r="M4919" s="0" t="s">
        <x:v>21</x:v>
      </x:c>
      <x:c r="N4919" s="0" t="s">
        <x:v>46</x:v>
      </x:c>
    </x:row>
    <x:row r="4920" spans="1:16">
      <x:c r="A4920" s="0" t="s">
        <x:v>19528</x:v>
      </x:c>
      <x:c r="B4920" s="0" t="s">
        <x:v>19529</x:v>
      </x:c>
      <x:c r="C4920" s="0" t="s">
        <x:v>19530</x:v>
      </x:c>
      <x:c r="E4920" s="0" t="s">
        <x:v>19531</x:v>
      </x:c>
      <x:c r="F4920" s="0" t="s">
        <x:v>45</x:v>
      </x:c>
      <x:c r="G4920" s="0" t="s">
        <x:v>19</x:v>
      </x:c>
      <x:c r="H4920" s="0" t="s">
        <x:v>20</x:v>
      </x:c>
      <x:c r="I4920" s="0" t="s">
        <x:v>21</x:v>
      </x:c>
      <x:c r="K4920" s="0">
        <x:f>hyperlink("https://icd.who.int/dev11/l-ichi/en#/http%3A%2F%2Fid.who.int%2Ficd%2Fentity%2F1295464708","browser")</x:f>
      </x:c>
      <x:c r="L4920" s="0">
        <x:f>hyperlink("https://icat2.azurewebsites.net/icat/?ontology=ICD&amp;tab=ClassesTab&amp;id=http%3A%2F%2Fwho.int%2Ficd%2326549_512ebf36_bf6b_4d70_85da_cf2637062af4","iCat")</x:f>
      </x:c>
      <x:c r="M4920" s="0" t="s">
        <x:v>21</x:v>
      </x:c>
      <x:c r="N4920" s="0" t="s">
        <x:v>46</x:v>
      </x:c>
    </x:row>
    <x:row r="4921" spans="1:16">
      <x:c r="A4921" s="0" t="s">
        <x:v>19532</x:v>
      </x:c>
      <x:c r="B4921" s="0" t="s">
        <x:v>19533</x:v>
      </x:c>
      <x:c r="C4921" s="0" t="s">
        <x:v>19534</x:v>
      </x:c>
      <x:c r="E4921" s="0" t="s">
        <x:v>19535</x:v>
      </x:c>
      <x:c r="F4921" s="0" t="s">
        <x:v>45</x:v>
      </x:c>
      <x:c r="G4921" s="0" t="s">
        <x:v>19</x:v>
      </x:c>
      <x:c r="H4921" s="0" t="s">
        <x:v>20</x:v>
      </x:c>
      <x:c r="I4921" s="0" t="s">
        <x:v>21</x:v>
      </x:c>
      <x:c r="K4921" s="0">
        <x:f>hyperlink("https://icd.who.int/dev11/l-ichi/en#/http%3A%2F%2Fid.who.int%2Ficd%2Fentity%2F1551112564","browser")</x:f>
      </x:c>
      <x:c r="L4921" s="0">
        <x:f>hyperlink("https://icat2.azurewebsites.net/icat/?ontology=ICD&amp;tab=ClassesTab&amp;id=http%3A%2F%2Fwho.int%2Ficd%2326555_512ebf36_bf6b_4d70_85da_cf2637062af4","iCat")</x:f>
      </x:c>
      <x:c r="M4921" s="0" t="s">
        <x:v>21</x:v>
      </x:c>
      <x:c r="N4921" s="0" t="s">
        <x:v>46</x:v>
      </x:c>
    </x:row>
    <x:row r="4922" spans="1:16">
      <x:c r="A4922" s="0" t="s">
        <x:v>19536</x:v>
      </x:c>
      <x:c r="B4922" s="0" t="s">
        <x:v>19537</x:v>
      </x:c>
      <x:c r="C4922" s="0" t="s">
        <x:v>19538</x:v>
      </x:c>
      <x:c r="E4922" s="0" t="s">
        <x:v>19539</x:v>
      </x:c>
      <x:c r="F4922" s="0" t="s">
        <x:v>45</x:v>
      </x:c>
      <x:c r="G4922" s="0" t="s">
        <x:v>19</x:v>
      </x:c>
      <x:c r="H4922" s="0" t="s">
        <x:v>20</x:v>
      </x:c>
      <x:c r="I4922" s="0" t="s">
        <x:v>21</x:v>
      </x:c>
      <x:c r="K4922" s="0">
        <x:f>hyperlink("https://icd.who.int/dev11/l-ichi/en#/http%3A%2F%2Fid.who.int%2Ficd%2Fentity%2F1816654592","browser")</x:f>
      </x:c>
      <x:c r="L4922" s="0">
        <x:f>hyperlink("https://icat2.azurewebsites.net/icat/?ontology=ICD&amp;tab=ClassesTab&amp;id=http%3A%2F%2Fwho.int%2Ficd%2326562_512ebf36_bf6b_4d70_85da_cf2637062af4","iCat")</x:f>
      </x:c>
      <x:c r="M4922" s="0" t="s">
        <x:v>21</x:v>
      </x:c>
      <x:c r="N4922" s="0" t="s">
        <x:v>46</x:v>
      </x:c>
    </x:row>
    <x:row r="4923" spans="1:16">
      <x:c r="A4923" s="0" t="s">
        <x:v>19540</x:v>
      </x:c>
      <x:c r="B4923" s="0" t="s">
        <x:v>19541</x:v>
      </x:c>
      <x:c r="C4923" s="0" t="s">
        <x:v>19542</x:v>
      </x:c>
      <x:c r="E4923" s="0" t="s">
        <x:v>19543</x:v>
      </x:c>
      <x:c r="F4923" s="0" t="s">
        <x:v>45</x:v>
      </x:c>
      <x:c r="G4923" s="0" t="s">
        <x:v>19</x:v>
      </x:c>
      <x:c r="H4923" s="0" t="s">
        <x:v>20</x:v>
      </x:c>
      <x:c r="I4923" s="0" t="s">
        <x:v>21</x:v>
      </x:c>
      <x:c r="K4923" s="0">
        <x:f>hyperlink("https://icd.who.int/dev11/l-ichi/en#/http%3A%2F%2Fid.who.int%2Ficd%2Fentity%2F1124534352","browser")</x:f>
      </x:c>
      <x:c r="L4923" s="0">
        <x:f>hyperlink("https://icat2.azurewebsites.net/icat/?ontology=ICD&amp;tab=ClassesTab&amp;id=http%3A%2F%2Fwho.int%2Ficd%2326571_512ebf36_bf6b_4d70_85da_cf2637062af4","iCat")</x:f>
      </x:c>
      <x:c r="M4923" s="0" t="s">
        <x:v>21</x:v>
      </x:c>
      <x:c r="N4923" s="0" t="s">
        <x:v>46</x:v>
      </x:c>
    </x:row>
    <x:row r="4924" spans="1:16">
      <x:c r="A4924" s="0" t="s">
        <x:v>19544</x:v>
      </x:c>
      <x:c r="B4924" s="0" t="s">
        <x:v>19545</x:v>
      </x:c>
      <x:c r="C4924" s="0" t="s">
        <x:v>19546</x:v>
      </x:c>
      <x:c r="E4924" s="0" t="s">
        <x:v>19547</x:v>
      </x:c>
      <x:c r="F4924" s="0" t="s">
        <x:v>45</x:v>
      </x:c>
      <x:c r="G4924" s="0" t="s">
        <x:v>19</x:v>
      </x:c>
      <x:c r="H4924" s="0" t="s">
        <x:v>20</x:v>
      </x:c>
      <x:c r="I4924" s="0" t="s">
        <x:v>21</x:v>
      </x:c>
      <x:c r="K4924" s="0">
        <x:f>hyperlink("https://icd.who.int/dev11/l-ichi/en#/http%3A%2F%2Fid.who.int%2Ficd%2Fentity%2F1750364483","browser")</x:f>
      </x:c>
      <x:c r="L4924" s="0">
        <x:f>hyperlink("https://icat2.azurewebsites.net/icat/?ontology=ICD&amp;tab=ClassesTab&amp;id=http%3A%2F%2Fwho.int%2Ficd%231141_97087496_4a82_4efa_a45a_b3256f81bd7e","iCat")</x:f>
      </x:c>
      <x:c r="M4924" s="0" t="s">
        <x:v>21</x:v>
      </x:c>
      <x:c r="N4924" s="0" t="s">
        <x:v>46</x:v>
      </x:c>
    </x:row>
    <x:row r="4925" spans="1:16">
      <x:c r="A4925" s="0" t="s">
        <x:v>19548</x:v>
      </x:c>
      <x:c r="B4925" s="0" t="s">
        <x:v>19549</x:v>
      </x:c>
      <x:c r="C4925" s="0" t="s">
        <x:v>19550</x:v>
      </x:c>
      <x:c r="E4925" s="0" t="s">
        <x:v>19551</x:v>
      </x:c>
      <x:c r="F4925" s="0" t="s">
        <x:v>45</x:v>
      </x:c>
      <x:c r="G4925" s="0" t="s">
        <x:v>19</x:v>
      </x:c>
      <x:c r="H4925" s="0" t="s">
        <x:v>20</x:v>
      </x:c>
      <x:c r="I4925" s="0" t="s">
        <x:v>21</x:v>
      </x:c>
      <x:c r="K4925" s="0">
        <x:f>hyperlink("https://icd.who.int/dev11/l-ichi/en#/http%3A%2F%2Fid.who.int%2Ficd%2Fentity%2F763300665","browser")</x:f>
      </x:c>
      <x:c r="L4925" s="0">
        <x:f>hyperlink("https://icat2.azurewebsites.net/icat/?ontology=ICD&amp;tab=ClassesTab&amp;id=http%3A%2F%2Fwho.int%2Ficd%2326578_512ebf36_bf6b_4d70_85da_cf2637062af4","iCat")</x:f>
      </x:c>
      <x:c r="M4925" s="0" t="s">
        <x:v>21</x:v>
      </x:c>
      <x:c r="N4925" s="0" t="s">
        <x:v>46</x:v>
      </x:c>
    </x:row>
    <x:row r="4926" spans="1:16">
      <x:c r="A4926" s="0" t="s">
        <x:v>19552</x:v>
      </x:c>
      <x:c r="B4926" s="0" t="s">
        <x:v>19553</x:v>
      </x:c>
      <x:c r="C4926" s="0" t="s">
        <x:v>19554</x:v>
      </x:c>
      <x:c r="E4926" s="0" t="s">
        <x:v>19555</x:v>
      </x:c>
      <x:c r="F4926" s="0" t="s">
        <x:v>45</x:v>
      </x:c>
      <x:c r="G4926" s="0" t="s">
        <x:v>19</x:v>
      </x:c>
      <x:c r="H4926" s="0" t="s">
        <x:v>20</x:v>
      </x:c>
      <x:c r="I4926" s="0" t="s">
        <x:v>21</x:v>
      </x:c>
      <x:c r="K4926" s="0">
        <x:f>hyperlink("https://icd.who.int/dev11/l-ichi/en#/http%3A%2F%2Fid.who.int%2Ficd%2Fentity%2F1508345596","browser")</x:f>
      </x:c>
      <x:c r="L4926" s="0">
        <x:f>hyperlink("https://icat2.azurewebsites.net/icat/?ontology=ICD&amp;tab=ClassesTab&amp;id=http%3A%2F%2Fwho.int%2Ficd%2326585_512ebf36_bf6b_4d70_85da_cf2637062af4","iCat")</x:f>
      </x:c>
      <x:c r="M4926" s="0" t="s">
        <x:v>21</x:v>
      </x:c>
      <x:c r="N4926" s="0" t="s">
        <x:v>46</x:v>
      </x:c>
    </x:row>
    <x:row r="4927" spans="1:16">
      <x:c r="A4927" s="0" t="s">
        <x:v>19556</x:v>
      </x:c>
      <x:c r="B4927" s="0" t="s">
        <x:v>19557</x:v>
      </x:c>
      <x:c r="C4927" s="0" t="s">
        <x:v>19558</x:v>
      </x:c>
      <x:c r="E4927" s="0" t="s">
        <x:v>19559</x:v>
      </x:c>
      <x:c r="F4927" s="0" t="s">
        <x:v>45</x:v>
      </x:c>
      <x:c r="G4927" s="0" t="s">
        <x:v>19</x:v>
      </x:c>
      <x:c r="H4927" s="0" t="s">
        <x:v>20</x:v>
      </x:c>
      <x:c r="I4927" s="0" t="s">
        <x:v>21</x:v>
      </x:c>
      <x:c r="K4927" s="0">
        <x:f>hyperlink("https://icd.who.int/dev11/l-ichi/en#/http%3A%2F%2Fid.who.int%2Ficd%2Fentity%2F1666828828","browser")</x:f>
      </x:c>
      <x:c r="L4927" s="0">
        <x:f>hyperlink("https://icat2.azurewebsites.net/icat/?ontology=ICD&amp;tab=ClassesTab&amp;id=http%3A%2F%2Fwho.int%2Ficd%2326593_512ebf36_bf6b_4d70_85da_cf2637062af4","iCat")</x:f>
      </x:c>
      <x:c r="M4927" s="0" t="s">
        <x:v>21</x:v>
      </x:c>
      <x:c r="N4927" s="0" t="s">
        <x:v>46</x:v>
      </x:c>
    </x:row>
    <x:row r="4928" spans="1:16">
      <x:c r="A4928" s="0" t="s">
        <x:v>19560</x:v>
      </x:c>
      <x:c r="B4928" s="0" t="s">
        <x:v>19561</x:v>
      </x:c>
      <x:c r="C4928" s="0" t="s">
        <x:v>19562</x:v>
      </x:c>
      <x:c r="E4928" s="0" t="s">
        <x:v>19563</x:v>
      </x:c>
      <x:c r="F4928" s="0" t="s">
        <x:v>45</x:v>
      </x:c>
      <x:c r="G4928" s="0" t="s">
        <x:v>19</x:v>
      </x:c>
      <x:c r="H4928" s="0" t="s">
        <x:v>20</x:v>
      </x:c>
      <x:c r="I4928" s="0" t="s">
        <x:v>21</x:v>
      </x:c>
      <x:c r="K4928" s="0">
        <x:f>hyperlink("https://icd.who.int/dev11/l-ichi/en#/http%3A%2F%2Fid.who.int%2Ficd%2Fentity%2F846716207","browser")</x:f>
      </x:c>
      <x:c r="L4928" s="0">
        <x:f>hyperlink("https://icat2.azurewebsites.net/icat/?ontology=ICD&amp;tab=ClassesTab&amp;id=http%3A%2F%2Fwho.int%2Ficd%2326600_512ebf36_bf6b_4d70_85da_cf2637062af4","iCat")</x:f>
      </x:c>
      <x:c r="M4928" s="0" t="s">
        <x:v>21</x:v>
      </x:c>
      <x:c r="N4928" s="0" t="s">
        <x:v>46</x:v>
      </x:c>
    </x:row>
    <x:row r="4929" spans="1:16">
      <x:c r="A4929" s="0" t="s">
        <x:v>19564</x:v>
      </x:c>
      <x:c r="B4929" s="0" t="s">
        <x:v>19565</x:v>
      </x:c>
      <x:c r="C4929" s="0" t="s">
        <x:v>19566</x:v>
      </x:c>
      <x:c r="E4929" s="0" t="s">
        <x:v>19567</x:v>
      </x:c>
      <x:c r="F4929" s="0" t="s">
        <x:v>45</x:v>
      </x:c>
      <x:c r="G4929" s="0" t="s">
        <x:v>19</x:v>
      </x:c>
      <x:c r="H4929" s="0" t="s">
        <x:v>20</x:v>
      </x:c>
      <x:c r="I4929" s="0" t="s">
        <x:v>21</x:v>
      </x:c>
      <x:c r="K4929" s="0">
        <x:f>hyperlink("https://icd.who.int/dev11/l-ichi/en#/http%3A%2F%2Fid.who.int%2Ficd%2Fentity%2F1488078970","browser")</x:f>
      </x:c>
      <x:c r="L4929" s="0">
        <x:f>hyperlink("https://icat2.azurewebsites.net/icat/?ontology=ICD&amp;tab=ClassesTab&amp;id=http%3A%2F%2Fwho.int%2Ficd%2326610_512ebf36_bf6b_4d70_85da_cf2637062af4","iCat")</x:f>
      </x:c>
      <x:c r="M4929" s="0" t="s">
        <x:v>21</x:v>
      </x:c>
      <x:c r="N4929" s="0" t="s">
        <x:v>46</x:v>
      </x:c>
    </x:row>
    <x:row r="4930" spans="1:16">
      <x:c r="A4930" s="0" t="s">
        <x:v>19568</x:v>
      </x:c>
      <x:c r="B4930" s="0" t="s">
        <x:v>19569</x:v>
      </x:c>
      <x:c r="C4930" s="0" t="s">
        <x:v>19570</x:v>
      </x:c>
      <x:c r="E4930" s="0" t="s">
        <x:v>19571</x:v>
      </x:c>
      <x:c r="F4930" s="0" t="s">
        <x:v>45</x:v>
      </x:c>
      <x:c r="G4930" s="0" t="s">
        <x:v>19</x:v>
      </x:c>
      <x:c r="H4930" s="0" t="s">
        <x:v>20</x:v>
      </x:c>
      <x:c r="I4930" s="0" t="s">
        <x:v>21</x:v>
      </x:c>
      <x:c r="K4930" s="0">
        <x:f>hyperlink("https://icd.who.int/dev11/l-ichi/en#/http%3A%2F%2Fid.who.int%2Ficd%2Fentity%2F234733111","browser")</x:f>
      </x:c>
      <x:c r="L4930" s="0">
        <x:f>hyperlink("https://icat2.azurewebsites.net/icat/?ontology=ICD&amp;tab=ClassesTab&amp;id=http%3A%2F%2Fwho.int%2Ficd%2326625_512ebf36_bf6b_4d70_85da_cf2637062af4","iCat")</x:f>
      </x:c>
      <x:c r="M4930" s="0" t="s">
        <x:v>21</x:v>
      </x:c>
      <x:c r="N4930" s="0" t="s">
        <x:v>46</x:v>
      </x:c>
    </x:row>
    <x:row r="4931" spans="1:16">
      <x:c r="A4931" s="0" t="s">
        <x:v>19572</x:v>
      </x:c>
      <x:c r="B4931" s="0" t="s">
        <x:v>19573</x:v>
      </x:c>
      <x:c r="D4931" s="0" t="s">
        <x:v>19574</x:v>
      </x:c>
      <x:c r="E4931" s="0" t="s">
        <x:v>19575</x:v>
      </x:c>
      <x:c r="F4931" s="0" t="s">
        <x:v>26</x:v>
      </x:c>
      <x:c r="G4931" s="0" t="s">
        <x:v>22</x:v>
      </x:c>
      <x:c r="H4931" s="0" t="s">
        <x:v>20</x:v>
      </x:c>
      <x:c r="I4931" s="0" t="s">
        <x:v>21</x:v>
      </x:c>
      <x:c r="K4931" s="0">
        <x:f>hyperlink("https://icd.who.int/dev11/l-ichi/en#/http%3A%2F%2Fid.who.int%2Ficd%2Fentity%2F398098669","browser")</x:f>
      </x:c>
      <x:c r="L4931" s="0">
        <x:f>hyperlink("https://icat2.azurewebsites.net/icat/?ontology=ICD&amp;tab=ClassesTab&amp;id=http%3A%2F%2Fwho.int%2Ficd%2326632_512ebf36_bf6b_4d70_85da_cf2637062af4","iCat")</x:f>
      </x:c>
      <x:c r="M4931" s="0" t="s">
        <x:v>20</x:v>
      </x:c>
      <x:c r="N4931" s="0" t="s">
        <x:v>35</x:v>
      </x:c>
    </x:row>
    <x:row r="4932" spans="1:16">
      <x:c r="A4932" s="0" t="s">
        <x:v>19576</x:v>
      </x:c>
      <x:c r="B4932" s="0" t="s">
        <x:v>19577</x:v>
      </x:c>
      <x:c r="C4932" s="0" t="s">
        <x:v>19578</x:v>
      </x:c>
      <x:c r="E4932" s="0" t="s">
        <x:v>19579</x:v>
      </x:c>
      <x:c r="F4932" s="0" t="s">
        <x:v>45</x:v>
      </x:c>
      <x:c r="G4932" s="0" t="s">
        <x:v>19</x:v>
      </x:c>
      <x:c r="H4932" s="0" t="s">
        <x:v>20</x:v>
      </x:c>
      <x:c r="I4932" s="0" t="s">
        <x:v>21</x:v>
      </x:c>
      <x:c r="K4932" s="0">
        <x:f>hyperlink("https://icd.who.int/dev11/l-ichi/en#/http%3A%2F%2Fid.who.int%2Ficd%2Fentity%2F697309403","browser")</x:f>
      </x:c>
      <x:c r="L4932" s="0">
        <x:f>hyperlink("https://icat2.azurewebsites.net/icat/?ontology=ICD&amp;tab=ClassesTab&amp;id=http%3A%2F%2Fwho.int%2Ficd%2326709_512ebf36_bf6b_4d70_85da_cf2637062af4","iCat")</x:f>
      </x:c>
      <x:c r="M4932" s="0" t="s">
        <x:v>21</x:v>
      </x:c>
      <x:c r="N4932" s="0" t="s">
        <x:v>46</x:v>
      </x:c>
    </x:row>
    <x:row r="4933" spans="1:16">
      <x:c r="A4933" s="0" t="s">
        <x:v>19580</x:v>
      </x:c>
      <x:c r="B4933" s="0" t="s">
        <x:v>19581</x:v>
      </x:c>
      <x:c r="C4933" s="0" t="s">
        <x:v>19582</x:v>
      </x:c>
      <x:c r="E4933" s="0" t="s">
        <x:v>19583</x:v>
      </x:c>
      <x:c r="F4933" s="0" t="s">
        <x:v>45</x:v>
      </x:c>
      <x:c r="G4933" s="0" t="s">
        <x:v>19</x:v>
      </x:c>
      <x:c r="H4933" s="0" t="s">
        <x:v>20</x:v>
      </x:c>
      <x:c r="I4933" s="0" t="s">
        <x:v>21</x:v>
      </x:c>
      <x:c r="K4933" s="0">
        <x:f>hyperlink("https://icd.who.int/dev11/l-ichi/en#/http%3A%2F%2Fid.who.int%2Ficd%2Fentity%2F2102810452","browser")</x:f>
      </x:c>
      <x:c r="L4933" s="0">
        <x:f>hyperlink("https://icat2.azurewebsites.net/icat/?ontology=ICD&amp;tab=ClassesTab&amp;id=http%3A%2F%2Fwho.int%2Ficd%2326716_512ebf36_bf6b_4d70_85da_cf2637062af4","iCat")</x:f>
      </x:c>
      <x:c r="M4933" s="0" t="s">
        <x:v>21</x:v>
      </x:c>
      <x:c r="N4933" s="0" t="s">
        <x:v>46</x:v>
      </x:c>
    </x:row>
    <x:row r="4934" spans="1:16">
      <x:c r="A4934" s="0" t="s">
        <x:v>19584</x:v>
      </x:c>
      <x:c r="B4934" s="0" t="s">
        <x:v>19585</x:v>
      </x:c>
      <x:c r="C4934" s="0" t="s">
        <x:v>19586</x:v>
      </x:c>
      <x:c r="E4934" s="0" t="s">
        <x:v>19587</x:v>
      </x:c>
      <x:c r="F4934" s="0" t="s">
        <x:v>45</x:v>
      </x:c>
      <x:c r="G4934" s="0" t="s">
        <x:v>19</x:v>
      </x:c>
      <x:c r="H4934" s="0" t="s">
        <x:v>20</x:v>
      </x:c>
      <x:c r="I4934" s="0" t="s">
        <x:v>21</x:v>
      </x:c>
      <x:c r="K4934" s="0">
        <x:f>hyperlink("https://icd.who.int/dev11/l-ichi/en#/http%3A%2F%2Fid.who.int%2Ficd%2Fentity%2F1608354013","browser")</x:f>
      </x:c>
      <x:c r="L4934" s="0">
        <x:f>hyperlink("https://icat2.azurewebsites.net/icat/?ontology=ICD&amp;tab=ClassesTab&amp;id=http%3A%2F%2Fwho.int%2Ficd%2326809_512ebf36_bf6b_4d70_85da_cf2637062af4","iCat")</x:f>
      </x:c>
      <x:c r="M4934" s="0" t="s">
        <x:v>21</x:v>
      </x:c>
      <x:c r="N4934" s="0" t="s">
        <x:v>46</x:v>
      </x:c>
    </x:row>
    <x:row r="4935" spans="1:16">
      <x:c r="A4935" s="0" t="s">
        <x:v>19588</x:v>
      </x:c>
      <x:c r="B4935" s="0" t="s">
        <x:v>19589</x:v>
      </x:c>
      <x:c r="D4935" s="0" t="s">
        <x:v>19590</x:v>
      </x:c>
      <x:c r="E4935" s="0" t="s">
        <x:v>19591</x:v>
      </x:c>
      <x:c r="F4935" s="0" t="s">
        <x:v>26</x:v>
      </x:c>
      <x:c r="G4935" s="0" t="s">
        <x:v>22</x:v>
      </x:c>
      <x:c r="H4935" s="0" t="s">
        <x:v>20</x:v>
      </x:c>
      <x:c r="I4935" s="0" t="s">
        <x:v>21</x:v>
      </x:c>
      <x:c r="K4935" s="0">
        <x:f>hyperlink("https://icd.who.int/dev11/l-ichi/en#/http%3A%2F%2Fid.who.int%2Ficd%2Fentity%2F736277870","browser")</x:f>
      </x:c>
      <x:c r="L4935" s="0">
        <x:f>hyperlink("https://icat2.azurewebsites.net/icat/?ontology=ICD&amp;tab=ClassesTab&amp;id=http%3A%2F%2Fwho.int%2Ficd%2326817_512ebf36_bf6b_4d70_85da_cf2637062af4","iCat")</x:f>
      </x:c>
      <x:c r="M4935" s="0" t="s">
        <x:v>20</x:v>
      </x:c>
      <x:c r="N4935" s="0" t="s">
        <x:v>6843</x:v>
      </x:c>
    </x:row>
    <x:row r="4936" spans="1:16">
      <x:c r="A4936" s="0" t="s">
        <x:v>19592</x:v>
      </x:c>
      <x:c r="B4936" s="0" t="s">
        <x:v>19593</x:v>
      </x:c>
      <x:c r="C4936" s="0" t="s">
        <x:v>19594</x:v>
      </x:c>
      <x:c r="E4936" s="0" t="s">
        <x:v>19595</x:v>
      </x:c>
      <x:c r="F4936" s="0" t="s">
        <x:v>45</x:v>
      </x:c>
      <x:c r="G4936" s="0" t="s">
        <x:v>19</x:v>
      </x:c>
      <x:c r="H4936" s="0" t="s">
        <x:v>20</x:v>
      </x:c>
      <x:c r="I4936" s="0" t="s">
        <x:v>21</x:v>
      </x:c>
      <x:c r="K4936" s="0">
        <x:f>hyperlink("https://icd.who.int/dev11/l-ichi/en#/http%3A%2F%2Fid.who.int%2Ficd%2Fentity%2F186369876","browser")</x:f>
      </x:c>
      <x:c r="L4936" s="0">
        <x:f>hyperlink("https://icat2.azurewebsites.net/icat/?ontology=ICD&amp;tab=ClassesTab&amp;id=http%3A%2F%2Fwho.int%2Ficd%2326816_512ebf36_bf6b_4d70_85da_cf2637062af4","iCat")</x:f>
      </x:c>
      <x:c r="M4936" s="0" t="s">
        <x:v>21</x:v>
      </x:c>
      <x:c r="N4936" s="0" t="s">
        <x:v>46</x:v>
      </x:c>
    </x:row>
    <x:row r="4937" spans="1:16">
      <x:c r="A4937" s="0" t="s">
        <x:v>19596</x:v>
      </x:c>
      <x:c r="B4937" s="0" t="s">
        <x:v>19597</x:v>
      </x:c>
      <x:c r="C4937" s="0" t="s">
        <x:v>19598</x:v>
      </x:c>
      <x:c r="E4937" s="0" t="s">
        <x:v>19599</x:v>
      </x:c>
      <x:c r="F4937" s="0" t="s">
        <x:v>45</x:v>
      </x:c>
      <x:c r="G4937" s="0" t="s">
        <x:v>19</x:v>
      </x:c>
      <x:c r="H4937" s="0" t="s">
        <x:v>20</x:v>
      </x:c>
      <x:c r="I4937" s="0" t="s">
        <x:v>21</x:v>
      </x:c>
      <x:c r="K4937" s="0">
        <x:f>hyperlink("https://icd.who.int/dev11/l-ichi/en#/http%3A%2F%2Fid.who.int%2Ficd%2Fentity%2F1431318449","browser")</x:f>
      </x:c>
      <x:c r="L4937" s="0">
        <x:f>hyperlink("https://icat2.azurewebsites.net/icat/?ontology=ICD&amp;tab=ClassesTab&amp;id=http%3A%2F%2Fwho.int%2Ficd%2326828_512ebf36_bf6b_4d70_85da_cf2637062af4","iCat")</x:f>
      </x:c>
      <x:c r="M4937" s="0" t="s">
        <x:v>21</x:v>
      </x:c>
      <x:c r="N4937" s="0" t="s">
        <x:v>46</x:v>
      </x:c>
    </x:row>
    <x:row r="4938" spans="1:16">
      <x:c r="A4938" s="0" t="s">
        <x:v>19600</x:v>
      </x:c>
      <x:c r="B4938" s="0" t="s">
        <x:v>19601</x:v>
      </x:c>
      <x:c r="C4938" s="0" t="s">
        <x:v>19602</x:v>
      </x:c>
      <x:c r="E4938" s="0" t="s">
        <x:v>19603</x:v>
      </x:c>
      <x:c r="F4938" s="0" t="s">
        <x:v>45</x:v>
      </x:c>
      <x:c r="G4938" s="0" t="s">
        <x:v>19</x:v>
      </x:c>
      <x:c r="H4938" s="0" t="s">
        <x:v>20</x:v>
      </x:c>
      <x:c r="I4938" s="0" t="s">
        <x:v>21</x:v>
      </x:c>
      <x:c r="K4938" s="0">
        <x:f>hyperlink("https://icd.who.int/dev11/l-ichi/en#/http%3A%2F%2Fid.who.int%2Ficd%2Fentity%2F1142099911","browser")</x:f>
      </x:c>
      <x:c r="L4938" s="0">
        <x:f>hyperlink("https://icat2.azurewebsites.net/icat/?ontology=ICD&amp;tab=ClassesTab&amp;id=http%3A%2F%2Fwho.int%2Ficd%2326834_512ebf36_bf6b_4d70_85da_cf2637062af4","iCat")</x:f>
      </x:c>
      <x:c r="M4938" s="0" t="s">
        <x:v>21</x:v>
      </x:c>
      <x:c r="N4938" s="0" t="s">
        <x:v>46</x:v>
      </x:c>
    </x:row>
    <x:row r="4939" spans="1:16">
      <x:c r="A4939" s="0" t="s">
        <x:v>19604</x:v>
      </x:c>
      <x:c r="B4939" s="0" t="s">
        <x:v>19605</x:v>
      </x:c>
      <x:c r="C4939" s="0" t="s">
        <x:v>19606</x:v>
      </x:c>
      <x:c r="E4939" s="0" t="s">
        <x:v>19607</x:v>
      </x:c>
      <x:c r="F4939" s="0" t="s">
        <x:v>45</x:v>
      </x:c>
      <x:c r="G4939" s="0" t="s">
        <x:v>19</x:v>
      </x:c>
      <x:c r="H4939" s="0" t="s">
        <x:v>20</x:v>
      </x:c>
      <x:c r="I4939" s="0" t="s">
        <x:v>21</x:v>
      </x:c>
      <x:c r="K4939" s="0">
        <x:f>hyperlink("https://icd.who.int/dev11/l-ichi/en#/http%3A%2F%2Fid.who.int%2Ficd%2Fentity%2F1631300245","browser")</x:f>
      </x:c>
      <x:c r="L4939" s="0">
        <x:f>hyperlink("https://icat2.azurewebsites.net/icat/?ontology=ICD&amp;tab=ClassesTab&amp;id=http%3A%2F%2Fwho.int%2Ficd%2326841_512ebf36_bf6b_4d70_85da_cf2637062af4","iCat")</x:f>
      </x:c>
      <x:c r="M4939" s="0" t="s">
        <x:v>21</x:v>
      </x:c>
      <x:c r="N4939" s="0" t="s">
        <x:v>46</x:v>
      </x:c>
    </x:row>
    <x:row r="4940" spans="1:16">
      <x:c r="A4940" s="0" t="s">
        <x:v>19608</x:v>
      </x:c>
      <x:c r="B4940" s="0" t="s">
        <x:v>19609</x:v>
      </x:c>
      <x:c r="C4940" s="0" t="s">
        <x:v>19610</x:v>
      </x:c>
      <x:c r="E4940" s="0" t="s">
        <x:v>19611</x:v>
      </x:c>
      <x:c r="F4940" s="0" t="s">
        <x:v>45</x:v>
      </x:c>
      <x:c r="G4940" s="0" t="s">
        <x:v>19</x:v>
      </x:c>
      <x:c r="H4940" s="0" t="s">
        <x:v>20</x:v>
      </x:c>
      <x:c r="I4940" s="0" t="s">
        <x:v>21</x:v>
      </x:c>
      <x:c r="K4940" s="0">
        <x:f>hyperlink("https://icd.who.int/dev11/l-ichi/en#/http%3A%2F%2Fid.who.int%2Ficd%2Fentity%2F256092668","browser")</x:f>
      </x:c>
      <x:c r="L4940" s="0">
        <x:f>hyperlink("https://icat2.azurewebsites.net/icat/?ontology=ICD&amp;tab=ClassesTab&amp;id=http%3A%2F%2Fwho.int%2Ficd%2326848_512ebf36_bf6b_4d70_85da_cf2637062af4","iCat")</x:f>
      </x:c>
      <x:c r="M4940" s="0" t="s">
        <x:v>21</x:v>
      </x:c>
      <x:c r="N4940" s="0" t="s">
        <x:v>46</x:v>
      </x:c>
    </x:row>
    <x:row r="4941" spans="1:16">
      <x:c r="A4941" s="0" t="s">
        <x:v>19612</x:v>
      </x:c>
      <x:c r="B4941" s="0" t="s">
        <x:v>19613</x:v>
      </x:c>
      <x:c r="C4941" s="0" t="s">
        <x:v>19614</x:v>
      </x:c>
      <x:c r="E4941" s="0" t="s">
        <x:v>19615</x:v>
      </x:c>
      <x:c r="F4941" s="0" t="s">
        <x:v>45</x:v>
      </x:c>
      <x:c r="G4941" s="0" t="s">
        <x:v>19</x:v>
      </x:c>
      <x:c r="H4941" s="0" t="s">
        <x:v>20</x:v>
      </x:c>
      <x:c r="I4941" s="0" t="s">
        <x:v>21</x:v>
      </x:c>
      <x:c r="K4941" s="0">
        <x:f>hyperlink("https://icd.who.int/dev11/l-ichi/en#/http%3A%2F%2Fid.who.int%2Ficd%2Fentity%2F1056570294","browser")</x:f>
      </x:c>
      <x:c r="L4941" s="0">
        <x:f>hyperlink("https://icat2.azurewebsites.net/icat/?ontology=ICD&amp;tab=ClassesTab&amp;id=http%3A%2F%2Fwho.int%2Ficd%2326855_512ebf36_bf6b_4d70_85da_cf2637062af4","iCat")</x:f>
      </x:c>
      <x:c r="M4941" s="0" t="s">
        <x:v>21</x:v>
      </x:c>
      <x:c r="N4941" s="0" t="s">
        <x:v>46</x:v>
      </x:c>
    </x:row>
    <x:row r="4942" spans="1:16">
      <x:c r="A4942" s="0" t="s">
        <x:v>19616</x:v>
      </x:c>
      <x:c r="B4942" s="0" t="s">
        <x:v>19617</x:v>
      </x:c>
      <x:c r="C4942" s="0" t="s">
        <x:v>19618</x:v>
      </x:c>
      <x:c r="E4942" s="0" t="s">
        <x:v>19619</x:v>
      </x:c>
      <x:c r="F4942" s="0" t="s">
        <x:v>45</x:v>
      </x:c>
      <x:c r="G4942" s="0" t="s">
        <x:v>19</x:v>
      </x:c>
      <x:c r="H4942" s="0" t="s">
        <x:v>20</x:v>
      </x:c>
      <x:c r="I4942" s="0" t="s">
        <x:v>21</x:v>
      </x:c>
      <x:c r="K4942" s="0">
        <x:f>hyperlink("https://icd.who.int/dev11/l-ichi/en#/http%3A%2F%2Fid.who.int%2Ficd%2Fentity%2F248123454","browser")</x:f>
      </x:c>
      <x:c r="L4942" s="0">
        <x:f>hyperlink("https://icat2.azurewebsites.net/icat/?ontology=ICD&amp;tab=ClassesTab&amp;id=http%3A%2F%2Fwho.int%2Ficd%2326862_512ebf36_bf6b_4d70_85da_cf2637062af4","iCat")</x:f>
      </x:c>
      <x:c r="M4942" s="0" t="s">
        <x:v>21</x:v>
      </x:c>
      <x:c r="N4942" s="0" t="s">
        <x:v>46</x:v>
      </x:c>
    </x:row>
    <x:row r="4943" spans="1:16">
      <x:c r="A4943" s="0" t="s">
        <x:v>19620</x:v>
      </x:c>
      <x:c r="B4943" s="0" t="s">
        <x:v>19621</x:v>
      </x:c>
      <x:c r="C4943" s="0" t="s">
        <x:v>19622</x:v>
      </x:c>
      <x:c r="E4943" s="0" t="s">
        <x:v>19623</x:v>
      </x:c>
      <x:c r="F4943" s="0" t="s">
        <x:v>45</x:v>
      </x:c>
      <x:c r="G4943" s="0" t="s">
        <x:v>19</x:v>
      </x:c>
      <x:c r="H4943" s="0" t="s">
        <x:v>20</x:v>
      </x:c>
      <x:c r="I4943" s="0" t="s">
        <x:v>21</x:v>
      </x:c>
      <x:c r="K4943" s="0">
        <x:f>hyperlink("https://icd.who.int/dev11/l-ichi/en#/http%3A%2F%2Fid.who.int%2Ficd%2Fentity%2F97390224","browser")</x:f>
      </x:c>
      <x:c r="L4943" s="0">
        <x:f>hyperlink("https://icat2.azurewebsites.net/icat/?ontology=ICD&amp;tab=ClassesTab&amp;id=http%3A%2F%2Fwho.int%2Ficd%2326869_512ebf36_bf6b_4d70_85da_cf2637062af4","iCat")</x:f>
      </x:c>
      <x:c r="M4943" s="0" t="s">
        <x:v>21</x:v>
      </x:c>
      <x:c r="N4943" s="0" t="s">
        <x:v>46</x:v>
      </x:c>
    </x:row>
    <x:row r="4944" spans="1:16">
      <x:c r="A4944" s="0" t="s">
        <x:v>19624</x:v>
      </x:c>
      <x:c r="B4944" s="0" t="s">
        <x:v>19625</x:v>
      </x:c>
      <x:c r="C4944" s="0" t="s">
        <x:v>19626</x:v>
      </x:c>
      <x:c r="E4944" s="0" t="s">
        <x:v>19627</x:v>
      </x:c>
      <x:c r="F4944" s="0" t="s">
        <x:v>45</x:v>
      </x:c>
      <x:c r="G4944" s="0" t="s">
        <x:v>19</x:v>
      </x:c>
      <x:c r="H4944" s="0" t="s">
        <x:v>20</x:v>
      </x:c>
      <x:c r="I4944" s="0" t="s">
        <x:v>21</x:v>
      </x:c>
      <x:c r="K4944" s="0">
        <x:f>hyperlink("https://icd.who.int/dev11/l-ichi/en#/http%3A%2F%2Fid.who.int%2Ficd%2Fentity%2F1341319675","browser")</x:f>
      </x:c>
      <x:c r="L4944" s="0">
        <x:f>hyperlink("https://icat2.azurewebsites.net/icat/?ontology=ICD&amp;tab=ClassesTab&amp;id=http%3A%2F%2Fwho.int%2Ficd%2326878_512ebf36_bf6b_4d70_85da_cf2637062af4","iCat")</x:f>
      </x:c>
      <x:c r="M4944" s="0" t="s">
        <x:v>21</x:v>
      </x:c>
      <x:c r="N4944" s="0" t="s">
        <x:v>46</x:v>
      </x:c>
    </x:row>
    <x:row r="4945" spans="1:16">
      <x:c r="A4945" s="0" t="s">
        <x:v>19628</x:v>
      </x:c>
      <x:c r="B4945" s="0" t="s">
        <x:v>19629</x:v>
      </x:c>
      <x:c r="C4945" s="0" t="s">
        <x:v>19630</x:v>
      </x:c>
      <x:c r="E4945" s="0" t="s">
        <x:v>19631</x:v>
      </x:c>
      <x:c r="F4945" s="0" t="s">
        <x:v>45</x:v>
      </x:c>
      <x:c r="G4945" s="0" t="s">
        <x:v>19</x:v>
      </x:c>
      <x:c r="H4945" s="0" t="s">
        <x:v>20</x:v>
      </x:c>
      <x:c r="I4945" s="0" t="s">
        <x:v>21</x:v>
      </x:c>
      <x:c r="K4945" s="0">
        <x:f>hyperlink("https://icd.who.int/dev11/l-ichi/en#/http%3A%2F%2Fid.who.int%2Ficd%2Fentity%2F996828218","browser")</x:f>
      </x:c>
      <x:c r="L4945" s="0">
        <x:f>hyperlink("https://icat2.azurewebsites.net/icat/?ontology=ICD&amp;tab=ClassesTab&amp;id=http%3A%2F%2Fwho.int%2Ficd%2326885_512ebf36_bf6b_4d70_85da_cf2637062af4","iCat")</x:f>
      </x:c>
      <x:c r="M4945" s="0" t="s">
        <x:v>21</x:v>
      </x:c>
      <x:c r="N4945" s="0" t="s">
        <x:v>46</x:v>
      </x:c>
    </x:row>
    <x:row r="4946" spans="1:16">
      <x:c r="A4946" s="0" t="s">
        <x:v>19632</x:v>
      </x:c>
      <x:c r="B4946" s="0" t="s">
        <x:v>19633</x:v>
      </x:c>
      <x:c r="C4946" s="0" t="s">
        <x:v>19634</x:v>
      </x:c>
      <x:c r="E4946" s="0" t="s">
        <x:v>19635</x:v>
      </x:c>
      <x:c r="F4946" s="0" t="s">
        <x:v>45</x:v>
      </x:c>
      <x:c r="G4946" s="0" t="s">
        <x:v>19</x:v>
      </x:c>
      <x:c r="H4946" s="0" t="s">
        <x:v>20</x:v>
      </x:c>
      <x:c r="I4946" s="0" t="s">
        <x:v>21</x:v>
      </x:c>
      <x:c r="K4946" s="0">
        <x:f>hyperlink("https://icd.who.int/dev11/l-ichi/en#/http%3A%2F%2Fid.who.int%2Ficd%2Fentity%2F556620516","browser")</x:f>
      </x:c>
      <x:c r="L4946" s="0">
        <x:f>hyperlink("https://icat2.azurewebsites.net/icat/?ontology=ICD&amp;tab=ClassesTab&amp;id=http%3A%2F%2Fwho.int%2Ficd%2326892_512ebf36_bf6b_4d70_85da_cf2637062af4","iCat")</x:f>
      </x:c>
      <x:c r="M4946" s="0" t="s">
        <x:v>21</x:v>
      </x:c>
      <x:c r="N4946" s="0" t="s">
        <x:v>46</x:v>
      </x:c>
    </x:row>
    <x:row r="4947" spans="1:16">
      <x:c r="A4947" s="0" t="s">
        <x:v>19636</x:v>
      </x:c>
      <x:c r="B4947" s="0" t="s">
        <x:v>19637</x:v>
      </x:c>
      <x:c r="C4947" s="0" t="s">
        <x:v>19638</x:v>
      </x:c>
      <x:c r="E4947" s="0" t="s">
        <x:v>19639</x:v>
      </x:c>
      <x:c r="F4947" s="0" t="s">
        <x:v>45</x:v>
      </x:c>
      <x:c r="G4947" s="0" t="s">
        <x:v>19</x:v>
      </x:c>
      <x:c r="H4947" s="0" t="s">
        <x:v>20</x:v>
      </x:c>
      <x:c r="I4947" s="0" t="s">
        <x:v>21</x:v>
      </x:c>
      <x:c r="K4947" s="0">
        <x:f>hyperlink("https://icd.who.int/dev11/l-ichi/en#/http%3A%2F%2Fid.who.int%2Ficd%2Fentity%2F181417588","browser")</x:f>
      </x:c>
      <x:c r="L4947" s="0">
        <x:f>hyperlink("https://icat2.azurewebsites.net/icat/?ontology=ICD&amp;tab=ClassesTab&amp;id=http%3A%2F%2Fwho.int%2Ficd%2326898_512ebf36_bf6b_4d70_85da_cf2637062af4","iCat")</x:f>
      </x:c>
      <x:c r="M4947" s="0" t="s">
        <x:v>21</x:v>
      </x:c>
      <x:c r="N4947" s="0" t="s">
        <x:v>46</x:v>
      </x:c>
    </x:row>
    <x:row r="4948" spans="1:16">
      <x:c r="A4948" s="0" t="s">
        <x:v>19640</x:v>
      </x:c>
      <x:c r="B4948" s="0" t="s">
        <x:v>19641</x:v>
      </x:c>
      <x:c r="C4948" s="0" t="s">
        <x:v>19642</x:v>
      </x:c>
      <x:c r="E4948" s="0" t="s">
        <x:v>19643</x:v>
      </x:c>
      <x:c r="F4948" s="0" t="s">
        <x:v>45</x:v>
      </x:c>
      <x:c r="G4948" s="0" t="s">
        <x:v>19</x:v>
      </x:c>
      <x:c r="H4948" s="0" t="s">
        <x:v>20</x:v>
      </x:c>
      <x:c r="I4948" s="0" t="s">
        <x:v>21</x:v>
      </x:c>
      <x:c r="K4948" s="0">
        <x:f>hyperlink("https://icd.who.int/dev11/l-ichi/en#/http%3A%2F%2Fid.who.int%2Ficd%2Fentity%2F1371863905","browser")</x:f>
      </x:c>
      <x:c r="L4948" s="0">
        <x:f>hyperlink("https://icat2.azurewebsites.net/icat/?ontology=ICD&amp;tab=ClassesTab&amp;id=http%3A%2F%2Fwho.int%2Ficd%2326905_512ebf36_bf6b_4d70_85da_cf2637062af4","iCat")</x:f>
      </x:c>
      <x:c r="M4948" s="0" t="s">
        <x:v>21</x:v>
      </x:c>
      <x:c r="N4948" s="0" t="s">
        <x:v>46</x:v>
      </x:c>
    </x:row>
    <x:row r="4949" spans="1:16">
      <x:c r="A4949" s="0" t="s">
        <x:v>19644</x:v>
      </x:c>
      <x:c r="B4949" s="0" t="s">
        <x:v>19645</x:v>
      </x:c>
      <x:c r="C4949" s="0" t="s">
        <x:v>19646</x:v>
      </x:c>
      <x:c r="E4949" s="0" t="s">
        <x:v>19647</x:v>
      </x:c>
      <x:c r="F4949" s="0" t="s">
        <x:v>45</x:v>
      </x:c>
      <x:c r="G4949" s="0" t="s">
        <x:v>19</x:v>
      </x:c>
      <x:c r="H4949" s="0" t="s">
        <x:v>20</x:v>
      </x:c>
      <x:c r="I4949" s="0" t="s">
        <x:v>21</x:v>
      </x:c>
      <x:c r="K4949" s="0">
        <x:f>hyperlink("https://icd.who.int/dev11/l-ichi/en#/http%3A%2F%2Fid.who.int%2Ficd%2Fentity%2F1266927035","browser")</x:f>
      </x:c>
      <x:c r="L4949" s="0">
        <x:f>hyperlink("https://icat2.azurewebsites.net/icat/?ontology=ICD&amp;tab=ClassesTab&amp;id=http%3A%2F%2Fwho.int%2Ficd%2326912_512ebf36_bf6b_4d70_85da_cf2637062af4","iCat")</x:f>
      </x:c>
      <x:c r="M4949" s="0" t="s">
        <x:v>21</x:v>
      </x:c>
      <x:c r="N4949" s="0" t="s">
        <x:v>46</x:v>
      </x:c>
    </x:row>
    <x:row r="4950" spans="1:16">
      <x:c r="A4950" s="0" t="s">
        <x:v>19648</x:v>
      </x:c>
      <x:c r="B4950" s="0" t="s">
        <x:v>19649</x:v>
      </x:c>
      <x:c r="C4950" s="0" t="s">
        <x:v>19650</x:v>
      </x:c>
      <x:c r="E4950" s="0" t="s">
        <x:v>19651</x:v>
      </x:c>
      <x:c r="F4950" s="0" t="s">
        <x:v>45</x:v>
      </x:c>
      <x:c r="G4950" s="0" t="s">
        <x:v>19</x:v>
      </x:c>
      <x:c r="H4950" s="0" t="s">
        <x:v>20</x:v>
      </x:c>
      <x:c r="I4950" s="0" t="s">
        <x:v>21</x:v>
      </x:c>
      <x:c r="K4950" s="0">
        <x:f>hyperlink("https://icd.who.int/dev11/l-ichi/en#/http%3A%2F%2Fid.who.int%2Ficd%2Fentity%2F1618913579","browser")</x:f>
      </x:c>
      <x:c r="L4950" s="0">
        <x:f>hyperlink("https://icat2.azurewebsites.net/icat/?ontology=ICD&amp;tab=ClassesTab&amp;id=http%3A%2F%2Fwho.int%2Ficd%2326918_512ebf36_bf6b_4d70_85da_cf2637062af4","iCat")</x:f>
      </x:c>
      <x:c r="M4950" s="0" t="s">
        <x:v>21</x:v>
      </x:c>
      <x:c r="N4950" s="0" t="s">
        <x:v>46</x:v>
      </x:c>
    </x:row>
    <x:row r="4951" spans="1:16">
      <x:c r="A4951" s="0" t="s">
        <x:v>19652</x:v>
      </x:c>
      <x:c r="B4951" s="0" t="s">
        <x:v>19653</x:v>
      </x:c>
      <x:c r="C4951" s="0" t="s">
        <x:v>19654</x:v>
      </x:c>
      <x:c r="E4951" s="0" t="s">
        <x:v>19655</x:v>
      </x:c>
      <x:c r="F4951" s="0" t="s">
        <x:v>45</x:v>
      </x:c>
      <x:c r="G4951" s="0" t="s">
        <x:v>19</x:v>
      </x:c>
      <x:c r="H4951" s="0" t="s">
        <x:v>20</x:v>
      </x:c>
      <x:c r="I4951" s="0" t="s">
        <x:v>21</x:v>
      </x:c>
      <x:c r="K4951" s="0">
        <x:f>hyperlink("https://icd.who.int/dev11/l-ichi/en#/http%3A%2F%2Fid.who.int%2Ficd%2Fentity%2F2075143729","browser")</x:f>
      </x:c>
      <x:c r="L4951" s="0">
        <x:f>hyperlink("https://icat2.azurewebsites.net/icat/?ontology=ICD&amp;tab=ClassesTab&amp;id=http%3A%2F%2Fwho.int%2Ficd%2326925_512ebf36_bf6b_4d70_85da_cf2637062af4","iCat")</x:f>
      </x:c>
      <x:c r="M4951" s="0" t="s">
        <x:v>21</x:v>
      </x:c>
      <x:c r="N4951" s="0" t="s">
        <x:v>46</x:v>
      </x:c>
    </x:row>
    <x:row r="4952" spans="1:16">
      <x:c r="A4952" s="0" t="s">
        <x:v>19656</x:v>
      </x:c>
      <x:c r="B4952" s="0" t="s">
        <x:v>19657</x:v>
      </x:c>
      <x:c r="C4952" s="0" t="s">
        <x:v>19658</x:v>
      </x:c>
      <x:c r="E4952" s="0" t="s">
        <x:v>19659</x:v>
      </x:c>
      <x:c r="F4952" s="0" t="s">
        <x:v>45</x:v>
      </x:c>
      <x:c r="G4952" s="0" t="s">
        <x:v>19</x:v>
      </x:c>
      <x:c r="H4952" s="0" t="s">
        <x:v>20</x:v>
      </x:c>
      <x:c r="I4952" s="0" t="s">
        <x:v>21</x:v>
      </x:c>
      <x:c r="K4952" s="0">
        <x:f>hyperlink("https://icd.who.int/dev11/l-ichi/en#/http%3A%2F%2Fid.who.int%2Ficd%2Fentity%2F611483410","browser")</x:f>
      </x:c>
      <x:c r="L4952" s="0">
        <x:f>hyperlink("https://icat2.azurewebsites.net/icat/?ontology=ICD&amp;tab=ClassesTab&amp;id=http%3A%2F%2Fwho.int%2Ficd%2326931_512ebf36_bf6b_4d70_85da_cf2637062af4","iCat")</x:f>
      </x:c>
      <x:c r="M4952" s="0" t="s">
        <x:v>21</x:v>
      </x:c>
      <x:c r="N4952" s="0" t="s">
        <x:v>46</x:v>
      </x:c>
    </x:row>
    <x:row r="4953" spans="1:16">
      <x:c r="A4953" s="0" t="s">
        <x:v>19660</x:v>
      </x:c>
      <x:c r="B4953" s="0" t="s">
        <x:v>19661</x:v>
      </x:c>
      <x:c r="C4953" s="0" t="s">
        <x:v>19662</x:v>
      </x:c>
      <x:c r="E4953" s="0" t="s">
        <x:v>19663</x:v>
      </x:c>
      <x:c r="F4953" s="0" t="s">
        <x:v>45</x:v>
      </x:c>
      <x:c r="G4953" s="0" t="s">
        <x:v>19</x:v>
      </x:c>
      <x:c r="H4953" s="0" t="s">
        <x:v>20</x:v>
      </x:c>
      <x:c r="I4953" s="0" t="s">
        <x:v>21</x:v>
      </x:c>
      <x:c r="K4953" s="0">
        <x:f>hyperlink("https://icd.who.int/dev11/l-ichi/en#/http%3A%2F%2Fid.who.int%2Ficd%2Fentity%2F1242201211","browser")</x:f>
      </x:c>
      <x:c r="L4953" s="0">
        <x:f>hyperlink("https://icat2.azurewebsites.net/icat/?ontology=ICD&amp;tab=ClassesTab&amp;id=http%3A%2F%2Fwho.int%2Ficd%2326938_512ebf36_bf6b_4d70_85da_cf2637062af4","iCat")</x:f>
      </x:c>
      <x:c r="M4953" s="0" t="s">
        <x:v>21</x:v>
      </x:c>
      <x:c r="N4953" s="0" t="s">
        <x:v>46</x:v>
      </x:c>
    </x:row>
    <x:row r="4954" spans="1:16">
      <x:c r="A4954" s="0" t="s">
        <x:v>19664</x:v>
      </x:c>
      <x:c r="B4954" s="0" t="s">
        <x:v>19665</x:v>
      </x:c>
      <x:c r="C4954" s="0" t="s">
        <x:v>19666</x:v>
      </x:c>
      <x:c r="E4954" s="0" t="s">
        <x:v>19667</x:v>
      </x:c>
      <x:c r="F4954" s="0" t="s">
        <x:v>45</x:v>
      </x:c>
      <x:c r="G4954" s="0" t="s">
        <x:v>19</x:v>
      </x:c>
      <x:c r="H4954" s="0" t="s">
        <x:v>20</x:v>
      </x:c>
      <x:c r="I4954" s="0" t="s">
        <x:v>21</x:v>
      </x:c>
      <x:c r="K4954" s="0">
        <x:f>hyperlink("https://icd.who.int/dev11/l-ichi/en#/http%3A%2F%2Fid.who.int%2Ficd%2Fentity%2F22731330","browser")</x:f>
      </x:c>
      <x:c r="L4954" s="0">
        <x:f>hyperlink("https://icat2.azurewebsites.net/icat/?ontology=ICD&amp;tab=ClassesTab&amp;id=http%3A%2F%2Fwho.int%2Ficd%2326944_512ebf36_bf6b_4d70_85da_cf2637062af4","iCat")</x:f>
      </x:c>
      <x:c r="M4954" s="0" t="s">
        <x:v>21</x:v>
      </x:c>
      <x:c r="N4954" s="0" t="s">
        <x:v>46</x:v>
      </x:c>
    </x:row>
    <x:row r="4955" spans="1:16">
      <x:c r="A4955" s="0" t="s">
        <x:v>19668</x:v>
      </x:c>
      <x:c r="B4955" s="0" t="s">
        <x:v>19669</x:v>
      </x:c>
      <x:c r="C4955" s="0" t="s">
        <x:v>19670</x:v>
      </x:c>
      <x:c r="E4955" s="0" t="s">
        <x:v>19671</x:v>
      </x:c>
      <x:c r="F4955" s="0" t="s">
        <x:v>45</x:v>
      </x:c>
      <x:c r="G4955" s="0" t="s">
        <x:v>19</x:v>
      </x:c>
      <x:c r="H4955" s="0" t="s">
        <x:v>20</x:v>
      </x:c>
      <x:c r="I4955" s="0" t="s">
        <x:v>21</x:v>
      </x:c>
      <x:c r="K4955" s="0">
        <x:f>hyperlink("https://icd.who.int/dev11/l-ichi/en#/http%3A%2F%2Fid.who.int%2Ficd%2Fentity%2F1587055459","browser")</x:f>
      </x:c>
      <x:c r="L4955" s="0">
        <x:f>hyperlink("https://icat2.azurewebsites.net/icat/?ontology=ICD&amp;tab=ClassesTab&amp;id=http%3A%2F%2Fwho.int%2Ficd%2326950_512ebf36_bf6b_4d70_85da_cf2637062af4","iCat")</x:f>
      </x:c>
      <x:c r="M4955" s="0" t="s">
        <x:v>21</x:v>
      </x:c>
      <x:c r="N4955" s="0" t="s">
        <x:v>46</x:v>
      </x:c>
    </x:row>
    <x:row r="4956" spans="1:16">
      <x:c r="A4956" s="0" t="s">
        <x:v>19672</x:v>
      </x:c>
      <x:c r="B4956" s="0" t="s">
        <x:v>19673</x:v>
      </x:c>
      <x:c r="C4956" s="0" t="s">
        <x:v>19674</x:v>
      </x:c>
      <x:c r="E4956" s="0" t="s">
        <x:v>19675</x:v>
      </x:c>
      <x:c r="F4956" s="0" t="s">
        <x:v>45</x:v>
      </x:c>
      <x:c r="G4956" s="0" t="s">
        <x:v>19</x:v>
      </x:c>
      <x:c r="H4956" s="0" t="s">
        <x:v>20</x:v>
      </x:c>
      <x:c r="I4956" s="0" t="s">
        <x:v>21</x:v>
      </x:c>
      <x:c r="K4956" s="0">
        <x:f>hyperlink("https://icd.who.int/dev11/l-ichi/en#/http%3A%2F%2Fid.who.int%2Ficd%2Fentity%2F249778900","browser")</x:f>
      </x:c>
      <x:c r="L4956" s="0">
        <x:f>hyperlink("https://icat2.azurewebsites.net/icat/?ontology=ICD&amp;tab=ClassesTab&amp;id=http%3A%2F%2Fwho.int%2Ficd%2326956_512ebf36_bf6b_4d70_85da_cf2637062af4","iCat")</x:f>
      </x:c>
      <x:c r="M4956" s="0" t="s">
        <x:v>21</x:v>
      </x:c>
      <x:c r="N4956" s="0" t="s">
        <x:v>46</x:v>
      </x:c>
    </x:row>
    <x:row r="4957" spans="1:16">
      <x:c r="A4957" s="0" t="s">
        <x:v>19676</x:v>
      </x:c>
      <x:c r="B4957" s="0" t="s">
        <x:v>19677</x:v>
      </x:c>
      <x:c r="C4957" s="0" t="s">
        <x:v>19678</x:v>
      </x:c>
      <x:c r="E4957" s="0" t="s">
        <x:v>19679</x:v>
      </x:c>
      <x:c r="F4957" s="0" t="s">
        <x:v>45</x:v>
      </x:c>
      <x:c r="G4957" s="0" t="s">
        <x:v>19</x:v>
      </x:c>
      <x:c r="H4957" s="0" t="s">
        <x:v>20</x:v>
      </x:c>
      <x:c r="I4957" s="0" t="s">
        <x:v>21</x:v>
      </x:c>
      <x:c r="K4957" s="0">
        <x:f>hyperlink("https://icd.who.int/dev11/l-ichi/en#/http%3A%2F%2Fid.who.int%2Ficd%2Fentity%2F1538040989","browser")</x:f>
      </x:c>
      <x:c r="L4957" s="0">
        <x:f>hyperlink("https://icat2.azurewebsites.net/icat/?ontology=ICD&amp;tab=ClassesTab&amp;id=http%3A%2F%2Fwho.int%2Ficd%2326963_512ebf36_bf6b_4d70_85da_cf2637062af4","iCat")</x:f>
      </x:c>
      <x:c r="M4957" s="0" t="s">
        <x:v>21</x:v>
      </x:c>
      <x:c r="N4957" s="0" t="s">
        <x:v>46</x:v>
      </x:c>
    </x:row>
    <x:row r="4958" spans="1:16">
      <x:c r="A4958" s="0" t="s">
        <x:v>19680</x:v>
      </x:c>
      <x:c r="B4958" s="0" t="s">
        <x:v>19681</x:v>
      </x:c>
      <x:c r="C4958" s="0" t="s">
        <x:v>19682</x:v>
      </x:c>
      <x:c r="E4958" s="0" t="s">
        <x:v>19683</x:v>
      </x:c>
      <x:c r="F4958" s="0" t="s">
        <x:v>45</x:v>
      </x:c>
      <x:c r="G4958" s="0" t="s">
        <x:v>19</x:v>
      </x:c>
      <x:c r="H4958" s="0" t="s">
        <x:v>20</x:v>
      </x:c>
      <x:c r="I4958" s="0" t="s">
        <x:v>21</x:v>
      </x:c>
      <x:c r="K4958" s="0">
        <x:f>hyperlink("https://icd.who.int/dev11/l-ichi/en#/http%3A%2F%2Fid.who.int%2Ficd%2Fentity%2F294667256","browser")</x:f>
      </x:c>
      <x:c r="L4958" s="0">
        <x:f>hyperlink("https://icat2.azurewebsites.net/icat/?ontology=ICD&amp;tab=ClassesTab&amp;id=http%3A%2F%2Fwho.int%2Ficd%2326972_512ebf36_bf6b_4d70_85da_cf2637062af4","iCat")</x:f>
      </x:c>
      <x:c r="M4958" s="0" t="s">
        <x:v>21</x:v>
      </x:c>
      <x:c r="N4958" s="0" t="s">
        <x:v>46</x:v>
      </x:c>
    </x:row>
    <x:row r="4959" spans="1:16">
      <x:c r="A4959" s="0" t="s">
        <x:v>19684</x:v>
      </x:c>
      <x:c r="B4959" s="0" t="s">
        <x:v>19685</x:v>
      </x:c>
      <x:c r="C4959" s="0" t="s">
        <x:v>19686</x:v>
      </x:c>
      <x:c r="E4959" s="0" t="s">
        <x:v>19687</x:v>
      </x:c>
      <x:c r="F4959" s="0" t="s">
        <x:v>45</x:v>
      </x:c>
      <x:c r="G4959" s="0" t="s">
        <x:v>19</x:v>
      </x:c>
      <x:c r="H4959" s="0" t="s">
        <x:v>20</x:v>
      </x:c>
      <x:c r="I4959" s="0" t="s">
        <x:v>21</x:v>
      </x:c>
      <x:c r="K4959" s="0">
        <x:f>hyperlink("https://icd.who.int/dev11/l-ichi/en#/http%3A%2F%2Fid.who.int%2Ficd%2Fentity%2F445930842","browser")</x:f>
      </x:c>
      <x:c r="L4959" s="0">
        <x:f>hyperlink("https://icat2.azurewebsites.net/icat/?ontology=ICD&amp;tab=ClassesTab&amp;id=http%3A%2F%2Fwho.int%2Ficd%2326979_512ebf36_bf6b_4d70_85da_cf2637062af4","iCat")</x:f>
      </x:c>
      <x:c r="M4959" s="0" t="s">
        <x:v>21</x:v>
      </x:c>
      <x:c r="N4959" s="0" t="s">
        <x:v>46</x:v>
      </x:c>
    </x:row>
    <x:row r="4960" spans="1:16">
      <x:c r="A4960" s="0" t="s">
        <x:v>19688</x:v>
      </x:c>
      <x:c r="B4960" s="0" t="s">
        <x:v>19689</x:v>
      </x:c>
      <x:c r="C4960" s="0" t="s">
        <x:v>19690</x:v>
      </x:c>
      <x:c r="E4960" s="0" t="s">
        <x:v>19691</x:v>
      </x:c>
      <x:c r="F4960" s="0" t="s">
        <x:v>45</x:v>
      </x:c>
      <x:c r="G4960" s="0" t="s">
        <x:v>19</x:v>
      </x:c>
      <x:c r="H4960" s="0" t="s">
        <x:v>20</x:v>
      </x:c>
      <x:c r="I4960" s="0" t="s">
        <x:v>21</x:v>
      </x:c>
      <x:c r="K4960" s="0">
        <x:f>hyperlink("https://icd.who.int/dev11/l-ichi/en#/http%3A%2F%2Fid.who.int%2Ficd%2Fentity%2F191941980","browser")</x:f>
      </x:c>
      <x:c r="L4960" s="0">
        <x:f>hyperlink("https://icat2.azurewebsites.net/icat/?ontology=ICD&amp;tab=ClassesTab&amp;id=http%3A%2F%2Fwho.int%2Ficd%2326986_512ebf36_bf6b_4d70_85da_cf2637062af4","iCat")</x:f>
      </x:c>
      <x:c r="M4960" s="0" t="s">
        <x:v>21</x:v>
      </x:c>
      <x:c r="N4960" s="0" t="s">
        <x:v>46</x:v>
      </x:c>
    </x:row>
    <x:row r="4961" spans="1:16">
      <x:c r="A4961" s="0" t="s">
        <x:v>19692</x:v>
      </x:c>
      <x:c r="B4961" s="0" t="s">
        <x:v>19693</x:v>
      </x:c>
      <x:c r="C4961" s="0" t="s">
        <x:v>19694</x:v>
      </x:c>
      <x:c r="E4961" s="0" t="s">
        <x:v>19695</x:v>
      </x:c>
      <x:c r="F4961" s="0" t="s">
        <x:v>45</x:v>
      </x:c>
      <x:c r="G4961" s="0" t="s">
        <x:v>19</x:v>
      </x:c>
      <x:c r="H4961" s="0" t="s">
        <x:v>20</x:v>
      </x:c>
      <x:c r="I4961" s="0" t="s">
        <x:v>21</x:v>
      </x:c>
      <x:c r="K4961" s="0">
        <x:f>hyperlink("https://icd.who.int/dev11/l-ichi/en#/http%3A%2F%2Fid.who.int%2Ficd%2Fentity%2F1356554777","browser")</x:f>
      </x:c>
      <x:c r="L4961" s="0">
        <x:f>hyperlink("https://icat2.azurewebsites.net/icat/?ontology=ICD&amp;tab=ClassesTab&amp;id=http%3A%2F%2Fwho.int%2Ficd%2315120_4869915e_217e_423d_acb3_33c0f920ef4b","iCat")</x:f>
      </x:c>
      <x:c r="M4961" s="0" t="s">
        <x:v>21</x:v>
      </x:c>
      <x:c r="N4961" s="0" t="s">
        <x:v>46</x:v>
      </x:c>
    </x:row>
    <x:row r="4962" spans="1:16">
      <x:c r="A4962" s="0" t="s">
        <x:v>19696</x:v>
      </x:c>
      <x:c r="B4962" s="0" t="s">
        <x:v>19697</x:v>
      </x:c>
      <x:c r="C4962" s="0" t="s">
        <x:v>19698</x:v>
      </x:c>
      <x:c r="E4962" s="0" t="s">
        <x:v>19699</x:v>
      </x:c>
      <x:c r="F4962" s="0" t="s">
        <x:v>45</x:v>
      </x:c>
      <x:c r="G4962" s="0" t="s">
        <x:v>19</x:v>
      </x:c>
      <x:c r="H4962" s="0" t="s">
        <x:v>20</x:v>
      </x:c>
      <x:c r="I4962" s="0" t="s">
        <x:v>21</x:v>
      </x:c>
      <x:c r="K4962" s="0">
        <x:f>hyperlink("https://icd.who.int/dev11/l-ichi/en#/http%3A%2F%2Fid.who.int%2Ficd%2Fentity%2F10533800","browser")</x:f>
      </x:c>
      <x:c r="L4962" s="0">
        <x:f>hyperlink("https://icat2.azurewebsites.net/icat/?ontology=ICD&amp;tab=ClassesTab&amp;id=http%3A%2F%2Fwho.int%2Ficd%2315126_4869915e_217e_423d_acb3_33c0f920ef4b","iCat")</x:f>
      </x:c>
      <x:c r="M4962" s="0" t="s">
        <x:v>21</x:v>
      </x:c>
      <x:c r="N4962" s="0" t="s">
        <x:v>46</x:v>
      </x:c>
    </x:row>
    <x:row r="4963" spans="1:16">
      <x:c r="A4963" s="0" t="s">
        <x:v>19700</x:v>
      </x:c>
      <x:c r="B4963" s="0" t="s">
        <x:v>19701</x:v>
      </x:c>
      <x:c r="C4963" s="0" t="s">
        <x:v>19702</x:v>
      </x:c>
      <x:c r="E4963" s="0" t="s">
        <x:v>19703</x:v>
      </x:c>
      <x:c r="F4963" s="0" t="s">
        <x:v>45</x:v>
      </x:c>
      <x:c r="G4963" s="0" t="s">
        <x:v>19</x:v>
      </x:c>
      <x:c r="H4963" s="0" t="s">
        <x:v>20</x:v>
      </x:c>
      <x:c r="I4963" s="0" t="s">
        <x:v>21</x:v>
      </x:c>
      <x:c r="K4963" s="0">
        <x:f>hyperlink("https://icd.who.int/dev11/l-ichi/en#/http%3A%2F%2Fid.who.int%2Ficd%2Fentity%2F1420991615","browser")</x:f>
      </x:c>
      <x:c r="L4963" s="0">
        <x:f>hyperlink("https://icat2.azurewebsites.net/icat/?ontology=ICD&amp;tab=ClassesTab&amp;id=http%3A%2F%2Fwho.int%2Ficd%2326992_512ebf36_bf6b_4d70_85da_cf2637062af4","iCat")</x:f>
      </x:c>
      <x:c r="M4963" s="0" t="s">
        <x:v>21</x:v>
      </x:c>
      <x:c r="N4963" s="0" t="s">
        <x:v>46</x:v>
      </x:c>
    </x:row>
    <x:row r="4964" spans="1:16">
      <x:c r="A4964" s="0" t="s">
        <x:v>19704</x:v>
      </x:c>
      <x:c r="B4964" s="0" t="s">
        <x:v>19705</x:v>
      </x:c>
      <x:c r="C4964" s="0" t="s">
        <x:v>19706</x:v>
      </x:c>
      <x:c r="E4964" s="0" t="s">
        <x:v>19707</x:v>
      </x:c>
      <x:c r="F4964" s="0" t="s">
        <x:v>45</x:v>
      </x:c>
      <x:c r="G4964" s="0" t="s">
        <x:v>19</x:v>
      </x:c>
      <x:c r="H4964" s="0" t="s">
        <x:v>20</x:v>
      </x:c>
      <x:c r="I4964" s="0" t="s">
        <x:v>21</x:v>
      </x:c>
      <x:c r="K4964" s="0">
        <x:f>hyperlink("https://icd.who.int/dev11/l-ichi/en#/http%3A%2F%2Fid.who.int%2Ficd%2Fentity%2F1605796563","browser")</x:f>
      </x:c>
      <x:c r="L4964" s="0">
        <x:f>hyperlink("https://icat2.azurewebsites.net/icat/?ontology=ICD&amp;tab=ClassesTab&amp;id=http%3A%2F%2Fwho.int%2Ficd%2326999_512ebf36_bf6b_4d70_85da_cf2637062af4","iCat")</x:f>
      </x:c>
      <x:c r="M4964" s="0" t="s">
        <x:v>21</x:v>
      </x:c>
      <x:c r="N4964" s="0" t="s">
        <x:v>46</x:v>
      </x:c>
    </x:row>
    <x:row r="4965" spans="1:16">
      <x:c r="A4965" s="0" t="s">
        <x:v>19708</x:v>
      </x:c>
      <x:c r="B4965" s="0" t="s">
        <x:v>19709</x:v>
      </x:c>
      <x:c r="C4965" s="0" t="s">
        <x:v>19710</x:v>
      </x:c>
      <x:c r="E4965" s="0" t="s">
        <x:v>19711</x:v>
      </x:c>
      <x:c r="F4965" s="0" t="s">
        <x:v>45</x:v>
      </x:c>
      <x:c r="G4965" s="0" t="s">
        <x:v>19</x:v>
      </x:c>
      <x:c r="H4965" s="0" t="s">
        <x:v>20</x:v>
      </x:c>
      <x:c r="I4965" s="0" t="s">
        <x:v>21</x:v>
      </x:c>
      <x:c r="K4965" s="0">
        <x:f>hyperlink("https://icd.who.int/dev11/l-ichi/en#/http%3A%2F%2Fid.who.int%2Ficd%2Fentity%2F304873954","browser")</x:f>
      </x:c>
      <x:c r="L4965" s="0">
        <x:f>hyperlink("https://icat2.azurewebsites.net/icat/?ontology=ICD&amp;tab=ClassesTab&amp;id=http%3A%2F%2Fwho.int%2Ficd%2327007_512ebf36_bf6b_4d70_85da_cf2637062af4","iCat")</x:f>
      </x:c>
      <x:c r="M4965" s="0" t="s">
        <x:v>21</x:v>
      </x:c>
      <x:c r="N4965" s="0" t="s">
        <x:v>46</x:v>
      </x:c>
    </x:row>
    <x:row r="4966" spans="1:16">
      <x:c r="A4966" s="0" t="s">
        <x:v>19712</x:v>
      </x:c>
      <x:c r="B4966" s="0" t="s">
        <x:v>19713</x:v>
      </x:c>
      <x:c r="C4966" s="0" t="s">
        <x:v>19714</x:v>
      </x:c>
      <x:c r="E4966" s="0" t="s">
        <x:v>19715</x:v>
      </x:c>
      <x:c r="F4966" s="0" t="s">
        <x:v>45</x:v>
      </x:c>
      <x:c r="G4966" s="0" t="s">
        <x:v>19</x:v>
      </x:c>
      <x:c r="H4966" s="0" t="s">
        <x:v>20</x:v>
      </x:c>
      <x:c r="I4966" s="0" t="s">
        <x:v>21</x:v>
      </x:c>
      <x:c r="K4966" s="0">
        <x:f>hyperlink("https://icd.who.int/dev11/l-ichi/en#/http%3A%2F%2Fid.who.int%2Ficd%2Fentity%2F1030552398","browser")</x:f>
      </x:c>
      <x:c r="L4966" s="0">
        <x:f>hyperlink("https://icat2.azurewebsites.net/icat/?ontology=ICD&amp;tab=ClassesTab&amp;id=http%3A%2F%2Fwho.int%2Ficd%2327014_512ebf36_bf6b_4d70_85da_cf2637062af4","iCat")</x:f>
      </x:c>
      <x:c r="M4966" s="0" t="s">
        <x:v>21</x:v>
      </x:c>
      <x:c r="N4966" s="0" t="s">
        <x:v>46</x:v>
      </x:c>
    </x:row>
    <x:row r="4967" spans="1:16">
      <x:c r="A4967" s="0" t="s">
        <x:v>19716</x:v>
      </x:c>
      <x:c r="B4967" s="0" t="s">
        <x:v>19717</x:v>
      </x:c>
      <x:c r="C4967" s="0" t="s">
        <x:v>19718</x:v>
      </x:c>
      <x:c r="E4967" s="0" t="s">
        <x:v>19719</x:v>
      </x:c>
      <x:c r="F4967" s="0" t="s">
        <x:v>45</x:v>
      </x:c>
      <x:c r="G4967" s="0" t="s">
        <x:v>19</x:v>
      </x:c>
      <x:c r="H4967" s="0" t="s">
        <x:v>20</x:v>
      </x:c>
      <x:c r="I4967" s="0" t="s">
        <x:v>21</x:v>
      </x:c>
      <x:c r="K4967" s="0">
        <x:f>hyperlink("https://icd.who.int/dev11/l-ichi/en#/http%3A%2F%2Fid.who.int%2Ficd%2Fentity%2F224334022","browser")</x:f>
      </x:c>
      <x:c r="L4967" s="0">
        <x:f>hyperlink("https://icat2.azurewebsites.net/icat/?ontology=ICD&amp;tab=ClassesTab&amp;id=http%3A%2F%2Fwho.int%2Ficd%2327023_512ebf36_bf6b_4d70_85da_cf2637062af4","iCat")</x:f>
      </x:c>
      <x:c r="M4967" s="0" t="s">
        <x:v>21</x:v>
      </x:c>
      <x:c r="N4967" s="0" t="s">
        <x:v>46</x:v>
      </x:c>
    </x:row>
    <x:row r="4968" spans="1:16">
      <x:c r="A4968" s="0" t="s">
        <x:v>19720</x:v>
      </x:c>
      <x:c r="B4968" s="0" t="s">
        <x:v>19721</x:v>
      </x:c>
      <x:c r="C4968" s="0" t="s">
        <x:v>19722</x:v>
      </x:c>
      <x:c r="E4968" s="0" t="s">
        <x:v>19723</x:v>
      </x:c>
      <x:c r="F4968" s="0" t="s">
        <x:v>45</x:v>
      </x:c>
      <x:c r="G4968" s="0" t="s">
        <x:v>19</x:v>
      </x:c>
      <x:c r="H4968" s="0" t="s">
        <x:v>20</x:v>
      </x:c>
      <x:c r="I4968" s="0" t="s">
        <x:v>21</x:v>
      </x:c>
      <x:c r="K4968" s="0">
        <x:f>hyperlink("https://icd.who.int/dev11/l-ichi/en#/http%3A%2F%2Fid.who.int%2Ficd%2Fentity%2F572516970","browser")</x:f>
      </x:c>
      <x:c r="L4968" s="0">
        <x:f>hyperlink("https://icat2.azurewebsites.net/icat/?ontology=ICD&amp;tab=ClassesTab&amp;id=http%3A%2F%2Fwho.int%2Ficd%2327030_512ebf36_bf6b_4d70_85da_cf2637062af4","iCat")</x:f>
      </x:c>
      <x:c r="M4968" s="0" t="s">
        <x:v>21</x:v>
      </x:c>
      <x:c r="N4968" s="0" t="s">
        <x:v>46</x:v>
      </x:c>
    </x:row>
    <x:row r="4969" spans="1:16">
      <x:c r="A4969" s="0" t="s">
        <x:v>19724</x:v>
      </x:c>
      <x:c r="B4969" s="0" t="s">
        <x:v>19725</x:v>
      </x:c>
      <x:c r="C4969" s="0" t="s">
        <x:v>19726</x:v>
      </x:c>
      <x:c r="E4969" s="0" t="s">
        <x:v>19727</x:v>
      </x:c>
      <x:c r="F4969" s="0" t="s">
        <x:v>45</x:v>
      </x:c>
      <x:c r="G4969" s="0" t="s">
        <x:v>19</x:v>
      </x:c>
      <x:c r="H4969" s="0" t="s">
        <x:v>20</x:v>
      </x:c>
      <x:c r="I4969" s="0" t="s">
        <x:v>21</x:v>
      </x:c>
      <x:c r="K4969" s="0">
        <x:f>hyperlink("https://icd.who.int/dev11/l-ichi/en#/http%3A%2F%2Fid.who.int%2Ficd%2Fentity%2F1386037735","browser")</x:f>
      </x:c>
      <x:c r="L4969" s="0">
        <x:f>hyperlink("https://icat2.azurewebsites.net/icat/?ontology=ICD&amp;tab=ClassesTab&amp;id=http%3A%2F%2Fwho.int%2Ficd%2327037_512ebf36_bf6b_4d70_85da_cf2637062af4","iCat")</x:f>
      </x:c>
      <x:c r="M4969" s="0" t="s">
        <x:v>21</x:v>
      </x:c>
      <x:c r="N4969" s="0" t="s">
        <x:v>46</x:v>
      </x:c>
    </x:row>
    <x:row r="4970" spans="1:16">
      <x:c r="A4970" s="0" t="s">
        <x:v>19728</x:v>
      </x:c>
      <x:c r="B4970" s="0" t="s">
        <x:v>19729</x:v>
      </x:c>
      <x:c r="C4970" s="0" t="s">
        <x:v>19730</x:v>
      </x:c>
      <x:c r="E4970" s="0" t="s">
        <x:v>19731</x:v>
      </x:c>
      <x:c r="F4970" s="0" t="s">
        <x:v>45</x:v>
      </x:c>
      <x:c r="G4970" s="0" t="s">
        <x:v>19</x:v>
      </x:c>
      <x:c r="H4970" s="0" t="s">
        <x:v>20</x:v>
      </x:c>
      <x:c r="I4970" s="0" t="s">
        <x:v>21</x:v>
      </x:c>
      <x:c r="K4970" s="0">
        <x:f>hyperlink("https://icd.who.int/dev11/l-ichi/en#/http%3A%2F%2Fid.who.int%2Ficd%2Fentity%2F2092038681","browser")</x:f>
      </x:c>
      <x:c r="L4970" s="0">
        <x:f>hyperlink("https://icat2.azurewebsites.net/icat/?ontology=ICD&amp;tab=ClassesTab&amp;id=http%3A%2F%2Fwho.int%2Ficd%2327049_512ebf36_bf6b_4d70_85da_cf2637062af4","iCat")</x:f>
      </x:c>
      <x:c r="M4970" s="0" t="s">
        <x:v>21</x:v>
      </x:c>
      <x:c r="N4970" s="0" t="s">
        <x:v>46</x:v>
      </x:c>
    </x:row>
    <x:row r="4971" spans="1:16">
      <x:c r="A4971" s="0" t="s">
        <x:v>19732</x:v>
      </x:c>
      <x:c r="B4971" s="0" t="s">
        <x:v>19733</x:v>
      </x:c>
      <x:c r="C4971" s="0" t="s">
        <x:v>19734</x:v>
      </x:c>
      <x:c r="E4971" s="0" t="s">
        <x:v>19735</x:v>
      </x:c>
      <x:c r="F4971" s="0" t="s">
        <x:v>45</x:v>
      </x:c>
      <x:c r="G4971" s="0" t="s">
        <x:v>19</x:v>
      </x:c>
      <x:c r="H4971" s="0" t="s">
        <x:v>20</x:v>
      </x:c>
      <x:c r="I4971" s="0" t="s">
        <x:v>21</x:v>
      </x:c>
      <x:c r="K4971" s="0">
        <x:f>hyperlink("https://icd.who.int/dev11/l-ichi/en#/http%3A%2F%2Fid.who.int%2Ficd%2Fentity%2F1844632175","browser")</x:f>
      </x:c>
      <x:c r="L4971" s="0">
        <x:f>hyperlink("https://icat2.azurewebsites.net/icat/?ontology=ICD&amp;tab=ClassesTab&amp;id=http%3A%2F%2Fwho.int%2Ficd%2327055_512ebf36_bf6b_4d70_85da_cf2637062af4","iCat")</x:f>
      </x:c>
      <x:c r="M4971" s="0" t="s">
        <x:v>21</x:v>
      </x:c>
      <x:c r="N4971" s="0" t="s">
        <x:v>46</x:v>
      </x:c>
    </x:row>
    <x:row r="4972" spans="1:16">
      <x:c r="A4972" s="0" t="s">
        <x:v>19736</x:v>
      </x:c>
      <x:c r="B4972" s="0" t="s">
        <x:v>19737</x:v>
      </x:c>
      <x:c r="C4972" s="0" t="s">
        <x:v>19738</x:v>
      </x:c>
      <x:c r="E4972" s="0" t="s">
        <x:v>19739</x:v>
      </x:c>
      <x:c r="F4972" s="0" t="s">
        <x:v>45</x:v>
      </x:c>
      <x:c r="G4972" s="0" t="s">
        <x:v>19</x:v>
      </x:c>
      <x:c r="H4972" s="0" t="s">
        <x:v>20</x:v>
      </x:c>
      <x:c r="I4972" s="0" t="s">
        <x:v>21</x:v>
      </x:c>
      <x:c r="K4972" s="0">
        <x:f>hyperlink("https://icd.who.int/dev11/l-ichi/en#/http%3A%2F%2Fid.who.int%2Ficd%2Fentity%2F1528780894","browser")</x:f>
      </x:c>
      <x:c r="L4972" s="0">
        <x:f>hyperlink("https://icat2.azurewebsites.net/icat/?ontology=ICD&amp;tab=ClassesTab&amp;id=http%3A%2F%2Fwho.int%2Ficd%23156_8b79c97d_d531_439a_a326_5a6ff90bf00d","iCat")</x:f>
      </x:c>
      <x:c r="M4972" s="0" t="s">
        <x:v>21</x:v>
      </x:c>
      <x:c r="N4972" s="0" t="s">
        <x:v>46</x:v>
      </x:c>
    </x:row>
    <x:row r="4973" spans="1:16">
      <x:c r="A4973" s="0" t="s">
        <x:v>19740</x:v>
      </x:c>
      <x:c r="B4973" s="0" t="s">
        <x:v>19741</x:v>
      </x:c>
      <x:c r="C4973" s="0" t="s">
        <x:v>19742</x:v>
      </x:c>
      <x:c r="E4973" s="0" t="s">
        <x:v>19743</x:v>
      </x:c>
      <x:c r="F4973" s="0" t="s">
        <x:v>45</x:v>
      </x:c>
      <x:c r="G4973" s="0" t="s">
        <x:v>19</x:v>
      </x:c>
      <x:c r="H4973" s="0" t="s">
        <x:v>20</x:v>
      </x:c>
      <x:c r="I4973" s="0" t="s">
        <x:v>21</x:v>
      </x:c>
      <x:c r="K4973" s="0">
        <x:f>hyperlink("https://icd.who.int/dev11/l-ichi/en#/http%3A%2F%2Fid.who.int%2Ficd%2Fentity%2F1464637065","browser")</x:f>
      </x:c>
      <x:c r="L4973" s="0">
        <x:f>hyperlink("https://icat2.azurewebsites.net/icat/?ontology=ICD&amp;tab=ClassesTab&amp;id=http%3A%2F%2Fwho.int%2Ficd%2327043_512ebf36_bf6b_4d70_85da_cf2637062af4","iCat")</x:f>
      </x:c>
      <x:c r="M4973" s="0" t="s">
        <x:v>21</x:v>
      </x:c>
      <x:c r="N4973" s="0" t="s">
        <x:v>46</x:v>
      </x:c>
    </x:row>
    <x:row r="4974" spans="1:16">
      <x:c r="A4974" s="0" t="s">
        <x:v>19744</x:v>
      </x:c>
      <x:c r="B4974" s="0" t="s">
        <x:v>19745</x:v>
      </x:c>
      <x:c r="D4974" s="0" t="s">
        <x:v>19746</x:v>
      </x:c>
      <x:c r="E4974" s="0" t="s">
        <x:v>19747</x:v>
      </x:c>
      <x:c r="F4974" s="0" t="s">
        <x:v>26</x:v>
      </x:c>
      <x:c r="G4974" s="0" t="s">
        <x:v>22</x:v>
      </x:c>
      <x:c r="H4974" s="0" t="s">
        <x:v>20</x:v>
      </x:c>
      <x:c r="I4974" s="0" t="s">
        <x:v>21</x:v>
      </x:c>
      <x:c r="K4974" s="0">
        <x:f>hyperlink("https://icd.who.int/dev11/l-ichi/en#/http%3A%2F%2Fid.who.int%2Ficd%2Fentity%2F2100839385","browser")</x:f>
      </x:c>
      <x:c r="L4974" s="0">
        <x:f>hyperlink("https://icat2.azurewebsites.net/icat/?ontology=ICD&amp;tab=ClassesTab&amp;id=http%3A%2F%2Fwho.int%2Ficd%2327063_512ebf36_bf6b_4d70_85da_cf2637062af4","iCat")</x:f>
      </x:c>
      <x:c r="M4974" s="0" t="s">
        <x:v>20</x:v>
      </x:c>
      <x:c r="N4974" s="0" t="s">
        <x:v>19748</x:v>
      </x:c>
    </x:row>
    <x:row r="4975" spans="1:16">
      <x:c r="A4975" s="0" t="s">
        <x:v>19749</x:v>
      </x:c>
      <x:c r="B4975" s="0" t="s">
        <x:v>19750</x:v>
      </x:c>
      <x:c r="C4975" s="0" t="s">
        <x:v>19751</x:v>
      </x:c>
      <x:c r="E4975" s="0" t="s">
        <x:v>19752</x:v>
      </x:c>
      <x:c r="F4975" s="0" t="s">
        <x:v>45</x:v>
      </x:c>
      <x:c r="G4975" s="0" t="s">
        <x:v>19</x:v>
      </x:c>
      <x:c r="H4975" s="0" t="s">
        <x:v>20</x:v>
      </x:c>
      <x:c r="I4975" s="0" t="s">
        <x:v>21</x:v>
      </x:c>
      <x:c r="K4975" s="0">
        <x:f>hyperlink("https://icd.who.int/dev11/l-ichi/en#/http%3A%2F%2Fid.who.int%2Ficd%2Fentity%2F1572942309","browser")</x:f>
      </x:c>
      <x:c r="L4975" s="0">
        <x:f>hyperlink("https://icat2.azurewebsites.net/icat/?ontology=ICD&amp;tab=ClassesTab&amp;id=http%3A%2F%2Fwho.int%2Ficd%2327062_512ebf36_bf6b_4d70_85da_cf2637062af4","iCat")</x:f>
      </x:c>
      <x:c r="M4975" s="0" t="s">
        <x:v>21</x:v>
      </x:c>
      <x:c r="N4975" s="0" t="s">
        <x:v>46</x:v>
      </x:c>
    </x:row>
    <x:row r="4976" spans="1:16">
      <x:c r="A4976" s="0" t="s">
        <x:v>19753</x:v>
      </x:c>
      <x:c r="B4976" s="0" t="s">
        <x:v>19754</x:v>
      </x:c>
      <x:c r="C4976" s="0" t="s">
        <x:v>19755</x:v>
      </x:c>
      <x:c r="E4976" s="0" t="s">
        <x:v>19756</x:v>
      </x:c>
      <x:c r="F4976" s="0" t="s">
        <x:v>45</x:v>
      </x:c>
      <x:c r="G4976" s="0" t="s">
        <x:v>19</x:v>
      </x:c>
      <x:c r="H4976" s="0" t="s">
        <x:v>20</x:v>
      </x:c>
      <x:c r="I4976" s="0" t="s">
        <x:v>21</x:v>
      </x:c>
      <x:c r="K4976" s="0">
        <x:f>hyperlink("https://icd.who.int/dev11/l-ichi/en#/http%3A%2F%2Fid.who.int%2Ficd%2Fentity%2F1736408323","browser")</x:f>
      </x:c>
      <x:c r="L4976" s="0">
        <x:f>hyperlink("https://icat2.azurewebsites.net/icat/?ontology=ICD&amp;tab=ClassesTab&amp;id=http%3A%2F%2Fwho.int%2Ficd%2327074_512ebf36_bf6b_4d70_85da_cf2637062af4","iCat")</x:f>
      </x:c>
      <x:c r="M4976" s="0" t="s">
        <x:v>21</x:v>
      </x:c>
      <x:c r="N4976" s="0" t="s">
        <x:v>46</x:v>
      </x:c>
    </x:row>
    <x:row r="4977" spans="1:16">
      <x:c r="A4977" s="0" t="s">
        <x:v>19757</x:v>
      </x:c>
      <x:c r="B4977" s="0" t="s">
        <x:v>19758</x:v>
      </x:c>
      <x:c r="C4977" s="0" t="s">
        <x:v>19759</x:v>
      </x:c>
      <x:c r="E4977" s="0" t="s">
        <x:v>19760</x:v>
      </x:c>
      <x:c r="F4977" s="0" t="s">
        <x:v>45</x:v>
      </x:c>
      <x:c r="G4977" s="0" t="s">
        <x:v>19</x:v>
      </x:c>
      <x:c r="H4977" s="0" t="s">
        <x:v>20</x:v>
      </x:c>
      <x:c r="I4977" s="0" t="s">
        <x:v>21</x:v>
      </x:c>
      <x:c r="K4977" s="0">
        <x:f>hyperlink("https://icd.who.int/dev11/l-ichi/en#/http%3A%2F%2Fid.who.int%2Ficd%2Fentity%2F2107634601","browser")</x:f>
      </x:c>
      <x:c r="L4977" s="0">
        <x:f>hyperlink("https://icat2.azurewebsites.net/icat/?ontology=ICD&amp;tab=ClassesTab&amp;id=http%3A%2F%2Fwho.int%2Ficd%2327080_512ebf36_bf6b_4d70_85da_cf2637062af4","iCat")</x:f>
      </x:c>
      <x:c r="M4977" s="0" t="s">
        <x:v>21</x:v>
      </x:c>
      <x:c r="N4977" s="0" t="s">
        <x:v>46</x:v>
      </x:c>
    </x:row>
    <x:row r="4978" spans="1:16">
      <x:c r="A4978" s="0" t="s">
        <x:v>19761</x:v>
      </x:c>
      <x:c r="B4978" s="0" t="s">
        <x:v>19762</x:v>
      </x:c>
      <x:c r="C4978" s="0" t="s">
        <x:v>19763</x:v>
      </x:c>
      <x:c r="E4978" s="0" t="s">
        <x:v>19764</x:v>
      </x:c>
      <x:c r="F4978" s="0" t="s">
        <x:v>45</x:v>
      </x:c>
      <x:c r="G4978" s="0" t="s">
        <x:v>19</x:v>
      </x:c>
      <x:c r="H4978" s="0" t="s">
        <x:v>20</x:v>
      </x:c>
      <x:c r="I4978" s="0" t="s">
        <x:v>21</x:v>
      </x:c>
      <x:c r="K4978" s="0">
        <x:f>hyperlink("https://icd.who.int/dev11/l-ichi/en#/http%3A%2F%2Fid.who.int%2Ficd%2Fentity%2F769927706","browser")</x:f>
      </x:c>
      <x:c r="L4978" s="0">
        <x:f>hyperlink("https://icat2.azurewebsites.net/icat/?ontology=ICD&amp;tab=ClassesTab&amp;id=http%3A%2F%2Fwho.int%2Ficd%2327086_512ebf36_bf6b_4d70_85da_cf2637062af4","iCat")</x:f>
      </x:c>
      <x:c r="M4978" s="0" t="s">
        <x:v>21</x:v>
      </x:c>
      <x:c r="N4978" s="0" t="s">
        <x:v>46</x:v>
      </x:c>
    </x:row>
    <x:row r="4979" spans="1:16">
      <x:c r="A4979" s="0" t="s">
        <x:v>19765</x:v>
      </x:c>
      <x:c r="B4979" s="0" t="s">
        <x:v>19766</x:v>
      </x:c>
      <x:c r="C4979" s="0" t="s">
        <x:v>19767</x:v>
      </x:c>
      <x:c r="E4979" s="0" t="s">
        <x:v>19768</x:v>
      </x:c>
      <x:c r="F4979" s="0" t="s">
        <x:v>45</x:v>
      </x:c>
      <x:c r="G4979" s="0" t="s">
        <x:v>19</x:v>
      </x:c>
      <x:c r="H4979" s="0" t="s">
        <x:v>20</x:v>
      </x:c>
      <x:c r="I4979" s="0" t="s">
        <x:v>21</x:v>
      </x:c>
      <x:c r="K4979" s="0">
        <x:f>hyperlink("https://icd.who.int/dev11/l-ichi/en#/http%3A%2F%2Fid.who.int%2Ficd%2Fentity%2F44355766","browser")</x:f>
      </x:c>
      <x:c r="L4979" s="0">
        <x:f>hyperlink("https://icat2.azurewebsites.net/icat/?ontology=ICD&amp;tab=ClassesTab&amp;id=http%3A%2F%2Fwho.int%2Ficd%2327095_512ebf36_bf6b_4d70_85da_cf2637062af4","iCat")</x:f>
      </x:c>
      <x:c r="M4979" s="0" t="s">
        <x:v>21</x:v>
      </x:c>
      <x:c r="N4979" s="0" t="s">
        <x:v>46</x:v>
      </x:c>
    </x:row>
    <x:row r="4980" spans="1:16">
      <x:c r="A4980" s="0" t="s">
        <x:v>19769</x:v>
      </x:c>
      <x:c r="B4980" s="0" t="s">
        <x:v>19770</x:v>
      </x:c>
      <x:c r="C4980" s="0" t="s">
        <x:v>19771</x:v>
      </x:c>
      <x:c r="E4980" s="0" t="s">
        <x:v>19772</x:v>
      </x:c>
      <x:c r="F4980" s="0" t="s">
        <x:v>45</x:v>
      </x:c>
      <x:c r="G4980" s="0" t="s">
        <x:v>19</x:v>
      </x:c>
      <x:c r="H4980" s="0" t="s">
        <x:v>20</x:v>
      </x:c>
      <x:c r="I4980" s="0" t="s">
        <x:v>21</x:v>
      </x:c>
      <x:c r="K4980" s="0">
        <x:f>hyperlink("https://icd.who.int/dev11/l-ichi/en#/http%3A%2F%2Fid.who.int%2Ficd%2Fentity%2F935861964","browser")</x:f>
      </x:c>
      <x:c r="L4980" s="0">
        <x:f>hyperlink("https://icat2.azurewebsites.net/icat/?ontology=ICD&amp;tab=ClassesTab&amp;id=http%3A%2F%2Fwho.int%2Ficd%2327101_512ebf36_bf6b_4d70_85da_cf2637062af4","iCat")</x:f>
      </x:c>
      <x:c r="M4980" s="0" t="s">
        <x:v>21</x:v>
      </x:c>
      <x:c r="N4980" s="0" t="s">
        <x:v>46</x:v>
      </x:c>
    </x:row>
    <x:row r="4981" spans="1:16">
      <x:c r="A4981" s="0" t="s">
        <x:v>19773</x:v>
      </x:c>
      <x:c r="B4981" s="0" t="s">
        <x:v>19774</x:v>
      </x:c>
      <x:c r="C4981" s="0" t="s">
        <x:v>19775</x:v>
      </x:c>
      <x:c r="E4981" s="0" t="s">
        <x:v>19776</x:v>
      </x:c>
      <x:c r="F4981" s="0" t="s">
        <x:v>45</x:v>
      </x:c>
      <x:c r="G4981" s="0" t="s">
        <x:v>19</x:v>
      </x:c>
      <x:c r="H4981" s="0" t="s">
        <x:v>20</x:v>
      </x:c>
      <x:c r="I4981" s="0" t="s">
        <x:v>21</x:v>
      </x:c>
      <x:c r="K4981" s="0">
        <x:f>hyperlink("https://icd.who.int/dev11/l-ichi/en#/http%3A%2F%2Fid.who.int%2Ficd%2Fentity%2F1504714149","browser")</x:f>
      </x:c>
      <x:c r="L4981" s="0">
        <x:f>hyperlink("https://icat2.azurewebsites.net/icat/?ontology=ICD&amp;tab=ClassesTab&amp;id=http%3A%2F%2Fwho.int%2Ficd%2327108_512ebf36_bf6b_4d70_85da_cf2637062af4","iCat")</x:f>
      </x:c>
      <x:c r="M4981" s="0" t="s">
        <x:v>21</x:v>
      </x:c>
      <x:c r="N4981" s="0" t="s">
        <x:v>46</x:v>
      </x:c>
    </x:row>
    <x:row r="4982" spans="1:16">
      <x:c r="A4982" s="0" t="s">
        <x:v>19777</x:v>
      </x:c>
      <x:c r="B4982" s="0" t="s">
        <x:v>19778</x:v>
      </x:c>
      <x:c r="C4982" s="0" t="s">
        <x:v>19779</x:v>
      </x:c>
      <x:c r="E4982" s="0" t="s">
        <x:v>19780</x:v>
      </x:c>
      <x:c r="F4982" s="0" t="s">
        <x:v>45</x:v>
      </x:c>
      <x:c r="G4982" s="0" t="s">
        <x:v>19</x:v>
      </x:c>
      <x:c r="H4982" s="0" t="s">
        <x:v>20</x:v>
      </x:c>
      <x:c r="I4982" s="0" t="s">
        <x:v>21</x:v>
      </x:c>
      <x:c r="K4982" s="0">
        <x:f>hyperlink("https://icd.who.int/dev11/l-ichi/en#/http%3A%2F%2Fid.who.int%2Ficd%2Fentity%2F1223900627","browser")</x:f>
      </x:c>
      <x:c r="L4982" s="0">
        <x:f>hyperlink("https://icat2.azurewebsites.net/icat/?ontology=ICD&amp;tab=ClassesTab&amp;id=http%3A%2F%2Fwho.int%2Ficd%2327114_512ebf36_bf6b_4d70_85da_cf2637062af4","iCat")</x:f>
      </x:c>
      <x:c r="M4982" s="0" t="s">
        <x:v>21</x:v>
      </x:c>
      <x:c r="N4982" s="0" t="s">
        <x:v>46</x:v>
      </x:c>
    </x:row>
    <x:row r="4983" spans="1:16">
      <x:c r="A4983" s="0" t="s">
        <x:v>19781</x:v>
      </x:c>
      <x:c r="B4983" s="0" t="s">
        <x:v>19782</x:v>
      </x:c>
      <x:c r="C4983" s="0" t="s">
        <x:v>19783</x:v>
      </x:c>
      <x:c r="E4983" s="0" t="s">
        <x:v>19784</x:v>
      </x:c>
      <x:c r="F4983" s="0" t="s">
        <x:v>45</x:v>
      </x:c>
      <x:c r="G4983" s="0" t="s">
        <x:v>19</x:v>
      </x:c>
      <x:c r="H4983" s="0" t="s">
        <x:v>20</x:v>
      </x:c>
      <x:c r="I4983" s="0" t="s">
        <x:v>21</x:v>
      </x:c>
      <x:c r="K4983" s="0">
        <x:f>hyperlink("https://icd.who.int/dev11/l-ichi/en#/http%3A%2F%2Fid.who.int%2Ficd%2Fentity%2F1027979680","browser")</x:f>
      </x:c>
      <x:c r="L4983" s="0">
        <x:f>hyperlink("https://icat2.azurewebsites.net/icat/?ontology=ICD&amp;tab=ClassesTab&amp;id=http%3A%2F%2Fwho.int%2Ficd%2327120_512ebf36_bf6b_4d70_85da_cf2637062af4","iCat")</x:f>
      </x:c>
      <x:c r="M4983" s="0" t="s">
        <x:v>21</x:v>
      </x:c>
      <x:c r="N4983" s="0" t="s">
        <x:v>46</x:v>
      </x:c>
    </x:row>
    <x:row r="4984" spans="1:16">
      <x:c r="A4984" s="0" t="s">
        <x:v>19785</x:v>
      </x:c>
      <x:c r="B4984" s="0" t="s">
        <x:v>19786</x:v>
      </x:c>
      <x:c r="C4984" s="0" t="s">
        <x:v>19787</x:v>
      </x:c>
      <x:c r="E4984" s="0" t="s">
        <x:v>19788</x:v>
      </x:c>
      <x:c r="F4984" s="0" t="s">
        <x:v>45</x:v>
      </x:c>
      <x:c r="G4984" s="0" t="s">
        <x:v>19</x:v>
      </x:c>
      <x:c r="H4984" s="0" t="s">
        <x:v>20</x:v>
      </x:c>
      <x:c r="I4984" s="0" t="s">
        <x:v>21</x:v>
      </x:c>
      <x:c r="K4984" s="0">
        <x:f>hyperlink("https://icd.who.int/dev11/l-ichi/en#/http%3A%2F%2Fid.who.int%2Ficd%2Fentity%2F1304891949","browser")</x:f>
      </x:c>
      <x:c r="L4984" s="0">
        <x:f>hyperlink("https://icat2.azurewebsites.net/icat/?ontology=ICD&amp;tab=ClassesTab&amp;id=http%3A%2F%2Fwho.int%2Ficd%2327127_512ebf36_bf6b_4d70_85da_cf2637062af4","iCat")</x:f>
      </x:c>
      <x:c r="M4984" s="0" t="s">
        <x:v>21</x:v>
      </x:c>
      <x:c r="N4984" s="0" t="s">
        <x:v>46</x:v>
      </x:c>
    </x:row>
    <x:row r="4985" spans="1:16">
      <x:c r="A4985" s="0" t="s">
        <x:v>19789</x:v>
      </x:c>
      <x:c r="B4985" s="0" t="s">
        <x:v>19790</x:v>
      </x:c>
      <x:c r="C4985" s="0" t="s">
        <x:v>19791</x:v>
      </x:c>
      <x:c r="E4985" s="0" t="s">
        <x:v>19792</x:v>
      </x:c>
      <x:c r="F4985" s="0" t="s">
        <x:v>45</x:v>
      </x:c>
      <x:c r="G4985" s="0" t="s">
        <x:v>19</x:v>
      </x:c>
      <x:c r="H4985" s="0" t="s">
        <x:v>20</x:v>
      </x:c>
      <x:c r="I4985" s="0" t="s">
        <x:v>21</x:v>
      </x:c>
      <x:c r="K4985" s="0">
        <x:f>hyperlink("https://icd.who.int/dev11/l-ichi/en#/http%3A%2F%2Fid.who.int%2Ficd%2Fentity%2F1115593407","browser")</x:f>
      </x:c>
      <x:c r="L4985" s="0">
        <x:f>hyperlink("https://icat2.azurewebsites.net/icat/?ontology=ICD&amp;tab=ClassesTab&amp;id=http%3A%2F%2Fwho.int%2Ficd%2327135_512ebf36_bf6b_4d70_85da_cf2637062af4","iCat")</x:f>
      </x:c>
      <x:c r="M4985" s="0" t="s">
        <x:v>21</x:v>
      </x:c>
      <x:c r="N4985" s="0" t="s">
        <x:v>46</x:v>
      </x:c>
    </x:row>
    <x:row r="4986" spans="1:16">
      <x:c r="A4986" s="0" t="s">
        <x:v>19793</x:v>
      </x:c>
      <x:c r="B4986" s="0" t="s">
        <x:v>19794</x:v>
      </x:c>
      <x:c r="C4986" s="0" t="s">
        <x:v>19795</x:v>
      </x:c>
      <x:c r="E4986" s="0" t="s">
        <x:v>19796</x:v>
      </x:c>
      <x:c r="F4986" s="0" t="s">
        <x:v>45</x:v>
      </x:c>
      <x:c r="G4986" s="0" t="s">
        <x:v>19</x:v>
      </x:c>
      <x:c r="H4986" s="0" t="s">
        <x:v>20</x:v>
      </x:c>
      <x:c r="I4986" s="0" t="s">
        <x:v>21</x:v>
      </x:c>
      <x:c r="K4986" s="0">
        <x:f>hyperlink("https://icd.who.int/dev11/l-ichi/en#/http%3A%2F%2Fid.who.int%2Ficd%2Fentity%2F1202671057","browser")</x:f>
      </x:c>
      <x:c r="L4986" s="0">
        <x:f>hyperlink("https://icat2.azurewebsites.net/icat/?ontology=ICD&amp;tab=ClassesTab&amp;id=http%3A%2F%2Fwho.int%2Ficd%2327141_512ebf36_bf6b_4d70_85da_cf2637062af4","iCat")</x:f>
      </x:c>
      <x:c r="M4986" s="0" t="s">
        <x:v>21</x:v>
      </x:c>
      <x:c r="N4986" s="0" t="s">
        <x:v>46</x:v>
      </x:c>
    </x:row>
    <x:row r="4987" spans="1:16">
      <x:c r="A4987" s="0" t="s">
        <x:v>19797</x:v>
      </x:c>
      <x:c r="B4987" s="0" t="s">
        <x:v>19798</x:v>
      </x:c>
      <x:c r="C4987" s="0" t="s">
        <x:v>19799</x:v>
      </x:c>
      <x:c r="E4987" s="0" t="s">
        <x:v>19800</x:v>
      </x:c>
      <x:c r="F4987" s="0" t="s">
        <x:v>45</x:v>
      </x:c>
      <x:c r="G4987" s="0" t="s">
        <x:v>19</x:v>
      </x:c>
      <x:c r="H4987" s="0" t="s">
        <x:v>20</x:v>
      </x:c>
      <x:c r="I4987" s="0" t="s">
        <x:v>21</x:v>
      </x:c>
      <x:c r="K4987" s="0">
        <x:f>hyperlink("https://icd.who.int/dev11/l-ichi/en#/http%3A%2F%2Fid.who.int%2Ficd%2Fentity%2F701976250","browser")</x:f>
      </x:c>
      <x:c r="L4987" s="0">
        <x:f>hyperlink("https://icat2.azurewebsites.net/icat/?ontology=ICD&amp;tab=ClassesTab&amp;id=http%3A%2F%2Fwho.int%2Ficd%2327148_512ebf36_bf6b_4d70_85da_cf2637062af4","iCat")</x:f>
      </x:c>
      <x:c r="M4987" s="0" t="s">
        <x:v>21</x:v>
      </x:c>
      <x:c r="N4987" s="0" t="s">
        <x:v>46</x:v>
      </x:c>
    </x:row>
    <x:row r="4988" spans="1:16">
      <x:c r="A4988" s="0" t="s">
        <x:v>19801</x:v>
      </x:c>
      <x:c r="B4988" s="0" t="s">
        <x:v>19802</x:v>
      </x:c>
      <x:c r="C4988" s="0" t="s">
        <x:v>19803</x:v>
      </x:c>
      <x:c r="E4988" s="0" t="s">
        <x:v>19804</x:v>
      </x:c>
      <x:c r="F4988" s="0" t="s">
        <x:v>45</x:v>
      </x:c>
      <x:c r="G4988" s="0" t="s">
        <x:v>19</x:v>
      </x:c>
      <x:c r="H4988" s="0" t="s">
        <x:v>20</x:v>
      </x:c>
      <x:c r="I4988" s="0" t="s">
        <x:v>21</x:v>
      </x:c>
      <x:c r="K4988" s="0">
        <x:f>hyperlink("https://icd.who.int/dev11/l-ichi/en#/http%3A%2F%2Fid.who.int%2Ficd%2Fentity%2F949251790","browser")</x:f>
      </x:c>
      <x:c r="L4988" s="0">
        <x:f>hyperlink("https://icat2.azurewebsites.net/icat/?ontology=ICD&amp;tab=ClassesTab&amp;id=http%3A%2F%2Fwho.int%2Ficd%2327154_512ebf36_bf6b_4d70_85da_cf2637062af4","iCat")</x:f>
      </x:c>
      <x:c r="M4988" s="0" t="s">
        <x:v>21</x:v>
      </x:c>
      <x:c r="N4988" s="0" t="s">
        <x:v>46</x:v>
      </x:c>
    </x:row>
    <x:row r="4989" spans="1:16">
      <x:c r="A4989" s="0" t="s">
        <x:v>19805</x:v>
      </x:c>
      <x:c r="B4989" s="0" t="s">
        <x:v>19806</x:v>
      </x:c>
      <x:c r="C4989" s="0" t="s">
        <x:v>19807</x:v>
      </x:c>
      <x:c r="E4989" s="0" t="s">
        <x:v>19808</x:v>
      </x:c>
      <x:c r="F4989" s="0" t="s">
        <x:v>45</x:v>
      </x:c>
      <x:c r="G4989" s="0" t="s">
        <x:v>19</x:v>
      </x:c>
      <x:c r="H4989" s="0" t="s">
        <x:v>20</x:v>
      </x:c>
      <x:c r="I4989" s="0" t="s">
        <x:v>21</x:v>
      </x:c>
      <x:c r="K4989" s="0">
        <x:f>hyperlink("https://icd.who.int/dev11/l-ichi/en#/http%3A%2F%2Fid.who.int%2Ficd%2Fentity%2F1843107969","browser")</x:f>
      </x:c>
      <x:c r="L4989" s="0">
        <x:f>hyperlink("https://icat2.azurewebsites.net/icat/?ontology=ICD&amp;tab=ClassesTab&amp;id=http%3A%2F%2Fwho.int%2Ficd%2327161_512ebf36_bf6b_4d70_85da_cf2637062af4","iCat")</x:f>
      </x:c>
      <x:c r="M4989" s="0" t="s">
        <x:v>21</x:v>
      </x:c>
      <x:c r="N4989" s="0" t="s">
        <x:v>46</x:v>
      </x:c>
    </x:row>
    <x:row r="4990" spans="1:16">
      <x:c r="A4990" s="0" t="s">
        <x:v>19809</x:v>
      </x:c>
      <x:c r="B4990" s="0" t="s">
        <x:v>19810</x:v>
      </x:c>
      <x:c r="C4990" s="0" t="s">
        <x:v>19811</x:v>
      </x:c>
      <x:c r="E4990" s="0" t="s">
        <x:v>19812</x:v>
      </x:c>
      <x:c r="F4990" s="0" t="s">
        <x:v>45</x:v>
      </x:c>
      <x:c r="G4990" s="0" t="s">
        <x:v>19</x:v>
      </x:c>
      <x:c r="H4990" s="0" t="s">
        <x:v>20</x:v>
      </x:c>
      <x:c r="I4990" s="0" t="s">
        <x:v>21</x:v>
      </x:c>
      <x:c r="K4990" s="0">
        <x:f>hyperlink("https://icd.who.int/dev11/l-ichi/en#/http%3A%2F%2Fid.who.int%2Ficd%2Fentity%2F1033912624","browser")</x:f>
      </x:c>
      <x:c r="L4990" s="0">
        <x:f>hyperlink("https://icat2.azurewebsites.net/icat/?ontology=ICD&amp;tab=ClassesTab&amp;id=http%3A%2F%2Fwho.int%2Ficd%2327167_512ebf36_bf6b_4d70_85da_cf2637062af4","iCat")</x:f>
      </x:c>
      <x:c r="M4990" s="0" t="s">
        <x:v>21</x:v>
      </x:c>
      <x:c r="N4990" s="0" t="s">
        <x:v>46</x:v>
      </x:c>
    </x:row>
    <x:row r="4991" spans="1:16">
      <x:c r="A4991" s="0" t="s">
        <x:v>19813</x:v>
      </x:c>
      <x:c r="B4991" s="0" t="s">
        <x:v>19814</x:v>
      </x:c>
      <x:c r="C4991" s="0" t="s">
        <x:v>19815</x:v>
      </x:c>
      <x:c r="E4991" s="0" t="s">
        <x:v>19816</x:v>
      </x:c>
      <x:c r="F4991" s="0" t="s">
        <x:v>45</x:v>
      </x:c>
      <x:c r="G4991" s="0" t="s">
        <x:v>19</x:v>
      </x:c>
      <x:c r="H4991" s="0" t="s">
        <x:v>20</x:v>
      </x:c>
      <x:c r="I4991" s="0" t="s">
        <x:v>21</x:v>
      </x:c>
      <x:c r="K4991" s="0">
        <x:f>hyperlink("https://icd.who.int/dev11/l-ichi/en#/http%3A%2F%2Fid.who.int%2Ficd%2Fentity%2F840550818","browser")</x:f>
      </x:c>
      <x:c r="L4991" s="0">
        <x:f>hyperlink("https://icat2.azurewebsites.net/icat/?ontology=ICD&amp;tab=ClassesTab&amp;id=http%3A%2F%2Fwho.int%2Ficd%2327175_512ebf36_bf6b_4d70_85da_cf2637062af4","iCat")</x:f>
      </x:c>
      <x:c r="M4991" s="0" t="s">
        <x:v>21</x:v>
      </x:c>
      <x:c r="N4991" s="0" t="s">
        <x:v>46</x:v>
      </x:c>
    </x:row>
    <x:row r="4992" spans="1:16">
      <x:c r="A4992" s="0" t="s">
        <x:v>19817</x:v>
      </x:c>
      <x:c r="B4992" s="0" t="s">
        <x:v>19818</x:v>
      </x:c>
      <x:c r="C4992" s="0" t="s">
        <x:v>19819</x:v>
      </x:c>
      <x:c r="E4992" s="0" t="s">
        <x:v>19820</x:v>
      </x:c>
      <x:c r="F4992" s="0" t="s">
        <x:v>45</x:v>
      </x:c>
      <x:c r="G4992" s="0" t="s">
        <x:v>19</x:v>
      </x:c>
      <x:c r="H4992" s="0" t="s">
        <x:v>20</x:v>
      </x:c>
      <x:c r="I4992" s="0" t="s">
        <x:v>21</x:v>
      </x:c>
      <x:c r="K4992" s="0">
        <x:f>hyperlink("https://icd.who.int/dev11/l-ichi/en#/http%3A%2F%2Fid.who.int%2Ficd%2Fentity%2F687425290","browser")</x:f>
      </x:c>
      <x:c r="L4992" s="0">
        <x:f>hyperlink("https://icat2.azurewebsites.net/icat/?ontology=ICD&amp;tab=ClassesTab&amp;id=http%3A%2F%2Fwho.int%2Ficd%2327181_512ebf36_bf6b_4d70_85da_cf2637062af4","iCat")</x:f>
      </x:c>
      <x:c r="M4992" s="0" t="s">
        <x:v>21</x:v>
      </x:c>
      <x:c r="N4992" s="0" t="s">
        <x:v>46</x:v>
      </x:c>
    </x:row>
    <x:row r="4993" spans="1:16">
      <x:c r="A4993" s="0" t="s">
        <x:v>19821</x:v>
      </x:c>
      <x:c r="B4993" s="0" t="s">
        <x:v>19822</x:v>
      </x:c>
      <x:c r="C4993" s="0" t="s">
        <x:v>19823</x:v>
      </x:c>
      <x:c r="E4993" s="0" t="s">
        <x:v>19824</x:v>
      </x:c>
      <x:c r="F4993" s="0" t="s">
        <x:v>45</x:v>
      </x:c>
      <x:c r="G4993" s="0" t="s">
        <x:v>19</x:v>
      </x:c>
      <x:c r="H4993" s="0" t="s">
        <x:v>20</x:v>
      </x:c>
      <x:c r="I4993" s="0" t="s">
        <x:v>21</x:v>
      </x:c>
      <x:c r="K4993" s="0">
        <x:f>hyperlink("https://icd.who.int/dev11/l-ichi/en#/http%3A%2F%2Fid.who.int%2Ficd%2Fentity%2F2021826233","browser")</x:f>
      </x:c>
      <x:c r="L4993" s="0">
        <x:f>hyperlink("https://icat2.azurewebsites.net/icat/?ontology=ICD&amp;tab=ClassesTab&amp;id=http%3A%2F%2Fwho.int%2Ficd%2327187_512ebf36_bf6b_4d70_85da_cf2637062af4","iCat")</x:f>
      </x:c>
      <x:c r="M4993" s="0" t="s">
        <x:v>21</x:v>
      </x:c>
      <x:c r="N4993" s="0" t="s">
        <x:v>46</x:v>
      </x:c>
    </x:row>
    <x:row r="4994" spans="1:16">
      <x:c r="A4994" s="0" t="s">
        <x:v>19825</x:v>
      </x:c>
      <x:c r="B4994" s="0" t="s">
        <x:v>19826</x:v>
      </x:c>
      <x:c r="C4994" s="0" t="s">
        <x:v>19827</x:v>
      </x:c>
      <x:c r="E4994" s="0" t="s">
        <x:v>19828</x:v>
      </x:c>
      <x:c r="F4994" s="0" t="s">
        <x:v>45</x:v>
      </x:c>
      <x:c r="G4994" s="0" t="s">
        <x:v>19</x:v>
      </x:c>
      <x:c r="H4994" s="0" t="s">
        <x:v>20</x:v>
      </x:c>
      <x:c r="I4994" s="0" t="s">
        <x:v>21</x:v>
      </x:c>
      <x:c r="K4994" s="0">
        <x:f>hyperlink("https://icd.who.int/dev11/l-ichi/en#/http%3A%2F%2Fid.who.int%2Ficd%2Fentity%2F1472357399","browser")</x:f>
      </x:c>
      <x:c r="L4994" s="0">
        <x:f>hyperlink("https://icat2.azurewebsites.net/icat/?ontology=ICD&amp;tab=ClassesTab&amp;id=http%3A%2F%2Fwho.int%2Ficd%2327194_512ebf36_bf6b_4d70_85da_cf2637062af4","iCat")</x:f>
      </x:c>
      <x:c r="M4994" s="0" t="s">
        <x:v>21</x:v>
      </x:c>
      <x:c r="N4994" s="0" t="s">
        <x:v>46</x:v>
      </x:c>
    </x:row>
    <x:row r="4995" spans="1:16">
      <x:c r="A4995" s="0" t="s">
        <x:v>19829</x:v>
      </x:c>
      <x:c r="B4995" s="0" t="s">
        <x:v>19830</x:v>
      </x:c>
      <x:c r="C4995" s="0" t="s">
        <x:v>19831</x:v>
      </x:c>
      <x:c r="E4995" s="0" t="s">
        <x:v>19832</x:v>
      </x:c>
      <x:c r="F4995" s="0" t="s">
        <x:v>45</x:v>
      </x:c>
      <x:c r="G4995" s="0" t="s">
        <x:v>19</x:v>
      </x:c>
      <x:c r="H4995" s="0" t="s">
        <x:v>20</x:v>
      </x:c>
      <x:c r="I4995" s="0" t="s">
        <x:v>21</x:v>
      </x:c>
      <x:c r="K4995" s="0">
        <x:f>hyperlink("https://icd.who.int/dev11/l-ichi/en#/http%3A%2F%2Fid.who.int%2Ficd%2Fentity%2F1670409953","browser")</x:f>
      </x:c>
      <x:c r="L4995" s="0">
        <x:f>hyperlink("https://icat2.azurewebsites.net/icat/?ontology=ICD&amp;tab=ClassesTab&amp;id=http%3A%2F%2Fwho.int%2Ficd%2327205_512ebf36_bf6b_4d70_85da_cf2637062af4","iCat")</x:f>
      </x:c>
      <x:c r="M4995" s="0" t="s">
        <x:v>21</x:v>
      </x:c>
      <x:c r="N4995" s="0" t="s">
        <x:v>46</x:v>
      </x:c>
    </x:row>
    <x:row r="4996" spans="1:16">
      <x:c r="A4996" s="0" t="s">
        <x:v>19833</x:v>
      </x:c>
      <x:c r="B4996" s="0" t="s">
        <x:v>19834</x:v>
      </x:c>
      <x:c r="C4996" s="0" t="s">
        <x:v>19835</x:v>
      </x:c>
      <x:c r="E4996" s="0" t="s">
        <x:v>19836</x:v>
      </x:c>
      <x:c r="F4996" s="0" t="s">
        <x:v>45</x:v>
      </x:c>
      <x:c r="G4996" s="0" t="s">
        <x:v>19</x:v>
      </x:c>
      <x:c r="H4996" s="0" t="s">
        <x:v>20</x:v>
      </x:c>
      <x:c r="I4996" s="0" t="s">
        <x:v>21</x:v>
      </x:c>
      <x:c r="K4996" s="0">
        <x:f>hyperlink("https://icd.who.int/dev11/l-ichi/en#/http%3A%2F%2Fid.who.int%2Ficd%2Fentity%2F1012023236","browser")</x:f>
      </x:c>
      <x:c r="L4996" s="0">
        <x:f>hyperlink("https://icat2.azurewebsites.net/icat/?ontology=ICD&amp;tab=ClassesTab&amp;id=http%3A%2F%2Fwho.int%2Ficd%2327211_512ebf36_bf6b_4d70_85da_cf2637062af4","iCat")</x:f>
      </x:c>
      <x:c r="M4996" s="0" t="s">
        <x:v>21</x:v>
      </x:c>
      <x:c r="N4996" s="0" t="s">
        <x:v>46</x:v>
      </x:c>
    </x:row>
    <x:row r="4997" spans="1:16">
      <x:c r="A4997" s="0" t="s">
        <x:v>19837</x:v>
      </x:c>
      <x:c r="B4997" s="0" t="s">
        <x:v>19838</x:v>
      </x:c>
      <x:c r="C4997" s="0" t="s">
        <x:v>19839</x:v>
      </x:c>
      <x:c r="E4997" s="0" t="s">
        <x:v>19840</x:v>
      </x:c>
      <x:c r="F4997" s="0" t="s">
        <x:v>45</x:v>
      </x:c>
      <x:c r="G4997" s="0" t="s">
        <x:v>19</x:v>
      </x:c>
      <x:c r="H4997" s="0" t="s">
        <x:v>20</x:v>
      </x:c>
      <x:c r="I4997" s="0" t="s">
        <x:v>21</x:v>
      </x:c>
      <x:c r="K4997" s="0">
        <x:f>hyperlink("https://icd.who.int/dev11/l-ichi/en#/http%3A%2F%2Fid.who.int%2Ficd%2Fentity%2F1814685299","browser")</x:f>
      </x:c>
      <x:c r="L4997" s="0">
        <x:f>hyperlink("https://icat2.azurewebsites.net/icat/?ontology=ICD&amp;tab=ClassesTab&amp;id=http%3A%2F%2Fwho.int%2Ficd%2327217_512ebf36_bf6b_4d70_85da_cf2637062af4","iCat")</x:f>
      </x:c>
      <x:c r="M4997" s="0" t="s">
        <x:v>21</x:v>
      </x:c>
      <x:c r="N4997" s="0" t="s">
        <x:v>46</x:v>
      </x:c>
    </x:row>
    <x:row r="4998" spans="1:16">
      <x:c r="A4998" s="0" t="s">
        <x:v>19841</x:v>
      </x:c>
      <x:c r="B4998" s="0" t="s">
        <x:v>19842</x:v>
      </x:c>
      <x:c r="C4998" s="0" t="s">
        <x:v>19843</x:v>
      </x:c>
      <x:c r="E4998" s="0" t="s">
        <x:v>19844</x:v>
      </x:c>
      <x:c r="F4998" s="0" t="s">
        <x:v>45</x:v>
      </x:c>
      <x:c r="G4998" s="0" t="s">
        <x:v>19</x:v>
      </x:c>
      <x:c r="H4998" s="0" t="s">
        <x:v>20</x:v>
      </x:c>
      <x:c r="I4998" s="0" t="s">
        <x:v>21</x:v>
      </x:c>
      <x:c r="K4998" s="0">
        <x:f>hyperlink("https://icd.who.int/dev11/l-ichi/en#/http%3A%2F%2Fid.who.int%2Ficd%2Fentity%2F429875712","browser")</x:f>
      </x:c>
      <x:c r="L4998" s="0">
        <x:f>hyperlink("https://icat2.azurewebsites.net/icat/?ontology=ICD&amp;tab=ClassesTab&amp;id=http%3A%2F%2Fwho.int%2Ficd%2327223_512ebf36_bf6b_4d70_85da_cf2637062af4","iCat")</x:f>
      </x:c>
      <x:c r="M4998" s="0" t="s">
        <x:v>21</x:v>
      </x:c>
      <x:c r="N4998" s="0" t="s">
        <x:v>46</x:v>
      </x:c>
    </x:row>
    <x:row r="4999" spans="1:16">
      <x:c r="A4999" s="0" t="s">
        <x:v>19845</x:v>
      </x:c>
      <x:c r="B4999" s="0" t="s">
        <x:v>19846</x:v>
      </x:c>
      <x:c r="C4999" s="0" t="s">
        <x:v>19847</x:v>
      </x:c>
      <x:c r="E4999" s="0" t="s">
        <x:v>19848</x:v>
      </x:c>
      <x:c r="F4999" s="0" t="s">
        <x:v>45</x:v>
      </x:c>
      <x:c r="G4999" s="0" t="s">
        <x:v>19</x:v>
      </x:c>
      <x:c r="H4999" s="0" t="s">
        <x:v>20</x:v>
      </x:c>
      <x:c r="I4999" s="0" t="s">
        <x:v>21</x:v>
      </x:c>
      <x:c r="K4999" s="0">
        <x:f>hyperlink("https://icd.who.int/dev11/l-ichi/en#/http%3A%2F%2Fid.who.int%2Ficd%2Fentity%2F1693063568","browser")</x:f>
      </x:c>
      <x:c r="L4999" s="0">
        <x:f>hyperlink("https://icat2.azurewebsites.net/icat/?ontology=ICD&amp;tab=ClassesTab&amp;id=http%3A%2F%2Fwho.int%2Ficd%23321_e02c2df3_77b6_419a_b43f_c4531334dd70","iCat")</x:f>
      </x:c>
      <x:c r="M4999" s="0" t="s">
        <x:v>21</x:v>
      </x:c>
      <x:c r="N4999" s="0" t="s">
        <x:v>46</x:v>
      </x:c>
    </x:row>
    <x:row r="5000" spans="1:16">
      <x:c r="A5000" s="0" t="s">
        <x:v>19849</x:v>
      </x:c>
      <x:c r="B5000" s="0" t="s">
        <x:v>19850</x:v>
      </x:c>
      <x:c r="C5000" s="0" t="s">
        <x:v>19851</x:v>
      </x:c>
      <x:c r="E5000" s="0" t="s">
        <x:v>19852</x:v>
      </x:c>
      <x:c r="F5000" s="0" t="s">
        <x:v>45</x:v>
      </x:c>
      <x:c r="G5000" s="0" t="s">
        <x:v>19</x:v>
      </x:c>
      <x:c r="H5000" s="0" t="s">
        <x:v>20</x:v>
      </x:c>
      <x:c r="I5000" s="0" t="s">
        <x:v>21</x:v>
      </x:c>
      <x:c r="K5000" s="0">
        <x:f>hyperlink("https://icd.who.int/dev11/l-ichi/en#/http%3A%2F%2Fid.who.int%2Ficd%2Fentity%2F881967137","browser")</x:f>
      </x:c>
      <x:c r="L5000" s="0">
        <x:f>hyperlink("https://icat2.azurewebsites.net/icat/?ontology=ICD&amp;tab=ClassesTab&amp;id=http%3A%2F%2Fwho.int%2Ficd%23327_e02c2df3_77b6_419a_b43f_c4531334dd70","iCat")</x:f>
      </x:c>
      <x:c r="M5000" s="0" t="s">
        <x:v>21</x:v>
      </x:c>
      <x:c r="N5000" s="0" t="s">
        <x:v>46</x:v>
      </x:c>
    </x:row>
    <x:row r="5001" spans="1:16">
      <x:c r="A5001" s="0" t="s">
        <x:v>19853</x:v>
      </x:c>
      <x:c r="B5001" s="0" t="s">
        <x:v>19854</x:v>
      </x:c>
      <x:c r="C5001" s="0" t="s">
        <x:v>19855</x:v>
      </x:c>
      <x:c r="E5001" s="0" t="s">
        <x:v>19856</x:v>
      </x:c>
      <x:c r="F5001" s="0" t="s">
        <x:v>45</x:v>
      </x:c>
      <x:c r="G5001" s="0" t="s">
        <x:v>19</x:v>
      </x:c>
      <x:c r="H5001" s="0" t="s">
        <x:v>20</x:v>
      </x:c>
      <x:c r="I5001" s="0" t="s">
        <x:v>21</x:v>
      </x:c>
      <x:c r="K5001" s="0">
        <x:f>hyperlink("https://icd.who.int/dev11/l-ichi/en#/http%3A%2F%2Fid.who.int%2Ficd%2Fentity%2F1403225451","browser")</x:f>
      </x:c>
      <x:c r="L5001" s="0">
        <x:f>hyperlink("https://icat2.azurewebsites.net/icat/?ontology=ICD&amp;tab=ClassesTab&amp;id=http%3A%2F%2Fwho.int%2Ficd%2327232_512ebf36_bf6b_4d70_85da_cf2637062af4","iCat")</x:f>
      </x:c>
      <x:c r="M5001" s="0" t="s">
        <x:v>21</x:v>
      </x:c>
      <x:c r="N5001" s="0" t="s">
        <x:v>46</x:v>
      </x:c>
    </x:row>
    <x:row r="5002" spans="1:16">
      <x:c r="A5002" s="0" t="s">
        <x:v>19857</x:v>
      </x:c>
      <x:c r="B5002" s="0" t="s">
        <x:v>19858</x:v>
      </x:c>
      <x:c r="C5002" s="0" t="s">
        <x:v>19859</x:v>
      </x:c>
      <x:c r="E5002" s="0" t="s">
        <x:v>19860</x:v>
      </x:c>
      <x:c r="F5002" s="0" t="s">
        <x:v>45</x:v>
      </x:c>
      <x:c r="G5002" s="0" t="s">
        <x:v>19</x:v>
      </x:c>
      <x:c r="H5002" s="0" t="s">
        <x:v>20</x:v>
      </x:c>
      <x:c r="I5002" s="0" t="s">
        <x:v>21</x:v>
      </x:c>
      <x:c r="K5002" s="0">
        <x:f>hyperlink("https://icd.who.int/dev11/l-ichi/en#/http%3A%2F%2Fid.who.int%2Ficd%2Fentity%2F2019486203","browser")</x:f>
      </x:c>
      <x:c r="L5002" s="0">
        <x:f>hyperlink("https://icat2.azurewebsites.net/icat/?ontology=ICD&amp;tab=ClassesTab&amp;id=http%3A%2F%2Fwho.int%2Ficd%2327238_512ebf36_bf6b_4d70_85da_cf2637062af4","iCat")</x:f>
      </x:c>
      <x:c r="M5002" s="0" t="s">
        <x:v>21</x:v>
      </x:c>
      <x:c r="N5002" s="0" t="s">
        <x:v>46</x:v>
      </x:c>
    </x:row>
    <x:row r="5003" spans="1:16">
      <x:c r="A5003" s="0" t="s">
        <x:v>19861</x:v>
      </x:c>
      <x:c r="B5003" s="0" t="s">
        <x:v>19862</x:v>
      </x:c>
      <x:c r="C5003" s="0" t="s">
        <x:v>19863</x:v>
      </x:c>
      <x:c r="E5003" s="0" t="s">
        <x:v>19864</x:v>
      </x:c>
      <x:c r="F5003" s="0" t="s">
        <x:v>45</x:v>
      </x:c>
      <x:c r="G5003" s="0" t="s">
        <x:v>19</x:v>
      </x:c>
      <x:c r="H5003" s="0" t="s">
        <x:v>20</x:v>
      </x:c>
      <x:c r="I5003" s="0" t="s">
        <x:v>21</x:v>
      </x:c>
      <x:c r="K5003" s="0">
        <x:f>hyperlink("https://icd.who.int/dev11/l-ichi/en#/http%3A%2F%2Fid.who.int%2Ficd%2Fentity%2F856575938","browser")</x:f>
      </x:c>
      <x:c r="L5003" s="0">
        <x:f>hyperlink("https://icat2.azurewebsites.net/icat/?ontology=ICD&amp;tab=ClassesTab&amp;id=http%3A%2F%2Fwho.int%2Ficd%2327244_512ebf36_bf6b_4d70_85da_cf2637062af4","iCat")</x:f>
      </x:c>
      <x:c r="M5003" s="0" t="s">
        <x:v>21</x:v>
      </x:c>
      <x:c r="N5003" s="0" t="s">
        <x:v>46</x:v>
      </x:c>
    </x:row>
    <x:row r="5004" spans="1:16">
      <x:c r="A5004" s="0" t="s">
        <x:v>19865</x:v>
      </x:c>
      <x:c r="B5004" s="0" t="s">
        <x:v>19866</x:v>
      </x:c>
      <x:c r="C5004" s="0" t="s">
        <x:v>19867</x:v>
      </x:c>
      <x:c r="E5004" s="0" t="s">
        <x:v>19868</x:v>
      </x:c>
      <x:c r="F5004" s="0" t="s">
        <x:v>45</x:v>
      </x:c>
      <x:c r="G5004" s="0" t="s">
        <x:v>19</x:v>
      </x:c>
      <x:c r="H5004" s="0" t="s">
        <x:v>20</x:v>
      </x:c>
      <x:c r="I5004" s="0" t="s">
        <x:v>21</x:v>
      </x:c>
      <x:c r="K5004" s="0">
        <x:f>hyperlink("https://icd.who.int/dev11/l-ichi/en#/http%3A%2F%2Fid.who.int%2Ficd%2Fentity%2F1825316579","browser")</x:f>
      </x:c>
      <x:c r="L5004" s="0">
        <x:f>hyperlink("https://icat2.azurewebsites.net/icat/?ontology=ICD&amp;tab=ClassesTab&amp;id=http%3A%2F%2Fwho.int%2Ficd%2327250_512ebf36_bf6b_4d70_85da_cf2637062af4","iCat")</x:f>
      </x:c>
      <x:c r="M5004" s="0" t="s">
        <x:v>21</x:v>
      </x:c>
      <x:c r="N5004" s="0" t="s">
        <x:v>46</x:v>
      </x:c>
    </x:row>
    <x:row r="5005" spans="1:16">
      <x:c r="A5005" s="0" t="s">
        <x:v>19869</x:v>
      </x:c>
      <x:c r="B5005" s="0" t="s">
        <x:v>19870</x:v>
      </x:c>
      <x:c r="C5005" s="0" t="s">
        <x:v>19871</x:v>
      </x:c>
      <x:c r="E5005" s="0" t="s">
        <x:v>19872</x:v>
      </x:c>
      <x:c r="F5005" s="0" t="s">
        <x:v>45</x:v>
      </x:c>
      <x:c r="G5005" s="0" t="s">
        <x:v>19</x:v>
      </x:c>
      <x:c r="H5005" s="0" t="s">
        <x:v>20</x:v>
      </x:c>
      <x:c r="I5005" s="0" t="s">
        <x:v>21</x:v>
      </x:c>
      <x:c r="K5005" s="0">
        <x:f>hyperlink("https://icd.who.int/dev11/l-ichi/en#/http%3A%2F%2Fid.who.int%2Ficd%2Fentity%2F1018677076","browser")</x:f>
      </x:c>
      <x:c r="L5005" s="0">
        <x:f>hyperlink("https://icat2.azurewebsites.net/icat/?ontology=ICD&amp;tab=ClassesTab&amp;id=http%3A%2F%2Fwho.int%2Ficd%2327256_512ebf36_bf6b_4d70_85da_cf2637062af4","iCat")</x:f>
      </x:c>
      <x:c r="M5005" s="0" t="s">
        <x:v>21</x:v>
      </x:c>
      <x:c r="N5005" s="0" t="s">
        <x:v>46</x:v>
      </x:c>
    </x:row>
    <x:row r="5006" spans="1:16">
      <x:c r="A5006" s="0" t="s">
        <x:v>19873</x:v>
      </x:c>
      <x:c r="B5006" s="0" t="s">
        <x:v>19874</x:v>
      </x:c>
      <x:c r="C5006" s="0" t="s">
        <x:v>19875</x:v>
      </x:c>
      <x:c r="E5006" s="0" t="s">
        <x:v>19876</x:v>
      </x:c>
      <x:c r="F5006" s="0" t="s">
        <x:v>45</x:v>
      </x:c>
      <x:c r="G5006" s="0" t="s">
        <x:v>19</x:v>
      </x:c>
      <x:c r="H5006" s="0" t="s">
        <x:v>20</x:v>
      </x:c>
      <x:c r="I5006" s="0" t="s">
        <x:v>21</x:v>
      </x:c>
      <x:c r="K5006" s="0">
        <x:f>hyperlink("https://icd.who.int/dev11/l-ichi/en#/http%3A%2F%2Fid.who.int%2Ficd%2Fentity%2F1224819489","browser")</x:f>
      </x:c>
      <x:c r="L5006" s="0">
        <x:f>hyperlink("https://icat2.azurewebsites.net/icat/?ontology=ICD&amp;tab=ClassesTab&amp;id=http%3A%2F%2Fwho.int%2Ficd%2327262_512ebf36_bf6b_4d70_85da_cf2637062af4","iCat")</x:f>
      </x:c>
      <x:c r="M5006" s="0" t="s">
        <x:v>21</x:v>
      </x:c>
      <x:c r="N5006" s="0" t="s">
        <x:v>46</x:v>
      </x:c>
    </x:row>
    <x:row r="5007" spans="1:16">
      <x:c r="A5007" s="0" t="s">
        <x:v>19877</x:v>
      </x:c>
      <x:c r="B5007" s="0" t="s">
        <x:v>19878</x:v>
      </x:c>
      <x:c r="C5007" s="0" t="s">
        <x:v>19879</x:v>
      </x:c>
      <x:c r="E5007" s="0" t="s">
        <x:v>19880</x:v>
      </x:c>
      <x:c r="F5007" s="0" t="s">
        <x:v>45</x:v>
      </x:c>
      <x:c r="G5007" s="0" t="s">
        <x:v>19</x:v>
      </x:c>
      <x:c r="H5007" s="0" t="s">
        <x:v>20</x:v>
      </x:c>
      <x:c r="I5007" s="0" t="s">
        <x:v>21</x:v>
      </x:c>
      <x:c r="K5007" s="0">
        <x:f>hyperlink("https://icd.who.int/dev11/l-ichi/en#/http%3A%2F%2Fid.who.int%2Ficd%2Fentity%2F1107647885","browser")</x:f>
      </x:c>
      <x:c r="L5007" s="0">
        <x:f>hyperlink("https://icat2.azurewebsites.net/icat/?ontology=ICD&amp;tab=ClassesTab&amp;id=http%3A%2F%2Fwho.int%2Ficd%2327269_512ebf36_bf6b_4d70_85da_cf2637062af4","iCat")</x:f>
      </x:c>
      <x:c r="M5007" s="0" t="s">
        <x:v>21</x:v>
      </x:c>
      <x:c r="N5007" s="0" t="s">
        <x:v>46</x:v>
      </x:c>
    </x:row>
    <x:row r="5008" spans="1:16">
      <x:c r="A5008" s="0" t="s">
        <x:v>19881</x:v>
      </x:c>
      <x:c r="B5008" s="0" t="s">
        <x:v>19882</x:v>
      </x:c>
      <x:c r="C5008" s="0" t="s">
        <x:v>19883</x:v>
      </x:c>
      <x:c r="E5008" s="0" t="s">
        <x:v>19884</x:v>
      </x:c>
      <x:c r="F5008" s="0" t="s">
        <x:v>45</x:v>
      </x:c>
      <x:c r="G5008" s="0" t="s">
        <x:v>19</x:v>
      </x:c>
      <x:c r="H5008" s="0" t="s">
        <x:v>20</x:v>
      </x:c>
      <x:c r="I5008" s="0" t="s">
        <x:v>21</x:v>
      </x:c>
      <x:c r="K5008" s="0">
        <x:f>hyperlink("https://icd.who.int/dev11/l-ichi/en#/http%3A%2F%2Fid.who.int%2Ficd%2Fentity%2F381882882","browser")</x:f>
      </x:c>
      <x:c r="L5008" s="0">
        <x:f>hyperlink("https://icat2.azurewebsites.net/icat/?ontology=ICD&amp;tab=ClassesTab&amp;id=http%3A%2F%2Fwho.int%2Ficd%2327276_512ebf36_bf6b_4d70_85da_cf2637062af4","iCat")</x:f>
      </x:c>
      <x:c r="M5008" s="0" t="s">
        <x:v>21</x:v>
      </x:c>
      <x:c r="N5008" s="0" t="s">
        <x:v>46</x:v>
      </x:c>
    </x:row>
    <x:row r="5009" spans="1:16">
      <x:c r="A5009" s="0" t="s">
        <x:v>19885</x:v>
      </x:c>
      <x:c r="B5009" s="0" t="s">
        <x:v>19886</x:v>
      </x:c>
      <x:c r="C5009" s="0" t="s">
        <x:v>19887</x:v>
      </x:c>
      <x:c r="E5009" s="0" t="s">
        <x:v>19888</x:v>
      </x:c>
      <x:c r="F5009" s="0" t="s">
        <x:v>45</x:v>
      </x:c>
      <x:c r="G5009" s="0" t="s">
        <x:v>19</x:v>
      </x:c>
      <x:c r="H5009" s="0" t="s">
        <x:v>20</x:v>
      </x:c>
      <x:c r="I5009" s="0" t="s">
        <x:v>21</x:v>
      </x:c>
      <x:c r="K5009" s="0">
        <x:f>hyperlink("https://icd.who.int/dev11/l-ichi/en#/http%3A%2F%2Fid.who.int%2Ficd%2Fentity%2F752545428","browser")</x:f>
      </x:c>
      <x:c r="L5009" s="0">
        <x:f>hyperlink("https://icat2.azurewebsites.net/icat/?ontology=ICD&amp;tab=ClassesTab&amp;id=http%3A%2F%2Fwho.int%2Ficd%2327283_512ebf36_bf6b_4d70_85da_cf2637062af4","iCat")</x:f>
      </x:c>
      <x:c r="M5009" s="0" t="s">
        <x:v>21</x:v>
      </x:c>
      <x:c r="N5009" s="0" t="s">
        <x:v>46</x:v>
      </x:c>
    </x:row>
    <x:row r="5010" spans="1:16">
      <x:c r="A5010" s="0" t="s">
        <x:v>19889</x:v>
      </x:c>
      <x:c r="B5010" s="0" t="s">
        <x:v>19890</x:v>
      </x:c>
      <x:c r="C5010" s="0" t="s">
        <x:v>19891</x:v>
      </x:c>
      <x:c r="E5010" s="0" t="s">
        <x:v>19892</x:v>
      </x:c>
      <x:c r="F5010" s="0" t="s">
        <x:v>45</x:v>
      </x:c>
      <x:c r="G5010" s="0" t="s">
        <x:v>19</x:v>
      </x:c>
      <x:c r="H5010" s="0" t="s">
        <x:v>20</x:v>
      </x:c>
      <x:c r="I5010" s="0" t="s">
        <x:v>21</x:v>
      </x:c>
      <x:c r="K5010" s="0">
        <x:f>hyperlink("https://icd.who.int/dev11/l-ichi/en#/http%3A%2F%2Fid.who.int%2Ficd%2Fentity%2F120029700","browser")</x:f>
      </x:c>
      <x:c r="L5010" s="0">
        <x:f>hyperlink("https://icat2.azurewebsites.net/icat/?ontology=ICD&amp;tab=ClassesTab&amp;id=http%3A%2F%2Fwho.int%2Ficd%2327289_512ebf36_bf6b_4d70_85da_cf2637062af4","iCat")</x:f>
      </x:c>
      <x:c r="M5010" s="0" t="s">
        <x:v>21</x:v>
      </x:c>
      <x:c r="N5010" s="0" t="s">
        <x:v>46</x:v>
      </x:c>
    </x:row>
    <x:row r="5011" spans="1:16">
      <x:c r="A5011" s="0" t="s">
        <x:v>19893</x:v>
      </x:c>
      <x:c r="B5011" s="0" t="s">
        <x:v>19894</x:v>
      </x:c>
      <x:c r="C5011" s="0" t="s">
        <x:v>19895</x:v>
      </x:c>
      <x:c r="E5011" s="0" t="s">
        <x:v>19896</x:v>
      </x:c>
      <x:c r="F5011" s="0" t="s">
        <x:v>45</x:v>
      </x:c>
      <x:c r="G5011" s="0" t="s">
        <x:v>19</x:v>
      </x:c>
      <x:c r="H5011" s="0" t="s">
        <x:v>20</x:v>
      </x:c>
      <x:c r="I5011" s="0" t="s">
        <x:v>21</x:v>
      </x:c>
      <x:c r="K5011" s="0">
        <x:f>hyperlink("https://icd.who.int/dev11/l-ichi/en#/http%3A%2F%2Fid.who.int%2Ficd%2Fentity%2F1407307147","browser")</x:f>
      </x:c>
      <x:c r="L5011" s="0">
        <x:f>hyperlink("https://icat2.azurewebsites.net/icat/?ontology=ICD&amp;tab=ClassesTab&amp;id=http%3A%2F%2Fwho.int%2Ficd%2327296_512ebf36_bf6b_4d70_85da_cf2637062af4","iCat")</x:f>
      </x:c>
      <x:c r="M5011" s="0" t="s">
        <x:v>21</x:v>
      </x:c>
      <x:c r="N5011" s="0" t="s">
        <x:v>46</x:v>
      </x:c>
    </x:row>
    <x:row r="5012" spans="1:16">
      <x:c r="A5012" s="0" t="s">
        <x:v>19897</x:v>
      </x:c>
      <x:c r="B5012" s="0" t="s">
        <x:v>19898</x:v>
      </x:c>
      <x:c r="C5012" s="0" t="s">
        <x:v>19899</x:v>
      </x:c>
      <x:c r="E5012" s="0" t="s">
        <x:v>19900</x:v>
      </x:c>
      <x:c r="F5012" s="0" t="s">
        <x:v>45</x:v>
      </x:c>
      <x:c r="G5012" s="0" t="s">
        <x:v>19</x:v>
      </x:c>
      <x:c r="H5012" s="0" t="s">
        <x:v>20</x:v>
      </x:c>
      <x:c r="I5012" s="0" t="s">
        <x:v>21</x:v>
      </x:c>
      <x:c r="K5012" s="0">
        <x:f>hyperlink("https://icd.who.int/dev11/l-ichi/en#/http%3A%2F%2Fid.who.int%2Ficd%2Fentity%2F1182036429","browser")</x:f>
      </x:c>
      <x:c r="L5012" s="0">
        <x:f>hyperlink("https://icat2.azurewebsites.net/icat/?ontology=ICD&amp;tab=ClassesTab&amp;id=http%3A%2F%2Fwho.int%2Ficd%2327303_512ebf36_bf6b_4d70_85da_cf2637062af4","iCat")</x:f>
      </x:c>
      <x:c r="M5012" s="0" t="s">
        <x:v>21</x:v>
      </x:c>
      <x:c r="N5012" s="0" t="s">
        <x:v>46</x:v>
      </x:c>
    </x:row>
    <x:row r="5013" spans="1:16">
      <x:c r="A5013" s="0" t="s">
        <x:v>19901</x:v>
      </x:c>
      <x:c r="B5013" s="0" t="s">
        <x:v>19902</x:v>
      </x:c>
      <x:c r="C5013" s="0" t="s">
        <x:v>19903</x:v>
      </x:c>
      <x:c r="E5013" s="0" t="s">
        <x:v>19904</x:v>
      </x:c>
      <x:c r="F5013" s="0" t="s">
        <x:v>45</x:v>
      </x:c>
      <x:c r="G5013" s="0" t="s">
        <x:v>19</x:v>
      </x:c>
      <x:c r="H5013" s="0" t="s">
        <x:v>20</x:v>
      </x:c>
      <x:c r="I5013" s="0" t="s">
        <x:v>21</x:v>
      </x:c>
      <x:c r="K5013" s="0">
        <x:f>hyperlink("https://icd.who.int/dev11/l-ichi/en#/http%3A%2F%2Fid.who.int%2Ficd%2Fentity%2F1521696229","browser")</x:f>
      </x:c>
      <x:c r="L5013" s="0">
        <x:f>hyperlink("https://icat2.azurewebsites.net/icat/?ontology=ICD&amp;tab=ClassesTab&amp;id=http%3A%2F%2Fwho.int%2Ficd%2315146_4869915e_217e_423d_acb3_33c0f920ef4b","iCat")</x:f>
      </x:c>
      <x:c r="M5013" s="0" t="s">
        <x:v>21</x:v>
      </x:c>
      <x:c r="N5013" s="0" t="s">
        <x:v>46</x:v>
      </x:c>
    </x:row>
    <x:row r="5014" spans="1:16">
      <x:c r="A5014" s="0" t="s">
        <x:v>19905</x:v>
      </x:c>
      <x:c r="B5014" s="0" t="s">
        <x:v>19906</x:v>
      </x:c>
      <x:c r="C5014" s="0" t="s">
        <x:v>19907</x:v>
      </x:c>
      <x:c r="E5014" s="0" t="s">
        <x:v>19908</x:v>
      </x:c>
      <x:c r="F5014" s="0" t="s">
        <x:v>45</x:v>
      </x:c>
      <x:c r="G5014" s="0" t="s">
        <x:v>19</x:v>
      </x:c>
      <x:c r="H5014" s="0" t="s">
        <x:v>20</x:v>
      </x:c>
      <x:c r="I5014" s="0" t="s">
        <x:v>21</x:v>
      </x:c>
      <x:c r="K5014" s="0">
        <x:f>hyperlink("https://icd.who.int/dev11/l-ichi/en#/http%3A%2F%2Fid.who.int%2Ficd%2Fentity%2F91319494","browser")</x:f>
      </x:c>
      <x:c r="L5014" s="0">
        <x:f>hyperlink("https://icat2.azurewebsites.net/icat/?ontology=ICD&amp;tab=ClassesTab&amp;id=http%3A%2F%2Fwho.int%2Ficd%2315152_4869915e_217e_423d_acb3_33c0f920ef4b","iCat")</x:f>
      </x:c>
      <x:c r="M5014" s="0" t="s">
        <x:v>21</x:v>
      </x:c>
      <x:c r="N5014" s="0" t="s">
        <x:v>46</x:v>
      </x:c>
    </x:row>
    <x:row r="5015" spans="1:16">
      <x:c r="A5015" s="0" t="s">
        <x:v>19909</x:v>
      </x:c>
      <x:c r="B5015" s="0" t="s">
        <x:v>19910</x:v>
      </x:c>
      <x:c r="C5015" s="0" t="s">
        <x:v>19911</x:v>
      </x:c>
      <x:c r="E5015" s="0" t="s">
        <x:v>19912</x:v>
      </x:c>
      <x:c r="F5015" s="0" t="s">
        <x:v>45</x:v>
      </x:c>
      <x:c r="G5015" s="0" t="s">
        <x:v>19</x:v>
      </x:c>
      <x:c r="H5015" s="0" t="s">
        <x:v>20</x:v>
      </x:c>
      <x:c r="I5015" s="0" t="s">
        <x:v>21</x:v>
      </x:c>
      <x:c r="K5015" s="0">
        <x:f>hyperlink("https://icd.who.int/dev11/l-ichi/en#/http%3A%2F%2Fid.who.int%2Ficd%2Fentity%2F1837702493","browser")</x:f>
      </x:c>
      <x:c r="L5015" s="0">
        <x:f>hyperlink("https://icat2.azurewebsites.net/icat/?ontology=ICD&amp;tab=ClassesTab&amp;id=http%3A%2F%2Fwho.int%2Ficd%2327309_512ebf36_bf6b_4d70_85da_cf2637062af4","iCat")</x:f>
      </x:c>
      <x:c r="M5015" s="0" t="s">
        <x:v>21</x:v>
      </x:c>
      <x:c r="N5015" s="0" t="s">
        <x:v>46</x:v>
      </x:c>
    </x:row>
    <x:row r="5016" spans="1:16">
      <x:c r="A5016" s="0" t="s">
        <x:v>19913</x:v>
      </x:c>
      <x:c r="B5016" s="0" t="s">
        <x:v>19914</x:v>
      </x:c>
      <x:c r="C5016" s="0" t="s">
        <x:v>19915</x:v>
      </x:c>
      <x:c r="E5016" s="0" t="s">
        <x:v>19916</x:v>
      </x:c>
      <x:c r="F5016" s="0" t="s">
        <x:v>45</x:v>
      </x:c>
      <x:c r="G5016" s="0" t="s">
        <x:v>19</x:v>
      </x:c>
      <x:c r="H5016" s="0" t="s">
        <x:v>20</x:v>
      </x:c>
      <x:c r="I5016" s="0" t="s">
        <x:v>21</x:v>
      </x:c>
      <x:c r="K5016" s="0">
        <x:f>hyperlink("https://icd.who.int/dev11/l-ichi/en#/http%3A%2F%2Fid.who.int%2Ficd%2Fentity%2F2093628715","browser")</x:f>
      </x:c>
      <x:c r="L5016" s="0">
        <x:f>hyperlink("https://icat2.azurewebsites.net/icat/?ontology=ICD&amp;tab=ClassesTab&amp;id=http%3A%2F%2Fwho.int%2Ficd%2327315_512ebf36_bf6b_4d70_85da_cf2637062af4","iCat")</x:f>
      </x:c>
      <x:c r="M5016" s="0" t="s">
        <x:v>21</x:v>
      </x:c>
      <x:c r="N5016" s="0" t="s">
        <x:v>46</x:v>
      </x:c>
    </x:row>
    <x:row r="5017" spans="1:16">
      <x:c r="A5017" s="0" t="s">
        <x:v>19917</x:v>
      </x:c>
      <x:c r="B5017" s="0" t="s">
        <x:v>19918</x:v>
      </x:c>
      <x:c r="C5017" s="0" t="s">
        <x:v>19919</x:v>
      </x:c>
      <x:c r="E5017" s="0" t="s">
        <x:v>19920</x:v>
      </x:c>
      <x:c r="F5017" s="0" t="s">
        <x:v>45</x:v>
      </x:c>
      <x:c r="G5017" s="0" t="s">
        <x:v>19</x:v>
      </x:c>
      <x:c r="H5017" s="0" t="s">
        <x:v>20</x:v>
      </x:c>
      <x:c r="I5017" s="0" t="s">
        <x:v>21</x:v>
      </x:c>
      <x:c r="K5017" s="0">
        <x:f>hyperlink("https://icd.who.int/dev11/l-ichi/en#/http%3A%2F%2Fid.who.int%2Ficd%2Fentity%2F1291441825","browser")</x:f>
      </x:c>
      <x:c r="L5017" s="0">
        <x:f>hyperlink("https://icat2.azurewebsites.net/icat/?ontology=ICD&amp;tab=ClassesTab&amp;id=http%3A%2F%2Fwho.int%2Ficd%2327322_512ebf36_bf6b_4d70_85da_cf2637062af4","iCat")</x:f>
      </x:c>
      <x:c r="M5017" s="0" t="s">
        <x:v>21</x:v>
      </x:c>
      <x:c r="N5017" s="0" t="s">
        <x:v>46</x:v>
      </x:c>
    </x:row>
    <x:row r="5018" spans="1:16">
      <x:c r="A5018" s="0" t="s">
        <x:v>19921</x:v>
      </x:c>
      <x:c r="B5018" s="0" t="s">
        <x:v>19922</x:v>
      </x:c>
      <x:c r="C5018" s="0" t="s">
        <x:v>19923</x:v>
      </x:c>
      <x:c r="E5018" s="0" t="s">
        <x:v>19924</x:v>
      </x:c>
      <x:c r="F5018" s="0" t="s">
        <x:v>45</x:v>
      </x:c>
      <x:c r="G5018" s="0" t="s">
        <x:v>19</x:v>
      </x:c>
      <x:c r="H5018" s="0" t="s">
        <x:v>20</x:v>
      </x:c>
      <x:c r="I5018" s="0" t="s">
        <x:v>21</x:v>
      </x:c>
      <x:c r="K5018" s="0">
        <x:f>hyperlink("https://icd.who.int/dev11/l-ichi/en#/http%3A%2F%2Fid.who.int%2Ficd%2Fentity%2F1728363057","browser")</x:f>
      </x:c>
      <x:c r="L5018" s="0">
        <x:f>hyperlink("https://icat2.azurewebsites.net/icat/?ontology=ICD&amp;tab=ClassesTab&amp;id=http%3A%2F%2Fwho.int%2Ficd%2327328_512ebf36_bf6b_4d70_85da_cf2637062af4","iCat")</x:f>
      </x:c>
      <x:c r="M5018" s="0" t="s">
        <x:v>21</x:v>
      </x:c>
      <x:c r="N5018" s="0" t="s">
        <x:v>46</x:v>
      </x:c>
    </x:row>
    <x:row r="5019" spans="1:16">
      <x:c r="A5019" s="0" t="s">
        <x:v>19925</x:v>
      </x:c>
      <x:c r="B5019" s="0" t="s">
        <x:v>19926</x:v>
      </x:c>
      <x:c r="C5019" s="0" t="s">
        <x:v>19927</x:v>
      </x:c>
      <x:c r="E5019" s="0" t="s">
        <x:v>19928</x:v>
      </x:c>
      <x:c r="F5019" s="0" t="s">
        <x:v>45</x:v>
      </x:c>
      <x:c r="G5019" s="0" t="s">
        <x:v>19</x:v>
      </x:c>
      <x:c r="H5019" s="0" t="s">
        <x:v>20</x:v>
      </x:c>
      <x:c r="I5019" s="0" t="s">
        <x:v>21</x:v>
      </x:c>
      <x:c r="K5019" s="0">
        <x:f>hyperlink("https://icd.who.int/dev11/l-ichi/en#/http%3A%2F%2Fid.who.int%2Ficd%2Fentity%2F1984404039","browser")</x:f>
      </x:c>
      <x:c r="L5019" s="0">
        <x:f>hyperlink("https://icat2.azurewebsites.net/icat/?ontology=ICD&amp;tab=ClassesTab&amp;id=http%3A%2F%2Fwho.int%2Ficd%2327334_512ebf36_bf6b_4d70_85da_cf2637062af4","iCat")</x:f>
      </x:c>
      <x:c r="M5019" s="0" t="s">
        <x:v>21</x:v>
      </x:c>
      <x:c r="N5019" s="0" t="s">
        <x:v>46</x:v>
      </x:c>
    </x:row>
    <x:row r="5020" spans="1:16">
      <x:c r="A5020" s="0" t="s">
        <x:v>19929</x:v>
      </x:c>
      <x:c r="B5020" s="0" t="s">
        <x:v>19930</x:v>
      </x:c>
      <x:c r="C5020" s="0" t="s">
        <x:v>19931</x:v>
      </x:c>
      <x:c r="E5020" s="0" t="s">
        <x:v>19932</x:v>
      </x:c>
      <x:c r="F5020" s="0" t="s">
        <x:v>45</x:v>
      </x:c>
      <x:c r="G5020" s="0" t="s">
        <x:v>19</x:v>
      </x:c>
      <x:c r="H5020" s="0" t="s">
        <x:v>20</x:v>
      </x:c>
      <x:c r="I5020" s="0" t="s">
        <x:v>21</x:v>
      </x:c>
      <x:c r="K5020" s="0">
        <x:f>hyperlink("https://icd.who.int/dev11/l-ichi/en#/http%3A%2F%2Fid.who.int%2Ficd%2Fentity%2F1939229993","browser")</x:f>
      </x:c>
      <x:c r="L5020" s="0">
        <x:f>hyperlink("https://icat2.azurewebsites.net/icat/?ontology=ICD&amp;tab=ClassesTab&amp;id=http%3A%2F%2Fwho.int%2Ficd%2327340_512ebf36_bf6b_4d70_85da_cf2637062af4","iCat")</x:f>
      </x:c>
      <x:c r="M5020" s="0" t="s">
        <x:v>21</x:v>
      </x:c>
      <x:c r="N5020" s="0" t="s">
        <x:v>46</x:v>
      </x:c>
    </x:row>
    <x:row r="5021" spans="1:16">
      <x:c r="A5021" s="0" t="s">
        <x:v>19933</x:v>
      </x:c>
      <x:c r="B5021" s="0" t="s">
        <x:v>19934</x:v>
      </x:c>
      <x:c r="C5021" s="0" t="s">
        <x:v>19935</x:v>
      </x:c>
      <x:c r="E5021" s="0" t="s">
        <x:v>19936</x:v>
      </x:c>
      <x:c r="F5021" s="0" t="s">
        <x:v>45</x:v>
      </x:c>
      <x:c r="G5021" s="0" t="s">
        <x:v>19</x:v>
      </x:c>
      <x:c r="H5021" s="0" t="s">
        <x:v>20</x:v>
      </x:c>
      <x:c r="I5021" s="0" t="s">
        <x:v>21</x:v>
      </x:c>
      <x:c r="K5021" s="0">
        <x:f>hyperlink("https://icd.who.int/dev11/l-ichi/en#/http%3A%2F%2Fid.who.int%2Ficd%2Fentity%2F502156866","browser")</x:f>
      </x:c>
      <x:c r="L5021" s="0">
        <x:f>hyperlink("https://icat2.azurewebsites.net/icat/?ontology=ICD&amp;tab=ClassesTab&amp;id=http%3A%2F%2Fwho.int%2Ficd%2327349_512ebf36_bf6b_4d70_85da_cf2637062af4","iCat")</x:f>
      </x:c>
      <x:c r="M5021" s="0" t="s">
        <x:v>21</x:v>
      </x:c>
      <x:c r="N5021" s="0" t="s">
        <x:v>46</x:v>
      </x:c>
    </x:row>
    <x:row r="5022" spans="1:16">
      <x:c r="A5022" s="0" t="s">
        <x:v>19937</x:v>
      </x:c>
      <x:c r="B5022" s="0" t="s">
        <x:v>19938</x:v>
      </x:c>
      <x:c r="C5022" s="0" t="s">
        <x:v>19939</x:v>
      </x:c>
      <x:c r="E5022" s="0" t="s">
        <x:v>19940</x:v>
      </x:c>
      <x:c r="F5022" s="0" t="s">
        <x:v>45</x:v>
      </x:c>
      <x:c r="G5022" s="0" t="s">
        <x:v>19</x:v>
      </x:c>
      <x:c r="H5022" s="0" t="s">
        <x:v>20</x:v>
      </x:c>
      <x:c r="I5022" s="0" t="s">
        <x:v>21</x:v>
      </x:c>
      <x:c r="K5022" s="0">
        <x:f>hyperlink("https://icd.who.int/dev11/l-ichi/en#/http%3A%2F%2Fid.who.int%2Ficd%2Fentity%2F212692534","browser")</x:f>
      </x:c>
      <x:c r="L5022" s="0">
        <x:f>hyperlink("https://icat2.azurewebsites.net/icat/?ontology=ICD&amp;tab=ClassesTab&amp;id=http%3A%2F%2Fwho.int%2Ficd%2327355_512ebf36_bf6b_4d70_85da_cf2637062af4","iCat")</x:f>
      </x:c>
      <x:c r="M5022" s="0" t="s">
        <x:v>21</x:v>
      </x:c>
      <x:c r="N5022" s="0" t="s">
        <x:v>46</x:v>
      </x:c>
    </x:row>
    <x:row r="5023" spans="1:16">
      <x:c r="A5023" s="0" t="s">
        <x:v>19941</x:v>
      </x:c>
      <x:c r="B5023" s="0" t="s">
        <x:v>19942</x:v>
      </x:c>
      <x:c r="C5023" s="0" t="s">
        <x:v>19943</x:v>
      </x:c>
      <x:c r="E5023" s="0" t="s">
        <x:v>19944</x:v>
      </x:c>
      <x:c r="F5023" s="0" t="s">
        <x:v>45</x:v>
      </x:c>
      <x:c r="G5023" s="0" t="s">
        <x:v>19</x:v>
      </x:c>
      <x:c r="H5023" s="0" t="s">
        <x:v>20</x:v>
      </x:c>
      <x:c r="I5023" s="0" t="s">
        <x:v>21</x:v>
      </x:c>
      <x:c r="K5023" s="0">
        <x:f>hyperlink("https://icd.who.int/dev11/l-ichi/en#/http%3A%2F%2Fid.who.int%2Ficd%2Fentity%2F2031872581","browser")</x:f>
      </x:c>
      <x:c r="L5023" s="0">
        <x:f>hyperlink("https://icat2.azurewebsites.net/icat/?ontology=ICD&amp;tab=ClassesTab&amp;id=http%3A%2F%2Fwho.int%2Ficd%2327361_512ebf36_bf6b_4d70_85da_cf2637062af4","iCat")</x:f>
      </x:c>
      <x:c r="M5023" s="0" t="s">
        <x:v>21</x:v>
      </x:c>
      <x:c r="N5023" s="0" t="s">
        <x:v>46</x:v>
      </x:c>
    </x:row>
    <x:row r="5024" spans="1:16">
      <x:c r="A5024" s="0" t="s">
        <x:v>19945</x:v>
      </x:c>
      <x:c r="B5024" s="0" t="s">
        <x:v>19946</x:v>
      </x:c>
      <x:c r="C5024" s="0" t="s">
        <x:v>19947</x:v>
      </x:c>
      <x:c r="E5024" s="0" t="s">
        <x:v>19948</x:v>
      </x:c>
      <x:c r="F5024" s="0" t="s">
        <x:v>45</x:v>
      </x:c>
      <x:c r="G5024" s="0" t="s">
        <x:v>19</x:v>
      </x:c>
      <x:c r="H5024" s="0" t="s">
        <x:v>20</x:v>
      </x:c>
      <x:c r="I5024" s="0" t="s">
        <x:v>21</x:v>
      </x:c>
      <x:c r="K5024" s="0">
        <x:f>hyperlink("https://icd.who.int/dev11/l-ichi/en#/http%3A%2F%2Fid.who.int%2Ficd%2Fentity%2F694170614","browser")</x:f>
      </x:c>
      <x:c r="L5024" s="0">
        <x:f>hyperlink("https://icat2.azurewebsites.net/icat/?ontology=ICD&amp;tab=ClassesTab&amp;id=http%3A%2F%2Fwho.int%2Ficd%2327367_512ebf36_bf6b_4d70_85da_cf2637062af4","iCat")</x:f>
      </x:c>
      <x:c r="M5024" s="0" t="s">
        <x:v>21</x:v>
      </x:c>
      <x:c r="N5024" s="0" t="s">
        <x:v>46</x:v>
      </x:c>
    </x:row>
    <x:row r="5025" spans="1:16">
      <x:c r="A5025" s="0" t="s">
        <x:v>19949</x:v>
      </x:c>
      <x:c r="B5025" s="0" t="s">
        <x:v>19950</x:v>
      </x:c>
      <x:c r="C5025" s="0" t="s">
        <x:v>19951</x:v>
      </x:c>
      <x:c r="E5025" s="0" t="s">
        <x:v>19952</x:v>
      </x:c>
      <x:c r="F5025" s="0" t="s">
        <x:v>45</x:v>
      </x:c>
      <x:c r="G5025" s="0" t="s">
        <x:v>19</x:v>
      </x:c>
      <x:c r="H5025" s="0" t="s">
        <x:v>20</x:v>
      </x:c>
      <x:c r="I5025" s="0" t="s">
        <x:v>21</x:v>
      </x:c>
      <x:c r="K5025" s="0">
        <x:f>hyperlink("https://icd.who.int/dev11/l-ichi/en#/http%3A%2F%2Fid.who.int%2Ficd%2Fentity%2F651803496","browser")</x:f>
      </x:c>
      <x:c r="L5025" s="0">
        <x:f>hyperlink("https://icat2.azurewebsites.net/icat/?ontology=ICD&amp;tab=ClassesTab&amp;id=http%3A%2F%2Fwho.int%2Ficd%2327375_512ebf36_bf6b_4d70_85da_cf2637062af4","iCat")</x:f>
      </x:c>
      <x:c r="M5025" s="0" t="s">
        <x:v>21</x:v>
      </x:c>
      <x:c r="N5025" s="0" t="s">
        <x:v>46</x:v>
      </x:c>
    </x:row>
    <x:row r="5026" spans="1:16">
      <x:c r="A5026" s="0" t="s">
        <x:v>19953</x:v>
      </x:c>
      <x:c r="B5026" s="0" t="s">
        <x:v>19954</x:v>
      </x:c>
      <x:c r="C5026" s="0" t="s">
        <x:v>19955</x:v>
      </x:c>
      <x:c r="E5026" s="0" t="s">
        <x:v>19956</x:v>
      </x:c>
      <x:c r="F5026" s="0" t="s">
        <x:v>45</x:v>
      </x:c>
      <x:c r="G5026" s="0" t="s">
        <x:v>19</x:v>
      </x:c>
      <x:c r="H5026" s="0" t="s">
        <x:v>20</x:v>
      </x:c>
      <x:c r="I5026" s="0" t="s">
        <x:v>21</x:v>
      </x:c>
      <x:c r="K5026" s="0">
        <x:f>hyperlink("https://icd.who.int/dev11/l-ichi/en#/http%3A%2F%2Fid.who.int%2Ficd%2Fentity%2F2042386997","browser")</x:f>
      </x:c>
      <x:c r="L5026" s="0">
        <x:f>hyperlink("https://icat2.azurewebsites.net/icat/?ontology=ICD&amp;tab=ClassesTab&amp;id=http%3A%2F%2Fwho.int%2Ficd%2327382_512ebf36_bf6b_4d70_85da_cf2637062af4","iCat")</x:f>
      </x:c>
      <x:c r="M5026" s="0" t="s">
        <x:v>21</x:v>
      </x:c>
      <x:c r="N5026" s="0" t="s">
        <x:v>46</x:v>
      </x:c>
    </x:row>
    <x:row r="5027" spans="1:16">
      <x:c r="A5027" s="0" t="s">
        <x:v>19957</x:v>
      </x:c>
      <x:c r="B5027" s="0" t="s">
        <x:v>19958</x:v>
      </x:c>
      <x:c r="C5027" s="0" t="s">
        <x:v>19959</x:v>
      </x:c>
      <x:c r="E5027" s="0" t="s">
        <x:v>19960</x:v>
      </x:c>
      <x:c r="F5027" s="0" t="s">
        <x:v>45</x:v>
      </x:c>
      <x:c r="G5027" s="0" t="s">
        <x:v>19</x:v>
      </x:c>
      <x:c r="H5027" s="0" t="s">
        <x:v>20</x:v>
      </x:c>
      <x:c r="I5027" s="0" t="s">
        <x:v>21</x:v>
      </x:c>
      <x:c r="K5027" s="0">
        <x:f>hyperlink("https://icd.who.int/dev11/l-ichi/en#/http%3A%2F%2Fid.who.int%2Ficd%2Fentity%2F1924678809","browser")</x:f>
      </x:c>
      <x:c r="L5027" s="0">
        <x:f>hyperlink("https://icat2.azurewebsites.net/icat/?ontology=ICD&amp;tab=ClassesTab&amp;id=http%3A%2F%2Fwho.int%2Ficd%2327389_512ebf36_bf6b_4d70_85da_cf2637062af4","iCat")</x:f>
      </x:c>
      <x:c r="M5027" s="0" t="s">
        <x:v>21</x:v>
      </x:c>
      <x:c r="N5027" s="0" t="s">
        <x:v>46</x:v>
      </x:c>
    </x:row>
    <x:row r="5028" spans="1:16">
      <x:c r="A5028" s="0" t="s">
        <x:v>19961</x:v>
      </x:c>
      <x:c r="B5028" s="0" t="s">
        <x:v>19962</x:v>
      </x:c>
      <x:c r="C5028" s="0" t="s">
        <x:v>19963</x:v>
      </x:c>
      <x:c r="E5028" s="0" t="s">
        <x:v>19964</x:v>
      </x:c>
      <x:c r="F5028" s="0" t="s">
        <x:v>45</x:v>
      </x:c>
      <x:c r="G5028" s="0" t="s">
        <x:v>19</x:v>
      </x:c>
      <x:c r="H5028" s="0" t="s">
        <x:v>20</x:v>
      </x:c>
      <x:c r="I5028" s="0" t="s">
        <x:v>21</x:v>
      </x:c>
      <x:c r="K5028" s="0">
        <x:f>hyperlink("https://icd.who.int/dev11/l-ichi/en#/http%3A%2F%2Fid.who.int%2Ficd%2Fentity%2F1677419759","browser")</x:f>
      </x:c>
      <x:c r="L5028" s="0">
        <x:f>hyperlink("https://icat2.azurewebsites.net/icat/?ontology=ICD&amp;tab=ClassesTab&amp;id=http%3A%2F%2Fwho.int%2Ficd%2327395_512ebf36_bf6b_4d70_85da_cf2637062af4","iCat")</x:f>
      </x:c>
      <x:c r="M5028" s="0" t="s">
        <x:v>21</x:v>
      </x:c>
      <x:c r="N5028" s="0" t="s">
        <x:v>46</x:v>
      </x:c>
    </x:row>
    <x:row r="5029" spans="1:16">
      <x:c r="A5029" s="0" t="s">
        <x:v>19965</x:v>
      </x:c>
      <x:c r="B5029" s="0" t="s">
        <x:v>19966</x:v>
      </x:c>
      <x:c r="C5029" s="0" t="s">
        <x:v>19967</x:v>
      </x:c>
      <x:c r="E5029" s="0" t="s">
        <x:v>19968</x:v>
      </x:c>
      <x:c r="F5029" s="0" t="s">
        <x:v>45</x:v>
      </x:c>
      <x:c r="G5029" s="0" t="s">
        <x:v>19</x:v>
      </x:c>
      <x:c r="H5029" s="0" t="s">
        <x:v>20</x:v>
      </x:c>
      <x:c r="I5029" s="0" t="s">
        <x:v>21</x:v>
      </x:c>
      <x:c r="K5029" s="0">
        <x:f>hyperlink("https://icd.who.int/dev11/l-ichi/en#/http%3A%2F%2Fid.who.int%2Ficd%2Fentity%2F1331283044","browser")</x:f>
      </x:c>
      <x:c r="L5029" s="0">
        <x:f>hyperlink("https://icat2.azurewebsites.net/icat/?ontology=ICD&amp;tab=ClassesTab&amp;id=http%3A%2F%2Fwho.int%2Ficd%2327401_512ebf36_bf6b_4d70_85da_cf2637062af4","iCat")</x:f>
      </x:c>
      <x:c r="M5029" s="0" t="s">
        <x:v>21</x:v>
      </x:c>
      <x:c r="N5029" s="0" t="s">
        <x:v>46</x:v>
      </x:c>
    </x:row>
    <x:row r="5030" spans="1:16">
      <x:c r="A5030" s="0" t="s">
        <x:v>19969</x:v>
      </x:c>
      <x:c r="B5030" s="0" t="s">
        <x:v>19970</x:v>
      </x:c>
      <x:c r="C5030" s="0" t="s">
        <x:v>19971</x:v>
      </x:c>
      <x:c r="E5030" s="0" t="s">
        <x:v>19972</x:v>
      </x:c>
      <x:c r="F5030" s="0" t="s">
        <x:v>45</x:v>
      </x:c>
      <x:c r="G5030" s="0" t="s">
        <x:v>19</x:v>
      </x:c>
      <x:c r="H5030" s="0" t="s">
        <x:v>20</x:v>
      </x:c>
      <x:c r="I5030" s="0" t="s">
        <x:v>21</x:v>
      </x:c>
      <x:c r="K5030" s="0">
        <x:f>hyperlink("https://icd.who.int/dev11/l-ichi/en#/http%3A%2F%2Fid.who.int%2Ficd%2Fentity%2F555861773","browser")</x:f>
      </x:c>
      <x:c r="L5030" s="0">
        <x:f>hyperlink("https://icat2.azurewebsites.net/icat/?ontology=ICD&amp;tab=ClassesTab&amp;id=http%3A%2F%2Fwho.int%2Ficd%2327408_512ebf36_bf6b_4d70_85da_cf2637062af4","iCat")</x:f>
      </x:c>
      <x:c r="M5030" s="0" t="s">
        <x:v>21</x:v>
      </x:c>
      <x:c r="N5030" s="0" t="s">
        <x:v>46</x:v>
      </x:c>
    </x:row>
    <x:row r="5031" spans="1:16">
      <x:c r="A5031" s="0" t="s">
        <x:v>19973</x:v>
      </x:c>
      <x:c r="B5031" s="0" t="s">
        <x:v>19974</x:v>
      </x:c>
      <x:c r="C5031" s="0" t="s">
        <x:v>19975</x:v>
      </x:c>
      <x:c r="E5031" s="0" t="s">
        <x:v>19976</x:v>
      </x:c>
      <x:c r="F5031" s="0" t="s">
        <x:v>45</x:v>
      </x:c>
      <x:c r="G5031" s="0" t="s">
        <x:v>19</x:v>
      </x:c>
      <x:c r="H5031" s="0" t="s">
        <x:v>20</x:v>
      </x:c>
      <x:c r="I5031" s="0" t="s">
        <x:v>21</x:v>
      </x:c>
      <x:c r="K5031" s="0">
        <x:f>hyperlink("https://icd.who.int/dev11/l-ichi/en#/http%3A%2F%2Fid.who.int%2Ficd%2Fentity%2F278631751","browser")</x:f>
      </x:c>
      <x:c r="L5031" s="0">
        <x:f>hyperlink("https://icat2.azurewebsites.net/icat/?ontology=ICD&amp;tab=ClassesTab&amp;id=http%3A%2F%2Fwho.int%2Ficd%2327415_512ebf36_bf6b_4d70_85da_cf2637062af4","iCat")</x:f>
      </x:c>
      <x:c r="M5031" s="0" t="s">
        <x:v>21</x:v>
      </x:c>
      <x:c r="N5031" s="0" t="s">
        <x:v>46</x:v>
      </x:c>
    </x:row>
    <x:row r="5032" spans="1:16">
      <x:c r="A5032" s="0" t="s">
        <x:v>19977</x:v>
      </x:c>
      <x:c r="B5032" s="0" t="s">
        <x:v>19978</x:v>
      </x:c>
      <x:c r="C5032" s="0" t="s">
        <x:v>19979</x:v>
      </x:c>
      <x:c r="E5032" s="0" t="s">
        <x:v>19980</x:v>
      </x:c>
      <x:c r="F5032" s="0" t="s">
        <x:v>45</x:v>
      </x:c>
      <x:c r="G5032" s="0" t="s">
        <x:v>19</x:v>
      </x:c>
      <x:c r="H5032" s="0" t="s">
        <x:v>20</x:v>
      </x:c>
      <x:c r="I5032" s="0" t="s">
        <x:v>21</x:v>
      </x:c>
      <x:c r="K5032" s="0">
        <x:f>hyperlink("https://icd.who.int/dev11/l-ichi/en#/http%3A%2F%2Fid.who.int%2Ficd%2Fentity%2F327839471","browser")</x:f>
      </x:c>
      <x:c r="L5032" s="0">
        <x:f>hyperlink("https://icat2.azurewebsites.net/icat/?ontology=ICD&amp;tab=ClassesTab&amp;id=http%3A%2F%2Fwho.int%2Ficd%23894_63e30ea5_14bd_4823_bf2d_a6a05c9b9750","iCat")</x:f>
      </x:c>
      <x:c r="M5032" s="0" t="s">
        <x:v>21</x:v>
      </x:c>
      <x:c r="N5032" s="0" t="s">
        <x:v>46</x:v>
      </x:c>
    </x:row>
    <x:row r="5033" spans="1:16">
      <x:c r="A5033" s="0" t="s">
        <x:v>19981</x:v>
      </x:c>
      <x:c r="B5033" s="0" t="s">
        <x:v>19982</x:v>
      </x:c>
      <x:c r="C5033" s="0" t="s">
        <x:v>19983</x:v>
      </x:c>
      <x:c r="E5033" s="0" t="s">
        <x:v>19984</x:v>
      </x:c>
      <x:c r="F5033" s="0" t="s">
        <x:v>45</x:v>
      </x:c>
      <x:c r="G5033" s="0" t="s">
        <x:v>19</x:v>
      </x:c>
      <x:c r="H5033" s="0" t="s">
        <x:v>20</x:v>
      </x:c>
      <x:c r="I5033" s="0" t="s">
        <x:v>21</x:v>
      </x:c>
      <x:c r="K5033" s="0">
        <x:f>hyperlink("https://icd.who.int/dev11/l-ichi/en#/http%3A%2F%2Fid.who.int%2Ficd%2Fentity%2F1697452342","browser")</x:f>
      </x:c>
      <x:c r="L5033" s="0">
        <x:f>hyperlink("https://icat2.azurewebsites.net/icat/?ontology=ICD&amp;tab=ClassesTab&amp;id=http%3A%2F%2Fwho.int%2Ficd%2327421_512ebf36_bf6b_4d70_85da_cf2637062af4","iCat")</x:f>
      </x:c>
      <x:c r="M5033" s="0" t="s">
        <x:v>21</x:v>
      </x:c>
      <x:c r="N5033" s="0" t="s">
        <x:v>46</x:v>
      </x:c>
    </x:row>
    <x:row r="5034" spans="1:16">
      <x:c r="A5034" s="0" t="s">
        <x:v>19985</x:v>
      </x:c>
      <x:c r="B5034" s="0" t="s">
        <x:v>19986</x:v>
      </x:c>
      <x:c r="C5034" s="0" t="s">
        <x:v>19987</x:v>
      </x:c>
      <x:c r="E5034" s="0" t="s">
        <x:v>19988</x:v>
      </x:c>
      <x:c r="F5034" s="0" t="s">
        <x:v>45</x:v>
      </x:c>
      <x:c r="G5034" s="0" t="s">
        <x:v>19</x:v>
      </x:c>
      <x:c r="H5034" s="0" t="s">
        <x:v>20</x:v>
      </x:c>
      <x:c r="I5034" s="0" t="s">
        <x:v>21</x:v>
      </x:c>
      <x:c r="K5034" s="0">
        <x:f>hyperlink("https://icd.who.int/dev11/l-ichi/en#/http%3A%2F%2Fid.who.int%2Ficd%2Fentity%2F190124637","browser")</x:f>
      </x:c>
      <x:c r="L5034" s="0">
        <x:f>hyperlink("https://icat2.azurewebsites.net/icat/?ontology=ICD&amp;tab=ClassesTab&amp;id=http%3A%2F%2Fwho.int%2Ficd%2327428_512ebf36_bf6b_4d70_85da_cf2637062af4","iCat")</x:f>
      </x:c>
      <x:c r="M5034" s="0" t="s">
        <x:v>21</x:v>
      </x:c>
      <x:c r="N5034" s="0" t="s">
        <x:v>46</x:v>
      </x:c>
    </x:row>
    <x:row r="5035" spans="1:16">
      <x:c r="A5035" s="0" t="s">
        <x:v>19989</x:v>
      </x:c>
      <x:c r="B5035" s="0" t="s">
        <x:v>19990</x:v>
      </x:c>
      <x:c r="C5035" s="0" t="s">
        <x:v>19991</x:v>
      </x:c>
      <x:c r="E5035" s="0" t="s">
        <x:v>19992</x:v>
      </x:c>
      <x:c r="F5035" s="0" t="s">
        <x:v>45</x:v>
      </x:c>
      <x:c r="G5035" s="0" t="s">
        <x:v>19</x:v>
      </x:c>
      <x:c r="H5035" s="0" t="s">
        <x:v>20</x:v>
      </x:c>
      <x:c r="I5035" s="0" t="s">
        <x:v>21</x:v>
      </x:c>
      <x:c r="K5035" s="0">
        <x:f>hyperlink("https://icd.who.int/dev11/l-ichi/en#/http%3A%2F%2Fid.who.int%2Ficd%2Fentity%2F988758039","browser")</x:f>
      </x:c>
      <x:c r="L5035" s="0">
        <x:f>hyperlink("https://icat2.azurewebsites.net/icat/?ontology=ICD&amp;tab=ClassesTab&amp;id=http%3A%2F%2Fwho.int%2Ficd%2327435_512ebf36_bf6b_4d70_85da_cf2637062af4","iCat")</x:f>
      </x:c>
      <x:c r="M5035" s="0" t="s">
        <x:v>21</x:v>
      </x:c>
      <x:c r="N5035" s="0" t="s">
        <x:v>46</x:v>
      </x:c>
    </x:row>
    <x:row r="5036" spans="1:16">
      <x:c r="A5036" s="0" t="s">
        <x:v>19993</x:v>
      </x:c>
      <x:c r="B5036" s="0" t="s">
        <x:v>19994</x:v>
      </x:c>
      <x:c r="C5036" s="0" t="s">
        <x:v>19995</x:v>
      </x:c>
      <x:c r="E5036" s="0" t="s">
        <x:v>19996</x:v>
      </x:c>
      <x:c r="F5036" s="0" t="s">
        <x:v>45</x:v>
      </x:c>
      <x:c r="G5036" s="0" t="s">
        <x:v>19</x:v>
      </x:c>
      <x:c r="H5036" s="0" t="s">
        <x:v>20</x:v>
      </x:c>
      <x:c r="I5036" s="0" t="s">
        <x:v>21</x:v>
      </x:c>
      <x:c r="K5036" s="0">
        <x:f>hyperlink("https://icd.who.int/dev11/l-ichi/en#/http%3A%2F%2Fid.who.int%2Ficd%2Fentity%2F171528973","browser")</x:f>
      </x:c>
      <x:c r="L5036" s="0">
        <x:f>hyperlink("https://icat2.azurewebsites.net/icat/?ontology=ICD&amp;tab=ClassesTab&amp;id=http%3A%2F%2Fwho.int%2Ficd%2327445_512ebf36_bf6b_4d70_85da_cf2637062af4","iCat")</x:f>
      </x:c>
      <x:c r="M5036" s="0" t="s">
        <x:v>21</x:v>
      </x:c>
      <x:c r="N5036" s="0" t="s">
        <x:v>46</x:v>
      </x:c>
    </x:row>
    <x:row r="5037" spans="1:16">
      <x:c r="A5037" s="0" t="s">
        <x:v>19997</x:v>
      </x:c>
      <x:c r="B5037" s="0" t="s">
        <x:v>19998</x:v>
      </x:c>
      <x:c r="C5037" s="0" t="s">
        <x:v>19999</x:v>
      </x:c>
      <x:c r="E5037" s="0" t="s">
        <x:v>20000</x:v>
      </x:c>
      <x:c r="F5037" s="0" t="s">
        <x:v>45</x:v>
      </x:c>
      <x:c r="G5037" s="0" t="s">
        <x:v>19</x:v>
      </x:c>
      <x:c r="H5037" s="0" t="s">
        <x:v>20</x:v>
      </x:c>
      <x:c r="I5037" s="0" t="s">
        <x:v>21</x:v>
      </x:c>
      <x:c r="K5037" s="0">
        <x:f>hyperlink("https://icd.who.int/dev11/l-ichi/en#/http%3A%2F%2Fid.who.int%2Ficd%2Fentity%2F1442513454","browser")</x:f>
      </x:c>
      <x:c r="L5037" s="0">
        <x:f>hyperlink("https://icat2.azurewebsites.net/icat/?ontology=ICD&amp;tab=ClassesTab&amp;id=http%3A%2F%2Fwho.int%2Ficd%2327451_512ebf36_bf6b_4d70_85da_cf2637062af4","iCat")</x:f>
      </x:c>
      <x:c r="M5037" s="0" t="s">
        <x:v>21</x:v>
      </x:c>
      <x:c r="N5037" s="0" t="s">
        <x:v>46</x:v>
      </x:c>
    </x:row>
    <x:row r="5038" spans="1:16">
      <x:c r="A5038" s="0" t="s">
        <x:v>20001</x:v>
      </x:c>
      <x:c r="B5038" s="0" t="s">
        <x:v>20002</x:v>
      </x:c>
      <x:c r="C5038" s="0" t="s">
        <x:v>20003</x:v>
      </x:c>
      <x:c r="E5038" s="0" t="s">
        <x:v>20004</x:v>
      </x:c>
      <x:c r="F5038" s="0" t="s">
        <x:v>45</x:v>
      </x:c>
      <x:c r="G5038" s="0" t="s">
        <x:v>19</x:v>
      </x:c>
      <x:c r="H5038" s="0" t="s">
        <x:v>20</x:v>
      </x:c>
      <x:c r="I5038" s="0" t="s">
        <x:v>21</x:v>
      </x:c>
      <x:c r="K5038" s="0">
        <x:f>hyperlink("https://icd.who.int/dev11/l-ichi/en#/http%3A%2F%2Fid.who.int%2Ficd%2Fentity%2F92330911","browser")</x:f>
      </x:c>
      <x:c r="L5038" s="0">
        <x:f>hyperlink("https://icat2.azurewebsites.net/icat/?ontology=ICD&amp;tab=ClassesTab&amp;id=http%3A%2F%2Fwho.int%2Ficd%2327457_512ebf36_bf6b_4d70_85da_cf2637062af4","iCat")</x:f>
      </x:c>
      <x:c r="M5038" s="0" t="s">
        <x:v>21</x:v>
      </x:c>
      <x:c r="N5038" s="0" t="s">
        <x:v>46</x:v>
      </x:c>
    </x:row>
    <x:row r="5039" spans="1:16">
      <x:c r="A5039" s="0" t="s">
        <x:v>20005</x:v>
      </x:c>
      <x:c r="B5039" s="0" t="s">
        <x:v>20006</x:v>
      </x:c>
      <x:c r="C5039" s="0" t="s">
        <x:v>20007</x:v>
      </x:c>
      <x:c r="E5039" s="0" t="s">
        <x:v>20008</x:v>
      </x:c>
      <x:c r="F5039" s="0" t="s">
        <x:v>45</x:v>
      </x:c>
      <x:c r="G5039" s="0" t="s">
        <x:v>19</x:v>
      </x:c>
      <x:c r="H5039" s="0" t="s">
        <x:v>20</x:v>
      </x:c>
      <x:c r="I5039" s="0" t="s">
        <x:v>21</x:v>
      </x:c>
      <x:c r="K5039" s="0">
        <x:f>hyperlink("https://icd.who.int/dev11/l-ichi/en#/http%3A%2F%2Fid.who.int%2Ficd%2Fentity%2F11859041","browser")</x:f>
      </x:c>
      <x:c r="L5039" s="0">
        <x:f>hyperlink("https://icat2.azurewebsites.net/icat/?ontology=ICD&amp;tab=ClassesTab&amp;id=http%3A%2F%2Fwho.int%2Ficd%2327464_512ebf36_bf6b_4d70_85da_cf2637062af4","iCat")</x:f>
      </x:c>
      <x:c r="M5039" s="0" t="s">
        <x:v>21</x:v>
      </x:c>
      <x:c r="N5039" s="0" t="s">
        <x:v>46</x:v>
      </x:c>
    </x:row>
    <x:row r="5040" spans="1:16">
      <x:c r="A5040" s="0" t="s">
        <x:v>20009</x:v>
      </x:c>
      <x:c r="B5040" s="0" t="s">
        <x:v>20010</x:v>
      </x:c>
      <x:c r="C5040" s="0" t="s">
        <x:v>20011</x:v>
      </x:c>
      <x:c r="E5040" s="0" t="s">
        <x:v>20012</x:v>
      </x:c>
      <x:c r="F5040" s="0" t="s">
        <x:v>45</x:v>
      </x:c>
      <x:c r="G5040" s="0" t="s">
        <x:v>19</x:v>
      </x:c>
      <x:c r="H5040" s="0" t="s">
        <x:v>20</x:v>
      </x:c>
      <x:c r="I5040" s="0" t="s">
        <x:v>21</x:v>
      </x:c>
      <x:c r="K5040" s="0">
        <x:f>hyperlink("https://icd.who.int/dev11/l-ichi/en#/http%3A%2F%2Fid.who.int%2Ficd%2Fentity%2F2140133248","browser")</x:f>
      </x:c>
      <x:c r="L5040" s="0">
        <x:f>hyperlink("https://icat2.azurewebsites.net/icat/?ontology=ICD&amp;tab=ClassesTab&amp;id=http%3A%2F%2Fwho.int%2Ficd%2327471_512ebf36_bf6b_4d70_85da_cf2637062af4","iCat")</x:f>
      </x:c>
      <x:c r="M5040" s="0" t="s">
        <x:v>21</x:v>
      </x:c>
      <x:c r="N5040" s="0" t="s">
        <x:v>46</x:v>
      </x:c>
    </x:row>
    <x:row r="5041" spans="1:16">
      <x:c r="A5041" s="0" t="s">
        <x:v>20013</x:v>
      </x:c>
      <x:c r="B5041" s="0" t="s">
        <x:v>20014</x:v>
      </x:c>
      <x:c r="C5041" s="0" t="s">
        <x:v>20015</x:v>
      </x:c>
      <x:c r="E5041" s="0" t="s">
        <x:v>20016</x:v>
      </x:c>
      <x:c r="F5041" s="0" t="s">
        <x:v>45</x:v>
      </x:c>
      <x:c r="G5041" s="0" t="s">
        <x:v>19</x:v>
      </x:c>
      <x:c r="H5041" s="0" t="s">
        <x:v>20</x:v>
      </x:c>
      <x:c r="I5041" s="0" t="s">
        <x:v>21</x:v>
      </x:c>
      <x:c r="K5041" s="0">
        <x:f>hyperlink("https://icd.who.int/dev11/l-ichi/en#/http%3A%2F%2Fid.who.int%2Ficd%2Fentity%2F804523727","browser")</x:f>
      </x:c>
      <x:c r="L5041" s="0">
        <x:f>hyperlink("https://icat2.azurewebsites.net/icat/?ontology=ICD&amp;tab=ClassesTab&amp;id=http%3A%2F%2Fwho.int%2Ficd%2327477_512ebf36_bf6b_4d70_85da_cf2637062af4","iCat")</x:f>
      </x:c>
      <x:c r="M5041" s="0" t="s">
        <x:v>21</x:v>
      </x:c>
      <x:c r="N5041" s="0" t="s">
        <x:v>46</x:v>
      </x:c>
    </x:row>
    <x:row r="5042" spans="1:16">
      <x:c r="A5042" s="0" t="s">
        <x:v>20017</x:v>
      </x:c>
      <x:c r="B5042" s="0" t="s">
        <x:v>20018</x:v>
      </x:c>
      <x:c r="C5042" s="0" t="s">
        <x:v>20019</x:v>
      </x:c>
      <x:c r="E5042" s="0" t="s">
        <x:v>20020</x:v>
      </x:c>
      <x:c r="F5042" s="0" t="s">
        <x:v>45</x:v>
      </x:c>
      <x:c r="G5042" s="0" t="s">
        <x:v>19</x:v>
      </x:c>
      <x:c r="H5042" s="0" t="s">
        <x:v>20</x:v>
      </x:c>
      <x:c r="I5042" s="0" t="s">
        <x:v>21</x:v>
      </x:c>
      <x:c r="K5042" s="0">
        <x:f>hyperlink("https://icd.who.int/dev11/l-ichi/en#/http%3A%2F%2Fid.who.int%2Ficd%2Fentity%2F890536037","browser")</x:f>
      </x:c>
      <x:c r="L5042" s="0">
        <x:f>hyperlink("https://icat2.azurewebsites.net/icat/?ontology=ICD&amp;tab=ClassesTab&amp;id=http%3A%2F%2Fwho.int%2Ficd%2327483_512ebf36_bf6b_4d70_85da_cf2637062af4","iCat")</x:f>
      </x:c>
      <x:c r="M5042" s="0" t="s">
        <x:v>21</x:v>
      </x:c>
      <x:c r="N5042" s="0" t="s">
        <x:v>46</x:v>
      </x:c>
    </x:row>
    <x:row r="5043" spans="1:16">
      <x:c r="A5043" s="0" t="s">
        <x:v>20021</x:v>
      </x:c>
      <x:c r="B5043" s="0" t="s">
        <x:v>20022</x:v>
      </x:c>
      <x:c r="C5043" s="0" t="s">
        <x:v>20023</x:v>
      </x:c>
      <x:c r="E5043" s="0" t="s">
        <x:v>20024</x:v>
      </x:c>
      <x:c r="F5043" s="0" t="s">
        <x:v>45</x:v>
      </x:c>
      <x:c r="G5043" s="0" t="s">
        <x:v>19</x:v>
      </x:c>
      <x:c r="H5043" s="0" t="s">
        <x:v>20</x:v>
      </x:c>
      <x:c r="I5043" s="0" t="s">
        <x:v>21</x:v>
      </x:c>
      <x:c r="K5043" s="0">
        <x:f>hyperlink("https://icd.who.int/dev11/l-ichi/en#/http%3A%2F%2Fid.who.int%2Ficd%2Fentity%2F518647029","browser")</x:f>
      </x:c>
      <x:c r="L5043" s="0">
        <x:f>hyperlink("https://icat2.azurewebsites.net/icat/?ontology=ICD&amp;tab=ClassesTab&amp;id=http%3A%2F%2Fwho.int%2Ficd%2327489_512ebf36_bf6b_4d70_85da_cf2637062af4","iCat")</x:f>
      </x:c>
      <x:c r="M5043" s="0" t="s">
        <x:v>21</x:v>
      </x:c>
      <x:c r="N5043" s="0" t="s">
        <x:v>46</x:v>
      </x:c>
    </x:row>
    <x:row r="5044" spans="1:16">
      <x:c r="A5044" s="0" t="s">
        <x:v>20025</x:v>
      </x:c>
      <x:c r="B5044" s="0" t="s">
        <x:v>20026</x:v>
      </x:c>
      <x:c r="C5044" s="0" t="s">
        <x:v>20027</x:v>
      </x:c>
      <x:c r="E5044" s="0" t="s">
        <x:v>20028</x:v>
      </x:c>
      <x:c r="F5044" s="0" t="s">
        <x:v>45</x:v>
      </x:c>
      <x:c r="G5044" s="0" t="s">
        <x:v>19</x:v>
      </x:c>
      <x:c r="H5044" s="0" t="s">
        <x:v>20</x:v>
      </x:c>
      <x:c r="I5044" s="0" t="s">
        <x:v>21</x:v>
      </x:c>
      <x:c r="K5044" s="0">
        <x:f>hyperlink("https://icd.who.int/dev11/l-ichi/en#/http%3A%2F%2Fid.who.int%2Ficd%2Fentity%2F262851715","browser")</x:f>
      </x:c>
      <x:c r="L5044" s="0">
        <x:f>hyperlink("https://icat2.azurewebsites.net/icat/?ontology=ICD&amp;tab=ClassesTab&amp;id=http%3A%2F%2Fwho.int%2Ficd%2327495_512ebf36_bf6b_4d70_85da_cf2637062af4","iCat")</x:f>
      </x:c>
      <x:c r="M5044" s="0" t="s">
        <x:v>21</x:v>
      </x:c>
      <x:c r="N5044" s="0" t="s">
        <x:v>46</x:v>
      </x:c>
    </x:row>
    <x:row r="5045" spans="1:16">
      <x:c r="A5045" s="0" t="s">
        <x:v>20029</x:v>
      </x:c>
      <x:c r="B5045" s="0" t="s">
        <x:v>20030</x:v>
      </x:c>
      <x:c r="D5045" s="0" t="s">
        <x:v>20031</x:v>
      </x:c>
      <x:c r="E5045" s="0" t="s">
        <x:v>20032</x:v>
      </x:c>
      <x:c r="F5045" s="0" t="s">
        <x:v>26</x:v>
      </x:c>
      <x:c r="G5045" s="0" t="s">
        <x:v>22</x:v>
      </x:c>
      <x:c r="H5045" s="0" t="s">
        <x:v>20</x:v>
      </x:c>
      <x:c r="I5045" s="0" t="s">
        <x:v>21</x:v>
      </x:c>
      <x:c r="K5045" s="0">
        <x:f>hyperlink("https://icd.who.int/dev11/l-ichi/en#/http%3A%2F%2Fid.who.int%2Ficd%2Fentity%2F2135125250","browser")</x:f>
      </x:c>
      <x:c r="L5045" s="0">
        <x:f>hyperlink("https://icat2.azurewebsites.net/icat/?ontology=ICD&amp;tab=ClassesTab&amp;id=http%3A%2F%2Fwho.int%2Ficd%2327502_512ebf36_bf6b_4d70_85da_cf2637062af4","iCat")</x:f>
      </x:c>
      <x:c r="M5045" s="0" t="s">
        <x:v>20</x:v>
      </x:c>
      <x:c r="N5045" s="0" t="s">
        <x:v>20033</x:v>
      </x:c>
    </x:row>
    <x:row r="5046" spans="1:16">
      <x:c r="A5046" s="0" t="s">
        <x:v>20034</x:v>
      </x:c>
      <x:c r="B5046" s="0" t="s">
        <x:v>20035</x:v>
      </x:c>
      <x:c r="C5046" s="0" t="s">
        <x:v>20036</x:v>
      </x:c>
      <x:c r="E5046" s="0" t="s">
        <x:v>20037</x:v>
      </x:c>
      <x:c r="F5046" s="0" t="s">
        <x:v>45</x:v>
      </x:c>
      <x:c r="G5046" s="0" t="s">
        <x:v>19</x:v>
      </x:c>
      <x:c r="H5046" s="0" t="s">
        <x:v>20</x:v>
      </x:c>
      <x:c r="I5046" s="0" t="s">
        <x:v>21</x:v>
      </x:c>
      <x:c r="K5046" s="0">
        <x:f>hyperlink("https://icd.who.int/dev11/l-ichi/en#/http%3A%2F%2Fid.who.int%2Ficd%2Fentity%2F986055417","browser")</x:f>
      </x:c>
      <x:c r="L5046" s="0">
        <x:f>hyperlink("https://icat2.azurewebsites.net/icat/?ontology=ICD&amp;tab=ClassesTab&amp;id=http%3A%2F%2Fwho.int%2Ficd%2327501_512ebf36_bf6b_4d70_85da_cf2637062af4","iCat")</x:f>
      </x:c>
      <x:c r="M5046" s="0" t="s">
        <x:v>21</x:v>
      </x:c>
      <x:c r="N5046" s="0" t="s">
        <x:v>46</x:v>
      </x:c>
    </x:row>
    <x:row r="5047" spans="1:16">
      <x:c r="A5047" s="0" t="s">
        <x:v>20038</x:v>
      </x:c>
      <x:c r="B5047" s="0" t="s">
        <x:v>20039</x:v>
      </x:c>
      <x:c r="C5047" s="0" t="s">
        <x:v>20040</x:v>
      </x:c>
      <x:c r="E5047" s="0" t="s">
        <x:v>20041</x:v>
      </x:c>
      <x:c r="F5047" s="0" t="s">
        <x:v>45</x:v>
      </x:c>
      <x:c r="G5047" s="0" t="s">
        <x:v>19</x:v>
      </x:c>
      <x:c r="H5047" s="0" t="s">
        <x:v>20</x:v>
      </x:c>
      <x:c r="I5047" s="0" t="s">
        <x:v>21</x:v>
      </x:c>
      <x:c r="K5047" s="0">
        <x:f>hyperlink("https://icd.who.int/dev11/l-ichi/en#/http%3A%2F%2Fid.who.int%2Ficd%2Fentity%2F897550955","browser")</x:f>
      </x:c>
      <x:c r="L5047" s="0">
        <x:f>hyperlink("https://icat2.azurewebsites.net/icat/?ontology=ICD&amp;tab=ClassesTab&amp;id=http%3A%2F%2Fwho.int%2Ficd%2327513_512ebf36_bf6b_4d70_85da_cf2637062af4","iCat")</x:f>
      </x:c>
      <x:c r="M5047" s="0" t="s">
        <x:v>21</x:v>
      </x:c>
      <x:c r="N5047" s="0" t="s">
        <x:v>46</x:v>
      </x:c>
    </x:row>
    <x:row r="5048" spans="1:16">
      <x:c r="A5048" s="0" t="s">
        <x:v>20042</x:v>
      </x:c>
      <x:c r="B5048" s="0" t="s">
        <x:v>20043</x:v>
      </x:c>
      <x:c r="C5048" s="0" t="s">
        <x:v>20044</x:v>
      </x:c>
      <x:c r="E5048" s="0" t="s">
        <x:v>20045</x:v>
      </x:c>
      <x:c r="F5048" s="0" t="s">
        <x:v>45</x:v>
      </x:c>
      <x:c r="G5048" s="0" t="s">
        <x:v>19</x:v>
      </x:c>
      <x:c r="H5048" s="0" t="s">
        <x:v>20</x:v>
      </x:c>
      <x:c r="I5048" s="0" t="s">
        <x:v>21</x:v>
      </x:c>
      <x:c r="K5048" s="0">
        <x:f>hyperlink("https://icd.who.int/dev11/l-ichi/en#/http%3A%2F%2Fid.who.int%2Ficd%2Fentity%2F810263957","browser")</x:f>
      </x:c>
      <x:c r="L5048" s="0">
        <x:f>hyperlink("https://icat2.azurewebsites.net/icat/?ontology=ICD&amp;tab=ClassesTab&amp;id=http%3A%2F%2Fwho.int%2Ficd%2327520_512ebf36_bf6b_4d70_85da_cf2637062af4","iCat")</x:f>
      </x:c>
      <x:c r="M5048" s="0" t="s">
        <x:v>21</x:v>
      </x:c>
      <x:c r="N5048" s="0" t="s">
        <x:v>46</x:v>
      </x:c>
    </x:row>
    <x:row r="5049" spans="1:16">
      <x:c r="A5049" s="0" t="s">
        <x:v>20046</x:v>
      </x:c>
      <x:c r="B5049" s="0" t="s">
        <x:v>20047</x:v>
      </x:c>
      <x:c r="C5049" s="0" t="s">
        <x:v>20048</x:v>
      </x:c>
      <x:c r="E5049" s="0" t="s">
        <x:v>20049</x:v>
      </x:c>
      <x:c r="F5049" s="0" t="s">
        <x:v>45</x:v>
      </x:c>
      <x:c r="G5049" s="0" t="s">
        <x:v>19</x:v>
      </x:c>
      <x:c r="H5049" s="0" t="s">
        <x:v>20</x:v>
      </x:c>
      <x:c r="I5049" s="0" t="s">
        <x:v>21</x:v>
      </x:c>
      <x:c r="K5049" s="0">
        <x:f>hyperlink("https://icd.who.int/dev11/l-ichi/en#/http%3A%2F%2Fid.who.int%2Ficd%2Fentity%2F1015787791","browser")</x:f>
      </x:c>
      <x:c r="L5049" s="0">
        <x:f>hyperlink("https://icat2.azurewebsites.net/icat/?ontology=ICD&amp;tab=ClassesTab&amp;id=http%3A%2F%2Fwho.int%2Ficd%23418_4869915e_217e_423d_acb3_33c0f920ef4b","iCat")</x:f>
      </x:c>
      <x:c r="M5049" s="0" t="s">
        <x:v>21</x:v>
      </x:c>
      <x:c r="N5049" s="0" t="s">
        <x:v>46</x:v>
      </x:c>
    </x:row>
    <x:row r="5050" spans="1:16">
      <x:c r="A5050" s="0" t="s">
        <x:v>20050</x:v>
      </x:c>
      <x:c r="B5050" s="0" t="s">
        <x:v>20051</x:v>
      </x:c>
      <x:c r="C5050" s="0" t="s">
        <x:v>20052</x:v>
      </x:c>
      <x:c r="E5050" s="0" t="s">
        <x:v>20053</x:v>
      </x:c>
      <x:c r="F5050" s="0" t="s">
        <x:v>45</x:v>
      </x:c>
      <x:c r="G5050" s="0" t="s">
        <x:v>19</x:v>
      </x:c>
      <x:c r="H5050" s="0" t="s">
        <x:v>20</x:v>
      </x:c>
      <x:c r="I5050" s="0" t="s">
        <x:v>21</x:v>
      </x:c>
      <x:c r="K5050" s="0">
        <x:f>hyperlink("https://icd.who.int/dev11/l-ichi/en#/http%3A%2F%2Fid.who.int%2Ficd%2Fentity%2F1086918168","browser")</x:f>
      </x:c>
      <x:c r="L5050" s="0">
        <x:f>hyperlink("https://icat2.azurewebsites.net/icat/?ontology=ICD&amp;tab=ClassesTab&amp;id=http%3A%2F%2Fwho.int%2Ficd%2327527_512ebf36_bf6b_4d70_85da_cf2637062af4","iCat")</x:f>
      </x:c>
      <x:c r="M5050" s="0" t="s">
        <x:v>21</x:v>
      </x:c>
      <x:c r="N5050" s="0" t="s">
        <x:v>46</x:v>
      </x:c>
    </x:row>
    <x:row r="5051" spans="1:16">
      <x:c r="A5051" s="0" t="s">
        <x:v>20054</x:v>
      </x:c>
      <x:c r="B5051" s="0" t="s">
        <x:v>20055</x:v>
      </x:c>
      <x:c r="C5051" s="0" t="s">
        <x:v>20056</x:v>
      </x:c>
      <x:c r="E5051" s="0" t="s">
        <x:v>20057</x:v>
      </x:c>
      <x:c r="F5051" s="0" t="s">
        <x:v>45</x:v>
      </x:c>
      <x:c r="G5051" s="0" t="s">
        <x:v>19</x:v>
      </x:c>
      <x:c r="H5051" s="0" t="s">
        <x:v>20</x:v>
      </x:c>
      <x:c r="I5051" s="0" t="s">
        <x:v>21</x:v>
      </x:c>
      <x:c r="K5051" s="0">
        <x:f>hyperlink("https://icd.who.int/dev11/l-ichi/en#/http%3A%2F%2Fid.who.int%2Ficd%2Fentity%2F1784161242","browser")</x:f>
      </x:c>
      <x:c r="L5051" s="0">
        <x:f>hyperlink("https://icat2.azurewebsites.net/icat/?ontology=ICD&amp;tab=ClassesTab&amp;id=http%3A%2F%2Fwho.int%2Ficd%2327540_512ebf36_bf6b_4d70_85da_cf2637062af4","iCat")</x:f>
      </x:c>
      <x:c r="M5051" s="0" t="s">
        <x:v>21</x:v>
      </x:c>
      <x:c r="N5051" s="0" t="s">
        <x:v>46</x:v>
      </x:c>
    </x:row>
    <x:row r="5052" spans="1:16">
      <x:c r="A5052" s="0" t="s">
        <x:v>20058</x:v>
      </x:c>
      <x:c r="B5052" s="0" t="s">
        <x:v>20059</x:v>
      </x:c>
      <x:c r="C5052" s="0" t="s">
        <x:v>20060</x:v>
      </x:c>
      <x:c r="E5052" s="0" t="s">
        <x:v>20061</x:v>
      </x:c>
      <x:c r="F5052" s="0" t="s">
        <x:v>45</x:v>
      </x:c>
      <x:c r="G5052" s="0" t="s">
        <x:v>19</x:v>
      </x:c>
      <x:c r="H5052" s="0" t="s">
        <x:v>20</x:v>
      </x:c>
      <x:c r="I5052" s="0" t="s">
        <x:v>21</x:v>
      </x:c>
      <x:c r="K5052" s="0">
        <x:f>hyperlink("https://icd.who.int/dev11/l-ichi/en#/http%3A%2F%2Fid.who.int%2Ficd%2Fentity%2F450529365","browser")</x:f>
      </x:c>
      <x:c r="L5052" s="0">
        <x:f>hyperlink("https://icat2.azurewebsites.net/icat/?ontology=ICD&amp;tab=ClassesTab&amp;id=http%3A%2F%2Fwho.int%2Ficd%2327547_512ebf36_bf6b_4d70_85da_cf2637062af4","iCat")</x:f>
      </x:c>
      <x:c r="M5052" s="0" t="s">
        <x:v>21</x:v>
      </x:c>
      <x:c r="N5052" s="0" t="s">
        <x:v>46</x:v>
      </x:c>
    </x:row>
    <x:row r="5053" spans="1:16">
      <x:c r="A5053" s="0" t="s">
        <x:v>20062</x:v>
      </x:c>
      <x:c r="B5053" s="0" t="s">
        <x:v>20063</x:v>
      </x:c>
      <x:c r="C5053" s="0" t="s">
        <x:v>20064</x:v>
      </x:c>
      <x:c r="E5053" s="0" t="s">
        <x:v>20065</x:v>
      </x:c>
      <x:c r="F5053" s="0" t="s">
        <x:v>45</x:v>
      </x:c>
      <x:c r="G5053" s="0" t="s">
        <x:v>19</x:v>
      </x:c>
      <x:c r="H5053" s="0" t="s">
        <x:v>20</x:v>
      </x:c>
      <x:c r="I5053" s="0" t="s">
        <x:v>21</x:v>
      </x:c>
      <x:c r="K5053" s="0">
        <x:f>hyperlink("https://icd.who.int/dev11/l-ichi/en#/http%3A%2F%2Fid.who.int%2Ficd%2Fentity%2F1159256438","browser")</x:f>
      </x:c>
      <x:c r="L5053" s="0">
        <x:f>hyperlink("https://icat2.azurewebsites.net/icat/?ontology=ICD&amp;tab=ClassesTab&amp;id=http%3A%2F%2Fwho.int%2Ficd%2327553_512ebf36_bf6b_4d70_85da_cf2637062af4","iCat")</x:f>
      </x:c>
      <x:c r="M5053" s="0" t="s">
        <x:v>21</x:v>
      </x:c>
      <x:c r="N5053" s="0" t="s">
        <x:v>46</x:v>
      </x:c>
    </x:row>
    <x:row r="5054" spans="1:16">
      <x:c r="A5054" s="0" t="s">
        <x:v>20066</x:v>
      </x:c>
      <x:c r="B5054" s="0" t="s">
        <x:v>20067</x:v>
      </x:c>
      <x:c r="C5054" s="0" t="s">
        <x:v>20068</x:v>
      </x:c>
      <x:c r="E5054" s="0" t="s">
        <x:v>20069</x:v>
      </x:c>
      <x:c r="F5054" s="0" t="s">
        <x:v>45</x:v>
      </x:c>
      <x:c r="G5054" s="0" t="s">
        <x:v>19</x:v>
      </x:c>
      <x:c r="H5054" s="0" t="s">
        <x:v>20</x:v>
      </x:c>
      <x:c r="I5054" s="0" t="s">
        <x:v>21</x:v>
      </x:c>
      <x:c r="K5054" s="0">
        <x:f>hyperlink("https://icd.who.int/dev11/l-ichi/en#/http%3A%2F%2Fid.who.int%2Ficd%2Fentity%2F1860548070","browser")</x:f>
      </x:c>
      <x:c r="L5054" s="0">
        <x:f>hyperlink("https://icat2.azurewebsites.net/icat/?ontology=ICD&amp;tab=ClassesTab&amp;id=http%3A%2F%2Fwho.int%2Ficd%2327559_512ebf36_bf6b_4d70_85da_cf2637062af4","iCat")</x:f>
      </x:c>
      <x:c r="M5054" s="0" t="s">
        <x:v>21</x:v>
      </x:c>
      <x:c r="N5054" s="0" t="s">
        <x:v>46</x:v>
      </x:c>
    </x:row>
    <x:row r="5055" spans="1:16">
      <x:c r="A5055" s="0" t="s">
        <x:v>20070</x:v>
      </x:c>
      <x:c r="B5055" s="0" t="s">
        <x:v>20071</x:v>
      </x:c>
      <x:c r="C5055" s="0" t="s">
        <x:v>20072</x:v>
      </x:c>
      <x:c r="E5055" s="0" t="s">
        <x:v>20073</x:v>
      </x:c>
      <x:c r="F5055" s="0" t="s">
        <x:v>45</x:v>
      </x:c>
      <x:c r="G5055" s="0" t="s">
        <x:v>19</x:v>
      </x:c>
      <x:c r="H5055" s="0" t="s">
        <x:v>20</x:v>
      </x:c>
      <x:c r="I5055" s="0" t="s">
        <x:v>21</x:v>
      </x:c>
      <x:c r="K5055" s="0">
        <x:f>hyperlink("https://icd.who.int/dev11/l-ichi/en#/http%3A%2F%2Fid.who.int%2Ficd%2Fentity%2F1439842496","browser")</x:f>
      </x:c>
      <x:c r="L5055" s="0">
        <x:f>hyperlink("https://icat2.azurewebsites.net/icat/?ontology=ICD&amp;tab=ClassesTab&amp;id=http%3A%2F%2Fwho.int%2Ficd%2327565_512ebf36_bf6b_4d70_85da_cf2637062af4","iCat")</x:f>
      </x:c>
      <x:c r="M5055" s="0" t="s">
        <x:v>21</x:v>
      </x:c>
      <x:c r="N5055" s="0" t="s">
        <x:v>46</x:v>
      </x:c>
    </x:row>
    <x:row r="5056" spans="1:16">
      <x:c r="A5056" s="0" t="s">
        <x:v>20074</x:v>
      </x:c>
      <x:c r="B5056" s="0" t="s">
        <x:v>20075</x:v>
      </x:c>
      <x:c r="C5056" s="0" t="s">
        <x:v>20076</x:v>
      </x:c>
      <x:c r="E5056" s="0" t="s">
        <x:v>20077</x:v>
      </x:c>
      <x:c r="F5056" s="0" t="s">
        <x:v>45</x:v>
      </x:c>
      <x:c r="G5056" s="0" t="s">
        <x:v>19</x:v>
      </x:c>
      <x:c r="H5056" s="0" t="s">
        <x:v>20</x:v>
      </x:c>
      <x:c r="I5056" s="0" t="s">
        <x:v>21</x:v>
      </x:c>
      <x:c r="K5056" s="0">
        <x:f>hyperlink("https://icd.who.int/dev11/l-ichi/en#/http%3A%2F%2Fid.who.int%2Ficd%2Fentity%2F168825315","browser")</x:f>
      </x:c>
      <x:c r="L5056" s="0">
        <x:f>hyperlink("https://icat2.azurewebsites.net/icat/?ontology=ICD&amp;tab=ClassesTab&amp;id=http%3A%2F%2Fwho.int%2Ficd%2327571_512ebf36_bf6b_4d70_85da_cf2637062af4","iCat")</x:f>
      </x:c>
      <x:c r="M5056" s="0" t="s">
        <x:v>21</x:v>
      </x:c>
      <x:c r="N5056" s="0" t="s">
        <x:v>46</x:v>
      </x:c>
    </x:row>
    <x:row r="5057" spans="1:16">
      <x:c r="A5057" s="0" t="s">
        <x:v>20078</x:v>
      </x:c>
      <x:c r="B5057" s="0" t="s">
        <x:v>20079</x:v>
      </x:c>
      <x:c r="C5057" s="0" t="s">
        <x:v>20080</x:v>
      </x:c>
      <x:c r="E5057" s="0" t="s">
        <x:v>20081</x:v>
      </x:c>
      <x:c r="F5057" s="0" t="s">
        <x:v>45</x:v>
      </x:c>
      <x:c r="G5057" s="0" t="s">
        <x:v>19</x:v>
      </x:c>
      <x:c r="H5057" s="0" t="s">
        <x:v>20</x:v>
      </x:c>
      <x:c r="I5057" s="0" t="s">
        <x:v>21</x:v>
      </x:c>
      <x:c r="K5057" s="0">
        <x:f>hyperlink("https://icd.who.int/dev11/l-ichi/en#/http%3A%2F%2Fid.who.int%2Ficd%2Fentity%2F1517013074","browser")</x:f>
      </x:c>
      <x:c r="L5057" s="0">
        <x:f>hyperlink("https://icat2.azurewebsites.net/icat/?ontology=ICD&amp;tab=ClassesTab&amp;id=http%3A%2F%2Fwho.int%2Ficd%2327577_512ebf36_bf6b_4d70_85da_cf2637062af4","iCat")</x:f>
      </x:c>
      <x:c r="M5057" s="0" t="s">
        <x:v>21</x:v>
      </x:c>
      <x:c r="N5057" s="0" t="s">
        <x:v>46</x:v>
      </x:c>
    </x:row>
    <x:row r="5058" spans="1:16">
      <x:c r="A5058" s="0" t="s">
        <x:v>20082</x:v>
      </x:c>
      <x:c r="B5058" s="0" t="s">
        <x:v>20083</x:v>
      </x:c>
      <x:c r="C5058" s="0" t="s">
        <x:v>20084</x:v>
      </x:c>
      <x:c r="E5058" s="0" t="s">
        <x:v>20085</x:v>
      </x:c>
      <x:c r="F5058" s="0" t="s">
        <x:v>45</x:v>
      </x:c>
      <x:c r="G5058" s="0" t="s">
        <x:v>19</x:v>
      </x:c>
      <x:c r="H5058" s="0" t="s">
        <x:v>20</x:v>
      </x:c>
      <x:c r="I5058" s="0" t="s">
        <x:v>21</x:v>
      </x:c>
      <x:c r="K5058" s="0">
        <x:f>hyperlink("https://icd.who.int/dev11/l-ichi/en#/http%3A%2F%2Fid.who.int%2Ficd%2Fentity%2F805956981","browser")</x:f>
      </x:c>
      <x:c r="L5058" s="0">
        <x:f>hyperlink("https://icat2.azurewebsites.net/icat/?ontology=ICD&amp;tab=ClassesTab&amp;id=http%3A%2F%2Fwho.int%2Ficd%2327584_512ebf36_bf6b_4d70_85da_cf2637062af4","iCat")</x:f>
      </x:c>
      <x:c r="M5058" s="0" t="s">
        <x:v>21</x:v>
      </x:c>
      <x:c r="N5058" s="0" t="s">
        <x:v>46</x:v>
      </x:c>
    </x:row>
    <x:row r="5059" spans="1:16">
      <x:c r="A5059" s="0" t="s">
        <x:v>20086</x:v>
      </x:c>
      <x:c r="B5059" s="0" t="s">
        <x:v>20087</x:v>
      </x:c>
      <x:c r="C5059" s="0" t="s">
        <x:v>20088</x:v>
      </x:c>
      <x:c r="E5059" s="0" t="s">
        <x:v>20089</x:v>
      </x:c>
      <x:c r="F5059" s="0" t="s">
        <x:v>45</x:v>
      </x:c>
      <x:c r="G5059" s="0" t="s">
        <x:v>19</x:v>
      </x:c>
      <x:c r="H5059" s="0" t="s">
        <x:v>20</x:v>
      </x:c>
      <x:c r="I5059" s="0" t="s">
        <x:v>21</x:v>
      </x:c>
      <x:c r="K5059" s="0">
        <x:f>hyperlink("https://icd.who.int/dev11/l-ichi/en#/http%3A%2F%2Fid.who.int%2Ficd%2Fentity%2F709809071","browser")</x:f>
      </x:c>
      <x:c r="L5059" s="0">
        <x:f>hyperlink("https://icat2.azurewebsites.net/icat/?ontology=ICD&amp;tab=ClassesTab&amp;id=http%3A%2F%2Fwho.int%2Ficd%2327593_512ebf36_bf6b_4d70_85da_cf2637062af4","iCat")</x:f>
      </x:c>
      <x:c r="M5059" s="0" t="s">
        <x:v>21</x:v>
      </x:c>
      <x:c r="N5059" s="0" t="s">
        <x:v>46</x:v>
      </x:c>
    </x:row>
    <x:row r="5060" spans="1:16">
      <x:c r="A5060" s="0" t="s">
        <x:v>20090</x:v>
      </x:c>
      <x:c r="B5060" s="0" t="s">
        <x:v>20091</x:v>
      </x:c>
      <x:c r="C5060" s="0" t="s">
        <x:v>20092</x:v>
      </x:c>
      <x:c r="E5060" s="0" t="s">
        <x:v>20093</x:v>
      </x:c>
      <x:c r="F5060" s="0" t="s">
        <x:v>45</x:v>
      </x:c>
      <x:c r="G5060" s="0" t="s">
        <x:v>19</x:v>
      </x:c>
      <x:c r="H5060" s="0" t="s">
        <x:v>20</x:v>
      </x:c>
      <x:c r="I5060" s="0" t="s">
        <x:v>21</x:v>
      </x:c>
      <x:c r="K5060" s="0">
        <x:f>hyperlink("https://icd.who.int/dev11/l-ichi/en#/http%3A%2F%2Fid.who.int%2Ficd%2Fentity%2F1055239013","browser")</x:f>
      </x:c>
      <x:c r="L5060" s="0">
        <x:f>hyperlink("https://icat2.azurewebsites.net/icat/?ontology=ICD&amp;tab=ClassesTab&amp;id=http%3A%2F%2Fwho.int%2Ficd%2327603_512ebf36_bf6b_4d70_85da_cf2637062af4","iCat")</x:f>
      </x:c>
      <x:c r="M5060" s="0" t="s">
        <x:v>21</x:v>
      </x:c>
      <x:c r="N5060" s="0" t="s">
        <x:v>46</x:v>
      </x:c>
    </x:row>
    <x:row r="5061" spans="1:16">
      <x:c r="A5061" s="0" t="s">
        <x:v>20094</x:v>
      </x:c>
      <x:c r="B5061" s="0" t="s">
        <x:v>20095</x:v>
      </x:c>
      <x:c r="C5061" s="0" t="s">
        <x:v>20096</x:v>
      </x:c>
      <x:c r="E5061" s="0" t="s">
        <x:v>20097</x:v>
      </x:c>
      <x:c r="F5061" s="0" t="s">
        <x:v>45</x:v>
      </x:c>
      <x:c r="G5061" s="0" t="s">
        <x:v>19</x:v>
      </x:c>
      <x:c r="H5061" s="0" t="s">
        <x:v>20</x:v>
      </x:c>
      <x:c r="I5061" s="0" t="s">
        <x:v>21</x:v>
      </x:c>
      <x:c r="K5061" s="0">
        <x:f>hyperlink("https://icd.who.int/dev11/l-ichi/en#/http%3A%2F%2Fid.who.int%2Ficd%2Fentity%2F1411399220","browser")</x:f>
      </x:c>
      <x:c r="L5061" s="0">
        <x:f>hyperlink("https://icat2.azurewebsites.net/icat/?ontology=ICD&amp;tab=ClassesTab&amp;id=http%3A%2F%2Fwho.int%2Ficd%2327613_512ebf36_bf6b_4d70_85da_cf2637062af4","iCat")</x:f>
      </x:c>
      <x:c r="M5061" s="0" t="s">
        <x:v>21</x:v>
      </x:c>
      <x:c r="N5061" s="0" t="s">
        <x:v>46</x:v>
      </x:c>
    </x:row>
    <x:row r="5062" spans="1:16">
      <x:c r="A5062" s="0" t="s">
        <x:v>20098</x:v>
      </x:c>
      <x:c r="B5062" s="0" t="s">
        <x:v>20099</x:v>
      </x:c>
      <x:c r="C5062" s="0" t="s">
        <x:v>20100</x:v>
      </x:c>
      <x:c r="E5062" s="0" t="s">
        <x:v>20101</x:v>
      </x:c>
      <x:c r="F5062" s="0" t="s">
        <x:v>45</x:v>
      </x:c>
      <x:c r="G5062" s="0" t="s">
        <x:v>19</x:v>
      </x:c>
      <x:c r="H5062" s="0" t="s">
        <x:v>20</x:v>
      </x:c>
      <x:c r="I5062" s="0" t="s">
        <x:v>21</x:v>
      </x:c>
      <x:c r="K5062" s="0">
        <x:f>hyperlink("https://icd.who.int/dev11/l-ichi/en#/http%3A%2F%2Fid.who.int%2Ficd%2Fentity%2F345079349","browser")</x:f>
      </x:c>
      <x:c r="L5062" s="0">
        <x:f>hyperlink("https://icat2.azurewebsites.net/icat/?ontology=ICD&amp;tab=ClassesTab&amp;id=http%3A%2F%2Fwho.int%2Ficd%2327623_512ebf36_bf6b_4d70_85da_cf2637062af4","iCat")</x:f>
      </x:c>
      <x:c r="M5062" s="0" t="s">
        <x:v>21</x:v>
      </x:c>
      <x:c r="N5062" s="0" t="s">
        <x:v>46</x:v>
      </x:c>
    </x:row>
    <x:row r="5063" spans="1:16">
      <x:c r="A5063" s="0" t="s">
        <x:v>20102</x:v>
      </x:c>
      <x:c r="B5063" s="0" t="s">
        <x:v>20103</x:v>
      </x:c>
      <x:c r="C5063" s="0" t="s">
        <x:v>20104</x:v>
      </x:c>
      <x:c r="E5063" s="0" t="s">
        <x:v>20105</x:v>
      </x:c>
      <x:c r="F5063" s="0" t="s">
        <x:v>45</x:v>
      </x:c>
      <x:c r="G5063" s="0" t="s">
        <x:v>19</x:v>
      </x:c>
      <x:c r="H5063" s="0" t="s">
        <x:v>20</x:v>
      </x:c>
      <x:c r="I5063" s="0" t="s">
        <x:v>21</x:v>
      </x:c>
      <x:c r="K5063" s="0">
        <x:f>hyperlink("https://icd.who.int/dev11/l-ichi/en#/http%3A%2F%2Fid.who.int%2Ficd%2Fentity%2F2119494498","browser")</x:f>
      </x:c>
      <x:c r="L5063" s="0">
        <x:f>hyperlink("https://icat2.azurewebsites.net/icat/?ontology=ICD&amp;tab=ClassesTab&amp;id=http%3A%2F%2Fwho.int%2Ficd%2327633_512ebf36_bf6b_4d70_85da_cf2637062af4","iCat")</x:f>
      </x:c>
      <x:c r="M5063" s="0" t="s">
        <x:v>21</x:v>
      </x:c>
      <x:c r="N5063" s="0" t="s">
        <x:v>46</x:v>
      </x:c>
    </x:row>
    <x:row r="5064" spans="1:16">
      <x:c r="A5064" s="0" t="s">
        <x:v>20106</x:v>
      </x:c>
      <x:c r="B5064" s="0" t="s">
        <x:v>20107</x:v>
      </x:c>
      <x:c r="C5064" s="0" t="s">
        <x:v>20108</x:v>
      </x:c>
      <x:c r="E5064" s="0" t="s">
        <x:v>20109</x:v>
      </x:c>
      <x:c r="F5064" s="0" t="s">
        <x:v>45</x:v>
      </x:c>
      <x:c r="G5064" s="0" t="s">
        <x:v>19</x:v>
      </x:c>
      <x:c r="H5064" s="0" t="s">
        <x:v>20</x:v>
      </x:c>
      <x:c r="I5064" s="0" t="s">
        <x:v>21</x:v>
      </x:c>
      <x:c r="K5064" s="0">
        <x:f>hyperlink("https://icd.who.int/dev11/l-ichi/en#/http%3A%2F%2Fid.who.int%2Ficd%2Fentity%2F738125245","browser")</x:f>
      </x:c>
      <x:c r="L5064" s="0">
        <x:f>hyperlink("https://icat2.azurewebsites.net/icat/?ontology=ICD&amp;tab=ClassesTab&amp;id=http%3A%2F%2Fwho.int%2Ficd%2327641_512ebf36_bf6b_4d70_85da_cf2637062af4","iCat")</x:f>
      </x:c>
      <x:c r="M5064" s="0" t="s">
        <x:v>21</x:v>
      </x:c>
      <x:c r="N5064" s="0" t="s">
        <x:v>46</x:v>
      </x:c>
    </x:row>
    <x:row r="5065" spans="1:16">
      <x:c r="A5065" s="0" t="s">
        <x:v>20110</x:v>
      </x:c>
      <x:c r="B5065" s="0" t="s">
        <x:v>20111</x:v>
      </x:c>
      <x:c r="C5065" s="0" t="s">
        <x:v>20112</x:v>
      </x:c>
      <x:c r="E5065" s="0" t="s">
        <x:v>20113</x:v>
      </x:c>
      <x:c r="F5065" s="0" t="s">
        <x:v>45</x:v>
      </x:c>
      <x:c r="G5065" s="0" t="s">
        <x:v>19</x:v>
      </x:c>
      <x:c r="H5065" s="0" t="s">
        <x:v>20</x:v>
      </x:c>
      <x:c r="I5065" s="0" t="s">
        <x:v>21</x:v>
      </x:c>
      <x:c r="K5065" s="0">
        <x:f>hyperlink("https://icd.who.int/dev11/l-ichi/en#/http%3A%2F%2Fid.who.int%2Ficd%2Fentity%2F1702860010","browser")</x:f>
      </x:c>
      <x:c r="L5065" s="0">
        <x:f>hyperlink("https://icat2.azurewebsites.net/icat/?ontology=ICD&amp;tab=ClassesTab&amp;id=http%3A%2F%2Fwho.int%2Ficd%2327649_512ebf36_bf6b_4d70_85da_cf2637062af4","iCat")</x:f>
      </x:c>
      <x:c r="M5065" s="0" t="s">
        <x:v>21</x:v>
      </x:c>
      <x:c r="N5065" s="0" t="s">
        <x:v>46</x:v>
      </x:c>
    </x:row>
    <x:row r="5066" spans="1:16">
      <x:c r="A5066" s="0" t="s">
        <x:v>20114</x:v>
      </x:c>
      <x:c r="B5066" s="0" t="s">
        <x:v>20115</x:v>
      </x:c>
      <x:c r="C5066" s="0" t="s">
        <x:v>20116</x:v>
      </x:c>
      <x:c r="E5066" s="0" t="s">
        <x:v>20117</x:v>
      </x:c>
      <x:c r="F5066" s="0" t="s">
        <x:v>45</x:v>
      </x:c>
      <x:c r="G5066" s="0" t="s">
        <x:v>19</x:v>
      </x:c>
      <x:c r="H5066" s="0" t="s">
        <x:v>20</x:v>
      </x:c>
      <x:c r="I5066" s="0" t="s">
        <x:v>21</x:v>
      </x:c>
      <x:c r="K5066" s="0">
        <x:f>hyperlink("https://icd.who.int/dev11/l-ichi/en#/http%3A%2F%2Fid.who.int%2Ficd%2Fentity%2F1950135454","browser")</x:f>
      </x:c>
      <x:c r="L5066" s="0">
        <x:f>hyperlink("https://icat2.azurewebsites.net/icat/?ontology=ICD&amp;tab=ClassesTab&amp;id=http%3A%2F%2Fwho.int%2Ficd%2327655_512ebf36_bf6b_4d70_85da_cf2637062af4","iCat")</x:f>
      </x:c>
      <x:c r="M5066" s="0" t="s">
        <x:v>21</x:v>
      </x:c>
      <x:c r="N5066" s="0" t="s">
        <x:v>46</x:v>
      </x:c>
    </x:row>
    <x:row r="5067" spans="1:16">
      <x:c r="A5067" s="0" t="s">
        <x:v>20118</x:v>
      </x:c>
      <x:c r="B5067" s="0" t="s">
        <x:v>20119</x:v>
      </x:c>
      <x:c r="C5067" s="0" t="s">
        <x:v>20120</x:v>
      </x:c>
      <x:c r="E5067" s="0" t="s">
        <x:v>20121</x:v>
      </x:c>
      <x:c r="F5067" s="0" t="s">
        <x:v>45</x:v>
      </x:c>
      <x:c r="G5067" s="0" t="s">
        <x:v>19</x:v>
      </x:c>
      <x:c r="H5067" s="0" t="s">
        <x:v>20</x:v>
      </x:c>
      <x:c r="I5067" s="0" t="s">
        <x:v>21</x:v>
      </x:c>
      <x:c r="K5067" s="0">
        <x:f>hyperlink("https://icd.who.int/dev11/l-ichi/en#/http%3A%2F%2Fid.who.int%2Ficd%2Fentity%2F25833709","browser")</x:f>
      </x:c>
      <x:c r="L5067" s="0">
        <x:f>hyperlink("https://icat2.azurewebsites.net/icat/?ontology=ICD&amp;tab=ClassesTab&amp;id=http%3A%2F%2Fwho.int%2Ficd%2327661_512ebf36_bf6b_4d70_85da_cf2637062af4","iCat")</x:f>
      </x:c>
      <x:c r="M5067" s="0" t="s">
        <x:v>21</x:v>
      </x:c>
      <x:c r="N5067" s="0" t="s">
        <x:v>46</x:v>
      </x:c>
    </x:row>
    <x:row r="5068" spans="1:16">
      <x:c r="A5068" s="0" t="s">
        <x:v>20122</x:v>
      </x:c>
      <x:c r="B5068" s="0" t="s">
        <x:v>20123</x:v>
      </x:c>
      <x:c r="C5068" s="0" t="s">
        <x:v>20124</x:v>
      </x:c>
      <x:c r="E5068" s="0" t="s">
        <x:v>20125</x:v>
      </x:c>
      <x:c r="F5068" s="0" t="s">
        <x:v>45</x:v>
      </x:c>
      <x:c r="G5068" s="0" t="s">
        <x:v>19</x:v>
      </x:c>
      <x:c r="H5068" s="0" t="s">
        <x:v>20</x:v>
      </x:c>
      <x:c r="I5068" s="0" t="s">
        <x:v>21</x:v>
      </x:c>
      <x:c r="K5068" s="0">
        <x:f>hyperlink("https://icd.who.int/dev11/l-ichi/en#/http%3A%2F%2Fid.who.int%2Ficd%2Fentity%2F1374808414","browser")</x:f>
      </x:c>
      <x:c r="L5068" s="0">
        <x:f>hyperlink("https://icat2.azurewebsites.net/icat/?ontology=ICD&amp;tab=ClassesTab&amp;id=http%3A%2F%2Fwho.int%2Ficd%2327667_512ebf36_bf6b_4d70_85da_cf2637062af4","iCat")</x:f>
      </x:c>
      <x:c r="M5068" s="0" t="s">
        <x:v>21</x:v>
      </x:c>
      <x:c r="N5068" s="0" t="s">
        <x:v>46</x:v>
      </x:c>
    </x:row>
    <x:row r="5069" spans="1:16">
      <x:c r="A5069" s="0" t="s">
        <x:v>20126</x:v>
      </x:c>
      <x:c r="B5069" s="0" t="s">
        <x:v>20127</x:v>
      </x:c>
      <x:c r="C5069" s="0" t="s">
        <x:v>20128</x:v>
      </x:c>
      <x:c r="E5069" s="0" t="s">
        <x:v>20129</x:v>
      </x:c>
      <x:c r="F5069" s="0" t="s">
        <x:v>45</x:v>
      </x:c>
      <x:c r="G5069" s="0" t="s">
        <x:v>19</x:v>
      </x:c>
      <x:c r="H5069" s="0" t="s">
        <x:v>20</x:v>
      </x:c>
      <x:c r="I5069" s="0" t="s">
        <x:v>21</x:v>
      </x:c>
      <x:c r="K5069" s="0">
        <x:f>hyperlink("https://icd.who.int/dev11/l-ichi/en#/http%3A%2F%2Fid.who.int%2Ficd%2Fentity%2F238270591","browser")</x:f>
      </x:c>
      <x:c r="L5069" s="0">
        <x:f>hyperlink("https://icat2.azurewebsites.net/icat/?ontology=ICD&amp;tab=ClassesTab&amp;id=http%3A%2F%2Fwho.int%2Ficd%2327673_512ebf36_bf6b_4d70_85da_cf2637062af4","iCat")</x:f>
      </x:c>
      <x:c r="M5069" s="0" t="s">
        <x:v>21</x:v>
      </x:c>
      <x:c r="N5069" s="0" t="s">
        <x:v>46</x:v>
      </x:c>
    </x:row>
    <x:row r="5070" spans="1:16">
      <x:c r="A5070" s="0" t="s">
        <x:v>20130</x:v>
      </x:c>
      <x:c r="B5070" s="0" t="s">
        <x:v>20131</x:v>
      </x:c>
      <x:c r="C5070" s="0" t="s">
        <x:v>20132</x:v>
      </x:c>
      <x:c r="E5070" s="0" t="s">
        <x:v>20133</x:v>
      </x:c>
      <x:c r="F5070" s="0" t="s">
        <x:v>45</x:v>
      </x:c>
      <x:c r="G5070" s="0" t="s">
        <x:v>19</x:v>
      </x:c>
      <x:c r="H5070" s="0" t="s">
        <x:v>20</x:v>
      </x:c>
      <x:c r="I5070" s="0" t="s">
        <x:v>21</x:v>
      </x:c>
      <x:c r="K5070" s="0">
        <x:f>hyperlink("https://icd.who.int/dev11/l-ichi/en#/http%3A%2F%2Fid.who.int%2Ficd%2Fentity%2F634311919","browser")</x:f>
      </x:c>
      <x:c r="L5070" s="0">
        <x:f>hyperlink("https://icat2.azurewebsites.net/icat/?ontology=ICD&amp;tab=ClassesTab&amp;id=http%3A%2F%2Fwho.int%2Ficd%2327679_512ebf36_bf6b_4d70_85da_cf2637062af4","iCat")</x:f>
      </x:c>
      <x:c r="M5070" s="0" t="s">
        <x:v>21</x:v>
      </x:c>
      <x:c r="N5070" s="0" t="s">
        <x:v>46</x:v>
      </x:c>
    </x:row>
    <x:row r="5071" spans="1:16">
      <x:c r="A5071" s="0" t="s">
        <x:v>20134</x:v>
      </x:c>
      <x:c r="B5071" s="0" t="s">
        <x:v>20135</x:v>
      </x:c>
      <x:c r="C5071" s="0" t="s">
        <x:v>20136</x:v>
      </x:c>
      <x:c r="E5071" s="0" t="s">
        <x:v>20137</x:v>
      </x:c>
      <x:c r="F5071" s="0" t="s">
        <x:v>45</x:v>
      </x:c>
      <x:c r="G5071" s="0" t="s">
        <x:v>19</x:v>
      </x:c>
      <x:c r="H5071" s="0" t="s">
        <x:v>20</x:v>
      </x:c>
      <x:c r="I5071" s="0" t="s">
        <x:v>21</x:v>
      </x:c>
      <x:c r="K5071" s="0">
        <x:f>hyperlink("https://icd.who.int/dev11/l-ichi/en#/http%3A%2F%2Fid.who.int%2Ficd%2Fentity%2F875185385","browser")</x:f>
      </x:c>
      <x:c r="L5071" s="0">
        <x:f>hyperlink("https://icat2.azurewebsites.net/icat/?ontology=ICD&amp;tab=ClassesTab&amp;id=http%3A%2F%2Fwho.int%2Ficd%2327686_512ebf36_bf6b_4d70_85da_cf2637062af4","iCat")</x:f>
      </x:c>
      <x:c r="M5071" s="0" t="s">
        <x:v>21</x:v>
      </x:c>
      <x:c r="N5071" s="0" t="s">
        <x:v>46</x:v>
      </x:c>
    </x:row>
    <x:row r="5072" spans="1:16">
      <x:c r="A5072" s="0" t="s">
        <x:v>20138</x:v>
      </x:c>
      <x:c r="B5072" s="0" t="s">
        <x:v>20139</x:v>
      </x:c>
      <x:c r="C5072" s="0" t="s">
        <x:v>20140</x:v>
      </x:c>
      <x:c r="E5072" s="0" t="s">
        <x:v>20141</x:v>
      </x:c>
      <x:c r="F5072" s="0" t="s">
        <x:v>45</x:v>
      </x:c>
      <x:c r="G5072" s="0" t="s">
        <x:v>19</x:v>
      </x:c>
      <x:c r="H5072" s="0" t="s">
        <x:v>20</x:v>
      </x:c>
      <x:c r="I5072" s="0" t="s">
        <x:v>21</x:v>
      </x:c>
      <x:c r="K5072" s="0">
        <x:f>hyperlink("https://icd.who.int/dev11/l-ichi/en#/http%3A%2F%2Fid.who.int%2Ficd%2Fentity%2F1259431926","browser")</x:f>
      </x:c>
      <x:c r="L5072" s="0">
        <x:f>hyperlink("https://icat2.azurewebsites.net/icat/?ontology=ICD&amp;tab=ClassesTab&amp;id=http%3A%2F%2Fwho.int%2Ficd%2327693_512ebf36_bf6b_4d70_85da_cf2637062af4","iCat")</x:f>
      </x:c>
      <x:c r="M5072" s="0" t="s">
        <x:v>21</x:v>
      </x:c>
      <x:c r="N5072" s="0" t="s">
        <x:v>46</x:v>
      </x:c>
    </x:row>
    <x:row r="5073" spans="1:16">
      <x:c r="A5073" s="0" t="s">
        <x:v>20142</x:v>
      </x:c>
      <x:c r="B5073" s="0" t="s">
        <x:v>20143</x:v>
      </x:c>
      <x:c r="C5073" s="0" t="s">
        <x:v>20144</x:v>
      </x:c>
      <x:c r="E5073" s="0" t="s">
        <x:v>20145</x:v>
      </x:c>
      <x:c r="F5073" s="0" t="s">
        <x:v>45</x:v>
      </x:c>
      <x:c r="G5073" s="0" t="s">
        <x:v>19</x:v>
      </x:c>
      <x:c r="H5073" s="0" t="s">
        <x:v>20</x:v>
      </x:c>
      <x:c r="I5073" s="0" t="s">
        <x:v>21</x:v>
      </x:c>
      <x:c r="K5073" s="0">
        <x:f>hyperlink("https://icd.who.int/dev11/l-ichi/en#/http%3A%2F%2Fid.who.int%2Ficd%2Fentity%2F251593217","browser")</x:f>
      </x:c>
      <x:c r="L5073" s="0">
        <x:f>hyperlink("https://icat2.azurewebsites.net/icat/?ontology=ICD&amp;tab=ClassesTab&amp;id=http%3A%2F%2Fwho.int%2Ficd%2327700_512ebf36_bf6b_4d70_85da_cf2637062af4","iCat")</x:f>
      </x:c>
      <x:c r="M5073" s="0" t="s">
        <x:v>21</x:v>
      </x:c>
      <x:c r="N5073" s="0" t="s">
        <x:v>46</x:v>
      </x:c>
    </x:row>
    <x:row r="5074" spans="1:16">
      <x:c r="A5074" s="0" t="s">
        <x:v>20146</x:v>
      </x:c>
      <x:c r="B5074" s="0" t="s">
        <x:v>20147</x:v>
      </x:c>
      <x:c r="C5074" s="0" t="s">
        <x:v>20148</x:v>
      </x:c>
      <x:c r="E5074" s="0" t="s">
        <x:v>20149</x:v>
      </x:c>
      <x:c r="F5074" s="0" t="s">
        <x:v>45</x:v>
      </x:c>
      <x:c r="G5074" s="0" t="s">
        <x:v>19</x:v>
      </x:c>
      <x:c r="H5074" s="0" t="s">
        <x:v>20</x:v>
      </x:c>
      <x:c r="I5074" s="0" t="s">
        <x:v>21</x:v>
      </x:c>
      <x:c r="K5074" s="0">
        <x:f>hyperlink("https://icd.who.int/dev11/l-ichi/en#/http%3A%2F%2Fid.who.int%2Ficd%2Fentity%2F1585765298","browser")</x:f>
      </x:c>
      <x:c r="L5074" s="0">
        <x:f>hyperlink("https://icat2.azurewebsites.net/icat/?ontology=ICD&amp;tab=ClassesTab&amp;id=http%3A%2F%2Fwho.int%2Ficd%2327706_512ebf36_bf6b_4d70_85da_cf2637062af4","iCat")</x:f>
      </x:c>
      <x:c r="M5074" s="0" t="s">
        <x:v>21</x:v>
      </x:c>
      <x:c r="N5074" s="0" t="s">
        <x:v>46</x:v>
      </x:c>
    </x:row>
    <x:row r="5075" spans="1:16">
      <x:c r="A5075" s="0" t="s">
        <x:v>20150</x:v>
      </x:c>
      <x:c r="B5075" s="0" t="s">
        <x:v>20151</x:v>
      </x:c>
      <x:c r="C5075" s="0" t="s">
        <x:v>20152</x:v>
      </x:c>
      <x:c r="E5075" s="0" t="s">
        <x:v>20153</x:v>
      </x:c>
      <x:c r="F5075" s="0" t="s">
        <x:v>45</x:v>
      </x:c>
      <x:c r="G5075" s="0" t="s">
        <x:v>19</x:v>
      </x:c>
      <x:c r="H5075" s="0" t="s">
        <x:v>20</x:v>
      </x:c>
      <x:c r="I5075" s="0" t="s">
        <x:v>21</x:v>
      </x:c>
      <x:c r="K5075" s="0">
        <x:f>hyperlink("https://icd.who.int/dev11/l-ichi/en#/http%3A%2F%2Fid.who.int%2Ficd%2Fentity%2F566229167","browser")</x:f>
      </x:c>
      <x:c r="L5075" s="0">
        <x:f>hyperlink("https://icat2.azurewebsites.net/icat/?ontology=ICD&amp;tab=ClassesTab&amp;id=http%3A%2F%2Fwho.int%2Ficd%2327713_512ebf36_bf6b_4d70_85da_cf2637062af4","iCat")</x:f>
      </x:c>
      <x:c r="M5075" s="0" t="s">
        <x:v>21</x:v>
      </x:c>
      <x:c r="N5075" s="0" t="s">
        <x:v>46</x:v>
      </x:c>
    </x:row>
    <x:row r="5076" spans="1:16">
      <x:c r="A5076" s="0" t="s">
        <x:v>20154</x:v>
      </x:c>
      <x:c r="B5076" s="0" t="s">
        <x:v>20155</x:v>
      </x:c>
      <x:c r="C5076" s="0" t="s">
        <x:v>20156</x:v>
      </x:c>
      <x:c r="E5076" s="0" t="s">
        <x:v>20157</x:v>
      </x:c>
      <x:c r="F5076" s="0" t="s">
        <x:v>45</x:v>
      </x:c>
      <x:c r="G5076" s="0" t="s">
        <x:v>19</x:v>
      </x:c>
      <x:c r="H5076" s="0" t="s">
        <x:v>20</x:v>
      </x:c>
      <x:c r="I5076" s="0" t="s">
        <x:v>21</x:v>
      </x:c>
      <x:c r="K5076" s="0">
        <x:f>hyperlink("https://icd.who.int/dev11/l-ichi/en#/http%3A%2F%2Fid.who.int%2Ficd%2Fentity%2F613144401","browser")</x:f>
      </x:c>
      <x:c r="L5076" s="0">
        <x:f>hyperlink("https://icat2.azurewebsites.net/icat/?ontology=ICD&amp;tab=ClassesTab&amp;id=http%3A%2F%2Fwho.int%2Ficd%2327720_512ebf36_bf6b_4d70_85da_cf2637062af4","iCat")</x:f>
      </x:c>
      <x:c r="M5076" s="0" t="s">
        <x:v>21</x:v>
      </x:c>
      <x:c r="N5076" s="0" t="s">
        <x:v>46</x:v>
      </x:c>
    </x:row>
    <x:row r="5077" spans="1:16">
      <x:c r="A5077" s="0" t="s">
        <x:v>20158</x:v>
      </x:c>
      <x:c r="B5077" s="0" t="s">
        <x:v>20159</x:v>
      </x:c>
      <x:c r="C5077" s="0" t="s">
        <x:v>20160</x:v>
      </x:c>
      <x:c r="E5077" s="0" t="s">
        <x:v>20161</x:v>
      </x:c>
      <x:c r="F5077" s="0" t="s">
        <x:v>45</x:v>
      </x:c>
      <x:c r="G5077" s="0" t="s">
        <x:v>19</x:v>
      </x:c>
      <x:c r="H5077" s="0" t="s">
        <x:v>20</x:v>
      </x:c>
      <x:c r="I5077" s="0" t="s">
        <x:v>21</x:v>
      </x:c>
      <x:c r="K5077" s="0">
        <x:f>hyperlink("https://icd.who.int/dev11/l-ichi/en#/http%3A%2F%2Fid.who.int%2Ficd%2Fentity%2F788904344","browser")</x:f>
      </x:c>
      <x:c r="L5077" s="0">
        <x:f>hyperlink("https://icat2.azurewebsites.net/icat/?ontology=ICD&amp;tab=ClassesTab&amp;id=http%3A%2F%2Fwho.int%2Ficd%2315172_4869915e_217e_423d_acb3_33c0f920ef4b","iCat")</x:f>
      </x:c>
      <x:c r="M5077" s="0" t="s">
        <x:v>21</x:v>
      </x:c>
      <x:c r="N5077" s="0" t="s">
        <x:v>46</x:v>
      </x:c>
    </x:row>
    <x:row r="5078" spans="1:16">
      <x:c r="A5078" s="0" t="s">
        <x:v>20162</x:v>
      </x:c>
      <x:c r="B5078" s="0" t="s">
        <x:v>20163</x:v>
      </x:c>
      <x:c r="C5078" s="0" t="s">
        <x:v>20164</x:v>
      </x:c>
      <x:c r="E5078" s="0" t="s">
        <x:v>20165</x:v>
      </x:c>
      <x:c r="F5078" s="0" t="s">
        <x:v>45</x:v>
      </x:c>
      <x:c r="G5078" s="0" t="s">
        <x:v>19</x:v>
      </x:c>
      <x:c r="H5078" s="0" t="s">
        <x:v>20</x:v>
      </x:c>
      <x:c r="I5078" s="0" t="s">
        <x:v>21</x:v>
      </x:c>
      <x:c r="K5078" s="0">
        <x:f>hyperlink("https://icd.who.int/dev11/l-ichi/en#/http%3A%2F%2Fid.who.int%2Ficd%2Fentity%2F83416328","browser")</x:f>
      </x:c>
      <x:c r="L5078" s="0">
        <x:f>hyperlink("https://icat2.azurewebsites.net/icat/?ontology=ICD&amp;tab=ClassesTab&amp;id=http%3A%2F%2Fwho.int%2Ficd%2315178_4869915e_217e_423d_acb3_33c0f920ef4b","iCat")</x:f>
      </x:c>
      <x:c r="M5078" s="0" t="s">
        <x:v>21</x:v>
      </x:c>
      <x:c r="N5078" s="0" t="s">
        <x:v>46</x:v>
      </x:c>
    </x:row>
    <x:row r="5079" spans="1:16">
      <x:c r="A5079" s="0" t="s">
        <x:v>20166</x:v>
      </x:c>
      <x:c r="B5079" s="0" t="s">
        <x:v>20167</x:v>
      </x:c>
      <x:c r="C5079" s="0" t="s">
        <x:v>20168</x:v>
      </x:c>
      <x:c r="E5079" s="0" t="s">
        <x:v>20169</x:v>
      </x:c>
      <x:c r="F5079" s="0" t="s">
        <x:v>45</x:v>
      </x:c>
      <x:c r="G5079" s="0" t="s">
        <x:v>19</x:v>
      </x:c>
      <x:c r="H5079" s="0" t="s">
        <x:v>20</x:v>
      </x:c>
      <x:c r="I5079" s="0" t="s">
        <x:v>21</x:v>
      </x:c>
      <x:c r="K5079" s="0">
        <x:f>hyperlink("https://icd.who.int/dev11/l-ichi/en#/http%3A%2F%2Fid.who.int%2Ficd%2Fentity%2F1961889504","browser")</x:f>
      </x:c>
      <x:c r="L5079" s="0">
        <x:f>hyperlink("https://icat2.azurewebsites.net/icat/?ontology=ICD&amp;tab=ClassesTab&amp;id=http%3A%2F%2Fwho.int%2Ficd%2327726_512ebf36_bf6b_4d70_85da_cf2637062af4","iCat")</x:f>
      </x:c>
      <x:c r="M5079" s="0" t="s">
        <x:v>21</x:v>
      </x:c>
      <x:c r="N5079" s="0" t="s">
        <x:v>46</x:v>
      </x:c>
    </x:row>
    <x:row r="5080" spans="1:16">
      <x:c r="A5080" s="0" t="s">
        <x:v>20170</x:v>
      </x:c>
      <x:c r="B5080" s="0" t="s">
        <x:v>20171</x:v>
      </x:c>
      <x:c r="C5080" s="0" t="s">
        <x:v>20172</x:v>
      </x:c>
      <x:c r="E5080" s="0" t="s">
        <x:v>20173</x:v>
      </x:c>
      <x:c r="F5080" s="0" t="s">
        <x:v>45</x:v>
      </x:c>
      <x:c r="G5080" s="0" t="s">
        <x:v>19</x:v>
      </x:c>
      <x:c r="H5080" s="0" t="s">
        <x:v>20</x:v>
      </x:c>
      <x:c r="I5080" s="0" t="s">
        <x:v>21</x:v>
      </x:c>
      <x:c r="K5080" s="0">
        <x:f>hyperlink("https://icd.who.int/dev11/l-ichi/en#/http%3A%2F%2Fid.who.int%2Ficd%2Fentity%2F724721603","browser")</x:f>
      </x:c>
      <x:c r="L5080" s="0">
        <x:f>hyperlink("https://icat2.azurewebsites.net/icat/?ontology=ICD&amp;tab=ClassesTab&amp;id=http%3A%2F%2Fwho.int%2Ficd%2327732_512ebf36_bf6b_4d70_85da_cf2637062af4","iCat")</x:f>
      </x:c>
      <x:c r="M5080" s="0" t="s">
        <x:v>21</x:v>
      </x:c>
      <x:c r="N5080" s="0" t="s">
        <x:v>46</x:v>
      </x:c>
    </x:row>
    <x:row r="5081" spans="1:16">
      <x:c r="A5081" s="0" t="s">
        <x:v>20174</x:v>
      </x:c>
      <x:c r="B5081" s="0" t="s">
        <x:v>20175</x:v>
      </x:c>
      <x:c r="C5081" s="0" t="s">
        <x:v>20176</x:v>
      </x:c>
      <x:c r="E5081" s="0" t="s">
        <x:v>20177</x:v>
      </x:c>
      <x:c r="F5081" s="0" t="s">
        <x:v>45</x:v>
      </x:c>
      <x:c r="G5081" s="0" t="s">
        <x:v>19</x:v>
      </x:c>
      <x:c r="H5081" s="0" t="s">
        <x:v>20</x:v>
      </x:c>
      <x:c r="I5081" s="0" t="s">
        <x:v>21</x:v>
      </x:c>
      <x:c r="K5081" s="0">
        <x:f>hyperlink("https://icd.who.int/dev11/l-ichi/en#/http%3A%2F%2Fid.who.int%2Ficd%2Fentity%2F13579091","browser")</x:f>
      </x:c>
      <x:c r="L5081" s="0">
        <x:f>hyperlink("https://icat2.azurewebsites.net/icat/?ontology=ICD&amp;tab=ClassesTab&amp;id=http%3A%2F%2Fwho.int%2Ficd%2327738_512ebf36_bf6b_4d70_85da_cf2637062af4","iCat")</x:f>
      </x:c>
      <x:c r="M5081" s="0" t="s">
        <x:v>21</x:v>
      </x:c>
      <x:c r="N5081" s="0" t="s">
        <x:v>46</x:v>
      </x:c>
    </x:row>
    <x:row r="5082" spans="1:16">
      <x:c r="A5082" s="0" t="s">
        <x:v>20178</x:v>
      </x:c>
      <x:c r="B5082" s="0" t="s">
        <x:v>20179</x:v>
      </x:c>
      <x:c r="C5082" s="0" t="s">
        <x:v>20180</x:v>
      </x:c>
      <x:c r="E5082" s="0" t="s">
        <x:v>20181</x:v>
      </x:c>
      <x:c r="F5082" s="0" t="s">
        <x:v>45</x:v>
      </x:c>
      <x:c r="G5082" s="0" t="s">
        <x:v>19</x:v>
      </x:c>
      <x:c r="H5082" s="0" t="s">
        <x:v>20</x:v>
      </x:c>
      <x:c r="I5082" s="0" t="s">
        <x:v>21</x:v>
      </x:c>
      <x:c r="K5082" s="0">
        <x:f>hyperlink("https://icd.who.int/dev11/l-ichi/en#/http%3A%2F%2Fid.who.int%2Ficd%2Fentity%2F1268749674","browser")</x:f>
      </x:c>
      <x:c r="L5082" s="0">
        <x:f>hyperlink("https://icat2.azurewebsites.net/icat/?ontology=ICD&amp;tab=ClassesTab&amp;id=http%3A%2F%2Fwho.int%2Ficd%2327744_512ebf36_bf6b_4d70_85da_cf2637062af4","iCat")</x:f>
      </x:c>
      <x:c r="M5082" s="0" t="s">
        <x:v>21</x:v>
      </x:c>
      <x:c r="N5082" s="0" t="s">
        <x:v>46</x:v>
      </x:c>
    </x:row>
    <x:row r="5083" spans="1:16">
      <x:c r="A5083" s="0" t="s">
        <x:v>20182</x:v>
      </x:c>
      <x:c r="B5083" s="0" t="s">
        <x:v>20183</x:v>
      </x:c>
      <x:c r="C5083" s="0" t="s">
        <x:v>20184</x:v>
      </x:c>
      <x:c r="E5083" s="0" t="s">
        <x:v>20185</x:v>
      </x:c>
      <x:c r="F5083" s="0" t="s">
        <x:v>45</x:v>
      </x:c>
      <x:c r="G5083" s="0" t="s">
        <x:v>19</x:v>
      </x:c>
      <x:c r="H5083" s="0" t="s">
        <x:v>20</x:v>
      </x:c>
      <x:c r="I5083" s="0" t="s">
        <x:v>21</x:v>
      </x:c>
      <x:c r="K5083" s="0">
        <x:f>hyperlink("https://icd.who.int/dev11/l-ichi/en#/http%3A%2F%2Fid.who.int%2Ficd%2Fentity%2F1373154228","browser")</x:f>
      </x:c>
      <x:c r="L5083" s="0">
        <x:f>hyperlink("https://icat2.azurewebsites.net/icat/?ontology=ICD&amp;tab=ClassesTab&amp;id=http%3A%2F%2Fwho.int%2Ficd%2327753_512ebf36_bf6b_4d70_85da_cf2637062af4","iCat")</x:f>
      </x:c>
      <x:c r="M5083" s="0" t="s">
        <x:v>21</x:v>
      </x:c>
      <x:c r="N5083" s="0" t="s">
        <x:v>46</x:v>
      </x:c>
    </x:row>
    <x:row r="5084" spans="1:16">
      <x:c r="A5084" s="0" t="s">
        <x:v>20186</x:v>
      </x:c>
      <x:c r="B5084" s="0" t="s">
        <x:v>20187</x:v>
      </x:c>
      <x:c r="C5084" s="0" t="s">
        <x:v>20188</x:v>
      </x:c>
      <x:c r="E5084" s="0" t="s">
        <x:v>20189</x:v>
      </x:c>
      <x:c r="F5084" s="0" t="s">
        <x:v>45</x:v>
      </x:c>
      <x:c r="G5084" s="0" t="s">
        <x:v>19</x:v>
      </x:c>
      <x:c r="H5084" s="0" t="s">
        <x:v>20</x:v>
      </x:c>
      <x:c r="I5084" s="0" t="s">
        <x:v>21</x:v>
      </x:c>
      <x:c r="K5084" s="0">
        <x:f>hyperlink("https://icd.who.int/dev11/l-ichi/en#/http%3A%2F%2Fid.who.int%2Ficd%2Fentity%2F831560073","browser")</x:f>
      </x:c>
      <x:c r="L5084" s="0">
        <x:f>hyperlink("https://icat2.azurewebsites.net/icat/?ontology=ICD&amp;tab=ClassesTab&amp;id=http%3A%2F%2Fwho.int%2Ficd%2327762_512ebf36_bf6b_4d70_85da_cf2637062af4","iCat")</x:f>
      </x:c>
      <x:c r="M5084" s="0" t="s">
        <x:v>21</x:v>
      </x:c>
      <x:c r="N5084" s="0" t="s">
        <x:v>46</x:v>
      </x:c>
    </x:row>
    <x:row r="5085" spans="1:16">
      <x:c r="A5085" s="0" t="s">
        <x:v>20190</x:v>
      </x:c>
      <x:c r="B5085" s="0" t="s">
        <x:v>20191</x:v>
      </x:c>
      <x:c r="C5085" s="0" t="s">
        <x:v>20192</x:v>
      </x:c>
      <x:c r="E5085" s="0" t="s">
        <x:v>20193</x:v>
      </x:c>
      <x:c r="F5085" s="0" t="s">
        <x:v>45</x:v>
      </x:c>
      <x:c r="G5085" s="0" t="s">
        <x:v>19</x:v>
      </x:c>
      <x:c r="H5085" s="0" t="s">
        <x:v>20</x:v>
      </x:c>
      <x:c r="I5085" s="0" t="s">
        <x:v>21</x:v>
      </x:c>
      <x:c r="K5085" s="0">
        <x:f>hyperlink("https://icd.who.int/dev11/l-ichi/en#/http%3A%2F%2Fid.who.int%2Ficd%2Fentity%2F443413785","browser")</x:f>
      </x:c>
      <x:c r="L5085" s="0">
        <x:f>hyperlink("https://icat2.azurewebsites.net/icat/?ontology=ICD&amp;tab=ClassesTab&amp;id=http%3A%2F%2Fwho.int%2Ficd%2327768_512ebf36_bf6b_4d70_85da_cf2637062af4","iCat")</x:f>
      </x:c>
      <x:c r="M5085" s="0" t="s">
        <x:v>21</x:v>
      </x:c>
      <x:c r="N5085" s="0" t="s">
        <x:v>46</x:v>
      </x:c>
    </x:row>
    <x:row r="5086" spans="1:16">
      <x:c r="A5086" s="0" t="s">
        <x:v>20194</x:v>
      </x:c>
      <x:c r="B5086" s="0" t="s">
        <x:v>20195</x:v>
      </x:c>
      <x:c r="C5086" s="0" t="s">
        <x:v>20196</x:v>
      </x:c>
      <x:c r="E5086" s="0" t="s">
        <x:v>20197</x:v>
      </x:c>
      <x:c r="F5086" s="0" t="s">
        <x:v>45</x:v>
      </x:c>
      <x:c r="G5086" s="0" t="s">
        <x:v>19</x:v>
      </x:c>
      <x:c r="H5086" s="0" t="s">
        <x:v>20</x:v>
      </x:c>
      <x:c r="I5086" s="0" t="s">
        <x:v>21</x:v>
      </x:c>
      <x:c r="K5086" s="0">
        <x:f>hyperlink("https://icd.who.int/dev11/l-ichi/en#/http%3A%2F%2Fid.who.int%2Ficd%2Fentity%2F187618671","browser")</x:f>
      </x:c>
      <x:c r="L5086" s="0">
        <x:f>hyperlink("https://icat2.azurewebsites.net/icat/?ontology=ICD&amp;tab=ClassesTab&amp;id=http%3A%2F%2Fwho.int%2Ficd%2327774_512ebf36_bf6b_4d70_85da_cf2637062af4","iCat")</x:f>
      </x:c>
      <x:c r="M5086" s="0" t="s">
        <x:v>21</x:v>
      </x:c>
      <x:c r="N5086" s="0" t="s">
        <x:v>46</x:v>
      </x:c>
    </x:row>
    <x:row r="5087" spans="1:16">
      <x:c r="A5087" s="0" t="s">
        <x:v>20198</x:v>
      </x:c>
      <x:c r="B5087" s="0" t="s">
        <x:v>20199</x:v>
      </x:c>
      <x:c r="C5087" s="0" t="s">
        <x:v>20200</x:v>
      </x:c>
      <x:c r="E5087" s="0" t="s">
        <x:v>20201</x:v>
      </x:c>
      <x:c r="F5087" s="0" t="s">
        <x:v>45</x:v>
      </x:c>
      <x:c r="G5087" s="0" t="s">
        <x:v>19</x:v>
      </x:c>
      <x:c r="H5087" s="0" t="s">
        <x:v>20</x:v>
      </x:c>
      <x:c r="I5087" s="0" t="s">
        <x:v>21</x:v>
      </x:c>
      <x:c r="K5087" s="0">
        <x:f>hyperlink("https://icd.who.int/dev11/l-ichi/en#/http%3A%2F%2Fid.who.int%2Ficd%2Fentity%2F298736581","browser")</x:f>
      </x:c>
      <x:c r="L5087" s="0">
        <x:f>hyperlink("https://icat2.azurewebsites.net/icat/?ontology=ICD&amp;tab=ClassesTab&amp;id=http%3A%2F%2Fwho.int%2Ficd%2327780_512ebf36_bf6b_4d70_85da_cf2637062af4","iCat")</x:f>
      </x:c>
      <x:c r="M5087" s="0" t="s">
        <x:v>21</x:v>
      </x:c>
      <x:c r="N5087" s="0" t="s">
        <x:v>46</x:v>
      </x:c>
    </x:row>
    <x:row r="5088" spans="1:16">
      <x:c r="A5088" s="0" t="s">
        <x:v>20202</x:v>
      </x:c>
      <x:c r="B5088" s="0" t="s">
        <x:v>20203</x:v>
      </x:c>
      <x:c r="C5088" s="0" t="s">
        <x:v>20204</x:v>
      </x:c>
      <x:c r="E5088" s="0" t="s">
        <x:v>20205</x:v>
      </x:c>
      <x:c r="F5088" s="0" t="s">
        <x:v>45</x:v>
      </x:c>
      <x:c r="G5088" s="0" t="s">
        <x:v>19</x:v>
      </x:c>
      <x:c r="H5088" s="0" t="s">
        <x:v>20</x:v>
      </x:c>
      <x:c r="I5088" s="0" t="s">
        <x:v>21</x:v>
      </x:c>
      <x:c r="K5088" s="0">
        <x:f>hyperlink("https://icd.who.int/dev11/l-ichi/en#/http%3A%2F%2Fid.who.int%2Ficd%2Fentity%2F1599023762","browser")</x:f>
      </x:c>
      <x:c r="L5088" s="0">
        <x:f>hyperlink("https://icat2.azurewebsites.net/icat/?ontology=ICD&amp;tab=ClassesTab&amp;id=http%3A%2F%2Fwho.int%2Ficd%2327788_512ebf36_bf6b_4d70_85da_cf2637062af4","iCat")</x:f>
      </x:c>
      <x:c r="M5088" s="0" t="s">
        <x:v>21</x:v>
      </x:c>
      <x:c r="N5088" s="0" t="s">
        <x:v>46</x:v>
      </x:c>
    </x:row>
    <x:row r="5089" spans="1:16">
      <x:c r="A5089" s="0" t="s">
        <x:v>20206</x:v>
      </x:c>
      <x:c r="B5089" s="0" t="s">
        <x:v>20207</x:v>
      </x:c>
      <x:c r="C5089" s="0" t="s">
        <x:v>20208</x:v>
      </x:c>
      <x:c r="E5089" s="0" t="s">
        <x:v>20209</x:v>
      </x:c>
      <x:c r="F5089" s="0" t="s">
        <x:v>45</x:v>
      </x:c>
      <x:c r="G5089" s="0" t="s">
        <x:v>19</x:v>
      </x:c>
      <x:c r="H5089" s="0" t="s">
        <x:v>20</x:v>
      </x:c>
      <x:c r="I5089" s="0" t="s">
        <x:v>21</x:v>
      </x:c>
      <x:c r="K5089" s="0">
        <x:f>hyperlink("https://icd.who.int/dev11/l-ichi/en#/http%3A%2F%2Fid.who.int%2Ficd%2Fentity%2F1309412070","browser")</x:f>
      </x:c>
      <x:c r="L5089" s="0">
        <x:f>hyperlink("https://icat2.azurewebsites.net/icat/?ontology=ICD&amp;tab=ClassesTab&amp;id=http%3A%2F%2Fwho.int%2Ficd%2327794_512ebf36_bf6b_4d70_85da_cf2637062af4","iCat")</x:f>
      </x:c>
      <x:c r="M5089" s="0" t="s">
        <x:v>21</x:v>
      </x:c>
      <x:c r="N5089" s="0" t="s">
        <x:v>46</x:v>
      </x:c>
    </x:row>
    <x:row r="5090" spans="1:16">
      <x:c r="A5090" s="0" t="s">
        <x:v>20210</x:v>
      </x:c>
      <x:c r="B5090" s="0" t="s">
        <x:v>20211</x:v>
      </x:c>
      <x:c r="C5090" s="0" t="s">
        <x:v>20212</x:v>
      </x:c>
      <x:c r="E5090" s="0" t="s">
        <x:v>20213</x:v>
      </x:c>
      <x:c r="F5090" s="0" t="s">
        <x:v>45</x:v>
      </x:c>
      <x:c r="G5090" s="0" t="s">
        <x:v>19</x:v>
      </x:c>
      <x:c r="H5090" s="0" t="s">
        <x:v>20</x:v>
      </x:c>
      <x:c r="I5090" s="0" t="s">
        <x:v>21</x:v>
      </x:c>
      <x:c r="K5090" s="0">
        <x:f>hyperlink("https://icd.who.int/dev11/l-ichi/en#/http%3A%2F%2Fid.who.int%2Ficd%2Fentity%2F500076484","browser")</x:f>
      </x:c>
      <x:c r="L5090" s="0">
        <x:f>hyperlink("https://icat2.azurewebsites.net/icat/?ontology=ICD&amp;tab=ClassesTab&amp;id=http%3A%2F%2Fwho.int%2Ficd%2327802_512ebf36_bf6b_4d70_85da_cf2637062af4","iCat")</x:f>
      </x:c>
      <x:c r="M5090" s="0" t="s">
        <x:v>21</x:v>
      </x:c>
      <x:c r="N5090" s="0" t="s">
        <x:v>46</x:v>
      </x:c>
    </x:row>
    <x:row r="5091" spans="1:16">
      <x:c r="A5091" s="0" t="s">
        <x:v>20214</x:v>
      </x:c>
      <x:c r="B5091" s="0" t="s">
        <x:v>20215</x:v>
      </x:c>
      <x:c r="C5091" s="0" t="s">
        <x:v>20216</x:v>
      </x:c>
      <x:c r="E5091" s="0" t="s">
        <x:v>20217</x:v>
      </x:c>
      <x:c r="F5091" s="0" t="s">
        <x:v>45</x:v>
      </x:c>
      <x:c r="G5091" s="0" t="s">
        <x:v>19</x:v>
      </x:c>
      <x:c r="H5091" s="0" t="s">
        <x:v>20</x:v>
      </x:c>
      <x:c r="I5091" s="0" t="s">
        <x:v>21</x:v>
      </x:c>
      <x:c r="K5091" s="0">
        <x:f>hyperlink("https://icd.who.int/dev11/l-ichi/en#/http%3A%2F%2Fid.who.int%2Ficd%2Fentity%2F909370196","browser")</x:f>
      </x:c>
      <x:c r="L5091" s="0">
        <x:f>hyperlink("https://icat2.azurewebsites.net/icat/?ontology=ICD&amp;tab=ClassesTab&amp;id=http%3A%2F%2Fwho.int%2Ficd%2327808_512ebf36_bf6b_4d70_85da_cf2637062af4","iCat")</x:f>
      </x:c>
      <x:c r="M5091" s="0" t="s">
        <x:v>21</x:v>
      </x:c>
      <x:c r="N5091" s="0" t="s">
        <x:v>46</x:v>
      </x:c>
    </x:row>
    <x:row r="5092" spans="1:16">
      <x:c r="A5092" s="0" t="s">
        <x:v>20218</x:v>
      </x:c>
      <x:c r="B5092" s="0" t="s">
        <x:v>20219</x:v>
      </x:c>
      <x:c r="C5092" s="0" t="s">
        <x:v>20220</x:v>
      </x:c>
      <x:c r="E5092" s="0" t="s">
        <x:v>20221</x:v>
      </x:c>
      <x:c r="F5092" s="0" t="s">
        <x:v>45</x:v>
      </x:c>
      <x:c r="G5092" s="0" t="s">
        <x:v>19</x:v>
      </x:c>
      <x:c r="H5092" s="0" t="s">
        <x:v>20</x:v>
      </x:c>
      <x:c r="I5092" s="0" t="s">
        <x:v>21</x:v>
      </x:c>
      <x:c r="K5092" s="0">
        <x:f>hyperlink("https://icd.who.int/dev11/l-ichi/en#/http%3A%2F%2Fid.who.int%2Ficd%2Fentity%2F661701412","browser")</x:f>
      </x:c>
      <x:c r="L5092" s="0">
        <x:f>hyperlink("https://icat2.azurewebsites.net/icat/?ontology=ICD&amp;tab=ClassesTab&amp;id=http%3A%2F%2Fwho.int%2Ficd%2327814_512ebf36_bf6b_4d70_85da_cf2637062af4","iCat")</x:f>
      </x:c>
      <x:c r="M5092" s="0" t="s">
        <x:v>21</x:v>
      </x:c>
      <x:c r="N5092" s="0" t="s">
        <x:v>46</x:v>
      </x:c>
    </x:row>
    <x:row r="5093" spans="1:16">
      <x:c r="A5093" s="0" t="s">
        <x:v>20222</x:v>
      </x:c>
      <x:c r="B5093" s="0" t="s">
        <x:v>20223</x:v>
      </x:c>
      <x:c r="C5093" s="0" t="s">
        <x:v>20224</x:v>
      </x:c>
      <x:c r="E5093" s="0" t="s">
        <x:v>20225</x:v>
      </x:c>
      <x:c r="F5093" s="0" t="s">
        <x:v>45</x:v>
      </x:c>
      <x:c r="G5093" s="0" t="s">
        <x:v>19</x:v>
      </x:c>
      <x:c r="H5093" s="0" t="s">
        <x:v>20</x:v>
      </x:c>
      <x:c r="I5093" s="0" t="s">
        <x:v>21</x:v>
      </x:c>
      <x:c r="K5093" s="0">
        <x:f>hyperlink("https://icd.who.int/dev11/l-ichi/en#/http%3A%2F%2Fid.who.int%2Ficd%2Fentity%2F1916745067","browser")</x:f>
      </x:c>
      <x:c r="L5093" s="0">
        <x:f>hyperlink("https://icat2.azurewebsites.net/icat/?ontology=ICD&amp;tab=ClassesTab&amp;id=http%3A%2F%2Fwho.int%2Ficd%2327821_512ebf36_bf6b_4d70_85da_cf2637062af4","iCat")</x:f>
      </x:c>
      <x:c r="M5093" s="0" t="s">
        <x:v>21</x:v>
      </x:c>
      <x:c r="N5093" s="0" t="s">
        <x:v>46</x:v>
      </x:c>
    </x:row>
    <x:row r="5094" spans="1:16">
      <x:c r="A5094" s="0" t="s">
        <x:v>20226</x:v>
      </x:c>
      <x:c r="B5094" s="0" t="s">
        <x:v>20227</x:v>
      </x:c>
      <x:c r="C5094" s="0" t="s">
        <x:v>20228</x:v>
      </x:c>
      <x:c r="E5094" s="0" t="s">
        <x:v>20229</x:v>
      </x:c>
      <x:c r="F5094" s="0" t="s">
        <x:v>45</x:v>
      </x:c>
      <x:c r="G5094" s="0" t="s">
        <x:v>19</x:v>
      </x:c>
      <x:c r="H5094" s="0" t="s">
        <x:v>20</x:v>
      </x:c>
      <x:c r="I5094" s="0" t="s">
        <x:v>21</x:v>
      </x:c>
      <x:c r="K5094" s="0">
        <x:f>hyperlink("https://icd.who.int/dev11/l-ichi/en#/http%3A%2F%2Fid.who.int%2Ficd%2Fentity%2F574942426","browser")</x:f>
      </x:c>
      <x:c r="L5094" s="0">
        <x:f>hyperlink("https://icat2.azurewebsites.net/icat/?ontology=ICD&amp;tab=ClassesTab&amp;id=http%3A%2F%2Fwho.int%2Ficd%2327827_512ebf36_bf6b_4d70_85da_cf2637062af4","iCat")</x:f>
      </x:c>
      <x:c r="M5094" s="0" t="s">
        <x:v>21</x:v>
      </x:c>
      <x:c r="N5094" s="0" t="s">
        <x:v>46</x:v>
      </x:c>
    </x:row>
    <x:row r="5095" spans="1:16">
      <x:c r="A5095" s="0" t="s">
        <x:v>20230</x:v>
      </x:c>
      <x:c r="B5095" s="0" t="s">
        <x:v>20231</x:v>
      </x:c>
      <x:c r="C5095" s="0" t="s">
        <x:v>20232</x:v>
      </x:c>
      <x:c r="E5095" s="0" t="s">
        <x:v>20233</x:v>
      </x:c>
      <x:c r="F5095" s="0" t="s">
        <x:v>45</x:v>
      </x:c>
      <x:c r="G5095" s="0" t="s">
        <x:v>19</x:v>
      </x:c>
      <x:c r="H5095" s="0" t="s">
        <x:v>20</x:v>
      </x:c>
      <x:c r="I5095" s="0" t="s">
        <x:v>21</x:v>
      </x:c>
      <x:c r="K5095" s="0">
        <x:f>hyperlink("https://icd.who.int/dev11/l-ichi/en#/http%3A%2F%2Fid.who.int%2Ficd%2Fentity%2F218371702","browser")</x:f>
      </x:c>
      <x:c r="L5095" s="0">
        <x:f>hyperlink("https://icat2.azurewebsites.net/icat/?ontology=ICD&amp;tab=ClassesTab&amp;id=http%3A%2F%2Fwho.int%2Ficd%2327834_512ebf36_bf6b_4d70_85da_cf2637062af4","iCat")</x:f>
      </x:c>
      <x:c r="M5095" s="0" t="s">
        <x:v>21</x:v>
      </x:c>
      <x:c r="N5095" s="0" t="s">
        <x:v>46</x:v>
      </x:c>
    </x:row>
    <x:row r="5096" spans="1:16">
      <x:c r="A5096" s="0" t="s">
        <x:v>20234</x:v>
      </x:c>
      <x:c r="B5096" s="0" t="s">
        <x:v>20235</x:v>
      </x:c>
      <x:c r="C5096" s="0" t="s">
        <x:v>20236</x:v>
      </x:c>
      <x:c r="E5096" s="0" t="s">
        <x:v>20237</x:v>
      </x:c>
      <x:c r="F5096" s="0" t="s">
        <x:v>45</x:v>
      </x:c>
      <x:c r="G5096" s="0" t="s">
        <x:v>19</x:v>
      </x:c>
      <x:c r="H5096" s="0" t="s">
        <x:v>20</x:v>
      </x:c>
      <x:c r="I5096" s="0" t="s">
        <x:v>21</x:v>
      </x:c>
      <x:c r="K5096" s="0">
        <x:f>hyperlink("https://icd.who.int/dev11/l-ichi/en#/http%3A%2F%2Fid.who.int%2Ficd%2Fentity%2F674018086","browser")</x:f>
      </x:c>
      <x:c r="L5096" s="0">
        <x:f>hyperlink("https://icat2.azurewebsites.net/icat/?ontology=ICD&amp;tab=ClassesTab&amp;id=http%3A%2F%2Fwho.int%2Ficd%2327841_512ebf36_bf6b_4d70_85da_cf2637062af4","iCat")</x:f>
      </x:c>
      <x:c r="M5096" s="0" t="s">
        <x:v>21</x:v>
      </x:c>
      <x:c r="N5096" s="0" t="s">
        <x:v>46</x:v>
      </x:c>
    </x:row>
    <x:row r="5097" spans="1:16">
      <x:c r="A5097" s="0" t="s">
        <x:v>20238</x:v>
      </x:c>
      <x:c r="B5097" s="0" t="s">
        <x:v>20239</x:v>
      </x:c>
      <x:c r="C5097" s="0" t="s">
        <x:v>20240</x:v>
      </x:c>
      <x:c r="E5097" s="0" t="s">
        <x:v>20241</x:v>
      </x:c>
      <x:c r="F5097" s="0" t="s">
        <x:v>45</x:v>
      </x:c>
      <x:c r="G5097" s="0" t="s">
        <x:v>19</x:v>
      </x:c>
      <x:c r="H5097" s="0" t="s">
        <x:v>20</x:v>
      </x:c>
      <x:c r="I5097" s="0" t="s">
        <x:v>21</x:v>
      </x:c>
      <x:c r="K5097" s="0">
        <x:f>hyperlink("https://icd.who.int/dev11/l-ichi/en#/http%3A%2F%2Fid.who.int%2Ficd%2Fentity%2F966111665","browser")</x:f>
      </x:c>
      <x:c r="L5097" s="0">
        <x:f>hyperlink("https://icat2.azurewebsites.net/icat/?ontology=ICD&amp;tab=ClassesTab&amp;id=http%3A%2F%2Fwho.int%2Ficd%23924_63e30ea5_14bd_4823_bf2d_a6a05c9b9750","iCat")</x:f>
      </x:c>
      <x:c r="M5097" s="0" t="s">
        <x:v>21</x:v>
      </x:c>
      <x:c r="N5097" s="0" t="s">
        <x:v>46</x:v>
      </x:c>
    </x:row>
    <x:row r="5098" spans="1:16">
      <x:c r="A5098" s="0" t="s">
        <x:v>20242</x:v>
      </x:c>
      <x:c r="B5098" s="0" t="s">
        <x:v>20243</x:v>
      </x:c>
      <x:c r="C5098" s="0" t="s">
        <x:v>20244</x:v>
      </x:c>
      <x:c r="E5098" s="0" t="s">
        <x:v>20245</x:v>
      </x:c>
      <x:c r="F5098" s="0" t="s">
        <x:v>45</x:v>
      </x:c>
      <x:c r="G5098" s="0" t="s">
        <x:v>19</x:v>
      </x:c>
      <x:c r="H5098" s="0" t="s">
        <x:v>20</x:v>
      </x:c>
      <x:c r="I5098" s="0" t="s">
        <x:v>21</x:v>
      </x:c>
      <x:c r="K5098" s="0">
        <x:f>hyperlink("https://icd.who.int/dev11/l-ichi/en#/http%3A%2F%2Fid.who.int%2Ficd%2Fentity%2F1645237325","browser")</x:f>
      </x:c>
      <x:c r="L5098" s="0">
        <x:f>hyperlink("https://icat2.azurewebsites.net/icat/?ontology=ICD&amp;tab=ClassesTab&amp;id=http%3A%2F%2Fwho.int%2Ficd%2327850_512ebf36_bf6b_4d70_85da_cf2637062af4","iCat")</x:f>
      </x:c>
      <x:c r="M5098" s="0" t="s">
        <x:v>21</x:v>
      </x:c>
      <x:c r="N5098" s="0" t="s">
        <x:v>46</x:v>
      </x:c>
    </x:row>
    <x:row r="5099" spans="1:16">
      <x:c r="A5099" s="0" t="s">
        <x:v>20246</x:v>
      </x:c>
      <x:c r="B5099" s="0" t="s">
        <x:v>20247</x:v>
      </x:c>
      <x:c r="C5099" s="0" t="s">
        <x:v>20248</x:v>
      </x:c>
      <x:c r="E5099" s="0" t="s">
        <x:v>20249</x:v>
      </x:c>
      <x:c r="F5099" s="0" t="s">
        <x:v>45</x:v>
      </x:c>
      <x:c r="G5099" s="0" t="s">
        <x:v>19</x:v>
      </x:c>
      <x:c r="H5099" s="0" t="s">
        <x:v>20</x:v>
      </x:c>
      <x:c r="I5099" s="0" t="s">
        <x:v>21</x:v>
      </x:c>
      <x:c r="K5099" s="0">
        <x:f>hyperlink("https://icd.who.int/dev11/l-ichi/en#/http%3A%2F%2Fid.who.int%2Ficd%2Fentity%2F845909500","browser")</x:f>
      </x:c>
      <x:c r="L5099" s="0">
        <x:f>hyperlink("https://icat2.azurewebsites.net/icat/?ontology=ICD&amp;tab=ClassesTab&amp;id=http%3A%2F%2Fwho.int%2Ficd%2327856_512ebf36_bf6b_4d70_85da_cf2637062af4","iCat")</x:f>
      </x:c>
      <x:c r="M5099" s="0" t="s">
        <x:v>21</x:v>
      </x:c>
      <x:c r="N5099" s="0" t="s">
        <x:v>46</x:v>
      </x:c>
    </x:row>
    <x:row r="5100" spans="1:16">
      <x:c r="A5100" s="0" t="s">
        <x:v>20250</x:v>
      </x:c>
      <x:c r="B5100" s="0" t="s">
        <x:v>20251</x:v>
      </x:c>
      <x:c r="C5100" s="0" t="s">
        <x:v>20252</x:v>
      </x:c>
      <x:c r="E5100" s="0" t="s">
        <x:v>20253</x:v>
      </x:c>
      <x:c r="F5100" s="0" t="s">
        <x:v>45</x:v>
      </x:c>
      <x:c r="G5100" s="0" t="s">
        <x:v>19</x:v>
      </x:c>
      <x:c r="H5100" s="0" t="s">
        <x:v>20</x:v>
      </x:c>
      <x:c r="I5100" s="0" t="s">
        <x:v>21</x:v>
      </x:c>
      <x:c r="K5100" s="0">
        <x:f>hyperlink("https://icd.who.int/dev11/l-ichi/en#/http%3A%2F%2Fid.who.int%2Ficd%2Fentity%2F1730444211","browser")</x:f>
      </x:c>
      <x:c r="L5100" s="0">
        <x:f>hyperlink("https://icat2.azurewebsites.net/icat/?ontology=ICD&amp;tab=ClassesTab&amp;id=http%3A%2F%2Fwho.int%2Ficd%2327863_512ebf36_bf6b_4d70_85da_cf2637062af4","iCat")</x:f>
      </x:c>
      <x:c r="M5100" s="0" t="s">
        <x:v>21</x:v>
      </x:c>
      <x:c r="N5100" s="0" t="s">
        <x:v>46</x:v>
      </x:c>
    </x:row>
    <x:row r="5101" spans="1:16">
      <x:c r="A5101" s="0" t="s">
        <x:v>20254</x:v>
      </x:c>
      <x:c r="B5101" s="0" t="s">
        <x:v>20255</x:v>
      </x:c>
      <x:c r="C5101" s="0" t="s">
        <x:v>20256</x:v>
      </x:c>
      <x:c r="E5101" s="0" t="s">
        <x:v>20257</x:v>
      </x:c>
      <x:c r="F5101" s="0" t="s">
        <x:v>45</x:v>
      </x:c>
      <x:c r="G5101" s="0" t="s">
        <x:v>19</x:v>
      </x:c>
      <x:c r="H5101" s="0" t="s">
        <x:v>20</x:v>
      </x:c>
      <x:c r="I5101" s="0" t="s">
        <x:v>21</x:v>
      </x:c>
      <x:c r="K5101" s="0">
        <x:f>hyperlink("https://icd.who.int/dev11/l-ichi/en#/http%3A%2F%2Fid.who.int%2Ficd%2Fentity%2F1289295651","browser")</x:f>
      </x:c>
      <x:c r="L5101" s="0">
        <x:f>hyperlink("https://icat2.azurewebsites.net/icat/?ontology=ICD&amp;tab=ClassesTab&amp;id=http%3A%2F%2Fwho.int%2Ficd%2327869_512ebf36_bf6b_4d70_85da_cf2637062af4","iCat")</x:f>
      </x:c>
      <x:c r="M5101" s="0" t="s">
        <x:v>21</x:v>
      </x:c>
      <x:c r="N5101" s="0" t="s">
        <x:v>46</x:v>
      </x:c>
    </x:row>
    <x:row r="5102" spans="1:16">
      <x:c r="A5102" s="0" t="s">
        <x:v>20258</x:v>
      </x:c>
      <x:c r="B5102" s="0" t="s">
        <x:v>20259</x:v>
      </x:c>
      <x:c r="C5102" s="0" t="s">
        <x:v>20260</x:v>
      </x:c>
      <x:c r="E5102" s="0" t="s">
        <x:v>20261</x:v>
      </x:c>
      <x:c r="F5102" s="0" t="s">
        <x:v>45</x:v>
      </x:c>
      <x:c r="G5102" s="0" t="s">
        <x:v>19</x:v>
      </x:c>
      <x:c r="H5102" s="0" t="s">
        <x:v>20</x:v>
      </x:c>
      <x:c r="I5102" s="0" t="s">
        <x:v>21</x:v>
      </x:c>
      <x:c r="K5102" s="0">
        <x:f>hyperlink("https://icd.who.int/dev11/l-ichi/en#/http%3A%2F%2Fid.who.int%2Ficd%2Fentity%2F404707502","browser")</x:f>
      </x:c>
      <x:c r="L5102" s="0">
        <x:f>hyperlink("https://icat2.azurewebsites.net/icat/?ontology=ICD&amp;tab=ClassesTab&amp;id=http%3A%2F%2Fwho.int%2Ficd%2327876_512ebf36_bf6b_4d70_85da_cf2637062af4","iCat")</x:f>
      </x:c>
      <x:c r="M5102" s="0" t="s">
        <x:v>21</x:v>
      </x:c>
      <x:c r="N5102" s="0" t="s">
        <x:v>46</x:v>
      </x:c>
    </x:row>
    <x:row r="5103" spans="1:16">
      <x:c r="A5103" s="0" t="s">
        <x:v>20262</x:v>
      </x:c>
      <x:c r="B5103" s="0" t="s">
        <x:v>20263</x:v>
      </x:c>
      <x:c r="C5103" s="0" t="s">
        <x:v>20264</x:v>
      </x:c>
      <x:c r="E5103" s="0" t="s">
        <x:v>20265</x:v>
      </x:c>
      <x:c r="F5103" s="0" t="s">
        <x:v>45</x:v>
      </x:c>
      <x:c r="G5103" s="0" t="s">
        <x:v>19</x:v>
      </x:c>
      <x:c r="H5103" s="0" t="s">
        <x:v>20</x:v>
      </x:c>
      <x:c r="I5103" s="0" t="s">
        <x:v>21</x:v>
      </x:c>
      <x:c r="K5103" s="0">
        <x:f>hyperlink("https://icd.who.int/dev11/l-ichi/en#/http%3A%2F%2Fid.who.int%2Ficd%2Fentity%2F1384386487","browser")</x:f>
      </x:c>
      <x:c r="L5103" s="0">
        <x:f>hyperlink("https://icat2.azurewebsites.net/icat/?ontology=ICD&amp;tab=ClassesTab&amp;id=http%3A%2F%2Fwho.int%2Ficd%2327884_512ebf36_bf6b_4d70_85da_cf2637062af4","iCat")</x:f>
      </x:c>
      <x:c r="M5103" s="0" t="s">
        <x:v>21</x:v>
      </x:c>
      <x:c r="N5103" s="0" t="s">
        <x:v>46</x:v>
      </x:c>
    </x:row>
    <x:row r="5104" spans="1:16">
      <x:c r="A5104" s="0" t="s">
        <x:v>20266</x:v>
      </x:c>
      <x:c r="B5104" s="0" t="s">
        <x:v>20267</x:v>
      </x:c>
      <x:c r="C5104" s="0" t="s">
        <x:v>20268</x:v>
      </x:c>
      <x:c r="E5104" s="0" t="s">
        <x:v>20269</x:v>
      </x:c>
      <x:c r="F5104" s="0" t="s">
        <x:v>45</x:v>
      </x:c>
      <x:c r="G5104" s="0" t="s">
        <x:v>19</x:v>
      </x:c>
      <x:c r="H5104" s="0" t="s">
        <x:v>20</x:v>
      </x:c>
      <x:c r="I5104" s="0" t="s">
        <x:v>21</x:v>
      </x:c>
      <x:c r="K5104" s="0">
        <x:f>hyperlink("https://icd.who.int/dev11/l-ichi/en#/http%3A%2F%2Fid.who.int%2Ficd%2Fentity%2F222715540","browser")</x:f>
      </x:c>
      <x:c r="L5104" s="0">
        <x:f>hyperlink("https://icat2.azurewebsites.net/icat/?ontology=ICD&amp;tab=ClassesTab&amp;id=http%3A%2F%2Fwho.int%2Ficd%2327890_512ebf36_bf6b_4d70_85da_cf2637062af4","iCat")</x:f>
      </x:c>
      <x:c r="M5104" s="0" t="s">
        <x:v>21</x:v>
      </x:c>
      <x:c r="N5104" s="0" t="s">
        <x:v>46</x:v>
      </x:c>
    </x:row>
    <x:row r="5105" spans="1:16">
      <x:c r="A5105" s="0" t="s">
        <x:v>20270</x:v>
      </x:c>
      <x:c r="B5105" s="0" t="s">
        <x:v>20271</x:v>
      </x:c>
      <x:c r="C5105" s="0" t="s">
        <x:v>20272</x:v>
      </x:c>
      <x:c r="E5105" s="0" t="s">
        <x:v>20273</x:v>
      </x:c>
      <x:c r="F5105" s="0" t="s">
        <x:v>45</x:v>
      </x:c>
      <x:c r="G5105" s="0" t="s">
        <x:v>19</x:v>
      </x:c>
      <x:c r="H5105" s="0" t="s">
        <x:v>20</x:v>
      </x:c>
      <x:c r="I5105" s="0" t="s">
        <x:v>21</x:v>
      </x:c>
      <x:c r="K5105" s="0">
        <x:f>hyperlink("https://icd.who.int/dev11/l-ichi/en#/http%3A%2F%2Fid.who.int%2Ficd%2Fentity%2F768878246","browser")</x:f>
      </x:c>
      <x:c r="L5105" s="0">
        <x:f>hyperlink("https://icat2.azurewebsites.net/icat/?ontology=ICD&amp;tab=ClassesTab&amp;id=http%3A%2F%2Fwho.int%2Ficd%2327901_512ebf36_bf6b_4d70_85da_cf2637062af4","iCat")</x:f>
      </x:c>
      <x:c r="M5105" s="0" t="s">
        <x:v>21</x:v>
      </x:c>
      <x:c r="N5105" s="0" t="s">
        <x:v>46</x:v>
      </x:c>
    </x:row>
    <x:row r="5106" spans="1:16">
      <x:c r="A5106" s="0" t="s">
        <x:v>20274</x:v>
      </x:c>
      <x:c r="B5106" s="0" t="s">
        <x:v>20275</x:v>
      </x:c>
      <x:c r="C5106" s="0" t="s">
        <x:v>20276</x:v>
      </x:c>
      <x:c r="E5106" s="0" t="s">
        <x:v>20277</x:v>
      </x:c>
      <x:c r="F5106" s="0" t="s">
        <x:v>45</x:v>
      </x:c>
      <x:c r="G5106" s="0" t="s">
        <x:v>19</x:v>
      </x:c>
      <x:c r="H5106" s="0" t="s">
        <x:v>20</x:v>
      </x:c>
      <x:c r="I5106" s="0" t="s">
        <x:v>21</x:v>
      </x:c>
      <x:c r="K5106" s="0">
        <x:f>hyperlink("https://icd.who.int/dev11/l-ichi/en#/http%3A%2F%2Fid.who.int%2Ficd%2Fentity%2F577613364","browser")</x:f>
      </x:c>
      <x:c r="L5106" s="0">
        <x:f>hyperlink("https://icat2.azurewebsites.net/icat/?ontology=ICD&amp;tab=ClassesTab&amp;id=http%3A%2F%2Fwho.int%2Ficd%2327913_512ebf36_bf6b_4d70_85da_cf2637062af4","iCat")</x:f>
      </x:c>
      <x:c r="M5106" s="0" t="s">
        <x:v>21</x:v>
      </x:c>
      <x:c r="N5106" s="0" t="s">
        <x:v>46</x:v>
      </x:c>
    </x:row>
    <x:row r="5107" spans="1:16">
      <x:c r="A5107" s="0" t="s">
        <x:v>20278</x:v>
      </x:c>
      <x:c r="B5107" s="0" t="s">
        <x:v>20279</x:v>
      </x:c>
      <x:c r="C5107" s="0" t="s">
        <x:v>20280</x:v>
      </x:c>
      <x:c r="E5107" s="0" t="s">
        <x:v>20281</x:v>
      </x:c>
      <x:c r="F5107" s="0" t="s">
        <x:v>45</x:v>
      </x:c>
      <x:c r="G5107" s="0" t="s">
        <x:v>19</x:v>
      </x:c>
      <x:c r="H5107" s="0" t="s">
        <x:v>20</x:v>
      </x:c>
      <x:c r="I5107" s="0" t="s">
        <x:v>21</x:v>
      </x:c>
      <x:c r="K5107" s="0">
        <x:f>hyperlink("https://icd.who.int/dev11/l-ichi/en#/http%3A%2F%2Fid.who.int%2Ficd%2Fentity%2F660177354","browser")</x:f>
      </x:c>
      <x:c r="L5107" s="0">
        <x:f>hyperlink("https://icat2.azurewebsites.net/icat/?ontology=ICD&amp;tab=ClassesTab&amp;id=http%3A%2F%2Fwho.int%2Ficd%2327920_512ebf36_bf6b_4d70_85da_cf2637062af4","iCat")</x:f>
      </x:c>
      <x:c r="M5107" s="0" t="s">
        <x:v>21</x:v>
      </x:c>
      <x:c r="N5107" s="0" t="s">
        <x:v>46</x:v>
      </x:c>
    </x:row>
    <x:row r="5108" spans="1:16">
      <x:c r="A5108" s="0" t="s">
        <x:v>20282</x:v>
      </x:c>
      <x:c r="B5108" s="0" t="s">
        <x:v>20283</x:v>
      </x:c>
      <x:c r="C5108" s="0" t="s">
        <x:v>20284</x:v>
      </x:c>
      <x:c r="E5108" s="0" t="s">
        <x:v>20285</x:v>
      </x:c>
      <x:c r="F5108" s="0" t="s">
        <x:v>45</x:v>
      </x:c>
      <x:c r="G5108" s="0" t="s">
        <x:v>19</x:v>
      </x:c>
      <x:c r="H5108" s="0" t="s">
        <x:v>20</x:v>
      </x:c>
      <x:c r="I5108" s="0" t="s">
        <x:v>21</x:v>
      </x:c>
      <x:c r="K5108" s="0">
        <x:f>hyperlink("https://icd.who.int/dev11/l-ichi/en#/http%3A%2F%2Fid.who.int%2Ficd%2Fentity%2F1226932899","browser")</x:f>
      </x:c>
      <x:c r="L5108" s="0">
        <x:f>hyperlink("https://icat2.azurewebsites.net/icat/?ontology=ICD&amp;tab=ClassesTab&amp;id=http%3A%2F%2Fwho.int%2Ficd%2327929_512ebf36_bf6b_4d70_85da_cf2637062af4","iCat")</x:f>
      </x:c>
      <x:c r="M5108" s="0" t="s">
        <x:v>21</x:v>
      </x:c>
      <x:c r="N5108" s="0" t="s">
        <x:v>46</x:v>
      </x:c>
    </x:row>
    <x:row r="5109" spans="1:16">
      <x:c r="A5109" s="0" t="s">
        <x:v>20286</x:v>
      </x:c>
      <x:c r="B5109" s="0" t="s">
        <x:v>20287</x:v>
      </x:c>
      <x:c r="C5109" s="0" t="s">
        <x:v>20288</x:v>
      </x:c>
      <x:c r="E5109" s="0" t="s">
        <x:v>20289</x:v>
      </x:c>
      <x:c r="F5109" s="0" t="s">
        <x:v>45</x:v>
      </x:c>
      <x:c r="G5109" s="0" t="s">
        <x:v>19</x:v>
      </x:c>
      <x:c r="H5109" s="0" t="s">
        <x:v>20</x:v>
      </x:c>
      <x:c r="I5109" s="0" t="s">
        <x:v>21</x:v>
      </x:c>
      <x:c r="K5109" s="0">
        <x:f>hyperlink("https://icd.who.int/dev11/l-ichi/en#/http%3A%2F%2Fid.who.int%2Ficd%2Fentity%2F1482859221","browser")</x:f>
      </x:c>
      <x:c r="L5109" s="0">
        <x:f>hyperlink("https://icat2.azurewebsites.net/icat/?ontology=ICD&amp;tab=ClassesTab&amp;id=http%3A%2F%2Fwho.int%2Ficd%2327935_512ebf36_bf6b_4d70_85da_cf2637062af4","iCat")</x:f>
      </x:c>
      <x:c r="M5109" s="0" t="s">
        <x:v>21</x:v>
      </x:c>
      <x:c r="N5109" s="0" t="s">
        <x:v>46</x:v>
      </x:c>
    </x:row>
    <x:row r="5110" spans="1:16">
      <x:c r="A5110" s="0" t="s">
        <x:v>20290</x:v>
      </x:c>
      <x:c r="B5110" s="0" t="s">
        <x:v>20291</x:v>
      </x:c>
      <x:c r="C5110" s="0" t="s">
        <x:v>20292</x:v>
      </x:c>
      <x:c r="E5110" s="0" t="s">
        <x:v>20293</x:v>
      </x:c>
      <x:c r="F5110" s="0" t="s">
        <x:v>45</x:v>
      </x:c>
      <x:c r="G5110" s="0" t="s">
        <x:v>19</x:v>
      </x:c>
      <x:c r="H5110" s="0" t="s">
        <x:v>20</x:v>
      </x:c>
      <x:c r="I5110" s="0" t="s">
        <x:v>21</x:v>
      </x:c>
      <x:c r="K5110" s="0">
        <x:f>hyperlink("https://icd.who.int/dev11/l-ichi/en#/http%3A%2F%2Fid.who.int%2Ficd%2Fentity%2F406198852","browser")</x:f>
      </x:c>
      <x:c r="L5110" s="0">
        <x:f>hyperlink("https://icat2.azurewebsites.net/icat/?ontology=ICD&amp;tab=ClassesTab&amp;id=http%3A%2F%2Fwho.int%2Ficd%2327942_512ebf36_bf6b_4d70_85da_cf2637062af4","iCat")</x:f>
      </x:c>
      <x:c r="M5110" s="0" t="s">
        <x:v>21</x:v>
      </x:c>
      <x:c r="N5110" s="0" t="s">
        <x:v>46</x:v>
      </x:c>
    </x:row>
    <x:row r="5111" spans="1:16">
      <x:c r="A5111" s="0" t="s">
        <x:v>20294</x:v>
      </x:c>
      <x:c r="B5111" s="0" t="s">
        <x:v>20295</x:v>
      </x:c>
      <x:c r="C5111" s="0" t="s">
        <x:v>20296</x:v>
      </x:c>
      <x:c r="E5111" s="0" t="s">
        <x:v>20297</x:v>
      </x:c>
      <x:c r="F5111" s="0" t="s">
        <x:v>45</x:v>
      </x:c>
      <x:c r="G5111" s="0" t="s">
        <x:v>19</x:v>
      </x:c>
      <x:c r="H5111" s="0" t="s">
        <x:v>20</x:v>
      </x:c>
      <x:c r="I5111" s="0" t="s">
        <x:v>21</x:v>
      </x:c>
      <x:c r="K5111" s="0">
        <x:f>hyperlink("https://icd.who.int/dev11/l-ichi/en#/http%3A%2F%2Fid.who.int%2Ficd%2Fentity%2F868972244","browser")</x:f>
      </x:c>
      <x:c r="L5111" s="0">
        <x:f>hyperlink("https://icat2.azurewebsites.net/icat/?ontology=ICD&amp;tab=ClassesTab&amp;id=http%3A%2F%2Fwho.int%2Ficd%2327948_512ebf36_bf6b_4d70_85da_cf2637062af4","iCat")</x:f>
      </x:c>
      <x:c r="M5111" s="0" t="s">
        <x:v>21</x:v>
      </x:c>
      <x:c r="N5111" s="0" t="s">
        <x:v>46</x:v>
      </x:c>
    </x:row>
    <x:row r="5112" spans="1:16">
      <x:c r="A5112" s="0" t="s">
        <x:v>20298</x:v>
      </x:c>
      <x:c r="B5112" s="0" t="s">
        <x:v>20299</x:v>
      </x:c>
      <x:c r="C5112" s="0" t="s">
        <x:v>20300</x:v>
      </x:c>
      <x:c r="E5112" s="0" t="s">
        <x:v>20301</x:v>
      </x:c>
      <x:c r="F5112" s="0" t="s">
        <x:v>45</x:v>
      </x:c>
      <x:c r="G5112" s="0" t="s">
        <x:v>19</x:v>
      </x:c>
      <x:c r="H5112" s="0" t="s">
        <x:v>20</x:v>
      </x:c>
      <x:c r="I5112" s="0" t="s">
        <x:v>21</x:v>
      </x:c>
      <x:c r="K5112" s="0">
        <x:f>hyperlink("https://icd.who.int/dev11/l-ichi/en#/http%3A%2F%2Fid.who.int%2Ficd%2Fentity%2F40969370","browser")</x:f>
      </x:c>
      <x:c r="L5112" s="0">
        <x:f>hyperlink("https://icat2.azurewebsites.net/icat/?ontology=ICD&amp;tab=ClassesTab&amp;id=http%3A%2F%2Fwho.int%2Ficd%2327955_512ebf36_bf6b_4d70_85da_cf2637062af4","iCat")</x:f>
      </x:c>
      <x:c r="M5112" s="0" t="s">
        <x:v>21</x:v>
      </x:c>
      <x:c r="N5112" s="0" t="s">
        <x:v>46</x:v>
      </x:c>
    </x:row>
    <x:row r="5113" spans="1:16">
      <x:c r="A5113" s="0" t="s">
        <x:v>20302</x:v>
      </x:c>
      <x:c r="B5113" s="0" t="s">
        <x:v>20303</x:v>
      </x:c>
      <x:c r="C5113" s="0" t="s">
        <x:v>20304</x:v>
      </x:c>
      <x:c r="E5113" s="0" t="s">
        <x:v>20305</x:v>
      </x:c>
      <x:c r="F5113" s="0" t="s">
        <x:v>45</x:v>
      </x:c>
      <x:c r="G5113" s="0" t="s">
        <x:v>19</x:v>
      </x:c>
      <x:c r="H5113" s="0" t="s">
        <x:v>20</x:v>
      </x:c>
      <x:c r="I5113" s="0" t="s">
        <x:v>21</x:v>
      </x:c>
      <x:c r="K5113" s="0">
        <x:f>hyperlink("https://icd.who.int/dev11/l-ichi/en#/http%3A%2F%2Fid.who.int%2Ficd%2Fentity%2F314293552","browser")</x:f>
      </x:c>
      <x:c r="L5113" s="0">
        <x:f>hyperlink("https://icat2.azurewebsites.net/icat/?ontology=ICD&amp;tab=ClassesTab&amp;id=http%3A%2F%2Fwho.int%2Ficd%2327963_512ebf36_bf6b_4d70_85da_cf2637062af4","iCat")</x:f>
      </x:c>
      <x:c r="M5113" s="0" t="s">
        <x:v>21</x:v>
      </x:c>
      <x:c r="N5113" s="0" t="s">
        <x:v>46</x:v>
      </x:c>
    </x:row>
    <x:row r="5114" spans="1:16">
      <x:c r="A5114" s="0" t="s">
        <x:v>20306</x:v>
      </x:c>
      <x:c r="B5114" s="0" t="s">
        <x:v>20307</x:v>
      </x:c>
      <x:c r="C5114" s="0" t="s">
        <x:v>20308</x:v>
      </x:c>
      <x:c r="E5114" s="0" t="s">
        <x:v>20309</x:v>
      </x:c>
      <x:c r="F5114" s="0" t="s">
        <x:v>45</x:v>
      </x:c>
      <x:c r="G5114" s="0" t="s">
        <x:v>19</x:v>
      </x:c>
      <x:c r="H5114" s="0" t="s">
        <x:v>20</x:v>
      </x:c>
      <x:c r="I5114" s="0" t="s">
        <x:v>21</x:v>
      </x:c>
      <x:c r="K5114" s="0">
        <x:f>hyperlink("https://icd.who.int/dev11/l-ichi/en#/http%3A%2F%2Fid.who.int%2Ficd%2Fentity%2F960942528","browser")</x:f>
      </x:c>
      <x:c r="L5114" s="0">
        <x:f>hyperlink("https://icat2.azurewebsites.net/icat/?ontology=ICD&amp;tab=ClassesTab&amp;id=http%3A%2F%2Fwho.int%2Ficd%2327969_512ebf36_bf6b_4d70_85da_cf2637062af4","iCat")</x:f>
      </x:c>
      <x:c r="M5114" s="0" t="s">
        <x:v>21</x:v>
      </x:c>
      <x:c r="N5114" s="0" t="s">
        <x:v>46</x:v>
      </x:c>
    </x:row>
    <x:row r="5115" spans="1:16">
      <x:c r="A5115" s="0" t="s">
        <x:v>20310</x:v>
      </x:c>
      <x:c r="B5115" s="0" t="s">
        <x:v>20311</x:v>
      </x:c>
      <x:c r="C5115" s="0" t="s">
        <x:v>20312</x:v>
      </x:c>
      <x:c r="E5115" s="0" t="s">
        <x:v>20313</x:v>
      </x:c>
      <x:c r="F5115" s="0" t="s">
        <x:v>45</x:v>
      </x:c>
      <x:c r="G5115" s="0" t="s">
        <x:v>19</x:v>
      </x:c>
      <x:c r="H5115" s="0" t="s">
        <x:v>20</x:v>
      </x:c>
      <x:c r="I5115" s="0" t="s">
        <x:v>21</x:v>
      </x:c>
      <x:c r="K5115" s="0">
        <x:f>hyperlink("https://icd.who.int/dev11/l-ichi/en#/http%3A%2F%2Fid.who.int%2Ficd%2Fentity%2F671478216","browser")</x:f>
      </x:c>
      <x:c r="L5115" s="0">
        <x:f>hyperlink("https://icat2.azurewebsites.net/icat/?ontology=ICD&amp;tab=ClassesTab&amp;id=http%3A%2F%2Fwho.int%2Ficd%2327975_512ebf36_bf6b_4d70_85da_cf2637062af4","iCat")</x:f>
      </x:c>
      <x:c r="M5115" s="0" t="s">
        <x:v>21</x:v>
      </x:c>
      <x:c r="N5115" s="0" t="s">
        <x:v>46</x:v>
      </x:c>
    </x:row>
    <x:row r="5116" spans="1:16">
      <x:c r="A5116" s="0" t="s">
        <x:v>20314</x:v>
      </x:c>
      <x:c r="B5116" s="0" t="s">
        <x:v>20315</x:v>
      </x:c>
      <x:c r="C5116" s="0" t="s">
        <x:v>20316</x:v>
      </x:c>
      <x:c r="E5116" s="0" t="s">
        <x:v>20317</x:v>
      </x:c>
      <x:c r="F5116" s="0" t="s">
        <x:v>45</x:v>
      </x:c>
      <x:c r="G5116" s="0" t="s">
        <x:v>19</x:v>
      </x:c>
      <x:c r="H5116" s="0" t="s">
        <x:v>20</x:v>
      </x:c>
      <x:c r="I5116" s="0" t="s">
        <x:v>21</x:v>
      </x:c>
      <x:c r="K5116" s="0">
        <x:f>hyperlink("https://icd.who.int/dev11/l-ichi/en#/http%3A%2F%2Fid.who.int%2Ficd%2Fentity%2F853901156","browser")</x:f>
      </x:c>
      <x:c r="L5116" s="0">
        <x:f>hyperlink("https://icat2.azurewebsites.net/icat/?ontology=ICD&amp;tab=ClassesTab&amp;id=http%3A%2F%2Fwho.int%2Ficd%2327981_512ebf36_bf6b_4d70_85da_cf2637062af4","iCat")</x:f>
      </x:c>
      <x:c r="M5116" s="0" t="s">
        <x:v>21</x:v>
      </x:c>
      <x:c r="N5116" s="0" t="s">
        <x:v>46</x:v>
      </x:c>
    </x:row>
    <x:row r="5117" spans="1:16">
      <x:c r="A5117" s="0" t="s">
        <x:v>20318</x:v>
      </x:c>
      <x:c r="B5117" s="0" t="s">
        <x:v>20319</x:v>
      </x:c>
      <x:c r="C5117" s="0" t="s">
        <x:v>20320</x:v>
      </x:c>
      <x:c r="E5117" s="0" t="s">
        <x:v>20321</x:v>
      </x:c>
      <x:c r="F5117" s="0" t="s">
        <x:v>45</x:v>
      </x:c>
      <x:c r="G5117" s="0" t="s">
        <x:v>19</x:v>
      </x:c>
      <x:c r="H5117" s="0" t="s">
        <x:v>20</x:v>
      </x:c>
      <x:c r="I5117" s="0" t="s">
        <x:v>21</x:v>
      </x:c>
      <x:c r="K5117" s="0">
        <x:f>hyperlink("https://icd.who.int/dev11/l-ichi/en#/http%3A%2F%2Fid.who.int%2Ficd%2Fentity%2F1654564563","browser")</x:f>
      </x:c>
      <x:c r="L5117" s="0">
        <x:f>hyperlink("https://icat2.azurewebsites.net/icat/?ontology=ICD&amp;tab=ClassesTab&amp;id=http%3A%2F%2Fwho.int%2Ficd%2327987_512ebf36_bf6b_4d70_85da_cf2637062af4","iCat")</x:f>
      </x:c>
      <x:c r="M5117" s="0" t="s">
        <x:v>21</x:v>
      </x:c>
      <x:c r="N5117" s="0" t="s">
        <x:v>46</x:v>
      </x:c>
    </x:row>
    <x:row r="5118" spans="1:16">
      <x:c r="A5118" s="0" t="s">
        <x:v>20322</x:v>
      </x:c>
      <x:c r="B5118" s="0" t="s">
        <x:v>20323</x:v>
      </x:c>
      <x:c r="C5118" s="0" t="s">
        <x:v>20324</x:v>
      </x:c>
      <x:c r="E5118" s="0" t="s">
        <x:v>20325</x:v>
      </x:c>
      <x:c r="F5118" s="0" t="s">
        <x:v>45</x:v>
      </x:c>
      <x:c r="G5118" s="0" t="s">
        <x:v>19</x:v>
      </x:c>
      <x:c r="H5118" s="0" t="s">
        <x:v>20</x:v>
      </x:c>
      <x:c r="I5118" s="0" t="s">
        <x:v>21</x:v>
      </x:c>
      <x:c r="K5118" s="0">
        <x:f>hyperlink("https://icd.who.int/dev11/l-ichi/en#/http%3A%2F%2Fid.who.int%2Ficd%2Fentity%2F725454882","browser")</x:f>
      </x:c>
      <x:c r="L5118" s="0">
        <x:f>hyperlink("https://icat2.azurewebsites.net/icat/?ontology=ICD&amp;tab=ClassesTab&amp;id=http%3A%2F%2Fwho.int%2Ficd%2324039_c351bd26_e8bd_46f1_9e61_43f767fec9b3","iCat")</x:f>
      </x:c>
      <x:c r="M5118" s="0" t="s">
        <x:v>21</x:v>
      </x:c>
      <x:c r="N5118" s="0" t="s">
        <x:v>46</x:v>
      </x:c>
    </x:row>
    <x:row r="5119" spans="1:16">
      <x:c r="A5119" s="0" t="s">
        <x:v>20326</x:v>
      </x:c>
      <x:c r="B5119" s="0" t="s">
        <x:v>20327</x:v>
      </x:c>
      <x:c r="C5119" s="0" t="s">
        <x:v>20328</x:v>
      </x:c>
      <x:c r="E5119" s="0" t="s">
        <x:v>20329</x:v>
      </x:c>
      <x:c r="F5119" s="0" t="s">
        <x:v>45</x:v>
      </x:c>
      <x:c r="G5119" s="0" t="s">
        <x:v>19</x:v>
      </x:c>
      <x:c r="H5119" s="0" t="s">
        <x:v>20</x:v>
      </x:c>
      <x:c r="I5119" s="0" t="s">
        <x:v>21</x:v>
      </x:c>
      <x:c r="K5119" s="0">
        <x:f>hyperlink("https://icd.who.int/dev11/l-ichi/en#/http%3A%2F%2Fid.who.int%2Ficd%2Fentity%2F1029502962","browser")</x:f>
      </x:c>
      <x:c r="L5119" s="0">
        <x:f>hyperlink("https://icat2.azurewebsites.net/icat/?ontology=ICD&amp;tab=ClassesTab&amp;id=http%3A%2F%2Fwho.int%2Ficd%2327993_512ebf36_bf6b_4d70_85da_cf2637062af4","iCat")</x:f>
      </x:c>
      <x:c r="M5119" s="0" t="s">
        <x:v>21</x:v>
      </x:c>
      <x:c r="N5119" s="0" t="s">
        <x:v>46</x:v>
      </x:c>
    </x:row>
    <x:row r="5120" spans="1:16">
      <x:c r="A5120" s="0" t="s">
        <x:v>20330</x:v>
      </x:c>
      <x:c r="B5120" s="0" t="s">
        <x:v>20331</x:v>
      </x:c>
      <x:c r="C5120" s="0" t="s">
        <x:v>20332</x:v>
      </x:c>
      <x:c r="E5120" s="0" t="s">
        <x:v>20333</x:v>
      </x:c>
      <x:c r="F5120" s="0" t="s">
        <x:v>45</x:v>
      </x:c>
      <x:c r="G5120" s="0" t="s">
        <x:v>19</x:v>
      </x:c>
      <x:c r="H5120" s="0" t="s">
        <x:v>20</x:v>
      </x:c>
      <x:c r="I5120" s="0" t="s">
        <x:v>21</x:v>
      </x:c>
      <x:c r="K5120" s="0">
        <x:f>hyperlink("https://icd.who.int/dev11/l-ichi/en#/http%3A%2F%2Fid.who.int%2Ficd%2Fentity%2F1295322315","browser")</x:f>
      </x:c>
      <x:c r="L5120" s="0">
        <x:f>hyperlink("https://icat2.azurewebsites.net/icat/?ontology=ICD&amp;tab=ClassesTab&amp;id=http%3A%2F%2Fwho.int%2Ficd%23309_145da35b_2606_49b1_9645_9e3aeecd5c47","iCat")</x:f>
      </x:c>
      <x:c r="M5120" s="0" t="s">
        <x:v>21</x:v>
      </x:c>
      <x:c r="N5120" s="0" t="s">
        <x:v>46</x:v>
      </x:c>
    </x:row>
    <x:row r="5121" spans="1:16">
      <x:c r="A5121" s="0" t="s">
        <x:v>20334</x:v>
      </x:c>
      <x:c r="B5121" s="0" t="s">
        <x:v>20335</x:v>
      </x:c>
      <x:c r="C5121" s="0" t="s">
        <x:v>20336</x:v>
      </x:c>
      <x:c r="E5121" s="0" t="s">
        <x:v>20337</x:v>
      </x:c>
      <x:c r="F5121" s="0" t="s">
        <x:v>45</x:v>
      </x:c>
      <x:c r="G5121" s="0" t="s">
        <x:v>19</x:v>
      </x:c>
      <x:c r="H5121" s="0" t="s">
        <x:v>20</x:v>
      </x:c>
      <x:c r="I5121" s="0" t="s">
        <x:v>21</x:v>
      </x:c>
      <x:c r="K5121" s="0">
        <x:f>hyperlink("https://icd.who.int/dev11/l-ichi/en#/http%3A%2F%2Fid.who.int%2Ficd%2Fentity%2F112863592","browser")</x:f>
      </x:c>
      <x:c r="L5121" s="0">
        <x:f>hyperlink("https://icat2.azurewebsites.net/icat/?ontology=ICD&amp;tab=ClassesTab&amp;id=http%3A%2F%2Fwho.int%2Ficd%2328002_512ebf36_bf6b_4d70_85da_cf2637062af4","iCat")</x:f>
      </x:c>
      <x:c r="M5121" s="0" t="s">
        <x:v>21</x:v>
      </x:c>
      <x:c r="N5121" s="0" t="s">
        <x:v>46</x:v>
      </x:c>
    </x:row>
    <x:row r="5122" spans="1:16">
      <x:c r="A5122" s="0" t="s">
        <x:v>20338</x:v>
      </x:c>
      <x:c r="B5122" s="0" t="s">
        <x:v>20339</x:v>
      </x:c>
      <x:c r="C5122" s="0" t="s">
        <x:v>20340</x:v>
      </x:c>
      <x:c r="E5122" s="0" t="s">
        <x:v>20341</x:v>
      </x:c>
      <x:c r="F5122" s="0" t="s">
        <x:v>45</x:v>
      </x:c>
      <x:c r="G5122" s="0" t="s">
        <x:v>19</x:v>
      </x:c>
      <x:c r="H5122" s="0" t="s">
        <x:v>20</x:v>
      </x:c>
      <x:c r="I5122" s="0" t="s">
        <x:v>21</x:v>
      </x:c>
      <x:c r="K5122" s="0">
        <x:f>hyperlink("https://icd.who.int/dev11/l-ichi/en#/http%3A%2F%2Fid.who.int%2Ficd%2Fentity%2F230569930","browser")</x:f>
      </x:c>
      <x:c r="L5122" s="0">
        <x:f>hyperlink("https://icat2.azurewebsites.net/icat/?ontology=ICD&amp;tab=ClassesTab&amp;id=http%3A%2F%2Fwho.int%2Ficd%2328009_512ebf36_bf6b_4d70_85da_cf2637062af4","iCat")</x:f>
      </x:c>
      <x:c r="M5122" s="0" t="s">
        <x:v>21</x:v>
      </x:c>
      <x:c r="N5122" s="0" t="s">
        <x:v>46</x:v>
      </x:c>
    </x:row>
    <x:row r="5123" spans="1:16">
      <x:c r="A5123" s="0" t="s">
        <x:v>20342</x:v>
      </x:c>
      <x:c r="B5123" s="0" t="s">
        <x:v>20343</x:v>
      </x:c>
      <x:c r="C5123" s="0" t="s">
        <x:v>20344</x:v>
      </x:c>
      <x:c r="E5123" s="0" t="s">
        <x:v>20345</x:v>
      </x:c>
      <x:c r="F5123" s="0" t="s">
        <x:v>45</x:v>
      </x:c>
      <x:c r="G5123" s="0" t="s">
        <x:v>19</x:v>
      </x:c>
      <x:c r="H5123" s="0" t="s">
        <x:v>20</x:v>
      </x:c>
      <x:c r="I5123" s="0" t="s">
        <x:v>21</x:v>
      </x:c>
      <x:c r="K5123" s="0">
        <x:f>hyperlink("https://icd.who.int/dev11/l-ichi/en#/http%3A%2F%2Fid.who.int%2Ficd%2Fentity%2F486348734","browser")</x:f>
      </x:c>
      <x:c r="L5123" s="0">
        <x:f>hyperlink("https://icat2.azurewebsites.net/icat/?ontology=ICD&amp;tab=ClassesTab&amp;id=http%3A%2F%2Fwho.int%2Ficd%2328015_512ebf36_bf6b_4d70_85da_cf2637062af4","iCat")</x:f>
      </x:c>
      <x:c r="M5123" s="0" t="s">
        <x:v>21</x:v>
      </x:c>
      <x:c r="N5123" s="0" t="s">
        <x:v>46</x:v>
      </x:c>
    </x:row>
    <x:row r="5124" spans="1:16">
      <x:c r="A5124" s="0" t="s">
        <x:v>20346</x:v>
      </x:c>
      <x:c r="B5124" s="0" t="s">
        <x:v>20347</x:v>
      </x:c>
      <x:c r="C5124" s="0" t="s">
        <x:v>20348</x:v>
      </x:c>
      <x:c r="E5124" s="0" t="s">
        <x:v>20349</x:v>
      </x:c>
      <x:c r="F5124" s="0" t="s">
        <x:v>45</x:v>
      </x:c>
      <x:c r="G5124" s="0" t="s">
        <x:v>19</x:v>
      </x:c>
      <x:c r="H5124" s="0" t="s">
        <x:v>20</x:v>
      </x:c>
      <x:c r="I5124" s="0" t="s">
        <x:v>21</x:v>
      </x:c>
      <x:c r="K5124" s="0">
        <x:f>hyperlink("https://icd.who.int/dev11/l-ichi/en#/http%3A%2F%2Fid.who.int%2Ficd%2Fentity%2F751762486","browser")</x:f>
      </x:c>
      <x:c r="L5124" s="0">
        <x:f>hyperlink("https://icat2.azurewebsites.net/icat/?ontology=ICD&amp;tab=ClassesTab&amp;id=http%3A%2F%2Fwho.int%2Ficd%2328022_512ebf36_bf6b_4d70_85da_cf2637062af4","iCat")</x:f>
      </x:c>
      <x:c r="M5124" s="0" t="s">
        <x:v>21</x:v>
      </x:c>
      <x:c r="N5124" s="0" t="s">
        <x:v>46</x:v>
      </x:c>
    </x:row>
    <x:row r="5125" spans="1:16">
      <x:c r="A5125" s="0" t="s">
        <x:v>20350</x:v>
      </x:c>
      <x:c r="B5125" s="0" t="s">
        <x:v>20351</x:v>
      </x:c>
      <x:c r="C5125" s="0" t="s">
        <x:v>20352</x:v>
      </x:c>
      <x:c r="E5125" s="0" t="s">
        <x:v>20353</x:v>
      </x:c>
      <x:c r="F5125" s="0" t="s">
        <x:v>45</x:v>
      </x:c>
      <x:c r="G5125" s="0" t="s">
        <x:v>19</x:v>
      </x:c>
      <x:c r="H5125" s="0" t="s">
        <x:v>20</x:v>
      </x:c>
      <x:c r="I5125" s="0" t="s">
        <x:v>21</x:v>
      </x:c>
      <x:c r="K5125" s="0">
        <x:f>hyperlink("https://icd.who.int/dev11/l-ichi/en#/http%3A%2F%2Fid.who.int%2Ficd%2Fentity%2F595031204","browser")</x:f>
      </x:c>
      <x:c r="L5125" s="0">
        <x:f>hyperlink("https://icat2.azurewebsites.net/icat/?ontology=ICD&amp;tab=ClassesTab&amp;id=http%3A%2F%2Fwho.int%2Ficd%2328030_512ebf36_bf6b_4d70_85da_cf2637062af4","iCat")</x:f>
      </x:c>
      <x:c r="M5125" s="0" t="s">
        <x:v>21</x:v>
      </x:c>
      <x:c r="N5125" s="0" t="s">
        <x:v>46</x:v>
      </x:c>
    </x:row>
    <x:row r="5126" spans="1:16">
      <x:c r="A5126" s="0" t="s">
        <x:v>20354</x:v>
      </x:c>
      <x:c r="B5126" s="0" t="s">
        <x:v>20355</x:v>
      </x:c>
      <x:c r="C5126" s="0" t="s">
        <x:v>20356</x:v>
      </x:c>
      <x:c r="E5126" s="0" t="s">
        <x:v>20357</x:v>
      </x:c>
      <x:c r="F5126" s="0" t="s">
        <x:v>45</x:v>
      </x:c>
      <x:c r="G5126" s="0" t="s">
        <x:v>19</x:v>
      </x:c>
      <x:c r="H5126" s="0" t="s">
        <x:v>20</x:v>
      </x:c>
      <x:c r="I5126" s="0" t="s">
        <x:v>21</x:v>
      </x:c>
      <x:c r="K5126" s="0">
        <x:f>hyperlink("https://icd.who.int/dev11/l-ichi/en#/http%3A%2F%2Fid.who.int%2Ficd%2Fentity%2F1930210581","browser")</x:f>
      </x:c>
      <x:c r="L5126" s="0">
        <x:f>hyperlink("https://icat2.azurewebsites.net/icat/?ontology=ICD&amp;tab=ClassesTab&amp;id=http%3A%2F%2Fwho.int%2Ficd%2328036_512ebf36_bf6b_4d70_85da_cf2637062af4","iCat")</x:f>
      </x:c>
      <x:c r="M5126" s="0" t="s">
        <x:v>21</x:v>
      </x:c>
      <x:c r="N5126" s="0" t="s">
        <x:v>46</x:v>
      </x:c>
    </x:row>
    <x:row r="5127" spans="1:16">
      <x:c r="A5127" s="0" t="s">
        <x:v>20358</x:v>
      </x:c>
      <x:c r="B5127" s="0" t="s">
        <x:v>20359</x:v>
      </x:c>
      <x:c r="C5127" s="0" t="s">
        <x:v>20360</x:v>
      </x:c>
      <x:c r="E5127" s="0" t="s">
        <x:v>20361</x:v>
      </x:c>
      <x:c r="F5127" s="0" t="s">
        <x:v>45</x:v>
      </x:c>
      <x:c r="G5127" s="0" t="s">
        <x:v>19</x:v>
      </x:c>
      <x:c r="H5127" s="0" t="s">
        <x:v>20</x:v>
      </x:c>
      <x:c r="I5127" s="0" t="s">
        <x:v>21</x:v>
      </x:c>
      <x:c r="K5127" s="0">
        <x:f>hyperlink("https://icd.who.int/dev11/l-ichi/en#/http%3A%2F%2Fid.who.int%2Ficd%2Fentity%2F1445201991","browser")</x:f>
      </x:c>
      <x:c r="L5127" s="0">
        <x:f>hyperlink("https://icat2.azurewebsites.net/icat/?ontology=ICD&amp;tab=ClassesTab&amp;id=http%3A%2F%2Fwho.int%2Ficd%2328043_512ebf36_bf6b_4d70_85da_cf2637062af4","iCat")</x:f>
      </x:c>
      <x:c r="M5127" s="0" t="s">
        <x:v>21</x:v>
      </x:c>
      <x:c r="N5127" s="0" t="s">
        <x:v>46</x:v>
      </x:c>
    </x:row>
    <x:row r="5128" spans="1:16">
      <x:c r="A5128" s="0" t="s">
        <x:v>20362</x:v>
      </x:c>
      <x:c r="B5128" s="0" t="s">
        <x:v>20363</x:v>
      </x:c>
      <x:c r="C5128" s="0" t="s">
        <x:v>20364</x:v>
      </x:c>
      <x:c r="E5128" s="0" t="s">
        <x:v>20365</x:v>
      </x:c>
      <x:c r="F5128" s="0" t="s">
        <x:v>45</x:v>
      </x:c>
      <x:c r="G5128" s="0" t="s">
        <x:v>19</x:v>
      </x:c>
      <x:c r="H5128" s="0" t="s">
        <x:v>20</x:v>
      </x:c>
      <x:c r="I5128" s="0" t="s">
        <x:v>21</x:v>
      </x:c>
      <x:c r="K5128" s="0">
        <x:f>hyperlink("https://icd.who.int/dev11/l-ichi/en#/http%3A%2F%2Fid.who.int%2Ficd%2Fentity%2F2111399127","browser")</x:f>
      </x:c>
      <x:c r="L5128" s="0">
        <x:f>hyperlink("https://icat2.azurewebsites.net/icat/?ontology=ICD&amp;tab=ClassesTab&amp;id=http%3A%2F%2Fwho.int%2Ficd%2328049_512ebf36_bf6b_4d70_85da_cf2637062af4","iCat")</x:f>
      </x:c>
      <x:c r="M5128" s="0" t="s">
        <x:v>21</x:v>
      </x:c>
      <x:c r="N5128" s="0" t="s">
        <x:v>46</x:v>
      </x:c>
    </x:row>
    <x:row r="5129" spans="1:16">
      <x:c r="A5129" s="0" t="s">
        <x:v>20366</x:v>
      </x:c>
      <x:c r="B5129" s="0" t="s">
        <x:v>20367</x:v>
      </x:c>
      <x:c r="C5129" s="0" t="s">
        <x:v>20368</x:v>
      </x:c>
      <x:c r="E5129" s="0" t="s">
        <x:v>20369</x:v>
      </x:c>
      <x:c r="F5129" s="0" t="s">
        <x:v>45</x:v>
      </x:c>
      <x:c r="G5129" s="0" t="s">
        <x:v>19</x:v>
      </x:c>
      <x:c r="H5129" s="0" t="s">
        <x:v>20</x:v>
      </x:c>
      <x:c r="I5129" s="0" t="s">
        <x:v>21</x:v>
      </x:c>
      <x:c r="K5129" s="0">
        <x:f>hyperlink("https://icd.who.int/dev11/l-ichi/en#/http%3A%2F%2Fid.who.int%2Ficd%2Fentity%2F166091110","browser")</x:f>
      </x:c>
      <x:c r="L5129" s="0">
        <x:f>hyperlink("https://icat2.azurewebsites.net/icat/?ontology=ICD&amp;tab=ClassesTab&amp;id=http%3A%2F%2Fwho.int%2Ficd%2328057_512ebf36_bf6b_4d70_85da_cf2637062af4","iCat")</x:f>
      </x:c>
      <x:c r="M5129" s="0" t="s">
        <x:v>21</x:v>
      </x:c>
      <x:c r="N5129" s="0" t="s">
        <x:v>46</x:v>
      </x:c>
    </x:row>
    <x:row r="5130" spans="1:16">
      <x:c r="A5130" s="0" t="s">
        <x:v>20370</x:v>
      </x:c>
      <x:c r="B5130" s="0" t="s">
        <x:v>20371</x:v>
      </x:c>
      <x:c r="C5130" s="0" t="s">
        <x:v>20372</x:v>
      </x:c>
      <x:c r="E5130" s="0" t="s">
        <x:v>20373</x:v>
      </x:c>
      <x:c r="F5130" s="0" t="s">
        <x:v>45</x:v>
      </x:c>
      <x:c r="G5130" s="0" t="s">
        <x:v>19</x:v>
      </x:c>
      <x:c r="H5130" s="0" t="s">
        <x:v>20</x:v>
      </x:c>
      <x:c r="I5130" s="0" t="s">
        <x:v>21</x:v>
      </x:c>
      <x:c r="K5130" s="0">
        <x:f>hyperlink("https://icd.who.int/dev11/l-ichi/en#/http%3A%2F%2Fid.who.int%2Ficd%2Fentity%2F741016742","browser")</x:f>
      </x:c>
      <x:c r="L5130" s="0">
        <x:f>hyperlink("https://icat2.azurewebsites.net/icat/?ontology=ICD&amp;tab=ClassesTab&amp;id=http%3A%2F%2Fwho.int%2Ficd%2328065_512ebf36_bf6b_4d70_85da_cf2637062af4","iCat")</x:f>
      </x:c>
      <x:c r="M5130" s="0" t="s">
        <x:v>21</x:v>
      </x:c>
      <x:c r="N5130" s="0" t="s">
        <x:v>46</x:v>
      </x:c>
    </x:row>
    <x:row r="5131" spans="1:16">
      <x:c r="A5131" s="0" t="s">
        <x:v>20374</x:v>
      </x:c>
      <x:c r="B5131" s="0" t="s">
        <x:v>20375</x:v>
      </x:c>
      <x:c r="C5131" s="0" t="s">
        <x:v>20376</x:v>
      </x:c>
      <x:c r="E5131" s="0" t="s">
        <x:v>20377</x:v>
      </x:c>
      <x:c r="F5131" s="0" t="s">
        <x:v>45</x:v>
      </x:c>
      <x:c r="G5131" s="0" t="s">
        <x:v>19</x:v>
      </x:c>
      <x:c r="H5131" s="0" t="s">
        <x:v>20</x:v>
      </x:c>
      <x:c r="I5131" s="0" t="s">
        <x:v>21</x:v>
      </x:c>
      <x:c r="K5131" s="0">
        <x:f>hyperlink("https://icd.who.int/dev11/l-ichi/en#/http%3A%2F%2Fid.who.int%2Ficd%2Fentity%2F913062524","browser")</x:f>
      </x:c>
      <x:c r="L5131" s="0">
        <x:f>hyperlink("https://icat2.azurewebsites.net/icat/?ontology=ICD&amp;tab=ClassesTab&amp;id=http%3A%2F%2Fwho.int%2Ficd%2328072_512ebf36_bf6b_4d70_85da_cf2637062af4","iCat")</x:f>
      </x:c>
      <x:c r="M5131" s="0" t="s">
        <x:v>21</x:v>
      </x:c>
      <x:c r="N5131" s="0" t="s">
        <x:v>46</x:v>
      </x:c>
    </x:row>
    <x:row r="5132" spans="1:16">
      <x:c r="A5132" s="0" t="s">
        <x:v>20378</x:v>
      </x:c>
      <x:c r="B5132" s="0" t="s">
        <x:v>20379</x:v>
      </x:c>
      <x:c r="C5132" s="0" t="s">
        <x:v>20380</x:v>
      </x:c>
      <x:c r="E5132" s="0" t="s">
        <x:v>20381</x:v>
      </x:c>
      <x:c r="F5132" s="0" t="s">
        <x:v>45</x:v>
      </x:c>
      <x:c r="G5132" s="0" t="s">
        <x:v>19</x:v>
      </x:c>
      <x:c r="H5132" s="0" t="s">
        <x:v>20</x:v>
      </x:c>
      <x:c r="I5132" s="0" t="s">
        <x:v>21</x:v>
      </x:c>
      <x:c r="K5132" s="0">
        <x:f>hyperlink("https://icd.who.int/dev11/l-ichi/en#/http%3A%2F%2Fid.who.int%2Ficd%2Fentity%2F1458169144","browser")</x:f>
      </x:c>
      <x:c r="L5132" s="0">
        <x:f>hyperlink("https://icat2.azurewebsites.net/icat/?ontology=ICD&amp;tab=ClassesTab&amp;id=http%3A%2F%2Fwho.int%2Ficd%23516_d85a204c_d00a_4566_a3b7_2d137a1891cf","iCat")</x:f>
      </x:c>
      <x:c r="M5132" s="0" t="s">
        <x:v>21</x:v>
      </x:c>
      <x:c r="N5132" s="0" t="s">
        <x:v>46</x:v>
      </x:c>
    </x:row>
    <x:row r="5133" spans="1:16">
      <x:c r="A5133" s="0" t="s">
        <x:v>20382</x:v>
      </x:c>
      <x:c r="B5133" s="0" t="s">
        <x:v>20383</x:v>
      </x:c>
      <x:c r="C5133" s="0" t="s">
        <x:v>20384</x:v>
      </x:c>
      <x:c r="E5133" s="0" t="s">
        <x:v>20385</x:v>
      </x:c>
      <x:c r="F5133" s="0" t="s">
        <x:v>45</x:v>
      </x:c>
      <x:c r="G5133" s="0" t="s">
        <x:v>19</x:v>
      </x:c>
      <x:c r="H5133" s="0" t="s">
        <x:v>20</x:v>
      </x:c>
      <x:c r="I5133" s="0" t="s">
        <x:v>21</x:v>
      </x:c>
      <x:c r="K5133" s="0">
        <x:f>hyperlink("https://icd.who.int/dev11/l-ichi/en#/http%3A%2F%2Fid.who.int%2Ficd%2Fentity%2F1030235346","browser")</x:f>
      </x:c>
      <x:c r="L5133" s="0">
        <x:f>hyperlink("https://icat2.azurewebsites.net/icat/?ontology=ICD&amp;tab=ClassesTab&amp;id=http%3A%2F%2Fwho.int%2Ficd%2328079_512ebf36_bf6b_4d70_85da_cf2637062af4","iCat")</x:f>
      </x:c>
      <x:c r="M5133" s="0" t="s">
        <x:v>21</x:v>
      </x:c>
      <x:c r="N5133" s="0" t="s">
        <x:v>46</x:v>
      </x:c>
    </x:row>
    <x:row r="5134" spans="1:16">
      <x:c r="A5134" s="0" t="s">
        <x:v>20386</x:v>
      </x:c>
      <x:c r="B5134" s="0" t="s">
        <x:v>20387</x:v>
      </x:c>
      <x:c r="C5134" s="0" t="s">
        <x:v>20388</x:v>
      </x:c>
      <x:c r="E5134" s="0" t="s">
        <x:v>20389</x:v>
      </x:c>
      <x:c r="F5134" s="0" t="s">
        <x:v>45</x:v>
      </x:c>
      <x:c r="G5134" s="0" t="s">
        <x:v>19</x:v>
      </x:c>
      <x:c r="H5134" s="0" t="s">
        <x:v>20</x:v>
      </x:c>
      <x:c r="I5134" s="0" t="s">
        <x:v>21</x:v>
      </x:c>
      <x:c r="K5134" s="0">
        <x:f>hyperlink("https://icd.who.int/dev11/l-ichi/en#/http%3A%2F%2Fid.who.int%2Ficd%2Fentity%2F1762253615","browser")</x:f>
      </x:c>
      <x:c r="L5134" s="0">
        <x:f>hyperlink("https://icat2.azurewebsites.net/icat/?ontology=ICD&amp;tab=ClassesTab&amp;id=http%3A%2F%2Fwho.int%2Ficd%2328085_512ebf36_bf6b_4d70_85da_cf2637062af4","iCat")</x:f>
      </x:c>
      <x:c r="M5134" s="0" t="s">
        <x:v>21</x:v>
      </x:c>
      <x:c r="N5134" s="0" t="s">
        <x:v>46</x:v>
      </x:c>
    </x:row>
    <x:row r="5135" spans="1:16">
      <x:c r="A5135" s="0" t="s">
        <x:v>20390</x:v>
      </x:c>
      <x:c r="B5135" s="0" t="s">
        <x:v>20391</x:v>
      </x:c>
      <x:c r="C5135" s="0" t="s">
        <x:v>20392</x:v>
      </x:c>
      <x:c r="E5135" s="0" t="s">
        <x:v>20393</x:v>
      </x:c>
      <x:c r="F5135" s="0" t="s">
        <x:v>45</x:v>
      </x:c>
      <x:c r="G5135" s="0" t="s">
        <x:v>19</x:v>
      </x:c>
      <x:c r="H5135" s="0" t="s">
        <x:v>20</x:v>
      </x:c>
      <x:c r="I5135" s="0" t="s">
        <x:v>21</x:v>
      </x:c>
      <x:c r="K5135" s="0">
        <x:f>hyperlink("https://icd.who.int/dev11/l-ichi/en#/http%3A%2F%2Fid.who.int%2Ficd%2Fentity%2F1934550517","browser")</x:f>
      </x:c>
      <x:c r="L5135" s="0">
        <x:f>hyperlink("https://icat2.azurewebsites.net/icat/?ontology=ICD&amp;tab=ClassesTab&amp;id=http%3A%2F%2Fwho.int%2Ficd%2328092_512ebf36_bf6b_4d70_85da_cf2637062af4","iCat")</x:f>
      </x:c>
      <x:c r="M5135" s="0" t="s">
        <x:v>21</x:v>
      </x:c>
      <x:c r="N5135" s="0" t="s">
        <x:v>46</x:v>
      </x:c>
    </x:row>
    <x:row r="5136" spans="1:16">
      <x:c r="A5136" s="0" t="s">
        <x:v>20394</x:v>
      </x:c>
      <x:c r="B5136" s="0" t="s">
        <x:v>20395</x:v>
      </x:c>
      <x:c r="C5136" s="0" t="s">
        <x:v>20396</x:v>
      </x:c>
      <x:c r="E5136" s="0" t="s">
        <x:v>20397</x:v>
      </x:c>
      <x:c r="F5136" s="0" t="s">
        <x:v>45</x:v>
      </x:c>
      <x:c r="G5136" s="0" t="s">
        <x:v>19</x:v>
      </x:c>
      <x:c r="H5136" s="0" t="s">
        <x:v>20</x:v>
      </x:c>
      <x:c r="I5136" s="0" t="s">
        <x:v>21</x:v>
      </x:c>
      <x:c r="K5136" s="0">
        <x:f>hyperlink("https://icd.who.int/dev11/l-ichi/en#/http%3A%2F%2Fid.who.int%2Ficd%2Fentity%2F1931866107","browser")</x:f>
      </x:c>
      <x:c r="L5136" s="0">
        <x:f>hyperlink("https://icat2.azurewebsites.net/icat/?ontology=ICD&amp;tab=ClassesTab&amp;id=http%3A%2F%2Fwho.int%2Ficd%2328102_512ebf36_bf6b_4d70_85da_cf2637062af4","iCat")</x:f>
      </x:c>
      <x:c r="M5136" s="0" t="s">
        <x:v>21</x:v>
      </x:c>
      <x:c r="N5136" s="0" t="s">
        <x:v>46</x:v>
      </x:c>
    </x:row>
    <x:row r="5137" spans="1:16">
      <x:c r="A5137" s="0" t="s">
        <x:v>20398</x:v>
      </x:c>
      <x:c r="B5137" s="0" t="s">
        <x:v>20399</x:v>
      </x:c>
      <x:c r="C5137" s="0" t="s">
        <x:v>20400</x:v>
      </x:c>
      <x:c r="E5137" s="0" t="s">
        <x:v>20401</x:v>
      </x:c>
      <x:c r="F5137" s="0" t="s">
        <x:v>45</x:v>
      </x:c>
      <x:c r="G5137" s="0" t="s">
        <x:v>19</x:v>
      </x:c>
      <x:c r="H5137" s="0" t="s">
        <x:v>20</x:v>
      </x:c>
      <x:c r="I5137" s="0" t="s">
        <x:v>21</x:v>
      </x:c>
      <x:c r="K5137" s="0">
        <x:f>hyperlink("https://icd.who.int/dev11/l-ichi/en#/http%3A%2F%2Fid.who.int%2Ficd%2Fentity%2F2015490391","browser")</x:f>
      </x:c>
      <x:c r="L5137" s="0">
        <x:f>hyperlink("https://icat2.azurewebsites.net/icat/?ontology=ICD&amp;tab=ClassesTab&amp;id=http%3A%2F%2Fwho.int%2Ficd%2328109_512ebf36_bf6b_4d70_85da_cf2637062af4","iCat")</x:f>
      </x:c>
      <x:c r="M5137" s="0" t="s">
        <x:v>21</x:v>
      </x:c>
      <x:c r="N5137" s="0" t="s">
        <x:v>46</x:v>
      </x:c>
    </x:row>
    <x:row r="5138" spans="1:16">
      <x:c r="A5138" s="0" t="s">
        <x:v>20402</x:v>
      </x:c>
      <x:c r="B5138" s="0" t="s">
        <x:v>20403</x:v>
      </x:c>
      <x:c r="D5138" s="0" t="s">
        <x:v>20404</x:v>
      </x:c>
      <x:c r="E5138" s="0" t="s">
        <x:v>20405</x:v>
      </x:c>
      <x:c r="F5138" s="0" t="s">
        <x:v>26</x:v>
      </x:c>
      <x:c r="G5138" s="0" t="s">
        <x:v>22</x:v>
      </x:c>
      <x:c r="H5138" s="0" t="s">
        <x:v>20</x:v>
      </x:c>
      <x:c r="I5138" s="0" t="s">
        <x:v>21</x:v>
      </x:c>
      <x:c r="K5138" s="0">
        <x:f>hyperlink("https://icd.who.int/dev11/l-ichi/en#/http%3A%2F%2Fid.who.int%2Ficd%2Fentity%2F203345126","browser")</x:f>
      </x:c>
      <x:c r="L5138" s="0">
        <x:f>hyperlink("https://icat2.azurewebsites.net/icat/?ontology=ICD&amp;tab=ClassesTab&amp;id=http%3A%2F%2Fwho.int%2Ficd%2328117_512ebf36_bf6b_4d70_85da_cf2637062af4","iCat")</x:f>
      </x:c>
      <x:c r="M5138" s="0" t="s">
        <x:v>20</x:v>
      </x:c>
      <x:c r="N5138" s="0" t="s">
        <x:v>20406</x:v>
      </x:c>
    </x:row>
    <x:row r="5139" spans="1:16">
      <x:c r="A5139" s="0" t="s">
        <x:v>20407</x:v>
      </x:c>
      <x:c r="B5139" s="0" t="s">
        <x:v>20408</x:v>
      </x:c>
      <x:c r="C5139" s="0" t="s">
        <x:v>20409</x:v>
      </x:c>
      <x:c r="E5139" s="0" t="s">
        <x:v>20410</x:v>
      </x:c>
      <x:c r="F5139" s="0" t="s">
        <x:v>45</x:v>
      </x:c>
      <x:c r="G5139" s="0" t="s">
        <x:v>19</x:v>
      </x:c>
      <x:c r="H5139" s="0" t="s">
        <x:v>20</x:v>
      </x:c>
      <x:c r="I5139" s="0" t="s">
        <x:v>21</x:v>
      </x:c>
      <x:c r="K5139" s="0">
        <x:f>hyperlink("https://icd.who.int/dev11/l-ichi/en#/http%3A%2F%2Fid.who.int%2Ficd%2Fentity%2F753385176","browser")</x:f>
      </x:c>
      <x:c r="L5139" s="0">
        <x:f>hyperlink("https://icat2.azurewebsites.net/icat/?ontology=ICD&amp;tab=ClassesTab&amp;id=http%3A%2F%2Fwho.int%2Ficd%2328116_512ebf36_bf6b_4d70_85da_cf2637062af4","iCat")</x:f>
      </x:c>
      <x:c r="M5139" s="0" t="s">
        <x:v>21</x:v>
      </x:c>
      <x:c r="N5139" s="0" t="s">
        <x:v>46</x:v>
      </x:c>
    </x:row>
    <x:row r="5140" spans="1:16">
      <x:c r="A5140" s="0" t="s">
        <x:v>20411</x:v>
      </x:c>
      <x:c r="B5140" s="0" t="s">
        <x:v>20412</x:v>
      </x:c>
      <x:c r="C5140" s="0" t="s">
        <x:v>20413</x:v>
      </x:c>
      <x:c r="E5140" s="0" t="s">
        <x:v>20414</x:v>
      </x:c>
      <x:c r="F5140" s="0" t="s">
        <x:v>45</x:v>
      </x:c>
      <x:c r="G5140" s="0" t="s">
        <x:v>19</x:v>
      </x:c>
      <x:c r="H5140" s="0" t="s">
        <x:v>20</x:v>
      </x:c>
      <x:c r="I5140" s="0" t="s">
        <x:v>21</x:v>
      </x:c>
      <x:c r="K5140" s="0">
        <x:f>hyperlink("https://icd.who.int/dev11/l-ichi/en#/http%3A%2F%2Fid.who.int%2Ficd%2Fentity%2F1923896891","browser")</x:f>
      </x:c>
      <x:c r="L5140" s="0">
        <x:f>hyperlink("https://icat2.azurewebsites.net/icat/?ontology=ICD&amp;tab=ClassesTab&amp;id=http%3A%2F%2Fwho.int%2Ficd%2328128_512ebf36_bf6b_4d70_85da_cf2637062af4","iCat")</x:f>
      </x:c>
      <x:c r="M5140" s="0" t="s">
        <x:v>21</x:v>
      </x:c>
      <x:c r="N5140" s="0" t="s">
        <x:v>46</x:v>
      </x:c>
    </x:row>
    <x:row r="5141" spans="1:16">
      <x:c r="A5141" s="0" t="s">
        <x:v>20415</x:v>
      </x:c>
      <x:c r="B5141" s="0" t="s">
        <x:v>20416</x:v>
      </x:c>
      <x:c r="C5141" s="0" t="s">
        <x:v>20417</x:v>
      </x:c>
      <x:c r="E5141" s="0" t="s">
        <x:v>20418</x:v>
      </x:c>
      <x:c r="F5141" s="0" t="s">
        <x:v>45</x:v>
      </x:c>
      <x:c r="G5141" s="0" t="s">
        <x:v>19</x:v>
      </x:c>
      <x:c r="H5141" s="0" t="s">
        <x:v>20</x:v>
      </x:c>
      <x:c r="I5141" s="0" t="s">
        <x:v>21</x:v>
      </x:c>
      <x:c r="K5141" s="0">
        <x:f>hyperlink("https://icd.who.int/dev11/l-ichi/en#/http%3A%2F%2Fid.who.int%2Ficd%2Fentity%2F1676637773","browser")</x:f>
      </x:c>
      <x:c r="L5141" s="0">
        <x:f>hyperlink("https://icat2.azurewebsites.net/icat/?ontology=ICD&amp;tab=ClassesTab&amp;id=http%3A%2F%2Fwho.int%2Ficd%2328134_512ebf36_bf6b_4d70_85da_cf2637062af4","iCat")</x:f>
      </x:c>
      <x:c r="M5141" s="0" t="s">
        <x:v>21</x:v>
      </x:c>
      <x:c r="N5141" s="0" t="s">
        <x:v>46</x:v>
      </x:c>
    </x:row>
    <x:row r="5142" spans="1:16">
      <x:c r="A5142" s="0" t="s">
        <x:v>20419</x:v>
      </x:c>
      <x:c r="B5142" s="0" t="s">
        <x:v>20420</x:v>
      </x:c>
      <x:c r="C5142" s="0" t="s">
        <x:v>20421</x:v>
      </x:c>
      <x:c r="E5142" s="0" t="s">
        <x:v>20422</x:v>
      </x:c>
      <x:c r="F5142" s="0" t="s">
        <x:v>45</x:v>
      </x:c>
      <x:c r="G5142" s="0" t="s">
        <x:v>19</x:v>
      </x:c>
      <x:c r="H5142" s="0" t="s">
        <x:v>20</x:v>
      </x:c>
      <x:c r="I5142" s="0" t="s">
        <x:v>21</x:v>
      </x:c>
      <x:c r="K5142" s="0">
        <x:f>hyperlink("https://icd.who.int/dev11/l-ichi/en#/http%3A%2F%2Fid.who.int%2Ficd%2Fentity%2F1715380515","browser")</x:f>
      </x:c>
      <x:c r="L5142" s="0">
        <x:f>hyperlink("https://icat2.azurewebsites.net/icat/?ontology=ICD&amp;tab=ClassesTab&amp;id=http%3A%2F%2Fwho.int%2Ficd%2328140_512ebf36_bf6b_4d70_85da_cf2637062af4","iCat")</x:f>
      </x:c>
      <x:c r="M5142" s="0" t="s">
        <x:v>21</x:v>
      </x:c>
      <x:c r="N5142" s="0" t="s">
        <x:v>46</x:v>
      </x:c>
    </x:row>
    <x:row r="5143" spans="1:16">
      <x:c r="A5143" s="0" t="s">
        <x:v>20423</x:v>
      </x:c>
      <x:c r="B5143" s="0" t="s">
        <x:v>20424</x:v>
      </x:c>
      <x:c r="C5143" s="0" t="s">
        <x:v>20425</x:v>
      </x:c>
      <x:c r="E5143" s="0" t="s">
        <x:v>20426</x:v>
      </x:c>
      <x:c r="F5143" s="0" t="s">
        <x:v>45</x:v>
      </x:c>
      <x:c r="G5143" s="0" t="s">
        <x:v>19</x:v>
      </x:c>
      <x:c r="H5143" s="0" t="s">
        <x:v>20</x:v>
      </x:c>
      <x:c r="I5143" s="0" t="s">
        <x:v>21</x:v>
      </x:c>
      <x:c r="K5143" s="0">
        <x:f>hyperlink("https://icd.who.int/dev11/l-ichi/en#/http%3A%2F%2Fid.who.int%2Ficd%2Fentity%2F1287435531","browser")</x:f>
      </x:c>
      <x:c r="L5143" s="0">
        <x:f>hyperlink("https://icat2.azurewebsites.net/icat/?ontology=ICD&amp;tab=ClassesTab&amp;id=http%3A%2F%2Fwho.int%2Ficd%23323_145da35b_2606_49b1_9645_9e3aeecd5c47","iCat")</x:f>
      </x:c>
      <x:c r="M5143" s="0" t="s">
        <x:v>21</x:v>
      </x:c>
      <x:c r="N5143" s="0" t="s">
        <x:v>46</x:v>
      </x:c>
    </x:row>
    <x:row r="5144" spans="1:16">
      <x:c r="A5144" s="0" t="s">
        <x:v>20427</x:v>
      </x:c>
      <x:c r="B5144" s="0" t="s">
        <x:v>20428</x:v>
      </x:c>
      <x:c r="C5144" s="0" t="s">
        <x:v>20429</x:v>
      </x:c>
      <x:c r="E5144" s="0" t="s">
        <x:v>20430</x:v>
      </x:c>
      <x:c r="F5144" s="0" t="s">
        <x:v>45</x:v>
      </x:c>
      <x:c r="G5144" s="0" t="s">
        <x:v>19</x:v>
      </x:c>
      <x:c r="H5144" s="0" t="s">
        <x:v>20</x:v>
      </x:c>
      <x:c r="I5144" s="0" t="s">
        <x:v>21</x:v>
      </x:c>
      <x:c r="K5144" s="0">
        <x:f>hyperlink("https://icd.who.int/dev11/l-ichi/en#/http%3A%2F%2Fid.who.int%2Ficd%2Fentity%2F138846794","browser")</x:f>
      </x:c>
      <x:c r="L5144" s="0">
        <x:f>hyperlink("https://icat2.azurewebsites.net/icat/?ontology=ICD&amp;tab=ClassesTab&amp;id=http%3A%2F%2Fwho.int%2Ficd%2328149_512ebf36_bf6b_4d70_85da_cf2637062af4","iCat")</x:f>
      </x:c>
      <x:c r="M5144" s="0" t="s">
        <x:v>21</x:v>
      </x:c>
      <x:c r="N5144" s="0" t="s">
        <x:v>46</x:v>
      </x:c>
    </x:row>
    <x:row r="5145" spans="1:16">
      <x:c r="A5145" s="0" t="s">
        <x:v>20431</x:v>
      </x:c>
      <x:c r="B5145" s="0" t="s">
        <x:v>20432</x:v>
      </x:c>
      <x:c r="C5145" s="0" t="s">
        <x:v>20433</x:v>
      </x:c>
      <x:c r="E5145" s="0" t="s">
        <x:v>20434</x:v>
      </x:c>
      <x:c r="F5145" s="0" t="s">
        <x:v>45</x:v>
      </x:c>
      <x:c r="G5145" s="0" t="s">
        <x:v>19</x:v>
      </x:c>
      <x:c r="H5145" s="0" t="s">
        <x:v>20</x:v>
      </x:c>
      <x:c r="I5145" s="0" t="s">
        <x:v>21</x:v>
      </x:c>
      <x:c r="K5145" s="0">
        <x:f>hyperlink("https://icd.who.int/dev11/l-ichi/en#/http%3A%2F%2Fid.who.int%2Ficd%2Fentity%2F1551953349","browser")</x:f>
      </x:c>
      <x:c r="L5145" s="0">
        <x:f>hyperlink("https://icat2.azurewebsites.net/icat/?ontology=ICD&amp;tab=ClassesTab&amp;id=http%3A%2F%2Fwho.int%2Ficd%2328156_512ebf36_bf6b_4d70_85da_cf2637062af4","iCat")</x:f>
      </x:c>
      <x:c r="M5145" s="0" t="s">
        <x:v>21</x:v>
      </x:c>
      <x:c r="N5145" s="0" t="s">
        <x:v>46</x:v>
      </x:c>
    </x:row>
    <x:row r="5146" spans="1:16">
      <x:c r="A5146" s="0" t="s">
        <x:v>20435</x:v>
      </x:c>
      <x:c r="B5146" s="0" t="s">
        <x:v>20436</x:v>
      </x:c>
      <x:c r="C5146" s="0" t="s">
        <x:v>20437</x:v>
      </x:c>
      <x:c r="E5146" s="0" t="s">
        <x:v>20438</x:v>
      </x:c>
      <x:c r="F5146" s="0" t="s">
        <x:v>45</x:v>
      </x:c>
      <x:c r="G5146" s="0" t="s">
        <x:v>19</x:v>
      </x:c>
      <x:c r="H5146" s="0" t="s">
        <x:v>20</x:v>
      </x:c>
      <x:c r="I5146" s="0" t="s">
        <x:v>21</x:v>
      </x:c>
      <x:c r="K5146" s="0">
        <x:f>hyperlink("https://icd.who.int/dev11/l-ichi/en#/http%3A%2F%2Fid.who.int%2Ficd%2Fentity%2F691431862","browser")</x:f>
      </x:c>
      <x:c r="L5146" s="0">
        <x:f>hyperlink("https://icat2.azurewebsites.net/icat/?ontology=ICD&amp;tab=ClassesTab&amp;id=http%3A%2F%2Fwho.int%2Ficd%2328162_512ebf36_bf6b_4d70_85da_cf2637062af4","iCat")</x:f>
      </x:c>
      <x:c r="M5146" s="0" t="s">
        <x:v>21</x:v>
      </x:c>
      <x:c r="N5146" s="0" t="s">
        <x:v>46</x:v>
      </x:c>
    </x:row>
    <x:row r="5147" spans="1:16">
      <x:c r="A5147" s="0" t="s">
        <x:v>20439</x:v>
      </x:c>
      <x:c r="B5147" s="0" t="s">
        <x:v>20440</x:v>
      </x:c>
      <x:c r="C5147" s="0" t="s">
        <x:v>20441</x:v>
      </x:c>
      <x:c r="E5147" s="0" t="s">
        <x:v>20442</x:v>
      </x:c>
      <x:c r="F5147" s="0" t="s">
        <x:v>45</x:v>
      </x:c>
      <x:c r="G5147" s="0" t="s">
        <x:v>19</x:v>
      </x:c>
      <x:c r="H5147" s="0" t="s">
        <x:v>20</x:v>
      </x:c>
      <x:c r="I5147" s="0" t="s">
        <x:v>21</x:v>
      </x:c>
      <x:c r="K5147" s="0">
        <x:f>hyperlink("https://icd.who.int/dev11/l-ichi/en#/http%3A%2F%2Fid.who.int%2Ficd%2Fentity%2F573732636","browser")</x:f>
      </x:c>
      <x:c r="L5147" s="0">
        <x:f>hyperlink("https://icat2.azurewebsites.net/icat/?ontology=ICD&amp;tab=ClassesTab&amp;id=http%3A%2F%2Fwho.int%2Ficd%2328169_512ebf36_bf6b_4d70_85da_cf2637062af4","iCat")</x:f>
      </x:c>
      <x:c r="M5147" s="0" t="s">
        <x:v>21</x:v>
      </x:c>
      <x:c r="N5147" s="0" t="s">
        <x:v>46</x:v>
      </x:c>
    </x:row>
    <x:row r="5148" spans="1:16">
      <x:c r="A5148" s="0" t="s">
        <x:v>20443</x:v>
      </x:c>
      <x:c r="B5148" s="0" t="s">
        <x:v>20444</x:v>
      </x:c>
      <x:c r="C5148" s="0" t="s">
        <x:v>20445</x:v>
      </x:c>
      <x:c r="E5148" s="0" t="s">
        <x:v>20446</x:v>
      </x:c>
      <x:c r="F5148" s="0" t="s">
        <x:v>45</x:v>
      </x:c>
      <x:c r="G5148" s="0" t="s">
        <x:v>19</x:v>
      </x:c>
      <x:c r="H5148" s="0" t="s">
        <x:v>20</x:v>
      </x:c>
      <x:c r="I5148" s="0" t="s">
        <x:v>21</x:v>
      </x:c>
      <x:c r="K5148" s="0">
        <x:f>hyperlink("https://icd.who.int/dev11/l-ichi/en#/http%3A%2F%2Fid.who.int%2Ficd%2Fentity%2F1995716757","browser")</x:f>
      </x:c>
      <x:c r="L5148" s="0">
        <x:f>hyperlink("https://icat2.azurewebsites.net/icat/?ontology=ICD&amp;tab=ClassesTab&amp;id=http%3A%2F%2Fwho.int%2Ficd%2328176_512ebf36_bf6b_4d70_85da_cf2637062af4","iCat")</x:f>
      </x:c>
      <x:c r="M5148" s="0" t="s">
        <x:v>21</x:v>
      </x:c>
      <x:c r="N5148" s="0" t="s">
        <x:v>46</x:v>
      </x:c>
    </x:row>
    <x:row r="5149" spans="1:16">
      <x:c r="A5149" s="0" t="s">
        <x:v>20447</x:v>
      </x:c>
      <x:c r="B5149" s="0" t="s">
        <x:v>20448</x:v>
      </x:c>
      <x:c r="C5149" s="0" t="s">
        <x:v>20449</x:v>
      </x:c>
      <x:c r="E5149" s="0" t="s">
        <x:v>20450</x:v>
      </x:c>
      <x:c r="F5149" s="0" t="s">
        <x:v>45</x:v>
      </x:c>
      <x:c r="G5149" s="0" t="s">
        <x:v>19</x:v>
      </x:c>
      <x:c r="H5149" s="0" t="s">
        <x:v>20</x:v>
      </x:c>
      <x:c r="I5149" s="0" t="s">
        <x:v>21</x:v>
      </x:c>
      <x:c r="K5149" s="0">
        <x:f>hyperlink("https://icd.who.int/dev11/l-ichi/en#/http%3A%2F%2Fid.who.int%2Ficd%2Fentity%2F1013936016","browser")</x:f>
      </x:c>
      <x:c r="L5149" s="0">
        <x:f>hyperlink("https://icat2.azurewebsites.net/icat/?ontology=ICD&amp;tab=ClassesTab&amp;id=http%3A%2F%2Fwho.int%2Ficd%2328184_512ebf36_bf6b_4d70_85da_cf2637062af4","iCat")</x:f>
      </x:c>
      <x:c r="M5149" s="0" t="s">
        <x:v>21</x:v>
      </x:c>
      <x:c r="N5149" s="0" t="s">
        <x:v>46</x:v>
      </x:c>
    </x:row>
    <x:row r="5150" spans="1:16">
      <x:c r="A5150" s="0" t="s">
        <x:v>20451</x:v>
      </x:c>
      <x:c r="B5150" s="0" t="s">
        <x:v>20452</x:v>
      </x:c>
      <x:c r="C5150" s="0" t="s">
        <x:v>20453</x:v>
      </x:c>
      <x:c r="E5150" s="0" t="s">
        <x:v>20454</x:v>
      </x:c>
      <x:c r="F5150" s="0" t="s">
        <x:v>45</x:v>
      </x:c>
      <x:c r="G5150" s="0" t="s">
        <x:v>19</x:v>
      </x:c>
      <x:c r="H5150" s="0" t="s">
        <x:v>20</x:v>
      </x:c>
      <x:c r="I5150" s="0" t="s">
        <x:v>21</x:v>
      </x:c>
      <x:c r="K5150" s="0">
        <x:f>hyperlink("https://icd.who.int/dev11/l-ichi/en#/http%3A%2F%2Fid.who.int%2Ficd%2Fentity%2F1672298157","browser")</x:f>
      </x:c>
      <x:c r="L5150" s="0">
        <x:f>hyperlink("https://icat2.azurewebsites.net/icat/?ontology=ICD&amp;tab=ClassesTab&amp;id=http%3A%2F%2Fwho.int%2Ficd%2328190_512ebf36_bf6b_4d70_85da_cf2637062af4","iCat")</x:f>
      </x:c>
      <x:c r="M5150" s="0" t="s">
        <x:v>21</x:v>
      </x:c>
      <x:c r="N5150" s="0" t="s">
        <x:v>46</x:v>
      </x:c>
    </x:row>
    <x:row r="5151" spans="1:16">
      <x:c r="A5151" s="0" t="s">
        <x:v>20455</x:v>
      </x:c>
      <x:c r="B5151" s="0" t="s">
        <x:v>20456</x:v>
      </x:c>
      <x:c r="C5151" s="0" t="s">
        <x:v>20457</x:v>
      </x:c>
      <x:c r="E5151" s="0" t="s">
        <x:v>20458</x:v>
      </x:c>
      <x:c r="F5151" s="0" t="s">
        <x:v>45</x:v>
      </x:c>
      <x:c r="G5151" s="0" t="s">
        <x:v>19</x:v>
      </x:c>
      <x:c r="H5151" s="0" t="s">
        <x:v>20</x:v>
      </x:c>
      <x:c r="I5151" s="0" t="s">
        <x:v>21</x:v>
      </x:c>
      <x:c r="K5151" s="0">
        <x:f>hyperlink("https://icd.who.int/dev11/l-ichi/en#/http%3A%2F%2Fid.who.int%2Ficd%2Fentity%2F757878776","browser")</x:f>
      </x:c>
      <x:c r="L5151" s="0">
        <x:f>hyperlink("https://icat2.azurewebsites.net/icat/?ontology=ICD&amp;tab=ClassesTab&amp;id=http%3A%2F%2Fwho.int%2Ficd%2328198_512ebf36_bf6b_4d70_85da_cf2637062af4","iCat")</x:f>
      </x:c>
      <x:c r="M5151" s="0" t="s">
        <x:v>21</x:v>
      </x:c>
      <x:c r="N5151" s="0" t="s">
        <x:v>46</x:v>
      </x:c>
    </x:row>
    <x:row r="5152" spans="1:16">
      <x:c r="A5152" s="0" t="s">
        <x:v>20459</x:v>
      </x:c>
      <x:c r="B5152" s="0" t="s">
        <x:v>20460</x:v>
      </x:c>
      <x:c r="C5152" s="0" t="s">
        <x:v>20461</x:v>
      </x:c>
      <x:c r="E5152" s="0" t="s">
        <x:v>20462</x:v>
      </x:c>
      <x:c r="F5152" s="0" t="s">
        <x:v>45</x:v>
      </x:c>
      <x:c r="G5152" s="0" t="s">
        <x:v>19</x:v>
      </x:c>
      <x:c r="H5152" s="0" t="s">
        <x:v>20</x:v>
      </x:c>
      <x:c r="I5152" s="0" t="s">
        <x:v>21</x:v>
      </x:c>
      <x:c r="K5152" s="0">
        <x:f>hyperlink("https://icd.who.int/dev11/l-ichi/en#/http%3A%2F%2Fid.who.int%2Ficd%2Fentity%2F1107395091","browser")</x:f>
      </x:c>
      <x:c r="L5152" s="0">
        <x:f>hyperlink("https://icat2.azurewebsites.net/icat/?ontology=ICD&amp;tab=ClassesTab&amp;id=http%3A%2F%2Fwho.int%2Ficd%2328204_512ebf36_bf6b_4d70_85da_cf2637062af4","iCat")</x:f>
      </x:c>
      <x:c r="M5152" s="0" t="s">
        <x:v>21</x:v>
      </x:c>
      <x:c r="N5152" s="0" t="s">
        <x:v>46</x:v>
      </x:c>
    </x:row>
    <x:row r="5153" spans="1:16">
      <x:c r="A5153" s="0" t="s">
        <x:v>20463</x:v>
      </x:c>
      <x:c r="B5153" s="0" t="s">
        <x:v>20464</x:v>
      </x:c>
      <x:c r="C5153" s="0" t="s">
        <x:v>20465</x:v>
      </x:c>
      <x:c r="E5153" s="0" t="s">
        <x:v>20466</x:v>
      </x:c>
      <x:c r="F5153" s="0" t="s">
        <x:v>45</x:v>
      </x:c>
      <x:c r="G5153" s="0" t="s">
        <x:v>19</x:v>
      </x:c>
      <x:c r="H5153" s="0" t="s">
        <x:v>20</x:v>
      </x:c>
      <x:c r="I5153" s="0" t="s">
        <x:v>21</x:v>
      </x:c>
      <x:c r="K5153" s="0">
        <x:f>hyperlink("https://icd.who.int/dev11/l-ichi/en#/http%3A%2F%2Fid.who.int%2Ficd%2Fentity%2F536524667","browser")</x:f>
      </x:c>
      <x:c r="L5153" s="0">
        <x:f>hyperlink("https://icat2.azurewebsites.net/icat/?ontology=ICD&amp;tab=ClassesTab&amp;id=http%3A%2F%2Fwho.int%2Ficd%23316_fdfbe215_099f_43a9_be44_e4f78deaea50","iCat")</x:f>
      </x:c>
      <x:c r="M5153" s="0" t="s">
        <x:v>21</x:v>
      </x:c>
      <x:c r="N5153" s="0" t="s">
        <x:v>46</x:v>
      </x:c>
    </x:row>
    <x:row r="5154" spans="1:16">
      <x:c r="A5154" s="0" t="s">
        <x:v>20467</x:v>
      </x:c>
      <x:c r="B5154" s="0" t="s">
        <x:v>20468</x:v>
      </x:c>
      <x:c r="C5154" s="0" t="s">
        <x:v>20469</x:v>
      </x:c>
      <x:c r="E5154" s="0" t="s">
        <x:v>20470</x:v>
      </x:c>
      <x:c r="F5154" s="0" t="s">
        <x:v>45</x:v>
      </x:c>
      <x:c r="G5154" s="0" t="s">
        <x:v>19</x:v>
      </x:c>
      <x:c r="H5154" s="0" t="s">
        <x:v>20</x:v>
      </x:c>
      <x:c r="I5154" s="0" t="s">
        <x:v>21</x:v>
      </x:c>
      <x:c r="K5154" s="0">
        <x:f>hyperlink("https://icd.who.int/dev11/l-ichi/en#/http%3A%2F%2Fid.who.int%2Ficd%2Fentity%2F499372848","browser")</x:f>
      </x:c>
      <x:c r="L5154" s="0">
        <x:f>hyperlink("https://icat2.azurewebsites.net/icat/?ontology=ICD&amp;tab=ClassesTab&amp;id=http%3A%2F%2Fwho.int%2Ficd%2328210_512ebf36_bf6b_4d70_85da_cf2637062af4","iCat")</x:f>
      </x:c>
      <x:c r="M5154" s="0" t="s">
        <x:v>21</x:v>
      </x:c>
      <x:c r="N5154" s="0" t="s">
        <x:v>46</x:v>
      </x:c>
    </x:row>
    <x:row r="5155" spans="1:16">
      <x:c r="A5155" s="0" t="s">
        <x:v>20471</x:v>
      </x:c>
      <x:c r="B5155" s="0" t="s">
        <x:v>20472</x:v>
      </x:c>
      <x:c r="C5155" s="0" t="s">
        <x:v>20473</x:v>
      </x:c>
      <x:c r="E5155" s="0" t="s">
        <x:v>20474</x:v>
      </x:c>
      <x:c r="F5155" s="0" t="s">
        <x:v>45</x:v>
      </x:c>
      <x:c r="G5155" s="0" t="s">
        <x:v>19</x:v>
      </x:c>
      <x:c r="H5155" s="0" t="s">
        <x:v>20</x:v>
      </x:c>
      <x:c r="I5155" s="0" t="s">
        <x:v>21</x:v>
      </x:c>
      <x:c r="K5155" s="0">
        <x:f>hyperlink("https://icd.who.int/dev11/l-ichi/en#/http%3A%2F%2Fid.who.int%2Ficd%2Fentity%2F1303906945","browser")</x:f>
      </x:c>
      <x:c r="L5155" s="0">
        <x:f>hyperlink("https://icat2.azurewebsites.net/icat/?ontology=ICD&amp;tab=ClassesTab&amp;id=http%3A%2F%2Fwho.int%2Ficd%2328216_512ebf36_bf6b_4d70_85da_cf2637062af4","iCat")</x:f>
      </x:c>
      <x:c r="M5155" s="0" t="s">
        <x:v>21</x:v>
      </x:c>
      <x:c r="N5155" s="0" t="s">
        <x:v>46</x:v>
      </x:c>
    </x:row>
    <x:row r="5156" spans="1:16">
      <x:c r="A5156" s="0" t="s">
        <x:v>20475</x:v>
      </x:c>
      <x:c r="B5156" s="0" t="s">
        <x:v>20476</x:v>
      </x:c>
      <x:c r="C5156" s="0" t="s">
        <x:v>20477</x:v>
      </x:c>
      <x:c r="E5156" s="0" t="s">
        <x:v>20478</x:v>
      </x:c>
      <x:c r="F5156" s="0" t="s">
        <x:v>45</x:v>
      </x:c>
      <x:c r="G5156" s="0" t="s">
        <x:v>19</x:v>
      </x:c>
      <x:c r="H5156" s="0" t="s">
        <x:v>20</x:v>
      </x:c>
      <x:c r="I5156" s="0" t="s">
        <x:v>21</x:v>
      </x:c>
      <x:c r="K5156" s="0">
        <x:f>hyperlink("https://icd.who.int/dev11/l-ichi/en#/http%3A%2F%2Fid.who.int%2Ficd%2Fentity%2F1752520515","browser")</x:f>
      </x:c>
      <x:c r="L5156" s="0">
        <x:f>hyperlink("https://icat2.azurewebsites.net/icat/?ontology=ICD&amp;tab=ClassesTab&amp;id=http%3A%2F%2Fwho.int%2Ficd%2328224_512ebf36_bf6b_4d70_85da_cf2637062af4","iCat")</x:f>
      </x:c>
      <x:c r="M5156" s="0" t="s">
        <x:v>21</x:v>
      </x:c>
      <x:c r="N5156" s="0" t="s">
        <x:v>46</x:v>
      </x:c>
    </x:row>
    <x:row r="5157" spans="1:16">
      <x:c r="A5157" s="0" t="s">
        <x:v>20479</x:v>
      </x:c>
      <x:c r="B5157" s="0" t="s">
        <x:v>20480</x:v>
      </x:c>
      <x:c r="C5157" s="0" t="s">
        <x:v>20481</x:v>
      </x:c>
      <x:c r="E5157" s="0" t="s">
        <x:v>20482</x:v>
      </x:c>
      <x:c r="F5157" s="0" t="s">
        <x:v>45</x:v>
      </x:c>
      <x:c r="G5157" s="0" t="s">
        <x:v>19</x:v>
      </x:c>
      <x:c r="H5157" s="0" t="s">
        <x:v>20</x:v>
      </x:c>
      <x:c r="I5157" s="0" t="s">
        <x:v>21</x:v>
      </x:c>
      <x:c r="K5157" s="0">
        <x:f>hyperlink("https://icd.who.int/dev11/l-ichi/en#/http%3A%2F%2Fid.who.int%2Ficd%2Fentity%2F934741602","browser")</x:f>
      </x:c>
      <x:c r="L5157" s="0">
        <x:f>hyperlink("https://icat2.azurewebsites.net/icat/?ontology=ICD&amp;tab=ClassesTab&amp;id=http%3A%2F%2Fwho.int%2Ficd%2328230_512ebf36_bf6b_4d70_85da_cf2637062af4","iCat")</x:f>
      </x:c>
      <x:c r="M5157" s="0" t="s">
        <x:v>21</x:v>
      </x:c>
      <x:c r="N5157" s="0" t="s">
        <x:v>46</x:v>
      </x:c>
    </x:row>
    <x:row r="5158" spans="1:16">
      <x:c r="A5158" s="0" t="s">
        <x:v>20483</x:v>
      </x:c>
      <x:c r="B5158" s="0" t="s">
        <x:v>20484</x:v>
      </x:c>
      <x:c r="C5158" s="0" t="s">
        <x:v>20485</x:v>
      </x:c>
      <x:c r="E5158" s="0" t="s">
        <x:v>20486</x:v>
      </x:c>
      <x:c r="F5158" s="0" t="s">
        <x:v>45</x:v>
      </x:c>
      <x:c r="G5158" s="0" t="s">
        <x:v>19</x:v>
      </x:c>
      <x:c r="H5158" s="0" t="s">
        <x:v>20</x:v>
      </x:c>
      <x:c r="I5158" s="0" t="s">
        <x:v>21</x:v>
      </x:c>
      <x:c r="K5158" s="0">
        <x:f>hyperlink("https://icd.who.int/dev11/l-ichi/en#/http%3A%2F%2Fid.who.int%2Ficd%2Fentity%2F1741479889","browser")</x:f>
      </x:c>
      <x:c r="L5158" s="0">
        <x:f>hyperlink("https://icat2.azurewebsites.net/icat/?ontology=ICD&amp;tab=ClassesTab&amp;id=http%3A%2F%2Fwho.int%2Ficd%2328236_512ebf36_bf6b_4d70_85da_cf2637062af4","iCat")</x:f>
      </x:c>
      <x:c r="M5158" s="0" t="s">
        <x:v>21</x:v>
      </x:c>
      <x:c r="N5158" s="0" t="s">
        <x:v>46</x:v>
      </x:c>
    </x:row>
    <x:row r="5159" spans="1:16">
      <x:c r="A5159" s="0" t="s">
        <x:v>20487</x:v>
      </x:c>
      <x:c r="B5159" s="0" t="s">
        <x:v>20488</x:v>
      </x:c>
      <x:c r="C5159" s="0" t="s">
        <x:v>20489</x:v>
      </x:c>
      <x:c r="E5159" s="0" t="s">
        <x:v>20490</x:v>
      </x:c>
      <x:c r="F5159" s="0" t="s">
        <x:v>45</x:v>
      </x:c>
      <x:c r="G5159" s="0" t="s">
        <x:v>19</x:v>
      </x:c>
      <x:c r="H5159" s="0" t="s">
        <x:v>20</x:v>
      </x:c>
      <x:c r="I5159" s="0" t="s">
        <x:v>21</x:v>
      </x:c>
      <x:c r="K5159" s="0">
        <x:f>hyperlink("https://icd.who.int/dev11/l-ichi/en#/http%3A%2F%2Fid.who.int%2Ficd%2Fentity%2F1122269827","browser")</x:f>
      </x:c>
      <x:c r="L5159" s="0">
        <x:f>hyperlink("https://icat2.azurewebsites.net/icat/?ontology=ICD&amp;tab=ClassesTab&amp;id=http%3A%2F%2Fwho.int%2Ficd%2328243_512ebf36_bf6b_4d70_85da_cf2637062af4","iCat")</x:f>
      </x:c>
      <x:c r="M5159" s="0" t="s">
        <x:v>21</x:v>
      </x:c>
      <x:c r="N5159" s="0" t="s">
        <x:v>46</x:v>
      </x:c>
    </x:row>
    <x:row r="5160" spans="1:16">
      <x:c r="A5160" s="0" t="s">
        <x:v>20491</x:v>
      </x:c>
      <x:c r="B5160" s="0" t="s">
        <x:v>20492</x:v>
      </x:c>
      <x:c r="C5160" s="0" t="s">
        <x:v>20493</x:v>
      </x:c>
      <x:c r="E5160" s="0" t="s">
        <x:v>20494</x:v>
      </x:c>
      <x:c r="F5160" s="0" t="s">
        <x:v>45</x:v>
      </x:c>
      <x:c r="G5160" s="0" t="s">
        <x:v>19</x:v>
      </x:c>
      <x:c r="H5160" s="0" t="s">
        <x:v>20</x:v>
      </x:c>
      <x:c r="I5160" s="0" t="s">
        <x:v>21</x:v>
      </x:c>
      <x:c r="K5160" s="0">
        <x:f>hyperlink("https://icd.who.int/dev11/l-ichi/en#/http%3A%2F%2Fid.who.int%2Ficd%2Fentity%2F1839497261","browser")</x:f>
      </x:c>
      <x:c r="L5160" s="0">
        <x:f>hyperlink("https://icat2.azurewebsites.net/icat/?ontology=ICD&amp;tab=ClassesTab&amp;id=http%3A%2F%2Fwho.int%2Ficd%2328250_512ebf36_bf6b_4d70_85da_cf2637062af4","iCat")</x:f>
      </x:c>
      <x:c r="M5160" s="0" t="s">
        <x:v>21</x:v>
      </x:c>
      <x:c r="N5160" s="0" t="s">
        <x:v>46</x:v>
      </x:c>
    </x:row>
    <x:row r="5161" spans="1:16">
      <x:c r="A5161" s="0" t="s">
        <x:v>20495</x:v>
      </x:c>
      <x:c r="B5161" s="0" t="s">
        <x:v>20496</x:v>
      </x:c>
      <x:c r="C5161" s="0" t="s">
        <x:v>20497</x:v>
      </x:c>
      <x:c r="E5161" s="0" t="s">
        <x:v>20498</x:v>
      </x:c>
      <x:c r="F5161" s="0" t="s">
        <x:v>45</x:v>
      </x:c>
      <x:c r="G5161" s="0" t="s">
        <x:v>19</x:v>
      </x:c>
      <x:c r="H5161" s="0" t="s">
        <x:v>20</x:v>
      </x:c>
      <x:c r="I5161" s="0" t="s">
        <x:v>21</x:v>
      </x:c>
      <x:c r="K5161" s="0">
        <x:f>hyperlink("https://icd.who.int/dev11/l-ichi/en#/http%3A%2F%2Fid.who.int%2Ficd%2Fentity%2F1038047646","browser")</x:f>
      </x:c>
      <x:c r="L5161" s="0">
        <x:f>hyperlink("https://icat2.azurewebsites.net/icat/?ontology=ICD&amp;tab=ClassesTab&amp;id=http%3A%2F%2Fwho.int%2Ficd%2328256_512ebf36_bf6b_4d70_85da_cf2637062af4","iCat")</x:f>
      </x:c>
      <x:c r="M5161" s="0" t="s">
        <x:v>21</x:v>
      </x:c>
      <x:c r="N5161" s="0" t="s">
        <x:v>46</x:v>
      </x:c>
    </x:row>
    <x:row r="5162" spans="1:16">
      <x:c r="A5162" s="0" t="s">
        <x:v>20499</x:v>
      </x:c>
      <x:c r="B5162" s="0" t="s">
        <x:v>20500</x:v>
      </x:c>
      <x:c r="C5162" s="0" t="s">
        <x:v>20501</x:v>
      </x:c>
      <x:c r="E5162" s="0" t="s">
        <x:v>20502</x:v>
      </x:c>
      <x:c r="F5162" s="0" t="s">
        <x:v>45</x:v>
      </x:c>
      <x:c r="G5162" s="0" t="s">
        <x:v>19</x:v>
      </x:c>
      <x:c r="H5162" s="0" t="s">
        <x:v>20</x:v>
      </x:c>
      <x:c r="I5162" s="0" t="s">
        <x:v>21</x:v>
      </x:c>
      <x:c r="K5162" s="0">
        <x:f>hyperlink("https://icd.who.int/dev11/l-ichi/en#/http%3A%2F%2Fid.who.int%2Ficd%2Fentity%2F1214897647","browser")</x:f>
      </x:c>
      <x:c r="L5162" s="0">
        <x:f>hyperlink("https://icat2.azurewebsites.net/icat/?ontology=ICD&amp;tab=ClassesTab&amp;id=http%3A%2F%2Fwho.int%2Ficd%2328262_512ebf36_bf6b_4d70_85da_cf2637062af4","iCat")</x:f>
      </x:c>
      <x:c r="M5162" s="0" t="s">
        <x:v>21</x:v>
      </x:c>
      <x:c r="N5162" s="0" t="s">
        <x:v>46</x:v>
      </x:c>
    </x:row>
    <x:row r="5163" spans="1:16">
      <x:c r="A5163" s="0" t="s">
        <x:v>20503</x:v>
      </x:c>
      <x:c r="B5163" s="0" t="s">
        <x:v>20504</x:v>
      </x:c>
      <x:c r="C5163" s="0" t="s">
        <x:v>20505</x:v>
      </x:c>
      <x:c r="E5163" s="0" t="s">
        <x:v>20506</x:v>
      </x:c>
      <x:c r="F5163" s="0" t="s">
        <x:v>45</x:v>
      </x:c>
      <x:c r="G5163" s="0" t="s">
        <x:v>19</x:v>
      </x:c>
      <x:c r="H5163" s="0" t="s">
        <x:v>20</x:v>
      </x:c>
      <x:c r="I5163" s="0" t="s">
        <x:v>21</x:v>
      </x:c>
      <x:c r="K5163" s="0">
        <x:f>hyperlink("https://icd.who.int/dev11/l-ichi/en#/http%3A%2F%2Fid.who.int%2Ficd%2Fentity%2F1670689151","browser")</x:f>
      </x:c>
      <x:c r="L5163" s="0">
        <x:f>hyperlink("https://icat2.azurewebsites.net/icat/?ontology=ICD&amp;tab=ClassesTab&amp;id=http%3A%2F%2Fwho.int%2Ficd%2328268_512ebf36_bf6b_4d70_85da_cf2637062af4","iCat")</x:f>
      </x:c>
      <x:c r="M5163" s="0" t="s">
        <x:v>21</x:v>
      </x:c>
      <x:c r="N5163" s="0" t="s">
        <x:v>46</x:v>
      </x:c>
    </x:row>
    <x:row r="5164" spans="1:16">
      <x:c r="A5164" s="0" t="s">
        <x:v>20507</x:v>
      </x:c>
      <x:c r="B5164" s="0" t="s">
        <x:v>20508</x:v>
      </x:c>
      <x:c r="C5164" s="0" t="s">
        <x:v>20509</x:v>
      </x:c>
      <x:c r="E5164" s="0" t="s">
        <x:v>20510</x:v>
      </x:c>
      <x:c r="F5164" s="0" t="s">
        <x:v>45</x:v>
      </x:c>
      <x:c r="G5164" s="0" t="s">
        <x:v>19</x:v>
      </x:c>
      <x:c r="H5164" s="0" t="s">
        <x:v>20</x:v>
      </x:c>
      <x:c r="I5164" s="0" t="s">
        <x:v>21</x:v>
      </x:c>
      <x:c r="K5164" s="0">
        <x:f>hyperlink("https://icd.who.int/dev11/l-ichi/en#/http%3A%2F%2Fid.who.int%2Ficd%2Fentity%2F1378804533","browser")</x:f>
      </x:c>
      <x:c r="L5164" s="0">
        <x:f>hyperlink("https://icat2.azurewebsites.net/icat/?ontology=ICD&amp;tab=ClassesTab&amp;id=http%3A%2F%2Fwho.int%2Ficd%2328275_512ebf36_bf6b_4d70_85da_cf2637062af4","iCat")</x:f>
      </x:c>
      <x:c r="M5164" s="0" t="s">
        <x:v>21</x:v>
      </x:c>
      <x:c r="N5164" s="0" t="s">
        <x:v>46</x:v>
      </x:c>
    </x:row>
    <x:row r="5165" spans="1:16">
      <x:c r="A5165" s="0" t="s">
        <x:v>20511</x:v>
      </x:c>
      <x:c r="B5165" s="0" t="s">
        <x:v>20512</x:v>
      </x:c>
      <x:c r="C5165" s="0" t="s">
        <x:v>20513</x:v>
      </x:c>
      <x:c r="E5165" s="0" t="s">
        <x:v>20514</x:v>
      </x:c>
      <x:c r="F5165" s="0" t="s">
        <x:v>45</x:v>
      </x:c>
      <x:c r="G5165" s="0" t="s">
        <x:v>19</x:v>
      </x:c>
      <x:c r="H5165" s="0" t="s">
        <x:v>20</x:v>
      </x:c>
      <x:c r="I5165" s="0" t="s">
        <x:v>21</x:v>
      </x:c>
      <x:c r="K5165" s="0">
        <x:f>hyperlink("https://icd.who.int/dev11/l-ichi/en#/http%3A%2F%2Fid.who.int%2Ficd%2Fentity%2F414561328","browser")</x:f>
      </x:c>
      <x:c r="L5165" s="0">
        <x:f>hyperlink("https://icat2.azurewebsites.net/icat/?ontology=ICD&amp;tab=ClassesTab&amp;id=http%3A%2F%2Fwho.int%2Ficd%2328287_512ebf36_bf6b_4d70_85da_cf2637062af4","iCat")</x:f>
      </x:c>
      <x:c r="M5165" s="0" t="s">
        <x:v>21</x:v>
      </x:c>
      <x:c r="N5165" s="0" t="s">
        <x:v>46</x:v>
      </x:c>
    </x:row>
    <x:row r="5166" spans="1:16">
      <x:c r="A5166" s="0" t="s">
        <x:v>20515</x:v>
      </x:c>
      <x:c r="B5166" s="0" t="s">
        <x:v>20516</x:v>
      </x:c>
      <x:c r="C5166" s="0" t="s">
        <x:v>20517</x:v>
      </x:c>
      <x:c r="E5166" s="0" t="s">
        <x:v>20518</x:v>
      </x:c>
      <x:c r="F5166" s="0" t="s">
        <x:v>45</x:v>
      </x:c>
      <x:c r="G5166" s="0" t="s">
        <x:v>19</x:v>
      </x:c>
      <x:c r="H5166" s="0" t="s">
        <x:v>20</x:v>
      </x:c>
      <x:c r="I5166" s="0" t="s">
        <x:v>21</x:v>
      </x:c>
      <x:c r="K5166" s="0">
        <x:f>hyperlink("https://icd.who.int/dev11/l-ichi/en#/http%3A%2F%2Fid.who.int%2Ficd%2Fentity%2F1199039757","browser")</x:f>
      </x:c>
      <x:c r="L5166" s="0">
        <x:f>hyperlink("https://icat2.azurewebsites.net/icat/?ontology=ICD&amp;tab=ClassesTab&amp;id=http%3A%2F%2Fwho.int%2Ficd%2328293_512ebf36_bf6b_4d70_85da_cf2637062af4","iCat")</x:f>
      </x:c>
      <x:c r="M5166" s="0" t="s">
        <x:v>21</x:v>
      </x:c>
      <x:c r="N5166" s="0" t="s">
        <x:v>46</x:v>
      </x:c>
    </x:row>
    <x:row r="5167" spans="1:16">
      <x:c r="A5167" s="0" t="s">
        <x:v>20519</x:v>
      </x:c>
      <x:c r="B5167" s="0" t="s">
        <x:v>20520</x:v>
      </x:c>
      <x:c r="C5167" s="0" t="s">
        <x:v>20521</x:v>
      </x:c>
      <x:c r="E5167" s="0" t="s">
        <x:v>20522</x:v>
      </x:c>
      <x:c r="F5167" s="0" t="s">
        <x:v>45</x:v>
      </x:c>
      <x:c r="G5167" s="0" t="s">
        <x:v>19</x:v>
      </x:c>
      <x:c r="H5167" s="0" t="s">
        <x:v>20</x:v>
      </x:c>
      <x:c r="I5167" s="0" t="s">
        <x:v>21</x:v>
      </x:c>
      <x:c r="K5167" s="0">
        <x:f>hyperlink("https://icd.who.int/dev11/l-ichi/en#/http%3A%2F%2Fid.who.int%2Ficd%2Fentity%2F1821018525","browser")</x:f>
      </x:c>
      <x:c r="L5167" s="0">
        <x:f>hyperlink("https://icat2.azurewebsites.net/icat/?ontology=ICD&amp;tab=ClassesTab&amp;id=http%3A%2F%2Fwho.int%2Ficd%2328299_512ebf36_bf6b_4d70_85da_cf2637062af4","iCat")</x:f>
      </x:c>
      <x:c r="M5167" s="0" t="s">
        <x:v>21</x:v>
      </x:c>
      <x:c r="N5167" s="0" t="s">
        <x:v>46</x:v>
      </x:c>
    </x:row>
    <x:row r="5168" spans="1:16">
      <x:c r="A5168" s="0" t="s">
        <x:v>20523</x:v>
      </x:c>
      <x:c r="B5168" s="0" t="s">
        <x:v>20524</x:v>
      </x:c>
      <x:c r="C5168" s="0" t="s">
        <x:v>20525</x:v>
      </x:c>
      <x:c r="E5168" s="0" t="s">
        <x:v>20526</x:v>
      </x:c>
      <x:c r="F5168" s="0" t="s">
        <x:v>45</x:v>
      </x:c>
      <x:c r="G5168" s="0" t="s">
        <x:v>19</x:v>
      </x:c>
      <x:c r="H5168" s="0" t="s">
        <x:v>20</x:v>
      </x:c>
      <x:c r="I5168" s="0" t="s">
        <x:v>21</x:v>
      </x:c>
      <x:c r="K5168" s="0">
        <x:f>hyperlink("https://icd.who.int/dev11/l-ichi/en#/http%3A%2F%2Fid.who.int%2Ficd%2Fentity%2F392640178","browser")</x:f>
      </x:c>
      <x:c r="L5168" s="0">
        <x:f>hyperlink("https://icat2.azurewebsites.net/icat/?ontology=ICD&amp;tab=ClassesTab&amp;id=http%3A%2F%2Fwho.int%2Ficd%2328305_512ebf36_bf6b_4d70_85da_cf2637062af4","iCat")</x:f>
      </x:c>
      <x:c r="M5168" s="0" t="s">
        <x:v>21</x:v>
      </x:c>
      <x:c r="N5168" s="0" t="s">
        <x:v>46</x:v>
      </x:c>
    </x:row>
    <x:row r="5169" spans="1:16">
      <x:c r="A5169" s="0" t="s">
        <x:v>20527</x:v>
      </x:c>
      <x:c r="B5169" s="0" t="s">
        <x:v>20528</x:v>
      </x:c>
      <x:c r="C5169" s="0" t="s">
        <x:v>20529</x:v>
      </x:c>
      <x:c r="E5169" s="0" t="s">
        <x:v>20530</x:v>
      </x:c>
      <x:c r="F5169" s="0" t="s">
        <x:v>45</x:v>
      </x:c>
      <x:c r="G5169" s="0" t="s">
        <x:v>19</x:v>
      </x:c>
      <x:c r="H5169" s="0" t="s">
        <x:v>20</x:v>
      </x:c>
      <x:c r="I5169" s="0" t="s">
        <x:v>21</x:v>
      </x:c>
      <x:c r="K5169" s="0">
        <x:f>hyperlink("https://icd.who.int/dev11/l-ichi/en#/http%3A%2F%2Fid.who.int%2Ficd%2Fentity%2F1218799505","browser")</x:f>
      </x:c>
      <x:c r="L5169" s="0">
        <x:f>hyperlink("https://icat2.azurewebsites.net/icat/?ontology=ICD&amp;tab=ClassesTab&amp;id=http%3A%2F%2Fwho.int%2Ficd%2328311_512ebf36_bf6b_4d70_85da_cf2637062af4","iCat")</x:f>
      </x:c>
      <x:c r="M5169" s="0" t="s">
        <x:v>21</x:v>
      </x:c>
      <x:c r="N5169" s="0" t="s">
        <x:v>46</x:v>
      </x:c>
    </x:row>
    <x:row r="5170" spans="1:16">
      <x:c r="A5170" s="0" t="s">
        <x:v>20531</x:v>
      </x:c>
      <x:c r="B5170" s="0" t="s">
        <x:v>20532</x:v>
      </x:c>
      <x:c r="C5170" s="0" t="s">
        <x:v>20533</x:v>
      </x:c>
      <x:c r="E5170" s="0" t="s">
        <x:v>20534</x:v>
      </x:c>
      <x:c r="F5170" s="0" t="s">
        <x:v>45</x:v>
      </x:c>
      <x:c r="G5170" s="0" t="s">
        <x:v>19</x:v>
      </x:c>
      <x:c r="H5170" s="0" t="s">
        <x:v>20</x:v>
      </x:c>
      <x:c r="I5170" s="0" t="s">
        <x:v>21</x:v>
      </x:c>
      <x:c r="K5170" s="0">
        <x:f>hyperlink("https://icd.who.int/dev11/l-ichi/en#/http%3A%2F%2Fid.who.int%2Ficd%2Fentity%2F417250848","browser")</x:f>
      </x:c>
      <x:c r="L5170" s="0">
        <x:f>hyperlink("https://icat2.azurewebsites.net/icat/?ontology=ICD&amp;tab=ClassesTab&amp;id=http%3A%2F%2Fwho.int%2Ficd%2328317_512ebf36_bf6b_4d70_85da_cf2637062af4","iCat")</x:f>
      </x:c>
      <x:c r="M5170" s="0" t="s">
        <x:v>21</x:v>
      </x:c>
      <x:c r="N5170" s="0" t="s">
        <x:v>46</x:v>
      </x:c>
    </x:row>
    <x:row r="5171" spans="1:16">
      <x:c r="A5171" s="0" t="s">
        <x:v>20535</x:v>
      </x:c>
      <x:c r="B5171" s="0" t="s">
        <x:v>20536</x:v>
      </x:c>
      <x:c r="C5171" s="0" t="s">
        <x:v>20537</x:v>
      </x:c>
      <x:c r="E5171" s="0" t="s">
        <x:v>20538</x:v>
      </x:c>
      <x:c r="F5171" s="0" t="s">
        <x:v>45</x:v>
      </x:c>
      <x:c r="G5171" s="0" t="s">
        <x:v>19</x:v>
      </x:c>
      <x:c r="H5171" s="0" t="s">
        <x:v>20</x:v>
      </x:c>
      <x:c r="I5171" s="0" t="s">
        <x:v>21</x:v>
      </x:c>
      <x:c r="K5171" s="0">
        <x:f>hyperlink("https://icd.who.int/dev11/l-ichi/en#/http%3A%2F%2Fid.who.int%2Ficd%2Fentity%2F1009542782","browser")</x:f>
      </x:c>
      <x:c r="L5171" s="0">
        <x:f>hyperlink("https://icat2.azurewebsites.net/icat/?ontology=ICD&amp;tab=ClassesTab&amp;id=http%3A%2F%2Fwho.int%2Ficd%2311399_4869915e_217e_423d_acb3_33c0f920ef4b","iCat")</x:f>
      </x:c>
      <x:c r="M5171" s="0" t="s">
        <x:v>21</x:v>
      </x:c>
      <x:c r="N5171" s="0" t="s">
        <x:v>46</x:v>
      </x:c>
    </x:row>
    <x:row r="5172" spans="1:16">
      <x:c r="A5172" s="0" t="s">
        <x:v>20539</x:v>
      </x:c>
      <x:c r="B5172" s="0" t="s">
        <x:v>20540</x:v>
      </x:c>
      <x:c r="C5172" s="0" t="s">
        <x:v>20541</x:v>
      </x:c>
      <x:c r="E5172" s="0" t="s">
        <x:v>20542</x:v>
      </x:c>
      <x:c r="F5172" s="0" t="s">
        <x:v>45</x:v>
      </x:c>
      <x:c r="G5172" s="0" t="s">
        <x:v>19</x:v>
      </x:c>
      <x:c r="H5172" s="0" t="s">
        <x:v>20</x:v>
      </x:c>
      <x:c r="I5172" s="0" t="s">
        <x:v>21</x:v>
      </x:c>
      <x:c r="K5172" s="0">
        <x:f>hyperlink("https://icd.who.int/dev11/l-ichi/en#/http%3A%2F%2Fid.who.int%2Ficd%2Fentity%2F1578088354","browser")</x:f>
      </x:c>
      <x:c r="L5172" s="0">
        <x:f>hyperlink("https://icat2.azurewebsites.net/icat/?ontology=ICD&amp;tab=ClassesTab&amp;id=http%3A%2F%2Fwho.int%2Ficd%2311405_4869915e_217e_423d_acb3_33c0f920ef4b","iCat")</x:f>
      </x:c>
      <x:c r="M5172" s="0" t="s">
        <x:v>21</x:v>
      </x:c>
      <x:c r="N5172" s="0" t="s">
        <x:v>46</x:v>
      </x:c>
    </x:row>
    <x:row r="5173" spans="1:16">
      <x:c r="A5173" s="0" t="s">
        <x:v>20543</x:v>
      </x:c>
      <x:c r="B5173" s="0" t="s">
        <x:v>20544</x:v>
      </x:c>
      <x:c r="C5173" s="0" t="s">
        <x:v>20545</x:v>
      </x:c>
      <x:c r="E5173" s="0" t="s">
        <x:v>20546</x:v>
      </x:c>
      <x:c r="F5173" s="0" t="s">
        <x:v>45</x:v>
      </x:c>
      <x:c r="G5173" s="0" t="s">
        <x:v>19</x:v>
      </x:c>
      <x:c r="H5173" s="0" t="s">
        <x:v>20</x:v>
      </x:c>
      <x:c r="I5173" s="0" t="s">
        <x:v>21</x:v>
      </x:c>
      <x:c r="K5173" s="0">
        <x:f>hyperlink("https://icd.who.int/dev11/l-ichi/en#/http%3A%2F%2Fid.who.int%2Ficd%2Fentity%2F30271107","browser")</x:f>
      </x:c>
      <x:c r="L5173" s="0">
        <x:f>hyperlink("https://icat2.azurewebsites.net/icat/?ontology=ICD&amp;tab=ClassesTab&amp;id=http%3A%2F%2Fwho.int%2Ficd%2311411_4869915e_217e_423d_acb3_33c0f920ef4b","iCat")</x:f>
      </x:c>
      <x:c r="M5173" s="0" t="s">
        <x:v>21</x:v>
      </x:c>
      <x:c r="N5173" s="0" t="s">
        <x:v>46</x:v>
      </x:c>
    </x:row>
    <x:row r="5174" spans="1:16">
      <x:c r="A5174" s="0" t="s">
        <x:v>20547</x:v>
      </x:c>
      <x:c r="B5174" s="0" t="s">
        <x:v>20548</x:v>
      </x:c>
      <x:c r="C5174" s="0" t="s">
        <x:v>20549</x:v>
      </x:c>
      <x:c r="E5174" s="0" t="s">
        <x:v>20550</x:v>
      </x:c>
      <x:c r="F5174" s="0" t="s">
        <x:v>45</x:v>
      </x:c>
      <x:c r="G5174" s="0" t="s">
        <x:v>19</x:v>
      </x:c>
      <x:c r="H5174" s="0" t="s">
        <x:v>20</x:v>
      </x:c>
      <x:c r="I5174" s="0" t="s">
        <x:v>21</x:v>
      </x:c>
      <x:c r="K5174" s="0">
        <x:f>hyperlink("https://icd.who.int/dev11/l-ichi/en#/http%3A%2F%2Fid.who.int%2Ficd%2Fentity%2F604027713","browser")</x:f>
      </x:c>
      <x:c r="L5174" s="0">
        <x:f>hyperlink("https://icat2.azurewebsites.net/icat/?ontology=ICD&amp;tab=ClassesTab&amp;id=http%3A%2F%2Fwho.int%2Ficd%2311423_4869915e_217e_423d_acb3_33c0f920ef4b","iCat")</x:f>
      </x:c>
      <x:c r="M5174" s="0" t="s">
        <x:v>21</x:v>
      </x:c>
      <x:c r="N5174" s="0" t="s">
        <x:v>46</x:v>
      </x:c>
    </x:row>
    <x:row r="5175" spans="1:16">
      <x:c r="A5175" s="0" t="s">
        <x:v>20551</x:v>
      </x:c>
      <x:c r="B5175" s="0" t="s">
        <x:v>20552</x:v>
      </x:c>
      <x:c r="C5175" s="0" t="s">
        <x:v>20553</x:v>
      </x:c>
      <x:c r="E5175" s="0" t="s">
        <x:v>20554</x:v>
      </x:c>
      <x:c r="F5175" s="0" t="s">
        <x:v>45</x:v>
      </x:c>
      <x:c r="G5175" s="0" t="s">
        <x:v>19</x:v>
      </x:c>
      <x:c r="H5175" s="0" t="s">
        <x:v>20</x:v>
      </x:c>
      <x:c r="I5175" s="0" t="s">
        <x:v>21</x:v>
      </x:c>
      <x:c r="K5175" s="0">
        <x:f>hyperlink("https://icd.who.int/dev11/l-ichi/en#/http%3A%2F%2Fid.who.int%2Ficd%2Fentity%2F268294097","browser")</x:f>
      </x:c>
      <x:c r="L5175" s="0">
        <x:f>hyperlink("https://icat2.azurewebsites.net/icat/?ontology=ICD&amp;tab=ClassesTab&amp;id=http%3A%2F%2Fwho.int%2Ficd%2311429_4869915e_217e_423d_acb3_33c0f920ef4b","iCat")</x:f>
      </x:c>
      <x:c r="M5175" s="0" t="s">
        <x:v>21</x:v>
      </x:c>
      <x:c r="N5175" s="0" t="s">
        <x:v>46</x:v>
      </x:c>
    </x:row>
    <x:row r="5176" spans="1:16">
      <x:c r="A5176" s="0" t="s">
        <x:v>20555</x:v>
      </x:c>
      <x:c r="B5176" s="0" t="s">
        <x:v>20556</x:v>
      </x:c>
      <x:c r="C5176" s="0" t="s">
        <x:v>20557</x:v>
      </x:c>
      <x:c r="E5176" s="0" t="s">
        <x:v>20558</x:v>
      </x:c>
      <x:c r="F5176" s="0" t="s">
        <x:v>45</x:v>
      </x:c>
      <x:c r="G5176" s="0" t="s">
        <x:v>19</x:v>
      </x:c>
      <x:c r="H5176" s="0" t="s">
        <x:v>20</x:v>
      </x:c>
      <x:c r="I5176" s="0" t="s">
        <x:v>21</x:v>
      </x:c>
      <x:c r="K5176" s="0">
        <x:f>hyperlink("https://icd.who.int/dev11/l-ichi/en#/http%3A%2F%2Fid.who.int%2Ficd%2Fentity%2F1370898228","browser")</x:f>
      </x:c>
      <x:c r="L5176" s="0">
        <x:f>hyperlink("https://icat2.azurewebsites.net/icat/?ontology=ICD&amp;tab=ClassesTab&amp;id=http%3A%2F%2Fwho.int%2Ficd%2311417_4869915e_217e_423d_acb3_33c0f920ef4b","iCat")</x:f>
      </x:c>
      <x:c r="M5176" s="0" t="s">
        <x:v>21</x:v>
      </x:c>
      <x:c r="N5176" s="0" t="s">
        <x:v>46</x:v>
      </x:c>
    </x:row>
    <x:row r="5177" spans="1:16">
      <x:c r="A5177" s="0" t="s">
        <x:v>20559</x:v>
      </x:c>
      <x:c r="B5177" s="0" t="s">
        <x:v>20560</x:v>
      </x:c>
      <x:c r="C5177" s="0" t="s">
        <x:v>20561</x:v>
      </x:c>
      <x:c r="E5177" s="0" t="s">
        <x:v>20562</x:v>
      </x:c>
      <x:c r="F5177" s="0" t="s">
        <x:v>45</x:v>
      </x:c>
      <x:c r="G5177" s="0" t="s">
        <x:v>19</x:v>
      </x:c>
      <x:c r="H5177" s="0" t="s">
        <x:v>20</x:v>
      </x:c>
      <x:c r="I5177" s="0" t="s">
        <x:v>21</x:v>
      </x:c>
      <x:c r="K5177" s="0">
        <x:f>hyperlink("https://icd.who.int/dev11/l-ichi/en#/http%3A%2F%2Fid.who.int%2Ficd%2Fentity%2F2144981079","browser")</x:f>
      </x:c>
      <x:c r="L5177" s="0">
        <x:f>hyperlink("https://icat2.azurewebsites.net/icat/?ontology=ICD&amp;tab=ClassesTab&amp;id=http%3A%2F%2Fwho.int%2Ficd%2315197_4869915e_217e_423d_acb3_33c0f920ef4b","iCat")</x:f>
      </x:c>
      <x:c r="M5177" s="0" t="s">
        <x:v>21</x:v>
      </x:c>
      <x:c r="N5177" s="0" t="s">
        <x:v>46</x:v>
      </x:c>
    </x:row>
    <x:row r="5178" spans="1:16">
      <x:c r="A5178" s="0" t="s">
        <x:v>20563</x:v>
      </x:c>
      <x:c r="B5178" s="0" t="s">
        <x:v>20564</x:v>
      </x:c>
      <x:c r="C5178" s="0" t="s">
        <x:v>20565</x:v>
      </x:c>
      <x:c r="E5178" s="0" t="s">
        <x:v>20566</x:v>
      </x:c>
      <x:c r="F5178" s="0" t="s">
        <x:v>45</x:v>
      </x:c>
      <x:c r="G5178" s="0" t="s">
        <x:v>19</x:v>
      </x:c>
      <x:c r="H5178" s="0" t="s">
        <x:v>20</x:v>
      </x:c>
      <x:c r="I5178" s="0" t="s">
        <x:v>21</x:v>
      </x:c>
      <x:c r="K5178" s="0">
        <x:f>hyperlink("https://icd.who.int/dev11/l-ichi/en#/http%3A%2F%2Fid.who.int%2Ficd%2Fentity%2F1584753897","browser")</x:f>
      </x:c>
      <x:c r="L5178" s="0">
        <x:f>hyperlink("https://icat2.azurewebsites.net/icat/?ontology=ICD&amp;tab=ClassesTab&amp;id=http%3A%2F%2Fwho.int%2Ficd%2315203_4869915e_217e_423d_acb3_33c0f920ef4b","iCat")</x:f>
      </x:c>
      <x:c r="M5178" s="0" t="s">
        <x:v>21</x:v>
      </x:c>
      <x:c r="N5178" s="0" t="s">
        <x:v>46</x:v>
      </x:c>
    </x:row>
    <x:row r="5179" spans="1:16">
      <x:c r="A5179" s="0" t="s">
        <x:v>20567</x:v>
      </x:c>
      <x:c r="B5179" s="0" t="s">
        <x:v>20568</x:v>
      </x:c>
      <x:c r="C5179" s="0" t="s">
        <x:v>20569</x:v>
      </x:c>
      <x:c r="E5179" s="0" t="s">
        <x:v>20570</x:v>
      </x:c>
      <x:c r="F5179" s="0" t="s">
        <x:v>45</x:v>
      </x:c>
      <x:c r="G5179" s="0" t="s">
        <x:v>19</x:v>
      </x:c>
      <x:c r="H5179" s="0" t="s">
        <x:v>20</x:v>
      </x:c>
      <x:c r="I5179" s="0" t="s">
        <x:v>21</x:v>
      </x:c>
      <x:c r="K5179" s="0">
        <x:f>hyperlink("https://icd.who.int/dev11/l-ichi/en#/http%3A%2F%2Fid.who.int%2Ficd%2Fentity%2F1835547219","browser")</x:f>
      </x:c>
      <x:c r="L5179" s="0">
        <x:f>hyperlink("https://icat2.azurewebsites.net/icat/?ontology=ICD&amp;tab=ClassesTab&amp;id=http%3A%2F%2Fwho.int%2Ficd%2328323_512ebf36_bf6b_4d70_85da_cf2637062af4","iCat")</x:f>
      </x:c>
      <x:c r="M5179" s="0" t="s">
        <x:v>21</x:v>
      </x:c>
      <x:c r="N5179" s="0" t="s">
        <x:v>46</x:v>
      </x:c>
    </x:row>
    <x:row r="5180" spans="1:16">
      <x:c r="A5180" s="0" t="s">
        <x:v>20571</x:v>
      </x:c>
      <x:c r="B5180" s="0" t="s">
        <x:v>20572</x:v>
      </x:c>
      <x:c r="C5180" s="0" t="s">
        <x:v>20573</x:v>
      </x:c>
      <x:c r="E5180" s="0" t="s">
        <x:v>20574</x:v>
      </x:c>
      <x:c r="F5180" s="0" t="s">
        <x:v>45</x:v>
      </x:c>
      <x:c r="G5180" s="0" t="s">
        <x:v>19</x:v>
      </x:c>
      <x:c r="H5180" s="0" t="s">
        <x:v>20</x:v>
      </x:c>
      <x:c r="I5180" s="0" t="s">
        <x:v>21</x:v>
      </x:c>
      <x:c r="K5180" s="0">
        <x:f>hyperlink("https://icd.who.int/dev11/l-ichi/en#/http%3A%2F%2Fid.who.int%2Ficd%2Fentity%2F1999570057","browser")</x:f>
      </x:c>
      <x:c r="L5180" s="0">
        <x:f>hyperlink("https://icat2.azurewebsites.net/icat/?ontology=ICD&amp;tab=ClassesTab&amp;id=http%3A%2F%2Fwho.int%2Ficd%2328334_512ebf36_bf6b_4d70_85da_cf2637062af4","iCat")</x:f>
      </x:c>
      <x:c r="M5180" s="0" t="s">
        <x:v>21</x:v>
      </x:c>
      <x:c r="N5180" s="0" t="s">
        <x:v>46</x:v>
      </x:c>
    </x:row>
    <x:row r="5181" spans="1:16">
      <x:c r="A5181" s="0" t="s">
        <x:v>20575</x:v>
      </x:c>
      <x:c r="B5181" s="0" t="s">
        <x:v>20576</x:v>
      </x:c>
      <x:c r="C5181" s="0" t="s">
        <x:v>20577</x:v>
      </x:c>
      <x:c r="E5181" s="0" t="s">
        <x:v>20578</x:v>
      </x:c>
      <x:c r="F5181" s="0" t="s">
        <x:v>45</x:v>
      </x:c>
      <x:c r="G5181" s="0" t="s">
        <x:v>19</x:v>
      </x:c>
      <x:c r="H5181" s="0" t="s">
        <x:v>20</x:v>
      </x:c>
      <x:c r="I5181" s="0" t="s">
        <x:v>21</x:v>
      </x:c>
      <x:c r="K5181" s="0">
        <x:f>hyperlink("https://icd.who.int/dev11/l-ichi/en#/http%3A%2F%2Fid.who.int%2Ficd%2Fentity%2F1929303015","browser")</x:f>
      </x:c>
      <x:c r="L5181" s="0">
        <x:f>hyperlink("https://icat2.azurewebsites.net/icat/?ontology=ICD&amp;tab=ClassesTab&amp;id=http%3A%2F%2Fwho.int%2Ficd%2328340_512ebf36_bf6b_4d70_85da_cf2637062af4","iCat")</x:f>
      </x:c>
      <x:c r="M5181" s="0" t="s">
        <x:v>21</x:v>
      </x:c>
      <x:c r="N5181" s="0" t="s">
        <x:v>46</x:v>
      </x:c>
    </x:row>
    <x:row r="5182" spans="1:16">
      <x:c r="A5182" s="0" t="s">
        <x:v>20579</x:v>
      </x:c>
      <x:c r="B5182" s="0" t="s">
        <x:v>20580</x:v>
      </x:c>
      <x:c r="C5182" s="0" t="s">
        <x:v>20581</x:v>
      </x:c>
      <x:c r="E5182" s="0" t="s">
        <x:v>20582</x:v>
      </x:c>
      <x:c r="F5182" s="0" t="s">
        <x:v>45</x:v>
      </x:c>
      <x:c r="G5182" s="0" t="s">
        <x:v>19</x:v>
      </x:c>
      <x:c r="H5182" s="0" t="s">
        <x:v>20</x:v>
      </x:c>
      <x:c r="I5182" s="0" t="s">
        <x:v>21</x:v>
      </x:c>
      <x:c r="K5182" s="0">
        <x:f>hyperlink("https://icd.who.int/dev11/l-ichi/en#/http%3A%2F%2Fid.who.int%2Ficd%2Fentity%2F579144280","browser")</x:f>
      </x:c>
      <x:c r="L5182" s="0">
        <x:f>hyperlink("https://icat2.azurewebsites.net/icat/?ontology=ICD&amp;tab=ClassesTab&amp;id=http%3A%2F%2Fwho.int%2Ficd%2328346_512ebf36_bf6b_4d70_85da_cf2637062af4","iCat")</x:f>
      </x:c>
      <x:c r="M5182" s="0" t="s">
        <x:v>21</x:v>
      </x:c>
      <x:c r="N5182" s="0" t="s">
        <x:v>46</x:v>
      </x:c>
    </x:row>
    <x:row r="5183" spans="1:16">
      <x:c r="A5183" s="0" t="s">
        <x:v>20583</x:v>
      </x:c>
      <x:c r="B5183" s="0" t="s">
        <x:v>20584</x:v>
      </x:c>
      <x:c r="C5183" s="0" t="s">
        <x:v>20585</x:v>
      </x:c>
      <x:c r="E5183" s="0" t="s">
        <x:v>20586</x:v>
      </x:c>
      <x:c r="F5183" s="0" t="s">
        <x:v>45</x:v>
      </x:c>
      <x:c r="G5183" s="0" t="s">
        <x:v>19</x:v>
      </x:c>
      <x:c r="H5183" s="0" t="s">
        <x:v>20</x:v>
      </x:c>
      <x:c r="I5183" s="0" t="s">
        <x:v>21</x:v>
      </x:c>
      <x:c r="K5183" s="0">
        <x:f>hyperlink("https://icd.who.int/dev11/l-ichi/en#/http%3A%2F%2Fid.who.int%2Ficd%2Fentity%2F231076088","browser")</x:f>
      </x:c>
      <x:c r="L5183" s="0">
        <x:f>hyperlink("https://icat2.azurewebsites.net/icat/?ontology=ICD&amp;tab=ClassesTab&amp;id=http%3A%2F%2Fwho.int%2Ficd%2328355_512ebf36_bf6b_4d70_85da_cf2637062af4","iCat")</x:f>
      </x:c>
      <x:c r="M5183" s="0" t="s">
        <x:v>21</x:v>
      </x:c>
      <x:c r="N5183" s="0" t="s">
        <x:v>46</x:v>
      </x:c>
    </x:row>
    <x:row r="5184" spans="1:16">
      <x:c r="A5184" s="0" t="s">
        <x:v>20587</x:v>
      </x:c>
      <x:c r="B5184" s="0" t="s">
        <x:v>20588</x:v>
      </x:c>
      <x:c r="C5184" s="0" t="s">
        <x:v>20589</x:v>
      </x:c>
      <x:c r="E5184" s="0" t="s">
        <x:v>20590</x:v>
      </x:c>
      <x:c r="F5184" s="0" t="s">
        <x:v>45</x:v>
      </x:c>
      <x:c r="G5184" s="0" t="s">
        <x:v>19</x:v>
      </x:c>
      <x:c r="H5184" s="0" t="s">
        <x:v>20</x:v>
      </x:c>
      <x:c r="I5184" s="0" t="s">
        <x:v>21</x:v>
      </x:c>
      <x:c r="K5184" s="0">
        <x:f>hyperlink("https://icd.who.int/dev11/l-ichi/en#/http%3A%2F%2Fid.who.int%2Ficd%2Fentity%2F1838006979","browser")</x:f>
      </x:c>
      <x:c r="L5184" s="0">
        <x:f>hyperlink("https://icat2.azurewebsites.net/icat/?ontology=ICD&amp;tab=ClassesTab&amp;id=http%3A%2F%2Fwho.int%2Ficd%2328364_512ebf36_bf6b_4d70_85da_cf2637062af4","iCat")</x:f>
      </x:c>
      <x:c r="M5184" s="0" t="s">
        <x:v>21</x:v>
      </x:c>
      <x:c r="N5184" s="0" t="s">
        <x:v>46</x:v>
      </x:c>
    </x:row>
    <x:row r="5185" spans="1:16">
      <x:c r="A5185" s="0" t="s">
        <x:v>20591</x:v>
      </x:c>
      <x:c r="B5185" s="0" t="s">
        <x:v>20592</x:v>
      </x:c>
      <x:c r="C5185" s="0" t="s">
        <x:v>20593</x:v>
      </x:c>
      <x:c r="E5185" s="0" t="s">
        <x:v>20594</x:v>
      </x:c>
      <x:c r="F5185" s="0" t="s">
        <x:v>45</x:v>
      </x:c>
      <x:c r="G5185" s="0" t="s">
        <x:v>19</x:v>
      </x:c>
      <x:c r="H5185" s="0" t="s">
        <x:v>20</x:v>
      </x:c>
      <x:c r="I5185" s="0" t="s">
        <x:v>21</x:v>
      </x:c>
      <x:c r="K5185" s="0">
        <x:f>hyperlink("https://icd.who.int/dev11/l-ichi/en#/http%3A%2F%2Fid.who.int%2Ficd%2Fentity%2F844076002","browser")</x:f>
      </x:c>
      <x:c r="L5185" s="0">
        <x:f>hyperlink("https://icat2.azurewebsites.net/icat/?ontology=ICD&amp;tab=ClassesTab&amp;id=http%3A%2F%2Fwho.int%2Ficd%2328370_512ebf36_bf6b_4d70_85da_cf2637062af4","iCat")</x:f>
      </x:c>
      <x:c r="M5185" s="0" t="s">
        <x:v>21</x:v>
      </x:c>
      <x:c r="N5185" s="0" t="s">
        <x:v>46</x:v>
      </x:c>
    </x:row>
    <x:row r="5186" spans="1:16">
      <x:c r="A5186" s="0" t="s">
        <x:v>20595</x:v>
      </x:c>
      <x:c r="B5186" s="0" t="s">
        <x:v>20596</x:v>
      </x:c>
      <x:c r="C5186" s="0" t="s">
        <x:v>20597</x:v>
      </x:c>
      <x:c r="E5186" s="0" t="s">
        <x:v>20598</x:v>
      </x:c>
      <x:c r="F5186" s="0" t="s">
        <x:v>45</x:v>
      </x:c>
      <x:c r="G5186" s="0" t="s">
        <x:v>19</x:v>
      </x:c>
      <x:c r="H5186" s="0" t="s">
        <x:v>20</x:v>
      </x:c>
      <x:c r="I5186" s="0" t="s">
        <x:v>21</x:v>
      </x:c>
      <x:c r="K5186" s="0">
        <x:f>hyperlink("https://icd.who.int/dev11/l-ichi/en#/http%3A%2F%2Fid.who.int%2Ficd%2Fentity%2F1647594065","browser")</x:f>
      </x:c>
      <x:c r="L5186" s="0">
        <x:f>hyperlink("https://icat2.azurewebsites.net/icat/?ontology=ICD&amp;tab=ClassesTab&amp;id=http%3A%2F%2Fwho.int%2Ficd%2328376_512ebf36_bf6b_4d70_85da_cf2637062af4","iCat")</x:f>
      </x:c>
      <x:c r="M5186" s="0" t="s">
        <x:v>21</x:v>
      </x:c>
      <x:c r="N5186" s="0" t="s">
        <x:v>46</x:v>
      </x:c>
    </x:row>
    <x:row r="5187" spans="1:16">
      <x:c r="A5187" s="0" t="s">
        <x:v>20599</x:v>
      </x:c>
      <x:c r="B5187" s="0" t="s">
        <x:v>20600</x:v>
      </x:c>
      <x:c r="C5187" s="0" t="s">
        <x:v>20601</x:v>
      </x:c>
      <x:c r="E5187" s="0" t="s">
        <x:v>20602</x:v>
      </x:c>
      <x:c r="F5187" s="0" t="s">
        <x:v>45</x:v>
      </x:c>
      <x:c r="G5187" s="0" t="s">
        <x:v>19</x:v>
      </x:c>
      <x:c r="H5187" s="0" t="s">
        <x:v>20</x:v>
      </x:c>
      <x:c r="I5187" s="0" t="s">
        <x:v>21</x:v>
      </x:c>
      <x:c r="K5187" s="0">
        <x:f>hyperlink("https://icd.who.int/dev11/l-ichi/en#/http%3A%2F%2Fid.who.int%2Ficd%2Fentity%2F682564938","browser")</x:f>
      </x:c>
      <x:c r="L5187" s="0">
        <x:f>hyperlink("https://icat2.azurewebsites.net/icat/?ontology=ICD&amp;tab=ClassesTab&amp;id=http%3A%2F%2Fwho.int%2Ficd%2328384_512ebf36_bf6b_4d70_85da_cf2637062af4","iCat")</x:f>
      </x:c>
      <x:c r="M5187" s="0" t="s">
        <x:v>21</x:v>
      </x:c>
      <x:c r="N5187" s="0" t="s">
        <x:v>46</x:v>
      </x:c>
    </x:row>
    <x:row r="5188" spans="1:16">
      <x:c r="A5188" s="0" t="s">
        <x:v>20603</x:v>
      </x:c>
      <x:c r="B5188" s="0" t="s">
        <x:v>20604</x:v>
      </x:c>
      <x:c r="C5188" s="0" t="s">
        <x:v>20605</x:v>
      </x:c>
      <x:c r="E5188" s="0" t="s">
        <x:v>20606</x:v>
      </x:c>
      <x:c r="F5188" s="0" t="s">
        <x:v>45</x:v>
      </x:c>
      <x:c r="G5188" s="0" t="s">
        <x:v>19</x:v>
      </x:c>
      <x:c r="H5188" s="0" t="s">
        <x:v>20</x:v>
      </x:c>
      <x:c r="I5188" s="0" t="s">
        <x:v>21</x:v>
      </x:c>
      <x:c r="K5188" s="0">
        <x:f>hyperlink("https://icd.who.int/dev11/l-ichi/en#/http%3A%2F%2Fid.who.int%2Ficd%2Fentity%2F303124910","browser")</x:f>
      </x:c>
      <x:c r="L5188" s="0">
        <x:f>hyperlink("https://icat2.azurewebsites.net/icat/?ontology=ICD&amp;tab=ClassesTab&amp;id=http%3A%2F%2Fwho.int%2Ficd%2328392_512ebf36_bf6b_4d70_85da_cf2637062af4","iCat")</x:f>
      </x:c>
      <x:c r="M5188" s="0" t="s">
        <x:v>21</x:v>
      </x:c>
      <x:c r="N5188" s="0" t="s">
        <x:v>46</x:v>
      </x:c>
    </x:row>
    <x:row r="5189" spans="1:16">
      <x:c r="A5189" s="0" t="s">
        <x:v>20607</x:v>
      </x:c>
      <x:c r="B5189" s="0" t="s">
        <x:v>20608</x:v>
      </x:c>
      <x:c r="C5189" s="0" t="s">
        <x:v>20609</x:v>
      </x:c>
      <x:c r="E5189" s="0" t="s">
        <x:v>20610</x:v>
      </x:c>
      <x:c r="F5189" s="0" t="s">
        <x:v>45</x:v>
      </x:c>
      <x:c r="G5189" s="0" t="s">
        <x:v>19</x:v>
      </x:c>
      <x:c r="H5189" s="0" t="s">
        <x:v>20</x:v>
      </x:c>
      <x:c r="I5189" s="0" t="s">
        <x:v>21</x:v>
      </x:c>
      <x:c r="K5189" s="0">
        <x:f>hyperlink("https://icd.who.int/dev11/l-ichi/en#/http%3A%2F%2Fid.who.int%2Ficd%2Fentity%2F1858611352","browser")</x:f>
      </x:c>
      <x:c r="L5189" s="0">
        <x:f>hyperlink("https://icat2.azurewebsites.net/icat/?ontology=ICD&amp;tab=ClassesTab&amp;id=http%3A%2F%2Fwho.int%2Ficd%2328400_512ebf36_bf6b_4d70_85da_cf2637062af4","iCat")</x:f>
      </x:c>
      <x:c r="M5189" s="0" t="s">
        <x:v>21</x:v>
      </x:c>
      <x:c r="N5189" s="0" t="s">
        <x:v>46</x:v>
      </x:c>
    </x:row>
    <x:row r="5190" spans="1:16">
      <x:c r="A5190" s="0" t="s">
        <x:v>20611</x:v>
      </x:c>
      <x:c r="B5190" s="0" t="s">
        <x:v>20612</x:v>
      </x:c>
      <x:c r="C5190" s="0" t="s">
        <x:v>20613</x:v>
      </x:c>
      <x:c r="E5190" s="0" t="s">
        <x:v>20614</x:v>
      </x:c>
      <x:c r="F5190" s="0" t="s">
        <x:v>45</x:v>
      </x:c>
      <x:c r="G5190" s="0" t="s">
        <x:v>19</x:v>
      </x:c>
      <x:c r="H5190" s="0" t="s">
        <x:v>20</x:v>
      </x:c>
      <x:c r="I5190" s="0" t="s">
        <x:v>21</x:v>
      </x:c>
      <x:c r="K5190" s="0">
        <x:f>hyperlink("https://icd.who.int/dev11/l-ichi/en#/http%3A%2F%2Fid.who.int%2Ficd%2Fentity%2F1051980071","browser")</x:f>
      </x:c>
      <x:c r="L5190" s="0">
        <x:f>hyperlink("https://icat2.azurewebsites.net/icat/?ontology=ICD&amp;tab=ClassesTab&amp;id=http%3A%2F%2Fwho.int%2Ficd%2328406_512ebf36_bf6b_4d70_85da_cf2637062af4","iCat")</x:f>
      </x:c>
      <x:c r="M5190" s="0" t="s">
        <x:v>21</x:v>
      </x:c>
      <x:c r="N5190" s="0" t="s">
        <x:v>46</x:v>
      </x:c>
    </x:row>
    <x:row r="5191" spans="1:16">
      <x:c r="A5191" s="0" t="s">
        <x:v>20615</x:v>
      </x:c>
      <x:c r="B5191" s="0" t="s">
        <x:v>20616</x:v>
      </x:c>
      <x:c r="C5191" s="0" t="s">
        <x:v>20617</x:v>
      </x:c>
      <x:c r="E5191" s="0" t="s">
        <x:v>20618</x:v>
      </x:c>
      <x:c r="F5191" s="0" t="s">
        <x:v>45</x:v>
      </x:c>
      <x:c r="G5191" s="0" t="s">
        <x:v>19</x:v>
      </x:c>
      <x:c r="H5191" s="0" t="s">
        <x:v>20</x:v>
      </x:c>
      <x:c r="I5191" s="0" t="s">
        <x:v>21</x:v>
      </x:c>
      <x:c r="K5191" s="0">
        <x:f>hyperlink("https://icd.who.int/dev11/l-ichi/en#/http%3A%2F%2Fid.who.int%2Ficd%2Fentity%2F1099485752","browser")</x:f>
      </x:c>
      <x:c r="L5191" s="0">
        <x:f>hyperlink("https://icat2.azurewebsites.net/icat/?ontology=ICD&amp;tab=ClassesTab&amp;id=http%3A%2F%2Fwho.int%2Ficd%2328413_512ebf36_bf6b_4d70_85da_cf2637062af4","iCat")</x:f>
      </x:c>
      <x:c r="M5191" s="0" t="s">
        <x:v>21</x:v>
      </x:c>
      <x:c r="N5191" s="0" t="s">
        <x:v>46</x:v>
      </x:c>
    </x:row>
    <x:row r="5192" spans="1:16">
      <x:c r="A5192" s="0" t="s">
        <x:v>20619</x:v>
      </x:c>
      <x:c r="B5192" s="0" t="s">
        <x:v>20620</x:v>
      </x:c>
      <x:c r="C5192" s="0" t="s">
        <x:v>20621</x:v>
      </x:c>
      <x:c r="E5192" s="0" t="s">
        <x:v>20622</x:v>
      </x:c>
      <x:c r="F5192" s="0" t="s">
        <x:v>45</x:v>
      </x:c>
      <x:c r="G5192" s="0" t="s">
        <x:v>19</x:v>
      </x:c>
      <x:c r="H5192" s="0" t="s">
        <x:v>20</x:v>
      </x:c>
      <x:c r="I5192" s="0" t="s">
        <x:v>21</x:v>
      </x:c>
      <x:c r="K5192" s="0">
        <x:f>hyperlink("https://icd.who.int/dev11/l-ichi/en#/http%3A%2F%2Fid.who.int%2Ficd%2Fentity%2F1710603162","browser")</x:f>
      </x:c>
      <x:c r="L5192" s="0">
        <x:f>hyperlink("https://icat2.azurewebsites.net/icat/?ontology=ICD&amp;tab=ClassesTab&amp;id=http%3A%2F%2Fwho.int%2Ficd%23330_fdfbe215_099f_43a9_be44_e4f78deaea50","iCat")</x:f>
      </x:c>
      <x:c r="M5192" s="0" t="s">
        <x:v>21</x:v>
      </x:c>
      <x:c r="N5192" s="0" t="s">
        <x:v>46</x:v>
      </x:c>
    </x:row>
    <x:row r="5193" spans="1:16">
      <x:c r="A5193" s="0" t="s">
        <x:v>20623</x:v>
      </x:c>
      <x:c r="B5193" s="0" t="s">
        <x:v>20624</x:v>
      </x:c>
      <x:c r="C5193" s="0" t="s">
        <x:v>20625</x:v>
      </x:c>
      <x:c r="E5193" s="0" t="s">
        <x:v>20626</x:v>
      </x:c>
      <x:c r="F5193" s="0" t="s">
        <x:v>45</x:v>
      </x:c>
      <x:c r="G5193" s="0" t="s">
        <x:v>19</x:v>
      </x:c>
      <x:c r="H5193" s="0" t="s">
        <x:v>20</x:v>
      </x:c>
      <x:c r="I5193" s="0" t="s">
        <x:v>21</x:v>
      </x:c>
      <x:c r="K5193" s="0">
        <x:f>hyperlink("https://icd.who.int/dev11/l-ichi/en#/http%3A%2F%2Fid.who.int%2Ficd%2Fentity%2F1153236422","browser")</x:f>
      </x:c>
      <x:c r="L5193" s="0">
        <x:f>hyperlink("https://icat2.azurewebsites.net/icat/?ontology=ICD&amp;tab=ClassesTab&amp;id=http%3A%2F%2Fwho.int%2Ficd%2328420_512ebf36_bf6b_4d70_85da_cf2637062af4","iCat")</x:f>
      </x:c>
      <x:c r="M5193" s="0" t="s">
        <x:v>21</x:v>
      </x:c>
      <x:c r="N5193" s="0" t="s">
        <x:v>46</x:v>
      </x:c>
    </x:row>
    <x:row r="5194" spans="1:16">
      <x:c r="A5194" s="0" t="s">
        <x:v>20627</x:v>
      </x:c>
      <x:c r="B5194" s="0" t="s">
        <x:v>20628</x:v>
      </x:c>
      <x:c r="C5194" s="0" t="s">
        <x:v>20629</x:v>
      </x:c>
      <x:c r="E5194" s="0" t="s">
        <x:v>20630</x:v>
      </x:c>
      <x:c r="F5194" s="0" t="s">
        <x:v>45</x:v>
      </x:c>
      <x:c r="G5194" s="0" t="s">
        <x:v>19</x:v>
      </x:c>
      <x:c r="H5194" s="0" t="s">
        <x:v>20</x:v>
      </x:c>
      <x:c r="I5194" s="0" t="s">
        <x:v>21</x:v>
      </x:c>
      <x:c r="K5194" s="0">
        <x:f>hyperlink("https://icd.who.int/dev11/l-ichi/en#/http%3A%2F%2Fid.who.int%2Ficd%2Fentity%2F117550524","browser")</x:f>
      </x:c>
      <x:c r="L5194" s="0">
        <x:f>hyperlink("https://icat2.azurewebsites.net/icat/?ontology=ICD&amp;tab=ClassesTab&amp;id=http%3A%2F%2Fwho.int%2Ficd%230_ca295345_04da_4973_8b0f_7a84ba6d528f","iCat")</x:f>
      </x:c>
      <x:c r="M5194" s="0" t="s">
        <x:v>21</x:v>
      </x:c>
      <x:c r="N5194" s="0" t="s">
        <x:v>46</x:v>
      </x:c>
    </x:row>
    <x:row r="5195" spans="1:16">
      <x:c r="A5195" s="0" t="s">
        <x:v>20631</x:v>
      </x:c>
      <x:c r="B5195" s="0" t="s">
        <x:v>20632</x:v>
      </x:c>
      <x:c r="C5195" s="0" t="s">
        <x:v>20633</x:v>
      </x:c>
      <x:c r="E5195" s="0" t="s">
        <x:v>20634</x:v>
      </x:c>
      <x:c r="F5195" s="0" t="s">
        <x:v>45</x:v>
      </x:c>
      <x:c r="G5195" s="0" t="s">
        <x:v>19</x:v>
      </x:c>
      <x:c r="H5195" s="0" t="s">
        <x:v>20</x:v>
      </x:c>
      <x:c r="I5195" s="0" t="s">
        <x:v>21</x:v>
      </x:c>
      <x:c r="K5195" s="0">
        <x:f>hyperlink("https://icd.who.int/dev11/l-ichi/en#/http%3A%2F%2Fid.who.int%2Ficd%2Fentity%2F1571799654","browser")</x:f>
      </x:c>
      <x:c r="L5195" s="0">
        <x:f>hyperlink("https://icat2.azurewebsites.net/icat/?ontology=ICD&amp;tab=ClassesTab&amp;id=http%3A%2F%2Fwho.int%2Ficd%23444_4869915e_217e_423d_acb3_33c0f920ef4b","iCat")</x:f>
      </x:c>
      <x:c r="M5195" s="0" t="s">
        <x:v>21</x:v>
      </x:c>
      <x:c r="N5195" s="0" t="s">
        <x:v>46</x:v>
      </x:c>
    </x:row>
    <x:row r="5196" spans="1:16">
      <x:c r="A5196" s="0" t="s">
        <x:v>20635</x:v>
      </x:c>
      <x:c r="B5196" s="0" t="s">
        <x:v>20636</x:v>
      </x:c>
      <x:c r="C5196" s="0" t="s">
        <x:v>20637</x:v>
      </x:c>
      <x:c r="E5196" s="0" t="s">
        <x:v>20638</x:v>
      </x:c>
      <x:c r="F5196" s="0" t="s">
        <x:v>45</x:v>
      </x:c>
      <x:c r="G5196" s="0" t="s">
        <x:v>19</x:v>
      </x:c>
      <x:c r="H5196" s="0" t="s">
        <x:v>20</x:v>
      </x:c>
      <x:c r="I5196" s="0" t="s">
        <x:v>21</x:v>
      </x:c>
      <x:c r="K5196" s="0">
        <x:f>hyperlink("https://icd.who.int/dev11/l-ichi/en#/http%3A%2F%2Fid.who.int%2Ficd%2Fentity%2F876500555","browser")</x:f>
      </x:c>
      <x:c r="L5196" s="0">
        <x:f>hyperlink("https://icat2.azurewebsites.net/icat/?ontology=ICD&amp;tab=ClassesTab&amp;id=http%3A%2F%2Fwho.int%2Ficd%2328427_512ebf36_bf6b_4d70_85da_cf2637062af4","iCat")</x:f>
      </x:c>
      <x:c r="M5196" s="0" t="s">
        <x:v>21</x:v>
      </x:c>
      <x:c r="N5196" s="0" t="s">
        <x:v>46</x:v>
      </x:c>
    </x:row>
    <x:row r="5197" spans="1:16">
      <x:c r="A5197" s="0" t="s">
        <x:v>20639</x:v>
      </x:c>
      <x:c r="B5197" s="0" t="s">
        <x:v>20640</x:v>
      </x:c>
      <x:c r="C5197" s="0" t="s">
        <x:v>20641</x:v>
      </x:c>
      <x:c r="E5197" s="0" t="s">
        <x:v>20642</x:v>
      </x:c>
      <x:c r="F5197" s="0" t="s">
        <x:v>45</x:v>
      </x:c>
      <x:c r="G5197" s="0" t="s">
        <x:v>19</x:v>
      </x:c>
      <x:c r="H5197" s="0" t="s">
        <x:v>20</x:v>
      </x:c>
      <x:c r="I5197" s="0" t="s">
        <x:v>21</x:v>
      </x:c>
      <x:c r="K5197" s="0">
        <x:f>hyperlink("https://icd.who.int/dev11/l-ichi/en#/http%3A%2F%2Fid.who.int%2Ficd%2Fentity%2F1811679082","browser")</x:f>
      </x:c>
      <x:c r="L5197" s="0">
        <x:f>hyperlink("https://icat2.azurewebsites.net/icat/?ontology=ICD&amp;tab=ClassesTab&amp;id=http%3A%2F%2Fwho.int%2Ficd%2328433_512ebf36_bf6b_4d70_85da_cf2637062af4","iCat")</x:f>
      </x:c>
      <x:c r="M5197" s="0" t="s">
        <x:v>21</x:v>
      </x:c>
      <x:c r="N5197" s="0" t="s">
        <x:v>46</x:v>
      </x:c>
    </x:row>
    <x:row r="5198" spans="1:16">
      <x:c r="A5198" s="0" t="s">
        <x:v>20643</x:v>
      </x:c>
      <x:c r="B5198" s="0" t="s">
        <x:v>20644</x:v>
      </x:c>
      <x:c r="C5198" s="0" t="s">
        <x:v>20645</x:v>
      </x:c>
      <x:c r="E5198" s="0" t="s">
        <x:v>20646</x:v>
      </x:c>
      <x:c r="F5198" s="0" t="s">
        <x:v>45</x:v>
      </x:c>
      <x:c r="G5198" s="0" t="s">
        <x:v>19</x:v>
      </x:c>
      <x:c r="H5198" s="0" t="s">
        <x:v>20</x:v>
      </x:c>
      <x:c r="I5198" s="0" t="s">
        <x:v>21</x:v>
      </x:c>
      <x:c r="K5198" s="0">
        <x:f>hyperlink("https://icd.who.int/dev11/l-ichi/en#/http%3A%2F%2Fid.who.int%2Ficd%2Fentity%2F514816907","browser")</x:f>
      </x:c>
      <x:c r="L5198" s="0">
        <x:f>hyperlink("https://icat2.azurewebsites.net/icat/?ontology=ICD&amp;tab=ClassesTab&amp;id=http%3A%2F%2Fwho.int%2Ficd%2328440_512ebf36_bf6b_4d70_85da_cf2637062af4","iCat")</x:f>
      </x:c>
      <x:c r="M5198" s="0" t="s">
        <x:v>21</x:v>
      </x:c>
      <x:c r="N5198" s="0" t="s">
        <x:v>46</x:v>
      </x:c>
    </x:row>
    <x:row r="5199" spans="1:16">
      <x:c r="A5199" s="0" t="s">
        <x:v>20647</x:v>
      </x:c>
      <x:c r="B5199" s="0" t="s">
        <x:v>20648</x:v>
      </x:c>
      <x:c r="C5199" s="0" t="s">
        <x:v>20649</x:v>
      </x:c>
      <x:c r="E5199" s="0" t="s">
        <x:v>20650</x:v>
      </x:c>
      <x:c r="F5199" s="0" t="s">
        <x:v>45</x:v>
      </x:c>
      <x:c r="G5199" s="0" t="s">
        <x:v>19</x:v>
      </x:c>
      <x:c r="H5199" s="0" t="s">
        <x:v>20</x:v>
      </x:c>
      <x:c r="I5199" s="0" t="s">
        <x:v>21</x:v>
      </x:c>
      <x:c r="K5199" s="0">
        <x:f>hyperlink("https://icd.who.int/dev11/l-ichi/en#/http%3A%2F%2Fid.who.int%2Ficd%2Fentity%2F1848496136","browser")</x:f>
      </x:c>
      <x:c r="L5199" s="0">
        <x:f>hyperlink("https://icat2.azurewebsites.net/icat/?ontology=ICD&amp;tab=ClassesTab&amp;id=http%3A%2F%2Fwho.int%2Ficd%2328447_512ebf36_bf6b_4d70_85da_cf2637062af4","iCat")</x:f>
      </x:c>
      <x:c r="M5199" s="0" t="s">
        <x:v>21</x:v>
      </x:c>
      <x:c r="N5199" s="0" t="s">
        <x:v>46</x:v>
      </x:c>
    </x:row>
    <x:row r="5200" spans="1:16">
      <x:c r="A5200" s="0" t="s">
        <x:v>20651</x:v>
      </x:c>
      <x:c r="B5200" s="0" t="s">
        <x:v>20652</x:v>
      </x:c>
      <x:c r="C5200" s="0" t="s">
        <x:v>20653</x:v>
      </x:c>
      <x:c r="E5200" s="0" t="s">
        <x:v>20654</x:v>
      </x:c>
      <x:c r="F5200" s="0" t="s">
        <x:v>45</x:v>
      </x:c>
      <x:c r="G5200" s="0" t="s">
        <x:v>19</x:v>
      </x:c>
      <x:c r="H5200" s="0" t="s">
        <x:v>20</x:v>
      </x:c>
      <x:c r="I5200" s="0" t="s">
        <x:v>21</x:v>
      </x:c>
      <x:c r="K5200" s="0">
        <x:f>hyperlink("https://icd.who.int/dev11/l-ichi/en#/http%3A%2F%2Fid.who.int%2Ficd%2Fentity%2F1043670435","browser")</x:f>
      </x:c>
      <x:c r="L5200" s="0">
        <x:f>hyperlink("https://icat2.azurewebsites.net/icat/?ontology=ICD&amp;tab=ClassesTab&amp;id=http%3A%2F%2Fwho.int%2Ficd%23232_e02c2df3_77b6_419a_b43f_c4531334dd70","iCat")</x:f>
      </x:c>
      <x:c r="M5200" s="0" t="s">
        <x:v>21</x:v>
      </x:c>
      <x:c r="N5200" s="0" t="s">
        <x:v>46</x:v>
      </x:c>
    </x:row>
    <x:row r="5201" spans="1:16">
      <x:c r="A5201" s="0" t="s">
        <x:v>20655</x:v>
      </x:c>
      <x:c r="B5201" s="0" t="s">
        <x:v>20656</x:v>
      </x:c>
      <x:c r="C5201" s="0" t="s">
        <x:v>20657</x:v>
      </x:c>
      <x:c r="E5201" s="0" t="s">
        <x:v>20658</x:v>
      </x:c>
      <x:c r="F5201" s="0" t="s">
        <x:v>45</x:v>
      </x:c>
      <x:c r="G5201" s="0" t="s">
        <x:v>19</x:v>
      </x:c>
      <x:c r="H5201" s="0" t="s">
        <x:v>20</x:v>
      </x:c>
      <x:c r="I5201" s="0" t="s">
        <x:v>21</x:v>
      </x:c>
      <x:c r="K5201" s="0">
        <x:f>hyperlink("https://icd.who.int/dev11/l-ichi/en#/http%3A%2F%2Fid.who.int%2Ficd%2Fentity%2F605108077","browser")</x:f>
      </x:c>
      <x:c r="L5201" s="0">
        <x:f>hyperlink("https://icat2.azurewebsites.net/icat/?ontology=ICD&amp;tab=ClassesTab&amp;id=http%3A%2F%2Fwho.int%2Ficd%2328456_512ebf36_bf6b_4d70_85da_cf2637062af4","iCat")</x:f>
      </x:c>
      <x:c r="M5201" s="0" t="s">
        <x:v>21</x:v>
      </x:c>
      <x:c r="N5201" s="0" t="s">
        <x:v>46</x:v>
      </x:c>
    </x:row>
    <x:row r="5202" spans="1:16">
      <x:c r="A5202" s="0" t="s">
        <x:v>20659</x:v>
      </x:c>
      <x:c r="B5202" s="0" t="s">
        <x:v>20660</x:v>
      </x:c>
      <x:c r="C5202" s="0" t="s">
        <x:v>20661</x:v>
      </x:c>
      <x:c r="E5202" s="0" t="s">
        <x:v>20662</x:v>
      </x:c>
      <x:c r="F5202" s="0" t="s">
        <x:v>45</x:v>
      </x:c>
      <x:c r="G5202" s="0" t="s">
        <x:v>19</x:v>
      </x:c>
      <x:c r="H5202" s="0" t="s">
        <x:v>20</x:v>
      </x:c>
      <x:c r="I5202" s="0" t="s">
        <x:v>21</x:v>
      </x:c>
      <x:c r="K5202" s="0">
        <x:f>hyperlink("https://icd.who.int/dev11/l-ichi/en#/http%3A%2F%2Fid.who.int%2Ficd%2Fentity%2F1902035236","browser")</x:f>
      </x:c>
      <x:c r="L5202" s="0">
        <x:f>hyperlink("https://icat2.azurewebsites.net/icat/?ontology=ICD&amp;tab=ClassesTab&amp;id=http%3A%2F%2Fwho.int%2Ficd%2328463_512ebf36_bf6b_4d70_85da_cf2637062af4","iCat")</x:f>
      </x:c>
      <x:c r="M5202" s="0" t="s">
        <x:v>21</x:v>
      </x:c>
      <x:c r="N5202" s="0" t="s">
        <x:v>46</x:v>
      </x:c>
    </x:row>
    <x:row r="5203" spans="1:16">
      <x:c r="A5203" s="0" t="s">
        <x:v>20663</x:v>
      </x:c>
      <x:c r="B5203" s="0" t="s">
        <x:v>20664</x:v>
      </x:c>
      <x:c r="C5203" s="0" t="s">
        <x:v>20665</x:v>
      </x:c>
      <x:c r="E5203" s="0" t="s">
        <x:v>20666</x:v>
      </x:c>
      <x:c r="F5203" s="0" t="s">
        <x:v>45</x:v>
      </x:c>
      <x:c r="G5203" s="0" t="s">
        <x:v>19</x:v>
      </x:c>
      <x:c r="H5203" s="0" t="s">
        <x:v>20</x:v>
      </x:c>
      <x:c r="I5203" s="0" t="s">
        <x:v>21</x:v>
      </x:c>
      <x:c r="K5203" s="0">
        <x:f>hyperlink("https://icd.who.int/dev11/l-ichi/en#/http%3A%2F%2Fid.who.int%2Ficd%2Fentity%2F1579039628","browser")</x:f>
      </x:c>
      <x:c r="L5203" s="0">
        <x:f>hyperlink("https://icat2.azurewebsites.net/icat/?ontology=ICD&amp;tab=ClassesTab&amp;id=http%3A%2F%2Fwho.int%2Ficd%2328470_512ebf36_bf6b_4d70_85da_cf2637062af4","iCat")</x:f>
      </x:c>
      <x:c r="M5203" s="0" t="s">
        <x:v>21</x:v>
      </x:c>
      <x:c r="N5203" s="0" t="s">
        <x:v>46</x:v>
      </x:c>
    </x:row>
    <x:row r="5204" spans="1:16">
      <x:c r="A5204" s="0" t="s">
        <x:v>20667</x:v>
      </x:c>
      <x:c r="B5204" s="0" t="s">
        <x:v>20668</x:v>
      </x:c>
      <x:c r="C5204" s="0" t="s">
        <x:v>20669</x:v>
      </x:c>
      <x:c r="E5204" s="0" t="s">
        <x:v>20670</x:v>
      </x:c>
      <x:c r="F5204" s="0" t="s">
        <x:v>45</x:v>
      </x:c>
      <x:c r="G5204" s="0" t="s">
        <x:v>19</x:v>
      </x:c>
      <x:c r="H5204" s="0" t="s">
        <x:v>20</x:v>
      </x:c>
      <x:c r="I5204" s="0" t="s">
        <x:v>21</x:v>
      </x:c>
      <x:c r="K5204" s="0">
        <x:f>hyperlink("https://icd.who.int/dev11/l-ichi/en#/http%3A%2F%2Fid.who.int%2Ficd%2Fentity%2F1950619597","browser")</x:f>
      </x:c>
      <x:c r="L5204" s="0">
        <x:f>hyperlink("https://icat2.azurewebsites.net/icat/?ontology=ICD&amp;tab=ClassesTab&amp;id=http%3A%2F%2Fwho.int%2Ficd%235832_25b89c54_3344_49a0_8ee9_6b728a90dcf8","iCat")</x:f>
      </x:c>
      <x:c r="M5204" s="0" t="s">
        <x:v>21</x:v>
      </x:c>
      <x:c r="N5204" s="0" t="s">
        <x:v>46</x:v>
      </x:c>
    </x:row>
    <x:row r="5205" spans="1:16">
      <x:c r="A5205" s="0" t="s">
        <x:v>20671</x:v>
      </x:c>
      <x:c r="B5205" s="0" t="s">
        <x:v>20672</x:v>
      </x:c>
      <x:c r="C5205" s="0" t="s">
        <x:v>20673</x:v>
      </x:c>
      <x:c r="E5205" s="0" t="s">
        <x:v>20674</x:v>
      </x:c>
      <x:c r="F5205" s="0" t="s">
        <x:v>45</x:v>
      </x:c>
      <x:c r="G5205" s="0" t="s">
        <x:v>19</x:v>
      </x:c>
      <x:c r="H5205" s="0" t="s">
        <x:v>20</x:v>
      </x:c>
      <x:c r="I5205" s="0" t="s">
        <x:v>21</x:v>
      </x:c>
      <x:c r="K5205" s="0">
        <x:f>hyperlink("https://icd.who.int/dev11/l-ichi/en#/http%3A%2F%2Fid.who.int%2Ficd%2Fentity%2F782012417","browser")</x:f>
      </x:c>
      <x:c r="L5205" s="0">
        <x:f>hyperlink("https://icat2.azurewebsites.net/icat/?ontology=ICD&amp;tab=ClassesTab&amp;id=http%3A%2F%2Fwho.int%2Ficd%2328477_512ebf36_bf6b_4d70_85da_cf2637062af4","iCat")</x:f>
      </x:c>
      <x:c r="M5205" s="0" t="s">
        <x:v>21</x:v>
      </x:c>
      <x:c r="N5205" s="0" t="s">
        <x:v>46</x:v>
      </x:c>
    </x:row>
    <x:row r="5206" spans="1:16">
      <x:c r="A5206" s="0" t="s">
        <x:v>20675</x:v>
      </x:c>
      <x:c r="B5206" s="0" t="s">
        <x:v>20676</x:v>
      </x:c>
      <x:c r="C5206" s="0" t="s">
        <x:v>20677</x:v>
      </x:c>
      <x:c r="E5206" s="0" t="s">
        <x:v>20678</x:v>
      </x:c>
      <x:c r="F5206" s="0" t="s">
        <x:v>45</x:v>
      </x:c>
      <x:c r="G5206" s="0" t="s">
        <x:v>19</x:v>
      </x:c>
      <x:c r="H5206" s="0" t="s">
        <x:v>20</x:v>
      </x:c>
      <x:c r="I5206" s="0" t="s">
        <x:v>21</x:v>
      </x:c>
      <x:c r="K5206" s="0">
        <x:f>hyperlink("https://icd.who.int/dev11/l-ichi/en#/http%3A%2F%2Fid.who.int%2Ficd%2Fentity%2F880549547","browser")</x:f>
      </x:c>
      <x:c r="L5206" s="0">
        <x:f>hyperlink("https://icat2.azurewebsites.net/icat/?ontology=ICD&amp;tab=ClassesTab&amp;id=http%3A%2F%2Fwho.int%2Ficd%2328483_512ebf36_bf6b_4d70_85da_cf2637062af4","iCat")</x:f>
      </x:c>
      <x:c r="M5206" s="0" t="s">
        <x:v>21</x:v>
      </x:c>
      <x:c r="N5206" s="0" t="s">
        <x:v>46</x:v>
      </x:c>
    </x:row>
    <x:row r="5207" spans="1:16">
      <x:c r="A5207" s="0" t="s">
        <x:v>20679</x:v>
      </x:c>
      <x:c r="B5207" s="0" t="s">
        <x:v>20680</x:v>
      </x:c>
      <x:c r="C5207" s="0" t="s">
        <x:v>20681</x:v>
      </x:c>
      <x:c r="E5207" s="0" t="s">
        <x:v>20682</x:v>
      </x:c>
      <x:c r="F5207" s="0" t="s">
        <x:v>45</x:v>
      </x:c>
      <x:c r="G5207" s="0" t="s">
        <x:v>19</x:v>
      </x:c>
      <x:c r="H5207" s="0" t="s">
        <x:v>20</x:v>
      </x:c>
      <x:c r="I5207" s="0" t="s">
        <x:v>21</x:v>
      </x:c>
      <x:c r="K5207" s="0">
        <x:f>hyperlink("https://icd.who.int/dev11/l-ichi/en#/http%3A%2F%2Fid.who.int%2Ficd%2Fentity%2F1002804793","browser")</x:f>
      </x:c>
      <x:c r="L5207" s="0">
        <x:f>hyperlink("https://icat2.azurewebsites.net/icat/?ontology=ICD&amp;tab=ClassesTab&amp;id=http%3A%2F%2Fwho.int%2Ficd%2328491_512ebf36_bf6b_4d70_85da_cf2637062af4","iCat")</x:f>
      </x:c>
      <x:c r="M5207" s="0" t="s">
        <x:v>21</x:v>
      </x:c>
      <x:c r="N5207" s="0" t="s">
        <x:v>46</x:v>
      </x:c>
    </x:row>
    <x:row r="5208" spans="1:16">
      <x:c r="A5208" s="0" t="s">
        <x:v>20683</x:v>
      </x:c>
      <x:c r="B5208" s="0" t="s">
        <x:v>20684</x:v>
      </x:c>
      <x:c r="C5208" s="0" t="s">
        <x:v>20685</x:v>
      </x:c>
      <x:c r="E5208" s="0" t="s">
        <x:v>20686</x:v>
      </x:c>
      <x:c r="F5208" s="0" t="s">
        <x:v>45</x:v>
      </x:c>
      <x:c r="G5208" s="0" t="s">
        <x:v>19</x:v>
      </x:c>
      <x:c r="H5208" s="0" t="s">
        <x:v>20</x:v>
      </x:c>
      <x:c r="I5208" s="0" t="s">
        <x:v>21</x:v>
      </x:c>
      <x:c r="K5208" s="0">
        <x:f>hyperlink("https://icd.who.int/dev11/l-ichi/en#/http%3A%2F%2Fid.who.int%2Ficd%2Fentity%2F1438487888","browser")</x:f>
      </x:c>
      <x:c r="L5208" s="0">
        <x:f>hyperlink("https://icat2.azurewebsites.net/icat/?ontology=ICD&amp;tab=ClassesTab&amp;id=http%3A%2F%2Fwho.int%2Ficd%2328498_512ebf36_bf6b_4d70_85da_cf2637062af4","iCat")</x:f>
      </x:c>
      <x:c r="M5208" s="0" t="s">
        <x:v>21</x:v>
      </x:c>
      <x:c r="N5208" s="0" t="s">
        <x:v>46</x:v>
      </x:c>
    </x:row>
    <x:row r="5209" spans="1:16">
      <x:c r="A5209" s="0" t="s">
        <x:v>20687</x:v>
      </x:c>
      <x:c r="B5209" s="0" t="s">
        <x:v>20688</x:v>
      </x:c>
      <x:c r="C5209" s="0" t="s">
        <x:v>20689</x:v>
      </x:c>
      <x:c r="E5209" s="0" t="s">
        <x:v>20690</x:v>
      </x:c>
      <x:c r="F5209" s="0" t="s">
        <x:v>45</x:v>
      </x:c>
      <x:c r="G5209" s="0" t="s">
        <x:v>19</x:v>
      </x:c>
      <x:c r="H5209" s="0" t="s">
        <x:v>20</x:v>
      </x:c>
      <x:c r="I5209" s="0" t="s">
        <x:v>21</x:v>
      </x:c>
      <x:c r="K5209" s="0">
        <x:f>hyperlink("https://icd.who.int/dev11/l-ichi/en#/http%3A%2F%2Fid.who.int%2Ficd%2Fentity%2F245979203","browser")</x:f>
      </x:c>
      <x:c r="L5209" s="0">
        <x:f>hyperlink("https://icat2.azurewebsites.net/icat/?ontology=ICD&amp;tab=ClassesTab&amp;id=http%3A%2F%2Fwho.int%2Ficd%2328505_512ebf36_bf6b_4d70_85da_cf2637062af4","iCat")</x:f>
      </x:c>
      <x:c r="M5209" s="0" t="s">
        <x:v>21</x:v>
      </x:c>
      <x:c r="N5209" s="0" t="s">
        <x:v>46</x:v>
      </x:c>
    </x:row>
    <x:row r="5210" spans="1:16">
      <x:c r="A5210" s="0" t="s">
        <x:v>20691</x:v>
      </x:c>
      <x:c r="B5210" s="0" t="s">
        <x:v>20692</x:v>
      </x:c>
      <x:c r="C5210" s="0" t="s">
        <x:v>20693</x:v>
      </x:c>
      <x:c r="E5210" s="0" t="s">
        <x:v>20694</x:v>
      </x:c>
      <x:c r="F5210" s="0" t="s">
        <x:v>45</x:v>
      </x:c>
      <x:c r="G5210" s="0" t="s">
        <x:v>19</x:v>
      </x:c>
      <x:c r="H5210" s="0" t="s">
        <x:v>20</x:v>
      </x:c>
      <x:c r="I5210" s="0" t="s">
        <x:v>21</x:v>
      </x:c>
      <x:c r="K5210" s="0">
        <x:f>hyperlink("https://icd.who.int/dev11/l-ichi/en#/http%3A%2F%2Fid.who.int%2Ficd%2Fentity%2F1365969248","browser")</x:f>
      </x:c>
      <x:c r="L5210" s="0">
        <x:f>hyperlink("https://icat2.azurewebsites.net/icat/?ontology=ICD&amp;tab=ClassesTab&amp;id=http%3A%2F%2Fwho.int%2Ficd%2328511_512ebf36_bf6b_4d70_85da_cf2637062af4","iCat")</x:f>
      </x:c>
      <x:c r="M5210" s="0" t="s">
        <x:v>21</x:v>
      </x:c>
      <x:c r="N5210" s="0" t="s">
        <x:v>46</x:v>
      </x:c>
    </x:row>
    <x:row r="5211" spans="1:16">
      <x:c r="A5211" s="0" t="s">
        <x:v>20695</x:v>
      </x:c>
      <x:c r="B5211" s="0" t="s">
        <x:v>20696</x:v>
      </x:c>
      <x:c r="C5211" s="0" t="s">
        <x:v>20697</x:v>
      </x:c>
      <x:c r="E5211" s="0" t="s">
        <x:v>20698</x:v>
      </x:c>
      <x:c r="F5211" s="0" t="s">
        <x:v>45</x:v>
      </x:c>
      <x:c r="G5211" s="0" t="s">
        <x:v>19</x:v>
      </x:c>
      <x:c r="H5211" s="0" t="s">
        <x:v>20</x:v>
      </x:c>
      <x:c r="I5211" s="0" t="s">
        <x:v>21</x:v>
      </x:c>
      <x:c r="K5211" s="0">
        <x:f>hyperlink("https://icd.who.int/dev11/l-ichi/en#/http%3A%2F%2Fid.who.int%2Ficd%2Fentity%2F17879249","browser")</x:f>
      </x:c>
      <x:c r="L5211" s="0">
        <x:f>hyperlink("https://icat2.azurewebsites.net/icat/?ontology=ICD&amp;tab=ClassesTab&amp;id=http%3A%2F%2Fwho.int%2Ficd%2328517_512ebf36_bf6b_4d70_85da_cf2637062af4","iCat")</x:f>
      </x:c>
      <x:c r="M5211" s="0" t="s">
        <x:v>21</x:v>
      </x:c>
      <x:c r="N5211" s="0" t="s">
        <x:v>46</x:v>
      </x:c>
    </x:row>
    <x:row r="5212" spans="1:16">
      <x:c r="A5212" s="0" t="s">
        <x:v>20699</x:v>
      </x:c>
      <x:c r="B5212" s="0" t="s">
        <x:v>20700</x:v>
      </x:c>
      <x:c r="C5212" s="0" t="s">
        <x:v>20701</x:v>
      </x:c>
      <x:c r="E5212" s="0" t="s">
        <x:v>20702</x:v>
      </x:c>
      <x:c r="F5212" s="0" t="s">
        <x:v>45</x:v>
      </x:c>
      <x:c r="G5212" s="0" t="s">
        <x:v>19</x:v>
      </x:c>
      <x:c r="H5212" s="0" t="s">
        <x:v>20</x:v>
      </x:c>
      <x:c r="I5212" s="0" t="s">
        <x:v>21</x:v>
      </x:c>
      <x:c r="K5212" s="0">
        <x:f>hyperlink("https://icd.who.int/dev11/l-ichi/en#/http%3A%2F%2Fid.who.int%2Ficd%2Fentity%2F69533487","browser")</x:f>
      </x:c>
      <x:c r="L5212" s="0">
        <x:f>hyperlink("https://icat2.azurewebsites.net/icat/?ontology=ICD&amp;tab=ClassesTab&amp;id=http%3A%2F%2Fwho.int%2Ficd%2328524_512ebf36_bf6b_4d70_85da_cf2637062af4","iCat")</x:f>
      </x:c>
      <x:c r="M5212" s="0" t="s">
        <x:v>21</x:v>
      </x:c>
      <x:c r="N5212" s="0" t="s">
        <x:v>46</x:v>
      </x:c>
    </x:row>
    <x:row r="5213" spans="1:16">
      <x:c r="A5213" s="0" t="s">
        <x:v>20703</x:v>
      </x:c>
      <x:c r="B5213" s="0" t="s">
        <x:v>20704</x:v>
      </x:c>
      <x:c r="C5213" s="0" t="s">
        <x:v>20705</x:v>
      </x:c>
      <x:c r="E5213" s="0" t="s">
        <x:v>20706</x:v>
      </x:c>
      <x:c r="F5213" s="0" t="s">
        <x:v>45</x:v>
      </x:c>
      <x:c r="G5213" s="0" t="s">
        <x:v>19</x:v>
      </x:c>
      <x:c r="H5213" s="0" t="s">
        <x:v>20</x:v>
      </x:c>
      <x:c r="I5213" s="0" t="s">
        <x:v>21</x:v>
      </x:c>
      <x:c r="K5213" s="0">
        <x:f>hyperlink("https://icd.who.int/dev11/l-ichi/en#/http%3A%2F%2Fid.who.int%2Ficd%2Fentity%2F1541844492","browser")</x:f>
      </x:c>
      <x:c r="L5213" s="0">
        <x:f>hyperlink("https://icat2.azurewebsites.net/icat/?ontology=ICD&amp;tab=ClassesTab&amp;id=http%3A%2F%2Fwho.int%2Ficd%2328530_512ebf36_bf6b_4d70_85da_cf2637062af4","iCat")</x:f>
      </x:c>
      <x:c r="M5213" s="0" t="s">
        <x:v>21</x:v>
      </x:c>
      <x:c r="N5213" s="0" t="s">
        <x:v>46</x:v>
      </x:c>
    </x:row>
    <x:row r="5214" spans="1:16">
      <x:c r="A5214" s="0" t="s">
        <x:v>20707</x:v>
      </x:c>
      <x:c r="B5214" s="0" t="s">
        <x:v>20708</x:v>
      </x:c>
      <x:c r="C5214" s="0" t="s">
        <x:v>20709</x:v>
      </x:c>
      <x:c r="E5214" s="0" t="s">
        <x:v>20710</x:v>
      </x:c>
      <x:c r="F5214" s="0" t="s">
        <x:v>45</x:v>
      </x:c>
      <x:c r="G5214" s="0" t="s">
        <x:v>19</x:v>
      </x:c>
      <x:c r="H5214" s="0" t="s">
        <x:v>20</x:v>
      </x:c>
      <x:c r="I5214" s="0" t="s">
        <x:v>21</x:v>
      </x:c>
      <x:c r="K5214" s="0">
        <x:f>hyperlink("https://icd.who.int/dev11/l-ichi/en#/http%3A%2F%2Fid.who.int%2Ficd%2Fentity%2F899591525","browser")</x:f>
      </x:c>
      <x:c r="L5214" s="0">
        <x:f>hyperlink("https://icat2.azurewebsites.net/icat/?ontology=ICD&amp;tab=ClassesTab&amp;id=http%3A%2F%2Fwho.int%2Ficd%2328539_512ebf36_bf6b_4d70_85da_cf2637062af4","iCat")</x:f>
      </x:c>
      <x:c r="M5214" s="0" t="s">
        <x:v>21</x:v>
      </x:c>
      <x:c r="N5214" s="0" t="s">
        <x:v>46</x:v>
      </x:c>
    </x:row>
    <x:row r="5215" spans="1:16">
      <x:c r="A5215" s="0" t="s">
        <x:v>20711</x:v>
      </x:c>
      <x:c r="B5215" s="0" t="s">
        <x:v>20712</x:v>
      </x:c>
      <x:c r="D5215" s="0" t="s">
        <x:v>20713</x:v>
      </x:c>
      <x:c r="E5215" s="0" t="s">
        <x:v>20714</x:v>
      </x:c>
      <x:c r="F5215" s="0" t="s">
        <x:v>26</x:v>
      </x:c>
      <x:c r="G5215" s="0" t="s">
        <x:v>22</x:v>
      </x:c>
      <x:c r="H5215" s="0" t="s">
        <x:v>20</x:v>
      </x:c>
      <x:c r="I5215" s="0" t="s">
        <x:v>21</x:v>
      </x:c>
      <x:c r="K5215" s="0">
        <x:f>hyperlink("https://icd.who.int/dev11/l-ichi/en#/http%3A%2F%2Fid.who.int%2Ficd%2Fentity%2F994796711","browser")</x:f>
      </x:c>
      <x:c r="L5215" s="0">
        <x:f>hyperlink("https://icat2.azurewebsites.net/icat/?ontology=ICD&amp;tab=ClassesTab&amp;id=http%3A%2F%2Fwho.int%2Ficd%2328546_512ebf36_bf6b_4d70_85da_cf2637062af4","iCat")</x:f>
      </x:c>
      <x:c r="M5215" s="0" t="s">
        <x:v>20</x:v>
      </x:c>
      <x:c r="N5215" s="0" t="s">
        <x:v>18894</x:v>
      </x:c>
    </x:row>
    <x:row r="5216" spans="1:16">
      <x:c r="A5216" s="0" t="s">
        <x:v>20715</x:v>
      </x:c>
      <x:c r="B5216" s="0" t="s">
        <x:v>20716</x:v>
      </x:c>
      <x:c r="C5216" s="0" t="s">
        <x:v>20717</x:v>
      </x:c>
      <x:c r="E5216" s="0" t="s">
        <x:v>20718</x:v>
      </x:c>
      <x:c r="F5216" s="0" t="s">
        <x:v>45</x:v>
      </x:c>
      <x:c r="G5216" s="0" t="s">
        <x:v>19</x:v>
      </x:c>
      <x:c r="H5216" s="0" t="s">
        <x:v>20</x:v>
      </x:c>
      <x:c r="I5216" s="0" t="s">
        <x:v>21</x:v>
      </x:c>
      <x:c r="K5216" s="0">
        <x:f>hyperlink("https://icd.who.int/dev11/l-ichi/en#/http%3A%2F%2Fid.who.int%2Ficd%2Fentity%2F2127432544","browser")</x:f>
      </x:c>
      <x:c r="L5216" s="0">
        <x:f>hyperlink("https://icat2.azurewebsites.net/icat/?ontology=ICD&amp;tab=ClassesTab&amp;id=http%3A%2F%2Fwho.int%2Ficd%2328545_512ebf36_bf6b_4d70_85da_cf2637062af4","iCat")</x:f>
      </x:c>
      <x:c r="M5216" s="0" t="s">
        <x:v>21</x:v>
      </x:c>
      <x:c r="N5216" s="0" t="s">
        <x:v>46</x:v>
      </x:c>
    </x:row>
    <x:row r="5217" spans="1:16">
      <x:c r="A5217" s="0" t="s">
        <x:v>20719</x:v>
      </x:c>
      <x:c r="B5217" s="0" t="s">
        <x:v>20720</x:v>
      </x:c>
      <x:c r="C5217" s="0" t="s">
        <x:v>20721</x:v>
      </x:c>
      <x:c r="E5217" s="0" t="s">
        <x:v>20722</x:v>
      </x:c>
      <x:c r="F5217" s="0" t="s">
        <x:v>45</x:v>
      </x:c>
      <x:c r="G5217" s="0" t="s">
        <x:v>19</x:v>
      </x:c>
      <x:c r="H5217" s="0" t="s">
        <x:v>20</x:v>
      </x:c>
      <x:c r="I5217" s="0" t="s">
        <x:v>21</x:v>
      </x:c>
      <x:c r="K5217" s="0">
        <x:f>hyperlink("https://icd.who.int/dev11/l-ichi/en#/http%3A%2F%2Fid.who.int%2Ficd%2Fentity%2F1903657934","browser")</x:f>
      </x:c>
      <x:c r="L5217" s="0">
        <x:f>hyperlink("https://icat2.azurewebsites.net/icat/?ontology=ICD&amp;tab=ClassesTab&amp;id=http%3A%2F%2Fwho.int%2Ficd%2328557_512ebf36_bf6b_4d70_85da_cf2637062af4","iCat")</x:f>
      </x:c>
      <x:c r="M5217" s="0" t="s">
        <x:v>21</x:v>
      </x:c>
      <x:c r="N5217" s="0" t="s">
        <x:v>46</x:v>
      </x:c>
    </x:row>
    <x:row r="5218" spans="1:16">
      <x:c r="A5218" s="0" t="s">
        <x:v>20723</x:v>
      </x:c>
      <x:c r="B5218" s="0" t="s">
        <x:v>20724</x:v>
      </x:c>
      <x:c r="C5218" s="0" t="s">
        <x:v>20725</x:v>
      </x:c>
      <x:c r="E5218" s="0" t="s">
        <x:v>20726</x:v>
      </x:c>
      <x:c r="F5218" s="0" t="s">
        <x:v>45</x:v>
      </x:c>
      <x:c r="G5218" s="0" t="s">
        <x:v>19</x:v>
      </x:c>
      <x:c r="H5218" s="0" t="s">
        <x:v>20</x:v>
      </x:c>
      <x:c r="I5218" s="0" t="s">
        <x:v>21</x:v>
      </x:c>
      <x:c r="K5218" s="0">
        <x:f>hyperlink("https://icd.who.int/dev11/l-ichi/en#/http%3A%2F%2Fid.who.int%2Ficd%2Fentity%2F79759295","browser")</x:f>
      </x:c>
      <x:c r="L5218" s="0">
        <x:f>hyperlink("https://icat2.azurewebsites.net/icat/?ontology=ICD&amp;tab=ClassesTab&amp;id=http%3A%2F%2Fwho.int%2Ficd%2328563_512ebf36_bf6b_4d70_85da_cf2637062af4","iCat")</x:f>
      </x:c>
      <x:c r="M5218" s="0" t="s">
        <x:v>21</x:v>
      </x:c>
      <x:c r="N5218" s="0" t="s">
        <x:v>46</x:v>
      </x:c>
    </x:row>
    <x:row r="5219" spans="1:16">
      <x:c r="A5219" s="0" t="s">
        <x:v>20727</x:v>
      </x:c>
      <x:c r="B5219" s="0" t="s">
        <x:v>20728</x:v>
      </x:c>
      <x:c r="C5219" s="0" t="s">
        <x:v>20729</x:v>
      </x:c>
      <x:c r="E5219" s="0" t="s">
        <x:v>20730</x:v>
      </x:c>
      <x:c r="F5219" s="0" t="s">
        <x:v>45</x:v>
      </x:c>
      <x:c r="G5219" s="0" t="s">
        <x:v>19</x:v>
      </x:c>
      <x:c r="H5219" s="0" t="s">
        <x:v>20</x:v>
      </x:c>
      <x:c r="I5219" s="0" t="s">
        <x:v>21</x:v>
      </x:c>
      <x:c r="K5219" s="0">
        <x:f>hyperlink("https://icd.who.int/dev11/l-ichi/en#/http%3A%2F%2Fid.who.int%2Ficd%2Fentity%2F729939217","browser")</x:f>
      </x:c>
      <x:c r="L5219" s="0">
        <x:f>hyperlink("https://icat2.azurewebsites.net/icat/?ontology=ICD&amp;tab=ClassesTab&amp;id=http%3A%2F%2Fwho.int%2Ficd%2328570_512ebf36_bf6b_4d70_85da_cf2637062af4","iCat")</x:f>
      </x:c>
      <x:c r="M5219" s="0" t="s">
        <x:v>21</x:v>
      </x:c>
      <x:c r="N5219" s="0" t="s">
        <x:v>46</x:v>
      </x:c>
    </x:row>
    <x:row r="5220" spans="1:16">
      <x:c r="A5220" s="0" t="s">
        <x:v>20731</x:v>
      </x:c>
      <x:c r="B5220" s="0" t="s">
        <x:v>20732</x:v>
      </x:c>
      <x:c r="C5220" s="0" t="s">
        <x:v>20733</x:v>
      </x:c>
      <x:c r="E5220" s="0" t="s">
        <x:v>20734</x:v>
      </x:c>
      <x:c r="F5220" s="0" t="s">
        <x:v>45</x:v>
      </x:c>
      <x:c r="G5220" s="0" t="s">
        <x:v>19</x:v>
      </x:c>
      <x:c r="H5220" s="0" t="s">
        <x:v>20</x:v>
      </x:c>
      <x:c r="I5220" s="0" t="s">
        <x:v>21</x:v>
      </x:c>
      <x:c r="K5220" s="0">
        <x:f>hyperlink("https://icd.who.int/dev11/l-ichi/en#/http%3A%2F%2Fid.who.int%2Ficd%2Fentity%2F1174011514","browser")</x:f>
      </x:c>
      <x:c r="L5220" s="0">
        <x:f>hyperlink("https://icat2.azurewebsites.net/icat/?ontology=ICD&amp;tab=ClassesTab&amp;id=http%3A%2F%2Fwho.int%2Ficd%2328579_512ebf36_bf6b_4d70_85da_cf2637062af4","iCat")</x:f>
      </x:c>
      <x:c r="M5220" s="0" t="s">
        <x:v>21</x:v>
      </x:c>
      <x:c r="N5220" s="0" t="s">
        <x:v>46</x:v>
      </x:c>
    </x:row>
    <x:row r="5221" spans="1:16">
      <x:c r="A5221" s="0" t="s">
        <x:v>20735</x:v>
      </x:c>
      <x:c r="B5221" s="0" t="s">
        <x:v>20736</x:v>
      </x:c>
      <x:c r="C5221" s="0" t="s">
        <x:v>20737</x:v>
      </x:c>
      <x:c r="E5221" s="0" t="s">
        <x:v>20738</x:v>
      </x:c>
      <x:c r="F5221" s="0" t="s">
        <x:v>45</x:v>
      </x:c>
      <x:c r="G5221" s="0" t="s">
        <x:v>19</x:v>
      </x:c>
      <x:c r="H5221" s="0" t="s">
        <x:v>20</x:v>
      </x:c>
      <x:c r="I5221" s="0" t="s">
        <x:v>21</x:v>
      </x:c>
      <x:c r="K5221" s="0">
        <x:f>hyperlink("https://icd.who.int/dev11/l-ichi/en#/http%3A%2F%2Fid.who.int%2Ficd%2Fentity%2F295174535","browser")</x:f>
      </x:c>
      <x:c r="L5221" s="0">
        <x:f>hyperlink("https://icat2.azurewebsites.net/icat/?ontology=ICD&amp;tab=ClassesTab&amp;id=http%3A%2F%2Fwho.int%2Ficd%2328585_512ebf36_bf6b_4d70_85da_cf2637062af4","iCat")</x:f>
      </x:c>
      <x:c r="M5221" s="0" t="s">
        <x:v>21</x:v>
      </x:c>
      <x:c r="N5221" s="0" t="s">
        <x:v>46</x:v>
      </x:c>
    </x:row>
    <x:row r="5222" spans="1:16">
      <x:c r="A5222" s="0" t="s">
        <x:v>20739</x:v>
      </x:c>
      <x:c r="B5222" s="0" t="s">
        <x:v>20740</x:v>
      </x:c>
      <x:c r="C5222" s="0" t="s">
        <x:v>20741</x:v>
      </x:c>
      <x:c r="E5222" s="0" t="s">
        <x:v>20742</x:v>
      </x:c>
      <x:c r="F5222" s="0" t="s">
        <x:v>45</x:v>
      </x:c>
      <x:c r="G5222" s="0" t="s">
        <x:v>19</x:v>
      </x:c>
      <x:c r="H5222" s="0" t="s">
        <x:v>20</x:v>
      </x:c>
      <x:c r="I5222" s="0" t="s">
        <x:v>21</x:v>
      </x:c>
      <x:c r="K5222" s="0">
        <x:f>hyperlink("https://icd.who.int/dev11/l-ichi/en#/http%3A%2F%2Fid.who.int%2Ficd%2Fentity%2F1680840100","browser")</x:f>
      </x:c>
      <x:c r="L5222" s="0">
        <x:f>hyperlink("https://icat2.azurewebsites.net/icat/?ontology=ICD&amp;tab=ClassesTab&amp;id=http%3A%2F%2Fwho.int%2Ficd%23209_ca295345_04da_4973_8b0f_7a84ba6d528f","iCat")</x:f>
      </x:c>
      <x:c r="M5222" s="0" t="s">
        <x:v>21</x:v>
      </x:c>
      <x:c r="N5222" s="0" t="s">
        <x:v>46</x:v>
      </x:c>
    </x:row>
    <x:row r="5223" spans="1:16">
      <x:c r="A5223" s="0" t="s">
        <x:v>20743</x:v>
      </x:c>
      <x:c r="B5223" s="0" t="s">
        <x:v>20744</x:v>
      </x:c>
      <x:c r="C5223" s="0" t="s">
        <x:v>20745</x:v>
      </x:c>
      <x:c r="E5223" s="0" t="s">
        <x:v>20746</x:v>
      </x:c>
      <x:c r="F5223" s="0" t="s">
        <x:v>45</x:v>
      </x:c>
      <x:c r="G5223" s="0" t="s">
        <x:v>19</x:v>
      </x:c>
      <x:c r="H5223" s="0" t="s">
        <x:v>20</x:v>
      </x:c>
      <x:c r="I5223" s="0" t="s">
        <x:v>21</x:v>
      </x:c>
      <x:c r="K5223" s="0">
        <x:f>hyperlink("https://icd.who.int/dev11/l-ichi/en#/http%3A%2F%2Fid.who.int%2Ficd%2Fentity%2F1970058708","browser")</x:f>
      </x:c>
      <x:c r="L5223" s="0">
        <x:f>hyperlink("https://icat2.azurewebsites.net/icat/?ontology=ICD&amp;tab=ClassesTab&amp;id=http%3A%2F%2Fwho.int%2Ficd%23215_ca295345_04da_4973_8b0f_7a84ba6d528f","iCat")</x:f>
      </x:c>
      <x:c r="M5223" s="0" t="s">
        <x:v>21</x:v>
      </x:c>
      <x:c r="N5223" s="0" t="s">
        <x:v>46</x:v>
      </x:c>
    </x:row>
    <x:row r="5224" spans="1:16">
      <x:c r="A5224" s="0" t="s">
        <x:v>20747</x:v>
      </x:c>
      <x:c r="B5224" s="0" t="s">
        <x:v>20748</x:v>
      </x:c>
      <x:c r="C5224" s="0" t="s">
        <x:v>20749</x:v>
      </x:c>
      <x:c r="E5224" s="0" t="s">
        <x:v>20750</x:v>
      </x:c>
      <x:c r="F5224" s="0" t="s">
        <x:v>45</x:v>
      </x:c>
      <x:c r="G5224" s="0" t="s">
        <x:v>19</x:v>
      </x:c>
      <x:c r="H5224" s="0" t="s">
        <x:v>20</x:v>
      </x:c>
      <x:c r="I5224" s="0" t="s">
        <x:v>21</x:v>
      </x:c>
      <x:c r="K5224" s="0">
        <x:f>hyperlink("https://icd.who.int/dev11/l-ichi/en#/http%3A%2F%2Fid.who.int%2Ficd%2Fentity%2F2069730512","browser")</x:f>
      </x:c>
      <x:c r="L5224" s="0">
        <x:f>hyperlink("https://icat2.azurewebsites.net/icat/?ontology=ICD&amp;tab=ClassesTab&amp;id=http%3A%2F%2Fwho.int%2Ficd%2328595_512ebf36_bf6b_4d70_85da_cf2637062af4","iCat")</x:f>
      </x:c>
      <x:c r="M5224" s="0" t="s">
        <x:v>21</x:v>
      </x:c>
      <x:c r="N5224" s="0" t="s">
        <x:v>46</x:v>
      </x:c>
    </x:row>
    <x:row r="5225" spans="1:16">
      <x:c r="A5225" s="0" t="s">
        <x:v>20751</x:v>
      </x:c>
      <x:c r="B5225" s="0" t="s">
        <x:v>20752</x:v>
      </x:c>
      <x:c r="C5225" s="0" t="s">
        <x:v>20753</x:v>
      </x:c>
      <x:c r="E5225" s="0" t="s">
        <x:v>20754</x:v>
      </x:c>
      <x:c r="F5225" s="0" t="s">
        <x:v>45</x:v>
      </x:c>
      <x:c r="G5225" s="0" t="s">
        <x:v>19</x:v>
      </x:c>
      <x:c r="H5225" s="0" t="s">
        <x:v>20</x:v>
      </x:c>
      <x:c r="I5225" s="0" t="s">
        <x:v>21</x:v>
      </x:c>
      <x:c r="K5225" s="0">
        <x:f>hyperlink("https://icd.who.int/dev11/l-ichi/en#/http%3A%2F%2Fid.who.int%2Ficd%2Fentity%2F1525753968","browser")</x:f>
      </x:c>
      <x:c r="L5225" s="0">
        <x:f>hyperlink("https://icat2.azurewebsites.net/icat/?ontology=ICD&amp;tab=ClassesTab&amp;id=http%3A%2F%2Fwho.int%2Ficd%2328601_512ebf36_bf6b_4d70_85da_cf2637062af4","iCat")</x:f>
      </x:c>
      <x:c r="M5225" s="0" t="s">
        <x:v>21</x:v>
      </x:c>
      <x:c r="N5225" s="0" t="s">
        <x:v>46</x:v>
      </x:c>
    </x:row>
    <x:row r="5226" spans="1:16">
      <x:c r="A5226" s="0" t="s">
        <x:v>20755</x:v>
      </x:c>
      <x:c r="B5226" s="0" t="s">
        <x:v>20756</x:v>
      </x:c>
      <x:c r="C5226" s="0" t="s">
        <x:v>20757</x:v>
      </x:c>
      <x:c r="E5226" s="0" t="s">
        <x:v>20758</x:v>
      </x:c>
      <x:c r="F5226" s="0" t="s">
        <x:v>45</x:v>
      </x:c>
      <x:c r="G5226" s="0" t="s">
        <x:v>19</x:v>
      </x:c>
      <x:c r="H5226" s="0" t="s">
        <x:v>20</x:v>
      </x:c>
      <x:c r="I5226" s="0" t="s">
        <x:v>21</x:v>
      </x:c>
      <x:c r="K5226" s="0">
        <x:f>hyperlink("https://icd.who.int/dev11/l-ichi/en#/http%3A%2F%2Fid.who.int%2Ficd%2Fentity%2F342907195","browser")</x:f>
      </x:c>
      <x:c r="L5226" s="0">
        <x:f>hyperlink("https://icat2.azurewebsites.net/icat/?ontology=ICD&amp;tab=ClassesTab&amp;id=http%3A%2F%2Fwho.int%2Ficd%2328609_512ebf36_bf6b_4d70_85da_cf2637062af4","iCat")</x:f>
      </x:c>
      <x:c r="M5226" s="0" t="s">
        <x:v>21</x:v>
      </x:c>
      <x:c r="N5226" s="0" t="s">
        <x:v>46</x:v>
      </x:c>
    </x:row>
    <x:row r="5227" spans="1:16">
      <x:c r="A5227" s="0" t="s">
        <x:v>20759</x:v>
      </x:c>
      <x:c r="B5227" s="0" t="s">
        <x:v>20760</x:v>
      </x:c>
      <x:c r="C5227" s="0" t="s">
        <x:v>20761</x:v>
      </x:c>
      <x:c r="E5227" s="0" t="s">
        <x:v>20762</x:v>
      </x:c>
      <x:c r="F5227" s="0" t="s">
        <x:v>45</x:v>
      </x:c>
      <x:c r="G5227" s="0" t="s">
        <x:v>19</x:v>
      </x:c>
      <x:c r="H5227" s="0" t="s">
        <x:v>20</x:v>
      </x:c>
      <x:c r="I5227" s="0" t="s">
        <x:v>21</x:v>
      </x:c>
      <x:c r="K5227" s="0">
        <x:f>hyperlink("https://icd.who.int/dev11/l-ichi/en#/http%3A%2F%2Fid.who.int%2Ficd%2Fentity%2F87259469","browser")</x:f>
      </x:c>
      <x:c r="L5227" s="0">
        <x:f>hyperlink("https://icat2.azurewebsites.net/icat/?ontology=ICD&amp;tab=ClassesTab&amp;id=http%3A%2F%2Fwho.int%2Ficd%2328615_512ebf36_bf6b_4d70_85da_cf2637062af4","iCat")</x:f>
      </x:c>
      <x:c r="M5227" s="0" t="s">
        <x:v>21</x:v>
      </x:c>
      <x:c r="N5227" s="0" t="s">
        <x:v>46</x:v>
      </x:c>
    </x:row>
    <x:row r="5228" spans="1:16">
      <x:c r="A5228" s="0" t="s">
        <x:v>20763</x:v>
      </x:c>
      <x:c r="B5228" s="0" t="s">
        <x:v>20764</x:v>
      </x:c>
      <x:c r="C5228" s="0" t="s">
        <x:v>20765</x:v>
      </x:c>
      <x:c r="E5228" s="0" t="s">
        <x:v>20766</x:v>
      </x:c>
      <x:c r="F5228" s="0" t="s">
        <x:v>45</x:v>
      </x:c>
      <x:c r="G5228" s="0" t="s">
        <x:v>19</x:v>
      </x:c>
      <x:c r="H5228" s="0" t="s">
        <x:v>20</x:v>
      </x:c>
      <x:c r="I5228" s="0" t="s">
        <x:v>21</x:v>
      </x:c>
      <x:c r="K5228" s="0">
        <x:f>hyperlink("https://icd.who.int/dev11/l-ichi/en#/http%3A%2F%2Fid.who.int%2Ficd%2Fentity%2F889230023","browser")</x:f>
      </x:c>
      <x:c r="L5228" s="0">
        <x:f>hyperlink("https://icat2.azurewebsites.net/icat/?ontology=ICD&amp;tab=ClassesTab&amp;id=http%3A%2F%2Fwho.int%2Ficd%2328622_512ebf36_bf6b_4d70_85da_cf2637062af4","iCat")</x:f>
      </x:c>
      <x:c r="M5228" s="0" t="s">
        <x:v>21</x:v>
      </x:c>
      <x:c r="N5228" s="0" t="s">
        <x:v>46</x:v>
      </x:c>
    </x:row>
    <x:row r="5229" spans="1:16">
      <x:c r="A5229" s="0" t="s">
        <x:v>20767</x:v>
      </x:c>
      <x:c r="B5229" s="0" t="s">
        <x:v>20768</x:v>
      </x:c>
      <x:c r="C5229" s="0" t="s">
        <x:v>20769</x:v>
      </x:c>
      <x:c r="E5229" s="0" t="s">
        <x:v>20770</x:v>
      </x:c>
      <x:c r="F5229" s="0" t="s">
        <x:v>45</x:v>
      </x:c>
      <x:c r="G5229" s="0" t="s">
        <x:v>19</x:v>
      </x:c>
      <x:c r="H5229" s="0" t="s">
        <x:v>20</x:v>
      </x:c>
      <x:c r="I5229" s="0" t="s">
        <x:v>21</x:v>
      </x:c>
      <x:c r="K5229" s="0">
        <x:f>hyperlink("https://icd.who.int/dev11/l-ichi/en#/http%3A%2F%2Fid.who.int%2Ficd%2Fentity%2F985209429","browser")</x:f>
      </x:c>
      <x:c r="L5229" s="0">
        <x:f>hyperlink("https://icat2.azurewebsites.net/icat/?ontology=ICD&amp;tab=ClassesTab&amp;id=http%3A%2F%2Fwho.int%2Ficd%2328630_512ebf36_bf6b_4d70_85da_cf2637062af4","iCat")</x:f>
      </x:c>
      <x:c r="M5229" s="0" t="s">
        <x:v>21</x:v>
      </x:c>
      <x:c r="N5229" s="0" t="s">
        <x:v>46</x:v>
      </x:c>
    </x:row>
    <x:row r="5230" spans="1:16">
      <x:c r="A5230" s="0" t="s">
        <x:v>20771</x:v>
      </x:c>
      <x:c r="B5230" s="0" t="s">
        <x:v>20772</x:v>
      </x:c>
      <x:c r="C5230" s="0" t="s">
        <x:v>20773</x:v>
      </x:c>
      <x:c r="E5230" s="0" t="s">
        <x:v>20774</x:v>
      </x:c>
      <x:c r="F5230" s="0" t="s">
        <x:v>45</x:v>
      </x:c>
      <x:c r="G5230" s="0" t="s">
        <x:v>19</x:v>
      </x:c>
      <x:c r="H5230" s="0" t="s">
        <x:v>20</x:v>
      </x:c>
      <x:c r="I5230" s="0" t="s">
        <x:v>21</x:v>
      </x:c>
      <x:c r="K5230" s="0">
        <x:f>hyperlink("https://icd.who.int/dev11/l-ichi/en#/http%3A%2F%2Fid.who.int%2Ficd%2Fentity%2F1421941052","browser")</x:f>
      </x:c>
      <x:c r="L5230" s="0">
        <x:f>hyperlink("https://icat2.azurewebsites.net/icat/?ontology=ICD&amp;tab=ClassesTab&amp;id=http%3A%2F%2Fwho.int%2Ficd%2328639_512ebf36_bf6b_4d70_85da_cf2637062af4","iCat")</x:f>
      </x:c>
      <x:c r="M5230" s="0" t="s">
        <x:v>21</x:v>
      </x:c>
      <x:c r="N5230" s="0" t="s">
        <x:v>46</x:v>
      </x:c>
    </x:row>
    <x:row r="5231" spans="1:16">
      <x:c r="A5231" s="0" t="s">
        <x:v>20775</x:v>
      </x:c>
      <x:c r="B5231" s="0" t="s">
        <x:v>20776</x:v>
      </x:c>
      <x:c r="C5231" s="0" t="s">
        <x:v>20777</x:v>
      </x:c>
      <x:c r="E5231" s="0" t="s">
        <x:v>20778</x:v>
      </x:c>
      <x:c r="F5231" s="0" t="s">
        <x:v>45</x:v>
      </x:c>
      <x:c r="G5231" s="0" t="s">
        <x:v>19</x:v>
      </x:c>
      <x:c r="H5231" s="0" t="s">
        <x:v>20</x:v>
      </x:c>
      <x:c r="I5231" s="0" t="s">
        <x:v>21</x:v>
      </x:c>
      <x:c r="K5231" s="0">
        <x:f>hyperlink("https://icd.who.int/dev11/l-ichi/en#/http%3A%2F%2Fid.who.int%2Ficd%2Fentity%2F2135420685","browser")</x:f>
      </x:c>
      <x:c r="L5231" s="0">
        <x:f>hyperlink("https://icat2.azurewebsites.net/icat/?ontology=ICD&amp;tab=ClassesTab&amp;id=http%3A%2F%2Fwho.int%2Ficd%23139_bdd70b8e_8a2a_40a7_80ae_a6a41ed79fbc","iCat")</x:f>
      </x:c>
      <x:c r="M5231" s="0" t="s">
        <x:v>21</x:v>
      </x:c>
      <x:c r="N5231" s="0" t="s">
        <x:v>46</x:v>
      </x:c>
    </x:row>
    <x:row r="5232" spans="1:16">
      <x:c r="A5232" s="0" t="s">
        <x:v>20779</x:v>
      </x:c>
      <x:c r="B5232" s="0" t="s">
        <x:v>20780</x:v>
      </x:c>
      <x:c r="C5232" s="0" t="s">
        <x:v>20781</x:v>
      </x:c>
      <x:c r="E5232" s="0" t="s">
        <x:v>20782</x:v>
      </x:c>
      <x:c r="F5232" s="0" t="s">
        <x:v>45</x:v>
      </x:c>
      <x:c r="G5232" s="0" t="s">
        <x:v>19</x:v>
      </x:c>
      <x:c r="H5232" s="0" t="s">
        <x:v>20</x:v>
      </x:c>
      <x:c r="I5232" s="0" t="s">
        <x:v>21</x:v>
      </x:c>
      <x:c r="K5232" s="0">
        <x:f>hyperlink("https://icd.who.int/dev11/l-ichi/en#/http%3A%2F%2Fid.who.int%2Ficd%2Fentity%2F1679231528","browser")</x:f>
      </x:c>
      <x:c r="L5232" s="0">
        <x:f>hyperlink("https://icat2.azurewebsites.net/icat/?ontology=ICD&amp;tab=ClassesTab&amp;id=http%3A%2F%2Fwho.int%2Ficd%2328649_512ebf36_bf6b_4d70_85da_cf2637062af4","iCat")</x:f>
      </x:c>
      <x:c r="M5232" s="0" t="s">
        <x:v>21</x:v>
      </x:c>
      <x:c r="N5232" s="0" t="s">
        <x:v>46</x:v>
      </x:c>
    </x:row>
    <x:row r="5233" spans="1:16">
      <x:c r="A5233" s="0" t="s">
        <x:v>20783</x:v>
      </x:c>
      <x:c r="B5233" s="0" t="s">
        <x:v>20784</x:v>
      </x:c>
      <x:c r="C5233" s="0" t="s">
        <x:v>20785</x:v>
      </x:c>
      <x:c r="E5233" s="0" t="s">
        <x:v>20786</x:v>
      </x:c>
      <x:c r="F5233" s="0" t="s">
        <x:v>45</x:v>
      </x:c>
      <x:c r="G5233" s="0" t="s">
        <x:v>19</x:v>
      </x:c>
      <x:c r="H5233" s="0" t="s">
        <x:v>20</x:v>
      </x:c>
      <x:c r="I5233" s="0" t="s">
        <x:v>21</x:v>
      </x:c>
      <x:c r="K5233" s="0">
        <x:f>hyperlink("https://icd.who.int/dev11/l-ichi/en#/http%3A%2F%2Fid.who.int%2Ficd%2Fentity%2F819021225","browser")</x:f>
      </x:c>
      <x:c r="L5233" s="0">
        <x:f>hyperlink("https://icat2.azurewebsites.net/icat/?ontology=ICD&amp;tab=ClassesTab&amp;id=http%3A%2F%2Fwho.int%2Ficd%2328656_512ebf36_bf6b_4d70_85da_cf2637062af4","iCat")</x:f>
      </x:c>
      <x:c r="M5233" s="0" t="s">
        <x:v>21</x:v>
      </x:c>
      <x:c r="N5233" s="0" t="s">
        <x:v>46</x:v>
      </x:c>
    </x:row>
    <x:row r="5234" spans="1:16">
      <x:c r="A5234" s="0" t="s">
        <x:v>20787</x:v>
      </x:c>
      <x:c r="B5234" s="0" t="s">
        <x:v>20788</x:v>
      </x:c>
      <x:c r="C5234" s="0" t="s">
        <x:v>20789</x:v>
      </x:c>
      <x:c r="E5234" s="0" t="s">
        <x:v>20790</x:v>
      </x:c>
      <x:c r="F5234" s="0" t="s">
        <x:v>45</x:v>
      </x:c>
      <x:c r="G5234" s="0" t="s">
        <x:v>19</x:v>
      </x:c>
      <x:c r="H5234" s="0" t="s">
        <x:v>20</x:v>
      </x:c>
      <x:c r="I5234" s="0" t="s">
        <x:v>21</x:v>
      </x:c>
      <x:c r="K5234" s="0">
        <x:f>hyperlink("https://icd.who.int/dev11/l-ichi/en#/http%3A%2F%2Fid.who.int%2Ficd%2Fentity%2F1164427740","browser")</x:f>
      </x:c>
      <x:c r="L5234" s="0">
        <x:f>hyperlink("https://icat2.azurewebsites.net/icat/?ontology=ICD&amp;tab=ClassesTab&amp;id=http%3A%2F%2Fwho.int%2Ficd%2328662_512ebf36_bf6b_4d70_85da_cf2637062af4","iCat")</x:f>
      </x:c>
      <x:c r="M5234" s="0" t="s">
        <x:v>21</x:v>
      </x:c>
      <x:c r="N5234" s="0" t="s">
        <x:v>46</x:v>
      </x:c>
    </x:row>
    <x:row r="5235" spans="1:16">
      <x:c r="A5235" s="0" t="s">
        <x:v>20791</x:v>
      </x:c>
      <x:c r="B5235" s="0" t="s">
        <x:v>20792</x:v>
      </x:c>
      <x:c r="C5235" s="0" t="s">
        <x:v>20793</x:v>
      </x:c>
      <x:c r="E5235" s="0" t="s">
        <x:v>20794</x:v>
      </x:c>
      <x:c r="F5235" s="0" t="s">
        <x:v>45</x:v>
      </x:c>
      <x:c r="G5235" s="0" t="s">
        <x:v>19</x:v>
      </x:c>
      <x:c r="H5235" s="0" t="s">
        <x:v>20</x:v>
      </x:c>
      <x:c r="I5235" s="0" t="s">
        <x:v>21</x:v>
      </x:c>
      <x:c r="K5235" s="0">
        <x:f>hyperlink("https://icd.who.int/dev11/l-ichi/en#/http%3A%2F%2Fid.who.int%2Ficd%2Fentity%2F1855630668","browser")</x:f>
      </x:c>
      <x:c r="L5235" s="0">
        <x:f>hyperlink("https://icat2.azurewebsites.net/icat/?ontology=ICD&amp;tab=ClassesTab&amp;id=http%3A%2F%2Fwho.int%2Ficd%2328668_512ebf36_bf6b_4d70_85da_cf2637062af4","iCat")</x:f>
      </x:c>
      <x:c r="M5235" s="0" t="s">
        <x:v>21</x:v>
      </x:c>
      <x:c r="N5235" s="0" t="s">
        <x:v>46</x:v>
      </x:c>
    </x:row>
    <x:row r="5236" spans="1:16">
      <x:c r="A5236" s="0" t="s">
        <x:v>20795</x:v>
      </x:c>
      <x:c r="B5236" s="0" t="s">
        <x:v>20796</x:v>
      </x:c>
      <x:c r="C5236" s="0" t="s">
        <x:v>20797</x:v>
      </x:c>
      <x:c r="E5236" s="0" t="s">
        <x:v>20798</x:v>
      </x:c>
      <x:c r="F5236" s="0" t="s">
        <x:v>45</x:v>
      </x:c>
      <x:c r="G5236" s="0" t="s">
        <x:v>19</x:v>
      </x:c>
      <x:c r="H5236" s="0" t="s">
        <x:v>20</x:v>
      </x:c>
      <x:c r="I5236" s="0" t="s">
        <x:v>21</x:v>
      </x:c>
      <x:c r="K5236" s="0">
        <x:f>hyperlink("https://icd.who.int/dev11/l-ichi/en#/http%3A%2F%2Fid.who.int%2Ficd%2Fentity%2F2144963900","browser")</x:f>
      </x:c>
      <x:c r="L5236" s="0">
        <x:f>hyperlink("https://icat2.azurewebsites.net/icat/?ontology=ICD&amp;tab=ClassesTab&amp;id=http%3A%2F%2Fwho.int%2Ficd%2328674_512ebf36_bf6b_4d70_85da_cf2637062af4","iCat")</x:f>
      </x:c>
      <x:c r="M5236" s="0" t="s">
        <x:v>21</x:v>
      </x:c>
      <x:c r="N5236" s="0" t="s">
        <x:v>46</x:v>
      </x:c>
    </x:row>
    <x:row r="5237" spans="1:16">
      <x:c r="A5237" s="0" t="s">
        <x:v>20799</x:v>
      </x:c>
      <x:c r="B5237" s="0" t="s">
        <x:v>20800</x:v>
      </x:c>
      <x:c r="C5237" s="0" t="s">
        <x:v>20801</x:v>
      </x:c>
      <x:c r="E5237" s="0" t="s">
        <x:v>20802</x:v>
      </x:c>
      <x:c r="F5237" s="0" t="s">
        <x:v>45</x:v>
      </x:c>
      <x:c r="G5237" s="0" t="s">
        <x:v>19</x:v>
      </x:c>
      <x:c r="H5237" s="0" t="s">
        <x:v>20</x:v>
      </x:c>
      <x:c r="I5237" s="0" t="s">
        <x:v>21</x:v>
      </x:c>
      <x:c r="K5237" s="0">
        <x:f>hyperlink("https://icd.who.int/dev11/l-ichi/en#/http%3A%2F%2Fid.who.int%2Ficd%2Fentity%2F1170239914","browser")</x:f>
      </x:c>
      <x:c r="L5237" s="0">
        <x:f>hyperlink("https://icat2.azurewebsites.net/icat/?ontology=ICD&amp;tab=ClassesTab&amp;id=http%3A%2F%2Fwho.int%2Ficd%2328681_512ebf36_bf6b_4d70_85da_cf2637062af4","iCat")</x:f>
      </x:c>
      <x:c r="M5237" s="0" t="s">
        <x:v>21</x:v>
      </x:c>
      <x:c r="N5237" s="0" t="s">
        <x:v>46</x:v>
      </x:c>
    </x:row>
    <x:row r="5238" spans="1:16">
      <x:c r="A5238" s="0" t="s">
        <x:v>20803</x:v>
      </x:c>
      <x:c r="B5238" s="0" t="s">
        <x:v>20804</x:v>
      </x:c>
      <x:c r="C5238" s="0" t="s">
        <x:v>20805</x:v>
      </x:c>
      <x:c r="E5238" s="0" t="s">
        <x:v>20806</x:v>
      </x:c>
      <x:c r="F5238" s="0" t="s">
        <x:v>45</x:v>
      </x:c>
      <x:c r="G5238" s="0" t="s">
        <x:v>19</x:v>
      </x:c>
      <x:c r="H5238" s="0" t="s">
        <x:v>20</x:v>
      </x:c>
      <x:c r="I5238" s="0" t="s">
        <x:v>21</x:v>
      </x:c>
      <x:c r="K5238" s="0">
        <x:f>hyperlink("https://icd.who.int/dev11/l-ichi/en#/http%3A%2F%2Fid.who.int%2Ficd%2Fentity%2F268211905","browser")</x:f>
      </x:c>
      <x:c r="L5238" s="0">
        <x:f>hyperlink("https://icat2.azurewebsites.net/icat/?ontology=ICD&amp;tab=ClassesTab&amp;id=http%3A%2F%2Fwho.int%2Ficd%2328690_512ebf36_bf6b_4d70_85da_cf2637062af4","iCat")</x:f>
      </x:c>
      <x:c r="M5238" s="0" t="s">
        <x:v>21</x:v>
      </x:c>
      <x:c r="N5238" s="0" t="s">
        <x:v>46</x:v>
      </x:c>
    </x:row>
    <x:row r="5239" spans="1:16">
      <x:c r="A5239" s="0" t="s">
        <x:v>20807</x:v>
      </x:c>
      <x:c r="B5239" s="0" t="s">
        <x:v>20808</x:v>
      </x:c>
      <x:c r="C5239" s="0" t="s">
        <x:v>20809</x:v>
      </x:c>
      <x:c r="E5239" s="0" t="s">
        <x:v>20810</x:v>
      </x:c>
      <x:c r="F5239" s="0" t="s">
        <x:v>45</x:v>
      </x:c>
      <x:c r="G5239" s="0" t="s">
        <x:v>19</x:v>
      </x:c>
      <x:c r="H5239" s="0" t="s">
        <x:v>20</x:v>
      </x:c>
      <x:c r="I5239" s="0" t="s">
        <x:v>21</x:v>
      </x:c>
      <x:c r="K5239" s="0">
        <x:f>hyperlink("https://icd.who.int/dev11/l-ichi/en#/http%3A%2F%2Fid.who.int%2Ficd%2Fentity%2F525129747","browser")</x:f>
      </x:c>
      <x:c r="L5239" s="0">
        <x:f>hyperlink("https://icat2.azurewebsites.net/icat/?ontology=ICD&amp;tab=ClassesTab&amp;id=http%3A%2F%2Fwho.int%2Ficd%23242_ca295345_04da_4973_8b0f_7a84ba6d528f","iCat")</x:f>
      </x:c>
      <x:c r="M5239" s="0" t="s">
        <x:v>21</x:v>
      </x:c>
      <x:c r="N5239" s="0" t="s">
        <x:v>46</x:v>
      </x:c>
    </x:row>
    <x:row r="5240" spans="1:16">
      <x:c r="A5240" s="0" t="s">
        <x:v>20811</x:v>
      </x:c>
      <x:c r="B5240" s="0" t="s">
        <x:v>20812</x:v>
      </x:c>
      <x:c r="C5240" s="0" t="s">
        <x:v>20813</x:v>
      </x:c>
      <x:c r="E5240" s="0" t="s">
        <x:v>20814</x:v>
      </x:c>
      <x:c r="F5240" s="0" t="s">
        <x:v>45</x:v>
      </x:c>
      <x:c r="G5240" s="0" t="s">
        <x:v>19</x:v>
      </x:c>
      <x:c r="H5240" s="0" t="s">
        <x:v>20</x:v>
      </x:c>
      <x:c r="I5240" s="0" t="s">
        <x:v>21</x:v>
      </x:c>
      <x:c r="K5240" s="0">
        <x:f>hyperlink("https://icd.who.int/dev11/l-ichi/en#/http%3A%2F%2Fid.who.int%2Ficd%2Fentity%2F261594319","browser")</x:f>
      </x:c>
      <x:c r="L5240" s="0">
        <x:f>hyperlink("https://icat2.azurewebsites.net/icat/?ontology=ICD&amp;tab=ClassesTab&amp;id=http%3A%2F%2Fwho.int%2Ficd%2328700_512ebf36_bf6b_4d70_85da_cf2637062af4","iCat")</x:f>
      </x:c>
      <x:c r="M5240" s="0" t="s">
        <x:v>21</x:v>
      </x:c>
      <x:c r="N5240" s="0" t="s">
        <x:v>46</x:v>
      </x:c>
    </x:row>
    <x:row r="5241" spans="1:16">
      <x:c r="A5241" s="0" t="s">
        <x:v>20815</x:v>
      </x:c>
      <x:c r="B5241" s="0" t="s">
        <x:v>20816</x:v>
      </x:c>
      <x:c r="C5241" s="0" t="s">
        <x:v>20817</x:v>
      </x:c>
      <x:c r="E5241" s="0" t="s">
        <x:v>20818</x:v>
      </x:c>
      <x:c r="F5241" s="0" t="s">
        <x:v>45</x:v>
      </x:c>
      <x:c r="G5241" s="0" t="s">
        <x:v>19</x:v>
      </x:c>
      <x:c r="H5241" s="0" t="s">
        <x:v>20</x:v>
      </x:c>
      <x:c r="I5241" s="0" t="s">
        <x:v>21</x:v>
      </x:c>
      <x:c r="K5241" s="0">
        <x:f>hyperlink("https://icd.who.int/dev11/l-ichi/en#/http%3A%2F%2Fid.who.int%2Ficd%2Fentity%2F1609319808","browser")</x:f>
      </x:c>
      <x:c r="L5241" s="0">
        <x:f>hyperlink("https://icat2.azurewebsites.net/icat/?ontology=ICD&amp;tab=ClassesTab&amp;id=http%3A%2F%2Fwho.int%2Ficd%2328706_512ebf36_bf6b_4d70_85da_cf2637062af4","iCat")</x:f>
      </x:c>
      <x:c r="M5241" s="0" t="s">
        <x:v>21</x:v>
      </x:c>
      <x:c r="N5241" s="0" t="s">
        <x:v>46</x:v>
      </x:c>
    </x:row>
    <x:row r="5242" spans="1:16">
      <x:c r="A5242" s="0" t="s">
        <x:v>20819</x:v>
      </x:c>
      <x:c r="B5242" s="0" t="s">
        <x:v>20820</x:v>
      </x:c>
      <x:c r="C5242" s="0" t="s">
        <x:v>20821</x:v>
      </x:c>
      <x:c r="E5242" s="0" t="s">
        <x:v>20822</x:v>
      </x:c>
      <x:c r="F5242" s="0" t="s">
        <x:v>45</x:v>
      </x:c>
      <x:c r="G5242" s="0" t="s">
        <x:v>19</x:v>
      </x:c>
      <x:c r="H5242" s="0" t="s">
        <x:v>20</x:v>
      </x:c>
      <x:c r="I5242" s="0" t="s">
        <x:v>21</x:v>
      </x:c>
      <x:c r="K5242" s="0">
        <x:f>hyperlink("https://icd.who.int/dev11/l-ichi/en#/http%3A%2F%2Fid.who.int%2Ficd%2Fentity%2F3019869","browser")</x:f>
      </x:c>
      <x:c r="L5242" s="0">
        <x:f>hyperlink("https://icat2.azurewebsites.net/icat/?ontology=ICD&amp;tab=ClassesTab&amp;id=http%3A%2F%2Fwho.int%2Ficd%2328712_512ebf36_bf6b_4d70_85da_cf2637062af4","iCat")</x:f>
      </x:c>
      <x:c r="M5242" s="0" t="s">
        <x:v>21</x:v>
      </x:c>
      <x:c r="N5242" s="0" t="s">
        <x:v>46</x:v>
      </x:c>
    </x:row>
    <x:row r="5243" spans="1:16">
      <x:c r="A5243" s="0" t="s">
        <x:v>20823</x:v>
      </x:c>
      <x:c r="B5243" s="0" t="s">
        <x:v>20824</x:v>
      </x:c>
      <x:c r="C5243" s="0" t="s">
        <x:v>20825</x:v>
      </x:c>
      <x:c r="E5243" s="0" t="s">
        <x:v>20826</x:v>
      </x:c>
      <x:c r="F5243" s="0" t="s">
        <x:v>45</x:v>
      </x:c>
      <x:c r="G5243" s="0" t="s">
        <x:v>19</x:v>
      </x:c>
      <x:c r="H5243" s="0" t="s">
        <x:v>20</x:v>
      </x:c>
      <x:c r="I5243" s="0" t="s">
        <x:v>21</x:v>
      </x:c>
      <x:c r="K5243" s="0">
        <x:f>hyperlink("https://icd.who.int/dev11/l-ichi/en#/http%3A%2F%2Fid.who.int%2Ficd%2Fentity%2F187304689","browser")</x:f>
      </x:c>
      <x:c r="L5243" s="0">
        <x:f>hyperlink("https://icat2.azurewebsites.net/icat/?ontology=ICD&amp;tab=ClassesTab&amp;id=http%3A%2F%2Fwho.int%2Ficd%2328719_512ebf36_bf6b_4d70_85da_cf2637062af4","iCat")</x:f>
      </x:c>
      <x:c r="M5243" s="0" t="s">
        <x:v>21</x:v>
      </x:c>
      <x:c r="N5243" s="0" t="s">
        <x:v>46</x:v>
      </x:c>
    </x:row>
    <x:row r="5244" spans="1:16">
      <x:c r="A5244" s="0" t="s">
        <x:v>20827</x:v>
      </x:c>
      <x:c r="B5244" s="0" t="s">
        <x:v>20828</x:v>
      </x:c>
      <x:c r="C5244" s="0" t="s">
        <x:v>20829</x:v>
      </x:c>
      <x:c r="E5244" s="0" t="s">
        <x:v>20830</x:v>
      </x:c>
      <x:c r="F5244" s="0" t="s">
        <x:v>45</x:v>
      </x:c>
      <x:c r="G5244" s="0" t="s">
        <x:v>19</x:v>
      </x:c>
      <x:c r="H5244" s="0" t="s">
        <x:v>20</x:v>
      </x:c>
      <x:c r="I5244" s="0" t="s">
        <x:v>21</x:v>
      </x:c>
      <x:c r="K5244" s="0">
        <x:f>hyperlink("https://icd.who.int/dev11/l-ichi/en#/http%3A%2F%2Fid.who.int%2Ficd%2Fentity%2F807272407","browser")</x:f>
      </x:c>
      <x:c r="L5244" s="0">
        <x:f>hyperlink("https://icat2.azurewebsites.net/icat/?ontology=ICD&amp;tab=ClassesTab&amp;id=http%3A%2F%2Fwho.int%2Ficd%2328725_512ebf36_bf6b_4d70_85da_cf2637062af4","iCat")</x:f>
      </x:c>
      <x:c r="M5244" s="0" t="s">
        <x:v>21</x:v>
      </x:c>
      <x:c r="N5244" s="0" t="s">
        <x:v>46</x:v>
      </x:c>
    </x:row>
    <x:row r="5245" spans="1:16">
      <x:c r="A5245" s="0" t="s">
        <x:v>20831</x:v>
      </x:c>
      <x:c r="B5245" s="0" t="s">
        <x:v>20832</x:v>
      </x:c>
      <x:c r="C5245" s="0" t="s">
        <x:v>20833</x:v>
      </x:c>
      <x:c r="E5245" s="0" t="s">
        <x:v>20834</x:v>
      </x:c>
      <x:c r="F5245" s="0" t="s">
        <x:v>45</x:v>
      </x:c>
      <x:c r="G5245" s="0" t="s">
        <x:v>19</x:v>
      </x:c>
      <x:c r="H5245" s="0" t="s">
        <x:v>20</x:v>
      </x:c>
      <x:c r="I5245" s="0" t="s">
        <x:v>21</x:v>
      </x:c>
      <x:c r="K5245" s="0">
        <x:f>hyperlink("https://icd.who.int/dev11/l-ichi/en#/http%3A%2F%2Fid.who.int%2Ficd%2Fentity%2F1876930292","browser")</x:f>
      </x:c>
      <x:c r="L5245" s="0">
        <x:f>hyperlink("https://icat2.azurewebsites.net/icat/?ontology=ICD&amp;tab=ClassesTab&amp;id=http%3A%2F%2Fwho.int%2Ficd%2328731_512ebf36_bf6b_4d70_85da_cf2637062af4","iCat")</x:f>
      </x:c>
      <x:c r="M5245" s="0" t="s">
        <x:v>21</x:v>
      </x:c>
      <x:c r="N5245" s="0" t="s">
        <x:v>46</x:v>
      </x:c>
    </x:row>
    <x:row r="5246" spans="1:16">
      <x:c r="A5246" s="0" t="s">
        <x:v>20835</x:v>
      </x:c>
      <x:c r="B5246" s="0" t="s">
        <x:v>20836</x:v>
      </x:c>
      <x:c r="C5246" s="0" t="s">
        <x:v>20837</x:v>
      </x:c>
      <x:c r="E5246" s="0" t="s">
        <x:v>20838</x:v>
      </x:c>
      <x:c r="F5246" s="0" t="s">
        <x:v>45</x:v>
      </x:c>
      <x:c r="G5246" s="0" t="s">
        <x:v>19</x:v>
      </x:c>
      <x:c r="H5246" s="0" t="s">
        <x:v>20</x:v>
      </x:c>
      <x:c r="I5246" s="0" t="s">
        <x:v>21</x:v>
      </x:c>
      <x:c r="K5246" s="0">
        <x:f>hyperlink("https://icd.who.int/dev11/l-ichi/en#/http%3A%2F%2Fid.who.int%2Ficd%2Fentity%2F1067743045","browser")</x:f>
      </x:c>
      <x:c r="L5246" s="0">
        <x:f>hyperlink("https://icat2.azurewebsites.net/icat/?ontology=ICD&amp;tab=ClassesTab&amp;id=http%3A%2F%2Fwho.int%2Ficd%2328737_512ebf36_bf6b_4d70_85da_cf2637062af4","iCat")</x:f>
      </x:c>
      <x:c r="M5246" s="0" t="s">
        <x:v>21</x:v>
      </x:c>
      <x:c r="N5246" s="0" t="s">
        <x:v>46</x:v>
      </x:c>
    </x:row>
    <x:row r="5247" spans="1:16">
      <x:c r="A5247" s="0" t="s">
        <x:v>20839</x:v>
      </x:c>
      <x:c r="B5247" s="0" t="s">
        <x:v>20840</x:v>
      </x:c>
      <x:c r="C5247" s="0" t="s">
        <x:v>20841</x:v>
      </x:c>
      <x:c r="E5247" s="0" t="s">
        <x:v>20842</x:v>
      </x:c>
      <x:c r="F5247" s="0" t="s">
        <x:v>45</x:v>
      </x:c>
      <x:c r="G5247" s="0" t="s">
        <x:v>19</x:v>
      </x:c>
      <x:c r="H5247" s="0" t="s">
        <x:v>20</x:v>
      </x:c>
      <x:c r="I5247" s="0" t="s">
        <x:v>21</x:v>
      </x:c>
      <x:c r="K5247" s="0">
        <x:f>hyperlink("https://icd.who.int/dev11/l-ichi/en#/http%3A%2F%2Fid.who.int%2Ficd%2Fentity%2F980787243","browser")</x:f>
      </x:c>
      <x:c r="L5247" s="0">
        <x:f>hyperlink("https://icat2.azurewebsites.net/icat/?ontology=ICD&amp;tab=ClassesTab&amp;id=http%3A%2F%2Fwho.int%2Ficd%2328743_512ebf36_bf6b_4d70_85da_cf2637062af4","iCat")</x:f>
      </x:c>
      <x:c r="M5247" s="0" t="s">
        <x:v>21</x:v>
      </x:c>
      <x:c r="N5247" s="0" t="s">
        <x:v>46</x:v>
      </x:c>
    </x:row>
    <x:row r="5248" spans="1:16">
      <x:c r="A5248" s="0" t="s">
        <x:v>20843</x:v>
      </x:c>
      <x:c r="B5248" s="0" t="s">
        <x:v>20844</x:v>
      </x:c>
      <x:c r="C5248" s="0" t="s">
        <x:v>20845</x:v>
      </x:c>
      <x:c r="E5248" s="0" t="s">
        <x:v>20846</x:v>
      </x:c>
      <x:c r="F5248" s="0" t="s">
        <x:v>45</x:v>
      </x:c>
      <x:c r="G5248" s="0" t="s">
        <x:v>19</x:v>
      </x:c>
      <x:c r="H5248" s="0" t="s">
        <x:v>20</x:v>
      </x:c>
      <x:c r="I5248" s="0" t="s">
        <x:v>21</x:v>
      </x:c>
      <x:c r="K5248" s="0">
        <x:f>hyperlink("https://icd.who.int/dev11/l-ichi/en#/http%3A%2F%2Fid.who.int%2Ficd%2Fentity%2F355818117","browser")</x:f>
      </x:c>
      <x:c r="L5248" s="0">
        <x:f>hyperlink("https://icat2.azurewebsites.net/icat/?ontology=ICD&amp;tab=ClassesTab&amp;id=http%3A%2F%2Fwho.int%2Ficd%2328750_512ebf36_bf6b_4d70_85da_cf2637062af4","iCat")</x:f>
      </x:c>
      <x:c r="M5248" s="0" t="s">
        <x:v>21</x:v>
      </x:c>
      <x:c r="N5248" s="0" t="s">
        <x:v>46</x:v>
      </x:c>
    </x:row>
    <x:row r="5249" spans="1:16">
      <x:c r="A5249" s="0" t="s">
        <x:v>20847</x:v>
      </x:c>
      <x:c r="B5249" s="0" t="s">
        <x:v>20848</x:v>
      </x:c>
      <x:c r="C5249" s="0" t="s">
        <x:v>20849</x:v>
      </x:c>
      <x:c r="E5249" s="0" t="s">
        <x:v>20850</x:v>
      </x:c>
      <x:c r="F5249" s="0" t="s">
        <x:v>45</x:v>
      </x:c>
      <x:c r="G5249" s="0" t="s">
        <x:v>19</x:v>
      </x:c>
      <x:c r="H5249" s="0" t="s">
        <x:v>20</x:v>
      </x:c>
      <x:c r="I5249" s="0" t="s">
        <x:v>21</x:v>
      </x:c>
      <x:c r="K5249" s="0">
        <x:f>hyperlink("https://icd.who.int/dev11/l-ichi/en#/http%3A%2F%2Fid.who.int%2Ficd%2Fentity%2F1706553608","browser")</x:f>
      </x:c>
      <x:c r="L5249" s="0">
        <x:f>hyperlink("https://icat2.azurewebsites.net/icat/?ontology=ICD&amp;tab=ClassesTab&amp;id=http%3A%2F%2Fwho.int%2Ficd%2328757_512ebf36_bf6b_4d70_85da_cf2637062af4","iCat")</x:f>
      </x:c>
      <x:c r="M5249" s="0" t="s">
        <x:v>21</x:v>
      </x:c>
      <x:c r="N5249" s="0" t="s">
        <x:v>46</x:v>
      </x:c>
    </x:row>
    <x:row r="5250" spans="1:16">
      <x:c r="A5250" s="0" t="s">
        <x:v>20851</x:v>
      </x:c>
      <x:c r="B5250" s="0" t="s">
        <x:v>20852</x:v>
      </x:c>
      <x:c r="C5250" s="0" t="s">
        <x:v>20853</x:v>
      </x:c>
      <x:c r="E5250" s="0" t="s">
        <x:v>20854</x:v>
      </x:c>
      <x:c r="F5250" s="0" t="s">
        <x:v>45</x:v>
      </x:c>
      <x:c r="G5250" s="0" t="s">
        <x:v>19</x:v>
      </x:c>
      <x:c r="H5250" s="0" t="s">
        <x:v>20</x:v>
      </x:c>
      <x:c r="I5250" s="0" t="s">
        <x:v>21</x:v>
      </x:c>
      <x:c r="K5250" s="0">
        <x:f>hyperlink("https://icd.who.int/dev11/l-ichi/en#/http%3A%2F%2Fid.who.int%2Ficd%2Fentity%2F268531067","browser")</x:f>
      </x:c>
      <x:c r="L5250" s="0">
        <x:f>hyperlink("https://icat2.azurewebsites.net/icat/?ontology=ICD&amp;tab=ClassesTab&amp;id=http%3A%2F%2Fwho.int%2Ficd%2328763_512ebf36_bf6b_4d70_85da_cf2637062af4","iCat")</x:f>
      </x:c>
      <x:c r="M5250" s="0" t="s">
        <x:v>21</x:v>
      </x:c>
      <x:c r="N5250" s="0" t="s">
        <x:v>46</x:v>
      </x:c>
    </x:row>
    <x:row r="5251" spans="1:16">
      <x:c r="A5251" s="0" t="s">
        <x:v>20855</x:v>
      </x:c>
      <x:c r="B5251" s="0" t="s">
        <x:v>20856</x:v>
      </x:c>
      <x:c r="C5251" s="0" t="s">
        <x:v>20857</x:v>
      </x:c>
      <x:c r="E5251" s="0" t="s">
        <x:v>20858</x:v>
      </x:c>
      <x:c r="F5251" s="0" t="s">
        <x:v>45</x:v>
      </x:c>
      <x:c r="G5251" s="0" t="s">
        <x:v>19</x:v>
      </x:c>
      <x:c r="H5251" s="0" t="s">
        <x:v>20</x:v>
      </x:c>
      <x:c r="I5251" s="0" t="s">
        <x:v>21</x:v>
      </x:c>
      <x:c r="K5251" s="0">
        <x:f>hyperlink("https://icd.who.int/dev11/l-ichi/en#/http%3A%2F%2Fid.who.int%2Ficd%2Fentity%2F532217321","browser")</x:f>
      </x:c>
      <x:c r="L5251" s="0">
        <x:f>hyperlink("https://icat2.azurewebsites.net/icat/?ontology=ICD&amp;tab=ClassesTab&amp;id=http%3A%2F%2Fwho.int%2Ficd%2328771_512ebf36_bf6b_4d70_85da_cf2637062af4","iCat")</x:f>
      </x:c>
      <x:c r="M5251" s="0" t="s">
        <x:v>21</x:v>
      </x:c>
      <x:c r="N5251" s="0" t="s">
        <x:v>46</x:v>
      </x:c>
    </x:row>
    <x:row r="5252" spans="1:16">
      <x:c r="A5252" s="0" t="s">
        <x:v>20859</x:v>
      </x:c>
      <x:c r="B5252" s="0" t="s">
        <x:v>20860</x:v>
      </x:c>
      <x:c r="C5252" s="0" t="s">
        <x:v>20861</x:v>
      </x:c>
      <x:c r="E5252" s="0" t="s">
        <x:v>20862</x:v>
      </x:c>
      <x:c r="F5252" s="0" t="s">
        <x:v>45</x:v>
      </x:c>
      <x:c r="G5252" s="0" t="s">
        <x:v>19</x:v>
      </x:c>
      <x:c r="H5252" s="0" t="s">
        <x:v>20</x:v>
      </x:c>
      <x:c r="I5252" s="0" t="s">
        <x:v>21</x:v>
      </x:c>
      <x:c r="K5252" s="0">
        <x:f>hyperlink("https://icd.who.int/dev11/l-ichi/en#/http%3A%2F%2Fid.who.int%2Ficd%2Fentity%2F1946270137","browser")</x:f>
      </x:c>
      <x:c r="L5252" s="0">
        <x:f>hyperlink("https://icat2.azurewebsites.net/icat/?ontology=ICD&amp;tab=ClassesTab&amp;id=http%3A%2F%2Fwho.int%2Ficd%2315223_4869915e_217e_423d_acb3_33c0f920ef4b","iCat")</x:f>
      </x:c>
      <x:c r="M5252" s="0" t="s">
        <x:v>21</x:v>
      </x:c>
      <x:c r="N5252" s="0" t="s">
        <x:v>46</x:v>
      </x:c>
    </x:row>
    <x:row r="5253" spans="1:16">
      <x:c r="A5253" s="0" t="s">
        <x:v>20863</x:v>
      </x:c>
      <x:c r="B5253" s="0" t="s">
        <x:v>20864</x:v>
      </x:c>
      <x:c r="C5253" s="0" t="s">
        <x:v>20865</x:v>
      </x:c>
      <x:c r="E5253" s="0" t="s">
        <x:v>20866</x:v>
      </x:c>
      <x:c r="F5253" s="0" t="s">
        <x:v>45</x:v>
      </x:c>
      <x:c r="G5253" s="0" t="s">
        <x:v>19</x:v>
      </x:c>
      <x:c r="H5253" s="0" t="s">
        <x:v>20</x:v>
      </x:c>
      <x:c r="I5253" s="0" t="s">
        <x:v>21</x:v>
      </x:c>
      <x:c r="K5253" s="0">
        <x:f>hyperlink("https://icd.who.int/dev11/l-ichi/en#/http%3A%2F%2Fid.who.int%2Ficd%2Fentity%2F1610405161","browser")</x:f>
      </x:c>
      <x:c r="L5253" s="0">
        <x:f>hyperlink("https://icat2.azurewebsites.net/icat/?ontology=ICD&amp;tab=ClassesTab&amp;id=http%3A%2F%2Fwho.int%2Ficd%2315229_4869915e_217e_423d_acb3_33c0f920ef4b","iCat")</x:f>
      </x:c>
      <x:c r="M5253" s="0" t="s">
        <x:v>21</x:v>
      </x:c>
      <x:c r="N5253" s="0" t="s">
        <x:v>46</x:v>
      </x:c>
    </x:row>
    <x:row r="5254" spans="1:16">
      <x:c r="A5254" s="0" t="s">
        <x:v>20867</x:v>
      </x:c>
      <x:c r="B5254" s="0" t="s">
        <x:v>20868</x:v>
      </x:c>
      <x:c r="C5254" s="0" t="s">
        <x:v>20869</x:v>
      </x:c>
      <x:c r="E5254" s="0" t="s">
        <x:v>20870</x:v>
      </x:c>
      <x:c r="F5254" s="0" t="s">
        <x:v>45</x:v>
      </x:c>
      <x:c r="G5254" s="0" t="s">
        <x:v>19</x:v>
      </x:c>
      <x:c r="H5254" s="0" t="s">
        <x:v>20</x:v>
      </x:c>
      <x:c r="I5254" s="0" t="s">
        <x:v>21</x:v>
      </x:c>
      <x:c r="K5254" s="0">
        <x:f>hyperlink("https://icd.who.int/dev11/l-ichi/en#/http%3A%2F%2Fid.who.int%2Ficd%2Fentity%2F1362726076","browser")</x:f>
      </x:c>
      <x:c r="L5254" s="0">
        <x:f>hyperlink("https://icat2.azurewebsites.net/icat/?ontology=ICD&amp;tab=ClassesTab&amp;id=http%3A%2F%2Fwho.int%2Ficd%2328779_512ebf36_bf6b_4d70_85da_cf2637062af4","iCat")</x:f>
      </x:c>
      <x:c r="M5254" s="0" t="s">
        <x:v>21</x:v>
      </x:c>
      <x:c r="N5254" s="0" t="s">
        <x:v>46</x:v>
      </x:c>
    </x:row>
    <x:row r="5255" spans="1:16">
      <x:c r="A5255" s="0" t="s">
        <x:v>20871</x:v>
      </x:c>
      <x:c r="B5255" s="0" t="s">
        <x:v>20872</x:v>
      </x:c>
      <x:c r="C5255" s="0" t="s">
        <x:v>20873</x:v>
      </x:c>
      <x:c r="E5255" s="0" t="s">
        <x:v>20874</x:v>
      </x:c>
      <x:c r="F5255" s="0" t="s">
        <x:v>45</x:v>
      </x:c>
      <x:c r="G5255" s="0" t="s">
        <x:v>19</x:v>
      </x:c>
      <x:c r="H5255" s="0" t="s">
        <x:v>20</x:v>
      </x:c>
      <x:c r="I5255" s="0" t="s">
        <x:v>21</x:v>
      </x:c>
      <x:c r="K5255" s="0">
        <x:f>hyperlink("https://icd.who.int/dev11/l-ichi/en#/http%3A%2F%2Fid.who.int%2Ficd%2Fentity%2F1847564039","browser")</x:f>
      </x:c>
      <x:c r="L5255" s="0">
        <x:f>hyperlink("https://icat2.azurewebsites.net/icat/?ontology=ICD&amp;tab=ClassesTab&amp;id=http%3A%2F%2Fwho.int%2Ficd%23420_63e30ea5_14bd_4823_bf2d_a6a05c9b9750","iCat")</x:f>
      </x:c>
      <x:c r="M5255" s="0" t="s">
        <x:v>21</x:v>
      </x:c>
      <x:c r="N5255" s="0" t="s">
        <x:v>46</x:v>
      </x:c>
    </x:row>
    <x:row r="5256" spans="1:16">
      <x:c r="A5256" s="0" t="s">
        <x:v>20875</x:v>
      </x:c>
      <x:c r="B5256" s="0" t="s">
        <x:v>20876</x:v>
      </x:c>
      <x:c r="C5256" s="0" t="s">
        <x:v>20877</x:v>
      </x:c>
      <x:c r="E5256" s="0" t="s">
        <x:v>20878</x:v>
      </x:c>
      <x:c r="F5256" s="0" t="s">
        <x:v>45</x:v>
      </x:c>
      <x:c r="G5256" s="0" t="s">
        <x:v>19</x:v>
      </x:c>
      <x:c r="H5256" s="0" t="s">
        <x:v>20</x:v>
      </x:c>
      <x:c r="I5256" s="0" t="s">
        <x:v>21</x:v>
      </x:c>
      <x:c r="K5256" s="0">
        <x:f>hyperlink("https://icd.who.int/dev11/l-ichi/en#/http%3A%2F%2Fid.who.int%2Ficd%2Fentity%2F2128528994","browser")</x:f>
      </x:c>
      <x:c r="L5256" s="0">
        <x:f>hyperlink("https://icat2.azurewebsites.net/icat/?ontology=ICD&amp;tab=ClassesTab&amp;id=http%3A%2F%2Fwho.int%2Ficd%2328789_512ebf36_bf6b_4d70_85da_cf2637062af4","iCat")</x:f>
      </x:c>
      <x:c r="M5256" s="0" t="s">
        <x:v>21</x:v>
      </x:c>
      <x:c r="N5256" s="0" t="s">
        <x:v>46</x:v>
      </x:c>
    </x:row>
    <x:row r="5257" spans="1:16">
      <x:c r="A5257" s="0" t="s">
        <x:v>20879</x:v>
      </x:c>
      <x:c r="B5257" s="0" t="s">
        <x:v>20880</x:v>
      </x:c>
      <x:c r="C5257" s="0" t="s">
        <x:v>20881</x:v>
      </x:c>
      <x:c r="E5257" s="0" t="s">
        <x:v>20882</x:v>
      </x:c>
      <x:c r="F5257" s="0" t="s">
        <x:v>45</x:v>
      </x:c>
      <x:c r="G5257" s="0" t="s">
        <x:v>19</x:v>
      </x:c>
      <x:c r="H5257" s="0" t="s">
        <x:v>20</x:v>
      </x:c>
      <x:c r="I5257" s="0" t="s">
        <x:v>21</x:v>
      </x:c>
      <x:c r="K5257" s="0">
        <x:f>hyperlink("https://icd.who.int/dev11/l-ichi/en#/http%3A%2F%2Fid.who.int%2Ficd%2Fentity%2F1872619030","browser")</x:f>
      </x:c>
      <x:c r="L5257" s="0">
        <x:f>hyperlink("https://icat2.azurewebsites.net/icat/?ontology=ICD&amp;tab=ClassesTab&amp;id=http%3A%2F%2Fwho.int%2Ficd%2328795_512ebf36_bf6b_4d70_85da_cf2637062af4","iCat")</x:f>
      </x:c>
      <x:c r="M5257" s="0" t="s">
        <x:v>21</x:v>
      </x:c>
      <x:c r="N5257" s="0" t="s">
        <x:v>46</x:v>
      </x:c>
    </x:row>
    <x:row r="5258" spans="1:16">
      <x:c r="A5258" s="0" t="s">
        <x:v>20883</x:v>
      </x:c>
      <x:c r="B5258" s="0" t="s">
        <x:v>20884</x:v>
      </x:c>
      <x:c r="C5258" s="0" t="s">
        <x:v>20885</x:v>
      </x:c>
      <x:c r="E5258" s="0" t="s">
        <x:v>20886</x:v>
      </x:c>
      <x:c r="F5258" s="0" t="s">
        <x:v>45</x:v>
      </x:c>
      <x:c r="G5258" s="0" t="s">
        <x:v>19</x:v>
      </x:c>
      <x:c r="H5258" s="0" t="s">
        <x:v>20</x:v>
      </x:c>
      <x:c r="I5258" s="0" t="s">
        <x:v>21</x:v>
      </x:c>
      <x:c r="K5258" s="0">
        <x:f>hyperlink("https://icd.who.int/dev11/l-ichi/en#/http%3A%2F%2Fid.who.int%2Ficd%2Fentity%2F1495498485","browser")</x:f>
      </x:c>
      <x:c r="L5258" s="0">
        <x:f>hyperlink("https://icat2.azurewebsites.net/icat/?ontology=ICD&amp;tab=ClassesTab&amp;id=http%3A%2F%2Fwho.int%2Ficd%2328801_512ebf36_bf6b_4d70_85da_cf2637062af4","iCat")</x:f>
      </x:c>
      <x:c r="M5258" s="0" t="s">
        <x:v>21</x:v>
      </x:c>
      <x:c r="N5258" s="0" t="s">
        <x:v>46</x:v>
      </x:c>
    </x:row>
    <x:row r="5259" spans="1:16">
      <x:c r="A5259" s="0" t="s">
        <x:v>20887</x:v>
      </x:c>
      <x:c r="B5259" s="0" t="s">
        <x:v>20888</x:v>
      </x:c>
      <x:c r="C5259" s="0" t="s">
        <x:v>20889</x:v>
      </x:c>
      <x:c r="E5259" s="0" t="s">
        <x:v>20890</x:v>
      </x:c>
      <x:c r="F5259" s="0" t="s">
        <x:v>45</x:v>
      </x:c>
      <x:c r="G5259" s="0" t="s">
        <x:v>19</x:v>
      </x:c>
      <x:c r="H5259" s="0" t="s">
        <x:v>20</x:v>
      </x:c>
      <x:c r="I5259" s="0" t="s">
        <x:v>21</x:v>
      </x:c>
      <x:c r="K5259" s="0">
        <x:f>hyperlink("https://icd.who.int/dev11/l-ichi/en#/http%3A%2F%2Fid.who.int%2Ficd%2Fentity%2F320838048","browser")</x:f>
      </x:c>
      <x:c r="L5259" s="0">
        <x:f>hyperlink("https://icat2.azurewebsites.net/icat/?ontology=ICD&amp;tab=ClassesTab&amp;id=http%3A%2F%2Fwho.int%2Ficd%2328810_512ebf36_bf6b_4d70_85da_cf2637062af4","iCat")</x:f>
      </x:c>
      <x:c r="M5259" s="0" t="s">
        <x:v>21</x:v>
      </x:c>
      <x:c r="N5259" s="0" t="s">
        <x:v>46</x:v>
      </x:c>
    </x:row>
    <x:row r="5260" spans="1:16">
      <x:c r="A5260" s="0" t="s">
        <x:v>20891</x:v>
      </x:c>
      <x:c r="B5260" s="0" t="s">
        <x:v>20892</x:v>
      </x:c>
      <x:c r="C5260" s="0" t="s">
        <x:v>20893</x:v>
      </x:c>
      <x:c r="E5260" s="0" t="s">
        <x:v>20894</x:v>
      </x:c>
      <x:c r="F5260" s="0" t="s">
        <x:v>45</x:v>
      </x:c>
      <x:c r="G5260" s="0" t="s">
        <x:v>19</x:v>
      </x:c>
      <x:c r="H5260" s="0" t="s">
        <x:v>20</x:v>
      </x:c>
      <x:c r="I5260" s="0" t="s">
        <x:v>21</x:v>
      </x:c>
      <x:c r="K5260" s="0">
        <x:f>hyperlink("https://icd.who.int/dev11/l-ichi/en#/http%3A%2F%2Fid.who.int%2Ficd%2Fentity%2F2103941879","browser")</x:f>
      </x:c>
      <x:c r="L5260" s="0">
        <x:f>hyperlink("https://icat2.azurewebsites.net/icat/?ontology=ICD&amp;tab=ClassesTab&amp;id=http%3A%2F%2Fwho.int%2Ficd%2328819_512ebf36_bf6b_4d70_85da_cf2637062af4","iCat")</x:f>
      </x:c>
      <x:c r="M5260" s="0" t="s">
        <x:v>21</x:v>
      </x:c>
      <x:c r="N5260" s="0" t="s">
        <x:v>46</x:v>
      </x:c>
    </x:row>
    <x:row r="5261" spans="1:16">
      <x:c r="A5261" s="0" t="s">
        <x:v>20895</x:v>
      </x:c>
      <x:c r="B5261" s="0" t="s">
        <x:v>20896</x:v>
      </x:c>
      <x:c r="C5261" s="0" t="s">
        <x:v>20897</x:v>
      </x:c>
      <x:c r="E5261" s="0" t="s">
        <x:v>20898</x:v>
      </x:c>
      <x:c r="F5261" s="0" t="s">
        <x:v>45</x:v>
      </x:c>
      <x:c r="G5261" s="0" t="s">
        <x:v>19</x:v>
      </x:c>
      <x:c r="H5261" s="0" t="s">
        <x:v>20</x:v>
      </x:c>
      <x:c r="I5261" s="0" t="s">
        <x:v>21</x:v>
      </x:c>
      <x:c r="K5261" s="0">
        <x:f>hyperlink("https://icd.who.int/dev11/l-ichi/en#/http%3A%2F%2Fid.who.int%2Ficd%2Fentity%2F1179676625","browser")</x:f>
      </x:c>
      <x:c r="L5261" s="0">
        <x:f>hyperlink("https://icat2.azurewebsites.net/icat/?ontology=ICD&amp;tab=ClassesTab&amp;id=http%3A%2F%2Fwho.int%2Ficd%2328825_512ebf36_bf6b_4d70_85da_cf2637062af4","iCat")</x:f>
      </x:c>
      <x:c r="M5261" s="0" t="s">
        <x:v>21</x:v>
      </x:c>
      <x:c r="N5261" s="0" t="s">
        <x:v>46</x:v>
      </x:c>
    </x:row>
    <x:row r="5262" spans="1:16">
      <x:c r="A5262" s="0" t="s">
        <x:v>20899</x:v>
      </x:c>
      <x:c r="B5262" s="0" t="s">
        <x:v>20900</x:v>
      </x:c>
      <x:c r="C5262" s="0" t="s">
        <x:v>20901</x:v>
      </x:c>
      <x:c r="E5262" s="0" t="s">
        <x:v>20902</x:v>
      </x:c>
      <x:c r="F5262" s="0" t="s">
        <x:v>45</x:v>
      </x:c>
      <x:c r="G5262" s="0" t="s">
        <x:v>19</x:v>
      </x:c>
      <x:c r="H5262" s="0" t="s">
        <x:v>20</x:v>
      </x:c>
      <x:c r="I5262" s="0" t="s">
        <x:v>21</x:v>
      </x:c>
      <x:c r="K5262" s="0">
        <x:f>hyperlink("https://icd.who.int/dev11/l-ichi/en#/http%3A%2F%2Fid.who.int%2Ficd%2Fentity%2F429014772","browser")</x:f>
      </x:c>
      <x:c r="L5262" s="0">
        <x:f>hyperlink("https://icat2.azurewebsites.net/icat/?ontology=ICD&amp;tab=ClassesTab&amp;id=http%3A%2F%2Fwho.int%2Ficd%2328831_512ebf36_bf6b_4d70_85da_cf2637062af4","iCat")</x:f>
      </x:c>
      <x:c r="M5262" s="0" t="s">
        <x:v>21</x:v>
      </x:c>
      <x:c r="N5262" s="0" t="s">
        <x:v>46</x:v>
      </x:c>
    </x:row>
    <x:row r="5263" spans="1:16">
      <x:c r="A5263" s="0" t="s">
        <x:v>20903</x:v>
      </x:c>
      <x:c r="B5263" s="0" t="s">
        <x:v>20904</x:v>
      </x:c>
      <x:c r="C5263" s="0" t="s">
        <x:v>20905</x:v>
      </x:c>
      <x:c r="E5263" s="0" t="s">
        <x:v>20906</x:v>
      </x:c>
      <x:c r="F5263" s="0" t="s">
        <x:v>45</x:v>
      </x:c>
      <x:c r="G5263" s="0" t="s">
        <x:v>19</x:v>
      </x:c>
      <x:c r="H5263" s="0" t="s">
        <x:v>20</x:v>
      </x:c>
      <x:c r="I5263" s="0" t="s">
        <x:v>21</x:v>
      </x:c>
      <x:c r="K5263" s="0">
        <x:f>hyperlink("https://icd.who.int/dev11/l-ichi/en#/http%3A%2F%2Fid.who.int%2Ficd%2Fentity%2F1240065859","browser")</x:f>
      </x:c>
      <x:c r="L5263" s="0">
        <x:f>hyperlink("https://icat2.azurewebsites.net/icat/?ontology=ICD&amp;tab=ClassesTab&amp;id=http%3A%2F%2Fwho.int%2Ficd%2328837_512ebf36_bf6b_4d70_85da_cf2637062af4","iCat")</x:f>
      </x:c>
      <x:c r="M5263" s="0" t="s">
        <x:v>21</x:v>
      </x:c>
      <x:c r="N5263" s="0" t="s">
        <x:v>46</x:v>
      </x:c>
    </x:row>
    <x:row r="5264" spans="1:16">
      <x:c r="A5264" s="0" t="s">
        <x:v>20907</x:v>
      </x:c>
      <x:c r="B5264" s="0" t="s">
        <x:v>20908</x:v>
      </x:c>
      <x:c r="C5264" s="0" t="s">
        <x:v>20909</x:v>
      </x:c>
      <x:c r="E5264" s="0" t="s">
        <x:v>20910</x:v>
      </x:c>
      <x:c r="F5264" s="0" t="s">
        <x:v>45</x:v>
      </x:c>
      <x:c r="G5264" s="0" t="s">
        <x:v>19</x:v>
      </x:c>
      <x:c r="H5264" s="0" t="s">
        <x:v>20</x:v>
      </x:c>
      <x:c r="I5264" s="0" t="s">
        <x:v>21</x:v>
      </x:c>
      <x:c r="K5264" s="0">
        <x:f>hyperlink("https://icd.who.int/dev11/l-ichi/en#/http%3A%2F%2Fid.who.int%2Ficd%2Fentity%2F474212766","browser")</x:f>
      </x:c>
      <x:c r="L5264" s="0">
        <x:f>hyperlink("https://icat2.azurewebsites.net/icat/?ontology=ICD&amp;tab=ClassesTab&amp;id=http%3A%2F%2Fwho.int%2Ficd%2328845_512ebf36_bf6b_4d70_85da_cf2637062af4","iCat")</x:f>
      </x:c>
      <x:c r="M5264" s="0" t="s">
        <x:v>21</x:v>
      </x:c>
      <x:c r="N5264" s="0" t="s">
        <x:v>46</x:v>
      </x:c>
    </x:row>
    <x:row r="5265" spans="1:16">
      <x:c r="A5265" s="0" t="s">
        <x:v>20911</x:v>
      </x:c>
      <x:c r="B5265" s="0" t="s">
        <x:v>20912</x:v>
      </x:c>
      <x:c r="C5265" s="0" t="s">
        <x:v>20913</x:v>
      </x:c>
      <x:c r="E5265" s="0" t="s">
        <x:v>20914</x:v>
      </x:c>
      <x:c r="F5265" s="0" t="s">
        <x:v>45</x:v>
      </x:c>
      <x:c r="G5265" s="0" t="s">
        <x:v>19</x:v>
      </x:c>
      <x:c r="H5265" s="0" t="s">
        <x:v>20</x:v>
      </x:c>
      <x:c r="I5265" s="0" t="s">
        <x:v>21</x:v>
      </x:c>
      <x:c r="K5265" s="0">
        <x:f>hyperlink("https://icd.who.int/dev11/l-ichi/en#/http%3A%2F%2Fid.who.int%2Ficd%2Fentity%2F1132574911","browser")</x:f>
      </x:c>
      <x:c r="L5265" s="0">
        <x:f>hyperlink("https://icat2.azurewebsites.net/icat/?ontology=ICD&amp;tab=ClassesTab&amp;id=http%3A%2F%2Fwho.int%2Ficd%2328851_512ebf36_bf6b_4d70_85da_cf2637062af4","iCat")</x:f>
      </x:c>
      <x:c r="M5265" s="0" t="s">
        <x:v>21</x:v>
      </x:c>
      <x:c r="N5265" s="0" t="s">
        <x:v>46</x:v>
      </x:c>
    </x:row>
    <x:row r="5266" spans="1:16">
      <x:c r="A5266" s="0" t="s">
        <x:v>20915</x:v>
      </x:c>
      <x:c r="B5266" s="0" t="s">
        <x:v>20916</x:v>
      </x:c>
      <x:c r="C5266" s="0" t="s">
        <x:v>20917</x:v>
      </x:c>
      <x:c r="E5266" s="0" t="s">
        <x:v>20918</x:v>
      </x:c>
      <x:c r="F5266" s="0" t="s">
        <x:v>45</x:v>
      </x:c>
      <x:c r="G5266" s="0" t="s">
        <x:v>19</x:v>
      </x:c>
      <x:c r="H5266" s="0" t="s">
        <x:v>20</x:v>
      </x:c>
      <x:c r="I5266" s="0" t="s">
        <x:v>21</x:v>
      </x:c>
      <x:c r="K5266" s="0">
        <x:f>hyperlink("https://icd.who.int/dev11/l-ichi/en#/http%3A%2F%2Fid.who.int%2Ficd%2Fentity%2F218155498","browser")</x:f>
      </x:c>
      <x:c r="L5266" s="0">
        <x:f>hyperlink("https://icat2.azurewebsites.net/icat/?ontology=ICD&amp;tab=ClassesTab&amp;id=http%3A%2F%2Fwho.int%2Ficd%2328859_512ebf36_bf6b_4d70_85da_cf2637062af4","iCat")</x:f>
      </x:c>
      <x:c r="M5266" s="0" t="s">
        <x:v>21</x:v>
      </x:c>
      <x:c r="N5266" s="0" t="s">
        <x:v>46</x:v>
      </x:c>
    </x:row>
    <x:row r="5267" spans="1:16">
      <x:c r="A5267" s="0" t="s">
        <x:v>20919</x:v>
      </x:c>
      <x:c r="B5267" s="0" t="s">
        <x:v>20920</x:v>
      </x:c>
      <x:c r="C5267" s="0" t="s">
        <x:v>20921</x:v>
      </x:c>
      <x:c r="E5267" s="0" t="s">
        <x:v>20922</x:v>
      </x:c>
      <x:c r="F5267" s="0" t="s">
        <x:v>45</x:v>
      </x:c>
      <x:c r="G5267" s="0" t="s">
        <x:v>19</x:v>
      </x:c>
      <x:c r="H5267" s="0" t="s">
        <x:v>20</x:v>
      </x:c>
      <x:c r="I5267" s="0" t="s">
        <x:v>21</x:v>
      </x:c>
      <x:c r="K5267" s="0">
        <x:f>hyperlink("https://icd.who.int/dev11/l-ichi/en#/http%3A%2F%2Fid.who.int%2Ficd%2Fentity%2F1397432585","browser")</x:f>
      </x:c>
      <x:c r="L5267" s="0">
        <x:f>hyperlink("https://icat2.azurewebsites.net/icat/?ontology=ICD&amp;tab=ClassesTab&amp;id=http%3A%2F%2Fwho.int%2Ficd%2328867_512ebf36_bf6b_4d70_85da_cf2637062af4","iCat")</x:f>
      </x:c>
      <x:c r="M5267" s="0" t="s">
        <x:v>21</x:v>
      </x:c>
      <x:c r="N5267" s="0" t="s">
        <x:v>46</x:v>
      </x:c>
    </x:row>
    <x:row r="5268" spans="1:16">
      <x:c r="A5268" s="0" t="s">
        <x:v>20923</x:v>
      </x:c>
      <x:c r="B5268" s="0" t="s">
        <x:v>20924</x:v>
      </x:c>
      <x:c r="C5268" s="0" t="s">
        <x:v>20925</x:v>
      </x:c>
      <x:c r="E5268" s="0" t="s">
        <x:v>20926</x:v>
      </x:c>
      <x:c r="F5268" s="0" t="s">
        <x:v>45</x:v>
      </x:c>
      <x:c r="G5268" s="0" t="s">
        <x:v>19</x:v>
      </x:c>
      <x:c r="H5268" s="0" t="s">
        <x:v>20</x:v>
      </x:c>
      <x:c r="I5268" s="0" t="s">
        <x:v>21</x:v>
      </x:c>
      <x:c r="K5268" s="0">
        <x:f>hyperlink("https://icd.who.int/dev11/l-ichi/en#/http%3A%2F%2Fid.who.int%2Ficd%2Fentity%2F210333740","browser")</x:f>
      </x:c>
      <x:c r="L5268" s="0">
        <x:f>hyperlink("https://icat2.azurewebsites.net/icat/?ontology=ICD&amp;tab=ClassesTab&amp;id=http%3A%2F%2Fwho.int%2Ficd%2328873_512ebf36_bf6b_4d70_85da_cf2637062af4","iCat")</x:f>
      </x:c>
      <x:c r="M5268" s="0" t="s">
        <x:v>21</x:v>
      </x:c>
      <x:c r="N5268" s="0" t="s">
        <x:v>46</x:v>
      </x:c>
    </x:row>
    <x:row r="5269" spans="1:16">
      <x:c r="A5269" s="0" t="s">
        <x:v>20927</x:v>
      </x:c>
      <x:c r="B5269" s="0" t="s">
        <x:v>20928</x:v>
      </x:c>
      <x:c r="C5269" s="0" t="s">
        <x:v>20929</x:v>
      </x:c>
      <x:c r="E5269" s="0" t="s">
        <x:v>20930</x:v>
      </x:c>
      <x:c r="F5269" s="0" t="s">
        <x:v>45</x:v>
      </x:c>
      <x:c r="G5269" s="0" t="s">
        <x:v>19</x:v>
      </x:c>
      <x:c r="H5269" s="0" t="s">
        <x:v>20</x:v>
      </x:c>
      <x:c r="I5269" s="0" t="s">
        <x:v>21</x:v>
      </x:c>
      <x:c r="K5269" s="0">
        <x:f>hyperlink("https://icd.who.int/dev11/l-ichi/en#/http%3A%2F%2Fid.who.int%2Ficd%2Fentity%2F661920956","browser")</x:f>
      </x:c>
      <x:c r="L5269" s="0">
        <x:f>hyperlink("https://icat2.azurewebsites.net/icat/?ontology=ICD&amp;tab=ClassesTab&amp;id=http%3A%2F%2Fwho.int%2Ficd%2328879_512ebf36_bf6b_4d70_85da_cf2637062af4","iCat")</x:f>
      </x:c>
      <x:c r="M5269" s="0" t="s">
        <x:v>21</x:v>
      </x:c>
      <x:c r="N5269" s="0" t="s">
        <x:v>46</x:v>
      </x:c>
    </x:row>
    <x:row r="5270" spans="1:16">
      <x:c r="A5270" s="0" t="s">
        <x:v>20931</x:v>
      </x:c>
      <x:c r="B5270" s="0" t="s">
        <x:v>20932</x:v>
      </x:c>
      <x:c r="C5270" s="0" t="s">
        <x:v>20933</x:v>
      </x:c>
      <x:c r="E5270" s="0" t="s">
        <x:v>20934</x:v>
      </x:c>
      <x:c r="F5270" s="0" t="s">
        <x:v>45</x:v>
      </x:c>
      <x:c r="G5270" s="0" t="s">
        <x:v>19</x:v>
      </x:c>
      <x:c r="H5270" s="0" t="s">
        <x:v>20</x:v>
      </x:c>
      <x:c r="I5270" s="0" t="s">
        <x:v>21</x:v>
      </x:c>
      <x:c r="K5270" s="0">
        <x:f>hyperlink("https://icd.who.int/dev11/l-ichi/en#/http%3A%2F%2Fid.who.int%2Ficd%2Fentity%2F1930814277","browser")</x:f>
      </x:c>
      <x:c r="L5270" s="0">
        <x:f>hyperlink("https://icat2.azurewebsites.net/icat/?ontology=ICD&amp;tab=ClassesTab&amp;id=http%3A%2F%2Fwho.int%2Ficd%2328885_512ebf36_bf6b_4d70_85da_cf2637062af4","iCat")</x:f>
      </x:c>
      <x:c r="M5270" s="0" t="s">
        <x:v>21</x:v>
      </x:c>
      <x:c r="N5270" s="0" t="s">
        <x:v>46</x:v>
      </x:c>
    </x:row>
    <x:row r="5271" spans="1:16">
      <x:c r="A5271" s="0" t="s">
        <x:v>20935</x:v>
      </x:c>
      <x:c r="B5271" s="0" t="s">
        <x:v>20936</x:v>
      </x:c>
      <x:c r="C5271" s="0" t="s">
        <x:v>20937</x:v>
      </x:c>
      <x:c r="E5271" s="0" t="s">
        <x:v>20938</x:v>
      </x:c>
      <x:c r="F5271" s="0" t="s">
        <x:v>45</x:v>
      </x:c>
      <x:c r="G5271" s="0" t="s">
        <x:v>19</x:v>
      </x:c>
      <x:c r="H5271" s="0" t="s">
        <x:v>20</x:v>
      </x:c>
      <x:c r="I5271" s="0" t="s">
        <x:v>21</x:v>
      </x:c>
      <x:c r="K5271" s="0">
        <x:f>hyperlink("https://icd.who.int/dev11/l-ichi/en#/http%3A%2F%2Fid.who.int%2Ficd%2Fentity%2F752333416","browser")</x:f>
      </x:c>
      <x:c r="L5271" s="0">
        <x:f>hyperlink("https://icat2.azurewebsites.net/icat/?ontology=ICD&amp;tab=ClassesTab&amp;id=http%3A%2F%2Fwho.int%2Ficd%2328891_512ebf36_bf6b_4d70_85da_cf2637062af4","iCat")</x:f>
      </x:c>
      <x:c r="M5271" s="0" t="s">
        <x:v>21</x:v>
      </x:c>
      <x:c r="N5271" s="0" t="s">
        <x:v>46</x:v>
      </x:c>
    </x:row>
    <x:row r="5272" spans="1:16">
      <x:c r="A5272" s="0" t="s">
        <x:v>20939</x:v>
      </x:c>
      <x:c r="B5272" s="0" t="s">
        <x:v>20940</x:v>
      </x:c>
      <x:c r="C5272" s="0" t="s">
        <x:v>20941</x:v>
      </x:c>
      <x:c r="E5272" s="0" t="s">
        <x:v>20942</x:v>
      </x:c>
      <x:c r="F5272" s="0" t="s">
        <x:v>45</x:v>
      </x:c>
      <x:c r="G5272" s="0" t="s">
        <x:v>19</x:v>
      </x:c>
      <x:c r="H5272" s="0" t="s">
        <x:v>20</x:v>
      </x:c>
      <x:c r="I5272" s="0" t="s">
        <x:v>21</x:v>
      </x:c>
      <x:c r="K5272" s="0">
        <x:f>hyperlink("https://icd.who.int/dev11/l-ichi/en#/http%3A%2F%2Fid.who.int%2Ficd%2Fentity%2F1118810383","browser")</x:f>
      </x:c>
      <x:c r="L5272" s="0">
        <x:f>hyperlink("https://icat2.azurewebsites.net/icat/?ontology=ICD&amp;tab=ClassesTab&amp;id=http%3A%2F%2Fwho.int%2Ficd%2328898_512ebf36_bf6b_4d70_85da_cf2637062af4","iCat")</x:f>
      </x:c>
      <x:c r="M5272" s="0" t="s">
        <x:v>21</x:v>
      </x:c>
      <x:c r="N5272" s="0" t="s">
        <x:v>46</x:v>
      </x:c>
    </x:row>
    <x:row r="5273" spans="1:16">
      <x:c r="A5273" s="0" t="s">
        <x:v>20943</x:v>
      </x:c>
      <x:c r="B5273" s="0" t="s">
        <x:v>20944</x:v>
      </x:c>
      <x:c r="C5273" s="0" t="s">
        <x:v>20945</x:v>
      </x:c>
      <x:c r="E5273" s="0" t="s">
        <x:v>20946</x:v>
      </x:c>
      <x:c r="F5273" s="0" t="s">
        <x:v>45</x:v>
      </x:c>
      <x:c r="G5273" s="0" t="s">
        <x:v>19</x:v>
      </x:c>
      <x:c r="H5273" s="0" t="s">
        <x:v>20</x:v>
      </x:c>
      <x:c r="I5273" s="0" t="s">
        <x:v>21</x:v>
      </x:c>
      <x:c r="K5273" s="0">
        <x:f>hyperlink("https://icd.who.int/dev11/l-ichi/en#/http%3A%2F%2Fid.who.int%2Ficd%2Fentity%2F1700691322","browser")</x:f>
      </x:c>
      <x:c r="L5273" s="0">
        <x:f>hyperlink("https://icat2.azurewebsites.net/icat/?ontology=ICD&amp;tab=ClassesTab&amp;id=http%3A%2F%2Fwho.int%2Ficd%2319_ca295345_04da_4973_8b0f_7a84ba6d528f","iCat")</x:f>
      </x:c>
      <x:c r="M5273" s="0" t="s">
        <x:v>21</x:v>
      </x:c>
      <x:c r="N5273" s="0" t="s">
        <x:v>46</x:v>
      </x:c>
    </x:row>
    <x:row r="5274" spans="1:16">
      <x:c r="A5274" s="0" t="s">
        <x:v>20947</x:v>
      </x:c>
      <x:c r="B5274" s="0" t="s">
        <x:v>20948</x:v>
      </x:c>
      <x:c r="C5274" s="0" t="s">
        <x:v>20949</x:v>
      </x:c>
      <x:c r="E5274" s="0" t="s">
        <x:v>20950</x:v>
      </x:c>
      <x:c r="F5274" s="0" t="s">
        <x:v>45</x:v>
      </x:c>
      <x:c r="G5274" s="0" t="s">
        <x:v>19</x:v>
      </x:c>
      <x:c r="H5274" s="0" t="s">
        <x:v>20</x:v>
      </x:c>
      <x:c r="I5274" s="0" t="s">
        <x:v>21</x:v>
      </x:c>
      <x:c r="K5274" s="0">
        <x:f>hyperlink("https://icd.who.int/dev11/l-ichi/en#/http%3A%2F%2Fid.who.int%2Ficd%2Fentity%2F960630304","browser")</x:f>
      </x:c>
      <x:c r="L5274" s="0">
        <x:f>hyperlink("https://icat2.azurewebsites.net/icat/?ontology=ICD&amp;tab=ClassesTab&amp;id=http%3A%2F%2Fwho.int%2Ficd%2328904_512ebf36_bf6b_4d70_85da_cf2637062af4","iCat")</x:f>
      </x:c>
      <x:c r="M5274" s="0" t="s">
        <x:v>21</x:v>
      </x:c>
      <x:c r="N5274" s="0" t="s">
        <x:v>46</x:v>
      </x:c>
    </x:row>
    <x:row r="5275" spans="1:16">
      <x:c r="A5275" s="0" t="s">
        <x:v>20951</x:v>
      </x:c>
      <x:c r="B5275" s="0" t="s">
        <x:v>20952</x:v>
      </x:c>
      <x:c r="C5275" s="0" t="s">
        <x:v>20953</x:v>
      </x:c>
      <x:c r="E5275" s="0" t="s">
        <x:v>20954</x:v>
      </x:c>
      <x:c r="F5275" s="0" t="s">
        <x:v>45</x:v>
      </x:c>
      <x:c r="G5275" s="0" t="s">
        <x:v>19</x:v>
      </x:c>
      <x:c r="H5275" s="0" t="s">
        <x:v>20</x:v>
      </x:c>
      <x:c r="I5275" s="0" t="s">
        <x:v>21</x:v>
      </x:c>
      <x:c r="K5275" s="0">
        <x:f>hyperlink("https://icd.who.int/dev11/l-ichi/en#/http%3A%2F%2Fid.who.int%2Ficd%2Fentity%2F1719688963","browser")</x:f>
      </x:c>
      <x:c r="L5275" s="0">
        <x:f>hyperlink("https://icat2.azurewebsites.net/icat/?ontology=ICD&amp;tab=ClassesTab&amp;id=http%3A%2F%2Fwho.int%2Ficd%2328910_512ebf36_bf6b_4d70_85da_cf2637062af4","iCat")</x:f>
      </x:c>
      <x:c r="M5275" s="0" t="s">
        <x:v>21</x:v>
      </x:c>
      <x:c r="N5275" s="0" t="s">
        <x:v>46</x:v>
      </x:c>
    </x:row>
    <x:row r="5276" spans="1:16">
      <x:c r="A5276" s="0" t="s">
        <x:v>20955</x:v>
      </x:c>
      <x:c r="B5276" s="0" t="s">
        <x:v>20956</x:v>
      </x:c>
      <x:c r="C5276" s="0" t="s">
        <x:v>20957</x:v>
      </x:c>
      <x:c r="E5276" s="0" t="s">
        <x:v>20958</x:v>
      </x:c>
      <x:c r="F5276" s="0" t="s">
        <x:v>45</x:v>
      </x:c>
      <x:c r="G5276" s="0" t="s">
        <x:v>19</x:v>
      </x:c>
      <x:c r="H5276" s="0" t="s">
        <x:v>20</x:v>
      </x:c>
      <x:c r="I5276" s="0" t="s">
        <x:v>21</x:v>
      </x:c>
      <x:c r="K5276" s="0">
        <x:f>hyperlink("https://icd.who.int/dev11/l-ichi/en#/http%3A%2F%2Fid.who.int%2Ficd%2Fentity%2F922453682","browser")</x:f>
      </x:c>
      <x:c r="L5276" s="0">
        <x:f>hyperlink("https://icat2.azurewebsites.net/icat/?ontology=ICD&amp;tab=ClassesTab&amp;id=http%3A%2F%2Fwho.int%2Ficd%2328916_512ebf36_bf6b_4d70_85da_cf2637062af4","iCat")</x:f>
      </x:c>
      <x:c r="M5276" s="0" t="s">
        <x:v>21</x:v>
      </x:c>
      <x:c r="N5276" s="0" t="s">
        <x:v>46</x:v>
      </x:c>
    </x:row>
    <x:row r="5277" spans="1:16">
      <x:c r="A5277" s="0" t="s">
        <x:v>20959</x:v>
      </x:c>
      <x:c r="B5277" s="0" t="s">
        <x:v>20960</x:v>
      </x:c>
      <x:c r="C5277" s="0" t="s">
        <x:v>20961</x:v>
      </x:c>
      <x:c r="E5277" s="0" t="s">
        <x:v>20962</x:v>
      </x:c>
      <x:c r="F5277" s="0" t="s">
        <x:v>45</x:v>
      </x:c>
      <x:c r="G5277" s="0" t="s">
        <x:v>19</x:v>
      </x:c>
      <x:c r="H5277" s="0" t="s">
        <x:v>20</x:v>
      </x:c>
      <x:c r="I5277" s="0" t="s">
        <x:v>21</x:v>
      </x:c>
      <x:c r="K5277" s="0">
        <x:f>hyperlink("https://icd.who.int/dev11/l-ichi/en#/http%3A%2F%2Fid.who.int%2Ficd%2Fentity%2F322362226","browser")</x:f>
      </x:c>
      <x:c r="L5277" s="0">
        <x:f>hyperlink("https://icat2.azurewebsites.net/icat/?ontology=ICD&amp;tab=ClassesTab&amp;id=http%3A%2F%2Fwho.int%2Ficd%2328924_512ebf36_bf6b_4d70_85da_cf2637062af4","iCat")</x:f>
      </x:c>
      <x:c r="M5277" s="0" t="s">
        <x:v>21</x:v>
      </x:c>
      <x:c r="N5277" s="0" t="s">
        <x:v>46</x:v>
      </x:c>
    </x:row>
    <x:row r="5278" spans="1:16">
      <x:c r="A5278" s="0" t="s">
        <x:v>20963</x:v>
      </x:c>
      <x:c r="B5278" s="0" t="s">
        <x:v>20964</x:v>
      </x:c>
      <x:c r="C5278" s="0" t="s">
        <x:v>20965</x:v>
      </x:c>
      <x:c r="E5278" s="0" t="s">
        <x:v>20966</x:v>
      </x:c>
      <x:c r="F5278" s="0" t="s">
        <x:v>45</x:v>
      </x:c>
      <x:c r="G5278" s="0" t="s">
        <x:v>19</x:v>
      </x:c>
      <x:c r="H5278" s="0" t="s">
        <x:v>20</x:v>
      </x:c>
      <x:c r="I5278" s="0" t="s">
        <x:v>21</x:v>
      </x:c>
      <x:c r="K5278" s="0">
        <x:f>hyperlink("https://icd.who.int/dev11/l-ichi/en#/http%3A%2F%2Fid.who.int%2Ficd%2Fentity%2F1812854895","browser")</x:f>
      </x:c>
      <x:c r="L5278" s="0">
        <x:f>hyperlink("https://icat2.azurewebsites.net/icat/?ontology=ICD&amp;tab=ClassesTab&amp;id=http%3A%2F%2Fwho.int%2Ficd%2328931_512ebf36_bf6b_4d70_85da_cf2637062af4","iCat")</x:f>
      </x:c>
      <x:c r="M5278" s="0" t="s">
        <x:v>21</x:v>
      </x:c>
      <x:c r="N5278" s="0" t="s">
        <x:v>46</x:v>
      </x:c>
    </x:row>
    <x:row r="5279" spans="1:16">
      <x:c r="A5279" s="0" t="s">
        <x:v>20967</x:v>
      </x:c>
      <x:c r="B5279" s="0" t="s">
        <x:v>20968</x:v>
      </x:c>
      <x:c r="C5279" s="0" t="s">
        <x:v>20969</x:v>
      </x:c>
      <x:c r="E5279" s="0" t="s">
        <x:v>20970</x:v>
      </x:c>
      <x:c r="F5279" s="0" t="s">
        <x:v>45</x:v>
      </x:c>
      <x:c r="G5279" s="0" t="s">
        <x:v>19</x:v>
      </x:c>
      <x:c r="H5279" s="0" t="s">
        <x:v>20</x:v>
      </x:c>
      <x:c r="I5279" s="0" t="s">
        <x:v>21</x:v>
      </x:c>
      <x:c r="K5279" s="0">
        <x:f>hyperlink("https://icd.who.int/dev11/l-ichi/en#/http%3A%2F%2Fid.who.int%2Ficd%2Fentity%2F41286406","browser")</x:f>
      </x:c>
      <x:c r="L5279" s="0">
        <x:f>hyperlink("https://icat2.azurewebsites.net/icat/?ontology=ICD&amp;tab=ClassesTab&amp;id=http%3A%2F%2Fwho.int%2Ficd%2328938_512ebf36_bf6b_4d70_85da_cf2637062af4","iCat")</x:f>
      </x:c>
      <x:c r="M5279" s="0" t="s">
        <x:v>21</x:v>
      </x:c>
      <x:c r="N5279" s="0" t="s">
        <x:v>46</x:v>
      </x:c>
    </x:row>
    <x:row r="5280" spans="1:16">
      <x:c r="A5280" s="0" t="s">
        <x:v>20971</x:v>
      </x:c>
      <x:c r="B5280" s="0" t="s">
        <x:v>20972</x:v>
      </x:c>
      <x:c r="C5280" s="0" t="s">
        <x:v>20973</x:v>
      </x:c>
      <x:c r="E5280" s="0" t="s">
        <x:v>20974</x:v>
      </x:c>
      <x:c r="F5280" s="0" t="s">
        <x:v>45</x:v>
      </x:c>
      <x:c r="G5280" s="0" t="s">
        <x:v>19</x:v>
      </x:c>
      <x:c r="H5280" s="0" t="s">
        <x:v>20</x:v>
      </x:c>
      <x:c r="I5280" s="0" t="s">
        <x:v>21</x:v>
      </x:c>
      <x:c r="K5280" s="0">
        <x:f>hyperlink("https://icd.who.int/dev11/l-ichi/en#/http%3A%2F%2Fid.who.int%2Ficd%2Fentity%2F744046840","browser")</x:f>
      </x:c>
      <x:c r="L5280" s="0">
        <x:f>hyperlink("https://icat2.azurewebsites.net/icat/?ontology=ICD&amp;tab=ClassesTab&amp;id=http%3A%2F%2Fwho.int%2Ficd%2328946_512ebf36_bf6b_4d70_85da_cf2637062af4","iCat")</x:f>
      </x:c>
      <x:c r="M5280" s="0" t="s">
        <x:v>21</x:v>
      </x:c>
      <x:c r="N5280" s="0" t="s">
        <x:v>46</x:v>
      </x:c>
    </x:row>
    <x:row r="5281" spans="1:16">
      <x:c r="A5281" s="0" t="s">
        <x:v>20975</x:v>
      </x:c>
      <x:c r="B5281" s="0" t="s">
        <x:v>20976</x:v>
      </x:c>
      <x:c r="C5281" s="0" t="s">
        <x:v>20977</x:v>
      </x:c>
      <x:c r="E5281" s="0" t="s">
        <x:v>20978</x:v>
      </x:c>
      <x:c r="F5281" s="0" t="s">
        <x:v>45</x:v>
      </x:c>
      <x:c r="G5281" s="0" t="s">
        <x:v>19</x:v>
      </x:c>
      <x:c r="H5281" s="0" t="s">
        <x:v>20</x:v>
      </x:c>
      <x:c r="I5281" s="0" t="s">
        <x:v>21</x:v>
      </x:c>
      <x:c r="K5281" s="0">
        <x:f>hyperlink("https://icd.who.int/dev11/l-ichi/en#/http%3A%2F%2Fid.who.int%2Ficd%2Fentity%2F622746153","browser")</x:f>
      </x:c>
      <x:c r="L5281" s="0">
        <x:f>hyperlink("https://icat2.azurewebsites.net/icat/?ontology=ICD&amp;tab=ClassesTab&amp;id=http%3A%2F%2Fwho.int%2Ficd%23248_e02c2df3_77b6_419a_b43f_c4531334dd70","iCat")</x:f>
      </x:c>
      <x:c r="M5281" s="0" t="s">
        <x:v>21</x:v>
      </x:c>
      <x:c r="N5281" s="0" t="s">
        <x:v>46</x:v>
      </x:c>
    </x:row>
    <x:row r="5282" spans="1:16">
      <x:c r="A5282" s="0" t="s">
        <x:v>20979</x:v>
      </x:c>
      <x:c r="B5282" s="0" t="s">
        <x:v>20980</x:v>
      </x:c>
      <x:c r="C5282" s="0" t="s">
        <x:v>20981</x:v>
      </x:c>
      <x:c r="E5282" s="0" t="s">
        <x:v>20982</x:v>
      </x:c>
      <x:c r="F5282" s="0" t="s">
        <x:v>45</x:v>
      </x:c>
      <x:c r="G5282" s="0" t="s">
        <x:v>19</x:v>
      </x:c>
      <x:c r="H5282" s="0" t="s">
        <x:v>20</x:v>
      </x:c>
      <x:c r="I5282" s="0" t="s">
        <x:v>21</x:v>
      </x:c>
      <x:c r="K5282" s="0">
        <x:f>hyperlink("https://icd.who.int/dev11/l-ichi/en#/http%3A%2F%2Fid.who.int%2Ficd%2Fentity%2F1717938067","browser")</x:f>
      </x:c>
      <x:c r="L5282" s="0">
        <x:f>hyperlink("https://icat2.azurewebsites.net/icat/?ontology=ICD&amp;tab=ClassesTab&amp;id=http%3A%2F%2Fwho.int%2Ficd%2328957_512ebf36_bf6b_4d70_85da_cf2637062af4","iCat")</x:f>
      </x:c>
      <x:c r="M5282" s="0" t="s">
        <x:v>21</x:v>
      </x:c>
      <x:c r="N5282" s="0" t="s">
        <x:v>46</x:v>
      </x:c>
    </x:row>
    <x:row r="5283" spans="1:16">
      <x:c r="A5283" s="0" t="s">
        <x:v>20983</x:v>
      </x:c>
      <x:c r="B5283" s="0" t="s">
        <x:v>20984</x:v>
      </x:c>
      <x:c r="C5283" s="0" t="s">
        <x:v>20985</x:v>
      </x:c>
      <x:c r="E5283" s="0" t="s">
        <x:v>20986</x:v>
      </x:c>
      <x:c r="F5283" s="0" t="s">
        <x:v>45</x:v>
      </x:c>
      <x:c r="G5283" s="0" t="s">
        <x:v>19</x:v>
      </x:c>
      <x:c r="H5283" s="0" t="s">
        <x:v>20</x:v>
      </x:c>
      <x:c r="I5283" s="0" t="s">
        <x:v>21</x:v>
      </x:c>
      <x:c r="K5283" s="0">
        <x:f>hyperlink("https://icd.who.int/dev11/l-ichi/en#/http%3A%2F%2Fid.who.int%2Ficd%2Fentity%2F332604386","browser")</x:f>
      </x:c>
      <x:c r="L5283" s="0">
        <x:f>hyperlink("https://icat2.azurewebsites.net/icat/?ontology=ICD&amp;tab=ClassesTab&amp;id=http%3A%2F%2Fwho.int%2Ficd%2328963_512ebf36_bf6b_4d70_85da_cf2637062af4","iCat")</x:f>
      </x:c>
      <x:c r="M5283" s="0" t="s">
        <x:v>21</x:v>
      </x:c>
      <x:c r="N5283" s="0" t="s">
        <x:v>46</x:v>
      </x:c>
    </x:row>
    <x:row r="5284" spans="1:16">
      <x:c r="A5284" s="0" t="s">
        <x:v>20987</x:v>
      </x:c>
      <x:c r="B5284" s="0" t="s">
        <x:v>20988</x:v>
      </x:c>
      <x:c r="C5284" s="0" t="s">
        <x:v>20989</x:v>
      </x:c>
      <x:c r="E5284" s="0" t="s">
        <x:v>20990</x:v>
      </x:c>
      <x:c r="F5284" s="0" t="s">
        <x:v>45</x:v>
      </x:c>
      <x:c r="G5284" s="0" t="s">
        <x:v>19</x:v>
      </x:c>
      <x:c r="H5284" s="0" t="s">
        <x:v>20</x:v>
      </x:c>
      <x:c r="I5284" s="0" t="s">
        <x:v>21</x:v>
      </x:c>
      <x:c r="K5284" s="0">
        <x:f>hyperlink("https://icd.who.int/dev11/l-ichi/en#/http%3A%2F%2Fid.who.int%2Ficd%2Fentity%2F476752756","browser")</x:f>
      </x:c>
      <x:c r="L5284" s="0">
        <x:f>hyperlink("https://icat2.azurewebsites.net/icat/?ontology=ICD&amp;tab=ClassesTab&amp;id=http%3A%2F%2Fwho.int%2Ficd%2328971_512ebf36_bf6b_4d70_85da_cf2637062af4","iCat")</x:f>
      </x:c>
      <x:c r="M5284" s="0" t="s">
        <x:v>21</x:v>
      </x:c>
      <x:c r="N5284" s="0" t="s">
        <x:v>46</x:v>
      </x:c>
    </x:row>
    <x:row r="5285" spans="1:16">
      <x:c r="A5285" s="0" t="s">
        <x:v>20991</x:v>
      </x:c>
      <x:c r="B5285" s="0" t="s">
        <x:v>20992</x:v>
      </x:c>
      <x:c r="C5285" s="0" t="s">
        <x:v>20993</x:v>
      </x:c>
      <x:c r="E5285" s="0" t="s">
        <x:v>20994</x:v>
      </x:c>
      <x:c r="F5285" s="0" t="s">
        <x:v>45</x:v>
      </x:c>
      <x:c r="G5285" s="0" t="s">
        <x:v>19</x:v>
      </x:c>
      <x:c r="H5285" s="0" t="s">
        <x:v>20</x:v>
      </x:c>
      <x:c r="I5285" s="0" t="s">
        <x:v>21</x:v>
      </x:c>
      <x:c r="K5285" s="0">
        <x:f>hyperlink("https://icd.who.int/dev11/l-ichi/en#/http%3A%2F%2Fid.who.int%2Ficd%2Fentity%2F1391188519","browser")</x:f>
      </x:c>
      <x:c r="L5285" s="0">
        <x:f>hyperlink("https://icat2.azurewebsites.net/icat/?ontology=ICD&amp;tab=ClassesTab&amp;id=http%3A%2F%2Fwho.int%2Ficd%2328979_512ebf36_bf6b_4d70_85da_cf2637062af4","iCat")</x:f>
      </x:c>
      <x:c r="M5285" s="0" t="s">
        <x:v>21</x:v>
      </x:c>
      <x:c r="N5285" s="0" t="s">
        <x:v>46</x:v>
      </x:c>
    </x:row>
    <x:row r="5286" spans="1:16">
      <x:c r="A5286" s="0" t="s">
        <x:v>20995</x:v>
      </x:c>
      <x:c r="B5286" s="0" t="s">
        <x:v>20996</x:v>
      </x:c>
      <x:c r="C5286" s="0" t="s">
        <x:v>20997</x:v>
      </x:c>
      <x:c r="E5286" s="0" t="s">
        <x:v>20998</x:v>
      </x:c>
      <x:c r="F5286" s="0" t="s">
        <x:v>45</x:v>
      </x:c>
      <x:c r="G5286" s="0" t="s">
        <x:v>19</x:v>
      </x:c>
      <x:c r="H5286" s="0" t="s">
        <x:v>20</x:v>
      </x:c>
      <x:c r="I5286" s="0" t="s">
        <x:v>21</x:v>
      </x:c>
      <x:c r="K5286" s="0">
        <x:f>hyperlink("https://icd.who.int/dev11/l-ichi/en#/http%3A%2F%2Fid.who.int%2Ficd%2Fentity%2F1125075489","browser")</x:f>
      </x:c>
      <x:c r="L5286" s="0">
        <x:f>hyperlink("https://icat2.azurewebsites.net/icat/?ontology=ICD&amp;tab=ClassesTab&amp;id=http%3A%2F%2Fwho.int%2Ficd%2328986_512ebf36_bf6b_4d70_85da_cf2637062af4","iCat")</x:f>
      </x:c>
      <x:c r="M5286" s="0" t="s">
        <x:v>21</x:v>
      </x:c>
      <x:c r="N5286" s="0" t="s">
        <x:v>46</x:v>
      </x:c>
    </x:row>
    <x:row r="5287" spans="1:16">
      <x:c r="A5287" s="0" t="s">
        <x:v>20999</x:v>
      </x:c>
      <x:c r="B5287" s="0" t="s">
        <x:v>21000</x:v>
      </x:c>
      <x:c r="C5287" s="0" t="s">
        <x:v>21001</x:v>
      </x:c>
      <x:c r="E5287" s="0" t="s">
        <x:v>21002</x:v>
      </x:c>
      <x:c r="F5287" s="0" t="s">
        <x:v>45</x:v>
      </x:c>
      <x:c r="G5287" s="0" t="s">
        <x:v>19</x:v>
      </x:c>
      <x:c r="H5287" s="0" t="s">
        <x:v>20</x:v>
      </x:c>
      <x:c r="I5287" s="0" t="s">
        <x:v>21</x:v>
      </x:c>
      <x:c r="K5287" s="0">
        <x:f>hyperlink("https://icd.who.int/dev11/l-ichi/en#/http%3A%2F%2Fid.who.int%2Ficd%2Fentity%2F1010067776","browser")</x:f>
      </x:c>
      <x:c r="L5287" s="0">
        <x:f>hyperlink("https://icat2.azurewebsites.net/icat/?ontology=ICD&amp;tab=ClassesTab&amp;id=http%3A%2F%2Fwho.int%2Ficd%2328993_512ebf36_bf6b_4d70_85da_cf2637062af4","iCat")</x:f>
      </x:c>
      <x:c r="M5287" s="0" t="s">
        <x:v>21</x:v>
      </x:c>
      <x:c r="N5287" s="0" t="s">
        <x:v>46</x:v>
      </x:c>
    </x:row>
    <x:row r="5288" spans="1:16">
      <x:c r="A5288" s="0" t="s">
        <x:v>21003</x:v>
      </x:c>
      <x:c r="B5288" s="0" t="s">
        <x:v>21004</x:v>
      </x:c>
      <x:c r="C5288" s="0" t="s">
        <x:v>21005</x:v>
      </x:c>
      <x:c r="E5288" s="0" t="s">
        <x:v>21006</x:v>
      </x:c>
      <x:c r="F5288" s="0" t="s">
        <x:v>45</x:v>
      </x:c>
      <x:c r="G5288" s="0" t="s">
        <x:v>19</x:v>
      </x:c>
      <x:c r="H5288" s="0" t="s">
        <x:v>20</x:v>
      </x:c>
      <x:c r="I5288" s="0" t="s">
        <x:v>21</x:v>
      </x:c>
      <x:c r="K5288" s="0">
        <x:f>hyperlink("https://icd.who.int/dev11/l-ichi/en#/http%3A%2F%2Fid.who.int%2Ficd%2Fentity%2F718351632","browser")</x:f>
      </x:c>
      <x:c r="L5288" s="0">
        <x:f>hyperlink("https://icat2.azurewebsites.net/icat/?ontology=ICD&amp;tab=ClassesTab&amp;id=http%3A%2F%2Fwho.int%2Ficd%2329000_512ebf36_bf6b_4d70_85da_cf2637062af4","iCat")</x:f>
      </x:c>
      <x:c r="M5288" s="0" t="s">
        <x:v>21</x:v>
      </x:c>
      <x:c r="N5288" s="0" t="s">
        <x:v>46</x:v>
      </x:c>
    </x:row>
    <x:row r="5289" spans="1:16">
      <x:c r="A5289" s="0" t="s">
        <x:v>21007</x:v>
      </x:c>
      <x:c r="B5289" s="0" t="s">
        <x:v>21008</x:v>
      </x:c>
      <x:c r="C5289" s="0" t="s">
        <x:v>21009</x:v>
      </x:c>
      <x:c r="E5289" s="0" t="s">
        <x:v>21010</x:v>
      </x:c>
      <x:c r="F5289" s="0" t="s">
        <x:v>45</x:v>
      </x:c>
      <x:c r="G5289" s="0" t="s">
        <x:v>19</x:v>
      </x:c>
      <x:c r="H5289" s="0" t="s">
        <x:v>20</x:v>
      </x:c>
      <x:c r="I5289" s="0" t="s">
        <x:v>21</x:v>
      </x:c>
      <x:c r="K5289" s="0">
        <x:f>hyperlink("https://icd.who.int/dev11/l-ichi/en#/http%3A%2F%2Fid.who.int%2Ficd%2Fentity%2F2058024097","browser")</x:f>
      </x:c>
      <x:c r="L5289" s="0">
        <x:f>hyperlink("https://icat2.azurewebsites.net/icat/?ontology=ICD&amp;tab=ClassesTab&amp;id=http%3A%2F%2Fwho.int%2Ficd%2329006_512ebf36_bf6b_4d70_85da_cf2637062af4","iCat")</x:f>
      </x:c>
      <x:c r="M5289" s="0" t="s">
        <x:v>21</x:v>
      </x:c>
      <x:c r="N5289" s="0" t="s">
        <x:v>46</x:v>
      </x:c>
    </x:row>
    <x:row r="5290" spans="1:16">
      <x:c r="A5290" s="0" t="s">
        <x:v>21011</x:v>
      </x:c>
      <x:c r="B5290" s="0" t="s">
        <x:v>21012</x:v>
      </x:c>
      <x:c r="C5290" s="0" t="s">
        <x:v>21013</x:v>
      </x:c>
      <x:c r="E5290" s="0" t="s">
        <x:v>21014</x:v>
      </x:c>
      <x:c r="F5290" s="0" t="s">
        <x:v>45</x:v>
      </x:c>
      <x:c r="G5290" s="0" t="s">
        <x:v>19</x:v>
      </x:c>
      <x:c r="H5290" s="0" t="s">
        <x:v>20</x:v>
      </x:c>
      <x:c r="I5290" s="0" t="s">
        <x:v>21</x:v>
      </x:c>
      <x:c r="K5290" s="0">
        <x:f>hyperlink("https://icd.who.int/dev11/l-ichi/en#/http%3A%2F%2Fid.who.int%2Ficd%2Fentity%2F93444032","browser")</x:f>
      </x:c>
      <x:c r="L5290" s="0">
        <x:f>hyperlink("https://icat2.azurewebsites.net/icat/?ontology=ICD&amp;tab=ClassesTab&amp;id=http%3A%2F%2Fwho.int%2Ficd%2329013_512ebf36_bf6b_4d70_85da_cf2637062af4","iCat")</x:f>
      </x:c>
      <x:c r="M5290" s="0" t="s">
        <x:v>21</x:v>
      </x:c>
      <x:c r="N5290" s="0" t="s">
        <x:v>46</x:v>
      </x:c>
    </x:row>
    <x:row r="5291" spans="1:16">
      <x:c r="A5291" s="0" t="s">
        <x:v>21015</x:v>
      </x:c>
      <x:c r="B5291" s="0" t="s">
        <x:v>21016</x:v>
      </x:c>
      <x:c r="C5291" s="0" t="s">
        <x:v>21017</x:v>
      </x:c>
      <x:c r="E5291" s="0" t="s">
        <x:v>21018</x:v>
      </x:c>
      <x:c r="F5291" s="0" t="s">
        <x:v>45</x:v>
      </x:c>
      <x:c r="G5291" s="0" t="s">
        <x:v>19</x:v>
      </x:c>
      <x:c r="H5291" s="0" t="s">
        <x:v>20</x:v>
      </x:c>
      <x:c r="I5291" s="0" t="s">
        <x:v>21</x:v>
      </x:c>
      <x:c r="K5291" s="0">
        <x:f>hyperlink("https://icd.who.int/dev11/l-ichi/en#/http%3A%2F%2Fid.who.int%2Ficd%2Fentity%2F778877744","browser")</x:f>
      </x:c>
      <x:c r="L5291" s="0">
        <x:f>hyperlink("https://icat2.azurewebsites.net/icat/?ontology=ICD&amp;tab=ClassesTab&amp;id=http%3A%2F%2Fwho.int%2Ficd%2329019_512ebf36_bf6b_4d70_85da_cf2637062af4","iCat")</x:f>
      </x:c>
      <x:c r="M5291" s="0" t="s">
        <x:v>21</x:v>
      </x:c>
      <x:c r="N5291" s="0" t="s">
        <x:v>46</x:v>
      </x:c>
    </x:row>
    <x:row r="5292" spans="1:16">
      <x:c r="A5292" s="0" t="s">
        <x:v>21019</x:v>
      </x:c>
      <x:c r="B5292" s="0" t="s">
        <x:v>21020</x:v>
      </x:c>
      <x:c r="C5292" s="0" t="s">
        <x:v>21021</x:v>
      </x:c>
      <x:c r="E5292" s="0" t="s">
        <x:v>21022</x:v>
      </x:c>
      <x:c r="F5292" s="0" t="s">
        <x:v>45</x:v>
      </x:c>
      <x:c r="G5292" s="0" t="s">
        <x:v>19</x:v>
      </x:c>
      <x:c r="H5292" s="0" t="s">
        <x:v>20</x:v>
      </x:c>
      <x:c r="I5292" s="0" t="s">
        <x:v>21</x:v>
      </x:c>
      <x:c r="K5292" s="0">
        <x:f>hyperlink("https://icd.who.int/dev11/l-ichi/en#/http%3A%2F%2Fid.who.int%2Ficd%2Fentity%2F358305290","browser")</x:f>
      </x:c>
      <x:c r="L5292" s="0">
        <x:f>hyperlink("https://icat2.azurewebsites.net/icat/?ontology=ICD&amp;tab=ClassesTab&amp;id=http%3A%2F%2Fwho.int%2Ficd%2329025_512ebf36_bf6b_4d70_85da_cf2637062af4","iCat")</x:f>
      </x:c>
      <x:c r="M5292" s="0" t="s">
        <x:v>21</x:v>
      </x:c>
      <x:c r="N5292" s="0" t="s">
        <x:v>46</x:v>
      </x:c>
    </x:row>
    <x:row r="5293" spans="1:16">
      <x:c r="A5293" s="0" t="s">
        <x:v>21023</x:v>
      </x:c>
      <x:c r="B5293" s="0" t="s">
        <x:v>21024</x:v>
      </x:c>
      <x:c r="C5293" s="0" t="s">
        <x:v>21025</x:v>
      </x:c>
      <x:c r="E5293" s="0" t="s">
        <x:v>21026</x:v>
      </x:c>
      <x:c r="F5293" s="0" t="s">
        <x:v>45</x:v>
      </x:c>
      <x:c r="G5293" s="0" t="s">
        <x:v>19</x:v>
      </x:c>
      <x:c r="H5293" s="0" t="s">
        <x:v>20</x:v>
      </x:c>
      <x:c r="I5293" s="0" t="s">
        <x:v>21</x:v>
      </x:c>
      <x:c r="K5293" s="0">
        <x:f>hyperlink("https://icd.who.int/dev11/l-ichi/en#/http%3A%2F%2Fid.who.int%2Ficd%2Fentity%2F1251548971","browser")</x:f>
      </x:c>
      <x:c r="L5293" s="0">
        <x:f>hyperlink("https://icat2.azurewebsites.net/icat/?ontology=ICD&amp;tab=ClassesTab&amp;id=http%3A%2F%2Fwho.int%2Ficd%2329031_512ebf36_bf6b_4d70_85da_cf2637062af4","iCat")</x:f>
      </x:c>
      <x:c r="M5293" s="0" t="s">
        <x:v>21</x:v>
      </x:c>
      <x:c r="N5293" s="0" t="s">
        <x:v>46</x:v>
      </x:c>
    </x:row>
    <x:row r="5294" spans="1:16">
      <x:c r="A5294" s="0" t="s">
        <x:v>21027</x:v>
      </x:c>
      <x:c r="B5294" s="0" t="s">
        <x:v>21028</x:v>
      </x:c>
      <x:c r="C5294" s="0" t="s">
        <x:v>21029</x:v>
      </x:c>
      <x:c r="E5294" s="0" t="s">
        <x:v>21030</x:v>
      </x:c>
      <x:c r="F5294" s="0" t="s">
        <x:v>45</x:v>
      </x:c>
      <x:c r="G5294" s="0" t="s">
        <x:v>19</x:v>
      </x:c>
      <x:c r="H5294" s="0" t="s">
        <x:v>20</x:v>
      </x:c>
      <x:c r="I5294" s="0" t="s">
        <x:v>21</x:v>
      </x:c>
      <x:c r="K5294" s="0">
        <x:f>hyperlink("https://icd.who.int/dev11/l-ichi/en#/http%3A%2F%2Fid.who.int%2Ficd%2Fentity%2F618732612","browser")</x:f>
      </x:c>
      <x:c r="L5294" s="0">
        <x:f>hyperlink("https://icat2.azurewebsites.net/icat/?ontology=ICD&amp;tab=ClassesTab&amp;id=http%3A%2F%2Fwho.int%2Ficd%2329038_512ebf36_bf6b_4d70_85da_cf2637062af4","iCat")</x:f>
      </x:c>
      <x:c r="M5294" s="0" t="s">
        <x:v>21</x:v>
      </x:c>
      <x:c r="N5294" s="0" t="s">
        <x:v>46</x:v>
      </x:c>
    </x:row>
    <x:row r="5295" spans="1:16">
      <x:c r="A5295" s="0" t="s">
        <x:v>21031</x:v>
      </x:c>
      <x:c r="B5295" s="0" t="s">
        <x:v>21032</x:v>
      </x:c>
      <x:c r="C5295" s="0" t="s">
        <x:v>21033</x:v>
      </x:c>
      <x:c r="E5295" s="0" t="s">
        <x:v>21034</x:v>
      </x:c>
      <x:c r="F5295" s="0" t="s">
        <x:v>45</x:v>
      </x:c>
      <x:c r="G5295" s="0" t="s">
        <x:v>19</x:v>
      </x:c>
      <x:c r="H5295" s="0" t="s">
        <x:v>20</x:v>
      </x:c>
      <x:c r="I5295" s="0" t="s">
        <x:v>21</x:v>
      </x:c>
      <x:c r="K5295" s="0">
        <x:f>hyperlink("https://icd.who.int/dev11/l-ichi/en#/http%3A%2F%2Fid.who.int%2Ficd%2Fentity%2F181249982","browser")</x:f>
      </x:c>
      <x:c r="L5295" s="0">
        <x:f>hyperlink("https://icat2.azurewebsites.net/icat/?ontology=ICD&amp;tab=ClassesTab&amp;id=http%3A%2F%2Fwho.int%2Ficd%2329046_512ebf36_bf6b_4d70_85da_cf2637062af4","iCat")</x:f>
      </x:c>
      <x:c r="M5295" s="0" t="s">
        <x:v>21</x:v>
      </x:c>
      <x:c r="N5295" s="0" t="s">
        <x:v>46</x:v>
      </x:c>
    </x:row>
    <x:row r="5296" spans="1:16">
      <x:c r="A5296" s="0" t="s">
        <x:v>21035</x:v>
      </x:c>
      <x:c r="B5296" s="0" t="s">
        <x:v>21036</x:v>
      </x:c>
      <x:c r="C5296" s="0" t="s">
        <x:v>21037</x:v>
      </x:c>
      <x:c r="E5296" s="0" t="s">
        <x:v>21038</x:v>
      </x:c>
      <x:c r="F5296" s="0" t="s">
        <x:v>45</x:v>
      </x:c>
      <x:c r="G5296" s="0" t="s">
        <x:v>19</x:v>
      </x:c>
      <x:c r="H5296" s="0" t="s">
        <x:v>20</x:v>
      </x:c>
      <x:c r="I5296" s="0" t="s">
        <x:v>21</x:v>
      </x:c>
      <x:c r="K5296" s="0">
        <x:f>hyperlink("https://icd.who.int/dev11/l-ichi/en#/http%3A%2F%2Fid.who.int%2Ficd%2Fentity%2F1979090083","browser")</x:f>
      </x:c>
      <x:c r="L5296" s="0">
        <x:f>hyperlink("https://icat2.azurewebsites.net/icat/?ontology=ICD&amp;tab=ClassesTab&amp;id=http%3A%2F%2Fwho.int%2Ficd%2329053_512ebf36_bf6b_4d70_85da_cf2637062af4","iCat")</x:f>
      </x:c>
      <x:c r="M5296" s="0" t="s">
        <x:v>21</x:v>
      </x:c>
      <x:c r="N5296" s="0" t="s">
        <x:v>46</x:v>
      </x:c>
    </x:row>
    <x:row r="5297" spans="1:16">
      <x:c r="A5297" s="0" t="s">
        <x:v>21039</x:v>
      </x:c>
      <x:c r="B5297" s="0" t="s">
        <x:v>21040</x:v>
      </x:c>
      <x:c r="C5297" s="0" t="s">
        <x:v>21041</x:v>
      </x:c>
      <x:c r="E5297" s="0" t="s">
        <x:v>21042</x:v>
      </x:c>
      <x:c r="F5297" s="0" t="s">
        <x:v>45</x:v>
      </x:c>
      <x:c r="G5297" s="0" t="s">
        <x:v>19</x:v>
      </x:c>
      <x:c r="H5297" s="0" t="s">
        <x:v>20</x:v>
      </x:c>
      <x:c r="I5297" s="0" t="s">
        <x:v>21</x:v>
      </x:c>
      <x:c r="K5297" s="0">
        <x:f>hyperlink("https://icd.who.int/dev11/l-ichi/en#/http%3A%2F%2Fid.who.int%2Ficd%2Fentity%2F1891806045","browser")</x:f>
      </x:c>
      <x:c r="L5297" s="0">
        <x:f>hyperlink("https://icat2.azurewebsites.net/icat/?ontology=ICD&amp;tab=ClassesTab&amp;id=http%3A%2F%2Fwho.int%2Ficd%2329060_512ebf36_bf6b_4d70_85da_cf2637062af4","iCat")</x:f>
      </x:c>
      <x:c r="M5297" s="0" t="s">
        <x:v>21</x:v>
      </x:c>
      <x:c r="N5297" s="0" t="s">
        <x:v>46</x:v>
      </x:c>
    </x:row>
    <x:row r="5298" spans="1:16">
      <x:c r="A5298" s="0" t="s">
        <x:v>21043</x:v>
      </x:c>
      <x:c r="B5298" s="0" t="s">
        <x:v>21044</x:v>
      </x:c>
      <x:c r="D5298" s="0" t="s">
        <x:v>21045</x:v>
      </x:c>
      <x:c r="E5298" s="0" t="s">
        <x:v>21046</x:v>
      </x:c>
      <x:c r="F5298" s="0" t="s">
        <x:v>26</x:v>
      </x:c>
      <x:c r="G5298" s="0" t="s">
        <x:v>22</x:v>
      </x:c>
      <x:c r="H5298" s="0" t="s">
        <x:v>20</x:v>
      </x:c>
      <x:c r="I5298" s="0" t="s">
        <x:v>21</x:v>
      </x:c>
      <x:c r="K5298" s="0">
        <x:f>hyperlink("https://icd.who.int/dev11/l-ichi/en#/http%3A%2F%2Fid.who.int%2Ficd%2Fentity%2F4194514","browser")</x:f>
      </x:c>
      <x:c r="L5298" s="0">
        <x:f>hyperlink("https://icat2.azurewebsites.net/icat/?ontology=ICD&amp;tab=ClassesTab&amp;id=http%3A%2F%2Fwho.int%2Ficd%2329067_512ebf36_bf6b_4d70_85da_cf2637062af4","iCat")</x:f>
      </x:c>
      <x:c r="M5298" s="0" t="s">
        <x:v>20</x:v>
      </x:c>
      <x:c r="N5298" s="0" t="s">
        <x:v>35</x:v>
      </x:c>
    </x:row>
    <x:row r="5299" spans="1:16">
      <x:c r="A5299" s="0" t="s">
        <x:v>21047</x:v>
      </x:c>
      <x:c r="B5299" s="0" t="s">
        <x:v>21048</x:v>
      </x:c>
      <x:c r="C5299" s="0" t="s">
        <x:v>21049</x:v>
      </x:c>
      <x:c r="E5299" s="0" t="s">
        <x:v>21050</x:v>
      </x:c>
      <x:c r="F5299" s="0" t="s">
        <x:v>45</x:v>
      </x:c>
      <x:c r="G5299" s="0" t="s">
        <x:v>19</x:v>
      </x:c>
      <x:c r="H5299" s="0" t="s">
        <x:v>20</x:v>
      </x:c>
      <x:c r="I5299" s="0" t="s">
        <x:v>21</x:v>
      </x:c>
      <x:c r="K5299" s="0">
        <x:f>hyperlink("https://icd.who.int/dev11/l-ichi/en#/http%3A%2F%2Fid.who.int%2Ficd%2Fentity%2F549024492","browser")</x:f>
      </x:c>
      <x:c r="L5299" s="0">
        <x:f>hyperlink("https://icat2.azurewebsites.net/icat/?ontology=ICD&amp;tab=ClassesTab&amp;id=http%3A%2F%2Fwho.int%2Ficd%2329066_512ebf36_bf6b_4d70_85da_cf2637062af4","iCat")</x:f>
      </x:c>
      <x:c r="M5299" s="0" t="s">
        <x:v>21</x:v>
      </x:c>
      <x:c r="N5299" s="0" t="s">
        <x:v>46</x:v>
      </x:c>
    </x:row>
    <x:row r="5300" spans="1:16">
      <x:c r="A5300" s="0" t="s">
        <x:v>21051</x:v>
      </x:c>
      <x:c r="B5300" s="0" t="s">
        <x:v>21052</x:v>
      </x:c>
      <x:c r="C5300" s="0" t="s">
        <x:v>21053</x:v>
      </x:c>
      <x:c r="E5300" s="0" t="s">
        <x:v>21054</x:v>
      </x:c>
      <x:c r="F5300" s="0" t="s">
        <x:v>45</x:v>
      </x:c>
      <x:c r="G5300" s="0" t="s">
        <x:v>19</x:v>
      </x:c>
      <x:c r="H5300" s="0" t="s">
        <x:v>20</x:v>
      </x:c>
      <x:c r="I5300" s="0" t="s">
        <x:v>21</x:v>
      </x:c>
      <x:c r="K5300" s="0">
        <x:f>hyperlink("https://icd.who.int/dev11/l-ichi/en#/http%3A%2F%2Fid.who.int%2Ficd%2Fentity%2F1954495843","browser")</x:f>
      </x:c>
      <x:c r="L5300" s="0">
        <x:f>hyperlink("https://icat2.azurewebsites.net/icat/?ontology=ICD&amp;tab=ClassesTab&amp;id=http%3A%2F%2Fwho.int%2Ficd%2329079_512ebf36_bf6b_4d70_85da_cf2637062af4","iCat")</x:f>
      </x:c>
      <x:c r="M5300" s="0" t="s">
        <x:v>21</x:v>
      </x:c>
      <x:c r="N5300" s="0" t="s">
        <x:v>46</x:v>
      </x:c>
    </x:row>
    <x:row r="5301" spans="1:16">
      <x:c r="A5301" s="0" t="s">
        <x:v>21055</x:v>
      </x:c>
      <x:c r="B5301" s="0" t="s">
        <x:v>21056</x:v>
      </x:c>
      <x:c r="C5301" s="0" t="s">
        <x:v>21057</x:v>
      </x:c>
      <x:c r="E5301" s="0" t="s">
        <x:v>21058</x:v>
      </x:c>
      <x:c r="F5301" s="0" t="s">
        <x:v>45</x:v>
      </x:c>
      <x:c r="G5301" s="0" t="s">
        <x:v>19</x:v>
      </x:c>
      <x:c r="H5301" s="0" t="s">
        <x:v>20</x:v>
      </x:c>
      <x:c r="I5301" s="0" t="s">
        <x:v>21</x:v>
      </x:c>
      <x:c r="K5301" s="0">
        <x:f>hyperlink("https://icd.who.int/dev11/l-ichi/en#/http%3A%2F%2Fid.who.int%2Ficd%2Fentity%2F1852474981","browser")</x:f>
      </x:c>
      <x:c r="L5301" s="0">
        <x:f>hyperlink("https://icat2.azurewebsites.net/icat/?ontology=ICD&amp;tab=ClassesTab&amp;id=http%3A%2F%2Fwho.int%2Ficd%2329206_512ebf36_bf6b_4d70_85da_cf2637062af4","iCat")</x:f>
      </x:c>
      <x:c r="M5301" s="0" t="s">
        <x:v>21</x:v>
      </x:c>
      <x:c r="N5301" s="0" t="s">
        <x:v>46</x:v>
      </x:c>
    </x:row>
    <x:row r="5302" spans="1:16">
      <x:c r="A5302" s="0" t="s">
        <x:v>21059</x:v>
      </x:c>
      <x:c r="B5302" s="0" t="s">
        <x:v>21060</x:v>
      </x:c>
      <x:c r="D5302" s="0" t="s">
        <x:v>21061</x:v>
      </x:c>
      <x:c r="E5302" s="0" t="s">
        <x:v>21062</x:v>
      </x:c>
      <x:c r="F5302" s="0" t="s">
        <x:v>26</x:v>
      </x:c>
      <x:c r="G5302" s="0" t="s">
        <x:v>22</x:v>
      </x:c>
      <x:c r="H5302" s="0" t="s">
        <x:v>20</x:v>
      </x:c>
      <x:c r="I5302" s="0" t="s">
        <x:v>21</x:v>
      </x:c>
      <x:c r="K5302" s="0">
        <x:f>hyperlink("https://icd.who.int/dev11/l-ichi/en#/http%3A%2F%2Fid.who.int%2Ficd%2Fentity%2F1641221879","browser")</x:f>
      </x:c>
      <x:c r="L5302" s="0">
        <x:f>hyperlink("https://icat2.azurewebsites.net/icat/?ontology=ICD&amp;tab=ClassesTab&amp;id=http%3A%2F%2Fwho.int%2Ficd%2329214_512ebf36_bf6b_4d70_85da_cf2637062af4","iCat")</x:f>
      </x:c>
      <x:c r="M5302" s="0" t="s">
        <x:v>20</x:v>
      </x:c>
      <x:c r="N5302" s="0" t="s">
        <x:v>21063</x:v>
      </x:c>
    </x:row>
    <x:row r="5303" spans="1:16">
      <x:c r="A5303" s="0" t="s">
        <x:v>21064</x:v>
      </x:c>
      <x:c r="B5303" s="0" t="s">
        <x:v>21065</x:v>
      </x:c>
      <x:c r="C5303" s="0" t="s">
        <x:v>21066</x:v>
      </x:c>
      <x:c r="E5303" s="0" t="s">
        <x:v>21067</x:v>
      </x:c>
      <x:c r="F5303" s="0" t="s">
        <x:v>45</x:v>
      </x:c>
      <x:c r="G5303" s="0" t="s">
        <x:v>19</x:v>
      </x:c>
      <x:c r="H5303" s="0" t="s">
        <x:v>20</x:v>
      </x:c>
      <x:c r="I5303" s="0" t="s">
        <x:v>21</x:v>
      </x:c>
      <x:c r="K5303" s="0">
        <x:f>hyperlink("https://icd.who.int/dev11/l-ichi/en#/http%3A%2F%2Fid.who.int%2Ficd%2Fentity%2F290563450","browser")</x:f>
      </x:c>
      <x:c r="L5303" s="0">
        <x:f>hyperlink("https://icat2.azurewebsites.net/icat/?ontology=ICD&amp;tab=ClassesTab&amp;id=http%3A%2F%2Fwho.int%2Ficd%2329213_512ebf36_bf6b_4d70_85da_cf2637062af4","iCat")</x:f>
      </x:c>
      <x:c r="M5303" s="0" t="s">
        <x:v>21</x:v>
      </x:c>
      <x:c r="N5303" s="0" t="s">
        <x:v>46</x:v>
      </x:c>
    </x:row>
    <x:row r="5304" spans="1:16">
      <x:c r="A5304" s="0" t="s">
        <x:v>21068</x:v>
      </x:c>
      <x:c r="B5304" s="0" t="s">
        <x:v>21069</x:v>
      </x:c>
      <x:c r="C5304" s="0" t="s">
        <x:v>21070</x:v>
      </x:c>
      <x:c r="E5304" s="0" t="s">
        <x:v>21071</x:v>
      </x:c>
      <x:c r="F5304" s="0" t="s">
        <x:v>45</x:v>
      </x:c>
      <x:c r="G5304" s="0" t="s">
        <x:v>19</x:v>
      </x:c>
      <x:c r="H5304" s="0" t="s">
        <x:v>20</x:v>
      </x:c>
      <x:c r="I5304" s="0" t="s">
        <x:v>21</x:v>
      </x:c>
      <x:c r="K5304" s="0">
        <x:f>hyperlink("https://icd.who.int/dev11/l-ichi/en#/http%3A%2F%2Fid.who.int%2Ficd%2Fentity%2F1142838069","browser")</x:f>
      </x:c>
      <x:c r="L5304" s="0">
        <x:f>hyperlink("https://icat2.azurewebsites.net/icat/?ontology=ICD&amp;tab=ClassesTab&amp;id=http%3A%2F%2Fwho.int%2Ficd%2329226_512ebf36_bf6b_4d70_85da_cf2637062af4","iCat")</x:f>
      </x:c>
      <x:c r="M5304" s="0" t="s">
        <x:v>21</x:v>
      </x:c>
      <x:c r="N5304" s="0" t="s">
        <x:v>46</x:v>
      </x:c>
    </x:row>
    <x:row r="5305" spans="1:16">
      <x:c r="A5305" s="0" t="s">
        <x:v>21072</x:v>
      </x:c>
      <x:c r="B5305" s="0" t="s">
        <x:v>21073</x:v>
      </x:c>
      <x:c r="C5305" s="0" t="s">
        <x:v>21074</x:v>
      </x:c>
      <x:c r="E5305" s="0" t="s">
        <x:v>21075</x:v>
      </x:c>
      <x:c r="F5305" s="0" t="s">
        <x:v>45</x:v>
      </x:c>
      <x:c r="G5305" s="0" t="s">
        <x:v>19</x:v>
      </x:c>
      <x:c r="H5305" s="0" t="s">
        <x:v>20</x:v>
      </x:c>
      <x:c r="I5305" s="0" t="s">
        <x:v>21</x:v>
      </x:c>
      <x:c r="K5305" s="0">
        <x:f>hyperlink("https://icd.who.int/dev11/l-ichi/en#/http%3A%2F%2Fid.who.int%2Ficd%2Fentity%2F1801365915","browser")</x:f>
      </x:c>
      <x:c r="L5305" s="0">
        <x:f>hyperlink("https://icat2.azurewebsites.net/icat/?ontology=ICD&amp;tab=ClassesTab&amp;id=http%3A%2F%2Fwho.int%2Ficd%2329235_512ebf36_bf6b_4d70_85da_cf2637062af4","iCat")</x:f>
      </x:c>
      <x:c r="M5305" s="0" t="s">
        <x:v>21</x:v>
      </x:c>
      <x:c r="N5305" s="0" t="s">
        <x:v>46</x:v>
      </x:c>
    </x:row>
    <x:row r="5306" spans="1:16">
      <x:c r="A5306" s="0" t="s">
        <x:v>21076</x:v>
      </x:c>
      <x:c r="B5306" s="0" t="s">
        <x:v>21077</x:v>
      </x:c>
      <x:c r="C5306" s="0" t="s">
        <x:v>21078</x:v>
      </x:c>
      <x:c r="E5306" s="0" t="s">
        <x:v>21079</x:v>
      </x:c>
      <x:c r="F5306" s="0" t="s">
        <x:v>45</x:v>
      </x:c>
      <x:c r="G5306" s="0" t="s">
        <x:v>19</x:v>
      </x:c>
      <x:c r="H5306" s="0" t="s">
        <x:v>20</x:v>
      </x:c>
      <x:c r="I5306" s="0" t="s">
        <x:v>21</x:v>
      </x:c>
      <x:c r="K5306" s="0">
        <x:f>hyperlink("https://icd.who.int/dev11/l-ichi/en#/http%3A%2F%2Fid.who.int%2Ficd%2Fentity%2F1854897909","browser")</x:f>
      </x:c>
      <x:c r="L5306" s="0">
        <x:f>hyperlink("https://icat2.azurewebsites.net/icat/?ontology=ICD&amp;tab=ClassesTab&amp;id=http%3A%2F%2Fwho.int%2Ficd%2329241_512ebf36_bf6b_4d70_85da_cf2637062af4","iCat")</x:f>
      </x:c>
      <x:c r="M5306" s="0" t="s">
        <x:v>21</x:v>
      </x:c>
      <x:c r="N5306" s="0" t="s">
        <x:v>46</x:v>
      </x:c>
    </x:row>
    <x:row r="5307" spans="1:16">
      <x:c r="A5307" s="0" t="s">
        <x:v>21080</x:v>
      </x:c>
      <x:c r="B5307" s="0" t="s">
        <x:v>21081</x:v>
      </x:c>
      <x:c r="C5307" s="0" t="s">
        <x:v>21082</x:v>
      </x:c>
      <x:c r="E5307" s="0" t="s">
        <x:v>21083</x:v>
      </x:c>
      <x:c r="F5307" s="0" t="s">
        <x:v>45</x:v>
      </x:c>
      <x:c r="G5307" s="0" t="s">
        <x:v>19</x:v>
      </x:c>
      <x:c r="H5307" s="0" t="s">
        <x:v>20</x:v>
      </x:c>
      <x:c r="I5307" s="0" t="s">
        <x:v>21</x:v>
      </x:c>
      <x:c r="K5307" s="0">
        <x:f>hyperlink("https://icd.who.int/dev11/l-ichi/en#/http%3A%2F%2Fid.who.int%2Ficd%2Fentity%2F247942350","browser")</x:f>
      </x:c>
      <x:c r="L5307" s="0">
        <x:f>hyperlink("https://icat2.azurewebsites.net/icat/?ontology=ICD&amp;tab=ClassesTab&amp;id=http%3A%2F%2Fwho.int%2Ficd%2329270_512ebf36_bf6b_4d70_85da_cf2637062af4","iCat")</x:f>
      </x:c>
      <x:c r="M5307" s="0" t="s">
        <x:v>21</x:v>
      </x:c>
      <x:c r="N5307" s="0" t="s">
        <x:v>46</x:v>
      </x:c>
    </x:row>
    <x:row r="5308" spans="1:16">
      <x:c r="A5308" s="0" t="s">
        <x:v>21084</x:v>
      </x:c>
      <x:c r="B5308" s="0" t="s">
        <x:v>21085</x:v>
      </x:c>
      <x:c r="C5308" s="0" t="s">
        <x:v>21086</x:v>
      </x:c>
      <x:c r="E5308" s="0" t="s">
        <x:v>21087</x:v>
      </x:c>
      <x:c r="F5308" s="0" t="s">
        <x:v>45</x:v>
      </x:c>
      <x:c r="G5308" s="0" t="s">
        <x:v>19</x:v>
      </x:c>
      <x:c r="H5308" s="0" t="s">
        <x:v>20</x:v>
      </x:c>
      <x:c r="I5308" s="0" t="s">
        <x:v>21</x:v>
      </x:c>
      <x:c r="K5308" s="0">
        <x:f>hyperlink("https://icd.who.int/dev11/l-ichi/en#/http%3A%2F%2Fid.who.int%2Ficd%2Fentity%2F16219550","browser")</x:f>
      </x:c>
      <x:c r="L5308" s="0">
        <x:f>hyperlink("https://icat2.azurewebsites.net/icat/?ontology=ICD&amp;tab=ClassesTab&amp;id=http%3A%2F%2Fwho.int%2Ficd%2329248_512ebf36_bf6b_4d70_85da_cf2637062af4","iCat")</x:f>
      </x:c>
      <x:c r="M5308" s="0" t="s">
        <x:v>21</x:v>
      </x:c>
      <x:c r="N5308" s="0" t="s">
        <x:v>46</x:v>
      </x:c>
    </x:row>
    <x:row r="5309" spans="1:16">
      <x:c r="A5309" s="0" t="s">
        <x:v>21088</x:v>
      </x:c>
      <x:c r="B5309" s="0" t="s">
        <x:v>21089</x:v>
      </x:c>
      <x:c r="C5309" s="0" t="s">
        <x:v>21090</x:v>
      </x:c>
      <x:c r="E5309" s="0" t="s">
        <x:v>21091</x:v>
      </x:c>
      <x:c r="F5309" s="0" t="s">
        <x:v>45</x:v>
      </x:c>
      <x:c r="G5309" s="0" t="s">
        <x:v>19</x:v>
      </x:c>
      <x:c r="H5309" s="0" t="s">
        <x:v>20</x:v>
      </x:c>
      <x:c r="I5309" s="0" t="s">
        <x:v>21</x:v>
      </x:c>
      <x:c r="K5309" s="0">
        <x:f>hyperlink("https://icd.who.int/dev11/l-ichi/en#/http%3A%2F%2Fid.who.int%2Ficd%2Fentity%2F827142104","browser")</x:f>
      </x:c>
      <x:c r="L5309" s="0">
        <x:f>hyperlink("https://icat2.azurewebsites.net/icat/?ontology=ICD&amp;tab=ClassesTab&amp;id=http%3A%2F%2Fwho.int%2Ficd%2329255_512ebf36_bf6b_4d70_85da_cf2637062af4","iCat")</x:f>
      </x:c>
      <x:c r="M5309" s="0" t="s">
        <x:v>21</x:v>
      </x:c>
      <x:c r="N5309" s="0" t="s">
        <x:v>46</x:v>
      </x:c>
    </x:row>
    <x:row r="5310" spans="1:16">
      <x:c r="A5310" s="0" t="s">
        <x:v>21092</x:v>
      </x:c>
      <x:c r="B5310" s="0" t="s">
        <x:v>21093</x:v>
      </x:c>
      <x:c r="C5310" s="0" t="s">
        <x:v>21094</x:v>
      </x:c>
      <x:c r="E5310" s="0" t="s">
        <x:v>21095</x:v>
      </x:c>
      <x:c r="F5310" s="0" t="s">
        <x:v>45</x:v>
      </x:c>
      <x:c r="G5310" s="0" t="s">
        <x:v>19</x:v>
      </x:c>
      <x:c r="H5310" s="0" t="s">
        <x:v>20</x:v>
      </x:c>
      <x:c r="I5310" s="0" t="s">
        <x:v>21</x:v>
      </x:c>
      <x:c r="K5310" s="0">
        <x:f>hyperlink("https://icd.who.int/dev11/l-ichi/en#/http%3A%2F%2Fid.who.int%2Ficd%2Fentity%2F562542178","browser")</x:f>
      </x:c>
      <x:c r="L5310" s="0">
        <x:f>hyperlink("https://icat2.azurewebsites.net/icat/?ontology=ICD&amp;tab=ClassesTab&amp;id=http%3A%2F%2Fwho.int%2Ficd%2329263_512ebf36_bf6b_4d70_85da_cf2637062af4","iCat")</x:f>
      </x:c>
      <x:c r="M5310" s="0" t="s">
        <x:v>21</x:v>
      </x:c>
      <x:c r="N5310" s="0" t="s">
        <x:v>46</x:v>
      </x:c>
    </x:row>
    <x:row r="5311" spans="1:16">
      <x:c r="A5311" s="0" t="s">
        <x:v>21096</x:v>
      </x:c>
      <x:c r="B5311" s="0" t="s">
        <x:v>21097</x:v>
      </x:c>
      <x:c r="C5311" s="0" t="s">
        <x:v>21098</x:v>
      </x:c>
      <x:c r="E5311" s="0" t="s">
        <x:v>21099</x:v>
      </x:c>
      <x:c r="F5311" s="0" t="s">
        <x:v>45</x:v>
      </x:c>
      <x:c r="G5311" s="0" t="s">
        <x:v>19</x:v>
      </x:c>
      <x:c r="H5311" s="0" t="s">
        <x:v>20</x:v>
      </x:c>
      <x:c r="I5311" s="0" t="s">
        <x:v>21</x:v>
      </x:c>
      <x:c r="K5311" s="0">
        <x:f>hyperlink("https://icd.who.int/dev11/l-ichi/en#/http%3A%2F%2Fid.who.int%2Ficd%2Fentity%2F2118510403","browser")</x:f>
      </x:c>
      <x:c r="L5311" s="0">
        <x:f>hyperlink("https://icat2.azurewebsites.net/icat/?ontology=ICD&amp;tab=ClassesTab&amp;id=http%3A%2F%2Fwho.int%2Ficd%2329277_512ebf36_bf6b_4d70_85da_cf2637062af4","iCat")</x:f>
      </x:c>
      <x:c r="M5311" s="0" t="s">
        <x:v>21</x:v>
      </x:c>
      <x:c r="N5311" s="0" t="s">
        <x:v>46</x:v>
      </x:c>
    </x:row>
    <x:row r="5312" spans="1:16">
      <x:c r="A5312" s="0" t="s">
        <x:v>21100</x:v>
      </x:c>
      <x:c r="B5312" s="0" t="s">
        <x:v>21101</x:v>
      </x:c>
      <x:c r="C5312" s="0" t="s">
        <x:v>21102</x:v>
      </x:c>
      <x:c r="E5312" s="0" t="s">
        <x:v>21103</x:v>
      </x:c>
      <x:c r="F5312" s="0" t="s">
        <x:v>45</x:v>
      </x:c>
      <x:c r="G5312" s="0" t="s">
        <x:v>19</x:v>
      </x:c>
      <x:c r="H5312" s="0" t="s">
        <x:v>20</x:v>
      </x:c>
      <x:c r="I5312" s="0" t="s">
        <x:v>21</x:v>
      </x:c>
      <x:c r="K5312" s="0">
        <x:f>hyperlink("https://icd.who.int/dev11/l-ichi/en#/http%3A%2F%2Fid.who.int%2Ficd%2Fentity%2F2128762675","browser")</x:f>
      </x:c>
      <x:c r="L5312" s="0">
        <x:f>hyperlink("https://icat2.azurewebsites.net/icat/?ontology=ICD&amp;tab=ClassesTab&amp;id=http%3A%2F%2Fwho.int%2Ficd%2329294_512ebf36_bf6b_4d70_85da_cf2637062af4","iCat")</x:f>
      </x:c>
      <x:c r="M5312" s="0" t="s">
        <x:v>21</x:v>
      </x:c>
      <x:c r="N5312" s="0" t="s">
        <x:v>46</x:v>
      </x:c>
    </x:row>
    <x:row r="5313" spans="1:16">
      <x:c r="A5313" s="0" t="s">
        <x:v>21104</x:v>
      </x:c>
      <x:c r="B5313" s="0" t="s">
        <x:v>21105</x:v>
      </x:c>
      <x:c r="C5313" s="0" t="s">
        <x:v>21106</x:v>
      </x:c>
      <x:c r="E5313" s="0" t="s">
        <x:v>21107</x:v>
      </x:c>
      <x:c r="F5313" s="0" t="s">
        <x:v>45</x:v>
      </x:c>
      <x:c r="G5313" s="0" t="s">
        <x:v>19</x:v>
      </x:c>
      <x:c r="H5313" s="0" t="s">
        <x:v>20</x:v>
      </x:c>
      <x:c r="I5313" s="0" t="s">
        <x:v>21</x:v>
      </x:c>
      <x:c r="K5313" s="0">
        <x:f>hyperlink("https://icd.who.int/dev11/l-ichi/en#/http%3A%2F%2Fid.who.int%2Ficd%2Fentity%2F235665072","browser")</x:f>
      </x:c>
      <x:c r="L5313" s="0">
        <x:f>hyperlink("https://icat2.azurewebsites.net/icat/?ontology=ICD&amp;tab=ClassesTab&amp;id=http%3A%2F%2Fwho.int%2Ficd%2329303_512ebf36_bf6b_4d70_85da_cf2637062af4","iCat")</x:f>
      </x:c>
      <x:c r="M5313" s="0" t="s">
        <x:v>21</x:v>
      </x:c>
      <x:c r="N5313" s="0" t="s">
        <x:v>46</x:v>
      </x:c>
    </x:row>
    <x:row r="5314" spans="1:16">
      <x:c r="A5314" s="0" t="s">
        <x:v>21108</x:v>
      </x:c>
      <x:c r="B5314" s="0" t="s">
        <x:v>21109</x:v>
      </x:c>
      <x:c r="C5314" s="0" t="s">
        <x:v>21110</x:v>
      </x:c>
      <x:c r="E5314" s="0" t="s">
        <x:v>21111</x:v>
      </x:c>
      <x:c r="F5314" s="0" t="s">
        <x:v>45</x:v>
      </x:c>
      <x:c r="G5314" s="0" t="s">
        <x:v>19</x:v>
      </x:c>
      <x:c r="H5314" s="0" t="s">
        <x:v>20</x:v>
      </x:c>
      <x:c r="I5314" s="0" t="s">
        <x:v>21</x:v>
      </x:c>
      <x:c r="K5314" s="0">
        <x:f>hyperlink("https://icd.who.int/dev11/l-ichi/en#/http%3A%2F%2Fid.who.int%2Ficd%2Fentity%2F155624366","browser")</x:f>
      </x:c>
      <x:c r="L5314" s="0">
        <x:f>hyperlink("https://icat2.azurewebsites.net/icat/?ontology=ICD&amp;tab=ClassesTab&amp;id=http%3A%2F%2Fwho.int%2Ficd%2311_8710d7ba_74ae_4604_a7f6_d74be7e870db","iCat")</x:f>
      </x:c>
      <x:c r="M5314" s="0" t="s">
        <x:v>21</x:v>
      </x:c>
      <x:c r="N5314" s="0" t="s">
        <x:v>46</x:v>
      </x:c>
    </x:row>
    <x:row r="5315" spans="1:16">
      <x:c r="A5315" s="0" t="s">
        <x:v>21112</x:v>
      </x:c>
      <x:c r="B5315" s="0" t="s">
        <x:v>21113</x:v>
      </x:c>
      <x:c r="C5315" s="0" t="s">
        <x:v>21114</x:v>
      </x:c>
      <x:c r="E5315" s="0" t="s">
        <x:v>21115</x:v>
      </x:c>
      <x:c r="F5315" s="0" t="s">
        <x:v>45</x:v>
      </x:c>
      <x:c r="G5315" s="0" t="s">
        <x:v>19</x:v>
      </x:c>
      <x:c r="H5315" s="0" t="s">
        <x:v>20</x:v>
      </x:c>
      <x:c r="I5315" s="0" t="s">
        <x:v>21</x:v>
      </x:c>
      <x:c r="K5315" s="0">
        <x:f>hyperlink("https://icd.who.int/dev11/l-ichi/en#/http%3A%2F%2Fid.who.int%2Ficd%2Fentity%2F28474914","browser")</x:f>
      </x:c>
      <x:c r="L5315" s="0">
        <x:f>hyperlink("https://icat2.azurewebsites.net/icat/?ontology=ICD&amp;tab=ClassesTab&amp;id=http%3A%2F%2Fwho.int%2Ficd%2329311_512ebf36_bf6b_4d70_85da_cf2637062af4","iCat")</x:f>
      </x:c>
      <x:c r="M5315" s="0" t="s">
        <x:v>21</x:v>
      </x:c>
      <x:c r="N5315" s="0" t="s">
        <x:v>46</x:v>
      </x:c>
    </x:row>
    <x:row r="5316" spans="1:16">
      <x:c r="A5316" s="0" t="s">
        <x:v>21116</x:v>
      </x:c>
      <x:c r="B5316" s="0" t="s">
        <x:v>21117</x:v>
      </x:c>
      <x:c r="C5316" s="0" t="s">
        <x:v>21118</x:v>
      </x:c>
      <x:c r="E5316" s="0" t="s">
        <x:v>21119</x:v>
      </x:c>
      <x:c r="F5316" s="0" t="s">
        <x:v>45</x:v>
      </x:c>
      <x:c r="G5316" s="0" t="s">
        <x:v>19</x:v>
      </x:c>
      <x:c r="H5316" s="0" t="s">
        <x:v>20</x:v>
      </x:c>
      <x:c r="I5316" s="0" t="s">
        <x:v>21</x:v>
      </x:c>
      <x:c r="K5316" s="0">
        <x:f>hyperlink("https://icd.who.int/dev11/l-ichi/en#/http%3A%2F%2Fid.who.int%2Ficd%2Fentity%2F1643793433","browser")</x:f>
      </x:c>
      <x:c r="L5316" s="0">
        <x:f>hyperlink("https://icat2.azurewebsites.net/icat/?ontology=ICD&amp;tab=ClassesTab&amp;id=http%3A%2F%2Fwho.int%2Ficd%2329320_512ebf36_bf6b_4d70_85da_cf2637062af4","iCat")</x:f>
      </x:c>
      <x:c r="M5316" s="0" t="s">
        <x:v>21</x:v>
      </x:c>
      <x:c r="N5316" s="0" t="s">
        <x:v>46</x:v>
      </x:c>
    </x:row>
    <x:row r="5317" spans="1:16">
      <x:c r="A5317" s="0" t="s">
        <x:v>21120</x:v>
      </x:c>
      <x:c r="B5317" s="0" t="s">
        <x:v>21121</x:v>
      </x:c>
      <x:c r="C5317" s="0" t="s">
        <x:v>21122</x:v>
      </x:c>
      <x:c r="E5317" s="0" t="s">
        <x:v>21123</x:v>
      </x:c>
      <x:c r="F5317" s="0" t="s">
        <x:v>45</x:v>
      </x:c>
      <x:c r="G5317" s="0" t="s">
        <x:v>19</x:v>
      </x:c>
      <x:c r="H5317" s="0" t="s">
        <x:v>20</x:v>
      </x:c>
      <x:c r="I5317" s="0" t="s">
        <x:v>21</x:v>
      </x:c>
      <x:c r="K5317" s="0">
        <x:f>hyperlink("https://icd.who.int/dev11/l-ichi/en#/http%3A%2F%2Fid.who.int%2Ficd%2Fentity%2F293136276","browser")</x:f>
      </x:c>
      <x:c r="L5317" s="0">
        <x:f>hyperlink("https://icat2.azurewebsites.net/icat/?ontology=ICD&amp;tab=ClassesTab&amp;id=http%3A%2F%2Fwho.int%2Ficd%2329327_512ebf36_bf6b_4d70_85da_cf2637062af4","iCat")</x:f>
      </x:c>
      <x:c r="M5317" s="0" t="s">
        <x:v>21</x:v>
      </x:c>
      <x:c r="N5317" s="0" t="s">
        <x:v>46</x:v>
      </x:c>
    </x:row>
    <x:row r="5318" spans="1:16">
      <x:c r="A5318" s="0" t="s">
        <x:v>21124</x:v>
      </x:c>
      <x:c r="B5318" s="0" t="s">
        <x:v>21125</x:v>
      </x:c>
      <x:c r="C5318" s="0" t="s">
        <x:v>21126</x:v>
      </x:c>
      <x:c r="E5318" s="0" t="s">
        <x:v>21127</x:v>
      </x:c>
      <x:c r="F5318" s="0" t="s">
        <x:v>45</x:v>
      </x:c>
      <x:c r="G5318" s="0" t="s">
        <x:v>19</x:v>
      </x:c>
      <x:c r="H5318" s="0" t="s">
        <x:v>20</x:v>
      </x:c>
      <x:c r="I5318" s="0" t="s">
        <x:v>21</x:v>
      </x:c>
      <x:c r="K5318" s="0">
        <x:f>hyperlink("https://icd.who.int/dev11/l-ichi/en#/http%3A%2F%2Fid.who.int%2Ficd%2Fentity%2F1043864892","browser")</x:f>
      </x:c>
      <x:c r="L5318" s="0">
        <x:f>hyperlink("https://icat2.azurewebsites.net/icat/?ontology=ICD&amp;tab=ClassesTab&amp;id=http%3A%2F%2Fwho.int%2Ficd%2329334_512ebf36_bf6b_4d70_85da_cf2637062af4","iCat")</x:f>
      </x:c>
      <x:c r="M5318" s="0" t="s">
        <x:v>21</x:v>
      </x:c>
      <x:c r="N5318" s="0" t="s">
        <x:v>46</x:v>
      </x:c>
    </x:row>
    <x:row r="5319" spans="1:16">
      <x:c r="A5319" s="0" t="s">
        <x:v>21128</x:v>
      </x:c>
      <x:c r="B5319" s="0" t="s">
        <x:v>21129</x:v>
      </x:c>
      <x:c r="C5319" s="0" t="s">
        <x:v>21130</x:v>
      </x:c>
      <x:c r="E5319" s="0" t="s">
        <x:v>21131</x:v>
      </x:c>
      <x:c r="F5319" s="0" t="s">
        <x:v>45</x:v>
      </x:c>
      <x:c r="G5319" s="0" t="s">
        <x:v>19</x:v>
      </x:c>
      <x:c r="H5319" s="0" t="s">
        <x:v>20</x:v>
      </x:c>
      <x:c r="I5319" s="0" t="s">
        <x:v>21</x:v>
      </x:c>
      <x:c r="K5319" s="0">
        <x:f>hyperlink("https://icd.who.int/dev11/l-ichi/en#/http%3A%2F%2Fid.who.int%2Ficd%2Fentity%2F1586878353","browser")</x:f>
      </x:c>
      <x:c r="L5319" s="0">
        <x:f>hyperlink("https://icat2.azurewebsites.net/icat/?ontology=ICD&amp;tab=ClassesTab&amp;id=http%3A%2F%2Fwho.int%2Ficd%2329342_512ebf36_bf6b_4d70_85da_cf2637062af4","iCat")</x:f>
      </x:c>
      <x:c r="M5319" s="0" t="s">
        <x:v>21</x:v>
      </x:c>
      <x:c r="N5319" s="0" t="s">
        <x:v>46</x:v>
      </x:c>
    </x:row>
    <x:row r="5320" spans="1:16">
      <x:c r="A5320" s="0" t="s">
        <x:v>21132</x:v>
      </x:c>
      <x:c r="B5320" s="0" t="s">
        <x:v>21133</x:v>
      </x:c>
      <x:c r="C5320" s="0" t="s">
        <x:v>21134</x:v>
      </x:c>
      <x:c r="E5320" s="0" t="s">
        <x:v>21135</x:v>
      </x:c>
      <x:c r="F5320" s="0" t="s">
        <x:v>45</x:v>
      </x:c>
      <x:c r="G5320" s="0" t="s">
        <x:v>19</x:v>
      </x:c>
      <x:c r="H5320" s="0" t="s">
        <x:v>20</x:v>
      </x:c>
      <x:c r="I5320" s="0" t="s">
        <x:v>21</x:v>
      </x:c>
      <x:c r="K5320" s="0">
        <x:f>hyperlink("https://icd.who.int/dev11/l-ichi/en#/http%3A%2F%2Fid.who.int%2Ficd%2Fentity%2F1361862403","browser")</x:f>
      </x:c>
      <x:c r="L5320" s="0">
        <x:f>hyperlink("https://icat2.azurewebsites.net/icat/?ontology=ICD&amp;tab=ClassesTab&amp;id=http%3A%2F%2Fwho.int%2Ficd%2329350_512ebf36_bf6b_4d70_85da_cf2637062af4","iCat")</x:f>
      </x:c>
      <x:c r="M5320" s="0" t="s">
        <x:v>21</x:v>
      </x:c>
      <x:c r="N5320" s="0" t="s">
        <x:v>46</x:v>
      </x:c>
    </x:row>
    <x:row r="5321" spans="1:16">
      <x:c r="A5321" s="0" t="s">
        <x:v>21136</x:v>
      </x:c>
      <x:c r="B5321" s="0" t="s">
        <x:v>21137</x:v>
      </x:c>
      <x:c r="C5321" s="0" t="s">
        <x:v>21138</x:v>
      </x:c>
      <x:c r="E5321" s="0" t="s">
        <x:v>21139</x:v>
      </x:c>
      <x:c r="F5321" s="0" t="s">
        <x:v>45</x:v>
      </x:c>
      <x:c r="G5321" s="0" t="s">
        <x:v>19</x:v>
      </x:c>
      <x:c r="H5321" s="0" t="s">
        <x:v>20</x:v>
      </x:c>
      <x:c r="I5321" s="0" t="s">
        <x:v>21</x:v>
      </x:c>
      <x:c r="K5321" s="0">
        <x:f>hyperlink("https://icd.who.int/dev11/l-ichi/en#/http%3A%2F%2Fid.who.int%2Ficd%2Fentity%2F565114000","browser")</x:f>
      </x:c>
      <x:c r="L5321" s="0">
        <x:f>hyperlink("https://icat2.azurewebsites.net/icat/?ontology=ICD&amp;tab=ClassesTab&amp;id=http%3A%2F%2Fwho.int%2Ficd%2329357_512ebf36_bf6b_4d70_85da_cf2637062af4","iCat")</x:f>
      </x:c>
      <x:c r="M5321" s="0" t="s">
        <x:v>21</x:v>
      </x:c>
      <x:c r="N5321" s="0" t="s">
        <x:v>46</x:v>
      </x:c>
    </x:row>
    <x:row r="5322" spans="1:16">
      <x:c r="A5322" s="0" t="s">
        <x:v>21140</x:v>
      </x:c>
      <x:c r="B5322" s="0" t="s">
        <x:v>21141</x:v>
      </x:c>
      <x:c r="C5322" s="0" t="s">
        <x:v>21142</x:v>
      </x:c>
      <x:c r="E5322" s="0" t="s">
        <x:v>21143</x:v>
      </x:c>
      <x:c r="F5322" s="0" t="s">
        <x:v>45</x:v>
      </x:c>
      <x:c r="G5322" s="0" t="s">
        <x:v>19</x:v>
      </x:c>
      <x:c r="H5322" s="0" t="s">
        <x:v>20</x:v>
      </x:c>
      <x:c r="I5322" s="0" t="s">
        <x:v>21</x:v>
      </x:c>
      <x:c r="K5322" s="0">
        <x:f>hyperlink("https://icd.who.int/dev11/l-ichi/en#/http%3A%2F%2Fid.who.int%2Ficd%2Fentity%2F614128498","browser")</x:f>
      </x:c>
      <x:c r="L5322" s="0">
        <x:f>hyperlink("https://icat2.azurewebsites.net/icat/?ontology=ICD&amp;tab=ClassesTab&amp;id=http%3A%2F%2Fwho.int%2Ficd%2329364_512ebf36_bf6b_4d70_85da_cf2637062af4","iCat")</x:f>
      </x:c>
      <x:c r="M5322" s="0" t="s">
        <x:v>21</x:v>
      </x:c>
      <x:c r="N5322" s="0" t="s">
        <x:v>46</x:v>
      </x:c>
    </x:row>
    <x:row r="5323" spans="1:16">
      <x:c r="A5323" s="0" t="s">
        <x:v>21144</x:v>
      </x:c>
      <x:c r="B5323" s="0" t="s">
        <x:v>21145</x:v>
      </x:c>
      <x:c r="C5323" s="0" t="s">
        <x:v>21146</x:v>
      </x:c>
      <x:c r="E5323" s="0" t="s">
        <x:v>21147</x:v>
      </x:c>
      <x:c r="F5323" s="0" t="s">
        <x:v>45</x:v>
      </x:c>
      <x:c r="G5323" s="0" t="s">
        <x:v>19</x:v>
      </x:c>
      <x:c r="H5323" s="0" t="s">
        <x:v>20</x:v>
      </x:c>
      <x:c r="I5323" s="0" t="s">
        <x:v>21</x:v>
      </x:c>
      <x:c r="K5323" s="0">
        <x:f>hyperlink("https://icd.who.int/dev11/l-ichi/en#/http%3A%2F%2Fid.who.int%2Ficd%2Fentity%2F2069400147","browser")</x:f>
      </x:c>
      <x:c r="L5323" s="0">
        <x:f>hyperlink("https://icat2.azurewebsites.net/icat/?ontology=ICD&amp;tab=ClassesTab&amp;id=http%3A%2F%2Fwho.int%2Ficd%2329370_512ebf36_bf6b_4d70_85da_cf2637062af4","iCat")</x:f>
      </x:c>
      <x:c r="M5323" s="0" t="s">
        <x:v>21</x:v>
      </x:c>
      <x:c r="N5323" s="0" t="s">
        <x:v>46</x:v>
      </x:c>
    </x:row>
    <x:row r="5324" spans="1:16">
      <x:c r="A5324" s="0" t="s">
        <x:v>21148</x:v>
      </x:c>
      <x:c r="B5324" s="0" t="s">
        <x:v>21149</x:v>
      </x:c>
      <x:c r="C5324" s="0" t="s">
        <x:v>21150</x:v>
      </x:c>
      <x:c r="E5324" s="0" t="s">
        <x:v>21151</x:v>
      </x:c>
      <x:c r="F5324" s="0" t="s">
        <x:v>45</x:v>
      </x:c>
      <x:c r="G5324" s="0" t="s">
        <x:v>19</x:v>
      </x:c>
      <x:c r="H5324" s="0" t="s">
        <x:v>20</x:v>
      </x:c>
      <x:c r="I5324" s="0" t="s">
        <x:v>21</x:v>
      </x:c>
      <x:c r="K5324" s="0">
        <x:f>hyperlink("https://icd.who.int/dev11/l-ichi/en#/http%3A%2F%2Fid.who.int%2Ficd%2Fentity%2F198844894","browser")</x:f>
      </x:c>
      <x:c r="L5324" s="0">
        <x:f>hyperlink("https://icat2.azurewebsites.net/icat/?ontology=ICD&amp;tab=ClassesTab&amp;id=http%3A%2F%2Fwho.int%2Ficd%2329377_512ebf36_bf6b_4d70_85da_cf2637062af4","iCat")</x:f>
      </x:c>
      <x:c r="M5324" s="0" t="s">
        <x:v>21</x:v>
      </x:c>
      <x:c r="N5324" s="0" t="s">
        <x:v>46</x:v>
      </x:c>
    </x:row>
    <x:row r="5325" spans="1:16">
      <x:c r="A5325" s="0" t="s">
        <x:v>21152</x:v>
      </x:c>
      <x:c r="B5325" s="0" t="s">
        <x:v>21153</x:v>
      </x:c>
      <x:c r="C5325" s="0" t="s">
        <x:v>21154</x:v>
      </x:c>
      <x:c r="E5325" s="0" t="s">
        <x:v>21155</x:v>
      </x:c>
      <x:c r="F5325" s="0" t="s">
        <x:v>45</x:v>
      </x:c>
      <x:c r="G5325" s="0" t="s">
        <x:v>19</x:v>
      </x:c>
      <x:c r="H5325" s="0" t="s">
        <x:v>20</x:v>
      </x:c>
      <x:c r="I5325" s="0" t="s">
        <x:v>21</x:v>
      </x:c>
      <x:c r="K5325" s="0">
        <x:f>hyperlink("https://icd.who.int/dev11/l-ichi/en#/http%3A%2F%2Fid.who.int%2Ficd%2Fentity%2F289058678","browser")</x:f>
      </x:c>
      <x:c r="L5325" s="0">
        <x:f>hyperlink("https://icat2.azurewebsites.net/icat/?ontology=ICD&amp;tab=ClassesTab&amp;id=http%3A%2F%2Fwho.int%2Ficd%2329383_512ebf36_bf6b_4d70_85da_cf2637062af4","iCat")</x:f>
      </x:c>
      <x:c r="M5325" s="0" t="s">
        <x:v>21</x:v>
      </x:c>
      <x:c r="N5325" s="0" t="s">
        <x:v>46</x:v>
      </x:c>
    </x:row>
    <x:row r="5326" spans="1:16">
      <x:c r="A5326" s="0" t="s">
        <x:v>21156</x:v>
      </x:c>
      <x:c r="B5326" s="0" t="s">
        <x:v>21157</x:v>
      </x:c>
      <x:c r="C5326" s="0" t="s">
        <x:v>21158</x:v>
      </x:c>
      <x:c r="E5326" s="0" t="s">
        <x:v>21159</x:v>
      </x:c>
      <x:c r="F5326" s="0" t="s">
        <x:v>45</x:v>
      </x:c>
      <x:c r="G5326" s="0" t="s">
        <x:v>19</x:v>
      </x:c>
      <x:c r="H5326" s="0" t="s">
        <x:v>20</x:v>
      </x:c>
      <x:c r="I5326" s="0" t="s">
        <x:v>21</x:v>
      </x:c>
      <x:c r="K5326" s="0">
        <x:f>hyperlink("https://icd.who.int/dev11/l-ichi/en#/http%3A%2F%2Fid.who.int%2Ficd%2Fentity%2F894013658","browser")</x:f>
      </x:c>
      <x:c r="L5326" s="0">
        <x:f>hyperlink("https://icat2.azurewebsites.net/icat/?ontology=ICD&amp;tab=ClassesTab&amp;id=http%3A%2F%2Fwho.int%2Ficd%232828_d85a204c_d00a_4566_a3b7_2d137a1891cf","iCat")</x:f>
      </x:c>
      <x:c r="M5326" s="0" t="s">
        <x:v>21</x:v>
      </x:c>
      <x:c r="N5326" s="0" t="s">
        <x:v>46</x:v>
      </x:c>
    </x:row>
    <x:row r="5327" spans="1:16">
      <x:c r="A5327" s="0" t="s">
        <x:v>21160</x:v>
      </x:c>
      <x:c r="B5327" s="0" t="s">
        <x:v>21161</x:v>
      </x:c>
      <x:c r="C5327" s="0" t="s">
        <x:v>21162</x:v>
      </x:c>
      <x:c r="E5327" s="0" t="s">
        <x:v>21163</x:v>
      </x:c>
      <x:c r="F5327" s="0" t="s">
        <x:v>45</x:v>
      </x:c>
      <x:c r="G5327" s="0" t="s">
        <x:v>19</x:v>
      </x:c>
      <x:c r="H5327" s="0" t="s">
        <x:v>20</x:v>
      </x:c>
      <x:c r="I5327" s="0" t="s">
        <x:v>21</x:v>
      </x:c>
      <x:c r="K5327" s="0">
        <x:f>hyperlink("https://icd.who.int/dev11/l-ichi/en#/http%3A%2F%2Fid.who.int%2Ficd%2Fentity%2F1048204762","browser")</x:f>
      </x:c>
      <x:c r="L5327" s="0">
        <x:f>hyperlink("https://icat2.azurewebsites.net/icat/?ontology=ICD&amp;tab=ClassesTab&amp;id=http%3A%2F%2Fwho.int%2Ficd%2329390_512ebf36_bf6b_4d70_85da_cf2637062af4","iCat")</x:f>
      </x:c>
      <x:c r="M5327" s="0" t="s">
        <x:v>21</x:v>
      </x:c>
      <x:c r="N5327" s="0" t="s">
        <x:v>46</x:v>
      </x:c>
    </x:row>
    <x:row r="5328" spans="1:16">
      <x:c r="A5328" s="0" t="s">
        <x:v>21164</x:v>
      </x:c>
      <x:c r="B5328" s="0" t="s">
        <x:v>21165</x:v>
      </x:c>
      <x:c r="C5328" s="0" t="s">
        <x:v>21166</x:v>
      </x:c>
      <x:c r="E5328" s="0" t="s">
        <x:v>21167</x:v>
      </x:c>
      <x:c r="F5328" s="0" t="s">
        <x:v>45</x:v>
      </x:c>
      <x:c r="G5328" s="0" t="s">
        <x:v>19</x:v>
      </x:c>
      <x:c r="H5328" s="0" t="s">
        <x:v>20</x:v>
      </x:c>
      <x:c r="I5328" s="0" t="s">
        <x:v>21</x:v>
      </x:c>
      <x:c r="K5328" s="0">
        <x:f>hyperlink("https://icd.who.int/dev11/l-ichi/en#/http%3A%2F%2Fid.who.int%2Ficd%2Fentity%2F1324940887","browser")</x:f>
      </x:c>
      <x:c r="L5328" s="0">
        <x:f>hyperlink("https://icat2.azurewebsites.net/icat/?ontology=ICD&amp;tab=ClassesTab&amp;id=http%3A%2F%2Fwho.int%2Ficd%2329397_512ebf36_bf6b_4d70_85da_cf2637062af4","iCat")</x:f>
      </x:c>
      <x:c r="M5328" s="0" t="s">
        <x:v>21</x:v>
      </x:c>
      <x:c r="N5328" s="0" t="s">
        <x:v>46</x:v>
      </x:c>
    </x:row>
    <x:row r="5329" spans="1:16">
      <x:c r="A5329" s="0" t="s">
        <x:v>21168</x:v>
      </x:c>
      <x:c r="B5329" s="0" t="s">
        <x:v>21169</x:v>
      </x:c>
      <x:c r="C5329" s="0" t="s">
        <x:v>21170</x:v>
      </x:c>
      <x:c r="E5329" s="0" t="s">
        <x:v>21171</x:v>
      </x:c>
      <x:c r="F5329" s="0" t="s">
        <x:v>45</x:v>
      </x:c>
      <x:c r="G5329" s="0" t="s">
        <x:v>19</x:v>
      </x:c>
      <x:c r="H5329" s="0" t="s">
        <x:v>20</x:v>
      </x:c>
      <x:c r="I5329" s="0" t="s">
        <x:v>21</x:v>
      </x:c>
      <x:c r="K5329" s="0">
        <x:f>hyperlink("https://icd.who.int/dev11/l-ichi/en#/http%3A%2F%2Fid.who.int%2Ficd%2Fentity%2F1465752232","browser")</x:f>
      </x:c>
      <x:c r="L5329" s="0">
        <x:f>hyperlink("https://icat2.azurewebsites.net/icat/?ontology=ICD&amp;tab=ClassesTab&amp;id=http%3A%2F%2Fwho.int%2Ficd%2329407_512ebf36_bf6b_4d70_85da_cf2637062af4","iCat")</x:f>
      </x:c>
      <x:c r="M5329" s="0" t="s">
        <x:v>21</x:v>
      </x:c>
      <x:c r="N5329" s="0" t="s">
        <x:v>46</x:v>
      </x:c>
    </x:row>
    <x:row r="5330" spans="1:16">
      <x:c r="A5330" s="0" t="s">
        <x:v>21172</x:v>
      </x:c>
      <x:c r="B5330" s="0" t="s">
        <x:v>21173</x:v>
      </x:c>
      <x:c r="C5330" s="0" t="s">
        <x:v>21174</x:v>
      </x:c>
      <x:c r="E5330" s="0" t="s">
        <x:v>21175</x:v>
      </x:c>
      <x:c r="F5330" s="0" t="s">
        <x:v>45</x:v>
      </x:c>
      <x:c r="G5330" s="0" t="s">
        <x:v>19</x:v>
      </x:c>
      <x:c r="H5330" s="0" t="s">
        <x:v>20</x:v>
      </x:c>
      <x:c r="I5330" s="0" t="s">
        <x:v>21</x:v>
      </x:c>
      <x:c r="K5330" s="0">
        <x:f>hyperlink("https://icd.who.int/dev11/l-ichi/en#/http%3A%2F%2Fid.who.int%2Ficd%2Fentity%2F144690059","browser")</x:f>
      </x:c>
      <x:c r="L5330" s="0">
        <x:f>hyperlink("https://icat2.azurewebsites.net/icat/?ontology=ICD&amp;tab=ClassesTab&amp;id=http%3A%2F%2Fwho.int%2Ficd%2329413_512ebf36_bf6b_4d70_85da_cf2637062af4","iCat")</x:f>
      </x:c>
      <x:c r="M5330" s="0" t="s">
        <x:v>21</x:v>
      </x:c>
      <x:c r="N5330" s="0" t="s">
        <x:v>46</x:v>
      </x:c>
    </x:row>
    <x:row r="5331" spans="1:16">
      <x:c r="A5331" s="0" t="s">
        <x:v>21176</x:v>
      </x:c>
      <x:c r="B5331" s="0" t="s">
        <x:v>21177</x:v>
      </x:c>
      <x:c r="C5331" s="0" t="s">
        <x:v>21178</x:v>
      </x:c>
      <x:c r="E5331" s="0" t="s">
        <x:v>21179</x:v>
      </x:c>
      <x:c r="F5331" s="0" t="s">
        <x:v>45</x:v>
      </x:c>
      <x:c r="G5331" s="0" t="s">
        <x:v>19</x:v>
      </x:c>
      <x:c r="H5331" s="0" t="s">
        <x:v>20</x:v>
      </x:c>
      <x:c r="I5331" s="0" t="s">
        <x:v>21</x:v>
      </x:c>
      <x:c r="K5331" s="0">
        <x:f>hyperlink("https://icd.who.int/dev11/l-ichi/en#/http%3A%2F%2Fid.who.int%2Ficd%2Fentity%2F593667867","browser")</x:f>
      </x:c>
      <x:c r="L5331" s="0">
        <x:f>hyperlink("https://icat2.azurewebsites.net/icat/?ontology=ICD&amp;tab=ClassesTab&amp;id=http%3A%2F%2Fwho.int%2Ficd%2329419_512ebf36_bf6b_4d70_85da_cf2637062af4","iCat")</x:f>
      </x:c>
      <x:c r="M5331" s="0" t="s">
        <x:v>21</x:v>
      </x:c>
      <x:c r="N5331" s="0" t="s">
        <x:v>46</x:v>
      </x:c>
    </x:row>
    <x:row r="5332" spans="1:16">
      <x:c r="A5332" s="0" t="s">
        <x:v>21180</x:v>
      </x:c>
      <x:c r="B5332" s="0" t="s">
        <x:v>21181</x:v>
      </x:c>
      <x:c r="C5332" s="0" t="s">
        <x:v>21182</x:v>
      </x:c>
      <x:c r="E5332" s="0" t="s">
        <x:v>21183</x:v>
      </x:c>
      <x:c r="F5332" s="0" t="s">
        <x:v>45</x:v>
      </x:c>
      <x:c r="G5332" s="0" t="s">
        <x:v>19</x:v>
      </x:c>
      <x:c r="H5332" s="0" t="s">
        <x:v>20</x:v>
      </x:c>
      <x:c r="I5332" s="0" t="s">
        <x:v>21</x:v>
      </x:c>
      <x:c r="K5332" s="0">
        <x:f>hyperlink("https://icd.who.int/dev11/l-ichi/en#/http%3A%2F%2Fid.who.int%2Ficd%2Fentity%2F1573928388","browser")</x:f>
      </x:c>
      <x:c r="L5332" s="0">
        <x:f>hyperlink("https://icat2.azurewebsites.net/icat/?ontology=ICD&amp;tab=ClassesTab&amp;id=http%3A%2F%2Fwho.int%2Ficd%2329426_512ebf36_bf6b_4d70_85da_cf2637062af4","iCat")</x:f>
      </x:c>
      <x:c r="M5332" s="0" t="s">
        <x:v>21</x:v>
      </x:c>
      <x:c r="N5332" s="0" t="s">
        <x:v>46</x:v>
      </x:c>
    </x:row>
    <x:row r="5333" spans="1:16">
      <x:c r="A5333" s="0" t="s">
        <x:v>21184</x:v>
      </x:c>
      <x:c r="B5333" s="0" t="s">
        <x:v>21185</x:v>
      </x:c>
      <x:c r="C5333" s="0" t="s">
        <x:v>21186</x:v>
      </x:c>
      <x:c r="E5333" s="0" t="s">
        <x:v>21187</x:v>
      </x:c>
      <x:c r="F5333" s="0" t="s">
        <x:v>45</x:v>
      </x:c>
      <x:c r="G5333" s="0" t="s">
        <x:v>19</x:v>
      </x:c>
      <x:c r="H5333" s="0" t="s">
        <x:v>20</x:v>
      </x:c>
      <x:c r="I5333" s="0" t="s">
        <x:v>21</x:v>
      </x:c>
      <x:c r="K5333" s="0">
        <x:f>hyperlink("https://icd.who.int/dev11/l-ichi/en#/http%3A%2F%2Fid.who.int%2Ficd%2Fentity%2F585834203","browser")</x:f>
      </x:c>
      <x:c r="L5333" s="0">
        <x:f>hyperlink("https://icat2.azurewebsites.net/icat/?ontology=ICD&amp;tab=ClassesTab&amp;id=http%3A%2F%2Fwho.int%2Ficd%2329433_512ebf36_bf6b_4d70_85da_cf2637062af4","iCat")</x:f>
      </x:c>
      <x:c r="M5333" s="0" t="s">
        <x:v>21</x:v>
      </x:c>
      <x:c r="N5333" s="0" t="s">
        <x:v>46</x:v>
      </x:c>
    </x:row>
    <x:row r="5334" spans="1:16">
      <x:c r="A5334" s="0" t="s">
        <x:v>21188</x:v>
      </x:c>
      <x:c r="B5334" s="0" t="s">
        <x:v>21189</x:v>
      </x:c>
      <x:c r="C5334" s="0" t="s">
        <x:v>21190</x:v>
      </x:c>
      <x:c r="E5334" s="0" t="s">
        <x:v>21191</x:v>
      </x:c>
      <x:c r="F5334" s="0" t="s">
        <x:v>45</x:v>
      </x:c>
      <x:c r="G5334" s="0" t="s">
        <x:v>19</x:v>
      </x:c>
      <x:c r="H5334" s="0" t="s">
        <x:v>20</x:v>
      </x:c>
      <x:c r="I5334" s="0" t="s">
        <x:v>21</x:v>
      </x:c>
      <x:c r="K5334" s="0">
        <x:f>hyperlink("https://icd.who.int/dev11/l-ichi/en#/http%3A%2F%2Fid.who.int%2Ficd%2Fentity%2F152465995","browser")</x:f>
      </x:c>
      <x:c r="L5334" s="0">
        <x:f>hyperlink("https://icat2.azurewebsites.net/icat/?ontology=ICD&amp;tab=ClassesTab&amp;id=http%3A%2F%2Fwho.int%2Ficd%2329439_512ebf36_bf6b_4d70_85da_cf2637062af4","iCat")</x:f>
      </x:c>
      <x:c r="M5334" s="0" t="s">
        <x:v>21</x:v>
      </x:c>
      <x:c r="N5334" s="0" t="s">
        <x:v>46</x:v>
      </x:c>
    </x:row>
    <x:row r="5335" spans="1:16">
      <x:c r="A5335" s="0" t="s">
        <x:v>21192</x:v>
      </x:c>
      <x:c r="B5335" s="0" t="s">
        <x:v>21193</x:v>
      </x:c>
      <x:c r="C5335" s="0" t="s">
        <x:v>21194</x:v>
      </x:c>
      <x:c r="E5335" s="0" t="s">
        <x:v>21195</x:v>
      </x:c>
      <x:c r="F5335" s="0" t="s">
        <x:v>45</x:v>
      </x:c>
      <x:c r="G5335" s="0" t="s">
        <x:v>19</x:v>
      </x:c>
      <x:c r="H5335" s="0" t="s">
        <x:v>20</x:v>
      </x:c>
      <x:c r="I5335" s="0" t="s">
        <x:v>21</x:v>
      </x:c>
      <x:c r="K5335" s="0">
        <x:f>hyperlink("https://icd.who.int/dev11/l-ichi/en#/http%3A%2F%2Fid.who.int%2Ficd%2Fentity%2F130268041","browser")</x:f>
      </x:c>
      <x:c r="L5335" s="0">
        <x:f>hyperlink("https://icat2.azurewebsites.net/icat/?ontology=ICD&amp;tab=ClassesTab&amp;id=http%3A%2F%2Fwho.int%2Ficd%2329446_512ebf36_bf6b_4d70_85da_cf2637062af4","iCat")</x:f>
      </x:c>
      <x:c r="M5335" s="0" t="s">
        <x:v>21</x:v>
      </x:c>
      <x:c r="N5335" s="0" t="s">
        <x:v>46</x:v>
      </x:c>
    </x:row>
    <x:row r="5336" spans="1:16">
      <x:c r="A5336" s="0" t="s">
        <x:v>21196</x:v>
      </x:c>
      <x:c r="B5336" s="0" t="s">
        <x:v>21197</x:v>
      </x:c>
      <x:c r="C5336" s="0" t="s">
        <x:v>21198</x:v>
      </x:c>
      <x:c r="E5336" s="0" t="s">
        <x:v>21199</x:v>
      </x:c>
      <x:c r="F5336" s="0" t="s">
        <x:v>45</x:v>
      </x:c>
      <x:c r="G5336" s="0" t="s">
        <x:v>19</x:v>
      </x:c>
      <x:c r="H5336" s="0" t="s">
        <x:v>20</x:v>
      </x:c>
      <x:c r="I5336" s="0" t="s">
        <x:v>21</x:v>
      </x:c>
      <x:c r="K5336" s="0">
        <x:f>hyperlink("https://icd.who.int/dev11/l-ichi/en#/http%3A%2F%2Fid.who.int%2Ficd%2Fentity%2F1476520618","browser")</x:f>
      </x:c>
      <x:c r="L5336" s="0">
        <x:f>hyperlink("https://icat2.azurewebsites.net/icat/?ontology=ICD&amp;tab=ClassesTab&amp;id=http%3A%2F%2Fwho.int%2Ficd%2329452_512ebf36_bf6b_4d70_85da_cf2637062af4","iCat")</x:f>
      </x:c>
      <x:c r="M5336" s="0" t="s">
        <x:v>21</x:v>
      </x:c>
      <x:c r="N5336" s="0" t="s">
        <x:v>46</x:v>
      </x:c>
    </x:row>
    <x:row r="5337" spans="1:16">
      <x:c r="A5337" s="0" t="s">
        <x:v>21200</x:v>
      </x:c>
      <x:c r="B5337" s="0" t="s">
        <x:v>21201</x:v>
      </x:c>
      <x:c r="C5337" s="0" t="s">
        <x:v>21202</x:v>
      </x:c>
      <x:c r="E5337" s="0" t="s">
        <x:v>21203</x:v>
      </x:c>
      <x:c r="F5337" s="0" t="s">
        <x:v>45</x:v>
      </x:c>
      <x:c r="G5337" s="0" t="s">
        <x:v>19</x:v>
      </x:c>
      <x:c r="H5337" s="0" t="s">
        <x:v>20</x:v>
      </x:c>
      <x:c r="I5337" s="0" t="s">
        <x:v>21</x:v>
      </x:c>
      <x:c r="K5337" s="0">
        <x:f>hyperlink("https://icd.who.int/dev11/l-ichi/en#/http%3A%2F%2Fid.who.int%2Ficd%2Fentity%2F464314436","browser")</x:f>
      </x:c>
      <x:c r="L5337" s="0">
        <x:f>hyperlink("https://icat2.azurewebsites.net/icat/?ontology=ICD&amp;tab=ClassesTab&amp;id=http%3A%2F%2Fwho.int%2Ficd%2313373_4869915e_217e_423d_acb3_33c0f920ef4b","iCat")</x:f>
      </x:c>
      <x:c r="M5337" s="0" t="s">
        <x:v>21</x:v>
      </x:c>
      <x:c r="N5337" s="0" t="s">
        <x:v>46</x:v>
      </x:c>
    </x:row>
    <x:row r="5338" spans="1:16">
      <x:c r="A5338" s="0" t="s">
        <x:v>21204</x:v>
      </x:c>
      <x:c r="B5338" s="0" t="s">
        <x:v>21205</x:v>
      </x:c>
      <x:c r="C5338" s="0" t="s">
        <x:v>21206</x:v>
      </x:c>
      <x:c r="E5338" s="0" t="s">
        <x:v>21207</x:v>
      </x:c>
      <x:c r="F5338" s="0" t="s">
        <x:v>45</x:v>
      </x:c>
      <x:c r="G5338" s="0" t="s">
        <x:v>19</x:v>
      </x:c>
      <x:c r="H5338" s="0" t="s">
        <x:v>20</x:v>
      </x:c>
      <x:c r="I5338" s="0" t="s">
        <x:v>21</x:v>
      </x:c>
      <x:c r="K5338" s="0">
        <x:f>hyperlink("https://icd.who.int/dev11/l-ichi/en#/http%3A%2F%2Fid.who.int%2Ficd%2Fentity%2F810650836","browser")</x:f>
      </x:c>
      <x:c r="L5338" s="0">
        <x:f>hyperlink("https://icat2.azurewebsites.net/icat/?ontology=ICD&amp;tab=ClassesTab&amp;id=http%3A%2F%2Fwho.int%2Ficd%2313379_4869915e_217e_423d_acb3_33c0f920ef4b","iCat")</x:f>
      </x:c>
      <x:c r="M5338" s="0" t="s">
        <x:v>21</x:v>
      </x:c>
      <x:c r="N5338" s="0" t="s">
        <x:v>46</x:v>
      </x:c>
    </x:row>
    <x:row r="5339" spans="1:16">
      <x:c r="A5339" s="0" t="s">
        <x:v>21208</x:v>
      </x:c>
      <x:c r="B5339" s="0" t="s">
        <x:v>21209</x:v>
      </x:c>
      <x:c r="C5339" s="0" t="s">
        <x:v>21210</x:v>
      </x:c>
      <x:c r="E5339" s="0" t="s">
        <x:v>21211</x:v>
      </x:c>
      <x:c r="F5339" s="0" t="s">
        <x:v>45</x:v>
      </x:c>
      <x:c r="G5339" s="0" t="s">
        <x:v>19</x:v>
      </x:c>
      <x:c r="H5339" s="0" t="s">
        <x:v>20</x:v>
      </x:c>
      <x:c r="I5339" s="0" t="s">
        <x:v>21</x:v>
      </x:c>
      <x:c r="K5339" s="0">
        <x:f>hyperlink("https://icd.who.int/dev11/l-ichi/en#/http%3A%2F%2Fid.who.int%2Ficd%2Fentity%2F1680896813","browser")</x:f>
      </x:c>
      <x:c r="L5339" s="0">
        <x:f>hyperlink("https://icat2.azurewebsites.net/icat/?ontology=ICD&amp;tab=ClassesTab&amp;id=http%3A%2F%2Fwho.int%2Ficd%2313385_4869915e_217e_423d_acb3_33c0f920ef4b","iCat")</x:f>
      </x:c>
      <x:c r="M5339" s="0" t="s">
        <x:v>21</x:v>
      </x:c>
      <x:c r="N5339" s="0" t="s">
        <x:v>46</x:v>
      </x:c>
    </x:row>
    <x:row r="5340" spans="1:16">
      <x:c r="A5340" s="0" t="s">
        <x:v>21212</x:v>
      </x:c>
      <x:c r="B5340" s="0" t="s">
        <x:v>21213</x:v>
      </x:c>
      <x:c r="C5340" s="0" t="s">
        <x:v>21214</x:v>
      </x:c>
      <x:c r="E5340" s="0" t="s">
        <x:v>21215</x:v>
      </x:c>
      <x:c r="F5340" s="0" t="s">
        <x:v>45</x:v>
      </x:c>
      <x:c r="G5340" s="0" t="s">
        <x:v>19</x:v>
      </x:c>
      <x:c r="H5340" s="0" t="s">
        <x:v>20</x:v>
      </x:c>
      <x:c r="I5340" s="0" t="s">
        <x:v>21</x:v>
      </x:c>
      <x:c r="K5340" s="0">
        <x:f>hyperlink("https://icd.who.int/dev11/l-ichi/en#/http%3A%2F%2Fid.who.int%2Ficd%2Fentity%2F1005724176","browser")</x:f>
      </x:c>
      <x:c r="L5340" s="0">
        <x:f>hyperlink("https://icat2.azurewebsites.net/icat/?ontology=ICD&amp;tab=ClassesTab&amp;id=http%3A%2F%2Fwho.int%2Ficd%2313391_4869915e_217e_423d_acb3_33c0f920ef4b","iCat")</x:f>
      </x:c>
      <x:c r="M5340" s="0" t="s">
        <x:v>21</x:v>
      </x:c>
      <x:c r="N5340" s="0" t="s">
        <x:v>46</x:v>
      </x:c>
    </x:row>
    <x:row r="5341" spans="1:16">
      <x:c r="A5341" s="0" t="s">
        <x:v>21216</x:v>
      </x:c>
      <x:c r="B5341" s="0" t="s">
        <x:v>21217</x:v>
      </x:c>
      <x:c r="C5341" s="0" t="s">
        <x:v>21218</x:v>
      </x:c>
      <x:c r="E5341" s="0" t="s">
        <x:v>21219</x:v>
      </x:c>
      <x:c r="F5341" s="0" t="s">
        <x:v>45</x:v>
      </x:c>
      <x:c r="G5341" s="0" t="s">
        <x:v>19</x:v>
      </x:c>
      <x:c r="H5341" s="0" t="s">
        <x:v>20</x:v>
      </x:c>
      <x:c r="I5341" s="0" t="s">
        <x:v>21</x:v>
      </x:c>
      <x:c r="K5341" s="0">
        <x:f>hyperlink("https://icd.who.int/dev11/l-ichi/en#/http%3A%2F%2Fid.who.int%2Ficd%2Fentity%2F1392899080","browser")</x:f>
      </x:c>
      <x:c r="L5341" s="0">
        <x:f>hyperlink("https://icat2.azurewebsites.net/icat/?ontology=ICD&amp;tab=ClassesTab&amp;id=http%3A%2F%2Fwho.int%2Ficd%2329459_512ebf36_bf6b_4d70_85da_cf2637062af4","iCat")</x:f>
      </x:c>
      <x:c r="M5341" s="0" t="s">
        <x:v>21</x:v>
      </x:c>
      <x:c r="N5341" s="0" t="s">
        <x:v>46</x:v>
      </x:c>
    </x:row>
    <x:row r="5342" spans="1:16">
      <x:c r="A5342" s="0" t="s">
        <x:v>21220</x:v>
      </x:c>
      <x:c r="B5342" s="0" t="s">
        <x:v>21221</x:v>
      </x:c>
      <x:c r="C5342" s="0" t="s">
        <x:v>21222</x:v>
      </x:c>
      <x:c r="E5342" s="0" t="s">
        <x:v>21223</x:v>
      </x:c>
      <x:c r="F5342" s="0" t="s">
        <x:v>45</x:v>
      </x:c>
      <x:c r="G5342" s="0" t="s">
        <x:v>19</x:v>
      </x:c>
      <x:c r="H5342" s="0" t="s">
        <x:v>20</x:v>
      </x:c>
      <x:c r="I5342" s="0" t="s">
        <x:v>21</x:v>
      </x:c>
      <x:c r="K5342" s="0">
        <x:f>hyperlink("https://icd.who.int/dev11/l-ichi/en#/http%3A%2F%2Fid.who.int%2Ficd%2Fentity%2F1856208883","browser")</x:f>
      </x:c>
      <x:c r="L5342" s="0">
        <x:f>hyperlink("https://icat2.azurewebsites.net/icat/?ontology=ICD&amp;tab=ClassesTab&amp;id=http%3A%2F%2Fwho.int%2Ficd%2315273_4869915e_217e_423d_acb3_33c0f920ef4b","iCat")</x:f>
      </x:c>
      <x:c r="M5342" s="0" t="s">
        <x:v>21</x:v>
      </x:c>
      <x:c r="N5342" s="0" t="s">
        <x:v>46</x:v>
      </x:c>
    </x:row>
    <x:row r="5343" spans="1:16">
      <x:c r="A5343" s="0" t="s">
        <x:v>21224</x:v>
      </x:c>
      <x:c r="B5343" s="0" t="s">
        <x:v>21225</x:v>
      </x:c>
      <x:c r="C5343" s="0" t="s">
        <x:v>21226</x:v>
      </x:c>
      <x:c r="E5343" s="0" t="s">
        <x:v>21227</x:v>
      </x:c>
      <x:c r="F5343" s="0" t="s">
        <x:v>45</x:v>
      </x:c>
      <x:c r="G5343" s="0" t="s">
        <x:v>19</x:v>
      </x:c>
      <x:c r="H5343" s="0" t="s">
        <x:v>20</x:v>
      </x:c>
      <x:c r="I5343" s="0" t="s">
        <x:v>21</x:v>
      </x:c>
      <x:c r="K5343" s="0">
        <x:f>hyperlink("https://icd.who.int/dev11/l-ichi/en#/http%3A%2F%2Fid.who.int%2Ficd%2Fentity%2F1748107554","browser")</x:f>
      </x:c>
      <x:c r="L5343" s="0">
        <x:f>hyperlink("https://icat2.azurewebsites.net/icat/?ontology=ICD&amp;tab=ClassesTab&amp;id=http%3A%2F%2Fwho.int%2Ficd%2329465_512ebf36_bf6b_4d70_85da_cf2637062af4","iCat")</x:f>
      </x:c>
      <x:c r="M5343" s="0" t="s">
        <x:v>21</x:v>
      </x:c>
      <x:c r="N5343" s="0" t="s">
        <x:v>46</x:v>
      </x:c>
    </x:row>
    <x:row r="5344" spans="1:16">
      <x:c r="A5344" s="0" t="s">
        <x:v>21228</x:v>
      </x:c>
      <x:c r="B5344" s="0" t="s">
        <x:v>21229</x:v>
      </x:c>
      <x:c r="C5344" s="0" t="s">
        <x:v>21230</x:v>
      </x:c>
      <x:c r="E5344" s="0" t="s">
        <x:v>21231</x:v>
      </x:c>
      <x:c r="F5344" s="0" t="s">
        <x:v>45</x:v>
      </x:c>
      <x:c r="G5344" s="0" t="s">
        <x:v>19</x:v>
      </x:c>
      <x:c r="H5344" s="0" t="s">
        <x:v>20</x:v>
      </x:c>
      <x:c r="I5344" s="0" t="s">
        <x:v>21</x:v>
      </x:c>
      <x:c r="K5344" s="0">
        <x:f>hyperlink("https://icd.who.int/dev11/l-ichi/en#/http%3A%2F%2Fid.who.int%2Ficd%2Fentity%2F1384926662","browser")</x:f>
      </x:c>
      <x:c r="L5344" s="0">
        <x:f>hyperlink("https://icat2.azurewebsites.net/icat/?ontology=ICD&amp;tab=ClassesTab&amp;id=http%3A%2F%2Fwho.int%2Ficd%2329473_512ebf36_bf6b_4d70_85da_cf2637062af4","iCat")</x:f>
      </x:c>
      <x:c r="M5344" s="0" t="s">
        <x:v>21</x:v>
      </x:c>
      <x:c r="N5344" s="0" t="s">
        <x:v>46</x:v>
      </x:c>
    </x:row>
    <x:row r="5345" spans="1:16">
      <x:c r="A5345" s="0" t="s">
        <x:v>21232</x:v>
      </x:c>
      <x:c r="B5345" s="0" t="s">
        <x:v>21233</x:v>
      </x:c>
      <x:c r="C5345" s="0" t="s">
        <x:v>21234</x:v>
      </x:c>
      <x:c r="E5345" s="0" t="s">
        <x:v>21235</x:v>
      </x:c>
      <x:c r="F5345" s="0" t="s">
        <x:v>45</x:v>
      </x:c>
      <x:c r="G5345" s="0" t="s">
        <x:v>19</x:v>
      </x:c>
      <x:c r="H5345" s="0" t="s">
        <x:v>20</x:v>
      </x:c>
      <x:c r="I5345" s="0" t="s">
        <x:v>21</x:v>
      </x:c>
      <x:c r="K5345" s="0">
        <x:f>hyperlink("https://icd.who.int/dev11/l-ichi/en#/http%3A%2F%2Fid.who.int%2Ficd%2Fentity%2F1648625088","browser")</x:f>
      </x:c>
      <x:c r="L5345" s="0">
        <x:f>hyperlink("https://icat2.azurewebsites.net/icat/?ontology=ICD&amp;tab=ClassesTab&amp;id=http%3A%2F%2Fwho.int%2Ficd%232145_cfc38f98_96d4_4521_8015_8965fc5fb8e9","iCat")</x:f>
      </x:c>
      <x:c r="M5345" s="0" t="s">
        <x:v>21</x:v>
      </x:c>
      <x:c r="N5345" s="0" t="s">
        <x:v>46</x:v>
      </x:c>
    </x:row>
    <x:row r="5346" spans="1:16">
      <x:c r="A5346" s="0" t="s">
        <x:v>21236</x:v>
      </x:c>
      <x:c r="B5346" s="0" t="s">
        <x:v>21237</x:v>
      </x:c>
      <x:c r="C5346" s="0" t="s">
        <x:v>21238</x:v>
      </x:c>
      <x:c r="E5346" s="0" t="s">
        <x:v>21239</x:v>
      </x:c>
      <x:c r="F5346" s="0" t="s">
        <x:v>45</x:v>
      </x:c>
      <x:c r="G5346" s="0" t="s">
        <x:v>19</x:v>
      </x:c>
      <x:c r="H5346" s="0" t="s">
        <x:v>20</x:v>
      </x:c>
      <x:c r="I5346" s="0" t="s">
        <x:v>21</x:v>
      </x:c>
      <x:c r="K5346" s="0">
        <x:f>hyperlink("https://icd.who.int/dev11/l-ichi/en#/http%3A%2F%2Fid.who.int%2Ficd%2Fentity%2F2037457238","browser")</x:f>
      </x:c>
      <x:c r="L5346" s="0">
        <x:f>hyperlink("https://icat2.azurewebsites.net/icat/?ontology=ICD&amp;tab=ClassesTab&amp;id=http%3A%2F%2Fwho.int%2Ficd%2329479_512ebf36_bf6b_4d70_85da_cf2637062af4","iCat")</x:f>
      </x:c>
      <x:c r="M5346" s="0" t="s">
        <x:v>21</x:v>
      </x:c>
      <x:c r="N5346" s="0" t="s">
        <x:v>46</x:v>
      </x:c>
    </x:row>
    <x:row r="5347" spans="1:16">
      <x:c r="A5347" s="0" t="s">
        <x:v>21240</x:v>
      </x:c>
      <x:c r="B5347" s="0" t="s">
        <x:v>21241</x:v>
      </x:c>
      <x:c r="C5347" s="0" t="s">
        <x:v>21242</x:v>
      </x:c>
      <x:c r="E5347" s="0" t="s">
        <x:v>21243</x:v>
      </x:c>
      <x:c r="F5347" s="0" t="s">
        <x:v>45</x:v>
      </x:c>
      <x:c r="G5347" s="0" t="s">
        <x:v>19</x:v>
      </x:c>
      <x:c r="H5347" s="0" t="s">
        <x:v>20</x:v>
      </x:c>
      <x:c r="I5347" s="0" t="s">
        <x:v>21</x:v>
      </x:c>
      <x:c r="K5347" s="0">
        <x:f>hyperlink("https://icd.who.int/dev11/l-ichi/en#/http%3A%2F%2Fid.who.int%2Ficd%2Fentity%2F1986992566","browser")</x:f>
      </x:c>
      <x:c r="L5347" s="0">
        <x:f>hyperlink("https://icat2.azurewebsites.net/icat/?ontology=ICD&amp;tab=ClassesTab&amp;id=http%3A%2F%2Fwho.int%2Ficd%2329488_512ebf36_bf6b_4d70_85da_cf2637062af4","iCat")</x:f>
      </x:c>
      <x:c r="M5347" s="0" t="s">
        <x:v>21</x:v>
      </x:c>
      <x:c r="N5347" s="0" t="s">
        <x:v>46</x:v>
      </x:c>
    </x:row>
    <x:row r="5348" spans="1:16">
      <x:c r="A5348" s="0" t="s">
        <x:v>21244</x:v>
      </x:c>
      <x:c r="B5348" s="0" t="s">
        <x:v>21245</x:v>
      </x:c>
      <x:c r="C5348" s="0" t="s">
        <x:v>21246</x:v>
      </x:c>
      <x:c r="E5348" s="0" t="s">
        <x:v>21247</x:v>
      </x:c>
      <x:c r="F5348" s="0" t="s">
        <x:v>45</x:v>
      </x:c>
      <x:c r="G5348" s="0" t="s">
        <x:v>19</x:v>
      </x:c>
      <x:c r="H5348" s="0" t="s">
        <x:v>20</x:v>
      </x:c>
      <x:c r="I5348" s="0" t="s">
        <x:v>21</x:v>
      </x:c>
      <x:c r="K5348" s="0">
        <x:f>hyperlink("https://icd.who.int/dev11/l-ichi/en#/http%3A%2F%2Fid.who.int%2Ficd%2Fentity%2F1730951618","browser")</x:f>
      </x:c>
      <x:c r="L5348" s="0">
        <x:f>hyperlink("https://icat2.azurewebsites.net/icat/?ontology=ICD&amp;tab=ClassesTab&amp;id=http%3A%2F%2Fwho.int%2Ficd%2329494_512ebf36_bf6b_4d70_85da_cf2637062af4","iCat")</x:f>
      </x:c>
      <x:c r="M5348" s="0" t="s">
        <x:v>21</x:v>
      </x:c>
      <x:c r="N5348" s="0" t="s">
        <x:v>46</x:v>
      </x:c>
    </x:row>
    <x:row r="5349" spans="1:16">
      <x:c r="A5349" s="0" t="s">
        <x:v>21248</x:v>
      </x:c>
      <x:c r="B5349" s="0" t="s">
        <x:v>21249</x:v>
      </x:c>
      <x:c r="C5349" s="0" t="s">
        <x:v>21250</x:v>
      </x:c>
      <x:c r="E5349" s="0" t="s">
        <x:v>21251</x:v>
      </x:c>
      <x:c r="F5349" s="0" t="s">
        <x:v>45</x:v>
      </x:c>
      <x:c r="G5349" s="0" t="s">
        <x:v>19</x:v>
      </x:c>
      <x:c r="H5349" s="0" t="s">
        <x:v>20</x:v>
      </x:c>
      <x:c r="I5349" s="0" t="s">
        <x:v>21</x:v>
      </x:c>
      <x:c r="K5349" s="0">
        <x:f>hyperlink("https://icd.who.int/dev11/l-ichi/en#/http%3A%2F%2Fid.who.int%2Ficd%2Fentity%2F1454073055","browser")</x:f>
      </x:c>
      <x:c r="L5349" s="0">
        <x:f>hyperlink("https://icat2.azurewebsites.net/icat/?ontology=ICD&amp;tab=ClassesTab&amp;id=http%3A%2F%2Fwho.int%2Ficd%23396_97087496_4a82_4efa_a45a_b3256f81bd7e","iCat")</x:f>
      </x:c>
      <x:c r="M5349" s="0" t="s">
        <x:v>21</x:v>
      </x:c>
      <x:c r="N5349" s="0" t="s">
        <x:v>46</x:v>
      </x:c>
    </x:row>
    <x:row r="5350" spans="1:16">
      <x:c r="A5350" s="0" t="s">
        <x:v>21252</x:v>
      </x:c>
      <x:c r="B5350" s="0" t="s">
        <x:v>21253</x:v>
      </x:c>
      <x:c r="C5350" s="0" t="s">
        <x:v>21254</x:v>
      </x:c>
      <x:c r="E5350" s="0" t="s">
        <x:v>21255</x:v>
      </x:c>
      <x:c r="F5350" s="0" t="s">
        <x:v>45</x:v>
      </x:c>
      <x:c r="G5350" s="0" t="s">
        <x:v>19</x:v>
      </x:c>
      <x:c r="H5350" s="0" t="s">
        <x:v>20</x:v>
      </x:c>
      <x:c r="I5350" s="0" t="s">
        <x:v>21</x:v>
      </x:c>
      <x:c r="K5350" s="0">
        <x:f>hyperlink("https://icd.who.int/dev11/l-ichi/en#/http%3A%2F%2Fid.who.int%2Ficd%2Fentity%2F1924760966","browser")</x:f>
      </x:c>
      <x:c r="L5350" s="0">
        <x:f>hyperlink("https://icat2.azurewebsites.net/icat/?ontology=ICD&amp;tab=ClassesTab&amp;id=http%3A%2F%2Fwho.int%2Ficd%2329501_512ebf36_bf6b_4d70_85da_cf2637062af4","iCat")</x:f>
      </x:c>
      <x:c r="M5350" s="0" t="s">
        <x:v>21</x:v>
      </x:c>
      <x:c r="N5350" s="0" t="s">
        <x:v>46</x:v>
      </x:c>
    </x:row>
    <x:row r="5351" spans="1:16">
      <x:c r="A5351" s="0" t="s">
        <x:v>21256</x:v>
      </x:c>
      <x:c r="B5351" s="0" t="s">
        <x:v>21257</x:v>
      </x:c>
      <x:c r="C5351" s="0" t="s">
        <x:v>21258</x:v>
      </x:c>
      <x:c r="E5351" s="0" t="s">
        <x:v>21259</x:v>
      </x:c>
      <x:c r="F5351" s="0" t="s">
        <x:v>45</x:v>
      </x:c>
      <x:c r="G5351" s="0" t="s">
        <x:v>19</x:v>
      </x:c>
      <x:c r="H5351" s="0" t="s">
        <x:v>20</x:v>
      </x:c>
      <x:c r="I5351" s="0" t="s">
        <x:v>21</x:v>
      </x:c>
      <x:c r="K5351" s="0">
        <x:f>hyperlink("https://icd.who.int/dev11/l-ichi/en#/http%3A%2F%2Fid.who.int%2Ficd%2Fentity%2F482445037","browser")</x:f>
      </x:c>
      <x:c r="L5351" s="0">
        <x:f>hyperlink("https://icat2.azurewebsites.net/icat/?ontology=ICD&amp;tab=ClassesTab&amp;id=http%3A%2F%2Fwho.int%2Ficd%2329508_512ebf36_bf6b_4d70_85da_cf2637062af4","iCat")</x:f>
      </x:c>
      <x:c r="M5351" s="0" t="s">
        <x:v>21</x:v>
      </x:c>
      <x:c r="N5351" s="0" t="s">
        <x:v>46</x:v>
      </x:c>
    </x:row>
    <x:row r="5352" spans="1:16">
      <x:c r="A5352" s="0" t="s">
        <x:v>21260</x:v>
      </x:c>
      <x:c r="B5352" s="0" t="s">
        <x:v>21261</x:v>
      </x:c>
      <x:c r="C5352" s="0" t="s">
        <x:v>21262</x:v>
      </x:c>
      <x:c r="E5352" s="0" t="s">
        <x:v>21263</x:v>
      </x:c>
      <x:c r="F5352" s="0" t="s">
        <x:v>45</x:v>
      </x:c>
      <x:c r="G5352" s="0" t="s">
        <x:v>19</x:v>
      </x:c>
      <x:c r="H5352" s="0" t="s">
        <x:v>20</x:v>
      </x:c>
      <x:c r="I5352" s="0" t="s">
        <x:v>21</x:v>
      </x:c>
      <x:c r="K5352" s="0">
        <x:f>hyperlink("https://icd.who.int/dev11/l-ichi/en#/http%3A%2F%2Fid.who.int%2Ficd%2Fentity%2F1761524576","browser")</x:f>
      </x:c>
      <x:c r="L5352" s="0">
        <x:f>hyperlink("https://icat2.azurewebsites.net/icat/?ontology=ICD&amp;tab=ClassesTab&amp;id=http%3A%2F%2Fwho.int%2Ficd%2329516_512ebf36_bf6b_4d70_85da_cf2637062af4","iCat")</x:f>
      </x:c>
      <x:c r="M5352" s="0" t="s">
        <x:v>21</x:v>
      </x:c>
      <x:c r="N5352" s="0" t="s">
        <x:v>46</x:v>
      </x:c>
    </x:row>
    <x:row r="5353" spans="1:16">
      <x:c r="A5353" s="0" t="s">
        <x:v>21264</x:v>
      </x:c>
      <x:c r="B5353" s="0" t="s">
        <x:v>21265</x:v>
      </x:c>
      <x:c r="C5353" s="0" t="s">
        <x:v>21266</x:v>
      </x:c>
      <x:c r="E5353" s="0" t="s">
        <x:v>21267</x:v>
      </x:c>
      <x:c r="F5353" s="0" t="s">
        <x:v>45</x:v>
      </x:c>
      <x:c r="G5353" s="0" t="s">
        <x:v>19</x:v>
      </x:c>
      <x:c r="H5353" s="0" t="s">
        <x:v>20</x:v>
      </x:c>
      <x:c r="I5353" s="0" t="s">
        <x:v>21</x:v>
      </x:c>
      <x:c r="K5353" s="0">
        <x:f>hyperlink("https://icd.who.int/dev11/l-ichi/en#/http%3A%2F%2Fid.who.int%2Ficd%2Fentity%2F1841992866","browser")</x:f>
      </x:c>
      <x:c r="L5353" s="0">
        <x:f>hyperlink("https://icat2.azurewebsites.net/icat/?ontology=ICD&amp;tab=ClassesTab&amp;id=http%3A%2F%2Fwho.int%2Ficd%2329525_512ebf36_bf6b_4d70_85da_cf2637062af4","iCat")</x:f>
      </x:c>
      <x:c r="M5353" s="0" t="s">
        <x:v>21</x:v>
      </x:c>
      <x:c r="N5353" s="0" t="s">
        <x:v>46</x:v>
      </x:c>
    </x:row>
    <x:row r="5354" spans="1:16">
      <x:c r="A5354" s="0" t="s">
        <x:v>21268</x:v>
      </x:c>
      <x:c r="B5354" s="0" t="s">
        <x:v>21269</x:v>
      </x:c>
      <x:c r="C5354" s="0" t="s">
        <x:v>21270</x:v>
      </x:c>
      <x:c r="E5354" s="0" t="s">
        <x:v>21271</x:v>
      </x:c>
      <x:c r="F5354" s="0" t="s">
        <x:v>45</x:v>
      </x:c>
      <x:c r="G5354" s="0" t="s">
        <x:v>19</x:v>
      </x:c>
      <x:c r="H5354" s="0" t="s">
        <x:v>20</x:v>
      </x:c>
      <x:c r="I5354" s="0" t="s">
        <x:v>21</x:v>
      </x:c>
      <x:c r="K5354" s="0">
        <x:f>hyperlink("https://icd.who.int/dev11/l-ichi/en#/http%3A%2F%2Fid.who.int%2Ficd%2Fentity%2F839435651","browser")</x:f>
      </x:c>
      <x:c r="L5354" s="0">
        <x:f>hyperlink("https://icat2.azurewebsites.net/icat/?ontology=ICD&amp;tab=ClassesTab&amp;id=http%3A%2F%2Fwho.int%2Ficd%2329531_512ebf36_bf6b_4d70_85da_cf2637062af4","iCat")</x:f>
      </x:c>
      <x:c r="M5354" s="0" t="s">
        <x:v>21</x:v>
      </x:c>
      <x:c r="N5354" s="0" t="s">
        <x:v>46</x:v>
      </x:c>
    </x:row>
    <x:row r="5355" spans="1:16">
      <x:c r="A5355" s="0" t="s">
        <x:v>21272</x:v>
      </x:c>
      <x:c r="B5355" s="0" t="s">
        <x:v>21273</x:v>
      </x:c>
      <x:c r="C5355" s="0" t="s">
        <x:v>21274</x:v>
      </x:c>
      <x:c r="E5355" s="0" t="s">
        <x:v>21275</x:v>
      </x:c>
      <x:c r="F5355" s="0" t="s">
        <x:v>45</x:v>
      </x:c>
      <x:c r="G5355" s="0" t="s">
        <x:v>19</x:v>
      </x:c>
      <x:c r="H5355" s="0" t="s">
        <x:v>20</x:v>
      </x:c>
      <x:c r="I5355" s="0" t="s">
        <x:v>21</x:v>
      </x:c>
      <x:c r="K5355" s="0">
        <x:f>hyperlink("https://icd.who.int/dev11/l-ichi/en#/http%3A%2F%2Fid.who.int%2Ficd%2Fentity%2F1550894828","browser")</x:f>
      </x:c>
      <x:c r="L5355" s="0">
        <x:f>hyperlink("https://icat2.azurewebsites.net/icat/?ontology=ICD&amp;tab=ClassesTab&amp;id=http%3A%2F%2Fwho.int%2Ficd%2329538_512ebf36_bf6b_4d70_85da_cf2637062af4","iCat")</x:f>
      </x:c>
      <x:c r="M5355" s="0" t="s">
        <x:v>21</x:v>
      </x:c>
      <x:c r="N5355" s="0" t="s">
        <x:v>46</x:v>
      </x:c>
    </x:row>
    <x:row r="5356" spans="1:16">
      <x:c r="A5356" s="0" t="s">
        <x:v>21276</x:v>
      </x:c>
      <x:c r="B5356" s="0" t="s">
        <x:v>21277</x:v>
      </x:c>
      <x:c r="C5356" s="0" t="s">
        <x:v>21278</x:v>
      </x:c>
      <x:c r="E5356" s="0" t="s">
        <x:v>21279</x:v>
      </x:c>
      <x:c r="F5356" s="0" t="s">
        <x:v>45</x:v>
      </x:c>
      <x:c r="G5356" s="0" t="s">
        <x:v>19</x:v>
      </x:c>
      <x:c r="H5356" s="0" t="s">
        <x:v>20</x:v>
      </x:c>
      <x:c r="I5356" s="0" t="s">
        <x:v>21</x:v>
      </x:c>
      <x:c r="K5356" s="0">
        <x:f>hyperlink("https://icd.who.int/dev11/l-ichi/en#/http%3A%2F%2Fid.who.int%2Ficd%2Fentity%2F387997905","browser")</x:f>
      </x:c>
      <x:c r="L5356" s="0">
        <x:f>hyperlink("https://icat2.azurewebsites.net/icat/?ontology=ICD&amp;tab=ClassesTab&amp;id=http%3A%2F%2Fwho.int%2Ficd%2329544_512ebf36_bf6b_4d70_85da_cf2637062af4","iCat")</x:f>
      </x:c>
      <x:c r="M5356" s="0" t="s">
        <x:v>21</x:v>
      </x:c>
      <x:c r="N5356" s="0" t="s">
        <x:v>46</x:v>
      </x:c>
    </x:row>
    <x:row r="5357" spans="1:16">
      <x:c r="A5357" s="0" t="s">
        <x:v>21280</x:v>
      </x:c>
      <x:c r="B5357" s="0" t="s">
        <x:v>21281</x:v>
      </x:c>
      <x:c r="C5357" s="0" t="s">
        <x:v>21282</x:v>
      </x:c>
      <x:c r="E5357" s="0" t="s">
        <x:v>21283</x:v>
      </x:c>
      <x:c r="F5357" s="0" t="s">
        <x:v>45</x:v>
      </x:c>
      <x:c r="G5357" s="0" t="s">
        <x:v>19</x:v>
      </x:c>
      <x:c r="H5357" s="0" t="s">
        <x:v>20</x:v>
      </x:c>
      <x:c r="I5357" s="0" t="s">
        <x:v>21</x:v>
      </x:c>
      <x:c r="K5357" s="0">
        <x:f>hyperlink("https://icd.who.int/dev11/l-ichi/en#/http%3A%2F%2Fid.who.int%2Ficd%2Fentity%2F1746617296","browser")</x:f>
      </x:c>
      <x:c r="L5357" s="0">
        <x:f>hyperlink("https://icat2.azurewebsites.net/icat/?ontology=ICD&amp;tab=ClassesTab&amp;id=http%3A%2F%2Fwho.int%2Ficd%2329551_512ebf36_bf6b_4d70_85da_cf2637062af4","iCat")</x:f>
      </x:c>
      <x:c r="M5357" s="0" t="s">
        <x:v>21</x:v>
      </x:c>
      <x:c r="N5357" s="0" t="s">
        <x:v>46</x:v>
      </x:c>
    </x:row>
    <x:row r="5358" spans="1:16">
      <x:c r="A5358" s="0" t="s">
        <x:v>21284</x:v>
      </x:c>
      <x:c r="B5358" s="0" t="s">
        <x:v>21285</x:v>
      </x:c>
      <x:c r="C5358" s="0" t="s">
        <x:v>21286</x:v>
      </x:c>
      <x:c r="E5358" s="0" t="s">
        <x:v>21287</x:v>
      </x:c>
      <x:c r="F5358" s="0" t="s">
        <x:v>45</x:v>
      </x:c>
      <x:c r="G5358" s="0" t="s">
        <x:v>19</x:v>
      </x:c>
      <x:c r="H5358" s="0" t="s">
        <x:v>20</x:v>
      </x:c>
      <x:c r="I5358" s="0" t="s">
        <x:v>21</x:v>
      </x:c>
      <x:c r="K5358" s="0">
        <x:f>hyperlink("https://icd.who.int/dev11/l-ichi/en#/http%3A%2F%2Fid.who.int%2Ficd%2Fentity%2F647639707","browser")</x:f>
      </x:c>
      <x:c r="L5358" s="0">
        <x:f>hyperlink("https://icat2.azurewebsites.net/icat/?ontology=ICD&amp;tab=ClassesTab&amp;id=http%3A%2F%2Fwho.int%2Ficd%2329559_512ebf36_bf6b_4d70_85da_cf2637062af4","iCat")</x:f>
      </x:c>
      <x:c r="M5358" s="0" t="s">
        <x:v>21</x:v>
      </x:c>
      <x:c r="N5358" s="0" t="s">
        <x:v>46</x:v>
      </x:c>
    </x:row>
    <x:row r="5359" spans="1:16">
      <x:c r="A5359" s="0" t="s">
        <x:v>21288</x:v>
      </x:c>
      <x:c r="B5359" s="0" t="s">
        <x:v>21289</x:v>
      </x:c>
      <x:c r="C5359" s="0" t="s">
        <x:v>21290</x:v>
      </x:c>
      <x:c r="E5359" s="0" t="s">
        <x:v>21291</x:v>
      </x:c>
      <x:c r="F5359" s="0" t="s">
        <x:v>45</x:v>
      </x:c>
      <x:c r="G5359" s="0" t="s">
        <x:v>19</x:v>
      </x:c>
      <x:c r="H5359" s="0" t="s">
        <x:v>20</x:v>
      </x:c>
      <x:c r="I5359" s="0" t="s">
        <x:v>21</x:v>
      </x:c>
      <x:c r="K5359" s="0">
        <x:f>hyperlink("https://icd.who.int/dev11/l-ichi/en#/http%3A%2F%2Fid.who.int%2Ficd%2Fentity%2F1479059524","browser")</x:f>
      </x:c>
      <x:c r="L5359" s="0">
        <x:f>hyperlink("https://icat2.azurewebsites.net/icat/?ontology=ICD&amp;tab=ClassesTab&amp;id=http%3A%2F%2Fwho.int%2Ficd%2329566_512ebf36_bf6b_4d70_85da_cf2637062af4","iCat")</x:f>
      </x:c>
      <x:c r="M5359" s="0" t="s">
        <x:v>21</x:v>
      </x:c>
      <x:c r="N5359" s="0" t="s">
        <x:v>46</x:v>
      </x:c>
    </x:row>
    <x:row r="5360" spans="1:16">
      <x:c r="A5360" s="0" t="s">
        <x:v>21292</x:v>
      </x:c>
      <x:c r="B5360" s="0" t="s">
        <x:v>21293</x:v>
      </x:c>
      <x:c r="C5360" s="0" t="s">
        <x:v>21294</x:v>
      </x:c>
      <x:c r="E5360" s="0" t="s">
        <x:v>21295</x:v>
      </x:c>
      <x:c r="F5360" s="0" t="s">
        <x:v>45</x:v>
      </x:c>
      <x:c r="G5360" s="0" t="s">
        <x:v>19</x:v>
      </x:c>
      <x:c r="H5360" s="0" t="s">
        <x:v>20</x:v>
      </x:c>
      <x:c r="I5360" s="0" t="s">
        <x:v>21</x:v>
      </x:c>
      <x:c r="K5360" s="0">
        <x:f>hyperlink("https://icd.who.int/dev11/l-ichi/en#/http%3A%2F%2Fid.who.int%2Ficd%2Fentity%2F132839783","browser")</x:f>
      </x:c>
      <x:c r="L5360" s="0">
        <x:f>hyperlink("https://icat2.azurewebsites.net/icat/?ontology=ICD&amp;tab=ClassesTab&amp;id=http%3A%2F%2Fwho.int%2Ficd%2329572_512ebf36_bf6b_4d70_85da_cf2637062af4","iCat")</x:f>
      </x:c>
      <x:c r="M5360" s="0" t="s">
        <x:v>21</x:v>
      </x:c>
      <x:c r="N5360" s="0" t="s">
        <x:v>46</x:v>
      </x:c>
    </x:row>
    <x:row r="5361" spans="1:16">
      <x:c r="A5361" s="0" t="s">
        <x:v>21296</x:v>
      </x:c>
      <x:c r="B5361" s="0" t="s">
        <x:v>21297</x:v>
      </x:c>
      <x:c r="C5361" s="0" t="s">
        <x:v>21298</x:v>
      </x:c>
      <x:c r="E5361" s="0" t="s">
        <x:v>21299</x:v>
      </x:c>
      <x:c r="F5361" s="0" t="s">
        <x:v>45</x:v>
      </x:c>
      <x:c r="G5361" s="0" t="s">
        <x:v>19</x:v>
      </x:c>
      <x:c r="H5361" s="0" t="s">
        <x:v>20</x:v>
      </x:c>
      <x:c r="I5361" s="0" t="s">
        <x:v>21</x:v>
      </x:c>
      <x:c r="K5361" s="0">
        <x:f>hyperlink("https://icd.who.int/dev11/l-ichi/en#/http%3A%2F%2Fid.who.int%2Ficd%2Fentity%2F739743223","browser")</x:f>
      </x:c>
      <x:c r="L5361" s="0">
        <x:f>hyperlink("https://icat2.azurewebsites.net/icat/?ontology=ICD&amp;tab=ClassesTab&amp;id=http%3A%2F%2Fwho.int%2Ficd%2329578_512ebf36_bf6b_4d70_85da_cf2637062af4","iCat")</x:f>
      </x:c>
      <x:c r="M5361" s="0" t="s">
        <x:v>21</x:v>
      </x:c>
      <x:c r="N5361" s="0" t="s">
        <x:v>46</x:v>
      </x:c>
    </x:row>
    <x:row r="5362" spans="1:16">
      <x:c r="A5362" s="0" t="s">
        <x:v>21300</x:v>
      </x:c>
      <x:c r="B5362" s="0" t="s">
        <x:v>21301</x:v>
      </x:c>
      <x:c r="C5362" s="0" t="s">
        <x:v>21302</x:v>
      </x:c>
      <x:c r="E5362" s="0" t="s">
        <x:v>21303</x:v>
      </x:c>
      <x:c r="F5362" s="0" t="s">
        <x:v>45</x:v>
      </x:c>
      <x:c r="G5362" s="0" t="s">
        <x:v>19</x:v>
      </x:c>
      <x:c r="H5362" s="0" t="s">
        <x:v>20</x:v>
      </x:c>
      <x:c r="I5362" s="0" t="s">
        <x:v>21</x:v>
      </x:c>
      <x:c r="K5362" s="0">
        <x:f>hyperlink("https://icd.who.int/dev11/l-ichi/en#/http%3A%2F%2Fid.who.int%2Ficd%2Fentity%2F1485772854","browser")</x:f>
      </x:c>
      <x:c r="L5362" s="0">
        <x:f>hyperlink("https://icat2.azurewebsites.net/icat/?ontology=ICD&amp;tab=ClassesTab&amp;id=http%3A%2F%2Fwho.int%2Ficd%2329585_512ebf36_bf6b_4d70_85da_cf2637062af4","iCat")</x:f>
      </x:c>
      <x:c r="M5362" s="0" t="s">
        <x:v>21</x:v>
      </x:c>
      <x:c r="N5362" s="0" t="s">
        <x:v>46</x:v>
      </x:c>
    </x:row>
    <x:row r="5363" spans="1:16">
      <x:c r="A5363" s="0" t="s">
        <x:v>21304</x:v>
      </x:c>
      <x:c r="B5363" s="0" t="s">
        <x:v>21305</x:v>
      </x:c>
      <x:c r="C5363" s="0" t="s">
        <x:v>21306</x:v>
      </x:c>
      <x:c r="E5363" s="0" t="s">
        <x:v>21307</x:v>
      </x:c>
      <x:c r="F5363" s="0" t="s">
        <x:v>45</x:v>
      </x:c>
      <x:c r="G5363" s="0" t="s">
        <x:v>19</x:v>
      </x:c>
      <x:c r="H5363" s="0" t="s">
        <x:v>20</x:v>
      </x:c>
      <x:c r="I5363" s="0" t="s">
        <x:v>21</x:v>
      </x:c>
      <x:c r="K5363" s="0">
        <x:f>hyperlink("https://icd.who.int/dev11/l-ichi/en#/http%3A%2F%2Fid.who.int%2Ficd%2Fentity%2F313786207","browser")</x:f>
      </x:c>
      <x:c r="L5363" s="0">
        <x:f>hyperlink("https://icat2.azurewebsites.net/icat/?ontology=ICD&amp;tab=ClassesTab&amp;id=http%3A%2F%2Fwho.int%2Ficd%2329594_512ebf36_bf6b_4d70_85da_cf2637062af4","iCat")</x:f>
      </x:c>
      <x:c r="M5363" s="0" t="s">
        <x:v>21</x:v>
      </x:c>
      <x:c r="N5363" s="0" t="s">
        <x:v>46</x:v>
      </x:c>
    </x:row>
    <x:row r="5364" spans="1:16">
      <x:c r="A5364" s="0" t="s">
        <x:v>21308</x:v>
      </x:c>
      <x:c r="B5364" s="0" t="s">
        <x:v>21309</x:v>
      </x:c>
      <x:c r="C5364" s="0" t="s">
        <x:v>21310</x:v>
      </x:c>
      <x:c r="E5364" s="0" t="s">
        <x:v>21311</x:v>
      </x:c>
      <x:c r="F5364" s="0" t="s">
        <x:v>45</x:v>
      </x:c>
      <x:c r="G5364" s="0" t="s">
        <x:v>19</x:v>
      </x:c>
      <x:c r="H5364" s="0" t="s">
        <x:v>20</x:v>
      </x:c>
      <x:c r="I5364" s="0" t="s">
        <x:v>21</x:v>
      </x:c>
      <x:c r="K5364" s="0">
        <x:f>hyperlink("https://icd.who.int/dev11/l-ichi/en#/http%3A%2F%2Fid.who.int%2Ficd%2Fentity%2F857687009","browser")</x:f>
      </x:c>
      <x:c r="L5364" s="0">
        <x:f>hyperlink("https://icat2.azurewebsites.net/icat/?ontology=ICD&amp;tab=ClassesTab&amp;id=http%3A%2F%2Fwho.int%2Ficd%2329600_512ebf36_bf6b_4d70_85da_cf2637062af4","iCat")</x:f>
      </x:c>
      <x:c r="M5364" s="0" t="s">
        <x:v>21</x:v>
      </x:c>
      <x:c r="N5364" s="0" t="s">
        <x:v>46</x:v>
      </x:c>
    </x:row>
    <x:row r="5365" spans="1:16">
      <x:c r="A5365" s="0" t="s">
        <x:v>21312</x:v>
      </x:c>
      <x:c r="B5365" s="0" t="s">
        <x:v>21313</x:v>
      </x:c>
      <x:c r="C5365" s="0" t="s">
        <x:v>21314</x:v>
      </x:c>
      <x:c r="E5365" s="0" t="s">
        <x:v>21315</x:v>
      </x:c>
      <x:c r="F5365" s="0" t="s">
        <x:v>45</x:v>
      </x:c>
      <x:c r="G5365" s="0" t="s">
        <x:v>19</x:v>
      </x:c>
      <x:c r="H5365" s="0" t="s">
        <x:v>20</x:v>
      </x:c>
      <x:c r="I5365" s="0" t="s">
        <x:v>21</x:v>
      </x:c>
      <x:c r="K5365" s="0">
        <x:f>hyperlink("https://icd.who.int/dev11/l-ichi/en#/http%3A%2F%2Fid.who.int%2Ficd%2Fentity%2F1667537488","browser")</x:f>
      </x:c>
      <x:c r="L5365" s="0">
        <x:f>hyperlink("https://icat2.azurewebsites.net/icat/?ontology=ICD&amp;tab=ClassesTab&amp;id=http%3A%2F%2Fwho.int%2Ficd%2329606_512ebf36_bf6b_4d70_85da_cf2637062af4","iCat")</x:f>
      </x:c>
      <x:c r="M5365" s="0" t="s">
        <x:v>21</x:v>
      </x:c>
      <x:c r="N5365" s="0" t="s">
        <x:v>46</x:v>
      </x:c>
    </x:row>
    <x:row r="5366" spans="1:16">
      <x:c r="A5366" s="0" t="s">
        <x:v>21316</x:v>
      </x:c>
      <x:c r="B5366" s="0" t="s">
        <x:v>21317</x:v>
      </x:c>
      <x:c r="C5366" s="0" t="s">
        <x:v>21318</x:v>
      </x:c>
      <x:c r="E5366" s="0" t="s">
        <x:v>21319</x:v>
      </x:c>
      <x:c r="F5366" s="0" t="s">
        <x:v>45</x:v>
      </x:c>
      <x:c r="G5366" s="0" t="s">
        <x:v>19</x:v>
      </x:c>
      <x:c r="H5366" s="0" t="s">
        <x:v>20</x:v>
      </x:c>
      <x:c r="I5366" s="0" t="s">
        <x:v>21</x:v>
      </x:c>
      <x:c r="K5366" s="0">
        <x:f>hyperlink("https://icd.who.int/dev11/l-ichi/en#/http%3A%2F%2Fid.who.int%2Ficd%2Fentity%2F1277452544","browser")</x:f>
      </x:c>
      <x:c r="L5366" s="0">
        <x:f>hyperlink("https://icat2.azurewebsites.net/icat/?ontology=ICD&amp;tab=ClassesTab&amp;id=http%3A%2F%2Fwho.int%2Ficd%2329615_512ebf36_bf6b_4d70_85da_cf2637062af4","iCat")</x:f>
      </x:c>
      <x:c r="M5366" s="0" t="s">
        <x:v>21</x:v>
      </x:c>
      <x:c r="N5366" s="0" t="s">
        <x:v>46</x:v>
      </x:c>
    </x:row>
    <x:row r="5367" spans="1:16">
      <x:c r="A5367" s="0" t="s">
        <x:v>21320</x:v>
      </x:c>
      <x:c r="B5367" s="0" t="s">
        <x:v>21321</x:v>
      </x:c>
      <x:c r="C5367" s="0" t="s">
        <x:v>21322</x:v>
      </x:c>
      <x:c r="E5367" s="0" t="s">
        <x:v>21323</x:v>
      </x:c>
      <x:c r="F5367" s="0" t="s">
        <x:v>45</x:v>
      </x:c>
      <x:c r="G5367" s="0" t="s">
        <x:v>19</x:v>
      </x:c>
      <x:c r="H5367" s="0" t="s">
        <x:v>20</x:v>
      </x:c>
      <x:c r="I5367" s="0" t="s">
        <x:v>21</x:v>
      </x:c>
      <x:c r="K5367" s="0">
        <x:f>hyperlink("https://icd.who.int/dev11/l-ichi/en#/http%3A%2F%2Fid.who.int%2Ficd%2Fentity%2F2081917812","browser")</x:f>
      </x:c>
      <x:c r="L5367" s="0">
        <x:f>hyperlink("https://icat2.azurewebsites.net/icat/?ontology=ICD&amp;tab=ClassesTab&amp;id=http%3A%2F%2Fwho.int%2Ficd%2329622_512ebf36_bf6b_4d70_85da_cf2637062af4","iCat")</x:f>
      </x:c>
      <x:c r="M5367" s="0" t="s">
        <x:v>21</x:v>
      </x:c>
      <x:c r="N5367" s="0" t="s">
        <x:v>46</x:v>
      </x:c>
    </x:row>
    <x:row r="5368" spans="1:16">
      <x:c r="A5368" s="0" t="s">
        <x:v>21324</x:v>
      </x:c>
      <x:c r="B5368" s="0" t="s">
        <x:v>21325</x:v>
      </x:c>
      <x:c r="C5368" s="0" t="s">
        <x:v>21326</x:v>
      </x:c>
      <x:c r="E5368" s="0" t="s">
        <x:v>21327</x:v>
      </x:c>
      <x:c r="F5368" s="0" t="s">
        <x:v>45</x:v>
      </x:c>
      <x:c r="G5368" s="0" t="s">
        <x:v>19</x:v>
      </x:c>
      <x:c r="H5368" s="0" t="s">
        <x:v>20</x:v>
      </x:c>
      <x:c r="I5368" s="0" t="s">
        <x:v>21</x:v>
      </x:c>
      <x:c r="K5368" s="0">
        <x:f>hyperlink("https://icd.who.int/dev11/l-ichi/en#/http%3A%2F%2Fid.who.int%2Ficd%2Fentity%2F1997772250","browser")</x:f>
      </x:c>
      <x:c r="L5368" s="0">
        <x:f>hyperlink("https://icat2.azurewebsites.net/icat/?ontology=ICD&amp;tab=ClassesTab&amp;id=http%3A%2F%2Fwho.int%2Ficd%2329629_512ebf36_bf6b_4d70_85da_cf2637062af4","iCat")</x:f>
      </x:c>
      <x:c r="M5368" s="0" t="s">
        <x:v>21</x:v>
      </x:c>
      <x:c r="N5368" s="0" t="s">
        <x:v>46</x:v>
      </x:c>
    </x:row>
    <x:row r="5369" spans="1:16">
      <x:c r="A5369" s="0" t="s">
        <x:v>21328</x:v>
      </x:c>
      <x:c r="B5369" s="0" t="s">
        <x:v>21329</x:v>
      </x:c>
      <x:c r="C5369" s="0" t="s">
        <x:v>21330</x:v>
      </x:c>
      <x:c r="E5369" s="0" t="s">
        <x:v>21331</x:v>
      </x:c>
      <x:c r="F5369" s="0" t="s">
        <x:v>45</x:v>
      </x:c>
      <x:c r="G5369" s="0" t="s">
        <x:v>19</x:v>
      </x:c>
      <x:c r="H5369" s="0" t="s">
        <x:v>20</x:v>
      </x:c>
      <x:c r="I5369" s="0" t="s">
        <x:v>21</x:v>
      </x:c>
      <x:c r="K5369" s="0">
        <x:f>hyperlink("https://icd.who.int/dev11/l-ichi/en#/http%3A%2F%2Fid.who.int%2Ficd%2Fentity%2F84935358","browser")</x:f>
      </x:c>
      <x:c r="L5369" s="0">
        <x:f>hyperlink("https://icat2.azurewebsites.net/icat/?ontology=ICD&amp;tab=ClassesTab&amp;id=http%3A%2F%2Fwho.int%2Ficd%2316066_4869915e_217e_423d_acb3_33c0f920ef4b","iCat")</x:f>
      </x:c>
      <x:c r="M5369" s="0" t="s">
        <x:v>21</x:v>
      </x:c>
      <x:c r="N5369" s="0" t="s">
        <x:v>46</x:v>
      </x:c>
    </x:row>
    <x:row r="5370" spans="1:16">
      <x:c r="A5370" s="0" t="s">
        <x:v>21332</x:v>
      </x:c>
      <x:c r="B5370" s="0" t="s">
        <x:v>21333</x:v>
      </x:c>
      <x:c r="C5370" s="0" t="s">
        <x:v>21334</x:v>
      </x:c>
      <x:c r="E5370" s="0" t="s">
        <x:v>21335</x:v>
      </x:c>
      <x:c r="F5370" s="0" t="s">
        <x:v>45</x:v>
      </x:c>
      <x:c r="G5370" s="0" t="s">
        <x:v>19</x:v>
      </x:c>
      <x:c r="H5370" s="0" t="s">
        <x:v>20</x:v>
      </x:c>
      <x:c r="I5370" s="0" t="s">
        <x:v>21</x:v>
      </x:c>
      <x:c r="K5370" s="0">
        <x:f>hyperlink("https://icd.who.int/dev11/l-ichi/en#/http%3A%2F%2Fid.who.int%2Ficd%2Fentity%2F601217623","browser")</x:f>
      </x:c>
      <x:c r="L5370" s="0">
        <x:f>hyperlink("https://icat2.azurewebsites.net/icat/?ontology=ICD&amp;tab=ClassesTab&amp;id=http%3A%2F%2Fwho.int%2Ficd%2329636_512ebf36_bf6b_4d70_85da_cf2637062af4","iCat")</x:f>
      </x:c>
      <x:c r="M5370" s="0" t="s">
        <x:v>21</x:v>
      </x:c>
      <x:c r="N5370" s="0" t="s">
        <x:v>46</x:v>
      </x:c>
    </x:row>
    <x:row r="5371" spans="1:16">
      <x:c r="A5371" s="0" t="s">
        <x:v>21336</x:v>
      </x:c>
      <x:c r="B5371" s="0" t="s">
        <x:v>21337</x:v>
      </x:c>
      <x:c r="C5371" s="0" t="s">
        <x:v>21338</x:v>
      </x:c>
      <x:c r="E5371" s="0" t="s">
        <x:v>21339</x:v>
      </x:c>
      <x:c r="F5371" s="0" t="s">
        <x:v>45</x:v>
      </x:c>
      <x:c r="G5371" s="0" t="s">
        <x:v>19</x:v>
      </x:c>
      <x:c r="H5371" s="0" t="s">
        <x:v>20</x:v>
      </x:c>
      <x:c r="I5371" s="0" t="s">
        <x:v>21</x:v>
      </x:c>
      <x:c r="K5371" s="0">
        <x:f>hyperlink("https://icd.who.int/dev11/l-ichi/en#/http%3A%2F%2Fid.who.int%2Ficd%2Fentity%2F1091312059","browser")</x:f>
      </x:c>
      <x:c r="L5371" s="0">
        <x:f>hyperlink("https://icat2.azurewebsites.net/icat/?ontology=ICD&amp;tab=ClassesTab&amp;id=http%3A%2F%2Fwho.int%2Ficd%2316283_4869915e_217e_423d_acb3_33c0f920ef4b","iCat")</x:f>
      </x:c>
      <x:c r="M5371" s="0" t="s">
        <x:v>21</x:v>
      </x:c>
      <x:c r="N5371" s="0" t="s">
        <x:v>46</x:v>
      </x:c>
    </x:row>
    <x:row r="5372" spans="1:16">
      <x:c r="A5372" s="0" t="s">
        <x:v>21340</x:v>
      </x:c>
      <x:c r="B5372" s="0" t="s">
        <x:v>21341</x:v>
      </x:c>
      <x:c r="C5372" s="0" t="s">
        <x:v>21342</x:v>
      </x:c>
      <x:c r="E5372" s="0" t="s">
        <x:v>21343</x:v>
      </x:c>
      <x:c r="F5372" s="0" t="s">
        <x:v>45</x:v>
      </x:c>
      <x:c r="G5372" s="0" t="s">
        <x:v>19</x:v>
      </x:c>
      <x:c r="H5372" s="0" t="s">
        <x:v>20</x:v>
      </x:c>
      <x:c r="I5372" s="0" t="s">
        <x:v>21</x:v>
      </x:c>
      <x:c r="K5372" s="0">
        <x:f>hyperlink("https://icd.who.int/dev11/l-ichi/en#/http%3A%2F%2Fid.who.int%2Ficd%2Fentity%2F234447273","browser")</x:f>
      </x:c>
      <x:c r="L5372" s="0">
        <x:f>hyperlink("https://icat2.azurewebsites.net/icat/?ontology=ICD&amp;tab=ClassesTab&amp;id=http%3A%2F%2Fwho.int%2Ficd%2329648_512ebf36_bf6b_4d70_85da_cf2637062af4","iCat")</x:f>
      </x:c>
      <x:c r="M5372" s="0" t="s">
        <x:v>21</x:v>
      </x:c>
      <x:c r="N5372" s="0" t="s">
        <x:v>46</x:v>
      </x:c>
    </x:row>
    <x:row r="5373" spans="1:16">
      <x:c r="A5373" s="0" t="s">
        <x:v>21344</x:v>
      </x:c>
      <x:c r="B5373" s="0" t="s">
        <x:v>21345</x:v>
      </x:c>
      <x:c r="C5373" s="0" t="s">
        <x:v>21346</x:v>
      </x:c>
      <x:c r="E5373" s="0" t="s">
        <x:v>21347</x:v>
      </x:c>
      <x:c r="F5373" s="0" t="s">
        <x:v>45</x:v>
      </x:c>
      <x:c r="G5373" s="0" t="s">
        <x:v>19</x:v>
      </x:c>
      <x:c r="H5373" s="0" t="s">
        <x:v>20</x:v>
      </x:c>
      <x:c r="I5373" s="0" t="s">
        <x:v>21</x:v>
      </x:c>
      <x:c r="K5373" s="0">
        <x:f>hyperlink("https://icd.who.int/dev11/l-ichi/en#/http%3A%2F%2Fid.who.int%2Ficd%2Fentity%2F637799737","browser")</x:f>
      </x:c>
      <x:c r="L5373" s="0">
        <x:f>hyperlink("https://icat2.azurewebsites.net/icat/?ontology=ICD&amp;tab=ClassesTab&amp;id=http%3A%2F%2Fwho.int%2Ficd%2329642_512ebf36_bf6b_4d70_85da_cf2637062af4","iCat")</x:f>
      </x:c>
      <x:c r="M5373" s="0" t="s">
        <x:v>21</x:v>
      </x:c>
      <x:c r="N5373" s="0" t="s">
        <x:v>46</x:v>
      </x:c>
    </x:row>
    <x:row r="5374" spans="1:16">
      <x:c r="A5374" s="0" t="s">
        <x:v>21348</x:v>
      </x:c>
      <x:c r="B5374" s="0" t="s">
        <x:v>21349</x:v>
      </x:c>
      <x:c r="C5374" s="0" t="s">
        <x:v>21350</x:v>
      </x:c>
      <x:c r="E5374" s="0" t="s">
        <x:v>21351</x:v>
      </x:c>
      <x:c r="F5374" s="0" t="s">
        <x:v>45</x:v>
      </x:c>
      <x:c r="G5374" s="0" t="s">
        <x:v>19</x:v>
      </x:c>
      <x:c r="H5374" s="0" t="s">
        <x:v>20</x:v>
      </x:c>
      <x:c r="I5374" s="0" t="s">
        <x:v>21</x:v>
      </x:c>
      <x:c r="K5374" s="0">
        <x:f>hyperlink("https://icd.who.int/dev11/l-ichi/en#/http%3A%2F%2Fid.who.int%2Ficd%2Fentity%2F481968607","browser")</x:f>
      </x:c>
      <x:c r="L5374" s="0">
        <x:f>hyperlink("https://icat2.azurewebsites.net/icat/?ontology=ICD&amp;tab=ClassesTab&amp;id=http%3A%2F%2Fwho.int%2Ficd%2329654_512ebf36_bf6b_4d70_85da_cf2637062af4","iCat")</x:f>
      </x:c>
      <x:c r="M5374" s="0" t="s">
        <x:v>21</x:v>
      </x:c>
      <x:c r="N5374" s="0" t="s">
        <x:v>46</x:v>
      </x:c>
    </x:row>
    <x:row r="5375" spans="1:16">
      <x:c r="A5375" s="0" t="s">
        <x:v>21352</x:v>
      </x:c>
      <x:c r="B5375" s="0" t="s">
        <x:v>21353</x:v>
      </x:c>
      <x:c r="C5375" s="0" t="s">
        <x:v>21354</x:v>
      </x:c>
      <x:c r="E5375" s="0" t="s">
        <x:v>21355</x:v>
      </x:c>
      <x:c r="F5375" s="0" t="s">
        <x:v>45</x:v>
      </x:c>
      <x:c r="G5375" s="0" t="s">
        <x:v>19</x:v>
      </x:c>
      <x:c r="H5375" s="0" t="s">
        <x:v>20</x:v>
      </x:c>
      <x:c r="I5375" s="0" t="s">
        <x:v>21</x:v>
      </x:c>
      <x:c r="K5375" s="0">
        <x:f>hyperlink("https://icd.who.int/dev11/l-ichi/en#/http%3A%2F%2Fid.who.int%2Ficd%2Fentity%2F1762444716","browser")</x:f>
      </x:c>
      <x:c r="L5375" s="0">
        <x:f>hyperlink("https://icat2.azurewebsites.net/icat/?ontology=ICD&amp;tab=ClassesTab&amp;id=http%3A%2F%2Fwho.int%2Ficd%2329660_512ebf36_bf6b_4d70_85da_cf2637062af4","iCat")</x:f>
      </x:c>
      <x:c r="M5375" s="0" t="s">
        <x:v>21</x:v>
      </x:c>
      <x:c r="N5375" s="0" t="s">
        <x:v>46</x:v>
      </x:c>
    </x:row>
    <x:row r="5376" spans="1:16">
      <x:c r="A5376" s="0" t="s">
        <x:v>21356</x:v>
      </x:c>
      <x:c r="B5376" s="0" t="s">
        <x:v>21357</x:v>
      </x:c>
      <x:c r="C5376" s="0" t="s">
        <x:v>21358</x:v>
      </x:c>
      <x:c r="E5376" s="0" t="s">
        <x:v>21359</x:v>
      </x:c>
      <x:c r="F5376" s="0" t="s">
        <x:v>45</x:v>
      </x:c>
      <x:c r="G5376" s="0" t="s">
        <x:v>19</x:v>
      </x:c>
      <x:c r="H5376" s="0" t="s">
        <x:v>20</x:v>
      </x:c>
      <x:c r="I5376" s="0" t="s">
        <x:v>21</x:v>
      </x:c>
      <x:c r="K5376" s="0">
        <x:f>hyperlink("https://icd.who.int/dev11/l-ichi/en#/http%3A%2F%2Fid.who.int%2Ficd%2Fentity%2F428764705","browser")</x:f>
      </x:c>
      <x:c r="L5376" s="0">
        <x:f>hyperlink("https://icat2.azurewebsites.net/icat/?ontology=ICD&amp;tab=ClassesTab&amp;id=http%3A%2F%2Fwho.int%2Ficd%2329667_512ebf36_bf6b_4d70_85da_cf2637062af4","iCat")</x:f>
      </x:c>
      <x:c r="M5376" s="0" t="s">
        <x:v>21</x:v>
      </x:c>
      <x:c r="N5376" s="0" t="s">
        <x:v>46</x:v>
      </x:c>
    </x:row>
    <x:row r="5377" spans="1:16">
      <x:c r="A5377" s="0" t="s">
        <x:v>21360</x:v>
      </x:c>
      <x:c r="B5377" s="0" t="s">
        <x:v>21361</x:v>
      </x:c>
      <x:c r="C5377" s="0" t="s">
        <x:v>21362</x:v>
      </x:c>
      <x:c r="E5377" s="0" t="s">
        <x:v>21363</x:v>
      </x:c>
      <x:c r="F5377" s="0" t="s">
        <x:v>45</x:v>
      </x:c>
      <x:c r="G5377" s="0" t="s">
        <x:v>19</x:v>
      </x:c>
      <x:c r="H5377" s="0" t="s">
        <x:v>20</x:v>
      </x:c>
      <x:c r="I5377" s="0" t="s">
        <x:v>21</x:v>
      </x:c>
      <x:c r="K5377" s="0">
        <x:f>hyperlink("https://icd.who.int/dev11/l-ichi/en#/http%3A%2F%2Fid.who.int%2Ficd%2Fentity%2F1179401988","browser")</x:f>
      </x:c>
      <x:c r="L5377" s="0">
        <x:f>hyperlink("https://icat2.azurewebsites.net/icat/?ontology=ICD&amp;tab=ClassesTab&amp;id=http%3A%2F%2Fwho.int%2Ficd%2329673_512ebf36_bf6b_4d70_85da_cf2637062af4","iCat")</x:f>
      </x:c>
      <x:c r="M5377" s="0" t="s">
        <x:v>21</x:v>
      </x:c>
      <x:c r="N5377" s="0" t="s">
        <x:v>46</x:v>
      </x:c>
    </x:row>
    <x:row r="5378" spans="1:16">
      <x:c r="A5378" s="0" t="s">
        <x:v>21364</x:v>
      </x:c>
      <x:c r="B5378" s="0" t="s">
        <x:v>21365</x:v>
      </x:c>
      <x:c r="C5378" s="0" t="s">
        <x:v>21366</x:v>
      </x:c>
      <x:c r="E5378" s="0" t="s">
        <x:v>21367</x:v>
      </x:c>
      <x:c r="F5378" s="0" t="s">
        <x:v>45</x:v>
      </x:c>
      <x:c r="G5378" s="0" t="s">
        <x:v>19</x:v>
      </x:c>
      <x:c r="H5378" s="0" t="s">
        <x:v>20</x:v>
      </x:c>
      <x:c r="I5378" s="0" t="s">
        <x:v>21</x:v>
      </x:c>
      <x:c r="K5378" s="0">
        <x:f>hyperlink("https://icd.who.int/dev11/l-ichi/en#/http%3A%2F%2Fid.who.int%2Ficd%2Fentity%2F1230112736","browser")</x:f>
      </x:c>
      <x:c r="L5378" s="0">
        <x:f>hyperlink("https://icat2.azurewebsites.net/icat/?ontology=ICD&amp;tab=ClassesTab&amp;id=http%3A%2F%2Fwho.int%2Ficd%2329682_512ebf36_bf6b_4d70_85da_cf2637062af4","iCat")</x:f>
      </x:c>
      <x:c r="M5378" s="0" t="s">
        <x:v>21</x:v>
      </x:c>
      <x:c r="N5378" s="0" t="s">
        <x:v>46</x:v>
      </x:c>
    </x:row>
    <x:row r="5379" spans="1:16">
      <x:c r="A5379" s="0" t="s">
        <x:v>21368</x:v>
      </x:c>
      <x:c r="B5379" s="0" t="s">
        <x:v>21369</x:v>
      </x:c>
      <x:c r="C5379" s="0" t="s">
        <x:v>21370</x:v>
      </x:c>
      <x:c r="E5379" s="0" t="s">
        <x:v>21371</x:v>
      </x:c>
      <x:c r="F5379" s="0" t="s">
        <x:v>45</x:v>
      </x:c>
      <x:c r="G5379" s="0" t="s">
        <x:v>19</x:v>
      </x:c>
      <x:c r="H5379" s="0" t="s">
        <x:v>20</x:v>
      </x:c>
      <x:c r="I5379" s="0" t="s">
        <x:v>21</x:v>
      </x:c>
      <x:c r="K5379" s="0">
        <x:f>hyperlink("https://icd.who.int/dev11/l-ichi/en#/http%3A%2F%2Fid.who.int%2Ficd%2Fentity%2F597136055","browser")</x:f>
      </x:c>
      <x:c r="L5379" s="0">
        <x:f>hyperlink("https://icat2.azurewebsites.net/icat/?ontology=ICD&amp;tab=ClassesTab&amp;id=http%3A%2F%2Fwho.int%2Ficd%2329692_512ebf36_bf6b_4d70_85da_cf2637062af4","iCat")</x:f>
      </x:c>
      <x:c r="M5379" s="0" t="s">
        <x:v>21</x:v>
      </x:c>
      <x:c r="N5379" s="0" t="s">
        <x:v>46</x:v>
      </x:c>
    </x:row>
    <x:row r="5380" spans="1:16">
      <x:c r="A5380" s="0" t="s">
        <x:v>21372</x:v>
      </x:c>
      <x:c r="B5380" s="0" t="s">
        <x:v>21373</x:v>
      </x:c>
      <x:c r="C5380" s="0" t="s">
        <x:v>21374</x:v>
      </x:c>
      <x:c r="E5380" s="0" t="s">
        <x:v>21375</x:v>
      </x:c>
      <x:c r="F5380" s="0" t="s">
        <x:v>45</x:v>
      </x:c>
      <x:c r="G5380" s="0" t="s">
        <x:v>19</x:v>
      </x:c>
      <x:c r="H5380" s="0" t="s">
        <x:v>20</x:v>
      </x:c>
      <x:c r="I5380" s="0" t="s">
        <x:v>21</x:v>
      </x:c>
      <x:c r="K5380" s="0">
        <x:f>hyperlink("https://icd.who.int/dev11/l-ichi/en#/http%3A%2F%2Fid.who.int%2Ficd%2Fentity%2F680758299","browser")</x:f>
      </x:c>
      <x:c r="L5380" s="0">
        <x:f>hyperlink("https://icat2.azurewebsites.net/icat/?ontology=ICD&amp;tab=ClassesTab&amp;id=http%3A%2F%2Fwho.int%2Ficd%2329699_512ebf36_bf6b_4d70_85da_cf2637062af4","iCat")</x:f>
      </x:c>
      <x:c r="M5380" s="0" t="s">
        <x:v>21</x:v>
      </x:c>
      <x:c r="N5380" s="0" t="s">
        <x:v>46</x:v>
      </x:c>
    </x:row>
    <x:row r="5381" spans="1:16">
      <x:c r="A5381" s="0" t="s">
        <x:v>21376</x:v>
      </x:c>
      <x:c r="B5381" s="0" t="s">
        <x:v>21377</x:v>
      </x:c>
      <x:c r="C5381" s="0" t="s">
        <x:v>21378</x:v>
      </x:c>
      <x:c r="E5381" s="0" t="s">
        <x:v>21379</x:v>
      </x:c>
      <x:c r="F5381" s="0" t="s">
        <x:v>45</x:v>
      </x:c>
      <x:c r="G5381" s="0" t="s">
        <x:v>19</x:v>
      </x:c>
      <x:c r="H5381" s="0" t="s">
        <x:v>20</x:v>
      </x:c>
      <x:c r="I5381" s="0" t="s">
        <x:v>21</x:v>
      </x:c>
      <x:c r="K5381" s="0">
        <x:f>hyperlink("https://icd.who.int/dev11/l-ichi/en#/http%3A%2F%2Fid.who.int%2Ficd%2Fentity%2F385572045","browser")</x:f>
      </x:c>
      <x:c r="L5381" s="0">
        <x:f>hyperlink("https://icat2.azurewebsites.net/icat/?ontology=ICD&amp;tab=ClassesTab&amp;id=http%3A%2F%2Fwho.int%2Ficd%2329706_512ebf36_bf6b_4d70_85da_cf2637062af4","iCat")</x:f>
      </x:c>
      <x:c r="M5381" s="0" t="s">
        <x:v>21</x:v>
      </x:c>
      <x:c r="N5381" s="0" t="s">
        <x:v>46</x:v>
      </x:c>
    </x:row>
    <x:row r="5382" spans="1:16">
      <x:c r="A5382" s="0" t="s">
        <x:v>21380</x:v>
      </x:c>
      <x:c r="B5382" s="0" t="s">
        <x:v>21381</x:v>
      </x:c>
      <x:c r="C5382" s="0" t="s">
        <x:v>21382</x:v>
      </x:c>
      <x:c r="E5382" s="0" t="s">
        <x:v>21383</x:v>
      </x:c>
      <x:c r="F5382" s="0" t="s">
        <x:v>45</x:v>
      </x:c>
      <x:c r="G5382" s="0" t="s">
        <x:v>19</x:v>
      </x:c>
      <x:c r="H5382" s="0" t="s">
        <x:v>20</x:v>
      </x:c>
      <x:c r="I5382" s="0" t="s">
        <x:v>21</x:v>
      </x:c>
      <x:c r="K5382" s="0">
        <x:f>hyperlink("https://icd.who.int/dev11/l-ichi/en#/http%3A%2F%2Fid.who.int%2Ficd%2Fentity%2F1774223314","browser")</x:f>
      </x:c>
      <x:c r="L5382" s="0">
        <x:f>hyperlink("https://icat2.azurewebsites.net/icat/?ontology=ICD&amp;tab=ClassesTab&amp;id=http%3A%2F%2Fwho.int%2Ficd%2329713_512ebf36_bf6b_4d70_85da_cf2637062af4","iCat")</x:f>
      </x:c>
      <x:c r="M5382" s="0" t="s">
        <x:v>21</x:v>
      </x:c>
      <x:c r="N5382" s="0" t="s">
        <x:v>46</x:v>
      </x:c>
    </x:row>
    <x:row r="5383" spans="1:16">
      <x:c r="A5383" s="0" t="s">
        <x:v>21384</x:v>
      </x:c>
      <x:c r="B5383" s="0" t="s">
        <x:v>21385</x:v>
      </x:c>
      <x:c r="C5383" s="0" t="s">
        <x:v>21386</x:v>
      </x:c>
      <x:c r="E5383" s="0" t="s">
        <x:v>21387</x:v>
      </x:c>
      <x:c r="F5383" s="0" t="s">
        <x:v>45</x:v>
      </x:c>
      <x:c r="G5383" s="0" t="s">
        <x:v>19</x:v>
      </x:c>
      <x:c r="H5383" s="0" t="s">
        <x:v>20</x:v>
      </x:c>
      <x:c r="I5383" s="0" t="s">
        <x:v>21</x:v>
      </x:c>
      <x:c r="K5383" s="0">
        <x:f>hyperlink("https://icd.who.int/dev11/l-ichi/en#/http%3A%2F%2Fid.who.int%2Ficd%2Fentity%2F159927785","browser")</x:f>
      </x:c>
      <x:c r="L5383" s="0">
        <x:f>hyperlink("https://icat2.azurewebsites.net/icat/?ontology=ICD&amp;tab=ClassesTab&amp;id=http%3A%2F%2Fwho.int%2Ficd%2329722_512ebf36_bf6b_4d70_85da_cf2637062af4","iCat")</x:f>
      </x:c>
      <x:c r="M5383" s="0" t="s">
        <x:v>21</x:v>
      </x:c>
      <x:c r="N5383" s="0" t="s">
        <x:v>46</x:v>
      </x:c>
    </x:row>
    <x:row r="5384" spans="1:16">
      <x:c r="A5384" s="0" t="s">
        <x:v>21388</x:v>
      </x:c>
      <x:c r="B5384" s="0" t="s">
        <x:v>21389</x:v>
      </x:c>
      <x:c r="C5384" s="0" t="s">
        <x:v>21390</x:v>
      </x:c>
      <x:c r="E5384" s="0" t="s">
        <x:v>21391</x:v>
      </x:c>
      <x:c r="F5384" s="0" t="s">
        <x:v>45</x:v>
      </x:c>
      <x:c r="G5384" s="0" t="s">
        <x:v>19</x:v>
      </x:c>
      <x:c r="H5384" s="0" t="s">
        <x:v>20</x:v>
      </x:c>
      <x:c r="I5384" s="0" t="s">
        <x:v>21</x:v>
      </x:c>
      <x:c r="K5384" s="0">
        <x:f>hyperlink("https://icd.who.int/dev11/l-ichi/en#/http%3A%2F%2Fid.who.int%2Ficd%2Fentity%2F103925115","browser")</x:f>
      </x:c>
      <x:c r="L5384" s="0">
        <x:f>hyperlink("https://icat2.azurewebsites.net/icat/?ontology=ICD&amp;tab=ClassesTab&amp;id=http%3A%2F%2Fwho.int%2Ficd%2329730_512ebf36_bf6b_4d70_85da_cf2637062af4","iCat")</x:f>
      </x:c>
      <x:c r="M5384" s="0" t="s">
        <x:v>21</x:v>
      </x:c>
      <x:c r="N5384" s="0" t="s">
        <x:v>46</x:v>
      </x:c>
    </x:row>
    <x:row r="5385" spans="1:16">
      <x:c r="A5385" s="0" t="s">
        <x:v>21392</x:v>
      </x:c>
      <x:c r="B5385" s="0" t="s">
        <x:v>21393</x:v>
      </x:c>
      <x:c r="C5385" s="0" t="s">
        <x:v>21394</x:v>
      </x:c>
      <x:c r="E5385" s="0" t="s">
        <x:v>21395</x:v>
      </x:c>
      <x:c r="F5385" s="0" t="s">
        <x:v>45</x:v>
      </x:c>
      <x:c r="G5385" s="0" t="s">
        <x:v>19</x:v>
      </x:c>
      <x:c r="H5385" s="0" t="s">
        <x:v>20</x:v>
      </x:c>
      <x:c r="I5385" s="0" t="s">
        <x:v>21</x:v>
      </x:c>
      <x:c r="K5385" s="0">
        <x:f>hyperlink("https://icd.who.int/dev11/l-ichi/en#/http%3A%2F%2Fid.who.int%2Ficd%2Fentity%2F1749665300","browser")</x:f>
      </x:c>
      <x:c r="L5385" s="0">
        <x:f>hyperlink("https://icat2.azurewebsites.net/icat/?ontology=ICD&amp;tab=ClassesTab&amp;id=http%3A%2F%2Fwho.int%2Ficd%2329739_512ebf36_bf6b_4d70_85da_cf2637062af4","iCat")</x:f>
      </x:c>
      <x:c r="M5385" s="0" t="s">
        <x:v>21</x:v>
      </x:c>
      <x:c r="N5385" s="0" t="s">
        <x:v>46</x:v>
      </x:c>
    </x:row>
    <x:row r="5386" spans="1:16">
      <x:c r="A5386" s="0" t="s">
        <x:v>21396</x:v>
      </x:c>
      <x:c r="B5386" s="0" t="s">
        <x:v>21397</x:v>
      </x:c>
      <x:c r="C5386" s="0" t="s">
        <x:v>21398</x:v>
      </x:c>
      <x:c r="E5386" s="0" t="s">
        <x:v>21399</x:v>
      </x:c>
      <x:c r="F5386" s="0" t="s">
        <x:v>45</x:v>
      </x:c>
      <x:c r="G5386" s="0" t="s">
        <x:v>19</x:v>
      </x:c>
      <x:c r="H5386" s="0" t="s">
        <x:v>20</x:v>
      </x:c>
      <x:c r="I5386" s="0" t="s">
        <x:v>21</x:v>
      </x:c>
      <x:c r="K5386" s="0">
        <x:f>hyperlink("https://icd.who.int/dev11/l-ichi/en#/http%3A%2F%2Fid.who.int%2Ficd%2Fentity%2F1486869768","browser")</x:f>
      </x:c>
      <x:c r="L5386" s="0">
        <x:f>hyperlink("https://icat2.azurewebsites.net/icat/?ontology=ICD&amp;tab=ClassesTab&amp;id=http%3A%2F%2Fwho.int%2Ficd%2329749_512ebf36_bf6b_4d70_85da_cf2637062af4","iCat")</x:f>
      </x:c>
      <x:c r="M5386" s="0" t="s">
        <x:v>21</x:v>
      </x:c>
      <x:c r="N5386" s="0" t="s">
        <x:v>46</x:v>
      </x:c>
    </x:row>
    <x:row r="5387" spans="1:16">
      <x:c r="A5387" s="0" t="s">
        <x:v>21400</x:v>
      </x:c>
      <x:c r="B5387" s="0" t="s">
        <x:v>21401</x:v>
      </x:c>
      <x:c r="C5387" s="0" t="s">
        <x:v>21402</x:v>
      </x:c>
      <x:c r="E5387" s="0" t="s">
        <x:v>21403</x:v>
      </x:c>
      <x:c r="F5387" s="0" t="s">
        <x:v>45</x:v>
      </x:c>
      <x:c r="G5387" s="0" t="s">
        <x:v>19</x:v>
      </x:c>
      <x:c r="H5387" s="0" t="s">
        <x:v>20</x:v>
      </x:c>
      <x:c r="I5387" s="0" t="s">
        <x:v>21</x:v>
      </x:c>
      <x:c r="K5387" s="0">
        <x:f>hyperlink("https://icd.who.int/dev11/l-ichi/en#/http%3A%2F%2Fid.who.int%2Ficd%2Fentity%2F631810652","browser")</x:f>
      </x:c>
      <x:c r="L5387" s="0">
        <x:f>hyperlink("https://icat2.azurewebsites.net/icat/?ontology=ICD&amp;tab=ClassesTab&amp;id=http%3A%2F%2Fwho.int%2Ficd%23150_2458c621_13a9_4018_84d7_a04ee4f7aacc","iCat")</x:f>
      </x:c>
      <x:c r="M5387" s="0" t="s">
        <x:v>21</x:v>
      </x:c>
      <x:c r="N5387" s="0" t="s">
        <x:v>46</x:v>
      </x:c>
    </x:row>
    <x:row r="5388" spans="1:16">
      <x:c r="A5388" s="0" t="s">
        <x:v>21404</x:v>
      </x:c>
      <x:c r="B5388" s="0" t="s">
        <x:v>21405</x:v>
      </x:c>
      <x:c r="C5388" s="0" t="s">
        <x:v>21406</x:v>
      </x:c>
      <x:c r="E5388" s="0" t="s">
        <x:v>21407</x:v>
      </x:c>
      <x:c r="F5388" s="0" t="s">
        <x:v>45</x:v>
      </x:c>
      <x:c r="G5388" s="0" t="s">
        <x:v>19</x:v>
      </x:c>
      <x:c r="H5388" s="0" t="s">
        <x:v>20</x:v>
      </x:c>
      <x:c r="I5388" s="0" t="s">
        <x:v>21</x:v>
      </x:c>
      <x:c r="K5388" s="0">
        <x:f>hyperlink("https://icd.who.int/dev11/l-ichi/en#/http%3A%2F%2Fid.who.int%2Ficd%2Fentity%2F1013608717","browser")</x:f>
      </x:c>
      <x:c r="L5388" s="0">
        <x:f>hyperlink("https://icat2.azurewebsites.net/icat/?ontology=ICD&amp;tab=ClassesTab&amp;id=http%3A%2F%2Fwho.int%2Ficd%2329761_512ebf36_bf6b_4d70_85da_cf2637062af4","iCat")</x:f>
      </x:c>
      <x:c r="M5388" s="0" t="s">
        <x:v>21</x:v>
      </x:c>
      <x:c r="N5388" s="0" t="s">
        <x:v>46</x:v>
      </x:c>
    </x:row>
    <x:row r="5389" spans="1:16">
      <x:c r="A5389" s="0" t="s">
        <x:v>21408</x:v>
      </x:c>
      <x:c r="B5389" s="0" t="s">
        <x:v>21409</x:v>
      </x:c>
      <x:c r="C5389" s="0" t="s">
        <x:v>21410</x:v>
      </x:c>
      <x:c r="E5389" s="0" t="s">
        <x:v>21411</x:v>
      </x:c>
      <x:c r="F5389" s="0" t="s">
        <x:v>45</x:v>
      </x:c>
      <x:c r="G5389" s="0" t="s">
        <x:v>19</x:v>
      </x:c>
      <x:c r="H5389" s="0" t="s">
        <x:v>20</x:v>
      </x:c>
      <x:c r="I5389" s="0" t="s">
        <x:v>21</x:v>
      </x:c>
      <x:c r="K5389" s="0">
        <x:f>hyperlink("https://icd.who.int/dev11/l-ichi/en#/http%3A%2F%2Fid.who.int%2Ficd%2Fentity%2F1376940644","browser")</x:f>
      </x:c>
      <x:c r="L5389" s="0">
        <x:f>hyperlink("https://icat2.azurewebsites.net/icat/?ontology=ICD&amp;tab=ClassesTab&amp;id=http%3A%2F%2Fwho.int%2Ficd%2329768_512ebf36_bf6b_4d70_85da_cf2637062af4","iCat")</x:f>
      </x:c>
      <x:c r="M5389" s="0" t="s">
        <x:v>21</x:v>
      </x:c>
      <x:c r="N5389" s="0" t="s">
        <x:v>46</x:v>
      </x:c>
    </x:row>
    <x:row r="5390" spans="1:16">
      <x:c r="A5390" s="0" t="s">
        <x:v>21412</x:v>
      </x:c>
      <x:c r="B5390" s="0" t="s">
        <x:v>21413</x:v>
      </x:c>
      <x:c r="C5390" s="0" t="s">
        <x:v>21414</x:v>
      </x:c>
      <x:c r="E5390" s="0" t="s">
        <x:v>21415</x:v>
      </x:c>
      <x:c r="F5390" s="0" t="s">
        <x:v>45</x:v>
      </x:c>
      <x:c r="G5390" s="0" t="s">
        <x:v>19</x:v>
      </x:c>
      <x:c r="H5390" s="0" t="s">
        <x:v>20</x:v>
      </x:c>
      <x:c r="I5390" s="0" t="s">
        <x:v>21</x:v>
      </x:c>
      <x:c r="K5390" s="0">
        <x:f>hyperlink("https://icd.who.int/dev11/l-ichi/en#/http%3A%2F%2Fid.who.int%2Ficd%2Fentity%2F1671962670","browser")</x:f>
      </x:c>
      <x:c r="L5390" s="0">
        <x:f>hyperlink("https://icat2.azurewebsites.net/icat/?ontology=ICD&amp;tab=ClassesTab&amp;id=http%3A%2F%2Fwho.int%2Ficd%2329775_512ebf36_bf6b_4d70_85da_cf2637062af4","iCat")</x:f>
      </x:c>
      <x:c r="M5390" s="0" t="s">
        <x:v>21</x:v>
      </x:c>
      <x:c r="N5390" s="0" t="s">
        <x:v>46</x:v>
      </x:c>
    </x:row>
    <x:row r="5391" spans="1:16">
      <x:c r="A5391" s="0" t="s">
        <x:v>21416</x:v>
      </x:c>
      <x:c r="B5391" s="0" t="s">
        <x:v>21417</x:v>
      </x:c>
      <x:c r="C5391" s="0" t="s">
        <x:v>21418</x:v>
      </x:c>
      <x:c r="E5391" s="0" t="s">
        <x:v>21419</x:v>
      </x:c>
      <x:c r="F5391" s="0" t="s">
        <x:v>45</x:v>
      </x:c>
      <x:c r="G5391" s="0" t="s">
        <x:v>19</x:v>
      </x:c>
      <x:c r="H5391" s="0" t="s">
        <x:v>20</x:v>
      </x:c>
      <x:c r="I5391" s="0" t="s">
        <x:v>21</x:v>
      </x:c>
      <x:c r="K5391" s="0">
        <x:f>hyperlink("https://icd.who.int/dev11/l-ichi/en#/http%3A%2F%2Fid.who.int%2Ficd%2Fentity%2F1020117373","browser")</x:f>
      </x:c>
      <x:c r="L5391" s="0">
        <x:f>hyperlink("https://icat2.azurewebsites.net/icat/?ontology=ICD&amp;tab=ClassesTab&amp;id=http%3A%2F%2Fwho.int%2Ficd%2329782_512ebf36_bf6b_4d70_85da_cf2637062af4","iCat")</x:f>
      </x:c>
      <x:c r="M5391" s="0" t="s">
        <x:v>21</x:v>
      </x:c>
      <x:c r="N5391" s="0" t="s">
        <x:v>46</x:v>
      </x:c>
    </x:row>
    <x:row r="5392" spans="1:16">
      <x:c r="A5392" s="0" t="s">
        <x:v>21420</x:v>
      </x:c>
      <x:c r="B5392" s="0" t="s">
        <x:v>21421</x:v>
      </x:c>
      <x:c r="C5392" s="0" t="s">
        <x:v>21422</x:v>
      </x:c>
      <x:c r="E5392" s="0" t="s">
        <x:v>21423</x:v>
      </x:c>
      <x:c r="F5392" s="0" t="s">
        <x:v>45</x:v>
      </x:c>
      <x:c r="G5392" s="0" t="s">
        <x:v>19</x:v>
      </x:c>
      <x:c r="H5392" s="0" t="s">
        <x:v>20</x:v>
      </x:c>
      <x:c r="I5392" s="0" t="s">
        <x:v>21</x:v>
      </x:c>
      <x:c r="K5392" s="0">
        <x:f>hyperlink("https://icd.who.int/dev11/l-ichi/en#/http%3A%2F%2Fid.who.int%2Ficd%2Fentity%2F935976913","browser")</x:f>
      </x:c>
      <x:c r="L5392" s="0">
        <x:f>hyperlink("https://icat2.azurewebsites.net/icat/?ontology=ICD&amp;tab=ClassesTab&amp;id=http%3A%2F%2Fwho.int%2Ficd%2329789_512ebf36_bf6b_4d70_85da_cf2637062af4","iCat")</x:f>
      </x:c>
      <x:c r="M5392" s="0" t="s">
        <x:v>21</x:v>
      </x:c>
      <x:c r="N5392" s="0" t="s">
        <x:v>46</x:v>
      </x:c>
    </x:row>
    <x:row r="5393" spans="1:16">
      <x:c r="A5393" s="0" t="s">
        <x:v>21424</x:v>
      </x:c>
      <x:c r="B5393" s="0" t="s">
        <x:v>21425</x:v>
      </x:c>
      <x:c r="C5393" s="0" t="s">
        <x:v>21426</x:v>
      </x:c>
      <x:c r="E5393" s="0" t="s">
        <x:v>21427</x:v>
      </x:c>
      <x:c r="F5393" s="0" t="s">
        <x:v>45</x:v>
      </x:c>
      <x:c r="G5393" s="0" t="s">
        <x:v>19</x:v>
      </x:c>
      <x:c r="H5393" s="0" t="s">
        <x:v>20</x:v>
      </x:c>
      <x:c r="I5393" s="0" t="s">
        <x:v>21</x:v>
      </x:c>
      <x:c r="K5393" s="0">
        <x:f>hyperlink("https://icd.who.int/dev11/l-ichi/en#/http%3A%2F%2Fid.who.int%2Ficd%2Fentity%2F1379921686","browser")</x:f>
      </x:c>
      <x:c r="L5393" s="0">
        <x:f>hyperlink("https://icat2.azurewebsites.net/icat/?ontology=ICD&amp;tab=ClassesTab&amp;id=http%3A%2F%2Fwho.int%2Ficd%2326631_512ebf36_bf6b_4d70_85da_cf2637062af4","iCat")</x:f>
      </x:c>
      <x:c r="M5393" s="0" t="s">
        <x:v>21</x:v>
      </x:c>
      <x:c r="N5393" s="0" t="s">
        <x:v>46</x:v>
      </x:c>
    </x:row>
    <x:row r="5394" spans="1:16">
      <x:c r="A5394" s="0" t="s">
        <x:v>21428</x:v>
      </x:c>
      <x:c r="B5394" s="0" t="s">
        <x:v>21429</x:v>
      </x:c>
      <x:c r="C5394" s="0" t="s">
        <x:v>21430</x:v>
      </x:c>
      <x:c r="E5394" s="0" t="s">
        <x:v>21431</x:v>
      </x:c>
      <x:c r="F5394" s="0" t="s">
        <x:v>45</x:v>
      </x:c>
      <x:c r="G5394" s="0" t="s">
        <x:v>19</x:v>
      </x:c>
      <x:c r="H5394" s="0" t="s">
        <x:v>20</x:v>
      </x:c>
      <x:c r="I5394" s="0" t="s">
        <x:v>21</x:v>
      </x:c>
      <x:c r="K5394" s="0">
        <x:f>hyperlink("https://icd.who.int/dev11/l-ichi/en#/http%3A%2F%2Fid.who.int%2Ficd%2Fentity%2F104105619","browser")</x:f>
      </x:c>
      <x:c r="L5394" s="0">
        <x:f>hyperlink("https://icat2.azurewebsites.net/icat/?ontology=ICD&amp;tab=ClassesTab&amp;id=http%3A%2F%2Fwho.int%2Ficd%2315636_4869915e_217e_423d_acb3_33c0f920ef4b","iCat")</x:f>
      </x:c>
      <x:c r="M5394" s="0" t="s">
        <x:v>21</x:v>
      </x:c>
      <x:c r="N5394" s="0" t="s">
        <x:v>46</x:v>
      </x:c>
    </x:row>
    <x:row r="5395" spans="1:16">
      <x:c r="A5395" s="0" t="s">
        <x:v>21432</x:v>
      </x:c>
      <x:c r="B5395" s="0" t="s">
        <x:v>21433</x:v>
      </x:c>
      <x:c r="C5395" s="0" t="s">
        <x:v>21434</x:v>
      </x:c>
      <x:c r="E5395" s="0" t="s">
        <x:v>21435</x:v>
      </x:c>
      <x:c r="F5395" s="0" t="s">
        <x:v>45</x:v>
      </x:c>
      <x:c r="G5395" s="0" t="s">
        <x:v>19</x:v>
      </x:c>
      <x:c r="H5395" s="0" t="s">
        <x:v>20</x:v>
      </x:c>
      <x:c r="I5395" s="0" t="s">
        <x:v>21</x:v>
      </x:c>
      <x:c r="K5395" s="0">
        <x:f>hyperlink("https://icd.who.int/dev11/l-ichi/en#/http%3A%2F%2Fid.who.int%2Ficd%2Fentity%2F646643623","browser")</x:f>
      </x:c>
      <x:c r="L5395" s="0">
        <x:f>hyperlink("https://icat2.azurewebsites.net/icat/?ontology=ICD&amp;tab=ClassesTab&amp;id=http%3A%2F%2Fwho.int%2Ficd%2329795_512ebf36_bf6b_4d70_85da_cf2637062af4","iCat")</x:f>
      </x:c>
      <x:c r="M5395" s="0" t="s">
        <x:v>21</x:v>
      </x:c>
      <x:c r="N5395" s="0" t="s">
        <x:v>46</x:v>
      </x:c>
    </x:row>
    <x:row r="5396" spans="1:16">
      <x:c r="A5396" s="0" t="s">
        <x:v>21436</x:v>
      </x:c>
      <x:c r="B5396" s="0" t="s">
        <x:v>21437</x:v>
      </x:c>
      <x:c r="C5396" s="0" t="s">
        <x:v>21438</x:v>
      </x:c>
      <x:c r="E5396" s="0" t="s">
        <x:v>21439</x:v>
      </x:c>
      <x:c r="F5396" s="0" t="s">
        <x:v>45</x:v>
      </x:c>
      <x:c r="G5396" s="0" t="s">
        <x:v>19</x:v>
      </x:c>
      <x:c r="H5396" s="0" t="s">
        <x:v>20</x:v>
      </x:c>
      <x:c r="I5396" s="0" t="s">
        <x:v>21</x:v>
      </x:c>
      <x:c r="K5396" s="0">
        <x:f>hyperlink("https://icd.who.int/dev11/l-ichi/en#/http%3A%2F%2Fid.who.int%2Ficd%2Fentity%2F1437665471","browser")</x:f>
      </x:c>
      <x:c r="L5396" s="0">
        <x:f>hyperlink("https://icat2.azurewebsites.net/icat/?ontology=ICD&amp;tab=ClassesTab&amp;id=http%3A%2F%2Fwho.int%2Ficd%2329802_512ebf36_bf6b_4d70_85da_cf2637062af4","iCat")</x:f>
      </x:c>
      <x:c r="M5396" s="0" t="s">
        <x:v>21</x:v>
      </x:c>
      <x:c r="N5396" s="0" t="s">
        <x:v>46</x:v>
      </x:c>
    </x:row>
    <x:row r="5397" spans="1:16">
      <x:c r="A5397" s="0" t="s">
        <x:v>21440</x:v>
      </x:c>
      <x:c r="B5397" s="0" t="s">
        <x:v>21441</x:v>
      </x:c>
      <x:c r="C5397" s="0" t="s">
        <x:v>21442</x:v>
      </x:c>
      <x:c r="E5397" s="0" t="s">
        <x:v>21443</x:v>
      </x:c>
      <x:c r="F5397" s="0" t="s">
        <x:v>45</x:v>
      </x:c>
      <x:c r="G5397" s="0" t="s">
        <x:v>19</x:v>
      </x:c>
      <x:c r="H5397" s="0" t="s">
        <x:v>20</x:v>
      </x:c>
      <x:c r="I5397" s="0" t="s">
        <x:v>21</x:v>
      </x:c>
      <x:c r="K5397" s="0">
        <x:f>hyperlink("https://icd.who.int/dev11/l-ichi/en#/http%3A%2F%2Fid.who.int%2Ficd%2Fentity%2F1064607208","browser")</x:f>
      </x:c>
      <x:c r="L5397" s="0">
        <x:f>hyperlink("https://icat2.azurewebsites.net/icat/?ontology=ICD&amp;tab=ClassesTab&amp;id=http%3A%2F%2Fwho.int%2Ficd%2329812_512ebf36_bf6b_4d70_85da_cf2637062af4","iCat")</x:f>
      </x:c>
      <x:c r="M5397" s="0" t="s">
        <x:v>21</x:v>
      </x:c>
      <x:c r="N5397" s="0" t="s">
        <x:v>46</x:v>
      </x:c>
    </x:row>
    <x:row r="5398" spans="1:16">
      <x:c r="A5398" s="0" t="s">
        <x:v>21444</x:v>
      </x:c>
      <x:c r="B5398" s="0" t="s">
        <x:v>21445</x:v>
      </x:c>
      <x:c r="C5398" s="0" t="s">
        <x:v>21446</x:v>
      </x:c>
      <x:c r="E5398" s="0" t="s">
        <x:v>21447</x:v>
      </x:c>
      <x:c r="F5398" s="0" t="s">
        <x:v>45</x:v>
      </x:c>
      <x:c r="G5398" s="0" t="s">
        <x:v>19</x:v>
      </x:c>
      <x:c r="H5398" s="0" t="s">
        <x:v>20</x:v>
      </x:c>
      <x:c r="I5398" s="0" t="s">
        <x:v>21</x:v>
      </x:c>
      <x:c r="K5398" s="0">
        <x:f>hyperlink("https://icd.who.int/dev11/l-ichi/en#/http%3A%2F%2Fid.who.int%2Ficd%2Fentity%2F977318422","browser")</x:f>
      </x:c>
      <x:c r="L5398" s="0">
        <x:f>hyperlink("https://icat2.azurewebsites.net/icat/?ontology=ICD&amp;tab=ClassesTab&amp;id=http%3A%2F%2Fwho.int%2Ficd%2329821_512ebf36_bf6b_4d70_85da_cf2637062af4","iCat")</x:f>
      </x:c>
      <x:c r="M5398" s="0" t="s">
        <x:v>21</x:v>
      </x:c>
      <x:c r="N5398" s="0" t="s">
        <x:v>46</x:v>
      </x:c>
    </x:row>
    <x:row r="5399" spans="1:16">
      <x:c r="A5399" s="0" t="s">
        <x:v>21448</x:v>
      </x:c>
      <x:c r="B5399" s="0" t="s">
        <x:v>21449</x:v>
      </x:c>
      <x:c r="C5399" s="0" t="s">
        <x:v>21450</x:v>
      </x:c>
      <x:c r="E5399" s="0" t="s">
        <x:v>21451</x:v>
      </x:c>
      <x:c r="F5399" s="0" t="s">
        <x:v>45</x:v>
      </x:c>
      <x:c r="G5399" s="0" t="s">
        <x:v>19</x:v>
      </x:c>
      <x:c r="H5399" s="0" t="s">
        <x:v>20</x:v>
      </x:c>
      <x:c r="I5399" s="0" t="s">
        <x:v>21</x:v>
      </x:c>
      <x:c r="K5399" s="0">
        <x:f>hyperlink("https://icd.who.int/dev11/l-ichi/en#/http%3A%2F%2Fid.who.int%2Ficd%2Fentity%2F1958855491","browser")</x:f>
      </x:c>
      <x:c r="L5399" s="0">
        <x:f>hyperlink("https://icat2.azurewebsites.net/icat/?ontology=ICD&amp;tab=ClassesTab&amp;id=http%3A%2F%2Fwho.int%2Ficd%2329829_512ebf36_bf6b_4d70_85da_cf2637062af4","iCat")</x:f>
      </x:c>
      <x:c r="M5399" s="0" t="s">
        <x:v>21</x:v>
      </x:c>
      <x:c r="N5399" s="0" t="s">
        <x:v>46</x:v>
      </x:c>
    </x:row>
    <x:row r="5400" spans="1:16">
      <x:c r="A5400" s="0" t="s">
        <x:v>21452</x:v>
      </x:c>
      <x:c r="B5400" s="0" t="s">
        <x:v>21453</x:v>
      </x:c>
      <x:c r="C5400" s="0" t="s">
        <x:v>21454</x:v>
      </x:c>
      <x:c r="E5400" s="0" t="s">
        <x:v>21455</x:v>
      </x:c>
      <x:c r="F5400" s="0" t="s">
        <x:v>45</x:v>
      </x:c>
      <x:c r="G5400" s="0" t="s">
        <x:v>19</x:v>
      </x:c>
      <x:c r="H5400" s="0" t="s">
        <x:v>20</x:v>
      </x:c>
      <x:c r="I5400" s="0" t="s">
        <x:v>21</x:v>
      </x:c>
      <x:c r="K5400" s="0">
        <x:f>hyperlink("https://icd.who.int/dev11/l-ichi/en#/http%3A%2F%2Fid.who.int%2Ficd%2Fentity%2F537365708","browser")</x:f>
      </x:c>
      <x:c r="L5400" s="0">
        <x:f>hyperlink("https://icat2.azurewebsites.net/icat/?ontology=ICD&amp;tab=ClassesTab&amp;id=http%3A%2F%2Fwho.int%2Ficd%2329836_512ebf36_bf6b_4d70_85da_cf2637062af4","iCat")</x:f>
      </x:c>
      <x:c r="M5400" s="0" t="s">
        <x:v>21</x:v>
      </x:c>
      <x:c r="N5400" s="0" t="s">
        <x:v>46</x:v>
      </x:c>
    </x:row>
    <x:row r="5401" spans="1:16">
      <x:c r="A5401" s="0" t="s">
        <x:v>21456</x:v>
      </x:c>
      <x:c r="B5401" s="0" t="s">
        <x:v>21457</x:v>
      </x:c>
      <x:c r="C5401" s="0" t="s">
        <x:v>21458</x:v>
      </x:c>
      <x:c r="E5401" s="0" t="s">
        <x:v>21459</x:v>
      </x:c>
      <x:c r="F5401" s="0" t="s">
        <x:v>45</x:v>
      </x:c>
      <x:c r="G5401" s="0" t="s">
        <x:v>19</x:v>
      </x:c>
      <x:c r="H5401" s="0" t="s">
        <x:v>20</x:v>
      </x:c>
      <x:c r="I5401" s="0" t="s">
        <x:v>21</x:v>
      </x:c>
      <x:c r="K5401" s="0">
        <x:f>hyperlink("https://icd.who.int/dev11/l-ichi/en#/http%3A%2F%2Fid.who.int%2Ficd%2Fentity%2F86976928","browser")</x:f>
      </x:c>
      <x:c r="L5401" s="0">
        <x:f>hyperlink("https://icat2.azurewebsites.net/icat/?ontology=ICD&amp;tab=ClassesTab&amp;id=http%3A%2F%2Fwho.int%2Ficd%2329843_512ebf36_bf6b_4d70_85da_cf2637062af4","iCat")</x:f>
      </x:c>
      <x:c r="M5401" s="0" t="s">
        <x:v>21</x:v>
      </x:c>
      <x:c r="N5401" s="0" t="s">
        <x:v>46</x:v>
      </x:c>
    </x:row>
    <x:row r="5402" spans="1:16">
      <x:c r="A5402" s="0" t="s">
        <x:v>21460</x:v>
      </x:c>
      <x:c r="B5402" s="0" t="s">
        <x:v>21461</x:v>
      </x:c>
      <x:c r="C5402" s="0" t="s">
        <x:v>21462</x:v>
      </x:c>
      <x:c r="E5402" s="0" t="s">
        <x:v>21463</x:v>
      </x:c>
      <x:c r="F5402" s="0" t="s">
        <x:v>45</x:v>
      </x:c>
      <x:c r="G5402" s="0" t="s">
        <x:v>19</x:v>
      </x:c>
      <x:c r="H5402" s="0" t="s">
        <x:v>20</x:v>
      </x:c>
      <x:c r="I5402" s="0" t="s">
        <x:v>21</x:v>
      </x:c>
      <x:c r="K5402" s="0">
        <x:f>hyperlink("https://icd.who.int/dev11/l-ichi/en#/http%3A%2F%2Fid.who.int%2Ficd%2Fentity%2F1326698229","browser")</x:f>
      </x:c>
      <x:c r="L5402" s="0">
        <x:f>hyperlink("https://icat2.azurewebsites.net/icat/?ontology=ICD&amp;tab=ClassesTab&amp;id=http%3A%2F%2Fwho.int%2Ficd%2329852_512ebf36_bf6b_4d70_85da_cf2637062af4","iCat")</x:f>
      </x:c>
      <x:c r="M5402" s="0" t="s">
        <x:v>21</x:v>
      </x:c>
      <x:c r="N5402" s="0" t="s">
        <x:v>46</x:v>
      </x:c>
    </x:row>
    <x:row r="5403" spans="1:16">
      <x:c r="A5403" s="0" t="s">
        <x:v>21464</x:v>
      </x:c>
      <x:c r="B5403" s="0" t="s">
        <x:v>21465</x:v>
      </x:c>
      <x:c r="C5403" s="0" t="s">
        <x:v>21466</x:v>
      </x:c>
      <x:c r="E5403" s="0" t="s">
        <x:v>21467</x:v>
      </x:c>
      <x:c r="F5403" s="0" t="s">
        <x:v>45</x:v>
      </x:c>
      <x:c r="G5403" s="0" t="s">
        <x:v>19</x:v>
      </x:c>
      <x:c r="H5403" s="0" t="s">
        <x:v>20</x:v>
      </x:c>
      <x:c r="I5403" s="0" t="s">
        <x:v>21</x:v>
      </x:c>
      <x:c r="K5403" s="0">
        <x:f>hyperlink("https://icd.who.int/dev11/l-ichi/en#/http%3A%2F%2Fid.who.int%2Ficd%2Fentity%2F1390024582","browser")</x:f>
      </x:c>
      <x:c r="L5403" s="0">
        <x:f>hyperlink("https://icat2.azurewebsites.net/icat/?ontology=ICD&amp;tab=ClassesTab&amp;id=http%3A%2F%2Fwho.int%2Ficd%2326676_512ebf36_bf6b_4d70_85da_cf2637062af4","iCat")</x:f>
      </x:c>
      <x:c r="M5403" s="0" t="s">
        <x:v>21</x:v>
      </x:c>
      <x:c r="N5403" s="0" t="s">
        <x:v>46</x:v>
      </x:c>
    </x:row>
    <x:row r="5404" spans="1:16">
      <x:c r="A5404" s="0" t="s">
        <x:v>21468</x:v>
      </x:c>
      <x:c r="B5404" s="0" t="s">
        <x:v>21469</x:v>
      </x:c>
      <x:c r="C5404" s="0" t="s">
        <x:v>21470</x:v>
      </x:c>
      <x:c r="E5404" s="0" t="s">
        <x:v>21471</x:v>
      </x:c>
      <x:c r="F5404" s="0" t="s">
        <x:v>45</x:v>
      </x:c>
      <x:c r="G5404" s="0" t="s">
        <x:v>19</x:v>
      </x:c>
      <x:c r="H5404" s="0" t="s">
        <x:v>20</x:v>
      </x:c>
      <x:c r="I5404" s="0" t="s">
        <x:v>21</x:v>
      </x:c>
      <x:c r="K5404" s="0">
        <x:f>hyperlink("https://icd.who.int/dev11/l-ichi/en#/http%3A%2F%2Fid.who.int%2Ficd%2Fentity%2F1757670164","browser")</x:f>
      </x:c>
      <x:c r="L5404" s="0">
        <x:f>hyperlink("https://icat2.azurewebsites.net/icat/?ontology=ICD&amp;tab=ClassesTab&amp;id=http%3A%2F%2Fwho.int%2Ficd%2326683_512ebf36_bf6b_4d70_85da_cf2637062af4","iCat")</x:f>
      </x:c>
      <x:c r="M5404" s="0" t="s">
        <x:v>21</x:v>
      </x:c>
      <x:c r="N5404" s="0" t="s">
        <x:v>46</x:v>
      </x:c>
    </x:row>
    <x:row r="5405" spans="1:16">
      <x:c r="A5405" s="0" t="s">
        <x:v>21472</x:v>
      </x:c>
      <x:c r="B5405" s="0" t="s">
        <x:v>21473</x:v>
      </x:c>
      <x:c r="C5405" s="0" t="s">
        <x:v>21474</x:v>
      </x:c>
      <x:c r="E5405" s="0" t="s">
        <x:v>21475</x:v>
      </x:c>
      <x:c r="F5405" s="0" t="s">
        <x:v>45</x:v>
      </x:c>
      <x:c r="G5405" s="0" t="s">
        <x:v>19</x:v>
      </x:c>
      <x:c r="H5405" s="0" t="s">
        <x:v>20</x:v>
      </x:c>
      <x:c r="I5405" s="0" t="s">
        <x:v>21</x:v>
      </x:c>
      <x:c r="K5405" s="0">
        <x:f>hyperlink("https://icd.who.int/dev11/l-ichi/en#/http%3A%2F%2Fid.who.int%2Ficd%2Fentity%2F1244127499","browser")</x:f>
      </x:c>
      <x:c r="L5405" s="0">
        <x:f>hyperlink("https://icat2.azurewebsites.net/icat/?ontology=ICD&amp;tab=ClassesTab&amp;id=http%3A%2F%2Fwho.int%2Ficd%2329861_512ebf36_bf6b_4d70_85da_cf2637062af4","iCat")</x:f>
      </x:c>
      <x:c r="M5405" s="0" t="s">
        <x:v>21</x:v>
      </x:c>
      <x:c r="N5405" s="0" t="s">
        <x:v>46</x:v>
      </x:c>
    </x:row>
    <x:row r="5406" spans="1:16">
      <x:c r="A5406" s="0" t="s">
        <x:v>21476</x:v>
      </x:c>
      <x:c r="B5406" s="0" t="s">
        <x:v>21477</x:v>
      </x:c>
      <x:c r="C5406" s="0" t="s">
        <x:v>21478</x:v>
      </x:c>
      <x:c r="E5406" s="0" t="s">
        <x:v>21479</x:v>
      </x:c>
      <x:c r="F5406" s="0" t="s">
        <x:v>45</x:v>
      </x:c>
      <x:c r="G5406" s="0" t="s">
        <x:v>19</x:v>
      </x:c>
      <x:c r="H5406" s="0" t="s">
        <x:v>20</x:v>
      </x:c>
      <x:c r="I5406" s="0" t="s">
        <x:v>21</x:v>
      </x:c>
      <x:c r="K5406" s="0">
        <x:f>hyperlink("https://icd.who.int/dev11/l-ichi/en#/http%3A%2F%2Fid.who.int%2Ficd%2Fentity%2F610263652","browser")</x:f>
      </x:c>
      <x:c r="L5406" s="0">
        <x:f>hyperlink("https://icat2.azurewebsites.net/icat/?ontology=ICD&amp;tab=ClassesTab&amp;id=http%3A%2F%2Fwho.int%2Ficd%2329868_512ebf36_bf6b_4d70_85da_cf2637062af4","iCat")</x:f>
      </x:c>
      <x:c r="M5406" s="0" t="s">
        <x:v>21</x:v>
      </x:c>
      <x:c r="N5406" s="0" t="s">
        <x:v>46</x:v>
      </x:c>
    </x:row>
    <x:row r="5407" spans="1:16">
      <x:c r="A5407" s="0" t="s">
        <x:v>21480</x:v>
      </x:c>
      <x:c r="B5407" s="0" t="s">
        <x:v>21481</x:v>
      </x:c>
      <x:c r="C5407" s="0" t="s">
        <x:v>21482</x:v>
      </x:c>
      <x:c r="E5407" s="0" t="s">
        <x:v>21483</x:v>
      </x:c>
      <x:c r="F5407" s="0" t="s">
        <x:v>45</x:v>
      </x:c>
      <x:c r="G5407" s="0" t="s">
        <x:v>19</x:v>
      </x:c>
      <x:c r="H5407" s="0" t="s">
        <x:v>20</x:v>
      </x:c>
      <x:c r="I5407" s="0" t="s">
        <x:v>21</x:v>
      </x:c>
      <x:c r="K5407" s="0">
        <x:f>hyperlink("https://icd.who.int/dev11/l-ichi/en#/http%3A%2F%2Fid.who.int%2Ficd%2Fentity%2F891077140","browser")</x:f>
      </x:c>
      <x:c r="L5407" s="0">
        <x:f>hyperlink("https://icat2.azurewebsites.net/icat/?ontology=ICD&amp;tab=ClassesTab&amp;id=http%3A%2F%2Fwho.int%2Ficd%2329874_512ebf36_bf6b_4d70_85da_cf2637062af4","iCat")</x:f>
      </x:c>
      <x:c r="M5407" s="0" t="s">
        <x:v>21</x:v>
      </x:c>
      <x:c r="N5407" s="0" t="s">
        <x:v>46</x:v>
      </x:c>
    </x:row>
    <x:row r="5408" spans="1:16">
      <x:c r="A5408" s="0" t="s">
        <x:v>21484</x:v>
      </x:c>
      <x:c r="B5408" s="0" t="s">
        <x:v>21485</x:v>
      </x:c>
      <x:c r="C5408" s="0" t="s">
        <x:v>21486</x:v>
      </x:c>
      <x:c r="E5408" s="0" t="s">
        <x:v>21487</x:v>
      </x:c>
      <x:c r="F5408" s="0" t="s">
        <x:v>45</x:v>
      </x:c>
      <x:c r="G5408" s="0" t="s">
        <x:v>19</x:v>
      </x:c>
      <x:c r="H5408" s="0" t="s">
        <x:v>20</x:v>
      </x:c>
      <x:c r="I5408" s="0" t="s">
        <x:v>21</x:v>
      </x:c>
      <x:c r="K5408" s="0">
        <x:f>hyperlink("https://icd.who.int/dev11/l-ichi/en#/http%3A%2F%2Fid.who.int%2Ficd%2Fentity%2F252001922","browser")</x:f>
      </x:c>
      <x:c r="L5408" s="0">
        <x:f>hyperlink("https://icat2.azurewebsites.net/icat/?ontology=ICD&amp;tab=ClassesTab&amp;id=http%3A%2F%2Fwho.int%2Ficd%2329881_512ebf36_bf6b_4d70_85da_cf2637062af4","iCat")</x:f>
      </x:c>
      <x:c r="M5408" s="0" t="s">
        <x:v>21</x:v>
      </x:c>
      <x:c r="N5408" s="0" t="s">
        <x:v>46</x:v>
      </x:c>
    </x:row>
    <x:row r="5409" spans="1:16">
      <x:c r="A5409" s="0" t="s">
        <x:v>21488</x:v>
      </x:c>
      <x:c r="B5409" s="0" t="s">
        <x:v>21489</x:v>
      </x:c>
      <x:c r="C5409" s="0" t="s">
        <x:v>21490</x:v>
      </x:c>
      <x:c r="E5409" s="0" t="s">
        <x:v>21491</x:v>
      </x:c>
      <x:c r="F5409" s="0" t="s">
        <x:v>45</x:v>
      </x:c>
      <x:c r="G5409" s="0" t="s">
        <x:v>19</x:v>
      </x:c>
      <x:c r="H5409" s="0" t="s">
        <x:v>20</x:v>
      </x:c>
      <x:c r="I5409" s="0" t="s">
        <x:v>21</x:v>
      </x:c>
      <x:c r="K5409" s="0">
        <x:f>hyperlink("https://icd.who.int/dev11/l-ichi/en#/http%3A%2F%2Fid.who.int%2Ficd%2Fentity%2F1725831771","browser")</x:f>
      </x:c>
      <x:c r="L5409" s="0">
        <x:f>hyperlink("https://icat2.azurewebsites.net/icat/?ontology=ICD&amp;tab=ClassesTab&amp;id=http%3A%2F%2Fwho.int%2Ficd%2314001_4869915e_217e_423d_acb3_33c0f920ef4b","iCat")</x:f>
      </x:c>
      <x:c r="M5409" s="0" t="s">
        <x:v>21</x:v>
      </x:c>
      <x:c r="N5409" s="0" t="s">
        <x:v>46</x:v>
      </x:c>
    </x:row>
    <x:row r="5410" spans="1:16">
      <x:c r="A5410" s="0" t="s">
        <x:v>21492</x:v>
      </x:c>
      <x:c r="B5410" s="0" t="s">
        <x:v>21493</x:v>
      </x:c>
      <x:c r="C5410" s="0" t="s">
        <x:v>21494</x:v>
      </x:c>
      <x:c r="E5410" s="0" t="s">
        <x:v>21495</x:v>
      </x:c>
      <x:c r="F5410" s="0" t="s">
        <x:v>45</x:v>
      </x:c>
      <x:c r="G5410" s="0" t="s">
        <x:v>19</x:v>
      </x:c>
      <x:c r="H5410" s="0" t="s">
        <x:v>20</x:v>
      </x:c>
      <x:c r="I5410" s="0" t="s">
        <x:v>21</x:v>
      </x:c>
      <x:c r="K5410" s="0">
        <x:f>hyperlink("https://icd.who.int/dev11/l-ichi/en#/http%3A%2F%2Fid.who.int%2Ficd%2Fentity%2F1534895356","browser")</x:f>
      </x:c>
      <x:c r="L5410" s="0">
        <x:f>hyperlink("https://icat2.azurewebsites.net/icat/?ontology=ICD&amp;tab=ClassesTab&amp;id=http%3A%2F%2Fwho.int%2Ficd%2337194_512ebf36_bf6b_4d70_85da_cf2637062af4","iCat")</x:f>
      </x:c>
      <x:c r="M5410" s="0" t="s">
        <x:v>21</x:v>
      </x:c>
      <x:c r="N5410" s="0" t="s">
        <x:v>46</x:v>
      </x:c>
    </x:row>
    <x:row r="5411" spans="1:16">
      <x:c r="A5411" s="0" t="s">
        <x:v>21496</x:v>
      </x:c>
      <x:c r="B5411" s="0" t="s">
        <x:v>21497</x:v>
      </x:c>
      <x:c r="C5411" s="0" t="s">
        <x:v>21498</x:v>
      </x:c>
      <x:c r="E5411" s="0" t="s">
        <x:v>21499</x:v>
      </x:c>
      <x:c r="F5411" s="0" t="s">
        <x:v>45</x:v>
      </x:c>
      <x:c r="G5411" s="0" t="s">
        <x:v>19</x:v>
      </x:c>
      <x:c r="H5411" s="0" t="s">
        <x:v>20</x:v>
      </x:c>
      <x:c r="I5411" s="0" t="s">
        <x:v>21</x:v>
      </x:c>
      <x:c r="K5411" s="0">
        <x:f>hyperlink("https://icd.who.int/dev11/l-ichi/en#/http%3A%2F%2Fid.who.int%2Ficd%2Fentity%2F1161419241","browser")</x:f>
      </x:c>
      <x:c r="L5411" s="0">
        <x:f>hyperlink("https://icat2.azurewebsites.net/icat/?ontology=ICD&amp;tab=ClassesTab&amp;id=http%3A%2F%2Fwho.int%2Ficd%2329890_512ebf36_bf6b_4d70_85da_cf2637062af4","iCat")</x:f>
      </x:c>
      <x:c r="M5411" s="0" t="s">
        <x:v>21</x:v>
      </x:c>
      <x:c r="N5411" s="0" t="s">
        <x:v>46</x:v>
      </x:c>
    </x:row>
    <x:row r="5412" spans="1:16">
      <x:c r="A5412" s="0" t="s">
        <x:v>21500</x:v>
      </x:c>
      <x:c r="B5412" s="0" t="s">
        <x:v>21501</x:v>
      </x:c>
      <x:c r="C5412" s="0" t="s">
        <x:v>21502</x:v>
      </x:c>
      <x:c r="E5412" s="0" t="s">
        <x:v>21503</x:v>
      </x:c>
      <x:c r="F5412" s="0" t="s">
        <x:v>45</x:v>
      </x:c>
      <x:c r="G5412" s="0" t="s">
        <x:v>19</x:v>
      </x:c>
      <x:c r="H5412" s="0" t="s">
        <x:v>20</x:v>
      </x:c>
      <x:c r="I5412" s="0" t="s">
        <x:v>21</x:v>
      </x:c>
      <x:c r="K5412" s="0">
        <x:f>hyperlink("https://icd.who.int/dev11/l-ichi/en#/http%3A%2F%2Fid.who.int%2Ficd%2Fentity%2F539938338","browser")</x:f>
      </x:c>
      <x:c r="L5412" s="0">
        <x:f>hyperlink("https://icat2.azurewebsites.net/icat/?ontology=ICD&amp;tab=ClassesTab&amp;id=http%3A%2F%2Fwho.int%2Ficd%2329902_512ebf36_bf6b_4d70_85da_cf2637062af4","iCat")</x:f>
      </x:c>
      <x:c r="M5412" s="0" t="s">
        <x:v>21</x:v>
      </x:c>
      <x:c r="N5412" s="0" t="s">
        <x:v>46</x:v>
      </x:c>
    </x:row>
    <x:row r="5413" spans="1:16">
      <x:c r="A5413" s="0" t="s">
        <x:v>21504</x:v>
      </x:c>
      <x:c r="B5413" s="0" t="s">
        <x:v>21505</x:v>
      </x:c>
      <x:c r="C5413" s="0" t="s">
        <x:v>21506</x:v>
      </x:c>
      <x:c r="E5413" s="0" t="s">
        <x:v>21507</x:v>
      </x:c>
      <x:c r="F5413" s="0" t="s">
        <x:v>45</x:v>
      </x:c>
      <x:c r="G5413" s="0" t="s">
        <x:v>19</x:v>
      </x:c>
      <x:c r="H5413" s="0" t="s">
        <x:v>20</x:v>
      </x:c>
      <x:c r="I5413" s="0" t="s">
        <x:v>21</x:v>
      </x:c>
      <x:c r="K5413" s="0">
        <x:f>hyperlink("https://icd.who.int/dev11/l-ichi/en#/http%3A%2F%2Fid.who.int%2Ficd%2Fentity%2F1256938357","browser")</x:f>
      </x:c>
      <x:c r="L5413" s="0">
        <x:f>hyperlink("https://icat2.azurewebsites.net/icat/?ontology=ICD&amp;tab=ClassesTab&amp;id=http%3A%2F%2Fwho.int%2Ficd%2329912_512ebf36_bf6b_4d70_85da_cf2637062af4","iCat")</x:f>
      </x:c>
      <x:c r="M5413" s="0" t="s">
        <x:v>21</x:v>
      </x:c>
      <x:c r="N5413" s="0" t="s">
        <x:v>46</x:v>
      </x:c>
    </x:row>
    <x:row r="5414" spans="1:16">
      <x:c r="A5414" s="0" t="s">
        <x:v>21508</x:v>
      </x:c>
      <x:c r="B5414" s="0" t="s">
        <x:v>21509</x:v>
      </x:c>
      <x:c r="C5414" s="0" t="s">
        <x:v>21510</x:v>
      </x:c>
      <x:c r="E5414" s="0" t="s">
        <x:v>21511</x:v>
      </x:c>
      <x:c r="F5414" s="0" t="s">
        <x:v>45</x:v>
      </x:c>
      <x:c r="G5414" s="0" t="s">
        <x:v>19</x:v>
      </x:c>
      <x:c r="H5414" s="0" t="s">
        <x:v>20</x:v>
      </x:c>
      <x:c r="I5414" s="0" t="s">
        <x:v>21</x:v>
      </x:c>
      <x:c r="K5414" s="0">
        <x:f>hyperlink("https://icd.who.int/dev11/l-ichi/en#/http%3A%2F%2Fid.who.int%2Ficd%2Fentity%2F1340044427","browser")</x:f>
      </x:c>
      <x:c r="L5414" s="0">
        <x:f>hyperlink("https://icat2.azurewebsites.net/icat/?ontology=ICD&amp;tab=ClassesTab&amp;id=http%3A%2F%2Fwho.int%2Ficd%2329921_512ebf36_bf6b_4d70_85da_cf2637062af4","iCat")</x:f>
      </x:c>
      <x:c r="M5414" s="0" t="s">
        <x:v>21</x:v>
      </x:c>
      <x:c r="N5414" s="0" t="s">
        <x:v>46</x:v>
      </x:c>
    </x:row>
    <x:row r="5415" spans="1:16">
      <x:c r="A5415" s="0" t="s">
        <x:v>21512</x:v>
      </x:c>
      <x:c r="B5415" s="0" t="s">
        <x:v>21513</x:v>
      </x:c>
      <x:c r="C5415" s="0" t="s">
        <x:v>21514</x:v>
      </x:c>
      <x:c r="E5415" s="0" t="s">
        <x:v>21515</x:v>
      </x:c>
      <x:c r="F5415" s="0" t="s">
        <x:v>45</x:v>
      </x:c>
      <x:c r="G5415" s="0" t="s">
        <x:v>19</x:v>
      </x:c>
      <x:c r="H5415" s="0" t="s">
        <x:v>20</x:v>
      </x:c>
      <x:c r="I5415" s="0" t="s">
        <x:v>21</x:v>
      </x:c>
      <x:c r="K5415" s="0">
        <x:f>hyperlink("https://icd.who.int/dev11/l-ichi/en#/http%3A%2F%2Fid.who.int%2Ficd%2Fentity%2F564623332","browser")</x:f>
      </x:c>
      <x:c r="L5415" s="0">
        <x:f>hyperlink("https://icat2.azurewebsites.net/icat/?ontology=ICD&amp;tab=ClassesTab&amp;id=http%3A%2F%2Fwho.int%2Ficd%2329928_512ebf36_bf6b_4d70_85da_cf2637062af4","iCat")</x:f>
      </x:c>
      <x:c r="M5415" s="0" t="s">
        <x:v>21</x:v>
      </x:c>
      <x:c r="N5415" s="0" t="s">
        <x:v>46</x:v>
      </x:c>
    </x:row>
    <x:row r="5416" spans="1:16">
      <x:c r="A5416" s="0" t="s">
        <x:v>21516</x:v>
      </x:c>
      <x:c r="B5416" s="0" t="s">
        <x:v>21517</x:v>
      </x:c>
      <x:c r="C5416" s="0" t="s">
        <x:v>21518</x:v>
      </x:c>
      <x:c r="E5416" s="0" t="s">
        <x:v>21519</x:v>
      </x:c>
      <x:c r="F5416" s="0" t="s">
        <x:v>45</x:v>
      </x:c>
      <x:c r="G5416" s="0" t="s">
        <x:v>19</x:v>
      </x:c>
      <x:c r="H5416" s="0" t="s">
        <x:v>20</x:v>
      </x:c>
      <x:c r="I5416" s="0" t="s">
        <x:v>21</x:v>
      </x:c>
      <x:c r="K5416" s="0">
        <x:f>hyperlink("https://icd.who.int/dev11/l-ichi/en#/http%3A%2F%2Fid.who.int%2Ficd%2Fentity%2F1868174999","browser")</x:f>
      </x:c>
      <x:c r="L5416" s="0">
        <x:f>hyperlink("https://icat2.azurewebsites.net/icat/?ontology=ICD&amp;tab=ClassesTab&amp;id=http%3A%2F%2Fwho.int%2Ficd%232848_d85a204c_d00a_4566_a3b7_2d137a1891cf","iCat")</x:f>
      </x:c>
      <x:c r="M5416" s="0" t="s">
        <x:v>21</x:v>
      </x:c>
      <x:c r="N5416" s="0" t="s">
        <x:v>46</x:v>
      </x:c>
    </x:row>
    <x:row r="5417" spans="1:16">
      <x:c r="A5417" s="0" t="s">
        <x:v>21520</x:v>
      </x:c>
      <x:c r="B5417" s="0" t="s">
        <x:v>21521</x:v>
      </x:c>
      <x:c r="C5417" s="0" t="s">
        <x:v>21522</x:v>
      </x:c>
      <x:c r="E5417" s="0" t="s">
        <x:v>21523</x:v>
      </x:c>
      <x:c r="F5417" s="0" t="s">
        <x:v>45</x:v>
      </x:c>
      <x:c r="G5417" s="0" t="s">
        <x:v>19</x:v>
      </x:c>
      <x:c r="H5417" s="0" t="s">
        <x:v>20</x:v>
      </x:c>
      <x:c r="I5417" s="0" t="s">
        <x:v>21</x:v>
      </x:c>
      <x:c r="K5417" s="0">
        <x:f>hyperlink("https://icd.who.int/dev11/l-ichi/en#/http%3A%2F%2Fid.who.int%2Ficd%2Fentity%2F1969305709","browser")</x:f>
      </x:c>
      <x:c r="L5417" s="0">
        <x:f>hyperlink("https://icat2.azurewebsites.net/icat/?ontology=ICD&amp;tab=ClassesTab&amp;id=http%3A%2F%2Fwho.int%2Ficd%2329937_512ebf36_bf6b_4d70_85da_cf2637062af4","iCat")</x:f>
      </x:c>
      <x:c r="M5417" s="0" t="s">
        <x:v>21</x:v>
      </x:c>
      <x:c r="N5417" s="0" t="s">
        <x:v>46</x:v>
      </x:c>
    </x:row>
    <x:row r="5418" spans="1:16">
      <x:c r="A5418" s="0" t="s">
        <x:v>21524</x:v>
      </x:c>
      <x:c r="B5418" s="0" t="s">
        <x:v>21525</x:v>
      </x:c>
      <x:c r="C5418" s="0" t="s">
        <x:v>21526</x:v>
      </x:c>
      <x:c r="E5418" s="0" t="s">
        <x:v>21527</x:v>
      </x:c>
      <x:c r="F5418" s="0" t="s">
        <x:v>45</x:v>
      </x:c>
      <x:c r="G5418" s="0" t="s">
        <x:v>19</x:v>
      </x:c>
      <x:c r="H5418" s="0" t="s">
        <x:v>20</x:v>
      </x:c>
      <x:c r="I5418" s="0" t="s">
        <x:v>21</x:v>
      </x:c>
      <x:c r="K5418" s="0">
        <x:f>hyperlink("https://icd.who.int/dev11/l-ichi/en#/http%3A%2F%2Fid.who.int%2Ficd%2Fentity%2F3294352","browser")</x:f>
      </x:c>
      <x:c r="L5418" s="0">
        <x:f>hyperlink("https://icat2.azurewebsites.net/icat/?ontology=ICD&amp;tab=ClassesTab&amp;id=http%3A%2F%2Fwho.int%2Ficd%2329944_512ebf36_bf6b_4d70_85da_cf2637062af4","iCat")</x:f>
      </x:c>
      <x:c r="M5418" s="0" t="s">
        <x:v>21</x:v>
      </x:c>
      <x:c r="N5418" s="0" t="s">
        <x:v>46</x:v>
      </x:c>
    </x:row>
    <x:row r="5419" spans="1:16">
      <x:c r="A5419" s="0" t="s">
        <x:v>21528</x:v>
      </x:c>
      <x:c r="B5419" s="0" t="s">
        <x:v>21529</x:v>
      </x:c>
      <x:c r="C5419" s="0" t="s">
        <x:v>21530</x:v>
      </x:c>
      <x:c r="E5419" s="0" t="s">
        <x:v>21531</x:v>
      </x:c>
      <x:c r="F5419" s="0" t="s">
        <x:v>45</x:v>
      </x:c>
      <x:c r="G5419" s="0" t="s">
        <x:v>19</x:v>
      </x:c>
      <x:c r="H5419" s="0" t="s">
        <x:v>20</x:v>
      </x:c>
      <x:c r="I5419" s="0" t="s">
        <x:v>21</x:v>
      </x:c>
      <x:c r="K5419" s="0">
        <x:f>hyperlink("https://icd.who.int/dev11/l-ichi/en#/http%3A%2F%2Fid.who.int%2Ficd%2Fentity%2F982255720","browser")</x:f>
      </x:c>
      <x:c r="L5419" s="0">
        <x:f>hyperlink("https://icat2.azurewebsites.net/icat/?ontology=ICD&amp;tab=ClassesTab&amp;id=http%3A%2F%2Fwho.int%2Ficd%2329952_512ebf36_bf6b_4d70_85da_cf2637062af4","iCat")</x:f>
      </x:c>
      <x:c r="M5419" s="0" t="s">
        <x:v>21</x:v>
      </x:c>
      <x:c r="N5419" s="0" t="s">
        <x:v>46</x:v>
      </x:c>
    </x:row>
    <x:row r="5420" spans="1:16">
      <x:c r="A5420" s="0" t="s">
        <x:v>21532</x:v>
      </x:c>
      <x:c r="B5420" s="0" t="s">
        <x:v>21533</x:v>
      </x:c>
      <x:c r="C5420" s="0" t="s">
        <x:v>21534</x:v>
      </x:c>
      <x:c r="E5420" s="0" t="s">
        <x:v>21535</x:v>
      </x:c>
      <x:c r="F5420" s="0" t="s">
        <x:v>45</x:v>
      </x:c>
      <x:c r="G5420" s="0" t="s">
        <x:v>19</x:v>
      </x:c>
      <x:c r="H5420" s="0" t="s">
        <x:v>20</x:v>
      </x:c>
      <x:c r="I5420" s="0" t="s">
        <x:v>21</x:v>
      </x:c>
      <x:c r="K5420" s="0">
        <x:f>hyperlink("https://icd.who.int/dev11/l-ichi/en#/http%3A%2F%2Fid.who.int%2Ficd%2Fentity%2F292644088","browser")</x:f>
      </x:c>
      <x:c r="L5420" s="0">
        <x:f>hyperlink("https://icat2.azurewebsites.net/icat/?ontology=ICD&amp;tab=ClassesTab&amp;id=http%3A%2F%2Fwho.int%2Ficd%2329958_512ebf36_bf6b_4d70_85da_cf2637062af4","iCat")</x:f>
      </x:c>
      <x:c r="M5420" s="0" t="s">
        <x:v>21</x:v>
      </x:c>
      <x:c r="N5420" s="0" t="s">
        <x:v>46</x:v>
      </x:c>
    </x:row>
    <x:row r="5421" spans="1:16">
      <x:c r="A5421" s="0" t="s">
        <x:v>21536</x:v>
      </x:c>
      <x:c r="B5421" s="0" t="s">
        <x:v>21537</x:v>
      </x:c>
      <x:c r="C5421" s="0" t="s">
        <x:v>21538</x:v>
      </x:c>
      <x:c r="E5421" s="0" t="s">
        <x:v>21539</x:v>
      </x:c>
      <x:c r="F5421" s="0" t="s">
        <x:v>45</x:v>
      </x:c>
      <x:c r="G5421" s="0" t="s">
        <x:v>19</x:v>
      </x:c>
      <x:c r="H5421" s="0" t="s">
        <x:v>20</x:v>
      </x:c>
      <x:c r="I5421" s="0" t="s">
        <x:v>21</x:v>
      </x:c>
      <x:c r="K5421" s="0">
        <x:f>hyperlink("https://icd.who.int/dev11/l-ichi/en#/http%3A%2F%2Fid.who.int%2Ficd%2Fentity%2F1875115559","browser")</x:f>
      </x:c>
      <x:c r="L5421" s="0">
        <x:f>hyperlink("https://icat2.azurewebsites.net/icat/?ontology=ICD&amp;tab=ClassesTab&amp;id=http%3A%2F%2Fwho.int%2Ficd%2329967_512ebf36_bf6b_4d70_85da_cf2637062af4","iCat")</x:f>
      </x:c>
      <x:c r="M5421" s="0" t="s">
        <x:v>21</x:v>
      </x:c>
      <x:c r="N5421" s="0" t="s">
        <x:v>46</x:v>
      </x:c>
    </x:row>
    <x:row r="5422" spans="1:16">
      <x:c r="A5422" s="0" t="s">
        <x:v>21540</x:v>
      </x:c>
      <x:c r="B5422" s="0" t="s">
        <x:v>21541</x:v>
      </x:c>
      <x:c r="C5422" s="0" t="s">
        <x:v>21542</x:v>
      </x:c>
      <x:c r="E5422" s="0" t="s">
        <x:v>21543</x:v>
      </x:c>
      <x:c r="F5422" s="0" t="s">
        <x:v>45</x:v>
      </x:c>
      <x:c r="G5422" s="0" t="s">
        <x:v>19</x:v>
      </x:c>
      <x:c r="H5422" s="0" t="s">
        <x:v>20</x:v>
      </x:c>
      <x:c r="I5422" s="0" t="s">
        <x:v>21</x:v>
      </x:c>
      <x:c r="K5422" s="0">
        <x:f>hyperlink("https://icd.who.int/dev11/l-ichi/en#/http%3A%2F%2Fid.who.int%2Ficd%2Fentity%2F649545959","browser")</x:f>
      </x:c>
      <x:c r="L5422" s="0">
        <x:f>hyperlink("https://icat2.azurewebsites.net/icat/?ontology=ICD&amp;tab=ClassesTab&amp;id=http%3A%2F%2Fwho.int%2Ficd%23753_4869915e_217e_423d_acb3_33c0f920ef4b","iCat")</x:f>
      </x:c>
      <x:c r="M5422" s="0" t="s">
        <x:v>21</x:v>
      </x:c>
      <x:c r="N5422" s="0" t="s">
        <x:v>46</x:v>
      </x:c>
    </x:row>
    <x:row r="5423" spans="1:16">
      <x:c r="A5423" s="0" t="s">
        <x:v>21544</x:v>
      </x:c>
      <x:c r="B5423" s="0" t="s">
        <x:v>21545</x:v>
      </x:c>
      <x:c r="C5423" s="0" t="s">
        <x:v>21546</x:v>
      </x:c>
      <x:c r="E5423" s="0" t="s">
        <x:v>21547</x:v>
      </x:c>
      <x:c r="F5423" s="0" t="s">
        <x:v>45</x:v>
      </x:c>
      <x:c r="G5423" s="0" t="s">
        <x:v>19</x:v>
      </x:c>
      <x:c r="H5423" s="0" t="s">
        <x:v>20</x:v>
      </x:c>
      <x:c r="I5423" s="0" t="s">
        <x:v>21</x:v>
      </x:c>
      <x:c r="K5423" s="0">
        <x:f>hyperlink("https://icd.who.int/dev11/l-ichi/en#/http%3A%2F%2Fid.who.int%2Ficd%2Fentity%2F222962807","browser")</x:f>
      </x:c>
      <x:c r="L5423" s="0">
        <x:f>hyperlink("https://icat2.azurewebsites.net/icat/?ontology=ICD&amp;tab=ClassesTab&amp;id=http%3A%2F%2Fwho.int%2Ficd%23759_4869915e_217e_423d_acb3_33c0f920ef4b","iCat")</x:f>
      </x:c>
      <x:c r="M5423" s="0" t="s">
        <x:v>21</x:v>
      </x:c>
      <x:c r="N5423" s="0" t="s">
        <x:v>46</x:v>
      </x:c>
    </x:row>
    <x:row r="5424" spans="1:16">
      <x:c r="A5424" s="0" t="s">
        <x:v>21548</x:v>
      </x:c>
      <x:c r="B5424" s="0" t="s">
        <x:v>21549</x:v>
      </x:c>
      <x:c r="C5424" s="0" t="s">
        <x:v>21550</x:v>
      </x:c>
      <x:c r="E5424" s="0" t="s">
        <x:v>21551</x:v>
      </x:c>
      <x:c r="F5424" s="0" t="s">
        <x:v>45</x:v>
      </x:c>
      <x:c r="G5424" s="0" t="s">
        <x:v>19</x:v>
      </x:c>
      <x:c r="H5424" s="0" t="s">
        <x:v>20</x:v>
      </x:c>
      <x:c r="I5424" s="0" t="s">
        <x:v>21</x:v>
      </x:c>
      <x:c r="K5424" s="0">
        <x:f>hyperlink("https://icd.who.int/dev11/l-ichi/en#/http%3A%2F%2Fid.who.int%2Ficd%2Fentity%2F990228906","browser")</x:f>
      </x:c>
      <x:c r="L5424" s="0">
        <x:f>hyperlink("https://icat2.azurewebsites.net/icat/?ontology=ICD&amp;tab=ClassesTab&amp;id=http%3A%2F%2Fwho.int%2Ficd%2329978_512ebf36_bf6b_4d70_85da_cf2637062af4","iCat")</x:f>
      </x:c>
      <x:c r="M5424" s="0" t="s">
        <x:v>21</x:v>
      </x:c>
      <x:c r="N5424" s="0" t="s">
        <x:v>46</x:v>
      </x:c>
    </x:row>
    <x:row r="5425" spans="1:16">
      <x:c r="A5425" s="0" t="s">
        <x:v>21552</x:v>
      </x:c>
      <x:c r="B5425" s="0" t="s">
        <x:v>21553</x:v>
      </x:c>
      <x:c r="C5425" s="0" t="s">
        <x:v>21554</x:v>
      </x:c>
      <x:c r="E5425" s="0" t="s">
        <x:v>21555</x:v>
      </x:c>
      <x:c r="F5425" s="0" t="s">
        <x:v>45</x:v>
      </x:c>
      <x:c r="G5425" s="0" t="s">
        <x:v>19</x:v>
      </x:c>
      <x:c r="H5425" s="0" t="s">
        <x:v>20</x:v>
      </x:c>
      <x:c r="I5425" s="0" t="s">
        <x:v>21</x:v>
      </x:c>
      <x:c r="K5425" s="0">
        <x:f>hyperlink("https://icd.who.int/dev11/l-ichi/en#/http%3A%2F%2Fid.who.int%2Ficd%2Fentity%2F1868844631","browser")</x:f>
      </x:c>
      <x:c r="L5425" s="0">
        <x:f>hyperlink("https://icat2.azurewebsites.net/icat/?ontology=ICD&amp;tab=ClassesTab&amp;id=http%3A%2F%2Fwho.int%2Ficd%2329984_512ebf36_bf6b_4d70_85da_cf2637062af4","iCat")</x:f>
      </x:c>
      <x:c r="M5425" s="0" t="s">
        <x:v>21</x:v>
      </x:c>
      <x:c r="N5425" s="0" t="s">
        <x:v>46</x:v>
      </x:c>
    </x:row>
    <x:row r="5426" spans="1:16">
      <x:c r="A5426" s="0" t="s">
        <x:v>21556</x:v>
      </x:c>
      <x:c r="B5426" s="0" t="s">
        <x:v>21557</x:v>
      </x:c>
      <x:c r="C5426" s="0" t="s">
        <x:v>21558</x:v>
      </x:c>
      <x:c r="E5426" s="0" t="s">
        <x:v>21559</x:v>
      </x:c>
      <x:c r="F5426" s="0" t="s">
        <x:v>45</x:v>
      </x:c>
      <x:c r="G5426" s="0" t="s">
        <x:v>19</x:v>
      </x:c>
      <x:c r="H5426" s="0" t="s">
        <x:v>20</x:v>
      </x:c>
      <x:c r="I5426" s="0" t="s">
        <x:v>21</x:v>
      </x:c>
      <x:c r="K5426" s="0">
        <x:f>hyperlink("https://icd.who.int/dev11/l-ichi/en#/http%3A%2F%2Fid.who.int%2Ficd%2Fentity%2F274689352","browser")</x:f>
      </x:c>
      <x:c r="L5426" s="0">
        <x:f>hyperlink("https://icat2.azurewebsites.net/icat/?ontology=ICD&amp;tab=ClassesTab&amp;id=http%3A%2F%2Fwho.int%2Ficd%2329991_512ebf36_bf6b_4d70_85da_cf2637062af4","iCat")</x:f>
      </x:c>
      <x:c r="M5426" s="0" t="s">
        <x:v>21</x:v>
      </x:c>
      <x:c r="N5426" s="0" t="s">
        <x:v>46</x:v>
      </x:c>
    </x:row>
    <x:row r="5427" spans="1:16">
      <x:c r="A5427" s="0" t="s">
        <x:v>21560</x:v>
      </x:c>
      <x:c r="B5427" s="0" t="s">
        <x:v>21561</x:v>
      </x:c>
      <x:c r="C5427" s="0" t="s">
        <x:v>21562</x:v>
      </x:c>
      <x:c r="E5427" s="0" t="s">
        <x:v>21563</x:v>
      </x:c>
      <x:c r="F5427" s="0" t="s">
        <x:v>45</x:v>
      </x:c>
      <x:c r="G5427" s="0" t="s">
        <x:v>19</x:v>
      </x:c>
      <x:c r="H5427" s="0" t="s">
        <x:v>20</x:v>
      </x:c>
      <x:c r="I5427" s="0" t="s">
        <x:v>21</x:v>
      </x:c>
      <x:c r="K5427" s="0">
        <x:f>hyperlink("https://icd.who.int/dev11/l-ichi/en#/http%3A%2F%2Fid.who.int%2Ficd%2Fentity%2F664218143","browser")</x:f>
      </x:c>
      <x:c r="L5427" s="0">
        <x:f>hyperlink("https://icat2.azurewebsites.net/icat/?ontology=ICD&amp;tab=ClassesTab&amp;id=http%3A%2F%2Fwho.int%2Ficd%2330000_512ebf36_bf6b_4d70_85da_cf2637062af4","iCat")</x:f>
      </x:c>
      <x:c r="M5427" s="0" t="s">
        <x:v>21</x:v>
      </x:c>
      <x:c r="N5427" s="0" t="s">
        <x:v>46</x:v>
      </x:c>
    </x:row>
    <x:row r="5428" spans="1:16">
      <x:c r="A5428" s="0" t="s">
        <x:v>21564</x:v>
      </x:c>
      <x:c r="B5428" s="0" t="s">
        <x:v>21565</x:v>
      </x:c>
      <x:c r="C5428" s="0" t="s">
        <x:v>21566</x:v>
      </x:c>
      <x:c r="E5428" s="0" t="s">
        <x:v>21567</x:v>
      </x:c>
      <x:c r="F5428" s="0" t="s">
        <x:v>45</x:v>
      </x:c>
      <x:c r="G5428" s="0" t="s">
        <x:v>19</x:v>
      </x:c>
      <x:c r="H5428" s="0" t="s">
        <x:v>20</x:v>
      </x:c>
      <x:c r="I5428" s="0" t="s">
        <x:v>21</x:v>
      </x:c>
      <x:c r="K5428" s="0">
        <x:f>hyperlink("https://icd.who.int/dev11/l-ichi/en#/http%3A%2F%2Fid.who.int%2Ficd%2Fentity%2F1297268552","browser")</x:f>
      </x:c>
      <x:c r="L5428" s="0">
        <x:f>hyperlink("https://icat2.azurewebsites.net/icat/?ontology=ICD&amp;tab=ClassesTab&amp;id=http%3A%2F%2Fwho.int%2Ficd%2330010_512ebf36_bf6b_4d70_85da_cf2637062af4","iCat")</x:f>
      </x:c>
      <x:c r="M5428" s="0" t="s">
        <x:v>21</x:v>
      </x:c>
      <x:c r="N5428" s="0" t="s">
        <x:v>46</x:v>
      </x:c>
    </x:row>
    <x:row r="5429" spans="1:16">
      <x:c r="A5429" s="0" t="s">
        <x:v>21568</x:v>
      </x:c>
      <x:c r="B5429" s="0" t="s">
        <x:v>21569</x:v>
      </x:c>
      <x:c r="C5429" s="0" t="s">
        <x:v>21570</x:v>
      </x:c>
      <x:c r="E5429" s="0" t="s">
        <x:v>21571</x:v>
      </x:c>
      <x:c r="F5429" s="0" t="s">
        <x:v>45</x:v>
      </x:c>
      <x:c r="G5429" s="0" t="s">
        <x:v>19</x:v>
      </x:c>
      <x:c r="H5429" s="0" t="s">
        <x:v>20</x:v>
      </x:c>
      <x:c r="I5429" s="0" t="s">
        <x:v>21</x:v>
      </x:c>
      <x:c r="K5429" s="0">
        <x:f>hyperlink("https://icd.who.int/dev11/l-ichi/en#/http%3A%2F%2Fid.who.int%2Ficd%2Fentity%2F356647000","browser")</x:f>
      </x:c>
      <x:c r="L5429" s="0">
        <x:f>hyperlink("https://icat2.azurewebsites.net/icat/?ontology=ICD&amp;tab=ClassesTab&amp;id=http%3A%2F%2Fwho.int%2Ficd%2329896_512ebf36_bf6b_4d70_85da_cf2637062af4","iCat")</x:f>
      </x:c>
      <x:c r="M5429" s="0" t="s">
        <x:v>21</x:v>
      </x:c>
      <x:c r="N5429" s="0" t="s">
        <x:v>46</x:v>
      </x:c>
    </x:row>
    <x:row r="5430" spans="1:16">
      <x:c r="A5430" s="0" t="s">
        <x:v>21572</x:v>
      </x:c>
      <x:c r="B5430" s="0" t="s">
        <x:v>21573</x:v>
      </x:c>
      <x:c r="C5430" s="0" t="s">
        <x:v>21574</x:v>
      </x:c>
      <x:c r="E5430" s="0" t="s">
        <x:v>21575</x:v>
      </x:c>
      <x:c r="F5430" s="0" t="s">
        <x:v>45</x:v>
      </x:c>
      <x:c r="G5430" s="0" t="s">
        <x:v>19</x:v>
      </x:c>
      <x:c r="H5430" s="0" t="s">
        <x:v>20</x:v>
      </x:c>
      <x:c r="I5430" s="0" t="s">
        <x:v>21</x:v>
      </x:c>
      <x:c r="K5430" s="0">
        <x:f>hyperlink("https://icd.who.int/dev11/l-ichi/en#/http%3A%2F%2Fid.who.int%2Ficd%2Fentity%2F489252601","browser")</x:f>
      </x:c>
      <x:c r="L5430" s="0">
        <x:f>hyperlink("https://icat2.azurewebsites.net/icat/?ontology=ICD&amp;tab=ClassesTab&amp;id=http%3A%2F%2Fwho.int%2Ficd%2330016_512ebf36_bf6b_4d70_85da_cf2637062af4","iCat")</x:f>
      </x:c>
      <x:c r="M5430" s="0" t="s">
        <x:v>21</x:v>
      </x:c>
      <x:c r="N5430" s="0" t="s">
        <x:v>46</x:v>
      </x:c>
    </x:row>
    <x:row r="5431" spans="1:16">
      <x:c r="A5431" s="0" t="s">
        <x:v>21576</x:v>
      </x:c>
      <x:c r="B5431" s="0" t="s">
        <x:v>21577</x:v>
      </x:c>
      <x:c r="C5431" s="0" t="s">
        <x:v>21578</x:v>
      </x:c>
      <x:c r="E5431" s="0" t="s">
        <x:v>21579</x:v>
      </x:c>
      <x:c r="F5431" s="0" t="s">
        <x:v>45</x:v>
      </x:c>
      <x:c r="G5431" s="0" t="s">
        <x:v>19</x:v>
      </x:c>
      <x:c r="H5431" s="0" t="s">
        <x:v>20</x:v>
      </x:c>
      <x:c r="I5431" s="0" t="s">
        <x:v>21</x:v>
      </x:c>
      <x:c r="K5431" s="0">
        <x:f>hyperlink("https://icd.who.int/dev11/l-ichi/en#/http%3A%2F%2Fid.who.int%2Ficd%2Fentity%2F2103530692","browser")</x:f>
      </x:c>
      <x:c r="L5431" s="0">
        <x:f>hyperlink("https://icat2.azurewebsites.net/icat/?ontology=ICD&amp;tab=ClassesTab&amp;id=http%3A%2F%2Fwho.int%2Ficd%2330027_512ebf36_bf6b_4d70_85da_cf2637062af4","iCat")</x:f>
      </x:c>
      <x:c r="M5431" s="0" t="s">
        <x:v>21</x:v>
      </x:c>
      <x:c r="N5431" s="0" t="s">
        <x:v>46</x:v>
      </x:c>
    </x:row>
    <x:row r="5432" spans="1:16">
      <x:c r="A5432" s="0" t="s">
        <x:v>21580</x:v>
      </x:c>
      <x:c r="B5432" s="0" t="s">
        <x:v>21581</x:v>
      </x:c>
      <x:c r="C5432" s="0" t="s">
        <x:v>21582</x:v>
      </x:c>
      <x:c r="E5432" s="0" t="s">
        <x:v>21583</x:v>
      </x:c>
      <x:c r="F5432" s="0" t="s">
        <x:v>45</x:v>
      </x:c>
      <x:c r="G5432" s="0" t="s">
        <x:v>19</x:v>
      </x:c>
      <x:c r="H5432" s="0" t="s">
        <x:v>20</x:v>
      </x:c>
      <x:c r="I5432" s="0" t="s">
        <x:v>21</x:v>
      </x:c>
      <x:c r="K5432" s="0">
        <x:f>hyperlink("https://icd.who.int/dev11/l-ichi/en#/http%3A%2F%2Fid.who.int%2Ficd%2Fentity%2F1976792045","browser")</x:f>
      </x:c>
      <x:c r="L5432" s="0">
        <x:f>hyperlink("https://icat2.azurewebsites.net/icat/?ontology=ICD&amp;tab=ClassesTab&amp;id=http%3A%2F%2Fwho.int%2Ficd%23156_2458c621_13a9_4018_84d7_a04ee4f7aacc","iCat")</x:f>
      </x:c>
      <x:c r="M5432" s="0" t="s">
        <x:v>21</x:v>
      </x:c>
      <x:c r="N5432" s="0" t="s">
        <x:v>46</x:v>
      </x:c>
    </x:row>
    <x:row r="5433" spans="1:16">
      <x:c r="A5433" s="0" t="s">
        <x:v>21584</x:v>
      </x:c>
      <x:c r="B5433" s="0" t="s">
        <x:v>21585</x:v>
      </x:c>
      <x:c r="D5433" s="0" t="s">
        <x:v>21586</x:v>
      </x:c>
      <x:c r="E5433" s="0" t="s">
        <x:v>21587</x:v>
      </x:c>
      <x:c r="F5433" s="0" t="s">
        <x:v>26</x:v>
      </x:c>
      <x:c r="G5433" s="0" t="s">
        <x:v>22</x:v>
      </x:c>
      <x:c r="H5433" s="0" t="s">
        <x:v>20</x:v>
      </x:c>
      <x:c r="I5433" s="0" t="s">
        <x:v>21</x:v>
      </x:c>
      <x:c r="K5433" s="0">
        <x:f>hyperlink("https://icd.who.int/dev11/l-ichi/en#/http%3A%2F%2Fid.who.int%2Ficd%2Fentity%2F1475377410","browser")</x:f>
      </x:c>
      <x:c r="L5433" s="0">
        <x:f>hyperlink("https://icat2.azurewebsites.net/icat/?ontology=ICD&amp;tab=ClassesTab&amp;id=http%3A%2F%2Fwho.int%2Ficd%2330040_512ebf36_bf6b_4d70_85da_cf2637062af4","iCat")</x:f>
      </x:c>
      <x:c r="M5433" s="0" t="s">
        <x:v>20</x:v>
      </x:c>
      <x:c r="N5433" s="0" t="s">
        <x:v>1298</x:v>
      </x:c>
    </x:row>
    <x:row r="5434" spans="1:16">
      <x:c r="A5434" s="0" t="s">
        <x:v>21588</x:v>
      </x:c>
      <x:c r="B5434" s="0" t="s">
        <x:v>21589</x:v>
      </x:c>
      <x:c r="C5434" s="0" t="s">
        <x:v>21590</x:v>
      </x:c>
      <x:c r="E5434" s="0" t="s">
        <x:v>21591</x:v>
      </x:c>
      <x:c r="F5434" s="0" t="s">
        <x:v>45</x:v>
      </x:c>
      <x:c r="G5434" s="0" t="s">
        <x:v>19</x:v>
      </x:c>
      <x:c r="H5434" s="0" t="s">
        <x:v>20</x:v>
      </x:c>
      <x:c r="I5434" s="0" t="s">
        <x:v>21</x:v>
      </x:c>
      <x:c r="K5434" s="0">
        <x:f>hyperlink("https://icd.who.int/dev11/l-ichi/en#/http%3A%2F%2Fid.who.int%2Ficd%2Fentity%2F486548503","browser")</x:f>
      </x:c>
      <x:c r="L5434" s="0">
        <x:f>hyperlink("https://icat2.azurewebsites.net/icat/?ontology=ICD&amp;tab=ClassesTab&amp;id=http%3A%2F%2Fwho.int%2Ficd%2330122_512ebf36_bf6b_4d70_85da_cf2637062af4","iCat")</x:f>
      </x:c>
      <x:c r="M5434" s="0" t="s">
        <x:v>21</x:v>
      </x:c>
      <x:c r="N5434" s="0" t="s">
        <x:v>46</x:v>
      </x:c>
    </x:row>
    <x:row r="5435" spans="1:16">
      <x:c r="A5435" s="0" t="s">
        <x:v>21592</x:v>
      </x:c>
      <x:c r="B5435" s="0" t="s">
        <x:v>21593</x:v>
      </x:c>
      <x:c r="C5435" s="0" t="s">
        <x:v>21594</x:v>
      </x:c>
      <x:c r="E5435" s="0" t="s">
        <x:v>21595</x:v>
      </x:c>
      <x:c r="F5435" s="0" t="s">
        <x:v>45</x:v>
      </x:c>
      <x:c r="G5435" s="0" t="s">
        <x:v>19</x:v>
      </x:c>
      <x:c r="H5435" s="0" t="s">
        <x:v>20</x:v>
      </x:c>
      <x:c r="I5435" s="0" t="s">
        <x:v>21</x:v>
      </x:c>
      <x:c r="K5435" s="0">
        <x:f>hyperlink("https://icd.who.int/dev11/l-ichi/en#/http%3A%2F%2Fid.who.int%2Ficd%2Fentity%2F369375931","browser")</x:f>
      </x:c>
      <x:c r="L5435" s="0">
        <x:f>hyperlink("https://icat2.azurewebsites.net/icat/?ontology=ICD&amp;tab=ClassesTab&amp;id=http%3A%2F%2Fwho.int%2Ficd%2330129_512ebf36_bf6b_4d70_85da_cf2637062af4","iCat")</x:f>
      </x:c>
      <x:c r="M5435" s="0" t="s">
        <x:v>21</x:v>
      </x:c>
      <x:c r="N5435" s="0" t="s">
        <x:v>46</x:v>
      </x:c>
    </x:row>
    <x:row r="5436" spans="1:16">
      <x:c r="A5436" s="0" t="s">
        <x:v>21596</x:v>
      </x:c>
      <x:c r="B5436" s="0" t="s">
        <x:v>21597</x:v>
      </x:c>
      <x:c r="C5436" s="0" t="s">
        <x:v>21598</x:v>
      </x:c>
      <x:c r="E5436" s="0" t="s">
        <x:v>21599</x:v>
      </x:c>
      <x:c r="F5436" s="0" t="s">
        <x:v>45</x:v>
      </x:c>
      <x:c r="G5436" s="0" t="s">
        <x:v>19</x:v>
      </x:c>
      <x:c r="H5436" s="0" t="s">
        <x:v>20</x:v>
      </x:c>
      <x:c r="I5436" s="0" t="s">
        <x:v>21</x:v>
      </x:c>
      <x:c r="K5436" s="0">
        <x:f>hyperlink("https://icd.who.int/dev11/l-ichi/en#/http%3A%2F%2Fid.who.int%2Ficd%2Fentity%2F1120040244","browser")</x:f>
      </x:c>
      <x:c r="L5436" s="0">
        <x:f>hyperlink("https://icat2.azurewebsites.net/icat/?ontology=ICD&amp;tab=ClassesTab&amp;id=http%3A%2F%2Fwho.int%2Ficd%2330136_512ebf36_bf6b_4d70_85da_cf2637062af4","iCat")</x:f>
      </x:c>
      <x:c r="M5436" s="0" t="s">
        <x:v>21</x:v>
      </x:c>
      <x:c r="N5436" s="0" t="s">
        <x:v>46</x:v>
      </x:c>
    </x:row>
    <x:row r="5437" spans="1:16">
      <x:c r="A5437" s="0" t="s">
        <x:v>21600</x:v>
      </x:c>
      <x:c r="B5437" s="0" t="s">
        <x:v>21601</x:v>
      </x:c>
      <x:c r="C5437" s="0" t="s">
        <x:v>21602</x:v>
      </x:c>
      <x:c r="E5437" s="0" t="s">
        <x:v>21603</x:v>
      </x:c>
      <x:c r="F5437" s="0" t="s">
        <x:v>45</x:v>
      </x:c>
      <x:c r="G5437" s="0" t="s">
        <x:v>19</x:v>
      </x:c>
      <x:c r="H5437" s="0" t="s">
        <x:v>20</x:v>
      </x:c>
      <x:c r="I5437" s="0" t="s">
        <x:v>21</x:v>
      </x:c>
      <x:c r="K5437" s="0">
        <x:f>hyperlink("https://icd.who.int/dev11/l-ichi/en#/http%3A%2F%2Fid.who.int%2Ficd%2Fentity%2F932252119","browser")</x:f>
      </x:c>
      <x:c r="L5437" s="0">
        <x:f>hyperlink("https://icat2.azurewebsites.net/icat/?ontology=ICD&amp;tab=ClassesTab&amp;id=http%3A%2F%2Fwho.int%2Ficd%2330145_512ebf36_bf6b_4d70_85da_cf2637062af4","iCat")</x:f>
      </x:c>
      <x:c r="M5437" s="0" t="s">
        <x:v>21</x:v>
      </x:c>
      <x:c r="N5437" s="0" t="s">
        <x:v>46</x:v>
      </x:c>
    </x:row>
    <x:row r="5438" spans="1:16">
      <x:c r="A5438" s="0" t="s">
        <x:v>21604</x:v>
      </x:c>
      <x:c r="B5438" s="0" t="s">
        <x:v>21605</x:v>
      </x:c>
      <x:c r="C5438" s="0" t="s">
        <x:v>21606</x:v>
      </x:c>
      <x:c r="E5438" s="0" t="s">
        <x:v>21607</x:v>
      </x:c>
      <x:c r="F5438" s="0" t="s">
        <x:v>45</x:v>
      </x:c>
      <x:c r="G5438" s="0" t="s">
        <x:v>19</x:v>
      </x:c>
      <x:c r="H5438" s="0" t="s">
        <x:v>20</x:v>
      </x:c>
      <x:c r="I5438" s="0" t="s">
        <x:v>21</x:v>
      </x:c>
      <x:c r="K5438" s="0">
        <x:f>hyperlink("https://icd.who.int/dev11/l-ichi/en#/http%3A%2F%2Fid.who.int%2Ficd%2Fentity%2F769013517","browser")</x:f>
      </x:c>
      <x:c r="L5438" s="0">
        <x:f>hyperlink("https://icat2.azurewebsites.net/icat/?ontology=ICD&amp;tab=ClassesTab&amp;id=http%3A%2F%2Fwho.int%2Ficd%2330152_512ebf36_bf6b_4d70_85da_cf2637062af4","iCat")</x:f>
      </x:c>
      <x:c r="M5438" s="0" t="s">
        <x:v>21</x:v>
      </x:c>
      <x:c r="N5438" s="0" t="s">
        <x:v>46</x:v>
      </x:c>
    </x:row>
    <x:row r="5439" spans="1:16">
      <x:c r="A5439" s="0" t="s">
        <x:v>21608</x:v>
      </x:c>
      <x:c r="B5439" s="0" t="s">
        <x:v>21609</x:v>
      </x:c>
      <x:c r="C5439" s="0" t="s">
        <x:v>21610</x:v>
      </x:c>
      <x:c r="E5439" s="0" t="s">
        <x:v>21611</x:v>
      </x:c>
      <x:c r="F5439" s="0" t="s">
        <x:v>45</x:v>
      </x:c>
      <x:c r="G5439" s="0" t="s">
        <x:v>19</x:v>
      </x:c>
      <x:c r="H5439" s="0" t="s">
        <x:v>20</x:v>
      </x:c>
      <x:c r="I5439" s="0" t="s">
        <x:v>21</x:v>
      </x:c>
      <x:c r="K5439" s="0">
        <x:f>hyperlink("https://icd.who.int/dev11/l-ichi/en#/http%3A%2F%2Fid.who.int%2Ficd%2Fentity%2F651307425","browser")</x:f>
      </x:c>
      <x:c r="L5439" s="0">
        <x:f>hyperlink("https://icat2.azurewebsites.net/icat/?ontology=ICD&amp;tab=ClassesTab&amp;id=http%3A%2F%2Fwho.int%2Ficd%2330159_512ebf36_bf6b_4d70_85da_cf2637062af4","iCat")</x:f>
      </x:c>
      <x:c r="M5439" s="0" t="s">
        <x:v>21</x:v>
      </x:c>
      <x:c r="N5439" s="0" t="s">
        <x:v>46</x:v>
      </x:c>
    </x:row>
    <x:row r="5440" spans="1:16">
      <x:c r="A5440" s="0" t="s">
        <x:v>21612</x:v>
      </x:c>
      <x:c r="B5440" s="0" t="s">
        <x:v>21613</x:v>
      </x:c>
      <x:c r="C5440" s="0" t="s">
        <x:v>21614</x:v>
      </x:c>
      <x:c r="E5440" s="0" t="s">
        <x:v>21615</x:v>
      </x:c>
      <x:c r="F5440" s="0" t="s">
        <x:v>45</x:v>
      </x:c>
      <x:c r="G5440" s="0" t="s">
        <x:v>19</x:v>
      </x:c>
      <x:c r="H5440" s="0" t="s">
        <x:v>20</x:v>
      </x:c>
      <x:c r="I5440" s="0" t="s">
        <x:v>21</x:v>
      </x:c>
      <x:c r="K5440" s="0">
        <x:f>hyperlink("https://icd.who.int/dev11/l-ichi/en#/http%3A%2F%2Fid.who.int%2Ficd%2Fentity%2F2023342404","browser")</x:f>
      </x:c>
      <x:c r="L5440" s="0">
        <x:f>hyperlink("https://icat2.azurewebsites.net/icat/?ontology=ICD&amp;tab=ClassesTab&amp;id=http%3A%2F%2Fwho.int%2Ficd%2330167_512ebf36_bf6b_4d70_85da_cf2637062af4","iCat")</x:f>
      </x:c>
      <x:c r="M5440" s="0" t="s">
        <x:v>21</x:v>
      </x:c>
      <x:c r="N5440" s="0" t="s">
        <x:v>46</x:v>
      </x:c>
    </x:row>
    <x:row r="5441" spans="1:16">
      <x:c r="A5441" s="0" t="s">
        <x:v>21616</x:v>
      </x:c>
      <x:c r="B5441" s="0" t="s">
        <x:v>21617</x:v>
      </x:c>
      <x:c r="C5441" s="0" t="s">
        <x:v>21618</x:v>
      </x:c>
      <x:c r="E5441" s="0" t="s">
        <x:v>21619</x:v>
      </x:c>
      <x:c r="F5441" s="0" t="s">
        <x:v>45</x:v>
      </x:c>
      <x:c r="G5441" s="0" t="s">
        <x:v>19</x:v>
      </x:c>
      <x:c r="H5441" s="0" t="s">
        <x:v>20</x:v>
      </x:c>
      <x:c r="I5441" s="0" t="s">
        <x:v>21</x:v>
      </x:c>
      <x:c r="K5441" s="0">
        <x:f>hyperlink("https://icd.who.int/dev11/l-ichi/en#/http%3A%2F%2Fid.who.int%2Ficd%2Fentity%2F1998604754","browser")</x:f>
      </x:c>
      <x:c r="L5441" s="0">
        <x:f>hyperlink("https://icat2.azurewebsites.net/icat/?ontology=ICD&amp;tab=ClassesTab&amp;id=http%3A%2F%2Fwho.int%2Ficd%2330175_512ebf36_bf6b_4d70_85da_cf2637062af4","iCat")</x:f>
      </x:c>
      <x:c r="M5441" s="0" t="s">
        <x:v>21</x:v>
      </x:c>
      <x:c r="N5441" s="0" t="s">
        <x:v>46</x:v>
      </x:c>
    </x:row>
    <x:row r="5442" spans="1:16">
      <x:c r="A5442" s="0" t="s">
        <x:v>21620</x:v>
      </x:c>
      <x:c r="B5442" s="0" t="s">
        <x:v>21621</x:v>
      </x:c>
      <x:c r="C5442" s="0" t="s">
        <x:v>21622</x:v>
      </x:c>
      <x:c r="E5442" s="0" t="s">
        <x:v>21623</x:v>
      </x:c>
      <x:c r="F5442" s="0" t="s">
        <x:v>45</x:v>
      </x:c>
      <x:c r="G5442" s="0" t="s">
        <x:v>19</x:v>
      </x:c>
      <x:c r="H5442" s="0" t="s">
        <x:v>20</x:v>
      </x:c>
      <x:c r="I5442" s="0" t="s">
        <x:v>21</x:v>
      </x:c>
      <x:c r="K5442" s="0">
        <x:f>hyperlink("https://icd.who.int/dev11/l-ichi/en#/http%3A%2F%2Fid.who.int%2Ficd%2Fentity%2F675653763","browser")</x:f>
      </x:c>
      <x:c r="L5442" s="0">
        <x:f>hyperlink("https://icat2.azurewebsites.net/icat/?ontology=ICD&amp;tab=ClassesTab&amp;id=http%3A%2F%2Fwho.int%2Ficd%2330182_512ebf36_bf6b_4d70_85da_cf2637062af4","iCat")</x:f>
      </x:c>
      <x:c r="M5442" s="0" t="s">
        <x:v>21</x:v>
      </x:c>
      <x:c r="N5442" s="0" t="s">
        <x:v>46</x:v>
      </x:c>
    </x:row>
    <x:row r="5443" spans="1:16">
      <x:c r="A5443" s="0" t="s">
        <x:v>21624</x:v>
      </x:c>
      <x:c r="B5443" s="0" t="s">
        <x:v>21625</x:v>
      </x:c>
      <x:c r="C5443" s="0" t="s">
        <x:v>21626</x:v>
      </x:c>
      <x:c r="E5443" s="0" t="s">
        <x:v>21627</x:v>
      </x:c>
      <x:c r="F5443" s="0" t="s">
        <x:v>45</x:v>
      </x:c>
      <x:c r="G5443" s="0" t="s">
        <x:v>19</x:v>
      </x:c>
      <x:c r="H5443" s="0" t="s">
        <x:v>20</x:v>
      </x:c>
      <x:c r="I5443" s="0" t="s">
        <x:v>21</x:v>
      </x:c>
      <x:c r="K5443" s="0">
        <x:f>hyperlink("https://icd.who.int/dev11/l-ichi/en#/http%3A%2F%2Fid.who.int%2Ficd%2Fentity%2F1652117480","browser")</x:f>
      </x:c>
      <x:c r="L5443" s="0">
        <x:f>hyperlink("https://icat2.azurewebsites.net/icat/?ontology=ICD&amp;tab=ClassesTab&amp;id=http%3A%2F%2Fwho.int%2Ficd%2330193_512ebf36_bf6b_4d70_85da_cf2637062af4","iCat")</x:f>
      </x:c>
      <x:c r="M5443" s="0" t="s">
        <x:v>21</x:v>
      </x:c>
      <x:c r="N5443" s="0" t="s">
        <x:v>46</x:v>
      </x:c>
    </x:row>
    <x:row r="5444" spans="1:16">
      <x:c r="A5444" s="0" t="s">
        <x:v>21628</x:v>
      </x:c>
      <x:c r="B5444" s="0" t="s">
        <x:v>21629</x:v>
      </x:c>
      <x:c r="C5444" s="0" t="s">
        <x:v>21630</x:v>
      </x:c>
      <x:c r="E5444" s="0" t="s">
        <x:v>21631</x:v>
      </x:c>
      <x:c r="F5444" s="0" t="s">
        <x:v>45</x:v>
      </x:c>
      <x:c r="G5444" s="0" t="s">
        <x:v>19</x:v>
      </x:c>
      <x:c r="H5444" s="0" t="s">
        <x:v>20</x:v>
      </x:c>
      <x:c r="I5444" s="0" t="s">
        <x:v>21</x:v>
      </x:c>
      <x:c r="K5444" s="0">
        <x:f>hyperlink("https://icd.who.int/dev11/l-ichi/en#/http%3A%2F%2Fid.who.int%2Ficd%2Fentity%2F105946287","browser")</x:f>
      </x:c>
      <x:c r="L5444" s="0">
        <x:f>hyperlink("https://icat2.azurewebsites.net/icat/?ontology=ICD&amp;tab=ClassesTab&amp;id=http%3A%2F%2Fwho.int%2Ficd%2330204_512ebf36_bf6b_4d70_85da_cf2637062af4","iCat")</x:f>
      </x:c>
      <x:c r="M5444" s="0" t="s">
        <x:v>21</x:v>
      </x:c>
      <x:c r="N5444" s="0" t="s">
        <x:v>46</x:v>
      </x:c>
    </x:row>
    <x:row r="5445" spans="1:16">
      <x:c r="A5445" s="0" t="s">
        <x:v>21632</x:v>
      </x:c>
      <x:c r="B5445" s="0" t="s">
        <x:v>21633</x:v>
      </x:c>
      <x:c r="C5445" s="0" t="s">
        <x:v>21634</x:v>
      </x:c>
      <x:c r="E5445" s="0" t="s">
        <x:v>21635</x:v>
      </x:c>
      <x:c r="F5445" s="0" t="s">
        <x:v>45</x:v>
      </x:c>
      <x:c r="G5445" s="0" t="s">
        <x:v>19</x:v>
      </x:c>
      <x:c r="H5445" s="0" t="s">
        <x:v>20</x:v>
      </x:c>
      <x:c r="I5445" s="0" t="s">
        <x:v>21</x:v>
      </x:c>
      <x:c r="K5445" s="0">
        <x:f>hyperlink("https://icd.who.int/dev11/l-ichi/en#/http%3A%2F%2Fid.who.int%2Ficd%2Fentity%2F2037104560","browser")</x:f>
      </x:c>
      <x:c r="L5445" s="0">
        <x:f>hyperlink("https://icat2.azurewebsites.net/icat/?ontology=ICD&amp;tab=ClassesTab&amp;id=http%3A%2F%2Fwho.int%2Ficd%2330211_512ebf36_bf6b_4d70_85da_cf2637062af4","iCat")</x:f>
      </x:c>
      <x:c r="M5445" s="0" t="s">
        <x:v>21</x:v>
      </x:c>
      <x:c r="N5445" s="0" t="s">
        <x:v>46</x:v>
      </x:c>
    </x:row>
    <x:row r="5446" spans="1:16">
      <x:c r="A5446" s="0" t="s">
        <x:v>21636</x:v>
      </x:c>
      <x:c r="B5446" s="0" t="s">
        <x:v>21637</x:v>
      </x:c>
      <x:c r="C5446" s="0" t="s">
        <x:v>21638</x:v>
      </x:c>
      <x:c r="E5446" s="0" t="s">
        <x:v>21639</x:v>
      </x:c>
      <x:c r="F5446" s="0" t="s">
        <x:v>45</x:v>
      </x:c>
      <x:c r="G5446" s="0" t="s">
        <x:v>19</x:v>
      </x:c>
      <x:c r="H5446" s="0" t="s">
        <x:v>20</x:v>
      </x:c>
      <x:c r="I5446" s="0" t="s">
        <x:v>21</x:v>
      </x:c>
      <x:c r="K5446" s="0">
        <x:f>hyperlink("https://icd.who.int/dev11/l-ichi/en#/http%3A%2F%2Fid.who.int%2Ficd%2Fentity%2F938135269","browser")</x:f>
      </x:c>
      <x:c r="L5446" s="0">
        <x:f>hyperlink("https://icat2.azurewebsites.net/icat/?ontology=ICD&amp;tab=ClassesTab&amp;id=http%3A%2F%2Fwho.int%2Ficd%2330219_512ebf36_bf6b_4d70_85da_cf2637062af4","iCat")</x:f>
      </x:c>
      <x:c r="M5446" s="0" t="s">
        <x:v>21</x:v>
      </x:c>
      <x:c r="N5446" s="0" t="s">
        <x:v>46</x:v>
      </x:c>
    </x:row>
    <x:row r="5447" spans="1:16">
      <x:c r="A5447" s="0" t="s">
        <x:v>21640</x:v>
      </x:c>
      <x:c r="B5447" s="0" t="s">
        <x:v>21641</x:v>
      </x:c>
      <x:c r="C5447" s="0" t="s">
        <x:v>21642</x:v>
      </x:c>
      <x:c r="E5447" s="0" t="s">
        <x:v>21643</x:v>
      </x:c>
      <x:c r="F5447" s="0" t="s">
        <x:v>45</x:v>
      </x:c>
      <x:c r="G5447" s="0" t="s">
        <x:v>19</x:v>
      </x:c>
      <x:c r="H5447" s="0" t="s">
        <x:v>20</x:v>
      </x:c>
      <x:c r="I5447" s="0" t="s">
        <x:v>21</x:v>
      </x:c>
      <x:c r="K5447" s="0">
        <x:f>hyperlink("https://icd.who.int/dev11/l-ichi/en#/http%3A%2F%2Fid.who.int%2Ficd%2Fentity%2F1772168710","browser")</x:f>
      </x:c>
      <x:c r="L5447" s="0">
        <x:f>hyperlink("https://icat2.azurewebsites.net/icat/?ontology=ICD&amp;tab=ClassesTab&amp;id=http%3A%2F%2Fwho.int%2Ficd%2330227_512ebf36_bf6b_4d70_85da_cf2637062af4","iCat")</x:f>
      </x:c>
      <x:c r="M5447" s="0" t="s">
        <x:v>21</x:v>
      </x:c>
      <x:c r="N5447" s="0" t="s">
        <x:v>46</x:v>
      </x:c>
    </x:row>
    <x:row r="5448" spans="1:16">
      <x:c r="A5448" s="0" t="s">
        <x:v>21644</x:v>
      </x:c>
      <x:c r="B5448" s="0" t="s">
        <x:v>21645</x:v>
      </x:c>
      <x:c r="D5448" s="0" t="s">
        <x:v>21646</x:v>
      </x:c>
      <x:c r="E5448" s="0" t="s">
        <x:v>21647</x:v>
      </x:c>
      <x:c r="F5448" s="0" t="s">
        <x:v>26</x:v>
      </x:c>
      <x:c r="G5448" s="0" t="s">
        <x:v>22</x:v>
      </x:c>
      <x:c r="H5448" s="0" t="s">
        <x:v>20</x:v>
      </x:c>
      <x:c r="I5448" s="0" t="s">
        <x:v>21</x:v>
      </x:c>
      <x:c r="K5448" s="0">
        <x:f>hyperlink("https://icd.who.int/dev11/l-ichi/en#/http%3A%2F%2Fid.who.int%2Ficd%2Fentity%2F1712893588","browser")</x:f>
      </x:c>
      <x:c r="L5448" s="0">
        <x:f>hyperlink("https://icat2.azurewebsites.net/icat/?ontology=ICD&amp;tab=ClassesTab&amp;id=http%3A%2F%2Fwho.int%2Ficd%2330235_512ebf36_bf6b_4d70_85da_cf2637062af4","iCat")</x:f>
      </x:c>
      <x:c r="M5448" s="0" t="s">
        <x:v>20</x:v>
      </x:c>
      <x:c r="N5448" s="0" t="s">
        <x:v>2748</x:v>
      </x:c>
    </x:row>
    <x:row r="5449" spans="1:16">
      <x:c r="A5449" s="0" t="s">
        <x:v>21648</x:v>
      </x:c>
      <x:c r="B5449" s="0" t="s">
        <x:v>21649</x:v>
      </x:c>
      <x:c r="C5449" s="0" t="s">
        <x:v>21650</x:v>
      </x:c>
      <x:c r="E5449" s="0" t="s">
        <x:v>21651</x:v>
      </x:c>
      <x:c r="F5449" s="0" t="s">
        <x:v>45</x:v>
      </x:c>
      <x:c r="G5449" s="0" t="s">
        <x:v>19</x:v>
      </x:c>
      <x:c r="H5449" s="0" t="s">
        <x:v>20</x:v>
      </x:c>
      <x:c r="I5449" s="0" t="s">
        <x:v>21</x:v>
      </x:c>
      <x:c r="K5449" s="0">
        <x:f>hyperlink("https://icd.who.int/dev11/l-ichi/en#/http%3A%2F%2Fid.who.int%2Ficd%2Fentity%2F1189207210","browser")</x:f>
      </x:c>
      <x:c r="L5449" s="0">
        <x:f>hyperlink("https://icat2.azurewebsites.net/icat/?ontology=ICD&amp;tab=ClassesTab&amp;id=http%3A%2F%2Fwho.int%2Ficd%2330234_512ebf36_bf6b_4d70_85da_cf2637062af4","iCat")</x:f>
      </x:c>
      <x:c r="M5449" s="0" t="s">
        <x:v>21</x:v>
      </x:c>
      <x:c r="N5449" s="0" t="s">
        <x:v>46</x:v>
      </x:c>
    </x:row>
    <x:row r="5450" spans="1:16">
      <x:c r="A5450" s="0" t="s">
        <x:v>21652</x:v>
      </x:c>
      <x:c r="B5450" s="0" t="s">
        <x:v>21653</x:v>
      </x:c>
      <x:c r="C5450" s="0" t="s">
        <x:v>21654</x:v>
      </x:c>
      <x:c r="E5450" s="0" t="s">
        <x:v>21655</x:v>
      </x:c>
      <x:c r="F5450" s="0" t="s">
        <x:v>45</x:v>
      </x:c>
      <x:c r="G5450" s="0" t="s">
        <x:v>19</x:v>
      </x:c>
      <x:c r="H5450" s="0" t="s">
        <x:v>20</x:v>
      </x:c>
      <x:c r="I5450" s="0" t="s">
        <x:v>21</x:v>
      </x:c>
      <x:c r="K5450" s="0">
        <x:f>hyperlink("https://icd.who.int/dev11/l-ichi/en#/http%3A%2F%2Fid.who.int%2Ficd%2Fentity%2F867344459","browser")</x:f>
      </x:c>
      <x:c r="L5450" s="0">
        <x:f>hyperlink("https://icat2.azurewebsites.net/icat/?ontology=ICD&amp;tab=ClassesTab&amp;id=http%3A%2F%2Fwho.int%2Ficd%2330247_512ebf36_bf6b_4d70_85da_cf2637062af4","iCat")</x:f>
      </x:c>
      <x:c r="M5450" s="0" t="s">
        <x:v>21</x:v>
      </x:c>
      <x:c r="N5450" s="0" t="s">
        <x:v>46</x:v>
      </x:c>
    </x:row>
    <x:row r="5451" spans="1:16">
      <x:c r="A5451" s="0" t="s">
        <x:v>21656</x:v>
      </x:c>
      <x:c r="B5451" s="0" t="s">
        <x:v>21657</x:v>
      </x:c>
      <x:c r="C5451" s="0" t="s">
        <x:v>21658</x:v>
      </x:c>
      <x:c r="E5451" s="0" t="s">
        <x:v>21659</x:v>
      </x:c>
      <x:c r="F5451" s="0" t="s">
        <x:v>45</x:v>
      </x:c>
      <x:c r="G5451" s="0" t="s">
        <x:v>19</x:v>
      </x:c>
      <x:c r="H5451" s="0" t="s">
        <x:v>20</x:v>
      </x:c>
      <x:c r="I5451" s="0" t="s">
        <x:v>21</x:v>
      </x:c>
      <x:c r="K5451" s="0">
        <x:f>hyperlink("https://icd.who.int/dev11/l-ichi/en#/http%3A%2F%2Fid.who.int%2Ficd%2Fentity%2F1007364313","browser")</x:f>
      </x:c>
      <x:c r="L5451" s="0">
        <x:f>hyperlink("https://icat2.azurewebsites.net/icat/?ontology=ICD&amp;tab=ClassesTab&amp;id=http%3A%2F%2Fwho.int%2Ficd%2330255_512ebf36_bf6b_4d70_85da_cf2637062af4","iCat")</x:f>
      </x:c>
      <x:c r="M5451" s="0" t="s">
        <x:v>21</x:v>
      </x:c>
      <x:c r="N5451" s="0" t="s">
        <x:v>46</x:v>
      </x:c>
    </x:row>
    <x:row r="5452" spans="1:16">
      <x:c r="A5452" s="0" t="s">
        <x:v>21660</x:v>
      </x:c>
      <x:c r="B5452" s="0" t="s">
        <x:v>21661</x:v>
      </x:c>
      <x:c r="C5452" s="0" t="s">
        <x:v>21662</x:v>
      </x:c>
      <x:c r="E5452" s="0" t="s">
        <x:v>21663</x:v>
      </x:c>
      <x:c r="F5452" s="0" t="s">
        <x:v>45</x:v>
      </x:c>
      <x:c r="G5452" s="0" t="s">
        <x:v>19</x:v>
      </x:c>
      <x:c r="H5452" s="0" t="s">
        <x:v>20</x:v>
      </x:c>
      <x:c r="I5452" s="0" t="s">
        <x:v>21</x:v>
      </x:c>
      <x:c r="K5452" s="0">
        <x:f>hyperlink("https://icd.who.int/dev11/l-ichi/en#/http%3A%2F%2Fid.who.int%2Ficd%2Fentity%2F121429503","browser")</x:f>
      </x:c>
      <x:c r="L5452" s="0">
        <x:f>hyperlink("https://icat2.azurewebsites.net/icat/?ontology=ICD&amp;tab=ClassesTab&amp;id=http%3A%2F%2Fwho.int%2Ficd%2330269_512ebf36_bf6b_4d70_85da_cf2637062af4","iCat")</x:f>
      </x:c>
      <x:c r="M5452" s="0" t="s">
        <x:v>21</x:v>
      </x:c>
      <x:c r="N5452" s="0" t="s">
        <x:v>46</x:v>
      </x:c>
    </x:row>
    <x:row r="5453" spans="1:16">
      <x:c r="A5453" s="0" t="s">
        <x:v>21664</x:v>
      </x:c>
      <x:c r="B5453" s="0" t="s">
        <x:v>21665</x:v>
      </x:c>
      <x:c r="C5453" s="0" t="s">
        <x:v>21666</x:v>
      </x:c>
      <x:c r="E5453" s="0" t="s">
        <x:v>21667</x:v>
      </x:c>
      <x:c r="F5453" s="0" t="s">
        <x:v>45</x:v>
      </x:c>
      <x:c r="G5453" s="0" t="s">
        <x:v>19</x:v>
      </x:c>
      <x:c r="H5453" s="0" t="s">
        <x:v>20</x:v>
      </x:c>
      <x:c r="I5453" s="0" t="s">
        <x:v>21</x:v>
      </x:c>
      <x:c r="K5453" s="0">
        <x:f>hyperlink("https://icd.who.int/dev11/l-ichi/en#/http%3A%2F%2Fid.who.int%2Ficd%2Fentity%2F1929633868","browser")</x:f>
      </x:c>
      <x:c r="L5453" s="0">
        <x:f>hyperlink("https://icat2.azurewebsites.net/icat/?ontology=ICD&amp;tab=ClassesTab&amp;id=http%3A%2F%2Fwho.int%2Ficd%2330277_512ebf36_bf6b_4d70_85da_cf2637062af4","iCat")</x:f>
      </x:c>
      <x:c r="M5453" s="0" t="s">
        <x:v>21</x:v>
      </x:c>
      <x:c r="N5453" s="0" t="s">
        <x:v>46</x:v>
      </x:c>
    </x:row>
    <x:row r="5454" spans="1:16">
      <x:c r="A5454" s="0" t="s">
        <x:v>21668</x:v>
      </x:c>
      <x:c r="B5454" s="0" t="s">
        <x:v>21669</x:v>
      </x:c>
      <x:c r="C5454" s="0" t="s">
        <x:v>21670</x:v>
      </x:c>
      <x:c r="E5454" s="0" t="s">
        <x:v>21671</x:v>
      </x:c>
      <x:c r="F5454" s="0" t="s">
        <x:v>45</x:v>
      </x:c>
      <x:c r="G5454" s="0" t="s">
        <x:v>19</x:v>
      </x:c>
      <x:c r="H5454" s="0" t="s">
        <x:v>20</x:v>
      </x:c>
      <x:c r="I5454" s="0" t="s">
        <x:v>21</x:v>
      </x:c>
      <x:c r="K5454" s="0">
        <x:f>hyperlink("https://icd.who.int/dev11/l-ichi/en#/http%3A%2F%2Fid.who.int%2Ficd%2Fentity%2F425837931","browser")</x:f>
      </x:c>
      <x:c r="L5454" s="0">
        <x:f>hyperlink("https://icat2.azurewebsites.net/icat/?ontology=ICD&amp;tab=ClassesTab&amp;id=http%3A%2F%2Fwho.int%2Ficd%2330284_512ebf36_bf6b_4d70_85da_cf2637062af4","iCat")</x:f>
      </x:c>
      <x:c r="M5454" s="0" t="s">
        <x:v>21</x:v>
      </x:c>
      <x:c r="N5454" s="0" t="s">
        <x:v>46</x:v>
      </x:c>
    </x:row>
    <x:row r="5455" spans="1:16">
      <x:c r="A5455" s="0" t="s">
        <x:v>21672</x:v>
      </x:c>
      <x:c r="B5455" s="0" t="s">
        <x:v>21673</x:v>
      </x:c>
      <x:c r="C5455" s="0" t="s">
        <x:v>21674</x:v>
      </x:c>
      <x:c r="E5455" s="0" t="s">
        <x:v>21675</x:v>
      </x:c>
      <x:c r="F5455" s="0" t="s">
        <x:v>45</x:v>
      </x:c>
      <x:c r="G5455" s="0" t="s">
        <x:v>19</x:v>
      </x:c>
      <x:c r="H5455" s="0" t="s">
        <x:v>20</x:v>
      </x:c>
      <x:c r="I5455" s="0" t="s">
        <x:v>21</x:v>
      </x:c>
      <x:c r="K5455" s="0">
        <x:f>hyperlink("https://icd.who.int/dev11/l-ichi/en#/http%3A%2F%2Fid.who.int%2Ficd%2Fentity%2F1717233270","browser")</x:f>
      </x:c>
      <x:c r="L5455" s="0">
        <x:f>hyperlink("https://icat2.azurewebsites.net/icat/?ontology=ICD&amp;tab=ClassesTab&amp;id=http%3A%2F%2Fwho.int%2Ficd%2330291_512ebf36_bf6b_4d70_85da_cf2637062af4","iCat")</x:f>
      </x:c>
      <x:c r="M5455" s="0" t="s">
        <x:v>21</x:v>
      </x:c>
      <x:c r="N5455" s="0" t="s">
        <x:v>46</x:v>
      </x:c>
    </x:row>
    <x:row r="5456" spans="1:16">
      <x:c r="A5456" s="0" t="s">
        <x:v>21676</x:v>
      </x:c>
      <x:c r="B5456" s="0" t="s">
        <x:v>21677</x:v>
      </x:c>
      <x:c r="C5456" s="0" t="s">
        <x:v>21678</x:v>
      </x:c>
      <x:c r="E5456" s="0" t="s">
        <x:v>21679</x:v>
      </x:c>
      <x:c r="F5456" s="0" t="s">
        <x:v>45</x:v>
      </x:c>
      <x:c r="G5456" s="0" t="s">
        <x:v>19</x:v>
      </x:c>
      <x:c r="H5456" s="0" t="s">
        <x:v>20</x:v>
      </x:c>
      <x:c r="I5456" s="0" t="s">
        <x:v>21</x:v>
      </x:c>
      <x:c r="K5456" s="0">
        <x:f>hyperlink("https://icd.who.int/dev11/l-ichi/en#/http%3A%2F%2Fid.who.int%2Ficd%2Fentity%2F136504605","browser")</x:f>
      </x:c>
      <x:c r="L5456" s="0">
        <x:f>hyperlink("https://icat2.azurewebsites.net/icat/?ontology=ICD&amp;tab=ClassesTab&amp;id=http%3A%2F%2Fwho.int%2Ficd%2330298_512ebf36_bf6b_4d70_85da_cf2637062af4","iCat")</x:f>
      </x:c>
      <x:c r="M5456" s="0" t="s">
        <x:v>21</x:v>
      </x:c>
      <x:c r="N5456" s="0" t="s">
        <x:v>46</x:v>
      </x:c>
    </x:row>
    <x:row r="5457" spans="1:16">
      <x:c r="A5457" s="0" t="s">
        <x:v>21680</x:v>
      </x:c>
      <x:c r="B5457" s="0" t="s">
        <x:v>21681</x:v>
      </x:c>
      <x:c r="C5457" s="0" t="s">
        <x:v>21682</x:v>
      </x:c>
      <x:c r="E5457" s="0" t="s">
        <x:v>21683</x:v>
      </x:c>
      <x:c r="F5457" s="0" t="s">
        <x:v>45</x:v>
      </x:c>
      <x:c r="G5457" s="0" t="s">
        <x:v>19</x:v>
      </x:c>
      <x:c r="H5457" s="0" t="s">
        <x:v>20</x:v>
      </x:c>
      <x:c r="I5457" s="0" t="s">
        <x:v>21</x:v>
      </x:c>
      <x:c r="K5457" s="0">
        <x:f>hyperlink("https://icd.who.int/dev11/l-ichi/en#/http%3A%2F%2Fid.who.int%2Ficd%2Fentity%2F1396058128","browser")</x:f>
      </x:c>
      <x:c r="L5457" s="0">
        <x:f>hyperlink("https://icat2.azurewebsites.net/icat/?ontology=ICD&amp;tab=ClassesTab&amp;id=http%3A%2F%2Fwho.int%2Ficd%2330305_512ebf36_bf6b_4d70_85da_cf2637062af4","iCat")</x:f>
      </x:c>
      <x:c r="M5457" s="0" t="s">
        <x:v>21</x:v>
      </x:c>
      <x:c r="N5457" s="0" t="s">
        <x:v>46</x:v>
      </x:c>
    </x:row>
    <x:row r="5458" spans="1:16">
      <x:c r="A5458" s="0" t="s">
        <x:v>21684</x:v>
      </x:c>
      <x:c r="B5458" s="0" t="s">
        <x:v>21685</x:v>
      </x:c>
      <x:c r="C5458" s="0" t="s">
        <x:v>21686</x:v>
      </x:c>
      <x:c r="E5458" s="0" t="s">
        <x:v>21687</x:v>
      </x:c>
      <x:c r="F5458" s="0" t="s">
        <x:v>45</x:v>
      </x:c>
      <x:c r="G5458" s="0" t="s">
        <x:v>19</x:v>
      </x:c>
      <x:c r="H5458" s="0" t="s">
        <x:v>20</x:v>
      </x:c>
      <x:c r="I5458" s="0" t="s">
        <x:v>21</x:v>
      </x:c>
      <x:c r="K5458" s="0">
        <x:f>hyperlink("https://icd.who.int/dev11/l-ichi/en#/http%3A%2F%2Fid.who.int%2Ficd%2Fentity%2F1552916638","browser")</x:f>
      </x:c>
      <x:c r="L5458" s="0">
        <x:f>hyperlink("https://icat2.azurewebsites.net/icat/?ontology=ICD&amp;tab=ClassesTab&amp;id=http%3A%2F%2Fwho.int%2Ficd%2330317_512ebf36_bf6b_4d70_85da_cf2637062af4","iCat")</x:f>
      </x:c>
      <x:c r="M5458" s="0" t="s">
        <x:v>21</x:v>
      </x:c>
      <x:c r="N5458" s="0" t="s">
        <x:v>46</x:v>
      </x:c>
    </x:row>
    <x:row r="5459" spans="1:16">
      <x:c r="A5459" s="0" t="s">
        <x:v>21688</x:v>
      </x:c>
      <x:c r="B5459" s="0" t="s">
        <x:v>21689</x:v>
      </x:c>
      <x:c r="C5459" s="0" t="s">
        <x:v>21690</x:v>
      </x:c>
      <x:c r="E5459" s="0" t="s">
        <x:v>21691</x:v>
      </x:c>
      <x:c r="F5459" s="0" t="s">
        <x:v>45</x:v>
      </x:c>
      <x:c r="G5459" s="0" t="s">
        <x:v>19</x:v>
      </x:c>
      <x:c r="H5459" s="0" t="s">
        <x:v>20</x:v>
      </x:c>
      <x:c r="I5459" s="0" t="s">
        <x:v>21</x:v>
      </x:c>
      <x:c r="K5459" s="0">
        <x:f>hyperlink("https://icd.who.int/dev11/l-ichi/en#/http%3A%2F%2Fid.who.int%2Ficd%2Fentity%2F1505464164","browser")</x:f>
      </x:c>
      <x:c r="L5459" s="0">
        <x:f>hyperlink("https://icat2.azurewebsites.net/icat/?ontology=ICD&amp;tab=ClassesTab&amp;id=http%3A%2F%2Fwho.int%2Ficd%2330324_512ebf36_bf6b_4d70_85da_cf2637062af4","iCat")</x:f>
      </x:c>
      <x:c r="M5459" s="0" t="s">
        <x:v>21</x:v>
      </x:c>
      <x:c r="N5459" s="0" t="s">
        <x:v>46</x:v>
      </x:c>
    </x:row>
    <x:row r="5460" spans="1:16">
      <x:c r="A5460" s="0" t="s">
        <x:v>21692</x:v>
      </x:c>
      <x:c r="B5460" s="0" t="s">
        <x:v>21693</x:v>
      </x:c>
      <x:c r="C5460" s="0" t="s">
        <x:v>21694</x:v>
      </x:c>
      <x:c r="E5460" s="0" t="s">
        <x:v>21695</x:v>
      </x:c>
      <x:c r="F5460" s="0" t="s">
        <x:v>45</x:v>
      </x:c>
      <x:c r="G5460" s="0" t="s">
        <x:v>19</x:v>
      </x:c>
      <x:c r="H5460" s="0" t="s">
        <x:v>20</x:v>
      </x:c>
      <x:c r="I5460" s="0" t="s">
        <x:v>21</x:v>
      </x:c>
      <x:c r="K5460" s="0">
        <x:f>hyperlink("https://icd.who.int/dev11/l-ichi/en#/http%3A%2F%2Fid.who.int%2Ficd%2Fentity%2F1661322116","browser")</x:f>
      </x:c>
      <x:c r="L5460" s="0">
        <x:f>hyperlink("https://icat2.azurewebsites.net/icat/?ontology=ICD&amp;tab=ClassesTab&amp;id=http%3A%2F%2Fwho.int%2Ficd%2330332_512ebf36_bf6b_4d70_85da_cf2637062af4","iCat")</x:f>
      </x:c>
      <x:c r="M5460" s="0" t="s">
        <x:v>21</x:v>
      </x:c>
      <x:c r="N5460" s="0" t="s">
        <x:v>46</x:v>
      </x:c>
    </x:row>
    <x:row r="5461" spans="1:16">
      <x:c r="A5461" s="0" t="s">
        <x:v>21696</x:v>
      </x:c>
      <x:c r="B5461" s="0" t="s">
        <x:v>21697</x:v>
      </x:c>
      <x:c r="C5461" s="0" t="s">
        <x:v>21698</x:v>
      </x:c>
      <x:c r="E5461" s="0" t="s">
        <x:v>21699</x:v>
      </x:c>
      <x:c r="F5461" s="0" t="s">
        <x:v>45</x:v>
      </x:c>
      <x:c r="G5461" s="0" t="s">
        <x:v>19</x:v>
      </x:c>
      <x:c r="H5461" s="0" t="s">
        <x:v>20</x:v>
      </x:c>
      <x:c r="I5461" s="0" t="s">
        <x:v>21</x:v>
      </x:c>
      <x:c r="K5461" s="0">
        <x:f>hyperlink("https://icd.who.int/dev11/l-ichi/en#/http%3A%2F%2Fid.who.int%2Ficd%2Fentity%2F1744952618","browser")</x:f>
      </x:c>
      <x:c r="L5461" s="0">
        <x:f>hyperlink("https://icat2.azurewebsites.net/icat/?ontology=ICD&amp;tab=ClassesTab&amp;id=http%3A%2F%2Fwho.int%2Ficd%2330339_512ebf36_bf6b_4d70_85da_cf2637062af4","iCat")</x:f>
      </x:c>
      <x:c r="M5461" s="0" t="s">
        <x:v>21</x:v>
      </x:c>
      <x:c r="N5461" s="0" t="s">
        <x:v>46</x:v>
      </x:c>
    </x:row>
    <x:row r="5462" spans="1:16">
      <x:c r="A5462" s="0" t="s">
        <x:v>21700</x:v>
      </x:c>
      <x:c r="B5462" s="0" t="s">
        <x:v>21701</x:v>
      </x:c>
      <x:c r="C5462" s="0" t="s">
        <x:v>21702</x:v>
      </x:c>
      <x:c r="E5462" s="0" t="s">
        <x:v>21703</x:v>
      </x:c>
      <x:c r="F5462" s="0" t="s">
        <x:v>45</x:v>
      </x:c>
      <x:c r="G5462" s="0" t="s">
        <x:v>19</x:v>
      </x:c>
      <x:c r="H5462" s="0" t="s">
        <x:v>20</x:v>
      </x:c>
      <x:c r="I5462" s="0" t="s">
        <x:v>21</x:v>
      </x:c>
      <x:c r="K5462" s="0">
        <x:f>hyperlink("https://icd.who.int/dev11/l-ichi/en#/http%3A%2F%2Fid.who.int%2Ficd%2Fentity%2F1725175018","browser")</x:f>
      </x:c>
      <x:c r="L5462" s="0">
        <x:f>hyperlink("https://icat2.azurewebsites.net/icat/?ontology=ICD&amp;tab=ClassesTab&amp;id=http%3A%2F%2Fwho.int%2Ficd%2330346_512ebf36_bf6b_4d70_85da_cf2637062af4","iCat")</x:f>
      </x:c>
      <x:c r="M5462" s="0" t="s">
        <x:v>21</x:v>
      </x:c>
      <x:c r="N5462" s="0" t="s">
        <x:v>46</x:v>
      </x:c>
    </x:row>
    <x:row r="5463" spans="1:16">
      <x:c r="A5463" s="0" t="s">
        <x:v>21704</x:v>
      </x:c>
      <x:c r="B5463" s="0" t="s">
        <x:v>21705</x:v>
      </x:c>
      <x:c r="C5463" s="0" t="s">
        <x:v>21706</x:v>
      </x:c>
      <x:c r="E5463" s="0" t="s">
        <x:v>21707</x:v>
      </x:c>
      <x:c r="F5463" s="0" t="s">
        <x:v>45</x:v>
      </x:c>
      <x:c r="G5463" s="0" t="s">
        <x:v>19</x:v>
      </x:c>
      <x:c r="H5463" s="0" t="s">
        <x:v>20</x:v>
      </x:c>
      <x:c r="I5463" s="0" t="s">
        <x:v>21</x:v>
      </x:c>
      <x:c r="K5463" s="0">
        <x:f>hyperlink("https://icd.who.int/dev11/l-ichi/en#/http%3A%2F%2Fid.who.int%2Ficd%2Fentity%2F840063845","browser")</x:f>
      </x:c>
      <x:c r="L5463" s="0">
        <x:f>hyperlink("https://icat2.azurewebsites.net/icat/?ontology=ICD&amp;tab=ClassesTab&amp;id=http%3A%2F%2Fwho.int%2Ficd%2330359_512ebf36_bf6b_4d70_85da_cf2637062af4","iCat")</x:f>
      </x:c>
      <x:c r="M5463" s="0" t="s">
        <x:v>21</x:v>
      </x:c>
      <x:c r="N5463" s="0" t="s">
        <x:v>46</x:v>
      </x:c>
    </x:row>
    <x:row r="5464" spans="1:16">
      <x:c r="A5464" s="0" t="s">
        <x:v>21708</x:v>
      </x:c>
      <x:c r="B5464" s="0" t="s">
        <x:v>21709</x:v>
      </x:c>
      <x:c r="C5464" s="0" t="s">
        <x:v>21710</x:v>
      </x:c>
      <x:c r="E5464" s="0" t="s">
        <x:v>21711</x:v>
      </x:c>
      <x:c r="F5464" s="0" t="s">
        <x:v>45</x:v>
      </x:c>
      <x:c r="G5464" s="0" t="s">
        <x:v>19</x:v>
      </x:c>
      <x:c r="H5464" s="0" t="s">
        <x:v>20</x:v>
      </x:c>
      <x:c r="I5464" s="0" t="s">
        <x:v>21</x:v>
      </x:c>
      <x:c r="K5464" s="0">
        <x:f>hyperlink("https://icd.who.int/dev11/l-ichi/en#/http%3A%2F%2Fid.who.int%2Ficd%2Fentity%2F1817817990","browser")</x:f>
      </x:c>
      <x:c r="L5464" s="0">
        <x:f>hyperlink("https://icat2.azurewebsites.net/icat/?ontology=ICD&amp;tab=ClassesTab&amp;id=http%3A%2F%2Fwho.int%2Ficd%2330367_512ebf36_bf6b_4d70_85da_cf2637062af4","iCat")</x:f>
      </x:c>
      <x:c r="M5464" s="0" t="s">
        <x:v>21</x:v>
      </x:c>
      <x:c r="N5464" s="0" t="s">
        <x:v>46</x:v>
      </x:c>
    </x:row>
    <x:row r="5465" spans="1:16">
      <x:c r="A5465" s="0" t="s">
        <x:v>21712</x:v>
      </x:c>
      <x:c r="B5465" s="0" t="s">
        <x:v>21713</x:v>
      </x:c>
      <x:c r="C5465" s="0" t="s">
        <x:v>21714</x:v>
      </x:c>
      <x:c r="E5465" s="0" t="s">
        <x:v>21715</x:v>
      </x:c>
      <x:c r="F5465" s="0" t="s">
        <x:v>45</x:v>
      </x:c>
      <x:c r="G5465" s="0" t="s">
        <x:v>19</x:v>
      </x:c>
      <x:c r="H5465" s="0" t="s">
        <x:v>20</x:v>
      </x:c>
      <x:c r="I5465" s="0" t="s">
        <x:v>21</x:v>
      </x:c>
      <x:c r="K5465" s="0">
        <x:f>hyperlink("https://icd.who.int/dev11/l-ichi/en#/http%3A%2F%2Fid.who.int%2Ficd%2Fentity%2F1675639572","browser")</x:f>
      </x:c>
      <x:c r="L5465" s="0">
        <x:f>hyperlink("https://icat2.azurewebsites.net/icat/?ontology=ICD&amp;tab=ClassesTab&amp;id=http%3A%2F%2Fwho.int%2Ficd%2330375_512ebf36_bf6b_4d70_85da_cf2637062af4","iCat")</x:f>
      </x:c>
      <x:c r="M5465" s="0" t="s">
        <x:v>21</x:v>
      </x:c>
      <x:c r="N5465" s="0" t="s">
        <x:v>46</x:v>
      </x:c>
    </x:row>
    <x:row r="5466" spans="1:16">
      <x:c r="A5466" s="0" t="s">
        <x:v>21716</x:v>
      </x:c>
      <x:c r="B5466" s="0" t="s">
        <x:v>21717</x:v>
      </x:c>
      <x:c r="C5466" s="0" t="s">
        <x:v>21718</x:v>
      </x:c>
      <x:c r="E5466" s="0" t="s">
        <x:v>21719</x:v>
      </x:c>
      <x:c r="F5466" s="0" t="s">
        <x:v>45</x:v>
      </x:c>
      <x:c r="G5466" s="0" t="s">
        <x:v>19</x:v>
      </x:c>
      <x:c r="H5466" s="0" t="s">
        <x:v>20</x:v>
      </x:c>
      <x:c r="I5466" s="0" t="s">
        <x:v>21</x:v>
      </x:c>
      <x:c r="K5466" s="0">
        <x:f>hyperlink("https://icd.who.int/dev11/l-ichi/en#/http%3A%2F%2Fid.who.int%2Ficd%2Fentity%2F477931643","browser")</x:f>
      </x:c>
      <x:c r="L5466" s="0">
        <x:f>hyperlink("https://icat2.azurewebsites.net/icat/?ontology=ICD&amp;tab=ClassesTab&amp;id=http%3A%2F%2Fwho.int%2Ficd%2330383_512ebf36_bf6b_4d70_85da_cf2637062af4","iCat")</x:f>
      </x:c>
      <x:c r="M5466" s="0" t="s">
        <x:v>21</x:v>
      </x:c>
      <x:c r="N5466" s="0" t="s">
        <x:v>46</x:v>
      </x:c>
    </x:row>
    <x:row r="5467" spans="1:16">
      <x:c r="A5467" s="0" t="s">
        <x:v>21720</x:v>
      </x:c>
      <x:c r="B5467" s="0" t="s">
        <x:v>21721</x:v>
      </x:c>
      <x:c r="C5467" s="0" t="s">
        <x:v>21722</x:v>
      </x:c>
      <x:c r="E5467" s="0" t="s">
        <x:v>21723</x:v>
      </x:c>
      <x:c r="F5467" s="0" t="s">
        <x:v>45</x:v>
      </x:c>
      <x:c r="G5467" s="0" t="s">
        <x:v>19</x:v>
      </x:c>
      <x:c r="H5467" s="0" t="s">
        <x:v>20</x:v>
      </x:c>
      <x:c r="I5467" s="0" t="s">
        <x:v>21</x:v>
      </x:c>
      <x:c r="K5467" s="0">
        <x:f>hyperlink("https://icd.who.int/dev11/l-ichi/en#/http%3A%2F%2Fid.who.int%2Ficd%2Fentity%2F859591381","browser")</x:f>
      </x:c>
      <x:c r="L5467" s="0">
        <x:f>hyperlink("https://icat2.azurewebsites.net/icat/?ontology=ICD&amp;tab=ClassesTab&amp;id=http%3A%2F%2Fwho.int%2Ficd%2330390_512ebf36_bf6b_4d70_85da_cf2637062af4","iCat")</x:f>
      </x:c>
      <x:c r="M5467" s="0" t="s">
        <x:v>21</x:v>
      </x:c>
      <x:c r="N5467" s="0" t="s">
        <x:v>46</x:v>
      </x:c>
    </x:row>
    <x:row r="5468" spans="1:16">
      <x:c r="A5468" s="0" t="s">
        <x:v>21724</x:v>
      </x:c>
      <x:c r="B5468" s="0" t="s">
        <x:v>21725</x:v>
      </x:c>
      <x:c r="C5468" s="0" t="s">
        <x:v>21726</x:v>
      </x:c>
      <x:c r="E5468" s="0" t="s">
        <x:v>21727</x:v>
      </x:c>
      <x:c r="F5468" s="0" t="s">
        <x:v>45</x:v>
      </x:c>
      <x:c r="G5468" s="0" t="s">
        <x:v>19</x:v>
      </x:c>
      <x:c r="H5468" s="0" t="s">
        <x:v>20</x:v>
      </x:c>
      <x:c r="I5468" s="0" t="s">
        <x:v>21</x:v>
      </x:c>
      <x:c r="K5468" s="0">
        <x:f>hyperlink("https://icd.who.int/dev11/l-ichi/en#/http%3A%2F%2Fid.who.int%2Ficd%2Fentity%2F2109547392","browser")</x:f>
      </x:c>
      <x:c r="L5468" s="0">
        <x:f>hyperlink("https://icat2.azurewebsites.net/icat/?ontology=ICD&amp;tab=ClassesTab&amp;id=http%3A%2F%2Fwho.int%2Ficd%2330398_512ebf36_bf6b_4d70_85da_cf2637062af4","iCat")</x:f>
      </x:c>
      <x:c r="M5468" s="0" t="s">
        <x:v>21</x:v>
      </x:c>
      <x:c r="N5468" s="0" t="s">
        <x:v>46</x:v>
      </x:c>
    </x:row>
    <x:row r="5469" spans="1:16">
      <x:c r="A5469" s="0" t="s">
        <x:v>21728</x:v>
      </x:c>
      <x:c r="B5469" s="0" t="s">
        <x:v>21729</x:v>
      </x:c>
      <x:c r="C5469" s="0" t="s">
        <x:v>21730</x:v>
      </x:c>
      <x:c r="E5469" s="0" t="s">
        <x:v>21731</x:v>
      </x:c>
      <x:c r="F5469" s="0" t="s">
        <x:v>45</x:v>
      </x:c>
      <x:c r="G5469" s="0" t="s">
        <x:v>19</x:v>
      </x:c>
      <x:c r="H5469" s="0" t="s">
        <x:v>20</x:v>
      </x:c>
      <x:c r="I5469" s="0" t="s">
        <x:v>21</x:v>
      </x:c>
      <x:c r="K5469" s="0">
        <x:f>hyperlink("https://icd.who.int/dev11/l-ichi/en#/http%3A%2F%2Fid.who.int%2Ficd%2Fentity%2F2061692827","browser")</x:f>
      </x:c>
      <x:c r="L5469" s="0">
        <x:f>hyperlink("https://icat2.azurewebsites.net/icat/?ontology=ICD&amp;tab=ClassesTab&amp;id=http%3A%2F%2Fwho.int%2Ficd%2330406_512ebf36_bf6b_4d70_85da_cf2637062af4","iCat")</x:f>
      </x:c>
      <x:c r="M5469" s="0" t="s">
        <x:v>21</x:v>
      </x:c>
      <x:c r="N5469" s="0" t="s">
        <x:v>46</x:v>
      </x:c>
    </x:row>
    <x:row r="5470" spans="1:16">
      <x:c r="A5470" s="0" t="s">
        <x:v>21732</x:v>
      </x:c>
      <x:c r="B5470" s="0" t="s">
        <x:v>21733</x:v>
      </x:c>
      <x:c r="C5470" s="0" t="s">
        <x:v>21734</x:v>
      </x:c>
      <x:c r="E5470" s="0" t="s">
        <x:v>21735</x:v>
      </x:c>
      <x:c r="F5470" s="0" t="s">
        <x:v>45</x:v>
      </x:c>
      <x:c r="G5470" s="0" t="s">
        <x:v>19</x:v>
      </x:c>
      <x:c r="H5470" s="0" t="s">
        <x:v>20</x:v>
      </x:c>
      <x:c r="I5470" s="0" t="s">
        <x:v>21</x:v>
      </x:c>
      <x:c r="K5470" s="0">
        <x:f>hyperlink("https://icd.who.int/dev11/l-ichi/en#/http%3A%2F%2Fid.who.int%2Ficd%2Fentity%2F1968924425","browser")</x:f>
      </x:c>
      <x:c r="L5470" s="0">
        <x:f>hyperlink("https://icat2.azurewebsites.net/icat/?ontology=ICD&amp;tab=ClassesTab&amp;id=http%3A%2F%2Fwho.int%2Ficd%2330414_512ebf36_bf6b_4d70_85da_cf2637062af4","iCat")</x:f>
      </x:c>
      <x:c r="M5470" s="0" t="s">
        <x:v>21</x:v>
      </x:c>
      <x:c r="N5470" s="0" t="s">
        <x:v>46</x:v>
      </x:c>
    </x:row>
    <x:row r="5471" spans="1:16">
      <x:c r="A5471" s="0" t="s">
        <x:v>21736</x:v>
      </x:c>
      <x:c r="B5471" s="0" t="s">
        <x:v>21737</x:v>
      </x:c>
      <x:c r="D5471" s="0" t="s">
        <x:v>21738</x:v>
      </x:c>
      <x:c r="E5471" s="0" t="s">
        <x:v>21739</x:v>
      </x:c>
      <x:c r="F5471" s="0" t="s">
        <x:v>26</x:v>
      </x:c>
      <x:c r="G5471" s="0" t="s">
        <x:v>22</x:v>
      </x:c>
      <x:c r="H5471" s="0" t="s">
        <x:v>20</x:v>
      </x:c>
      <x:c r="I5471" s="0" t="s">
        <x:v>21</x:v>
      </x:c>
      <x:c r="K5471" s="0">
        <x:f>hyperlink("https://icd.who.int/dev11/l-ichi/en#/http%3A%2F%2Fid.who.int%2Ficd%2Fentity%2F1704066751","browser")</x:f>
      </x:c>
      <x:c r="L5471" s="0">
        <x:f>hyperlink("https://icat2.azurewebsites.net/icat/?ontology=ICD&amp;tab=ClassesTab&amp;id=http%3A%2F%2Fwho.int%2Ficd%2330422_512ebf36_bf6b_4d70_85da_cf2637062af4","iCat")</x:f>
      </x:c>
      <x:c r="M5471" s="0" t="s">
        <x:v>20</x:v>
      </x:c>
      <x:c r="N5471" s="0" t="s">
        <x:v>21740</x:v>
      </x:c>
    </x:row>
    <x:row r="5472" spans="1:16">
      <x:c r="A5472" s="0" t="s">
        <x:v>21741</x:v>
      </x:c>
      <x:c r="B5472" s="0" t="s">
        <x:v>21742</x:v>
      </x:c>
      <x:c r="C5472" s="0" t="s">
        <x:v>21743</x:v>
      </x:c>
      <x:c r="E5472" s="0" t="s">
        <x:v>21744</x:v>
      </x:c>
      <x:c r="F5472" s="0" t="s">
        <x:v>45</x:v>
      </x:c>
      <x:c r="G5472" s="0" t="s">
        <x:v>19</x:v>
      </x:c>
      <x:c r="H5472" s="0" t="s">
        <x:v>20</x:v>
      </x:c>
      <x:c r="I5472" s="0" t="s">
        <x:v>21</x:v>
      </x:c>
      <x:c r="K5472" s="0">
        <x:f>hyperlink("https://icd.who.int/dev11/l-ichi/en#/http%3A%2F%2Fid.who.int%2Ficd%2Fentity%2F538218822","browser")</x:f>
      </x:c>
      <x:c r="L5472" s="0">
        <x:f>hyperlink("https://icat2.azurewebsites.net/icat/?ontology=ICD&amp;tab=ClassesTab&amp;id=http%3A%2F%2Fwho.int%2Ficd%2330421_512ebf36_bf6b_4d70_85da_cf2637062af4","iCat")</x:f>
      </x:c>
      <x:c r="M5472" s="0" t="s">
        <x:v>21</x:v>
      </x:c>
      <x:c r="N5472" s="0" t="s">
        <x:v>46</x:v>
      </x:c>
    </x:row>
    <x:row r="5473" spans="1:16">
      <x:c r="A5473" s="0" t="s">
        <x:v>21745</x:v>
      </x:c>
      <x:c r="B5473" s="0" t="s">
        <x:v>21746</x:v>
      </x:c>
      <x:c r="C5473" s="0" t="s">
        <x:v>21747</x:v>
      </x:c>
      <x:c r="E5473" s="0" t="s">
        <x:v>21748</x:v>
      </x:c>
      <x:c r="F5473" s="0" t="s">
        <x:v>45</x:v>
      </x:c>
      <x:c r="G5473" s="0" t="s">
        <x:v>19</x:v>
      </x:c>
      <x:c r="H5473" s="0" t="s">
        <x:v>20</x:v>
      </x:c>
      <x:c r="I5473" s="0" t="s">
        <x:v>21</x:v>
      </x:c>
      <x:c r="K5473" s="0">
        <x:f>hyperlink("https://icd.who.int/dev11/l-ichi/en#/http%3A%2F%2Fid.who.int%2Ficd%2Fentity%2F1572908435","browser")</x:f>
      </x:c>
      <x:c r="L5473" s="0">
        <x:f>hyperlink("https://icat2.azurewebsites.net/icat/?ontology=ICD&amp;tab=ClassesTab&amp;id=http%3A%2F%2Fwho.int%2Ficd%2314109_4869915e_217e_423d_acb3_33c0f920ef4b","iCat")</x:f>
      </x:c>
      <x:c r="M5473" s="0" t="s">
        <x:v>21</x:v>
      </x:c>
      <x:c r="N5473" s="0" t="s">
        <x:v>46</x:v>
      </x:c>
    </x:row>
    <x:row r="5474" spans="1:16">
      <x:c r="A5474" s="0" t="s">
        <x:v>21749</x:v>
      </x:c>
      <x:c r="B5474" s="0" t="s">
        <x:v>21750</x:v>
      </x:c>
      <x:c r="C5474" s="0" t="s">
        <x:v>21751</x:v>
      </x:c>
      <x:c r="E5474" s="0" t="s">
        <x:v>21752</x:v>
      </x:c>
      <x:c r="F5474" s="0" t="s">
        <x:v>45</x:v>
      </x:c>
      <x:c r="G5474" s="0" t="s">
        <x:v>19</x:v>
      </x:c>
      <x:c r="H5474" s="0" t="s">
        <x:v>20</x:v>
      </x:c>
      <x:c r="I5474" s="0" t="s">
        <x:v>21</x:v>
      </x:c>
      <x:c r="K5474" s="0">
        <x:f>hyperlink("https://icd.who.int/dev11/l-ichi/en#/http%3A%2F%2Fid.who.int%2Ficd%2Fentity%2F1596961369","browser")</x:f>
      </x:c>
      <x:c r="L5474" s="0">
        <x:f>hyperlink("https://icat2.azurewebsites.net/icat/?ontology=ICD&amp;tab=ClassesTab&amp;id=http%3A%2F%2Fwho.int%2Ficd%2330434_512ebf36_bf6b_4d70_85da_cf2637062af4","iCat")</x:f>
      </x:c>
      <x:c r="M5474" s="0" t="s">
        <x:v>21</x:v>
      </x:c>
      <x:c r="N5474" s="0" t="s">
        <x:v>46</x:v>
      </x:c>
    </x:row>
    <x:row r="5475" spans="1:16">
      <x:c r="A5475" s="0" t="s">
        <x:v>21753</x:v>
      </x:c>
      <x:c r="B5475" s="0" t="s">
        <x:v>21754</x:v>
      </x:c>
      <x:c r="C5475" s="0" t="s">
        <x:v>21755</x:v>
      </x:c>
      <x:c r="E5475" s="0" t="s">
        <x:v>21756</x:v>
      </x:c>
      <x:c r="F5475" s="0" t="s">
        <x:v>45</x:v>
      </x:c>
      <x:c r="G5475" s="0" t="s">
        <x:v>19</x:v>
      </x:c>
      <x:c r="H5475" s="0" t="s">
        <x:v>20</x:v>
      </x:c>
      <x:c r="I5475" s="0" t="s">
        <x:v>21</x:v>
      </x:c>
      <x:c r="K5475" s="0">
        <x:f>hyperlink("https://icd.who.int/dev11/l-ichi/en#/http%3A%2F%2Fid.who.int%2Ficd%2Fentity%2F2047285003","browser")</x:f>
      </x:c>
      <x:c r="L5475" s="0">
        <x:f>hyperlink("https://icat2.azurewebsites.net/icat/?ontology=ICD&amp;tab=ClassesTab&amp;id=http%3A%2F%2Fwho.int%2Ficd%2330441_512ebf36_bf6b_4d70_85da_cf2637062af4","iCat")</x:f>
      </x:c>
      <x:c r="M5475" s="0" t="s">
        <x:v>21</x:v>
      </x:c>
      <x:c r="N5475" s="0" t="s">
        <x:v>46</x:v>
      </x:c>
    </x:row>
    <x:row r="5476" spans="1:16">
      <x:c r="A5476" s="0" t="s">
        <x:v>21757</x:v>
      </x:c>
      <x:c r="B5476" s="0" t="s">
        <x:v>21758</x:v>
      </x:c>
      <x:c r="C5476" s="0" t="s">
        <x:v>21759</x:v>
      </x:c>
      <x:c r="E5476" s="0" t="s">
        <x:v>21760</x:v>
      </x:c>
      <x:c r="F5476" s="0" t="s">
        <x:v>45</x:v>
      </x:c>
      <x:c r="G5476" s="0" t="s">
        <x:v>19</x:v>
      </x:c>
      <x:c r="H5476" s="0" t="s">
        <x:v>20</x:v>
      </x:c>
      <x:c r="I5476" s="0" t="s">
        <x:v>21</x:v>
      </x:c>
      <x:c r="K5476" s="0">
        <x:f>hyperlink("https://icd.who.int/dev11/l-ichi/en#/http%3A%2F%2Fid.who.int%2Ficd%2Fentity%2F343872610","browser")</x:f>
      </x:c>
      <x:c r="L5476" s="0">
        <x:f>hyperlink("https://icat2.azurewebsites.net/icat/?ontology=ICD&amp;tab=ClassesTab&amp;id=http%3A%2F%2Fwho.int%2Ficd%2330448_512ebf36_bf6b_4d70_85da_cf2637062af4","iCat")</x:f>
      </x:c>
      <x:c r="M5476" s="0" t="s">
        <x:v>21</x:v>
      </x:c>
      <x:c r="N5476" s="0" t="s">
        <x:v>46</x:v>
      </x:c>
    </x:row>
    <x:row r="5477" spans="1:16">
      <x:c r="A5477" s="0" t="s">
        <x:v>21761</x:v>
      </x:c>
      <x:c r="B5477" s="0" t="s">
        <x:v>21762</x:v>
      </x:c>
      <x:c r="C5477" s="0" t="s">
        <x:v>21763</x:v>
      </x:c>
      <x:c r="E5477" s="0" t="s">
        <x:v>21764</x:v>
      </x:c>
      <x:c r="F5477" s="0" t="s">
        <x:v>45</x:v>
      </x:c>
      <x:c r="G5477" s="0" t="s">
        <x:v>19</x:v>
      </x:c>
      <x:c r="H5477" s="0" t="s">
        <x:v>20</x:v>
      </x:c>
      <x:c r="I5477" s="0" t="s">
        <x:v>21</x:v>
      </x:c>
      <x:c r="K5477" s="0">
        <x:f>hyperlink("https://icd.who.int/dev11/l-ichi/en#/http%3A%2F%2Fid.who.int%2Ficd%2Fentity%2F633685544","browser")</x:f>
      </x:c>
      <x:c r="L5477" s="0">
        <x:f>hyperlink("https://icat2.azurewebsites.net/icat/?ontology=ICD&amp;tab=ClassesTab&amp;id=http%3A%2F%2Fwho.int%2Ficd%2330455_512ebf36_bf6b_4d70_85da_cf2637062af4","iCat")</x:f>
      </x:c>
      <x:c r="M5477" s="0" t="s">
        <x:v>21</x:v>
      </x:c>
      <x:c r="N5477" s="0" t="s">
        <x:v>46</x:v>
      </x:c>
    </x:row>
    <x:row r="5478" spans="1:16">
      <x:c r="A5478" s="0" t="s">
        <x:v>21765</x:v>
      </x:c>
      <x:c r="B5478" s="0" t="s">
        <x:v>21766</x:v>
      </x:c>
      <x:c r="C5478" s="0" t="s">
        <x:v>21767</x:v>
      </x:c>
      <x:c r="E5478" s="0" t="s">
        <x:v>21768</x:v>
      </x:c>
      <x:c r="F5478" s="0" t="s">
        <x:v>45</x:v>
      </x:c>
      <x:c r="G5478" s="0" t="s">
        <x:v>19</x:v>
      </x:c>
      <x:c r="H5478" s="0" t="s">
        <x:v>20</x:v>
      </x:c>
      <x:c r="I5478" s="0" t="s">
        <x:v>21</x:v>
      </x:c>
      <x:c r="K5478" s="0">
        <x:f>hyperlink("https://icd.who.int/dev11/l-ichi/en#/http%3A%2F%2Fid.who.int%2Ficd%2Fentity%2F1702102575","browser")</x:f>
      </x:c>
      <x:c r="L5478" s="0">
        <x:f>hyperlink("https://icat2.azurewebsites.net/icat/?ontology=ICD&amp;tab=ClassesTab&amp;id=http%3A%2F%2Fwho.int%2Ficd%2330465_512ebf36_bf6b_4d70_85da_cf2637062af4","iCat")</x:f>
      </x:c>
      <x:c r="M5478" s="0" t="s">
        <x:v>21</x:v>
      </x:c>
      <x:c r="N5478" s="0" t="s">
        <x:v>46</x:v>
      </x:c>
    </x:row>
    <x:row r="5479" spans="1:16">
      <x:c r="A5479" s="0" t="s">
        <x:v>21769</x:v>
      </x:c>
      <x:c r="B5479" s="0" t="s">
        <x:v>21770</x:v>
      </x:c>
      <x:c r="C5479" s="0" t="s">
        <x:v>21771</x:v>
      </x:c>
      <x:c r="E5479" s="0" t="s">
        <x:v>21772</x:v>
      </x:c>
      <x:c r="F5479" s="0" t="s">
        <x:v>45</x:v>
      </x:c>
      <x:c r="G5479" s="0" t="s">
        <x:v>19</x:v>
      </x:c>
      <x:c r="H5479" s="0" t="s">
        <x:v>20</x:v>
      </x:c>
      <x:c r="I5479" s="0" t="s">
        <x:v>21</x:v>
      </x:c>
      <x:c r="K5479" s="0">
        <x:f>hyperlink("https://icd.who.int/dev11/l-ichi/en#/http%3A%2F%2Fid.who.int%2Ficd%2Fentity%2F2134063349","browser")</x:f>
      </x:c>
      <x:c r="L5479" s="0">
        <x:f>hyperlink("https://icat2.azurewebsites.net/icat/?ontology=ICD&amp;tab=ClassesTab&amp;id=http%3A%2F%2Fwho.int%2Ficd%2330472_512ebf36_bf6b_4d70_85da_cf2637062af4","iCat")</x:f>
      </x:c>
      <x:c r="M5479" s="0" t="s">
        <x:v>21</x:v>
      </x:c>
      <x:c r="N5479" s="0" t="s">
        <x:v>46</x:v>
      </x:c>
    </x:row>
    <x:row r="5480" spans="1:16">
      <x:c r="A5480" s="0" t="s">
        <x:v>21773</x:v>
      </x:c>
      <x:c r="B5480" s="0" t="s">
        <x:v>21774</x:v>
      </x:c>
      <x:c r="C5480" s="0" t="s">
        <x:v>21775</x:v>
      </x:c>
      <x:c r="E5480" s="0" t="s">
        <x:v>21776</x:v>
      </x:c>
      <x:c r="F5480" s="0" t="s">
        <x:v>45</x:v>
      </x:c>
      <x:c r="G5480" s="0" t="s">
        <x:v>19</x:v>
      </x:c>
      <x:c r="H5480" s="0" t="s">
        <x:v>20</x:v>
      </x:c>
      <x:c r="I5480" s="0" t="s">
        <x:v>21</x:v>
      </x:c>
      <x:c r="K5480" s="0">
        <x:f>hyperlink("https://icd.who.int/dev11/l-ichi/en#/http%3A%2F%2Fid.who.int%2Ficd%2Fentity%2F542562728","browser")</x:f>
      </x:c>
      <x:c r="L5480" s="0">
        <x:f>hyperlink("https://icat2.azurewebsites.net/icat/?ontology=ICD&amp;tab=ClassesTab&amp;id=http%3A%2F%2Fwho.int%2Ficd%2330485_512ebf36_bf6b_4d70_85da_cf2637062af4","iCat")</x:f>
      </x:c>
      <x:c r="M5480" s="0" t="s">
        <x:v>21</x:v>
      </x:c>
      <x:c r="N5480" s="0" t="s">
        <x:v>46</x:v>
      </x:c>
    </x:row>
    <x:row r="5481" spans="1:16">
      <x:c r="A5481" s="0" t="s">
        <x:v>21777</x:v>
      </x:c>
      <x:c r="B5481" s="0" t="s">
        <x:v>21778</x:v>
      </x:c>
      <x:c r="C5481" s="0" t="s">
        <x:v>21779</x:v>
      </x:c>
      <x:c r="E5481" s="0" t="s">
        <x:v>21780</x:v>
      </x:c>
      <x:c r="F5481" s="0" t="s">
        <x:v>45</x:v>
      </x:c>
      <x:c r="G5481" s="0" t="s">
        <x:v>19</x:v>
      </x:c>
      <x:c r="H5481" s="0" t="s">
        <x:v>20</x:v>
      </x:c>
      <x:c r="I5481" s="0" t="s">
        <x:v>21</x:v>
      </x:c>
      <x:c r="K5481" s="0">
        <x:f>hyperlink("https://icd.who.int/dev11/l-ichi/en#/http%3A%2F%2Fid.who.int%2Ficd%2Fentity%2F974251902","browser")</x:f>
      </x:c>
      <x:c r="L5481" s="0">
        <x:f>hyperlink("https://icat2.azurewebsites.net/icat/?ontology=ICD&amp;tab=ClassesTab&amp;id=http%3A%2F%2Fwho.int%2Ficd%2330492_512ebf36_bf6b_4d70_85da_cf2637062af4","iCat")</x:f>
      </x:c>
      <x:c r="M5481" s="0" t="s">
        <x:v>21</x:v>
      </x:c>
      <x:c r="N5481" s="0" t="s">
        <x:v>46</x:v>
      </x:c>
    </x:row>
    <x:row r="5482" spans="1:16">
      <x:c r="A5482" s="0" t="s">
        <x:v>21781</x:v>
      </x:c>
      <x:c r="B5482" s="0" t="s">
        <x:v>21782</x:v>
      </x:c>
      <x:c r="C5482" s="0" t="s">
        <x:v>21783</x:v>
      </x:c>
      <x:c r="E5482" s="0" t="s">
        <x:v>21784</x:v>
      </x:c>
      <x:c r="F5482" s="0" t="s">
        <x:v>45</x:v>
      </x:c>
      <x:c r="G5482" s="0" t="s">
        <x:v>19</x:v>
      </x:c>
      <x:c r="H5482" s="0" t="s">
        <x:v>20</x:v>
      </x:c>
      <x:c r="I5482" s="0" t="s">
        <x:v>21</x:v>
      </x:c>
      <x:c r="K5482" s="0">
        <x:f>hyperlink("https://icd.who.int/dev11/l-ichi/en#/http%3A%2F%2Fid.who.int%2Ficd%2Fentity%2F367258493","browser")</x:f>
      </x:c>
      <x:c r="L5482" s="0">
        <x:f>hyperlink("https://icat2.azurewebsites.net/icat/?ontology=ICD&amp;tab=ClassesTab&amp;id=http%3A%2F%2Fwho.int%2Ficd%23878_bf15315e_f1c5_45f6_9637_651657d70d50","iCat")</x:f>
      </x:c>
      <x:c r="M5482" s="0" t="s">
        <x:v>21</x:v>
      </x:c>
      <x:c r="N5482" s="0" t="s">
        <x:v>46</x:v>
      </x:c>
    </x:row>
    <x:row r="5483" spans="1:16">
      <x:c r="A5483" s="0" t="s">
        <x:v>21785</x:v>
      </x:c>
      <x:c r="B5483" s="0" t="s">
        <x:v>21786</x:v>
      </x:c>
      <x:c r="C5483" s="0" t="s">
        <x:v>21787</x:v>
      </x:c>
      <x:c r="E5483" s="0" t="s">
        <x:v>21788</x:v>
      </x:c>
      <x:c r="F5483" s="0" t="s">
        <x:v>45</x:v>
      </x:c>
      <x:c r="G5483" s="0" t="s">
        <x:v>19</x:v>
      </x:c>
      <x:c r="H5483" s="0" t="s">
        <x:v>20</x:v>
      </x:c>
      <x:c r="I5483" s="0" t="s">
        <x:v>21</x:v>
      </x:c>
      <x:c r="K5483" s="0">
        <x:f>hyperlink("https://icd.who.int/dev11/l-ichi/en#/http%3A%2F%2Fid.who.int%2Ficd%2Fentity%2F507528609","browser")</x:f>
      </x:c>
      <x:c r="L5483" s="0">
        <x:f>hyperlink("https://icat2.azurewebsites.net/icat/?ontology=ICD&amp;tab=ClassesTab&amp;id=http%3A%2F%2Fwho.int%2Ficd%23890_bf15315e_f1c5_45f6_9637_651657d70d50","iCat")</x:f>
      </x:c>
      <x:c r="M5483" s="0" t="s">
        <x:v>21</x:v>
      </x:c>
      <x:c r="N5483" s="0" t="s">
        <x:v>46</x:v>
      </x:c>
    </x:row>
    <x:row r="5484" spans="1:16">
      <x:c r="A5484" s="0" t="s">
        <x:v>21789</x:v>
      </x:c>
      <x:c r="B5484" s="0" t="s">
        <x:v>21790</x:v>
      </x:c>
      <x:c r="C5484" s="0" t="s">
        <x:v>21791</x:v>
      </x:c>
      <x:c r="E5484" s="0" t="s">
        <x:v>21792</x:v>
      </x:c>
      <x:c r="F5484" s="0" t="s">
        <x:v>45</x:v>
      </x:c>
      <x:c r="G5484" s="0" t="s">
        <x:v>19</x:v>
      </x:c>
      <x:c r="H5484" s="0" t="s">
        <x:v>20</x:v>
      </x:c>
      <x:c r="I5484" s="0" t="s">
        <x:v>21</x:v>
      </x:c>
      <x:c r="K5484" s="0">
        <x:f>hyperlink("https://icd.who.int/dev11/l-ichi/en#/http%3A%2F%2Fid.who.int%2Ficd%2Fentity%2F823523792","browser")</x:f>
      </x:c>
      <x:c r="L5484" s="0">
        <x:f>hyperlink("https://icat2.azurewebsites.net/icat/?ontology=ICD&amp;tab=ClassesTab&amp;id=http%3A%2F%2Fwho.int%2Ficd%2330499_512ebf36_bf6b_4d70_85da_cf2637062af4","iCat")</x:f>
      </x:c>
      <x:c r="M5484" s="0" t="s">
        <x:v>21</x:v>
      </x:c>
      <x:c r="N5484" s="0" t="s">
        <x:v>46</x:v>
      </x:c>
    </x:row>
    <x:row r="5485" spans="1:16">
      <x:c r="A5485" s="0" t="s">
        <x:v>21793</x:v>
      </x:c>
      <x:c r="B5485" s="0" t="s">
        <x:v>21794</x:v>
      </x:c>
      <x:c r="C5485" s="0" t="s">
        <x:v>21795</x:v>
      </x:c>
      <x:c r="E5485" s="0" t="s">
        <x:v>21796</x:v>
      </x:c>
      <x:c r="F5485" s="0" t="s">
        <x:v>45</x:v>
      </x:c>
      <x:c r="G5485" s="0" t="s">
        <x:v>19</x:v>
      </x:c>
      <x:c r="H5485" s="0" t="s">
        <x:v>20</x:v>
      </x:c>
      <x:c r="I5485" s="0" t="s">
        <x:v>21</x:v>
      </x:c>
      <x:c r="K5485" s="0">
        <x:f>hyperlink("https://icd.who.int/dev11/l-ichi/en#/http%3A%2F%2Fid.who.int%2Ficd%2Fentity%2F1354725413","browser")</x:f>
      </x:c>
      <x:c r="L5485" s="0">
        <x:f>hyperlink("https://icat2.azurewebsites.net/icat/?ontology=ICD&amp;tab=ClassesTab&amp;id=http%3A%2F%2Fwho.int%2Ficd%2330512_512ebf36_bf6b_4d70_85da_cf2637062af4","iCat")</x:f>
      </x:c>
      <x:c r="M5485" s="0" t="s">
        <x:v>21</x:v>
      </x:c>
      <x:c r="N5485" s="0" t="s">
        <x:v>46</x:v>
      </x:c>
    </x:row>
    <x:row r="5486" spans="1:16">
      <x:c r="A5486" s="0" t="s">
        <x:v>21797</x:v>
      </x:c>
      <x:c r="B5486" s="0" t="s">
        <x:v>21798</x:v>
      </x:c>
      <x:c r="C5486" s="0" t="s">
        <x:v>21799</x:v>
      </x:c>
      <x:c r="E5486" s="0" t="s">
        <x:v>21800</x:v>
      </x:c>
      <x:c r="F5486" s="0" t="s">
        <x:v>45</x:v>
      </x:c>
      <x:c r="G5486" s="0" t="s">
        <x:v>19</x:v>
      </x:c>
      <x:c r="H5486" s="0" t="s">
        <x:v>20</x:v>
      </x:c>
      <x:c r="I5486" s="0" t="s">
        <x:v>21</x:v>
      </x:c>
      <x:c r="K5486" s="0">
        <x:f>hyperlink("https://icd.who.int/dev11/l-ichi/en#/http%3A%2F%2Fid.who.int%2Ficd%2Fentity%2F1970415079","browser")</x:f>
      </x:c>
      <x:c r="L5486" s="0">
        <x:f>hyperlink("https://icat2.azurewebsites.net/icat/?ontology=ICD&amp;tab=ClassesTab&amp;id=http%3A%2F%2Fwho.int%2Ficd%2330520_512ebf36_bf6b_4d70_85da_cf2637062af4","iCat")</x:f>
      </x:c>
      <x:c r="M5486" s="0" t="s">
        <x:v>21</x:v>
      </x:c>
      <x:c r="N5486" s="0" t="s">
        <x:v>46</x:v>
      </x:c>
    </x:row>
    <x:row r="5487" spans="1:16">
      <x:c r="A5487" s="0" t="s">
        <x:v>21801</x:v>
      </x:c>
      <x:c r="B5487" s="0" t="s">
        <x:v>21802</x:v>
      </x:c>
      <x:c r="C5487" s="0" t="s">
        <x:v>21803</x:v>
      </x:c>
      <x:c r="E5487" s="0" t="s">
        <x:v>21804</x:v>
      </x:c>
      <x:c r="F5487" s="0" t="s">
        <x:v>45</x:v>
      </x:c>
      <x:c r="G5487" s="0" t="s">
        <x:v>19</x:v>
      </x:c>
      <x:c r="H5487" s="0" t="s">
        <x:v>20</x:v>
      </x:c>
      <x:c r="I5487" s="0" t="s">
        <x:v>21</x:v>
      </x:c>
      <x:c r="K5487" s="0">
        <x:f>hyperlink("https://icd.who.int/dev11/l-ichi/en#/http%3A%2F%2Fid.who.int%2Ficd%2Fentity%2F99651180","browser")</x:f>
      </x:c>
      <x:c r="L5487" s="0">
        <x:f>hyperlink("https://icat2.azurewebsites.net/icat/?ontology=ICD&amp;tab=ClassesTab&amp;id=http%3A%2F%2Fwho.int%2Ficd%2330527_512ebf36_bf6b_4d70_85da_cf2637062af4","iCat")</x:f>
      </x:c>
      <x:c r="M5487" s="0" t="s">
        <x:v>21</x:v>
      </x:c>
      <x:c r="N5487" s="0" t="s">
        <x:v>46</x:v>
      </x:c>
    </x:row>
    <x:row r="5488" spans="1:16">
      <x:c r="A5488" s="0" t="s">
        <x:v>21805</x:v>
      </x:c>
      <x:c r="B5488" s="0" t="s">
        <x:v>21806</x:v>
      </x:c>
      <x:c r="C5488" s="0" t="s">
        <x:v>21807</x:v>
      </x:c>
      <x:c r="E5488" s="0" t="s">
        <x:v>21808</x:v>
      </x:c>
      <x:c r="F5488" s="0" t="s">
        <x:v>45</x:v>
      </x:c>
      <x:c r="G5488" s="0" t="s">
        <x:v>19</x:v>
      </x:c>
      <x:c r="H5488" s="0" t="s">
        <x:v>20</x:v>
      </x:c>
      <x:c r="I5488" s="0" t="s">
        <x:v>21</x:v>
      </x:c>
      <x:c r="K5488" s="0">
        <x:f>hyperlink("https://icd.who.int/dev11/l-ichi/en#/http%3A%2F%2Fid.who.int%2Ficd%2Fentity%2F716207300","browser")</x:f>
      </x:c>
      <x:c r="L5488" s="0">
        <x:f>hyperlink("https://icat2.azurewebsites.net/icat/?ontology=ICD&amp;tab=ClassesTab&amp;id=http%3A%2F%2Fwho.int%2Ficd%2330534_512ebf36_bf6b_4d70_85da_cf2637062af4","iCat")</x:f>
      </x:c>
      <x:c r="M5488" s="0" t="s">
        <x:v>21</x:v>
      </x:c>
      <x:c r="N5488" s="0" t="s">
        <x:v>46</x:v>
      </x:c>
    </x:row>
    <x:row r="5489" spans="1:16">
      <x:c r="A5489" s="0" t="s">
        <x:v>21809</x:v>
      </x:c>
      <x:c r="B5489" s="0" t="s">
        <x:v>21810</x:v>
      </x:c>
      <x:c r="C5489" s="0" t="s">
        <x:v>21811</x:v>
      </x:c>
      <x:c r="E5489" s="0" t="s">
        <x:v>21812</x:v>
      </x:c>
      <x:c r="F5489" s="0" t="s">
        <x:v>45</x:v>
      </x:c>
      <x:c r="G5489" s="0" t="s">
        <x:v>19</x:v>
      </x:c>
      <x:c r="H5489" s="0" t="s">
        <x:v>20</x:v>
      </x:c>
      <x:c r="I5489" s="0" t="s">
        <x:v>21</x:v>
      </x:c>
      <x:c r="K5489" s="0">
        <x:f>hyperlink("https://icd.who.int/dev11/l-ichi/en#/http%3A%2F%2Fid.who.int%2Ficd%2Fentity%2F261673368","browser")</x:f>
      </x:c>
      <x:c r="L5489" s="0">
        <x:f>hyperlink("https://icat2.azurewebsites.net/icat/?ontology=ICD&amp;tab=ClassesTab&amp;id=http%3A%2F%2Fwho.int%2Ficd%2330541_512ebf36_bf6b_4d70_85da_cf2637062af4","iCat")</x:f>
      </x:c>
      <x:c r="M5489" s="0" t="s">
        <x:v>21</x:v>
      </x:c>
      <x:c r="N5489" s="0" t="s">
        <x:v>46</x:v>
      </x:c>
    </x:row>
    <x:row r="5490" spans="1:16">
      <x:c r="A5490" s="0" t="s">
        <x:v>21813</x:v>
      </x:c>
      <x:c r="B5490" s="0" t="s">
        <x:v>21814</x:v>
      </x:c>
      <x:c r="C5490" s="0" t="s">
        <x:v>21815</x:v>
      </x:c>
      <x:c r="E5490" s="0" t="s">
        <x:v>21816</x:v>
      </x:c>
      <x:c r="F5490" s="0" t="s">
        <x:v>45</x:v>
      </x:c>
      <x:c r="G5490" s="0" t="s">
        <x:v>19</x:v>
      </x:c>
      <x:c r="H5490" s="0" t="s">
        <x:v>20</x:v>
      </x:c>
      <x:c r="I5490" s="0" t="s">
        <x:v>21</x:v>
      </x:c>
      <x:c r="K5490" s="0">
        <x:f>hyperlink("https://icd.who.int/dev11/l-ichi/en#/http%3A%2F%2Fid.who.int%2Ficd%2Fentity%2F1092198595","browser")</x:f>
      </x:c>
      <x:c r="L5490" s="0">
        <x:f>hyperlink("https://icat2.azurewebsites.net/icat/?ontology=ICD&amp;tab=ClassesTab&amp;id=http%3A%2F%2Fwho.int%2Ficd%2330549_512ebf36_bf6b_4d70_85da_cf2637062af4","iCat")</x:f>
      </x:c>
      <x:c r="M5490" s="0" t="s">
        <x:v>21</x:v>
      </x:c>
      <x:c r="N5490" s="0" t="s">
        <x:v>46</x:v>
      </x:c>
    </x:row>
    <x:row r="5491" spans="1:16">
      <x:c r="A5491" s="0" t="s">
        <x:v>21817</x:v>
      </x:c>
      <x:c r="B5491" s="0" t="s">
        <x:v>21818</x:v>
      </x:c>
      <x:c r="C5491" s="0" t="s">
        <x:v>21819</x:v>
      </x:c>
      <x:c r="E5491" s="0" t="s">
        <x:v>21820</x:v>
      </x:c>
      <x:c r="F5491" s="0" t="s">
        <x:v>45</x:v>
      </x:c>
      <x:c r="G5491" s="0" t="s">
        <x:v>19</x:v>
      </x:c>
      <x:c r="H5491" s="0" t="s">
        <x:v>20</x:v>
      </x:c>
      <x:c r="I5491" s="0" t="s">
        <x:v>21</x:v>
      </x:c>
      <x:c r="K5491" s="0">
        <x:f>hyperlink("https://icd.who.int/dev11/l-ichi/en#/http%3A%2F%2Fid.who.int%2Ficd%2Fentity%2F366997326","browser")</x:f>
      </x:c>
      <x:c r="L5491" s="0">
        <x:f>hyperlink("https://icat2.azurewebsites.net/icat/?ontology=ICD&amp;tab=ClassesTab&amp;id=http%3A%2F%2Fwho.int%2Ficd%2330556_512ebf36_bf6b_4d70_85da_cf2637062af4","iCat")</x:f>
      </x:c>
      <x:c r="M5491" s="0" t="s">
        <x:v>21</x:v>
      </x:c>
      <x:c r="N5491" s="0" t="s">
        <x:v>46</x:v>
      </x:c>
    </x:row>
    <x:row r="5492" spans="1:16">
      <x:c r="A5492" s="0" t="s">
        <x:v>21821</x:v>
      </x:c>
      <x:c r="B5492" s="0" t="s">
        <x:v>21822</x:v>
      </x:c>
      <x:c r="C5492" s="0" t="s">
        <x:v>21823</x:v>
      </x:c>
      <x:c r="E5492" s="0" t="s">
        <x:v>21824</x:v>
      </x:c>
      <x:c r="F5492" s="0" t="s">
        <x:v>45</x:v>
      </x:c>
      <x:c r="G5492" s="0" t="s">
        <x:v>19</x:v>
      </x:c>
      <x:c r="H5492" s="0" t="s">
        <x:v>20</x:v>
      </x:c>
      <x:c r="I5492" s="0" t="s">
        <x:v>21</x:v>
      </x:c>
      <x:c r="K5492" s="0">
        <x:f>hyperlink("https://icd.who.int/dev11/l-ichi/en#/http%3A%2F%2Fid.who.int%2Ficd%2Fentity%2F1083185411","browser")</x:f>
      </x:c>
      <x:c r="L5492" s="0">
        <x:f>hyperlink("https://icat2.azurewebsites.net/icat/?ontology=ICD&amp;tab=ClassesTab&amp;id=http%3A%2F%2Fwho.int%2Ficd%2330563_512ebf36_bf6b_4d70_85da_cf2637062af4","iCat")</x:f>
      </x:c>
      <x:c r="M5492" s="0" t="s">
        <x:v>21</x:v>
      </x:c>
      <x:c r="N5492" s="0" t="s">
        <x:v>46</x:v>
      </x:c>
    </x:row>
    <x:row r="5493" spans="1:16">
      <x:c r="A5493" s="0" t="s">
        <x:v>21825</x:v>
      </x:c>
      <x:c r="B5493" s="0" t="s">
        <x:v>21826</x:v>
      </x:c>
      <x:c r="C5493" s="0" t="s">
        <x:v>21827</x:v>
      </x:c>
      <x:c r="E5493" s="0" t="s">
        <x:v>21828</x:v>
      </x:c>
      <x:c r="F5493" s="0" t="s">
        <x:v>45</x:v>
      </x:c>
      <x:c r="G5493" s="0" t="s">
        <x:v>19</x:v>
      </x:c>
      <x:c r="H5493" s="0" t="s">
        <x:v>20</x:v>
      </x:c>
      <x:c r="I5493" s="0" t="s">
        <x:v>21</x:v>
      </x:c>
      <x:c r="K5493" s="0">
        <x:f>hyperlink("https://icd.who.int/dev11/l-ichi/en#/http%3A%2F%2Fid.who.int%2Ficd%2Fentity%2F589902334","browser")</x:f>
      </x:c>
      <x:c r="L5493" s="0">
        <x:f>hyperlink("https://icat2.azurewebsites.net/icat/?ontology=ICD&amp;tab=ClassesTab&amp;id=http%3A%2F%2Fwho.int%2Ficd%2314921_4869915e_217e_423d_acb3_33c0f920ef4b","iCat")</x:f>
      </x:c>
      <x:c r="M5493" s="0" t="s">
        <x:v>21</x:v>
      </x:c>
      <x:c r="N5493" s="0" t="s">
        <x:v>46</x:v>
      </x:c>
    </x:row>
    <x:row r="5494" spans="1:16">
      <x:c r="A5494" s="0" t="s">
        <x:v>21829</x:v>
      </x:c>
      <x:c r="B5494" s="0" t="s">
        <x:v>21830</x:v>
      </x:c>
      <x:c r="C5494" s="0" t="s">
        <x:v>21831</x:v>
      </x:c>
      <x:c r="E5494" s="0" t="s">
        <x:v>21832</x:v>
      </x:c>
      <x:c r="F5494" s="0" t="s">
        <x:v>45</x:v>
      </x:c>
      <x:c r="G5494" s="0" t="s">
        <x:v>19</x:v>
      </x:c>
      <x:c r="H5494" s="0" t="s">
        <x:v>20</x:v>
      </x:c>
      <x:c r="I5494" s="0" t="s">
        <x:v>21</x:v>
      </x:c>
      <x:c r="K5494" s="0">
        <x:f>hyperlink("https://icd.who.int/dev11/l-ichi/en#/http%3A%2F%2Fid.who.int%2Ficd%2Fentity%2F1875960749","browser")</x:f>
      </x:c>
      <x:c r="L5494" s="0">
        <x:f>hyperlink("https://icat2.azurewebsites.net/icat/?ontology=ICD&amp;tab=ClassesTab&amp;id=http%3A%2F%2Fwho.int%2Ficd%2330570_512ebf36_bf6b_4d70_85da_cf2637062af4","iCat")</x:f>
      </x:c>
      <x:c r="M5494" s="0" t="s">
        <x:v>21</x:v>
      </x:c>
      <x:c r="N5494" s="0" t="s">
        <x:v>46</x:v>
      </x:c>
    </x:row>
    <x:row r="5495" spans="1:16">
      <x:c r="A5495" s="0" t="s">
        <x:v>21833</x:v>
      </x:c>
      <x:c r="B5495" s="0" t="s">
        <x:v>21834</x:v>
      </x:c>
      <x:c r="C5495" s="0" t="s">
        <x:v>21835</x:v>
      </x:c>
      <x:c r="E5495" s="0" t="s">
        <x:v>21836</x:v>
      </x:c>
      <x:c r="F5495" s="0" t="s">
        <x:v>45</x:v>
      </x:c>
      <x:c r="G5495" s="0" t="s">
        <x:v>19</x:v>
      </x:c>
      <x:c r="H5495" s="0" t="s">
        <x:v>20</x:v>
      </x:c>
      <x:c r="I5495" s="0" t="s">
        <x:v>21</x:v>
      </x:c>
      <x:c r="K5495" s="0">
        <x:f>hyperlink("https://icd.who.int/dev11/l-ichi/en#/http%3A%2F%2Fid.who.int%2Ficd%2Fentity%2F558994170","browser")</x:f>
      </x:c>
      <x:c r="L5495" s="0">
        <x:f>hyperlink("https://icat2.azurewebsites.net/icat/?ontology=ICD&amp;tab=ClassesTab&amp;id=http%3A%2F%2Fwho.int%2Ficd%2330578_512ebf36_bf6b_4d70_85da_cf2637062af4","iCat")</x:f>
      </x:c>
      <x:c r="M5495" s="0" t="s">
        <x:v>21</x:v>
      </x:c>
      <x:c r="N5495" s="0" t="s">
        <x:v>46</x:v>
      </x:c>
    </x:row>
    <x:row r="5496" spans="1:16">
      <x:c r="A5496" s="0" t="s">
        <x:v>21837</x:v>
      </x:c>
      <x:c r="B5496" s="0" t="s">
        <x:v>21838</x:v>
      </x:c>
      <x:c r="C5496" s="0" t="s">
        <x:v>21839</x:v>
      </x:c>
      <x:c r="E5496" s="0" t="s">
        <x:v>21840</x:v>
      </x:c>
      <x:c r="F5496" s="0" t="s">
        <x:v>45</x:v>
      </x:c>
      <x:c r="G5496" s="0" t="s">
        <x:v>19</x:v>
      </x:c>
      <x:c r="H5496" s="0" t="s">
        <x:v>20</x:v>
      </x:c>
      <x:c r="I5496" s="0" t="s">
        <x:v>21</x:v>
      </x:c>
      <x:c r="K5496" s="0">
        <x:f>hyperlink("https://icd.who.int/dev11/l-ichi/en#/http%3A%2F%2Fid.who.int%2Ficd%2Fentity%2F1439244091","browser")</x:f>
      </x:c>
      <x:c r="L5496" s="0">
        <x:f>hyperlink("https://icat2.azurewebsites.net/icat/?ontology=ICD&amp;tab=ClassesTab&amp;id=http%3A%2F%2Fwho.int%2Ficd%2330585_512ebf36_bf6b_4d70_85da_cf2637062af4","iCat")</x:f>
      </x:c>
      <x:c r="M5496" s="0" t="s">
        <x:v>21</x:v>
      </x:c>
      <x:c r="N5496" s="0" t="s">
        <x:v>46</x:v>
      </x:c>
    </x:row>
    <x:row r="5497" spans="1:16">
      <x:c r="A5497" s="0" t="s">
        <x:v>21841</x:v>
      </x:c>
      <x:c r="B5497" s="0" t="s">
        <x:v>21842</x:v>
      </x:c>
      <x:c r="C5497" s="0" t="s">
        <x:v>21843</x:v>
      </x:c>
      <x:c r="E5497" s="0" t="s">
        <x:v>21844</x:v>
      </x:c>
      <x:c r="F5497" s="0" t="s">
        <x:v>45</x:v>
      </x:c>
      <x:c r="G5497" s="0" t="s">
        <x:v>19</x:v>
      </x:c>
      <x:c r="H5497" s="0" t="s">
        <x:v>20</x:v>
      </x:c>
      <x:c r="I5497" s="0" t="s">
        <x:v>21</x:v>
      </x:c>
      <x:c r="K5497" s="0">
        <x:f>hyperlink("https://icd.who.int/dev11/l-ichi/en#/http%3A%2F%2Fid.who.int%2Ficd%2Fentity%2F1334714849","browser")</x:f>
      </x:c>
      <x:c r="L5497" s="0">
        <x:f>hyperlink("https://icat2.azurewebsites.net/icat/?ontology=ICD&amp;tab=ClassesTab&amp;id=http%3A%2F%2Fwho.int%2Ficd%2330592_512ebf36_bf6b_4d70_85da_cf2637062af4","iCat")</x:f>
      </x:c>
      <x:c r="M5497" s="0" t="s">
        <x:v>21</x:v>
      </x:c>
      <x:c r="N5497" s="0" t="s">
        <x:v>46</x:v>
      </x:c>
    </x:row>
    <x:row r="5498" spans="1:16">
      <x:c r="A5498" s="0" t="s">
        <x:v>21845</x:v>
      </x:c>
      <x:c r="B5498" s="0" t="s">
        <x:v>21846</x:v>
      </x:c>
      <x:c r="C5498" s="0" t="s">
        <x:v>21847</x:v>
      </x:c>
      <x:c r="E5498" s="0" t="s">
        <x:v>21848</x:v>
      </x:c>
      <x:c r="F5498" s="0" t="s">
        <x:v>45</x:v>
      </x:c>
      <x:c r="G5498" s="0" t="s">
        <x:v>19</x:v>
      </x:c>
      <x:c r="H5498" s="0" t="s">
        <x:v>20</x:v>
      </x:c>
      <x:c r="I5498" s="0" t="s">
        <x:v>21</x:v>
      </x:c>
      <x:c r="K5498" s="0">
        <x:f>hyperlink("https://icd.who.int/dev11/l-ichi/en#/http%3A%2F%2Fid.who.int%2Ficd%2Fentity%2F1529174315","browser")</x:f>
      </x:c>
      <x:c r="L5498" s="0">
        <x:f>hyperlink("https://icat2.azurewebsites.net/icat/?ontology=ICD&amp;tab=ClassesTab&amp;id=http%3A%2F%2Fwho.int%2Ficd%2330602_512ebf36_bf6b_4d70_85da_cf2637062af4","iCat")</x:f>
      </x:c>
      <x:c r="M5498" s="0" t="s">
        <x:v>21</x:v>
      </x:c>
      <x:c r="N5498" s="0" t="s">
        <x:v>46</x:v>
      </x:c>
    </x:row>
    <x:row r="5499" spans="1:16">
      <x:c r="A5499" s="0" t="s">
        <x:v>21849</x:v>
      </x:c>
      <x:c r="B5499" s="0" t="s">
        <x:v>21850</x:v>
      </x:c>
      <x:c r="C5499" s="0" t="s">
        <x:v>21851</x:v>
      </x:c>
      <x:c r="E5499" s="0" t="s">
        <x:v>21852</x:v>
      </x:c>
      <x:c r="F5499" s="0" t="s">
        <x:v>45</x:v>
      </x:c>
      <x:c r="G5499" s="0" t="s">
        <x:v>19</x:v>
      </x:c>
      <x:c r="H5499" s="0" t="s">
        <x:v>20</x:v>
      </x:c>
      <x:c r="I5499" s="0" t="s">
        <x:v>21</x:v>
      </x:c>
      <x:c r="K5499" s="0">
        <x:f>hyperlink("https://icd.who.int/dev11/l-ichi/en#/http%3A%2F%2Fid.who.int%2Ficd%2Fentity%2F1952818053","browser")</x:f>
      </x:c>
      <x:c r="L5499" s="0">
        <x:f>hyperlink("https://icat2.azurewebsites.net/icat/?ontology=ICD&amp;tab=ClassesTab&amp;id=http%3A%2F%2Fwho.int%2Ficd%2330611_512ebf36_bf6b_4d70_85da_cf2637062af4","iCat")</x:f>
      </x:c>
      <x:c r="M5499" s="0" t="s">
        <x:v>21</x:v>
      </x:c>
      <x:c r="N5499" s="0" t="s">
        <x:v>46</x:v>
      </x:c>
    </x:row>
    <x:row r="5500" spans="1:16">
      <x:c r="A5500" s="0" t="s">
        <x:v>21853</x:v>
      </x:c>
      <x:c r="B5500" s="0" t="s">
        <x:v>21854</x:v>
      </x:c>
      <x:c r="C5500" s="0" t="s">
        <x:v>21855</x:v>
      </x:c>
      <x:c r="E5500" s="0" t="s">
        <x:v>21856</x:v>
      </x:c>
      <x:c r="F5500" s="0" t="s">
        <x:v>45</x:v>
      </x:c>
      <x:c r="G5500" s="0" t="s">
        <x:v>19</x:v>
      </x:c>
      <x:c r="H5500" s="0" t="s">
        <x:v>20</x:v>
      </x:c>
      <x:c r="I5500" s="0" t="s">
        <x:v>21</x:v>
      </x:c>
      <x:c r="K5500" s="0">
        <x:f>hyperlink("https://icd.who.int/dev11/l-ichi/en#/http%3A%2F%2Fid.who.int%2Ficd%2Fentity%2F438149358","browser")</x:f>
      </x:c>
      <x:c r="L5500" s="0">
        <x:f>hyperlink("https://icat2.azurewebsites.net/icat/?ontology=ICD&amp;tab=ClassesTab&amp;id=http%3A%2F%2Fwho.int%2Ficd%2330618_512ebf36_bf6b_4d70_85da_cf2637062af4","iCat")</x:f>
      </x:c>
      <x:c r="M5500" s="0" t="s">
        <x:v>21</x:v>
      </x:c>
      <x:c r="N5500" s="0" t="s">
        <x:v>46</x:v>
      </x:c>
    </x:row>
    <x:row r="5501" spans="1:16">
      <x:c r="A5501" s="0" t="s">
        <x:v>21857</x:v>
      </x:c>
      <x:c r="B5501" s="0" t="s">
        <x:v>21858</x:v>
      </x:c>
      <x:c r="C5501" s="0" t="s">
        <x:v>21859</x:v>
      </x:c>
      <x:c r="E5501" s="0" t="s">
        <x:v>21860</x:v>
      </x:c>
      <x:c r="F5501" s="0" t="s">
        <x:v>45</x:v>
      </x:c>
      <x:c r="G5501" s="0" t="s">
        <x:v>19</x:v>
      </x:c>
      <x:c r="H5501" s="0" t="s">
        <x:v>20</x:v>
      </x:c>
      <x:c r="I5501" s="0" t="s">
        <x:v>21</x:v>
      </x:c>
      <x:c r="K5501" s="0">
        <x:f>hyperlink("https://icd.who.int/dev11/l-ichi/en#/http%3A%2F%2Fid.who.int%2Ficd%2Fentity%2F30615542","browser")</x:f>
      </x:c>
      <x:c r="L5501" s="0">
        <x:f>hyperlink("https://icat2.azurewebsites.net/icat/?ontology=ICD&amp;tab=ClassesTab&amp;id=http%3A%2F%2Fwho.int%2Ficd%2330625_512ebf36_bf6b_4d70_85da_cf2637062af4","iCat")</x:f>
      </x:c>
      <x:c r="M5501" s="0" t="s">
        <x:v>21</x:v>
      </x:c>
      <x:c r="N5501" s="0" t="s">
        <x:v>46</x:v>
      </x:c>
    </x:row>
    <x:row r="5502" spans="1:16">
      <x:c r="A5502" s="0" t="s">
        <x:v>21861</x:v>
      </x:c>
      <x:c r="B5502" s="0" t="s">
        <x:v>21862</x:v>
      </x:c>
      <x:c r="C5502" s="0" t="s">
        <x:v>21863</x:v>
      </x:c>
      <x:c r="E5502" s="0" t="s">
        <x:v>21864</x:v>
      </x:c>
      <x:c r="F5502" s="0" t="s">
        <x:v>45</x:v>
      </x:c>
      <x:c r="G5502" s="0" t="s">
        <x:v>19</x:v>
      </x:c>
      <x:c r="H5502" s="0" t="s">
        <x:v>20</x:v>
      </x:c>
      <x:c r="I5502" s="0" t="s">
        <x:v>21</x:v>
      </x:c>
      <x:c r="K5502" s="0">
        <x:f>hyperlink("https://icd.who.int/dev11/l-ichi/en#/http%3A%2F%2Fid.who.int%2Ficd%2Fentity%2F781442394","browser")</x:f>
      </x:c>
      <x:c r="L5502" s="0">
        <x:f>hyperlink("https://icat2.azurewebsites.net/icat/?ontology=ICD&amp;tab=ClassesTab&amp;id=http%3A%2F%2Fwho.int%2Ficd%2330636_512ebf36_bf6b_4d70_85da_cf2637062af4","iCat")</x:f>
      </x:c>
      <x:c r="M5502" s="0" t="s">
        <x:v>21</x:v>
      </x:c>
      <x:c r="N5502" s="0" t="s">
        <x:v>46</x:v>
      </x:c>
    </x:row>
    <x:row r="5503" spans="1:16">
      <x:c r="A5503" s="0" t="s">
        <x:v>21865</x:v>
      </x:c>
      <x:c r="B5503" s="0" t="s">
        <x:v>21866</x:v>
      </x:c>
      <x:c r="D5503" s="0" t="s">
        <x:v>21867</x:v>
      </x:c>
      <x:c r="E5503" s="0" t="s">
        <x:v>21868</x:v>
      </x:c>
      <x:c r="F5503" s="0" t="s">
        <x:v>26</x:v>
      </x:c>
      <x:c r="G5503" s="0" t="s">
        <x:v>22</x:v>
      </x:c>
      <x:c r="H5503" s="0" t="s">
        <x:v>20</x:v>
      </x:c>
      <x:c r="I5503" s="0" t="s">
        <x:v>21</x:v>
      </x:c>
      <x:c r="K5503" s="0">
        <x:f>hyperlink("https://icd.who.int/dev11/l-ichi/en#/http%3A%2F%2Fid.who.int%2Ficd%2Fentity%2F2067387271","browser")</x:f>
      </x:c>
      <x:c r="L5503" s="0">
        <x:f>hyperlink("https://icat2.azurewebsites.net/icat/?ontology=ICD&amp;tab=ClassesTab&amp;id=http%3A%2F%2Fwho.int%2Ficd%2330644_512ebf36_bf6b_4d70_85da_cf2637062af4","iCat")</x:f>
      </x:c>
      <x:c r="M5503" s="0" t="s">
        <x:v>20</x:v>
      </x:c>
      <x:c r="N5503" s="0" t="s">
        <x:v>903</x:v>
      </x:c>
    </x:row>
    <x:row r="5504" spans="1:16">
      <x:c r="A5504" s="0" t="s">
        <x:v>21869</x:v>
      </x:c>
      <x:c r="B5504" s="0" t="s">
        <x:v>21870</x:v>
      </x:c>
      <x:c r="C5504" s="0" t="s">
        <x:v>21871</x:v>
      </x:c>
      <x:c r="E5504" s="0" t="s">
        <x:v>21872</x:v>
      </x:c>
      <x:c r="F5504" s="0" t="s">
        <x:v>45</x:v>
      </x:c>
      <x:c r="G5504" s="0" t="s">
        <x:v>19</x:v>
      </x:c>
      <x:c r="H5504" s="0" t="s">
        <x:v>20</x:v>
      </x:c>
      <x:c r="I5504" s="0" t="s">
        <x:v>21</x:v>
      </x:c>
      <x:c r="K5504" s="0">
        <x:f>hyperlink("https://icd.who.int/dev11/l-ichi/en#/http%3A%2F%2Fid.who.int%2Ficd%2Fentity%2F1831385892","browser")</x:f>
      </x:c>
      <x:c r="L5504" s="0">
        <x:f>hyperlink("https://icat2.azurewebsites.net/icat/?ontology=ICD&amp;tab=ClassesTab&amp;id=http%3A%2F%2Fwho.int%2Ficd%232756_d85a204c_d00a_4566_a3b7_2d137a1891cf","iCat")</x:f>
      </x:c>
      <x:c r="M5504" s="0" t="s">
        <x:v>21</x:v>
      </x:c>
      <x:c r="N5504" s="0" t="s">
        <x:v>46</x:v>
      </x:c>
    </x:row>
    <x:row r="5505" spans="1:16">
      <x:c r="A5505" s="0" t="s">
        <x:v>21873</x:v>
      </x:c>
      <x:c r="B5505" s="0" t="s">
        <x:v>21874</x:v>
      </x:c>
      <x:c r="C5505" s="0" t="s">
        <x:v>21875</x:v>
      </x:c>
      <x:c r="E5505" s="0" t="s">
        <x:v>21876</x:v>
      </x:c>
      <x:c r="F5505" s="0" t="s">
        <x:v>45</x:v>
      </x:c>
      <x:c r="G5505" s="0" t="s">
        <x:v>19</x:v>
      </x:c>
      <x:c r="H5505" s="0" t="s">
        <x:v>20</x:v>
      </x:c>
      <x:c r="I5505" s="0" t="s">
        <x:v>21</x:v>
      </x:c>
      <x:c r="K5505" s="0">
        <x:f>hyperlink("https://icd.who.int/dev11/l-ichi/en#/http%3A%2F%2Fid.who.int%2Ficd%2Fentity%2F196835338","browser")</x:f>
      </x:c>
      <x:c r="L5505" s="0">
        <x:f>hyperlink("https://icat2.azurewebsites.net/icat/?ontology=ICD&amp;tab=ClassesTab&amp;id=http%3A%2F%2Fwho.int%2Ficd%2330643_512ebf36_bf6b_4d70_85da_cf2637062af4","iCat")</x:f>
      </x:c>
      <x:c r="M5505" s="0" t="s">
        <x:v>21</x:v>
      </x:c>
      <x:c r="N5505" s="0" t="s">
        <x:v>46</x:v>
      </x:c>
    </x:row>
    <x:row r="5506" spans="1:16">
      <x:c r="A5506" s="0" t="s">
        <x:v>21877</x:v>
      </x:c>
      <x:c r="B5506" s="0" t="s">
        <x:v>21878</x:v>
      </x:c>
      <x:c r="C5506" s="0" t="s">
        <x:v>21879</x:v>
      </x:c>
      <x:c r="E5506" s="0" t="s">
        <x:v>21880</x:v>
      </x:c>
      <x:c r="F5506" s="0" t="s">
        <x:v>45</x:v>
      </x:c>
      <x:c r="G5506" s="0" t="s">
        <x:v>19</x:v>
      </x:c>
      <x:c r="H5506" s="0" t="s">
        <x:v>20</x:v>
      </x:c>
      <x:c r="I5506" s="0" t="s">
        <x:v>21</x:v>
      </x:c>
      <x:c r="K5506" s="0">
        <x:f>hyperlink("https://icd.who.int/dev11/l-ichi/en#/http%3A%2F%2Fid.who.int%2Ficd%2Fentity%2F1253072325","browser")</x:f>
      </x:c>
      <x:c r="L5506" s="0">
        <x:f>hyperlink("https://icat2.azurewebsites.net/icat/?ontology=ICD&amp;tab=ClassesTab&amp;id=http%3A%2F%2Fwho.int%2Ficd%2329105_512ebf36_bf6b_4d70_85da_cf2637062af4","iCat")</x:f>
      </x:c>
      <x:c r="M5506" s="0" t="s">
        <x:v>21</x:v>
      </x:c>
      <x:c r="N5506" s="0" t="s">
        <x:v>46</x:v>
      </x:c>
    </x:row>
    <x:row r="5507" spans="1:16">
      <x:c r="A5507" s="0" t="s">
        <x:v>21881</x:v>
      </x:c>
      <x:c r="B5507" s="0" t="s">
        <x:v>21882</x:v>
      </x:c>
      <x:c r="C5507" s="0" t="s">
        <x:v>21883</x:v>
      </x:c>
      <x:c r="E5507" s="0" t="s">
        <x:v>21884</x:v>
      </x:c>
      <x:c r="F5507" s="0" t="s">
        <x:v>45</x:v>
      </x:c>
      <x:c r="G5507" s="0" t="s">
        <x:v>19</x:v>
      </x:c>
      <x:c r="H5507" s="0" t="s">
        <x:v>20</x:v>
      </x:c>
      <x:c r="I5507" s="0" t="s">
        <x:v>21</x:v>
      </x:c>
      <x:c r="K5507" s="0">
        <x:f>hyperlink("https://icd.who.int/dev11/l-ichi/en#/http%3A%2F%2Fid.who.int%2Ficd%2Fentity%2F1358390047","browser")</x:f>
      </x:c>
      <x:c r="L5507" s="0">
        <x:f>hyperlink("https://icat2.azurewebsites.net/icat/?ontology=ICD&amp;tab=ClassesTab&amp;id=http%3A%2F%2Fwho.int%2Ficd%2329112_512ebf36_bf6b_4d70_85da_cf2637062af4","iCat")</x:f>
      </x:c>
      <x:c r="M5507" s="0" t="s">
        <x:v>21</x:v>
      </x:c>
      <x:c r="N5507" s="0" t="s">
        <x:v>46</x:v>
      </x:c>
    </x:row>
    <x:row r="5508" spans="1:16">
      <x:c r="A5508" s="0" t="s">
        <x:v>21885</x:v>
      </x:c>
      <x:c r="B5508" s="0" t="s">
        <x:v>21886</x:v>
      </x:c>
      <x:c r="C5508" s="0" t="s">
        <x:v>21887</x:v>
      </x:c>
      <x:c r="E5508" s="0" t="s">
        <x:v>21888</x:v>
      </x:c>
      <x:c r="F5508" s="0" t="s">
        <x:v>45</x:v>
      </x:c>
      <x:c r="G5508" s="0" t="s">
        <x:v>19</x:v>
      </x:c>
      <x:c r="H5508" s="0" t="s">
        <x:v>20</x:v>
      </x:c>
      <x:c r="I5508" s="0" t="s">
        <x:v>21</x:v>
      </x:c>
      <x:c r="K5508" s="0">
        <x:f>hyperlink("https://icd.who.int/dev11/l-ichi/en#/http%3A%2F%2Fid.who.int%2Ficd%2Fentity%2F1417226537","browser")</x:f>
      </x:c>
      <x:c r="L5508" s="0">
        <x:f>hyperlink("https://icat2.azurewebsites.net/icat/?ontology=ICD&amp;tab=ClassesTab&amp;id=http%3A%2F%2Fwho.int%2Ficd%2330657_512ebf36_bf6b_4d70_85da_cf2637062af4","iCat")</x:f>
      </x:c>
      <x:c r="M5508" s="0" t="s">
        <x:v>21</x:v>
      </x:c>
      <x:c r="N5508" s="0" t="s">
        <x:v>46</x:v>
      </x:c>
    </x:row>
    <x:row r="5509" spans="1:16">
      <x:c r="A5509" s="0" t="s">
        <x:v>21889</x:v>
      </x:c>
      <x:c r="B5509" s="0" t="s">
        <x:v>21890</x:v>
      </x:c>
      <x:c r="C5509" s="0" t="s">
        <x:v>21891</x:v>
      </x:c>
      <x:c r="E5509" s="0" t="s">
        <x:v>21892</x:v>
      </x:c>
      <x:c r="F5509" s="0" t="s">
        <x:v>45</x:v>
      </x:c>
      <x:c r="G5509" s="0" t="s">
        <x:v>19</x:v>
      </x:c>
      <x:c r="H5509" s="0" t="s">
        <x:v>20</x:v>
      </x:c>
      <x:c r="I5509" s="0" t="s">
        <x:v>21</x:v>
      </x:c>
      <x:c r="K5509" s="0">
        <x:f>hyperlink("https://icd.who.int/dev11/l-ichi/en#/http%3A%2F%2Fid.who.int%2Ficd%2Fentity%2F1623492757","browser")</x:f>
      </x:c>
      <x:c r="L5509" s="0">
        <x:f>hyperlink("https://icat2.azurewebsites.net/icat/?ontology=ICD&amp;tab=ClassesTab&amp;id=http%3A%2F%2Fwho.int%2Ficd%2329125_512ebf36_bf6b_4d70_85da_cf2637062af4","iCat")</x:f>
      </x:c>
      <x:c r="M5509" s="0" t="s">
        <x:v>21</x:v>
      </x:c>
      <x:c r="N5509" s="0" t="s">
        <x:v>46</x:v>
      </x:c>
    </x:row>
    <x:row r="5510" spans="1:16">
      <x:c r="A5510" s="0" t="s">
        <x:v>21893</x:v>
      </x:c>
      <x:c r="B5510" s="0" t="s">
        <x:v>21894</x:v>
      </x:c>
      <x:c r="C5510" s="0" t="s">
        <x:v>21895</x:v>
      </x:c>
      <x:c r="E5510" s="0" t="s">
        <x:v>21896</x:v>
      </x:c>
      <x:c r="F5510" s="0" t="s">
        <x:v>45</x:v>
      </x:c>
      <x:c r="G5510" s="0" t="s">
        <x:v>19</x:v>
      </x:c>
      <x:c r="H5510" s="0" t="s">
        <x:v>20</x:v>
      </x:c>
      <x:c r="I5510" s="0" t="s">
        <x:v>21</x:v>
      </x:c>
      <x:c r="K5510" s="0">
        <x:f>hyperlink("https://icd.who.int/dev11/l-ichi/en#/http%3A%2F%2Fid.who.int%2Ficd%2Fentity%2F1461879302","browser")</x:f>
      </x:c>
      <x:c r="L5510" s="0">
        <x:f>hyperlink("https://icat2.azurewebsites.net/icat/?ontology=ICD&amp;tab=ClassesTab&amp;id=http%3A%2F%2Fwho.int%2Ficd%2326736_512ebf36_bf6b_4d70_85da_cf2637062af4","iCat")</x:f>
      </x:c>
      <x:c r="M5510" s="0" t="s">
        <x:v>21</x:v>
      </x:c>
      <x:c r="N5510" s="0" t="s">
        <x:v>46</x:v>
      </x:c>
    </x:row>
    <x:row r="5511" spans="1:16">
      <x:c r="A5511" s="0" t="s">
        <x:v>21897</x:v>
      </x:c>
      <x:c r="B5511" s="0" t="s">
        <x:v>21898</x:v>
      </x:c>
      <x:c r="C5511" s="0" t="s">
        <x:v>21899</x:v>
      </x:c>
      <x:c r="E5511" s="0" t="s">
        <x:v>21900</x:v>
      </x:c>
      <x:c r="F5511" s="0" t="s">
        <x:v>45</x:v>
      </x:c>
      <x:c r="G5511" s="0" t="s">
        <x:v>19</x:v>
      </x:c>
      <x:c r="H5511" s="0" t="s">
        <x:v>20</x:v>
      </x:c>
      <x:c r="I5511" s="0" t="s">
        <x:v>21</x:v>
      </x:c>
      <x:c r="K5511" s="0">
        <x:f>hyperlink("https://icd.who.int/dev11/l-ichi/en#/http%3A%2F%2Fid.who.int%2Ficd%2Fentity%2F567258460","browser")</x:f>
      </x:c>
      <x:c r="L5511" s="0">
        <x:f>hyperlink("https://icat2.azurewebsites.net/icat/?ontology=ICD&amp;tab=ClassesTab&amp;id=http%3A%2F%2Fwho.int%2Ficd%2330663_512ebf36_bf6b_4d70_85da_cf2637062af4","iCat")</x:f>
      </x:c>
      <x:c r="M5511" s="0" t="s">
        <x:v>21</x:v>
      </x:c>
      <x:c r="N5511" s="0" t="s">
        <x:v>46</x:v>
      </x:c>
    </x:row>
    <x:row r="5512" spans="1:16">
      <x:c r="A5512" s="0" t="s">
        <x:v>21901</x:v>
      </x:c>
      <x:c r="B5512" s="0" t="s">
        <x:v>21902</x:v>
      </x:c>
      <x:c r="C5512" s="0" t="s">
        <x:v>21903</x:v>
      </x:c>
      <x:c r="E5512" s="0" t="s">
        <x:v>21904</x:v>
      </x:c>
      <x:c r="F5512" s="0" t="s">
        <x:v>45</x:v>
      </x:c>
      <x:c r="G5512" s="0" t="s">
        <x:v>19</x:v>
      </x:c>
      <x:c r="H5512" s="0" t="s">
        <x:v>20</x:v>
      </x:c>
      <x:c r="I5512" s="0" t="s">
        <x:v>21</x:v>
      </x:c>
      <x:c r="K5512" s="0">
        <x:f>hyperlink("https://icd.who.int/dev11/l-ichi/en#/http%3A%2F%2Fid.who.int%2Ficd%2Fentity%2F285346673","browser")</x:f>
      </x:c>
      <x:c r="L5512" s="0">
        <x:f>hyperlink("https://icat2.azurewebsites.net/icat/?ontology=ICD&amp;tab=ClassesTab&amp;id=http%3A%2F%2Fwho.int%2Ficd%2337121_512ebf36_bf6b_4d70_85da_cf2637062af4","iCat")</x:f>
      </x:c>
      <x:c r="M5512" s="0" t="s">
        <x:v>21</x:v>
      </x:c>
      <x:c r="N5512" s="0" t="s">
        <x:v>46</x:v>
      </x:c>
    </x:row>
    <x:row r="5513" spans="1:16">
      <x:c r="A5513" s="0" t="s">
        <x:v>21905</x:v>
      </x:c>
      <x:c r="B5513" s="0" t="s">
        <x:v>21906</x:v>
      </x:c>
      <x:c r="C5513" s="0" t="s">
        <x:v>21907</x:v>
      </x:c>
      <x:c r="E5513" s="0" t="s">
        <x:v>21908</x:v>
      </x:c>
      <x:c r="F5513" s="0" t="s">
        <x:v>45</x:v>
      </x:c>
      <x:c r="G5513" s="0" t="s">
        <x:v>19</x:v>
      </x:c>
      <x:c r="H5513" s="0" t="s">
        <x:v>20</x:v>
      </x:c>
      <x:c r="I5513" s="0" t="s">
        <x:v>21</x:v>
      </x:c>
      <x:c r="K5513" s="0">
        <x:f>hyperlink("https://icd.who.int/dev11/l-ichi/en#/http%3A%2F%2Fid.who.int%2Ficd%2Fentity%2F1626821789","browser")</x:f>
      </x:c>
      <x:c r="L5513" s="0">
        <x:f>hyperlink("https://icat2.azurewebsites.net/icat/?ontology=ICD&amp;tab=ClassesTab&amp;id=http%3A%2F%2Fwho.int%2Ficd%2330679_512ebf36_bf6b_4d70_85da_cf2637062af4","iCat")</x:f>
      </x:c>
      <x:c r="M5513" s="0" t="s">
        <x:v>21</x:v>
      </x:c>
      <x:c r="N5513" s="0" t="s">
        <x:v>46</x:v>
      </x:c>
    </x:row>
    <x:row r="5514" spans="1:16">
      <x:c r="B5514" s="0" t="s">
        <x:v>21909</x:v>
      </x:c>
      <x:c r="C5514" s="0" t="s">
        <x:v>21910</x:v>
      </x:c>
      <x:c r="E5514" s="0" t="s">
        <x:v>21911</x:v>
      </x:c>
      <x:c r="F5514" s="0" t="s">
        <x:v>45</x:v>
      </x:c>
      <x:c r="G5514" s="0" t="s">
        <x:v>19</x:v>
      </x:c>
      <x:c r="H5514" s="0" t="s">
        <x:v>21</x:v>
      </x:c>
      <x:c r="I5514" s="0" t="s">
        <x:v>21</x:v>
      </x:c>
      <x:c r="K5514" s="0">
        <x:f>hyperlink("https://icd.who.int/dev11/l-ichi/en#/http%3A%2F%2Fid.who.int%2Ficd%2Fentity%2F332050646%2Fichi%2Fother","browser")</x:f>
      </x:c>
      <x:c r="L5514" s="0">
        <x:f>hyperlink("","iCat")</x:f>
      </x:c>
      <x:c r="M5514" s="0" t="s">
        <x:v>21</x:v>
      </x:c>
      <x:c r="N5514" s="0" t="s">
        <x:v>46</x:v>
      </x:c>
    </x:row>
    <x:row r="5515" spans="1:16">
      <x:c r="B5515" s="0" t="s">
        <x:v>21912</x:v>
      </x:c>
      <x:c r="C5515" s="0" t="s">
        <x:v>21913</x:v>
      </x:c>
      <x:c r="E5515" s="0" t="s">
        <x:v>21914</x:v>
      </x:c>
      <x:c r="F5515" s="0" t="s">
        <x:v>45</x:v>
      </x:c>
      <x:c r="G5515" s="0" t="s">
        <x:v>19</x:v>
      </x:c>
      <x:c r="H5515" s="0" t="s">
        <x:v>21</x:v>
      </x:c>
      <x:c r="I5515" s="0" t="s">
        <x:v>21</x:v>
      </x:c>
      <x:c r="K5515" s="0">
        <x:f>hyperlink("https://icd.who.int/dev11/l-ichi/en#/http%3A%2F%2Fid.who.int%2Ficd%2Fentity%2F332050646%2Fichi%2Funspecified","browser")</x:f>
      </x:c>
      <x:c r="L5515" s="0">
        <x:f>hyperlink("","iCat")</x:f>
      </x:c>
      <x:c r="M5515" s="0" t="s">
        <x:v>21</x:v>
      </x:c>
      <x:c r="N5515" s="0" t="s">
        <x:v>46</x:v>
      </x:c>
    </x:row>
    <x:row r="5516" spans="1:16">
      <x:c r="A5516" s="0" t="s">
        <x:v>21915</x:v>
      </x:c>
      <x:c r="B5516" s="0" t="s">
        <x:v>21916</x:v>
      </x:c>
      <x:c r="D5516" s="0" t="s">
        <x:v>21917</x:v>
      </x:c>
      <x:c r="E5516" s="0" t="s">
        <x:v>21918</x:v>
      </x:c>
      <x:c r="F5516" s="0" t="s">
        <x:v>26</x:v>
      </x:c>
      <x:c r="G5516" s="0" t="s">
        <x:v>35</x:v>
      </x:c>
      <x:c r="H5516" s="0" t="s">
        <x:v>20</x:v>
      </x:c>
      <x:c r="I5516" s="0" t="s">
        <x:v>21</x:v>
      </x:c>
      <x:c r="K5516" s="0">
        <x:f>hyperlink("https://icd.who.int/dev11/l-ichi/en#/http%3A%2F%2Fid.who.int%2Ficd%2Fentity%2F1333466189","browser")</x:f>
      </x:c>
      <x:c r="L5516" s="0">
        <x:f>hyperlink("https://icat2.azurewebsites.net/icat/?ontology=ICD&amp;tab=ClassesTab&amp;id=http%3A%2F%2Fwho.int%2Ficd%2330719_512ebf36_bf6b_4d70_85da_cf2637062af4","iCat")</x:f>
      </x:c>
      <x:c r="M5516" s="0" t="s">
        <x:v>20</x:v>
      </x:c>
      <x:c r="N5516" s="0" t="s">
        <x:v>40</x:v>
      </x:c>
    </x:row>
    <x:row r="5517" spans="1:16">
      <x:c r="A5517" s="0" t="s">
        <x:v>21919</x:v>
      </x:c>
      <x:c r="B5517" s="0" t="s">
        <x:v>21920</x:v>
      </x:c>
      <x:c r="D5517" s="0" t="s">
        <x:v>21921</x:v>
      </x:c>
      <x:c r="E5517" s="0" t="s">
        <x:v>21922</x:v>
      </x:c>
      <x:c r="F5517" s="0" t="s">
        <x:v>26</x:v>
      </x:c>
      <x:c r="G5517" s="0" t="s">
        <x:v>22</x:v>
      </x:c>
      <x:c r="H5517" s="0" t="s">
        <x:v>20</x:v>
      </x:c>
      <x:c r="I5517" s="0" t="s">
        <x:v>21</x:v>
      </x:c>
      <x:c r="K5517" s="0">
        <x:f>hyperlink("https://icd.who.int/dev11/l-ichi/en#/http%3A%2F%2Fid.who.int%2Ficd%2Fentity%2F1951195499","browser")</x:f>
      </x:c>
      <x:c r="L5517" s="0">
        <x:f>hyperlink("https://icat2.azurewebsites.net/icat/?ontology=ICD&amp;tab=ClassesTab&amp;id=http%3A%2F%2Fwho.int%2Ficd%2330725_512ebf36_bf6b_4d70_85da_cf2637062af4","iCat")</x:f>
      </x:c>
      <x:c r="M5517" s="0" t="s">
        <x:v>20</x:v>
      </x:c>
      <x:c r="N5517" s="0" t="s">
        <x:v>21923</x:v>
      </x:c>
    </x:row>
    <x:row r="5518" spans="1:16">
      <x:c r="A5518" s="0" t="s">
        <x:v>21924</x:v>
      </x:c>
      <x:c r="B5518" s="0" t="s">
        <x:v>21925</x:v>
      </x:c>
      <x:c r="C5518" s="0" t="s">
        <x:v>21926</x:v>
      </x:c>
      <x:c r="E5518" s="0" t="s">
        <x:v>21927</x:v>
      </x:c>
      <x:c r="F5518" s="0" t="s">
        <x:v>45</x:v>
      </x:c>
      <x:c r="G5518" s="0" t="s">
        <x:v>19</x:v>
      </x:c>
      <x:c r="H5518" s="0" t="s">
        <x:v>20</x:v>
      </x:c>
      <x:c r="I5518" s="0" t="s">
        <x:v>21</x:v>
      </x:c>
      <x:c r="K5518" s="0">
        <x:f>hyperlink("https://icd.who.int/dev11/l-ichi/en#/http%3A%2F%2Fid.who.int%2Ficd%2Fentity%2F1870816881","browser")</x:f>
      </x:c>
      <x:c r="L5518" s="0">
        <x:f>hyperlink("https://icat2.azurewebsites.net/icat/?ontology=ICD&amp;tab=ClassesTab&amp;id=http%3A%2F%2Fwho.int%2Ficd%2330718_512ebf36_bf6b_4d70_85da_cf2637062af4","iCat")</x:f>
      </x:c>
      <x:c r="M5518" s="0" t="s">
        <x:v>21</x:v>
      </x:c>
      <x:c r="N5518" s="0" t="s">
        <x:v>46</x:v>
      </x:c>
    </x:row>
    <x:row r="5519" spans="1:16">
      <x:c r="A5519" s="0" t="s">
        <x:v>21928</x:v>
      </x:c>
      <x:c r="B5519" s="0" t="s">
        <x:v>21929</x:v>
      </x:c>
      <x:c r="C5519" s="0" t="s">
        <x:v>21930</x:v>
      </x:c>
      <x:c r="E5519" s="0" t="s">
        <x:v>21931</x:v>
      </x:c>
      <x:c r="F5519" s="0" t="s">
        <x:v>45</x:v>
      </x:c>
      <x:c r="G5519" s="0" t="s">
        <x:v>19</x:v>
      </x:c>
      <x:c r="H5519" s="0" t="s">
        <x:v>20</x:v>
      </x:c>
      <x:c r="I5519" s="0" t="s">
        <x:v>21</x:v>
      </x:c>
      <x:c r="K5519" s="0">
        <x:f>hyperlink("https://icd.who.int/dev11/l-ichi/en#/http%3A%2F%2Fid.who.int%2Ficd%2Fentity%2F1173795617","browser")</x:f>
      </x:c>
      <x:c r="L5519" s="0">
        <x:f>hyperlink("https://icat2.azurewebsites.net/icat/?ontology=ICD&amp;tab=ClassesTab&amp;id=http%3A%2F%2Fwho.int%2Ficd%2330738_512ebf36_bf6b_4d70_85da_cf2637062af4","iCat")</x:f>
      </x:c>
      <x:c r="M5519" s="0" t="s">
        <x:v>21</x:v>
      </x:c>
      <x:c r="N5519" s="0" t="s">
        <x:v>46</x:v>
      </x:c>
    </x:row>
    <x:row r="5520" spans="1:16">
      <x:c r="A5520" s="0" t="s">
        <x:v>21932</x:v>
      </x:c>
      <x:c r="B5520" s="0" t="s">
        <x:v>21933</x:v>
      </x:c>
      <x:c r="C5520" s="0" t="s">
        <x:v>21934</x:v>
      </x:c>
      <x:c r="E5520" s="0" t="s">
        <x:v>21935</x:v>
      </x:c>
      <x:c r="F5520" s="0" t="s">
        <x:v>45</x:v>
      </x:c>
      <x:c r="G5520" s="0" t="s">
        <x:v>19</x:v>
      </x:c>
      <x:c r="H5520" s="0" t="s">
        <x:v>20</x:v>
      </x:c>
      <x:c r="I5520" s="0" t="s">
        <x:v>21</x:v>
      </x:c>
      <x:c r="K5520" s="0">
        <x:f>hyperlink("https://icd.who.int/dev11/l-ichi/en#/http%3A%2F%2Fid.who.int%2Ficd%2Fentity%2F778004264","browser")</x:f>
      </x:c>
      <x:c r="L5520" s="0">
        <x:f>hyperlink("https://icat2.azurewebsites.net/icat/?ontology=ICD&amp;tab=ClassesTab&amp;id=http%3A%2F%2Fwho.int%2Ficd%2330745_512ebf36_bf6b_4d70_85da_cf2637062af4","iCat")</x:f>
      </x:c>
      <x:c r="M5520" s="0" t="s">
        <x:v>21</x:v>
      </x:c>
      <x:c r="N5520" s="0" t="s">
        <x:v>46</x:v>
      </x:c>
    </x:row>
    <x:row r="5521" spans="1:16">
      <x:c r="A5521" s="0" t="s">
        <x:v>21936</x:v>
      </x:c>
      <x:c r="B5521" s="0" t="s">
        <x:v>21937</x:v>
      </x:c>
      <x:c r="C5521" s="0" t="s">
        <x:v>21938</x:v>
      </x:c>
      <x:c r="E5521" s="0" t="s">
        <x:v>21939</x:v>
      </x:c>
      <x:c r="F5521" s="0" t="s">
        <x:v>45</x:v>
      </x:c>
      <x:c r="G5521" s="0" t="s">
        <x:v>19</x:v>
      </x:c>
      <x:c r="H5521" s="0" t="s">
        <x:v>20</x:v>
      </x:c>
      <x:c r="I5521" s="0" t="s">
        <x:v>21</x:v>
      </x:c>
      <x:c r="K5521" s="0">
        <x:f>hyperlink("https://icd.who.int/dev11/l-ichi/en#/http%3A%2F%2Fid.who.int%2Ficd%2Fentity%2F1151005297","browser")</x:f>
      </x:c>
      <x:c r="L5521" s="0">
        <x:f>hyperlink("https://icat2.azurewebsites.net/icat/?ontology=ICD&amp;tab=ClassesTab&amp;id=http%3A%2F%2Fwho.int%2Ficd%2330755_512ebf36_bf6b_4d70_85da_cf2637062af4","iCat")</x:f>
      </x:c>
      <x:c r="M5521" s="0" t="s">
        <x:v>21</x:v>
      </x:c>
      <x:c r="N5521" s="0" t="s">
        <x:v>46</x:v>
      </x:c>
    </x:row>
    <x:row r="5522" spans="1:16">
      <x:c r="A5522" s="0" t="s">
        <x:v>21940</x:v>
      </x:c>
      <x:c r="B5522" s="0" t="s">
        <x:v>21941</x:v>
      </x:c>
      <x:c r="C5522" s="0" t="s">
        <x:v>21942</x:v>
      </x:c>
      <x:c r="E5522" s="0" t="s">
        <x:v>21943</x:v>
      </x:c>
      <x:c r="F5522" s="0" t="s">
        <x:v>45</x:v>
      </x:c>
      <x:c r="G5522" s="0" t="s">
        <x:v>19</x:v>
      </x:c>
      <x:c r="H5522" s="0" t="s">
        <x:v>20</x:v>
      </x:c>
      <x:c r="I5522" s="0" t="s">
        <x:v>21</x:v>
      </x:c>
      <x:c r="K5522" s="0">
        <x:f>hyperlink("https://icd.who.int/dev11/l-ichi/en#/http%3A%2F%2Fid.who.int%2Ficd%2Fentity%2F65360381","browser")</x:f>
      </x:c>
      <x:c r="L5522" s="0">
        <x:f>hyperlink("https://icat2.azurewebsites.net/icat/?ontology=ICD&amp;tab=ClassesTab&amp;id=http%3A%2F%2Fwho.int%2Ficd%2315642_4869915e_217e_423d_acb3_33c0f920ef4b","iCat")</x:f>
      </x:c>
      <x:c r="M5522" s="0" t="s">
        <x:v>21</x:v>
      </x:c>
      <x:c r="N5522" s="0" t="s">
        <x:v>46</x:v>
      </x:c>
    </x:row>
    <x:row r="5523" spans="1:16">
      <x:c r="A5523" s="0" t="s">
        <x:v>21944</x:v>
      </x:c>
      <x:c r="B5523" s="0" t="s">
        <x:v>21945</x:v>
      </x:c>
      <x:c r="C5523" s="0" t="s">
        <x:v>21946</x:v>
      </x:c>
      <x:c r="E5523" s="0" t="s">
        <x:v>21947</x:v>
      </x:c>
      <x:c r="F5523" s="0" t="s">
        <x:v>45</x:v>
      </x:c>
      <x:c r="G5523" s="0" t="s">
        <x:v>19</x:v>
      </x:c>
      <x:c r="H5523" s="0" t="s">
        <x:v>20</x:v>
      </x:c>
      <x:c r="I5523" s="0" t="s">
        <x:v>21</x:v>
      </x:c>
      <x:c r="K5523" s="0">
        <x:f>hyperlink("https://icd.who.int/dev11/l-ichi/en#/http%3A%2F%2Fid.who.int%2Ficd%2Fentity%2F617791564","browser")</x:f>
      </x:c>
      <x:c r="L5523" s="0">
        <x:f>hyperlink("https://icat2.azurewebsites.net/icat/?ontology=ICD&amp;tab=ClassesTab&amp;id=http%3A%2F%2Fwho.int%2Ficd%2330764_512ebf36_bf6b_4d70_85da_cf2637062af4","iCat")</x:f>
      </x:c>
      <x:c r="M5523" s="0" t="s">
        <x:v>21</x:v>
      </x:c>
      <x:c r="N5523" s="0" t="s">
        <x:v>46</x:v>
      </x:c>
    </x:row>
    <x:row r="5524" spans="1:16">
      <x:c r="A5524" s="0" t="s">
        <x:v>21948</x:v>
      </x:c>
      <x:c r="B5524" s="0" t="s">
        <x:v>21949</x:v>
      </x:c>
      <x:c r="C5524" s="0" t="s">
        <x:v>21950</x:v>
      </x:c>
      <x:c r="E5524" s="0" t="s">
        <x:v>21951</x:v>
      </x:c>
      <x:c r="F5524" s="0" t="s">
        <x:v>45</x:v>
      </x:c>
      <x:c r="G5524" s="0" t="s">
        <x:v>19</x:v>
      </x:c>
      <x:c r="H5524" s="0" t="s">
        <x:v>20</x:v>
      </x:c>
      <x:c r="I5524" s="0" t="s">
        <x:v>21</x:v>
      </x:c>
      <x:c r="K5524" s="0">
        <x:f>hyperlink("https://icd.who.int/dev11/l-ichi/en#/http%3A%2F%2Fid.who.int%2Ficd%2Fentity%2F1542054741","browser")</x:f>
      </x:c>
      <x:c r="L5524" s="0">
        <x:f>hyperlink("https://icat2.azurewebsites.net/icat/?ontology=ICD&amp;tab=ClassesTab&amp;id=http%3A%2F%2Fwho.int%2Ficd%2330771_512ebf36_bf6b_4d70_85da_cf2637062af4","iCat")</x:f>
      </x:c>
      <x:c r="M5524" s="0" t="s">
        <x:v>21</x:v>
      </x:c>
      <x:c r="N5524" s="0" t="s">
        <x:v>46</x:v>
      </x:c>
    </x:row>
    <x:row r="5525" spans="1:16">
      <x:c r="A5525" s="0" t="s">
        <x:v>21952</x:v>
      </x:c>
      <x:c r="B5525" s="0" t="s">
        <x:v>21953</x:v>
      </x:c>
      <x:c r="C5525" s="0" t="s">
        <x:v>21954</x:v>
      </x:c>
      <x:c r="E5525" s="0" t="s">
        <x:v>21955</x:v>
      </x:c>
      <x:c r="F5525" s="0" t="s">
        <x:v>45</x:v>
      </x:c>
      <x:c r="G5525" s="0" t="s">
        <x:v>19</x:v>
      </x:c>
      <x:c r="H5525" s="0" t="s">
        <x:v>20</x:v>
      </x:c>
      <x:c r="I5525" s="0" t="s">
        <x:v>21</x:v>
      </x:c>
      <x:c r="K5525" s="0">
        <x:f>hyperlink("https://icd.who.int/dev11/l-ichi/en#/http%3A%2F%2Fid.who.int%2Ficd%2Fentity%2F898752572","browser")</x:f>
      </x:c>
      <x:c r="L5525" s="0">
        <x:f>hyperlink("https://icat2.azurewebsites.net/icat/?ontology=ICD&amp;tab=ClassesTab&amp;id=http%3A%2F%2Fwho.int%2Ficd%2330778_512ebf36_bf6b_4d70_85da_cf2637062af4","iCat")</x:f>
      </x:c>
      <x:c r="M5525" s="0" t="s">
        <x:v>21</x:v>
      </x:c>
      <x:c r="N5525" s="0" t="s">
        <x:v>46</x:v>
      </x:c>
    </x:row>
    <x:row r="5526" spans="1:16">
      <x:c r="A5526" s="0" t="s">
        <x:v>21956</x:v>
      </x:c>
      <x:c r="B5526" s="0" t="s">
        <x:v>21957</x:v>
      </x:c>
      <x:c r="C5526" s="0" t="s">
        <x:v>21958</x:v>
      </x:c>
      <x:c r="E5526" s="0" t="s">
        <x:v>21959</x:v>
      </x:c>
      <x:c r="F5526" s="0" t="s">
        <x:v>45</x:v>
      </x:c>
      <x:c r="G5526" s="0" t="s">
        <x:v>19</x:v>
      </x:c>
      <x:c r="H5526" s="0" t="s">
        <x:v>20</x:v>
      </x:c>
      <x:c r="I5526" s="0" t="s">
        <x:v>21</x:v>
      </x:c>
      <x:c r="K5526" s="0">
        <x:f>hyperlink("https://icd.who.int/dev11/l-ichi/en#/http%3A%2F%2Fid.who.int%2Ficd%2Fentity%2F1643126723","browser")</x:f>
      </x:c>
      <x:c r="L5526" s="0">
        <x:f>hyperlink("https://icat2.azurewebsites.net/icat/?ontology=ICD&amp;tab=ClassesTab&amp;id=http%3A%2F%2Fwho.int%2Ficd%2330784_512ebf36_bf6b_4d70_85da_cf2637062af4","iCat")</x:f>
      </x:c>
      <x:c r="M5526" s="0" t="s">
        <x:v>21</x:v>
      </x:c>
      <x:c r="N5526" s="0" t="s">
        <x:v>46</x:v>
      </x:c>
    </x:row>
    <x:row r="5527" spans="1:16">
      <x:c r="A5527" s="0" t="s">
        <x:v>21960</x:v>
      </x:c>
      <x:c r="B5527" s="0" t="s">
        <x:v>21961</x:v>
      </x:c>
      <x:c r="C5527" s="0" t="s">
        <x:v>21962</x:v>
      </x:c>
      <x:c r="E5527" s="0" t="s">
        <x:v>21963</x:v>
      </x:c>
      <x:c r="F5527" s="0" t="s">
        <x:v>45</x:v>
      </x:c>
      <x:c r="G5527" s="0" t="s">
        <x:v>19</x:v>
      </x:c>
      <x:c r="H5527" s="0" t="s">
        <x:v>20</x:v>
      </x:c>
      <x:c r="I5527" s="0" t="s">
        <x:v>21</x:v>
      </x:c>
      <x:c r="K5527" s="0">
        <x:f>hyperlink("https://icd.who.int/dev11/l-ichi/en#/http%3A%2F%2Fid.who.int%2Ficd%2Fentity%2F2075599129","browser")</x:f>
      </x:c>
      <x:c r="L5527" s="0">
        <x:f>hyperlink("https://icat2.azurewebsites.net/icat/?ontology=ICD&amp;tab=ClassesTab&amp;id=http%3A%2F%2Fwho.int%2Ficd%2330793_512ebf36_bf6b_4d70_85da_cf2637062af4","iCat")</x:f>
      </x:c>
      <x:c r="M5527" s="0" t="s">
        <x:v>21</x:v>
      </x:c>
      <x:c r="N5527" s="0" t="s">
        <x:v>46</x:v>
      </x:c>
    </x:row>
    <x:row r="5528" spans="1:16">
      <x:c r="A5528" s="0" t="s">
        <x:v>21964</x:v>
      </x:c>
      <x:c r="B5528" s="0" t="s">
        <x:v>21965</x:v>
      </x:c>
      <x:c r="C5528" s="0" t="s">
        <x:v>21966</x:v>
      </x:c>
      <x:c r="E5528" s="0" t="s">
        <x:v>21967</x:v>
      </x:c>
      <x:c r="F5528" s="0" t="s">
        <x:v>45</x:v>
      </x:c>
      <x:c r="G5528" s="0" t="s">
        <x:v>19</x:v>
      </x:c>
      <x:c r="H5528" s="0" t="s">
        <x:v>20</x:v>
      </x:c>
      <x:c r="I5528" s="0" t="s">
        <x:v>21</x:v>
      </x:c>
      <x:c r="K5528" s="0">
        <x:f>hyperlink("https://icd.who.int/dev11/l-ichi/en#/http%3A%2F%2Fid.who.int%2Ficd%2Fentity%2F1492586416","browser")</x:f>
      </x:c>
      <x:c r="L5528" s="0">
        <x:f>hyperlink("https://icat2.azurewebsites.net/icat/?ontology=ICD&amp;tab=ClassesTab&amp;id=http%3A%2F%2Fwho.int%2Ficd%2330802_512ebf36_bf6b_4d70_85da_cf2637062af4","iCat")</x:f>
      </x:c>
      <x:c r="M5528" s="0" t="s">
        <x:v>21</x:v>
      </x:c>
      <x:c r="N5528" s="0" t="s">
        <x:v>46</x:v>
      </x:c>
    </x:row>
    <x:row r="5529" spans="1:16">
      <x:c r="A5529" s="0" t="s">
        <x:v>21968</x:v>
      </x:c>
      <x:c r="B5529" s="0" t="s">
        <x:v>21969</x:v>
      </x:c>
      <x:c r="C5529" s="0" t="s">
        <x:v>21970</x:v>
      </x:c>
      <x:c r="E5529" s="0" t="s">
        <x:v>21971</x:v>
      </x:c>
      <x:c r="F5529" s="0" t="s">
        <x:v>45</x:v>
      </x:c>
      <x:c r="G5529" s="0" t="s">
        <x:v>19</x:v>
      </x:c>
      <x:c r="H5529" s="0" t="s">
        <x:v>20</x:v>
      </x:c>
      <x:c r="I5529" s="0" t="s">
        <x:v>21</x:v>
      </x:c>
      <x:c r="K5529" s="0">
        <x:f>hyperlink("https://icd.who.int/dev11/l-ichi/en#/http%3A%2F%2Fid.who.int%2Ficd%2Fentity%2F2008544544","browser")</x:f>
      </x:c>
      <x:c r="L5529" s="0">
        <x:f>hyperlink("https://icat2.azurewebsites.net/icat/?ontology=ICD&amp;tab=ClassesTab&amp;id=http%3A%2F%2Fwho.int%2Ficd%2330811_512ebf36_bf6b_4d70_85da_cf2637062af4","iCat")</x:f>
      </x:c>
      <x:c r="M5529" s="0" t="s">
        <x:v>21</x:v>
      </x:c>
      <x:c r="N5529" s="0" t="s">
        <x:v>46</x:v>
      </x:c>
    </x:row>
    <x:row r="5530" spans="1:16">
      <x:c r="A5530" s="0" t="s">
        <x:v>21972</x:v>
      </x:c>
      <x:c r="B5530" s="0" t="s">
        <x:v>21973</x:v>
      </x:c>
      <x:c r="C5530" s="0" t="s">
        <x:v>21974</x:v>
      </x:c>
      <x:c r="E5530" s="0" t="s">
        <x:v>21975</x:v>
      </x:c>
      <x:c r="F5530" s="0" t="s">
        <x:v>45</x:v>
      </x:c>
      <x:c r="G5530" s="0" t="s">
        <x:v>19</x:v>
      </x:c>
      <x:c r="H5530" s="0" t="s">
        <x:v>20</x:v>
      </x:c>
      <x:c r="I5530" s="0" t="s">
        <x:v>21</x:v>
      </x:c>
      <x:c r="K5530" s="0">
        <x:f>hyperlink("https://icd.who.int/dev11/l-ichi/en#/http%3A%2F%2Fid.who.int%2Ficd%2Fentity%2F959874123","browser")</x:f>
      </x:c>
      <x:c r="L5530" s="0">
        <x:f>hyperlink("https://icat2.azurewebsites.net/icat/?ontology=ICD&amp;tab=ClassesTab&amp;id=http%3A%2F%2Fwho.int%2Ficd%2330819_512ebf36_bf6b_4d70_85da_cf2637062af4","iCat")</x:f>
      </x:c>
      <x:c r="M5530" s="0" t="s">
        <x:v>21</x:v>
      </x:c>
      <x:c r="N5530" s="0" t="s">
        <x:v>46</x:v>
      </x:c>
    </x:row>
    <x:row r="5531" spans="1:16">
      <x:c r="A5531" s="0" t="s">
        <x:v>21976</x:v>
      </x:c>
      <x:c r="B5531" s="0" t="s">
        <x:v>21977</x:v>
      </x:c>
      <x:c r="C5531" s="0" t="s">
        <x:v>21978</x:v>
      </x:c>
      <x:c r="E5531" s="0" t="s">
        <x:v>21979</x:v>
      </x:c>
      <x:c r="F5531" s="0" t="s">
        <x:v>45</x:v>
      </x:c>
      <x:c r="G5531" s="0" t="s">
        <x:v>19</x:v>
      </x:c>
      <x:c r="H5531" s="0" t="s">
        <x:v>20</x:v>
      </x:c>
      <x:c r="I5531" s="0" t="s">
        <x:v>21</x:v>
      </x:c>
      <x:c r="K5531" s="0">
        <x:f>hyperlink("https://icd.who.int/dev11/l-ichi/en#/http%3A%2F%2Fid.who.int%2Ficd%2Fentity%2F1501476466","browser")</x:f>
      </x:c>
      <x:c r="L5531" s="0">
        <x:f>hyperlink("https://icat2.azurewebsites.net/icat/?ontology=ICD&amp;tab=ClassesTab&amp;id=http%3A%2F%2Fwho.int%2Ficd%2330828_512ebf36_bf6b_4d70_85da_cf2637062af4","iCat")</x:f>
      </x:c>
      <x:c r="M5531" s="0" t="s">
        <x:v>21</x:v>
      </x:c>
      <x:c r="N5531" s="0" t="s">
        <x:v>46</x:v>
      </x:c>
    </x:row>
    <x:row r="5532" spans="1:16">
      <x:c r="A5532" s="0" t="s">
        <x:v>21980</x:v>
      </x:c>
      <x:c r="B5532" s="0" t="s">
        <x:v>21981</x:v>
      </x:c>
      <x:c r="C5532" s="0" t="s">
        <x:v>21982</x:v>
      </x:c>
      <x:c r="E5532" s="0" t="s">
        <x:v>21983</x:v>
      </x:c>
      <x:c r="F5532" s="0" t="s">
        <x:v>45</x:v>
      </x:c>
      <x:c r="G5532" s="0" t="s">
        <x:v>19</x:v>
      </x:c>
      <x:c r="H5532" s="0" t="s">
        <x:v>20</x:v>
      </x:c>
      <x:c r="I5532" s="0" t="s">
        <x:v>21</x:v>
      </x:c>
      <x:c r="K5532" s="0">
        <x:f>hyperlink("https://icd.who.int/dev11/l-ichi/en#/http%3A%2F%2Fid.who.int%2Ficd%2Fentity%2F759270339","browser")</x:f>
      </x:c>
      <x:c r="L5532" s="0">
        <x:f>hyperlink("https://icat2.azurewebsites.net/icat/?ontology=ICD&amp;tab=ClassesTab&amp;id=http%3A%2F%2Fwho.int%2Ficd%2330836_512ebf36_bf6b_4d70_85da_cf2637062af4","iCat")</x:f>
      </x:c>
      <x:c r="M5532" s="0" t="s">
        <x:v>21</x:v>
      </x:c>
      <x:c r="N5532" s="0" t="s">
        <x:v>46</x:v>
      </x:c>
    </x:row>
    <x:row r="5533" spans="1:16">
      <x:c r="A5533" s="0" t="s">
        <x:v>21984</x:v>
      </x:c>
      <x:c r="B5533" s="0" t="s">
        <x:v>21985</x:v>
      </x:c>
      <x:c r="C5533" s="0" t="s">
        <x:v>21986</x:v>
      </x:c>
      <x:c r="E5533" s="0" t="s">
        <x:v>21987</x:v>
      </x:c>
      <x:c r="F5533" s="0" t="s">
        <x:v>45</x:v>
      </x:c>
      <x:c r="G5533" s="0" t="s">
        <x:v>19</x:v>
      </x:c>
      <x:c r="H5533" s="0" t="s">
        <x:v>20</x:v>
      </x:c>
      <x:c r="I5533" s="0" t="s">
        <x:v>21</x:v>
      </x:c>
      <x:c r="K5533" s="0">
        <x:f>hyperlink("https://icd.who.int/dev11/l-ichi/en#/http%3A%2F%2Fid.who.int%2Ficd%2Fentity%2F141110929","browser")</x:f>
      </x:c>
      <x:c r="L5533" s="0">
        <x:f>hyperlink("https://icat2.azurewebsites.net/icat/?ontology=ICD&amp;tab=ClassesTab&amp;id=http%3A%2F%2Fwho.int%2Ficd%2330843_512ebf36_bf6b_4d70_85da_cf2637062af4","iCat")</x:f>
      </x:c>
      <x:c r="M5533" s="0" t="s">
        <x:v>21</x:v>
      </x:c>
      <x:c r="N5533" s="0" t="s">
        <x:v>46</x:v>
      </x:c>
    </x:row>
    <x:row r="5534" spans="1:16">
      <x:c r="A5534" s="0" t="s">
        <x:v>21988</x:v>
      </x:c>
      <x:c r="B5534" s="0" t="s">
        <x:v>21989</x:v>
      </x:c>
      <x:c r="C5534" s="0" t="s">
        <x:v>21990</x:v>
      </x:c>
      <x:c r="E5534" s="0" t="s">
        <x:v>21991</x:v>
      </x:c>
      <x:c r="F5534" s="0" t="s">
        <x:v>45</x:v>
      </x:c>
      <x:c r="G5534" s="0" t="s">
        <x:v>19</x:v>
      </x:c>
      <x:c r="H5534" s="0" t="s">
        <x:v>20</x:v>
      </x:c>
      <x:c r="I5534" s="0" t="s">
        <x:v>21</x:v>
      </x:c>
      <x:c r="K5534" s="0">
        <x:f>hyperlink("https://icd.who.int/dev11/l-ichi/en#/http%3A%2F%2Fid.who.int%2Ficd%2Fentity%2F657052735","browser")</x:f>
      </x:c>
      <x:c r="L5534" s="0">
        <x:f>hyperlink("https://icat2.azurewebsites.net/icat/?ontology=ICD&amp;tab=ClassesTab&amp;id=http%3A%2F%2Fwho.int%2Ficd%2330850_512ebf36_bf6b_4d70_85da_cf2637062af4","iCat")</x:f>
      </x:c>
      <x:c r="M5534" s="0" t="s">
        <x:v>21</x:v>
      </x:c>
      <x:c r="N5534" s="0" t="s">
        <x:v>46</x:v>
      </x:c>
    </x:row>
    <x:row r="5535" spans="1:16">
      <x:c r="A5535" s="0" t="s">
        <x:v>21992</x:v>
      </x:c>
      <x:c r="B5535" s="0" t="s">
        <x:v>21993</x:v>
      </x:c>
      <x:c r="C5535" s="0" t="s">
        <x:v>21994</x:v>
      </x:c>
      <x:c r="E5535" s="0" t="s">
        <x:v>21995</x:v>
      </x:c>
      <x:c r="F5535" s="0" t="s">
        <x:v>45</x:v>
      </x:c>
      <x:c r="G5535" s="0" t="s">
        <x:v>19</x:v>
      </x:c>
      <x:c r="H5535" s="0" t="s">
        <x:v>20</x:v>
      </x:c>
      <x:c r="I5535" s="0" t="s">
        <x:v>21</x:v>
      </x:c>
      <x:c r="K5535" s="0">
        <x:f>hyperlink("https://icd.who.int/dev11/l-ichi/en#/http%3A%2F%2Fid.who.int%2Ficd%2Fentity%2F165713745","browser")</x:f>
      </x:c>
      <x:c r="L5535" s="0">
        <x:f>hyperlink("https://icat2.azurewebsites.net/icat/?ontology=ICD&amp;tab=ClassesTab&amp;id=http%3A%2F%2Fwho.int%2Ficd%2330869_512ebf36_bf6b_4d70_85da_cf2637062af4","iCat")</x:f>
      </x:c>
      <x:c r="M5535" s="0" t="s">
        <x:v>21</x:v>
      </x:c>
      <x:c r="N5535" s="0" t="s">
        <x:v>46</x:v>
      </x:c>
    </x:row>
    <x:row r="5536" spans="1:16">
      <x:c r="A5536" s="0" t="s">
        <x:v>21996</x:v>
      </x:c>
      <x:c r="B5536" s="0" t="s">
        <x:v>21997</x:v>
      </x:c>
      <x:c r="C5536" s="0" t="s">
        <x:v>21998</x:v>
      </x:c>
      <x:c r="E5536" s="0" t="s">
        <x:v>21999</x:v>
      </x:c>
      <x:c r="F5536" s="0" t="s">
        <x:v>45</x:v>
      </x:c>
      <x:c r="G5536" s="0" t="s">
        <x:v>19</x:v>
      </x:c>
      <x:c r="H5536" s="0" t="s">
        <x:v>20</x:v>
      </x:c>
      <x:c r="I5536" s="0" t="s">
        <x:v>21</x:v>
      </x:c>
      <x:c r="K5536" s="0">
        <x:f>hyperlink("https://icd.who.int/dev11/l-ichi/en#/http%3A%2F%2Fid.who.int%2Ficd%2Fentity%2F1562826974","browser")</x:f>
      </x:c>
      <x:c r="L5536" s="0">
        <x:f>hyperlink("https://icat2.azurewebsites.net/icat/?ontology=ICD&amp;tab=ClassesTab&amp;id=http%3A%2F%2Fwho.int%2Ficd%2330876_512ebf36_bf6b_4d70_85da_cf2637062af4","iCat")</x:f>
      </x:c>
      <x:c r="M5536" s="0" t="s">
        <x:v>21</x:v>
      </x:c>
      <x:c r="N5536" s="0" t="s">
        <x:v>46</x:v>
      </x:c>
    </x:row>
    <x:row r="5537" spans="1:16">
      <x:c r="A5537" s="0" t="s">
        <x:v>22000</x:v>
      </x:c>
      <x:c r="B5537" s="0" t="s">
        <x:v>22001</x:v>
      </x:c>
      <x:c r="C5537" s="0" t="s">
        <x:v>22002</x:v>
      </x:c>
      <x:c r="E5537" s="0" t="s">
        <x:v>22003</x:v>
      </x:c>
      <x:c r="F5537" s="0" t="s">
        <x:v>45</x:v>
      </x:c>
      <x:c r="G5537" s="0" t="s">
        <x:v>19</x:v>
      </x:c>
      <x:c r="H5537" s="0" t="s">
        <x:v>20</x:v>
      </x:c>
      <x:c r="I5537" s="0" t="s">
        <x:v>21</x:v>
      </x:c>
      <x:c r="K5537" s="0">
        <x:f>hyperlink("https://icd.who.int/dev11/l-ichi/en#/http%3A%2F%2Fid.who.int%2Ficd%2Fentity%2F398299077","browser")</x:f>
      </x:c>
      <x:c r="L5537" s="0">
        <x:f>hyperlink("https://icat2.azurewebsites.net/icat/?ontology=ICD&amp;tab=ClassesTab&amp;id=http%3A%2F%2Fwho.int%2Ficd%2330884_512ebf36_bf6b_4d70_85da_cf2637062af4","iCat")</x:f>
      </x:c>
      <x:c r="M5537" s="0" t="s">
        <x:v>21</x:v>
      </x:c>
      <x:c r="N5537" s="0" t="s">
        <x:v>46</x:v>
      </x:c>
    </x:row>
    <x:row r="5538" spans="1:16">
      <x:c r="A5538" s="0" t="s">
        <x:v>22004</x:v>
      </x:c>
      <x:c r="B5538" s="0" t="s">
        <x:v>22005</x:v>
      </x:c>
      <x:c r="C5538" s="0" t="s">
        <x:v>22006</x:v>
      </x:c>
      <x:c r="E5538" s="0" t="s">
        <x:v>22007</x:v>
      </x:c>
      <x:c r="F5538" s="0" t="s">
        <x:v>45</x:v>
      </x:c>
      <x:c r="G5538" s="0" t="s">
        <x:v>19</x:v>
      </x:c>
      <x:c r="H5538" s="0" t="s">
        <x:v>20</x:v>
      </x:c>
      <x:c r="I5538" s="0" t="s">
        <x:v>21</x:v>
      </x:c>
      <x:c r="K5538" s="0">
        <x:f>hyperlink("https://icd.who.int/dev11/l-ichi/en#/http%3A%2F%2Fid.who.int%2Ficd%2Fentity%2F755221283","browser")</x:f>
      </x:c>
      <x:c r="L5538" s="0">
        <x:f>hyperlink("https://icat2.azurewebsites.net/icat/?ontology=ICD&amp;tab=ClassesTab&amp;id=http%3A%2F%2Fwho.int%2Ficd%2330892_512ebf36_bf6b_4d70_85da_cf2637062af4","iCat")</x:f>
      </x:c>
      <x:c r="M5538" s="0" t="s">
        <x:v>21</x:v>
      </x:c>
      <x:c r="N5538" s="0" t="s">
        <x:v>46</x:v>
      </x:c>
    </x:row>
    <x:row r="5539" spans="1:16">
      <x:c r="A5539" s="0" t="s">
        <x:v>22008</x:v>
      </x:c>
      <x:c r="B5539" s="0" t="s">
        <x:v>22009</x:v>
      </x:c>
      <x:c r="C5539" s="0" t="s">
        <x:v>22010</x:v>
      </x:c>
      <x:c r="E5539" s="0" t="s">
        <x:v>22011</x:v>
      </x:c>
      <x:c r="F5539" s="0" t="s">
        <x:v>45</x:v>
      </x:c>
      <x:c r="G5539" s="0" t="s">
        <x:v>19</x:v>
      </x:c>
      <x:c r="H5539" s="0" t="s">
        <x:v>20</x:v>
      </x:c>
      <x:c r="I5539" s="0" t="s">
        <x:v>21</x:v>
      </x:c>
      <x:c r="K5539" s="0">
        <x:f>hyperlink("https://icd.who.int/dev11/l-ichi/en#/http%3A%2F%2Fid.who.int%2Ficd%2Fentity%2F1209324776","browser")</x:f>
      </x:c>
      <x:c r="L5539" s="0">
        <x:f>hyperlink("https://icat2.azurewebsites.net/icat/?ontology=ICD&amp;tab=ClassesTab&amp;id=http%3A%2F%2Fwho.int%2Ficd%2330900_512ebf36_bf6b_4d70_85da_cf2637062af4","iCat")</x:f>
      </x:c>
      <x:c r="M5539" s="0" t="s">
        <x:v>21</x:v>
      </x:c>
      <x:c r="N5539" s="0" t="s">
        <x:v>46</x:v>
      </x:c>
    </x:row>
    <x:row r="5540" spans="1:16">
      <x:c r="A5540" s="0" t="s">
        <x:v>22012</x:v>
      </x:c>
      <x:c r="B5540" s="0" t="s">
        <x:v>22013</x:v>
      </x:c>
      <x:c r="C5540" s="0" t="s">
        <x:v>22014</x:v>
      </x:c>
      <x:c r="E5540" s="0" t="s">
        <x:v>22015</x:v>
      </x:c>
      <x:c r="F5540" s="0" t="s">
        <x:v>45</x:v>
      </x:c>
      <x:c r="G5540" s="0" t="s">
        <x:v>19</x:v>
      </x:c>
      <x:c r="H5540" s="0" t="s">
        <x:v>20</x:v>
      </x:c>
      <x:c r="I5540" s="0" t="s">
        <x:v>21</x:v>
      </x:c>
      <x:c r="K5540" s="0">
        <x:f>hyperlink("https://icd.who.int/dev11/l-ichi/en#/http%3A%2F%2Fid.who.int%2Ficd%2Fentity%2F409931097","browser")</x:f>
      </x:c>
      <x:c r="L5540" s="0">
        <x:f>hyperlink("https://icat2.azurewebsites.net/icat/?ontology=ICD&amp;tab=ClassesTab&amp;id=http%3A%2F%2Fwho.int%2Ficd%2330906_512ebf36_bf6b_4d70_85da_cf2637062af4","iCat")</x:f>
      </x:c>
      <x:c r="M5540" s="0" t="s">
        <x:v>21</x:v>
      </x:c>
      <x:c r="N5540" s="0" t="s">
        <x:v>46</x:v>
      </x:c>
    </x:row>
    <x:row r="5541" spans="1:16">
      <x:c r="A5541" s="0" t="s">
        <x:v>22016</x:v>
      </x:c>
      <x:c r="B5541" s="0" t="s">
        <x:v>22017</x:v>
      </x:c>
      <x:c r="C5541" s="0" t="s">
        <x:v>22018</x:v>
      </x:c>
      <x:c r="E5541" s="0" t="s">
        <x:v>22019</x:v>
      </x:c>
      <x:c r="F5541" s="0" t="s">
        <x:v>45</x:v>
      </x:c>
      <x:c r="G5541" s="0" t="s">
        <x:v>19</x:v>
      </x:c>
      <x:c r="H5541" s="0" t="s">
        <x:v>20</x:v>
      </x:c>
      <x:c r="I5541" s="0" t="s">
        <x:v>21</x:v>
      </x:c>
      <x:c r="K5541" s="0">
        <x:f>hyperlink("https://icd.who.int/dev11/l-ichi/en#/http%3A%2F%2Fid.who.int%2Ficd%2Fentity%2F1202543738","browser")</x:f>
      </x:c>
      <x:c r="L5541" s="0">
        <x:f>hyperlink("https://icat2.azurewebsites.net/icat/?ontology=ICD&amp;tab=ClassesTab&amp;id=http%3A%2F%2Fwho.int%2Ficd%2330912_512ebf36_bf6b_4d70_85da_cf2637062af4","iCat")</x:f>
      </x:c>
      <x:c r="M5541" s="0" t="s">
        <x:v>21</x:v>
      </x:c>
      <x:c r="N5541" s="0" t="s">
        <x:v>46</x:v>
      </x:c>
    </x:row>
    <x:row r="5542" spans="1:16">
      <x:c r="A5542" s="0" t="s">
        <x:v>22020</x:v>
      </x:c>
      <x:c r="B5542" s="0" t="s">
        <x:v>22021</x:v>
      </x:c>
      <x:c r="C5542" s="0" t="s">
        <x:v>22022</x:v>
      </x:c>
      <x:c r="E5542" s="0" t="s">
        <x:v>22023</x:v>
      </x:c>
      <x:c r="F5542" s="0" t="s">
        <x:v>45</x:v>
      </x:c>
      <x:c r="G5542" s="0" t="s">
        <x:v>19</x:v>
      </x:c>
      <x:c r="H5542" s="0" t="s">
        <x:v>20</x:v>
      </x:c>
      <x:c r="I5542" s="0" t="s">
        <x:v>21</x:v>
      </x:c>
      <x:c r="K5542" s="0">
        <x:f>hyperlink("https://icd.who.int/dev11/l-ichi/en#/http%3A%2F%2Fid.who.int%2Ficd%2Fentity%2F1817194730","browser")</x:f>
      </x:c>
      <x:c r="L5542" s="0">
        <x:f>hyperlink("https://icat2.azurewebsites.net/icat/?ontology=ICD&amp;tab=ClassesTab&amp;id=http%3A%2F%2Fwho.int%2Ficd%2330918_512ebf36_bf6b_4d70_85da_cf2637062af4","iCat")</x:f>
      </x:c>
      <x:c r="M5542" s="0" t="s">
        <x:v>21</x:v>
      </x:c>
      <x:c r="N5542" s="0" t="s">
        <x:v>46</x:v>
      </x:c>
    </x:row>
    <x:row r="5543" spans="1:16">
      <x:c r="A5543" s="0" t="s">
        <x:v>22024</x:v>
      </x:c>
      <x:c r="B5543" s="0" t="s">
        <x:v>22025</x:v>
      </x:c>
      <x:c r="C5543" s="0" t="s">
        <x:v>22026</x:v>
      </x:c>
      <x:c r="E5543" s="0" t="s">
        <x:v>22027</x:v>
      </x:c>
      <x:c r="F5543" s="0" t="s">
        <x:v>45</x:v>
      </x:c>
      <x:c r="G5543" s="0" t="s">
        <x:v>19</x:v>
      </x:c>
      <x:c r="H5543" s="0" t="s">
        <x:v>20</x:v>
      </x:c>
      <x:c r="I5543" s="0" t="s">
        <x:v>21</x:v>
      </x:c>
      <x:c r="K5543" s="0">
        <x:f>hyperlink("https://icd.who.int/dev11/l-ichi/en#/http%3A%2F%2Fid.who.int%2Ficd%2Fentity%2F840685577","browser")</x:f>
      </x:c>
      <x:c r="L5543" s="0">
        <x:f>hyperlink("https://icat2.azurewebsites.net/icat/?ontology=ICD&amp;tab=ClassesTab&amp;id=http%3A%2F%2Fwho.int%2Ficd%2330926_512ebf36_bf6b_4d70_85da_cf2637062af4","iCat")</x:f>
      </x:c>
      <x:c r="M5543" s="0" t="s">
        <x:v>21</x:v>
      </x:c>
      <x:c r="N5543" s="0" t="s">
        <x:v>46</x:v>
      </x:c>
    </x:row>
    <x:row r="5544" spans="1:16">
      <x:c r="A5544" s="0" t="s">
        <x:v>22028</x:v>
      </x:c>
      <x:c r="B5544" s="0" t="s">
        <x:v>22029</x:v>
      </x:c>
      <x:c r="C5544" s="0" t="s">
        <x:v>22030</x:v>
      </x:c>
      <x:c r="E5544" s="0" t="s">
        <x:v>22031</x:v>
      </x:c>
      <x:c r="F5544" s="0" t="s">
        <x:v>45</x:v>
      </x:c>
      <x:c r="G5544" s="0" t="s">
        <x:v>19</x:v>
      </x:c>
      <x:c r="H5544" s="0" t="s">
        <x:v>20</x:v>
      </x:c>
      <x:c r="I5544" s="0" t="s">
        <x:v>21</x:v>
      </x:c>
      <x:c r="K5544" s="0">
        <x:f>hyperlink("https://icd.who.int/dev11/l-ichi/en#/http%3A%2F%2Fid.who.int%2Ficd%2Fentity%2F492511911","browser")</x:f>
      </x:c>
      <x:c r="L5544" s="0">
        <x:f>hyperlink("https://icat2.azurewebsites.net/icat/?ontology=ICD&amp;tab=ClassesTab&amp;id=http%3A%2F%2Fwho.int%2Ficd%2330935_512ebf36_bf6b_4d70_85da_cf2637062af4","iCat")</x:f>
      </x:c>
      <x:c r="M5544" s="0" t="s">
        <x:v>21</x:v>
      </x:c>
      <x:c r="N5544" s="0" t="s">
        <x:v>46</x:v>
      </x:c>
    </x:row>
    <x:row r="5545" spans="1:16">
      <x:c r="A5545" s="0" t="s">
        <x:v>22032</x:v>
      </x:c>
      <x:c r="B5545" s="0" t="s">
        <x:v>22033</x:v>
      </x:c>
      <x:c r="C5545" s="0" t="s">
        <x:v>22034</x:v>
      </x:c>
      <x:c r="E5545" s="0" t="s">
        <x:v>22035</x:v>
      </x:c>
      <x:c r="F5545" s="0" t="s">
        <x:v>45</x:v>
      </x:c>
      <x:c r="G5545" s="0" t="s">
        <x:v>19</x:v>
      </x:c>
      <x:c r="H5545" s="0" t="s">
        <x:v>20</x:v>
      </x:c>
      <x:c r="I5545" s="0" t="s">
        <x:v>21</x:v>
      </x:c>
      <x:c r="K5545" s="0">
        <x:f>hyperlink("https://icd.who.int/dev11/l-ichi/en#/http%3A%2F%2Fid.who.int%2Ficd%2Fentity%2F411760073","browser")</x:f>
      </x:c>
      <x:c r="L5545" s="0">
        <x:f>hyperlink("https://icat2.azurewebsites.net/icat/?ontology=ICD&amp;tab=ClassesTab&amp;id=http%3A%2F%2Fwho.int%2Ficd%2330941_512ebf36_bf6b_4d70_85da_cf2637062af4","iCat")</x:f>
      </x:c>
      <x:c r="M5545" s="0" t="s">
        <x:v>21</x:v>
      </x:c>
      <x:c r="N5545" s="0" t="s">
        <x:v>46</x:v>
      </x:c>
    </x:row>
    <x:row r="5546" spans="1:16">
      <x:c r="A5546" s="0" t="s">
        <x:v>22036</x:v>
      </x:c>
      <x:c r="B5546" s="0" t="s">
        <x:v>22037</x:v>
      </x:c>
      <x:c r="C5546" s="0" t="s">
        <x:v>22038</x:v>
      </x:c>
      <x:c r="E5546" s="0" t="s">
        <x:v>22039</x:v>
      </x:c>
      <x:c r="F5546" s="0" t="s">
        <x:v>45</x:v>
      </x:c>
      <x:c r="G5546" s="0" t="s">
        <x:v>19</x:v>
      </x:c>
      <x:c r="H5546" s="0" t="s">
        <x:v>20</x:v>
      </x:c>
      <x:c r="I5546" s="0" t="s">
        <x:v>21</x:v>
      </x:c>
      <x:c r="K5546" s="0">
        <x:f>hyperlink("https://icd.who.int/dev11/l-ichi/en#/http%3A%2F%2Fid.who.int%2Ficd%2Fentity%2F1995634336","browser")</x:f>
      </x:c>
      <x:c r="L5546" s="0">
        <x:f>hyperlink("https://icat2.azurewebsites.net/icat/?ontology=ICD&amp;tab=ClassesTab&amp;id=http%3A%2F%2Fwho.int%2Ficd%2330948_512ebf36_bf6b_4d70_85da_cf2637062af4","iCat")</x:f>
      </x:c>
      <x:c r="M5546" s="0" t="s">
        <x:v>21</x:v>
      </x:c>
      <x:c r="N5546" s="0" t="s">
        <x:v>46</x:v>
      </x:c>
    </x:row>
    <x:row r="5547" spans="1:16">
      <x:c r="A5547" s="0" t="s">
        <x:v>22040</x:v>
      </x:c>
      <x:c r="B5547" s="0" t="s">
        <x:v>22041</x:v>
      </x:c>
      <x:c r="C5547" s="0" t="s">
        <x:v>22042</x:v>
      </x:c>
      <x:c r="E5547" s="0" t="s">
        <x:v>22043</x:v>
      </x:c>
      <x:c r="F5547" s="0" t="s">
        <x:v>45</x:v>
      </x:c>
      <x:c r="G5547" s="0" t="s">
        <x:v>19</x:v>
      </x:c>
      <x:c r="H5547" s="0" t="s">
        <x:v>20</x:v>
      </x:c>
      <x:c r="I5547" s="0" t="s">
        <x:v>21</x:v>
      </x:c>
      <x:c r="K5547" s="0">
        <x:f>hyperlink("https://icd.who.int/dev11/l-ichi/en#/http%3A%2F%2Fid.who.int%2Ficd%2Fentity%2F573880623","browser")</x:f>
      </x:c>
      <x:c r="L5547" s="0">
        <x:f>hyperlink("https://icat2.azurewebsites.net/icat/?ontology=ICD&amp;tab=ClassesTab&amp;id=http%3A%2F%2Fwho.int%2Ficd%2330957_512ebf36_bf6b_4d70_85da_cf2637062af4","iCat")</x:f>
      </x:c>
      <x:c r="M5547" s="0" t="s">
        <x:v>21</x:v>
      </x:c>
      <x:c r="N5547" s="0" t="s">
        <x:v>46</x:v>
      </x:c>
    </x:row>
    <x:row r="5548" spans="1:16">
      <x:c r="A5548" s="0" t="s">
        <x:v>22044</x:v>
      </x:c>
      <x:c r="B5548" s="0" t="s">
        <x:v>22045</x:v>
      </x:c>
      <x:c r="C5548" s="0" t="s">
        <x:v>22046</x:v>
      </x:c>
      <x:c r="E5548" s="0" t="s">
        <x:v>22047</x:v>
      </x:c>
      <x:c r="F5548" s="0" t="s">
        <x:v>45</x:v>
      </x:c>
      <x:c r="G5548" s="0" t="s">
        <x:v>19</x:v>
      </x:c>
      <x:c r="H5548" s="0" t="s">
        <x:v>20</x:v>
      </x:c>
      <x:c r="I5548" s="0" t="s">
        <x:v>21</x:v>
      </x:c>
      <x:c r="K5548" s="0">
        <x:f>hyperlink("https://icd.who.int/dev11/l-ichi/en#/http%3A%2F%2Fid.who.int%2Ficd%2Fentity%2F2088718796","browser")</x:f>
      </x:c>
      <x:c r="L5548" s="0">
        <x:f>hyperlink("https://icat2.azurewebsites.net/icat/?ontology=ICD&amp;tab=ClassesTab&amp;id=http%3A%2F%2Fwho.int%2Ficd%2330969_512ebf36_bf6b_4d70_85da_cf2637062af4","iCat")</x:f>
      </x:c>
      <x:c r="M5548" s="0" t="s">
        <x:v>21</x:v>
      </x:c>
      <x:c r="N5548" s="0" t="s">
        <x:v>46</x:v>
      </x:c>
    </x:row>
    <x:row r="5549" spans="1:16">
      <x:c r="A5549" s="0" t="s">
        <x:v>22048</x:v>
      </x:c>
      <x:c r="B5549" s="0" t="s">
        <x:v>22049</x:v>
      </x:c>
      <x:c r="C5549" s="0" t="s">
        <x:v>22050</x:v>
      </x:c>
      <x:c r="E5549" s="0" t="s">
        <x:v>22051</x:v>
      </x:c>
      <x:c r="F5549" s="0" t="s">
        <x:v>45</x:v>
      </x:c>
      <x:c r="G5549" s="0" t="s">
        <x:v>19</x:v>
      </x:c>
      <x:c r="H5549" s="0" t="s">
        <x:v>20</x:v>
      </x:c>
      <x:c r="I5549" s="0" t="s">
        <x:v>21</x:v>
      </x:c>
      <x:c r="K5549" s="0">
        <x:f>hyperlink("https://icd.who.int/dev11/l-ichi/en#/http%3A%2F%2Fid.who.int%2Ficd%2Fentity%2F683220547","browser")</x:f>
      </x:c>
      <x:c r="L5549" s="0">
        <x:f>hyperlink("https://icat2.azurewebsites.net/icat/?ontology=ICD&amp;tab=ClassesTab&amp;id=http%3A%2F%2Fwho.int%2Ficd%2330976_512ebf36_bf6b_4d70_85da_cf2637062af4","iCat")</x:f>
      </x:c>
      <x:c r="M5549" s="0" t="s">
        <x:v>21</x:v>
      </x:c>
      <x:c r="N5549" s="0" t="s">
        <x:v>46</x:v>
      </x:c>
    </x:row>
    <x:row r="5550" spans="1:16">
      <x:c r="A5550" s="0" t="s">
        <x:v>22052</x:v>
      </x:c>
      <x:c r="B5550" s="0" t="s">
        <x:v>22053</x:v>
      </x:c>
      <x:c r="C5550" s="0" t="s">
        <x:v>22054</x:v>
      </x:c>
      <x:c r="E5550" s="0" t="s">
        <x:v>22055</x:v>
      </x:c>
      <x:c r="F5550" s="0" t="s">
        <x:v>45</x:v>
      </x:c>
      <x:c r="G5550" s="0" t="s">
        <x:v>19</x:v>
      </x:c>
      <x:c r="H5550" s="0" t="s">
        <x:v>20</x:v>
      </x:c>
      <x:c r="I5550" s="0" t="s">
        <x:v>21</x:v>
      </x:c>
      <x:c r="K5550" s="0">
        <x:f>hyperlink("https://icd.who.int/dev11/l-ichi/en#/http%3A%2F%2Fid.who.int%2Ficd%2Fentity%2F312533717","browser")</x:f>
      </x:c>
      <x:c r="L5550" s="0">
        <x:f>hyperlink("https://icat2.azurewebsites.net/icat/?ontology=ICD&amp;tab=ClassesTab&amp;id=http%3A%2F%2Fwho.int%2Ficd%2330983_512ebf36_bf6b_4d70_85da_cf2637062af4","iCat")</x:f>
      </x:c>
      <x:c r="M5550" s="0" t="s">
        <x:v>21</x:v>
      </x:c>
      <x:c r="N5550" s="0" t="s">
        <x:v>46</x:v>
      </x:c>
    </x:row>
    <x:row r="5551" spans="1:16">
      <x:c r="A5551" s="0" t="s">
        <x:v>22056</x:v>
      </x:c>
      <x:c r="B5551" s="0" t="s">
        <x:v>22057</x:v>
      </x:c>
      <x:c r="C5551" s="0" t="s">
        <x:v>22058</x:v>
      </x:c>
      <x:c r="E5551" s="0" t="s">
        <x:v>22059</x:v>
      </x:c>
      <x:c r="F5551" s="0" t="s">
        <x:v>45</x:v>
      </x:c>
      <x:c r="G5551" s="0" t="s">
        <x:v>19</x:v>
      </x:c>
      <x:c r="H5551" s="0" t="s">
        <x:v>20</x:v>
      </x:c>
      <x:c r="I5551" s="0" t="s">
        <x:v>21</x:v>
      </x:c>
      <x:c r="K5551" s="0">
        <x:f>hyperlink("https://icd.who.int/dev11/l-ichi/en#/http%3A%2F%2Fid.who.int%2Ficd%2Fentity%2F1486620096","browser")</x:f>
      </x:c>
      <x:c r="L5551" s="0">
        <x:f>hyperlink("https://icat2.azurewebsites.net/icat/?ontology=ICD&amp;tab=ClassesTab&amp;id=http%3A%2F%2Fwho.int%2Ficd%2330992_512ebf36_bf6b_4d70_85da_cf2637062af4","iCat")</x:f>
      </x:c>
      <x:c r="M5551" s="0" t="s">
        <x:v>21</x:v>
      </x:c>
      <x:c r="N5551" s="0" t="s">
        <x:v>46</x:v>
      </x:c>
    </x:row>
    <x:row r="5552" spans="1:16">
      <x:c r="A5552" s="0" t="s">
        <x:v>22060</x:v>
      </x:c>
      <x:c r="B5552" s="0" t="s">
        <x:v>22061</x:v>
      </x:c>
      <x:c r="C5552" s="0" t="s">
        <x:v>22062</x:v>
      </x:c>
      <x:c r="E5552" s="0" t="s">
        <x:v>22063</x:v>
      </x:c>
      <x:c r="F5552" s="0" t="s">
        <x:v>45</x:v>
      </x:c>
      <x:c r="G5552" s="0" t="s">
        <x:v>19</x:v>
      </x:c>
      <x:c r="H5552" s="0" t="s">
        <x:v>20</x:v>
      </x:c>
      <x:c r="I5552" s="0" t="s">
        <x:v>21</x:v>
      </x:c>
      <x:c r="K5552" s="0">
        <x:f>hyperlink("https://icd.who.int/dev11/l-ichi/en#/http%3A%2F%2Fid.who.int%2Ficd%2Fentity%2F1935763760","browser")</x:f>
      </x:c>
      <x:c r="L5552" s="0">
        <x:f>hyperlink("https://icat2.azurewebsites.net/icat/?ontology=ICD&amp;tab=ClassesTab&amp;id=http%3A%2F%2Fwho.int%2Ficd%2330998_512ebf36_bf6b_4d70_85da_cf2637062af4","iCat")</x:f>
      </x:c>
      <x:c r="M5552" s="0" t="s">
        <x:v>21</x:v>
      </x:c>
      <x:c r="N5552" s="0" t="s">
        <x:v>46</x:v>
      </x:c>
    </x:row>
    <x:row r="5553" spans="1:16">
      <x:c r="A5553" s="0" t="s">
        <x:v>22064</x:v>
      </x:c>
      <x:c r="B5553" s="0" t="s">
        <x:v>22065</x:v>
      </x:c>
      <x:c r="C5553" s="0" t="s">
        <x:v>22066</x:v>
      </x:c>
      <x:c r="E5553" s="0" t="s">
        <x:v>22067</x:v>
      </x:c>
      <x:c r="F5553" s="0" t="s">
        <x:v>45</x:v>
      </x:c>
      <x:c r="G5553" s="0" t="s">
        <x:v>19</x:v>
      </x:c>
      <x:c r="H5553" s="0" t="s">
        <x:v>20</x:v>
      </x:c>
      <x:c r="I5553" s="0" t="s">
        <x:v>21</x:v>
      </x:c>
      <x:c r="K5553" s="0">
        <x:f>hyperlink("https://icd.who.int/dev11/l-ichi/en#/http%3A%2F%2Fid.who.int%2Ficd%2Fentity%2F649773545","browser")</x:f>
      </x:c>
      <x:c r="L5553" s="0">
        <x:f>hyperlink("https://icat2.azurewebsites.net/icat/?ontology=ICD&amp;tab=ClassesTab&amp;id=http%3A%2F%2Fwho.int%2Ficd%234542_d85a204c_d00a_4566_a3b7_2d137a1891cf","iCat")</x:f>
      </x:c>
      <x:c r="M5553" s="0" t="s">
        <x:v>21</x:v>
      </x:c>
      <x:c r="N5553" s="0" t="s">
        <x:v>46</x:v>
      </x:c>
    </x:row>
    <x:row r="5554" spans="1:16">
      <x:c r="A5554" s="0" t="s">
        <x:v>22068</x:v>
      </x:c>
      <x:c r="B5554" s="0" t="s">
        <x:v>22069</x:v>
      </x:c>
      <x:c r="C5554" s="0" t="s">
        <x:v>22070</x:v>
      </x:c>
      <x:c r="E5554" s="0" t="s">
        <x:v>22071</x:v>
      </x:c>
      <x:c r="F5554" s="0" t="s">
        <x:v>45</x:v>
      </x:c>
      <x:c r="G5554" s="0" t="s">
        <x:v>19</x:v>
      </x:c>
      <x:c r="H5554" s="0" t="s">
        <x:v>20</x:v>
      </x:c>
      <x:c r="I5554" s="0" t="s">
        <x:v>21</x:v>
      </x:c>
      <x:c r="K5554" s="0">
        <x:f>hyperlink("https://icd.who.int/dev11/l-ichi/en#/http%3A%2F%2Fid.who.int%2Ficd%2Fentity%2F503486497","browser")</x:f>
      </x:c>
      <x:c r="L5554" s="0">
        <x:f>hyperlink("https://icat2.azurewebsites.net/icat/?ontology=ICD&amp;tab=ClassesTab&amp;id=http%3A%2F%2Fwho.int%2Ficd%2331007_512ebf36_bf6b_4d70_85da_cf2637062af4","iCat")</x:f>
      </x:c>
      <x:c r="M5554" s="0" t="s">
        <x:v>21</x:v>
      </x:c>
      <x:c r="N5554" s="0" t="s">
        <x:v>46</x:v>
      </x:c>
    </x:row>
    <x:row r="5555" spans="1:16">
      <x:c r="A5555" s="0" t="s">
        <x:v>22072</x:v>
      </x:c>
      <x:c r="B5555" s="0" t="s">
        <x:v>22073</x:v>
      </x:c>
      <x:c r="C5555" s="0" t="s">
        <x:v>22074</x:v>
      </x:c>
      <x:c r="E5555" s="0" t="s">
        <x:v>22075</x:v>
      </x:c>
      <x:c r="F5555" s="0" t="s">
        <x:v>45</x:v>
      </x:c>
      <x:c r="G5555" s="0" t="s">
        <x:v>19</x:v>
      </x:c>
      <x:c r="H5555" s="0" t="s">
        <x:v>20</x:v>
      </x:c>
      <x:c r="I5555" s="0" t="s">
        <x:v>21</x:v>
      </x:c>
      <x:c r="K5555" s="0">
        <x:f>hyperlink("https://icd.who.int/dev11/l-ichi/en#/http%3A%2F%2Fid.who.int%2Ficd%2Fentity%2F826434191","browser")</x:f>
      </x:c>
      <x:c r="L5555" s="0">
        <x:f>hyperlink("https://icat2.azurewebsites.net/icat/?ontology=ICD&amp;tab=ClassesTab&amp;id=http%3A%2F%2Fwho.int%2Ficd%2331014_512ebf36_bf6b_4d70_85da_cf2637062af4","iCat")</x:f>
      </x:c>
      <x:c r="M5555" s="0" t="s">
        <x:v>21</x:v>
      </x:c>
      <x:c r="N5555" s="0" t="s">
        <x:v>46</x:v>
      </x:c>
    </x:row>
    <x:row r="5556" spans="1:16">
      <x:c r="A5556" s="0" t="s">
        <x:v>22076</x:v>
      </x:c>
      <x:c r="B5556" s="0" t="s">
        <x:v>22077</x:v>
      </x:c>
      <x:c r="C5556" s="0" t="s">
        <x:v>22078</x:v>
      </x:c>
      <x:c r="E5556" s="0" t="s">
        <x:v>22079</x:v>
      </x:c>
      <x:c r="F5556" s="0" t="s">
        <x:v>45</x:v>
      </x:c>
      <x:c r="G5556" s="0" t="s">
        <x:v>19</x:v>
      </x:c>
      <x:c r="H5556" s="0" t="s">
        <x:v>20</x:v>
      </x:c>
      <x:c r="I5556" s="0" t="s">
        <x:v>21</x:v>
      </x:c>
      <x:c r="K5556" s="0">
        <x:f>hyperlink("https://icd.who.int/dev11/l-ichi/en#/http%3A%2F%2Fid.who.int%2Ficd%2Fentity%2F1678611650","browser")</x:f>
      </x:c>
      <x:c r="L5556" s="0">
        <x:f>hyperlink("https://icat2.azurewebsites.net/icat/?ontology=ICD&amp;tab=ClassesTab&amp;id=http%3A%2F%2Fwho.int%2Ficd%2331021_512ebf36_bf6b_4d70_85da_cf2637062af4","iCat")</x:f>
      </x:c>
      <x:c r="M5556" s="0" t="s">
        <x:v>21</x:v>
      </x:c>
      <x:c r="N5556" s="0" t="s">
        <x:v>46</x:v>
      </x:c>
    </x:row>
    <x:row r="5557" spans="1:16">
      <x:c r="A5557" s="0" t="s">
        <x:v>22080</x:v>
      </x:c>
      <x:c r="B5557" s="0" t="s">
        <x:v>22081</x:v>
      </x:c>
      <x:c r="C5557" s="0" t="s">
        <x:v>22082</x:v>
      </x:c>
      <x:c r="E5557" s="0" t="s">
        <x:v>22083</x:v>
      </x:c>
      <x:c r="F5557" s="0" t="s">
        <x:v>45</x:v>
      </x:c>
      <x:c r="G5557" s="0" t="s">
        <x:v>19</x:v>
      </x:c>
      <x:c r="H5557" s="0" t="s">
        <x:v>20</x:v>
      </x:c>
      <x:c r="I5557" s="0" t="s">
        <x:v>21</x:v>
      </x:c>
      <x:c r="K5557" s="0">
        <x:f>hyperlink("https://icd.who.int/dev11/l-ichi/en#/http%3A%2F%2Fid.who.int%2Ficd%2Fentity%2F880168305","browser")</x:f>
      </x:c>
      <x:c r="L5557" s="0">
        <x:f>hyperlink("https://icat2.azurewebsites.net/icat/?ontology=ICD&amp;tab=ClassesTab&amp;id=http%3A%2F%2Fwho.int%2Ficd%2331027_512ebf36_bf6b_4d70_85da_cf2637062af4","iCat")</x:f>
      </x:c>
      <x:c r="M5557" s="0" t="s">
        <x:v>21</x:v>
      </x:c>
      <x:c r="N5557" s="0" t="s">
        <x:v>46</x:v>
      </x:c>
    </x:row>
    <x:row r="5558" spans="1:16">
      <x:c r="A5558" s="0" t="s">
        <x:v>22084</x:v>
      </x:c>
      <x:c r="B5558" s="0" t="s">
        <x:v>22085</x:v>
      </x:c>
      <x:c r="C5558" s="0" t="s">
        <x:v>22086</x:v>
      </x:c>
      <x:c r="E5558" s="0" t="s">
        <x:v>22087</x:v>
      </x:c>
      <x:c r="F5558" s="0" t="s">
        <x:v>45</x:v>
      </x:c>
      <x:c r="G5558" s="0" t="s">
        <x:v>19</x:v>
      </x:c>
      <x:c r="H5558" s="0" t="s">
        <x:v>20</x:v>
      </x:c>
      <x:c r="I5558" s="0" t="s">
        <x:v>21</x:v>
      </x:c>
      <x:c r="K5558" s="0">
        <x:f>hyperlink("https://icd.who.int/dev11/l-ichi/en#/http%3A%2F%2Fid.who.int%2Ficd%2Fentity%2F1806965844","browser")</x:f>
      </x:c>
      <x:c r="L5558" s="0">
        <x:f>hyperlink("https://icat2.azurewebsites.net/icat/?ontology=ICD&amp;tab=ClassesTab&amp;id=http%3A%2F%2Fwho.int%2Ficd%2331033_512ebf36_bf6b_4d70_85da_cf2637062af4","iCat")</x:f>
      </x:c>
      <x:c r="M5558" s="0" t="s">
        <x:v>21</x:v>
      </x:c>
      <x:c r="N5558" s="0" t="s">
        <x:v>46</x:v>
      </x:c>
    </x:row>
    <x:row r="5559" spans="1:16">
      <x:c r="A5559" s="0" t="s">
        <x:v>22088</x:v>
      </x:c>
      <x:c r="B5559" s="0" t="s">
        <x:v>22089</x:v>
      </x:c>
      <x:c r="C5559" s="0" t="s">
        <x:v>22090</x:v>
      </x:c>
      <x:c r="E5559" s="0" t="s">
        <x:v>22091</x:v>
      </x:c>
      <x:c r="F5559" s="0" t="s">
        <x:v>45</x:v>
      </x:c>
      <x:c r="G5559" s="0" t="s">
        <x:v>19</x:v>
      </x:c>
      <x:c r="H5559" s="0" t="s">
        <x:v>20</x:v>
      </x:c>
      <x:c r="I5559" s="0" t="s">
        <x:v>21</x:v>
      </x:c>
      <x:c r="K5559" s="0">
        <x:f>hyperlink("https://icd.who.int/dev11/l-ichi/en#/http%3A%2F%2Fid.who.int%2Ficd%2Fentity%2F1348866534","browser")</x:f>
      </x:c>
      <x:c r="L5559" s="0">
        <x:f>hyperlink("https://icat2.azurewebsites.net/icat/?ontology=ICD&amp;tab=ClassesTab&amp;id=http%3A%2F%2Fwho.int%2Ficd%2331048_512ebf36_bf6b_4d70_85da_cf2637062af4","iCat")</x:f>
      </x:c>
      <x:c r="M5559" s="0" t="s">
        <x:v>21</x:v>
      </x:c>
      <x:c r="N5559" s="0" t="s">
        <x:v>46</x:v>
      </x:c>
    </x:row>
    <x:row r="5560" spans="1:16">
      <x:c r="A5560" s="0" t="s">
        <x:v>22092</x:v>
      </x:c>
      <x:c r="B5560" s="0" t="s">
        <x:v>22093</x:v>
      </x:c>
      <x:c r="C5560" s="0" t="s">
        <x:v>22094</x:v>
      </x:c>
      <x:c r="E5560" s="0" t="s">
        <x:v>22095</x:v>
      </x:c>
      <x:c r="F5560" s="0" t="s">
        <x:v>45</x:v>
      </x:c>
      <x:c r="G5560" s="0" t="s">
        <x:v>19</x:v>
      </x:c>
      <x:c r="H5560" s="0" t="s">
        <x:v>20</x:v>
      </x:c>
      <x:c r="I5560" s="0" t="s">
        <x:v>21</x:v>
      </x:c>
      <x:c r="K5560" s="0">
        <x:f>hyperlink("https://icd.who.int/dev11/l-ichi/en#/http%3A%2F%2Fid.who.int%2Ficd%2Fentity%2F609823831","browser")</x:f>
      </x:c>
      <x:c r="L5560" s="0">
        <x:f>hyperlink("https://icat2.azurewebsites.net/icat/?ontology=ICD&amp;tab=ClassesTab&amp;id=http%3A%2F%2Fwho.int%2Ficd%2331056_512ebf36_bf6b_4d70_85da_cf2637062af4","iCat")</x:f>
      </x:c>
      <x:c r="M5560" s="0" t="s">
        <x:v>21</x:v>
      </x:c>
      <x:c r="N5560" s="0" t="s">
        <x:v>46</x:v>
      </x:c>
    </x:row>
    <x:row r="5561" spans="1:16">
      <x:c r="A5561" s="0" t="s">
        <x:v>22096</x:v>
      </x:c>
      <x:c r="B5561" s="0" t="s">
        <x:v>22097</x:v>
      </x:c>
      <x:c r="C5561" s="0" t="s">
        <x:v>22098</x:v>
      </x:c>
      <x:c r="E5561" s="0" t="s">
        <x:v>22099</x:v>
      </x:c>
      <x:c r="F5561" s="0" t="s">
        <x:v>45</x:v>
      </x:c>
      <x:c r="G5561" s="0" t="s">
        <x:v>19</x:v>
      </x:c>
      <x:c r="H5561" s="0" t="s">
        <x:v>20</x:v>
      </x:c>
      <x:c r="I5561" s="0" t="s">
        <x:v>21</x:v>
      </x:c>
      <x:c r="K5561" s="0">
        <x:f>hyperlink("https://icd.who.int/dev11/l-ichi/en#/http%3A%2F%2Fid.who.int%2Ficd%2Fentity%2F1525397130","browser")</x:f>
      </x:c>
      <x:c r="L5561" s="0">
        <x:f>hyperlink("https://icat2.azurewebsites.net/icat/?ontology=ICD&amp;tab=ClassesTab&amp;id=http%3A%2F%2Fwho.int%2Ficd%2331069_512ebf36_bf6b_4d70_85da_cf2637062af4","iCat")</x:f>
      </x:c>
      <x:c r="M5561" s="0" t="s">
        <x:v>21</x:v>
      </x:c>
      <x:c r="N5561" s="0" t="s">
        <x:v>46</x:v>
      </x:c>
    </x:row>
    <x:row r="5562" spans="1:16">
      <x:c r="A5562" s="0" t="s">
        <x:v>22100</x:v>
      </x:c>
      <x:c r="B5562" s="0" t="s">
        <x:v>22101</x:v>
      </x:c>
      <x:c r="C5562" s="0" t="s">
        <x:v>22102</x:v>
      </x:c>
      <x:c r="E5562" s="0" t="s">
        <x:v>22103</x:v>
      </x:c>
      <x:c r="F5562" s="0" t="s">
        <x:v>45</x:v>
      </x:c>
      <x:c r="G5562" s="0" t="s">
        <x:v>19</x:v>
      </x:c>
      <x:c r="H5562" s="0" t="s">
        <x:v>20</x:v>
      </x:c>
      <x:c r="I5562" s="0" t="s">
        <x:v>21</x:v>
      </x:c>
      <x:c r="K5562" s="0">
        <x:f>hyperlink("https://icd.who.int/dev11/l-ichi/en#/http%3A%2F%2Fid.who.int%2Ficd%2Fentity%2F785681211","browser")</x:f>
      </x:c>
      <x:c r="L5562" s="0">
        <x:f>hyperlink("https://icat2.azurewebsites.net/icat/?ontology=ICD&amp;tab=ClassesTab&amp;id=http%3A%2F%2Fwho.int%2Ficd%2331077_512ebf36_bf6b_4d70_85da_cf2637062af4","iCat")</x:f>
      </x:c>
      <x:c r="M5562" s="0" t="s">
        <x:v>21</x:v>
      </x:c>
      <x:c r="N5562" s="0" t="s">
        <x:v>46</x:v>
      </x:c>
    </x:row>
    <x:row r="5563" spans="1:16">
      <x:c r="A5563" s="0" t="s">
        <x:v>22104</x:v>
      </x:c>
      <x:c r="B5563" s="0" t="s">
        <x:v>22105</x:v>
      </x:c>
      <x:c r="C5563" s="0" t="s">
        <x:v>22106</x:v>
      </x:c>
      <x:c r="E5563" s="0" t="s">
        <x:v>22107</x:v>
      </x:c>
      <x:c r="F5563" s="0" t="s">
        <x:v>45</x:v>
      </x:c>
      <x:c r="G5563" s="0" t="s">
        <x:v>19</x:v>
      </x:c>
      <x:c r="H5563" s="0" t="s">
        <x:v>20</x:v>
      </x:c>
      <x:c r="I5563" s="0" t="s">
        <x:v>21</x:v>
      </x:c>
      <x:c r="K5563" s="0">
        <x:f>hyperlink("https://icd.who.int/dev11/l-ichi/en#/http%3A%2F%2Fid.who.int%2Ficd%2Fentity%2F875824529","browser")</x:f>
      </x:c>
      <x:c r="L5563" s="0">
        <x:f>hyperlink("https://icat2.azurewebsites.net/icat/?ontology=ICD&amp;tab=ClassesTab&amp;id=http%3A%2F%2Fwho.int%2Ficd%2331083_512ebf36_bf6b_4d70_85da_cf2637062af4","iCat")</x:f>
      </x:c>
      <x:c r="M5563" s="0" t="s">
        <x:v>21</x:v>
      </x:c>
      <x:c r="N5563" s="0" t="s">
        <x:v>46</x:v>
      </x:c>
    </x:row>
    <x:row r="5564" spans="1:16">
      <x:c r="A5564" s="0" t="s">
        <x:v>22108</x:v>
      </x:c>
      <x:c r="B5564" s="0" t="s">
        <x:v>22109</x:v>
      </x:c>
      <x:c r="C5564" s="0" t="s">
        <x:v>22110</x:v>
      </x:c>
      <x:c r="E5564" s="0" t="s">
        <x:v>22111</x:v>
      </x:c>
      <x:c r="F5564" s="0" t="s">
        <x:v>45</x:v>
      </x:c>
      <x:c r="G5564" s="0" t="s">
        <x:v>19</x:v>
      </x:c>
      <x:c r="H5564" s="0" t="s">
        <x:v>20</x:v>
      </x:c>
      <x:c r="I5564" s="0" t="s">
        <x:v>21</x:v>
      </x:c>
      <x:c r="K5564" s="0">
        <x:f>hyperlink("https://icd.who.int/dev11/l-ichi/en#/http%3A%2F%2Fid.who.int%2Ficd%2Fentity%2F533293313","browser")</x:f>
      </x:c>
      <x:c r="L5564" s="0">
        <x:f>hyperlink("https://icat2.azurewebsites.net/icat/?ontology=ICD&amp;tab=ClassesTab&amp;id=http%3A%2F%2Fwho.int%2Ficd%2331089_512ebf36_bf6b_4d70_85da_cf2637062af4","iCat")</x:f>
      </x:c>
      <x:c r="M5564" s="0" t="s">
        <x:v>21</x:v>
      </x:c>
      <x:c r="N5564" s="0" t="s">
        <x:v>46</x:v>
      </x:c>
    </x:row>
    <x:row r="5565" spans="1:16">
      <x:c r="A5565" s="0" t="s">
        <x:v>22112</x:v>
      </x:c>
      <x:c r="B5565" s="0" t="s">
        <x:v>22113</x:v>
      </x:c>
      <x:c r="C5565" s="0" t="s">
        <x:v>22114</x:v>
      </x:c>
      <x:c r="E5565" s="0" t="s">
        <x:v>22115</x:v>
      </x:c>
      <x:c r="F5565" s="0" t="s">
        <x:v>45</x:v>
      </x:c>
      <x:c r="G5565" s="0" t="s">
        <x:v>19</x:v>
      </x:c>
      <x:c r="H5565" s="0" t="s">
        <x:v>20</x:v>
      </x:c>
      <x:c r="I5565" s="0" t="s">
        <x:v>21</x:v>
      </x:c>
      <x:c r="K5565" s="0">
        <x:f>hyperlink("https://icd.who.int/dev11/l-ichi/en#/http%3A%2F%2Fid.who.int%2Ficd%2Fentity%2F1259284112","browser")</x:f>
      </x:c>
      <x:c r="L5565" s="0">
        <x:f>hyperlink("https://icat2.azurewebsites.net/icat/?ontology=ICD&amp;tab=ClassesTab&amp;id=http%3A%2F%2Fwho.int%2Ficd%2331096_512ebf36_bf6b_4d70_85da_cf2637062af4","iCat")</x:f>
      </x:c>
      <x:c r="M5565" s="0" t="s">
        <x:v>21</x:v>
      </x:c>
      <x:c r="N5565" s="0" t="s">
        <x:v>46</x:v>
      </x:c>
    </x:row>
    <x:row r="5566" spans="1:16">
      <x:c r="A5566" s="0" t="s">
        <x:v>22116</x:v>
      </x:c>
      <x:c r="B5566" s="0" t="s">
        <x:v>22117</x:v>
      </x:c>
      <x:c r="C5566" s="0" t="s">
        <x:v>22118</x:v>
      </x:c>
      <x:c r="E5566" s="0" t="s">
        <x:v>22119</x:v>
      </x:c>
      <x:c r="F5566" s="0" t="s">
        <x:v>45</x:v>
      </x:c>
      <x:c r="G5566" s="0" t="s">
        <x:v>19</x:v>
      </x:c>
      <x:c r="H5566" s="0" t="s">
        <x:v>20</x:v>
      </x:c>
      <x:c r="I5566" s="0" t="s">
        <x:v>21</x:v>
      </x:c>
      <x:c r="K5566" s="0">
        <x:f>hyperlink("https://icd.who.int/dev11/l-ichi/en#/http%3A%2F%2Fid.who.int%2Ficd%2Fentity%2F1969747544","browser")</x:f>
      </x:c>
      <x:c r="L5566" s="0">
        <x:f>hyperlink("https://icat2.azurewebsites.net/icat/?ontology=ICD&amp;tab=ClassesTab&amp;id=http%3A%2F%2Fwho.int%2Ficd%2331109_512ebf36_bf6b_4d70_85da_cf2637062af4","iCat")</x:f>
      </x:c>
      <x:c r="M5566" s="0" t="s">
        <x:v>21</x:v>
      </x:c>
      <x:c r="N5566" s="0" t="s">
        <x:v>46</x:v>
      </x:c>
    </x:row>
    <x:row r="5567" spans="1:16">
      <x:c r="A5567" s="0" t="s">
        <x:v>22120</x:v>
      </x:c>
      <x:c r="B5567" s="0" t="s">
        <x:v>22121</x:v>
      </x:c>
      <x:c r="C5567" s="0" t="s">
        <x:v>22122</x:v>
      </x:c>
      <x:c r="E5567" s="0" t="s">
        <x:v>22123</x:v>
      </x:c>
      <x:c r="F5567" s="0" t="s">
        <x:v>45</x:v>
      </x:c>
      <x:c r="G5567" s="0" t="s">
        <x:v>19</x:v>
      </x:c>
      <x:c r="H5567" s="0" t="s">
        <x:v>20</x:v>
      </x:c>
      <x:c r="I5567" s="0" t="s">
        <x:v>21</x:v>
      </x:c>
      <x:c r="K5567" s="0">
        <x:f>hyperlink("https://icd.who.int/dev11/l-ichi/en#/http%3A%2F%2Fid.who.int%2Ficd%2Fentity%2F1410809252","browser")</x:f>
      </x:c>
      <x:c r="L5567" s="0">
        <x:f>hyperlink("https://icat2.azurewebsites.net/icat/?ontology=ICD&amp;tab=ClassesTab&amp;id=http%3A%2F%2Fwho.int%2Ficd%2331122_512ebf36_bf6b_4d70_85da_cf2637062af4","iCat")</x:f>
      </x:c>
      <x:c r="M5567" s="0" t="s">
        <x:v>21</x:v>
      </x:c>
      <x:c r="N5567" s="0" t="s">
        <x:v>46</x:v>
      </x:c>
    </x:row>
    <x:row r="5568" spans="1:16">
      <x:c r="A5568" s="0" t="s">
        <x:v>22124</x:v>
      </x:c>
      <x:c r="B5568" s="0" t="s">
        <x:v>22125</x:v>
      </x:c>
      <x:c r="C5568" s="0" t="s">
        <x:v>22126</x:v>
      </x:c>
      <x:c r="E5568" s="0" t="s">
        <x:v>22127</x:v>
      </x:c>
      <x:c r="F5568" s="0" t="s">
        <x:v>45</x:v>
      </x:c>
      <x:c r="G5568" s="0" t="s">
        <x:v>19</x:v>
      </x:c>
      <x:c r="H5568" s="0" t="s">
        <x:v>20</x:v>
      </x:c>
      <x:c r="I5568" s="0" t="s">
        <x:v>21</x:v>
      </x:c>
      <x:c r="K5568" s="0">
        <x:f>hyperlink("https://icd.who.int/dev11/l-ichi/en#/http%3A%2F%2Fid.who.int%2Ficd%2Fentity%2F1538176310","browser")</x:f>
      </x:c>
      <x:c r="L5568" s="0">
        <x:f>hyperlink("https://icat2.azurewebsites.net/icat/?ontology=ICD&amp;tab=ClassesTab&amp;id=http%3A%2F%2Fwho.int%2Ficd%2331130_512ebf36_bf6b_4d70_85da_cf2637062af4","iCat")</x:f>
      </x:c>
      <x:c r="M5568" s="0" t="s">
        <x:v>21</x:v>
      </x:c>
      <x:c r="N5568" s="0" t="s">
        <x:v>46</x:v>
      </x:c>
    </x:row>
    <x:row r="5569" spans="1:16">
      <x:c r="A5569" s="0" t="s">
        <x:v>22128</x:v>
      </x:c>
      <x:c r="B5569" s="0" t="s">
        <x:v>22129</x:v>
      </x:c>
      <x:c r="C5569" s="0" t="s">
        <x:v>22130</x:v>
      </x:c>
      <x:c r="E5569" s="0" t="s">
        <x:v>22131</x:v>
      </x:c>
      <x:c r="F5569" s="0" t="s">
        <x:v>45</x:v>
      </x:c>
      <x:c r="G5569" s="0" t="s">
        <x:v>19</x:v>
      </x:c>
      <x:c r="H5569" s="0" t="s">
        <x:v>20</x:v>
      </x:c>
      <x:c r="I5569" s="0" t="s">
        <x:v>21</x:v>
      </x:c>
      <x:c r="K5569" s="0">
        <x:f>hyperlink("https://icd.who.int/dev11/l-ichi/en#/http%3A%2F%2Fid.who.int%2Ficd%2Fentity%2F1609507020","browser")</x:f>
      </x:c>
      <x:c r="L5569" s="0">
        <x:f>hyperlink("https://icat2.azurewebsites.net/icat/?ontology=ICD&amp;tab=ClassesTab&amp;id=http%3A%2F%2Fwho.int%2Ficd%2388_e9bf9ac7_0f21_4391_8ab3_5944290f317a","iCat")</x:f>
      </x:c>
      <x:c r="M5569" s="0" t="s">
        <x:v>21</x:v>
      </x:c>
      <x:c r="N5569" s="0" t="s">
        <x:v>46</x:v>
      </x:c>
    </x:row>
    <x:row r="5570" spans="1:16">
      <x:c r="A5570" s="0" t="s">
        <x:v>22132</x:v>
      </x:c>
      <x:c r="B5570" s="0" t="s">
        <x:v>22133</x:v>
      </x:c>
      <x:c r="C5570" s="0" t="s">
        <x:v>22134</x:v>
      </x:c>
      <x:c r="E5570" s="0" t="s">
        <x:v>22135</x:v>
      </x:c>
      <x:c r="F5570" s="0" t="s">
        <x:v>45</x:v>
      </x:c>
      <x:c r="G5570" s="0" t="s">
        <x:v>19</x:v>
      </x:c>
      <x:c r="H5570" s="0" t="s">
        <x:v>20</x:v>
      </x:c>
      <x:c r="I5570" s="0" t="s">
        <x:v>21</x:v>
      </x:c>
      <x:c r="K5570" s="0">
        <x:f>hyperlink("https://icd.who.int/dev11/l-ichi/en#/http%3A%2F%2Fid.who.int%2Ficd%2Fentity%2F1266799632","browser")</x:f>
      </x:c>
      <x:c r="L5570" s="0">
        <x:f>hyperlink("https://icat2.azurewebsites.net/icat/?ontology=ICD&amp;tab=ClassesTab&amp;id=http%3A%2F%2Fwho.int%2Ficd%2331141_512ebf36_bf6b_4d70_85da_cf2637062af4","iCat")</x:f>
      </x:c>
      <x:c r="M5570" s="0" t="s">
        <x:v>21</x:v>
      </x:c>
      <x:c r="N5570" s="0" t="s">
        <x:v>46</x:v>
      </x:c>
    </x:row>
    <x:row r="5571" spans="1:16">
      <x:c r="A5571" s="0" t="s">
        <x:v>22136</x:v>
      </x:c>
      <x:c r="B5571" s="0" t="s">
        <x:v>22137</x:v>
      </x:c>
      <x:c r="C5571" s="0" t="s">
        <x:v>22138</x:v>
      </x:c>
      <x:c r="E5571" s="0" t="s">
        <x:v>22139</x:v>
      </x:c>
      <x:c r="F5571" s="0" t="s">
        <x:v>45</x:v>
      </x:c>
      <x:c r="G5571" s="0" t="s">
        <x:v>19</x:v>
      </x:c>
      <x:c r="H5571" s="0" t="s">
        <x:v>20</x:v>
      </x:c>
      <x:c r="I5571" s="0" t="s">
        <x:v>21</x:v>
      </x:c>
      <x:c r="K5571" s="0">
        <x:f>hyperlink("https://icd.who.int/dev11/l-ichi/en#/http%3A%2F%2Fid.who.int%2Ficd%2Fentity%2F637130617","browser")</x:f>
      </x:c>
      <x:c r="L5571" s="0">
        <x:f>hyperlink("https://icat2.azurewebsites.net/icat/?ontology=ICD&amp;tab=ClassesTab&amp;id=http%3A%2F%2Fwho.int%2Ficd%2331148_512ebf36_bf6b_4d70_85da_cf2637062af4","iCat")</x:f>
      </x:c>
      <x:c r="M5571" s="0" t="s">
        <x:v>21</x:v>
      </x:c>
      <x:c r="N5571" s="0" t="s">
        <x:v>46</x:v>
      </x:c>
    </x:row>
    <x:row r="5572" spans="1:16">
      <x:c r="A5572" s="0" t="s">
        <x:v>22140</x:v>
      </x:c>
      <x:c r="B5572" s="0" t="s">
        <x:v>22141</x:v>
      </x:c>
      <x:c r="C5572" s="0" t="s">
        <x:v>22142</x:v>
      </x:c>
      <x:c r="E5572" s="0" t="s">
        <x:v>22143</x:v>
      </x:c>
      <x:c r="F5572" s="0" t="s">
        <x:v>45</x:v>
      </x:c>
      <x:c r="G5572" s="0" t="s">
        <x:v>19</x:v>
      </x:c>
      <x:c r="H5572" s="0" t="s">
        <x:v>20</x:v>
      </x:c>
      <x:c r="I5572" s="0" t="s">
        <x:v>21</x:v>
      </x:c>
      <x:c r="K5572" s="0">
        <x:f>hyperlink("https://icd.who.int/dev11/l-ichi/en#/http%3A%2F%2Fid.who.int%2Ficd%2Fentity%2F884668175","browser")</x:f>
      </x:c>
      <x:c r="L5572" s="0">
        <x:f>hyperlink("https://icat2.azurewebsites.net/icat/?ontology=ICD&amp;tab=ClassesTab&amp;id=http%3A%2F%2Fwho.int%2Ficd%2331154_512ebf36_bf6b_4d70_85da_cf2637062af4","iCat")</x:f>
      </x:c>
      <x:c r="M5572" s="0" t="s">
        <x:v>21</x:v>
      </x:c>
      <x:c r="N5572" s="0" t="s">
        <x:v>46</x:v>
      </x:c>
    </x:row>
    <x:row r="5573" spans="1:16">
      <x:c r="A5573" s="0" t="s">
        <x:v>22144</x:v>
      </x:c>
      <x:c r="B5573" s="0" t="s">
        <x:v>22145</x:v>
      </x:c>
      <x:c r="C5573" s="0" t="s">
        <x:v>22146</x:v>
      </x:c>
      <x:c r="E5573" s="0" t="s">
        <x:v>22147</x:v>
      </x:c>
      <x:c r="F5573" s="0" t="s">
        <x:v>45</x:v>
      </x:c>
      <x:c r="G5573" s="0" t="s">
        <x:v>19</x:v>
      </x:c>
      <x:c r="H5573" s="0" t="s">
        <x:v>20</x:v>
      </x:c>
      <x:c r="I5573" s="0" t="s">
        <x:v>21</x:v>
      </x:c>
      <x:c r="K5573" s="0">
        <x:f>hyperlink("https://icd.who.int/dev11/l-ichi/en#/http%3A%2F%2Fid.who.int%2Ficd%2Fentity%2F1091335036","browser")</x:f>
      </x:c>
      <x:c r="L5573" s="0">
        <x:f>hyperlink("https://icat2.azurewebsites.net/icat/?ontology=ICD&amp;tab=ClassesTab&amp;id=http%3A%2F%2Fwho.int%2Ficd%2331160_512ebf36_bf6b_4d70_85da_cf2637062af4","iCat")</x:f>
      </x:c>
      <x:c r="M5573" s="0" t="s">
        <x:v>21</x:v>
      </x:c>
      <x:c r="N5573" s="0" t="s">
        <x:v>46</x:v>
      </x:c>
    </x:row>
    <x:row r="5574" spans="1:16">
      <x:c r="A5574" s="0" t="s">
        <x:v>22148</x:v>
      </x:c>
      <x:c r="B5574" s="0" t="s">
        <x:v>22149</x:v>
      </x:c>
      <x:c r="C5574" s="0" t="s">
        <x:v>22150</x:v>
      </x:c>
      <x:c r="E5574" s="0" t="s">
        <x:v>22151</x:v>
      </x:c>
      <x:c r="F5574" s="0" t="s">
        <x:v>45</x:v>
      </x:c>
      <x:c r="G5574" s="0" t="s">
        <x:v>19</x:v>
      </x:c>
      <x:c r="H5574" s="0" t="s">
        <x:v>20</x:v>
      </x:c>
      <x:c r="I5574" s="0" t="s">
        <x:v>21</x:v>
      </x:c>
      <x:c r="K5574" s="0">
        <x:f>hyperlink("https://icd.who.int/dev11/l-ichi/en#/http%3A%2F%2Fid.who.int%2Ficd%2Fentity%2F293055181","browser")</x:f>
      </x:c>
      <x:c r="L5574" s="0">
        <x:f>hyperlink("https://icat2.azurewebsites.net/icat/?ontology=ICD&amp;tab=ClassesTab&amp;id=http%3A%2F%2Fwho.int%2Ficd%2331166_512ebf36_bf6b_4d70_85da_cf2637062af4","iCat")</x:f>
      </x:c>
      <x:c r="M5574" s="0" t="s">
        <x:v>21</x:v>
      </x:c>
      <x:c r="N5574" s="0" t="s">
        <x:v>46</x:v>
      </x:c>
    </x:row>
    <x:row r="5575" spans="1:16">
      <x:c r="A5575" s="0" t="s">
        <x:v>22152</x:v>
      </x:c>
      <x:c r="B5575" s="0" t="s">
        <x:v>22153</x:v>
      </x:c>
      <x:c r="C5575" s="0" t="s">
        <x:v>22154</x:v>
      </x:c>
      <x:c r="E5575" s="0" t="s">
        <x:v>22155</x:v>
      </x:c>
      <x:c r="F5575" s="0" t="s">
        <x:v>45</x:v>
      </x:c>
      <x:c r="G5575" s="0" t="s">
        <x:v>19</x:v>
      </x:c>
      <x:c r="H5575" s="0" t="s">
        <x:v>20</x:v>
      </x:c>
      <x:c r="I5575" s="0" t="s">
        <x:v>21</x:v>
      </x:c>
      <x:c r="K5575" s="0">
        <x:f>hyperlink("https://icd.who.int/dev11/l-ichi/en#/http%3A%2F%2Fid.who.int%2Ficd%2Fentity%2F516825695","browser")</x:f>
      </x:c>
      <x:c r="L5575" s="0">
        <x:f>hyperlink("https://icat2.azurewebsites.net/icat/?ontology=ICD&amp;tab=ClassesTab&amp;id=http%3A%2F%2Fwho.int%2Ficd%2331174_512ebf36_bf6b_4d70_85da_cf2637062af4","iCat")</x:f>
      </x:c>
      <x:c r="M5575" s="0" t="s">
        <x:v>21</x:v>
      </x:c>
      <x:c r="N5575" s="0" t="s">
        <x:v>46</x:v>
      </x:c>
    </x:row>
    <x:row r="5576" spans="1:16">
      <x:c r="A5576" s="0" t="s">
        <x:v>22156</x:v>
      </x:c>
      <x:c r="B5576" s="0" t="s">
        <x:v>22157</x:v>
      </x:c>
      <x:c r="C5576" s="0" t="s">
        <x:v>22158</x:v>
      </x:c>
      <x:c r="E5576" s="0" t="s">
        <x:v>22159</x:v>
      </x:c>
      <x:c r="F5576" s="0" t="s">
        <x:v>45</x:v>
      </x:c>
      <x:c r="G5576" s="0" t="s">
        <x:v>19</x:v>
      </x:c>
      <x:c r="H5576" s="0" t="s">
        <x:v>20</x:v>
      </x:c>
      <x:c r="I5576" s="0" t="s">
        <x:v>21</x:v>
      </x:c>
      <x:c r="K5576" s="0">
        <x:f>hyperlink("https://icd.who.int/dev11/l-ichi/en#/http%3A%2F%2Fid.who.int%2Ficd%2Fentity%2F298851005","browser")</x:f>
      </x:c>
      <x:c r="L5576" s="0">
        <x:f>hyperlink("https://icat2.azurewebsites.net/icat/?ontology=ICD&amp;tab=ClassesTab&amp;id=http%3A%2F%2Fwho.int%2Ficd%2331185_512ebf36_bf6b_4d70_85da_cf2637062af4","iCat")</x:f>
      </x:c>
      <x:c r="M5576" s="0" t="s">
        <x:v>21</x:v>
      </x:c>
      <x:c r="N5576" s="0" t="s">
        <x:v>46</x:v>
      </x:c>
    </x:row>
    <x:row r="5577" spans="1:16">
      <x:c r="A5577" s="0" t="s">
        <x:v>22160</x:v>
      </x:c>
      <x:c r="B5577" s="0" t="s">
        <x:v>22161</x:v>
      </x:c>
      <x:c r="C5577" s="0" t="s">
        <x:v>22162</x:v>
      </x:c>
      <x:c r="E5577" s="0" t="s">
        <x:v>22163</x:v>
      </x:c>
      <x:c r="F5577" s="0" t="s">
        <x:v>45</x:v>
      </x:c>
      <x:c r="G5577" s="0" t="s">
        <x:v>19</x:v>
      </x:c>
      <x:c r="H5577" s="0" t="s">
        <x:v>20</x:v>
      </x:c>
      <x:c r="I5577" s="0" t="s">
        <x:v>21</x:v>
      </x:c>
      <x:c r="K5577" s="0">
        <x:f>hyperlink("https://icd.who.int/dev11/l-ichi/en#/http%3A%2F%2Fid.who.int%2Ficd%2Fentity%2F194454631","browser")</x:f>
      </x:c>
      <x:c r="L5577" s="0">
        <x:f>hyperlink("https://icat2.azurewebsites.net/icat/?ontology=ICD&amp;tab=ClassesTab&amp;id=http%3A%2F%2Fwho.int%2Ficd%2331192_512ebf36_bf6b_4d70_85da_cf2637062af4","iCat")</x:f>
      </x:c>
      <x:c r="M5577" s="0" t="s">
        <x:v>21</x:v>
      </x:c>
      <x:c r="N5577" s="0" t="s">
        <x:v>46</x:v>
      </x:c>
    </x:row>
    <x:row r="5578" spans="1:16">
      <x:c r="A5578" s="0" t="s">
        <x:v>22164</x:v>
      </x:c>
      <x:c r="B5578" s="0" t="s">
        <x:v>22165</x:v>
      </x:c>
      <x:c r="C5578" s="0" t="s">
        <x:v>22166</x:v>
      </x:c>
      <x:c r="E5578" s="0" t="s">
        <x:v>22167</x:v>
      </x:c>
      <x:c r="F5578" s="0" t="s">
        <x:v>45</x:v>
      </x:c>
      <x:c r="G5578" s="0" t="s">
        <x:v>19</x:v>
      </x:c>
      <x:c r="H5578" s="0" t="s">
        <x:v>20</x:v>
      </x:c>
      <x:c r="I5578" s="0" t="s">
        <x:v>21</x:v>
      </x:c>
      <x:c r="K5578" s="0">
        <x:f>hyperlink("https://icd.who.int/dev11/l-ichi/en#/http%3A%2F%2Fid.who.int%2Ficd%2Fentity%2F9648843","browser")</x:f>
      </x:c>
      <x:c r="L5578" s="0">
        <x:f>hyperlink("https://icat2.azurewebsites.net/icat/?ontology=ICD&amp;tab=ClassesTab&amp;id=http%3A%2F%2Fwho.int%2Ficd%2331199_512ebf36_bf6b_4d70_85da_cf2637062af4","iCat")</x:f>
      </x:c>
      <x:c r="M5578" s="0" t="s">
        <x:v>21</x:v>
      </x:c>
      <x:c r="N5578" s="0" t="s">
        <x:v>46</x:v>
      </x:c>
    </x:row>
    <x:row r="5579" spans="1:16">
      <x:c r="A5579" s="0" t="s">
        <x:v>22168</x:v>
      </x:c>
      <x:c r="B5579" s="0" t="s">
        <x:v>22169</x:v>
      </x:c>
      <x:c r="C5579" s="0" t="s">
        <x:v>22170</x:v>
      </x:c>
      <x:c r="E5579" s="0" t="s">
        <x:v>22171</x:v>
      </x:c>
      <x:c r="F5579" s="0" t="s">
        <x:v>45</x:v>
      </x:c>
      <x:c r="G5579" s="0" t="s">
        <x:v>19</x:v>
      </x:c>
      <x:c r="H5579" s="0" t="s">
        <x:v>20</x:v>
      </x:c>
      <x:c r="I5579" s="0" t="s">
        <x:v>21</x:v>
      </x:c>
      <x:c r="K5579" s="0">
        <x:f>hyperlink("https://icd.who.int/dev11/l-ichi/en#/http%3A%2F%2Fid.who.int%2Ficd%2Fentity%2F180546277","browser")</x:f>
      </x:c>
      <x:c r="L5579" s="0">
        <x:f>hyperlink("https://icat2.azurewebsites.net/icat/?ontology=ICD&amp;tab=ClassesTab&amp;id=http%3A%2F%2Fwho.int%2Ficd%2331207_512ebf36_bf6b_4d70_85da_cf2637062af4","iCat")</x:f>
      </x:c>
      <x:c r="M5579" s="0" t="s">
        <x:v>21</x:v>
      </x:c>
      <x:c r="N5579" s="0" t="s">
        <x:v>46</x:v>
      </x:c>
    </x:row>
    <x:row r="5580" spans="1:16">
      <x:c r="A5580" s="0" t="s">
        <x:v>22172</x:v>
      </x:c>
      <x:c r="B5580" s="0" t="s">
        <x:v>22173</x:v>
      </x:c>
      <x:c r="C5580" s="0" t="s">
        <x:v>22174</x:v>
      </x:c>
      <x:c r="E5580" s="0" t="s">
        <x:v>22175</x:v>
      </x:c>
      <x:c r="F5580" s="0" t="s">
        <x:v>45</x:v>
      </x:c>
      <x:c r="G5580" s="0" t="s">
        <x:v>19</x:v>
      </x:c>
      <x:c r="H5580" s="0" t="s">
        <x:v>20</x:v>
      </x:c>
      <x:c r="I5580" s="0" t="s">
        <x:v>21</x:v>
      </x:c>
      <x:c r="K5580" s="0">
        <x:f>hyperlink("https://icd.who.int/dev11/l-ichi/en#/http%3A%2F%2Fid.who.int%2Ficd%2Fentity%2F629280843","browser")</x:f>
      </x:c>
      <x:c r="L5580" s="0">
        <x:f>hyperlink("https://icat2.azurewebsites.net/icat/?ontology=ICD&amp;tab=ClassesTab&amp;id=http%3A%2F%2Fwho.int%2Ficd%2331214_512ebf36_bf6b_4d70_85da_cf2637062af4","iCat")</x:f>
      </x:c>
      <x:c r="M5580" s="0" t="s">
        <x:v>21</x:v>
      </x:c>
      <x:c r="N5580" s="0" t="s">
        <x:v>46</x:v>
      </x:c>
    </x:row>
    <x:row r="5581" spans="1:16">
      <x:c r="A5581" s="0" t="s">
        <x:v>22176</x:v>
      </x:c>
      <x:c r="B5581" s="0" t="s">
        <x:v>22177</x:v>
      </x:c>
      <x:c r="C5581" s="0" t="s">
        <x:v>22178</x:v>
      </x:c>
      <x:c r="E5581" s="0" t="s">
        <x:v>22179</x:v>
      </x:c>
      <x:c r="F5581" s="0" t="s">
        <x:v>45</x:v>
      </x:c>
      <x:c r="G5581" s="0" t="s">
        <x:v>19</x:v>
      </x:c>
      <x:c r="H5581" s="0" t="s">
        <x:v>20</x:v>
      </x:c>
      <x:c r="I5581" s="0" t="s">
        <x:v>21</x:v>
      </x:c>
      <x:c r="K5581" s="0">
        <x:f>hyperlink("https://icd.who.int/dev11/l-ichi/en#/http%3A%2F%2Fid.who.int%2Ficd%2Fentity%2F1345623098","browser")</x:f>
      </x:c>
      <x:c r="L5581" s="0">
        <x:f>hyperlink("https://icat2.azurewebsites.net/icat/?ontology=ICD&amp;tab=ClassesTab&amp;id=http%3A%2F%2Fwho.int%2Ficd%2331220_512ebf36_bf6b_4d70_85da_cf2637062af4","iCat")</x:f>
      </x:c>
      <x:c r="M5581" s="0" t="s">
        <x:v>21</x:v>
      </x:c>
      <x:c r="N5581" s="0" t="s">
        <x:v>46</x:v>
      </x:c>
    </x:row>
    <x:row r="5582" spans="1:16">
      <x:c r="A5582" s="0" t="s">
        <x:v>22180</x:v>
      </x:c>
      <x:c r="B5582" s="0" t="s">
        <x:v>22181</x:v>
      </x:c>
      <x:c r="C5582" s="0" t="s">
        <x:v>22182</x:v>
      </x:c>
      <x:c r="E5582" s="0" t="s">
        <x:v>22183</x:v>
      </x:c>
      <x:c r="F5582" s="0" t="s">
        <x:v>45</x:v>
      </x:c>
      <x:c r="G5582" s="0" t="s">
        <x:v>19</x:v>
      </x:c>
      <x:c r="H5582" s="0" t="s">
        <x:v>20</x:v>
      </x:c>
      <x:c r="I5582" s="0" t="s">
        <x:v>21</x:v>
      </x:c>
      <x:c r="K5582" s="0">
        <x:f>hyperlink("https://icd.who.int/dev11/l-ichi/en#/http%3A%2F%2Fid.who.int%2Ficd%2Fentity%2F5197193","browser")</x:f>
      </x:c>
      <x:c r="L5582" s="0">
        <x:f>hyperlink("https://icat2.azurewebsites.net/icat/?ontology=ICD&amp;tab=ClassesTab&amp;id=http%3A%2F%2Fwho.int%2Ficd%2331226_512ebf36_bf6b_4d70_85da_cf2637062af4","iCat")</x:f>
      </x:c>
      <x:c r="M5582" s="0" t="s">
        <x:v>21</x:v>
      </x:c>
      <x:c r="N5582" s="0" t="s">
        <x:v>46</x:v>
      </x:c>
    </x:row>
    <x:row r="5583" spans="1:16">
      <x:c r="A5583" s="0" t="s">
        <x:v>22184</x:v>
      </x:c>
      <x:c r="B5583" s="0" t="s">
        <x:v>22185</x:v>
      </x:c>
      <x:c r="C5583" s="0" t="s">
        <x:v>22186</x:v>
      </x:c>
      <x:c r="E5583" s="0" t="s">
        <x:v>22187</x:v>
      </x:c>
      <x:c r="F5583" s="0" t="s">
        <x:v>45</x:v>
      </x:c>
      <x:c r="G5583" s="0" t="s">
        <x:v>19</x:v>
      </x:c>
      <x:c r="H5583" s="0" t="s">
        <x:v>20</x:v>
      </x:c>
      <x:c r="I5583" s="0" t="s">
        <x:v>21</x:v>
      </x:c>
      <x:c r="K5583" s="0">
        <x:f>hyperlink("https://icd.who.int/dev11/l-ichi/en#/http%3A%2F%2Fid.who.int%2Ficd%2Fentity%2F1603083436","browser")</x:f>
      </x:c>
      <x:c r="L5583" s="0">
        <x:f>hyperlink("https://icat2.azurewebsites.net/icat/?ontology=ICD&amp;tab=ClassesTab&amp;id=http%3A%2F%2Fwho.int%2Ficd%2331232_512ebf36_bf6b_4d70_85da_cf2637062af4","iCat")</x:f>
      </x:c>
      <x:c r="M5583" s="0" t="s">
        <x:v>21</x:v>
      </x:c>
      <x:c r="N5583" s="0" t="s">
        <x:v>46</x:v>
      </x:c>
    </x:row>
    <x:row r="5584" spans="1:16">
      <x:c r="A5584" s="0" t="s">
        <x:v>22188</x:v>
      </x:c>
      <x:c r="B5584" s="0" t="s">
        <x:v>22189</x:v>
      </x:c>
      <x:c r="C5584" s="0" t="s">
        <x:v>22190</x:v>
      </x:c>
      <x:c r="E5584" s="0" t="s">
        <x:v>22191</x:v>
      </x:c>
      <x:c r="F5584" s="0" t="s">
        <x:v>45</x:v>
      </x:c>
      <x:c r="G5584" s="0" t="s">
        <x:v>19</x:v>
      </x:c>
      <x:c r="H5584" s="0" t="s">
        <x:v>20</x:v>
      </x:c>
      <x:c r="I5584" s="0" t="s">
        <x:v>21</x:v>
      </x:c>
      <x:c r="K5584" s="0">
        <x:f>hyperlink("https://icd.who.int/dev11/l-ichi/en#/http%3A%2F%2Fid.who.int%2Ficd%2Fentity%2F1953525820","browser")</x:f>
      </x:c>
      <x:c r="L5584" s="0">
        <x:f>hyperlink("https://icat2.azurewebsites.net/icat/?ontology=ICD&amp;tab=ClassesTab&amp;id=http%3A%2F%2Fwho.int%2Ficd%2331238_512ebf36_bf6b_4d70_85da_cf2637062af4","iCat")</x:f>
      </x:c>
      <x:c r="M5584" s="0" t="s">
        <x:v>21</x:v>
      </x:c>
      <x:c r="N5584" s="0" t="s">
        <x:v>46</x:v>
      </x:c>
    </x:row>
    <x:row r="5585" spans="1:16">
      <x:c r="A5585" s="0" t="s">
        <x:v>22192</x:v>
      </x:c>
      <x:c r="B5585" s="0" t="s">
        <x:v>22193</x:v>
      </x:c>
      <x:c r="C5585" s="0" t="s">
        <x:v>22194</x:v>
      </x:c>
      <x:c r="E5585" s="0" t="s">
        <x:v>22195</x:v>
      </x:c>
      <x:c r="F5585" s="0" t="s">
        <x:v>45</x:v>
      </x:c>
      <x:c r="G5585" s="0" t="s">
        <x:v>19</x:v>
      </x:c>
      <x:c r="H5585" s="0" t="s">
        <x:v>20</x:v>
      </x:c>
      <x:c r="I5585" s="0" t="s">
        <x:v>21</x:v>
      </x:c>
      <x:c r="K5585" s="0">
        <x:f>hyperlink("https://icd.who.int/dev11/l-ichi/en#/http%3A%2F%2Fid.who.int%2Ficd%2Fentity%2F1516030918","browser")</x:f>
      </x:c>
      <x:c r="L5585" s="0">
        <x:f>hyperlink("https://icat2.azurewebsites.net/icat/?ontology=ICD&amp;tab=ClassesTab&amp;id=http%3A%2F%2Fwho.int%2Ficd%2331246_512ebf36_bf6b_4d70_85da_cf2637062af4","iCat")</x:f>
      </x:c>
      <x:c r="M5585" s="0" t="s">
        <x:v>21</x:v>
      </x:c>
      <x:c r="N5585" s="0" t="s">
        <x:v>46</x:v>
      </x:c>
    </x:row>
    <x:row r="5586" spans="1:16">
      <x:c r="A5586" s="0" t="s">
        <x:v>22196</x:v>
      </x:c>
      <x:c r="B5586" s="0" t="s">
        <x:v>22197</x:v>
      </x:c>
      <x:c r="C5586" s="0" t="s">
        <x:v>22198</x:v>
      </x:c>
      <x:c r="E5586" s="0" t="s">
        <x:v>22199</x:v>
      </x:c>
      <x:c r="F5586" s="0" t="s">
        <x:v>45</x:v>
      </x:c>
      <x:c r="G5586" s="0" t="s">
        <x:v>19</x:v>
      </x:c>
      <x:c r="H5586" s="0" t="s">
        <x:v>20</x:v>
      </x:c>
      <x:c r="I5586" s="0" t="s">
        <x:v>21</x:v>
      </x:c>
      <x:c r="K5586" s="0">
        <x:f>hyperlink("https://icd.who.int/dev11/l-ichi/en#/http%3A%2F%2Fid.who.int%2Ficd%2Fentity%2F94280423","browser")</x:f>
      </x:c>
      <x:c r="L5586" s="0">
        <x:f>hyperlink("https://icat2.azurewebsites.net/icat/?ontology=ICD&amp;tab=ClassesTab&amp;id=http%3A%2F%2Fwho.int%2Ficd%2331252_512ebf36_bf6b_4d70_85da_cf2637062af4","iCat")</x:f>
      </x:c>
      <x:c r="M5586" s="0" t="s">
        <x:v>21</x:v>
      </x:c>
      <x:c r="N5586" s="0" t="s">
        <x:v>46</x:v>
      </x:c>
    </x:row>
    <x:row r="5587" spans="1:16">
      <x:c r="A5587" s="0" t="s">
        <x:v>22200</x:v>
      </x:c>
      <x:c r="B5587" s="0" t="s">
        <x:v>22201</x:v>
      </x:c>
      <x:c r="C5587" s="0" t="s">
        <x:v>22202</x:v>
      </x:c>
      <x:c r="E5587" s="0" t="s">
        <x:v>22203</x:v>
      </x:c>
      <x:c r="F5587" s="0" t="s">
        <x:v>45</x:v>
      </x:c>
      <x:c r="G5587" s="0" t="s">
        <x:v>19</x:v>
      </x:c>
      <x:c r="H5587" s="0" t="s">
        <x:v>20</x:v>
      </x:c>
      <x:c r="I5587" s="0" t="s">
        <x:v>21</x:v>
      </x:c>
      <x:c r="K5587" s="0">
        <x:f>hyperlink("https://icd.who.int/dev11/l-ichi/en#/http%3A%2F%2Fid.who.int%2Ficd%2Fentity%2F245007435","browser")</x:f>
      </x:c>
      <x:c r="L5587" s="0">
        <x:f>hyperlink("https://icat2.azurewebsites.net/icat/?ontology=ICD&amp;tab=ClassesTab&amp;id=http%3A%2F%2Fwho.int%2Ficd%2331259_512ebf36_bf6b_4d70_85da_cf2637062af4","iCat")</x:f>
      </x:c>
      <x:c r="M5587" s="0" t="s">
        <x:v>21</x:v>
      </x:c>
      <x:c r="N5587" s="0" t="s">
        <x:v>46</x:v>
      </x:c>
    </x:row>
    <x:row r="5588" spans="1:16">
      <x:c r="A5588" s="0" t="s">
        <x:v>22204</x:v>
      </x:c>
      <x:c r="B5588" s="0" t="s">
        <x:v>22205</x:v>
      </x:c>
      <x:c r="C5588" s="0" t="s">
        <x:v>22206</x:v>
      </x:c>
      <x:c r="E5588" s="0" t="s">
        <x:v>22207</x:v>
      </x:c>
      <x:c r="F5588" s="0" t="s">
        <x:v>45</x:v>
      </x:c>
      <x:c r="G5588" s="0" t="s">
        <x:v>19</x:v>
      </x:c>
      <x:c r="H5588" s="0" t="s">
        <x:v>20</x:v>
      </x:c>
      <x:c r="I5588" s="0" t="s">
        <x:v>21</x:v>
      </x:c>
      <x:c r="K5588" s="0">
        <x:f>hyperlink("https://icd.who.int/dev11/l-ichi/en#/http%3A%2F%2Fid.who.int%2Ficd%2Fentity%2F1859303026","browser")</x:f>
      </x:c>
      <x:c r="L5588" s="0">
        <x:f>hyperlink("https://icat2.azurewebsites.net/icat/?ontology=ICD&amp;tab=ClassesTab&amp;id=http%3A%2F%2Fwho.int%2Ficd%2331268_512ebf36_bf6b_4d70_85da_cf2637062af4","iCat")</x:f>
      </x:c>
      <x:c r="M5588" s="0" t="s">
        <x:v>21</x:v>
      </x:c>
      <x:c r="N5588" s="0" t="s">
        <x:v>46</x:v>
      </x:c>
    </x:row>
    <x:row r="5589" spans="1:16">
      <x:c r="A5589" s="0" t="s">
        <x:v>22208</x:v>
      </x:c>
      <x:c r="B5589" s="0" t="s">
        <x:v>22209</x:v>
      </x:c>
      <x:c r="C5589" s="0" t="s">
        <x:v>22210</x:v>
      </x:c>
      <x:c r="E5589" s="0" t="s">
        <x:v>22211</x:v>
      </x:c>
      <x:c r="F5589" s="0" t="s">
        <x:v>45</x:v>
      </x:c>
      <x:c r="G5589" s="0" t="s">
        <x:v>19</x:v>
      </x:c>
      <x:c r="H5589" s="0" t="s">
        <x:v>20</x:v>
      </x:c>
      <x:c r="I5589" s="0" t="s">
        <x:v>21</x:v>
      </x:c>
      <x:c r="K5589" s="0">
        <x:f>hyperlink("https://icd.who.int/dev11/l-ichi/en#/http%3A%2F%2Fid.who.int%2Ficd%2Fentity%2F1600709692","browser")</x:f>
      </x:c>
      <x:c r="L5589" s="0">
        <x:f>hyperlink("https://icat2.azurewebsites.net/icat/?ontology=ICD&amp;tab=ClassesTab&amp;id=http%3A%2F%2Fwho.int%2Ficd%2331275_512ebf36_bf6b_4d70_85da_cf2637062af4","iCat")</x:f>
      </x:c>
      <x:c r="M5589" s="0" t="s">
        <x:v>21</x:v>
      </x:c>
      <x:c r="N5589" s="0" t="s">
        <x:v>46</x:v>
      </x:c>
    </x:row>
    <x:row r="5590" spans="1:16">
      <x:c r="A5590" s="0" t="s">
        <x:v>22212</x:v>
      </x:c>
      <x:c r="B5590" s="0" t="s">
        <x:v>22213</x:v>
      </x:c>
      <x:c r="C5590" s="0" t="s">
        <x:v>22214</x:v>
      </x:c>
      <x:c r="E5590" s="0" t="s">
        <x:v>22215</x:v>
      </x:c>
      <x:c r="F5590" s="0" t="s">
        <x:v>45</x:v>
      </x:c>
      <x:c r="G5590" s="0" t="s">
        <x:v>19</x:v>
      </x:c>
      <x:c r="H5590" s="0" t="s">
        <x:v>20</x:v>
      </x:c>
      <x:c r="I5590" s="0" t="s">
        <x:v>21</x:v>
      </x:c>
      <x:c r="K5590" s="0">
        <x:f>hyperlink("https://icd.who.int/dev11/l-ichi/en#/http%3A%2F%2Fid.who.int%2Ficd%2Fentity%2F1166568080","browser")</x:f>
      </x:c>
      <x:c r="L5590" s="0">
        <x:f>hyperlink("https://icat2.azurewebsites.net/icat/?ontology=ICD&amp;tab=ClassesTab&amp;id=http%3A%2F%2Fwho.int%2Ficd%2331281_512ebf36_bf6b_4d70_85da_cf2637062af4","iCat")</x:f>
      </x:c>
      <x:c r="M5590" s="0" t="s">
        <x:v>21</x:v>
      </x:c>
      <x:c r="N5590" s="0" t="s">
        <x:v>46</x:v>
      </x:c>
    </x:row>
    <x:row r="5591" spans="1:16">
      <x:c r="A5591" s="0" t="s">
        <x:v>22216</x:v>
      </x:c>
      <x:c r="B5591" s="0" t="s">
        <x:v>22217</x:v>
      </x:c>
      <x:c r="C5591" s="0" t="s">
        <x:v>22218</x:v>
      </x:c>
      <x:c r="E5591" s="0" t="s">
        <x:v>22219</x:v>
      </x:c>
      <x:c r="F5591" s="0" t="s">
        <x:v>45</x:v>
      </x:c>
      <x:c r="G5591" s="0" t="s">
        <x:v>19</x:v>
      </x:c>
      <x:c r="H5591" s="0" t="s">
        <x:v>20</x:v>
      </x:c>
      <x:c r="I5591" s="0" t="s">
        <x:v>21</x:v>
      </x:c>
      <x:c r="K5591" s="0">
        <x:f>hyperlink("https://icd.who.int/dev11/l-ichi/en#/http%3A%2F%2Fid.who.int%2Ficd%2Fentity%2F185146309","browser")</x:f>
      </x:c>
      <x:c r="L5591" s="0">
        <x:f>hyperlink("https://icat2.azurewebsites.net/icat/?ontology=ICD&amp;tab=ClassesTab&amp;id=http%3A%2F%2Fwho.int%2Ficd%2331289_512ebf36_bf6b_4d70_85da_cf2637062af4","iCat")</x:f>
      </x:c>
      <x:c r="M5591" s="0" t="s">
        <x:v>21</x:v>
      </x:c>
      <x:c r="N5591" s="0" t="s">
        <x:v>46</x:v>
      </x:c>
    </x:row>
    <x:row r="5592" spans="1:16">
      <x:c r="A5592" s="0" t="s">
        <x:v>22220</x:v>
      </x:c>
      <x:c r="B5592" s="0" t="s">
        <x:v>22221</x:v>
      </x:c>
      <x:c r="C5592" s="0" t="s">
        <x:v>22222</x:v>
      </x:c>
      <x:c r="E5592" s="0" t="s">
        <x:v>22223</x:v>
      </x:c>
      <x:c r="F5592" s="0" t="s">
        <x:v>45</x:v>
      </x:c>
      <x:c r="G5592" s="0" t="s">
        <x:v>19</x:v>
      </x:c>
      <x:c r="H5592" s="0" t="s">
        <x:v>20</x:v>
      </x:c>
      <x:c r="I5592" s="0" t="s">
        <x:v>21</x:v>
      </x:c>
      <x:c r="K5592" s="0">
        <x:f>hyperlink("https://icd.who.int/dev11/l-ichi/en#/http%3A%2F%2Fid.who.int%2Ficd%2Fentity%2F441072563","browser")</x:f>
      </x:c>
      <x:c r="L5592" s="0">
        <x:f>hyperlink("https://icat2.azurewebsites.net/icat/?ontology=ICD&amp;tab=ClassesTab&amp;id=http%3A%2F%2Fwho.int%2Ficd%2331295_512ebf36_bf6b_4d70_85da_cf2637062af4","iCat")</x:f>
      </x:c>
      <x:c r="M5592" s="0" t="s">
        <x:v>21</x:v>
      </x:c>
      <x:c r="N5592" s="0" t="s">
        <x:v>46</x:v>
      </x:c>
    </x:row>
    <x:row r="5593" spans="1:16">
      <x:c r="A5593" s="0" t="s">
        <x:v>22224</x:v>
      </x:c>
      <x:c r="B5593" s="0" t="s">
        <x:v>22225</x:v>
      </x:c>
      <x:c r="C5593" s="0" t="s">
        <x:v>22226</x:v>
      </x:c>
      <x:c r="E5593" s="0" t="s">
        <x:v>22227</x:v>
      </x:c>
      <x:c r="F5593" s="0" t="s">
        <x:v>45</x:v>
      </x:c>
      <x:c r="G5593" s="0" t="s">
        <x:v>19</x:v>
      </x:c>
      <x:c r="H5593" s="0" t="s">
        <x:v>20</x:v>
      </x:c>
      <x:c r="I5593" s="0" t="s">
        <x:v>21</x:v>
      </x:c>
      <x:c r="K5593" s="0">
        <x:f>hyperlink("https://icd.who.int/dev11/l-ichi/en#/http%3A%2F%2Fid.who.int%2Ficd%2Fentity%2F791082441","browser")</x:f>
      </x:c>
      <x:c r="L5593" s="0">
        <x:f>hyperlink("https://icat2.azurewebsites.net/icat/?ontology=ICD&amp;tab=ClassesTab&amp;id=http%3A%2F%2Fwho.int%2Ficd%2331301_512ebf36_bf6b_4d70_85da_cf2637062af4","iCat")</x:f>
      </x:c>
      <x:c r="M5593" s="0" t="s">
        <x:v>21</x:v>
      </x:c>
      <x:c r="N5593" s="0" t="s">
        <x:v>46</x:v>
      </x:c>
    </x:row>
    <x:row r="5594" spans="1:16">
      <x:c r="A5594" s="0" t="s">
        <x:v>22228</x:v>
      </x:c>
      <x:c r="B5594" s="0" t="s">
        <x:v>22229</x:v>
      </x:c>
      <x:c r="C5594" s="0" t="s">
        <x:v>22230</x:v>
      </x:c>
      <x:c r="E5594" s="0" t="s">
        <x:v>22231</x:v>
      </x:c>
      <x:c r="F5594" s="0" t="s">
        <x:v>45</x:v>
      </x:c>
      <x:c r="G5594" s="0" t="s">
        <x:v>19</x:v>
      </x:c>
      <x:c r="H5594" s="0" t="s">
        <x:v>20</x:v>
      </x:c>
      <x:c r="I5594" s="0" t="s">
        <x:v>21</x:v>
      </x:c>
      <x:c r="K5594" s="0">
        <x:f>hyperlink("https://icd.who.int/dev11/l-ichi/en#/http%3A%2F%2Fid.who.int%2Ficd%2Fentity%2F2136812664","browser")</x:f>
      </x:c>
      <x:c r="L5594" s="0">
        <x:f>hyperlink("https://icat2.azurewebsites.net/icat/?ontology=ICD&amp;tab=ClassesTab&amp;id=http%3A%2F%2Fwho.int%2Ficd%2331307_512ebf36_bf6b_4d70_85da_cf2637062af4","iCat")</x:f>
      </x:c>
      <x:c r="M5594" s="0" t="s">
        <x:v>21</x:v>
      </x:c>
      <x:c r="N5594" s="0" t="s">
        <x:v>46</x:v>
      </x:c>
    </x:row>
    <x:row r="5595" spans="1:16">
      <x:c r="A5595" s="0" t="s">
        <x:v>22232</x:v>
      </x:c>
      <x:c r="B5595" s="0" t="s">
        <x:v>22233</x:v>
      </x:c>
      <x:c r="C5595" s="0" t="s">
        <x:v>22234</x:v>
      </x:c>
      <x:c r="E5595" s="0" t="s">
        <x:v>22235</x:v>
      </x:c>
      <x:c r="F5595" s="0" t="s">
        <x:v>45</x:v>
      </x:c>
      <x:c r="G5595" s="0" t="s">
        <x:v>19</x:v>
      </x:c>
      <x:c r="H5595" s="0" t="s">
        <x:v>20</x:v>
      </x:c>
      <x:c r="I5595" s="0" t="s">
        <x:v>21</x:v>
      </x:c>
      <x:c r="K5595" s="0">
        <x:f>hyperlink("https://icd.who.int/dev11/l-ichi/en#/http%3A%2F%2Fid.who.int%2Ficd%2Fentity%2F1894032618","browser")</x:f>
      </x:c>
      <x:c r="L5595" s="0">
        <x:f>hyperlink("https://icat2.azurewebsites.net/icat/?ontology=ICD&amp;tab=ClassesTab&amp;id=http%3A%2F%2Fwho.int%2Ficd%2331315_512ebf36_bf6b_4d70_85da_cf2637062af4","iCat")</x:f>
      </x:c>
      <x:c r="M5595" s="0" t="s">
        <x:v>21</x:v>
      </x:c>
      <x:c r="N5595" s="0" t="s">
        <x:v>46</x:v>
      </x:c>
    </x:row>
    <x:row r="5596" spans="1:16">
      <x:c r="A5596" s="0" t="s">
        <x:v>22236</x:v>
      </x:c>
      <x:c r="B5596" s="0" t="s">
        <x:v>22237</x:v>
      </x:c>
      <x:c r="C5596" s="0" t="s">
        <x:v>22238</x:v>
      </x:c>
      <x:c r="E5596" s="0" t="s">
        <x:v>22239</x:v>
      </x:c>
      <x:c r="F5596" s="0" t="s">
        <x:v>45</x:v>
      </x:c>
      <x:c r="G5596" s="0" t="s">
        <x:v>19</x:v>
      </x:c>
      <x:c r="H5596" s="0" t="s">
        <x:v>20</x:v>
      </x:c>
      <x:c r="I5596" s="0" t="s">
        <x:v>21</x:v>
      </x:c>
      <x:c r="K5596" s="0">
        <x:f>hyperlink("https://icd.who.int/dev11/l-ichi/en#/http%3A%2F%2Fid.who.int%2Ficd%2Fentity%2F89268377","browser")</x:f>
      </x:c>
      <x:c r="L5596" s="0">
        <x:f>hyperlink("https://icat2.azurewebsites.net/icat/?ontology=ICD&amp;tab=ClassesTab&amp;id=http%3A%2F%2Fwho.int%2Ficd%2331321_512ebf36_bf6b_4d70_85da_cf2637062af4","iCat")</x:f>
      </x:c>
      <x:c r="M5596" s="0" t="s">
        <x:v>21</x:v>
      </x:c>
      <x:c r="N5596" s="0" t="s">
        <x:v>46</x:v>
      </x:c>
    </x:row>
    <x:row r="5597" spans="1:16">
      <x:c r="A5597" s="0" t="s">
        <x:v>22240</x:v>
      </x:c>
      <x:c r="B5597" s="0" t="s">
        <x:v>22241</x:v>
      </x:c>
      <x:c r="C5597" s="0" t="s">
        <x:v>22242</x:v>
      </x:c>
      <x:c r="E5597" s="0" t="s">
        <x:v>22243</x:v>
      </x:c>
      <x:c r="F5597" s="0" t="s">
        <x:v>45</x:v>
      </x:c>
      <x:c r="G5597" s="0" t="s">
        <x:v>19</x:v>
      </x:c>
      <x:c r="H5597" s="0" t="s">
        <x:v>20</x:v>
      </x:c>
      <x:c r="I5597" s="0" t="s">
        <x:v>21</x:v>
      </x:c>
      <x:c r="K5597" s="0">
        <x:f>hyperlink("https://icd.who.int/dev11/l-ichi/en#/http%3A%2F%2Fid.who.int%2Ficd%2Fentity%2F705878583","browser")</x:f>
      </x:c>
      <x:c r="L5597" s="0">
        <x:f>hyperlink("https://icat2.azurewebsites.net/icat/?ontology=ICD&amp;tab=ClassesTab&amp;id=http%3A%2F%2Fwho.int%2Ficd%2331332_512ebf36_bf6b_4d70_85da_cf2637062af4","iCat")</x:f>
      </x:c>
      <x:c r="M5597" s="0" t="s">
        <x:v>21</x:v>
      </x:c>
      <x:c r="N5597" s="0" t="s">
        <x:v>46</x:v>
      </x:c>
    </x:row>
    <x:row r="5598" spans="1:16">
      <x:c r="A5598" s="0" t="s">
        <x:v>22244</x:v>
      </x:c>
      <x:c r="B5598" s="0" t="s">
        <x:v>22245</x:v>
      </x:c>
      <x:c r="C5598" s="0" t="s">
        <x:v>22246</x:v>
      </x:c>
      <x:c r="E5598" s="0" t="s">
        <x:v>22247</x:v>
      </x:c>
      <x:c r="F5598" s="0" t="s">
        <x:v>45</x:v>
      </x:c>
      <x:c r="G5598" s="0" t="s">
        <x:v>19</x:v>
      </x:c>
      <x:c r="H5598" s="0" t="s">
        <x:v>20</x:v>
      </x:c>
      <x:c r="I5598" s="0" t="s">
        <x:v>21</x:v>
      </x:c>
      <x:c r="K5598" s="0">
        <x:f>hyperlink("https://icd.who.int/dev11/l-ichi/en#/http%3A%2F%2Fid.who.int%2Ficd%2Fentity%2F449104173","browser")</x:f>
      </x:c>
      <x:c r="L5598" s="0">
        <x:f>hyperlink("https://icat2.azurewebsites.net/icat/?ontology=ICD&amp;tab=ClassesTab&amp;id=http%3A%2F%2Fwho.int%2Ficd%2331342_512ebf36_bf6b_4d70_85da_cf2637062af4","iCat")</x:f>
      </x:c>
      <x:c r="M5598" s="0" t="s">
        <x:v>21</x:v>
      </x:c>
      <x:c r="N5598" s="0" t="s">
        <x:v>46</x:v>
      </x:c>
    </x:row>
    <x:row r="5599" spans="1:16">
      <x:c r="A5599" s="0" t="s">
        <x:v>22248</x:v>
      </x:c>
      <x:c r="B5599" s="0" t="s">
        <x:v>22249</x:v>
      </x:c>
      <x:c r="C5599" s="0" t="s">
        <x:v>22250</x:v>
      </x:c>
      <x:c r="E5599" s="0" t="s">
        <x:v>22251</x:v>
      </x:c>
      <x:c r="F5599" s="0" t="s">
        <x:v>45</x:v>
      </x:c>
      <x:c r="G5599" s="0" t="s">
        <x:v>19</x:v>
      </x:c>
      <x:c r="H5599" s="0" t="s">
        <x:v>20</x:v>
      </x:c>
      <x:c r="I5599" s="0" t="s">
        <x:v>21</x:v>
      </x:c>
      <x:c r="K5599" s="0">
        <x:f>hyperlink("https://icd.who.int/dev11/l-ichi/en#/http%3A%2F%2Fid.who.int%2Ficd%2Fentity%2F825861565","browser")</x:f>
      </x:c>
      <x:c r="L5599" s="0">
        <x:f>hyperlink("https://icat2.azurewebsites.net/icat/?ontology=ICD&amp;tab=ClassesTab&amp;id=http%3A%2F%2Fwho.int%2Ficd%2331348_512ebf36_bf6b_4d70_85da_cf2637062af4","iCat")</x:f>
      </x:c>
      <x:c r="M5599" s="0" t="s">
        <x:v>21</x:v>
      </x:c>
      <x:c r="N5599" s="0" t="s">
        <x:v>46</x:v>
      </x:c>
    </x:row>
    <x:row r="5600" spans="1:16">
      <x:c r="A5600" s="0" t="s">
        <x:v>22252</x:v>
      </x:c>
      <x:c r="B5600" s="0" t="s">
        <x:v>22253</x:v>
      </x:c>
      <x:c r="C5600" s="0" t="s">
        <x:v>22254</x:v>
      </x:c>
      <x:c r="E5600" s="0" t="s">
        <x:v>22255</x:v>
      </x:c>
      <x:c r="F5600" s="0" t="s">
        <x:v>45</x:v>
      </x:c>
      <x:c r="G5600" s="0" t="s">
        <x:v>19</x:v>
      </x:c>
      <x:c r="H5600" s="0" t="s">
        <x:v>20</x:v>
      </x:c>
      <x:c r="I5600" s="0" t="s">
        <x:v>21</x:v>
      </x:c>
      <x:c r="K5600" s="0">
        <x:f>hyperlink("https://icd.who.int/dev11/l-ichi/en#/http%3A%2F%2Fid.who.int%2Ficd%2Fentity%2F544900555","browser")</x:f>
      </x:c>
      <x:c r="L5600" s="0">
        <x:f>hyperlink("https://icat2.azurewebsites.net/icat/?ontology=ICD&amp;tab=ClassesTab&amp;id=http%3A%2F%2Fwho.int%2Ficd%2331354_512ebf36_bf6b_4d70_85da_cf2637062af4","iCat")</x:f>
      </x:c>
      <x:c r="M5600" s="0" t="s">
        <x:v>21</x:v>
      </x:c>
      <x:c r="N5600" s="0" t="s">
        <x:v>46</x:v>
      </x:c>
    </x:row>
    <x:row r="5601" spans="1:16">
      <x:c r="A5601" s="0" t="s">
        <x:v>22256</x:v>
      </x:c>
      <x:c r="B5601" s="0" t="s">
        <x:v>22257</x:v>
      </x:c>
      <x:c r="C5601" s="0" t="s">
        <x:v>22258</x:v>
      </x:c>
      <x:c r="E5601" s="0" t="s">
        <x:v>22259</x:v>
      </x:c>
      <x:c r="F5601" s="0" t="s">
        <x:v>45</x:v>
      </x:c>
      <x:c r="G5601" s="0" t="s">
        <x:v>19</x:v>
      </x:c>
      <x:c r="H5601" s="0" t="s">
        <x:v>20</x:v>
      </x:c>
      <x:c r="I5601" s="0" t="s">
        <x:v>21</x:v>
      </x:c>
      <x:c r="K5601" s="0">
        <x:f>hyperlink("https://icd.who.int/dev11/l-ichi/en#/http%3A%2F%2Fid.who.int%2Ficd%2Fentity%2F816847997","browser")</x:f>
      </x:c>
      <x:c r="L5601" s="0">
        <x:f>hyperlink("https://icat2.azurewebsites.net/icat/?ontology=ICD&amp;tab=ClassesTab&amp;id=http%3A%2F%2Fwho.int%2Ficd%2331362_512ebf36_bf6b_4d70_85da_cf2637062af4","iCat")</x:f>
      </x:c>
      <x:c r="M5601" s="0" t="s">
        <x:v>21</x:v>
      </x:c>
      <x:c r="N5601" s="0" t="s">
        <x:v>46</x:v>
      </x:c>
    </x:row>
    <x:row r="5602" spans="1:16">
      <x:c r="A5602" s="0" t="s">
        <x:v>22260</x:v>
      </x:c>
      <x:c r="B5602" s="0" t="s">
        <x:v>22261</x:v>
      </x:c>
      <x:c r="C5602" s="0" t="s">
        <x:v>22262</x:v>
      </x:c>
      <x:c r="E5602" s="0" t="s">
        <x:v>22263</x:v>
      </x:c>
      <x:c r="F5602" s="0" t="s">
        <x:v>45</x:v>
      </x:c>
      <x:c r="G5602" s="0" t="s">
        <x:v>19</x:v>
      </x:c>
      <x:c r="H5602" s="0" t="s">
        <x:v>20</x:v>
      </x:c>
      <x:c r="I5602" s="0" t="s">
        <x:v>21</x:v>
      </x:c>
      <x:c r="K5602" s="0">
        <x:f>hyperlink("https://icd.who.int/dev11/l-ichi/en#/http%3A%2F%2Fid.who.int%2Ficd%2Fentity%2F1001652945","browser")</x:f>
      </x:c>
      <x:c r="L5602" s="0">
        <x:f>hyperlink("https://icat2.azurewebsites.net/icat/?ontology=ICD&amp;tab=ClassesTab&amp;id=http%3A%2F%2Fwho.int%2Ficd%2331369_512ebf36_bf6b_4d70_85da_cf2637062af4","iCat")</x:f>
      </x:c>
      <x:c r="M5602" s="0" t="s">
        <x:v>21</x:v>
      </x:c>
      <x:c r="N5602" s="0" t="s">
        <x:v>46</x:v>
      </x:c>
    </x:row>
    <x:row r="5603" spans="1:16">
      <x:c r="A5603" s="0" t="s">
        <x:v>22264</x:v>
      </x:c>
      <x:c r="B5603" s="0" t="s">
        <x:v>22265</x:v>
      </x:c>
      <x:c r="C5603" s="0" t="s">
        <x:v>22266</x:v>
      </x:c>
      <x:c r="E5603" s="0" t="s">
        <x:v>22267</x:v>
      </x:c>
      <x:c r="F5603" s="0" t="s">
        <x:v>45</x:v>
      </x:c>
      <x:c r="G5603" s="0" t="s">
        <x:v>19</x:v>
      </x:c>
      <x:c r="H5603" s="0" t="s">
        <x:v>20</x:v>
      </x:c>
      <x:c r="I5603" s="0" t="s">
        <x:v>21</x:v>
      </x:c>
      <x:c r="K5603" s="0">
        <x:f>hyperlink("https://icd.who.int/dev11/l-ichi/en#/http%3A%2F%2Fid.who.int%2Ficd%2Fentity%2F284089905","browser")</x:f>
      </x:c>
      <x:c r="L5603" s="0">
        <x:f>hyperlink("https://icat2.azurewebsites.net/icat/?ontology=ICD&amp;tab=ClassesTab&amp;id=http%3A%2F%2Fwho.int%2Ficd%2331380_512ebf36_bf6b_4d70_85da_cf2637062af4","iCat")</x:f>
      </x:c>
      <x:c r="M5603" s="0" t="s">
        <x:v>21</x:v>
      </x:c>
      <x:c r="N5603" s="0" t="s">
        <x:v>46</x:v>
      </x:c>
    </x:row>
    <x:row r="5604" spans="1:16">
      <x:c r="A5604" s="0" t="s">
        <x:v>22268</x:v>
      </x:c>
      <x:c r="B5604" s="0" t="s">
        <x:v>22269</x:v>
      </x:c>
      <x:c r="C5604" s="0" t="s">
        <x:v>22270</x:v>
      </x:c>
      <x:c r="E5604" s="0" t="s">
        <x:v>22271</x:v>
      </x:c>
      <x:c r="F5604" s="0" t="s">
        <x:v>45</x:v>
      </x:c>
      <x:c r="G5604" s="0" t="s">
        <x:v>19</x:v>
      </x:c>
      <x:c r="H5604" s="0" t="s">
        <x:v>20</x:v>
      </x:c>
      <x:c r="I5604" s="0" t="s">
        <x:v>21</x:v>
      </x:c>
      <x:c r="K5604" s="0">
        <x:f>hyperlink("https://icd.who.int/dev11/l-ichi/en#/http%3A%2F%2Fid.who.int%2Ficd%2Fentity%2F1083508608","browser")</x:f>
      </x:c>
      <x:c r="L5604" s="0">
        <x:f>hyperlink("https://icat2.azurewebsites.net/icat/?ontology=ICD&amp;tab=ClassesTab&amp;id=http%3A%2F%2Fwho.int%2Ficd%2331386_512ebf36_bf6b_4d70_85da_cf2637062af4","iCat")</x:f>
      </x:c>
      <x:c r="M5604" s="0" t="s">
        <x:v>21</x:v>
      </x:c>
      <x:c r="N5604" s="0" t="s">
        <x:v>46</x:v>
      </x:c>
    </x:row>
    <x:row r="5605" spans="1:16">
      <x:c r="A5605" s="0" t="s">
        <x:v>22272</x:v>
      </x:c>
      <x:c r="B5605" s="0" t="s">
        <x:v>22273</x:v>
      </x:c>
      <x:c r="C5605" s="0" t="s">
        <x:v>22274</x:v>
      </x:c>
      <x:c r="E5605" s="0" t="s">
        <x:v>22275</x:v>
      </x:c>
      <x:c r="F5605" s="0" t="s">
        <x:v>45</x:v>
      </x:c>
      <x:c r="G5605" s="0" t="s">
        <x:v>19</x:v>
      </x:c>
      <x:c r="H5605" s="0" t="s">
        <x:v>20</x:v>
      </x:c>
      <x:c r="I5605" s="0" t="s">
        <x:v>21</x:v>
      </x:c>
      <x:c r="K5605" s="0">
        <x:f>hyperlink("https://icd.who.int/dev11/l-ichi/en#/http%3A%2F%2Fid.who.int%2Ficd%2Fentity%2F525817507","browser")</x:f>
      </x:c>
      <x:c r="L5605" s="0">
        <x:f>hyperlink("https://icat2.azurewebsites.net/icat/?ontology=ICD&amp;tab=ClassesTab&amp;id=http%3A%2F%2Fwho.int%2Ficd%2331392_512ebf36_bf6b_4d70_85da_cf2637062af4","iCat")</x:f>
      </x:c>
      <x:c r="M5605" s="0" t="s">
        <x:v>21</x:v>
      </x:c>
      <x:c r="N5605" s="0" t="s">
        <x:v>46</x:v>
      </x:c>
    </x:row>
    <x:row r="5606" spans="1:16">
      <x:c r="A5606" s="0" t="s">
        <x:v>22276</x:v>
      </x:c>
      <x:c r="B5606" s="0" t="s">
        <x:v>22277</x:v>
      </x:c>
      <x:c r="C5606" s="0" t="s">
        <x:v>22278</x:v>
      </x:c>
      <x:c r="E5606" s="0" t="s">
        <x:v>22279</x:v>
      </x:c>
      <x:c r="F5606" s="0" t="s">
        <x:v>45</x:v>
      </x:c>
      <x:c r="G5606" s="0" t="s">
        <x:v>19</x:v>
      </x:c>
      <x:c r="H5606" s="0" t="s">
        <x:v>20</x:v>
      </x:c>
      <x:c r="I5606" s="0" t="s">
        <x:v>21</x:v>
      </x:c>
      <x:c r="K5606" s="0">
        <x:f>hyperlink("https://icd.who.int/dev11/l-ichi/en#/http%3A%2F%2Fid.who.int%2Ficd%2Fentity%2F341002255","browser")</x:f>
      </x:c>
      <x:c r="L5606" s="0">
        <x:f>hyperlink("https://icat2.azurewebsites.net/icat/?ontology=ICD&amp;tab=ClassesTab&amp;id=http%3A%2F%2Fwho.int%2Ficd%2331399_512ebf36_bf6b_4d70_85da_cf2637062af4","iCat")</x:f>
      </x:c>
      <x:c r="M5606" s="0" t="s">
        <x:v>21</x:v>
      </x:c>
      <x:c r="N5606" s="0" t="s">
        <x:v>46</x:v>
      </x:c>
    </x:row>
    <x:row r="5607" spans="1:16">
      <x:c r="A5607" s="0" t="s">
        <x:v>22280</x:v>
      </x:c>
      <x:c r="B5607" s="0" t="s">
        <x:v>22281</x:v>
      </x:c>
      <x:c r="C5607" s="0" t="s">
        <x:v>22282</x:v>
      </x:c>
      <x:c r="E5607" s="0" t="s">
        <x:v>22283</x:v>
      </x:c>
      <x:c r="F5607" s="0" t="s">
        <x:v>45</x:v>
      </x:c>
      <x:c r="G5607" s="0" t="s">
        <x:v>19</x:v>
      </x:c>
      <x:c r="H5607" s="0" t="s">
        <x:v>20</x:v>
      </x:c>
      <x:c r="I5607" s="0" t="s">
        <x:v>21</x:v>
      </x:c>
      <x:c r="K5607" s="0">
        <x:f>hyperlink("https://icd.who.int/dev11/l-ichi/en#/http%3A%2F%2Fid.who.int%2Ficd%2Fentity%2F1987090897","browser")</x:f>
      </x:c>
      <x:c r="L5607" s="0">
        <x:f>hyperlink("https://icat2.azurewebsites.net/icat/?ontology=ICD&amp;tab=ClassesTab&amp;id=http%3A%2F%2Fwho.int%2Ficd%2331405_512ebf36_bf6b_4d70_85da_cf2637062af4","iCat")</x:f>
      </x:c>
      <x:c r="M5607" s="0" t="s">
        <x:v>21</x:v>
      </x:c>
      <x:c r="N5607" s="0" t="s">
        <x:v>46</x:v>
      </x:c>
    </x:row>
    <x:row r="5608" spans="1:16">
      <x:c r="A5608" s="0" t="s">
        <x:v>22284</x:v>
      </x:c>
      <x:c r="B5608" s="0" t="s">
        <x:v>22285</x:v>
      </x:c>
      <x:c r="C5608" s="0" t="s">
        <x:v>22286</x:v>
      </x:c>
      <x:c r="E5608" s="0" t="s">
        <x:v>22287</x:v>
      </x:c>
      <x:c r="F5608" s="0" t="s">
        <x:v>45</x:v>
      </x:c>
      <x:c r="G5608" s="0" t="s">
        <x:v>19</x:v>
      </x:c>
      <x:c r="H5608" s="0" t="s">
        <x:v>20</x:v>
      </x:c>
      <x:c r="I5608" s="0" t="s">
        <x:v>21</x:v>
      </x:c>
      <x:c r="K5608" s="0">
        <x:f>hyperlink("https://icd.who.int/dev11/l-ichi/en#/http%3A%2F%2Fid.who.int%2Ficd%2Fentity%2F699582706","browser")</x:f>
      </x:c>
      <x:c r="L5608" s="0">
        <x:f>hyperlink("https://icat2.azurewebsites.net/icat/?ontology=ICD&amp;tab=ClassesTab&amp;id=http%3A%2F%2Fwho.int%2Ficd%2331411_512ebf36_bf6b_4d70_85da_cf2637062af4","iCat")</x:f>
      </x:c>
      <x:c r="M5608" s="0" t="s">
        <x:v>21</x:v>
      </x:c>
      <x:c r="N5608" s="0" t="s">
        <x:v>46</x:v>
      </x:c>
    </x:row>
    <x:row r="5609" spans="1:16">
      <x:c r="A5609" s="0" t="s">
        <x:v>22288</x:v>
      </x:c>
      <x:c r="B5609" s="0" t="s">
        <x:v>22289</x:v>
      </x:c>
      <x:c r="C5609" s="0" t="s">
        <x:v>22290</x:v>
      </x:c>
      <x:c r="E5609" s="0" t="s">
        <x:v>22291</x:v>
      </x:c>
      <x:c r="F5609" s="0" t="s">
        <x:v>45</x:v>
      </x:c>
      <x:c r="G5609" s="0" t="s">
        <x:v>19</x:v>
      </x:c>
      <x:c r="H5609" s="0" t="s">
        <x:v>20</x:v>
      </x:c>
      <x:c r="I5609" s="0" t="s">
        <x:v>21</x:v>
      </x:c>
      <x:c r="K5609" s="0">
        <x:f>hyperlink("https://icd.who.int/dev11/l-ichi/en#/http%3A%2F%2Fid.who.int%2Ficd%2Fentity%2F1731443111","browser")</x:f>
      </x:c>
      <x:c r="L5609" s="0">
        <x:f>hyperlink("https://icat2.azurewebsites.net/icat/?ontology=ICD&amp;tab=ClassesTab&amp;id=http%3A%2F%2Fwho.int%2Ficd%2331419_512ebf36_bf6b_4d70_85da_cf2637062af4","iCat")</x:f>
      </x:c>
      <x:c r="M5609" s="0" t="s">
        <x:v>21</x:v>
      </x:c>
      <x:c r="N5609" s="0" t="s">
        <x:v>46</x:v>
      </x:c>
    </x:row>
    <x:row r="5610" spans="1:16">
      <x:c r="A5610" s="0" t="s">
        <x:v>22292</x:v>
      </x:c>
      <x:c r="B5610" s="0" t="s">
        <x:v>22293</x:v>
      </x:c>
      <x:c r="C5610" s="0" t="s">
        <x:v>22294</x:v>
      </x:c>
      <x:c r="E5610" s="0" t="s">
        <x:v>22295</x:v>
      </x:c>
      <x:c r="F5610" s="0" t="s">
        <x:v>45</x:v>
      </x:c>
      <x:c r="G5610" s="0" t="s">
        <x:v>19</x:v>
      </x:c>
      <x:c r="H5610" s="0" t="s">
        <x:v>20</x:v>
      </x:c>
      <x:c r="I5610" s="0" t="s">
        <x:v>21</x:v>
      </x:c>
      <x:c r="K5610" s="0">
        <x:f>hyperlink("https://icd.who.int/dev11/l-ichi/en#/http%3A%2F%2Fid.who.int%2Ficd%2Fentity%2F662895010","browser")</x:f>
      </x:c>
      <x:c r="L5610" s="0">
        <x:f>hyperlink("https://icat2.azurewebsites.net/icat/?ontology=ICD&amp;tab=ClassesTab&amp;id=http%3A%2F%2Fwho.int%2Ficd%2331429_512ebf36_bf6b_4d70_85da_cf2637062af4","iCat")</x:f>
      </x:c>
      <x:c r="M5610" s="0" t="s">
        <x:v>21</x:v>
      </x:c>
      <x:c r="N5610" s="0" t="s">
        <x:v>46</x:v>
      </x:c>
    </x:row>
    <x:row r="5611" spans="1:16">
      <x:c r="A5611" s="0" t="s">
        <x:v>22296</x:v>
      </x:c>
      <x:c r="B5611" s="0" t="s">
        <x:v>22297</x:v>
      </x:c>
      <x:c r="C5611" s="0" t="s">
        <x:v>22298</x:v>
      </x:c>
      <x:c r="E5611" s="0" t="s">
        <x:v>22299</x:v>
      </x:c>
      <x:c r="F5611" s="0" t="s">
        <x:v>45</x:v>
      </x:c>
      <x:c r="G5611" s="0" t="s">
        <x:v>19</x:v>
      </x:c>
      <x:c r="H5611" s="0" t="s">
        <x:v>20</x:v>
      </x:c>
      <x:c r="I5611" s="0" t="s">
        <x:v>21</x:v>
      </x:c>
      <x:c r="K5611" s="0">
        <x:f>hyperlink("https://icd.who.int/dev11/l-ichi/en#/http%3A%2F%2Fid.who.int%2Ficd%2Fentity%2F1841176267","browser")</x:f>
      </x:c>
      <x:c r="L5611" s="0">
        <x:f>hyperlink("https://icat2.azurewebsites.net/icat/?ontology=ICD&amp;tab=ClassesTab&amp;id=http%3A%2F%2Fwho.int%2Ficd%2331438_512ebf36_bf6b_4d70_85da_cf2637062af4","iCat")</x:f>
      </x:c>
      <x:c r="M5611" s="0" t="s">
        <x:v>21</x:v>
      </x:c>
      <x:c r="N5611" s="0" t="s">
        <x:v>46</x:v>
      </x:c>
    </x:row>
    <x:row r="5612" spans="1:16">
      <x:c r="A5612" s="0" t="s">
        <x:v>22300</x:v>
      </x:c>
      <x:c r="B5612" s="0" t="s">
        <x:v>22301</x:v>
      </x:c>
      <x:c r="C5612" s="0" t="s">
        <x:v>22302</x:v>
      </x:c>
      <x:c r="E5612" s="0" t="s">
        <x:v>22303</x:v>
      </x:c>
      <x:c r="F5612" s="0" t="s">
        <x:v>45</x:v>
      </x:c>
      <x:c r="G5612" s="0" t="s">
        <x:v>19</x:v>
      </x:c>
      <x:c r="H5612" s="0" t="s">
        <x:v>20</x:v>
      </x:c>
      <x:c r="I5612" s="0" t="s">
        <x:v>21</x:v>
      </x:c>
      <x:c r="K5612" s="0">
        <x:f>hyperlink("https://icd.who.int/dev11/l-ichi/en#/http%3A%2F%2Fid.who.int%2Ficd%2Fentity%2F102222542","browser")</x:f>
      </x:c>
      <x:c r="L5612" s="0">
        <x:f>hyperlink("https://icat2.azurewebsites.net/icat/?ontology=ICD&amp;tab=ClassesTab&amp;id=http%3A%2F%2Fwho.int%2Ficd%2331445_512ebf36_bf6b_4d70_85da_cf2637062af4","iCat")</x:f>
      </x:c>
      <x:c r="M5612" s="0" t="s">
        <x:v>21</x:v>
      </x:c>
      <x:c r="N5612" s="0" t="s">
        <x:v>46</x:v>
      </x:c>
    </x:row>
    <x:row r="5613" spans="1:16">
      <x:c r="A5613" s="0" t="s">
        <x:v>22304</x:v>
      </x:c>
      <x:c r="B5613" s="0" t="s">
        <x:v>22305</x:v>
      </x:c>
      <x:c r="C5613" s="0" t="s">
        <x:v>22306</x:v>
      </x:c>
      <x:c r="E5613" s="0" t="s">
        <x:v>22307</x:v>
      </x:c>
      <x:c r="F5613" s="0" t="s">
        <x:v>45</x:v>
      </x:c>
      <x:c r="G5613" s="0" t="s">
        <x:v>19</x:v>
      </x:c>
      <x:c r="H5613" s="0" t="s">
        <x:v>20</x:v>
      </x:c>
      <x:c r="I5613" s="0" t="s">
        <x:v>21</x:v>
      </x:c>
      <x:c r="K5613" s="0">
        <x:f>hyperlink("https://icd.who.int/dev11/l-ichi/en#/http%3A%2F%2Fid.who.int%2Ficd%2Fentity%2F1507171311","browser")</x:f>
      </x:c>
      <x:c r="L5613" s="0">
        <x:f>hyperlink("https://icat2.azurewebsites.net/icat/?ontology=ICD&amp;tab=ClassesTab&amp;id=http%3A%2F%2Fwho.int%2Ficd%2331451_512ebf36_bf6b_4d70_85da_cf2637062af4","iCat")</x:f>
      </x:c>
      <x:c r="M5613" s="0" t="s">
        <x:v>21</x:v>
      </x:c>
      <x:c r="N5613" s="0" t="s">
        <x:v>46</x:v>
      </x:c>
    </x:row>
    <x:row r="5614" spans="1:16">
      <x:c r="A5614" s="0" t="s">
        <x:v>22308</x:v>
      </x:c>
      <x:c r="B5614" s="0" t="s">
        <x:v>22309</x:v>
      </x:c>
      <x:c r="C5614" s="0" t="s">
        <x:v>22310</x:v>
      </x:c>
      <x:c r="E5614" s="0" t="s">
        <x:v>22311</x:v>
      </x:c>
      <x:c r="F5614" s="0" t="s">
        <x:v>45</x:v>
      </x:c>
      <x:c r="G5614" s="0" t="s">
        <x:v>19</x:v>
      </x:c>
      <x:c r="H5614" s="0" t="s">
        <x:v>20</x:v>
      </x:c>
      <x:c r="I5614" s="0" t="s">
        <x:v>21</x:v>
      </x:c>
      <x:c r="K5614" s="0">
        <x:f>hyperlink("https://icd.who.int/dev11/l-ichi/en#/http%3A%2F%2Fid.who.int%2Ficd%2Fentity%2F934123656","browser")</x:f>
      </x:c>
      <x:c r="L5614" s="0">
        <x:f>hyperlink("https://icat2.azurewebsites.net/icat/?ontology=ICD&amp;tab=ClassesTab&amp;id=http%3A%2F%2Fwho.int%2Ficd%2331458_512ebf36_bf6b_4d70_85da_cf2637062af4","iCat")</x:f>
      </x:c>
      <x:c r="M5614" s="0" t="s">
        <x:v>21</x:v>
      </x:c>
      <x:c r="N5614" s="0" t="s">
        <x:v>46</x:v>
      </x:c>
    </x:row>
    <x:row r="5615" spans="1:16">
      <x:c r="A5615" s="0" t="s">
        <x:v>22312</x:v>
      </x:c>
      <x:c r="B5615" s="0" t="s">
        <x:v>22313</x:v>
      </x:c>
      <x:c r="C5615" s="0" t="s">
        <x:v>22314</x:v>
      </x:c>
      <x:c r="E5615" s="0" t="s">
        <x:v>22315</x:v>
      </x:c>
      <x:c r="F5615" s="0" t="s">
        <x:v>45</x:v>
      </x:c>
      <x:c r="G5615" s="0" t="s">
        <x:v>19</x:v>
      </x:c>
      <x:c r="H5615" s="0" t="s">
        <x:v>20</x:v>
      </x:c>
      <x:c r="I5615" s="0" t="s">
        <x:v>21</x:v>
      </x:c>
      <x:c r="K5615" s="0">
        <x:f>hyperlink("https://icd.who.int/dev11/l-ichi/en#/http%3A%2F%2Fid.who.int%2Ficd%2Fentity%2F211447202","browser")</x:f>
      </x:c>
      <x:c r="L5615" s="0">
        <x:f>hyperlink("https://icat2.azurewebsites.net/icat/?ontology=ICD&amp;tab=ClassesTab&amp;id=http%3A%2F%2Fwho.int%2Ficd%2331464_512ebf36_bf6b_4d70_85da_cf2637062af4","iCat")</x:f>
      </x:c>
      <x:c r="M5615" s="0" t="s">
        <x:v>21</x:v>
      </x:c>
      <x:c r="N5615" s="0" t="s">
        <x:v>46</x:v>
      </x:c>
    </x:row>
    <x:row r="5616" spans="1:16">
      <x:c r="A5616" s="0" t="s">
        <x:v>22316</x:v>
      </x:c>
      <x:c r="B5616" s="0" t="s">
        <x:v>22317</x:v>
      </x:c>
      <x:c r="C5616" s="0" t="s">
        <x:v>22318</x:v>
      </x:c>
      <x:c r="E5616" s="0" t="s">
        <x:v>22319</x:v>
      </x:c>
      <x:c r="F5616" s="0" t="s">
        <x:v>45</x:v>
      </x:c>
      <x:c r="G5616" s="0" t="s">
        <x:v>19</x:v>
      </x:c>
      <x:c r="H5616" s="0" t="s">
        <x:v>20</x:v>
      </x:c>
      <x:c r="I5616" s="0" t="s">
        <x:v>21</x:v>
      </x:c>
      <x:c r="K5616" s="0">
        <x:f>hyperlink("https://icd.who.int/dev11/l-ichi/en#/http%3A%2F%2Fid.who.int%2Ficd%2Fentity%2F1939951295","browser")</x:f>
      </x:c>
      <x:c r="L5616" s="0">
        <x:f>hyperlink("https://icat2.azurewebsites.net/icat/?ontology=ICD&amp;tab=ClassesTab&amp;id=http%3A%2F%2Fwho.int%2Ficd%2331471_512ebf36_bf6b_4d70_85da_cf2637062af4","iCat")</x:f>
      </x:c>
      <x:c r="M5616" s="0" t="s">
        <x:v>21</x:v>
      </x:c>
      <x:c r="N5616" s="0" t="s">
        <x:v>46</x:v>
      </x:c>
    </x:row>
    <x:row r="5617" spans="1:16">
      <x:c r="A5617" s="0" t="s">
        <x:v>22320</x:v>
      </x:c>
      <x:c r="B5617" s="0" t="s">
        <x:v>22321</x:v>
      </x:c>
      <x:c r="C5617" s="0" t="s">
        <x:v>22322</x:v>
      </x:c>
      <x:c r="E5617" s="0" t="s">
        <x:v>22323</x:v>
      </x:c>
      <x:c r="F5617" s="0" t="s">
        <x:v>45</x:v>
      </x:c>
      <x:c r="G5617" s="0" t="s">
        <x:v>19</x:v>
      </x:c>
      <x:c r="H5617" s="0" t="s">
        <x:v>20</x:v>
      </x:c>
      <x:c r="I5617" s="0" t="s">
        <x:v>21</x:v>
      </x:c>
      <x:c r="K5617" s="0">
        <x:f>hyperlink("https://icd.who.int/dev11/l-ichi/en#/http%3A%2F%2Fid.who.int%2Ficd%2Fentity%2F500780502","browser")</x:f>
      </x:c>
      <x:c r="L5617" s="0">
        <x:f>hyperlink("https://icat2.azurewebsites.net/icat/?ontology=ICD&amp;tab=ClassesTab&amp;id=http%3A%2F%2Fwho.int%2Ficd%2331478_512ebf36_bf6b_4d70_85da_cf2637062af4","iCat")</x:f>
      </x:c>
      <x:c r="M5617" s="0" t="s">
        <x:v>21</x:v>
      </x:c>
      <x:c r="N5617" s="0" t="s">
        <x:v>46</x:v>
      </x:c>
    </x:row>
    <x:row r="5618" spans="1:16">
      <x:c r="A5618" s="0" t="s">
        <x:v>22324</x:v>
      </x:c>
      <x:c r="B5618" s="0" t="s">
        <x:v>22325</x:v>
      </x:c>
      <x:c r="C5618" s="0" t="s">
        <x:v>22326</x:v>
      </x:c>
      <x:c r="E5618" s="0" t="s">
        <x:v>22327</x:v>
      </x:c>
      <x:c r="F5618" s="0" t="s">
        <x:v>45</x:v>
      </x:c>
      <x:c r="G5618" s="0" t="s">
        <x:v>19</x:v>
      </x:c>
      <x:c r="H5618" s="0" t="s">
        <x:v>20</x:v>
      </x:c>
      <x:c r="I5618" s="0" t="s">
        <x:v>21</x:v>
      </x:c>
      <x:c r="K5618" s="0">
        <x:f>hyperlink("https://icd.who.int/dev11/l-ichi/en#/http%3A%2F%2Fid.who.int%2Ficd%2Fentity%2F842925832","browser")</x:f>
      </x:c>
      <x:c r="L5618" s="0">
        <x:f>hyperlink("https://icat2.azurewebsites.net/icat/?ontology=ICD&amp;tab=ClassesTab&amp;id=http%3A%2F%2Fwho.int%2Ficd%2331488_512ebf36_bf6b_4d70_85da_cf2637062af4","iCat")</x:f>
      </x:c>
      <x:c r="M5618" s="0" t="s">
        <x:v>21</x:v>
      </x:c>
      <x:c r="N5618" s="0" t="s">
        <x:v>46</x:v>
      </x:c>
    </x:row>
    <x:row r="5619" spans="1:16">
      <x:c r="A5619" s="0" t="s">
        <x:v>22328</x:v>
      </x:c>
      <x:c r="B5619" s="0" t="s">
        <x:v>22329</x:v>
      </x:c>
      <x:c r="C5619" s="0" t="s">
        <x:v>22330</x:v>
      </x:c>
      <x:c r="E5619" s="0" t="s">
        <x:v>22331</x:v>
      </x:c>
      <x:c r="F5619" s="0" t="s">
        <x:v>45</x:v>
      </x:c>
      <x:c r="G5619" s="0" t="s">
        <x:v>19</x:v>
      </x:c>
      <x:c r="H5619" s="0" t="s">
        <x:v>20</x:v>
      </x:c>
      <x:c r="I5619" s="0" t="s">
        <x:v>21</x:v>
      </x:c>
      <x:c r="K5619" s="0">
        <x:f>hyperlink("https://icd.who.int/dev11/l-ichi/en#/http%3A%2F%2Fid.who.int%2Ficd%2Fentity%2F595404672","browser")</x:f>
      </x:c>
      <x:c r="L5619" s="0">
        <x:f>hyperlink("https://icat2.azurewebsites.net/icat/?ontology=ICD&amp;tab=ClassesTab&amp;id=http%3A%2F%2Fwho.int%2Ficd%2331494_512ebf36_bf6b_4d70_85da_cf2637062af4","iCat")</x:f>
      </x:c>
      <x:c r="M5619" s="0" t="s">
        <x:v>21</x:v>
      </x:c>
      <x:c r="N5619" s="0" t="s">
        <x:v>46</x:v>
      </x:c>
    </x:row>
    <x:row r="5620" spans="1:16">
      <x:c r="A5620" s="0" t="s">
        <x:v>22332</x:v>
      </x:c>
      <x:c r="B5620" s="0" t="s">
        <x:v>22333</x:v>
      </x:c>
      <x:c r="C5620" s="0" t="s">
        <x:v>22334</x:v>
      </x:c>
      <x:c r="E5620" s="0" t="s">
        <x:v>22335</x:v>
      </x:c>
      <x:c r="F5620" s="0" t="s">
        <x:v>45</x:v>
      </x:c>
      <x:c r="G5620" s="0" t="s">
        <x:v>19</x:v>
      </x:c>
      <x:c r="H5620" s="0" t="s">
        <x:v>20</x:v>
      </x:c>
      <x:c r="I5620" s="0" t="s">
        <x:v>21</x:v>
      </x:c>
      <x:c r="K5620" s="0">
        <x:f>hyperlink("https://icd.who.int/dev11/l-ichi/en#/http%3A%2F%2Fid.who.int%2Ficd%2Fentity%2F1402242813","browser")</x:f>
      </x:c>
      <x:c r="L5620" s="0">
        <x:f>hyperlink("https://icat2.azurewebsites.net/icat/?ontology=ICD&amp;tab=ClassesTab&amp;id=http%3A%2F%2Fwho.int%2Ficd%2331503_512ebf36_bf6b_4d70_85da_cf2637062af4","iCat")</x:f>
      </x:c>
      <x:c r="M5620" s="0" t="s">
        <x:v>21</x:v>
      </x:c>
      <x:c r="N5620" s="0" t="s">
        <x:v>46</x:v>
      </x:c>
    </x:row>
    <x:row r="5621" spans="1:16">
      <x:c r="A5621" s="0" t="s">
        <x:v>22336</x:v>
      </x:c>
      <x:c r="B5621" s="0" t="s">
        <x:v>22337</x:v>
      </x:c>
      <x:c r="C5621" s="0" t="s">
        <x:v>22338</x:v>
      </x:c>
      <x:c r="E5621" s="0" t="s">
        <x:v>22339</x:v>
      </x:c>
      <x:c r="F5621" s="0" t="s">
        <x:v>45</x:v>
      </x:c>
      <x:c r="G5621" s="0" t="s">
        <x:v>19</x:v>
      </x:c>
      <x:c r="H5621" s="0" t="s">
        <x:v>20</x:v>
      </x:c>
      <x:c r="I5621" s="0" t="s">
        <x:v>21</x:v>
      </x:c>
      <x:c r="K5621" s="0">
        <x:f>hyperlink("https://icd.who.int/dev11/l-ichi/en#/http%3A%2F%2Fid.who.int%2Ficd%2Fentity%2F2020207213","browser")</x:f>
      </x:c>
      <x:c r="L5621" s="0">
        <x:f>hyperlink("https://icat2.azurewebsites.net/icat/?ontology=ICD&amp;tab=ClassesTab&amp;id=http%3A%2F%2Fwho.int%2Ficd%2331509_512ebf36_bf6b_4d70_85da_cf2637062af4","iCat")</x:f>
      </x:c>
      <x:c r="M5621" s="0" t="s">
        <x:v>21</x:v>
      </x:c>
      <x:c r="N5621" s="0" t="s">
        <x:v>46</x:v>
      </x:c>
    </x:row>
    <x:row r="5622" spans="1:16">
      <x:c r="A5622" s="0" t="s">
        <x:v>22340</x:v>
      </x:c>
      <x:c r="B5622" s="0" t="s">
        <x:v>22341</x:v>
      </x:c>
      <x:c r="C5622" s="0" t="s">
        <x:v>22342</x:v>
      </x:c>
      <x:c r="E5622" s="0" t="s">
        <x:v>22343</x:v>
      </x:c>
      <x:c r="F5622" s="0" t="s">
        <x:v>45</x:v>
      </x:c>
      <x:c r="G5622" s="0" t="s">
        <x:v>19</x:v>
      </x:c>
      <x:c r="H5622" s="0" t="s">
        <x:v>20</x:v>
      </x:c>
      <x:c r="I5622" s="0" t="s">
        <x:v>21</x:v>
      </x:c>
      <x:c r="K5622" s="0">
        <x:f>hyperlink("https://icd.who.int/dev11/l-ichi/en#/http%3A%2F%2Fid.who.int%2Ficd%2Fentity%2F1013267540","browser")</x:f>
      </x:c>
      <x:c r="L5622" s="0">
        <x:f>hyperlink("https://icat2.azurewebsites.net/icat/?ontology=ICD&amp;tab=ClassesTab&amp;id=http%3A%2F%2Fwho.int%2Ficd%2331520_512ebf36_bf6b_4d70_85da_cf2637062af4","iCat")</x:f>
      </x:c>
      <x:c r="M5622" s="0" t="s">
        <x:v>21</x:v>
      </x:c>
      <x:c r="N5622" s="0" t="s">
        <x:v>46</x:v>
      </x:c>
    </x:row>
    <x:row r="5623" spans="1:16">
      <x:c r="A5623" s="0" t="s">
        <x:v>22344</x:v>
      </x:c>
      <x:c r="B5623" s="0" t="s">
        <x:v>22345</x:v>
      </x:c>
      <x:c r="C5623" s="0" t="s">
        <x:v>22346</x:v>
      </x:c>
      <x:c r="E5623" s="0" t="s">
        <x:v>22347</x:v>
      </x:c>
      <x:c r="F5623" s="0" t="s">
        <x:v>45</x:v>
      </x:c>
      <x:c r="G5623" s="0" t="s">
        <x:v>19</x:v>
      </x:c>
      <x:c r="H5623" s="0" t="s">
        <x:v>20</x:v>
      </x:c>
      <x:c r="I5623" s="0" t="s">
        <x:v>21</x:v>
      </x:c>
      <x:c r="K5623" s="0">
        <x:f>hyperlink("https://icd.who.int/dev11/l-ichi/en#/http%3A%2F%2Fid.who.int%2Ficd%2Fentity%2F1290246105","browser")</x:f>
      </x:c>
      <x:c r="L5623" s="0">
        <x:f>hyperlink("https://icat2.azurewebsites.net/icat/?ontology=ICD&amp;tab=ClassesTab&amp;id=http%3A%2F%2Fwho.int%2Ficd%2331527_512ebf36_bf6b_4d70_85da_cf2637062af4","iCat")</x:f>
      </x:c>
      <x:c r="M5623" s="0" t="s">
        <x:v>21</x:v>
      </x:c>
      <x:c r="N5623" s="0" t="s">
        <x:v>46</x:v>
      </x:c>
    </x:row>
    <x:row r="5624" spans="1:16">
      <x:c r="A5624" s="0" t="s">
        <x:v>22348</x:v>
      </x:c>
      <x:c r="B5624" s="0" t="s">
        <x:v>22349</x:v>
      </x:c>
      <x:c r="C5624" s="0" t="s">
        <x:v>22350</x:v>
      </x:c>
      <x:c r="E5624" s="0" t="s">
        <x:v>22351</x:v>
      </x:c>
      <x:c r="F5624" s="0" t="s">
        <x:v>45</x:v>
      </x:c>
      <x:c r="G5624" s="0" t="s">
        <x:v>19</x:v>
      </x:c>
      <x:c r="H5624" s="0" t="s">
        <x:v>20</x:v>
      </x:c>
      <x:c r="I5624" s="0" t="s">
        <x:v>21</x:v>
      </x:c>
      <x:c r="K5624" s="0">
        <x:f>hyperlink("https://icd.who.int/dev11/l-ichi/en#/http%3A%2F%2Fid.who.int%2Ficd%2Fentity%2F1130241867","browser")</x:f>
      </x:c>
      <x:c r="L5624" s="0">
        <x:f>hyperlink("https://icat2.azurewebsites.net/icat/?ontology=ICD&amp;tab=ClassesTab&amp;id=http%3A%2F%2Fwho.int%2Ficd%2331535_512ebf36_bf6b_4d70_85da_cf2637062af4","iCat")</x:f>
      </x:c>
      <x:c r="M5624" s="0" t="s">
        <x:v>21</x:v>
      </x:c>
      <x:c r="N5624" s="0" t="s">
        <x:v>46</x:v>
      </x:c>
    </x:row>
    <x:row r="5625" spans="1:16">
      <x:c r="A5625" s="0" t="s">
        <x:v>22352</x:v>
      </x:c>
      <x:c r="B5625" s="0" t="s">
        <x:v>22353</x:v>
      </x:c>
      <x:c r="C5625" s="0" t="s">
        <x:v>22354</x:v>
      </x:c>
      <x:c r="E5625" s="0" t="s">
        <x:v>22355</x:v>
      </x:c>
      <x:c r="F5625" s="0" t="s">
        <x:v>45</x:v>
      </x:c>
      <x:c r="G5625" s="0" t="s">
        <x:v>19</x:v>
      </x:c>
      <x:c r="H5625" s="0" t="s">
        <x:v>20</x:v>
      </x:c>
      <x:c r="I5625" s="0" t="s">
        <x:v>21</x:v>
      </x:c>
      <x:c r="K5625" s="0">
        <x:f>hyperlink("https://icd.who.int/dev11/l-ichi/en#/http%3A%2F%2Fid.who.int%2Ficd%2Fentity%2F1183828005","browser")</x:f>
      </x:c>
      <x:c r="L5625" s="0">
        <x:f>hyperlink("https://icat2.azurewebsites.net/icat/?ontology=ICD&amp;tab=ClassesTab&amp;id=http%3A%2F%2Fwho.int%2Ficd%2331541_512ebf36_bf6b_4d70_85da_cf2637062af4","iCat")</x:f>
      </x:c>
      <x:c r="M5625" s="0" t="s">
        <x:v>21</x:v>
      </x:c>
      <x:c r="N5625" s="0" t="s">
        <x:v>46</x:v>
      </x:c>
    </x:row>
    <x:row r="5626" spans="1:16">
      <x:c r="A5626" s="0" t="s">
        <x:v>22356</x:v>
      </x:c>
      <x:c r="B5626" s="0" t="s">
        <x:v>22357</x:v>
      </x:c>
      <x:c r="C5626" s="0" t="s">
        <x:v>22358</x:v>
      </x:c>
      <x:c r="E5626" s="0" t="s">
        <x:v>22359</x:v>
      </x:c>
      <x:c r="F5626" s="0" t="s">
        <x:v>45</x:v>
      </x:c>
      <x:c r="G5626" s="0" t="s">
        <x:v>19</x:v>
      </x:c>
      <x:c r="H5626" s="0" t="s">
        <x:v>20</x:v>
      </x:c>
      <x:c r="I5626" s="0" t="s">
        <x:v>21</x:v>
      </x:c>
      <x:c r="K5626" s="0">
        <x:f>hyperlink("https://icd.who.int/dev11/l-ichi/en#/http%3A%2F%2Fid.who.int%2Ficd%2Fentity%2F385094038","browser")</x:f>
      </x:c>
      <x:c r="L5626" s="0">
        <x:f>hyperlink("https://icat2.azurewebsites.net/icat/?ontology=ICD&amp;tab=ClassesTab&amp;id=http%3A%2F%2Fwho.int%2Ficd%2331547_512ebf36_bf6b_4d70_85da_cf2637062af4","iCat")</x:f>
      </x:c>
      <x:c r="M5626" s="0" t="s">
        <x:v>21</x:v>
      </x:c>
      <x:c r="N5626" s="0" t="s">
        <x:v>46</x:v>
      </x:c>
    </x:row>
    <x:row r="5627" spans="1:16">
      <x:c r="A5627" s="0" t="s">
        <x:v>22360</x:v>
      </x:c>
      <x:c r="B5627" s="0" t="s">
        <x:v>22361</x:v>
      </x:c>
      <x:c r="C5627" s="0" t="s">
        <x:v>22362</x:v>
      </x:c>
      <x:c r="E5627" s="0" t="s">
        <x:v>22363</x:v>
      </x:c>
      <x:c r="F5627" s="0" t="s">
        <x:v>45</x:v>
      </x:c>
      <x:c r="G5627" s="0" t="s">
        <x:v>19</x:v>
      </x:c>
      <x:c r="H5627" s="0" t="s">
        <x:v>20</x:v>
      </x:c>
      <x:c r="I5627" s="0" t="s">
        <x:v>21</x:v>
      </x:c>
      <x:c r="K5627" s="0">
        <x:f>hyperlink("https://icd.who.int/dev11/l-ichi/en#/http%3A%2F%2Fid.who.int%2Ficd%2Fentity%2F1657482279","browser")</x:f>
      </x:c>
      <x:c r="L5627" s="0">
        <x:f>hyperlink("https://icat2.azurewebsites.net/icat/?ontology=ICD&amp;tab=ClassesTab&amp;id=http%3A%2F%2Fwho.int%2Ficd%2331559_512ebf36_bf6b_4d70_85da_cf2637062af4","iCat")</x:f>
      </x:c>
      <x:c r="M5627" s="0" t="s">
        <x:v>21</x:v>
      </x:c>
      <x:c r="N5627" s="0" t="s">
        <x:v>46</x:v>
      </x:c>
    </x:row>
    <x:row r="5628" spans="1:16">
      <x:c r="A5628" s="0" t="s">
        <x:v>22364</x:v>
      </x:c>
      <x:c r="B5628" s="0" t="s">
        <x:v>22365</x:v>
      </x:c>
      <x:c r="C5628" s="0" t="s">
        <x:v>22366</x:v>
      </x:c>
      <x:c r="E5628" s="0" t="s">
        <x:v>22367</x:v>
      </x:c>
      <x:c r="F5628" s="0" t="s">
        <x:v>45</x:v>
      </x:c>
      <x:c r="G5628" s="0" t="s">
        <x:v>19</x:v>
      </x:c>
      <x:c r="H5628" s="0" t="s">
        <x:v>20</x:v>
      </x:c>
      <x:c r="I5628" s="0" t="s">
        <x:v>21</x:v>
      </x:c>
      <x:c r="K5628" s="0">
        <x:f>hyperlink("https://icd.who.int/dev11/l-ichi/en#/http%3A%2F%2Fid.who.int%2Ficd%2Fentity%2F578448418","browser")</x:f>
      </x:c>
      <x:c r="L5628" s="0">
        <x:f>hyperlink("https://icat2.azurewebsites.net/icat/?ontology=ICD&amp;tab=ClassesTab&amp;id=http%3A%2F%2Fwho.int%2Ficd%2331569_512ebf36_bf6b_4d70_85da_cf2637062af4","iCat")</x:f>
      </x:c>
      <x:c r="M5628" s="0" t="s">
        <x:v>21</x:v>
      </x:c>
      <x:c r="N5628" s="0" t="s">
        <x:v>46</x:v>
      </x:c>
    </x:row>
    <x:row r="5629" spans="1:16">
      <x:c r="A5629" s="0" t="s">
        <x:v>22368</x:v>
      </x:c>
      <x:c r="B5629" s="0" t="s">
        <x:v>22369</x:v>
      </x:c>
      <x:c r="C5629" s="0" t="s">
        <x:v>22370</x:v>
      </x:c>
      <x:c r="E5629" s="0" t="s">
        <x:v>22371</x:v>
      </x:c>
      <x:c r="F5629" s="0" t="s">
        <x:v>45</x:v>
      </x:c>
      <x:c r="G5629" s="0" t="s">
        <x:v>19</x:v>
      </x:c>
      <x:c r="H5629" s="0" t="s">
        <x:v>20</x:v>
      </x:c>
      <x:c r="I5629" s="0" t="s">
        <x:v>21</x:v>
      </x:c>
      <x:c r="K5629" s="0">
        <x:f>hyperlink("https://icd.who.int/dev11/l-ichi/en#/http%3A%2F%2Fid.who.int%2Ficd%2Fentity%2F702137086","browser")</x:f>
      </x:c>
      <x:c r="L5629" s="0">
        <x:f>hyperlink("https://icat2.azurewebsites.net/icat/?ontology=ICD&amp;tab=ClassesTab&amp;id=http%3A%2F%2Fwho.int%2Ficd%2331581_512ebf36_bf6b_4d70_85da_cf2637062af4","iCat")</x:f>
      </x:c>
      <x:c r="M5629" s="0" t="s">
        <x:v>21</x:v>
      </x:c>
      <x:c r="N5629" s="0" t="s">
        <x:v>46</x:v>
      </x:c>
    </x:row>
    <x:row r="5630" spans="1:16">
      <x:c r="A5630" s="0" t="s">
        <x:v>22372</x:v>
      </x:c>
      <x:c r="B5630" s="0" t="s">
        <x:v>22373</x:v>
      </x:c>
      <x:c r="C5630" s="0" t="s">
        <x:v>22374</x:v>
      </x:c>
      <x:c r="E5630" s="0" t="s">
        <x:v>22375</x:v>
      </x:c>
      <x:c r="F5630" s="0" t="s">
        <x:v>45</x:v>
      </x:c>
      <x:c r="G5630" s="0" t="s">
        <x:v>19</x:v>
      </x:c>
      <x:c r="H5630" s="0" t="s">
        <x:v>20</x:v>
      </x:c>
      <x:c r="I5630" s="0" t="s">
        <x:v>21</x:v>
      </x:c>
      <x:c r="K5630" s="0">
        <x:f>hyperlink("https://icd.who.int/dev11/l-ichi/en#/http%3A%2F%2Fid.who.int%2Ficd%2Fentity%2F110704722","browser")</x:f>
      </x:c>
      <x:c r="L5630" s="0">
        <x:f>hyperlink("https://icat2.azurewebsites.net/icat/?ontology=ICD&amp;tab=ClassesTab&amp;id=http%3A%2F%2Fwho.int%2Ficd%2331592_512ebf36_bf6b_4d70_85da_cf2637062af4","iCat")</x:f>
      </x:c>
      <x:c r="M5630" s="0" t="s">
        <x:v>21</x:v>
      </x:c>
      <x:c r="N5630" s="0" t="s">
        <x:v>46</x:v>
      </x:c>
    </x:row>
    <x:row r="5631" spans="1:16">
      <x:c r="A5631" s="0" t="s">
        <x:v>22376</x:v>
      </x:c>
      <x:c r="B5631" s="0" t="s">
        <x:v>22377</x:v>
      </x:c>
      <x:c r="C5631" s="0" t="s">
        <x:v>22378</x:v>
      </x:c>
      <x:c r="E5631" s="0" t="s">
        <x:v>22379</x:v>
      </x:c>
      <x:c r="F5631" s="0" t="s">
        <x:v>45</x:v>
      </x:c>
      <x:c r="G5631" s="0" t="s">
        <x:v>19</x:v>
      </x:c>
      <x:c r="H5631" s="0" t="s">
        <x:v>20</x:v>
      </x:c>
      <x:c r="I5631" s="0" t="s">
        <x:v>21</x:v>
      </x:c>
      <x:c r="K5631" s="0">
        <x:f>hyperlink("https://icd.who.int/dev11/l-ichi/en#/http%3A%2F%2Fid.who.int%2Ficd%2Fentity%2F761550018","browser")</x:f>
      </x:c>
      <x:c r="L5631" s="0">
        <x:f>hyperlink("https://icat2.azurewebsites.net/icat/?ontology=ICD&amp;tab=ClassesTab&amp;id=http%3A%2F%2Fwho.int%2Ficd%2331598_512ebf36_bf6b_4d70_85da_cf2637062af4","iCat")</x:f>
      </x:c>
      <x:c r="M5631" s="0" t="s">
        <x:v>21</x:v>
      </x:c>
      <x:c r="N5631" s="0" t="s">
        <x:v>46</x:v>
      </x:c>
    </x:row>
    <x:row r="5632" spans="1:16">
      <x:c r="A5632" s="0" t="s">
        <x:v>22380</x:v>
      </x:c>
      <x:c r="B5632" s="0" t="s">
        <x:v>22381</x:v>
      </x:c>
      <x:c r="C5632" s="0" t="s">
        <x:v>22382</x:v>
      </x:c>
      <x:c r="E5632" s="0" t="s">
        <x:v>22383</x:v>
      </x:c>
      <x:c r="F5632" s="0" t="s">
        <x:v>45</x:v>
      </x:c>
      <x:c r="G5632" s="0" t="s">
        <x:v>19</x:v>
      </x:c>
      <x:c r="H5632" s="0" t="s">
        <x:v>20</x:v>
      </x:c>
      <x:c r="I5632" s="0" t="s">
        <x:v>21</x:v>
      </x:c>
      <x:c r="K5632" s="0">
        <x:f>hyperlink("https://icd.who.int/dev11/l-ichi/en#/http%3A%2F%2Fid.who.int%2Ficd%2Fentity%2F1655761685","browser")</x:f>
      </x:c>
      <x:c r="L5632" s="0">
        <x:f>hyperlink("https://icat2.azurewebsites.net/icat/?ontology=ICD&amp;tab=ClassesTab&amp;id=http%3A%2F%2Fwho.int%2Ficd%2331605_512ebf36_bf6b_4d70_85da_cf2637062af4","iCat")</x:f>
      </x:c>
      <x:c r="M5632" s="0" t="s">
        <x:v>21</x:v>
      </x:c>
      <x:c r="N5632" s="0" t="s">
        <x:v>46</x:v>
      </x:c>
    </x:row>
    <x:row r="5633" spans="1:16">
      <x:c r="A5633" s="0" t="s">
        <x:v>22384</x:v>
      </x:c>
      <x:c r="B5633" s="0" t="s">
        <x:v>22385</x:v>
      </x:c>
      <x:c r="C5633" s="0" t="s">
        <x:v>22386</x:v>
      </x:c>
      <x:c r="E5633" s="0" t="s">
        <x:v>22387</x:v>
      </x:c>
      <x:c r="F5633" s="0" t="s">
        <x:v>45</x:v>
      </x:c>
      <x:c r="G5633" s="0" t="s">
        <x:v>19</x:v>
      </x:c>
      <x:c r="H5633" s="0" t="s">
        <x:v>20</x:v>
      </x:c>
      <x:c r="I5633" s="0" t="s">
        <x:v>21</x:v>
      </x:c>
      <x:c r="K5633" s="0">
        <x:f>hyperlink("https://icd.who.int/dev11/l-ichi/en#/http%3A%2F%2Fid.who.int%2Ficd%2Fentity%2F1220820549","browser")</x:f>
      </x:c>
      <x:c r="L5633" s="0">
        <x:f>hyperlink("https://icat2.azurewebsites.net/icat/?ontology=ICD&amp;tab=ClassesTab&amp;id=http%3A%2F%2Fwho.int%2Ficd%2331625_512ebf36_bf6b_4d70_85da_cf2637062af4","iCat")</x:f>
      </x:c>
      <x:c r="M5633" s="0" t="s">
        <x:v>21</x:v>
      </x:c>
      <x:c r="N5633" s="0" t="s">
        <x:v>46</x:v>
      </x:c>
    </x:row>
    <x:row r="5634" spans="1:16">
      <x:c r="A5634" s="0" t="s">
        <x:v>22388</x:v>
      </x:c>
      <x:c r="B5634" s="0" t="s">
        <x:v>22389</x:v>
      </x:c>
      <x:c r="C5634" s="0" t="s">
        <x:v>22390</x:v>
      </x:c>
      <x:c r="E5634" s="0" t="s">
        <x:v>22391</x:v>
      </x:c>
      <x:c r="F5634" s="0" t="s">
        <x:v>45</x:v>
      </x:c>
      <x:c r="G5634" s="0" t="s">
        <x:v>19</x:v>
      </x:c>
      <x:c r="H5634" s="0" t="s">
        <x:v>20</x:v>
      </x:c>
      <x:c r="I5634" s="0" t="s">
        <x:v>21</x:v>
      </x:c>
      <x:c r="K5634" s="0">
        <x:f>hyperlink("https://icd.who.int/dev11/l-ichi/en#/http%3A%2F%2Fid.who.int%2Ficd%2Fentity%2F49862958","browser")</x:f>
      </x:c>
      <x:c r="L5634" s="0">
        <x:f>hyperlink("https://icat2.azurewebsites.net/icat/?ontology=ICD&amp;tab=ClassesTab&amp;id=http%3A%2F%2Fwho.int%2Ficd%2331634_512ebf36_bf6b_4d70_85da_cf2637062af4","iCat")</x:f>
      </x:c>
      <x:c r="M5634" s="0" t="s">
        <x:v>21</x:v>
      </x:c>
      <x:c r="N5634" s="0" t="s">
        <x:v>46</x:v>
      </x:c>
    </x:row>
    <x:row r="5635" spans="1:16">
      <x:c r="A5635" s="0" t="s">
        <x:v>22392</x:v>
      </x:c>
      <x:c r="B5635" s="0" t="s">
        <x:v>22393</x:v>
      </x:c>
      <x:c r="C5635" s="0" t="s">
        <x:v>22394</x:v>
      </x:c>
      <x:c r="E5635" s="0" t="s">
        <x:v>22395</x:v>
      </x:c>
      <x:c r="F5635" s="0" t="s">
        <x:v>45</x:v>
      </x:c>
      <x:c r="G5635" s="0" t="s">
        <x:v>19</x:v>
      </x:c>
      <x:c r="H5635" s="0" t="s">
        <x:v>20</x:v>
      </x:c>
      <x:c r="I5635" s="0" t="s">
        <x:v>21</x:v>
      </x:c>
      <x:c r="K5635" s="0">
        <x:f>hyperlink("https://icd.who.int/dev11/l-ichi/en#/http%3A%2F%2Fid.who.int%2Ficd%2Fentity%2F667974782","browser")</x:f>
      </x:c>
      <x:c r="L5635" s="0">
        <x:f>hyperlink("https://icat2.azurewebsites.net/icat/?ontology=ICD&amp;tab=ClassesTab&amp;id=http%3A%2F%2Fwho.int%2Ficd%2331641_512ebf36_bf6b_4d70_85da_cf2637062af4","iCat")</x:f>
      </x:c>
      <x:c r="M5635" s="0" t="s">
        <x:v>21</x:v>
      </x:c>
      <x:c r="N5635" s="0" t="s">
        <x:v>46</x:v>
      </x:c>
    </x:row>
    <x:row r="5636" spans="1:16">
      <x:c r="A5636" s="0" t="s">
        <x:v>22396</x:v>
      </x:c>
      <x:c r="B5636" s="0" t="s">
        <x:v>22397</x:v>
      </x:c>
      <x:c r="C5636" s="0" t="s">
        <x:v>22398</x:v>
      </x:c>
      <x:c r="E5636" s="0" t="s">
        <x:v>22399</x:v>
      </x:c>
      <x:c r="F5636" s="0" t="s">
        <x:v>45</x:v>
      </x:c>
      <x:c r="G5636" s="0" t="s">
        <x:v>19</x:v>
      </x:c>
      <x:c r="H5636" s="0" t="s">
        <x:v>20</x:v>
      </x:c>
      <x:c r="I5636" s="0" t="s">
        <x:v>21</x:v>
      </x:c>
      <x:c r="K5636" s="0">
        <x:f>hyperlink("https://icd.who.int/dev11/l-ichi/en#/http%3A%2F%2Fid.who.int%2Ficd%2Fentity%2F2007737805","browser")</x:f>
      </x:c>
      <x:c r="L5636" s="0">
        <x:f>hyperlink("https://icat2.azurewebsites.net/icat/?ontology=ICD&amp;tab=ClassesTab&amp;id=http%3A%2F%2Fwho.int%2Ficd%2331647_512ebf36_bf6b_4d70_85da_cf2637062af4","iCat")</x:f>
      </x:c>
      <x:c r="M5636" s="0" t="s">
        <x:v>21</x:v>
      </x:c>
      <x:c r="N5636" s="0" t="s">
        <x:v>46</x:v>
      </x:c>
    </x:row>
    <x:row r="5637" spans="1:16">
      <x:c r="A5637" s="0" t="s">
        <x:v>22400</x:v>
      </x:c>
      <x:c r="B5637" s="0" t="s">
        <x:v>22401</x:v>
      </x:c>
      <x:c r="C5637" s="0" t="s">
        <x:v>22402</x:v>
      </x:c>
      <x:c r="E5637" s="0" t="s">
        <x:v>22403</x:v>
      </x:c>
      <x:c r="F5637" s="0" t="s">
        <x:v>45</x:v>
      </x:c>
      <x:c r="G5637" s="0" t="s">
        <x:v>19</x:v>
      </x:c>
      <x:c r="H5637" s="0" t="s">
        <x:v>20</x:v>
      </x:c>
      <x:c r="I5637" s="0" t="s">
        <x:v>21</x:v>
      </x:c>
      <x:c r="K5637" s="0">
        <x:f>hyperlink("https://icd.who.int/dev11/l-ichi/en#/http%3A%2F%2Fid.who.int%2Ficd%2Fentity%2F1734425723","browser")</x:f>
      </x:c>
      <x:c r="L5637" s="0">
        <x:f>hyperlink("https://icat2.azurewebsites.net/icat/?ontology=ICD&amp;tab=ClassesTab&amp;id=http%3A%2F%2Fwho.int%2Ficd%2331671_512ebf36_bf6b_4d70_85da_cf2637062af4","iCat")</x:f>
      </x:c>
      <x:c r="M5637" s="0" t="s">
        <x:v>21</x:v>
      </x:c>
      <x:c r="N5637" s="0" t="s">
        <x:v>46</x:v>
      </x:c>
    </x:row>
    <x:row r="5638" spans="1:16">
      <x:c r="A5638" s="0" t="s">
        <x:v>22404</x:v>
      </x:c>
      <x:c r="B5638" s="0" t="s">
        <x:v>22405</x:v>
      </x:c>
      <x:c r="C5638" s="0" t="s">
        <x:v>22406</x:v>
      </x:c>
      <x:c r="E5638" s="0" t="s">
        <x:v>22407</x:v>
      </x:c>
      <x:c r="F5638" s="0" t="s">
        <x:v>45</x:v>
      </x:c>
      <x:c r="G5638" s="0" t="s">
        <x:v>19</x:v>
      </x:c>
      <x:c r="H5638" s="0" t="s">
        <x:v>20</x:v>
      </x:c>
      <x:c r="I5638" s="0" t="s">
        <x:v>21</x:v>
      </x:c>
      <x:c r="K5638" s="0">
        <x:f>hyperlink("https://icd.who.int/dev11/l-ichi/en#/http%3A%2F%2Fid.who.int%2Ficd%2Fentity%2F702565678","browser")</x:f>
      </x:c>
      <x:c r="L5638" s="0">
        <x:f>hyperlink("https://icat2.azurewebsites.net/icat/?ontology=ICD&amp;tab=ClassesTab&amp;id=http%3A%2F%2Fwho.int%2Ficd%2331679_512ebf36_bf6b_4d70_85da_cf2637062af4","iCat")</x:f>
      </x:c>
      <x:c r="M5638" s="0" t="s">
        <x:v>21</x:v>
      </x:c>
      <x:c r="N5638" s="0" t="s">
        <x:v>46</x:v>
      </x:c>
    </x:row>
    <x:row r="5639" spans="1:16">
      <x:c r="A5639" s="0" t="s">
        <x:v>22408</x:v>
      </x:c>
      <x:c r="B5639" s="0" t="s">
        <x:v>22409</x:v>
      </x:c>
      <x:c r="C5639" s="0" t="s">
        <x:v>22410</x:v>
      </x:c>
      <x:c r="E5639" s="0" t="s">
        <x:v>22411</x:v>
      </x:c>
      <x:c r="F5639" s="0" t="s">
        <x:v>45</x:v>
      </x:c>
      <x:c r="G5639" s="0" t="s">
        <x:v>19</x:v>
      </x:c>
      <x:c r="H5639" s="0" t="s">
        <x:v>20</x:v>
      </x:c>
      <x:c r="I5639" s="0" t="s">
        <x:v>21</x:v>
      </x:c>
      <x:c r="K5639" s="0">
        <x:f>hyperlink("https://icd.who.int/dev11/l-ichi/en#/http%3A%2F%2Fid.who.int%2Ficd%2Fentity%2F45781456","browser")</x:f>
      </x:c>
      <x:c r="L5639" s="0">
        <x:f>hyperlink("https://icat2.azurewebsites.net/icat/?ontology=ICD&amp;tab=ClassesTab&amp;id=http%3A%2F%2Fwho.int%2Ficd%2331690_512ebf36_bf6b_4d70_85da_cf2637062af4","iCat")</x:f>
      </x:c>
      <x:c r="M5639" s="0" t="s">
        <x:v>21</x:v>
      </x:c>
      <x:c r="N5639" s="0" t="s">
        <x:v>46</x:v>
      </x:c>
    </x:row>
    <x:row r="5640" spans="1:16">
      <x:c r="A5640" s="0" t="s">
        <x:v>22412</x:v>
      </x:c>
      <x:c r="B5640" s="0" t="s">
        <x:v>22413</x:v>
      </x:c>
      <x:c r="C5640" s="0" t="s">
        <x:v>22414</x:v>
      </x:c>
      <x:c r="E5640" s="0" t="s">
        <x:v>22415</x:v>
      </x:c>
      <x:c r="F5640" s="0" t="s">
        <x:v>45</x:v>
      </x:c>
      <x:c r="G5640" s="0" t="s">
        <x:v>19</x:v>
      </x:c>
      <x:c r="H5640" s="0" t="s">
        <x:v>20</x:v>
      </x:c>
      <x:c r="I5640" s="0" t="s">
        <x:v>21</x:v>
      </x:c>
      <x:c r="K5640" s="0">
        <x:f>hyperlink("https://icd.who.int/dev11/l-ichi/en#/http%3A%2F%2Fid.who.int%2Ficd%2Fentity%2F1916287555","browser")</x:f>
      </x:c>
      <x:c r="L5640" s="0">
        <x:f>hyperlink("https://icat2.azurewebsites.net/icat/?ontology=ICD&amp;tab=ClassesTab&amp;id=http%3A%2F%2Fwho.int%2Ficd%2331697_512ebf36_bf6b_4d70_85da_cf2637062af4","iCat")</x:f>
      </x:c>
      <x:c r="M5640" s="0" t="s">
        <x:v>21</x:v>
      </x:c>
      <x:c r="N5640" s="0" t="s">
        <x:v>46</x:v>
      </x:c>
    </x:row>
    <x:row r="5641" spans="1:16">
      <x:c r="A5641" s="0" t="s">
        <x:v>22416</x:v>
      </x:c>
      <x:c r="B5641" s="0" t="s">
        <x:v>22417</x:v>
      </x:c>
      <x:c r="C5641" s="0" t="s">
        <x:v>22418</x:v>
      </x:c>
      <x:c r="E5641" s="0" t="s">
        <x:v>22419</x:v>
      </x:c>
      <x:c r="F5641" s="0" t="s">
        <x:v>45</x:v>
      </x:c>
      <x:c r="G5641" s="0" t="s">
        <x:v>19</x:v>
      </x:c>
      <x:c r="H5641" s="0" t="s">
        <x:v>20</x:v>
      </x:c>
      <x:c r="I5641" s="0" t="s">
        <x:v>21</x:v>
      </x:c>
      <x:c r="K5641" s="0">
        <x:f>hyperlink("https://icd.who.int/dev11/l-ichi/en#/http%3A%2F%2Fid.who.int%2Ficd%2Fentity%2F1196749881","browser")</x:f>
      </x:c>
      <x:c r="L5641" s="0">
        <x:f>hyperlink("https://icat2.azurewebsites.net/icat/?ontology=ICD&amp;tab=ClassesTab&amp;id=http%3A%2F%2Fwho.int%2Ficd%2331703_512ebf36_bf6b_4d70_85da_cf2637062af4","iCat")</x:f>
      </x:c>
      <x:c r="M5641" s="0" t="s">
        <x:v>21</x:v>
      </x:c>
      <x:c r="N5641" s="0" t="s">
        <x:v>46</x:v>
      </x:c>
    </x:row>
    <x:row r="5642" spans="1:16">
      <x:c r="A5642" s="0" t="s">
        <x:v>22420</x:v>
      </x:c>
      <x:c r="B5642" s="0" t="s">
        <x:v>22421</x:v>
      </x:c>
      <x:c r="C5642" s="0" t="s">
        <x:v>22422</x:v>
      </x:c>
      <x:c r="E5642" s="0" t="s">
        <x:v>22423</x:v>
      </x:c>
      <x:c r="F5642" s="0" t="s">
        <x:v>45</x:v>
      </x:c>
      <x:c r="G5642" s="0" t="s">
        <x:v>19</x:v>
      </x:c>
      <x:c r="H5642" s="0" t="s">
        <x:v>20</x:v>
      </x:c>
      <x:c r="I5642" s="0" t="s">
        <x:v>21</x:v>
      </x:c>
      <x:c r="K5642" s="0">
        <x:f>hyperlink("https://icd.who.int/dev11/l-ichi/en#/http%3A%2F%2Fid.who.int%2Ficd%2Fentity%2F1823053993","browser")</x:f>
      </x:c>
      <x:c r="L5642" s="0">
        <x:f>hyperlink("https://icat2.azurewebsites.net/icat/?ontology=ICD&amp;tab=ClassesTab&amp;id=http%3A%2F%2Fwho.int%2Ficd%2331709_512ebf36_bf6b_4d70_85da_cf2637062af4","iCat")</x:f>
      </x:c>
      <x:c r="M5642" s="0" t="s">
        <x:v>21</x:v>
      </x:c>
      <x:c r="N5642" s="0" t="s">
        <x:v>46</x:v>
      </x:c>
    </x:row>
    <x:row r="5643" spans="1:16">
      <x:c r="A5643" s="0" t="s">
        <x:v>22424</x:v>
      </x:c>
      <x:c r="B5643" s="0" t="s">
        <x:v>22425</x:v>
      </x:c>
      <x:c r="C5643" s="0" t="s">
        <x:v>22426</x:v>
      </x:c>
      <x:c r="E5643" s="0" t="s">
        <x:v>22427</x:v>
      </x:c>
      <x:c r="F5643" s="0" t="s">
        <x:v>45</x:v>
      </x:c>
      <x:c r="G5643" s="0" t="s">
        <x:v>19</x:v>
      </x:c>
      <x:c r="H5643" s="0" t="s">
        <x:v>20</x:v>
      </x:c>
      <x:c r="I5643" s="0" t="s">
        <x:v>21</x:v>
      </x:c>
      <x:c r="K5643" s="0">
        <x:f>hyperlink("https://icd.who.int/dev11/l-ichi/en#/http%3A%2F%2Fid.who.int%2Ficd%2Fentity%2F412525850","browser")</x:f>
      </x:c>
      <x:c r="L5643" s="0">
        <x:f>hyperlink("https://icat2.azurewebsites.net/icat/?ontology=ICD&amp;tab=ClassesTab&amp;id=http%3A%2F%2Fwho.int%2Ficd%2331717_512ebf36_bf6b_4d70_85da_cf2637062af4","iCat")</x:f>
      </x:c>
      <x:c r="M5643" s="0" t="s">
        <x:v>21</x:v>
      </x:c>
      <x:c r="N5643" s="0" t="s">
        <x:v>46</x:v>
      </x:c>
    </x:row>
    <x:row r="5644" spans="1:16">
      <x:c r="A5644" s="0" t="s">
        <x:v>22428</x:v>
      </x:c>
      <x:c r="B5644" s="0" t="s">
        <x:v>22429</x:v>
      </x:c>
      <x:c r="C5644" s="0" t="s">
        <x:v>22430</x:v>
      </x:c>
      <x:c r="E5644" s="0" t="s">
        <x:v>22431</x:v>
      </x:c>
      <x:c r="F5644" s="0" t="s">
        <x:v>45</x:v>
      </x:c>
      <x:c r="G5644" s="0" t="s">
        <x:v>19</x:v>
      </x:c>
      <x:c r="H5644" s="0" t="s">
        <x:v>20</x:v>
      </x:c>
      <x:c r="I5644" s="0" t="s">
        <x:v>21</x:v>
      </x:c>
      <x:c r="K5644" s="0">
        <x:f>hyperlink("https://icd.who.int/dev11/l-ichi/en#/http%3A%2F%2Fid.who.int%2Ficd%2Fentity%2F1029437658","browser")</x:f>
      </x:c>
      <x:c r="L5644" s="0">
        <x:f>hyperlink("https://icat2.azurewebsites.net/icat/?ontology=ICD&amp;tab=ClassesTab&amp;id=http%3A%2F%2Fwho.int%2Ficd%2331725_512ebf36_bf6b_4d70_85da_cf2637062af4","iCat")</x:f>
      </x:c>
      <x:c r="M5644" s="0" t="s">
        <x:v>21</x:v>
      </x:c>
      <x:c r="N5644" s="0" t="s">
        <x:v>46</x:v>
      </x:c>
    </x:row>
    <x:row r="5645" spans="1:16">
      <x:c r="A5645" s="0" t="s">
        <x:v>22432</x:v>
      </x:c>
      <x:c r="B5645" s="0" t="s">
        <x:v>22433</x:v>
      </x:c>
      <x:c r="C5645" s="0" t="s">
        <x:v>22434</x:v>
      </x:c>
      <x:c r="E5645" s="0" t="s">
        <x:v>22435</x:v>
      </x:c>
      <x:c r="F5645" s="0" t="s">
        <x:v>45</x:v>
      </x:c>
      <x:c r="G5645" s="0" t="s">
        <x:v>19</x:v>
      </x:c>
      <x:c r="H5645" s="0" t="s">
        <x:v>20</x:v>
      </x:c>
      <x:c r="I5645" s="0" t="s">
        <x:v>21</x:v>
      </x:c>
      <x:c r="K5645" s="0">
        <x:f>hyperlink("https://icd.who.int/dev11/l-ichi/en#/http%3A%2F%2Fid.who.int%2Ficd%2Fentity%2F132494398","browser")</x:f>
      </x:c>
      <x:c r="L5645" s="0">
        <x:f>hyperlink("https://icat2.azurewebsites.net/icat/?ontology=ICD&amp;tab=ClassesTab&amp;id=http%3A%2F%2Fwho.int%2Ficd%2331733_512ebf36_bf6b_4d70_85da_cf2637062af4","iCat")</x:f>
      </x:c>
      <x:c r="M5645" s="0" t="s">
        <x:v>21</x:v>
      </x:c>
      <x:c r="N5645" s="0" t="s">
        <x:v>46</x:v>
      </x:c>
    </x:row>
    <x:row r="5646" spans="1:16">
      <x:c r="A5646" s="0" t="s">
        <x:v>22436</x:v>
      </x:c>
      <x:c r="B5646" s="0" t="s">
        <x:v>22437</x:v>
      </x:c>
      <x:c r="C5646" s="0" t="s">
        <x:v>22438</x:v>
      </x:c>
      <x:c r="E5646" s="0" t="s">
        <x:v>22439</x:v>
      </x:c>
      <x:c r="F5646" s="0" t="s">
        <x:v>45</x:v>
      </x:c>
      <x:c r="G5646" s="0" t="s">
        <x:v>19</x:v>
      </x:c>
      <x:c r="H5646" s="0" t="s">
        <x:v>20</x:v>
      </x:c>
      <x:c r="I5646" s="0" t="s">
        <x:v>21</x:v>
      </x:c>
      <x:c r="K5646" s="0">
        <x:f>hyperlink("https://icd.who.int/dev11/l-ichi/en#/http%3A%2F%2Fid.who.int%2Ficd%2Fentity%2F1924581597","browser")</x:f>
      </x:c>
      <x:c r="L5646" s="0">
        <x:f>hyperlink("https://icat2.azurewebsites.net/icat/?ontology=ICD&amp;tab=ClassesTab&amp;id=http%3A%2F%2Fwho.int%2Ficd%2331740_512ebf36_bf6b_4d70_85da_cf2637062af4","iCat")</x:f>
      </x:c>
      <x:c r="M5646" s="0" t="s">
        <x:v>21</x:v>
      </x:c>
      <x:c r="N5646" s="0" t="s">
        <x:v>46</x:v>
      </x:c>
    </x:row>
    <x:row r="5647" spans="1:16">
      <x:c r="A5647" s="0" t="s">
        <x:v>22440</x:v>
      </x:c>
      <x:c r="B5647" s="0" t="s">
        <x:v>22441</x:v>
      </x:c>
      <x:c r="C5647" s="0" t="s">
        <x:v>22442</x:v>
      </x:c>
      <x:c r="E5647" s="0" t="s">
        <x:v>22443</x:v>
      </x:c>
      <x:c r="F5647" s="0" t="s">
        <x:v>45</x:v>
      </x:c>
      <x:c r="G5647" s="0" t="s">
        <x:v>19</x:v>
      </x:c>
      <x:c r="H5647" s="0" t="s">
        <x:v>20</x:v>
      </x:c>
      <x:c r="I5647" s="0" t="s">
        <x:v>21</x:v>
      </x:c>
      <x:c r="K5647" s="0">
        <x:f>hyperlink("https://icd.who.int/dev11/l-ichi/en#/http%3A%2F%2Fid.who.int%2Ficd%2Fentity%2F583864686","browser")</x:f>
      </x:c>
      <x:c r="L5647" s="0">
        <x:f>hyperlink("https://icat2.azurewebsites.net/icat/?ontology=ICD&amp;tab=ClassesTab&amp;id=http%3A%2F%2Fwho.int%2Ficd%2331746_512ebf36_bf6b_4d70_85da_cf2637062af4","iCat")</x:f>
      </x:c>
      <x:c r="M5647" s="0" t="s">
        <x:v>21</x:v>
      </x:c>
      <x:c r="N5647" s="0" t="s">
        <x:v>46</x:v>
      </x:c>
    </x:row>
    <x:row r="5648" spans="1:16">
      <x:c r="A5648" s="0" t="s">
        <x:v>22444</x:v>
      </x:c>
      <x:c r="B5648" s="0" t="s">
        <x:v>22445</x:v>
      </x:c>
      <x:c r="C5648" s="0" t="s">
        <x:v>22446</x:v>
      </x:c>
      <x:c r="E5648" s="0" t="s">
        <x:v>22447</x:v>
      </x:c>
      <x:c r="F5648" s="0" t="s">
        <x:v>45</x:v>
      </x:c>
      <x:c r="G5648" s="0" t="s">
        <x:v>19</x:v>
      </x:c>
      <x:c r="H5648" s="0" t="s">
        <x:v>20</x:v>
      </x:c>
      <x:c r="I5648" s="0" t="s">
        <x:v>21</x:v>
      </x:c>
      <x:c r="K5648" s="0">
        <x:f>hyperlink("https://icd.who.int/dev11/l-ichi/en#/http%3A%2F%2Fid.who.int%2Ficd%2Fentity%2F762616320","browser")</x:f>
      </x:c>
      <x:c r="L5648" s="0">
        <x:f>hyperlink("https://icat2.azurewebsites.net/icat/?ontology=ICD&amp;tab=ClassesTab&amp;id=http%3A%2F%2Fwho.int%2Ficd%2331754_512ebf36_bf6b_4d70_85da_cf2637062af4","iCat")</x:f>
      </x:c>
      <x:c r="M5648" s="0" t="s">
        <x:v>21</x:v>
      </x:c>
      <x:c r="N5648" s="0" t="s">
        <x:v>46</x:v>
      </x:c>
    </x:row>
    <x:row r="5649" spans="1:16">
      <x:c r="A5649" s="0" t="s">
        <x:v>22448</x:v>
      </x:c>
      <x:c r="B5649" s="0" t="s">
        <x:v>22449</x:v>
      </x:c>
      <x:c r="C5649" s="0" t="s">
        <x:v>22450</x:v>
      </x:c>
      <x:c r="E5649" s="0" t="s">
        <x:v>22451</x:v>
      </x:c>
      <x:c r="F5649" s="0" t="s">
        <x:v>45</x:v>
      </x:c>
      <x:c r="G5649" s="0" t="s">
        <x:v>19</x:v>
      </x:c>
      <x:c r="H5649" s="0" t="s">
        <x:v>20</x:v>
      </x:c>
      <x:c r="I5649" s="0" t="s">
        <x:v>21</x:v>
      </x:c>
      <x:c r="K5649" s="0">
        <x:f>hyperlink("https://icd.who.int/dev11/l-ichi/en#/http%3A%2F%2Fid.who.int%2Ficd%2Fentity%2F2017161137","browser")</x:f>
      </x:c>
      <x:c r="L5649" s="0">
        <x:f>hyperlink("https://icat2.azurewebsites.net/icat/?ontology=ICD&amp;tab=ClassesTab&amp;id=http%3A%2F%2Fwho.int%2Ficd%2331761_512ebf36_bf6b_4d70_85da_cf2637062af4","iCat")</x:f>
      </x:c>
      <x:c r="M5649" s="0" t="s">
        <x:v>21</x:v>
      </x:c>
      <x:c r="N5649" s="0" t="s">
        <x:v>46</x:v>
      </x:c>
    </x:row>
    <x:row r="5650" spans="1:16">
      <x:c r="A5650" s="0" t="s">
        <x:v>22452</x:v>
      </x:c>
      <x:c r="B5650" s="0" t="s">
        <x:v>22453</x:v>
      </x:c>
      <x:c r="C5650" s="0" t="s">
        <x:v>22454</x:v>
      </x:c>
      <x:c r="E5650" s="0" t="s">
        <x:v>22455</x:v>
      </x:c>
      <x:c r="F5650" s="0" t="s">
        <x:v>45</x:v>
      </x:c>
      <x:c r="G5650" s="0" t="s">
        <x:v>19</x:v>
      </x:c>
      <x:c r="H5650" s="0" t="s">
        <x:v>20</x:v>
      </x:c>
      <x:c r="I5650" s="0" t="s">
        <x:v>21</x:v>
      </x:c>
      <x:c r="K5650" s="0">
        <x:f>hyperlink("https://icd.who.int/dev11/l-ichi/en#/http%3A%2F%2Fid.who.int%2Ficd%2Fentity%2F373517530","browser")</x:f>
      </x:c>
      <x:c r="L5650" s="0">
        <x:f>hyperlink("https://icat2.azurewebsites.net/icat/?ontology=ICD&amp;tab=ClassesTab&amp;id=http%3A%2F%2Fwho.int%2Ficd%2331768_512ebf36_bf6b_4d70_85da_cf2637062af4","iCat")</x:f>
      </x:c>
      <x:c r="M5650" s="0" t="s">
        <x:v>21</x:v>
      </x:c>
      <x:c r="N5650" s="0" t="s">
        <x:v>46</x:v>
      </x:c>
    </x:row>
    <x:row r="5651" spans="1:16">
      <x:c r="A5651" s="0" t="s">
        <x:v>22456</x:v>
      </x:c>
      <x:c r="B5651" s="0" t="s">
        <x:v>22457</x:v>
      </x:c>
      <x:c r="C5651" s="0" t="s">
        <x:v>22458</x:v>
      </x:c>
      <x:c r="E5651" s="0" t="s">
        <x:v>22459</x:v>
      </x:c>
      <x:c r="F5651" s="0" t="s">
        <x:v>45</x:v>
      </x:c>
      <x:c r="G5651" s="0" t="s">
        <x:v>19</x:v>
      </x:c>
      <x:c r="H5651" s="0" t="s">
        <x:v>20</x:v>
      </x:c>
      <x:c r="I5651" s="0" t="s">
        <x:v>21</x:v>
      </x:c>
      <x:c r="K5651" s="0">
        <x:f>hyperlink("https://icd.who.int/dev11/l-ichi/en#/http%3A%2F%2Fid.who.int%2Ficd%2Fentity%2F670645908","browser")</x:f>
      </x:c>
      <x:c r="L5651" s="0">
        <x:f>hyperlink("https://icat2.azurewebsites.net/icat/?ontology=ICD&amp;tab=ClassesTab&amp;id=http%3A%2F%2Fwho.int%2Ficd%2331775_512ebf36_bf6b_4d70_85da_cf2637062af4","iCat")</x:f>
      </x:c>
      <x:c r="M5651" s="0" t="s">
        <x:v>21</x:v>
      </x:c>
      <x:c r="N5651" s="0" t="s">
        <x:v>46</x:v>
      </x:c>
    </x:row>
    <x:row r="5652" spans="1:16">
      <x:c r="A5652" s="0" t="s">
        <x:v>22460</x:v>
      </x:c>
      <x:c r="B5652" s="0" t="s">
        <x:v>22461</x:v>
      </x:c>
      <x:c r="C5652" s="0" t="s">
        <x:v>22462</x:v>
      </x:c>
      <x:c r="E5652" s="0" t="s">
        <x:v>22463</x:v>
      </x:c>
      <x:c r="F5652" s="0" t="s">
        <x:v>45</x:v>
      </x:c>
      <x:c r="G5652" s="0" t="s">
        <x:v>19</x:v>
      </x:c>
      <x:c r="H5652" s="0" t="s">
        <x:v>20</x:v>
      </x:c>
      <x:c r="I5652" s="0" t="s">
        <x:v>21</x:v>
      </x:c>
      <x:c r="K5652" s="0">
        <x:f>hyperlink("https://icd.who.int/dev11/l-ichi/en#/http%3A%2F%2Fid.who.int%2Ficd%2Fentity%2F465611070","browser")</x:f>
      </x:c>
      <x:c r="L5652" s="0">
        <x:f>hyperlink("https://icat2.azurewebsites.net/icat/?ontology=ICD&amp;tab=ClassesTab&amp;id=http%3A%2F%2Fwho.int%2Ficd%235110_97087496_4a82_4efa_a45a_b3256f81bd7e","iCat")</x:f>
      </x:c>
      <x:c r="M5652" s="0" t="s">
        <x:v>21</x:v>
      </x:c>
      <x:c r="N5652" s="0" t="s">
        <x:v>46</x:v>
      </x:c>
    </x:row>
    <x:row r="5653" spans="1:16">
      <x:c r="A5653" s="0" t="s">
        <x:v>22464</x:v>
      </x:c>
      <x:c r="B5653" s="0" t="s">
        <x:v>22465</x:v>
      </x:c>
      <x:c r="C5653" s="0" t="s">
        <x:v>22466</x:v>
      </x:c>
      <x:c r="E5653" s="0" t="s">
        <x:v>22467</x:v>
      </x:c>
      <x:c r="F5653" s="0" t="s">
        <x:v>45</x:v>
      </x:c>
      <x:c r="G5653" s="0" t="s">
        <x:v>19</x:v>
      </x:c>
      <x:c r="H5653" s="0" t="s">
        <x:v>20</x:v>
      </x:c>
      <x:c r="I5653" s="0" t="s">
        <x:v>21</x:v>
      </x:c>
      <x:c r="K5653" s="0">
        <x:f>hyperlink("https://icd.who.int/dev11/l-ichi/en#/http%3A%2F%2Fid.who.int%2Ficd%2Fentity%2F2023546817","browser")</x:f>
      </x:c>
      <x:c r="L5653" s="0">
        <x:f>hyperlink("https://icat2.azurewebsites.net/icat/?ontology=ICD&amp;tab=ClassesTab&amp;id=http%3A%2F%2Fwho.int%2Ficd%2331782_512ebf36_bf6b_4d70_85da_cf2637062af4","iCat")</x:f>
      </x:c>
      <x:c r="M5653" s="0" t="s">
        <x:v>21</x:v>
      </x:c>
      <x:c r="N5653" s="0" t="s">
        <x:v>46</x:v>
      </x:c>
    </x:row>
    <x:row r="5654" spans="1:16">
      <x:c r="A5654" s="0" t="s">
        <x:v>22468</x:v>
      </x:c>
      <x:c r="B5654" s="0" t="s">
        <x:v>22469</x:v>
      </x:c>
      <x:c r="C5654" s="0" t="s">
        <x:v>22470</x:v>
      </x:c>
      <x:c r="E5654" s="0" t="s">
        <x:v>22471</x:v>
      </x:c>
      <x:c r="F5654" s="0" t="s">
        <x:v>45</x:v>
      </x:c>
      <x:c r="G5654" s="0" t="s">
        <x:v>19</x:v>
      </x:c>
      <x:c r="H5654" s="0" t="s">
        <x:v>20</x:v>
      </x:c>
      <x:c r="I5654" s="0" t="s">
        <x:v>21</x:v>
      </x:c>
      <x:c r="K5654" s="0">
        <x:f>hyperlink("https://icd.who.int/dev11/l-ichi/en#/http%3A%2F%2Fid.who.int%2Ficd%2Fentity%2F1939390829","browser")</x:f>
      </x:c>
      <x:c r="L5654" s="0">
        <x:f>hyperlink("https://icat2.azurewebsites.net/icat/?ontology=ICD&amp;tab=ClassesTab&amp;id=http%3A%2F%2Fwho.int%2Ficd%2331789_512ebf36_bf6b_4d70_85da_cf2637062af4","iCat")</x:f>
      </x:c>
      <x:c r="M5654" s="0" t="s">
        <x:v>21</x:v>
      </x:c>
      <x:c r="N5654" s="0" t="s">
        <x:v>46</x:v>
      </x:c>
    </x:row>
    <x:row r="5655" spans="1:16">
      <x:c r="A5655" s="0" t="s">
        <x:v>22472</x:v>
      </x:c>
      <x:c r="B5655" s="0" t="s">
        <x:v>22473</x:v>
      </x:c>
      <x:c r="C5655" s="0" t="s">
        <x:v>22474</x:v>
      </x:c>
      <x:c r="E5655" s="0" t="s">
        <x:v>22475</x:v>
      </x:c>
      <x:c r="F5655" s="0" t="s">
        <x:v>45</x:v>
      </x:c>
      <x:c r="G5655" s="0" t="s">
        <x:v>19</x:v>
      </x:c>
      <x:c r="H5655" s="0" t="s">
        <x:v>20</x:v>
      </x:c>
      <x:c r="I5655" s="0" t="s">
        <x:v>21</x:v>
      </x:c>
      <x:c r="K5655" s="0">
        <x:f>hyperlink("https://icd.who.int/dev11/l-ichi/en#/http%3A%2F%2Fid.who.int%2Ficd%2Fentity%2F1415936506","browser")</x:f>
      </x:c>
      <x:c r="L5655" s="0">
        <x:f>hyperlink("https://icat2.azurewebsites.net/icat/?ontology=ICD&amp;tab=ClassesTab&amp;id=http%3A%2F%2Fwho.int%2Ficd%2331801_512ebf36_bf6b_4d70_85da_cf2637062af4","iCat")</x:f>
      </x:c>
      <x:c r="M5655" s="0" t="s">
        <x:v>21</x:v>
      </x:c>
      <x:c r="N5655" s="0" t="s">
        <x:v>46</x:v>
      </x:c>
    </x:row>
    <x:row r="5656" spans="1:16">
      <x:c r="A5656" s="0" t="s">
        <x:v>22476</x:v>
      </x:c>
      <x:c r="B5656" s="0" t="s">
        <x:v>22477</x:v>
      </x:c>
      <x:c r="C5656" s="0" t="s">
        <x:v>22478</x:v>
      </x:c>
      <x:c r="E5656" s="0" t="s">
        <x:v>22479</x:v>
      </x:c>
      <x:c r="F5656" s="0" t="s">
        <x:v>45</x:v>
      </x:c>
      <x:c r="G5656" s="0" t="s">
        <x:v>19</x:v>
      </x:c>
      <x:c r="H5656" s="0" t="s">
        <x:v>20</x:v>
      </x:c>
      <x:c r="I5656" s="0" t="s">
        <x:v>21</x:v>
      </x:c>
      <x:c r="K5656" s="0">
        <x:f>hyperlink("https://icd.who.int/dev11/l-ichi/en#/http%3A%2F%2Fid.who.int%2Ficd%2Fentity%2F1050733741","browser")</x:f>
      </x:c>
      <x:c r="L5656" s="0">
        <x:f>hyperlink("https://icat2.azurewebsites.net/icat/?ontology=ICD&amp;tab=ClassesTab&amp;id=http%3A%2F%2Fwho.int%2Ficd%2331811_512ebf36_bf6b_4d70_85da_cf2637062af4","iCat")</x:f>
      </x:c>
      <x:c r="M5656" s="0" t="s">
        <x:v>21</x:v>
      </x:c>
      <x:c r="N5656" s="0" t="s">
        <x:v>46</x:v>
      </x:c>
    </x:row>
    <x:row r="5657" spans="1:16">
      <x:c r="A5657" s="0" t="s">
        <x:v>22480</x:v>
      </x:c>
      <x:c r="B5657" s="0" t="s">
        <x:v>22481</x:v>
      </x:c>
      <x:c r="C5657" s="0" t="s">
        <x:v>22482</x:v>
      </x:c>
      <x:c r="E5657" s="0" t="s">
        <x:v>22483</x:v>
      </x:c>
      <x:c r="F5657" s="0" t="s">
        <x:v>45</x:v>
      </x:c>
      <x:c r="G5657" s="0" t="s">
        <x:v>19</x:v>
      </x:c>
      <x:c r="H5657" s="0" t="s">
        <x:v>20</x:v>
      </x:c>
      <x:c r="I5657" s="0" t="s">
        <x:v>21</x:v>
      </x:c>
      <x:c r="K5657" s="0">
        <x:f>hyperlink("https://icd.who.int/dev11/l-ichi/en#/http%3A%2F%2Fid.who.int%2Ficd%2Fentity%2F999605075","browser")</x:f>
      </x:c>
      <x:c r="L5657" s="0">
        <x:f>hyperlink("https://icat2.azurewebsites.net/icat/?ontology=ICD&amp;tab=ClassesTab&amp;id=http%3A%2F%2Fwho.int%2Ficd%2331822_512ebf36_bf6b_4d70_85da_cf2637062af4","iCat")</x:f>
      </x:c>
      <x:c r="M5657" s="0" t="s">
        <x:v>21</x:v>
      </x:c>
      <x:c r="N5657" s="0" t="s">
        <x:v>46</x:v>
      </x:c>
    </x:row>
    <x:row r="5658" spans="1:16">
      <x:c r="A5658" s="0" t="s">
        <x:v>22484</x:v>
      </x:c>
      <x:c r="B5658" s="0" t="s">
        <x:v>22485</x:v>
      </x:c>
      <x:c r="C5658" s="0" t="s">
        <x:v>22486</x:v>
      </x:c>
      <x:c r="E5658" s="0" t="s">
        <x:v>22487</x:v>
      </x:c>
      <x:c r="F5658" s="0" t="s">
        <x:v>45</x:v>
      </x:c>
      <x:c r="G5658" s="0" t="s">
        <x:v>19</x:v>
      </x:c>
      <x:c r="H5658" s="0" t="s">
        <x:v>20</x:v>
      </x:c>
      <x:c r="I5658" s="0" t="s">
        <x:v>21</x:v>
      </x:c>
      <x:c r="K5658" s="0">
        <x:f>hyperlink("https://icd.who.int/dev11/l-ichi/en#/http%3A%2F%2Fid.who.int%2Ficd%2Fentity%2F275361731","browser")</x:f>
      </x:c>
      <x:c r="L5658" s="0">
        <x:f>hyperlink("https://icat2.azurewebsites.net/icat/?ontology=ICD&amp;tab=ClassesTab&amp;id=http%3A%2F%2Fwho.int%2Ficd%2331828_512ebf36_bf6b_4d70_85da_cf2637062af4","iCat")</x:f>
      </x:c>
      <x:c r="M5658" s="0" t="s">
        <x:v>21</x:v>
      </x:c>
      <x:c r="N5658" s="0" t="s">
        <x:v>46</x:v>
      </x:c>
    </x:row>
    <x:row r="5659" spans="1:16">
      <x:c r="A5659" s="0" t="s">
        <x:v>22488</x:v>
      </x:c>
      <x:c r="B5659" s="0" t="s">
        <x:v>22489</x:v>
      </x:c>
      <x:c r="C5659" s="0" t="s">
        <x:v>22490</x:v>
      </x:c>
      <x:c r="E5659" s="0" t="s">
        <x:v>22491</x:v>
      </x:c>
      <x:c r="F5659" s="0" t="s">
        <x:v>45</x:v>
      </x:c>
      <x:c r="G5659" s="0" t="s">
        <x:v>19</x:v>
      </x:c>
      <x:c r="H5659" s="0" t="s">
        <x:v>20</x:v>
      </x:c>
      <x:c r="I5659" s="0" t="s">
        <x:v>21</x:v>
      </x:c>
      <x:c r="K5659" s="0">
        <x:f>hyperlink("https://icd.who.int/dev11/l-ichi/en#/http%3A%2F%2Fid.who.int%2Ficd%2Fentity%2F2058107540","browser")</x:f>
      </x:c>
      <x:c r="L5659" s="0">
        <x:f>hyperlink("https://icat2.azurewebsites.net/icat/?ontology=ICD&amp;tab=ClassesTab&amp;id=http%3A%2F%2Fwho.int%2Ficd%2331838_512ebf36_bf6b_4d70_85da_cf2637062af4","iCat")</x:f>
      </x:c>
      <x:c r="M5659" s="0" t="s">
        <x:v>21</x:v>
      </x:c>
      <x:c r="N5659" s="0" t="s">
        <x:v>46</x:v>
      </x:c>
    </x:row>
    <x:row r="5660" spans="1:16">
      <x:c r="A5660" s="0" t="s">
        <x:v>22492</x:v>
      </x:c>
      <x:c r="B5660" s="0" t="s">
        <x:v>22493</x:v>
      </x:c>
      <x:c r="C5660" s="0" t="s">
        <x:v>22494</x:v>
      </x:c>
      <x:c r="E5660" s="0" t="s">
        <x:v>22495</x:v>
      </x:c>
      <x:c r="F5660" s="0" t="s">
        <x:v>45</x:v>
      </x:c>
      <x:c r="G5660" s="0" t="s">
        <x:v>19</x:v>
      </x:c>
      <x:c r="H5660" s="0" t="s">
        <x:v>20</x:v>
      </x:c>
      <x:c r="I5660" s="0" t="s">
        <x:v>21</x:v>
      </x:c>
      <x:c r="K5660" s="0">
        <x:f>hyperlink("https://icd.who.int/dev11/l-ichi/en#/http%3A%2F%2Fid.who.int%2Ficd%2Fentity%2F1954149208","browser")</x:f>
      </x:c>
      <x:c r="L5660" s="0">
        <x:f>hyperlink("https://icat2.azurewebsites.net/icat/?ontology=ICD&amp;tab=ClassesTab&amp;id=http%3A%2F%2Fwho.int%2Ficd%2331847_512ebf36_bf6b_4d70_85da_cf2637062af4","iCat")</x:f>
      </x:c>
      <x:c r="M5660" s="0" t="s">
        <x:v>21</x:v>
      </x:c>
      <x:c r="N5660" s="0" t="s">
        <x:v>46</x:v>
      </x:c>
    </x:row>
    <x:row r="5661" spans="1:16">
      <x:c r="A5661" s="0" t="s">
        <x:v>22496</x:v>
      </x:c>
      <x:c r="B5661" s="0" t="s">
        <x:v>22497</x:v>
      </x:c>
      <x:c r="C5661" s="0" t="s">
        <x:v>22498</x:v>
      </x:c>
      <x:c r="E5661" s="0" t="s">
        <x:v>22499</x:v>
      </x:c>
      <x:c r="F5661" s="0" t="s">
        <x:v>45</x:v>
      </x:c>
      <x:c r="G5661" s="0" t="s">
        <x:v>19</x:v>
      </x:c>
      <x:c r="H5661" s="0" t="s">
        <x:v>20</x:v>
      </x:c>
      <x:c r="I5661" s="0" t="s">
        <x:v>21</x:v>
      </x:c>
      <x:c r="K5661" s="0">
        <x:f>hyperlink("https://icd.who.int/dev11/l-ichi/en#/http%3A%2F%2Fid.who.int%2Ficd%2Fentity%2F515663361","browser")</x:f>
      </x:c>
      <x:c r="L5661" s="0">
        <x:f>hyperlink("https://icat2.azurewebsites.net/icat/?ontology=ICD&amp;tab=ClassesTab&amp;id=http%3A%2F%2Fwho.int%2Ficd%2331857_512ebf36_bf6b_4d70_85da_cf2637062af4","iCat")</x:f>
      </x:c>
      <x:c r="M5661" s="0" t="s">
        <x:v>21</x:v>
      </x:c>
      <x:c r="N5661" s="0" t="s">
        <x:v>46</x:v>
      </x:c>
    </x:row>
    <x:row r="5662" spans="1:16">
      <x:c r="A5662" s="0" t="s">
        <x:v>22500</x:v>
      </x:c>
      <x:c r="B5662" s="0" t="s">
        <x:v>22501</x:v>
      </x:c>
      <x:c r="C5662" s="0" t="s">
        <x:v>22502</x:v>
      </x:c>
      <x:c r="E5662" s="0" t="s">
        <x:v>22503</x:v>
      </x:c>
      <x:c r="F5662" s="0" t="s">
        <x:v>45</x:v>
      </x:c>
      <x:c r="G5662" s="0" t="s">
        <x:v>19</x:v>
      </x:c>
      <x:c r="H5662" s="0" t="s">
        <x:v>20</x:v>
      </x:c>
      <x:c r="I5662" s="0" t="s">
        <x:v>21</x:v>
      </x:c>
      <x:c r="K5662" s="0">
        <x:f>hyperlink("https://icd.who.int/dev11/l-ichi/en#/http%3A%2F%2Fid.who.int%2Ficd%2Fentity%2F2129941564","browser")</x:f>
      </x:c>
      <x:c r="L5662" s="0">
        <x:f>hyperlink("https://icat2.azurewebsites.net/icat/?ontology=ICD&amp;tab=ClassesTab&amp;id=http%3A%2F%2Fwho.int%2Ficd%2331866_512ebf36_bf6b_4d70_85da_cf2637062af4","iCat")</x:f>
      </x:c>
      <x:c r="M5662" s="0" t="s">
        <x:v>21</x:v>
      </x:c>
      <x:c r="N5662" s="0" t="s">
        <x:v>46</x:v>
      </x:c>
    </x:row>
    <x:row r="5663" spans="1:16">
      <x:c r="A5663" s="0" t="s">
        <x:v>22504</x:v>
      </x:c>
      <x:c r="B5663" s="0" t="s">
        <x:v>22505</x:v>
      </x:c>
      <x:c r="C5663" s="0" t="s">
        <x:v>22506</x:v>
      </x:c>
      <x:c r="E5663" s="0" t="s">
        <x:v>22507</x:v>
      </x:c>
      <x:c r="F5663" s="0" t="s">
        <x:v>45</x:v>
      </x:c>
      <x:c r="G5663" s="0" t="s">
        <x:v>19</x:v>
      </x:c>
      <x:c r="H5663" s="0" t="s">
        <x:v>20</x:v>
      </x:c>
      <x:c r="I5663" s="0" t="s">
        <x:v>21</x:v>
      </x:c>
      <x:c r="K5663" s="0">
        <x:f>hyperlink("https://icd.who.int/dev11/l-ichi/en#/http%3A%2F%2Fid.who.int%2Ficd%2Fentity%2F338805101","browser")</x:f>
      </x:c>
      <x:c r="L5663" s="0">
        <x:f>hyperlink("https://icat2.azurewebsites.net/icat/?ontology=ICD&amp;tab=ClassesTab&amp;id=http%3A%2F%2Fwho.int%2Ficd%2331876_512ebf36_bf6b_4d70_85da_cf2637062af4","iCat")</x:f>
      </x:c>
      <x:c r="M5663" s="0" t="s">
        <x:v>21</x:v>
      </x:c>
      <x:c r="N5663" s="0" t="s">
        <x:v>46</x:v>
      </x:c>
    </x:row>
    <x:row r="5664" spans="1:16">
      <x:c r="A5664" s="0" t="s">
        <x:v>22508</x:v>
      </x:c>
      <x:c r="B5664" s="0" t="s">
        <x:v>22509</x:v>
      </x:c>
      <x:c r="C5664" s="0" t="s">
        <x:v>22510</x:v>
      </x:c>
      <x:c r="E5664" s="0" t="s">
        <x:v>22511</x:v>
      </x:c>
      <x:c r="F5664" s="0" t="s">
        <x:v>45</x:v>
      </x:c>
      <x:c r="G5664" s="0" t="s">
        <x:v>19</x:v>
      </x:c>
      <x:c r="H5664" s="0" t="s">
        <x:v>20</x:v>
      </x:c>
      <x:c r="I5664" s="0" t="s">
        <x:v>21</x:v>
      </x:c>
      <x:c r="K5664" s="0">
        <x:f>hyperlink("https://icd.who.int/dev11/l-ichi/en#/http%3A%2F%2Fid.who.int%2Ficd%2Fentity%2F248598471","browser")</x:f>
      </x:c>
      <x:c r="L5664" s="0">
        <x:f>hyperlink("https://icat2.azurewebsites.net/icat/?ontology=ICD&amp;tab=ClassesTab&amp;id=http%3A%2F%2Fwho.int%2Ficd%2331882_512ebf36_bf6b_4d70_85da_cf2637062af4","iCat")</x:f>
      </x:c>
      <x:c r="M5664" s="0" t="s">
        <x:v>21</x:v>
      </x:c>
      <x:c r="N5664" s="0" t="s">
        <x:v>46</x:v>
      </x:c>
    </x:row>
    <x:row r="5665" spans="1:16">
      <x:c r="A5665" s="0" t="s">
        <x:v>22512</x:v>
      </x:c>
      <x:c r="B5665" s="0" t="s">
        <x:v>22513</x:v>
      </x:c>
      <x:c r="C5665" s="0" t="s">
        <x:v>22514</x:v>
      </x:c>
      <x:c r="E5665" s="0" t="s">
        <x:v>22515</x:v>
      </x:c>
      <x:c r="F5665" s="0" t="s">
        <x:v>45</x:v>
      </x:c>
      <x:c r="G5665" s="0" t="s">
        <x:v>19</x:v>
      </x:c>
      <x:c r="H5665" s="0" t="s">
        <x:v>20</x:v>
      </x:c>
      <x:c r="I5665" s="0" t="s">
        <x:v>21</x:v>
      </x:c>
      <x:c r="K5665" s="0">
        <x:f>hyperlink("https://icd.who.int/dev11/l-ichi/en#/http%3A%2F%2Fid.who.int%2Ficd%2Fentity%2F23643989","browser")</x:f>
      </x:c>
      <x:c r="L5665" s="0">
        <x:f>hyperlink("https://icat2.azurewebsites.net/icat/?ontology=ICD&amp;tab=ClassesTab&amp;id=http%3A%2F%2Fwho.int%2Ficd%2331890_512ebf36_bf6b_4d70_85da_cf2637062af4","iCat")</x:f>
      </x:c>
      <x:c r="M5665" s="0" t="s">
        <x:v>21</x:v>
      </x:c>
      <x:c r="N5665" s="0" t="s">
        <x:v>46</x:v>
      </x:c>
    </x:row>
    <x:row r="5666" spans="1:16">
      <x:c r="A5666" s="0" t="s">
        <x:v>22516</x:v>
      </x:c>
      <x:c r="B5666" s="0" t="s">
        <x:v>22517</x:v>
      </x:c>
      <x:c r="C5666" s="0" t="s">
        <x:v>22518</x:v>
      </x:c>
      <x:c r="E5666" s="0" t="s">
        <x:v>22519</x:v>
      </x:c>
      <x:c r="F5666" s="0" t="s">
        <x:v>45</x:v>
      </x:c>
      <x:c r="G5666" s="0" t="s">
        <x:v>19</x:v>
      </x:c>
      <x:c r="H5666" s="0" t="s">
        <x:v>20</x:v>
      </x:c>
      <x:c r="I5666" s="0" t="s">
        <x:v>21</x:v>
      </x:c>
      <x:c r="K5666" s="0">
        <x:f>hyperlink("https://icd.who.int/dev11/l-ichi/en#/http%3A%2F%2Fid.who.int%2Ficd%2Fentity%2F1340716544","browser")</x:f>
      </x:c>
      <x:c r="L5666" s="0">
        <x:f>hyperlink("https://icat2.azurewebsites.net/icat/?ontology=ICD&amp;tab=ClassesTab&amp;id=http%3A%2F%2Fwho.int%2Ficd%2331898_512ebf36_bf6b_4d70_85da_cf2637062af4","iCat")</x:f>
      </x:c>
      <x:c r="M5666" s="0" t="s">
        <x:v>21</x:v>
      </x:c>
      <x:c r="N5666" s="0" t="s">
        <x:v>46</x:v>
      </x:c>
    </x:row>
    <x:row r="5667" spans="1:16">
      <x:c r="A5667" s="0" t="s">
        <x:v>22520</x:v>
      </x:c>
      <x:c r="B5667" s="0" t="s">
        <x:v>22521</x:v>
      </x:c>
      <x:c r="C5667" s="0" t="s">
        <x:v>22522</x:v>
      </x:c>
      <x:c r="E5667" s="0" t="s">
        <x:v>22523</x:v>
      </x:c>
      <x:c r="F5667" s="0" t="s">
        <x:v>45</x:v>
      </x:c>
      <x:c r="G5667" s="0" t="s">
        <x:v>19</x:v>
      </x:c>
      <x:c r="H5667" s="0" t="s">
        <x:v>20</x:v>
      </x:c>
      <x:c r="I5667" s="0" t="s">
        <x:v>21</x:v>
      </x:c>
      <x:c r="K5667" s="0">
        <x:f>hyperlink("https://icd.who.int/dev11/l-ichi/en#/http%3A%2F%2Fid.who.int%2Ficd%2Fentity%2F352156435","browser")</x:f>
      </x:c>
      <x:c r="L5667" s="0">
        <x:f>hyperlink("https://icat2.azurewebsites.net/icat/?ontology=ICD&amp;tab=ClassesTab&amp;id=http%3A%2F%2Fwho.int%2Ficd%2331905_512ebf36_bf6b_4d70_85da_cf2637062af4","iCat")</x:f>
      </x:c>
      <x:c r="M5667" s="0" t="s">
        <x:v>21</x:v>
      </x:c>
      <x:c r="N5667" s="0" t="s">
        <x:v>46</x:v>
      </x:c>
    </x:row>
    <x:row r="5668" spans="1:16">
      <x:c r="A5668" s="0" t="s">
        <x:v>22524</x:v>
      </x:c>
      <x:c r="B5668" s="0" t="s">
        <x:v>22525</x:v>
      </x:c>
      <x:c r="C5668" s="0" t="s">
        <x:v>22526</x:v>
      </x:c>
      <x:c r="E5668" s="0" t="s">
        <x:v>22527</x:v>
      </x:c>
      <x:c r="F5668" s="0" t="s">
        <x:v>45</x:v>
      </x:c>
      <x:c r="G5668" s="0" t="s">
        <x:v>19</x:v>
      </x:c>
      <x:c r="H5668" s="0" t="s">
        <x:v>20</x:v>
      </x:c>
      <x:c r="I5668" s="0" t="s">
        <x:v>21</x:v>
      </x:c>
      <x:c r="K5668" s="0">
        <x:f>hyperlink("https://icd.who.int/dev11/l-ichi/en#/http%3A%2F%2Fid.who.int%2Ficd%2Fentity%2F1262430768","browser")</x:f>
      </x:c>
      <x:c r="L5668" s="0">
        <x:f>hyperlink("https://icat2.azurewebsites.net/icat/?ontology=ICD&amp;tab=ClassesTab&amp;id=http%3A%2F%2Fwho.int%2Ficd%2331911_512ebf36_bf6b_4d70_85da_cf2637062af4","iCat")</x:f>
      </x:c>
      <x:c r="M5668" s="0" t="s">
        <x:v>21</x:v>
      </x:c>
      <x:c r="N5668" s="0" t="s">
        <x:v>46</x:v>
      </x:c>
    </x:row>
    <x:row r="5669" spans="1:16">
      <x:c r="A5669" s="0" t="s">
        <x:v>22528</x:v>
      </x:c>
      <x:c r="B5669" s="0" t="s">
        <x:v>22529</x:v>
      </x:c>
      <x:c r="C5669" s="0" t="s">
        <x:v>22530</x:v>
      </x:c>
      <x:c r="E5669" s="0" t="s">
        <x:v>22531</x:v>
      </x:c>
      <x:c r="F5669" s="0" t="s">
        <x:v>45</x:v>
      </x:c>
      <x:c r="G5669" s="0" t="s">
        <x:v>19</x:v>
      </x:c>
      <x:c r="H5669" s="0" t="s">
        <x:v>20</x:v>
      </x:c>
      <x:c r="I5669" s="0" t="s">
        <x:v>21</x:v>
      </x:c>
      <x:c r="K5669" s="0">
        <x:f>hyperlink("https://icd.who.int/dev11/l-ichi/en#/http%3A%2F%2Fid.who.int%2Ficd%2Fentity%2F729225227","browser")</x:f>
      </x:c>
      <x:c r="L5669" s="0">
        <x:f>hyperlink("https://icat2.azurewebsites.net/icat/?ontology=ICD&amp;tab=ClassesTab&amp;id=http%3A%2F%2Fwho.int%2Ficd%2331920_512ebf36_bf6b_4d70_85da_cf2637062af4","iCat")</x:f>
      </x:c>
      <x:c r="M5669" s="0" t="s">
        <x:v>21</x:v>
      </x:c>
      <x:c r="N5669" s="0" t="s">
        <x:v>46</x:v>
      </x:c>
    </x:row>
    <x:row r="5670" spans="1:16">
      <x:c r="A5670" s="0" t="s">
        <x:v>22532</x:v>
      </x:c>
      <x:c r="B5670" s="0" t="s">
        <x:v>22533</x:v>
      </x:c>
      <x:c r="C5670" s="0" t="s">
        <x:v>22534</x:v>
      </x:c>
      <x:c r="E5670" s="0" t="s">
        <x:v>22535</x:v>
      </x:c>
      <x:c r="F5670" s="0" t="s">
        <x:v>45</x:v>
      </x:c>
      <x:c r="G5670" s="0" t="s">
        <x:v>19</x:v>
      </x:c>
      <x:c r="H5670" s="0" t="s">
        <x:v>20</x:v>
      </x:c>
      <x:c r="I5670" s="0" t="s">
        <x:v>21</x:v>
      </x:c>
      <x:c r="K5670" s="0">
        <x:f>hyperlink("https://icd.who.int/dev11/l-ichi/en#/http%3A%2F%2Fid.who.int%2Ficd%2Fentity%2F2064433596","browser")</x:f>
      </x:c>
      <x:c r="L5670" s="0">
        <x:f>hyperlink("https://icat2.azurewebsites.net/icat/?ontology=ICD&amp;tab=ClassesTab&amp;id=http%3A%2F%2Fwho.int%2Ficd%2331926_512ebf36_bf6b_4d70_85da_cf2637062af4","iCat")</x:f>
      </x:c>
      <x:c r="M5670" s="0" t="s">
        <x:v>21</x:v>
      </x:c>
      <x:c r="N5670" s="0" t="s">
        <x:v>46</x:v>
      </x:c>
    </x:row>
    <x:row r="5671" spans="1:16">
      <x:c r="A5671" s="0" t="s">
        <x:v>22536</x:v>
      </x:c>
      <x:c r="B5671" s="0" t="s">
        <x:v>22537</x:v>
      </x:c>
      <x:c r="C5671" s="0" t="s">
        <x:v>22538</x:v>
      </x:c>
      <x:c r="E5671" s="0" t="s">
        <x:v>22539</x:v>
      </x:c>
      <x:c r="F5671" s="0" t="s">
        <x:v>45</x:v>
      </x:c>
      <x:c r="G5671" s="0" t="s">
        <x:v>19</x:v>
      </x:c>
      <x:c r="H5671" s="0" t="s">
        <x:v>20</x:v>
      </x:c>
      <x:c r="I5671" s="0" t="s">
        <x:v>21</x:v>
      </x:c>
      <x:c r="K5671" s="0">
        <x:f>hyperlink("https://icd.who.int/dev11/l-ichi/en#/http%3A%2F%2Fid.who.int%2Ficd%2Fentity%2F1958037802","browser")</x:f>
      </x:c>
      <x:c r="L5671" s="0">
        <x:f>hyperlink("https://icat2.azurewebsites.net/icat/?ontology=ICD&amp;tab=ClassesTab&amp;id=http%3A%2F%2Fwho.int%2Ficd%2331934_512ebf36_bf6b_4d70_85da_cf2637062af4","iCat")</x:f>
      </x:c>
      <x:c r="M5671" s="0" t="s">
        <x:v>21</x:v>
      </x:c>
      <x:c r="N5671" s="0" t="s">
        <x:v>46</x:v>
      </x:c>
    </x:row>
    <x:row r="5672" spans="1:16">
      <x:c r="A5672" s="0" t="s">
        <x:v>22540</x:v>
      </x:c>
      <x:c r="B5672" s="0" t="s">
        <x:v>22541</x:v>
      </x:c>
      <x:c r="C5672" s="0" t="s">
        <x:v>22542</x:v>
      </x:c>
      <x:c r="E5672" s="0" t="s">
        <x:v>22543</x:v>
      </x:c>
      <x:c r="F5672" s="0" t="s">
        <x:v>45</x:v>
      </x:c>
      <x:c r="G5672" s="0" t="s">
        <x:v>19</x:v>
      </x:c>
      <x:c r="H5672" s="0" t="s">
        <x:v>20</x:v>
      </x:c>
      <x:c r="I5672" s="0" t="s">
        <x:v>21</x:v>
      </x:c>
      <x:c r="K5672" s="0">
        <x:f>hyperlink("https://icd.who.int/dev11/l-ichi/en#/http%3A%2F%2Fid.who.int%2Ficd%2Fentity%2F337150851","browser")</x:f>
      </x:c>
      <x:c r="L5672" s="0">
        <x:f>hyperlink("https://icat2.azurewebsites.net/icat/?ontology=ICD&amp;tab=ClassesTab&amp;id=http%3A%2F%2Fwho.int%2Ficd%2331942_512ebf36_bf6b_4d70_85da_cf2637062af4","iCat")</x:f>
      </x:c>
      <x:c r="M5672" s="0" t="s">
        <x:v>21</x:v>
      </x:c>
      <x:c r="N5672" s="0" t="s">
        <x:v>46</x:v>
      </x:c>
    </x:row>
    <x:row r="5673" spans="1:16">
      <x:c r="A5673" s="0" t="s">
        <x:v>22544</x:v>
      </x:c>
      <x:c r="B5673" s="0" t="s">
        <x:v>22545</x:v>
      </x:c>
      <x:c r="C5673" s="0" t="s">
        <x:v>22546</x:v>
      </x:c>
      <x:c r="E5673" s="0" t="s">
        <x:v>22547</x:v>
      </x:c>
      <x:c r="F5673" s="0" t="s">
        <x:v>45</x:v>
      </x:c>
      <x:c r="G5673" s="0" t="s">
        <x:v>19</x:v>
      </x:c>
      <x:c r="H5673" s="0" t="s">
        <x:v>20</x:v>
      </x:c>
      <x:c r="I5673" s="0" t="s">
        <x:v>21</x:v>
      </x:c>
      <x:c r="K5673" s="0">
        <x:f>hyperlink("https://icd.who.int/dev11/l-ichi/en#/http%3A%2F%2Fid.who.int%2Ficd%2Fentity%2F463538961","browser")</x:f>
      </x:c>
      <x:c r="L5673" s="0">
        <x:f>hyperlink("https://icat2.azurewebsites.net/icat/?ontology=ICD&amp;tab=ClassesTab&amp;id=http%3A%2F%2Fwho.int%2Ficd%2331950_512ebf36_bf6b_4d70_85da_cf2637062af4","iCat")</x:f>
      </x:c>
      <x:c r="M5673" s="0" t="s">
        <x:v>21</x:v>
      </x:c>
      <x:c r="N5673" s="0" t="s">
        <x:v>46</x:v>
      </x:c>
    </x:row>
    <x:row r="5674" spans="1:16">
      <x:c r="A5674" s="0" t="s">
        <x:v>22548</x:v>
      </x:c>
      <x:c r="B5674" s="0" t="s">
        <x:v>22549</x:v>
      </x:c>
      <x:c r="C5674" s="0" t="s">
        <x:v>22550</x:v>
      </x:c>
      <x:c r="E5674" s="0" t="s">
        <x:v>22551</x:v>
      </x:c>
      <x:c r="F5674" s="0" t="s">
        <x:v>45</x:v>
      </x:c>
      <x:c r="G5674" s="0" t="s">
        <x:v>19</x:v>
      </x:c>
      <x:c r="H5674" s="0" t="s">
        <x:v>20</x:v>
      </x:c>
      <x:c r="I5674" s="0" t="s">
        <x:v>21</x:v>
      </x:c>
      <x:c r="K5674" s="0">
        <x:f>hyperlink("https://icd.who.int/dev11/l-ichi/en#/http%3A%2F%2Fid.who.int%2Ficd%2Fentity%2F1527794454","browser")</x:f>
      </x:c>
      <x:c r="L5674" s="0">
        <x:f>hyperlink("https://icat2.azurewebsites.net/icat/?ontology=ICD&amp;tab=ClassesTab&amp;id=http%3A%2F%2Fwho.int%2Ficd%2331960_512ebf36_bf6b_4d70_85da_cf2637062af4","iCat")</x:f>
      </x:c>
      <x:c r="M5674" s="0" t="s">
        <x:v>21</x:v>
      </x:c>
      <x:c r="N5674" s="0" t="s">
        <x:v>46</x:v>
      </x:c>
    </x:row>
    <x:row r="5675" spans="1:16">
      <x:c r="A5675" s="0" t="s">
        <x:v>22552</x:v>
      </x:c>
      <x:c r="B5675" s="0" t="s">
        <x:v>22553</x:v>
      </x:c>
      <x:c r="C5675" s="0" t="s">
        <x:v>22554</x:v>
      </x:c>
      <x:c r="E5675" s="0" t="s">
        <x:v>22555</x:v>
      </x:c>
      <x:c r="F5675" s="0" t="s">
        <x:v>45</x:v>
      </x:c>
      <x:c r="G5675" s="0" t="s">
        <x:v>19</x:v>
      </x:c>
      <x:c r="H5675" s="0" t="s">
        <x:v>20</x:v>
      </x:c>
      <x:c r="I5675" s="0" t="s">
        <x:v>21</x:v>
      </x:c>
      <x:c r="K5675" s="0">
        <x:f>hyperlink("https://icd.who.int/dev11/l-ichi/en#/http%3A%2F%2Fid.who.int%2Ficd%2Fentity%2F731046043","browser")</x:f>
      </x:c>
      <x:c r="L5675" s="0">
        <x:f>hyperlink("https://icat2.azurewebsites.net/icat/?ontology=ICD&amp;tab=ClassesTab&amp;id=http%3A%2F%2Fwho.int%2Ficd%2331967_512ebf36_bf6b_4d70_85da_cf2637062af4","iCat")</x:f>
      </x:c>
      <x:c r="M5675" s="0" t="s">
        <x:v>21</x:v>
      </x:c>
      <x:c r="N5675" s="0" t="s">
        <x:v>46</x:v>
      </x:c>
    </x:row>
    <x:row r="5676" spans="1:16">
      <x:c r="A5676" s="0" t="s">
        <x:v>22556</x:v>
      </x:c>
      <x:c r="B5676" s="0" t="s">
        <x:v>22557</x:v>
      </x:c>
      <x:c r="C5676" s="0" t="s">
        <x:v>22558</x:v>
      </x:c>
      <x:c r="E5676" s="0" t="s">
        <x:v>22559</x:v>
      </x:c>
      <x:c r="F5676" s="0" t="s">
        <x:v>45</x:v>
      </x:c>
      <x:c r="G5676" s="0" t="s">
        <x:v>19</x:v>
      </x:c>
      <x:c r="H5676" s="0" t="s">
        <x:v>20</x:v>
      </x:c>
      <x:c r="I5676" s="0" t="s">
        <x:v>21</x:v>
      </x:c>
      <x:c r="K5676" s="0">
        <x:f>hyperlink("https://icd.who.int/dev11/l-ichi/en#/http%3A%2F%2Fid.who.int%2Ficd%2Fentity%2F80878133","browser")</x:f>
      </x:c>
      <x:c r="L5676" s="0">
        <x:f>hyperlink("https://icat2.azurewebsites.net/icat/?ontology=ICD&amp;tab=ClassesTab&amp;id=http%3A%2F%2Fwho.int%2Ficd%2331974_512ebf36_bf6b_4d70_85da_cf2637062af4","iCat")</x:f>
      </x:c>
      <x:c r="M5676" s="0" t="s">
        <x:v>21</x:v>
      </x:c>
      <x:c r="N5676" s="0" t="s">
        <x:v>46</x:v>
      </x:c>
    </x:row>
    <x:row r="5677" spans="1:16">
      <x:c r="A5677" s="0" t="s">
        <x:v>22560</x:v>
      </x:c>
      <x:c r="B5677" s="0" t="s">
        <x:v>22561</x:v>
      </x:c>
      <x:c r="C5677" s="0" t="s">
        <x:v>22562</x:v>
      </x:c>
      <x:c r="E5677" s="0" t="s">
        <x:v>22563</x:v>
      </x:c>
      <x:c r="F5677" s="0" t="s">
        <x:v>45</x:v>
      </x:c>
      <x:c r="G5677" s="0" t="s">
        <x:v>19</x:v>
      </x:c>
      <x:c r="H5677" s="0" t="s">
        <x:v>20</x:v>
      </x:c>
      <x:c r="I5677" s="0" t="s">
        <x:v>21</x:v>
      </x:c>
      <x:c r="K5677" s="0">
        <x:f>hyperlink("https://icd.who.int/dev11/l-ichi/en#/http%3A%2F%2Fid.who.int%2Ficd%2Fentity%2F724914411","browser")</x:f>
      </x:c>
      <x:c r="L5677" s="0">
        <x:f>hyperlink("https://icat2.azurewebsites.net/icat/?ontology=ICD&amp;tab=ClassesTab&amp;id=http%3A%2F%2Fwho.int%2Ficd%2331984_512ebf36_bf6b_4d70_85da_cf2637062af4","iCat")</x:f>
      </x:c>
      <x:c r="M5677" s="0" t="s">
        <x:v>21</x:v>
      </x:c>
      <x:c r="N5677" s="0" t="s">
        <x:v>46</x:v>
      </x:c>
    </x:row>
    <x:row r="5678" spans="1:16">
      <x:c r="A5678" s="0" t="s">
        <x:v>22564</x:v>
      </x:c>
      <x:c r="B5678" s="0" t="s">
        <x:v>22565</x:v>
      </x:c>
      <x:c r="C5678" s="0" t="s">
        <x:v>22566</x:v>
      </x:c>
      <x:c r="E5678" s="0" t="s">
        <x:v>22567</x:v>
      </x:c>
      <x:c r="F5678" s="0" t="s">
        <x:v>45</x:v>
      </x:c>
      <x:c r="G5678" s="0" t="s">
        <x:v>19</x:v>
      </x:c>
      <x:c r="H5678" s="0" t="s">
        <x:v>20</x:v>
      </x:c>
      <x:c r="I5678" s="0" t="s">
        <x:v>21</x:v>
      </x:c>
      <x:c r="K5678" s="0">
        <x:f>hyperlink("https://icd.who.int/dev11/l-ichi/en#/http%3A%2F%2Fid.who.int%2Ficd%2Fentity%2F829582897","browser")</x:f>
      </x:c>
      <x:c r="L5678" s="0">
        <x:f>hyperlink("https://icat2.azurewebsites.net/icat/?ontology=ICD&amp;tab=ClassesTab&amp;id=http%3A%2F%2Fwho.int%2Ficd%2331993_512ebf36_bf6b_4d70_85da_cf2637062af4","iCat")</x:f>
      </x:c>
      <x:c r="M5678" s="0" t="s">
        <x:v>21</x:v>
      </x:c>
      <x:c r="N5678" s="0" t="s">
        <x:v>46</x:v>
      </x:c>
    </x:row>
    <x:row r="5679" spans="1:16">
      <x:c r="A5679" s="0" t="s">
        <x:v>22568</x:v>
      </x:c>
      <x:c r="B5679" s="0" t="s">
        <x:v>22569</x:v>
      </x:c>
      <x:c r="C5679" s="0" t="s">
        <x:v>22570</x:v>
      </x:c>
      <x:c r="E5679" s="0" t="s">
        <x:v>22571</x:v>
      </x:c>
      <x:c r="F5679" s="0" t="s">
        <x:v>45</x:v>
      </x:c>
      <x:c r="G5679" s="0" t="s">
        <x:v>19</x:v>
      </x:c>
      <x:c r="H5679" s="0" t="s">
        <x:v>20</x:v>
      </x:c>
      <x:c r="I5679" s="0" t="s">
        <x:v>21</x:v>
      </x:c>
      <x:c r="K5679" s="0">
        <x:f>hyperlink("https://icd.who.int/dev11/l-ichi/en#/http%3A%2F%2Fid.who.int%2Ficd%2Fentity%2F1858608956","browser")</x:f>
      </x:c>
      <x:c r="L5679" s="0">
        <x:f>hyperlink("https://icat2.azurewebsites.net/icat/?ontology=ICD&amp;tab=ClassesTab&amp;id=http%3A%2F%2Fwho.int%2Ficd%2332000_512ebf36_bf6b_4d70_85da_cf2637062af4","iCat")</x:f>
      </x:c>
      <x:c r="M5679" s="0" t="s">
        <x:v>21</x:v>
      </x:c>
      <x:c r="N5679" s="0" t="s">
        <x:v>46</x:v>
      </x:c>
    </x:row>
    <x:row r="5680" spans="1:16">
      <x:c r="A5680" s="0" t="s">
        <x:v>22572</x:v>
      </x:c>
      <x:c r="B5680" s="0" t="s">
        <x:v>22573</x:v>
      </x:c>
      <x:c r="C5680" s="0" t="s">
        <x:v>22574</x:v>
      </x:c>
      <x:c r="E5680" s="0" t="s">
        <x:v>22575</x:v>
      </x:c>
      <x:c r="F5680" s="0" t="s">
        <x:v>45</x:v>
      </x:c>
      <x:c r="G5680" s="0" t="s">
        <x:v>19</x:v>
      </x:c>
      <x:c r="H5680" s="0" t="s">
        <x:v>20</x:v>
      </x:c>
      <x:c r="I5680" s="0" t="s">
        <x:v>21</x:v>
      </x:c>
      <x:c r="K5680" s="0">
        <x:f>hyperlink("https://icd.who.int/dev11/l-ichi/en#/http%3A%2F%2Fid.who.int%2Ficd%2Fentity%2F1626877544","browser")</x:f>
      </x:c>
      <x:c r="L5680" s="0">
        <x:f>hyperlink("https://icat2.azurewebsites.net/icat/?ontology=ICD&amp;tab=ClassesTab&amp;id=http%3A%2F%2Fwho.int%2Ficd%2332038_512ebf36_bf6b_4d70_85da_cf2637062af4","iCat")</x:f>
      </x:c>
      <x:c r="M5680" s="0" t="s">
        <x:v>21</x:v>
      </x:c>
      <x:c r="N5680" s="0" t="s">
        <x:v>46</x:v>
      </x:c>
    </x:row>
    <x:row r="5681" spans="1:16">
      <x:c r="A5681" s="0" t="s">
        <x:v>22576</x:v>
      </x:c>
      <x:c r="B5681" s="0" t="s">
        <x:v>22577</x:v>
      </x:c>
      <x:c r="C5681" s="0" t="s">
        <x:v>22578</x:v>
      </x:c>
      <x:c r="E5681" s="0" t="s">
        <x:v>22579</x:v>
      </x:c>
      <x:c r="F5681" s="0" t="s">
        <x:v>45</x:v>
      </x:c>
      <x:c r="G5681" s="0" t="s">
        <x:v>19</x:v>
      </x:c>
      <x:c r="H5681" s="0" t="s">
        <x:v>20</x:v>
      </x:c>
      <x:c r="I5681" s="0" t="s">
        <x:v>21</x:v>
      </x:c>
      <x:c r="K5681" s="0">
        <x:f>hyperlink("https://icd.who.int/dev11/l-ichi/en#/http%3A%2F%2Fid.who.int%2Ficd%2Fentity%2F541683311","browser")</x:f>
      </x:c>
      <x:c r="L5681" s="0">
        <x:f>hyperlink("https://icat2.azurewebsites.net/icat/?ontology=ICD&amp;tab=ClassesTab&amp;id=http%3A%2F%2Fwho.int%2Ficd%2332008_512ebf36_bf6b_4d70_85da_cf2637062af4","iCat")</x:f>
      </x:c>
      <x:c r="M5681" s="0" t="s">
        <x:v>21</x:v>
      </x:c>
      <x:c r="N5681" s="0" t="s">
        <x:v>46</x:v>
      </x:c>
    </x:row>
    <x:row r="5682" spans="1:16">
      <x:c r="A5682" s="0" t="s">
        <x:v>22580</x:v>
      </x:c>
      <x:c r="B5682" s="0" t="s">
        <x:v>22581</x:v>
      </x:c>
      <x:c r="C5682" s="0" t="s">
        <x:v>22582</x:v>
      </x:c>
      <x:c r="E5682" s="0" t="s">
        <x:v>22583</x:v>
      </x:c>
      <x:c r="F5682" s="0" t="s">
        <x:v>45</x:v>
      </x:c>
      <x:c r="G5682" s="0" t="s">
        <x:v>19</x:v>
      </x:c>
      <x:c r="H5682" s="0" t="s">
        <x:v>20</x:v>
      </x:c>
      <x:c r="I5682" s="0" t="s">
        <x:v>21</x:v>
      </x:c>
      <x:c r="K5682" s="0">
        <x:f>hyperlink("https://icd.who.int/dev11/l-ichi/en#/http%3A%2F%2Fid.who.int%2Ficd%2Fentity%2F20555155","browser")</x:f>
      </x:c>
      <x:c r="L5682" s="0">
        <x:f>hyperlink("https://icat2.azurewebsites.net/icat/?ontology=ICD&amp;tab=ClassesTab&amp;id=http%3A%2F%2Fwho.int%2Ficd%2332023_512ebf36_bf6b_4d70_85da_cf2637062af4","iCat")</x:f>
      </x:c>
      <x:c r="M5682" s="0" t="s">
        <x:v>21</x:v>
      </x:c>
      <x:c r="N5682" s="0" t="s">
        <x:v>46</x:v>
      </x:c>
    </x:row>
    <x:row r="5683" spans="1:16">
      <x:c r="A5683" s="0" t="s">
        <x:v>22584</x:v>
      </x:c>
      <x:c r="B5683" s="0" t="s">
        <x:v>22585</x:v>
      </x:c>
      <x:c r="C5683" s="0" t="s">
        <x:v>22586</x:v>
      </x:c>
      <x:c r="E5683" s="0" t="s">
        <x:v>22587</x:v>
      </x:c>
      <x:c r="F5683" s="0" t="s">
        <x:v>45</x:v>
      </x:c>
      <x:c r="G5683" s="0" t="s">
        <x:v>19</x:v>
      </x:c>
      <x:c r="H5683" s="0" t="s">
        <x:v>20</x:v>
      </x:c>
      <x:c r="I5683" s="0" t="s">
        <x:v>21</x:v>
      </x:c>
      <x:c r="K5683" s="0">
        <x:f>hyperlink("https://icd.who.int/dev11/l-ichi/en#/http%3A%2F%2Fid.who.int%2Ficd%2Fentity%2F1345207668","browser")</x:f>
      </x:c>
      <x:c r="L5683" s="0">
        <x:f>hyperlink("https://icat2.azurewebsites.net/icat/?ontology=ICD&amp;tab=ClassesTab&amp;id=http%3A%2F%2Fwho.int%2Ficd%2332048_512ebf36_bf6b_4d70_85da_cf2637062af4","iCat")</x:f>
      </x:c>
      <x:c r="M5683" s="0" t="s">
        <x:v>21</x:v>
      </x:c>
      <x:c r="N5683" s="0" t="s">
        <x:v>46</x:v>
      </x:c>
    </x:row>
    <x:row r="5684" spans="1:16">
      <x:c r="A5684" s="0" t="s">
        <x:v>22588</x:v>
      </x:c>
      <x:c r="B5684" s="0" t="s">
        <x:v>22589</x:v>
      </x:c>
      <x:c r="C5684" s="0" t="s">
        <x:v>22590</x:v>
      </x:c>
      <x:c r="E5684" s="0" t="s">
        <x:v>22591</x:v>
      </x:c>
      <x:c r="F5684" s="0" t="s">
        <x:v>45</x:v>
      </x:c>
      <x:c r="G5684" s="0" t="s">
        <x:v>19</x:v>
      </x:c>
      <x:c r="H5684" s="0" t="s">
        <x:v>20</x:v>
      </x:c>
      <x:c r="I5684" s="0" t="s">
        <x:v>21</x:v>
      </x:c>
      <x:c r="K5684" s="0">
        <x:f>hyperlink("https://icd.who.int/dev11/l-ichi/en#/http%3A%2F%2Fid.who.int%2Ficd%2Fentity%2F605094081","browser")</x:f>
      </x:c>
      <x:c r="L5684" s="0">
        <x:f>hyperlink("https://icat2.azurewebsites.net/icat/?ontology=ICD&amp;tab=ClassesTab&amp;id=http%3A%2F%2Fwho.int%2Ficd%2332056_512ebf36_bf6b_4d70_85da_cf2637062af4","iCat")</x:f>
      </x:c>
      <x:c r="M5684" s="0" t="s">
        <x:v>21</x:v>
      </x:c>
      <x:c r="N5684" s="0" t="s">
        <x:v>46</x:v>
      </x:c>
    </x:row>
    <x:row r="5685" spans="1:16">
      <x:c r="A5685" s="0" t="s">
        <x:v>22592</x:v>
      </x:c>
      <x:c r="B5685" s="0" t="s">
        <x:v>22593</x:v>
      </x:c>
      <x:c r="C5685" s="0" t="s">
        <x:v>22594</x:v>
      </x:c>
      <x:c r="E5685" s="0" t="s">
        <x:v>22595</x:v>
      </x:c>
      <x:c r="F5685" s="0" t="s">
        <x:v>45</x:v>
      </x:c>
      <x:c r="G5685" s="0" t="s">
        <x:v>19</x:v>
      </x:c>
      <x:c r="H5685" s="0" t="s">
        <x:v>20</x:v>
      </x:c>
      <x:c r="I5685" s="0" t="s">
        <x:v>21</x:v>
      </x:c>
      <x:c r="K5685" s="0">
        <x:f>hyperlink("https://icd.who.int/dev11/l-ichi/en#/http%3A%2F%2Fid.who.int%2Ficd%2Fentity%2F1369932978","browser")</x:f>
      </x:c>
      <x:c r="L5685" s="0">
        <x:f>hyperlink("https://icat2.azurewebsites.net/icat/?ontology=ICD&amp;tab=ClassesTab&amp;id=http%3A%2F%2Fwho.int%2Ficd%2332062_512ebf36_bf6b_4d70_85da_cf2637062af4","iCat")</x:f>
      </x:c>
      <x:c r="M5685" s="0" t="s">
        <x:v>21</x:v>
      </x:c>
      <x:c r="N5685" s="0" t="s">
        <x:v>46</x:v>
      </x:c>
    </x:row>
    <x:row r="5686" spans="1:16">
      <x:c r="A5686" s="0" t="s">
        <x:v>22596</x:v>
      </x:c>
      <x:c r="B5686" s="0" t="s">
        <x:v>22597</x:v>
      </x:c>
      <x:c r="C5686" s="0" t="s">
        <x:v>22598</x:v>
      </x:c>
      <x:c r="E5686" s="0" t="s">
        <x:v>22599</x:v>
      </x:c>
      <x:c r="F5686" s="0" t="s">
        <x:v>45</x:v>
      </x:c>
      <x:c r="G5686" s="0" t="s">
        <x:v>19</x:v>
      </x:c>
      <x:c r="H5686" s="0" t="s">
        <x:v>20</x:v>
      </x:c>
      <x:c r="I5686" s="0" t="s">
        <x:v>21</x:v>
      </x:c>
      <x:c r="K5686" s="0">
        <x:f>hyperlink("https://icd.who.int/dev11/l-ichi/en#/http%3A%2F%2Fid.who.int%2Ficd%2Fentity%2F278887797","browser")</x:f>
      </x:c>
      <x:c r="L5686" s="0">
        <x:f>hyperlink("https://icat2.azurewebsites.net/icat/?ontology=ICD&amp;tab=ClassesTab&amp;id=http%3A%2F%2Fwho.int%2Ficd%2332078_512ebf36_bf6b_4d70_85da_cf2637062af4","iCat")</x:f>
      </x:c>
      <x:c r="M5686" s="0" t="s">
        <x:v>21</x:v>
      </x:c>
      <x:c r="N5686" s="0" t="s">
        <x:v>46</x:v>
      </x:c>
    </x:row>
    <x:row r="5687" spans="1:16">
      <x:c r="A5687" s="0" t="s">
        <x:v>22600</x:v>
      </x:c>
      <x:c r="B5687" s="0" t="s">
        <x:v>22601</x:v>
      </x:c>
      <x:c r="C5687" s="0" t="s">
        <x:v>22602</x:v>
      </x:c>
      <x:c r="E5687" s="0" t="s">
        <x:v>22603</x:v>
      </x:c>
      <x:c r="F5687" s="0" t="s">
        <x:v>45</x:v>
      </x:c>
      <x:c r="G5687" s="0" t="s">
        <x:v>19</x:v>
      </x:c>
      <x:c r="H5687" s="0" t="s">
        <x:v>20</x:v>
      </x:c>
      <x:c r="I5687" s="0" t="s">
        <x:v>21</x:v>
      </x:c>
      <x:c r="K5687" s="0">
        <x:f>hyperlink("https://icd.who.int/dev11/l-ichi/en#/http%3A%2F%2Fid.who.int%2Ficd%2Fentity%2F456971177","browser")</x:f>
      </x:c>
      <x:c r="L5687" s="0">
        <x:f>hyperlink("https://icat2.azurewebsites.net/icat/?ontology=ICD&amp;tab=ClassesTab&amp;id=http%3A%2F%2Fwho.int%2Ficd%2332090_512ebf36_bf6b_4d70_85da_cf2637062af4","iCat")</x:f>
      </x:c>
      <x:c r="M5687" s="0" t="s">
        <x:v>21</x:v>
      </x:c>
      <x:c r="N5687" s="0" t="s">
        <x:v>46</x:v>
      </x:c>
    </x:row>
    <x:row r="5688" spans="1:16">
      <x:c r="A5688" s="0" t="s">
        <x:v>22604</x:v>
      </x:c>
      <x:c r="B5688" s="0" t="s">
        <x:v>22605</x:v>
      </x:c>
      <x:c r="C5688" s="0" t="s">
        <x:v>22606</x:v>
      </x:c>
      <x:c r="E5688" s="0" t="s">
        <x:v>22607</x:v>
      </x:c>
      <x:c r="F5688" s="0" t="s">
        <x:v>45</x:v>
      </x:c>
      <x:c r="G5688" s="0" t="s">
        <x:v>19</x:v>
      </x:c>
      <x:c r="H5688" s="0" t="s">
        <x:v>20</x:v>
      </x:c>
      <x:c r="I5688" s="0" t="s">
        <x:v>21</x:v>
      </x:c>
      <x:c r="K5688" s="0">
        <x:f>hyperlink("https://icd.who.int/dev11/l-ichi/en#/http%3A%2F%2Fid.who.int%2Ficd%2Fentity%2F1001302939","browser")</x:f>
      </x:c>
      <x:c r="L5688" s="0">
        <x:f>hyperlink("https://icat2.azurewebsites.net/icat/?ontology=ICD&amp;tab=ClassesTab&amp;id=http%3A%2F%2Fwho.int%2Ficd%2332101_512ebf36_bf6b_4d70_85da_cf2637062af4","iCat")</x:f>
      </x:c>
      <x:c r="M5688" s="0" t="s">
        <x:v>21</x:v>
      </x:c>
      <x:c r="N5688" s="0" t="s">
        <x:v>46</x:v>
      </x:c>
    </x:row>
    <x:row r="5689" spans="1:16">
      <x:c r="A5689" s="0" t="s">
        <x:v>22608</x:v>
      </x:c>
      <x:c r="B5689" s="0" t="s">
        <x:v>22609</x:v>
      </x:c>
      <x:c r="C5689" s="0" t="s">
        <x:v>22610</x:v>
      </x:c>
      <x:c r="E5689" s="0" t="s">
        <x:v>22611</x:v>
      </x:c>
      <x:c r="F5689" s="0" t="s">
        <x:v>45</x:v>
      </x:c>
      <x:c r="G5689" s="0" t="s">
        <x:v>19</x:v>
      </x:c>
      <x:c r="H5689" s="0" t="s">
        <x:v>20</x:v>
      </x:c>
      <x:c r="I5689" s="0" t="s">
        <x:v>21</x:v>
      </x:c>
      <x:c r="K5689" s="0">
        <x:f>hyperlink("https://icd.who.int/dev11/l-ichi/en#/http%3A%2F%2Fid.who.int%2Ficd%2Fentity%2F1809150508","browser")</x:f>
      </x:c>
      <x:c r="L5689" s="0">
        <x:f>hyperlink("https://icat2.azurewebsites.net/icat/?ontology=ICD&amp;tab=ClassesTab&amp;id=http%3A%2F%2Fwho.int%2Ficd%2332107_512ebf36_bf6b_4d70_85da_cf2637062af4","iCat")</x:f>
      </x:c>
      <x:c r="M5689" s="0" t="s">
        <x:v>21</x:v>
      </x:c>
      <x:c r="N5689" s="0" t="s">
        <x:v>46</x:v>
      </x:c>
    </x:row>
    <x:row r="5690" spans="1:16">
      <x:c r="A5690" s="0" t="s">
        <x:v>22612</x:v>
      </x:c>
      <x:c r="B5690" s="0" t="s">
        <x:v>22613</x:v>
      </x:c>
      <x:c r="C5690" s="0" t="s">
        <x:v>22614</x:v>
      </x:c>
      <x:c r="E5690" s="0" t="s">
        <x:v>22615</x:v>
      </x:c>
      <x:c r="F5690" s="0" t="s">
        <x:v>45</x:v>
      </x:c>
      <x:c r="G5690" s="0" t="s">
        <x:v>19</x:v>
      </x:c>
      <x:c r="H5690" s="0" t="s">
        <x:v>20</x:v>
      </x:c>
      <x:c r="I5690" s="0" t="s">
        <x:v>21</x:v>
      </x:c>
      <x:c r="K5690" s="0">
        <x:f>hyperlink("https://icd.who.int/dev11/l-ichi/en#/http%3A%2F%2Fid.who.int%2Ficd%2Fentity%2F568956225","browser")</x:f>
      </x:c>
      <x:c r="L5690" s="0">
        <x:f>hyperlink("https://icat2.azurewebsites.net/icat/?ontology=ICD&amp;tab=ClassesTab&amp;id=http%3A%2F%2Fwho.int%2Ficd%2332116_512ebf36_bf6b_4d70_85da_cf2637062af4","iCat")</x:f>
      </x:c>
      <x:c r="M5690" s="0" t="s">
        <x:v>21</x:v>
      </x:c>
      <x:c r="N5690" s="0" t="s">
        <x:v>46</x:v>
      </x:c>
    </x:row>
    <x:row r="5691" spans="1:16">
      <x:c r="A5691" s="0" t="s">
        <x:v>22616</x:v>
      </x:c>
      <x:c r="B5691" s="0" t="s">
        <x:v>22617</x:v>
      </x:c>
      <x:c r="C5691" s="0" t="s">
        <x:v>22618</x:v>
      </x:c>
      <x:c r="E5691" s="0" t="s">
        <x:v>22619</x:v>
      </x:c>
      <x:c r="F5691" s="0" t="s">
        <x:v>45</x:v>
      </x:c>
      <x:c r="G5691" s="0" t="s">
        <x:v>19</x:v>
      </x:c>
      <x:c r="H5691" s="0" t="s">
        <x:v>20</x:v>
      </x:c>
      <x:c r="I5691" s="0" t="s">
        <x:v>21</x:v>
      </x:c>
      <x:c r="K5691" s="0">
        <x:f>hyperlink("https://icd.who.int/dev11/l-ichi/en#/http%3A%2F%2Fid.who.int%2Ficd%2Fentity%2F1957061392","browser")</x:f>
      </x:c>
      <x:c r="L5691" s="0">
        <x:f>hyperlink("https://icat2.azurewebsites.net/icat/?ontology=ICD&amp;tab=ClassesTab&amp;id=http%3A%2F%2Fwho.int%2Ficd%2332123_512ebf36_bf6b_4d70_85da_cf2637062af4","iCat")</x:f>
      </x:c>
      <x:c r="M5691" s="0" t="s">
        <x:v>21</x:v>
      </x:c>
      <x:c r="N5691" s="0" t="s">
        <x:v>46</x:v>
      </x:c>
    </x:row>
    <x:row r="5692" spans="1:16">
      <x:c r="A5692" s="0" t="s">
        <x:v>22620</x:v>
      </x:c>
      <x:c r="B5692" s="0" t="s">
        <x:v>22621</x:v>
      </x:c>
      <x:c r="C5692" s="0" t="s">
        <x:v>22622</x:v>
      </x:c>
      <x:c r="E5692" s="0" t="s">
        <x:v>22623</x:v>
      </x:c>
      <x:c r="F5692" s="0" t="s">
        <x:v>45</x:v>
      </x:c>
      <x:c r="G5692" s="0" t="s">
        <x:v>19</x:v>
      </x:c>
      <x:c r="H5692" s="0" t="s">
        <x:v>20</x:v>
      </x:c>
      <x:c r="I5692" s="0" t="s">
        <x:v>21</x:v>
      </x:c>
      <x:c r="K5692" s="0">
        <x:f>hyperlink("https://icd.who.int/dev11/l-ichi/en#/http%3A%2F%2Fid.who.int%2Ficd%2Fentity%2F1541839264","browser")</x:f>
      </x:c>
      <x:c r="L5692" s="0">
        <x:f>hyperlink("https://icat2.azurewebsites.net/icat/?ontology=ICD&amp;tab=ClassesTab&amp;id=http%3A%2F%2Fwho.int%2Ficd%2332130_512ebf36_bf6b_4d70_85da_cf2637062af4","iCat")</x:f>
      </x:c>
      <x:c r="M5692" s="0" t="s">
        <x:v>21</x:v>
      </x:c>
      <x:c r="N5692" s="0" t="s">
        <x:v>46</x:v>
      </x:c>
    </x:row>
    <x:row r="5693" spans="1:16">
      <x:c r="A5693" s="0" t="s">
        <x:v>22624</x:v>
      </x:c>
      <x:c r="B5693" s="0" t="s">
        <x:v>22625</x:v>
      </x:c>
      <x:c r="C5693" s="0" t="s">
        <x:v>22626</x:v>
      </x:c>
      <x:c r="E5693" s="0" t="s">
        <x:v>22627</x:v>
      </x:c>
      <x:c r="F5693" s="0" t="s">
        <x:v>45</x:v>
      </x:c>
      <x:c r="G5693" s="0" t="s">
        <x:v>19</x:v>
      </x:c>
      <x:c r="H5693" s="0" t="s">
        <x:v>20</x:v>
      </x:c>
      <x:c r="I5693" s="0" t="s">
        <x:v>21</x:v>
      </x:c>
      <x:c r="K5693" s="0">
        <x:f>hyperlink("https://icd.who.int/dev11/l-ichi/en#/http%3A%2F%2Fid.who.int%2Ficd%2Fentity%2F359131381","browser")</x:f>
      </x:c>
      <x:c r="L5693" s="0">
        <x:f>hyperlink("https://icat2.azurewebsites.net/icat/?ontology=ICD&amp;tab=ClassesTab&amp;id=http%3A%2F%2Fwho.int%2Ficd%2332138_512ebf36_bf6b_4d70_85da_cf2637062af4","iCat")</x:f>
      </x:c>
      <x:c r="M5693" s="0" t="s">
        <x:v>21</x:v>
      </x:c>
      <x:c r="N5693" s="0" t="s">
        <x:v>46</x:v>
      </x:c>
    </x:row>
    <x:row r="5694" spans="1:16">
      <x:c r="A5694" s="0" t="s">
        <x:v>22628</x:v>
      </x:c>
      <x:c r="B5694" s="0" t="s">
        <x:v>22629</x:v>
      </x:c>
      <x:c r="C5694" s="0" t="s">
        <x:v>22630</x:v>
      </x:c>
      <x:c r="E5694" s="0" t="s">
        <x:v>22631</x:v>
      </x:c>
      <x:c r="F5694" s="0" t="s">
        <x:v>45</x:v>
      </x:c>
      <x:c r="G5694" s="0" t="s">
        <x:v>19</x:v>
      </x:c>
      <x:c r="H5694" s="0" t="s">
        <x:v>20</x:v>
      </x:c>
      <x:c r="I5694" s="0" t="s">
        <x:v>21</x:v>
      </x:c>
      <x:c r="K5694" s="0">
        <x:f>hyperlink("https://icd.who.int/dev11/l-ichi/en#/http%3A%2F%2Fid.who.int%2Ficd%2Fentity%2F2127445236","browser")</x:f>
      </x:c>
      <x:c r="L5694" s="0">
        <x:f>hyperlink("https://icat2.azurewebsites.net/icat/?ontology=ICD&amp;tab=ClassesTab&amp;id=http%3A%2F%2Fwho.int%2Ficd%2332145_512ebf36_bf6b_4d70_85da_cf2637062af4","iCat")</x:f>
      </x:c>
      <x:c r="M5694" s="0" t="s">
        <x:v>21</x:v>
      </x:c>
      <x:c r="N5694" s="0" t="s">
        <x:v>46</x:v>
      </x:c>
    </x:row>
    <x:row r="5695" spans="1:16">
      <x:c r="A5695" s="0" t="s">
        <x:v>22632</x:v>
      </x:c>
      <x:c r="B5695" s="0" t="s">
        <x:v>22633</x:v>
      </x:c>
      <x:c r="C5695" s="0" t="s">
        <x:v>22634</x:v>
      </x:c>
      <x:c r="E5695" s="0" t="s">
        <x:v>22635</x:v>
      </x:c>
      <x:c r="F5695" s="0" t="s">
        <x:v>45</x:v>
      </x:c>
      <x:c r="G5695" s="0" t="s">
        <x:v>19</x:v>
      </x:c>
      <x:c r="H5695" s="0" t="s">
        <x:v>20</x:v>
      </x:c>
      <x:c r="I5695" s="0" t="s">
        <x:v>21</x:v>
      </x:c>
      <x:c r="K5695" s="0">
        <x:f>hyperlink("https://icd.who.int/dev11/l-ichi/en#/http%3A%2F%2Fid.who.int%2Ficd%2Fentity%2F336308645","browser")</x:f>
      </x:c>
      <x:c r="L5695" s="0">
        <x:f>hyperlink("https://icat2.azurewebsites.net/icat/?ontology=ICD&amp;tab=ClassesTab&amp;id=http%3A%2F%2Fwho.int%2Ficd%2332155_512ebf36_bf6b_4d70_85da_cf2637062af4","iCat")</x:f>
      </x:c>
      <x:c r="M5695" s="0" t="s">
        <x:v>21</x:v>
      </x:c>
      <x:c r="N5695" s="0" t="s">
        <x:v>46</x:v>
      </x:c>
    </x:row>
    <x:row r="5696" spans="1:16">
      <x:c r="A5696" s="0" t="s">
        <x:v>22636</x:v>
      </x:c>
      <x:c r="B5696" s="0" t="s">
        <x:v>22637</x:v>
      </x:c>
      <x:c r="C5696" s="0" t="s">
        <x:v>22638</x:v>
      </x:c>
      <x:c r="E5696" s="0" t="s">
        <x:v>22639</x:v>
      </x:c>
      <x:c r="F5696" s="0" t="s">
        <x:v>45</x:v>
      </x:c>
      <x:c r="G5696" s="0" t="s">
        <x:v>19</x:v>
      </x:c>
      <x:c r="H5696" s="0" t="s">
        <x:v>20</x:v>
      </x:c>
      <x:c r="I5696" s="0" t="s">
        <x:v>21</x:v>
      </x:c>
      <x:c r="K5696" s="0">
        <x:f>hyperlink("https://icd.who.int/dev11/l-ichi/en#/http%3A%2F%2Fid.who.int%2Ficd%2Fentity%2F607666735","browser")</x:f>
      </x:c>
      <x:c r="L5696" s="0">
        <x:f>hyperlink("https://icat2.azurewebsites.net/icat/?ontology=ICD&amp;tab=ClassesTab&amp;id=http%3A%2F%2Fwho.int%2Ficd%2332162_512ebf36_bf6b_4d70_85da_cf2637062af4","iCat")</x:f>
      </x:c>
      <x:c r="M5696" s="0" t="s">
        <x:v>21</x:v>
      </x:c>
      <x:c r="N5696" s="0" t="s">
        <x:v>46</x:v>
      </x:c>
    </x:row>
    <x:row r="5697" spans="1:16">
      <x:c r="A5697" s="0" t="s">
        <x:v>22640</x:v>
      </x:c>
      <x:c r="B5697" s="0" t="s">
        <x:v>22641</x:v>
      </x:c>
      <x:c r="C5697" s="0" t="s">
        <x:v>22642</x:v>
      </x:c>
      <x:c r="E5697" s="0" t="s">
        <x:v>22643</x:v>
      </x:c>
      <x:c r="F5697" s="0" t="s">
        <x:v>45</x:v>
      </x:c>
      <x:c r="G5697" s="0" t="s">
        <x:v>19</x:v>
      </x:c>
      <x:c r="H5697" s="0" t="s">
        <x:v>20</x:v>
      </x:c>
      <x:c r="I5697" s="0" t="s">
        <x:v>21</x:v>
      </x:c>
      <x:c r="K5697" s="0">
        <x:f>hyperlink("https://icd.who.int/dev11/l-ichi/en#/http%3A%2F%2Fid.who.int%2Ficd%2Fentity%2F192460929","browser")</x:f>
      </x:c>
      <x:c r="L5697" s="0">
        <x:f>hyperlink("https://icat2.azurewebsites.net/icat/?ontology=ICD&amp;tab=ClassesTab&amp;id=http%3A%2F%2Fwho.int%2Ficd%2332171_512ebf36_bf6b_4d70_85da_cf2637062af4","iCat")</x:f>
      </x:c>
      <x:c r="M5697" s="0" t="s">
        <x:v>21</x:v>
      </x:c>
      <x:c r="N5697" s="0" t="s">
        <x:v>46</x:v>
      </x:c>
    </x:row>
    <x:row r="5698" spans="1:16">
      <x:c r="A5698" s="0" t="s">
        <x:v>22644</x:v>
      </x:c>
      <x:c r="B5698" s="0" t="s">
        <x:v>22645</x:v>
      </x:c>
      <x:c r="C5698" s="0" t="s">
        <x:v>22646</x:v>
      </x:c>
      <x:c r="E5698" s="0" t="s">
        <x:v>22647</x:v>
      </x:c>
      <x:c r="F5698" s="0" t="s">
        <x:v>45</x:v>
      </x:c>
      <x:c r="G5698" s="0" t="s">
        <x:v>19</x:v>
      </x:c>
      <x:c r="H5698" s="0" t="s">
        <x:v>20</x:v>
      </x:c>
      <x:c r="I5698" s="0" t="s">
        <x:v>21</x:v>
      </x:c>
      <x:c r="K5698" s="0">
        <x:f>hyperlink("https://icd.who.int/dev11/l-ichi/en#/http%3A%2F%2Fid.who.int%2Ficd%2Fentity%2F614462047","browser")</x:f>
      </x:c>
      <x:c r="L5698" s="0">
        <x:f>hyperlink("https://icat2.azurewebsites.net/icat/?ontology=ICD&amp;tab=ClassesTab&amp;id=http%3A%2F%2Fwho.int%2Ficd%2332181_512ebf36_bf6b_4d70_85da_cf2637062af4","iCat")</x:f>
      </x:c>
      <x:c r="M5698" s="0" t="s">
        <x:v>21</x:v>
      </x:c>
      <x:c r="N5698" s="0" t="s">
        <x:v>46</x:v>
      </x:c>
    </x:row>
    <x:row r="5699" spans="1:16">
      <x:c r="A5699" s="0" t="s">
        <x:v>22648</x:v>
      </x:c>
      <x:c r="B5699" s="0" t="s">
        <x:v>22649</x:v>
      </x:c>
      <x:c r="C5699" s="0" t="s">
        <x:v>22650</x:v>
      </x:c>
      <x:c r="E5699" s="0" t="s">
        <x:v>22651</x:v>
      </x:c>
      <x:c r="F5699" s="0" t="s">
        <x:v>45</x:v>
      </x:c>
      <x:c r="G5699" s="0" t="s">
        <x:v>19</x:v>
      </x:c>
      <x:c r="H5699" s="0" t="s">
        <x:v>20</x:v>
      </x:c>
      <x:c r="I5699" s="0" t="s">
        <x:v>21</x:v>
      </x:c>
      <x:c r="K5699" s="0">
        <x:f>hyperlink("https://icd.who.int/dev11/l-ichi/en#/http%3A%2F%2Fid.who.int%2Ficd%2Fentity%2F1256714550","browser")</x:f>
      </x:c>
      <x:c r="L5699" s="0">
        <x:f>hyperlink("https://icat2.azurewebsites.net/icat/?ontology=ICD&amp;tab=ClassesTab&amp;id=http%3A%2F%2Fwho.int%2Ficd%2332188_512ebf36_bf6b_4d70_85da_cf2637062af4","iCat")</x:f>
      </x:c>
      <x:c r="M5699" s="0" t="s">
        <x:v>21</x:v>
      </x:c>
      <x:c r="N5699" s="0" t="s">
        <x:v>46</x:v>
      </x:c>
    </x:row>
    <x:row r="5700" spans="1:16">
      <x:c r="A5700" s="0" t="s">
        <x:v>22652</x:v>
      </x:c>
      <x:c r="B5700" s="0" t="s">
        <x:v>22653</x:v>
      </x:c>
      <x:c r="C5700" s="0" t="s">
        <x:v>22654</x:v>
      </x:c>
      <x:c r="E5700" s="0" t="s">
        <x:v>22655</x:v>
      </x:c>
      <x:c r="F5700" s="0" t="s">
        <x:v>45</x:v>
      </x:c>
      <x:c r="G5700" s="0" t="s">
        <x:v>19</x:v>
      </x:c>
      <x:c r="H5700" s="0" t="s">
        <x:v>20</x:v>
      </x:c>
      <x:c r="I5700" s="0" t="s">
        <x:v>21</x:v>
      </x:c>
      <x:c r="K5700" s="0">
        <x:f>hyperlink("https://icd.who.int/dev11/l-ichi/en#/http%3A%2F%2Fid.who.int%2Ficd%2Fentity%2F1537528130","browser")</x:f>
      </x:c>
      <x:c r="L5700" s="0">
        <x:f>hyperlink("https://icat2.azurewebsites.net/icat/?ontology=ICD&amp;tab=ClassesTab&amp;id=http%3A%2F%2Fwho.int%2Ficd%2332194_512ebf36_bf6b_4d70_85da_cf2637062af4","iCat")</x:f>
      </x:c>
      <x:c r="M5700" s="0" t="s">
        <x:v>21</x:v>
      </x:c>
      <x:c r="N5700" s="0" t="s">
        <x:v>46</x:v>
      </x:c>
    </x:row>
    <x:row r="5701" spans="1:16">
      <x:c r="A5701" s="0" t="s">
        <x:v>22656</x:v>
      </x:c>
      <x:c r="B5701" s="0" t="s">
        <x:v>22657</x:v>
      </x:c>
      <x:c r="C5701" s="0" t="s">
        <x:v>22658</x:v>
      </x:c>
      <x:c r="E5701" s="0" t="s">
        <x:v>22659</x:v>
      </x:c>
      <x:c r="F5701" s="0" t="s">
        <x:v>45</x:v>
      </x:c>
      <x:c r="G5701" s="0" t="s">
        <x:v>19</x:v>
      </x:c>
      <x:c r="H5701" s="0" t="s">
        <x:v>20</x:v>
      </x:c>
      <x:c r="I5701" s="0" t="s">
        <x:v>21</x:v>
      </x:c>
      <x:c r="K5701" s="0">
        <x:f>hyperlink("https://icd.who.int/dev11/l-ichi/en#/http%3A%2F%2Fid.who.int%2Ficd%2Fentity%2F342912663","browser")</x:f>
      </x:c>
      <x:c r="L5701" s="0">
        <x:f>hyperlink("https://icat2.azurewebsites.net/icat/?ontology=ICD&amp;tab=ClassesTab&amp;id=http%3A%2F%2Fwho.int%2Ficd%2332209_512ebf36_bf6b_4d70_85da_cf2637062af4","iCat")</x:f>
      </x:c>
      <x:c r="M5701" s="0" t="s">
        <x:v>21</x:v>
      </x:c>
      <x:c r="N5701" s="0" t="s">
        <x:v>46</x:v>
      </x:c>
    </x:row>
    <x:row r="5702" spans="1:16">
      <x:c r="A5702" s="0" t="s">
        <x:v>22660</x:v>
      </x:c>
      <x:c r="B5702" s="0" t="s">
        <x:v>22661</x:v>
      </x:c>
      <x:c r="C5702" s="0" t="s">
        <x:v>22662</x:v>
      </x:c>
      <x:c r="E5702" s="0" t="s">
        <x:v>22663</x:v>
      </x:c>
      <x:c r="F5702" s="0" t="s">
        <x:v>45</x:v>
      </x:c>
      <x:c r="G5702" s="0" t="s">
        <x:v>19</x:v>
      </x:c>
      <x:c r="H5702" s="0" t="s">
        <x:v>20</x:v>
      </x:c>
      <x:c r="I5702" s="0" t="s">
        <x:v>21</x:v>
      </x:c>
      <x:c r="K5702" s="0">
        <x:f>hyperlink("https://icd.who.int/dev11/l-ichi/en#/http%3A%2F%2Fid.who.int%2Ficd%2Fentity%2F1085677850","browser")</x:f>
      </x:c>
      <x:c r="L5702" s="0">
        <x:f>hyperlink("https://icat2.azurewebsites.net/icat/?ontology=ICD&amp;tab=ClassesTab&amp;id=http%3A%2F%2Fwho.int%2Ficd%2332216_512ebf36_bf6b_4d70_85da_cf2637062af4","iCat")</x:f>
      </x:c>
      <x:c r="M5702" s="0" t="s">
        <x:v>21</x:v>
      </x:c>
      <x:c r="N5702" s="0" t="s">
        <x:v>46</x:v>
      </x:c>
    </x:row>
    <x:row r="5703" spans="1:16">
      <x:c r="A5703" s="0" t="s">
        <x:v>22664</x:v>
      </x:c>
      <x:c r="B5703" s="0" t="s">
        <x:v>22665</x:v>
      </x:c>
      <x:c r="C5703" s="0" t="s">
        <x:v>22666</x:v>
      </x:c>
      <x:c r="E5703" s="0" t="s">
        <x:v>22667</x:v>
      </x:c>
      <x:c r="F5703" s="0" t="s">
        <x:v>45</x:v>
      </x:c>
      <x:c r="G5703" s="0" t="s">
        <x:v>19</x:v>
      </x:c>
      <x:c r="H5703" s="0" t="s">
        <x:v>20</x:v>
      </x:c>
      <x:c r="I5703" s="0" t="s">
        <x:v>21</x:v>
      </x:c>
      <x:c r="K5703" s="0">
        <x:f>hyperlink("https://icd.who.int/dev11/l-ichi/en#/http%3A%2F%2Fid.who.int%2Ficd%2Fentity%2F991828631","browser")</x:f>
      </x:c>
      <x:c r="L5703" s="0">
        <x:f>hyperlink("https://icat2.azurewebsites.net/icat/?ontology=ICD&amp;tab=ClassesTab&amp;id=http%3A%2F%2Fwho.int%2Ficd%231042_e9bf9ac7_0f21_4391_8ab3_5944290f317a","iCat")</x:f>
      </x:c>
      <x:c r="M5703" s="0" t="s">
        <x:v>21</x:v>
      </x:c>
      <x:c r="N5703" s="0" t="s">
        <x:v>46</x:v>
      </x:c>
    </x:row>
    <x:row r="5704" spans="1:16">
      <x:c r="A5704" s="0" t="s">
        <x:v>22668</x:v>
      </x:c>
      <x:c r="B5704" s="0" t="s">
        <x:v>22669</x:v>
      </x:c>
      <x:c r="C5704" s="0" t="s">
        <x:v>22670</x:v>
      </x:c>
      <x:c r="E5704" s="0" t="s">
        <x:v>22671</x:v>
      </x:c>
      <x:c r="F5704" s="0" t="s">
        <x:v>45</x:v>
      </x:c>
      <x:c r="G5704" s="0" t="s">
        <x:v>19</x:v>
      </x:c>
      <x:c r="H5704" s="0" t="s">
        <x:v>20</x:v>
      </x:c>
      <x:c r="I5704" s="0" t="s">
        <x:v>21</x:v>
      </x:c>
      <x:c r="K5704" s="0">
        <x:f>hyperlink("https://icd.who.int/dev11/l-ichi/en#/http%3A%2F%2Fid.who.int%2Ficd%2Fentity%2F368695127","browser")</x:f>
      </x:c>
      <x:c r="L5704" s="0">
        <x:f>hyperlink("https://icat2.azurewebsites.net/icat/?ontology=ICD&amp;tab=ClassesTab&amp;id=http%3A%2F%2Fwho.int%2Ficd%2332223_512ebf36_bf6b_4d70_85da_cf2637062af4","iCat")</x:f>
      </x:c>
      <x:c r="M5704" s="0" t="s">
        <x:v>21</x:v>
      </x:c>
      <x:c r="N5704" s="0" t="s">
        <x:v>46</x:v>
      </x:c>
    </x:row>
    <x:row r="5705" spans="1:16">
      <x:c r="A5705" s="0" t="s">
        <x:v>22672</x:v>
      </x:c>
      <x:c r="B5705" s="0" t="s">
        <x:v>22673</x:v>
      </x:c>
      <x:c r="C5705" s="0" t="s">
        <x:v>22674</x:v>
      </x:c>
      <x:c r="E5705" s="0" t="s">
        <x:v>22675</x:v>
      </x:c>
      <x:c r="F5705" s="0" t="s">
        <x:v>45</x:v>
      </x:c>
      <x:c r="G5705" s="0" t="s">
        <x:v>19</x:v>
      </x:c>
      <x:c r="H5705" s="0" t="s">
        <x:v>20</x:v>
      </x:c>
      <x:c r="I5705" s="0" t="s">
        <x:v>21</x:v>
      </x:c>
      <x:c r="K5705" s="0">
        <x:f>hyperlink("https://icd.who.int/dev11/l-ichi/en#/http%3A%2F%2Fid.who.int%2Ficd%2Fentity%2F440426437","browser")</x:f>
      </x:c>
      <x:c r="L5705" s="0">
        <x:f>hyperlink("https://icat2.azurewebsites.net/icat/?ontology=ICD&amp;tab=ClassesTab&amp;id=http%3A%2F%2Fwho.int%2Ficd%2332231_512ebf36_bf6b_4d70_85da_cf2637062af4","iCat")</x:f>
      </x:c>
      <x:c r="M5705" s="0" t="s">
        <x:v>21</x:v>
      </x:c>
      <x:c r="N5705" s="0" t="s">
        <x:v>46</x:v>
      </x:c>
    </x:row>
    <x:row r="5706" spans="1:16">
      <x:c r="A5706" s="0" t="s">
        <x:v>22676</x:v>
      </x:c>
      <x:c r="B5706" s="0" t="s">
        <x:v>22677</x:v>
      </x:c>
      <x:c r="C5706" s="0" t="s">
        <x:v>22678</x:v>
      </x:c>
      <x:c r="E5706" s="0" t="s">
        <x:v>22679</x:v>
      </x:c>
      <x:c r="F5706" s="0" t="s">
        <x:v>45</x:v>
      </x:c>
      <x:c r="G5706" s="0" t="s">
        <x:v>19</x:v>
      </x:c>
      <x:c r="H5706" s="0" t="s">
        <x:v>20</x:v>
      </x:c>
      <x:c r="I5706" s="0" t="s">
        <x:v>21</x:v>
      </x:c>
      <x:c r="K5706" s="0">
        <x:f>hyperlink("https://icd.who.int/dev11/l-ichi/en#/http%3A%2F%2Fid.who.int%2Ficd%2Fentity%2F1245415030","browser")</x:f>
      </x:c>
      <x:c r="L5706" s="0">
        <x:f>hyperlink("https://icat2.azurewebsites.net/icat/?ontology=ICD&amp;tab=ClassesTab&amp;id=http%3A%2F%2Fwho.int%2Ficd%2332237_512ebf36_bf6b_4d70_85da_cf2637062af4","iCat")</x:f>
      </x:c>
      <x:c r="M5706" s="0" t="s">
        <x:v>21</x:v>
      </x:c>
      <x:c r="N5706" s="0" t="s">
        <x:v>46</x:v>
      </x:c>
    </x:row>
    <x:row r="5707" spans="1:16">
      <x:c r="A5707" s="0" t="s">
        <x:v>22680</x:v>
      </x:c>
      <x:c r="B5707" s="0" t="s">
        <x:v>22681</x:v>
      </x:c>
      <x:c r="C5707" s="0" t="s">
        <x:v>22682</x:v>
      </x:c>
      <x:c r="E5707" s="0" t="s">
        <x:v>22683</x:v>
      </x:c>
      <x:c r="F5707" s="0" t="s">
        <x:v>45</x:v>
      </x:c>
      <x:c r="G5707" s="0" t="s">
        <x:v>19</x:v>
      </x:c>
      <x:c r="H5707" s="0" t="s">
        <x:v>20</x:v>
      </x:c>
      <x:c r="I5707" s="0" t="s">
        <x:v>21</x:v>
      </x:c>
      <x:c r="K5707" s="0">
        <x:f>hyperlink("https://icd.who.int/dev11/l-ichi/en#/http%3A%2F%2Fid.who.int%2Ficd%2Fentity%2F1063844503","browser")</x:f>
      </x:c>
      <x:c r="L5707" s="0">
        <x:f>hyperlink("https://icat2.azurewebsites.net/icat/?ontology=ICD&amp;tab=ClassesTab&amp;id=http%3A%2F%2Fwho.int%2Ficd%2332244_512ebf36_bf6b_4d70_85da_cf2637062af4","iCat")</x:f>
      </x:c>
      <x:c r="M5707" s="0" t="s">
        <x:v>21</x:v>
      </x:c>
      <x:c r="N5707" s="0" t="s">
        <x:v>46</x:v>
      </x:c>
    </x:row>
    <x:row r="5708" spans="1:16">
      <x:c r="A5708" s="0" t="s">
        <x:v>22684</x:v>
      </x:c>
      <x:c r="B5708" s="0" t="s">
        <x:v>22685</x:v>
      </x:c>
      <x:c r="C5708" s="0" t="s">
        <x:v>22686</x:v>
      </x:c>
      <x:c r="E5708" s="0" t="s">
        <x:v>22687</x:v>
      </x:c>
      <x:c r="F5708" s="0" t="s">
        <x:v>45</x:v>
      </x:c>
      <x:c r="G5708" s="0" t="s">
        <x:v>19</x:v>
      </x:c>
      <x:c r="H5708" s="0" t="s">
        <x:v>20</x:v>
      </x:c>
      <x:c r="I5708" s="0" t="s">
        <x:v>21</x:v>
      </x:c>
      <x:c r="K5708" s="0">
        <x:f>hyperlink("https://icd.who.int/dev11/l-ichi/en#/http%3A%2F%2Fid.who.int%2Ficd%2Fentity%2F1621797812","browser")</x:f>
      </x:c>
      <x:c r="L5708" s="0">
        <x:f>hyperlink("https://icat2.azurewebsites.net/icat/?ontology=ICD&amp;tab=ClassesTab&amp;id=http%3A%2F%2Fwho.int%2Ficd%2332250_512ebf36_bf6b_4d70_85da_cf2637062af4","iCat")</x:f>
      </x:c>
      <x:c r="M5708" s="0" t="s">
        <x:v>21</x:v>
      </x:c>
      <x:c r="N5708" s="0" t="s">
        <x:v>46</x:v>
      </x:c>
    </x:row>
    <x:row r="5709" spans="1:16">
      <x:c r="A5709" s="0" t="s">
        <x:v>22688</x:v>
      </x:c>
      <x:c r="B5709" s="0" t="s">
        <x:v>22689</x:v>
      </x:c>
      <x:c r="C5709" s="0" t="s">
        <x:v>22690</x:v>
      </x:c>
      <x:c r="E5709" s="0" t="s">
        <x:v>22691</x:v>
      </x:c>
      <x:c r="F5709" s="0" t="s">
        <x:v>45</x:v>
      </x:c>
      <x:c r="G5709" s="0" t="s">
        <x:v>19</x:v>
      </x:c>
      <x:c r="H5709" s="0" t="s">
        <x:v>20</x:v>
      </x:c>
      <x:c r="I5709" s="0" t="s">
        <x:v>21</x:v>
      </x:c>
      <x:c r="K5709" s="0">
        <x:f>hyperlink("https://icd.who.int/dev11/l-ichi/en#/http%3A%2F%2Fid.who.int%2Ficd%2Fentity%2F819032581","browser")</x:f>
      </x:c>
      <x:c r="L5709" s="0">
        <x:f>hyperlink("https://icat2.azurewebsites.net/icat/?ontology=ICD&amp;tab=ClassesTab&amp;id=http%3A%2F%2Fwho.int%2Ficd%2332256_512ebf36_bf6b_4d70_85da_cf2637062af4","iCat")</x:f>
      </x:c>
      <x:c r="M5709" s="0" t="s">
        <x:v>21</x:v>
      </x:c>
      <x:c r="N5709" s="0" t="s">
        <x:v>46</x:v>
      </x:c>
    </x:row>
    <x:row r="5710" spans="1:16">
      <x:c r="A5710" s="0" t="s">
        <x:v>22692</x:v>
      </x:c>
      <x:c r="B5710" s="0" t="s">
        <x:v>22693</x:v>
      </x:c>
      <x:c r="C5710" s="0" t="s">
        <x:v>22694</x:v>
      </x:c>
      <x:c r="E5710" s="0" t="s">
        <x:v>22695</x:v>
      </x:c>
      <x:c r="F5710" s="0" t="s">
        <x:v>45</x:v>
      </x:c>
      <x:c r="G5710" s="0" t="s">
        <x:v>19</x:v>
      </x:c>
      <x:c r="H5710" s="0" t="s">
        <x:v>20</x:v>
      </x:c>
      <x:c r="I5710" s="0" t="s">
        <x:v>21</x:v>
      </x:c>
      <x:c r="K5710" s="0">
        <x:f>hyperlink("https://icd.who.int/dev11/l-ichi/en#/http%3A%2F%2Fid.who.int%2Ficd%2Fentity%2F1704887370","browser")</x:f>
      </x:c>
      <x:c r="L5710" s="0">
        <x:f>hyperlink("https://icat2.azurewebsites.net/icat/?ontology=ICD&amp;tab=ClassesTab&amp;id=http%3A%2F%2Fwho.int%2Ficd%2332263_512ebf36_bf6b_4d70_85da_cf2637062af4","iCat")</x:f>
      </x:c>
      <x:c r="M5710" s="0" t="s">
        <x:v>21</x:v>
      </x:c>
      <x:c r="N5710" s="0" t="s">
        <x:v>46</x:v>
      </x:c>
    </x:row>
    <x:row r="5711" spans="1:16">
      <x:c r="A5711" s="0" t="s">
        <x:v>22696</x:v>
      </x:c>
      <x:c r="B5711" s="0" t="s">
        <x:v>22697</x:v>
      </x:c>
      <x:c r="C5711" s="0" t="s">
        <x:v>22698</x:v>
      </x:c>
      <x:c r="E5711" s="0" t="s">
        <x:v>22699</x:v>
      </x:c>
      <x:c r="F5711" s="0" t="s">
        <x:v>45</x:v>
      </x:c>
      <x:c r="G5711" s="0" t="s">
        <x:v>19</x:v>
      </x:c>
      <x:c r="H5711" s="0" t="s">
        <x:v>20</x:v>
      </x:c>
      <x:c r="I5711" s="0" t="s">
        <x:v>21</x:v>
      </x:c>
      <x:c r="K5711" s="0">
        <x:f>hyperlink("https://icd.who.int/dev11/l-ichi/en#/http%3A%2F%2Fid.who.int%2Ficd%2Fentity%2F1315170522","browser")</x:f>
      </x:c>
      <x:c r="L5711" s="0">
        <x:f>hyperlink("https://icat2.azurewebsites.net/icat/?ontology=ICD&amp;tab=ClassesTab&amp;id=http%3A%2F%2Fwho.int%2Ficd%2332269_512ebf36_bf6b_4d70_85da_cf2637062af4","iCat")</x:f>
      </x:c>
      <x:c r="M5711" s="0" t="s">
        <x:v>21</x:v>
      </x:c>
      <x:c r="N5711" s="0" t="s">
        <x:v>46</x:v>
      </x:c>
    </x:row>
    <x:row r="5712" spans="1:16">
      <x:c r="A5712" s="0" t="s">
        <x:v>22700</x:v>
      </x:c>
      <x:c r="B5712" s="0" t="s">
        <x:v>22701</x:v>
      </x:c>
      <x:c r="C5712" s="0" t="s">
        <x:v>22702</x:v>
      </x:c>
      <x:c r="E5712" s="0" t="s">
        <x:v>22703</x:v>
      </x:c>
      <x:c r="F5712" s="0" t="s">
        <x:v>45</x:v>
      </x:c>
      <x:c r="G5712" s="0" t="s">
        <x:v>19</x:v>
      </x:c>
      <x:c r="H5712" s="0" t="s">
        <x:v>20</x:v>
      </x:c>
      <x:c r="I5712" s="0" t="s">
        <x:v>21</x:v>
      </x:c>
      <x:c r="K5712" s="0">
        <x:f>hyperlink("https://icd.who.int/dev11/l-ichi/en#/http%3A%2F%2Fid.who.int%2Ficd%2Fentity%2F447063893","browser")</x:f>
      </x:c>
      <x:c r="L5712" s="0">
        <x:f>hyperlink("https://icat2.azurewebsites.net/icat/?ontology=ICD&amp;tab=ClassesTab&amp;id=http%3A%2F%2Fwho.int%2Ficd%2332276_512ebf36_bf6b_4d70_85da_cf2637062af4","iCat")</x:f>
      </x:c>
      <x:c r="M5712" s="0" t="s">
        <x:v>21</x:v>
      </x:c>
      <x:c r="N5712" s="0" t="s">
        <x:v>46</x:v>
      </x:c>
    </x:row>
    <x:row r="5713" spans="1:16">
      <x:c r="A5713" s="0" t="s">
        <x:v>22704</x:v>
      </x:c>
      <x:c r="B5713" s="0" t="s">
        <x:v>22705</x:v>
      </x:c>
      <x:c r="C5713" s="0" t="s">
        <x:v>22706</x:v>
      </x:c>
      <x:c r="E5713" s="0" t="s">
        <x:v>22707</x:v>
      </x:c>
      <x:c r="F5713" s="0" t="s">
        <x:v>45</x:v>
      </x:c>
      <x:c r="G5713" s="0" t="s">
        <x:v>19</x:v>
      </x:c>
      <x:c r="H5713" s="0" t="s">
        <x:v>20</x:v>
      </x:c>
      <x:c r="I5713" s="0" t="s">
        <x:v>21</x:v>
      </x:c>
      <x:c r="K5713" s="0">
        <x:f>hyperlink("https://icd.who.int/dev11/l-ichi/en#/http%3A%2F%2Fid.who.int%2Ficd%2Fentity%2F549215171","browser")</x:f>
      </x:c>
      <x:c r="L5713" s="0">
        <x:f>hyperlink("https://icat2.azurewebsites.net/icat/?ontology=ICD&amp;tab=ClassesTab&amp;id=http%3A%2F%2Fwho.int%2Ficd%2332283_512ebf36_bf6b_4d70_85da_cf2637062af4","iCat")</x:f>
      </x:c>
      <x:c r="M5713" s="0" t="s">
        <x:v>21</x:v>
      </x:c>
      <x:c r="N5713" s="0" t="s">
        <x:v>46</x:v>
      </x:c>
    </x:row>
    <x:row r="5714" spans="1:16">
      <x:c r="A5714" s="0" t="s">
        <x:v>22708</x:v>
      </x:c>
      <x:c r="B5714" s="0" t="s">
        <x:v>22709</x:v>
      </x:c>
      <x:c r="C5714" s="0" t="s">
        <x:v>22710</x:v>
      </x:c>
      <x:c r="E5714" s="0" t="s">
        <x:v>22711</x:v>
      </x:c>
      <x:c r="F5714" s="0" t="s">
        <x:v>45</x:v>
      </x:c>
      <x:c r="G5714" s="0" t="s">
        <x:v>19</x:v>
      </x:c>
      <x:c r="H5714" s="0" t="s">
        <x:v>20</x:v>
      </x:c>
      <x:c r="I5714" s="0" t="s">
        <x:v>21</x:v>
      </x:c>
      <x:c r="K5714" s="0">
        <x:f>hyperlink("https://icd.who.int/dev11/l-ichi/en#/http%3A%2F%2Fid.who.int%2Ficd%2Fentity%2F188823379","browser")</x:f>
      </x:c>
      <x:c r="L5714" s="0">
        <x:f>hyperlink("https://icat2.azurewebsites.net/icat/?ontology=ICD&amp;tab=ClassesTab&amp;id=http%3A%2F%2Fwho.int%2Ficd%2332289_512ebf36_bf6b_4d70_85da_cf2637062af4","iCat")</x:f>
      </x:c>
      <x:c r="M5714" s="0" t="s">
        <x:v>21</x:v>
      </x:c>
      <x:c r="N5714" s="0" t="s">
        <x:v>46</x:v>
      </x:c>
    </x:row>
    <x:row r="5715" spans="1:16">
      <x:c r="A5715" s="0" t="s">
        <x:v>22712</x:v>
      </x:c>
      <x:c r="B5715" s="0" t="s">
        <x:v>22713</x:v>
      </x:c>
      <x:c r="C5715" s="0" t="s">
        <x:v>22714</x:v>
      </x:c>
      <x:c r="E5715" s="0" t="s">
        <x:v>22715</x:v>
      </x:c>
      <x:c r="F5715" s="0" t="s">
        <x:v>45</x:v>
      </x:c>
      <x:c r="G5715" s="0" t="s">
        <x:v>19</x:v>
      </x:c>
      <x:c r="H5715" s="0" t="s">
        <x:v>20</x:v>
      </x:c>
      <x:c r="I5715" s="0" t="s">
        <x:v>21</x:v>
      </x:c>
      <x:c r="K5715" s="0">
        <x:f>hyperlink("https://icd.who.int/dev11/l-ichi/en#/http%3A%2F%2Fid.who.int%2Ficd%2Fentity%2F436344613","browser")</x:f>
      </x:c>
      <x:c r="L5715" s="0">
        <x:f>hyperlink("https://icat2.azurewebsites.net/icat/?ontology=ICD&amp;tab=ClassesTab&amp;id=http%3A%2F%2Fwho.int%2Ficd%2332295_512ebf36_bf6b_4d70_85da_cf2637062af4","iCat")</x:f>
      </x:c>
      <x:c r="M5715" s="0" t="s">
        <x:v>21</x:v>
      </x:c>
      <x:c r="N5715" s="0" t="s">
        <x:v>46</x:v>
      </x:c>
    </x:row>
    <x:row r="5716" spans="1:16">
      <x:c r="A5716" s="0" t="s">
        <x:v>22716</x:v>
      </x:c>
      <x:c r="B5716" s="0" t="s">
        <x:v>22717</x:v>
      </x:c>
      <x:c r="C5716" s="0" t="s">
        <x:v>22718</x:v>
      </x:c>
      <x:c r="E5716" s="0" t="s">
        <x:v>22719</x:v>
      </x:c>
      <x:c r="F5716" s="0" t="s">
        <x:v>45</x:v>
      </x:c>
      <x:c r="G5716" s="0" t="s">
        <x:v>19</x:v>
      </x:c>
      <x:c r="H5716" s="0" t="s">
        <x:v>20</x:v>
      </x:c>
      <x:c r="I5716" s="0" t="s">
        <x:v>21</x:v>
      </x:c>
      <x:c r="K5716" s="0">
        <x:f>hyperlink("https://icd.who.int/dev11/l-ichi/en#/http%3A%2F%2Fid.who.int%2Ficd%2Fentity%2F1793832614","browser")</x:f>
      </x:c>
      <x:c r="L5716" s="0">
        <x:f>hyperlink("https://icat2.azurewebsites.net/icat/?ontology=ICD&amp;tab=ClassesTab&amp;id=http%3A%2F%2Fwho.int%2Ficd%2332302_512ebf36_bf6b_4d70_85da_cf2637062af4","iCat")</x:f>
      </x:c>
      <x:c r="M5716" s="0" t="s">
        <x:v>21</x:v>
      </x:c>
      <x:c r="N5716" s="0" t="s">
        <x:v>46</x:v>
      </x:c>
    </x:row>
    <x:row r="5717" spans="1:16">
      <x:c r="A5717" s="0" t="s">
        <x:v>22720</x:v>
      </x:c>
      <x:c r="B5717" s="0" t="s">
        <x:v>22721</x:v>
      </x:c>
      <x:c r="C5717" s="0" t="s">
        <x:v>22722</x:v>
      </x:c>
      <x:c r="E5717" s="0" t="s">
        <x:v>22723</x:v>
      </x:c>
      <x:c r="F5717" s="0" t="s">
        <x:v>45</x:v>
      </x:c>
      <x:c r="G5717" s="0" t="s">
        <x:v>19</x:v>
      </x:c>
      <x:c r="H5717" s="0" t="s">
        <x:v>20</x:v>
      </x:c>
      <x:c r="I5717" s="0" t="s">
        <x:v>21</x:v>
      </x:c>
      <x:c r="K5717" s="0">
        <x:f>hyperlink("https://icd.who.int/dev11/l-ichi/en#/http%3A%2F%2Fid.who.int%2Ficd%2Fentity%2F178488477","browser")</x:f>
      </x:c>
      <x:c r="L5717" s="0">
        <x:f>hyperlink("https://icat2.azurewebsites.net/icat/?ontology=ICD&amp;tab=ClassesTab&amp;id=http%3A%2F%2Fwho.int%2Ficd%2332333_512ebf36_bf6b_4d70_85da_cf2637062af4","iCat")</x:f>
      </x:c>
      <x:c r="M5717" s="0" t="s">
        <x:v>21</x:v>
      </x:c>
      <x:c r="N5717" s="0" t="s">
        <x:v>46</x:v>
      </x:c>
    </x:row>
    <x:row r="5718" spans="1:16">
      <x:c r="A5718" s="0" t="s">
        <x:v>22724</x:v>
      </x:c>
      <x:c r="B5718" s="0" t="s">
        <x:v>22725</x:v>
      </x:c>
      <x:c r="C5718" s="0" t="s">
        <x:v>22726</x:v>
      </x:c>
      <x:c r="E5718" s="0" t="s">
        <x:v>22727</x:v>
      </x:c>
      <x:c r="F5718" s="0" t="s">
        <x:v>45</x:v>
      </x:c>
      <x:c r="G5718" s="0" t="s">
        <x:v>19</x:v>
      </x:c>
      <x:c r="H5718" s="0" t="s">
        <x:v>20</x:v>
      </x:c>
      <x:c r="I5718" s="0" t="s">
        <x:v>21</x:v>
      </x:c>
      <x:c r="K5718" s="0">
        <x:f>hyperlink("https://icd.who.int/dev11/l-ichi/en#/http%3A%2F%2Fid.who.int%2Ficd%2Fentity%2F559867917","browser")</x:f>
      </x:c>
      <x:c r="L5718" s="0">
        <x:f>hyperlink("https://icat2.azurewebsites.net/icat/?ontology=ICD&amp;tab=ClassesTab&amp;id=http%3A%2F%2Fwho.int%2Ficd%2332339_512ebf36_bf6b_4d70_85da_cf2637062af4","iCat")</x:f>
      </x:c>
      <x:c r="M5718" s="0" t="s">
        <x:v>21</x:v>
      </x:c>
      <x:c r="N5718" s="0" t="s">
        <x:v>46</x:v>
      </x:c>
    </x:row>
    <x:row r="5719" spans="1:16">
      <x:c r="A5719" s="0" t="s">
        <x:v>22728</x:v>
      </x:c>
      <x:c r="B5719" s="0" t="s">
        <x:v>22729</x:v>
      </x:c>
      <x:c r="C5719" s="0" t="s">
        <x:v>22730</x:v>
      </x:c>
      <x:c r="E5719" s="0" t="s">
        <x:v>22731</x:v>
      </x:c>
      <x:c r="F5719" s="0" t="s">
        <x:v>45</x:v>
      </x:c>
      <x:c r="G5719" s="0" t="s">
        <x:v>19</x:v>
      </x:c>
      <x:c r="H5719" s="0" t="s">
        <x:v>20</x:v>
      </x:c>
      <x:c r="I5719" s="0" t="s">
        <x:v>21</x:v>
      </x:c>
      <x:c r="K5719" s="0">
        <x:f>hyperlink("https://icd.who.int/dev11/l-ichi/en#/http%3A%2F%2Fid.who.int%2Ficd%2Fentity%2F259150835","browser")</x:f>
      </x:c>
      <x:c r="L5719" s="0">
        <x:f>hyperlink("https://icat2.azurewebsites.net/icat/?ontology=ICD&amp;tab=ClassesTab&amp;id=http%3A%2F%2Fwho.int%2Ficd%2332347_512ebf36_bf6b_4d70_85da_cf2637062af4","iCat")</x:f>
      </x:c>
      <x:c r="M5719" s="0" t="s">
        <x:v>21</x:v>
      </x:c>
      <x:c r="N5719" s="0" t="s">
        <x:v>46</x:v>
      </x:c>
    </x:row>
    <x:row r="5720" spans="1:16">
      <x:c r="A5720" s="0" t="s">
        <x:v>22732</x:v>
      </x:c>
      <x:c r="B5720" s="0" t="s">
        <x:v>22733</x:v>
      </x:c>
      <x:c r="C5720" s="0" t="s">
        <x:v>22734</x:v>
      </x:c>
      <x:c r="E5720" s="0" t="s">
        <x:v>22735</x:v>
      </x:c>
      <x:c r="F5720" s="0" t="s">
        <x:v>45</x:v>
      </x:c>
      <x:c r="G5720" s="0" t="s">
        <x:v>19</x:v>
      </x:c>
      <x:c r="H5720" s="0" t="s">
        <x:v>20</x:v>
      </x:c>
      <x:c r="I5720" s="0" t="s">
        <x:v>21</x:v>
      </x:c>
      <x:c r="K5720" s="0">
        <x:f>hyperlink("https://icd.who.int/dev11/l-ichi/en#/http%3A%2F%2Fid.who.int%2Ficd%2Fentity%2F540191069","browser")</x:f>
      </x:c>
      <x:c r="L5720" s="0">
        <x:f>hyperlink("https://icat2.azurewebsites.net/icat/?ontology=ICD&amp;tab=ClassesTab&amp;id=http%3A%2F%2Fwho.int%2Ficd%2332354_512ebf36_bf6b_4d70_85da_cf2637062af4","iCat")</x:f>
      </x:c>
      <x:c r="M5720" s="0" t="s">
        <x:v>21</x:v>
      </x:c>
      <x:c r="N5720" s="0" t="s">
        <x:v>46</x:v>
      </x:c>
    </x:row>
    <x:row r="5721" spans="1:16">
      <x:c r="A5721" s="0" t="s">
        <x:v>22736</x:v>
      </x:c>
      <x:c r="B5721" s="0" t="s">
        <x:v>22737</x:v>
      </x:c>
      <x:c r="C5721" s="0" t="s">
        <x:v>22738</x:v>
      </x:c>
      <x:c r="E5721" s="0" t="s">
        <x:v>22739</x:v>
      </x:c>
      <x:c r="F5721" s="0" t="s">
        <x:v>45</x:v>
      </x:c>
      <x:c r="G5721" s="0" t="s">
        <x:v>19</x:v>
      </x:c>
      <x:c r="H5721" s="0" t="s">
        <x:v>20</x:v>
      </x:c>
      <x:c r="I5721" s="0" t="s">
        <x:v>21</x:v>
      </x:c>
      <x:c r="K5721" s="0">
        <x:f>hyperlink("https://icd.who.int/dev11/l-ichi/en#/http%3A%2F%2Fid.who.int%2Ficd%2Fentity%2F1971150610","browser")</x:f>
      </x:c>
      <x:c r="L5721" s="0">
        <x:f>hyperlink("https://icat2.azurewebsites.net/icat/?ontology=ICD&amp;tab=ClassesTab&amp;id=http%3A%2F%2Fwho.int%2Ficd%2332361_512ebf36_bf6b_4d70_85da_cf2637062af4","iCat")</x:f>
      </x:c>
      <x:c r="M5721" s="0" t="s">
        <x:v>21</x:v>
      </x:c>
      <x:c r="N5721" s="0" t="s">
        <x:v>46</x:v>
      </x:c>
    </x:row>
    <x:row r="5722" spans="1:16">
      <x:c r="A5722" s="0" t="s">
        <x:v>22740</x:v>
      </x:c>
      <x:c r="B5722" s="0" t="s">
        <x:v>22741</x:v>
      </x:c>
      <x:c r="C5722" s="0" t="s">
        <x:v>22742</x:v>
      </x:c>
      <x:c r="E5722" s="0" t="s">
        <x:v>22743</x:v>
      </x:c>
      <x:c r="F5722" s="0" t="s">
        <x:v>45</x:v>
      </x:c>
      <x:c r="G5722" s="0" t="s">
        <x:v>19</x:v>
      </x:c>
      <x:c r="H5722" s="0" t="s">
        <x:v>20</x:v>
      </x:c>
      <x:c r="I5722" s="0" t="s">
        <x:v>21</x:v>
      </x:c>
      <x:c r="K5722" s="0">
        <x:f>hyperlink("https://icd.who.int/dev11/l-ichi/en#/http%3A%2F%2Fid.who.int%2Ficd%2Fentity%2F453336187","browser")</x:f>
      </x:c>
      <x:c r="L5722" s="0">
        <x:f>hyperlink("https://icat2.azurewebsites.net/icat/?ontology=ICD&amp;tab=ClassesTab&amp;id=http%3A%2F%2Fwho.int%2Ficd%2332368_512ebf36_bf6b_4d70_85da_cf2637062af4","iCat")</x:f>
      </x:c>
      <x:c r="M5722" s="0" t="s">
        <x:v>21</x:v>
      </x:c>
      <x:c r="N5722" s="0" t="s">
        <x:v>46</x:v>
      </x:c>
    </x:row>
    <x:row r="5723" spans="1:16">
      <x:c r="A5723" s="0" t="s">
        <x:v>22744</x:v>
      </x:c>
      <x:c r="B5723" s="0" t="s">
        <x:v>22745</x:v>
      </x:c>
      <x:c r="C5723" s="0" t="s">
        <x:v>22746</x:v>
      </x:c>
      <x:c r="E5723" s="0" t="s">
        <x:v>22747</x:v>
      </x:c>
      <x:c r="F5723" s="0" t="s">
        <x:v>45</x:v>
      </x:c>
      <x:c r="G5723" s="0" t="s">
        <x:v>19</x:v>
      </x:c>
      <x:c r="H5723" s="0" t="s">
        <x:v>20</x:v>
      </x:c>
      <x:c r="I5723" s="0" t="s">
        <x:v>21</x:v>
      </x:c>
      <x:c r="K5723" s="0">
        <x:f>hyperlink("https://icd.who.int/dev11/l-ichi/en#/http%3A%2F%2Fid.who.int%2Ficd%2Fentity%2F717164081","browser")</x:f>
      </x:c>
      <x:c r="L5723" s="0">
        <x:f>hyperlink("https://icat2.azurewebsites.net/icat/?ontology=ICD&amp;tab=ClassesTab&amp;id=http%3A%2F%2Fwho.int%2Ficd%2332375_512ebf36_bf6b_4d70_85da_cf2637062af4","iCat")</x:f>
      </x:c>
      <x:c r="M5723" s="0" t="s">
        <x:v>21</x:v>
      </x:c>
      <x:c r="N5723" s="0" t="s">
        <x:v>46</x:v>
      </x:c>
    </x:row>
    <x:row r="5724" spans="1:16">
      <x:c r="A5724" s="0" t="s">
        <x:v>22748</x:v>
      </x:c>
      <x:c r="B5724" s="0" t="s">
        <x:v>22749</x:v>
      </x:c>
      <x:c r="C5724" s="0" t="s">
        <x:v>22750</x:v>
      </x:c>
      <x:c r="E5724" s="0" t="s">
        <x:v>22751</x:v>
      </x:c>
      <x:c r="F5724" s="0" t="s">
        <x:v>45</x:v>
      </x:c>
      <x:c r="G5724" s="0" t="s">
        <x:v>19</x:v>
      </x:c>
      <x:c r="H5724" s="0" t="s">
        <x:v>20</x:v>
      </x:c>
      <x:c r="I5724" s="0" t="s">
        <x:v>21</x:v>
      </x:c>
      <x:c r="K5724" s="0">
        <x:f>hyperlink("https://icd.who.int/dev11/l-ichi/en#/http%3A%2F%2Fid.who.int%2Ficd%2Fentity%2F811565211","browser")</x:f>
      </x:c>
      <x:c r="L5724" s="0">
        <x:f>hyperlink("https://icat2.azurewebsites.net/icat/?ontology=ICD&amp;tab=ClassesTab&amp;id=http%3A%2F%2Fwho.int%2Ficd%2332381_512ebf36_bf6b_4d70_85da_cf2637062af4","iCat")</x:f>
      </x:c>
      <x:c r="M5724" s="0" t="s">
        <x:v>21</x:v>
      </x:c>
      <x:c r="N5724" s="0" t="s">
        <x:v>46</x:v>
      </x:c>
    </x:row>
    <x:row r="5725" spans="1:16">
      <x:c r="A5725" s="0" t="s">
        <x:v>22752</x:v>
      </x:c>
      <x:c r="B5725" s="0" t="s">
        <x:v>22753</x:v>
      </x:c>
      <x:c r="C5725" s="0" t="s">
        <x:v>22754</x:v>
      </x:c>
      <x:c r="E5725" s="0" t="s">
        <x:v>22755</x:v>
      </x:c>
      <x:c r="F5725" s="0" t="s">
        <x:v>45</x:v>
      </x:c>
      <x:c r="G5725" s="0" t="s">
        <x:v>19</x:v>
      </x:c>
      <x:c r="H5725" s="0" t="s">
        <x:v>20</x:v>
      </x:c>
      <x:c r="I5725" s="0" t="s">
        <x:v>21</x:v>
      </x:c>
      <x:c r="K5725" s="0">
        <x:f>hyperlink("https://icd.who.int/dev11/l-ichi/en#/http%3A%2F%2Fid.who.int%2Ficd%2Fentity%2F2053335026","browser")</x:f>
      </x:c>
      <x:c r="L5725" s="0">
        <x:f>hyperlink("https://icat2.azurewebsites.net/icat/?ontology=ICD&amp;tab=ClassesTab&amp;id=http%3A%2F%2Fwho.int%2Ficd%2332390_512ebf36_bf6b_4d70_85da_cf2637062af4","iCat")</x:f>
      </x:c>
      <x:c r="M5725" s="0" t="s">
        <x:v>21</x:v>
      </x:c>
      <x:c r="N5725" s="0" t="s">
        <x:v>46</x:v>
      </x:c>
    </x:row>
    <x:row r="5726" spans="1:16">
      <x:c r="A5726" s="0" t="s">
        <x:v>22756</x:v>
      </x:c>
      <x:c r="B5726" s="0" t="s">
        <x:v>22757</x:v>
      </x:c>
      <x:c r="C5726" s="0" t="s">
        <x:v>22758</x:v>
      </x:c>
      <x:c r="E5726" s="0" t="s">
        <x:v>22759</x:v>
      </x:c>
      <x:c r="F5726" s="0" t="s">
        <x:v>45</x:v>
      </x:c>
      <x:c r="G5726" s="0" t="s">
        <x:v>19</x:v>
      </x:c>
      <x:c r="H5726" s="0" t="s">
        <x:v>20</x:v>
      </x:c>
      <x:c r="I5726" s="0" t="s">
        <x:v>21</x:v>
      </x:c>
      <x:c r="K5726" s="0">
        <x:f>hyperlink("https://icd.who.int/dev11/l-ichi/en#/http%3A%2F%2Fid.who.int%2Ficd%2Fentity%2F182570109","browser")</x:f>
      </x:c>
      <x:c r="L5726" s="0">
        <x:f>hyperlink("https://icat2.azurewebsites.net/icat/?ontology=ICD&amp;tab=ClassesTab&amp;id=http%3A%2F%2Fwho.int%2Ficd%2332397_512ebf36_bf6b_4d70_85da_cf2637062af4","iCat")</x:f>
      </x:c>
      <x:c r="M5726" s="0" t="s">
        <x:v>21</x:v>
      </x:c>
      <x:c r="N5726" s="0" t="s">
        <x:v>46</x:v>
      </x:c>
    </x:row>
    <x:row r="5727" spans="1:16">
      <x:c r="A5727" s="0" t="s">
        <x:v>22760</x:v>
      </x:c>
      <x:c r="B5727" s="0" t="s">
        <x:v>22761</x:v>
      </x:c>
      <x:c r="C5727" s="0" t="s">
        <x:v>22762</x:v>
      </x:c>
      <x:c r="E5727" s="0" t="s">
        <x:v>22763</x:v>
      </x:c>
      <x:c r="F5727" s="0" t="s">
        <x:v>45</x:v>
      </x:c>
      <x:c r="G5727" s="0" t="s">
        <x:v>19</x:v>
      </x:c>
      <x:c r="H5727" s="0" t="s">
        <x:v>20</x:v>
      </x:c>
      <x:c r="I5727" s="0" t="s">
        <x:v>21</x:v>
      </x:c>
      <x:c r="K5727" s="0">
        <x:f>hyperlink("https://icd.who.int/dev11/l-ichi/en#/http%3A%2F%2Fid.who.int%2Ficd%2Fentity%2F1455540091","browser")</x:f>
      </x:c>
      <x:c r="L5727" s="0">
        <x:f>hyperlink("https://icat2.azurewebsites.net/icat/?ontology=ICD&amp;tab=ClassesTab&amp;id=http%3A%2F%2Fwho.int%2Ficd%2332404_512ebf36_bf6b_4d70_85da_cf2637062af4","iCat")</x:f>
      </x:c>
      <x:c r="M5727" s="0" t="s">
        <x:v>21</x:v>
      </x:c>
      <x:c r="N5727" s="0" t="s">
        <x:v>46</x:v>
      </x:c>
    </x:row>
    <x:row r="5728" spans="1:16">
      <x:c r="A5728" s="0" t="s">
        <x:v>22764</x:v>
      </x:c>
      <x:c r="B5728" s="0" t="s">
        <x:v>22765</x:v>
      </x:c>
      <x:c r="C5728" s="0" t="s">
        <x:v>22766</x:v>
      </x:c>
      <x:c r="E5728" s="0" t="s">
        <x:v>22767</x:v>
      </x:c>
      <x:c r="F5728" s="0" t="s">
        <x:v>45</x:v>
      </x:c>
      <x:c r="G5728" s="0" t="s">
        <x:v>19</x:v>
      </x:c>
      <x:c r="H5728" s="0" t="s">
        <x:v>20</x:v>
      </x:c>
      <x:c r="I5728" s="0" t="s">
        <x:v>21</x:v>
      </x:c>
      <x:c r="K5728" s="0">
        <x:f>hyperlink("https://icd.who.int/dev11/l-ichi/en#/http%3A%2F%2Fid.who.int%2Ficd%2Fentity%2F151230042","browser")</x:f>
      </x:c>
      <x:c r="L5728" s="0">
        <x:f>hyperlink("https://icat2.azurewebsites.net/icat/?ontology=ICD&amp;tab=ClassesTab&amp;id=http%3A%2F%2Fwho.int%2Ficd%2332410_512ebf36_bf6b_4d70_85da_cf2637062af4","iCat")</x:f>
      </x:c>
      <x:c r="M5728" s="0" t="s">
        <x:v>21</x:v>
      </x:c>
      <x:c r="N5728" s="0" t="s">
        <x:v>46</x:v>
      </x:c>
    </x:row>
    <x:row r="5729" spans="1:16">
      <x:c r="A5729" s="0" t="s">
        <x:v>22768</x:v>
      </x:c>
      <x:c r="B5729" s="0" t="s">
        <x:v>22769</x:v>
      </x:c>
      <x:c r="C5729" s="0" t="s">
        <x:v>22770</x:v>
      </x:c>
      <x:c r="E5729" s="0" t="s">
        <x:v>22771</x:v>
      </x:c>
      <x:c r="F5729" s="0" t="s">
        <x:v>45</x:v>
      </x:c>
      <x:c r="G5729" s="0" t="s">
        <x:v>19</x:v>
      </x:c>
      <x:c r="H5729" s="0" t="s">
        <x:v>20</x:v>
      </x:c>
      <x:c r="I5729" s="0" t="s">
        <x:v>21</x:v>
      </x:c>
      <x:c r="K5729" s="0">
        <x:f>hyperlink("https://icd.who.int/dev11/l-ichi/en#/http%3A%2F%2Fid.who.int%2Ficd%2Fentity%2F2038513109","browser")</x:f>
      </x:c>
      <x:c r="L5729" s="0">
        <x:f>hyperlink("https://icat2.azurewebsites.net/icat/?ontology=ICD&amp;tab=ClassesTab&amp;id=http%3A%2F%2Fwho.int%2Ficd%2332417_512ebf36_bf6b_4d70_85da_cf2637062af4","iCat")</x:f>
      </x:c>
      <x:c r="M5729" s="0" t="s">
        <x:v>21</x:v>
      </x:c>
      <x:c r="N5729" s="0" t="s">
        <x:v>46</x:v>
      </x:c>
    </x:row>
    <x:row r="5730" spans="1:16">
      <x:c r="A5730" s="0" t="s">
        <x:v>22772</x:v>
      </x:c>
      <x:c r="B5730" s="0" t="s">
        <x:v>22773</x:v>
      </x:c>
      <x:c r="C5730" s="0" t="s">
        <x:v>22774</x:v>
      </x:c>
      <x:c r="E5730" s="0" t="s">
        <x:v>22775</x:v>
      </x:c>
      <x:c r="F5730" s="0" t="s">
        <x:v>45</x:v>
      </x:c>
      <x:c r="G5730" s="0" t="s">
        <x:v>19</x:v>
      </x:c>
      <x:c r="H5730" s="0" t="s">
        <x:v>20</x:v>
      </x:c>
      <x:c r="I5730" s="0" t="s">
        <x:v>21</x:v>
      </x:c>
      <x:c r="K5730" s="0">
        <x:f>hyperlink("https://icd.who.int/dev11/l-ichi/en#/http%3A%2F%2Fid.who.int%2Ficd%2Fentity%2F2092241451","browser")</x:f>
      </x:c>
      <x:c r="L5730" s="0">
        <x:f>hyperlink("https://icat2.azurewebsites.net/icat/?ontology=ICD&amp;tab=ClassesTab&amp;id=http%3A%2F%2Fwho.int%2Ficd%2332424_512ebf36_bf6b_4d70_85da_cf2637062af4","iCat")</x:f>
      </x:c>
      <x:c r="M5730" s="0" t="s">
        <x:v>21</x:v>
      </x:c>
      <x:c r="N5730" s="0" t="s">
        <x:v>46</x:v>
      </x:c>
    </x:row>
    <x:row r="5731" spans="1:16">
      <x:c r="A5731" s="0" t="s">
        <x:v>22776</x:v>
      </x:c>
      <x:c r="B5731" s="0" t="s">
        <x:v>22777</x:v>
      </x:c>
      <x:c r="C5731" s="0" t="s">
        <x:v>22778</x:v>
      </x:c>
      <x:c r="E5731" s="0" t="s">
        <x:v>22779</x:v>
      </x:c>
      <x:c r="F5731" s="0" t="s">
        <x:v>45</x:v>
      </x:c>
      <x:c r="G5731" s="0" t="s">
        <x:v>19</x:v>
      </x:c>
      <x:c r="H5731" s="0" t="s">
        <x:v>20</x:v>
      </x:c>
      <x:c r="I5731" s="0" t="s">
        <x:v>21</x:v>
      </x:c>
      <x:c r="K5731" s="0">
        <x:f>hyperlink("https://icd.who.int/dev11/l-ichi/en#/http%3A%2F%2Fid.who.int%2Ficd%2Fentity%2F595018504","browser")</x:f>
      </x:c>
      <x:c r="L5731" s="0">
        <x:f>hyperlink("https://icat2.azurewebsites.net/icat/?ontology=ICD&amp;tab=ClassesTab&amp;id=http%3A%2F%2Fwho.int%2Ficd%2332430_512ebf36_bf6b_4d70_85da_cf2637062af4","iCat")</x:f>
      </x:c>
      <x:c r="M5731" s="0" t="s">
        <x:v>21</x:v>
      </x:c>
      <x:c r="N5731" s="0" t="s">
        <x:v>46</x:v>
      </x:c>
    </x:row>
    <x:row r="5732" spans="1:16">
      <x:c r="A5732" s="0" t="s">
        <x:v>22780</x:v>
      </x:c>
      <x:c r="B5732" s="0" t="s">
        <x:v>22781</x:v>
      </x:c>
      <x:c r="C5732" s="0" t="s">
        <x:v>22782</x:v>
      </x:c>
      <x:c r="E5732" s="0" t="s">
        <x:v>22783</x:v>
      </x:c>
      <x:c r="F5732" s="0" t="s">
        <x:v>45</x:v>
      </x:c>
      <x:c r="G5732" s="0" t="s">
        <x:v>19</x:v>
      </x:c>
      <x:c r="H5732" s="0" t="s">
        <x:v>20</x:v>
      </x:c>
      <x:c r="I5732" s="0" t="s">
        <x:v>21</x:v>
      </x:c>
      <x:c r="K5732" s="0">
        <x:f>hyperlink("https://icd.who.int/dev11/l-ichi/en#/http%3A%2F%2Fid.who.int%2Ficd%2Fentity%2F329338900","browser")</x:f>
      </x:c>
      <x:c r="L5732" s="0">
        <x:f>hyperlink("https://icat2.azurewebsites.net/icat/?ontology=ICD&amp;tab=ClassesTab&amp;id=http%3A%2F%2Fwho.int%2Ficd%2332440_512ebf36_bf6b_4d70_85da_cf2637062af4","iCat")</x:f>
      </x:c>
      <x:c r="M5732" s="0" t="s">
        <x:v>21</x:v>
      </x:c>
      <x:c r="N5732" s="0" t="s">
        <x:v>46</x:v>
      </x:c>
    </x:row>
    <x:row r="5733" spans="1:16">
      <x:c r="A5733" s="0" t="s">
        <x:v>22784</x:v>
      </x:c>
      <x:c r="B5733" s="0" t="s">
        <x:v>22785</x:v>
      </x:c>
      <x:c r="C5733" s="0" t="s">
        <x:v>22786</x:v>
      </x:c>
      <x:c r="E5733" s="0" t="s">
        <x:v>22787</x:v>
      </x:c>
      <x:c r="F5733" s="0" t="s">
        <x:v>45</x:v>
      </x:c>
      <x:c r="G5733" s="0" t="s">
        <x:v>19</x:v>
      </x:c>
      <x:c r="H5733" s="0" t="s">
        <x:v>20</x:v>
      </x:c>
      <x:c r="I5733" s="0" t="s">
        <x:v>21</x:v>
      </x:c>
      <x:c r="K5733" s="0">
        <x:f>hyperlink("https://icd.who.int/dev11/l-ichi/en#/http%3A%2F%2Fid.who.int%2Ficd%2Fentity%2F1138395555","browser")</x:f>
      </x:c>
      <x:c r="L5733" s="0">
        <x:f>hyperlink("https://icat2.azurewebsites.net/icat/?ontology=ICD&amp;tab=ClassesTab&amp;id=http%3A%2F%2Fwho.int%2Ficd%2332446_512ebf36_bf6b_4d70_85da_cf2637062af4","iCat")</x:f>
      </x:c>
      <x:c r="M5733" s="0" t="s">
        <x:v>21</x:v>
      </x:c>
      <x:c r="N5733" s="0" t="s">
        <x:v>46</x:v>
      </x:c>
    </x:row>
    <x:row r="5734" spans="1:16">
      <x:c r="A5734" s="0" t="s">
        <x:v>22788</x:v>
      </x:c>
      <x:c r="B5734" s="0" t="s">
        <x:v>22789</x:v>
      </x:c>
      <x:c r="C5734" s="0" t="s">
        <x:v>22790</x:v>
      </x:c>
      <x:c r="E5734" s="0" t="s">
        <x:v>22791</x:v>
      </x:c>
      <x:c r="F5734" s="0" t="s">
        <x:v>45</x:v>
      </x:c>
      <x:c r="G5734" s="0" t="s">
        <x:v>19</x:v>
      </x:c>
      <x:c r="H5734" s="0" t="s">
        <x:v>20</x:v>
      </x:c>
      <x:c r="I5734" s="0" t="s">
        <x:v>21</x:v>
      </x:c>
      <x:c r="K5734" s="0">
        <x:f>hyperlink("https://icd.who.int/dev11/l-ichi/en#/http%3A%2F%2Fid.who.int%2Ficd%2Fentity%2F689904884","browser")</x:f>
      </x:c>
      <x:c r="L5734" s="0">
        <x:f>hyperlink("https://icat2.azurewebsites.net/icat/?ontology=ICD&amp;tab=ClassesTab&amp;id=http%3A%2F%2Fwho.int%2Ficd%2332456_512ebf36_bf6b_4d70_85da_cf2637062af4","iCat")</x:f>
      </x:c>
      <x:c r="M5734" s="0" t="s">
        <x:v>21</x:v>
      </x:c>
      <x:c r="N5734" s="0" t="s">
        <x:v>46</x:v>
      </x:c>
    </x:row>
    <x:row r="5735" spans="1:16">
      <x:c r="A5735" s="0" t="s">
        <x:v>22792</x:v>
      </x:c>
      <x:c r="B5735" s="0" t="s">
        <x:v>22793</x:v>
      </x:c>
      <x:c r="C5735" s="0" t="s">
        <x:v>22794</x:v>
      </x:c>
      <x:c r="E5735" s="0" t="s">
        <x:v>22795</x:v>
      </x:c>
      <x:c r="F5735" s="0" t="s">
        <x:v>45</x:v>
      </x:c>
      <x:c r="G5735" s="0" t="s">
        <x:v>19</x:v>
      </x:c>
      <x:c r="H5735" s="0" t="s">
        <x:v>20</x:v>
      </x:c>
      <x:c r="I5735" s="0" t="s">
        <x:v>21</x:v>
      </x:c>
      <x:c r="K5735" s="0">
        <x:f>hyperlink("https://icd.who.int/dev11/l-ichi/en#/http%3A%2F%2Fid.who.int%2Ficd%2Fentity%2F215105848","browser")</x:f>
      </x:c>
      <x:c r="L5735" s="0">
        <x:f>hyperlink("https://icat2.azurewebsites.net/icat/?ontology=ICD&amp;tab=ClassesTab&amp;id=http%3A%2F%2Fwho.int%2Ficd%2332464_512ebf36_bf6b_4d70_85da_cf2637062af4","iCat")</x:f>
      </x:c>
      <x:c r="M5735" s="0" t="s">
        <x:v>21</x:v>
      </x:c>
      <x:c r="N5735" s="0" t="s">
        <x:v>46</x:v>
      </x:c>
    </x:row>
    <x:row r="5736" spans="1:16">
      <x:c r="A5736" s="0" t="s">
        <x:v>22796</x:v>
      </x:c>
      <x:c r="B5736" s="0" t="s">
        <x:v>22797</x:v>
      </x:c>
      <x:c r="C5736" s="0" t="s">
        <x:v>22798</x:v>
      </x:c>
      <x:c r="E5736" s="0" t="s">
        <x:v>22799</x:v>
      </x:c>
      <x:c r="F5736" s="0" t="s">
        <x:v>45</x:v>
      </x:c>
      <x:c r="G5736" s="0" t="s">
        <x:v>19</x:v>
      </x:c>
      <x:c r="H5736" s="0" t="s">
        <x:v>20</x:v>
      </x:c>
      <x:c r="I5736" s="0" t="s">
        <x:v>21</x:v>
      </x:c>
      <x:c r="K5736" s="0">
        <x:f>hyperlink("https://icd.who.int/dev11/l-ichi/en#/http%3A%2F%2Fid.who.int%2Ficd%2Fentity%2F913051088","browser")</x:f>
      </x:c>
      <x:c r="L5736" s="0">
        <x:f>hyperlink("https://icat2.azurewebsites.net/icat/?ontology=ICD&amp;tab=ClassesTab&amp;id=http%3A%2F%2Fwho.int%2Ficd%2332472_512ebf36_bf6b_4d70_85da_cf2637062af4","iCat")</x:f>
      </x:c>
      <x:c r="M5736" s="0" t="s">
        <x:v>21</x:v>
      </x:c>
      <x:c r="N5736" s="0" t="s">
        <x:v>46</x:v>
      </x:c>
    </x:row>
    <x:row r="5737" spans="1:16">
      <x:c r="A5737" s="0" t="s">
        <x:v>22800</x:v>
      </x:c>
      <x:c r="B5737" s="0" t="s">
        <x:v>22801</x:v>
      </x:c>
      <x:c r="C5737" s="0" t="s">
        <x:v>22802</x:v>
      </x:c>
      <x:c r="E5737" s="0" t="s">
        <x:v>22803</x:v>
      </x:c>
      <x:c r="F5737" s="0" t="s">
        <x:v>45</x:v>
      </x:c>
      <x:c r="G5737" s="0" t="s">
        <x:v>19</x:v>
      </x:c>
      <x:c r="H5737" s="0" t="s">
        <x:v>20</x:v>
      </x:c>
      <x:c r="I5737" s="0" t="s">
        <x:v>21</x:v>
      </x:c>
      <x:c r="K5737" s="0">
        <x:f>hyperlink("https://icd.who.int/dev11/l-ichi/en#/http%3A%2F%2Fid.who.int%2Ficd%2Fentity%2F963786036","browser")</x:f>
      </x:c>
      <x:c r="L5737" s="0">
        <x:f>hyperlink("https://icat2.azurewebsites.net/icat/?ontology=ICD&amp;tab=ClassesTab&amp;id=http%3A%2F%2Fwho.int%2Ficd%2332483_512ebf36_bf6b_4d70_85da_cf2637062af4","iCat")</x:f>
      </x:c>
      <x:c r="M5737" s="0" t="s">
        <x:v>21</x:v>
      </x:c>
      <x:c r="N5737" s="0" t="s">
        <x:v>46</x:v>
      </x:c>
    </x:row>
    <x:row r="5738" spans="1:16">
      <x:c r="A5738" s="0" t="s">
        <x:v>22804</x:v>
      </x:c>
      <x:c r="B5738" s="0" t="s">
        <x:v>22805</x:v>
      </x:c>
      <x:c r="C5738" s="0" t="s">
        <x:v>22806</x:v>
      </x:c>
      <x:c r="E5738" s="0" t="s">
        <x:v>22807</x:v>
      </x:c>
      <x:c r="F5738" s="0" t="s">
        <x:v>45</x:v>
      </x:c>
      <x:c r="G5738" s="0" t="s">
        <x:v>19</x:v>
      </x:c>
      <x:c r="H5738" s="0" t="s">
        <x:v>20</x:v>
      </x:c>
      <x:c r="I5738" s="0" t="s">
        <x:v>21</x:v>
      </x:c>
      <x:c r="K5738" s="0">
        <x:f>hyperlink("https://icd.who.int/dev11/l-ichi/en#/http%3A%2F%2Fid.who.int%2Ficd%2Fentity%2F1934545497","browser")</x:f>
      </x:c>
      <x:c r="L5738" s="0">
        <x:f>hyperlink("https://icat2.azurewebsites.net/icat/?ontology=ICD&amp;tab=ClassesTab&amp;id=http%3A%2F%2Fwho.int%2Ficd%2332492_512ebf36_bf6b_4d70_85da_cf2637062af4","iCat")</x:f>
      </x:c>
      <x:c r="M5738" s="0" t="s">
        <x:v>21</x:v>
      </x:c>
      <x:c r="N5738" s="0" t="s">
        <x:v>46</x:v>
      </x:c>
    </x:row>
    <x:row r="5739" spans="1:16">
      <x:c r="A5739" s="0" t="s">
        <x:v>22808</x:v>
      </x:c>
      <x:c r="B5739" s="0" t="s">
        <x:v>22809</x:v>
      </x:c>
      <x:c r="C5739" s="0" t="s">
        <x:v>22810</x:v>
      </x:c>
      <x:c r="E5739" s="0" t="s">
        <x:v>22811</x:v>
      </x:c>
      <x:c r="F5739" s="0" t="s">
        <x:v>45</x:v>
      </x:c>
      <x:c r="G5739" s="0" t="s">
        <x:v>19</x:v>
      </x:c>
      <x:c r="H5739" s="0" t="s">
        <x:v>20</x:v>
      </x:c>
      <x:c r="I5739" s="0" t="s">
        <x:v>21</x:v>
      </x:c>
      <x:c r="K5739" s="0">
        <x:f>hyperlink("https://icd.who.int/dev11/l-ichi/en#/http%3A%2F%2Fid.who.int%2Ficd%2Fentity%2F916502446","browser")</x:f>
      </x:c>
      <x:c r="L5739" s="0">
        <x:f>hyperlink("https://icat2.azurewebsites.net/icat/?ontology=ICD&amp;tab=ClassesTab&amp;id=http%3A%2F%2Fwho.int%2Ficd%2332501_512ebf36_bf6b_4d70_85da_cf2637062af4","iCat")</x:f>
      </x:c>
      <x:c r="M5739" s="0" t="s">
        <x:v>21</x:v>
      </x:c>
      <x:c r="N5739" s="0" t="s">
        <x:v>46</x:v>
      </x:c>
    </x:row>
    <x:row r="5740" spans="1:16">
      <x:c r="A5740" s="0" t="s">
        <x:v>22812</x:v>
      </x:c>
      <x:c r="B5740" s="0" t="s">
        <x:v>22813</x:v>
      </x:c>
      <x:c r="C5740" s="0" t="s">
        <x:v>22814</x:v>
      </x:c>
      <x:c r="E5740" s="0" t="s">
        <x:v>22815</x:v>
      </x:c>
      <x:c r="F5740" s="0" t="s">
        <x:v>45</x:v>
      </x:c>
      <x:c r="G5740" s="0" t="s">
        <x:v>19</x:v>
      </x:c>
      <x:c r="H5740" s="0" t="s">
        <x:v>20</x:v>
      </x:c>
      <x:c r="I5740" s="0" t="s">
        <x:v>21</x:v>
      </x:c>
      <x:c r="K5740" s="0">
        <x:f>hyperlink("https://icd.who.int/dev11/l-ichi/en#/http%3A%2F%2Fid.who.int%2Ficd%2Fentity%2F1725656607","browser")</x:f>
      </x:c>
      <x:c r="L5740" s="0">
        <x:f>hyperlink("https://icat2.azurewebsites.net/icat/?ontology=ICD&amp;tab=ClassesTab&amp;id=http%3A%2F%2Fwho.int%2Ficd%2332507_512ebf36_bf6b_4d70_85da_cf2637062af4","iCat")</x:f>
      </x:c>
      <x:c r="M5740" s="0" t="s">
        <x:v>21</x:v>
      </x:c>
      <x:c r="N5740" s="0" t="s">
        <x:v>46</x:v>
      </x:c>
    </x:row>
    <x:row r="5741" spans="1:16">
      <x:c r="A5741" s="0" t="s">
        <x:v>22816</x:v>
      </x:c>
      <x:c r="B5741" s="0" t="s">
        <x:v>22817</x:v>
      </x:c>
      <x:c r="C5741" s="0" t="s">
        <x:v>22818</x:v>
      </x:c>
      <x:c r="E5741" s="0" t="s">
        <x:v>22819</x:v>
      </x:c>
      <x:c r="F5741" s="0" t="s">
        <x:v>45</x:v>
      </x:c>
      <x:c r="G5741" s="0" t="s">
        <x:v>19</x:v>
      </x:c>
      <x:c r="H5741" s="0" t="s">
        <x:v>20</x:v>
      </x:c>
      <x:c r="I5741" s="0" t="s">
        <x:v>21</x:v>
      </x:c>
      <x:c r="K5741" s="0">
        <x:f>hyperlink("https://icd.who.int/dev11/l-ichi/en#/http%3A%2F%2Fid.who.int%2Ficd%2Fentity%2F1768089229","browser")</x:f>
      </x:c>
      <x:c r="L5741" s="0">
        <x:f>hyperlink("https://icat2.azurewebsites.net/icat/?ontology=ICD&amp;tab=ClassesTab&amp;id=http%3A%2F%2Fwho.int%2Ficd%2332515_512ebf36_bf6b_4d70_85da_cf2637062af4","iCat")</x:f>
      </x:c>
      <x:c r="M5741" s="0" t="s">
        <x:v>21</x:v>
      </x:c>
      <x:c r="N5741" s="0" t="s">
        <x:v>46</x:v>
      </x:c>
    </x:row>
    <x:row r="5742" spans="1:16">
      <x:c r="A5742" s="0" t="s">
        <x:v>22820</x:v>
      </x:c>
      <x:c r="B5742" s="0" t="s">
        <x:v>22821</x:v>
      </x:c>
      <x:c r="C5742" s="0" t="s">
        <x:v>22822</x:v>
      </x:c>
      <x:c r="E5742" s="0" t="s">
        <x:v>22823</x:v>
      </x:c>
      <x:c r="F5742" s="0" t="s">
        <x:v>45</x:v>
      </x:c>
      <x:c r="G5742" s="0" t="s">
        <x:v>19</x:v>
      </x:c>
      <x:c r="H5742" s="0" t="s">
        <x:v>20</x:v>
      </x:c>
      <x:c r="I5742" s="0" t="s">
        <x:v>21</x:v>
      </x:c>
      <x:c r="K5742" s="0">
        <x:f>hyperlink("https://icd.who.int/dev11/l-ichi/en#/http%3A%2F%2Fid.who.int%2Ficd%2Fentity%2F1498483975","browser")</x:f>
      </x:c>
      <x:c r="L5742" s="0">
        <x:f>hyperlink("https://icat2.azurewebsites.net/icat/?ontology=ICD&amp;tab=ClassesTab&amp;id=http%3A%2F%2Fwho.int%2Ficd%2332522_512ebf36_bf6b_4d70_85da_cf2637062af4","iCat")</x:f>
      </x:c>
      <x:c r="M5742" s="0" t="s">
        <x:v>21</x:v>
      </x:c>
      <x:c r="N5742" s="0" t="s">
        <x:v>46</x:v>
      </x:c>
    </x:row>
    <x:row r="5743" spans="1:16">
      <x:c r="A5743" s="0" t="s">
        <x:v>22824</x:v>
      </x:c>
      <x:c r="B5743" s="0" t="s">
        <x:v>22825</x:v>
      </x:c>
      <x:c r="C5743" s="0" t="s">
        <x:v>22826</x:v>
      </x:c>
      <x:c r="E5743" s="0" t="s">
        <x:v>22827</x:v>
      </x:c>
      <x:c r="F5743" s="0" t="s">
        <x:v>45</x:v>
      </x:c>
      <x:c r="G5743" s="0" t="s">
        <x:v>19</x:v>
      </x:c>
      <x:c r="H5743" s="0" t="s">
        <x:v>20</x:v>
      </x:c>
      <x:c r="I5743" s="0" t="s">
        <x:v>21</x:v>
      </x:c>
      <x:c r="K5743" s="0">
        <x:f>hyperlink("https://icd.who.int/dev11/l-ichi/en#/http%3A%2F%2Fid.who.int%2Ficd%2Fentity%2F865376336","browser")</x:f>
      </x:c>
      <x:c r="L5743" s="0">
        <x:f>hyperlink("https://icat2.azurewebsites.net/icat/?ontology=ICD&amp;tab=ClassesTab&amp;id=http%3A%2F%2Fwho.int%2Ficd%2332532_512ebf36_bf6b_4d70_85da_cf2637062af4","iCat")</x:f>
      </x:c>
      <x:c r="M5743" s="0" t="s">
        <x:v>21</x:v>
      </x:c>
      <x:c r="N5743" s="0" t="s">
        <x:v>46</x:v>
      </x:c>
    </x:row>
    <x:row r="5744" spans="1:16">
      <x:c r="A5744" s="0" t="s">
        <x:v>22828</x:v>
      </x:c>
      <x:c r="B5744" s="0" t="s">
        <x:v>22829</x:v>
      </x:c>
      <x:c r="C5744" s="0" t="s">
        <x:v>22830</x:v>
      </x:c>
      <x:c r="E5744" s="0" t="s">
        <x:v>22831</x:v>
      </x:c>
      <x:c r="F5744" s="0" t="s">
        <x:v>45</x:v>
      </x:c>
      <x:c r="G5744" s="0" t="s">
        <x:v>19</x:v>
      </x:c>
      <x:c r="H5744" s="0" t="s">
        <x:v>20</x:v>
      </x:c>
      <x:c r="I5744" s="0" t="s">
        <x:v>21</x:v>
      </x:c>
      <x:c r="K5744" s="0">
        <x:f>hyperlink("https://icd.who.int/dev11/l-ichi/en#/http%3A%2F%2Fid.who.int%2Ficd%2Fentity%2F948995838","browser")</x:f>
      </x:c>
      <x:c r="L5744" s="0">
        <x:f>hyperlink("https://icat2.azurewebsites.net/icat/?ontology=ICD&amp;tab=ClassesTab&amp;id=http%3A%2F%2Fwho.int%2Ficd%2332539_512ebf36_bf6b_4d70_85da_cf2637062af4","iCat")</x:f>
      </x:c>
      <x:c r="M5744" s="0" t="s">
        <x:v>21</x:v>
      </x:c>
      <x:c r="N5744" s="0" t="s">
        <x:v>46</x:v>
      </x:c>
    </x:row>
    <x:row r="5745" spans="1:16">
      <x:c r="A5745" s="0" t="s">
        <x:v>22832</x:v>
      </x:c>
      <x:c r="B5745" s="0" t="s">
        <x:v>22833</x:v>
      </x:c>
      <x:c r="C5745" s="0" t="s">
        <x:v>22834</x:v>
      </x:c>
      <x:c r="E5745" s="0" t="s">
        <x:v>22835</x:v>
      </x:c>
      <x:c r="F5745" s="0" t="s">
        <x:v>45</x:v>
      </x:c>
      <x:c r="G5745" s="0" t="s">
        <x:v>19</x:v>
      </x:c>
      <x:c r="H5745" s="0" t="s">
        <x:v>20</x:v>
      </x:c>
      <x:c r="I5745" s="0" t="s">
        <x:v>21</x:v>
      </x:c>
      <x:c r="K5745" s="0">
        <x:f>hyperlink("https://icd.who.int/dev11/l-ichi/en#/http%3A%2F%2Fid.who.int%2Ficd%2Fentity%2F683665372","browser")</x:f>
      </x:c>
      <x:c r="L5745" s="0">
        <x:f>hyperlink("https://icat2.azurewebsites.net/icat/?ontology=ICD&amp;tab=ClassesTab&amp;id=http%3A%2F%2Fwho.int%2Ficd%2332548_512ebf36_bf6b_4d70_85da_cf2637062af4","iCat")</x:f>
      </x:c>
      <x:c r="M5745" s="0" t="s">
        <x:v>21</x:v>
      </x:c>
      <x:c r="N5745" s="0" t="s">
        <x:v>46</x:v>
      </x:c>
    </x:row>
    <x:row r="5746" spans="1:16">
      <x:c r="A5746" s="0" t="s">
        <x:v>22836</x:v>
      </x:c>
      <x:c r="B5746" s="0" t="s">
        <x:v>22837</x:v>
      </x:c>
      <x:c r="C5746" s="0" t="s">
        <x:v>22838</x:v>
      </x:c>
      <x:c r="E5746" s="0" t="s">
        <x:v>22839</x:v>
      </x:c>
      <x:c r="F5746" s="0" t="s">
        <x:v>45</x:v>
      </x:c>
      <x:c r="G5746" s="0" t="s">
        <x:v>19</x:v>
      </x:c>
      <x:c r="H5746" s="0" t="s">
        <x:v>20</x:v>
      </x:c>
      <x:c r="I5746" s="0" t="s">
        <x:v>21</x:v>
      </x:c>
      <x:c r="K5746" s="0">
        <x:f>hyperlink("https://icd.who.int/dev11/l-ichi/en#/http%3A%2F%2Fid.who.int%2Ficd%2Fentity%2F972867500","browser")</x:f>
      </x:c>
      <x:c r="L5746" s="0">
        <x:f>hyperlink("https://icat2.azurewebsites.net/icat/?ontology=ICD&amp;tab=ClassesTab&amp;id=http%3A%2F%2Fwho.int%2Ficd%2332554_512ebf36_bf6b_4d70_85da_cf2637062af4","iCat")</x:f>
      </x:c>
      <x:c r="M5746" s="0" t="s">
        <x:v>21</x:v>
      </x:c>
      <x:c r="N5746" s="0" t="s">
        <x:v>46</x:v>
      </x:c>
    </x:row>
    <x:row r="5747" spans="1:16">
      <x:c r="A5747" s="0" t="s">
        <x:v>22840</x:v>
      </x:c>
      <x:c r="B5747" s="0" t="s">
        <x:v>22841</x:v>
      </x:c>
      <x:c r="C5747" s="0" t="s">
        <x:v>22842</x:v>
      </x:c>
      <x:c r="E5747" s="0" t="s">
        <x:v>22843</x:v>
      </x:c>
      <x:c r="F5747" s="0" t="s">
        <x:v>45</x:v>
      </x:c>
      <x:c r="G5747" s="0" t="s">
        <x:v>19</x:v>
      </x:c>
      <x:c r="H5747" s="0" t="s">
        <x:v>20</x:v>
      </x:c>
      <x:c r="I5747" s="0" t="s">
        <x:v>21</x:v>
      </x:c>
      <x:c r="K5747" s="0">
        <x:f>hyperlink("https://icd.who.int/dev11/l-ichi/en#/http%3A%2F%2Fid.who.int%2Ficd%2Fentity%2F1823683043","browser")</x:f>
      </x:c>
      <x:c r="L5747" s="0">
        <x:f>hyperlink("https://icat2.azurewebsites.net/icat/?ontology=ICD&amp;tab=ClassesTab&amp;id=http%3A%2F%2Fwho.int%2Ficd%2332561_512ebf36_bf6b_4d70_85da_cf2637062af4","iCat")</x:f>
      </x:c>
      <x:c r="M5747" s="0" t="s">
        <x:v>21</x:v>
      </x:c>
      <x:c r="N5747" s="0" t="s">
        <x:v>46</x:v>
      </x:c>
    </x:row>
    <x:row r="5748" spans="1:16">
      <x:c r="A5748" s="0" t="s">
        <x:v>22844</x:v>
      </x:c>
      <x:c r="B5748" s="0" t="s">
        <x:v>22845</x:v>
      </x:c>
      <x:c r="C5748" s="0" t="s">
        <x:v>22846</x:v>
      </x:c>
      <x:c r="E5748" s="0" t="s">
        <x:v>22847</x:v>
      </x:c>
      <x:c r="F5748" s="0" t="s">
        <x:v>45</x:v>
      </x:c>
      <x:c r="G5748" s="0" t="s">
        <x:v>19</x:v>
      </x:c>
      <x:c r="H5748" s="0" t="s">
        <x:v>20</x:v>
      </x:c>
      <x:c r="I5748" s="0" t="s">
        <x:v>21</x:v>
      </x:c>
      <x:c r="K5748" s="0">
        <x:f>hyperlink("https://icd.who.int/dev11/l-ichi/en#/http%3A%2F%2Fid.who.int%2Ficd%2Fentity%2F1019799634","browser")</x:f>
      </x:c>
      <x:c r="L5748" s="0">
        <x:f>hyperlink("https://icat2.azurewebsites.net/icat/?ontology=ICD&amp;tab=ClassesTab&amp;id=http%3A%2F%2Fwho.int%2Ficd%2332567_512ebf36_bf6b_4d70_85da_cf2637062af4","iCat")</x:f>
      </x:c>
      <x:c r="M5748" s="0" t="s">
        <x:v>21</x:v>
      </x:c>
      <x:c r="N5748" s="0" t="s">
        <x:v>46</x:v>
      </x:c>
    </x:row>
    <x:row r="5749" spans="1:16">
      <x:c r="A5749" s="0" t="s">
        <x:v>22848</x:v>
      </x:c>
      <x:c r="B5749" s="0" t="s">
        <x:v>22849</x:v>
      </x:c>
      <x:c r="C5749" s="0" t="s">
        <x:v>22850</x:v>
      </x:c>
      <x:c r="E5749" s="0" t="s">
        <x:v>22851</x:v>
      </x:c>
      <x:c r="F5749" s="0" t="s">
        <x:v>45</x:v>
      </x:c>
      <x:c r="G5749" s="0" t="s">
        <x:v>19</x:v>
      </x:c>
      <x:c r="H5749" s="0" t="s">
        <x:v>20</x:v>
      </x:c>
      <x:c r="I5749" s="0" t="s">
        <x:v>21</x:v>
      </x:c>
      <x:c r="K5749" s="0">
        <x:f>hyperlink("https://icd.who.int/dev11/l-ichi/en#/http%3A%2F%2Fid.who.int%2Ficd%2Fentity%2F327684862","browser")</x:f>
      </x:c>
      <x:c r="L5749" s="0">
        <x:f>hyperlink("https://icat2.azurewebsites.net/icat/?ontology=ICD&amp;tab=ClassesTab&amp;id=http%3A%2F%2Fwho.int%2Ficd%2332574_512ebf36_bf6b_4d70_85da_cf2637062af4","iCat")</x:f>
      </x:c>
      <x:c r="M5749" s="0" t="s">
        <x:v>21</x:v>
      </x:c>
      <x:c r="N5749" s="0" t="s">
        <x:v>46</x:v>
      </x:c>
    </x:row>
    <x:row r="5750" spans="1:16">
      <x:c r="A5750" s="0" t="s">
        <x:v>22852</x:v>
      </x:c>
      <x:c r="B5750" s="0" t="s">
        <x:v>22853</x:v>
      </x:c>
      <x:c r="C5750" s="0" t="s">
        <x:v>22854</x:v>
      </x:c>
      <x:c r="E5750" s="0" t="s">
        <x:v>22855</x:v>
      </x:c>
      <x:c r="F5750" s="0" t="s">
        <x:v>45</x:v>
      </x:c>
      <x:c r="G5750" s="0" t="s">
        <x:v>19</x:v>
      </x:c>
      <x:c r="H5750" s="0" t="s">
        <x:v>20</x:v>
      </x:c>
      <x:c r="I5750" s="0" t="s">
        <x:v>21</x:v>
      </x:c>
      <x:c r="K5750" s="0">
        <x:f>hyperlink("https://icd.who.int/dev11/l-ichi/en#/http%3A%2F%2Fid.who.int%2Ficd%2Fentity%2F1813283219","browser")</x:f>
      </x:c>
      <x:c r="L5750" s="0">
        <x:f>hyperlink("https://icat2.azurewebsites.net/icat/?ontology=ICD&amp;tab=ClassesTab&amp;id=http%3A%2F%2Fwho.int%2Ficd%2332582_512ebf36_bf6b_4d70_85da_cf2637062af4","iCat")</x:f>
      </x:c>
      <x:c r="M5750" s="0" t="s">
        <x:v>21</x:v>
      </x:c>
      <x:c r="N5750" s="0" t="s">
        <x:v>46</x:v>
      </x:c>
    </x:row>
    <x:row r="5751" spans="1:16">
      <x:c r="A5751" s="0" t="s">
        <x:v>22856</x:v>
      </x:c>
      <x:c r="B5751" s="0" t="s">
        <x:v>22857</x:v>
      </x:c>
      <x:c r="C5751" s="0" t="s">
        <x:v>22858</x:v>
      </x:c>
      <x:c r="E5751" s="0" t="s">
        <x:v>22859</x:v>
      </x:c>
      <x:c r="F5751" s="0" t="s">
        <x:v>45</x:v>
      </x:c>
      <x:c r="G5751" s="0" t="s">
        <x:v>19</x:v>
      </x:c>
      <x:c r="H5751" s="0" t="s">
        <x:v>20</x:v>
      </x:c>
      <x:c r="I5751" s="0" t="s">
        <x:v>21</x:v>
      </x:c>
      <x:c r="K5751" s="0">
        <x:f>hyperlink("https://icd.who.int/dev11/l-ichi/en#/http%3A%2F%2Fid.who.int%2Ficd%2Fentity%2F640182010","browser")</x:f>
      </x:c>
      <x:c r="L5751" s="0">
        <x:f>hyperlink("https://icat2.azurewebsites.net/icat/?ontology=ICD&amp;tab=ClassesTab&amp;id=http%3A%2F%2Fwho.int%2Ficd%2332593_512ebf36_bf6b_4d70_85da_cf2637062af4","iCat")</x:f>
      </x:c>
      <x:c r="M5751" s="0" t="s">
        <x:v>21</x:v>
      </x:c>
      <x:c r="N5751" s="0" t="s">
        <x:v>46</x:v>
      </x:c>
    </x:row>
    <x:row r="5752" spans="1:16">
      <x:c r="A5752" s="0" t="s">
        <x:v>22860</x:v>
      </x:c>
      <x:c r="B5752" s="0" t="s">
        <x:v>22861</x:v>
      </x:c>
      <x:c r="C5752" s="0" t="s">
        <x:v>22862</x:v>
      </x:c>
      <x:c r="E5752" s="0" t="s">
        <x:v>22863</x:v>
      </x:c>
      <x:c r="F5752" s="0" t="s">
        <x:v>45</x:v>
      </x:c>
      <x:c r="G5752" s="0" t="s">
        <x:v>19</x:v>
      </x:c>
      <x:c r="H5752" s="0" t="s">
        <x:v>20</x:v>
      </x:c>
      <x:c r="I5752" s="0" t="s">
        <x:v>21</x:v>
      </x:c>
      <x:c r="K5752" s="0">
        <x:f>hyperlink("https://icd.who.int/dev11/l-ichi/en#/http%3A%2F%2Fid.who.int%2Ficd%2Fentity%2F1996911051","browser")</x:f>
      </x:c>
      <x:c r="L5752" s="0">
        <x:f>hyperlink("https://icat2.azurewebsites.net/icat/?ontology=ICD&amp;tab=ClassesTab&amp;id=http%3A%2F%2Fwho.int%2Ficd%2332600_512ebf36_bf6b_4d70_85da_cf2637062af4","iCat")</x:f>
      </x:c>
      <x:c r="M5752" s="0" t="s">
        <x:v>21</x:v>
      </x:c>
      <x:c r="N5752" s="0" t="s">
        <x:v>46</x:v>
      </x:c>
    </x:row>
    <x:row r="5753" spans="1:16">
      <x:c r="A5753" s="0" t="s">
        <x:v>22864</x:v>
      </x:c>
      <x:c r="B5753" s="0" t="s">
        <x:v>22865</x:v>
      </x:c>
      <x:c r="C5753" s="0" t="s">
        <x:v>22866</x:v>
      </x:c>
      <x:c r="E5753" s="0" t="s">
        <x:v>22867</x:v>
      </x:c>
      <x:c r="F5753" s="0" t="s">
        <x:v>45</x:v>
      </x:c>
      <x:c r="G5753" s="0" t="s">
        <x:v>19</x:v>
      </x:c>
      <x:c r="H5753" s="0" t="s">
        <x:v>20</x:v>
      </x:c>
      <x:c r="I5753" s="0" t="s">
        <x:v>21</x:v>
      </x:c>
      <x:c r="K5753" s="0">
        <x:f>hyperlink("https://icd.who.int/dev11/l-ichi/en#/http%3A%2F%2Fid.who.int%2Ficd%2Fentity%2F427717284","browser")</x:f>
      </x:c>
      <x:c r="L5753" s="0">
        <x:f>hyperlink("https://icat2.azurewebsites.net/icat/?ontology=ICD&amp;tab=ClassesTab&amp;id=http%3A%2F%2Fwho.int%2Ficd%2332609_512ebf36_bf6b_4d70_85da_cf2637062af4","iCat")</x:f>
      </x:c>
      <x:c r="M5753" s="0" t="s">
        <x:v>21</x:v>
      </x:c>
      <x:c r="N5753" s="0" t="s">
        <x:v>46</x:v>
      </x:c>
    </x:row>
    <x:row r="5754" spans="1:16">
      <x:c r="A5754" s="0" t="s">
        <x:v>22868</x:v>
      </x:c>
      <x:c r="B5754" s="0" t="s">
        <x:v>22869</x:v>
      </x:c>
      <x:c r="C5754" s="0" t="s">
        <x:v>22870</x:v>
      </x:c>
      <x:c r="E5754" s="0" t="s">
        <x:v>22871</x:v>
      </x:c>
      <x:c r="F5754" s="0" t="s">
        <x:v>45</x:v>
      </x:c>
      <x:c r="G5754" s="0" t="s">
        <x:v>19</x:v>
      </x:c>
      <x:c r="H5754" s="0" t="s">
        <x:v>20</x:v>
      </x:c>
      <x:c r="I5754" s="0" t="s">
        <x:v>21</x:v>
      </x:c>
      <x:c r="K5754" s="0">
        <x:f>hyperlink("https://icd.who.int/dev11/l-ichi/en#/http%3A%2F%2Fid.who.int%2Ficd%2Fentity%2F138236628","browser")</x:f>
      </x:c>
      <x:c r="L5754" s="0">
        <x:f>hyperlink("https://icat2.azurewebsites.net/icat/?ontology=ICD&amp;tab=ClassesTab&amp;id=http%3A%2F%2Fwho.int%2Ficd%2332615_512ebf36_bf6b_4d70_85da_cf2637062af4","iCat")</x:f>
      </x:c>
      <x:c r="M5754" s="0" t="s">
        <x:v>21</x:v>
      </x:c>
      <x:c r="N5754" s="0" t="s">
        <x:v>46</x:v>
      </x:c>
    </x:row>
    <x:row r="5755" spans="1:16">
      <x:c r="A5755" s="0" t="s">
        <x:v>22872</x:v>
      </x:c>
      <x:c r="B5755" s="0" t="s">
        <x:v>22873</x:v>
      </x:c>
      <x:c r="C5755" s="0" t="s">
        <x:v>22874</x:v>
      </x:c>
      <x:c r="E5755" s="0" t="s">
        <x:v>22875</x:v>
      </x:c>
      <x:c r="F5755" s="0" t="s">
        <x:v>45</x:v>
      </x:c>
      <x:c r="G5755" s="0" t="s">
        <x:v>19</x:v>
      </x:c>
      <x:c r="H5755" s="0" t="s">
        <x:v>20</x:v>
      </x:c>
      <x:c r="I5755" s="0" t="s">
        <x:v>21</x:v>
      </x:c>
      <x:c r="K5755" s="0">
        <x:f>hyperlink("https://icd.who.int/dev11/l-ichi/en#/http%3A%2F%2Fid.who.int%2Ficd%2Fentity%2F418892642","browser")</x:f>
      </x:c>
      <x:c r="L5755" s="0">
        <x:f>hyperlink("https://icat2.azurewebsites.net/icat/?ontology=ICD&amp;tab=ClassesTab&amp;id=http%3A%2F%2Fwho.int%2Ficd%2332623_512ebf36_bf6b_4d70_85da_cf2637062af4","iCat")</x:f>
      </x:c>
      <x:c r="M5755" s="0" t="s">
        <x:v>21</x:v>
      </x:c>
      <x:c r="N5755" s="0" t="s">
        <x:v>46</x:v>
      </x:c>
    </x:row>
    <x:row r="5756" spans="1:16">
      <x:c r="A5756" s="0" t="s">
        <x:v>22876</x:v>
      </x:c>
      <x:c r="B5756" s="0" t="s">
        <x:v>22877</x:v>
      </x:c>
      <x:c r="C5756" s="0" t="s">
        <x:v>22878</x:v>
      </x:c>
      <x:c r="E5756" s="0" t="s">
        <x:v>22879</x:v>
      </x:c>
      <x:c r="F5756" s="0" t="s">
        <x:v>45</x:v>
      </x:c>
      <x:c r="G5756" s="0" t="s">
        <x:v>19</x:v>
      </x:c>
      <x:c r="H5756" s="0" t="s">
        <x:v>20</x:v>
      </x:c>
      <x:c r="I5756" s="0" t="s">
        <x:v>21</x:v>
      </x:c>
      <x:c r="K5756" s="0">
        <x:f>hyperlink("https://icd.who.int/dev11/l-ichi/en#/http%3A%2F%2Fid.who.int%2Ficd%2Fentity%2F1194695233","browser")</x:f>
      </x:c>
      <x:c r="L5756" s="0">
        <x:f>hyperlink("https://icat2.azurewebsites.net/icat/?ontology=ICD&amp;tab=ClassesTab&amp;id=http%3A%2F%2Fwho.int%2Ficd%2332637_512ebf36_bf6b_4d70_85da_cf2637062af4","iCat")</x:f>
      </x:c>
      <x:c r="M5756" s="0" t="s">
        <x:v>21</x:v>
      </x:c>
      <x:c r="N5756" s="0" t="s">
        <x:v>46</x:v>
      </x:c>
    </x:row>
    <x:row r="5757" spans="1:16">
      <x:c r="A5757" s="0" t="s">
        <x:v>22880</x:v>
      </x:c>
      <x:c r="B5757" s="0" t="s">
        <x:v>22881</x:v>
      </x:c>
      <x:c r="C5757" s="0" t="s">
        <x:v>22882</x:v>
      </x:c>
      <x:c r="E5757" s="0" t="s">
        <x:v>22883</x:v>
      </x:c>
      <x:c r="F5757" s="0" t="s">
        <x:v>45</x:v>
      </x:c>
      <x:c r="G5757" s="0" t="s">
        <x:v>19</x:v>
      </x:c>
      <x:c r="H5757" s="0" t="s">
        <x:v>20</x:v>
      </x:c>
      <x:c r="I5757" s="0" t="s">
        <x:v>21</x:v>
      </x:c>
      <x:c r="K5757" s="0">
        <x:f>hyperlink("https://icd.who.int/dev11/l-ichi/en#/http%3A%2F%2Fid.who.int%2Ficd%2Fentity%2F2011400539","browser")</x:f>
      </x:c>
      <x:c r="L5757" s="0">
        <x:f>hyperlink("https://icat2.azurewebsites.net/icat/?ontology=ICD&amp;tab=ClassesTab&amp;id=http%3A%2F%2Fwho.int%2Ficd%2332647_512ebf36_bf6b_4d70_85da_cf2637062af4","iCat")</x:f>
      </x:c>
      <x:c r="M5757" s="0" t="s">
        <x:v>21</x:v>
      </x:c>
      <x:c r="N5757" s="0" t="s">
        <x:v>46</x:v>
      </x:c>
    </x:row>
    <x:row r="5758" spans="1:16">
      <x:c r="A5758" s="0" t="s">
        <x:v>22884</x:v>
      </x:c>
      <x:c r="B5758" s="0" t="s">
        <x:v>22885</x:v>
      </x:c>
      <x:c r="C5758" s="0" t="s">
        <x:v>22886</x:v>
      </x:c>
      <x:c r="E5758" s="0" t="s">
        <x:v>22887</x:v>
      </x:c>
      <x:c r="F5758" s="0" t="s">
        <x:v>45</x:v>
      </x:c>
      <x:c r="G5758" s="0" t="s">
        <x:v>19</x:v>
      </x:c>
      <x:c r="H5758" s="0" t="s">
        <x:v>20</x:v>
      </x:c>
      <x:c r="I5758" s="0" t="s">
        <x:v>21</x:v>
      </x:c>
      <x:c r="K5758" s="0">
        <x:f>hyperlink("https://icd.who.int/dev11/l-ichi/en#/http%3A%2F%2Fid.who.int%2Ficd%2Fentity%2F1487107061","browser")</x:f>
      </x:c>
      <x:c r="L5758" s="0">
        <x:f>hyperlink("https://icat2.azurewebsites.net/icat/?ontology=ICD&amp;tab=ClassesTab&amp;id=http%3A%2F%2Fwho.int%2Ficd%2332654_512ebf36_bf6b_4d70_85da_cf2637062af4","iCat")</x:f>
      </x:c>
      <x:c r="M5758" s="0" t="s">
        <x:v>21</x:v>
      </x:c>
      <x:c r="N5758" s="0" t="s">
        <x:v>46</x:v>
      </x:c>
    </x:row>
    <x:row r="5759" spans="1:16">
      <x:c r="A5759" s="0" t="s">
        <x:v>22888</x:v>
      </x:c>
      <x:c r="B5759" s="0" t="s">
        <x:v>22889</x:v>
      </x:c>
      <x:c r="C5759" s="0" t="s">
        <x:v>22890</x:v>
      </x:c>
      <x:c r="E5759" s="0" t="s">
        <x:v>22891</x:v>
      </x:c>
      <x:c r="F5759" s="0" t="s">
        <x:v>45</x:v>
      </x:c>
      <x:c r="G5759" s="0" t="s">
        <x:v>19</x:v>
      </x:c>
      <x:c r="H5759" s="0" t="s">
        <x:v>20</x:v>
      </x:c>
      <x:c r="I5759" s="0" t="s">
        <x:v>21</x:v>
      </x:c>
      <x:c r="K5759" s="0">
        <x:f>hyperlink("https://icd.who.int/dev11/l-ichi/en#/http%3A%2F%2Fid.who.int%2Ficd%2Fentity%2F756414344","browser")</x:f>
      </x:c>
      <x:c r="L5759" s="0">
        <x:f>hyperlink("https://icat2.azurewebsites.net/icat/?ontology=ICD&amp;tab=ClassesTab&amp;id=http%3A%2F%2Fwho.int%2Ficd%2332660_512ebf36_bf6b_4d70_85da_cf2637062af4","iCat")</x:f>
      </x:c>
      <x:c r="M5759" s="0" t="s">
        <x:v>21</x:v>
      </x:c>
      <x:c r="N5759" s="0" t="s">
        <x:v>46</x:v>
      </x:c>
    </x:row>
    <x:row r="5760" spans="1:16">
      <x:c r="A5760" s="0" t="s">
        <x:v>22892</x:v>
      </x:c>
      <x:c r="B5760" s="0" t="s">
        <x:v>22893</x:v>
      </x:c>
      <x:c r="C5760" s="0" t="s">
        <x:v>22894</x:v>
      </x:c>
      <x:c r="E5760" s="0" t="s">
        <x:v>22895</x:v>
      </x:c>
      <x:c r="F5760" s="0" t="s">
        <x:v>45</x:v>
      </x:c>
      <x:c r="G5760" s="0" t="s">
        <x:v>19</x:v>
      </x:c>
      <x:c r="H5760" s="0" t="s">
        <x:v>20</x:v>
      </x:c>
      <x:c r="I5760" s="0" t="s">
        <x:v>21</x:v>
      </x:c>
      <x:c r="K5760" s="0">
        <x:f>hyperlink("https://icd.who.int/dev11/l-ichi/en#/http%3A%2F%2Fid.who.int%2Ficd%2Fentity%2F1670678227","browser")</x:f>
      </x:c>
      <x:c r="L5760" s="0">
        <x:f>hyperlink("https://icat2.azurewebsites.net/icat/?ontology=ICD&amp;tab=ClassesTab&amp;id=http%3A%2F%2Fwho.int%2Ficd%2332668_512ebf36_bf6b_4d70_85da_cf2637062af4","iCat")</x:f>
      </x:c>
      <x:c r="M5760" s="0" t="s">
        <x:v>21</x:v>
      </x:c>
      <x:c r="N5760" s="0" t="s">
        <x:v>46</x:v>
      </x:c>
    </x:row>
    <x:row r="5761" spans="1:16">
      <x:c r="A5761" s="0" t="s">
        <x:v>22896</x:v>
      </x:c>
      <x:c r="B5761" s="0" t="s">
        <x:v>22897</x:v>
      </x:c>
      <x:c r="C5761" s="0" t="s">
        <x:v>22898</x:v>
      </x:c>
      <x:c r="E5761" s="0" t="s">
        <x:v>22899</x:v>
      </x:c>
      <x:c r="F5761" s="0" t="s">
        <x:v>45</x:v>
      </x:c>
      <x:c r="G5761" s="0" t="s">
        <x:v>19</x:v>
      </x:c>
      <x:c r="H5761" s="0" t="s">
        <x:v>20</x:v>
      </x:c>
      <x:c r="I5761" s="0" t="s">
        <x:v>21</x:v>
      </x:c>
      <x:c r="K5761" s="0">
        <x:f>hyperlink("https://icd.who.int/dev11/l-ichi/en#/http%3A%2F%2Fid.who.int%2Ficd%2Fentity%2F1926735525","browser")</x:f>
      </x:c>
      <x:c r="L5761" s="0">
        <x:f>hyperlink("https://icat2.azurewebsites.net/icat/?ontology=ICD&amp;tab=ClassesTab&amp;id=http%3A%2F%2Fwho.int%2Ficd%2332674_512ebf36_bf6b_4d70_85da_cf2637062af4","iCat")</x:f>
      </x:c>
      <x:c r="M5761" s="0" t="s">
        <x:v>21</x:v>
      </x:c>
      <x:c r="N5761" s="0" t="s">
        <x:v>46</x:v>
      </x:c>
    </x:row>
    <x:row r="5762" spans="1:16">
      <x:c r="A5762" s="0" t="s">
        <x:v>22900</x:v>
      </x:c>
      <x:c r="B5762" s="0" t="s">
        <x:v>22901</x:v>
      </x:c>
      <x:c r="C5762" s="0" t="s">
        <x:v>22902</x:v>
      </x:c>
      <x:c r="E5762" s="0" t="s">
        <x:v>22903</x:v>
      </x:c>
      <x:c r="F5762" s="0" t="s">
        <x:v>45</x:v>
      </x:c>
      <x:c r="G5762" s="0" t="s">
        <x:v>19</x:v>
      </x:c>
      <x:c r="H5762" s="0" t="s">
        <x:v>20</x:v>
      </x:c>
      <x:c r="I5762" s="0" t="s">
        <x:v>21</x:v>
      </x:c>
      <x:c r="K5762" s="0">
        <x:f>hyperlink("https://icd.who.int/dev11/l-ichi/en#/http%3A%2F%2Fid.who.int%2Ficd%2Fentity%2F1748445199","browser")</x:f>
      </x:c>
      <x:c r="L5762" s="0">
        <x:f>hyperlink("https://icat2.azurewebsites.net/icat/?ontology=ICD&amp;tab=ClassesTab&amp;id=http%3A%2F%2Fwho.int%2Ficd%2332680_512ebf36_bf6b_4d70_85da_cf2637062af4","iCat")</x:f>
      </x:c>
      <x:c r="M5762" s="0" t="s">
        <x:v>21</x:v>
      </x:c>
      <x:c r="N5762" s="0" t="s">
        <x:v>46</x:v>
      </x:c>
    </x:row>
    <x:row r="5763" spans="1:16">
      <x:c r="A5763" s="0" t="s">
        <x:v>22904</x:v>
      </x:c>
      <x:c r="B5763" s="0" t="s">
        <x:v>22905</x:v>
      </x:c>
      <x:c r="C5763" s="0" t="s">
        <x:v>22906</x:v>
      </x:c>
      <x:c r="E5763" s="0" t="s">
        <x:v>22907</x:v>
      </x:c>
      <x:c r="F5763" s="0" t="s">
        <x:v>45</x:v>
      </x:c>
      <x:c r="G5763" s="0" t="s">
        <x:v>19</x:v>
      </x:c>
      <x:c r="H5763" s="0" t="s">
        <x:v>20</x:v>
      </x:c>
      <x:c r="I5763" s="0" t="s">
        <x:v>21</x:v>
      </x:c>
      <x:c r="K5763" s="0">
        <x:f>hyperlink("https://icd.who.int/dev11/l-ichi/en#/http%3A%2F%2Fid.who.int%2Ficd%2Fentity%2F1044971374","browser")</x:f>
      </x:c>
      <x:c r="L5763" s="0">
        <x:f>hyperlink("https://icat2.azurewebsites.net/icat/?ontology=ICD&amp;tab=ClassesTab&amp;id=http%3A%2F%2Fwho.int%2Ficd%2313275_4869915e_217e_423d_acb3_33c0f920ef4b","iCat")</x:f>
      </x:c>
      <x:c r="M5763" s="0" t="s">
        <x:v>21</x:v>
      </x:c>
      <x:c r="N5763" s="0" t="s">
        <x:v>46</x:v>
      </x:c>
    </x:row>
    <x:row r="5764" spans="1:16">
      <x:c r="A5764" s="0" t="s">
        <x:v>22908</x:v>
      </x:c>
      <x:c r="B5764" s="0" t="s">
        <x:v>22909</x:v>
      </x:c>
      <x:c r="C5764" s="0" t="s">
        <x:v>22910</x:v>
      </x:c>
      <x:c r="E5764" s="0" t="s">
        <x:v>22911</x:v>
      </x:c>
      <x:c r="F5764" s="0" t="s">
        <x:v>45</x:v>
      </x:c>
      <x:c r="G5764" s="0" t="s">
        <x:v>19</x:v>
      </x:c>
      <x:c r="H5764" s="0" t="s">
        <x:v>20</x:v>
      </x:c>
      <x:c r="I5764" s="0" t="s">
        <x:v>21</x:v>
      </x:c>
      <x:c r="K5764" s="0">
        <x:f>hyperlink("https://icd.who.int/dev11/l-ichi/en#/http%3A%2F%2Fid.who.int%2Ficd%2Fentity%2F1737400477","browser")</x:f>
      </x:c>
      <x:c r="L5764" s="0">
        <x:f>hyperlink("https://icat2.azurewebsites.net/icat/?ontology=ICD&amp;tab=ClassesTab&amp;id=http%3A%2F%2Fwho.int%2Ficd%2332692_512ebf36_bf6b_4d70_85da_cf2637062af4","iCat")</x:f>
      </x:c>
      <x:c r="M5764" s="0" t="s">
        <x:v>21</x:v>
      </x:c>
      <x:c r="N5764" s="0" t="s">
        <x:v>46</x:v>
      </x:c>
    </x:row>
    <x:row r="5765" spans="1:16">
      <x:c r="A5765" s="0" t="s">
        <x:v>22912</x:v>
      </x:c>
      <x:c r="B5765" s="0" t="s">
        <x:v>22913</x:v>
      </x:c>
      <x:c r="C5765" s="0" t="s">
        <x:v>22914</x:v>
      </x:c>
      <x:c r="E5765" s="0" t="s">
        <x:v>22915</x:v>
      </x:c>
      <x:c r="F5765" s="0" t="s">
        <x:v>45</x:v>
      </x:c>
      <x:c r="G5765" s="0" t="s">
        <x:v>19</x:v>
      </x:c>
      <x:c r="H5765" s="0" t="s">
        <x:v>20</x:v>
      </x:c>
      <x:c r="I5765" s="0" t="s">
        <x:v>21</x:v>
      </x:c>
      <x:c r="K5765" s="0">
        <x:f>hyperlink("https://icd.who.int/dev11/l-ichi/en#/http%3A%2F%2Fid.who.int%2Ficd%2Fentity%2F43628374","browser")</x:f>
      </x:c>
      <x:c r="L5765" s="0">
        <x:f>hyperlink("https://icat2.azurewebsites.net/icat/?ontology=ICD&amp;tab=ClassesTab&amp;id=http%3A%2F%2Fwho.int%2Ficd%2332700_512ebf36_bf6b_4d70_85da_cf2637062af4","iCat")</x:f>
      </x:c>
      <x:c r="M5765" s="0" t="s">
        <x:v>21</x:v>
      </x:c>
      <x:c r="N5765" s="0" t="s">
        <x:v>46</x:v>
      </x:c>
    </x:row>
    <x:row r="5766" spans="1:16">
      <x:c r="A5766" s="0" t="s">
        <x:v>22916</x:v>
      </x:c>
      <x:c r="B5766" s="0" t="s">
        <x:v>22917</x:v>
      </x:c>
      <x:c r="C5766" s="0" t="s">
        <x:v>22918</x:v>
      </x:c>
      <x:c r="E5766" s="0" t="s">
        <x:v>22919</x:v>
      </x:c>
      <x:c r="F5766" s="0" t="s">
        <x:v>45</x:v>
      </x:c>
      <x:c r="G5766" s="0" t="s">
        <x:v>19</x:v>
      </x:c>
      <x:c r="H5766" s="0" t="s">
        <x:v>20</x:v>
      </x:c>
      <x:c r="I5766" s="0" t="s">
        <x:v>21</x:v>
      </x:c>
      <x:c r="K5766" s="0">
        <x:f>hyperlink("https://icd.who.int/dev11/l-ichi/en#/http%3A%2F%2Fid.who.int%2Ficd%2Fentity%2F1914379483","browser")</x:f>
      </x:c>
      <x:c r="L5766" s="0">
        <x:f>hyperlink("https://icat2.azurewebsites.net/icat/?ontology=ICD&amp;tab=ClassesTab&amp;id=http%3A%2F%2Fwho.int%2Ficd%2332707_512ebf36_bf6b_4d70_85da_cf2637062af4","iCat")</x:f>
      </x:c>
      <x:c r="M5766" s="0" t="s">
        <x:v>21</x:v>
      </x:c>
      <x:c r="N5766" s="0" t="s">
        <x:v>46</x:v>
      </x:c>
    </x:row>
    <x:row r="5767" spans="1:16">
      <x:c r="A5767" s="0" t="s">
        <x:v>22920</x:v>
      </x:c>
      <x:c r="B5767" s="0" t="s">
        <x:v>22921</x:v>
      </x:c>
      <x:c r="D5767" s="0" t="s">
        <x:v>22922</x:v>
      </x:c>
      <x:c r="E5767" s="0" t="s">
        <x:v>22923</x:v>
      </x:c>
      <x:c r="F5767" s="0" t="s">
        <x:v>26</x:v>
      </x:c>
      <x:c r="G5767" s="0" t="s">
        <x:v>22</x:v>
      </x:c>
      <x:c r="H5767" s="0" t="s">
        <x:v>20</x:v>
      </x:c>
      <x:c r="I5767" s="0" t="s">
        <x:v>21</x:v>
      </x:c>
      <x:c r="K5767" s="0">
        <x:f>hyperlink("https://icd.who.int/dev11/l-ichi/en#/http%3A%2F%2Fid.who.int%2Ficd%2Fentity%2F1566303861","browser")</x:f>
      </x:c>
      <x:c r="L5767" s="0">
        <x:f>hyperlink("https://icat2.azurewebsites.net/icat/?ontology=ICD&amp;tab=ClassesTab&amp;id=http%3A%2F%2Fwho.int%2Ficd%2332714_512ebf36_bf6b_4d70_85da_cf2637062af4","iCat")</x:f>
      </x:c>
      <x:c r="M5767" s="0" t="s">
        <x:v>20</x:v>
      </x:c>
      <x:c r="N5767" s="0" t="s">
        <x:v>21063</x:v>
      </x:c>
    </x:row>
    <x:row r="5768" spans="1:16">
      <x:c r="A5768" s="0" t="s">
        <x:v>22924</x:v>
      </x:c>
      <x:c r="B5768" s="0" t="s">
        <x:v>22925</x:v>
      </x:c>
      <x:c r="C5768" s="0" t="s">
        <x:v>22926</x:v>
      </x:c>
      <x:c r="E5768" s="0" t="s">
        <x:v>22927</x:v>
      </x:c>
      <x:c r="F5768" s="0" t="s">
        <x:v>45</x:v>
      </x:c>
      <x:c r="G5768" s="0" t="s">
        <x:v>19</x:v>
      </x:c>
      <x:c r="H5768" s="0" t="s">
        <x:v>20</x:v>
      </x:c>
      <x:c r="I5768" s="0" t="s">
        <x:v>21</x:v>
      </x:c>
      <x:c r="K5768" s="0">
        <x:f>hyperlink("https://icd.who.int/dev11/l-ichi/en#/http%3A%2F%2Fid.who.int%2Ficd%2Fentity%2F769215994","browser")</x:f>
      </x:c>
      <x:c r="L5768" s="0">
        <x:f>hyperlink("https://icat2.azurewebsites.net/icat/?ontology=ICD&amp;tab=ClassesTab&amp;id=http%3A%2F%2Fwho.int%2Ficd%2332713_512ebf36_bf6b_4d70_85da_cf2637062af4","iCat")</x:f>
      </x:c>
      <x:c r="M5768" s="0" t="s">
        <x:v>21</x:v>
      </x:c>
      <x:c r="N5768" s="0" t="s">
        <x:v>46</x:v>
      </x:c>
    </x:row>
    <x:row r="5769" spans="1:16">
      <x:c r="A5769" s="0" t="s">
        <x:v>22928</x:v>
      </x:c>
      <x:c r="B5769" s="0" t="s">
        <x:v>22929</x:v>
      </x:c>
      <x:c r="C5769" s="0" t="s">
        <x:v>22930</x:v>
      </x:c>
      <x:c r="E5769" s="0" t="s">
        <x:v>22931</x:v>
      </x:c>
      <x:c r="F5769" s="0" t="s">
        <x:v>45</x:v>
      </x:c>
      <x:c r="G5769" s="0" t="s">
        <x:v>19</x:v>
      </x:c>
      <x:c r="H5769" s="0" t="s">
        <x:v>20</x:v>
      </x:c>
      <x:c r="I5769" s="0" t="s">
        <x:v>21</x:v>
      </x:c>
      <x:c r="K5769" s="0">
        <x:f>hyperlink("https://icd.who.int/dev11/l-ichi/en#/http%3A%2F%2Fid.who.int%2Ficd%2Fentity%2F1718358867","browser")</x:f>
      </x:c>
      <x:c r="L5769" s="0">
        <x:f>hyperlink("https://icat2.azurewebsites.net/icat/?ontology=ICD&amp;tab=ClassesTab&amp;id=http%3A%2F%2Fwho.int%2Ficd%2332728_512ebf36_bf6b_4d70_85da_cf2637062af4","iCat")</x:f>
      </x:c>
      <x:c r="M5769" s="0" t="s">
        <x:v>21</x:v>
      </x:c>
      <x:c r="N5769" s="0" t="s">
        <x:v>46</x:v>
      </x:c>
    </x:row>
    <x:row r="5770" spans="1:16">
      <x:c r="A5770" s="0" t="s">
        <x:v>22932</x:v>
      </x:c>
      <x:c r="B5770" s="0" t="s">
        <x:v>22933</x:v>
      </x:c>
      <x:c r="C5770" s="0" t="s">
        <x:v>22934</x:v>
      </x:c>
      <x:c r="E5770" s="0" t="s">
        <x:v>22935</x:v>
      </x:c>
      <x:c r="F5770" s="0" t="s">
        <x:v>45</x:v>
      </x:c>
      <x:c r="G5770" s="0" t="s">
        <x:v>19</x:v>
      </x:c>
      <x:c r="H5770" s="0" t="s">
        <x:v>20</x:v>
      </x:c>
      <x:c r="I5770" s="0" t="s">
        <x:v>21</x:v>
      </x:c>
      <x:c r="K5770" s="0">
        <x:f>hyperlink("https://icd.who.int/dev11/l-ichi/en#/http%3A%2F%2Fid.who.int%2Ficd%2Fentity%2F1473659161","browser")</x:f>
      </x:c>
      <x:c r="L5770" s="0">
        <x:f>hyperlink("https://icat2.azurewebsites.net/icat/?ontology=ICD&amp;tab=ClassesTab&amp;id=http%3A%2F%2Fwho.int%2Ficd%2332735_512ebf36_bf6b_4d70_85da_cf2637062af4","iCat")</x:f>
      </x:c>
      <x:c r="M5770" s="0" t="s">
        <x:v>21</x:v>
      </x:c>
      <x:c r="N5770" s="0" t="s">
        <x:v>46</x:v>
      </x:c>
    </x:row>
    <x:row r="5771" spans="1:16">
      <x:c r="A5771" s="0" t="s">
        <x:v>22936</x:v>
      </x:c>
      <x:c r="B5771" s="0" t="s">
        <x:v>22937</x:v>
      </x:c>
      <x:c r="C5771" s="0" t="s">
        <x:v>22938</x:v>
      </x:c>
      <x:c r="E5771" s="0" t="s">
        <x:v>22939</x:v>
      </x:c>
      <x:c r="F5771" s="0" t="s">
        <x:v>45</x:v>
      </x:c>
      <x:c r="G5771" s="0" t="s">
        <x:v>19</x:v>
      </x:c>
      <x:c r="H5771" s="0" t="s">
        <x:v>20</x:v>
      </x:c>
      <x:c r="I5771" s="0" t="s">
        <x:v>21</x:v>
      </x:c>
      <x:c r="K5771" s="0">
        <x:f>hyperlink("https://icd.who.int/dev11/l-ichi/en#/http%3A%2F%2Fid.who.int%2Ficd%2Fentity%2F394459534","browser")</x:f>
      </x:c>
      <x:c r="L5771" s="0">
        <x:f>hyperlink("https://icat2.azurewebsites.net/icat/?ontology=ICD&amp;tab=ClassesTab&amp;id=http%3A%2F%2Fwho.int%2Ficd%2332742_512ebf36_bf6b_4d70_85da_cf2637062af4","iCat")</x:f>
      </x:c>
      <x:c r="M5771" s="0" t="s">
        <x:v>21</x:v>
      </x:c>
      <x:c r="N5771" s="0" t="s">
        <x:v>46</x:v>
      </x:c>
    </x:row>
    <x:row r="5772" spans="1:16">
      <x:c r="A5772" s="0" t="s">
        <x:v>22940</x:v>
      </x:c>
      <x:c r="B5772" s="0" t="s">
        <x:v>22941</x:v>
      </x:c>
      <x:c r="C5772" s="0" t="s">
        <x:v>22942</x:v>
      </x:c>
      <x:c r="E5772" s="0" t="s">
        <x:v>22943</x:v>
      </x:c>
      <x:c r="F5772" s="0" t="s">
        <x:v>45</x:v>
      </x:c>
      <x:c r="G5772" s="0" t="s">
        <x:v>19</x:v>
      </x:c>
      <x:c r="H5772" s="0" t="s">
        <x:v>20</x:v>
      </x:c>
      <x:c r="I5772" s="0" t="s">
        <x:v>21</x:v>
      </x:c>
      <x:c r="K5772" s="0">
        <x:f>hyperlink("https://icd.who.int/dev11/l-ichi/en#/http%3A%2F%2Fid.who.int%2Ficd%2Fentity%2F758953322","browser")</x:f>
      </x:c>
      <x:c r="L5772" s="0">
        <x:f>hyperlink("https://icat2.azurewebsites.net/icat/?ontology=ICD&amp;tab=ClassesTab&amp;id=http%3A%2F%2Fwho.int%2Ficd%2332754_512ebf36_bf6b_4d70_85da_cf2637062af4","iCat")</x:f>
      </x:c>
      <x:c r="M5772" s="0" t="s">
        <x:v>21</x:v>
      </x:c>
      <x:c r="N5772" s="0" t="s">
        <x:v>46</x:v>
      </x:c>
    </x:row>
    <x:row r="5773" spans="1:16">
      <x:c r="A5773" s="0" t="s">
        <x:v>22944</x:v>
      </x:c>
      <x:c r="B5773" s="0" t="s">
        <x:v>22945</x:v>
      </x:c>
      <x:c r="C5773" s="0" t="s">
        <x:v>22946</x:v>
      </x:c>
      <x:c r="E5773" s="0" t="s">
        <x:v>22947</x:v>
      </x:c>
      <x:c r="F5773" s="0" t="s">
        <x:v>45</x:v>
      </x:c>
      <x:c r="G5773" s="0" t="s">
        <x:v>19</x:v>
      </x:c>
      <x:c r="H5773" s="0" t="s">
        <x:v>20</x:v>
      </x:c>
      <x:c r="I5773" s="0" t="s">
        <x:v>21</x:v>
      </x:c>
      <x:c r="K5773" s="0">
        <x:f>hyperlink("https://icd.who.int/dev11/l-ichi/en#/http%3A%2F%2Fid.who.int%2Ficd%2Fentity%2F2020819751","browser")</x:f>
      </x:c>
      <x:c r="L5773" s="0">
        <x:f>hyperlink("https://icat2.azurewebsites.net/icat/?ontology=ICD&amp;tab=ClassesTab&amp;id=http%3A%2F%2Fwho.int%2Ficd%2332761_512ebf36_bf6b_4d70_85da_cf2637062af4","iCat")</x:f>
      </x:c>
      <x:c r="M5773" s="0" t="s">
        <x:v>21</x:v>
      </x:c>
      <x:c r="N5773" s="0" t="s">
        <x:v>46</x:v>
      </x:c>
    </x:row>
    <x:row r="5774" spans="1:16">
      <x:c r="A5774" s="0" t="s">
        <x:v>22948</x:v>
      </x:c>
      <x:c r="B5774" s="0" t="s">
        <x:v>22949</x:v>
      </x:c>
      <x:c r="C5774" s="0" t="s">
        <x:v>22950</x:v>
      </x:c>
      <x:c r="E5774" s="0" t="s">
        <x:v>22951</x:v>
      </x:c>
      <x:c r="F5774" s="0" t="s">
        <x:v>45</x:v>
      </x:c>
      <x:c r="G5774" s="0" t="s">
        <x:v>19</x:v>
      </x:c>
      <x:c r="H5774" s="0" t="s">
        <x:v>20</x:v>
      </x:c>
      <x:c r="I5774" s="0" t="s">
        <x:v>21</x:v>
      </x:c>
      <x:c r="K5774" s="0">
        <x:f>hyperlink("https://icd.who.int/dev11/l-ichi/en#/http%3A%2F%2Fid.who.int%2Ficd%2Fentity%2F671652504","browser")</x:f>
      </x:c>
      <x:c r="L5774" s="0">
        <x:f>hyperlink("https://icat2.azurewebsites.net/icat/?ontology=ICD&amp;tab=ClassesTab&amp;id=http%3A%2F%2Fwho.int%2Ficd%2332767_512ebf36_bf6b_4d70_85da_cf2637062af4","iCat")</x:f>
      </x:c>
      <x:c r="M5774" s="0" t="s">
        <x:v>21</x:v>
      </x:c>
      <x:c r="N5774" s="0" t="s">
        <x:v>46</x:v>
      </x:c>
    </x:row>
    <x:row r="5775" spans="1:16">
      <x:c r="A5775" s="0" t="s">
        <x:v>22952</x:v>
      </x:c>
      <x:c r="B5775" s="0" t="s">
        <x:v>22953</x:v>
      </x:c>
      <x:c r="C5775" s="0" t="s">
        <x:v>22954</x:v>
      </x:c>
      <x:c r="E5775" s="0" t="s">
        <x:v>22955</x:v>
      </x:c>
      <x:c r="F5775" s="0" t="s">
        <x:v>45</x:v>
      </x:c>
      <x:c r="G5775" s="0" t="s">
        <x:v>19</x:v>
      </x:c>
      <x:c r="H5775" s="0" t="s">
        <x:v>20</x:v>
      </x:c>
      <x:c r="I5775" s="0" t="s">
        <x:v>21</x:v>
      </x:c>
      <x:c r="K5775" s="0">
        <x:f>hyperlink("https://icd.who.int/dev11/l-ichi/en#/http%3A%2F%2Fid.who.int%2Ficd%2Fentity%2F2009779125","browser")</x:f>
      </x:c>
      <x:c r="L5775" s="0">
        <x:f>hyperlink("https://icat2.azurewebsites.net/icat/?ontology=ICD&amp;tab=ClassesTab&amp;id=http%3A%2F%2Fwho.int%2Ficd%2332773_512ebf36_bf6b_4d70_85da_cf2637062af4","iCat")</x:f>
      </x:c>
      <x:c r="M5775" s="0" t="s">
        <x:v>21</x:v>
      </x:c>
      <x:c r="N5775" s="0" t="s">
        <x:v>46</x:v>
      </x:c>
    </x:row>
    <x:row r="5776" spans="1:16">
      <x:c r="A5776" s="0" t="s">
        <x:v>22956</x:v>
      </x:c>
      <x:c r="B5776" s="0" t="s">
        <x:v>22957</x:v>
      </x:c>
      <x:c r="C5776" s="0" t="s">
        <x:v>22958</x:v>
      </x:c>
      <x:c r="E5776" s="0" t="s">
        <x:v>22959</x:v>
      </x:c>
      <x:c r="F5776" s="0" t="s">
        <x:v>45</x:v>
      </x:c>
      <x:c r="G5776" s="0" t="s">
        <x:v>19</x:v>
      </x:c>
      <x:c r="H5776" s="0" t="s">
        <x:v>20</x:v>
      </x:c>
      <x:c r="I5776" s="0" t="s">
        <x:v>21</x:v>
      </x:c>
      <x:c r="K5776" s="0">
        <x:f>hyperlink("https://icd.who.int/dev11/l-ichi/en#/http%3A%2F%2Fid.who.int%2Ficd%2Fentity%2F497610388","browser")</x:f>
      </x:c>
      <x:c r="L5776" s="0">
        <x:f>hyperlink("https://icat2.azurewebsites.net/icat/?ontology=ICD&amp;tab=ClassesTab&amp;id=http%3A%2F%2Fwho.int%2Ficd%2332780_512ebf36_bf6b_4d70_85da_cf2637062af4","iCat")</x:f>
      </x:c>
      <x:c r="M5776" s="0" t="s">
        <x:v>21</x:v>
      </x:c>
      <x:c r="N5776" s="0" t="s">
        <x:v>46</x:v>
      </x:c>
    </x:row>
    <x:row r="5777" spans="1:16">
      <x:c r="A5777" s="0" t="s">
        <x:v>22960</x:v>
      </x:c>
      <x:c r="B5777" s="0" t="s">
        <x:v>22961</x:v>
      </x:c>
      <x:c r="C5777" s="0" t="s">
        <x:v>22962</x:v>
      </x:c>
      <x:c r="E5777" s="0" t="s">
        <x:v>22963</x:v>
      </x:c>
      <x:c r="F5777" s="0" t="s">
        <x:v>45</x:v>
      </x:c>
      <x:c r="G5777" s="0" t="s">
        <x:v>19</x:v>
      </x:c>
      <x:c r="H5777" s="0" t="s">
        <x:v>20</x:v>
      </x:c>
      <x:c r="I5777" s="0" t="s">
        <x:v>21</x:v>
      </x:c>
      <x:c r="K5777" s="0">
        <x:f>hyperlink("https://icd.who.int/dev11/l-ichi/en#/http%3A%2F%2Fid.who.int%2Ficd%2Fentity%2F616790986","browser")</x:f>
      </x:c>
      <x:c r="L5777" s="0">
        <x:f>hyperlink("https://icat2.azurewebsites.net/icat/?ontology=ICD&amp;tab=ClassesTab&amp;id=http%3A%2F%2Fwho.int%2Ficd%2313311_4869915e_217e_423d_acb3_33c0f920ef4b","iCat")</x:f>
      </x:c>
      <x:c r="M5777" s="0" t="s">
        <x:v>21</x:v>
      </x:c>
      <x:c r="N5777" s="0" t="s">
        <x:v>46</x:v>
      </x:c>
    </x:row>
    <x:row r="5778" spans="1:16">
      <x:c r="A5778" s="0" t="s">
        <x:v>22964</x:v>
      </x:c>
      <x:c r="B5778" s="0" t="s">
        <x:v>22965</x:v>
      </x:c>
      <x:c r="C5778" s="0" t="s">
        <x:v>22966</x:v>
      </x:c>
      <x:c r="E5778" s="0" t="s">
        <x:v>22967</x:v>
      </x:c>
      <x:c r="F5778" s="0" t="s">
        <x:v>45</x:v>
      </x:c>
      <x:c r="G5778" s="0" t="s">
        <x:v>19</x:v>
      </x:c>
      <x:c r="H5778" s="0" t="s">
        <x:v>20</x:v>
      </x:c>
      <x:c r="I5778" s="0" t="s">
        <x:v>21</x:v>
      </x:c>
      <x:c r="K5778" s="0">
        <x:f>hyperlink("https://icd.who.int/dev11/l-ichi/en#/http%3A%2F%2Fid.who.int%2Ficd%2Fentity%2F1395236807","browser")</x:f>
      </x:c>
      <x:c r="L5778" s="0">
        <x:f>hyperlink("https://icat2.azurewebsites.net/icat/?ontology=ICD&amp;tab=ClassesTab&amp;id=http%3A%2F%2Fwho.int%2Ficd%2332788_512ebf36_bf6b_4d70_85da_cf2637062af4","iCat")</x:f>
      </x:c>
      <x:c r="M5778" s="0" t="s">
        <x:v>21</x:v>
      </x:c>
      <x:c r="N5778" s="0" t="s">
        <x:v>46</x:v>
      </x:c>
    </x:row>
    <x:row r="5779" spans="1:16">
      <x:c r="A5779" s="0" t="s">
        <x:v>22968</x:v>
      </x:c>
      <x:c r="B5779" s="0" t="s">
        <x:v>22969</x:v>
      </x:c>
      <x:c r="C5779" s="0" t="s">
        <x:v>22970</x:v>
      </x:c>
      <x:c r="E5779" s="0" t="s">
        <x:v>22971</x:v>
      </x:c>
      <x:c r="F5779" s="0" t="s">
        <x:v>45</x:v>
      </x:c>
      <x:c r="G5779" s="0" t="s">
        <x:v>19</x:v>
      </x:c>
      <x:c r="H5779" s="0" t="s">
        <x:v>20</x:v>
      </x:c>
      <x:c r="I5779" s="0" t="s">
        <x:v>21</x:v>
      </x:c>
      <x:c r="K5779" s="0">
        <x:f>hyperlink("https://icd.who.int/dev11/l-ichi/en#/http%3A%2F%2Fid.who.int%2Ficd%2Fentity%2F1114292145","browser")</x:f>
      </x:c>
      <x:c r="L5779" s="0">
        <x:f>hyperlink("https://icat2.azurewebsites.net/icat/?ontology=ICD&amp;tab=ClassesTab&amp;id=http%3A%2F%2Fwho.int%2Ficd%2332794_512ebf36_bf6b_4d70_85da_cf2637062af4","iCat")</x:f>
      </x:c>
      <x:c r="M5779" s="0" t="s">
        <x:v>21</x:v>
      </x:c>
      <x:c r="N5779" s="0" t="s">
        <x:v>46</x:v>
      </x:c>
    </x:row>
    <x:row r="5780" spans="1:16">
      <x:c r="A5780" s="0" t="s">
        <x:v>22972</x:v>
      </x:c>
      <x:c r="B5780" s="0" t="s">
        <x:v>22973</x:v>
      </x:c>
      <x:c r="C5780" s="0" t="s">
        <x:v>22974</x:v>
      </x:c>
      <x:c r="E5780" s="0" t="s">
        <x:v>22975</x:v>
      </x:c>
      <x:c r="F5780" s="0" t="s">
        <x:v>45</x:v>
      </x:c>
      <x:c r="G5780" s="0" t="s">
        <x:v>19</x:v>
      </x:c>
      <x:c r="H5780" s="0" t="s">
        <x:v>20</x:v>
      </x:c>
      <x:c r="I5780" s="0" t="s">
        <x:v>21</x:v>
      </x:c>
      <x:c r="K5780" s="0">
        <x:f>hyperlink("https://icd.who.int/dev11/l-ichi/en#/http%3A%2F%2Fid.who.int%2Ficd%2Fentity%2F1412257132","browser")</x:f>
      </x:c>
      <x:c r="L5780" s="0">
        <x:f>hyperlink("https://icat2.azurewebsites.net/icat/?ontology=ICD&amp;tab=ClassesTab&amp;id=http%3A%2F%2Fwho.int%2Ficd%2332801_512ebf36_bf6b_4d70_85da_cf2637062af4","iCat")</x:f>
      </x:c>
      <x:c r="M5780" s="0" t="s">
        <x:v>21</x:v>
      </x:c>
      <x:c r="N5780" s="0" t="s">
        <x:v>46</x:v>
      </x:c>
    </x:row>
    <x:row r="5781" spans="1:16">
      <x:c r="A5781" s="0" t="s">
        <x:v>22976</x:v>
      </x:c>
      <x:c r="B5781" s="0" t="s">
        <x:v>22977</x:v>
      </x:c>
      <x:c r="C5781" s="0" t="s">
        <x:v>22978</x:v>
      </x:c>
      <x:c r="E5781" s="0" t="s">
        <x:v>22979</x:v>
      </x:c>
      <x:c r="F5781" s="0" t="s">
        <x:v>45</x:v>
      </x:c>
      <x:c r="G5781" s="0" t="s">
        <x:v>19</x:v>
      </x:c>
      <x:c r="H5781" s="0" t="s">
        <x:v>20</x:v>
      </x:c>
      <x:c r="I5781" s="0" t="s">
        <x:v>21</x:v>
      </x:c>
      <x:c r="K5781" s="0">
        <x:f>hyperlink("https://icd.who.int/dev11/l-ichi/en#/http%3A%2F%2Fid.who.int%2Ficd%2Fentity%2F447489081","browser")</x:f>
      </x:c>
      <x:c r="L5781" s="0">
        <x:f>hyperlink("https://icat2.azurewebsites.net/icat/?ontology=ICD&amp;tab=ClassesTab&amp;id=http%3A%2F%2Fwho.int%2Ficd%2332809_512ebf36_bf6b_4d70_85da_cf2637062af4","iCat")</x:f>
      </x:c>
      <x:c r="M5781" s="0" t="s">
        <x:v>21</x:v>
      </x:c>
      <x:c r="N5781" s="0" t="s">
        <x:v>46</x:v>
      </x:c>
    </x:row>
    <x:row r="5782" spans="1:16">
      <x:c r="A5782" s="0" t="s">
        <x:v>22980</x:v>
      </x:c>
      <x:c r="B5782" s="0" t="s">
        <x:v>22981</x:v>
      </x:c>
      <x:c r="C5782" s="0" t="s">
        <x:v>22982</x:v>
      </x:c>
      <x:c r="E5782" s="0" t="s">
        <x:v>22983</x:v>
      </x:c>
      <x:c r="F5782" s="0" t="s">
        <x:v>45</x:v>
      </x:c>
      <x:c r="G5782" s="0" t="s">
        <x:v>19</x:v>
      </x:c>
      <x:c r="H5782" s="0" t="s">
        <x:v>20</x:v>
      </x:c>
      <x:c r="I5782" s="0" t="s">
        <x:v>21</x:v>
      </x:c>
      <x:c r="K5782" s="0">
        <x:f>hyperlink("https://icd.who.int/dev11/l-ichi/en#/http%3A%2F%2Fid.who.int%2Ficd%2Fentity%2F1351664468","browser")</x:f>
      </x:c>
      <x:c r="L5782" s="0">
        <x:f>hyperlink("https://icat2.azurewebsites.net/icat/?ontology=ICD&amp;tab=ClassesTab&amp;id=http%3A%2F%2Fwho.int%2Ficd%2332818_512ebf36_bf6b_4d70_85da_cf2637062af4","iCat")</x:f>
      </x:c>
      <x:c r="M5782" s="0" t="s">
        <x:v>21</x:v>
      </x:c>
      <x:c r="N5782" s="0" t="s">
        <x:v>46</x:v>
      </x:c>
    </x:row>
    <x:row r="5783" spans="1:16">
      <x:c r="A5783" s="0" t="s">
        <x:v>22984</x:v>
      </x:c>
      <x:c r="B5783" s="0" t="s">
        <x:v>22985</x:v>
      </x:c>
      <x:c r="C5783" s="0" t="s">
        <x:v>22986</x:v>
      </x:c>
      <x:c r="E5783" s="0" t="s">
        <x:v>22987</x:v>
      </x:c>
      <x:c r="F5783" s="0" t="s">
        <x:v>45</x:v>
      </x:c>
      <x:c r="G5783" s="0" t="s">
        <x:v>19</x:v>
      </x:c>
      <x:c r="H5783" s="0" t="s">
        <x:v>20</x:v>
      </x:c>
      <x:c r="I5783" s="0" t="s">
        <x:v>21</x:v>
      </x:c>
      <x:c r="K5783" s="0">
        <x:f>hyperlink("https://icd.who.int/dev11/l-ichi/en#/http%3A%2F%2Fid.who.int%2Ficd%2Fentity%2F270631765","browser")</x:f>
      </x:c>
      <x:c r="L5783" s="0">
        <x:f>hyperlink("https://icat2.azurewebsites.net/icat/?ontology=ICD&amp;tab=ClassesTab&amp;id=http%3A%2F%2Fwho.int%2Ficd%2332828_512ebf36_bf6b_4d70_85da_cf2637062af4","iCat")</x:f>
      </x:c>
      <x:c r="M5783" s="0" t="s">
        <x:v>21</x:v>
      </x:c>
      <x:c r="N5783" s="0" t="s">
        <x:v>46</x:v>
      </x:c>
    </x:row>
    <x:row r="5784" spans="1:16">
      <x:c r="A5784" s="0" t="s">
        <x:v>22988</x:v>
      </x:c>
      <x:c r="B5784" s="0" t="s">
        <x:v>22989</x:v>
      </x:c>
      <x:c r="C5784" s="0" t="s">
        <x:v>22990</x:v>
      </x:c>
      <x:c r="E5784" s="0" t="s">
        <x:v>22991</x:v>
      </x:c>
      <x:c r="F5784" s="0" t="s">
        <x:v>45</x:v>
      </x:c>
      <x:c r="G5784" s="0" t="s">
        <x:v>19</x:v>
      </x:c>
      <x:c r="H5784" s="0" t="s">
        <x:v>20</x:v>
      </x:c>
      <x:c r="I5784" s="0" t="s">
        <x:v>21</x:v>
      </x:c>
      <x:c r="K5784" s="0">
        <x:f>hyperlink("https://icd.who.int/dev11/l-ichi/en#/http%3A%2F%2Fid.who.int%2Ficd%2Fentity%2F608831089","browser")</x:f>
      </x:c>
      <x:c r="L5784" s="0">
        <x:f>hyperlink("https://icat2.azurewebsites.net/icat/?ontology=ICD&amp;tab=ClassesTab&amp;id=http%3A%2F%2Fwho.int%2Ficd%2332841_512ebf36_bf6b_4d70_85da_cf2637062af4","iCat")</x:f>
      </x:c>
      <x:c r="M5784" s="0" t="s">
        <x:v>21</x:v>
      </x:c>
      <x:c r="N5784" s="0" t="s">
        <x:v>46</x:v>
      </x:c>
    </x:row>
    <x:row r="5785" spans="1:16">
      <x:c r="A5785" s="0" t="s">
        <x:v>22992</x:v>
      </x:c>
      <x:c r="B5785" s="0" t="s">
        <x:v>22993</x:v>
      </x:c>
      <x:c r="C5785" s="0" t="s">
        <x:v>22994</x:v>
      </x:c>
      <x:c r="E5785" s="0" t="s">
        <x:v>22995</x:v>
      </x:c>
      <x:c r="F5785" s="0" t="s">
        <x:v>45</x:v>
      </x:c>
      <x:c r="G5785" s="0" t="s">
        <x:v>19</x:v>
      </x:c>
      <x:c r="H5785" s="0" t="s">
        <x:v>20</x:v>
      </x:c>
      <x:c r="I5785" s="0" t="s">
        <x:v>21</x:v>
      </x:c>
      <x:c r="K5785" s="0">
        <x:f>hyperlink("https://icd.who.int/dev11/l-ichi/en#/http%3A%2F%2Fid.who.int%2Ficd%2Fentity%2F1949425602","browser")</x:f>
      </x:c>
      <x:c r="L5785" s="0">
        <x:f>hyperlink("https://icat2.azurewebsites.net/icat/?ontology=ICD&amp;tab=ClassesTab&amp;id=http%3A%2F%2Fwho.int%2Ficd%2332847_512ebf36_bf6b_4d70_85da_cf2637062af4","iCat")</x:f>
      </x:c>
      <x:c r="M5785" s="0" t="s">
        <x:v>21</x:v>
      </x:c>
      <x:c r="N5785" s="0" t="s">
        <x:v>46</x:v>
      </x:c>
    </x:row>
    <x:row r="5786" spans="1:16">
      <x:c r="A5786" s="0" t="s">
        <x:v>22996</x:v>
      </x:c>
      <x:c r="B5786" s="0" t="s">
        <x:v>22997</x:v>
      </x:c>
      <x:c r="C5786" s="0" t="s">
        <x:v>22998</x:v>
      </x:c>
      <x:c r="E5786" s="0" t="s">
        <x:v>22999</x:v>
      </x:c>
      <x:c r="F5786" s="0" t="s">
        <x:v>45</x:v>
      </x:c>
      <x:c r="G5786" s="0" t="s">
        <x:v>19</x:v>
      </x:c>
      <x:c r="H5786" s="0" t="s">
        <x:v>20</x:v>
      </x:c>
      <x:c r="I5786" s="0" t="s">
        <x:v>21</x:v>
      </x:c>
      <x:c r="K5786" s="0">
        <x:f>hyperlink("https://icd.who.int/dev11/l-ichi/en#/http%3A%2F%2Fid.who.int%2Ficd%2Fentity%2F737382115","browser")</x:f>
      </x:c>
      <x:c r="L5786" s="0">
        <x:f>hyperlink("https://icat2.azurewebsites.net/icat/?ontology=ICD&amp;tab=ClassesTab&amp;id=http%3A%2F%2Fwho.int%2Ficd%2332853_512ebf36_bf6b_4d70_85da_cf2637062af4","iCat")</x:f>
      </x:c>
      <x:c r="M5786" s="0" t="s">
        <x:v>21</x:v>
      </x:c>
      <x:c r="N5786" s="0" t="s">
        <x:v>46</x:v>
      </x:c>
    </x:row>
    <x:row r="5787" spans="1:16">
      <x:c r="A5787" s="0" t="s">
        <x:v>23000</x:v>
      </x:c>
      <x:c r="B5787" s="0" t="s">
        <x:v>23001</x:v>
      </x:c>
      <x:c r="C5787" s="0" t="s">
        <x:v>23002</x:v>
      </x:c>
      <x:c r="E5787" s="0" t="s">
        <x:v>23003</x:v>
      </x:c>
      <x:c r="F5787" s="0" t="s">
        <x:v>45</x:v>
      </x:c>
      <x:c r="G5787" s="0" t="s">
        <x:v>19</x:v>
      </x:c>
      <x:c r="H5787" s="0" t="s">
        <x:v>20</x:v>
      </x:c>
      <x:c r="I5787" s="0" t="s">
        <x:v>21</x:v>
      </x:c>
      <x:c r="K5787" s="0">
        <x:f>hyperlink("https://icd.who.int/dev11/l-ichi/en#/http%3A%2F%2Fid.who.int%2Ficd%2Fentity%2F1140995146","browser")</x:f>
      </x:c>
      <x:c r="L5787" s="0">
        <x:f>hyperlink("https://icat2.azurewebsites.net/icat/?ontology=ICD&amp;tab=ClassesTab&amp;id=http%3A%2F%2Fwho.int%2Ficd%2332870_512ebf36_bf6b_4d70_85da_cf2637062af4","iCat")</x:f>
      </x:c>
      <x:c r="M5787" s="0" t="s">
        <x:v>21</x:v>
      </x:c>
      <x:c r="N5787" s="0" t="s">
        <x:v>46</x:v>
      </x:c>
    </x:row>
    <x:row r="5788" spans="1:16">
      <x:c r="A5788" s="0" t="s">
        <x:v>23004</x:v>
      </x:c>
      <x:c r="B5788" s="0" t="s">
        <x:v>23005</x:v>
      </x:c>
      <x:c r="C5788" s="0" t="s">
        <x:v>23006</x:v>
      </x:c>
      <x:c r="E5788" s="0" t="s">
        <x:v>23007</x:v>
      </x:c>
      <x:c r="F5788" s="0" t="s">
        <x:v>45</x:v>
      </x:c>
      <x:c r="G5788" s="0" t="s">
        <x:v>19</x:v>
      </x:c>
      <x:c r="H5788" s="0" t="s">
        <x:v>20</x:v>
      </x:c>
      <x:c r="I5788" s="0" t="s">
        <x:v>21</x:v>
      </x:c>
      <x:c r="K5788" s="0">
        <x:f>hyperlink("https://icd.who.int/dev11/l-ichi/en#/http%3A%2F%2Fid.who.int%2Ficd%2Fentity%2F880844743","browser")</x:f>
      </x:c>
      <x:c r="L5788" s="0">
        <x:f>hyperlink("https://icat2.azurewebsites.net/icat/?ontology=ICD&amp;tab=ClassesTab&amp;id=http%3A%2F%2Fwho.int%2Ficd%2332877_512ebf36_bf6b_4d70_85da_cf2637062af4","iCat")</x:f>
      </x:c>
      <x:c r="M5788" s="0" t="s">
        <x:v>21</x:v>
      </x:c>
      <x:c r="N5788" s="0" t="s">
        <x:v>46</x:v>
      </x:c>
    </x:row>
    <x:row r="5789" spans="1:16">
      <x:c r="A5789" s="0" t="s">
        <x:v>23008</x:v>
      </x:c>
      <x:c r="B5789" s="0" t="s">
        <x:v>23009</x:v>
      </x:c>
      <x:c r="C5789" s="0" t="s">
        <x:v>23010</x:v>
      </x:c>
      <x:c r="E5789" s="0" t="s">
        <x:v>23011</x:v>
      </x:c>
      <x:c r="F5789" s="0" t="s">
        <x:v>45</x:v>
      </x:c>
      <x:c r="G5789" s="0" t="s">
        <x:v>19</x:v>
      </x:c>
      <x:c r="H5789" s="0" t="s">
        <x:v>20</x:v>
      </x:c>
      <x:c r="I5789" s="0" t="s">
        <x:v>21</x:v>
      </x:c>
      <x:c r="K5789" s="0">
        <x:f>hyperlink("https://icd.who.int/dev11/l-ichi/en#/http%3A%2F%2Fid.who.int%2Ficd%2Fentity%2F627314625","browser")</x:f>
      </x:c>
      <x:c r="L5789" s="0">
        <x:f>hyperlink("https://icat2.azurewebsites.net/icat/?ontology=ICD&amp;tab=ClassesTab&amp;id=http%3A%2F%2Fwho.int%2Ficd%2332888_512ebf36_bf6b_4d70_85da_cf2637062af4","iCat")</x:f>
      </x:c>
      <x:c r="M5789" s="0" t="s">
        <x:v>21</x:v>
      </x:c>
      <x:c r="N5789" s="0" t="s">
        <x:v>46</x:v>
      </x:c>
    </x:row>
    <x:row r="5790" spans="1:16">
      <x:c r="A5790" s="0" t="s">
        <x:v>23012</x:v>
      </x:c>
      <x:c r="B5790" s="0" t="s">
        <x:v>23013</x:v>
      </x:c>
      <x:c r="C5790" s="0" t="s">
        <x:v>23014</x:v>
      </x:c>
      <x:c r="E5790" s="0" t="s">
        <x:v>23015</x:v>
      </x:c>
      <x:c r="F5790" s="0" t="s">
        <x:v>45</x:v>
      </x:c>
      <x:c r="G5790" s="0" t="s">
        <x:v>19</x:v>
      </x:c>
      <x:c r="H5790" s="0" t="s">
        <x:v>20</x:v>
      </x:c>
      <x:c r="I5790" s="0" t="s">
        <x:v>21</x:v>
      </x:c>
      <x:c r="K5790" s="0">
        <x:f>hyperlink("https://icd.who.int/dev11/l-ichi/en#/http%3A%2F%2Fid.who.int%2Ficd%2Fentity%2F350117259","browser")</x:f>
      </x:c>
      <x:c r="L5790" s="0">
        <x:f>hyperlink("https://icat2.azurewebsites.net/icat/?ontology=ICD&amp;tab=ClassesTab&amp;id=http%3A%2F%2Fwho.int%2Ficd%2332895_512ebf36_bf6b_4d70_85da_cf2637062af4","iCat")</x:f>
      </x:c>
      <x:c r="M5790" s="0" t="s">
        <x:v>21</x:v>
      </x:c>
      <x:c r="N5790" s="0" t="s">
        <x:v>46</x:v>
      </x:c>
    </x:row>
    <x:row r="5791" spans="1:16">
      <x:c r="A5791" s="0" t="s">
        <x:v>23016</x:v>
      </x:c>
      <x:c r="B5791" s="0" t="s">
        <x:v>23017</x:v>
      </x:c>
      <x:c r="C5791" s="0" t="s">
        <x:v>23018</x:v>
      </x:c>
      <x:c r="E5791" s="0" t="s">
        <x:v>23019</x:v>
      </x:c>
      <x:c r="F5791" s="0" t="s">
        <x:v>45</x:v>
      </x:c>
      <x:c r="G5791" s="0" t="s">
        <x:v>19</x:v>
      </x:c>
      <x:c r="H5791" s="0" t="s">
        <x:v>20</x:v>
      </x:c>
      <x:c r="I5791" s="0" t="s">
        <x:v>21</x:v>
      </x:c>
      <x:c r="K5791" s="0">
        <x:f>hyperlink("https://icd.who.int/dev11/l-ichi/en#/http%3A%2F%2Fid.who.int%2Ficd%2Fentity%2F1681390602","browser")</x:f>
      </x:c>
      <x:c r="L5791" s="0">
        <x:f>hyperlink("https://icat2.azurewebsites.net/icat/?ontology=ICD&amp;tab=ClassesTab&amp;id=http%3A%2F%2Fwho.int%2Ficd%2332902_512ebf36_bf6b_4d70_85da_cf2637062af4","iCat")</x:f>
      </x:c>
      <x:c r="M5791" s="0" t="s">
        <x:v>21</x:v>
      </x:c>
      <x:c r="N5791" s="0" t="s">
        <x:v>46</x:v>
      </x:c>
    </x:row>
    <x:row r="5792" spans="1:16">
      <x:c r="A5792" s="0" t="s">
        <x:v>23020</x:v>
      </x:c>
      <x:c r="B5792" s="0" t="s">
        <x:v>23021</x:v>
      </x:c>
      <x:c r="C5792" s="0" t="s">
        <x:v>23022</x:v>
      </x:c>
      <x:c r="E5792" s="0" t="s">
        <x:v>23023</x:v>
      </x:c>
      <x:c r="F5792" s="0" t="s">
        <x:v>45</x:v>
      </x:c>
      <x:c r="G5792" s="0" t="s">
        <x:v>19</x:v>
      </x:c>
      <x:c r="H5792" s="0" t="s">
        <x:v>20</x:v>
      </x:c>
      <x:c r="I5792" s="0" t="s">
        <x:v>21</x:v>
      </x:c>
      <x:c r="K5792" s="0">
        <x:f>hyperlink("https://icd.who.int/dev11/l-ichi/en#/http%3A%2F%2Fid.who.int%2Ficd%2Fentity%2F1266091686","browser")</x:f>
      </x:c>
      <x:c r="L5792" s="0">
        <x:f>hyperlink("https://icat2.azurewebsites.net/icat/?ontology=ICD&amp;tab=ClassesTab&amp;id=http%3A%2F%2Fwho.int%2Ficd%2332911_512ebf36_bf6b_4d70_85da_cf2637062af4","iCat")</x:f>
      </x:c>
      <x:c r="M5792" s="0" t="s">
        <x:v>21</x:v>
      </x:c>
      <x:c r="N5792" s="0" t="s">
        <x:v>46</x:v>
      </x:c>
    </x:row>
    <x:row r="5793" spans="1:16">
      <x:c r="A5793" s="0" t="s">
        <x:v>23024</x:v>
      </x:c>
      <x:c r="B5793" s="0" t="s">
        <x:v>23025</x:v>
      </x:c>
      <x:c r="C5793" s="0" t="s">
        <x:v>23026</x:v>
      </x:c>
      <x:c r="E5793" s="0" t="s">
        <x:v>23027</x:v>
      </x:c>
      <x:c r="F5793" s="0" t="s">
        <x:v>45</x:v>
      </x:c>
      <x:c r="G5793" s="0" t="s">
        <x:v>19</x:v>
      </x:c>
      <x:c r="H5793" s="0" t="s">
        <x:v>20</x:v>
      </x:c>
      <x:c r="I5793" s="0" t="s">
        <x:v>21</x:v>
      </x:c>
      <x:c r="K5793" s="0">
        <x:f>hyperlink("https://icd.who.int/dev11/l-ichi/en#/http%3A%2F%2Fid.who.int%2Ficd%2Fentity%2F453828375","browser")</x:f>
      </x:c>
      <x:c r="L5793" s="0">
        <x:f>hyperlink("https://icat2.azurewebsites.net/icat/?ontology=ICD&amp;tab=ClassesTab&amp;id=http%3A%2F%2Fwho.int%2Ficd%2332917_512ebf36_bf6b_4d70_85da_cf2637062af4","iCat")</x:f>
      </x:c>
      <x:c r="M5793" s="0" t="s">
        <x:v>21</x:v>
      </x:c>
      <x:c r="N5793" s="0" t="s">
        <x:v>46</x:v>
      </x:c>
    </x:row>
    <x:row r="5794" spans="1:16">
      <x:c r="A5794" s="0" t="s">
        <x:v>23028</x:v>
      </x:c>
      <x:c r="B5794" s="0" t="s">
        <x:v>23029</x:v>
      </x:c>
      <x:c r="C5794" s="0" t="s">
        <x:v>23030</x:v>
      </x:c>
      <x:c r="E5794" s="0" t="s">
        <x:v>23031</x:v>
      </x:c>
      <x:c r="F5794" s="0" t="s">
        <x:v>45</x:v>
      </x:c>
      <x:c r="G5794" s="0" t="s">
        <x:v>19</x:v>
      </x:c>
      <x:c r="H5794" s="0" t="s">
        <x:v>20</x:v>
      </x:c>
      <x:c r="I5794" s="0" t="s">
        <x:v>21</x:v>
      </x:c>
      <x:c r="K5794" s="0">
        <x:f>hyperlink("https://icd.who.int/dev11/l-ichi/en#/http%3A%2F%2Fid.who.int%2Ficd%2Fentity%2F507048169","browser")</x:f>
      </x:c>
      <x:c r="L5794" s="0">
        <x:f>hyperlink("https://icat2.azurewebsites.net/icat/?ontology=ICD&amp;tab=ClassesTab&amp;id=http%3A%2F%2Fwho.int%2Ficd%2332924_512ebf36_bf6b_4d70_85da_cf2637062af4","iCat")</x:f>
      </x:c>
      <x:c r="M5794" s="0" t="s">
        <x:v>21</x:v>
      </x:c>
      <x:c r="N5794" s="0" t="s">
        <x:v>46</x:v>
      </x:c>
    </x:row>
    <x:row r="5795" spans="1:16">
      <x:c r="A5795" s="0" t="s">
        <x:v>23032</x:v>
      </x:c>
      <x:c r="B5795" s="0" t="s">
        <x:v>23033</x:v>
      </x:c>
      <x:c r="C5795" s="0" t="s">
        <x:v>23034</x:v>
      </x:c>
      <x:c r="E5795" s="0" t="s">
        <x:v>23035</x:v>
      </x:c>
      <x:c r="F5795" s="0" t="s">
        <x:v>45</x:v>
      </x:c>
      <x:c r="G5795" s="0" t="s">
        <x:v>19</x:v>
      </x:c>
      <x:c r="H5795" s="0" t="s">
        <x:v>20</x:v>
      </x:c>
      <x:c r="I5795" s="0" t="s">
        <x:v>21</x:v>
      </x:c>
      <x:c r="K5795" s="0">
        <x:f>hyperlink("https://icd.who.int/dev11/l-ichi/en#/http%3A%2F%2Fid.who.int%2Ficd%2Fentity%2F1962763712","browser")</x:f>
      </x:c>
      <x:c r="L5795" s="0">
        <x:f>hyperlink("https://icat2.azurewebsites.net/icat/?ontology=ICD&amp;tab=ClassesTab&amp;id=http%3A%2F%2Fwho.int%2Ficd%2332934_512ebf36_bf6b_4d70_85da_cf2637062af4","iCat")</x:f>
      </x:c>
      <x:c r="M5795" s="0" t="s">
        <x:v>21</x:v>
      </x:c>
      <x:c r="N5795" s="0" t="s">
        <x:v>46</x:v>
      </x:c>
    </x:row>
    <x:row r="5796" spans="1:16">
      <x:c r="A5796" s="0" t="s">
        <x:v>23036</x:v>
      </x:c>
      <x:c r="B5796" s="0" t="s">
        <x:v>23037</x:v>
      </x:c>
      <x:c r="C5796" s="0" t="s">
        <x:v>23038</x:v>
      </x:c>
      <x:c r="E5796" s="0" t="s">
        <x:v>23039</x:v>
      </x:c>
      <x:c r="F5796" s="0" t="s">
        <x:v>45</x:v>
      </x:c>
      <x:c r="G5796" s="0" t="s">
        <x:v>19</x:v>
      </x:c>
      <x:c r="H5796" s="0" t="s">
        <x:v>20</x:v>
      </x:c>
      <x:c r="I5796" s="0" t="s">
        <x:v>21</x:v>
      </x:c>
      <x:c r="K5796" s="0">
        <x:f>hyperlink("https://icd.who.int/dev11/l-ichi/en#/http%3A%2F%2Fid.who.int%2Ficd%2Fentity%2F883547433","browser")</x:f>
      </x:c>
      <x:c r="L5796" s="0">
        <x:f>hyperlink("https://icat2.azurewebsites.net/icat/?ontology=ICD&amp;tab=ClassesTab&amp;id=http%3A%2F%2Fwho.int%2Ficd%2332943_512ebf36_bf6b_4d70_85da_cf2637062af4","iCat")</x:f>
      </x:c>
      <x:c r="M5796" s="0" t="s">
        <x:v>21</x:v>
      </x:c>
      <x:c r="N5796" s="0" t="s">
        <x:v>46</x:v>
      </x:c>
    </x:row>
    <x:row r="5797" spans="1:16">
      <x:c r="A5797" s="0" t="s">
        <x:v>23040</x:v>
      </x:c>
      <x:c r="B5797" s="0" t="s">
        <x:v>23041</x:v>
      </x:c>
      <x:c r="C5797" s="0" t="s">
        <x:v>23042</x:v>
      </x:c>
      <x:c r="E5797" s="0" t="s">
        <x:v>23043</x:v>
      </x:c>
      <x:c r="F5797" s="0" t="s">
        <x:v>45</x:v>
      </x:c>
      <x:c r="G5797" s="0" t="s">
        <x:v>19</x:v>
      </x:c>
      <x:c r="H5797" s="0" t="s">
        <x:v>20</x:v>
      </x:c>
      <x:c r="I5797" s="0" t="s">
        <x:v>21</x:v>
      </x:c>
      <x:c r="K5797" s="0">
        <x:f>hyperlink("https://icd.who.int/dev11/l-ichi/en#/http%3A%2F%2Fid.who.int%2Ficd%2Fentity%2F1802210316","browser")</x:f>
      </x:c>
      <x:c r="L5797" s="0">
        <x:f>hyperlink("https://icat2.azurewebsites.net/icat/?ontology=ICD&amp;tab=ClassesTab&amp;id=http%3A%2F%2Fwho.int%2Ficd%2332957_512ebf36_bf6b_4d70_85da_cf2637062af4","iCat")</x:f>
      </x:c>
      <x:c r="M5797" s="0" t="s">
        <x:v>21</x:v>
      </x:c>
      <x:c r="N5797" s="0" t="s">
        <x:v>46</x:v>
      </x:c>
    </x:row>
    <x:row r="5798" spans="1:16">
      <x:c r="A5798" s="0" t="s">
        <x:v>23044</x:v>
      </x:c>
      <x:c r="B5798" s="0" t="s">
        <x:v>23045</x:v>
      </x:c>
      <x:c r="C5798" s="0" t="s">
        <x:v>23046</x:v>
      </x:c>
      <x:c r="E5798" s="0" t="s">
        <x:v>23047</x:v>
      </x:c>
      <x:c r="F5798" s="0" t="s">
        <x:v>45</x:v>
      </x:c>
      <x:c r="G5798" s="0" t="s">
        <x:v>19</x:v>
      </x:c>
      <x:c r="H5798" s="0" t="s">
        <x:v>20</x:v>
      </x:c>
      <x:c r="I5798" s="0" t="s">
        <x:v>21</x:v>
      </x:c>
      <x:c r="K5798" s="0">
        <x:f>hyperlink("https://icd.who.int/dev11/l-ichi/en#/http%3A%2F%2Fid.who.int%2Ficd%2Fentity%2F517802105","browser")</x:f>
      </x:c>
      <x:c r="L5798" s="0">
        <x:f>hyperlink("https://icat2.azurewebsites.net/icat/?ontology=ICD&amp;tab=ClassesTab&amp;id=http%3A%2F%2Fwho.int%2Ficd%2332963_512ebf36_bf6b_4d70_85da_cf2637062af4","iCat")</x:f>
      </x:c>
      <x:c r="M5798" s="0" t="s">
        <x:v>21</x:v>
      </x:c>
      <x:c r="N5798" s="0" t="s">
        <x:v>46</x:v>
      </x:c>
    </x:row>
    <x:row r="5799" spans="1:16">
      <x:c r="A5799" s="0" t="s">
        <x:v>23048</x:v>
      </x:c>
      <x:c r="B5799" s="0" t="s">
        <x:v>23049</x:v>
      </x:c>
      <x:c r="C5799" s="0" t="s">
        <x:v>23050</x:v>
      </x:c>
      <x:c r="E5799" s="0" t="s">
        <x:v>23051</x:v>
      </x:c>
      <x:c r="F5799" s="0" t="s">
        <x:v>45</x:v>
      </x:c>
      <x:c r="G5799" s="0" t="s">
        <x:v>19</x:v>
      </x:c>
      <x:c r="H5799" s="0" t="s">
        <x:v>20</x:v>
      </x:c>
      <x:c r="I5799" s="0" t="s">
        <x:v>21</x:v>
      </x:c>
      <x:c r="K5799" s="0">
        <x:f>hyperlink("https://icd.who.int/dev11/l-ichi/en#/http%3A%2F%2Fid.who.int%2Ficd%2Fentity%2F891315433","browser")</x:f>
      </x:c>
      <x:c r="L5799" s="0">
        <x:f>hyperlink("https://icat2.azurewebsites.net/icat/?ontology=ICD&amp;tab=ClassesTab&amp;id=http%3A%2F%2Fwho.int%2Ficd%2332969_512ebf36_bf6b_4d70_85da_cf2637062af4","iCat")</x:f>
      </x:c>
      <x:c r="M5799" s="0" t="s">
        <x:v>21</x:v>
      </x:c>
      <x:c r="N5799" s="0" t="s">
        <x:v>46</x:v>
      </x:c>
    </x:row>
    <x:row r="5800" spans="1:16">
      <x:c r="A5800" s="0" t="s">
        <x:v>23052</x:v>
      </x:c>
      <x:c r="B5800" s="0" t="s">
        <x:v>23053</x:v>
      </x:c>
      <x:c r="C5800" s="0" t="s">
        <x:v>23054</x:v>
      </x:c>
      <x:c r="E5800" s="0" t="s">
        <x:v>23055</x:v>
      </x:c>
      <x:c r="F5800" s="0" t="s">
        <x:v>45</x:v>
      </x:c>
      <x:c r="G5800" s="0" t="s">
        <x:v>19</x:v>
      </x:c>
      <x:c r="H5800" s="0" t="s">
        <x:v>20</x:v>
      </x:c>
      <x:c r="I5800" s="0" t="s">
        <x:v>21</x:v>
      </x:c>
      <x:c r="K5800" s="0">
        <x:f>hyperlink("https://icd.who.int/dev11/l-ichi/en#/http%3A%2F%2Fid.who.int%2Ficd%2Fentity%2F1608905152","browser")</x:f>
      </x:c>
      <x:c r="L5800" s="0">
        <x:f>hyperlink("https://icat2.azurewebsites.net/icat/?ontology=ICD&amp;tab=ClassesTab&amp;id=http%3A%2F%2Fwho.int%2Ficd%2332979_512ebf36_bf6b_4d70_85da_cf2637062af4","iCat")</x:f>
      </x:c>
      <x:c r="M5800" s="0" t="s">
        <x:v>21</x:v>
      </x:c>
      <x:c r="N5800" s="0" t="s">
        <x:v>46</x:v>
      </x:c>
    </x:row>
    <x:row r="5801" spans="1:16">
      <x:c r="A5801" s="0" t="s">
        <x:v>23056</x:v>
      </x:c>
      <x:c r="B5801" s="0" t="s">
        <x:v>23057</x:v>
      </x:c>
      <x:c r="C5801" s="0" t="s">
        <x:v>23058</x:v>
      </x:c>
      <x:c r="E5801" s="0" t="s">
        <x:v>23059</x:v>
      </x:c>
      <x:c r="F5801" s="0" t="s">
        <x:v>45</x:v>
      </x:c>
      <x:c r="G5801" s="0" t="s">
        <x:v>19</x:v>
      </x:c>
      <x:c r="H5801" s="0" t="s">
        <x:v>20</x:v>
      </x:c>
      <x:c r="I5801" s="0" t="s">
        <x:v>21</x:v>
      </x:c>
      <x:c r="K5801" s="0">
        <x:f>hyperlink("https://icd.who.int/dev11/l-ichi/en#/http%3A%2F%2Fid.who.int%2Ficd%2Fentity%2F193203777","browser")</x:f>
      </x:c>
      <x:c r="L5801" s="0">
        <x:f>hyperlink("https://icat2.azurewebsites.net/icat/?ontology=ICD&amp;tab=ClassesTab&amp;id=http%3A%2F%2Fwho.int%2Ficd%2332985_512ebf36_bf6b_4d70_85da_cf2637062af4","iCat")</x:f>
      </x:c>
      <x:c r="M5801" s="0" t="s">
        <x:v>21</x:v>
      </x:c>
      <x:c r="N5801" s="0" t="s">
        <x:v>46</x:v>
      </x:c>
    </x:row>
    <x:row r="5802" spans="1:16">
      <x:c r="A5802" s="0" t="s">
        <x:v>23060</x:v>
      </x:c>
      <x:c r="B5802" s="0" t="s">
        <x:v>23061</x:v>
      </x:c>
      <x:c r="C5802" s="0" t="s">
        <x:v>23062</x:v>
      </x:c>
      <x:c r="E5802" s="0" t="s">
        <x:v>23063</x:v>
      </x:c>
      <x:c r="F5802" s="0" t="s">
        <x:v>45</x:v>
      </x:c>
      <x:c r="G5802" s="0" t="s">
        <x:v>19</x:v>
      </x:c>
      <x:c r="H5802" s="0" t="s">
        <x:v>20</x:v>
      </x:c>
      <x:c r="I5802" s="0" t="s">
        <x:v>21</x:v>
      </x:c>
      <x:c r="K5802" s="0">
        <x:f>hyperlink("https://icd.who.int/dev11/l-ichi/en#/http%3A%2F%2Fid.who.int%2Ficd%2Fentity%2F298004635","browser")</x:f>
      </x:c>
      <x:c r="L5802" s="0">
        <x:f>hyperlink("https://icat2.azurewebsites.net/icat/?ontology=ICD&amp;tab=ClassesTab&amp;id=http%3A%2F%2Fwho.int%2Ficd%2332992_512ebf36_bf6b_4d70_85da_cf2637062af4","iCat")</x:f>
      </x:c>
      <x:c r="M5802" s="0" t="s">
        <x:v>21</x:v>
      </x:c>
      <x:c r="N5802" s="0" t="s">
        <x:v>46</x:v>
      </x:c>
    </x:row>
    <x:row r="5803" spans="1:16">
      <x:c r="A5803" s="0" t="s">
        <x:v>23064</x:v>
      </x:c>
      <x:c r="B5803" s="0" t="s">
        <x:v>23065</x:v>
      </x:c>
      <x:c r="C5803" s="0" t="s">
        <x:v>23066</x:v>
      </x:c>
      <x:c r="E5803" s="0" t="s">
        <x:v>23067</x:v>
      </x:c>
      <x:c r="F5803" s="0" t="s">
        <x:v>45</x:v>
      </x:c>
      <x:c r="G5803" s="0" t="s">
        <x:v>19</x:v>
      </x:c>
      <x:c r="H5803" s="0" t="s">
        <x:v>20</x:v>
      </x:c>
      <x:c r="I5803" s="0" t="s">
        <x:v>21</x:v>
      </x:c>
      <x:c r="K5803" s="0">
        <x:f>hyperlink("https://icd.who.int/dev11/l-ichi/en#/http%3A%2F%2Fid.who.int%2Ficd%2Fentity%2F449261111","browser")</x:f>
      </x:c>
      <x:c r="L5803" s="0">
        <x:f>hyperlink("https://icat2.azurewebsites.net/icat/?ontology=ICD&amp;tab=ClassesTab&amp;id=http%3A%2F%2Fwho.int%2Ficd%2332999_512ebf36_bf6b_4d70_85da_cf2637062af4","iCat")</x:f>
      </x:c>
      <x:c r="M5803" s="0" t="s">
        <x:v>21</x:v>
      </x:c>
      <x:c r="N5803" s="0" t="s">
        <x:v>46</x:v>
      </x:c>
    </x:row>
    <x:row r="5804" spans="1:16">
      <x:c r="A5804" s="0" t="s">
        <x:v>23068</x:v>
      </x:c>
      <x:c r="B5804" s="0" t="s">
        <x:v>23069</x:v>
      </x:c>
      <x:c r="C5804" s="0" t="s">
        <x:v>23070</x:v>
      </x:c>
      <x:c r="E5804" s="0" t="s">
        <x:v>23071</x:v>
      </x:c>
      <x:c r="F5804" s="0" t="s">
        <x:v>45</x:v>
      </x:c>
      <x:c r="G5804" s="0" t="s">
        <x:v>19</x:v>
      </x:c>
      <x:c r="H5804" s="0" t="s">
        <x:v>20</x:v>
      </x:c>
      <x:c r="I5804" s="0" t="s">
        <x:v>21</x:v>
      </x:c>
      <x:c r="K5804" s="0">
        <x:f>hyperlink("https://icd.who.int/dev11/l-ichi/en#/http%3A%2F%2Fid.who.int%2Ficd%2Fentity%2F841068737","browser")</x:f>
      </x:c>
      <x:c r="L5804" s="0">
        <x:f>hyperlink("https://icat2.azurewebsites.net/icat/?ontology=ICD&amp;tab=ClassesTab&amp;id=http%3A%2F%2Fwho.int%2Ficd%2333005_512ebf36_bf6b_4d70_85da_cf2637062af4","iCat")</x:f>
      </x:c>
      <x:c r="M5804" s="0" t="s">
        <x:v>21</x:v>
      </x:c>
      <x:c r="N5804" s="0" t="s">
        <x:v>46</x:v>
      </x:c>
    </x:row>
    <x:row r="5805" spans="1:16">
      <x:c r="A5805" s="0" t="s">
        <x:v>23072</x:v>
      </x:c>
      <x:c r="B5805" s="0" t="s">
        <x:v>23073</x:v>
      </x:c>
      <x:c r="C5805" s="0" t="s">
        <x:v>23074</x:v>
      </x:c>
      <x:c r="E5805" s="0" t="s">
        <x:v>23075</x:v>
      </x:c>
      <x:c r="F5805" s="0" t="s">
        <x:v>45</x:v>
      </x:c>
      <x:c r="G5805" s="0" t="s">
        <x:v>19</x:v>
      </x:c>
      <x:c r="H5805" s="0" t="s">
        <x:v>20</x:v>
      </x:c>
      <x:c r="I5805" s="0" t="s">
        <x:v>21</x:v>
      </x:c>
      <x:c r="K5805" s="0">
        <x:f>hyperlink("https://icd.who.int/dev11/l-ichi/en#/http%3A%2F%2Fid.who.int%2Ficd%2Fentity%2F1276400076","browser")</x:f>
      </x:c>
      <x:c r="L5805" s="0">
        <x:f>hyperlink("https://icat2.azurewebsites.net/icat/?ontology=ICD&amp;tab=ClassesTab&amp;id=http%3A%2F%2Fwho.int%2Ficd%23316_86621c3c_6ce4_4af0_9b2c_fa87856acf2b","iCat")</x:f>
      </x:c>
      <x:c r="M5805" s="0" t="s">
        <x:v>21</x:v>
      </x:c>
      <x:c r="N5805" s="0" t="s">
        <x:v>46</x:v>
      </x:c>
    </x:row>
    <x:row r="5806" spans="1:16">
      <x:c r="A5806" s="0" t="s">
        <x:v>23076</x:v>
      </x:c>
      <x:c r="B5806" s="0" t="s">
        <x:v>23077</x:v>
      </x:c>
      <x:c r="C5806" s="0" t="s">
        <x:v>23078</x:v>
      </x:c>
      <x:c r="E5806" s="0" t="s">
        <x:v>23079</x:v>
      </x:c>
      <x:c r="F5806" s="0" t="s">
        <x:v>45</x:v>
      </x:c>
      <x:c r="G5806" s="0" t="s">
        <x:v>19</x:v>
      </x:c>
      <x:c r="H5806" s="0" t="s">
        <x:v>20</x:v>
      </x:c>
      <x:c r="I5806" s="0" t="s">
        <x:v>21</x:v>
      </x:c>
      <x:c r="K5806" s="0">
        <x:f>hyperlink("https://icd.who.int/dev11/l-ichi/en#/http%3A%2F%2Fid.who.int%2Ficd%2Fentity%2F1843651044","browser")</x:f>
      </x:c>
      <x:c r="L5806" s="0">
        <x:f>hyperlink("https://icat2.azurewebsites.net/icat/?ontology=ICD&amp;tab=ClassesTab&amp;id=http%3A%2F%2Fwho.int%2Ficd%2333011_512ebf36_bf6b_4d70_85da_cf2637062af4","iCat")</x:f>
      </x:c>
      <x:c r="M5806" s="0" t="s">
        <x:v>21</x:v>
      </x:c>
      <x:c r="N5806" s="0" t="s">
        <x:v>46</x:v>
      </x:c>
    </x:row>
    <x:row r="5807" spans="1:16">
      <x:c r="A5807" s="0" t="s">
        <x:v>23080</x:v>
      </x:c>
      <x:c r="B5807" s="0" t="s">
        <x:v>23081</x:v>
      </x:c>
      <x:c r="C5807" s="0" t="s">
        <x:v>23082</x:v>
      </x:c>
      <x:c r="E5807" s="0" t="s">
        <x:v>23083</x:v>
      </x:c>
      <x:c r="F5807" s="0" t="s">
        <x:v>45</x:v>
      </x:c>
      <x:c r="G5807" s="0" t="s">
        <x:v>19</x:v>
      </x:c>
      <x:c r="H5807" s="0" t="s">
        <x:v>20</x:v>
      </x:c>
      <x:c r="I5807" s="0" t="s">
        <x:v>21</x:v>
      </x:c>
      <x:c r="K5807" s="0">
        <x:f>hyperlink("https://icd.who.int/dev11/l-ichi/en#/http%3A%2F%2Fid.who.int%2Ficd%2Fentity%2F1033386067","browser")</x:f>
      </x:c>
      <x:c r="L5807" s="0">
        <x:f>hyperlink("https://icat2.azurewebsites.net/icat/?ontology=ICD&amp;tab=ClassesTab&amp;id=http%3A%2F%2Fwho.int%2Ficd%2333017_512ebf36_bf6b_4d70_85da_cf2637062af4","iCat")</x:f>
      </x:c>
      <x:c r="M5807" s="0" t="s">
        <x:v>21</x:v>
      </x:c>
      <x:c r="N5807" s="0" t="s">
        <x:v>46</x:v>
      </x:c>
    </x:row>
    <x:row r="5808" spans="1:16">
      <x:c r="A5808" s="0" t="s">
        <x:v>23084</x:v>
      </x:c>
      <x:c r="B5808" s="0" t="s">
        <x:v>23085</x:v>
      </x:c>
      <x:c r="C5808" s="0" t="s">
        <x:v>23086</x:v>
      </x:c>
      <x:c r="E5808" s="0" t="s">
        <x:v>23087</x:v>
      </x:c>
      <x:c r="F5808" s="0" t="s">
        <x:v>45</x:v>
      </x:c>
      <x:c r="G5808" s="0" t="s">
        <x:v>19</x:v>
      </x:c>
      <x:c r="H5808" s="0" t="s">
        <x:v>20</x:v>
      </x:c>
      <x:c r="I5808" s="0" t="s">
        <x:v>21</x:v>
      </x:c>
      <x:c r="K5808" s="0">
        <x:f>hyperlink("https://icd.who.int/dev11/l-ichi/en#/http%3A%2F%2Fid.who.int%2Ficd%2Fentity%2F2010109238","browser")</x:f>
      </x:c>
      <x:c r="L5808" s="0">
        <x:f>hyperlink("https://icat2.azurewebsites.net/icat/?ontology=ICD&amp;tab=ClassesTab&amp;id=http%3A%2F%2Fwho.int%2Ficd%2333196_512ebf36_bf6b_4d70_85da_cf2637062af4","iCat")</x:f>
      </x:c>
      <x:c r="M5808" s="0" t="s">
        <x:v>21</x:v>
      </x:c>
      <x:c r="N5808" s="0" t="s">
        <x:v>46</x:v>
      </x:c>
    </x:row>
    <x:row r="5809" spans="1:16">
      <x:c r="A5809" s="0" t="s">
        <x:v>23088</x:v>
      </x:c>
      <x:c r="B5809" s="0" t="s">
        <x:v>23089</x:v>
      </x:c>
      <x:c r="C5809" s="0" t="s">
        <x:v>23090</x:v>
      </x:c>
      <x:c r="E5809" s="0" t="s">
        <x:v>23091</x:v>
      </x:c>
      <x:c r="F5809" s="0" t="s">
        <x:v>45</x:v>
      </x:c>
      <x:c r="G5809" s="0" t="s">
        <x:v>19</x:v>
      </x:c>
      <x:c r="H5809" s="0" t="s">
        <x:v>20</x:v>
      </x:c>
      <x:c r="I5809" s="0" t="s">
        <x:v>21</x:v>
      </x:c>
      <x:c r="K5809" s="0">
        <x:f>hyperlink("https://icd.who.int/dev11/l-ichi/en#/http%3A%2F%2Fid.who.int%2Ficd%2Fentity%2F950802349","browser")</x:f>
      </x:c>
      <x:c r="L5809" s="0">
        <x:f>hyperlink("https://icat2.azurewebsites.net/icat/?ontology=ICD&amp;tab=ClassesTab&amp;id=http%3A%2F%2Fwho.int%2Ficd%2333024_512ebf36_bf6b_4d70_85da_cf2637062af4","iCat")</x:f>
      </x:c>
      <x:c r="M5809" s="0" t="s">
        <x:v>21</x:v>
      </x:c>
      <x:c r="N5809" s="0" t="s">
        <x:v>46</x:v>
      </x:c>
    </x:row>
    <x:row r="5810" spans="1:16">
      <x:c r="A5810" s="0" t="s">
        <x:v>23092</x:v>
      </x:c>
      <x:c r="B5810" s="0" t="s">
        <x:v>23093</x:v>
      </x:c>
      <x:c r="C5810" s="0" t="s">
        <x:v>23094</x:v>
      </x:c>
      <x:c r="E5810" s="0" t="s">
        <x:v>23095</x:v>
      </x:c>
      <x:c r="F5810" s="0" t="s">
        <x:v>45</x:v>
      </x:c>
      <x:c r="G5810" s="0" t="s">
        <x:v>19</x:v>
      </x:c>
      <x:c r="H5810" s="0" t="s">
        <x:v>20</x:v>
      </x:c>
      <x:c r="I5810" s="0" t="s">
        <x:v>21</x:v>
      </x:c>
      <x:c r="K5810" s="0">
        <x:f>hyperlink("https://icd.who.int/dev11/l-ichi/en#/http%3A%2F%2Fid.who.int%2Ficd%2Fentity%2F34757451","browser")</x:f>
      </x:c>
      <x:c r="L5810" s="0">
        <x:f>hyperlink("https://icat2.azurewebsites.net/icat/?ontology=ICD&amp;tab=ClassesTab&amp;id=http%3A%2F%2Fwho.int%2Ficd%2333032_512ebf36_bf6b_4d70_85da_cf2637062af4","iCat")</x:f>
      </x:c>
      <x:c r="M5810" s="0" t="s">
        <x:v>21</x:v>
      </x:c>
      <x:c r="N5810" s="0" t="s">
        <x:v>46</x:v>
      </x:c>
    </x:row>
    <x:row r="5811" spans="1:16">
      <x:c r="A5811" s="0" t="s">
        <x:v>23096</x:v>
      </x:c>
      <x:c r="B5811" s="0" t="s">
        <x:v>23097</x:v>
      </x:c>
      <x:c r="C5811" s="0" t="s">
        <x:v>23098</x:v>
      </x:c>
      <x:c r="E5811" s="0" t="s">
        <x:v>23099</x:v>
      </x:c>
      <x:c r="F5811" s="0" t="s">
        <x:v>45</x:v>
      </x:c>
      <x:c r="G5811" s="0" t="s">
        <x:v>19</x:v>
      </x:c>
      <x:c r="H5811" s="0" t="s">
        <x:v>20</x:v>
      </x:c>
      <x:c r="I5811" s="0" t="s">
        <x:v>21</x:v>
      </x:c>
      <x:c r="K5811" s="0">
        <x:f>hyperlink("https://icd.who.int/dev11/l-ichi/en#/http%3A%2F%2Fid.who.int%2Ficd%2Fentity%2F1471698324","browser")</x:f>
      </x:c>
      <x:c r="L5811" s="0">
        <x:f>hyperlink("https://icat2.azurewebsites.net/icat/?ontology=ICD&amp;tab=ClassesTab&amp;id=http%3A%2F%2Fwho.int%2Ficd%2333040_512ebf36_bf6b_4d70_85da_cf2637062af4","iCat")</x:f>
      </x:c>
      <x:c r="M5811" s="0" t="s">
        <x:v>21</x:v>
      </x:c>
      <x:c r="N5811" s="0" t="s">
        <x:v>46</x:v>
      </x:c>
    </x:row>
    <x:row r="5812" spans="1:16">
      <x:c r="A5812" s="0" t="s">
        <x:v>23100</x:v>
      </x:c>
      <x:c r="B5812" s="0" t="s">
        <x:v>23101</x:v>
      </x:c>
      <x:c r="C5812" s="0" t="s">
        <x:v>23102</x:v>
      </x:c>
      <x:c r="E5812" s="0" t="s">
        <x:v>23103</x:v>
      </x:c>
      <x:c r="F5812" s="0" t="s">
        <x:v>45</x:v>
      </x:c>
      <x:c r="G5812" s="0" t="s">
        <x:v>19</x:v>
      </x:c>
      <x:c r="H5812" s="0" t="s">
        <x:v>20</x:v>
      </x:c>
      <x:c r="I5812" s="0" t="s">
        <x:v>21</x:v>
      </x:c>
      <x:c r="K5812" s="0">
        <x:f>hyperlink("https://icd.who.int/dev11/l-ichi/en#/http%3A%2F%2Fid.who.int%2Ficd%2Fentity%2F1476517126","browser")</x:f>
      </x:c>
      <x:c r="L5812" s="0">
        <x:f>hyperlink("https://icat2.azurewebsites.net/icat/?ontology=ICD&amp;tab=ClassesTab&amp;id=http%3A%2F%2Fwho.int%2Ficd%2333052_512ebf36_bf6b_4d70_85da_cf2637062af4","iCat")</x:f>
      </x:c>
      <x:c r="M5812" s="0" t="s">
        <x:v>21</x:v>
      </x:c>
      <x:c r="N5812" s="0" t="s">
        <x:v>46</x:v>
      </x:c>
    </x:row>
    <x:row r="5813" spans="1:16">
      <x:c r="A5813" s="0" t="s">
        <x:v>23104</x:v>
      </x:c>
      <x:c r="B5813" s="0" t="s">
        <x:v>23105</x:v>
      </x:c>
      <x:c r="C5813" s="0" t="s">
        <x:v>23106</x:v>
      </x:c>
      <x:c r="E5813" s="0" t="s">
        <x:v>23107</x:v>
      </x:c>
      <x:c r="F5813" s="0" t="s">
        <x:v>45</x:v>
      </x:c>
      <x:c r="G5813" s="0" t="s">
        <x:v>19</x:v>
      </x:c>
      <x:c r="H5813" s="0" t="s">
        <x:v>20</x:v>
      </x:c>
      <x:c r="I5813" s="0" t="s">
        <x:v>21</x:v>
      </x:c>
      <x:c r="K5813" s="0">
        <x:f>hyperlink("https://icd.who.int/dev11/l-ichi/en#/http%3A%2F%2Fid.who.int%2Ficd%2Fentity%2F2110554310","browser")</x:f>
      </x:c>
      <x:c r="L5813" s="0">
        <x:f>hyperlink("https://icat2.azurewebsites.net/icat/?ontology=ICD&amp;tab=ClassesTab&amp;id=http%3A%2F%2Fwho.int%2Ficd%2333060_512ebf36_bf6b_4d70_85da_cf2637062af4","iCat")</x:f>
      </x:c>
      <x:c r="M5813" s="0" t="s">
        <x:v>21</x:v>
      </x:c>
      <x:c r="N5813" s="0" t="s">
        <x:v>46</x:v>
      </x:c>
    </x:row>
    <x:row r="5814" spans="1:16">
      <x:c r="A5814" s="0" t="s">
        <x:v>23108</x:v>
      </x:c>
      <x:c r="B5814" s="0" t="s">
        <x:v>23109</x:v>
      </x:c>
      <x:c r="C5814" s="0" t="s">
        <x:v>23110</x:v>
      </x:c>
      <x:c r="E5814" s="0" t="s">
        <x:v>23111</x:v>
      </x:c>
      <x:c r="F5814" s="0" t="s">
        <x:v>45</x:v>
      </x:c>
      <x:c r="G5814" s="0" t="s">
        <x:v>19</x:v>
      </x:c>
      <x:c r="H5814" s="0" t="s">
        <x:v>20</x:v>
      </x:c>
      <x:c r="I5814" s="0" t="s">
        <x:v>21</x:v>
      </x:c>
      <x:c r="K5814" s="0">
        <x:f>hyperlink("https://icd.who.int/dev11/l-ichi/en#/http%3A%2F%2Fid.who.int%2Ficd%2Fentity%2F860746129","browser")</x:f>
      </x:c>
      <x:c r="L5814" s="0">
        <x:f>hyperlink("https://icat2.azurewebsites.net/icat/?ontology=ICD&amp;tab=ClassesTab&amp;id=http%3A%2F%2Fwho.int%2Ficd%2333068_512ebf36_bf6b_4d70_85da_cf2637062af4","iCat")</x:f>
      </x:c>
      <x:c r="M5814" s="0" t="s">
        <x:v>21</x:v>
      </x:c>
      <x:c r="N5814" s="0" t="s">
        <x:v>46</x:v>
      </x:c>
    </x:row>
    <x:row r="5815" spans="1:16">
      <x:c r="A5815" s="0" t="s">
        <x:v>23112</x:v>
      </x:c>
      <x:c r="B5815" s="0" t="s">
        <x:v>23113</x:v>
      </x:c>
      <x:c r="C5815" s="0" t="s">
        <x:v>23114</x:v>
      </x:c>
      <x:c r="E5815" s="0" t="s">
        <x:v>23115</x:v>
      </x:c>
      <x:c r="F5815" s="0" t="s">
        <x:v>45</x:v>
      </x:c>
      <x:c r="G5815" s="0" t="s">
        <x:v>19</x:v>
      </x:c>
      <x:c r="H5815" s="0" t="s">
        <x:v>20</x:v>
      </x:c>
      <x:c r="I5815" s="0" t="s">
        <x:v>21</x:v>
      </x:c>
      <x:c r="K5815" s="0">
        <x:f>hyperlink("https://icd.who.int/dev11/l-ichi/en#/http%3A%2F%2Fid.who.int%2Ficd%2Fentity%2F571396583","browser")</x:f>
      </x:c>
      <x:c r="L5815" s="0">
        <x:f>hyperlink("https://icat2.azurewebsites.net/icat/?ontology=ICD&amp;tab=ClassesTab&amp;id=http%3A%2F%2Fwho.int%2Ficd%2333074_512ebf36_bf6b_4d70_85da_cf2637062af4","iCat")</x:f>
      </x:c>
      <x:c r="M5815" s="0" t="s">
        <x:v>21</x:v>
      </x:c>
      <x:c r="N5815" s="0" t="s">
        <x:v>46</x:v>
      </x:c>
    </x:row>
    <x:row r="5816" spans="1:16">
      <x:c r="A5816" s="0" t="s">
        <x:v>23116</x:v>
      </x:c>
      <x:c r="B5816" s="0" t="s">
        <x:v>23117</x:v>
      </x:c>
      <x:c r="C5816" s="0" t="s">
        <x:v>23118</x:v>
      </x:c>
      <x:c r="E5816" s="0" t="s">
        <x:v>23119</x:v>
      </x:c>
      <x:c r="F5816" s="0" t="s">
        <x:v>45</x:v>
      </x:c>
      <x:c r="G5816" s="0" t="s">
        <x:v>19</x:v>
      </x:c>
      <x:c r="H5816" s="0" t="s">
        <x:v>20</x:v>
      </x:c>
      <x:c r="I5816" s="0" t="s">
        <x:v>21</x:v>
      </x:c>
      <x:c r="K5816" s="0">
        <x:f>hyperlink("https://icd.who.int/dev11/l-ichi/en#/http%3A%2F%2Fid.who.int%2Ficd%2Fentity%2F404172145","browser")</x:f>
      </x:c>
      <x:c r="L5816" s="0">
        <x:f>hyperlink("https://icat2.azurewebsites.net/icat/?ontology=ICD&amp;tab=ClassesTab&amp;id=http%3A%2F%2Fwho.int%2Ficd%2333081_512ebf36_bf6b_4d70_85da_cf2637062af4","iCat")</x:f>
      </x:c>
      <x:c r="M5816" s="0" t="s">
        <x:v>21</x:v>
      </x:c>
      <x:c r="N5816" s="0" t="s">
        <x:v>46</x:v>
      </x:c>
    </x:row>
    <x:row r="5817" spans="1:16">
      <x:c r="A5817" s="0" t="s">
        <x:v>23120</x:v>
      </x:c>
      <x:c r="B5817" s="0" t="s">
        <x:v>23121</x:v>
      </x:c>
      <x:c r="C5817" s="0" t="s">
        <x:v>23122</x:v>
      </x:c>
      <x:c r="E5817" s="0" t="s">
        <x:v>23123</x:v>
      </x:c>
      <x:c r="F5817" s="0" t="s">
        <x:v>45</x:v>
      </x:c>
      <x:c r="G5817" s="0" t="s">
        <x:v>19</x:v>
      </x:c>
      <x:c r="H5817" s="0" t="s">
        <x:v>20</x:v>
      </x:c>
      <x:c r="I5817" s="0" t="s">
        <x:v>21</x:v>
      </x:c>
      <x:c r="K5817" s="0">
        <x:f>hyperlink("https://icd.who.int/dev11/l-ichi/en#/http%3A%2F%2Fid.who.int%2Ficd%2Fentity%2F1378601500","browser")</x:f>
      </x:c>
      <x:c r="L5817" s="0">
        <x:f>hyperlink("https://icat2.azurewebsites.net/icat/?ontology=ICD&amp;tab=ClassesTab&amp;id=http%3A%2F%2Fwho.int%2Ficd%2333090_512ebf36_bf6b_4d70_85da_cf2637062af4","iCat")</x:f>
      </x:c>
      <x:c r="M5817" s="0" t="s">
        <x:v>21</x:v>
      </x:c>
      <x:c r="N5817" s="0" t="s">
        <x:v>46</x:v>
      </x:c>
    </x:row>
    <x:row r="5818" spans="1:16">
      <x:c r="A5818" s="0" t="s">
        <x:v>23124</x:v>
      </x:c>
      <x:c r="B5818" s="0" t="s">
        <x:v>23125</x:v>
      </x:c>
      <x:c r="C5818" s="0" t="s">
        <x:v>23126</x:v>
      </x:c>
      <x:c r="E5818" s="0" t="s">
        <x:v>23127</x:v>
      </x:c>
      <x:c r="F5818" s="0" t="s">
        <x:v>45</x:v>
      </x:c>
      <x:c r="G5818" s="0" t="s">
        <x:v>19</x:v>
      </x:c>
      <x:c r="H5818" s="0" t="s">
        <x:v>20</x:v>
      </x:c>
      <x:c r="I5818" s="0" t="s">
        <x:v>21</x:v>
      </x:c>
      <x:c r="K5818" s="0">
        <x:f>hyperlink("https://icd.who.int/dev11/l-ichi/en#/http%3A%2F%2Fid.who.int%2Ficd%2Fentity%2F926735825","browser")</x:f>
      </x:c>
      <x:c r="L5818" s="0">
        <x:f>hyperlink("https://icat2.azurewebsites.net/icat/?ontology=ICD&amp;tab=ClassesTab&amp;id=http%3A%2F%2Fwho.int%2Ficd%2333102_512ebf36_bf6b_4d70_85da_cf2637062af4","iCat")</x:f>
      </x:c>
      <x:c r="M5818" s="0" t="s">
        <x:v>21</x:v>
      </x:c>
      <x:c r="N5818" s="0" t="s">
        <x:v>46</x:v>
      </x:c>
    </x:row>
    <x:row r="5819" spans="1:16">
      <x:c r="A5819" s="0" t="s">
        <x:v>23128</x:v>
      </x:c>
      <x:c r="B5819" s="0" t="s">
        <x:v>23129</x:v>
      </x:c>
      <x:c r="C5819" s="0" t="s">
        <x:v>23130</x:v>
      </x:c>
      <x:c r="E5819" s="0" t="s">
        <x:v>23131</x:v>
      </x:c>
      <x:c r="F5819" s="0" t="s">
        <x:v>45</x:v>
      </x:c>
      <x:c r="G5819" s="0" t="s">
        <x:v>19</x:v>
      </x:c>
      <x:c r="H5819" s="0" t="s">
        <x:v>20</x:v>
      </x:c>
      <x:c r="I5819" s="0" t="s">
        <x:v>21</x:v>
      </x:c>
      <x:c r="K5819" s="0">
        <x:f>hyperlink("https://icd.who.int/dev11/l-ichi/en#/http%3A%2F%2Fid.who.int%2Ficd%2Fentity%2F1576618118","browser")</x:f>
      </x:c>
      <x:c r="L5819" s="0">
        <x:f>hyperlink("https://icat2.azurewebsites.net/icat/?ontology=ICD&amp;tab=ClassesTab&amp;id=http%3A%2F%2Fwho.int%2Ficd%2333112_512ebf36_bf6b_4d70_85da_cf2637062af4","iCat")</x:f>
      </x:c>
      <x:c r="M5819" s="0" t="s">
        <x:v>21</x:v>
      </x:c>
      <x:c r="N5819" s="0" t="s">
        <x:v>46</x:v>
      </x:c>
    </x:row>
    <x:row r="5820" spans="1:16">
      <x:c r="A5820" s="0" t="s">
        <x:v>23132</x:v>
      </x:c>
      <x:c r="B5820" s="0" t="s">
        <x:v>23133</x:v>
      </x:c>
      <x:c r="C5820" s="0" t="s">
        <x:v>23134</x:v>
      </x:c>
      <x:c r="E5820" s="0" t="s">
        <x:v>23135</x:v>
      </x:c>
      <x:c r="F5820" s="0" t="s">
        <x:v>45</x:v>
      </x:c>
      <x:c r="G5820" s="0" t="s">
        <x:v>19</x:v>
      </x:c>
      <x:c r="H5820" s="0" t="s">
        <x:v>20</x:v>
      </x:c>
      <x:c r="I5820" s="0" t="s">
        <x:v>21</x:v>
      </x:c>
      <x:c r="K5820" s="0">
        <x:f>hyperlink("https://icd.who.int/dev11/l-ichi/en#/http%3A%2F%2Fid.who.int%2Ficd%2Fentity%2F1489856376","browser")</x:f>
      </x:c>
      <x:c r="L5820" s="0">
        <x:f>hyperlink("https://icat2.azurewebsites.net/icat/?ontology=ICD&amp;tab=ClassesTab&amp;id=http%3A%2F%2Fwho.int%2Ficd%2333121_512ebf36_bf6b_4d70_85da_cf2637062af4","iCat")</x:f>
      </x:c>
      <x:c r="M5820" s="0" t="s">
        <x:v>21</x:v>
      </x:c>
      <x:c r="N5820" s="0" t="s">
        <x:v>46</x:v>
      </x:c>
    </x:row>
    <x:row r="5821" spans="1:16">
      <x:c r="A5821" s="0" t="s">
        <x:v>23136</x:v>
      </x:c>
      <x:c r="B5821" s="0" t="s">
        <x:v>23137</x:v>
      </x:c>
      <x:c r="C5821" s="0" t="s">
        <x:v>23138</x:v>
      </x:c>
      <x:c r="E5821" s="0" t="s">
        <x:v>23139</x:v>
      </x:c>
      <x:c r="F5821" s="0" t="s">
        <x:v>45</x:v>
      </x:c>
      <x:c r="G5821" s="0" t="s">
        <x:v>19</x:v>
      </x:c>
      <x:c r="H5821" s="0" t="s">
        <x:v>20</x:v>
      </x:c>
      <x:c r="I5821" s="0" t="s">
        <x:v>21</x:v>
      </x:c>
      <x:c r="K5821" s="0">
        <x:f>hyperlink("https://icd.who.int/dev11/l-ichi/en#/http%3A%2F%2Fid.who.int%2Ficd%2Fentity%2F146194121","browser")</x:f>
      </x:c>
      <x:c r="L5821" s="0">
        <x:f>hyperlink("https://icat2.azurewebsites.net/icat/?ontology=ICD&amp;tab=ClassesTab&amp;id=http%3A%2F%2Fwho.int%2Ficd%2333127_512ebf36_bf6b_4d70_85da_cf2637062af4","iCat")</x:f>
      </x:c>
      <x:c r="M5821" s="0" t="s">
        <x:v>21</x:v>
      </x:c>
      <x:c r="N5821" s="0" t="s">
        <x:v>46</x:v>
      </x:c>
    </x:row>
    <x:row r="5822" spans="1:16">
      <x:c r="A5822" s="0" t="s">
        <x:v>23140</x:v>
      </x:c>
      <x:c r="B5822" s="0" t="s">
        <x:v>23141</x:v>
      </x:c>
      <x:c r="C5822" s="0" t="s">
        <x:v>23142</x:v>
      </x:c>
      <x:c r="E5822" s="0" t="s">
        <x:v>23143</x:v>
      </x:c>
      <x:c r="F5822" s="0" t="s">
        <x:v>45</x:v>
      </x:c>
      <x:c r="G5822" s="0" t="s">
        <x:v>19</x:v>
      </x:c>
      <x:c r="H5822" s="0" t="s">
        <x:v>20</x:v>
      </x:c>
      <x:c r="I5822" s="0" t="s">
        <x:v>21</x:v>
      </x:c>
      <x:c r="K5822" s="0">
        <x:f>hyperlink("https://icd.who.int/dev11/l-ichi/en#/http%3A%2F%2Fid.who.int%2Ficd%2Fentity%2F670450791","browser")</x:f>
      </x:c>
      <x:c r="L5822" s="0">
        <x:f>hyperlink("https://icat2.azurewebsites.net/icat/?ontology=ICD&amp;tab=ClassesTab&amp;id=http%3A%2F%2Fwho.int%2Ficd%2333134_512ebf36_bf6b_4d70_85da_cf2637062af4","iCat")</x:f>
      </x:c>
      <x:c r="M5822" s="0" t="s">
        <x:v>21</x:v>
      </x:c>
      <x:c r="N5822" s="0" t="s">
        <x:v>46</x:v>
      </x:c>
    </x:row>
    <x:row r="5823" spans="1:16">
      <x:c r="A5823" s="0" t="s">
        <x:v>23144</x:v>
      </x:c>
      <x:c r="B5823" s="0" t="s">
        <x:v>23145</x:v>
      </x:c>
      <x:c r="C5823" s="0" t="s">
        <x:v>23146</x:v>
      </x:c>
      <x:c r="E5823" s="0" t="s">
        <x:v>23147</x:v>
      </x:c>
      <x:c r="F5823" s="0" t="s">
        <x:v>45</x:v>
      </x:c>
      <x:c r="G5823" s="0" t="s">
        <x:v>19</x:v>
      </x:c>
      <x:c r="H5823" s="0" t="s">
        <x:v>20</x:v>
      </x:c>
      <x:c r="I5823" s="0" t="s">
        <x:v>21</x:v>
      </x:c>
      <x:c r="K5823" s="0">
        <x:f>hyperlink("https://icd.who.int/dev11/l-ichi/en#/http%3A%2F%2Fid.who.int%2Ficd%2Fentity%2F573018889","browser")</x:f>
      </x:c>
      <x:c r="L5823" s="0">
        <x:f>hyperlink("https://icat2.azurewebsites.net/icat/?ontology=ICD&amp;tab=ClassesTab&amp;id=http%3A%2F%2Fwho.int%2Ficd%2333140_512ebf36_bf6b_4d70_85da_cf2637062af4","iCat")</x:f>
      </x:c>
      <x:c r="M5823" s="0" t="s">
        <x:v>21</x:v>
      </x:c>
      <x:c r="N5823" s="0" t="s">
        <x:v>46</x:v>
      </x:c>
    </x:row>
    <x:row r="5824" spans="1:16">
      <x:c r="A5824" s="0" t="s">
        <x:v>23148</x:v>
      </x:c>
      <x:c r="B5824" s="0" t="s">
        <x:v>23149</x:v>
      </x:c>
      <x:c r="C5824" s="0" t="s">
        <x:v>23150</x:v>
      </x:c>
      <x:c r="E5824" s="0" t="s">
        <x:v>23151</x:v>
      </x:c>
      <x:c r="F5824" s="0" t="s">
        <x:v>45</x:v>
      </x:c>
      <x:c r="G5824" s="0" t="s">
        <x:v>19</x:v>
      </x:c>
      <x:c r="H5824" s="0" t="s">
        <x:v>20</x:v>
      </x:c>
      <x:c r="I5824" s="0" t="s">
        <x:v>21</x:v>
      </x:c>
      <x:c r="K5824" s="0">
        <x:f>hyperlink("https://icd.who.int/dev11/l-ichi/en#/http%3A%2F%2Fid.who.int%2Ficd%2Fentity%2F1746629732","browser")</x:f>
      </x:c>
      <x:c r="L5824" s="0">
        <x:f>hyperlink("https://icat2.azurewebsites.net/icat/?ontology=ICD&amp;tab=ClassesTab&amp;id=http%3A%2F%2Fwho.int%2Ficd%2333151_512ebf36_bf6b_4d70_85da_cf2637062af4","iCat")</x:f>
      </x:c>
      <x:c r="M5824" s="0" t="s">
        <x:v>21</x:v>
      </x:c>
      <x:c r="N5824" s="0" t="s">
        <x:v>46</x:v>
      </x:c>
    </x:row>
    <x:row r="5825" spans="1:16">
      <x:c r="A5825" s="0" t="s">
        <x:v>23152</x:v>
      </x:c>
      <x:c r="B5825" s="0" t="s">
        <x:v>23153</x:v>
      </x:c>
      <x:c r="C5825" s="0" t="s">
        <x:v>23154</x:v>
      </x:c>
      <x:c r="E5825" s="0" t="s">
        <x:v>23155</x:v>
      </x:c>
      <x:c r="F5825" s="0" t="s">
        <x:v>45</x:v>
      </x:c>
      <x:c r="G5825" s="0" t="s">
        <x:v>19</x:v>
      </x:c>
      <x:c r="H5825" s="0" t="s">
        <x:v>20</x:v>
      </x:c>
      <x:c r="I5825" s="0" t="s">
        <x:v>21</x:v>
      </x:c>
      <x:c r="K5825" s="0">
        <x:f>hyperlink("https://icd.who.int/dev11/l-ichi/en#/http%3A%2F%2Fid.who.int%2Ficd%2Fentity%2F647628087","browser")</x:f>
      </x:c>
      <x:c r="L5825" s="0">
        <x:f>hyperlink("https://icat2.azurewebsites.net/icat/?ontology=ICD&amp;tab=ClassesTab&amp;id=http%3A%2F%2Fwho.int%2Ficd%2333159_512ebf36_bf6b_4d70_85da_cf2637062af4","iCat")</x:f>
      </x:c>
      <x:c r="M5825" s="0" t="s">
        <x:v>21</x:v>
      </x:c>
      <x:c r="N5825" s="0" t="s">
        <x:v>46</x:v>
      </x:c>
    </x:row>
    <x:row r="5826" spans="1:16">
      <x:c r="A5826" s="0" t="s">
        <x:v>23156</x:v>
      </x:c>
      <x:c r="B5826" s="0" t="s">
        <x:v>23157</x:v>
      </x:c>
      <x:c r="C5826" s="0" t="s">
        <x:v>23158</x:v>
      </x:c>
      <x:c r="E5826" s="0" t="s">
        <x:v>23159</x:v>
      </x:c>
      <x:c r="F5826" s="0" t="s">
        <x:v>45</x:v>
      </x:c>
      <x:c r="G5826" s="0" t="s">
        <x:v>19</x:v>
      </x:c>
      <x:c r="H5826" s="0" t="s">
        <x:v>20</x:v>
      </x:c>
      <x:c r="I5826" s="0" t="s">
        <x:v>21</x:v>
      </x:c>
      <x:c r="K5826" s="0">
        <x:f>hyperlink("https://icd.who.int/dev11/l-ichi/en#/http%3A%2F%2Fid.who.int%2Ficd%2Fentity%2F1188181774","browser")</x:f>
      </x:c>
      <x:c r="L5826" s="0">
        <x:f>hyperlink("https://icat2.azurewebsites.net/icat/?ontology=ICD&amp;tab=ClassesTab&amp;id=http%3A%2F%2Fwho.int%2Ficd%2333168_512ebf36_bf6b_4d70_85da_cf2637062af4","iCat")</x:f>
      </x:c>
      <x:c r="M5826" s="0" t="s">
        <x:v>21</x:v>
      </x:c>
      <x:c r="N5826" s="0" t="s">
        <x:v>46</x:v>
      </x:c>
    </x:row>
    <x:row r="5827" spans="1:16">
      <x:c r="A5827" s="0" t="s">
        <x:v>23160</x:v>
      </x:c>
      <x:c r="B5827" s="0" t="s">
        <x:v>23161</x:v>
      </x:c>
      <x:c r="C5827" s="0" t="s">
        <x:v>23162</x:v>
      </x:c>
      <x:c r="E5827" s="0" t="s">
        <x:v>23163</x:v>
      </x:c>
      <x:c r="F5827" s="0" t="s">
        <x:v>45</x:v>
      </x:c>
      <x:c r="G5827" s="0" t="s">
        <x:v>19</x:v>
      </x:c>
      <x:c r="H5827" s="0" t="s">
        <x:v>20</x:v>
      </x:c>
      <x:c r="I5827" s="0" t="s">
        <x:v>21</x:v>
      </x:c>
      <x:c r="K5827" s="0">
        <x:f>hyperlink("https://icd.who.int/dev11/l-ichi/en#/http%3A%2F%2Fid.who.int%2Ficd%2Fentity%2F2003330376","browser")</x:f>
      </x:c>
      <x:c r="L5827" s="0">
        <x:f>hyperlink("https://icat2.azurewebsites.net/icat/?ontology=ICD&amp;tab=ClassesTab&amp;id=http%3A%2F%2Fwho.int%2Ficd%2333175_512ebf36_bf6b_4d70_85da_cf2637062af4","iCat")</x:f>
      </x:c>
      <x:c r="M5827" s="0" t="s">
        <x:v>21</x:v>
      </x:c>
      <x:c r="N5827" s="0" t="s">
        <x:v>46</x:v>
      </x:c>
    </x:row>
    <x:row r="5828" spans="1:16">
      <x:c r="A5828" s="0" t="s">
        <x:v>23164</x:v>
      </x:c>
      <x:c r="B5828" s="0" t="s">
        <x:v>23165</x:v>
      </x:c>
      <x:c r="C5828" s="0" t="s">
        <x:v>23166</x:v>
      </x:c>
      <x:c r="E5828" s="0" t="s">
        <x:v>23167</x:v>
      </x:c>
      <x:c r="F5828" s="0" t="s">
        <x:v>45</x:v>
      </x:c>
      <x:c r="G5828" s="0" t="s">
        <x:v>19</x:v>
      </x:c>
      <x:c r="H5828" s="0" t="s">
        <x:v>20</x:v>
      </x:c>
      <x:c r="I5828" s="0" t="s">
        <x:v>21</x:v>
      </x:c>
      <x:c r="K5828" s="0">
        <x:f>hyperlink("https://icd.who.int/dev11/l-ichi/en#/http%3A%2F%2Fid.who.int%2Ficd%2Fentity%2F1837689836","browser")</x:f>
      </x:c>
      <x:c r="L5828" s="0">
        <x:f>hyperlink("https://icat2.azurewebsites.net/icat/?ontology=ICD&amp;tab=ClassesTab&amp;id=http%3A%2F%2Fwho.int%2Ficd%2333181_512ebf36_bf6b_4d70_85da_cf2637062af4","iCat")</x:f>
      </x:c>
      <x:c r="M5828" s="0" t="s">
        <x:v>21</x:v>
      </x:c>
      <x:c r="N5828" s="0" t="s">
        <x:v>46</x:v>
      </x:c>
    </x:row>
    <x:row r="5829" spans="1:16">
      <x:c r="A5829" s="0" t="s">
        <x:v>23168</x:v>
      </x:c>
      <x:c r="B5829" s="0" t="s">
        <x:v>23169</x:v>
      </x:c>
      <x:c r="C5829" s="0" t="s">
        <x:v>23170</x:v>
      </x:c>
      <x:c r="E5829" s="0" t="s">
        <x:v>23171</x:v>
      </x:c>
      <x:c r="F5829" s="0" t="s">
        <x:v>45</x:v>
      </x:c>
      <x:c r="G5829" s="0" t="s">
        <x:v>19</x:v>
      </x:c>
      <x:c r="H5829" s="0" t="s">
        <x:v>20</x:v>
      </x:c>
      <x:c r="I5829" s="0" t="s">
        <x:v>21</x:v>
      </x:c>
      <x:c r="K5829" s="0">
        <x:f>hyperlink("https://icd.who.int/dev11/l-ichi/en#/http%3A%2F%2Fid.who.int%2Ficd%2Fentity%2F1039348317","browser")</x:f>
      </x:c>
      <x:c r="L5829" s="0">
        <x:f>hyperlink("https://icat2.azurewebsites.net/icat/?ontology=ICD&amp;tab=ClassesTab&amp;id=http%3A%2F%2Fwho.int%2Ficd%2333187_512ebf36_bf6b_4d70_85da_cf2637062af4","iCat")</x:f>
      </x:c>
      <x:c r="M5829" s="0" t="s">
        <x:v>21</x:v>
      </x:c>
      <x:c r="N5829" s="0" t="s">
        <x:v>46</x:v>
      </x:c>
    </x:row>
    <x:row r="5830" spans="1:16">
      <x:c r="A5830" s="0" t="s">
        <x:v>23172</x:v>
      </x:c>
      <x:c r="B5830" s="0" t="s">
        <x:v>23173</x:v>
      </x:c>
      <x:c r="C5830" s="0" t="s">
        <x:v>23174</x:v>
      </x:c>
      <x:c r="E5830" s="0" t="s">
        <x:v>23175</x:v>
      </x:c>
      <x:c r="F5830" s="0" t="s">
        <x:v>45</x:v>
      </x:c>
      <x:c r="G5830" s="0" t="s">
        <x:v>19</x:v>
      </x:c>
      <x:c r="H5830" s="0" t="s">
        <x:v>20</x:v>
      </x:c>
      <x:c r="I5830" s="0" t="s">
        <x:v>21</x:v>
      </x:c>
      <x:c r="K5830" s="0">
        <x:f>hyperlink("https://icd.who.int/dev11/l-ichi/en#/http%3A%2F%2Fid.who.int%2Ficd%2Fentity%2F1449355658","browser")</x:f>
      </x:c>
      <x:c r="L5830" s="0">
        <x:f>hyperlink("https://icat2.azurewebsites.net/icat/?ontology=ICD&amp;tab=ClassesTab&amp;id=http%3A%2F%2Fwho.int%2Ficd%2333202_512ebf36_bf6b_4d70_85da_cf2637062af4","iCat")</x:f>
      </x:c>
      <x:c r="M5830" s="0" t="s">
        <x:v>21</x:v>
      </x:c>
      <x:c r="N5830" s="0" t="s">
        <x:v>46</x:v>
      </x:c>
    </x:row>
    <x:row r="5831" spans="1:16">
      <x:c r="A5831" s="0" t="s">
        <x:v>23176</x:v>
      </x:c>
      <x:c r="B5831" s="0" t="s">
        <x:v>23177</x:v>
      </x:c>
      <x:c r="C5831" s="0" t="s">
        <x:v>23178</x:v>
      </x:c>
      <x:c r="E5831" s="0" t="s">
        <x:v>23179</x:v>
      </x:c>
      <x:c r="F5831" s="0" t="s">
        <x:v>45</x:v>
      </x:c>
      <x:c r="G5831" s="0" t="s">
        <x:v>19</x:v>
      </x:c>
      <x:c r="H5831" s="0" t="s">
        <x:v>20</x:v>
      </x:c>
      <x:c r="I5831" s="0" t="s">
        <x:v>21</x:v>
      </x:c>
      <x:c r="K5831" s="0">
        <x:f>hyperlink("https://icd.who.int/dev11/l-ichi/en#/http%3A%2F%2Fid.who.int%2Ficd%2Fentity%2F2107507994","browser")</x:f>
      </x:c>
      <x:c r="L5831" s="0">
        <x:f>hyperlink("https://icat2.azurewebsites.net/icat/?ontology=ICD&amp;tab=ClassesTab&amp;id=http%3A%2F%2Fwho.int%2Ficd%2333208_512ebf36_bf6b_4d70_85da_cf2637062af4","iCat")</x:f>
      </x:c>
      <x:c r="M5831" s="0" t="s">
        <x:v>21</x:v>
      </x:c>
      <x:c r="N5831" s="0" t="s">
        <x:v>46</x:v>
      </x:c>
    </x:row>
    <x:row r="5832" spans="1:16">
      <x:c r="A5832" s="0" t="s">
        <x:v>23180</x:v>
      </x:c>
      <x:c r="B5832" s="0" t="s">
        <x:v>23181</x:v>
      </x:c>
      <x:c r="C5832" s="0" t="s">
        <x:v>23182</x:v>
      </x:c>
      <x:c r="E5832" s="0" t="s">
        <x:v>23183</x:v>
      </x:c>
      <x:c r="F5832" s="0" t="s">
        <x:v>45</x:v>
      </x:c>
      <x:c r="G5832" s="0" t="s">
        <x:v>19</x:v>
      </x:c>
      <x:c r="H5832" s="0" t="s">
        <x:v>20</x:v>
      </x:c>
      <x:c r="I5832" s="0" t="s">
        <x:v>21</x:v>
      </x:c>
      <x:c r="K5832" s="0">
        <x:f>hyperlink("https://icd.who.int/dev11/l-ichi/en#/http%3A%2F%2Fid.who.int%2Ficd%2Fentity%2F1277450068","browser")</x:f>
      </x:c>
      <x:c r="L5832" s="0">
        <x:f>hyperlink("https://icat2.azurewebsites.net/icat/?ontology=ICD&amp;tab=ClassesTab&amp;id=http%3A%2F%2Fwho.int%2Ficd%2333215_512ebf36_bf6b_4d70_85da_cf2637062af4","iCat")</x:f>
      </x:c>
      <x:c r="M5832" s="0" t="s">
        <x:v>21</x:v>
      </x:c>
      <x:c r="N5832" s="0" t="s">
        <x:v>46</x:v>
      </x:c>
    </x:row>
    <x:row r="5833" spans="1:16">
      <x:c r="A5833" s="0" t="s">
        <x:v>23184</x:v>
      </x:c>
      <x:c r="B5833" s="0" t="s">
        <x:v>23185</x:v>
      </x:c>
      <x:c r="C5833" s="0" t="s">
        <x:v>23186</x:v>
      </x:c>
      <x:c r="E5833" s="0" t="s">
        <x:v>23187</x:v>
      </x:c>
      <x:c r="F5833" s="0" t="s">
        <x:v>45</x:v>
      </x:c>
      <x:c r="G5833" s="0" t="s">
        <x:v>19</x:v>
      </x:c>
      <x:c r="H5833" s="0" t="s">
        <x:v>20</x:v>
      </x:c>
      <x:c r="I5833" s="0" t="s">
        <x:v>21</x:v>
      </x:c>
      <x:c r="K5833" s="0">
        <x:f>hyperlink("https://icd.who.int/dev11/l-ichi/en#/http%3A%2F%2Fid.who.int%2Ficd%2Fentity%2F965923617","browser")</x:f>
      </x:c>
      <x:c r="L5833" s="0">
        <x:f>hyperlink("https://icat2.azurewebsites.net/icat/?ontology=ICD&amp;tab=ClassesTab&amp;id=http%3A%2F%2Fwho.int%2Ficd%2333221_512ebf36_bf6b_4d70_85da_cf2637062af4","iCat")</x:f>
      </x:c>
      <x:c r="M5833" s="0" t="s">
        <x:v>21</x:v>
      </x:c>
      <x:c r="N5833" s="0" t="s">
        <x:v>46</x:v>
      </x:c>
    </x:row>
    <x:row r="5834" spans="1:16">
      <x:c r="A5834" s="0" t="s">
        <x:v>23188</x:v>
      </x:c>
      <x:c r="B5834" s="0" t="s">
        <x:v>23189</x:v>
      </x:c>
      <x:c r="C5834" s="0" t="s">
        <x:v>23190</x:v>
      </x:c>
      <x:c r="E5834" s="0" t="s">
        <x:v>23191</x:v>
      </x:c>
      <x:c r="F5834" s="0" t="s">
        <x:v>45</x:v>
      </x:c>
      <x:c r="G5834" s="0" t="s">
        <x:v>19</x:v>
      </x:c>
      <x:c r="H5834" s="0" t="s">
        <x:v>20</x:v>
      </x:c>
      <x:c r="I5834" s="0" t="s">
        <x:v>21</x:v>
      </x:c>
      <x:c r="K5834" s="0">
        <x:f>hyperlink("https://icd.who.int/dev11/l-ichi/en#/http%3A%2F%2Fid.who.int%2Ficd%2Fentity%2F1776880272","browser")</x:f>
      </x:c>
      <x:c r="L5834" s="0">
        <x:f>hyperlink("https://icat2.azurewebsites.net/icat/?ontology=ICD&amp;tab=ClassesTab&amp;id=http%3A%2F%2Fwho.int%2Ficd%2333227_512ebf36_bf6b_4d70_85da_cf2637062af4","iCat")</x:f>
      </x:c>
      <x:c r="M5834" s="0" t="s">
        <x:v>21</x:v>
      </x:c>
      <x:c r="N5834" s="0" t="s">
        <x:v>46</x:v>
      </x:c>
    </x:row>
    <x:row r="5835" spans="1:16">
      <x:c r="A5835" s="0" t="s">
        <x:v>23192</x:v>
      </x:c>
      <x:c r="B5835" s="0" t="s">
        <x:v>23193</x:v>
      </x:c>
      <x:c r="C5835" s="0" t="s">
        <x:v>23194</x:v>
      </x:c>
      <x:c r="E5835" s="0" t="s">
        <x:v>23195</x:v>
      </x:c>
      <x:c r="F5835" s="0" t="s">
        <x:v>45</x:v>
      </x:c>
      <x:c r="G5835" s="0" t="s">
        <x:v>19</x:v>
      </x:c>
      <x:c r="H5835" s="0" t="s">
        <x:v>20</x:v>
      </x:c>
      <x:c r="I5835" s="0" t="s">
        <x:v>21</x:v>
      </x:c>
      <x:c r="K5835" s="0">
        <x:f>hyperlink("https://icd.who.int/dev11/l-ichi/en#/http%3A%2F%2Fid.who.int%2Ficd%2Fentity%2F1185542208","browser")</x:f>
      </x:c>
      <x:c r="L5835" s="0">
        <x:f>hyperlink("https://icat2.azurewebsites.net/icat/?ontology=ICD&amp;tab=ClassesTab&amp;id=http%3A%2F%2Fwho.int%2Ficd%2333234_512ebf36_bf6b_4d70_85da_cf2637062af4","iCat")</x:f>
      </x:c>
      <x:c r="M5835" s="0" t="s">
        <x:v>21</x:v>
      </x:c>
      <x:c r="N5835" s="0" t="s">
        <x:v>46</x:v>
      </x:c>
    </x:row>
    <x:row r="5836" spans="1:16">
      <x:c r="A5836" s="0" t="s">
        <x:v>23196</x:v>
      </x:c>
      <x:c r="B5836" s="0" t="s">
        <x:v>23197</x:v>
      </x:c>
      <x:c r="C5836" s="0" t="s">
        <x:v>23198</x:v>
      </x:c>
      <x:c r="E5836" s="0" t="s">
        <x:v>23199</x:v>
      </x:c>
      <x:c r="F5836" s="0" t="s">
        <x:v>45</x:v>
      </x:c>
      <x:c r="G5836" s="0" t="s">
        <x:v>19</x:v>
      </x:c>
      <x:c r="H5836" s="0" t="s">
        <x:v>20</x:v>
      </x:c>
      <x:c r="I5836" s="0" t="s">
        <x:v>21</x:v>
      </x:c>
      <x:c r="K5836" s="0">
        <x:f>hyperlink("https://icd.who.int/dev11/l-ichi/en#/http%3A%2F%2Fid.who.int%2Ficd%2Fentity%2F637811349","browser")</x:f>
      </x:c>
      <x:c r="L5836" s="0">
        <x:f>hyperlink("https://icat2.azurewebsites.net/icat/?ontology=ICD&amp;tab=ClassesTab&amp;id=http%3A%2F%2Fwho.int%2Ficd%2333242_512ebf36_bf6b_4d70_85da_cf2637062af4","iCat")</x:f>
      </x:c>
      <x:c r="M5836" s="0" t="s">
        <x:v>21</x:v>
      </x:c>
      <x:c r="N5836" s="0" t="s">
        <x:v>46</x:v>
      </x:c>
    </x:row>
    <x:row r="5837" spans="1:16">
      <x:c r="A5837" s="0" t="s">
        <x:v>23200</x:v>
      </x:c>
      <x:c r="B5837" s="0" t="s">
        <x:v>23201</x:v>
      </x:c>
      <x:c r="C5837" s="0" t="s">
        <x:v>23202</x:v>
      </x:c>
      <x:c r="E5837" s="0" t="s">
        <x:v>23203</x:v>
      </x:c>
      <x:c r="F5837" s="0" t="s">
        <x:v>45</x:v>
      </x:c>
      <x:c r="G5837" s="0" t="s">
        <x:v>19</x:v>
      </x:c>
      <x:c r="H5837" s="0" t="s">
        <x:v>20</x:v>
      </x:c>
      <x:c r="I5837" s="0" t="s">
        <x:v>21</x:v>
      </x:c>
      <x:c r="K5837" s="0">
        <x:f>hyperlink("https://icd.who.int/dev11/l-ichi/en#/http%3A%2F%2Fid.who.int%2Ficd%2Fentity%2F754983993","browser")</x:f>
      </x:c>
      <x:c r="L5837" s="0">
        <x:f>hyperlink("https://icat2.azurewebsites.net/icat/?ontology=ICD&amp;tab=ClassesTab&amp;id=http%3A%2F%2Fwho.int%2Ficd%2333249_512ebf36_bf6b_4d70_85da_cf2637062af4","iCat")</x:f>
      </x:c>
      <x:c r="M5837" s="0" t="s">
        <x:v>21</x:v>
      </x:c>
      <x:c r="N5837" s="0" t="s">
        <x:v>46</x:v>
      </x:c>
    </x:row>
    <x:row r="5838" spans="1:16">
      <x:c r="A5838" s="0" t="s">
        <x:v>23204</x:v>
      </x:c>
      <x:c r="B5838" s="0" t="s">
        <x:v>23205</x:v>
      </x:c>
      <x:c r="C5838" s="0" t="s">
        <x:v>23206</x:v>
      </x:c>
      <x:c r="E5838" s="0" t="s">
        <x:v>23207</x:v>
      </x:c>
      <x:c r="F5838" s="0" t="s">
        <x:v>45</x:v>
      </x:c>
      <x:c r="G5838" s="0" t="s">
        <x:v>19</x:v>
      </x:c>
      <x:c r="H5838" s="0" t="s">
        <x:v>20</x:v>
      </x:c>
      <x:c r="I5838" s="0" t="s">
        <x:v>21</x:v>
      </x:c>
      <x:c r="K5838" s="0">
        <x:f>hyperlink("https://icd.who.int/dev11/l-ichi/en#/http%3A%2F%2Fid.who.int%2Ficd%2Fentity%2F1497307532","browser")</x:f>
      </x:c>
      <x:c r="L5838" s="0">
        <x:f>hyperlink("https://icat2.azurewebsites.net/icat/?ontology=ICD&amp;tab=ClassesTab&amp;id=http%3A%2F%2Fwho.int%2Ficd%2333257_512ebf36_bf6b_4d70_85da_cf2637062af4","iCat")</x:f>
      </x:c>
      <x:c r="M5838" s="0" t="s">
        <x:v>21</x:v>
      </x:c>
      <x:c r="N5838" s="0" t="s">
        <x:v>46</x:v>
      </x:c>
    </x:row>
    <x:row r="5839" spans="1:16">
      <x:c r="A5839" s="0" t="s">
        <x:v>23208</x:v>
      </x:c>
      <x:c r="B5839" s="0" t="s">
        <x:v>23209</x:v>
      </x:c>
      <x:c r="C5839" s="0" t="s">
        <x:v>23210</x:v>
      </x:c>
      <x:c r="E5839" s="0" t="s">
        <x:v>23211</x:v>
      </x:c>
      <x:c r="F5839" s="0" t="s">
        <x:v>45</x:v>
      </x:c>
      <x:c r="G5839" s="0" t="s">
        <x:v>19</x:v>
      </x:c>
      <x:c r="H5839" s="0" t="s">
        <x:v>20</x:v>
      </x:c>
      <x:c r="I5839" s="0" t="s">
        <x:v>21</x:v>
      </x:c>
      <x:c r="K5839" s="0">
        <x:f>hyperlink("https://icd.who.int/dev11/l-ichi/en#/http%3A%2F%2Fid.who.int%2Ficd%2Fentity%2F747216377","browser")</x:f>
      </x:c>
      <x:c r="L5839" s="0">
        <x:f>hyperlink("https://icat2.azurewebsites.net/icat/?ontology=ICD&amp;tab=ClassesTab&amp;id=http%3A%2F%2Fwho.int%2Ficd%2333263_512ebf36_bf6b_4d70_85da_cf2637062af4","iCat")</x:f>
      </x:c>
      <x:c r="M5839" s="0" t="s">
        <x:v>21</x:v>
      </x:c>
      <x:c r="N5839" s="0" t="s">
        <x:v>46</x:v>
      </x:c>
    </x:row>
    <x:row r="5840" spans="1:16">
      <x:c r="A5840" s="0" t="s">
        <x:v>23212</x:v>
      </x:c>
      <x:c r="B5840" s="0" t="s">
        <x:v>23213</x:v>
      </x:c>
      <x:c r="C5840" s="0" t="s">
        <x:v>23214</x:v>
      </x:c>
      <x:c r="E5840" s="0" t="s">
        <x:v>23215</x:v>
      </x:c>
      <x:c r="F5840" s="0" t="s">
        <x:v>45</x:v>
      </x:c>
      <x:c r="G5840" s="0" t="s">
        <x:v>19</x:v>
      </x:c>
      <x:c r="H5840" s="0" t="s">
        <x:v>20</x:v>
      </x:c>
      <x:c r="I5840" s="0" t="s">
        <x:v>21</x:v>
      </x:c>
      <x:c r="K5840" s="0">
        <x:f>hyperlink("https://icd.who.int/dev11/l-ichi/en#/http%3A%2F%2Fid.who.int%2Ficd%2Fentity%2F125104489","browser")</x:f>
      </x:c>
      <x:c r="L5840" s="0">
        <x:f>hyperlink("https://icat2.azurewebsites.net/icat/?ontology=ICD&amp;tab=ClassesTab&amp;id=http%3A%2F%2Fwho.int%2Ficd%2333269_512ebf36_bf6b_4d70_85da_cf2637062af4","iCat")</x:f>
      </x:c>
      <x:c r="M5840" s="0" t="s">
        <x:v>21</x:v>
      </x:c>
      <x:c r="N5840" s="0" t="s">
        <x:v>46</x:v>
      </x:c>
    </x:row>
    <x:row r="5841" spans="1:16">
      <x:c r="A5841" s="0" t="s">
        <x:v>23216</x:v>
      </x:c>
      <x:c r="B5841" s="0" t="s">
        <x:v>23217</x:v>
      </x:c>
      <x:c r="C5841" s="0" t="s">
        <x:v>23218</x:v>
      </x:c>
      <x:c r="E5841" s="0" t="s">
        <x:v>23219</x:v>
      </x:c>
      <x:c r="F5841" s="0" t="s">
        <x:v>45</x:v>
      </x:c>
      <x:c r="G5841" s="0" t="s">
        <x:v>19</x:v>
      </x:c>
      <x:c r="H5841" s="0" t="s">
        <x:v>20</x:v>
      </x:c>
      <x:c r="I5841" s="0" t="s">
        <x:v>21</x:v>
      </x:c>
      <x:c r="K5841" s="0">
        <x:f>hyperlink("https://icd.who.int/dev11/l-ichi/en#/http%3A%2F%2Fid.who.int%2Ficd%2Fentity%2F1404223208","browser")</x:f>
      </x:c>
      <x:c r="L5841" s="0">
        <x:f>hyperlink("https://icat2.azurewebsites.net/icat/?ontology=ICD&amp;tab=ClassesTab&amp;id=http%3A%2F%2Fwho.int%2Ficd%2333276_512ebf36_bf6b_4d70_85da_cf2637062af4","iCat")</x:f>
      </x:c>
      <x:c r="M5841" s="0" t="s">
        <x:v>21</x:v>
      </x:c>
      <x:c r="N5841" s="0" t="s">
        <x:v>46</x:v>
      </x:c>
    </x:row>
    <x:row r="5842" spans="1:16">
      <x:c r="A5842" s="0" t="s">
        <x:v>23220</x:v>
      </x:c>
      <x:c r="B5842" s="0" t="s">
        <x:v>23221</x:v>
      </x:c>
      <x:c r="C5842" s="0" t="s">
        <x:v>23222</x:v>
      </x:c>
      <x:c r="E5842" s="0" t="s">
        <x:v>23223</x:v>
      </x:c>
      <x:c r="F5842" s="0" t="s">
        <x:v>45</x:v>
      </x:c>
      <x:c r="G5842" s="0" t="s">
        <x:v>19</x:v>
      </x:c>
      <x:c r="H5842" s="0" t="s">
        <x:v>20</x:v>
      </x:c>
      <x:c r="I5842" s="0" t="s">
        <x:v>21</x:v>
      </x:c>
      <x:c r="K5842" s="0">
        <x:f>hyperlink("https://icd.who.int/dev11/l-ichi/en#/http%3A%2F%2Fid.who.int%2Ficd%2Fentity%2F422177277","browser")</x:f>
      </x:c>
      <x:c r="L5842" s="0">
        <x:f>hyperlink("https://icat2.azurewebsites.net/icat/?ontology=ICD&amp;tab=ClassesTab&amp;id=http%3A%2F%2Fwho.int%2Ficd%2333284_512ebf36_bf6b_4d70_85da_cf2637062af4","iCat")</x:f>
      </x:c>
      <x:c r="M5842" s="0" t="s">
        <x:v>21</x:v>
      </x:c>
      <x:c r="N5842" s="0" t="s">
        <x:v>46</x:v>
      </x:c>
    </x:row>
    <x:row r="5843" spans="1:16">
      <x:c r="A5843" s="0" t="s">
        <x:v>23224</x:v>
      </x:c>
      <x:c r="B5843" s="0" t="s">
        <x:v>23225</x:v>
      </x:c>
      <x:c r="C5843" s="0" t="s">
        <x:v>23226</x:v>
      </x:c>
      <x:c r="E5843" s="0" t="s">
        <x:v>23227</x:v>
      </x:c>
      <x:c r="F5843" s="0" t="s">
        <x:v>45</x:v>
      </x:c>
      <x:c r="G5843" s="0" t="s">
        <x:v>19</x:v>
      </x:c>
      <x:c r="H5843" s="0" t="s">
        <x:v>20</x:v>
      </x:c>
      <x:c r="I5843" s="0" t="s">
        <x:v>21</x:v>
      </x:c>
      <x:c r="K5843" s="0">
        <x:f>hyperlink("https://icd.who.int/dev11/l-ichi/en#/http%3A%2F%2Fid.who.int%2Ficd%2Fentity%2F1712507620","browser")</x:f>
      </x:c>
      <x:c r="L5843" s="0">
        <x:f>hyperlink("https://icat2.azurewebsites.net/icat/?ontology=ICD&amp;tab=ClassesTab&amp;id=http%3A%2F%2Fwho.int%2Ficd%2333291_512ebf36_bf6b_4d70_85da_cf2637062af4","iCat")</x:f>
      </x:c>
      <x:c r="M5843" s="0" t="s">
        <x:v>21</x:v>
      </x:c>
      <x:c r="N5843" s="0" t="s">
        <x:v>46</x:v>
      </x:c>
    </x:row>
    <x:row r="5844" spans="1:16">
      <x:c r="A5844" s="0" t="s">
        <x:v>23228</x:v>
      </x:c>
      <x:c r="B5844" s="0" t="s">
        <x:v>23229</x:v>
      </x:c>
      <x:c r="C5844" s="0" t="s">
        <x:v>23230</x:v>
      </x:c>
      <x:c r="E5844" s="0" t="s">
        <x:v>23231</x:v>
      </x:c>
      <x:c r="F5844" s="0" t="s">
        <x:v>45</x:v>
      </x:c>
      <x:c r="G5844" s="0" t="s">
        <x:v>19</x:v>
      </x:c>
      <x:c r="H5844" s="0" t="s">
        <x:v>20</x:v>
      </x:c>
      <x:c r="I5844" s="0" t="s">
        <x:v>21</x:v>
      </x:c>
      <x:c r="K5844" s="0">
        <x:f>hyperlink("https://icd.who.int/dev11/l-ichi/en#/http%3A%2F%2Fid.who.int%2Ficd%2Fentity%2F680770487","browser")</x:f>
      </x:c>
      <x:c r="L5844" s="0">
        <x:f>hyperlink("https://icat2.azurewebsites.net/icat/?ontology=ICD&amp;tab=ClassesTab&amp;id=http%3A%2F%2Fwho.int%2Ficd%2333299_512ebf36_bf6b_4d70_85da_cf2637062af4","iCat")</x:f>
      </x:c>
      <x:c r="M5844" s="0" t="s">
        <x:v>21</x:v>
      </x:c>
      <x:c r="N5844" s="0" t="s">
        <x:v>46</x:v>
      </x:c>
    </x:row>
    <x:row r="5845" spans="1:16">
      <x:c r="A5845" s="0" t="s">
        <x:v>23232</x:v>
      </x:c>
      <x:c r="B5845" s="0" t="s">
        <x:v>23233</x:v>
      </x:c>
      <x:c r="C5845" s="0" t="s">
        <x:v>23234</x:v>
      </x:c>
      <x:c r="E5845" s="0" t="s">
        <x:v>23235</x:v>
      </x:c>
      <x:c r="F5845" s="0" t="s">
        <x:v>45</x:v>
      </x:c>
      <x:c r="G5845" s="0" t="s">
        <x:v>19</x:v>
      </x:c>
      <x:c r="H5845" s="0" t="s">
        <x:v>20</x:v>
      </x:c>
      <x:c r="I5845" s="0" t="s">
        <x:v>21</x:v>
      </x:c>
      <x:c r="K5845" s="0">
        <x:f>hyperlink("https://icd.who.int/dev11/l-ichi/en#/http%3A%2F%2Fid.who.int%2Ficd%2Fentity%2F385575777","browser")</x:f>
      </x:c>
      <x:c r="L5845" s="0">
        <x:f>hyperlink("https://icat2.azurewebsites.net/icat/?ontology=ICD&amp;tab=ClassesTab&amp;id=http%3A%2F%2Fwho.int%2Ficd%2333306_512ebf36_bf6b_4d70_85da_cf2637062af4","iCat")</x:f>
      </x:c>
      <x:c r="M5845" s="0" t="s">
        <x:v>21</x:v>
      </x:c>
      <x:c r="N5845" s="0" t="s">
        <x:v>46</x:v>
      </x:c>
    </x:row>
    <x:row r="5846" spans="1:16">
      <x:c r="A5846" s="0" t="s">
        <x:v>23236</x:v>
      </x:c>
      <x:c r="B5846" s="0" t="s">
        <x:v>23237</x:v>
      </x:c>
      <x:c r="C5846" s="0" t="s">
        <x:v>23238</x:v>
      </x:c>
      <x:c r="E5846" s="0" t="s">
        <x:v>23239</x:v>
      </x:c>
      <x:c r="F5846" s="0" t="s">
        <x:v>45</x:v>
      </x:c>
      <x:c r="G5846" s="0" t="s">
        <x:v>19</x:v>
      </x:c>
      <x:c r="H5846" s="0" t="s">
        <x:v>20</x:v>
      </x:c>
      <x:c r="I5846" s="0" t="s">
        <x:v>21</x:v>
      </x:c>
      <x:c r="K5846" s="0">
        <x:f>hyperlink("https://icd.who.int/dev11/l-ichi/en#/http%3A%2F%2Fid.who.int%2Ficd%2Fentity%2F2084503094","browser")</x:f>
      </x:c>
      <x:c r="L5846" s="0">
        <x:f>hyperlink("https://icat2.azurewebsites.net/icat/?ontology=ICD&amp;tab=ClassesTab&amp;id=http%3A%2F%2Fwho.int%2Ficd%2333316_512ebf36_bf6b_4d70_85da_cf2637062af4","iCat")</x:f>
      </x:c>
      <x:c r="M5846" s="0" t="s">
        <x:v>21</x:v>
      </x:c>
      <x:c r="N5846" s="0" t="s">
        <x:v>46</x:v>
      </x:c>
    </x:row>
    <x:row r="5847" spans="1:16">
      <x:c r="A5847" s="0" t="s">
        <x:v>23240</x:v>
      </x:c>
      <x:c r="B5847" s="0" t="s">
        <x:v>23241</x:v>
      </x:c>
      <x:c r="C5847" s="0" t="s">
        <x:v>23242</x:v>
      </x:c>
      <x:c r="E5847" s="0" t="s">
        <x:v>23243</x:v>
      </x:c>
      <x:c r="F5847" s="0" t="s">
        <x:v>45</x:v>
      </x:c>
      <x:c r="G5847" s="0" t="s">
        <x:v>19</x:v>
      </x:c>
      <x:c r="H5847" s="0" t="s">
        <x:v>20</x:v>
      </x:c>
      <x:c r="I5847" s="0" t="s">
        <x:v>21</x:v>
      </x:c>
      <x:c r="K5847" s="0">
        <x:f>hyperlink("https://icd.who.int/dev11/l-ichi/en#/http%3A%2F%2Fid.who.int%2Ficd%2Fentity%2F1509139446","browser")</x:f>
      </x:c>
      <x:c r="L5847" s="0">
        <x:f>hyperlink("https://icat2.azurewebsites.net/icat/?ontology=ICD&amp;tab=ClassesTab&amp;id=http%3A%2F%2Fwho.int%2Ficd%2333324_512ebf36_bf6b_4d70_85da_cf2637062af4","iCat")</x:f>
      </x:c>
      <x:c r="M5847" s="0" t="s">
        <x:v>21</x:v>
      </x:c>
      <x:c r="N5847" s="0" t="s">
        <x:v>46</x:v>
      </x:c>
    </x:row>
    <x:row r="5848" spans="1:16">
      <x:c r="A5848" s="0" t="s">
        <x:v>23244</x:v>
      </x:c>
      <x:c r="B5848" s="0" t="s">
        <x:v>23245</x:v>
      </x:c>
      <x:c r="C5848" s="0" t="s">
        <x:v>23246</x:v>
      </x:c>
      <x:c r="E5848" s="0" t="s">
        <x:v>23247</x:v>
      </x:c>
      <x:c r="F5848" s="0" t="s">
        <x:v>45</x:v>
      </x:c>
      <x:c r="G5848" s="0" t="s">
        <x:v>19</x:v>
      </x:c>
      <x:c r="H5848" s="0" t="s">
        <x:v>20</x:v>
      </x:c>
      <x:c r="I5848" s="0" t="s">
        <x:v>21</x:v>
      </x:c>
      <x:c r="K5848" s="0">
        <x:f>hyperlink("https://icd.who.int/dev11/l-ichi/en#/http%3A%2F%2Fid.who.int%2Ficd%2Fentity%2F650674411","browser")</x:f>
      </x:c>
      <x:c r="L5848" s="0">
        <x:f>hyperlink("https://icat2.azurewebsites.net/icat/?ontology=ICD&amp;tab=ClassesTab&amp;id=http%3A%2F%2Fwho.int%2Ficd%2333331_512ebf36_bf6b_4d70_85da_cf2637062af4","iCat")</x:f>
      </x:c>
      <x:c r="M5848" s="0" t="s">
        <x:v>21</x:v>
      </x:c>
      <x:c r="N5848" s="0" t="s">
        <x:v>46</x:v>
      </x:c>
    </x:row>
    <x:row r="5849" spans="1:16">
      <x:c r="A5849" s="0" t="s">
        <x:v>23248</x:v>
      </x:c>
      <x:c r="B5849" s="0" t="s">
        <x:v>23249</x:v>
      </x:c>
      <x:c r="C5849" s="0" t="s">
        <x:v>23250</x:v>
      </x:c>
      <x:c r="E5849" s="0" t="s">
        <x:v>23251</x:v>
      </x:c>
      <x:c r="F5849" s="0" t="s">
        <x:v>45</x:v>
      </x:c>
      <x:c r="G5849" s="0" t="s">
        <x:v>19</x:v>
      </x:c>
      <x:c r="H5849" s="0" t="s">
        <x:v>20</x:v>
      </x:c>
      <x:c r="I5849" s="0" t="s">
        <x:v>21</x:v>
      </x:c>
      <x:c r="K5849" s="0">
        <x:f>hyperlink("https://icd.who.int/dev11/l-ichi/en#/http%3A%2F%2Fid.who.int%2Ficd%2Fentity%2F2065032493","browser")</x:f>
      </x:c>
      <x:c r="L5849" s="0">
        <x:f>hyperlink("https://icat2.azurewebsites.net/icat/?ontology=ICD&amp;tab=ClassesTab&amp;id=http%3A%2F%2Fwho.int%2Ficd%2316276_4869915e_217e_423d_acb3_33c0f920ef4b","iCat")</x:f>
      </x:c>
      <x:c r="M5849" s="0" t="s">
        <x:v>21</x:v>
      </x:c>
      <x:c r="N5849" s="0" t="s">
        <x:v>46</x:v>
      </x:c>
    </x:row>
    <x:row r="5850" spans="1:16">
      <x:c r="A5850" s="0" t="s">
        <x:v>23252</x:v>
      </x:c>
      <x:c r="B5850" s="0" t="s">
        <x:v>23253</x:v>
      </x:c>
      <x:c r="C5850" s="0" t="s">
        <x:v>23254</x:v>
      </x:c>
      <x:c r="E5850" s="0" t="s">
        <x:v>23255</x:v>
      </x:c>
      <x:c r="F5850" s="0" t="s">
        <x:v>45</x:v>
      </x:c>
      <x:c r="G5850" s="0" t="s">
        <x:v>19</x:v>
      </x:c>
      <x:c r="H5850" s="0" t="s">
        <x:v>20</x:v>
      </x:c>
      <x:c r="I5850" s="0" t="s">
        <x:v>21</x:v>
      </x:c>
      <x:c r="K5850" s="0">
        <x:f>hyperlink("https://icd.who.int/dev11/l-ichi/en#/http%3A%2F%2Fid.who.int%2Ficd%2Fentity%2F1402731530","browser")</x:f>
      </x:c>
      <x:c r="L5850" s="0">
        <x:f>hyperlink("https://icat2.azurewebsites.net/icat/?ontology=ICD&amp;tab=ClassesTab&amp;id=http%3A%2F%2Fwho.int%2Ficd%2333342_512ebf36_bf6b_4d70_85da_cf2637062af4","iCat")</x:f>
      </x:c>
      <x:c r="M5850" s="0" t="s">
        <x:v>21</x:v>
      </x:c>
      <x:c r="N5850" s="0" t="s">
        <x:v>46</x:v>
      </x:c>
    </x:row>
    <x:row r="5851" spans="1:16">
      <x:c r="A5851" s="0" t="s">
        <x:v>23256</x:v>
      </x:c>
      <x:c r="B5851" s="0" t="s">
        <x:v>23257</x:v>
      </x:c>
      <x:c r="C5851" s="0" t="s">
        <x:v>23258</x:v>
      </x:c>
      <x:c r="E5851" s="0" t="s">
        <x:v>23259</x:v>
      </x:c>
      <x:c r="F5851" s="0" t="s">
        <x:v>45</x:v>
      </x:c>
      <x:c r="G5851" s="0" t="s">
        <x:v>19</x:v>
      </x:c>
      <x:c r="H5851" s="0" t="s">
        <x:v>20</x:v>
      </x:c>
      <x:c r="I5851" s="0" t="s">
        <x:v>21</x:v>
      </x:c>
      <x:c r="K5851" s="0">
        <x:f>hyperlink("https://icd.who.int/dev11/l-ichi/en#/http%3A%2F%2Fid.who.int%2Ficd%2Fentity%2F1486873252","browser")</x:f>
      </x:c>
      <x:c r="L5851" s="0">
        <x:f>hyperlink("https://icat2.azurewebsites.net/icat/?ontology=ICD&amp;tab=ClassesTab&amp;id=http%3A%2F%2Fwho.int%2Ficd%2333349_512ebf36_bf6b_4d70_85da_cf2637062af4","iCat")</x:f>
      </x:c>
      <x:c r="M5851" s="0" t="s">
        <x:v>21</x:v>
      </x:c>
      <x:c r="N5851" s="0" t="s">
        <x:v>46</x:v>
      </x:c>
    </x:row>
    <x:row r="5852" spans="1:16">
      <x:c r="A5852" s="0" t="s">
        <x:v>23260</x:v>
      </x:c>
      <x:c r="B5852" s="0" t="s">
        <x:v>23261</x:v>
      </x:c>
      <x:c r="C5852" s="0" t="s">
        <x:v>23262</x:v>
      </x:c>
      <x:c r="E5852" s="0" t="s">
        <x:v>23263</x:v>
      </x:c>
      <x:c r="F5852" s="0" t="s">
        <x:v>45</x:v>
      </x:c>
      <x:c r="G5852" s="0" t="s">
        <x:v>19</x:v>
      </x:c>
      <x:c r="H5852" s="0" t="s">
        <x:v>20</x:v>
      </x:c>
      <x:c r="I5852" s="0" t="s">
        <x:v>21</x:v>
      </x:c>
      <x:c r="K5852" s="0">
        <x:f>hyperlink("https://icd.who.int/dev11/l-ichi/en#/http%3A%2F%2Fid.who.int%2Ficd%2Fentity%2F1239204564","browser")</x:f>
      </x:c>
      <x:c r="L5852" s="0">
        <x:f>hyperlink("https://icat2.azurewebsites.net/icat/?ontology=ICD&amp;tab=ClassesTab&amp;id=http%3A%2F%2Fwho.int%2Ficd%2333355_512ebf36_bf6b_4d70_85da_cf2637062af4","iCat")</x:f>
      </x:c>
      <x:c r="M5852" s="0" t="s">
        <x:v>21</x:v>
      </x:c>
      <x:c r="N5852" s="0" t="s">
        <x:v>46</x:v>
      </x:c>
    </x:row>
    <x:row r="5853" spans="1:16">
      <x:c r="A5853" s="0" t="s">
        <x:v>23264</x:v>
      </x:c>
      <x:c r="B5853" s="0" t="s">
        <x:v>23265</x:v>
      </x:c>
      <x:c r="C5853" s="0" t="s">
        <x:v>23266</x:v>
      </x:c>
      <x:c r="E5853" s="0" t="s">
        <x:v>23267</x:v>
      </x:c>
      <x:c r="F5853" s="0" t="s">
        <x:v>45</x:v>
      </x:c>
      <x:c r="G5853" s="0" t="s">
        <x:v>19</x:v>
      </x:c>
      <x:c r="H5853" s="0" t="s">
        <x:v>20</x:v>
      </x:c>
      <x:c r="I5853" s="0" t="s">
        <x:v>21</x:v>
      </x:c>
      <x:c r="K5853" s="0">
        <x:f>hyperlink("https://icd.who.int/dev11/l-ichi/en#/http%3A%2F%2Fid.who.int%2Ficd%2Fentity%2F1013597857","browser")</x:f>
      </x:c>
      <x:c r="L5853" s="0">
        <x:f>hyperlink("https://icat2.azurewebsites.net/icat/?ontology=ICD&amp;tab=ClassesTab&amp;id=http%3A%2F%2Fwho.int%2Ficd%2333361_512ebf36_bf6b_4d70_85da_cf2637062af4","iCat")</x:f>
      </x:c>
      <x:c r="M5853" s="0" t="s">
        <x:v>21</x:v>
      </x:c>
      <x:c r="N5853" s="0" t="s">
        <x:v>46</x:v>
      </x:c>
    </x:row>
    <x:row r="5854" spans="1:16">
      <x:c r="A5854" s="0" t="s">
        <x:v>23268</x:v>
      </x:c>
      <x:c r="B5854" s="0" t="s">
        <x:v>23269</x:v>
      </x:c>
      <x:c r="C5854" s="0" t="s">
        <x:v>23270</x:v>
      </x:c>
      <x:c r="E5854" s="0" t="s">
        <x:v>23271</x:v>
      </x:c>
      <x:c r="F5854" s="0" t="s">
        <x:v>45</x:v>
      </x:c>
      <x:c r="G5854" s="0" t="s">
        <x:v>19</x:v>
      </x:c>
      <x:c r="H5854" s="0" t="s">
        <x:v>20</x:v>
      </x:c>
      <x:c r="I5854" s="0" t="s">
        <x:v>21</x:v>
      </x:c>
      <x:c r="K5854" s="0">
        <x:f>hyperlink("https://icd.who.int/dev11/l-ichi/en#/http%3A%2F%2Fid.who.int%2Ficd%2Fentity%2F1813094160","browser")</x:f>
      </x:c>
      <x:c r="L5854" s="0">
        <x:f>hyperlink("https://icat2.azurewebsites.net/icat/?ontology=ICD&amp;tab=ClassesTab&amp;id=http%3A%2F%2Fwho.int%2Ficd%2333367_512ebf36_bf6b_4d70_85da_cf2637062af4","iCat")</x:f>
      </x:c>
      <x:c r="M5854" s="0" t="s">
        <x:v>21</x:v>
      </x:c>
      <x:c r="N5854" s="0" t="s">
        <x:v>46</x:v>
      </x:c>
    </x:row>
    <x:row r="5855" spans="1:16">
      <x:c r="A5855" s="0" t="s">
        <x:v>23272</x:v>
      </x:c>
      <x:c r="B5855" s="0" t="s">
        <x:v>23273</x:v>
      </x:c>
      <x:c r="C5855" s="0" t="s">
        <x:v>23274</x:v>
      </x:c>
      <x:c r="E5855" s="0" t="s">
        <x:v>23275</x:v>
      </x:c>
      <x:c r="F5855" s="0" t="s">
        <x:v>45</x:v>
      </x:c>
      <x:c r="G5855" s="0" t="s">
        <x:v>19</x:v>
      </x:c>
      <x:c r="H5855" s="0" t="s">
        <x:v>20</x:v>
      </x:c>
      <x:c r="I5855" s="0" t="s">
        <x:v>21</x:v>
      </x:c>
      <x:c r="K5855" s="0">
        <x:f>hyperlink("https://icd.who.int/dev11/l-ichi/en#/http%3A%2F%2Fid.who.int%2Ficd%2Fentity%2F640514171","browser")</x:f>
      </x:c>
      <x:c r="L5855" s="0">
        <x:f>hyperlink("https://icat2.azurewebsites.net/icat/?ontology=ICD&amp;tab=ClassesTab&amp;id=http%3A%2F%2Fwho.int%2Ficd%2333376_512ebf36_bf6b_4d70_85da_cf2637062af4","iCat")</x:f>
      </x:c>
      <x:c r="M5855" s="0" t="s">
        <x:v>21</x:v>
      </x:c>
      <x:c r="N5855" s="0" t="s">
        <x:v>46</x:v>
      </x:c>
    </x:row>
    <x:row r="5856" spans="1:16">
      <x:c r="A5856" s="0" t="s">
        <x:v>23276</x:v>
      </x:c>
      <x:c r="B5856" s="0" t="s">
        <x:v>23277</x:v>
      </x:c>
      <x:c r="C5856" s="0" t="s">
        <x:v>23278</x:v>
      </x:c>
      <x:c r="E5856" s="0" t="s">
        <x:v>23279</x:v>
      </x:c>
      <x:c r="F5856" s="0" t="s">
        <x:v>45</x:v>
      </x:c>
      <x:c r="G5856" s="0" t="s">
        <x:v>19</x:v>
      </x:c>
      <x:c r="H5856" s="0" t="s">
        <x:v>20</x:v>
      </x:c>
      <x:c r="I5856" s="0" t="s">
        <x:v>21</x:v>
      </x:c>
      <x:c r="K5856" s="0">
        <x:f>hyperlink("https://icd.who.int/dev11/l-ichi/en#/http%3A%2F%2Fid.who.int%2Ficd%2Fentity%2F1823879010","browser")</x:f>
      </x:c>
      <x:c r="L5856" s="0">
        <x:f>hyperlink("https://icat2.azurewebsites.net/icat/?ontology=ICD&amp;tab=ClassesTab&amp;id=http%3A%2F%2Fwho.int%2Ficd%2333384_512ebf36_bf6b_4d70_85da_cf2637062af4","iCat")</x:f>
      </x:c>
      <x:c r="M5856" s="0" t="s">
        <x:v>21</x:v>
      </x:c>
      <x:c r="N5856" s="0" t="s">
        <x:v>46</x:v>
      </x:c>
    </x:row>
    <x:row r="5857" spans="1:16">
      <x:c r="A5857" s="0" t="s">
        <x:v>23280</x:v>
      </x:c>
      <x:c r="B5857" s="0" t="s">
        <x:v>23281</x:v>
      </x:c>
      <x:c r="C5857" s="0" t="s">
        <x:v>23282</x:v>
      </x:c>
      <x:c r="E5857" s="0" t="s">
        <x:v>23283</x:v>
      </x:c>
      <x:c r="F5857" s="0" t="s">
        <x:v>45</x:v>
      </x:c>
      <x:c r="G5857" s="0" t="s">
        <x:v>19</x:v>
      </x:c>
      <x:c r="H5857" s="0" t="s">
        <x:v>20</x:v>
      </x:c>
      <x:c r="I5857" s="0" t="s">
        <x:v>21</x:v>
      </x:c>
      <x:c r="K5857" s="0">
        <x:f>hyperlink("https://icd.who.int/dev11/l-ichi/en#/http%3A%2F%2Fid.who.int%2Ficd%2Fentity%2F1443390342","browser")</x:f>
      </x:c>
      <x:c r="L5857" s="0">
        <x:f>hyperlink("https://icat2.azurewebsites.net/icat/?ontology=ICD&amp;tab=ClassesTab&amp;id=http%3A%2F%2Fwho.int%2Ficd%2333392_512ebf36_bf6b_4d70_85da_cf2637062af4","iCat")</x:f>
      </x:c>
      <x:c r="M5857" s="0" t="s">
        <x:v>21</x:v>
      </x:c>
      <x:c r="N5857" s="0" t="s">
        <x:v>46</x:v>
      </x:c>
    </x:row>
    <x:row r="5858" spans="1:16">
      <x:c r="A5858" s="0" t="s">
        <x:v>23284</x:v>
      </x:c>
      <x:c r="B5858" s="0" t="s">
        <x:v>23285</x:v>
      </x:c>
      <x:c r="C5858" s="0" t="s">
        <x:v>23286</x:v>
      </x:c>
      <x:c r="E5858" s="0" t="s">
        <x:v>23287</x:v>
      </x:c>
      <x:c r="F5858" s="0" t="s">
        <x:v>45</x:v>
      </x:c>
      <x:c r="G5858" s="0" t="s">
        <x:v>19</x:v>
      </x:c>
      <x:c r="H5858" s="0" t="s">
        <x:v>20</x:v>
      </x:c>
      <x:c r="I5858" s="0" t="s">
        <x:v>21</x:v>
      </x:c>
      <x:c r="K5858" s="0">
        <x:f>hyperlink("https://icd.who.int/dev11/l-ichi/en#/http%3A%2F%2Fid.who.int%2Ficd%2Fentity%2F1867806021","browser")</x:f>
      </x:c>
      <x:c r="L5858" s="0">
        <x:f>hyperlink("https://icat2.azurewebsites.net/icat/?ontology=ICD&amp;tab=ClassesTab&amp;id=http%3A%2F%2Fwho.int%2Ficd%2333403_512ebf36_bf6b_4d70_85da_cf2637062af4","iCat")</x:f>
      </x:c>
      <x:c r="M5858" s="0" t="s">
        <x:v>21</x:v>
      </x:c>
      <x:c r="N5858" s="0" t="s">
        <x:v>46</x:v>
      </x:c>
    </x:row>
    <x:row r="5859" spans="1:16">
      <x:c r="A5859" s="0" t="s">
        <x:v>23288</x:v>
      </x:c>
      <x:c r="B5859" s="0" t="s">
        <x:v>23289</x:v>
      </x:c>
      <x:c r="C5859" s="0" t="s">
        <x:v>23290</x:v>
      </x:c>
      <x:c r="E5859" s="0" t="s">
        <x:v>23291</x:v>
      </x:c>
      <x:c r="F5859" s="0" t="s">
        <x:v>45</x:v>
      </x:c>
      <x:c r="G5859" s="0" t="s">
        <x:v>19</x:v>
      </x:c>
      <x:c r="H5859" s="0" t="s">
        <x:v>20</x:v>
      </x:c>
      <x:c r="I5859" s="0" t="s">
        <x:v>21</x:v>
      </x:c>
      <x:c r="K5859" s="0">
        <x:f>hyperlink("https://icd.who.int/dev11/l-ichi/en#/http%3A%2F%2Fid.who.int%2Ficd%2Fentity%2F275732060","browser")</x:f>
      </x:c>
      <x:c r="L5859" s="0">
        <x:f>hyperlink("https://icat2.azurewebsites.net/icat/?ontology=ICD&amp;tab=ClassesTab&amp;id=http%3A%2F%2Fwho.int%2Ficd%2333416_512ebf36_bf6b_4d70_85da_cf2637062af4","iCat")</x:f>
      </x:c>
      <x:c r="M5859" s="0" t="s">
        <x:v>21</x:v>
      </x:c>
      <x:c r="N5859" s="0" t="s">
        <x:v>46</x:v>
      </x:c>
    </x:row>
    <x:row r="5860" spans="1:16">
      <x:c r="A5860" s="0" t="s">
        <x:v>23292</x:v>
      </x:c>
      <x:c r="B5860" s="0" t="s">
        <x:v>23293</x:v>
      </x:c>
      <x:c r="C5860" s="0" t="s">
        <x:v>23294</x:v>
      </x:c>
      <x:c r="E5860" s="0" t="s">
        <x:v>23295</x:v>
      </x:c>
      <x:c r="F5860" s="0" t="s">
        <x:v>45</x:v>
      </x:c>
      <x:c r="G5860" s="0" t="s">
        <x:v>19</x:v>
      </x:c>
      <x:c r="H5860" s="0" t="s">
        <x:v>20</x:v>
      </x:c>
      <x:c r="I5860" s="0" t="s">
        <x:v>21</x:v>
      </x:c>
      <x:c r="K5860" s="0">
        <x:f>hyperlink("https://icd.who.int/dev11/l-ichi/en#/http%3A%2F%2Fid.who.int%2Ficd%2Fentity%2F253511552","browser")</x:f>
      </x:c>
      <x:c r="L5860" s="0">
        <x:f>hyperlink("https://icat2.azurewebsites.net/icat/?ontology=ICD&amp;tab=ClassesTab&amp;id=http%3A%2F%2Fwho.int%2Ficd%2333432_512ebf36_bf6b_4d70_85da_cf2637062af4","iCat")</x:f>
      </x:c>
      <x:c r="M5860" s="0" t="s">
        <x:v>21</x:v>
      </x:c>
      <x:c r="N5860" s="0" t="s">
        <x:v>46</x:v>
      </x:c>
    </x:row>
    <x:row r="5861" spans="1:16">
      <x:c r="A5861" s="0" t="s">
        <x:v>23296</x:v>
      </x:c>
      <x:c r="B5861" s="0" t="s">
        <x:v>23297</x:v>
      </x:c>
      <x:c r="C5861" s="0" t="s">
        <x:v>23298</x:v>
      </x:c>
      <x:c r="E5861" s="0" t="s">
        <x:v>23299</x:v>
      </x:c>
      <x:c r="F5861" s="0" t="s">
        <x:v>45</x:v>
      </x:c>
      <x:c r="G5861" s="0" t="s">
        <x:v>19</x:v>
      </x:c>
      <x:c r="H5861" s="0" t="s">
        <x:v>20</x:v>
      </x:c>
      <x:c r="I5861" s="0" t="s">
        <x:v>21</x:v>
      </x:c>
      <x:c r="K5861" s="0">
        <x:f>hyperlink("https://icd.who.int/dev11/l-ichi/en#/http%3A%2F%2Fid.who.int%2Ficd%2Fentity%2F339163380","browser")</x:f>
      </x:c>
      <x:c r="L5861" s="0">
        <x:f>hyperlink("https://icat2.azurewebsites.net/icat/?ontology=ICD&amp;tab=ClassesTab&amp;id=http%3A%2F%2Fwho.int%2Ficd%2333448_512ebf36_bf6b_4d70_85da_cf2637062af4","iCat")</x:f>
      </x:c>
      <x:c r="M5861" s="0" t="s">
        <x:v>21</x:v>
      </x:c>
      <x:c r="N5861" s="0" t="s">
        <x:v>46</x:v>
      </x:c>
    </x:row>
    <x:row r="5862" spans="1:16">
      <x:c r="A5862" s="0" t="s">
        <x:v>23300</x:v>
      </x:c>
      <x:c r="B5862" s="0" t="s">
        <x:v>23301</x:v>
      </x:c>
      <x:c r="C5862" s="0" t="s">
        <x:v>23302</x:v>
      </x:c>
      <x:c r="E5862" s="0" t="s">
        <x:v>23303</x:v>
      </x:c>
      <x:c r="F5862" s="0" t="s">
        <x:v>45</x:v>
      </x:c>
      <x:c r="G5862" s="0" t="s">
        <x:v>19</x:v>
      </x:c>
      <x:c r="H5862" s="0" t="s">
        <x:v>20</x:v>
      </x:c>
      <x:c r="I5862" s="0" t="s">
        <x:v>21</x:v>
      </x:c>
      <x:c r="K5862" s="0">
        <x:f>hyperlink("https://icd.who.int/dev11/l-ichi/en#/http%3A%2F%2Fid.who.int%2Ficd%2Fentity%2F443069569","browser")</x:f>
      </x:c>
      <x:c r="L5862" s="0">
        <x:f>hyperlink("https://icat2.azurewebsites.net/icat/?ontology=ICD&amp;tab=ClassesTab&amp;id=http%3A%2F%2Fwho.int%2Ficd%23507_97087496_4a82_4efa_a45a_b3256f81bd7e","iCat")</x:f>
      </x:c>
      <x:c r="M5862" s="0" t="s">
        <x:v>21</x:v>
      </x:c>
      <x:c r="N5862" s="0" t="s">
        <x:v>46</x:v>
      </x:c>
    </x:row>
    <x:row r="5863" spans="1:16">
      <x:c r="A5863" s="0" t="s">
        <x:v>23304</x:v>
      </x:c>
      <x:c r="B5863" s="0" t="s">
        <x:v>23305</x:v>
      </x:c>
      <x:c r="C5863" s="0" t="s">
        <x:v>23306</x:v>
      </x:c>
      <x:c r="E5863" s="0" t="s">
        <x:v>23307</x:v>
      </x:c>
      <x:c r="F5863" s="0" t="s">
        <x:v>45</x:v>
      </x:c>
      <x:c r="G5863" s="0" t="s">
        <x:v>19</x:v>
      </x:c>
      <x:c r="H5863" s="0" t="s">
        <x:v>20</x:v>
      </x:c>
      <x:c r="I5863" s="0" t="s">
        <x:v>21</x:v>
      </x:c>
      <x:c r="K5863" s="0">
        <x:f>hyperlink("https://icd.who.int/dev11/l-ichi/en#/http%3A%2F%2Fid.who.int%2Ficd%2Fentity%2F630024894","browser")</x:f>
      </x:c>
      <x:c r="L5863" s="0">
        <x:f>hyperlink("https://icat2.azurewebsites.net/icat/?ontology=ICD&amp;tab=ClassesTab&amp;id=http%3A%2F%2Fwho.int%2Ficd%2333455_512ebf36_bf6b_4d70_85da_cf2637062af4","iCat")</x:f>
      </x:c>
      <x:c r="M5863" s="0" t="s">
        <x:v>21</x:v>
      </x:c>
      <x:c r="N5863" s="0" t="s">
        <x:v>46</x:v>
      </x:c>
    </x:row>
    <x:row r="5864" spans="1:16">
      <x:c r="A5864" s="0" t="s">
        <x:v>23308</x:v>
      </x:c>
      <x:c r="B5864" s="0" t="s">
        <x:v>23309</x:v>
      </x:c>
      <x:c r="C5864" s="0" t="s">
        <x:v>23310</x:v>
      </x:c>
      <x:c r="E5864" s="0" t="s">
        <x:v>23311</x:v>
      </x:c>
      <x:c r="F5864" s="0" t="s">
        <x:v>45</x:v>
      </x:c>
      <x:c r="G5864" s="0" t="s">
        <x:v>19</x:v>
      </x:c>
      <x:c r="H5864" s="0" t="s">
        <x:v>20</x:v>
      </x:c>
      <x:c r="I5864" s="0" t="s">
        <x:v>21</x:v>
      </x:c>
      <x:c r="K5864" s="0">
        <x:f>hyperlink("https://icd.who.int/dev11/l-ichi/en#/http%3A%2F%2Fid.who.int%2Ficd%2Fentity%2F1044639142","browser")</x:f>
      </x:c>
      <x:c r="L5864" s="0">
        <x:f>hyperlink("https://icat2.azurewebsites.net/icat/?ontology=ICD&amp;tab=ClassesTab&amp;id=http%3A%2F%2Fwho.int%2Ficd%2333468_512ebf36_bf6b_4d70_85da_cf2637062af4","iCat")</x:f>
      </x:c>
      <x:c r="M5864" s="0" t="s">
        <x:v>21</x:v>
      </x:c>
      <x:c r="N5864" s="0" t="s">
        <x:v>46</x:v>
      </x:c>
    </x:row>
    <x:row r="5865" spans="1:16">
      <x:c r="A5865" s="0" t="s">
        <x:v>23312</x:v>
      </x:c>
      <x:c r="B5865" s="0" t="s">
        <x:v>23313</x:v>
      </x:c>
      <x:c r="C5865" s="0" t="s">
        <x:v>23314</x:v>
      </x:c>
      <x:c r="E5865" s="0" t="s">
        <x:v>23315</x:v>
      </x:c>
      <x:c r="F5865" s="0" t="s">
        <x:v>45</x:v>
      </x:c>
      <x:c r="G5865" s="0" t="s">
        <x:v>19</x:v>
      </x:c>
      <x:c r="H5865" s="0" t="s">
        <x:v>20</x:v>
      </x:c>
      <x:c r="I5865" s="0" t="s">
        <x:v>21</x:v>
      </x:c>
      <x:c r="K5865" s="0">
        <x:f>hyperlink("https://icd.who.int/dev11/l-ichi/en#/http%3A%2F%2Fid.who.int%2Ficd%2Fentity%2F788581842","browser")</x:f>
      </x:c>
      <x:c r="L5865" s="0">
        <x:f>hyperlink("https://icat2.azurewebsites.net/icat/?ontology=ICD&amp;tab=ClassesTab&amp;id=http%3A%2F%2Fwho.int%2Ficd%2333474_512ebf36_bf6b_4d70_85da_cf2637062af4","iCat")</x:f>
      </x:c>
      <x:c r="M5865" s="0" t="s">
        <x:v>21</x:v>
      </x:c>
      <x:c r="N5865" s="0" t="s">
        <x:v>46</x:v>
      </x:c>
    </x:row>
    <x:row r="5866" spans="1:16">
      <x:c r="A5866" s="0" t="s">
        <x:v>23316</x:v>
      </x:c>
      <x:c r="B5866" s="0" t="s">
        <x:v>23317</x:v>
      </x:c>
      <x:c r="C5866" s="0" t="s">
        <x:v>23318</x:v>
      </x:c>
      <x:c r="E5866" s="0" t="s">
        <x:v>23319</x:v>
      </x:c>
      <x:c r="F5866" s="0" t="s">
        <x:v>45</x:v>
      </x:c>
      <x:c r="G5866" s="0" t="s">
        <x:v>19</x:v>
      </x:c>
      <x:c r="H5866" s="0" t="s">
        <x:v>20</x:v>
      </x:c>
      <x:c r="I5866" s="0" t="s">
        <x:v>21</x:v>
      </x:c>
      <x:c r="K5866" s="0">
        <x:f>hyperlink("https://icd.who.int/dev11/l-ichi/en#/http%3A%2F%2Fid.who.int%2Ficd%2Fentity%2F1352425149","browser")</x:f>
      </x:c>
      <x:c r="L5866" s="0">
        <x:f>hyperlink("https://icat2.azurewebsites.net/icat/?ontology=ICD&amp;tab=ClassesTab&amp;id=http%3A%2F%2Fwho.int%2Ficd%2333482_512ebf36_bf6b_4d70_85da_cf2637062af4","iCat")</x:f>
      </x:c>
      <x:c r="M5866" s="0" t="s">
        <x:v>21</x:v>
      </x:c>
      <x:c r="N5866" s="0" t="s">
        <x:v>46</x:v>
      </x:c>
    </x:row>
    <x:row r="5867" spans="1:16">
      <x:c r="A5867" s="0" t="s">
        <x:v>23320</x:v>
      </x:c>
      <x:c r="B5867" s="0" t="s">
        <x:v>23321</x:v>
      </x:c>
      <x:c r="C5867" s="0" t="s">
        <x:v>23322</x:v>
      </x:c>
      <x:c r="E5867" s="0" t="s">
        <x:v>23323</x:v>
      </x:c>
      <x:c r="F5867" s="0" t="s">
        <x:v>45</x:v>
      </x:c>
      <x:c r="G5867" s="0" t="s">
        <x:v>19</x:v>
      </x:c>
      <x:c r="H5867" s="0" t="s">
        <x:v>20</x:v>
      </x:c>
      <x:c r="I5867" s="0" t="s">
        <x:v>21</x:v>
      </x:c>
      <x:c r="K5867" s="0">
        <x:f>hyperlink("https://icd.who.int/dev11/l-ichi/en#/http%3A%2F%2Fid.who.int%2Ficd%2Fentity%2F1536704529","browser")</x:f>
      </x:c>
      <x:c r="L5867" s="0">
        <x:f>hyperlink("https://icat2.azurewebsites.net/icat/?ontology=ICD&amp;tab=ClassesTab&amp;id=http%3A%2F%2Fwho.int%2Ficd%2333489_512ebf36_bf6b_4d70_85da_cf2637062af4","iCat")</x:f>
      </x:c>
      <x:c r="M5867" s="0" t="s">
        <x:v>21</x:v>
      </x:c>
      <x:c r="N5867" s="0" t="s">
        <x:v>46</x:v>
      </x:c>
    </x:row>
    <x:row r="5868" spans="1:16">
      <x:c r="A5868" s="0" t="s">
        <x:v>23324</x:v>
      </x:c>
      <x:c r="B5868" s="0" t="s">
        <x:v>23325</x:v>
      </x:c>
      <x:c r="C5868" s="0" t="s">
        <x:v>23326</x:v>
      </x:c>
      <x:c r="E5868" s="0" t="s">
        <x:v>23327</x:v>
      </x:c>
      <x:c r="F5868" s="0" t="s">
        <x:v>45</x:v>
      </x:c>
      <x:c r="G5868" s="0" t="s">
        <x:v>19</x:v>
      </x:c>
      <x:c r="H5868" s="0" t="s">
        <x:v>20</x:v>
      </x:c>
      <x:c r="I5868" s="0" t="s">
        <x:v>21</x:v>
      </x:c>
      <x:c r="K5868" s="0">
        <x:f>hyperlink("https://icd.who.int/dev11/l-ichi/en#/http%3A%2F%2Fid.who.int%2Ficd%2Fentity%2F1255891047","browser")</x:f>
      </x:c>
      <x:c r="L5868" s="0">
        <x:f>hyperlink("https://icat2.azurewebsites.net/icat/?ontology=ICD&amp;tab=ClassesTab&amp;id=http%3A%2F%2Fwho.int%2Ficd%2333495_512ebf36_bf6b_4d70_85da_cf2637062af4","iCat")</x:f>
      </x:c>
      <x:c r="M5868" s="0" t="s">
        <x:v>21</x:v>
      </x:c>
      <x:c r="N5868" s="0" t="s">
        <x:v>46</x:v>
      </x:c>
    </x:row>
    <x:row r="5869" spans="1:16">
      <x:c r="A5869" s="0" t="s">
        <x:v>23328</x:v>
      </x:c>
      <x:c r="B5869" s="0" t="s">
        <x:v>23329</x:v>
      </x:c>
      <x:c r="C5869" s="0" t="s">
        <x:v>23330</x:v>
      </x:c>
      <x:c r="E5869" s="0" t="s">
        <x:v>23331</x:v>
      </x:c>
      <x:c r="F5869" s="0" t="s">
        <x:v>45</x:v>
      </x:c>
      <x:c r="G5869" s="0" t="s">
        <x:v>19</x:v>
      </x:c>
      <x:c r="H5869" s="0" t="s">
        <x:v>20</x:v>
      </x:c>
      <x:c r="I5869" s="0" t="s">
        <x:v>21</x:v>
      </x:c>
      <x:c r="K5869" s="0">
        <x:f>hyperlink("https://icd.who.int/dev11/l-ichi/en#/http%3A%2F%2Fid.who.int%2Ficd%2Fentity%2F2142744093","browser")</x:f>
      </x:c>
      <x:c r="L5869" s="0">
        <x:f>hyperlink("https://icat2.azurewebsites.net/icat/?ontology=ICD&amp;tab=ClassesTab&amp;id=http%3A%2F%2Fwho.int%2Ficd%2333501_512ebf36_bf6b_4d70_85da_cf2637062af4","iCat")</x:f>
      </x:c>
      <x:c r="M5869" s="0" t="s">
        <x:v>21</x:v>
      </x:c>
      <x:c r="N5869" s="0" t="s">
        <x:v>46</x:v>
      </x:c>
    </x:row>
    <x:row r="5870" spans="1:16">
      <x:c r="A5870" s="0" t="s">
        <x:v>23332</x:v>
      </x:c>
      <x:c r="B5870" s="0" t="s">
        <x:v>23333</x:v>
      </x:c>
      <x:c r="C5870" s="0" t="s">
        <x:v>23334</x:v>
      </x:c>
      <x:c r="E5870" s="0" t="s">
        <x:v>23335</x:v>
      </x:c>
      <x:c r="F5870" s="0" t="s">
        <x:v>45</x:v>
      </x:c>
      <x:c r="G5870" s="0" t="s">
        <x:v>19</x:v>
      </x:c>
      <x:c r="H5870" s="0" t="s">
        <x:v>20</x:v>
      </x:c>
      <x:c r="I5870" s="0" t="s">
        <x:v>21</x:v>
      </x:c>
      <x:c r="K5870" s="0">
        <x:f>hyperlink("https://icd.who.int/dev11/l-ichi/en#/http%3A%2F%2Fid.who.int%2Ficd%2Fentity%2F298823028","browser")</x:f>
      </x:c>
      <x:c r="L5870" s="0">
        <x:f>hyperlink("https://icat2.azurewebsites.net/icat/?ontology=ICD&amp;tab=ClassesTab&amp;id=http%3A%2F%2Fwho.int%2Ficd%2333508_512ebf36_bf6b_4d70_85da_cf2637062af4","iCat")</x:f>
      </x:c>
      <x:c r="M5870" s="0" t="s">
        <x:v>21</x:v>
      </x:c>
      <x:c r="N5870" s="0" t="s">
        <x:v>46</x:v>
      </x:c>
    </x:row>
    <x:row r="5871" spans="1:16">
      <x:c r="A5871" s="0" t="s">
        <x:v>23336</x:v>
      </x:c>
      <x:c r="B5871" s="0" t="s">
        <x:v>23337</x:v>
      </x:c>
      <x:c r="C5871" s="0" t="s">
        <x:v>23338</x:v>
      </x:c>
      <x:c r="E5871" s="0" t="s">
        <x:v>23339</x:v>
      </x:c>
      <x:c r="F5871" s="0" t="s">
        <x:v>45</x:v>
      </x:c>
      <x:c r="G5871" s="0" t="s">
        <x:v>19</x:v>
      </x:c>
      <x:c r="H5871" s="0" t="s">
        <x:v>20</x:v>
      </x:c>
      <x:c r="I5871" s="0" t="s">
        <x:v>21</x:v>
      </x:c>
      <x:c r="K5871" s="0">
        <x:f>hyperlink("https://icd.who.int/dev11/l-ichi/en#/http%3A%2F%2Fid.who.int%2Ficd%2Fentity%2F1710264519","browser")</x:f>
      </x:c>
      <x:c r="L5871" s="0">
        <x:f>hyperlink("https://icat2.azurewebsites.net/icat/?ontology=ICD&amp;tab=ClassesTab&amp;id=http%3A%2F%2Fwho.int%2Ficd%2333516_512ebf36_bf6b_4d70_85da_cf2637062af4","iCat")</x:f>
      </x:c>
      <x:c r="M5871" s="0" t="s">
        <x:v>21</x:v>
      </x:c>
      <x:c r="N5871" s="0" t="s">
        <x:v>46</x:v>
      </x:c>
    </x:row>
    <x:row r="5872" spans="1:16">
      <x:c r="A5872" s="0" t="s">
        <x:v>23340</x:v>
      </x:c>
      <x:c r="B5872" s="0" t="s">
        <x:v>23341</x:v>
      </x:c>
      <x:c r="C5872" s="0" t="s">
        <x:v>23342</x:v>
      </x:c>
      <x:c r="E5872" s="0" t="s">
        <x:v>23343</x:v>
      </x:c>
      <x:c r="F5872" s="0" t="s">
        <x:v>45</x:v>
      </x:c>
      <x:c r="G5872" s="0" t="s">
        <x:v>19</x:v>
      </x:c>
      <x:c r="H5872" s="0" t="s">
        <x:v>20</x:v>
      </x:c>
      <x:c r="I5872" s="0" t="s">
        <x:v>21</x:v>
      </x:c>
      <x:c r="K5872" s="0">
        <x:f>hyperlink("https://icd.who.int/dev11/l-ichi/en#/http%3A%2F%2Fid.who.int%2Ficd%2Fentity%2F273028278","browser")</x:f>
      </x:c>
      <x:c r="L5872" s="0">
        <x:f>hyperlink("https://icat2.azurewebsites.net/icat/?ontology=ICD&amp;tab=ClassesTab&amp;id=http%3A%2F%2Fwho.int%2Ficd%2333522_512ebf36_bf6b_4d70_85da_cf2637062af4","iCat")</x:f>
      </x:c>
      <x:c r="M5872" s="0" t="s">
        <x:v>21</x:v>
      </x:c>
      <x:c r="N5872" s="0" t="s">
        <x:v>46</x:v>
      </x:c>
    </x:row>
    <x:row r="5873" spans="1:16">
      <x:c r="A5873" s="0" t="s">
        <x:v>23344</x:v>
      </x:c>
      <x:c r="B5873" s="0" t="s">
        <x:v>23345</x:v>
      </x:c>
      <x:c r="C5873" s="0" t="s">
        <x:v>23346</x:v>
      </x:c>
      <x:c r="E5873" s="0" t="s">
        <x:v>23347</x:v>
      </x:c>
      <x:c r="F5873" s="0" t="s">
        <x:v>45</x:v>
      </x:c>
      <x:c r="G5873" s="0" t="s">
        <x:v>19</x:v>
      </x:c>
      <x:c r="H5873" s="0" t="s">
        <x:v>20</x:v>
      </x:c>
      <x:c r="I5873" s="0" t="s">
        <x:v>21</x:v>
      </x:c>
      <x:c r="K5873" s="0">
        <x:f>hyperlink("https://icd.who.int/dev11/l-ichi/en#/http%3A%2F%2Fid.who.int%2Ficd%2Fentity%2F1334068631","browser")</x:f>
      </x:c>
      <x:c r="L5873" s="0">
        <x:f>hyperlink("https://icat2.azurewebsites.net/icat/?ontology=ICD&amp;tab=ClassesTab&amp;id=http%3A%2F%2Fwho.int%2Ficd%2333536_512ebf36_bf6b_4d70_85da_cf2637062af4","iCat")</x:f>
      </x:c>
      <x:c r="M5873" s="0" t="s">
        <x:v>21</x:v>
      </x:c>
      <x:c r="N5873" s="0" t="s">
        <x:v>46</x:v>
      </x:c>
    </x:row>
    <x:row r="5874" spans="1:16">
      <x:c r="A5874" s="0" t="s">
        <x:v>23348</x:v>
      </x:c>
      <x:c r="B5874" s="0" t="s">
        <x:v>23349</x:v>
      </x:c>
      <x:c r="C5874" s="0" t="s">
        <x:v>23350</x:v>
      </x:c>
      <x:c r="E5874" s="0" t="s">
        <x:v>23351</x:v>
      </x:c>
      <x:c r="F5874" s="0" t="s">
        <x:v>45</x:v>
      </x:c>
      <x:c r="G5874" s="0" t="s">
        <x:v>19</x:v>
      </x:c>
      <x:c r="H5874" s="0" t="s">
        <x:v>20</x:v>
      </x:c>
      <x:c r="I5874" s="0" t="s">
        <x:v>21</x:v>
      </x:c>
      <x:c r="K5874" s="0">
        <x:f>hyperlink("https://icd.who.int/dev11/l-ichi/en#/http%3A%2F%2Fid.who.int%2Ficd%2Fentity%2F1247122169","browser")</x:f>
      </x:c>
      <x:c r="L5874" s="0">
        <x:f>hyperlink("https://icat2.azurewebsites.net/icat/?ontology=ICD&amp;tab=ClassesTab&amp;id=http%3A%2F%2Fwho.int%2Ficd%2333542_512ebf36_bf6b_4d70_85da_cf2637062af4","iCat")</x:f>
      </x:c>
      <x:c r="M5874" s="0" t="s">
        <x:v>21</x:v>
      </x:c>
      <x:c r="N5874" s="0" t="s">
        <x:v>46</x:v>
      </x:c>
    </x:row>
    <x:row r="5875" spans="1:16">
      <x:c r="A5875" s="0" t="s">
        <x:v>23352</x:v>
      </x:c>
      <x:c r="B5875" s="0" t="s">
        <x:v>23353</x:v>
      </x:c>
      <x:c r="C5875" s="0" t="s">
        <x:v>23354</x:v>
      </x:c>
      <x:c r="E5875" s="0" t="s">
        <x:v>23355</x:v>
      </x:c>
      <x:c r="F5875" s="0" t="s">
        <x:v>45</x:v>
      </x:c>
      <x:c r="G5875" s="0" t="s">
        <x:v>19</x:v>
      </x:c>
      <x:c r="H5875" s="0" t="s">
        <x:v>20</x:v>
      </x:c>
      <x:c r="I5875" s="0" t="s">
        <x:v>21</x:v>
      </x:c>
      <x:c r="K5875" s="0">
        <x:f>hyperlink("https://icd.who.int/dev11/l-ichi/en#/http%3A%2F%2Fid.who.int%2Ficd%2Fentity%2F818994095","browser")</x:f>
      </x:c>
      <x:c r="L5875" s="0">
        <x:f>hyperlink("https://icat2.azurewebsites.net/icat/?ontology=ICD&amp;tab=ClassesTab&amp;id=http%3A%2F%2Fwho.int%2Ficd%23454_97087496_4a82_4efa_a45a_b3256f81bd7e","iCat")</x:f>
      </x:c>
      <x:c r="M5875" s="0" t="s">
        <x:v>21</x:v>
      </x:c>
      <x:c r="N5875" s="0" t="s">
        <x:v>46</x:v>
      </x:c>
    </x:row>
    <x:row r="5876" spans="1:16">
      <x:c r="A5876" s="0" t="s">
        <x:v>23356</x:v>
      </x:c>
      <x:c r="B5876" s="0" t="s">
        <x:v>23357</x:v>
      </x:c>
      <x:c r="C5876" s="0" t="s">
        <x:v>23358</x:v>
      </x:c>
      <x:c r="E5876" s="0" t="s">
        <x:v>23359</x:v>
      </x:c>
      <x:c r="F5876" s="0" t="s">
        <x:v>45</x:v>
      </x:c>
      <x:c r="G5876" s="0" t="s">
        <x:v>19</x:v>
      </x:c>
      <x:c r="H5876" s="0" t="s">
        <x:v>20</x:v>
      </x:c>
      <x:c r="I5876" s="0" t="s">
        <x:v>21</x:v>
      </x:c>
      <x:c r="K5876" s="0">
        <x:f>hyperlink("https://icd.who.int/dev11/l-ichi/en#/http%3A%2F%2Fid.who.int%2Ficd%2Fentity%2F1638465129","browser")</x:f>
      </x:c>
      <x:c r="L5876" s="0">
        <x:f>hyperlink("https://icat2.azurewebsites.net/icat/?ontology=ICD&amp;tab=ClassesTab&amp;id=http%3A%2F%2Fwho.int%2Ficd%2333548_512ebf36_bf6b_4d70_85da_cf2637062af4","iCat")</x:f>
      </x:c>
      <x:c r="M5876" s="0" t="s">
        <x:v>21</x:v>
      </x:c>
      <x:c r="N5876" s="0" t="s">
        <x:v>46</x:v>
      </x:c>
    </x:row>
    <x:row r="5877" spans="1:16">
      <x:c r="A5877" s="0" t="s">
        <x:v>23360</x:v>
      </x:c>
      <x:c r="B5877" s="0" t="s">
        <x:v>23361</x:v>
      </x:c>
      <x:c r="C5877" s="0" t="s">
        <x:v>23362</x:v>
      </x:c>
      <x:c r="E5877" s="0" t="s">
        <x:v>23363</x:v>
      </x:c>
      <x:c r="F5877" s="0" t="s">
        <x:v>45</x:v>
      </x:c>
      <x:c r="G5877" s="0" t="s">
        <x:v>19</x:v>
      </x:c>
      <x:c r="H5877" s="0" t="s">
        <x:v>20</x:v>
      </x:c>
      <x:c r="I5877" s="0" t="s">
        <x:v>21</x:v>
      </x:c>
      <x:c r="K5877" s="0">
        <x:f>hyperlink("https://icd.who.int/dev11/l-ichi/en#/http%3A%2F%2Fid.who.int%2Ficd%2Fentity%2F1343400995","browser")</x:f>
      </x:c>
      <x:c r="L5877" s="0">
        <x:f>hyperlink("https://icat2.azurewebsites.net/icat/?ontology=ICD&amp;tab=ClassesTab&amp;id=http%3A%2F%2Fwho.int%2Ficd%2333555_512ebf36_bf6b_4d70_85da_cf2637062af4","iCat")</x:f>
      </x:c>
      <x:c r="M5877" s="0" t="s">
        <x:v>21</x:v>
      </x:c>
      <x:c r="N5877" s="0" t="s">
        <x:v>46</x:v>
      </x:c>
    </x:row>
    <x:row r="5878" spans="1:16">
      <x:c r="A5878" s="0" t="s">
        <x:v>23364</x:v>
      </x:c>
      <x:c r="B5878" s="0" t="s">
        <x:v>23365</x:v>
      </x:c>
      <x:c r="C5878" s="0" t="s">
        <x:v>23366</x:v>
      </x:c>
      <x:c r="E5878" s="0" t="s">
        <x:v>23367</x:v>
      </x:c>
      <x:c r="F5878" s="0" t="s">
        <x:v>45</x:v>
      </x:c>
      <x:c r="G5878" s="0" t="s">
        <x:v>19</x:v>
      </x:c>
      <x:c r="H5878" s="0" t="s">
        <x:v>20</x:v>
      </x:c>
      <x:c r="I5878" s="0" t="s">
        <x:v>21</x:v>
      </x:c>
      <x:c r="K5878" s="0">
        <x:f>hyperlink("https://icd.who.int/dev11/l-ichi/en#/http%3A%2F%2Fid.who.int%2Ficd%2Fentity%2F1612793769","browser")</x:f>
      </x:c>
      <x:c r="L5878" s="0">
        <x:f>hyperlink("https://icat2.azurewebsites.net/icat/?ontology=ICD&amp;tab=ClassesTab&amp;id=http%3A%2F%2Fwho.int%2Ficd%2333562_512ebf36_bf6b_4d70_85da_cf2637062af4","iCat")</x:f>
      </x:c>
      <x:c r="M5878" s="0" t="s">
        <x:v>21</x:v>
      </x:c>
      <x:c r="N5878" s="0" t="s">
        <x:v>46</x:v>
      </x:c>
    </x:row>
    <x:row r="5879" spans="1:16">
      <x:c r="A5879" s="0" t="s">
        <x:v>23368</x:v>
      </x:c>
      <x:c r="B5879" s="0" t="s">
        <x:v>23369</x:v>
      </x:c>
      <x:c r="C5879" s="0" t="s">
        <x:v>23370</x:v>
      </x:c>
      <x:c r="E5879" s="0" t="s">
        <x:v>23371</x:v>
      </x:c>
      <x:c r="F5879" s="0" t="s">
        <x:v>45</x:v>
      </x:c>
      <x:c r="G5879" s="0" t="s">
        <x:v>19</x:v>
      </x:c>
      <x:c r="H5879" s="0" t="s">
        <x:v>20</x:v>
      </x:c>
      <x:c r="I5879" s="0" t="s">
        <x:v>21</x:v>
      </x:c>
      <x:c r="K5879" s="0">
        <x:f>hyperlink("https://icd.who.int/dev11/l-ichi/en#/http%3A%2F%2Fid.who.int%2Ficd%2Fentity%2F1331805447","browser")</x:f>
      </x:c>
      <x:c r="L5879" s="0">
        <x:f>hyperlink("https://icat2.azurewebsites.net/icat/?ontology=ICD&amp;tab=ClassesTab&amp;id=http%3A%2F%2Fwho.int%2Ficd%2333571_512ebf36_bf6b_4d70_85da_cf2637062af4","iCat")</x:f>
      </x:c>
      <x:c r="M5879" s="0" t="s">
        <x:v>21</x:v>
      </x:c>
      <x:c r="N5879" s="0" t="s">
        <x:v>46</x:v>
      </x:c>
    </x:row>
    <x:row r="5880" spans="1:16">
      <x:c r="A5880" s="0" t="s">
        <x:v>23372</x:v>
      </x:c>
      <x:c r="B5880" s="0" t="s">
        <x:v>23373</x:v>
      </x:c>
      <x:c r="C5880" s="0" t="s">
        <x:v>23374</x:v>
      </x:c>
      <x:c r="E5880" s="0" t="s">
        <x:v>23375</x:v>
      </x:c>
      <x:c r="F5880" s="0" t="s">
        <x:v>45</x:v>
      </x:c>
      <x:c r="G5880" s="0" t="s">
        <x:v>19</x:v>
      </x:c>
      <x:c r="H5880" s="0" t="s">
        <x:v>20</x:v>
      </x:c>
      <x:c r="I5880" s="0" t="s">
        <x:v>21</x:v>
      </x:c>
      <x:c r="K5880" s="0">
        <x:f>hyperlink("https://icd.who.int/dev11/l-ichi/en#/http%3A%2F%2Fid.who.int%2Ficd%2Fentity%2F31509586","browser")</x:f>
      </x:c>
      <x:c r="L5880" s="0">
        <x:f>hyperlink("https://icat2.azurewebsites.net/icat/?ontology=ICD&amp;tab=ClassesTab&amp;id=http%3A%2F%2Fwho.int%2Ficd%2333579_512ebf36_bf6b_4d70_85da_cf2637062af4","iCat")</x:f>
      </x:c>
      <x:c r="M5880" s="0" t="s">
        <x:v>21</x:v>
      </x:c>
      <x:c r="N5880" s="0" t="s">
        <x:v>46</x:v>
      </x:c>
    </x:row>
    <x:row r="5881" spans="1:16">
      <x:c r="A5881" s="0" t="s">
        <x:v>23376</x:v>
      </x:c>
      <x:c r="B5881" s="0" t="s">
        <x:v>23377</x:v>
      </x:c>
      <x:c r="C5881" s="0" t="s">
        <x:v>23378</x:v>
      </x:c>
      <x:c r="E5881" s="0" t="s">
        <x:v>23379</x:v>
      </x:c>
      <x:c r="F5881" s="0" t="s">
        <x:v>45</x:v>
      </x:c>
      <x:c r="G5881" s="0" t="s">
        <x:v>19</x:v>
      </x:c>
      <x:c r="H5881" s="0" t="s">
        <x:v>20</x:v>
      </x:c>
      <x:c r="I5881" s="0" t="s">
        <x:v>21</x:v>
      </x:c>
      <x:c r="K5881" s="0">
        <x:f>hyperlink("https://icd.who.int/dev11/l-ichi/en#/http%3A%2F%2Fid.who.int%2Ficd%2Fentity%2F821898858","browser")</x:f>
      </x:c>
      <x:c r="L5881" s="0">
        <x:f>hyperlink("https://icat2.azurewebsites.net/icat/?ontology=ICD&amp;tab=ClassesTab&amp;id=http%3A%2F%2Fwho.int%2Ficd%2333587_512ebf36_bf6b_4d70_85da_cf2637062af4","iCat")</x:f>
      </x:c>
      <x:c r="M5881" s="0" t="s">
        <x:v>21</x:v>
      </x:c>
      <x:c r="N5881" s="0" t="s">
        <x:v>46</x:v>
      </x:c>
    </x:row>
    <x:row r="5882" spans="1:16">
      <x:c r="A5882" s="0" t="s">
        <x:v>23380</x:v>
      </x:c>
      <x:c r="B5882" s="0" t="s">
        <x:v>23381</x:v>
      </x:c>
      <x:c r="C5882" s="0" t="s">
        <x:v>23382</x:v>
      </x:c>
      <x:c r="E5882" s="0" t="s">
        <x:v>23383</x:v>
      </x:c>
      <x:c r="F5882" s="0" t="s">
        <x:v>45</x:v>
      </x:c>
      <x:c r="G5882" s="0" t="s">
        <x:v>19</x:v>
      </x:c>
      <x:c r="H5882" s="0" t="s">
        <x:v>20</x:v>
      </x:c>
      <x:c r="I5882" s="0" t="s">
        <x:v>21</x:v>
      </x:c>
      <x:c r="K5882" s="0">
        <x:f>hyperlink("https://icd.who.int/dev11/l-ichi/en#/http%3A%2F%2Fid.who.int%2Ficd%2Fentity%2F1061463804","browser")</x:f>
      </x:c>
      <x:c r="L5882" s="0">
        <x:f>hyperlink("https://icat2.azurewebsites.net/icat/?ontology=ICD&amp;tab=ClassesTab&amp;id=http%3A%2F%2Fwho.int%2Ficd%2333595_512ebf36_bf6b_4d70_85da_cf2637062af4","iCat")</x:f>
      </x:c>
      <x:c r="M5882" s="0" t="s">
        <x:v>21</x:v>
      </x:c>
      <x:c r="N5882" s="0" t="s">
        <x:v>46</x:v>
      </x:c>
    </x:row>
    <x:row r="5883" spans="1:16">
      <x:c r="A5883" s="0" t="s">
        <x:v>23384</x:v>
      </x:c>
      <x:c r="B5883" s="0" t="s">
        <x:v>23385</x:v>
      </x:c>
      <x:c r="C5883" s="0" t="s">
        <x:v>23386</x:v>
      </x:c>
      <x:c r="E5883" s="0" t="s">
        <x:v>23387</x:v>
      </x:c>
      <x:c r="F5883" s="0" t="s">
        <x:v>45</x:v>
      </x:c>
      <x:c r="G5883" s="0" t="s">
        <x:v>19</x:v>
      </x:c>
      <x:c r="H5883" s="0" t="s">
        <x:v>20</x:v>
      </x:c>
      <x:c r="I5883" s="0" t="s">
        <x:v>21</x:v>
      </x:c>
      <x:c r="K5883" s="0">
        <x:f>hyperlink("https://icd.who.int/dev11/l-ichi/en#/http%3A%2F%2Fid.who.int%2Ficd%2Fentity%2F518527556","browser")</x:f>
      </x:c>
      <x:c r="L5883" s="0">
        <x:f>hyperlink("https://icat2.azurewebsites.net/icat/?ontology=ICD&amp;tab=ClassesTab&amp;id=http%3A%2F%2Fwho.int%2Ficd%2333601_512ebf36_bf6b_4d70_85da_cf2637062af4","iCat")</x:f>
      </x:c>
      <x:c r="M5883" s="0" t="s">
        <x:v>21</x:v>
      </x:c>
      <x:c r="N5883" s="0" t="s">
        <x:v>46</x:v>
      </x:c>
    </x:row>
    <x:row r="5884" spans="1:16">
      <x:c r="A5884" s="0" t="s">
        <x:v>23388</x:v>
      </x:c>
      <x:c r="B5884" s="0" t="s">
        <x:v>23389</x:v>
      </x:c>
      <x:c r="C5884" s="0" t="s">
        <x:v>23390</x:v>
      </x:c>
      <x:c r="E5884" s="0" t="s">
        <x:v>23391</x:v>
      </x:c>
      <x:c r="F5884" s="0" t="s">
        <x:v>45</x:v>
      </x:c>
      <x:c r="G5884" s="0" t="s">
        <x:v>19</x:v>
      </x:c>
      <x:c r="H5884" s="0" t="s">
        <x:v>20</x:v>
      </x:c>
      <x:c r="I5884" s="0" t="s">
        <x:v>21</x:v>
      </x:c>
      <x:c r="K5884" s="0">
        <x:f>hyperlink("https://icd.who.int/dev11/l-ichi/en#/http%3A%2F%2Fid.who.int%2Ficd%2Fentity%2F1641232731","browser")</x:f>
      </x:c>
      <x:c r="L5884" s="0">
        <x:f>hyperlink("https://icat2.azurewebsites.net/icat/?ontology=ICD&amp;tab=ClassesTab&amp;id=http%3A%2F%2Fwho.int%2Ficd%2333614_512ebf36_bf6b_4d70_85da_cf2637062af4","iCat")</x:f>
      </x:c>
      <x:c r="M5884" s="0" t="s">
        <x:v>21</x:v>
      </x:c>
      <x:c r="N5884" s="0" t="s">
        <x:v>46</x:v>
      </x:c>
    </x:row>
    <x:row r="5885" spans="1:16">
      <x:c r="A5885" s="0" t="s">
        <x:v>23392</x:v>
      </x:c>
      <x:c r="B5885" s="0" t="s">
        <x:v>23393</x:v>
      </x:c>
      <x:c r="C5885" s="0" t="s">
        <x:v>23394</x:v>
      </x:c>
      <x:c r="E5885" s="0" t="s">
        <x:v>23395</x:v>
      </x:c>
      <x:c r="F5885" s="0" t="s">
        <x:v>45</x:v>
      </x:c>
      <x:c r="G5885" s="0" t="s">
        <x:v>19</x:v>
      </x:c>
      <x:c r="H5885" s="0" t="s">
        <x:v>20</x:v>
      </x:c>
      <x:c r="I5885" s="0" t="s">
        <x:v>21</x:v>
      </x:c>
      <x:c r="K5885" s="0">
        <x:f>hyperlink("https://icd.who.int/dev11/l-ichi/en#/http%3A%2F%2Fid.who.int%2Ficd%2Fentity%2F882691862","browser")</x:f>
      </x:c>
      <x:c r="L5885" s="0">
        <x:f>hyperlink("https://icat2.azurewebsites.net/icat/?ontology=ICD&amp;tab=ClassesTab&amp;id=http%3A%2F%2Fwho.int%2Ficd%2333621_512ebf36_bf6b_4d70_85da_cf2637062af4","iCat")</x:f>
      </x:c>
      <x:c r="M5885" s="0" t="s">
        <x:v>21</x:v>
      </x:c>
      <x:c r="N5885" s="0" t="s">
        <x:v>46</x:v>
      </x:c>
    </x:row>
    <x:row r="5886" spans="1:16">
      <x:c r="A5886" s="0" t="s">
        <x:v>23396</x:v>
      </x:c>
      <x:c r="B5886" s="0" t="s">
        <x:v>23397</x:v>
      </x:c>
      <x:c r="C5886" s="0" t="s">
        <x:v>23398</x:v>
      </x:c>
      <x:c r="E5886" s="0" t="s">
        <x:v>23399</x:v>
      </x:c>
      <x:c r="F5886" s="0" t="s">
        <x:v>45</x:v>
      </x:c>
      <x:c r="G5886" s="0" t="s">
        <x:v>19</x:v>
      </x:c>
      <x:c r="H5886" s="0" t="s">
        <x:v>20</x:v>
      </x:c>
      <x:c r="I5886" s="0" t="s">
        <x:v>21</x:v>
      </x:c>
      <x:c r="K5886" s="0">
        <x:f>hyperlink("https://icd.who.int/dev11/l-ichi/en#/http%3A%2F%2Fid.who.int%2Ficd%2Fentity%2F1582914115","browser")</x:f>
      </x:c>
      <x:c r="L5886" s="0">
        <x:f>hyperlink("https://icat2.azurewebsites.net/icat/?ontology=ICD&amp;tab=ClassesTab&amp;id=http%3A%2F%2Fwho.int%2Ficd%2333631_512ebf36_bf6b_4d70_85da_cf2637062af4","iCat")</x:f>
      </x:c>
      <x:c r="M5886" s="0" t="s">
        <x:v>21</x:v>
      </x:c>
      <x:c r="N5886" s="0" t="s">
        <x:v>46</x:v>
      </x:c>
    </x:row>
    <x:row r="5887" spans="1:16">
      <x:c r="A5887" s="0" t="s">
        <x:v>23400</x:v>
      </x:c>
      <x:c r="B5887" s="0" t="s">
        <x:v>23401</x:v>
      </x:c>
      <x:c r="C5887" s="0" t="s">
        <x:v>23402</x:v>
      </x:c>
      <x:c r="E5887" s="0" t="s">
        <x:v>23403</x:v>
      </x:c>
      <x:c r="F5887" s="0" t="s">
        <x:v>45</x:v>
      </x:c>
      <x:c r="G5887" s="0" t="s">
        <x:v>19</x:v>
      </x:c>
      <x:c r="H5887" s="0" t="s">
        <x:v>20</x:v>
      </x:c>
      <x:c r="I5887" s="0" t="s">
        <x:v>21</x:v>
      </x:c>
      <x:c r="K5887" s="0">
        <x:f>hyperlink("https://icd.who.int/dev11/l-ichi/en#/http%3A%2F%2Fid.who.int%2Ficd%2Fentity%2F1854884185","browser")</x:f>
      </x:c>
      <x:c r="L5887" s="0">
        <x:f>hyperlink("https://icat2.azurewebsites.net/icat/?ontology=ICD&amp;tab=ClassesTab&amp;id=http%3A%2F%2Fwho.int%2Ficd%2333641_512ebf36_bf6b_4d70_85da_cf2637062af4","iCat")</x:f>
      </x:c>
      <x:c r="M5887" s="0" t="s">
        <x:v>21</x:v>
      </x:c>
      <x:c r="N5887" s="0" t="s">
        <x:v>46</x:v>
      </x:c>
    </x:row>
    <x:row r="5888" spans="1:16">
      <x:c r="A5888" s="0" t="s">
        <x:v>23404</x:v>
      </x:c>
      <x:c r="B5888" s="0" t="s">
        <x:v>23405</x:v>
      </x:c>
      <x:c r="C5888" s="0" t="s">
        <x:v>23406</x:v>
      </x:c>
      <x:c r="E5888" s="0" t="s">
        <x:v>23407</x:v>
      </x:c>
      <x:c r="F5888" s="0" t="s">
        <x:v>45</x:v>
      </x:c>
      <x:c r="G5888" s="0" t="s">
        <x:v>19</x:v>
      </x:c>
      <x:c r="H5888" s="0" t="s">
        <x:v>20</x:v>
      </x:c>
      <x:c r="I5888" s="0" t="s">
        <x:v>21</x:v>
      </x:c>
      <x:c r="K5888" s="0">
        <x:f>hyperlink("https://icd.who.int/dev11/l-ichi/en#/http%3A%2F%2Fid.who.int%2Ficd%2Fentity%2F16206386","browser")</x:f>
      </x:c>
      <x:c r="L5888" s="0">
        <x:f>hyperlink("https://icat2.azurewebsites.net/icat/?ontology=ICD&amp;tab=ClassesTab&amp;id=http%3A%2F%2Fwho.int%2Ficd%2333648_512ebf36_bf6b_4d70_85da_cf2637062af4","iCat")</x:f>
      </x:c>
      <x:c r="M5888" s="0" t="s">
        <x:v>21</x:v>
      </x:c>
      <x:c r="N5888" s="0" t="s">
        <x:v>46</x:v>
      </x:c>
    </x:row>
    <x:row r="5889" spans="1:16">
      <x:c r="A5889" s="0" t="s">
        <x:v>23408</x:v>
      </x:c>
      <x:c r="B5889" s="0" t="s">
        <x:v>23409</x:v>
      </x:c>
      <x:c r="C5889" s="0" t="s">
        <x:v>23410</x:v>
      </x:c>
      <x:c r="E5889" s="0" t="s">
        <x:v>23411</x:v>
      </x:c>
      <x:c r="F5889" s="0" t="s">
        <x:v>45</x:v>
      </x:c>
      <x:c r="G5889" s="0" t="s">
        <x:v>19</x:v>
      </x:c>
      <x:c r="H5889" s="0" t="s">
        <x:v>20</x:v>
      </x:c>
      <x:c r="I5889" s="0" t="s">
        <x:v>21</x:v>
      </x:c>
      <x:c r="K5889" s="0">
        <x:f>hyperlink("https://icd.who.int/dev11/l-ichi/en#/http%3A%2F%2Fid.who.int%2Ficd%2Fentity%2F1959294851","browser")</x:f>
      </x:c>
      <x:c r="L5889" s="0">
        <x:f>hyperlink("https://icat2.azurewebsites.net/icat/?ontology=ICD&amp;tab=ClassesTab&amp;id=http%3A%2F%2Fwho.int%2Ficd%2333656_512ebf36_bf6b_4d70_85da_cf2637062af4","iCat")</x:f>
      </x:c>
      <x:c r="M5889" s="0" t="s">
        <x:v>21</x:v>
      </x:c>
      <x:c r="N5889" s="0" t="s">
        <x:v>46</x:v>
      </x:c>
    </x:row>
    <x:row r="5890" spans="1:16">
      <x:c r="A5890" s="0" t="s">
        <x:v>23412</x:v>
      </x:c>
      <x:c r="B5890" s="0" t="s">
        <x:v>23413</x:v>
      </x:c>
      <x:c r="C5890" s="0" t="s">
        <x:v>23414</x:v>
      </x:c>
      <x:c r="E5890" s="0" t="s">
        <x:v>23415</x:v>
      </x:c>
      <x:c r="F5890" s="0" t="s">
        <x:v>45</x:v>
      </x:c>
      <x:c r="G5890" s="0" t="s">
        <x:v>19</x:v>
      </x:c>
      <x:c r="H5890" s="0" t="s">
        <x:v>20</x:v>
      </x:c>
      <x:c r="I5890" s="0" t="s">
        <x:v>21</x:v>
      </x:c>
      <x:c r="K5890" s="0">
        <x:f>hyperlink("https://icd.who.int/dev11/l-ichi/en#/http%3A%2F%2Fid.who.int%2Ficd%2Fentity%2F1359292993","browser")</x:f>
      </x:c>
      <x:c r="L5890" s="0">
        <x:f>hyperlink("https://icat2.azurewebsites.net/icat/?ontology=ICD&amp;tab=ClassesTab&amp;id=http%3A%2F%2Fwho.int%2Ficd%2333664_512ebf36_bf6b_4d70_85da_cf2637062af4","iCat")</x:f>
      </x:c>
      <x:c r="M5890" s="0" t="s">
        <x:v>21</x:v>
      </x:c>
      <x:c r="N5890" s="0" t="s">
        <x:v>46</x:v>
      </x:c>
    </x:row>
    <x:row r="5891" spans="1:16">
      <x:c r="A5891" s="0" t="s">
        <x:v>23416</x:v>
      </x:c>
      <x:c r="B5891" s="0" t="s">
        <x:v>23417</x:v>
      </x:c>
      <x:c r="C5891" s="0" t="s">
        <x:v>23418</x:v>
      </x:c>
      <x:c r="E5891" s="0" t="s">
        <x:v>23419</x:v>
      </x:c>
      <x:c r="F5891" s="0" t="s">
        <x:v>45</x:v>
      </x:c>
      <x:c r="G5891" s="0" t="s">
        <x:v>19</x:v>
      </x:c>
      <x:c r="H5891" s="0" t="s">
        <x:v>20</x:v>
      </x:c>
      <x:c r="I5891" s="0" t="s">
        <x:v>21</x:v>
      </x:c>
      <x:c r="K5891" s="0">
        <x:f>hyperlink("https://icd.who.int/dev11/l-ichi/en#/http%3A%2F%2Fid.who.int%2Ficd%2Fentity%2F1262621851","browser")</x:f>
      </x:c>
      <x:c r="L5891" s="0">
        <x:f>hyperlink("https://icat2.azurewebsites.net/icat/?ontology=ICD&amp;tab=ClassesTab&amp;id=http%3A%2F%2Fwho.int%2Ficd%2333673_512ebf36_bf6b_4d70_85da_cf2637062af4","iCat")</x:f>
      </x:c>
      <x:c r="M5891" s="0" t="s">
        <x:v>21</x:v>
      </x:c>
      <x:c r="N5891" s="0" t="s">
        <x:v>46</x:v>
      </x:c>
    </x:row>
    <x:row r="5892" spans="1:16">
      <x:c r="A5892" s="0" t="s">
        <x:v>23420</x:v>
      </x:c>
      <x:c r="B5892" s="0" t="s">
        <x:v>23421</x:v>
      </x:c>
      <x:c r="C5892" s="0" t="s">
        <x:v>23422</x:v>
      </x:c>
      <x:c r="E5892" s="0" t="s">
        <x:v>23423</x:v>
      </x:c>
      <x:c r="F5892" s="0" t="s">
        <x:v>45</x:v>
      </x:c>
      <x:c r="G5892" s="0" t="s">
        <x:v>19</x:v>
      </x:c>
      <x:c r="H5892" s="0" t="s">
        <x:v>20</x:v>
      </x:c>
      <x:c r="I5892" s="0" t="s">
        <x:v>21</x:v>
      </x:c>
      <x:c r="K5892" s="0">
        <x:f>hyperlink("https://icd.who.int/dev11/l-ichi/en#/http%3A%2F%2Fid.who.int%2Ficd%2Fentity%2F1146891385","browser")</x:f>
      </x:c>
      <x:c r="L5892" s="0">
        <x:f>hyperlink("https://icat2.azurewebsites.net/icat/?ontology=ICD&amp;tab=ClassesTab&amp;id=http%3A%2F%2Fwho.int%2Ficd%2333682_512ebf36_bf6b_4d70_85da_cf2637062af4","iCat")</x:f>
      </x:c>
      <x:c r="M5892" s="0" t="s">
        <x:v>21</x:v>
      </x:c>
      <x:c r="N5892" s="0" t="s">
        <x:v>46</x:v>
      </x:c>
    </x:row>
    <x:row r="5893" spans="1:16">
      <x:c r="A5893" s="0" t="s">
        <x:v>23424</x:v>
      </x:c>
      <x:c r="B5893" s="0" t="s">
        <x:v>23425</x:v>
      </x:c>
      <x:c r="C5893" s="0" t="s">
        <x:v>23426</x:v>
      </x:c>
      <x:c r="E5893" s="0" t="s">
        <x:v>23427</x:v>
      </x:c>
      <x:c r="F5893" s="0" t="s">
        <x:v>45</x:v>
      </x:c>
      <x:c r="G5893" s="0" t="s">
        <x:v>19</x:v>
      </x:c>
      <x:c r="H5893" s="0" t="s">
        <x:v>20</x:v>
      </x:c>
      <x:c r="I5893" s="0" t="s">
        <x:v>21</x:v>
      </x:c>
      <x:c r="K5893" s="0">
        <x:f>hyperlink("https://icd.who.int/dev11/l-ichi/en#/http%3A%2F%2Fid.who.int%2Ficd%2Fentity%2F1273341163","browser")</x:f>
      </x:c>
      <x:c r="L5893" s="0">
        <x:f>hyperlink("https://icat2.azurewebsites.net/icat/?ontology=ICD&amp;tab=ClassesTab&amp;id=http%3A%2F%2Fwho.int%2Ficd%2333690_512ebf36_bf6b_4d70_85da_cf2637062af4","iCat")</x:f>
      </x:c>
      <x:c r="M5893" s="0" t="s">
        <x:v>21</x:v>
      </x:c>
      <x:c r="N5893" s="0" t="s">
        <x:v>46</x:v>
      </x:c>
    </x:row>
    <x:row r="5894" spans="1:16">
      <x:c r="A5894" s="0" t="s">
        <x:v>23428</x:v>
      </x:c>
      <x:c r="B5894" s="0" t="s">
        <x:v>23429</x:v>
      </x:c>
      <x:c r="C5894" s="0" t="s">
        <x:v>23430</x:v>
      </x:c>
      <x:c r="E5894" s="0" t="s">
        <x:v>23431</x:v>
      </x:c>
      <x:c r="F5894" s="0" t="s">
        <x:v>45</x:v>
      </x:c>
      <x:c r="G5894" s="0" t="s">
        <x:v>19</x:v>
      </x:c>
      <x:c r="H5894" s="0" t="s">
        <x:v>20</x:v>
      </x:c>
      <x:c r="I5894" s="0" t="s">
        <x:v>21</x:v>
      </x:c>
      <x:c r="K5894" s="0">
        <x:f>hyperlink("https://icd.who.int/dev11/l-ichi/en#/http%3A%2F%2Fid.who.int%2Ficd%2Fentity%2F90494398","browser")</x:f>
      </x:c>
      <x:c r="L5894" s="0">
        <x:f>hyperlink("https://icat2.azurewebsites.net/icat/?ontology=ICD&amp;tab=ClassesTab&amp;id=http%3A%2F%2Fwho.int%2Ficd%2333698_512ebf36_bf6b_4d70_85da_cf2637062af4","iCat")</x:f>
      </x:c>
      <x:c r="M5894" s="0" t="s">
        <x:v>21</x:v>
      </x:c>
      <x:c r="N5894" s="0" t="s">
        <x:v>46</x:v>
      </x:c>
    </x:row>
    <x:row r="5895" spans="1:16">
      <x:c r="A5895" s="0" t="s">
        <x:v>23432</x:v>
      </x:c>
      <x:c r="B5895" s="0" t="s">
        <x:v>23433</x:v>
      </x:c>
      <x:c r="C5895" s="0" t="s">
        <x:v>23434</x:v>
      </x:c>
      <x:c r="E5895" s="0" t="s">
        <x:v>23435</x:v>
      </x:c>
      <x:c r="F5895" s="0" t="s">
        <x:v>45</x:v>
      </x:c>
      <x:c r="G5895" s="0" t="s">
        <x:v>19</x:v>
      </x:c>
      <x:c r="H5895" s="0" t="s">
        <x:v>20</x:v>
      </x:c>
      <x:c r="I5895" s="0" t="s">
        <x:v>21</x:v>
      </x:c>
      <x:c r="K5895" s="0">
        <x:f>hyperlink("https://icd.who.int/dev11/l-ichi/en#/http%3A%2F%2Fid.who.int%2Ficd%2Fentity%2F2122934929","browser")</x:f>
      </x:c>
      <x:c r="L5895" s="0">
        <x:f>hyperlink("https://icat2.azurewebsites.net/icat/?ontology=ICD&amp;tab=ClassesTab&amp;id=http%3A%2F%2Fwho.int%2Ficd%2333704_512ebf36_bf6b_4d70_85da_cf2637062af4","iCat")</x:f>
      </x:c>
      <x:c r="M5895" s="0" t="s">
        <x:v>21</x:v>
      </x:c>
      <x:c r="N5895" s="0" t="s">
        <x:v>46</x:v>
      </x:c>
    </x:row>
    <x:row r="5896" spans="1:16">
      <x:c r="A5896" s="0" t="s">
        <x:v>23436</x:v>
      </x:c>
      <x:c r="B5896" s="0" t="s">
        <x:v>23437</x:v>
      </x:c>
      <x:c r="C5896" s="0" t="s">
        <x:v>23438</x:v>
      </x:c>
      <x:c r="E5896" s="0" t="s">
        <x:v>23439</x:v>
      </x:c>
      <x:c r="F5896" s="0" t="s">
        <x:v>45</x:v>
      </x:c>
      <x:c r="G5896" s="0" t="s">
        <x:v>19</x:v>
      </x:c>
      <x:c r="H5896" s="0" t="s">
        <x:v>20</x:v>
      </x:c>
      <x:c r="I5896" s="0" t="s">
        <x:v>21</x:v>
      </x:c>
      <x:c r="K5896" s="0">
        <x:f>hyperlink("https://icd.who.int/dev11/l-ichi/en#/http%3A%2F%2Fid.who.int%2Ficd%2Fentity%2F28461454","browser")</x:f>
      </x:c>
      <x:c r="L5896" s="0">
        <x:f>hyperlink("https://icat2.azurewebsites.net/icat/?ontology=ICD&amp;tab=ClassesTab&amp;id=http%3A%2F%2Fwho.int%2Ficd%2333711_512ebf36_bf6b_4d70_85da_cf2637062af4","iCat")</x:f>
      </x:c>
      <x:c r="M5896" s="0" t="s">
        <x:v>21</x:v>
      </x:c>
      <x:c r="N5896" s="0" t="s">
        <x:v>46</x:v>
      </x:c>
    </x:row>
    <x:row r="5897" spans="1:16">
      <x:c r="A5897" s="0" t="s">
        <x:v>23440</x:v>
      </x:c>
      <x:c r="B5897" s="0" t="s">
        <x:v>23441</x:v>
      </x:c>
      <x:c r="C5897" s="0" t="s">
        <x:v>23442</x:v>
      </x:c>
      <x:c r="E5897" s="0" t="s">
        <x:v>23443</x:v>
      </x:c>
      <x:c r="F5897" s="0" t="s">
        <x:v>45</x:v>
      </x:c>
      <x:c r="G5897" s="0" t="s">
        <x:v>19</x:v>
      </x:c>
      <x:c r="H5897" s="0" t="s">
        <x:v>20</x:v>
      </x:c>
      <x:c r="I5897" s="0" t="s">
        <x:v>21</x:v>
      </x:c>
      <x:c r="K5897" s="0">
        <x:f>hyperlink("https://icd.who.int/dev11/l-ichi/en#/http%3A%2F%2Fid.who.int%2Ficd%2Fentity%2F1372164159","browser")</x:f>
      </x:c>
      <x:c r="L5897" s="0">
        <x:f>hyperlink("https://icat2.azurewebsites.net/icat/?ontology=ICD&amp;tab=ClassesTab&amp;id=http%3A%2F%2Fwho.int%2Ficd%2333717_512ebf36_bf6b_4d70_85da_cf2637062af4","iCat")</x:f>
      </x:c>
      <x:c r="M5897" s="0" t="s">
        <x:v>21</x:v>
      </x:c>
      <x:c r="N5897" s="0" t="s">
        <x:v>46</x:v>
      </x:c>
    </x:row>
    <x:row r="5898" spans="1:16">
      <x:c r="A5898" s="0" t="s">
        <x:v>23444</x:v>
      </x:c>
      <x:c r="B5898" s="0" t="s">
        <x:v>23445</x:v>
      </x:c>
      <x:c r="D5898" s="0" t="s">
        <x:v>23446</x:v>
      </x:c>
      <x:c r="E5898" s="0" t="s">
        <x:v>23447</x:v>
      </x:c>
      <x:c r="F5898" s="0" t="s">
        <x:v>26</x:v>
      </x:c>
      <x:c r="G5898" s="0" t="s">
        <x:v>22</x:v>
      </x:c>
      <x:c r="H5898" s="0" t="s">
        <x:v>20</x:v>
      </x:c>
      <x:c r="I5898" s="0" t="s">
        <x:v>21</x:v>
      </x:c>
      <x:c r="K5898" s="0">
        <x:f>hyperlink("https://icd.who.int/dev11/l-ichi/en#/http%3A%2F%2Fid.who.int%2Ficd%2Fentity%2F1425915841","browser")</x:f>
      </x:c>
      <x:c r="L5898" s="0">
        <x:f>hyperlink("https://icat2.azurewebsites.net/icat/?ontology=ICD&amp;tab=ClassesTab&amp;id=http%3A%2F%2Fwho.int%2Ficd%2333724_512ebf36_bf6b_4d70_85da_cf2637062af4","iCat")</x:f>
      </x:c>
      <x:c r="M5898" s="0" t="s">
        <x:v>20</x:v>
      </x:c>
      <x:c r="N5898" s="0" t="s">
        <x:v>23448</x:v>
      </x:c>
    </x:row>
    <x:row r="5899" spans="1:16">
      <x:c r="A5899" s="0" t="s">
        <x:v>23449</x:v>
      </x:c>
      <x:c r="B5899" s="0" t="s">
        <x:v>23450</x:v>
      </x:c>
      <x:c r="C5899" s="0" t="s">
        <x:v>23451</x:v>
      </x:c>
      <x:c r="E5899" s="0" t="s">
        <x:v>23452</x:v>
      </x:c>
      <x:c r="F5899" s="0" t="s">
        <x:v>45</x:v>
      </x:c>
      <x:c r="G5899" s="0" t="s">
        <x:v>19</x:v>
      </x:c>
      <x:c r="H5899" s="0" t="s">
        <x:v>20</x:v>
      </x:c>
      <x:c r="I5899" s="0" t="s">
        <x:v>21</x:v>
      </x:c>
      <x:c r="K5899" s="0">
        <x:f>hyperlink("https://icd.who.int/dev11/l-ichi/en#/http%3A%2F%2Fid.who.int%2Ficd%2Fentity%2F612308046","browser")</x:f>
      </x:c>
      <x:c r="L5899" s="0">
        <x:f>hyperlink("https://icat2.azurewebsites.net/icat/?ontology=ICD&amp;tab=ClassesTab&amp;id=http%3A%2F%2Fwho.int%2Ficd%2333723_512ebf36_bf6b_4d70_85da_cf2637062af4","iCat")</x:f>
      </x:c>
      <x:c r="M5899" s="0" t="s">
        <x:v>21</x:v>
      </x:c>
      <x:c r="N5899" s="0" t="s">
        <x:v>46</x:v>
      </x:c>
    </x:row>
    <x:row r="5900" spans="1:16">
      <x:c r="A5900" s="0" t="s">
        <x:v>23453</x:v>
      </x:c>
      <x:c r="B5900" s="0" t="s">
        <x:v>23454</x:v>
      </x:c>
      <x:c r="C5900" s="0" t="s">
        <x:v>23455</x:v>
      </x:c>
      <x:c r="E5900" s="0" t="s">
        <x:v>23456</x:v>
      </x:c>
      <x:c r="F5900" s="0" t="s">
        <x:v>45</x:v>
      </x:c>
      <x:c r="G5900" s="0" t="s">
        <x:v>19</x:v>
      </x:c>
      <x:c r="H5900" s="0" t="s">
        <x:v>20</x:v>
      </x:c>
      <x:c r="I5900" s="0" t="s">
        <x:v>21</x:v>
      </x:c>
      <x:c r="K5900" s="0">
        <x:f>hyperlink("https://icd.who.int/dev11/l-ichi/en#/http%3A%2F%2Fid.who.int%2Ficd%2Fentity%2F1531197267","browser")</x:f>
      </x:c>
      <x:c r="L5900" s="0">
        <x:f>hyperlink("https://icat2.azurewebsites.net/icat/?ontology=ICD&amp;tab=ClassesTab&amp;id=http%3A%2F%2Fwho.int%2Ficd%2333736_512ebf36_bf6b_4d70_85da_cf2637062af4","iCat")</x:f>
      </x:c>
      <x:c r="M5900" s="0" t="s">
        <x:v>21</x:v>
      </x:c>
      <x:c r="N5900" s="0" t="s">
        <x:v>46</x:v>
      </x:c>
    </x:row>
    <x:row r="5901" spans="1:16">
      <x:c r="A5901" s="0" t="s">
        <x:v>23457</x:v>
      </x:c>
      <x:c r="B5901" s="0" t="s">
        <x:v>23458</x:v>
      </x:c>
      <x:c r="C5901" s="0" t="s">
        <x:v>23459</x:v>
      </x:c>
      <x:c r="E5901" s="0" t="s">
        <x:v>23460</x:v>
      </x:c>
      <x:c r="F5901" s="0" t="s">
        <x:v>45</x:v>
      </x:c>
      <x:c r="G5901" s="0" t="s">
        <x:v>19</x:v>
      </x:c>
      <x:c r="H5901" s="0" t="s">
        <x:v>20</x:v>
      </x:c>
      <x:c r="I5901" s="0" t="s">
        <x:v>21</x:v>
      </x:c>
      <x:c r="K5901" s="0">
        <x:f>hyperlink("https://icd.who.int/dev11/l-ichi/en#/http%3A%2F%2Fid.who.int%2Ficd%2Fentity%2F1586880573","browser")</x:f>
      </x:c>
      <x:c r="L5901" s="0">
        <x:f>hyperlink("https://icat2.azurewebsites.net/icat/?ontology=ICD&amp;tab=ClassesTab&amp;id=http%3A%2F%2Fwho.int%2Ficd%2333742_512ebf36_bf6b_4d70_85da_cf2637062af4","iCat")</x:f>
      </x:c>
      <x:c r="M5901" s="0" t="s">
        <x:v>21</x:v>
      </x:c>
      <x:c r="N5901" s="0" t="s">
        <x:v>46</x:v>
      </x:c>
    </x:row>
    <x:row r="5902" spans="1:16">
      <x:c r="A5902" s="0" t="s">
        <x:v>23461</x:v>
      </x:c>
      <x:c r="B5902" s="0" t="s">
        <x:v>23462</x:v>
      </x:c>
      <x:c r="C5902" s="0" t="s">
        <x:v>23463</x:v>
      </x:c>
      <x:c r="E5902" s="0" t="s">
        <x:v>23464</x:v>
      </x:c>
      <x:c r="F5902" s="0" t="s">
        <x:v>45</x:v>
      </x:c>
      <x:c r="G5902" s="0" t="s">
        <x:v>19</x:v>
      </x:c>
      <x:c r="H5902" s="0" t="s">
        <x:v>20</x:v>
      </x:c>
      <x:c r="I5902" s="0" t="s">
        <x:v>21</x:v>
      </x:c>
      <x:c r="K5902" s="0">
        <x:f>hyperlink("https://icd.who.int/dev11/l-ichi/en#/http%3A%2F%2Fid.who.int%2Ficd%2Fentity%2F1154670311","browser")</x:f>
      </x:c>
      <x:c r="L5902" s="0">
        <x:f>hyperlink("https://icat2.azurewebsites.net/icat/?ontology=ICD&amp;tab=ClassesTab&amp;id=http%3A%2F%2Fwho.int%2Ficd%2333755_512ebf36_bf6b_4d70_85da_cf2637062af4","iCat")</x:f>
      </x:c>
      <x:c r="M5902" s="0" t="s">
        <x:v>21</x:v>
      </x:c>
      <x:c r="N5902" s="0" t="s">
        <x:v>46</x:v>
      </x:c>
    </x:row>
    <x:row r="5903" spans="1:16">
      <x:c r="A5903" s="0" t="s">
        <x:v>23465</x:v>
      </x:c>
      <x:c r="B5903" s="0" t="s">
        <x:v>23466</x:v>
      </x:c>
      <x:c r="C5903" s="0" t="s">
        <x:v>23467</x:v>
      </x:c>
      <x:c r="E5903" s="0" t="s">
        <x:v>23468</x:v>
      </x:c>
      <x:c r="F5903" s="0" t="s">
        <x:v>45</x:v>
      </x:c>
      <x:c r="G5903" s="0" t="s">
        <x:v>19</x:v>
      </x:c>
      <x:c r="H5903" s="0" t="s">
        <x:v>20</x:v>
      </x:c>
      <x:c r="I5903" s="0" t="s">
        <x:v>21</x:v>
      </x:c>
      <x:c r="K5903" s="0">
        <x:f>hyperlink("https://icd.who.int/dev11/l-ichi/en#/http%3A%2F%2Fid.who.int%2Ficd%2Fentity%2F1410877265","browser")</x:f>
      </x:c>
      <x:c r="L5903" s="0">
        <x:f>hyperlink("https://icat2.azurewebsites.net/icat/?ontology=ICD&amp;tab=ClassesTab&amp;id=http%3A%2F%2Fwho.int%2Ficd%2333763_512ebf36_bf6b_4d70_85da_cf2637062af4","iCat")</x:f>
      </x:c>
      <x:c r="M5903" s="0" t="s">
        <x:v>21</x:v>
      </x:c>
      <x:c r="N5903" s="0" t="s">
        <x:v>46</x:v>
      </x:c>
    </x:row>
    <x:row r="5904" spans="1:16">
      <x:c r="A5904" s="0" t="s">
        <x:v>23469</x:v>
      </x:c>
      <x:c r="B5904" s="0" t="s">
        <x:v>23470</x:v>
      </x:c>
      <x:c r="C5904" s="0" t="s">
        <x:v>23471</x:v>
      </x:c>
      <x:c r="E5904" s="0" t="s">
        <x:v>23472</x:v>
      </x:c>
      <x:c r="F5904" s="0" t="s">
        <x:v>45</x:v>
      </x:c>
      <x:c r="G5904" s="0" t="s">
        <x:v>19</x:v>
      </x:c>
      <x:c r="H5904" s="0" t="s">
        <x:v>20</x:v>
      </x:c>
      <x:c r="I5904" s="0" t="s">
        <x:v>21</x:v>
      </x:c>
      <x:c r="K5904" s="0">
        <x:f>hyperlink("https://icd.who.int/dev11/l-ichi/en#/http%3A%2F%2Fid.who.int%2Ficd%2Fentity%2F1537331139","browser")</x:f>
      </x:c>
      <x:c r="L5904" s="0">
        <x:f>hyperlink("https://icat2.azurewebsites.net/icat/?ontology=ICD&amp;tab=ClassesTab&amp;id=http%3A%2F%2Fwho.int%2Ficd%2333771_512ebf36_bf6b_4d70_85da_cf2637062af4","iCat")</x:f>
      </x:c>
      <x:c r="M5904" s="0" t="s">
        <x:v>21</x:v>
      </x:c>
      <x:c r="N5904" s="0" t="s">
        <x:v>46</x:v>
      </x:c>
    </x:row>
    <x:row r="5905" spans="1:16">
      <x:c r="A5905" s="0" t="s">
        <x:v>23473</x:v>
      </x:c>
      <x:c r="B5905" s="0" t="s">
        <x:v>23474</x:v>
      </x:c>
      <x:c r="C5905" s="0" t="s">
        <x:v>23475</x:v>
      </x:c>
      <x:c r="E5905" s="0" t="s">
        <x:v>23476</x:v>
      </x:c>
      <x:c r="F5905" s="0" t="s">
        <x:v>45</x:v>
      </x:c>
      <x:c r="G5905" s="0" t="s">
        <x:v>19</x:v>
      </x:c>
      <x:c r="H5905" s="0" t="s">
        <x:v>20</x:v>
      </x:c>
      <x:c r="I5905" s="0" t="s">
        <x:v>21</x:v>
      </x:c>
      <x:c r="K5905" s="0">
        <x:f>hyperlink("https://icd.who.int/dev11/l-ichi/en#/http%3A%2F%2Fid.who.int%2Ficd%2Fentity%2F834923236","browser")</x:f>
      </x:c>
      <x:c r="L5905" s="0">
        <x:f>hyperlink("https://icat2.azurewebsites.net/icat/?ontology=ICD&amp;tab=ClassesTab&amp;id=http%3A%2F%2Fwho.int%2Ficd%2333782_512ebf36_bf6b_4d70_85da_cf2637062af4","iCat")</x:f>
      </x:c>
      <x:c r="M5905" s="0" t="s">
        <x:v>21</x:v>
      </x:c>
      <x:c r="N5905" s="0" t="s">
        <x:v>46</x:v>
      </x:c>
    </x:row>
    <x:row r="5906" spans="1:16">
      <x:c r="A5906" s="0" t="s">
        <x:v>23477</x:v>
      </x:c>
      <x:c r="B5906" s="0" t="s">
        <x:v>23478</x:v>
      </x:c>
      <x:c r="C5906" s="0" t="s">
        <x:v>23479</x:v>
      </x:c>
      <x:c r="E5906" s="0" t="s">
        <x:v>23480</x:v>
      </x:c>
      <x:c r="F5906" s="0" t="s">
        <x:v>45</x:v>
      </x:c>
      <x:c r="G5906" s="0" t="s">
        <x:v>19</x:v>
      </x:c>
      <x:c r="H5906" s="0" t="s">
        <x:v>20</x:v>
      </x:c>
      <x:c r="I5906" s="0" t="s">
        <x:v>21</x:v>
      </x:c>
      <x:c r="K5906" s="0">
        <x:f>hyperlink("https://icd.who.int/dev11/l-ichi/en#/http%3A%2F%2Fid.who.int%2Ficd%2Fentity%2F1048207990","browser")</x:f>
      </x:c>
      <x:c r="L5906" s="0">
        <x:f>hyperlink("https://icat2.azurewebsites.net/icat/?ontology=ICD&amp;tab=ClassesTab&amp;id=http%3A%2F%2Fwho.int%2Ficd%2333790_512ebf36_bf6b_4d70_85da_cf2637062af4","iCat")</x:f>
      </x:c>
      <x:c r="M5906" s="0" t="s">
        <x:v>21</x:v>
      </x:c>
      <x:c r="N5906" s="0" t="s">
        <x:v>46</x:v>
      </x:c>
    </x:row>
    <x:row r="5907" spans="1:16">
      <x:c r="A5907" s="0" t="s">
        <x:v>23481</x:v>
      </x:c>
      <x:c r="B5907" s="0" t="s">
        <x:v>23482</x:v>
      </x:c>
      <x:c r="C5907" s="0" t="s">
        <x:v>23483</x:v>
      </x:c>
      <x:c r="E5907" s="0" t="s">
        <x:v>23484</x:v>
      </x:c>
      <x:c r="F5907" s="0" t="s">
        <x:v>45</x:v>
      </x:c>
      <x:c r="G5907" s="0" t="s">
        <x:v>19</x:v>
      </x:c>
      <x:c r="H5907" s="0" t="s">
        <x:v>20</x:v>
      </x:c>
      <x:c r="I5907" s="0" t="s">
        <x:v>21</x:v>
      </x:c>
      <x:c r="K5907" s="0">
        <x:f>hyperlink("https://icd.who.int/dev11/l-ichi/en#/http%3A%2F%2Fid.who.int%2Ficd%2Fentity%2F1342333215","browser")</x:f>
      </x:c>
      <x:c r="L5907" s="0">
        <x:f>hyperlink("https://icat2.azurewebsites.net/icat/?ontology=ICD&amp;tab=ClassesTab&amp;id=http%3A%2F%2Fwho.int%2Ficd%2333799_512ebf36_bf6b_4d70_85da_cf2637062af4","iCat")</x:f>
      </x:c>
      <x:c r="M5907" s="0" t="s">
        <x:v>21</x:v>
      </x:c>
      <x:c r="N5907" s="0" t="s">
        <x:v>46</x:v>
      </x:c>
    </x:row>
    <x:row r="5908" spans="1:16">
      <x:c r="A5908" s="0" t="s">
        <x:v>23485</x:v>
      </x:c>
      <x:c r="B5908" s="0" t="s">
        <x:v>23486</x:v>
      </x:c>
      <x:c r="C5908" s="0" t="s">
        <x:v>23487</x:v>
      </x:c>
      <x:c r="E5908" s="0" t="s">
        <x:v>23488</x:v>
      </x:c>
      <x:c r="F5908" s="0" t="s">
        <x:v>45</x:v>
      </x:c>
      <x:c r="G5908" s="0" t="s">
        <x:v>19</x:v>
      </x:c>
      <x:c r="H5908" s="0" t="s">
        <x:v>20</x:v>
      </x:c>
      <x:c r="I5908" s="0" t="s">
        <x:v>21</x:v>
      </x:c>
      <x:c r="K5908" s="0">
        <x:f>hyperlink("https://icd.who.int/dev11/l-ichi/en#/http%3A%2F%2Fid.who.int%2Ficd%2Fentity%2F1840834388","browser")</x:f>
      </x:c>
      <x:c r="L5908" s="0">
        <x:f>hyperlink("https://icat2.azurewebsites.net/icat/?ontology=ICD&amp;tab=ClassesTab&amp;id=http%3A%2F%2Fwho.int%2Ficd%2333806_512ebf36_bf6b_4d70_85da_cf2637062af4","iCat")</x:f>
      </x:c>
      <x:c r="M5908" s="0" t="s">
        <x:v>21</x:v>
      </x:c>
      <x:c r="N5908" s="0" t="s">
        <x:v>46</x:v>
      </x:c>
    </x:row>
    <x:row r="5909" spans="1:16">
      <x:c r="A5909" s="0" t="s">
        <x:v>23489</x:v>
      </x:c>
      <x:c r="B5909" s="0" t="s">
        <x:v>23490</x:v>
      </x:c>
      <x:c r="C5909" s="0" t="s">
        <x:v>23491</x:v>
      </x:c>
      <x:c r="E5909" s="0" t="s">
        <x:v>23492</x:v>
      </x:c>
      <x:c r="F5909" s="0" t="s">
        <x:v>45</x:v>
      </x:c>
      <x:c r="G5909" s="0" t="s">
        <x:v>19</x:v>
      </x:c>
      <x:c r="H5909" s="0" t="s">
        <x:v>20</x:v>
      </x:c>
      <x:c r="I5909" s="0" t="s">
        <x:v>21</x:v>
      </x:c>
      <x:c r="K5909" s="0">
        <x:f>hyperlink("https://icd.who.int/dev11/l-ichi/en#/http%3A%2F%2Fid.who.int%2Ficd%2Fentity%2F1644261314","browser")</x:f>
      </x:c>
      <x:c r="L5909" s="0">
        <x:f>hyperlink("https://icat2.azurewebsites.net/icat/?ontology=ICD&amp;tab=ClassesTab&amp;id=http%3A%2F%2Fwho.int%2Ficd%2333814_512ebf36_bf6b_4d70_85da_cf2637062af4","iCat")</x:f>
      </x:c>
      <x:c r="M5909" s="0" t="s">
        <x:v>21</x:v>
      </x:c>
      <x:c r="N5909" s="0" t="s">
        <x:v>46</x:v>
      </x:c>
    </x:row>
    <x:row r="5910" spans="1:16">
      <x:c r="A5910" s="0" t="s">
        <x:v>23493</x:v>
      </x:c>
      <x:c r="B5910" s="0" t="s">
        <x:v>23494</x:v>
      </x:c>
      <x:c r="C5910" s="0" t="s">
        <x:v>23495</x:v>
      </x:c>
      <x:c r="E5910" s="0" t="s">
        <x:v>23496</x:v>
      </x:c>
      <x:c r="F5910" s="0" t="s">
        <x:v>45</x:v>
      </x:c>
      <x:c r="G5910" s="0" t="s">
        <x:v>19</x:v>
      </x:c>
      <x:c r="H5910" s="0" t="s">
        <x:v>20</x:v>
      </x:c>
      <x:c r="I5910" s="0" t="s">
        <x:v>21</x:v>
      </x:c>
      <x:c r="K5910" s="0">
        <x:f>hyperlink("https://icd.who.int/dev11/l-ichi/en#/http%3A%2F%2Fid.who.int%2Ficd%2Fentity%2F1925969528","browser")</x:f>
      </x:c>
      <x:c r="L5910" s="0">
        <x:f>hyperlink("https://icat2.azurewebsites.net/icat/?ontology=ICD&amp;tab=ClassesTab&amp;id=http%3A%2F%2Fwho.int%2Ficd%2333822_512ebf36_bf6b_4d70_85da_cf2637062af4","iCat")</x:f>
      </x:c>
      <x:c r="M5910" s="0" t="s">
        <x:v>21</x:v>
      </x:c>
      <x:c r="N5910" s="0" t="s">
        <x:v>46</x:v>
      </x:c>
    </x:row>
    <x:row r="5911" spans="1:16">
      <x:c r="A5911" s="0" t="s">
        <x:v>23497</x:v>
      </x:c>
      <x:c r="B5911" s="0" t="s">
        <x:v>23498</x:v>
      </x:c>
      <x:c r="C5911" s="0" t="s">
        <x:v>23499</x:v>
      </x:c>
      <x:c r="E5911" s="0" t="s">
        <x:v>23500</x:v>
      </x:c>
      <x:c r="F5911" s="0" t="s">
        <x:v>45</x:v>
      </x:c>
      <x:c r="G5911" s="0" t="s">
        <x:v>19</x:v>
      </x:c>
      <x:c r="H5911" s="0" t="s">
        <x:v>20</x:v>
      </x:c>
      <x:c r="I5911" s="0" t="s">
        <x:v>21</x:v>
      </x:c>
      <x:c r="K5911" s="0">
        <x:f>hyperlink("https://icd.who.int/dev11/l-ichi/en#/http%3A%2F%2Fid.who.int%2Ficd%2Fentity%2F2043668698","browser")</x:f>
      </x:c>
      <x:c r="L5911" s="0">
        <x:f>hyperlink("https://icat2.azurewebsites.net/icat/?ontology=ICD&amp;tab=ClassesTab&amp;id=http%3A%2F%2Fwho.int%2Ficd%2333829_512ebf36_bf6b_4d70_85da_cf2637062af4","iCat")</x:f>
      </x:c>
      <x:c r="M5911" s="0" t="s">
        <x:v>21</x:v>
      </x:c>
      <x:c r="N5911" s="0" t="s">
        <x:v>46</x:v>
      </x:c>
    </x:row>
    <x:row r="5912" spans="1:16">
      <x:c r="A5912" s="0" t="s">
        <x:v>23501</x:v>
      </x:c>
      <x:c r="B5912" s="0" t="s">
        <x:v>23502</x:v>
      </x:c>
      <x:c r="C5912" s="0" t="s">
        <x:v>23503</x:v>
      </x:c>
      <x:c r="E5912" s="0" t="s">
        <x:v>23504</x:v>
      </x:c>
      <x:c r="F5912" s="0" t="s">
        <x:v>45</x:v>
      </x:c>
      <x:c r="G5912" s="0" t="s">
        <x:v>19</x:v>
      </x:c>
      <x:c r="H5912" s="0" t="s">
        <x:v>20</x:v>
      </x:c>
      <x:c r="I5912" s="0" t="s">
        <x:v>21</x:v>
      </x:c>
      <x:c r="K5912" s="0">
        <x:f>hyperlink("https://icd.who.int/dev11/l-ichi/en#/http%3A%2F%2Fid.who.int%2Ficd%2Fentity%2F755607381","browser")</x:f>
      </x:c>
      <x:c r="L5912" s="0">
        <x:f>hyperlink("https://icat2.azurewebsites.net/icat/?ontology=ICD&amp;tab=ClassesTab&amp;id=http%3A%2F%2Fwho.int%2Ficd%2333836_512ebf36_bf6b_4d70_85da_cf2637062af4","iCat")</x:f>
      </x:c>
      <x:c r="M5912" s="0" t="s">
        <x:v>21</x:v>
      </x:c>
      <x:c r="N5912" s="0" t="s">
        <x:v>46</x:v>
      </x:c>
    </x:row>
    <x:row r="5913" spans="1:16">
      <x:c r="A5913" s="0" t="s">
        <x:v>23505</x:v>
      </x:c>
      <x:c r="B5913" s="0" t="s">
        <x:v>23506</x:v>
      </x:c>
      <x:c r="C5913" s="0" t="s">
        <x:v>23507</x:v>
      </x:c>
      <x:c r="E5913" s="0" t="s">
        <x:v>23508</x:v>
      </x:c>
      <x:c r="F5913" s="0" t="s">
        <x:v>45</x:v>
      </x:c>
      <x:c r="G5913" s="0" t="s">
        <x:v>19</x:v>
      </x:c>
      <x:c r="H5913" s="0" t="s">
        <x:v>20</x:v>
      </x:c>
      <x:c r="I5913" s="0" t="s">
        <x:v>21</x:v>
      </x:c>
      <x:c r="K5913" s="0">
        <x:f>hyperlink("https://icd.who.int/dev11/l-ichi/en#/http%3A%2F%2Fid.who.int%2Ficd%2Fentity%2F136380935","browser")</x:f>
      </x:c>
      <x:c r="L5913" s="0">
        <x:f>hyperlink("https://icat2.azurewebsites.net/icat/?ontology=ICD&amp;tab=ClassesTab&amp;id=http%3A%2F%2Fwho.int%2Ficd%2333843_512ebf36_bf6b_4d70_85da_cf2637062af4","iCat")</x:f>
      </x:c>
      <x:c r="M5913" s="0" t="s">
        <x:v>21</x:v>
      </x:c>
      <x:c r="N5913" s="0" t="s">
        <x:v>46</x:v>
      </x:c>
    </x:row>
    <x:row r="5914" spans="1:16">
      <x:c r="A5914" s="0" t="s">
        <x:v>23509</x:v>
      </x:c>
      <x:c r="B5914" s="0" t="s">
        <x:v>23510</x:v>
      </x:c>
      <x:c r="C5914" s="0" t="s">
        <x:v>23511</x:v>
      </x:c>
      <x:c r="E5914" s="0" t="s">
        <x:v>23512</x:v>
      </x:c>
      <x:c r="F5914" s="0" t="s">
        <x:v>45</x:v>
      </x:c>
      <x:c r="G5914" s="0" t="s">
        <x:v>19</x:v>
      </x:c>
      <x:c r="H5914" s="0" t="s">
        <x:v>20</x:v>
      </x:c>
      <x:c r="I5914" s="0" t="s">
        <x:v>21</x:v>
      </x:c>
      <x:c r="K5914" s="0">
        <x:f>hyperlink("https://icd.who.int/dev11/l-ichi/en#/http%3A%2F%2Fid.who.int%2Ficd%2Fentity%2F601648791","browser")</x:f>
      </x:c>
      <x:c r="L5914" s="0">
        <x:f>hyperlink("https://icat2.azurewebsites.net/icat/?ontology=ICD&amp;tab=ClassesTab&amp;id=http%3A%2F%2Fwho.int%2Ficd%2333849_512ebf36_bf6b_4d70_85da_cf2637062af4","iCat")</x:f>
      </x:c>
      <x:c r="M5914" s="0" t="s">
        <x:v>21</x:v>
      </x:c>
      <x:c r="N5914" s="0" t="s">
        <x:v>46</x:v>
      </x:c>
    </x:row>
    <x:row r="5915" spans="1:16">
      <x:c r="A5915" s="0" t="s">
        <x:v>23513</x:v>
      </x:c>
      <x:c r="B5915" s="0" t="s">
        <x:v>23514</x:v>
      </x:c>
      <x:c r="C5915" s="0" t="s">
        <x:v>23515</x:v>
      </x:c>
      <x:c r="E5915" s="0" t="s">
        <x:v>23516</x:v>
      </x:c>
      <x:c r="F5915" s="0" t="s">
        <x:v>45</x:v>
      </x:c>
      <x:c r="G5915" s="0" t="s">
        <x:v>19</x:v>
      </x:c>
      <x:c r="H5915" s="0" t="s">
        <x:v>20</x:v>
      </x:c>
      <x:c r="I5915" s="0" t="s">
        <x:v>21</x:v>
      </x:c>
      <x:c r="K5915" s="0">
        <x:f>hyperlink("https://icd.who.int/dev11/l-ichi/en#/http%3A%2F%2Fid.who.int%2Ficd%2Fentity%2F1998201114","browser")</x:f>
      </x:c>
      <x:c r="L5915" s="0">
        <x:f>hyperlink("https://icat2.azurewebsites.net/icat/?ontology=ICD&amp;tab=ClassesTab&amp;id=http%3A%2F%2Fwho.int%2Ficd%2333856_512ebf36_bf6b_4d70_85da_cf2637062af4","iCat")</x:f>
      </x:c>
      <x:c r="M5915" s="0" t="s">
        <x:v>21</x:v>
      </x:c>
      <x:c r="N5915" s="0" t="s">
        <x:v>46</x:v>
      </x:c>
    </x:row>
    <x:row r="5916" spans="1:16">
      <x:c r="A5916" s="0" t="s">
        <x:v>23517</x:v>
      </x:c>
      <x:c r="B5916" s="0" t="s">
        <x:v>23518</x:v>
      </x:c>
      <x:c r="C5916" s="0" t="s">
        <x:v>23519</x:v>
      </x:c>
      <x:c r="E5916" s="0" t="s">
        <x:v>23520</x:v>
      </x:c>
      <x:c r="F5916" s="0" t="s">
        <x:v>45</x:v>
      </x:c>
      <x:c r="G5916" s="0" t="s">
        <x:v>19</x:v>
      </x:c>
      <x:c r="H5916" s="0" t="s">
        <x:v>20</x:v>
      </x:c>
      <x:c r="I5916" s="0" t="s">
        <x:v>21</x:v>
      </x:c>
      <x:c r="K5916" s="0">
        <x:f>hyperlink("https://icd.who.int/dev11/l-ichi/en#/http%3A%2F%2Fid.who.int%2Ficd%2Fentity%2F576051031","browser")</x:f>
      </x:c>
      <x:c r="L5916" s="0">
        <x:f>hyperlink("https://icat2.azurewebsites.net/icat/?ontology=ICD&amp;tab=ClassesTab&amp;id=http%3A%2F%2Fwho.int%2Ficd%2333863_512ebf36_bf6b_4d70_85da_cf2637062af4","iCat")</x:f>
      </x:c>
      <x:c r="M5916" s="0" t="s">
        <x:v>21</x:v>
      </x:c>
      <x:c r="N5916" s="0" t="s">
        <x:v>46</x:v>
      </x:c>
    </x:row>
    <x:row r="5917" spans="1:16">
      <x:c r="A5917" s="0" t="s">
        <x:v>23521</x:v>
      </x:c>
      <x:c r="B5917" s="0" t="s">
        <x:v>23522</x:v>
      </x:c>
      <x:c r="C5917" s="0" t="s">
        <x:v>23523</x:v>
      </x:c>
      <x:c r="E5917" s="0" t="s">
        <x:v>23524</x:v>
      </x:c>
      <x:c r="F5917" s="0" t="s">
        <x:v>45</x:v>
      </x:c>
      <x:c r="G5917" s="0" t="s">
        <x:v>19</x:v>
      </x:c>
      <x:c r="H5917" s="0" t="s">
        <x:v>20</x:v>
      </x:c>
      <x:c r="I5917" s="0" t="s">
        <x:v>21</x:v>
      </x:c>
      <x:c r="K5917" s="0">
        <x:f>hyperlink("https://icd.who.int/dev11/l-ichi/en#/http%3A%2F%2Fid.who.int%2Ficd%2Fentity%2F1751724094","browser")</x:f>
      </x:c>
      <x:c r="L5917" s="0">
        <x:f>hyperlink("https://icat2.azurewebsites.net/icat/?ontology=ICD&amp;tab=ClassesTab&amp;id=http%3A%2F%2Fwho.int%2Ficd%2333872_512ebf36_bf6b_4d70_85da_cf2637062af4","iCat")</x:f>
      </x:c>
      <x:c r="M5917" s="0" t="s">
        <x:v>21</x:v>
      </x:c>
      <x:c r="N5917" s="0" t="s">
        <x:v>46</x:v>
      </x:c>
    </x:row>
    <x:row r="5918" spans="1:16">
      <x:c r="A5918" s="0" t="s">
        <x:v>23525</x:v>
      </x:c>
      <x:c r="B5918" s="0" t="s">
        <x:v>23526</x:v>
      </x:c>
      <x:c r="C5918" s="0" t="s">
        <x:v>23527</x:v>
      </x:c>
      <x:c r="E5918" s="0" t="s">
        <x:v>23528</x:v>
      </x:c>
      <x:c r="F5918" s="0" t="s">
        <x:v>45</x:v>
      </x:c>
      <x:c r="G5918" s="0" t="s">
        <x:v>19</x:v>
      </x:c>
      <x:c r="H5918" s="0" t="s">
        <x:v>20</x:v>
      </x:c>
      <x:c r="I5918" s="0" t="s">
        <x:v>21</x:v>
      </x:c>
      <x:c r="K5918" s="0">
        <x:f>hyperlink("https://icd.who.int/dev11/l-ichi/en#/http%3A%2F%2Fid.who.int%2Ficd%2Fentity%2F586311463","browser")</x:f>
      </x:c>
      <x:c r="L5918" s="0">
        <x:f>hyperlink("https://icat2.azurewebsites.net/icat/?ontology=ICD&amp;tab=ClassesTab&amp;id=http%3A%2F%2Fwho.int%2Ficd%2333880_512ebf36_bf6b_4d70_85da_cf2637062af4","iCat")</x:f>
      </x:c>
      <x:c r="M5918" s="0" t="s">
        <x:v>21</x:v>
      </x:c>
      <x:c r="N5918" s="0" t="s">
        <x:v>46</x:v>
      </x:c>
    </x:row>
    <x:row r="5919" spans="1:16">
      <x:c r="A5919" s="0" t="s">
        <x:v>23529</x:v>
      </x:c>
      <x:c r="B5919" s="0" t="s">
        <x:v>23530</x:v>
      </x:c>
      <x:c r="C5919" s="0" t="s">
        <x:v>23531</x:v>
      </x:c>
      <x:c r="E5919" s="0" t="s">
        <x:v>23532</x:v>
      </x:c>
      <x:c r="F5919" s="0" t="s">
        <x:v>45</x:v>
      </x:c>
      <x:c r="G5919" s="0" t="s">
        <x:v>19</x:v>
      </x:c>
      <x:c r="H5919" s="0" t="s">
        <x:v>20</x:v>
      </x:c>
      <x:c r="I5919" s="0" t="s">
        <x:v>21</x:v>
      </x:c>
      <x:c r="K5919" s="0">
        <x:f>hyperlink("https://icd.who.int/dev11/l-ichi/en#/http%3A%2F%2Fid.who.int%2Ficd%2Fentity%2F759951285","browser")</x:f>
      </x:c>
      <x:c r="L5919" s="0">
        <x:f>hyperlink("https://icat2.azurewebsites.net/icat/?ontology=ICD&amp;tab=ClassesTab&amp;id=http%3A%2F%2Fwho.int%2Ficd%2333892_512ebf36_bf6b_4d70_85da_cf2637062af4","iCat")</x:f>
      </x:c>
      <x:c r="M5919" s="0" t="s">
        <x:v>21</x:v>
      </x:c>
      <x:c r="N5919" s="0" t="s">
        <x:v>46</x:v>
      </x:c>
    </x:row>
    <x:row r="5920" spans="1:16">
      <x:c r="A5920" s="0" t="s">
        <x:v>23533</x:v>
      </x:c>
      <x:c r="B5920" s="0" t="s">
        <x:v>23534</x:v>
      </x:c>
      <x:c r="C5920" s="0" t="s">
        <x:v>23535</x:v>
      </x:c>
      <x:c r="E5920" s="0" t="s">
        <x:v>23536</x:v>
      </x:c>
      <x:c r="F5920" s="0" t="s">
        <x:v>45</x:v>
      </x:c>
      <x:c r="G5920" s="0" t="s">
        <x:v>19</x:v>
      </x:c>
      <x:c r="H5920" s="0" t="s">
        <x:v>20</x:v>
      </x:c>
      <x:c r="I5920" s="0" t="s">
        <x:v>21</x:v>
      </x:c>
      <x:c r="K5920" s="0">
        <x:f>hyperlink("https://icd.who.int/dev11/l-ichi/en#/http%3A%2F%2Fid.who.int%2Ficd%2Fentity%2F1755679300","browser")</x:f>
      </x:c>
      <x:c r="L5920" s="0">
        <x:f>hyperlink("https://icat2.azurewebsites.net/icat/?ontology=ICD&amp;tab=ClassesTab&amp;id=http%3A%2F%2Fwho.int%2Ficd%2333901_512ebf36_bf6b_4d70_85da_cf2637062af4","iCat")</x:f>
      </x:c>
      <x:c r="M5920" s="0" t="s">
        <x:v>21</x:v>
      </x:c>
      <x:c r="N5920" s="0" t="s">
        <x:v>46</x:v>
      </x:c>
    </x:row>
    <x:row r="5921" spans="1:16">
      <x:c r="A5921" s="0" t="s">
        <x:v>23537</x:v>
      </x:c>
      <x:c r="B5921" s="0" t="s">
        <x:v>23538</x:v>
      </x:c>
      <x:c r="C5921" s="0" t="s">
        <x:v>23539</x:v>
      </x:c>
      <x:c r="E5921" s="0" t="s">
        <x:v>23540</x:v>
      </x:c>
      <x:c r="F5921" s="0" t="s">
        <x:v>45</x:v>
      </x:c>
      <x:c r="G5921" s="0" t="s">
        <x:v>19</x:v>
      </x:c>
      <x:c r="H5921" s="0" t="s">
        <x:v>20</x:v>
      </x:c>
      <x:c r="I5921" s="0" t="s">
        <x:v>21</x:v>
      </x:c>
      <x:c r="K5921" s="0">
        <x:f>hyperlink("https://icd.who.int/dev11/l-ichi/en#/http%3A%2F%2Fid.who.int%2Ficd%2Fentity%2F954094579","browser")</x:f>
      </x:c>
      <x:c r="L5921" s="0">
        <x:f>hyperlink("https://icat2.azurewebsites.net/icat/?ontology=ICD&amp;tab=ClassesTab&amp;id=http%3A%2F%2Fwho.int%2Ficd%2333907_512ebf36_bf6b_4d70_85da_cf2637062af4","iCat")</x:f>
      </x:c>
      <x:c r="M5921" s="0" t="s">
        <x:v>21</x:v>
      </x:c>
      <x:c r="N5921" s="0" t="s">
        <x:v>46</x:v>
      </x:c>
    </x:row>
    <x:row r="5922" spans="1:16">
      <x:c r="A5922" s="0" t="s">
        <x:v>23541</x:v>
      </x:c>
      <x:c r="B5922" s="0" t="s">
        <x:v>23542</x:v>
      </x:c>
      <x:c r="C5922" s="0" t="s">
        <x:v>23543</x:v>
      </x:c>
      <x:c r="E5922" s="0" t="s">
        <x:v>23544</x:v>
      </x:c>
      <x:c r="F5922" s="0" t="s">
        <x:v>45</x:v>
      </x:c>
      <x:c r="G5922" s="0" t="s">
        <x:v>19</x:v>
      </x:c>
      <x:c r="H5922" s="0" t="s">
        <x:v>20</x:v>
      </x:c>
      <x:c r="I5922" s="0" t="s">
        <x:v>21</x:v>
      </x:c>
      <x:c r="K5922" s="0">
        <x:f>hyperlink("https://icd.who.int/dev11/l-ichi/en#/http%3A%2F%2Fid.who.int%2Ficd%2Fentity%2F1729888978","browser")</x:f>
      </x:c>
      <x:c r="L5922" s="0">
        <x:f>hyperlink("https://icat2.azurewebsites.net/icat/?ontology=ICD&amp;tab=ClassesTab&amp;id=http%3A%2F%2Fwho.int%2Ficd%2333913_512ebf36_bf6b_4d70_85da_cf2637062af4","iCat")</x:f>
      </x:c>
      <x:c r="M5922" s="0" t="s">
        <x:v>21</x:v>
      </x:c>
      <x:c r="N5922" s="0" t="s">
        <x:v>46</x:v>
      </x:c>
    </x:row>
    <x:row r="5923" spans="1:16">
      <x:c r="A5923" s="0" t="s">
        <x:v>23545</x:v>
      </x:c>
      <x:c r="B5923" s="0" t="s">
        <x:v>23546</x:v>
      </x:c>
      <x:c r="C5923" s="0" t="s">
        <x:v>23547</x:v>
      </x:c>
      <x:c r="E5923" s="0" t="s">
        <x:v>23548</x:v>
      </x:c>
      <x:c r="F5923" s="0" t="s">
        <x:v>45</x:v>
      </x:c>
      <x:c r="G5923" s="0" t="s">
        <x:v>19</x:v>
      </x:c>
      <x:c r="H5923" s="0" t="s">
        <x:v>20</x:v>
      </x:c>
      <x:c r="I5923" s="0" t="s">
        <x:v>21</x:v>
      </x:c>
      <x:c r="K5923" s="0">
        <x:f>hyperlink("https://icd.who.int/dev11/l-ichi/en#/http%3A%2F%2Fid.who.int%2Ficd%2Fentity%2F1289842242","browser")</x:f>
      </x:c>
      <x:c r="L5923" s="0">
        <x:f>hyperlink("https://icat2.azurewebsites.net/icat/?ontology=ICD&amp;tab=ClassesTab&amp;id=http%3A%2F%2Fwho.int%2Ficd%2333919_512ebf36_bf6b_4d70_85da_cf2637062af4","iCat")</x:f>
      </x:c>
      <x:c r="M5923" s="0" t="s">
        <x:v>21</x:v>
      </x:c>
      <x:c r="N5923" s="0" t="s">
        <x:v>46</x:v>
      </x:c>
    </x:row>
    <x:row r="5924" spans="1:16">
      <x:c r="A5924" s="0" t="s">
        <x:v>23549</x:v>
      </x:c>
      <x:c r="B5924" s="0" t="s">
        <x:v>23550</x:v>
      </x:c>
      <x:c r="C5924" s="0" t="s">
        <x:v>23551</x:v>
      </x:c>
      <x:c r="E5924" s="0" t="s">
        <x:v>23552</x:v>
      </x:c>
      <x:c r="F5924" s="0" t="s">
        <x:v>45</x:v>
      </x:c>
      <x:c r="G5924" s="0" t="s">
        <x:v>19</x:v>
      </x:c>
      <x:c r="H5924" s="0" t="s">
        <x:v>20</x:v>
      </x:c>
      <x:c r="I5924" s="0" t="s">
        <x:v>21</x:v>
      </x:c>
      <x:c r="K5924" s="0">
        <x:f>hyperlink("https://icd.who.int/dev11/l-ichi/en#/http%3A%2F%2Fid.who.int%2Ficd%2Fentity%2F749296763","browser")</x:f>
      </x:c>
      <x:c r="L5924" s="0">
        <x:f>hyperlink("https://icat2.azurewebsites.net/icat/?ontology=ICD&amp;tab=ClassesTab&amp;id=http%3A%2F%2Fwho.int%2Ficd%2333928_512ebf36_bf6b_4d70_85da_cf2637062af4","iCat")</x:f>
      </x:c>
      <x:c r="M5924" s="0" t="s">
        <x:v>21</x:v>
      </x:c>
      <x:c r="N5924" s="0" t="s">
        <x:v>46</x:v>
      </x:c>
    </x:row>
    <x:row r="5925" spans="1:16">
      <x:c r="A5925" s="0" t="s">
        <x:v>23553</x:v>
      </x:c>
      <x:c r="B5925" s="0" t="s">
        <x:v>23554</x:v>
      </x:c>
      <x:c r="C5925" s="0" t="s">
        <x:v>23555</x:v>
      </x:c>
      <x:c r="E5925" s="0" t="s">
        <x:v>23556</x:v>
      </x:c>
      <x:c r="F5925" s="0" t="s">
        <x:v>45</x:v>
      </x:c>
      <x:c r="G5925" s="0" t="s">
        <x:v>19</x:v>
      </x:c>
      <x:c r="H5925" s="0" t="s">
        <x:v>20</x:v>
      </x:c>
      <x:c r="I5925" s="0" t="s">
        <x:v>21</x:v>
      </x:c>
      <x:c r="K5925" s="0">
        <x:f>hyperlink("https://icd.who.int/dev11/l-ichi/en#/http%3A%2F%2Fid.who.int%2Ficd%2Fentity%2F487788081","browser")</x:f>
      </x:c>
      <x:c r="L5925" s="0">
        <x:f>hyperlink("https://icat2.azurewebsites.net/icat/?ontology=ICD&amp;tab=ClassesTab&amp;id=http%3A%2F%2Fwho.int%2Ficd%2333935_512ebf36_bf6b_4d70_85da_cf2637062af4","iCat")</x:f>
      </x:c>
      <x:c r="M5925" s="0" t="s">
        <x:v>21</x:v>
      </x:c>
      <x:c r="N5925" s="0" t="s">
        <x:v>46</x:v>
      </x:c>
    </x:row>
    <x:row r="5926" spans="1:16">
      <x:c r="A5926" s="0" t="s">
        <x:v>23557</x:v>
      </x:c>
      <x:c r="B5926" s="0" t="s">
        <x:v>23558</x:v>
      </x:c>
      <x:c r="C5926" s="0" t="s">
        <x:v>23559</x:v>
      </x:c>
      <x:c r="E5926" s="0" t="s">
        <x:v>23560</x:v>
      </x:c>
      <x:c r="F5926" s="0" t="s">
        <x:v>45</x:v>
      </x:c>
      <x:c r="G5926" s="0" t="s">
        <x:v>19</x:v>
      </x:c>
      <x:c r="H5926" s="0" t="s">
        <x:v>20</x:v>
      </x:c>
      <x:c r="I5926" s="0" t="s">
        <x:v>21</x:v>
      </x:c>
      <x:c r="K5926" s="0">
        <x:f>hyperlink("https://icd.who.int/dev11/l-ichi/en#/http%3A%2F%2Fid.who.int%2Ficd%2Fentity%2F1564980902","browser")</x:f>
      </x:c>
      <x:c r="L5926" s="0">
        <x:f>hyperlink("https://icat2.azurewebsites.net/icat/?ontology=ICD&amp;tab=ClassesTab&amp;id=http%3A%2F%2Fwho.int%2Ficd%2333942_512ebf36_bf6b_4d70_85da_cf2637062af4","iCat")</x:f>
      </x:c>
      <x:c r="M5926" s="0" t="s">
        <x:v>21</x:v>
      </x:c>
      <x:c r="N5926" s="0" t="s">
        <x:v>46</x:v>
      </x:c>
    </x:row>
    <x:row r="5927" spans="1:16">
      <x:c r="A5927" s="0" t="s">
        <x:v>23561</x:v>
      </x:c>
      <x:c r="B5927" s="0" t="s">
        <x:v>23562</x:v>
      </x:c>
      <x:c r="C5927" s="0" t="s">
        <x:v>23563</x:v>
      </x:c>
      <x:c r="E5927" s="0" t="s">
        <x:v>23564</x:v>
      </x:c>
      <x:c r="F5927" s="0" t="s">
        <x:v>45</x:v>
      </x:c>
      <x:c r="G5927" s="0" t="s">
        <x:v>19</x:v>
      </x:c>
      <x:c r="H5927" s="0" t="s">
        <x:v>20</x:v>
      </x:c>
      <x:c r="I5927" s="0" t="s">
        <x:v>21</x:v>
      </x:c>
      <x:c r="K5927" s="0">
        <x:f>hyperlink("https://icd.who.int/dev11/l-ichi/en#/http%3A%2F%2Fid.who.int%2Ficd%2Fentity%2F1447274508","browser")</x:f>
      </x:c>
      <x:c r="L5927" s="0">
        <x:f>hyperlink("https://icat2.azurewebsites.net/icat/?ontology=ICD&amp;tab=ClassesTab&amp;id=http%3A%2F%2Fwho.int%2Ficd%2333949_512ebf36_bf6b_4d70_85da_cf2637062af4","iCat")</x:f>
      </x:c>
      <x:c r="M5927" s="0" t="s">
        <x:v>21</x:v>
      </x:c>
      <x:c r="N5927" s="0" t="s">
        <x:v>46</x:v>
      </x:c>
    </x:row>
    <x:row r="5928" spans="1:16">
      <x:c r="A5928" s="0" t="s">
        <x:v>23565</x:v>
      </x:c>
      <x:c r="B5928" s="0" t="s">
        <x:v>23566</x:v>
      </x:c>
      <x:c r="C5928" s="0" t="s">
        <x:v>23567</x:v>
      </x:c>
      <x:c r="E5928" s="0" t="s">
        <x:v>23568</x:v>
      </x:c>
      <x:c r="F5928" s="0" t="s">
        <x:v>45</x:v>
      </x:c>
      <x:c r="G5928" s="0" t="s">
        <x:v>19</x:v>
      </x:c>
      <x:c r="H5928" s="0" t="s">
        <x:v>20</x:v>
      </x:c>
      <x:c r="I5928" s="0" t="s">
        <x:v>21</x:v>
      </x:c>
      <x:c r="K5928" s="0">
        <x:f>hyperlink("https://icd.who.int/dev11/l-ichi/en#/http%3A%2F%2Fid.who.int%2Ficd%2Fentity%2F578590137","browser")</x:f>
      </x:c>
      <x:c r="L5928" s="0">
        <x:f>hyperlink("https://icat2.azurewebsites.net/icat/?ontology=ICD&amp;tab=ClassesTab&amp;id=http%3A%2F%2Fwho.int%2Ficd%2333957_512ebf36_bf6b_4d70_85da_cf2637062af4","iCat")</x:f>
      </x:c>
      <x:c r="M5928" s="0" t="s">
        <x:v>21</x:v>
      </x:c>
      <x:c r="N5928" s="0" t="s">
        <x:v>46</x:v>
      </x:c>
    </x:row>
    <x:row r="5929" spans="1:16">
      <x:c r="A5929" s="0" t="s">
        <x:v>23569</x:v>
      </x:c>
      <x:c r="B5929" s="0" t="s">
        <x:v>23570</x:v>
      </x:c>
      <x:c r="C5929" s="0" t="s">
        <x:v>23571</x:v>
      </x:c>
      <x:c r="E5929" s="0" t="s">
        <x:v>23572</x:v>
      </x:c>
      <x:c r="F5929" s="0" t="s">
        <x:v>45</x:v>
      </x:c>
      <x:c r="G5929" s="0" t="s">
        <x:v>19</x:v>
      </x:c>
      <x:c r="H5929" s="0" t="s">
        <x:v>20</x:v>
      </x:c>
      <x:c r="I5929" s="0" t="s">
        <x:v>21</x:v>
      </x:c>
      <x:c r="K5929" s="0">
        <x:f>hyperlink("https://icd.who.int/dev11/l-ichi/en#/http%3A%2F%2Fid.who.int%2Ficd%2Fentity%2F129091707","browser")</x:f>
      </x:c>
      <x:c r="L5929" s="0">
        <x:f>hyperlink("https://icat2.azurewebsites.net/icat/?ontology=ICD&amp;tab=ClassesTab&amp;id=http%3A%2F%2Fwho.int%2Ficd%2333965_512ebf36_bf6b_4d70_85da_cf2637062af4","iCat")</x:f>
      </x:c>
      <x:c r="M5929" s="0" t="s">
        <x:v>21</x:v>
      </x:c>
      <x:c r="N5929" s="0" t="s">
        <x:v>46</x:v>
      </x:c>
    </x:row>
    <x:row r="5930" spans="1:16">
      <x:c r="A5930" s="0" t="s">
        <x:v>23573</x:v>
      </x:c>
      <x:c r="B5930" s="0" t="s">
        <x:v>23574</x:v>
      </x:c>
      <x:c r="C5930" s="0" t="s">
        <x:v>23575</x:v>
      </x:c>
      <x:c r="E5930" s="0" t="s">
        <x:v>23576</x:v>
      </x:c>
      <x:c r="F5930" s="0" t="s">
        <x:v>45</x:v>
      </x:c>
      <x:c r="G5930" s="0" t="s">
        <x:v>19</x:v>
      </x:c>
      <x:c r="H5930" s="0" t="s">
        <x:v>20</x:v>
      </x:c>
      <x:c r="I5930" s="0" t="s">
        <x:v>21</x:v>
      </x:c>
      <x:c r="K5930" s="0">
        <x:f>hyperlink("https://icd.who.int/dev11/l-ichi/en#/http%3A%2F%2Fid.who.int%2Ficd%2Fentity%2F502724257","browser")</x:f>
      </x:c>
      <x:c r="L5930" s="0">
        <x:f>hyperlink("https://icat2.azurewebsites.net/icat/?ontology=ICD&amp;tab=ClassesTab&amp;id=http%3A%2F%2Fwho.int%2Ficd%2333972_512ebf36_bf6b_4d70_85da_cf2637062af4","iCat")</x:f>
      </x:c>
      <x:c r="M5930" s="0" t="s">
        <x:v>21</x:v>
      </x:c>
      <x:c r="N5930" s="0" t="s">
        <x:v>46</x:v>
      </x:c>
    </x:row>
    <x:row r="5931" spans="1:16">
      <x:c r="A5931" s="0" t="s">
        <x:v>23577</x:v>
      </x:c>
      <x:c r="B5931" s="0" t="s">
        <x:v>23578</x:v>
      </x:c>
      <x:c r="C5931" s="0" t="s">
        <x:v>23579</x:v>
      </x:c>
      <x:c r="E5931" s="0" t="s">
        <x:v>23580</x:v>
      </x:c>
      <x:c r="F5931" s="0" t="s">
        <x:v>45</x:v>
      </x:c>
      <x:c r="G5931" s="0" t="s">
        <x:v>19</x:v>
      </x:c>
      <x:c r="H5931" s="0" t="s">
        <x:v>20</x:v>
      </x:c>
      <x:c r="I5931" s="0" t="s">
        <x:v>21</x:v>
      </x:c>
      <x:c r="K5931" s="0">
        <x:f>hyperlink("https://icd.who.int/dev11/l-ichi/en#/http%3A%2F%2Fid.who.int%2Ficd%2Fentity%2F906730033","browser")</x:f>
      </x:c>
      <x:c r="L5931" s="0">
        <x:f>hyperlink("https://icat2.azurewebsites.net/icat/?ontology=ICD&amp;tab=ClassesTab&amp;id=http%3A%2F%2Fwho.int%2Ficd%2333978_512ebf36_bf6b_4d70_85da_cf2637062af4","iCat")</x:f>
      </x:c>
      <x:c r="M5931" s="0" t="s">
        <x:v>21</x:v>
      </x:c>
      <x:c r="N5931" s="0" t="s">
        <x:v>46</x:v>
      </x:c>
    </x:row>
    <x:row r="5932" spans="1:16">
      <x:c r="A5932" s="0" t="s">
        <x:v>23581</x:v>
      </x:c>
      <x:c r="B5932" s="0" t="s">
        <x:v>23582</x:v>
      </x:c>
      <x:c r="C5932" s="0" t="s">
        <x:v>23583</x:v>
      </x:c>
      <x:c r="E5932" s="0" t="s">
        <x:v>23584</x:v>
      </x:c>
      <x:c r="F5932" s="0" t="s">
        <x:v>45</x:v>
      </x:c>
      <x:c r="G5932" s="0" t="s">
        <x:v>19</x:v>
      </x:c>
      <x:c r="H5932" s="0" t="s">
        <x:v>20</x:v>
      </x:c>
      <x:c r="I5932" s="0" t="s">
        <x:v>21</x:v>
      </x:c>
      <x:c r="K5932" s="0">
        <x:f>hyperlink("https://icd.who.int/dev11/l-ichi/en#/http%3A%2F%2Fid.who.int%2Ficd%2Fentity%2F1651140046","browser")</x:f>
      </x:c>
      <x:c r="L5932" s="0">
        <x:f>hyperlink("https://icat2.azurewebsites.net/icat/?ontology=ICD&amp;tab=ClassesTab&amp;id=http%3A%2F%2Fwho.int%2Ficd%2333984_512ebf36_bf6b_4d70_85da_cf2637062af4","iCat")</x:f>
      </x:c>
      <x:c r="M5932" s="0" t="s">
        <x:v>21</x:v>
      </x:c>
      <x:c r="N5932" s="0" t="s">
        <x:v>46</x:v>
      </x:c>
    </x:row>
    <x:row r="5933" spans="1:16">
      <x:c r="A5933" s="0" t="s">
        <x:v>23585</x:v>
      </x:c>
      <x:c r="B5933" s="0" t="s">
        <x:v>23586</x:v>
      </x:c>
      <x:c r="C5933" s="0" t="s">
        <x:v>23587</x:v>
      </x:c>
      <x:c r="E5933" s="0" t="s">
        <x:v>23588</x:v>
      </x:c>
      <x:c r="F5933" s="0" t="s">
        <x:v>45</x:v>
      </x:c>
      <x:c r="G5933" s="0" t="s">
        <x:v>19</x:v>
      </x:c>
      <x:c r="H5933" s="0" t="s">
        <x:v>20</x:v>
      </x:c>
      <x:c r="I5933" s="0" t="s">
        <x:v>21</x:v>
      </x:c>
      <x:c r="K5933" s="0">
        <x:f>hyperlink("https://icd.who.int/dev11/l-ichi/en#/http%3A%2F%2Fid.who.int%2Ficd%2Fentity%2F1034433773","browser")</x:f>
      </x:c>
      <x:c r="L5933" s="0">
        <x:f>hyperlink("https://icat2.azurewebsites.net/icat/?ontology=ICD&amp;tab=ClassesTab&amp;id=http%3A%2F%2Fwho.int%2Ficd%2333990_512ebf36_bf6b_4d70_85da_cf2637062af4","iCat")</x:f>
      </x:c>
      <x:c r="M5933" s="0" t="s">
        <x:v>21</x:v>
      </x:c>
      <x:c r="N5933" s="0" t="s">
        <x:v>46</x:v>
      </x:c>
    </x:row>
    <x:row r="5934" spans="1:16">
      <x:c r="A5934" s="0" t="s">
        <x:v>23589</x:v>
      </x:c>
      <x:c r="B5934" s="0" t="s">
        <x:v>23590</x:v>
      </x:c>
      <x:c r="C5934" s="0" t="s">
        <x:v>23591</x:v>
      </x:c>
      <x:c r="E5934" s="0" t="s">
        <x:v>23592</x:v>
      </x:c>
      <x:c r="F5934" s="0" t="s">
        <x:v>45</x:v>
      </x:c>
      <x:c r="G5934" s="0" t="s">
        <x:v>19</x:v>
      </x:c>
      <x:c r="H5934" s="0" t="s">
        <x:v>20</x:v>
      </x:c>
      <x:c r="I5934" s="0" t="s">
        <x:v>21</x:v>
      </x:c>
      <x:c r="K5934" s="0">
        <x:f>hyperlink("https://icd.who.int/dev11/l-ichi/en#/http%3A%2F%2Fid.who.int%2Ficd%2Fentity%2F1842605404","browser")</x:f>
      </x:c>
      <x:c r="L5934" s="0">
        <x:f>hyperlink("https://icat2.azurewebsites.net/icat/?ontology=ICD&amp;tab=ClassesTab&amp;id=http%3A%2F%2Fwho.int%2Ficd%2333996_512ebf36_bf6b_4d70_85da_cf2637062af4","iCat")</x:f>
      </x:c>
      <x:c r="M5934" s="0" t="s">
        <x:v>21</x:v>
      </x:c>
      <x:c r="N5934" s="0" t="s">
        <x:v>46</x:v>
      </x:c>
    </x:row>
    <x:row r="5935" spans="1:16">
      <x:c r="A5935" s="0" t="s">
        <x:v>23593</x:v>
      </x:c>
      <x:c r="B5935" s="0" t="s">
        <x:v>23594</x:v>
      </x:c>
      <x:c r="C5935" s="0" t="s">
        <x:v>23595</x:v>
      </x:c>
      <x:c r="E5935" s="0" t="s">
        <x:v>23596</x:v>
      </x:c>
      <x:c r="F5935" s="0" t="s">
        <x:v>45</x:v>
      </x:c>
      <x:c r="G5935" s="0" t="s">
        <x:v>19</x:v>
      </x:c>
      <x:c r="H5935" s="0" t="s">
        <x:v>20</x:v>
      </x:c>
      <x:c r="I5935" s="0" t="s">
        <x:v>21</x:v>
      </x:c>
      <x:c r="K5935" s="0">
        <x:f>hyperlink("https://icd.who.int/dev11/l-ichi/en#/http%3A%2F%2Fid.who.int%2Ficd%2Fentity%2F2114943","browser")</x:f>
      </x:c>
      <x:c r="L5935" s="0">
        <x:f>hyperlink("https://icat2.azurewebsites.net/icat/?ontology=ICD&amp;tab=ClassesTab&amp;id=http%3A%2F%2Fwho.int%2Ficd%2334009_512ebf36_bf6b_4d70_85da_cf2637062af4","iCat")</x:f>
      </x:c>
      <x:c r="M5935" s="0" t="s">
        <x:v>21</x:v>
      </x:c>
      <x:c r="N5935" s="0" t="s">
        <x:v>46</x:v>
      </x:c>
    </x:row>
    <x:row r="5936" spans="1:16">
      <x:c r="A5936" s="0" t="s">
        <x:v>23597</x:v>
      </x:c>
      <x:c r="B5936" s="0" t="s">
        <x:v>23598</x:v>
      </x:c>
      <x:c r="C5936" s="0" t="s">
        <x:v>23599</x:v>
      </x:c>
      <x:c r="E5936" s="0" t="s">
        <x:v>23600</x:v>
      </x:c>
      <x:c r="F5936" s="0" t="s">
        <x:v>45</x:v>
      </x:c>
      <x:c r="G5936" s="0" t="s">
        <x:v>19</x:v>
      </x:c>
      <x:c r="H5936" s="0" t="s">
        <x:v>20</x:v>
      </x:c>
      <x:c r="I5936" s="0" t="s">
        <x:v>21</x:v>
      </x:c>
      <x:c r="K5936" s="0">
        <x:f>hyperlink("https://icd.who.int/dev11/l-ichi/en#/http%3A%2F%2Fid.who.int%2Ficd%2Fentity%2F1424362224","browser")</x:f>
      </x:c>
      <x:c r="L5936" s="0">
        <x:f>hyperlink("https://icat2.azurewebsites.net/icat/?ontology=ICD&amp;tab=ClassesTab&amp;id=http%3A%2F%2Fwho.int%2Ficd%2334016_512ebf36_bf6b_4d70_85da_cf2637062af4","iCat")</x:f>
      </x:c>
      <x:c r="M5936" s="0" t="s">
        <x:v>21</x:v>
      </x:c>
      <x:c r="N5936" s="0" t="s">
        <x:v>46</x:v>
      </x:c>
    </x:row>
    <x:row r="5937" spans="1:16">
      <x:c r="A5937" s="0" t="s">
        <x:v>23601</x:v>
      </x:c>
      <x:c r="B5937" s="0" t="s">
        <x:v>23602</x:v>
      </x:c>
      <x:c r="C5937" s="0" t="s">
        <x:v>23603</x:v>
      </x:c>
      <x:c r="E5937" s="0" t="s">
        <x:v>23604</x:v>
      </x:c>
      <x:c r="F5937" s="0" t="s">
        <x:v>45</x:v>
      </x:c>
      <x:c r="G5937" s="0" t="s">
        <x:v>19</x:v>
      </x:c>
      <x:c r="H5937" s="0" t="s">
        <x:v>20</x:v>
      </x:c>
      <x:c r="I5937" s="0" t="s">
        <x:v>21</x:v>
      </x:c>
      <x:c r="K5937" s="0">
        <x:f>hyperlink("https://icd.who.int/dev11/l-ichi/en#/http%3A%2F%2Fid.who.int%2Ficd%2Fentity%2F27917503","browser")</x:f>
      </x:c>
      <x:c r="L5937" s="0">
        <x:f>hyperlink("https://icat2.azurewebsites.net/icat/?ontology=ICD&amp;tab=ClassesTab&amp;id=http%3A%2F%2Fwho.int%2Ficd%2334023_512ebf36_bf6b_4d70_85da_cf2637062af4","iCat")</x:f>
      </x:c>
      <x:c r="M5937" s="0" t="s">
        <x:v>21</x:v>
      </x:c>
      <x:c r="N5937" s="0" t="s">
        <x:v>46</x:v>
      </x:c>
    </x:row>
    <x:row r="5938" spans="1:16">
      <x:c r="A5938" s="0" t="s">
        <x:v>23605</x:v>
      </x:c>
      <x:c r="B5938" s="0" t="s">
        <x:v>23606</x:v>
      </x:c>
      <x:c r="C5938" s="0" t="s">
        <x:v>23607</x:v>
      </x:c>
      <x:c r="E5938" s="0" t="s">
        <x:v>23608</x:v>
      </x:c>
      <x:c r="F5938" s="0" t="s">
        <x:v>45</x:v>
      </x:c>
      <x:c r="G5938" s="0" t="s">
        <x:v>19</x:v>
      </x:c>
      <x:c r="H5938" s="0" t="s">
        <x:v>20</x:v>
      </x:c>
      <x:c r="I5938" s="0" t="s">
        <x:v>21</x:v>
      </x:c>
      <x:c r="K5938" s="0">
        <x:f>hyperlink("https://icd.who.int/dev11/l-ichi/en#/http%3A%2F%2Fid.who.int%2Ficd%2Fentity%2F787023377","browser")</x:f>
      </x:c>
      <x:c r="L5938" s="0">
        <x:f>hyperlink("https://icat2.azurewebsites.net/icat/?ontology=ICD&amp;tab=ClassesTab&amp;id=http%3A%2F%2Fwho.int%2Ficd%2334030_512ebf36_bf6b_4d70_85da_cf2637062af4","iCat")</x:f>
      </x:c>
      <x:c r="M5938" s="0" t="s">
        <x:v>21</x:v>
      </x:c>
      <x:c r="N5938" s="0" t="s">
        <x:v>46</x:v>
      </x:c>
    </x:row>
    <x:row r="5939" spans="1:16">
      <x:c r="A5939" s="0" t="s">
        <x:v>23609</x:v>
      </x:c>
      <x:c r="B5939" s="0" t="s">
        <x:v>23610</x:v>
      </x:c>
      <x:c r="C5939" s="0" t="s">
        <x:v>23611</x:v>
      </x:c>
      <x:c r="E5939" s="0" t="s">
        <x:v>23612</x:v>
      </x:c>
      <x:c r="F5939" s="0" t="s">
        <x:v>45</x:v>
      </x:c>
      <x:c r="G5939" s="0" t="s">
        <x:v>19</x:v>
      </x:c>
      <x:c r="H5939" s="0" t="s">
        <x:v>20</x:v>
      </x:c>
      <x:c r="I5939" s="0" t="s">
        <x:v>21</x:v>
      </x:c>
      <x:c r="K5939" s="0">
        <x:f>hyperlink("https://icd.who.int/dev11/l-ichi/en#/http%3A%2F%2Fid.who.int%2Ficd%2Fentity%2F1083245946","browser")</x:f>
      </x:c>
      <x:c r="L5939" s="0">
        <x:f>hyperlink("https://icat2.azurewebsites.net/icat/?ontology=ICD&amp;tab=ClassesTab&amp;id=http%3A%2F%2Fwho.int%2Ficd%2334039_512ebf36_bf6b_4d70_85da_cf2637062af4","iCat")</x:f>
      </x:c>
      <x:c r="M5939" s="0" t="s">
        <x:v>21</x:v>
      </x:c>
      <x:c r="N5939" s="0" t="s">
        <x:v>46</x:v>
      </x:c>
    </x:row>
    <x:row r="5940" spans="1:16">
      <x:c r="A5940" s="0" t="s">
        <x:v>23613</x:v>
      </x:c>
      <x:c r="B5940" s="0" t="s">
        <x:v>23614</x:v>
      </x:c>
      <x:c r="C5940" s="0" t="s">
        <x:v>23615</x:v>
      </x:c>
      <x:c r="E5940" s="0" t="s">
        <x:v>23616</x:v>
      </x:c>
      <x:c r="F5940" s="0" t="s">
        <x:v>45</x:v>
      </x:c>
      <x:c r="G5940" s="0" t="s">
        <x:v>19</x:v>
      </x:c>
      <x:c r="H5940" s="0" t="s">
        <x:v>20</x:v>
      </x:c>
      <x:c r="I5940" s="0" t="s">
        <x:v>21</x:v>
      </x:c>
      <x:c r="K5940" s="0">
        <x:f>hyperlink("https://icd.who.int/dev11/l-ichi/en#/http%3A%2F%2Fid.who.int%2Ficd%2Fentity%2F1354654816","browser")</x:f>
      </x:c>
      <x:c r="L5940" s="0">
        <x:f>hyperlink("https://icat2.azurewebsites.net/icat/?ontology=ICD&amp;tab=ClassesTab&amp;id=http%3A%2F%2Fwho.int%2Ficd%2334048_512ebf36_bf6b_4d70_85da_cf2637062af4","iCat")</x:f>
      </x:c>
      <x:c r="M5940" s="0" t="s">
        <x:v>21</x:v>
      </x:c>
      <x:c r="N5940" s="0" t="s">
        <x:v>46</x:v>
      </x:c>
    </x:row>
    <x:row r="5941" spans="1:16">
      <x:c r="A5941" s="0" t="s">
        <x:v>23617</x:v>
      </x:c>
      <x:c r="B5941" s="0" t="s">
        <x:v>23618</x:v>
      </x:c>
      <x:c r="C5941" s="0" t="s">
        <x:v>23619</x:v>
      </x:c>
      <x:c r="E5941" s="0" t="s">
        <x:v>23620</x:v>
      </x:c>
      <x:c r="F5941" s="0" t="s">
        <x:v>45</x:v>
      </x:c>
      <x:c r="G5941" s="0" t="s">
        <x:v>19</x:v>
      </x:c>
      <x:c r="H5941" s="0" t="s">
        <x:v>20</x:v>
      </x:c>
      <x:c r="I5941" s="0" t="s">
        <x:v>21</x:v>
      </x:c>
      <x:c r="K5941" s="0">
        <x:f>hyperlink("https://icd.who.int/dev11/l-ichi/en#/http%3A%2F%2Fid.who.int%2Ficd%2Fentity%2F1627665942","browser")</x:f>
      </x:c>
      <x:c r="L5941" s="0">
        <x:f>hyperlink("https://icat2.azurewebsites.net/icat/?ontology=ICD&amp;tab=ClassesTab&amp;id=http%3A%2F%2Fwho.int%2Ficd%2334055_512ebf36_bf6b_4d70_85da_cf2637062af4","iCat")</x:f>
      </x:c>
      <x:c r="M5941" s="0" t="s">
        <x:v>21</x:v>
      </x:c>
      <x:c r="N5941" s="0" t="s">
        <x:v>46</x:v>
      </x:c>
    </x:row>
    <x:row r="5942" spans="1:16">
      <x:c r="A5942" s="0" t="s">
        <x:v>23621</x:v>
      </x:c>
      <x:c r="B5942" s="0" t="s">
        <x:v>23622</x:v>
      </x:c>
      <x:c r="C5942" s="0" t="s">
        <x:v>23623</x:v>
      </x:c>
      <x:c r="E5942" s="0" t="s">
        <x:v>23624</x:v>
      </x:c>
      <x:c r="F5942" s="0" t="s">
        <x:v>45</x:v>
      </x:c>
      <x:c r="G5942" s="0" t="s">
        <x:v>19</x:v>
      </x:c>
      <x:c r="H5942" s="0" t="s">
        <x:v>20</x:v>
      </x:c>
      <x:c r="I5942" s="0" t="s">
        <x:v>21</x:v>
      </x:c>
      <x:c r="K5942" s="0">
        <x:f>hyperlink("https://icd.who.int/dev11/l-ichi/en#/http%3A%2F%2Fid.who.int%2Ficd%2Fentity%2F347255399","browser")</x:f>
      </x:c>
      <x:c r="L5942" s="0">
        <x:f>hyperlink("https://icat2.azurewebsites.net/icat/?ontology=ICD&amp;tab=ClassesTab&amp;id=http%3A%2F%2Fwho.int%2Ficd%2334061_512ebf36_bf6b_4d70_85da_cf2637062af4","iCat")</x:f>
      </x:c>
      <x:c r="M5942" s="0" t="s">
        <x:v>21</x:v>
      </x:c>
      <x:c r="N5942" s="0" t="s">
        <x:v>46</x:v>
      </x:c>
    </x:row>
    <x:row r="5943" spans="1:16">
      <x:c r="A5943" s="0" t="s">
        <x:v>23625</x:v>
      </x:c>
      <x:c r="B5943" s="0" t="s">
        <x:v>23626</x:v>
      </x:c>
      <x:c r="C5943" s="0" t="s">
        <x:v>23627</x:v>
      </x:c>
      <x:c r="E5943" s="0" t="s">
        <x:v>23628</x:v>
      </x:c>
      <x:c r="F5943" s="0" t="s">
        <x:v>45</x:v>
      </x:c>
      <x:c r="G5943" s="0" t="s">
        <x:v>19</x:v>
      </x:c>
      <x:c r="H5943" s="0" t="s">
        <x:v>20</x:v>
      </x:c>
      <x:c r="I5943" s="0" t="s">
        <x:v>21</x:v>
      </x:c>
      <x:c r="K5943" s="0">
        <x:f>hyperlink("https://icd.who.int/dev11/l-ichi/en#/http%3A%2F%2Fid.who.int%2Ficd%2Fentity%2F1154051030","browser")</x:f>
      </x:c>
      <x:c r="L5943" s="0">
        <x:f>hyperlink("https://icat2.azurewebsites.net/icat/?ontology=ICD&amp;tab=ClassesTab&amp;id=http%3A%2F%2Fwho.int%2Ficd%2334067_512ebf36_bf6b_4d70_85da_cf2637062af4","iCat")</x:f>
      </x:c>
      <x:c r="M5943" s="0" t="s">
        <x:v>21</x:v>
      </x:c>
      <x:c r="N5943" s="0" t="s">
        <x:v>46</x:v>
      </x:c>
    </x:row>
    <x:row r="5944" spans="1:16">
      <x:c r="A5944" s="0" t="s">
        <x:v>23629</x:v>
      </x:c>
      <x:c r="B5944" s="0" t="s">
        <x:v>23630</x:v>
      </x:c>
      <x:c r="C5944" s="0" t="s">
        <x:v>23631</x:v>
      </x:c>
      <x:c r="E5944" s="0" t="s">
        <x:v>23632</x:v>
      </x:c>
      <x:c r="F5944" s="0" t="s">
        <x:v>45</x:v>
      </x:c>
      <x:c r="G5944" s="0" t="s">
        <x:v>19</x:v>
      </x:c>
      <x:c r="H5944" s="0" t="s">
        <x:v>20</x:v>
      </x:c>
      <x:c r="I5944" s="0" t="s">
        <x:v>21</x:v>
      </x:c>
      <x:c r="K5944" s="0">
        <x:f>hyperlink("https://icd.who.int/dev11/l-ichi/en#/http%3A%2F%2Fid.who.int%2Ficd%2Fentity%2F1265689412","browser")</x:f>
      </x:c>
      <x:c r="L5944" s="0">
        <x:f>hyperlink("https://icat2.azurewebsites.net/icat/?ontology=ICD&amp;tab=ClassesTab&amp;id=http%3A%2F%2Fwho.int%2Ficd%2334075_512ebf36_bf6b_4d70_85da_cf2637062af4","iCat")</x:f>
      </x:c>
      <x:c r="M5944" s="0" t="s">
        <x:v>21</x:v>
      </x:c>
      <x:c r="N5944" s="0" t="s">
        <x:v>46</x:v>
      </x:c>
    </x:row>
    <x:row r="5945" spans="1:16">
      <x:c r="A5945" s="0" t="s">
        <x:v>23633</x:v>
      </x:c>
      <x:c r="B5945" s="0" t="s">
        <x:v>23634</x:v>
      </x:c>
      <x:c r="C5945" s="0" t="s">
        <x:v>23635</x:v>
      </x:c>
      <x:c r="E5945" s="0" t="s">
        <x:v>23636</x:v>
      </x:c>
      <x:c r="F5945" s="0" t="s">
        <x:v>45</x:v>
      </x:c>
      <x:c r="G5945" s="0" t="s">
        <x:v>19</x:v>
      </x:c>
      <x:c r="H5945" s="0" t="s">
        <x:v>20</x:v>
      </x:c>
      <x:c r="I5945" s="0" t="s">
        <x:v>21</x:v>
      </x:c>
      <x:c r="K5945" s="0">
        <x:f>hyperlink("https://icd.who.int/dev11/l-ichi/en#/http%3A%2F%2Fid.who.int%2Ficd%2Fentity%2F336921111","browser")</x:f>
      </x:c>
      <x:c r="L5945" s="0">
        <x:f>hyperlink("https://icat2.azurewebsites.net/icat/?ontology=ICD&amp;tab=ClassesTab&amp;id=http%3A%2F%2Fwho.int%2Ficd%2334082_512ebf36_bf6b_4d70_85da_cf2637062af4","iCat")</x:f>
      </x:c>
      <x:c r="M5945" s="0" t="s">
        <x:v>21</x:v>
      </x:c>
      <x:c r="N5945" s="0" t="s">
        <x:v>46</x:v>
      </x:c>
    </x:row>
    <x:row r="5946" spans="1:16">
      <x:c r="A5946" s="0" t="s">
        <x:v>23637</x:v>
      </x:c>
      <x:c r="B5946" s="0" t="s">
        <x:v>23638</x:v>
      </x:c>
      <x:c r="C5946" s="0" t="s">
        <x:v>23639</x:v>
      </x:c>
      <x:c r="E5946" s="0" t="s">
        <x:v>23640</x:v>
      </x:c>
      <x:c r="F5946" s="0" t="s">
        <x:v>45</x:v>
      </x:c>
      <x:c r="G5946" s="0" t="s">
        <x:v>19</x:v>
      </x:c>
      <x:c r="H5946" s="0" t="s">
        <x:v>20</x:v>
      </x:c>
      <x:c r="I5946" s="0" t="s">
        <x:v>21</x:v>
      </x:c>
      <x:c r="K5946" s="0">
        <x:f>hyperlink("https://icd.who.int/dev11/l-ichi/en#/http%3A%2F%2Fid.who.int%2Ficd%2Fentity%2F521215163","browser")</x:f>
      </x:c>
      <x:c r="L5946" s="0">
        <x:f>hyperlink("https://icat2.azurewebsites.net/icat/?ontology=ICD&amp;tab=ClassesTab&amp;id=http%3A%2F%2Fwho.int%2Ficd%2334089_512ebf36_bf6b_4d70_85da_cf2637062af4","iCat")</x:f>
      </x:c>
      <x:c r="M5946" s="0" t="s">
        <x:v>21</x:v>
      </x:c>
      <x:c r="N5946" s="0" t="s">
        <x:v>46</x:v>
      </x:c>
    </x:row>
    <x:row r="5947" spans="1:16">
      <x:c r="A5947" s="0" t="s">
        <x:v>23641</x:v>
      </x:c>
      <x:c r="B5947" s="0" t="s">
        <x:v>23642</x:v>
      </x:c>
      <x:c r="C5947" s="0" t="s">
        <x:v>23643</x:v>
      </x:c>
      <x:c r="E5947" s="0" t="s">
        <x:v>23644</x:v>
      </x:c>
      <x:c r="F5947" s="0" t="s">
        <x:v>45</x:v>
      </x:c>
      <x:c r="G5947" s="0" t="s">
        <x:v>19</x:v>
      </x:c>
      <x:c r="H5947" s="0" t="s">
        <x:v>20</x:v>
      </x:c>
      <x:c r="I5947" s="0" t="s">
        <x:v>21</x:v>
      </x:c>
      <x:c r="K5947" s="0">
        <x:f>hyperlink("https://icd.who.int/dev11/l-ichi/en#/http%3A%2F%2Fid.who.int%2Ficd%2Fentity%2F1272402742","browser")</x:f>
      </x:c>
      <x:c r="L5947" s="0">
        <x:f>hyperlink("https://icat2.azurewebsites.net/icat/?ontology=ICD&amp;tab=ClassesTab&amp;id=http%3A%2F%2Fwho.int%2Ficd%2334096_512ebf36_bf6b_4d70_85da_cf2637062af4","iCat")</x:f>
      </x:c>
      <x:c r="M5947" s="0" t="s">
        <x:v>21</x:v>
      </x:c>
      <x:c r="N5947" s="0" t="s">
        <x:v>46</x:v>
      </x:c>
    </x:row>
    <x:row r="5948" spans="1:16">
      <x:c r="A5948" s="0" t="s">
        <x:v>23645</x:v>
      </x:c>
      <x:c r="B5948" s="0" t="s">
        <x:v>23646</x:v>
      </x:c>
      <x:c r="C5948" s="0" t="s">
        <x:v>23647</x:v>
      </x:c>
      <x:c r="E5948" s="0" t="s">
        <x:v>23648</x:v>
      </x:c>
      <x:c r="F5948" s="0" t="s">
        <x:v>45</x:v>
      </x:c>
      <x:c r="G5948" s="0" t="s">
        <x:v>19</x:v>
      </x:c>
      <x:c r="H5948" s="0" t="s">
        <x:v>20</x:v>
      </x:c>
      <x:c r="I5948" s="0" t="s">
        <x:v>21</x:v>
      </x:c>
      <x:c r="K5948" s="0">
        <x:f>hyperlink("https://icd.who.int/dev11/l-ichi/en#/http%3A%2F%2Fid.who.int%2Ficd%2Fentity%2F2126224720","browser")</x:f>
      </x:c>
      <x:c r="L5948" s="0">
        <x:f>hyperlink("https://icat2.azurewebsites.net/icat/?ontology=ICD&amp;tab=ClassesTab&amp;id=http%3A%2F%2Fwho.int%2Ficd%2334102_512ebf36_bf6b_4d70_85da_cf2637062af4","iCat")</x:f>
      </x:c>
      <x:c r="M5948" s="0" t="s">
        <x:v>21</x:v>
      </x:c>
      <x:c r="N5948" s="0" t="s">
        <x:v>46</x:v>
      </x:c>
    </x:row>
    <x:row r="5949" spans="1:16">
      <x:c r="A5949" s="0" t="s">
        <x:v>23649</x:v>
      </x:c>
      <x:c r="B5949" s="0" t="s">
        <x:v>23650</x:v>
      </x:c>
      <x:c r="C5949" s="0" t="s">
        <x:v>23651</x:v>
      </x:c>
      <x:c r="E5949" s="0" t="s">
        <x:v>23652</x:v>
      </x:c>
      <x:c r="F5949" s="0" t="s">
        <x:v>45</x:v>
      </x:c>
      <x:c r="G5949" s="0" t="s">
        <x:v>19</x:v>
      </x:c>
      <x:c r="H5949" s="0" t="s">
        <x:v>20</x:v>
      </x:c>
      <x:c r="I5949" s="0" t="s">
        <x:v>21</x:v>
      </x:c>
      <x:c r="K5949" s="0">
        <x:f>hyperlink("https://icd.who.int/dev11/l-ichi/en#/http%3A%2F%2Fid.who.int%2Ficd%2Fentity%2F1430712800","browser")</x:f>
      </x:c>
      <x:c r="L5949" s="0">
        <x:f>hyperlink("https://icat2.azurewebsites.net/icat/?ontology=ICD&amp;tab=ClassesTab&amp;id=http%3A%2F%2Fwho.int%2Ficd%2334108_512ebf36_bf6b_4d70_85da_cf2637062af4","iCat")</x:f>
      </x:c>
      <x:c r="M5949" s="0" t="s">
        <x:v>21</x:v>
      </x:c>
      <x:c r="N5949" s="0" t="s">
        <x:v>46</x:v>
      </x:c>
    </x:row>
    <x:row r="5950" spans="1:16">
      <x:c r="A5950" s="0" t="s">
        <x:v>23653</x:v>
      </x:c>
      <x:c r="B5950" s="0" t="s">
        <x:v>23654</x:v>
      </x:c>
      <x:c r="C5950" s="0" t="s">
        <x:v>23655</x:v>
      </x:c>
      <x:c r="E5950" s="0" t="s">
        <x:v>23656</x:v>
      </x:c>
      <x:c r="F5950" s="0" t="s">
        <x:v>45</x:v>
      </x:c>
      <x:c r="G5950" s="0" t="s">
        <x:v>19</x:v>
      </x:c>
      <x:c r="H5950" s="0" t="s">
        <x:v>20</x:v>
      </x:c>
      <x:c r="I5950" s="0" t="s">
        <x:v>21</x:v>
      </x:c>
      <x:c r="K5950" s="0">
        <x:f>hyperlink("https://icd.who.int/dev11/l-ichi/en#/http%3A%2F%2Fid.who.int%2Ficd%2Fentity%2F1694278550","browser")</x:f>
      </x:c>
      <x:c r="L5950" s="0">
        <x:f>hyperlink("https://icat2.azurewebsites.net/icat/?ontology=ICD&amp;tab=ClassesTab&amp;id=http%3A%2F%2Fwho.int%2Ficd%2334115_512ebf36_bf6b_4d70_85da_cf2637062af4","iCat")</x:f>
      </x:c>
      <x:c r="M5950" s="0" t="s">
        <x:v>21</x:v>
      </x:c>
      <x:c r="N5950" s="0" t="s">
        <x:v>46</x:v>
      </x:c>
    </x:row>
    <x:row r="5951" spans="1:16">
      <x:c r="A5951" s="0" t="s">
        <x:v>23657</x:v>
      </x:c>
      <x:c r="B5951" s="0" t="s">
        <x:v>23658</x:v>
      </x:c>
      <x:c r="C5951" s="0" t="s">
        <x:v>23659</x:v>
      </x:c>
      <x:c r="E5951" s="0" t="s">
        <x:v>23660</x:v>
      </x:c>
      <x:c r="F5951" s="0" t="s">
        <x:v>45</x:v>
      </x:c>
      <x:c r="G5951" s="0" t="s">
        <x:v>19</x:v>
      </x:c>
      <x:c r="H5951" s="0" t="s">
        <x:v>20</x:v>
      </x:c>
      <x:c r="I5951" s="0" t="s">
        <x:v>21</x:v>
      </x:c>
      <x:c r="K5951" s="0">
        <x:f>hyperlink("https://icd.who.int/dev11/l-ichi/en#/http%3A%2F%2Fid.who.int%2Ficd%2Fentity%2F290072551","browser")</x:f>
      </x:c>
      <x:c r="L5951" s="0">
        <x:f>hyperlink("https://icat2.azurewebsites.net/icat/?ontology=ICD&amp;tab=ClassesTab&amp;id=http%3A%2F%2Fwho.int%2Ficd%2334121_512ebf36_bf6b_4d70_85da_cf2637062af4","iCat")</x:f>
      </x:c>
      <x:c r="M5951" s="0" t="s">
        <x:v>21</x:v>
      </x:c>
      <x:c r="N5951" s="0" t="s">
        <x:v>46</x:v>
      </x:c>
    </x:row>
    <x:row r="5952" spans="1:16">
      <x:c r="A5952" s="0" t="s">
        <x:v>23661</x:v>
      </x:c>
      <x:c r="B5952" s="0" t="s">
        <x:v>23662</x:v>
      </x:c>
      <x:c r="C5952" s="0" t="s">
        <x:v>23663</x:v>
      </x:c>
      <x:c r="E5952" s="0" t="s">
        <x:v>23664</x:v>
      </x:c>
      <x:c r="F5952" s="0" t="s">
        <x:v>45</x:v>
      </x:c>
      <x:c r="G5952" s="0" t="s">
        <x:v>19</x:v>
      </x:c>
      <x:c r="H5952" s="0" t="s">
        <x:v>20</x:v>
      </x:c>
      <x:c r="I5952" s="0" t="s">
        <x:v>21</x:v>
      </x:c>
      <x:c r="K5952" s="0">
        <x:f>hyperlink("https://icd.who.int/dev11/l-ichi/en#/http%3A%2F%2Fid.who.int%2Ficd%2Fentity%2F1040899401","browser")</x:f>
      </x:c>
      <x:c r="L5952" s="0">
        <x:f>hyperlink("https://icat2.azurewebsites.net/icat/?ontology=ICD&amp;tab=ClassesTab&amp;id=http%3A%2F%2Fwho.int%2Ficd%2334132_512ebf36_bf6b_4d70_85da_cf2637062af4","iCat")</x:f>
      </x:c>
      <x:c r="M5952" s="0" t="s">
        <x:v>21</x:v>
      </x:c>
      <x:c r="N5952" s="0" t="s">
        <x:v>46</x:v>
      </x:c>
    </x:row>
    <x:row r="5953" spans="1:16">
      <x:c r="A5953" s="0" t="s">
        <x:v>23665</x:v>
      </x:c>
      <x:c r="B5953" s="0" t="s">
        <x:v>23666</x:v>
      </x:c>
      <x:c r="C5953" s="0" t="s">
        <x:v>23667</x:v>
      </x:c>
      <x:c r="E5953" s="0" t="s">
        <x:v>23668</x:v>
      </x:c>
      <x:c r="F5953" s="0" t="s">
        <x:v>45</x:v>
      </x:c>
      <x:c r="G5953" s="0" t="s">
        <x:v>19</x:v>
      </x:c>
      <x:c r="H5953" s="0" t="s">
        <x:v>20</x:v>
      </x:c>
      <x:c r="I5953" s="0" t="s">
        <x:v>21</x:v>
      </x:c>
      <x:c r="K5953" s="0">
        <x:f>hyperlink("https://icd.who.int/dev11/l-ichi/en#/http%3A%2F%2Fid.who.int%2Ficd%2Fentity%2F890160101","browser")</x:f>
      </x:c>
      <x:c r="L5953" s="0">
        <x:f>hyperlink("https://icat2.azurewebsites.net/icat/?ontology=ICD&amp;tab=ClassesTab&amp;id=http%3A%2F%2Fwho.int%2Ficd%2334139_512ebf36_bf6b_4d70_85da_cf2637062af4","iCat")</x:f>
      </x:c>
      <x:c r="M5953" s="0" t="s">
        <x:v>21</x:v>
      </x:c>
      <x:c r="N5953" s="0" t="s">
        <x:v>46</x:v>
      </x:c>
    </x:row>
    <x:row r="5954" spans="1:16">
      <x:c r="A5954" s="0" t="s">
        <x:v>23669</x:v>
      </x:c>
      <x:c r="B5954" s="0" t="s">
        <x:v>23670</x:v>
      </x:c>
      <x:c r="C5954" s="0" t="s">
        <x:v>23671</x:v>
      </x:c>
      <x:c r="E5954" s="0" t="s">
        <x:v>23672</x:v>
      </x:c>
      <x:c r="F5954" s="0" t="s">
        <x:v>45</x:v>
      </x:c>
      <x:c r="G5954" s="0" t="s">
        <x:v>19</x:v>
      </x:c>
      <x:c r="H5954" s="0" t="s">
        <x:v>20</x:v>
      </x:c>
      <x:c r="I5954" s="0" t="s">
        <x:v>21</x:v>
      </x:c>
      <x:c r="K5954" s="0">
        <x:f>hyperlink("https://icd.who.int/dev11/l-ichi/en#/http%3A%2F%2Fid.who.int%2Ficd%2Fentity%2F1679383302","browser")</x:f>
      </x:c>
      <x:c r="L5954" s="0">
        <x:f>hyperlink("https://icat2.azurewebsites.net/icat/?ontology=ICD&amp;tab=ClassesTab&amp;id=http%3A%2F%2Fwho.int%2Ficd%2334152_512ebf36_bf6b_4d70_85da_cf2637062af4","iCat")</x:f>
      </x:c>
      <x:c r="M5954" s="0" t="s">
        <x:v>21</x:v>
      </x:c>
      <x:c r="N5954" s="0" t="s">
        <x:v>46</x:v>
      </x:c>
    </x:row>
    <x:row r="5955" spans="1:16">
      <x:c r="A5955" s="0" t="s">
        <x:v>23673</x:v>
      </x:c>
      <x:c r="B5955" s="0" t="s">
        <x:v>23674</x:v>
      </x:c>
      <x:c r="C5955" s="0" t="s">
        <x:v>23675</x:v>
      </x:c>
      <x:c r="E5955" s="0" t="s">
        <x:v>23676</x:v>
      </x:c>
      <x:c r="F5955" s="0" t="s">
        <x:v>45</x:v>
      </x:c>
      <x:c r="G5955" s="0" t="s">
        <x:v>19</x:v>
      </x:c>
      <x:c r="H5955" s="0" t="s">
        <x:v>20</x:v>
      </x:c>
      <x:c r="I5955" s="0" t="s">
        <x:v>21</x:v>
      </x:c>
      <x:c r="K5955" s="0">
        <x:f>hyperlink("https://icd.who.int/dev11/l-ichi/en#/http%3A%2F%2Fid.who.int%2Ficd%2Fentity%2F1104414406","browser")</x:f>
      </x:c>
      <x:c r="L5955" s="0">
        <x:f>hyperlink("https://icat2.azurewebsites.net/icat/?ontology=ICD&amp;tab=ClassesTab&amp;id=http%3A%2F%2Fwho.int%2Ficd%2334160_512ebf36_bf6b_4d70_85da_cf2637062af4","iCat")</x:f>
      </x:c>
      <x:c r="M5955" s="0" t="s">
        <x:v>21</x:v>
      </x:c>
      <x:c r="N5955" s="0" t="s">
        <x:v>46</x:v>
      </x:c>
    </x:row>
    <x:row r="5956" spans="1:16">
      <x:c r="A5956" s="0" t="s">
        <x:v>23677</x:v>
      </x:c>
      <x:c r="B5956" s="0" t="s">
        <x:v>23678</x:v>
      </x:c>
      <x:c r="C5956" s="0" t="s">
        <x:v>23679</x:v>
      </x:c>
      <x:c r="E5956" s="0" t="s">
        <x:v>23680</x:v>
      </x:c>
      <x:c r="F5956" s="0" t="s">
        <x:v>45</x:v>
      </x:c>
      <x:c r="G5956" s="0" t="s">
        <x:v>19</x:v>
      </x:c>
      <x:c r="H5956" s="0" t="s">
        <x:v>20</x:v>
      </x:c>
      <x:c r="I5956" s="0" t="s">
        <x:v>21</x:v>
      </x:c>
      <x:c r="K5956" s="0">
        <x:f>hyperlink("https://icd.who.int/dev11/l-ichi/en#/http%3A%2F%2Fid.who.int%2Ficd%2Fentity%2F257259411","browser")</x:f>
      </x:c>
      <x:c r="L5956" s="0">
        <x:f>hyperlink("https://icat2.azurewebsites.net/icat/?ontology=ICD&amp;tab=ClassesTab&amp;id=http%3A%2F%2Fwho.int%2Ficd%2334168_512ebf36_bf6b_4d70_85da_cf2637062af4","iCat")</x:f>
      </x:c>
      <x:c r="M5956" s="0" t="s">
        <x:v>21</x:v>
      </x:c>
      <x:c r="N5956" s="0" t="s">
        <x:v>46</x:v>
      </x:c>
    </x:row>
    <x:row r="5957" spans="1:16">
      <x:c r="A5957" s="0" t="s">
        <x:v>23681</x:v>
      </x:c>
      <x:c r="B5957" s="0" t="s">
        <x:v>23682</x:v>
      </x:c>
      <x:c r="C5957" s="0" t="s">
        <x:v>23683</x:v>
      </x:c>
      <x:c r="E5957" s="0" t="s">
        <x:v>23684</x:v>
      </x:c>
      <x:c r="F5957" s="0" t="s">
        <x:v>45</x:v>
      </x:c>
      <x:c r="G5957" s="0" t="s">
        <x:v>19</x:v>
      </x:c>
      <x:c r="H5957" s="0" t="s">
        <x:v>20</x:v>
      </x:c>
      <x:c r="I5957" s="0" t="s">
        <x:v>21</x:v>
      </x:c>
      <x:c r="K5957" s="0">
        <x:f>hyperlink("https://icd.who.int/dev11/l-ichi/en#/http%3A%2F%2Fid.who.int%2Ficd%2Fentity%2F1055860185","browser")</x:f>
      </x:c>
      <x:c r="L5957" s="0">
        <x:f>hyperlink("https://icat2.azurewebsites.net/icat/?ontology=ICD&amp;tab=ClassesTab&amp;id=http%3A%2F%2Fwho.int%2Ficd%2334175_512ebf36_bf6b_4d70_85da_cf2637062af4","iCat")</x:f>
      </x:c>
      <x:c r="M5957" s="0" t="s">
        <x:v>21</x:v>
      </x:c>
      <x:c r="N5957" s="0" t="s">
        <x:v>46</x:v>
      </x:c>
    </x:row>
    <x:row r="5958" spans="1:16">
      <x:c r="A5958" s="0" t="s">
        <x:v>23685</x:v>
      </x:c>
      <x:c r="B5958" s="0" t="s">
        <x:v>23686</x:v>
      </x:c>
      <x:c r="C5958" s="0" t="s">
        <x:v>23687</x:v>
      </x:c>
      <x:c r="E5958" s="0" t="s">
        <x:v>23688</x:v>
      </x:c>
      <x:c r="F5958" s="0" t="s">
        <x:v>45</x:v>
      </x:c>
      <x:c r="G5958" s="0" t="s">
        <x:v>19</x:v>
      </x:c>
      <x:c r="H5958" s="0" t="s">
        <x:v>20</x:v>
      </x:c>
      <x:c r="I5958" s="0" t="s">
        <x:v>21</x:v>
      </x:c>
      <x:c r="K5958" s="0">
        <x:f>hyperlink("https://icd.who.int/dev11/l-ichi/en#/http%3A%2F%2Fid.who.int%2Ficd%2Fentity%2F605006707","browser")</x:f>
      </x:c>
      <x:c r="L5958" s="0">
        <x:f>hyperlink("https://icat2.azurewebsites.net/icat/?ontology=ICD&amp;tab=ClassesTab&amp;id=http%3A%2F%2Fwho.int%2Ficd%2334181_512ebf36_bf6b_4d70_85da_cf2637062af4","iCat")</x:f>
      </x:c>
      <x:c r="M5958" s="0" t="s">
        <x:v>21</x:v>
      </x:c>
      <x:c r="N5958" s="0" t="s">
        <x:v>46</x:v>
      </x:c>
    </x:row>
    <x:row r="5959" spans="1:16">
      <x:c r="A5959" s="0" t="s">
        <x:v>23689</x:v>
      </x:c>
      <x:c r="B5959" s="0" t="s">
        <x:v>23690</x:v>
      </x:c>
      <x:c r="C5959" s="0" t="s">
        <x:v>23691</x:v>
      </x:c>
      <x:c r="E5959" s="0" t="s">
        <x:v>23692</x:v>
      </x:c>
      <x:c r="F5959" s="0" t="s">
        <x:v>45</x:v>
      </x:c>
      <x:c r="G5959" s="0" t="s">
        <x:v>19</x:v>
      </x:c>
      <x:c r="H5959" s="0" t="s">
        <x:v>20</x:v>
      </x:c>
      <x:c r="I5959" s="0" t="s">
        <x:v>21</x:v>
      </x:c>
      <x:c r="K5959" s="0">
        <x:f>hyperlink("https://icd.who.int/dev11/l-ichi/en#/http%3A%2F%2Fid.who.int%2Ficd%2Fentity%2F1953788610","browser")</x:f>
      </x:c>
      <x:c r="L5959" s="0">
        <x:f>hyperlink("https://icat2.azurewebsites.net/icat/?ontology=ICD&amp;tab=ClassesTab&amp;id=http%3A%2F%2Fwho.int%2Ficd%2334187_512ebf36_bf6b_4d70_85da_cf2637062af4","iCat")</x:f>
      </x:c>
      <x:c r="M5959" s="0" t="s">
        <x:v>21</x:v>
      </x:c>
      <x:c r="N5959" s="0" t="s">
        <x:v>46</x:v>
      </x:c>
    </x:row>
    <x:row r="5960" spans="1:16">
      <x:c r="A5960" s="0" t="s">
        <x:v>23693</x:v>
      </x:c>
      <x:c r="B5960" s="0" t="s">
        <x:v>23694</x:v>
      </x:c>
      <x:c r="C5960" s="0" t="s">
        <x:v>23695</x:v>
      </x:c>
      <x:c r="E5960" s="0" t="s">
        <x:v>23696</x:v>
      </x:c>
      <x:c r="F5960" s="0" t="s">
        <x:v>45</x:v>
      </x:c>
      <x:c r="G5960" s="0" t="s">
        <x:v>19</x:v>
      </x:c>
      <x:c r="H5960" s="0" t="s">
        <x:v>20</x:v>
      </x:c>
      <x:c r="I5960" s="0" t="s">
        <x:v>21</x:v>
      </x:c>
      <x:c r="K5960" s="0">
        <x:f>hyperlink("https://icd.who.int/dev11/l-ichi/en#/http%3A%2F%2Fid.who.int%2Ficd%2Fentity%2F733357025","browser")</x:f>
      </x:c>
      <x:c r="L5960" s="0">
        <x:f>hyperlink("https://icat2.azurewebsites.net/icat/?ontology=ICD&amp;tab=ClassesTab&amp;id=http%3A%2F%2Fwho.int%2Ficd%2334193_512ebf36_bf6b_4d70_85da_cf2637062af4","iCat")</x:f>
      </x:c>
      <x:c r="M5960" s="0" t="s">
        <x:v>21</x:v>
      </x:c>
      <x:c r="N5960" s="0" t="s">
        <x:v>46</x:v>
      </x:c>
    </x:row>
    <x:row r="5961" spans="1:16">
      <x:c r="A5961" s="0" t="s">
        <x:v>23697</x:v>
      </x:c>
      <x:c r="B5961" s="0" t="s">
        <x:v>23698</x:v>
      </x:c>
      <x:c r="C5961" s="0" t="s">
        <x:v>23699</x:v>
      </x:c>
      <x:c r="E5961" s="0" t="s">
        <x:v>23700</x:v>
      </x:c>
      <x:c r="F5961" s="0" t="s">
        <x:v>45</x:v>
      </x:c>
      <x:c r="G5961" s="0" t="s">
        <x:v>19</x:v>
      </x:c>
      <x:c r="H5961" s="0" t="s">
        <x:v>20</x:v>
      </x:c>
      <x:c r="I5961" s="0" t="s">
        <x:v>21</x:v>
      </x:c>
      <x:c r="K5961" s="0">
        <x:f>hyperlink("https://icd.who.int/dev11/l-ichi/en#/http%3A%2F%2Fid.who.int%2Ficd%2Fentity%2F1335881896","browser")</x:f>
      </x:c>
      <x:c r="L5961" s="0">
        <x:f>hyperlink("https://icat2.azurewebsites.net/icat/?ontology=ICD&amp;tab=ClassesTab&amp;id=http%3A%2F%2Fwho.int%2Ficd%2334204_512ebf36_bf6b_4d70_85da_cf2637062af4","iCat")</x:f>
      </x:c>
      <x:c r="M5961" s="0" t="s">
        <x:v>21</x:v>
      </x:c>
      <x:c r="N5961" s="0" t="s">
        <x:v>46</x:v>
      </x:c>
    </x:row>
    <x:row r="5962" spans="1:16">
      <x:c r="A5962" s="0" t="s">
        <x:v>23701</x:v>
      </x:c>
      <x:c r="B5962" s="0" t="s">
        <x:v>23702</x:v>
      </x:c>
      <x:c r="C5962" s="0" t="s">
        <x:v>23703</x:v>
      </x:c>
      <x:c r="E5962" s="0" t="s">
        <x:v>23704</x:v>
      </x:c>
      <x:c r="F5962" s="0" t="s">
        <x:v>45</x:v>
      </x:c>
      <x:c r="G5962" s="0" t="s">
        <x:v>19</x:v>
      </x:c>
      <x:c r="H5962" s="0" t="s">
        <x:v>20</x:v>
      </x:c>
      <x:c r="I5962" s="0" t="s">
        <x:v>21</x:v>
      </x:c>
      <x:c r="K5962" s="0">
        <x:f>hyperlink("https://icd.who.int/dev11/l-ichi/en#/http%3A%2F%2Fid.who.int%2Ficd%2Fentity%2F94574541","browser")</x:f>
      </x:c>
      <x:c r="L5962" s="0">
        <x:f>hyperlink("https://icat2.azurewebsites.net/icat/?ontology=ICD&amp;tab=ClassesTab&amp;id=http%3A%2F%2Fwho.int%2Ficd%2334215_512ebf36_bf6b_4d70_85da_cf2637062af4","iCat")</x:f>
      </x:c>
      <x:c r="M5962" s="0" t="s">
        <x:v>21</x:v>
      </x:c>
      <x:c r="N5962" s="0" t="s">
        <x:v>46</x:v>
      </x:c>
    </x:row>
    <x:row r="5963" spans="1:16">
      <x:c r="A5963" s="0" t="s">
        <x:v>23705</x:v>
      </x:c>
      <x:c r="B5963" s="0" t="s">
        <x:v>23706</x:v>
      </x:c>
      <x:c r="C5963" s="0" t="s">
        <x:v>23707</x:v>
      </x:c>
      <x:c r="E5963" s="0" t="s">
        <x:v>23708</x:v>
      </x:c>
      <x:c r="F5963" s="0" t="s">
        <x:v>45</x:v>
      </x:c>
      <x:c r="G5963" s="0" t="s">
        <x:v>19</x:v>
      </x:c>
      <x:c r="H5963" s="0" t="s">
        <x:v>20</x:v>
      </x:c>
      <x:c r="I5963" s="0" t="s">
        <x:v>21</x:v>
      </x:c>
      <x:c r="K5963" s="0">
        <x:f>hyperlink("https://icd.who.int/dev11/l-ichi/en#/http%3A%2F%2Fid.who.int%2Ficd%2Fentity%2F544098831","browser")</x:f>
      </x:c>
      <x:c r="L5963" s="0">
        <x:f>hyperlink("https://icat2.azurewebsites.net/icat/?ontology=ICD&amp;tab=ClassesTab&amp;id=http%3A%2F%2Fwho.int%2Ficd%2334227_512ebf36_bf6b_4d70_85da_cf2637062af4","iCat")</x:f>
      </x:c>
      <x:c r="M5963" s="0" t="s">
        <x:v>21</x:v>
      </x:c>
      <x:c r="N5963" s="0" t="s">
        <x:v>46</x:v>
      </x:c>
    </x:row>
    <x:row r="5964" spans="1:16">
      <x:c r="A5964" s="0" t="s">
        <x:v>23709</x:v>
      </x:c>
      <x:c r="B5964" s="0" t="s">
        <x:v>23710</x:v>
      </x:c>
      <x:c r="C5964" s="0" t="s">
        <x:v>23711</x:v>
      </x:c>
      <x:c r="E5964" s="0" t="s">
        <x:v>23712</x:v>
      </x:c>
      <x:c r="F5964" s="0" t="s">
        <x:v>45</x:v>
      </x:c>
      <x:c r="G5964" s="0" t="s">
        <x:v>19</x:v>
      </x:c>
      <x:c r="H5964" s="0" t="s">
        <x:v>20</x:v>
      </x:c>
      <x:c r="I5964" s="0" t="s">
        <x:v>21</x:v>
      </x:c>
      <x:c r="K5964" s="0">
        <x:f>hyperlink("https://icd.who.int/dev11/l-ichi/en#/http%3A%2F%2Fid.who.int%2Ficd%2Fentity%2F2141985580","browser")</x:f>
      </x:c>
      <x:c r="L5964" s="0">
        <x:f>hyperlink("https://icat2.azurewebsites.net/icat/?ontology=ICD&amp;tab=ClassesTab&amp;id=http%3A%2F%2Fwho.int%2Ficd%2334233_512ebf36_bf6b_4d70_85da_cf2637062af4","iCat")</x:f>
      </x:c>
      <x:c r="M5964" s="0" t="s">
        <x:v>21</x:v>
      </x:c>
      <x:c r="N5964" s="0" t="s">
        <x:v>46</x:v>
      </x:c>
    </x:row>
    <x:row r="5965" spans="1:16">
      <x:c r="A5965" s="0" t="s">
        <x:v>23713</x:v>
      </x:c>
      <x:c r="B5965" s="0" t="s">
        <x:v>23714</x:v>
      </x:c>
      <x:c r="C5965" s="0" t="s">
        <x:v>23715</x:v>
      </x:c>
      <x:c r="E5965" s="0" t="s">
        <x:v>23716</x:v>
      </x:c>
      <x:c r="F5965" s="0" t="s">
        <x:v>45</x:v>
      </x:c>
      <x:c r="G5965" s="0" t="s">
        <x:v>19</x:v>
      </x:c>
      <x:c r="H5965" s="0" t="s">
        <x:v>20</x:v>
      </x:c>
      <x:c r="I5965" s="0" t="s">
        <x:v>21</x:v>
      </x:c>
      <x:c r="K5965" s="0">
        <x:f>hyperlink("https://icd.who.int/dev11/l-ichi/en#/http%3A%2F%2Fid.who.int%2Ficd%2Fentity%2F1870887434","browser")</x:f>
      </x:c>
      <x:c r="L5965" s="0">
        <x:f>hyperlink("https://icat2.azurewebsites.net/icat/?ontology=ICD&amp;tab=ClassesTab&amp;id=http%3A%2F%2Fwho.int%2Ficd%2334242_512ebf36_bf6b_4d70_85da_cf2637062af4","iCat")</x:f>
      </x:c>
      <x:c r="M5965" s="0" t="s">
        <x:v>21</x:v>
      </x:c>
      <x:c r="N5965" s="0" t="s">
        <x:v>46</x:v>
      </x:c>
    </x:row>
    <x:row r="5966" spans="1:16">
      <x:c r="A5966" s="0" t="s">
        <x:v>23717</x:v>
      </x:c>
      <x:c r="B5966" s="0" t="s">
        <x:v>23718</x:v>
      </x:c>
      <x:c r="C5966" s="0" t="s">
        <x:v>23719</x:v>
      </x:c>
      <x:c r="E5966" s="0" t="s">
        <x:v>23720</x:v>
      </x:c>
      <x:c r="F5966" s="0" t="s">
        <x:v>45</x:v>
      </x:c>
      <x:c r="G5966" s="0" t="s">
        <x:v>19</x:v>
      </x:c>
      <x:c r="H5966" s="0" t="s">
        <x:v>20</x:v>
      </x:c>
      <x:c r="I5966" s="0" t="s">
        <x:v>21</x:v>
      </x:c>
      <x:c r="K5966" s="0">
        <x:f>hyperlink("https://icd.who.int/dev11/l-ichi/en#/http%3A%2F%2Fid.who.int%2Ficd%2Fentity%2F1086554278","browser")</x:f>
      </x:c>
      <x:c r="L5966" s="0">
        <x:f>hyperlink("https://icat2.azurewebsites.net/icat/?ontology=ICD&amp;tab=ClassesTab&amp;id=http%3A%2F%2Fwho.int%2Ficd%2334251_512ebf36_bf6b_4d70_85da_cf2637062af4","iCat")</x:f>
      </x:c>
      <x:c r="M5966" s="0" t="s">
        <x:v>21</x:v>
      </x:c>
      <x:c r="N5966" s="0" t="s">
        <x:v>46</x:v>
      </x:c>
    </x:row>
    <x:row r="5967" spans="1:16">
      <x:c r="A5967" s="0" t="s">
        <x:v>23721</x:v>
      </x:c>
      <x:c r="B5967" s="0" t="s">
        <x:v>23722</x:v>
      </x:c>
      <x:c r="C5967" s="0" t="s">
        <x:v>23723</x:v>
      </x:c>
      <x:c r="E5967" s="0" t="s">
        <x:v>23724</x:v>
      </x:c>
      <x:c r="F5967" s="0" t="s">
        <x:v>45</x:v>
      </x:c>
      <x:c r="G5967" s="0" t="s">
        <x:v>19</x:v>
      </x:c>
      <x:c r="H5967" s="0" t="s">
        <x:v>20</x:v>
      </x:c>
      <x:c r="I5967" s="0" t="s">
        <x:v>21</x:v>
      </x:c>
      <x:c r="K5967" s="0">
        <x:f>hyperlink("https://icd.who.int/dev11/l-ichi/en#/http%3A%2F%2Fid.who.int%2Ficd%2Fentity%2F546026143","browser")</x:f>
      </x:c>
      <x:c r="L5967" s="0">
        <x:f>hyperlink("https://icat2.azurewebsites.net/icat/?ontology=ICD&amp;tab=ClassesTab&amp;id=http%3A%2F%2Fwho.int%2Ficd%2334260_512ebf36_bf6b_4d70_85da_cf2637062af4","iCat")</x:f>
      </x:c>
      <x:c r="M5967" s="0" t="s">
        <x:v>21</x:v>
      </x:c>
      <x:c r="N5967" s="0" t="s">
        <x:v>46</x:v>
      </x:c>
    </x:row>
    <x:row r="5968" spans="1:16">
      <x:c r="A5968" s="0" t="s">
        <x:v>23725</x:v>
      </x:c>
      <x:c r="B5968" s="0" t="s">
        <x:v>23726</x:v>
      </x:c>
      <x:c r="C5968" s="0" t="s">
        <x:v>23727</x:v>
      </x:c>
      <x:c r="E5968" s="0" t="s">
        <x:v>23728</x:v>
      </x:c>
      <x:c r="F5968" s="0" t="s">
        <x:v>45</x:v>
      </x:c>
      <x:c r="G5968" s="0" t="s">
        <x:v>19</x:v>
      </x:c>
      <x:c r="H5968" s="0" t="s">
        <x:v>20</x:v>
      </x:c>
      <x:c r="I5968" s="0" t="s">
        <x:v>21</x:v>
      </x:c>
      <x:c r="K5968" s="0">
        <x:f>hyperlink("https://icd.who.int/dev11/l-ichi/en#/http%3A%2F%2Fid.who.int%2Ficd%2Fentity%2F1846199244","browser")</x:f>
      </x:c>
      <x:c r="L5968" s="0">
        <x:f>hyperlink("https://icat2.azurewebsites.net/icat/?ontology=ICD&amp;tab=ClassesTab&amp;id=http%3A%2F%2Fwho.int%2Ficd%2334268_512ebf36_bf6b_4d70_85da_cf2637062af4","iCat")</x:f>
      </x:c>
      <x:c r="M5968" s="0" t="s">
        <x:v>21</x:v>
      </x:c>
      <x:c r="N5968" s="0" t="s">
        <x:v>46</x:v>
      </x:c>
    </x:row>
    <x:row r="5969" spans="1:16">
      <x:c r="A5969" s="0" t="s">
        <x:v>23729</x:v>
      </x:c>
      <x:c r="B5969" s="0" t="s">
        <x:v>23730</x:v>
      </x:c>
      <x:c r="C5969" s="0" t="s">
        <x:v>23731</x:v>
      </x:c>
      <x:c r="E5969" s="0" t="s">
        <x:v>23732</x:v>
      </x:c>
      <x:c r="F5969" s="0" t="s">
        <x:v>45</x:v>
      </x:c>
      <x:c r="G5969" s="0" t="s">
        <x:v>19</x:v>
      </x:c>
      <x:c r="H5969" s="0" t="s">
        <x:v>20</x:v>
      </x:c>
      <x:c r="I5969" s="0" t="s">
        <x:v>21</x:v>
      </x:c>
      <x:c r="K5969" s="0">
        <x:f>hyperlink("https://icd.who.int/dev11/l-ichi/en#/http%3A%2F%2Fid.who.int%2Ficd%2Fentity%2F2135548860","browser")</x:f>
      </x:c>
      <x:c r="L5969" s="0">
        <x:f>hyperlink("https://icat2.azurewebsites.net/icat/?ontology=ICD&amp;tab=ClassesTab&amp;id=http%3A%2F%2Fwho.int%2Ficd%2334274_512ebf36_bf6b_4d70_85da_cf2637062af4","iCat")</x:f>
      </x:c>
      <x:c r="M5969" s="0" t="s">
        <x:v>21</x:v>
      </x:c>
      <x:c r="N5969" s="0" t="s">
        <x:v>46</x:v>
      </x:c>
    </x:row>
    <x:row r="5970" spans="1:16">
      <x:c r="A5970" s="0" t="s">
        <x:v>23733</x:v>
      </x:c>
      <x:c r="B5970" s="0" t="s">
        <x:v>23734</x:v>
      </x:c>
      <x:c r="C5970" s="0" t="s">
        <x:v>23735</x:v>
      </x:c>
      <x:c r="E5970" s="0" t="s">
        <x:v>23736</x:v>
      </x:c>
      <x:c r="F5970" s="0" t="s">
        <x:v>45</x:v>
      </x:c>
      <x:c r="G5970" s="0" t="s">
        <x:v>19</x:v>
      </x:c>
      <x:c r="H5970" s="0" t="s">
        <x:v>20</x:v>
      </x:c>
      <x:c r="I5970" s="0" t="s">
        <x:v>21</x:v>
      </x:c>
      <x:c r="K5970" s="0">
        <x:f>hyperlink("https://icd.who.int/dev11/l-ichi/en#/http%3A%2F%2Fid.who.int%2Ficd%2Fentity%2F13988051","browser")</x:f>
      </x:c>
      <x:c r="L5970" s="0">
        <x:f>hyperlink("https://icat2.azurewebsites.net/icat/?ontology=ICD&amp;tab=ClassesTab&amp;id=http%3A%2F%2Fwho.int%2Ficd%2334282_512ebf36_bf6b_4d70_85da_cf2637062af4","iCat")</x:f>
      </x:c>
      <x:c r="M5970" s="0" t="s">
        <x:v>21</x:v>
      </x:c>
      <x:c r="N5970" s="0" t="s">
        <x:v>46</x:v>
      </x:c>
    </x:row>
    <x:row r="5971" spans="1:16">
      <x:c r="A5971" s="0" t="s">
        <x:v>23737</x:v>
      </x:c>
      <x:c r="B5971" s="0" t="s">
        <x:v>23738</x:v>
      </x:c>
      <x:c r="C5971" s="0" t="s">
        <x:v>23739</x:v>
      </x:c>
      <x:c r="E5971" s="0" t="s">
        <x:v>23740</x:v>
      </x:c>
      <x:c r="F5971" s="0" t="s">
        <x:v>45</x:v>
      </x:c>
      <x:c r="G5971" s="0" t="s">
        <x:v>19</x:v>
      </x:c>
      <x:c r="H5971" s="0" t="s">
        <x:v>20</x:v>
      </x:c>
      <x:c r="I5971" s="0" t="s">
        <x:v>21</x:v>
      </x:c>
      <x:c r="K5971" s="0">
        <x:f>hyperlink("https://icd.who.int/dev11/l-ichi/en#/http%3A%2F%2Fid.who.int%2Ficd%2Fentity%2F258799681","browser")</x:f>
      </x:c>
      <x:c r="L5971" s="0">
        <x:f>hyperlink("https://icat2.azurewebsites.net/icat/?ontology=ICD&amp;tab=ClassesTab&amp;id=http%3A%2F%2Fwho.int%2Ficd%2334290_512ebf36_bf6b_4d70_85da_cf2637062af4","iCat")</x:f>
      </x:c>
      <x:c r="M5971" s="0" t="s">
        <x:v>21</x:v>
      </x:c>
      <x:c r="N5971" s="0" t="s">
        <x:v>46</x:v>
      </x:c>
    </x:row>
    <x:row r="5972" spans="1:16">
      <x:c r="A5972" s="0" t="s">
        <x:v>23741</x:v>
      </x:c>
      <x:c r="B5972" s="0" t="s">
        <x:v>23742</x:v>
      </x:c>
      <x:c r="C5972" s="0" t="s">
        <x:v>23743</x:v>
      </x:c>
      <x:c r="E5972" s="0" t="s">
        <x:v>23744</x:v>
      </x:c>
      <x:c r="F5972" s="0" t="s">
        <x:v>45</x:v>
      </x:c>
      <x:c r="G5972" s="0" t="s">
        <x:v>19</x:v>
      </x:c>
      <x:c r="H5972" s="0" t="s">
        <x:v>20</x:v>
      </x:c>
      <x:c r="I5972" s="0" t="s">
        <x:v>21</x:v>
      </x:c>
      <x:c r="K5972" s="0">
        <x:f>hyperlink("https://icd.who.int/dev11/l-ichi/en#/http%3A%2F%2Fid.who.int%2Ficd%2Fentity%2F2146325454","browser")</x:f>
      </x:c>
      <x:c r="L5972" s="0">
        <x:f>hyperlink("https://icat2.azurewebsites.net/icat/?ontology=ICD&amp;tab=ClassesTab&amp;id=http%3A%2F%2Fwho.int%2Ficd%2334297_512ebf36_bf6b_4d70_85da_cf2637062af4","iCat")</x:f>
      </x:c>
      <x:c r="M5972" s="0" t="s">
        <x:v>21</x:v>
      </x:c>
      <x:c r="N5972" s="0" t="s">
        <x:v>46</x:v>
      </x:c>
    </x:row>
    <x:row r="5973" spans="1:16">
      <x:c r="A5973" s="0" t="s">
        <x:v>23745</x:v>
      </x:c>
      <x:c r="B5973" s="0" t="s">
        <x:v>23746</x:v>
      </x:c>
      <x:c r="C5973" s="0" t="s">
        <x:v>23747</x:v>
      </x:c>
      <x:c r="E5973" s="0" t="s">
        <x:v>23748</x:v>
      </x:c>
      <x:c r="F5973" s="0" t="s">
        <x:v>45</x:v>
      </x:c>
      <x:c r="G5973" s="0" t="s">
        <x:v>19</x:v>
      </x:c>
      <x:c r="H5973" s="0" t="s">
        <x:v>20</x:v>
      </x:c>
      <x:c r="I5973" s="0" t="s">
        <x:v>21</x:v>
      </x:c>
      <x:c r="K5973" s="0">
        <x:f>hyperlink("https://icd.who.int/dev11/l-ichi/en#/http%3A%2F%2Fid.who.int%2Ficd%2Fentity%2F1635774760","browser")</x:f>
      </x:c>
      <x:c r="L5973" s="0">
        <x:f>hyperlink("https://icat2.azurewebsites.net/icat/?ontology=ICD&amp;tab=ClassesTab&amp;id=http%3A%2F%2Fwho.int%2Ficd%2334309_512ebf36_bf6b_4d70_85da_cf2637062af4","iCat")</x:f>
      </x:c>
      <x:c r="M5973" s="0" t="s">
        <x:v>21</x:v>
      </x:c>
      <x:c r="N5973" s="0" t="s">
        <x:v>46</x:v>
      </x:c>
    </x:row>
    <x:row r="5974" spans="1:16">
      <x:c r="A5974" s="0" t="s">
        <x:v>23749</x:v>
      </x:c>
      <x:c r="B5974" s="0" t="s">
        <x:v>23750</x:v>
      </x:c>
      <x:c r="C5974" s="0" t="s">
        <x:v>23751</x:v>
      </x:c>
      <x:c r="E5974" s="0" t="s">
        <x:v>23752</x:v>
      </x:c>
      <x:c r="F5974" s="0" t="s">
        <x:v>45</x:v>
      </x:c>
      <x:c r="G5974" s="0" t="s">
        <x:v>19</x:v>
      </x:c>
      <x:c r="H5974" s="0" t="s">
        <x:v>20</x:v>
      </x:c>
      <x:c r="I5974" s="0" t="s">
        <x:v>21</x:v>
      </x:c>
      <x:c r="K5974" s="0">
        <x:f>hyperlink("https://icd.who.int/dev11/l-ichi/en#/http%3A%2F%2Fid.who.int%2Ficd%2Fentity%2F356568213","browser")</x:f>
      </x:c>
      <x:c r="L5974" s="0">
        <x:f>hyperlink("https://icat2.azurewebsites.net/icat/?ontology=ICD&amp;tab=ClassesTab&amp;id=http%3A%2F%2Fwho.int%2Ficd%2334317_512ebf36_bf6b_4d70_85da_cf2637062af4","iCat")</x:f>
      </x:c>
      <x:c r="M5974" s="0" t="s">
        <x:v>21</x:v>
      </x:c>
      <x:c r="N5974" s="0" t="s">
        <x:v>46</x:v>
      </x:c>
    </x:row>
    <x:row r="5975" spans="1:16">
      <x:c r="A5975" s="0" t="s">
        <x:v>23753</x:v>
      </x:c>
      <x:c r="B5975" s="0" t="s">
        <x:v>23754</x:v>
      </x:c>
      <x:c r="C5975" s="0" t="s">
        <x:v>23755</x:v>
      </x:c>
      <x:c r="E5975" s="0" t="s">
        <x:v>23756</x:v>
      </x:c>
      <x:c r="F5975" s="0" t="s">
        <x:v>45</x:v>
      </x:c>
      <x:c r="G5975" s="0" t="s">
        <x:v>19</x:v>
      </x:c>
      <x:c r="H5975" s="0" t="s">
        <x:v>20</x:v>
      </x:c>
      <x:c r="I5975" s="0" t="s">
        <x:v>21</x:v>
      </x:c>
      <x:c r="K5975" s="0">
        <x:f>hyperlink("https://icd.who.int/dev11/l-ichi/en#/http%3A%2F%2Fid.who.int%2Ficd%2Fentity%2F171171249","browser")</x:f>
      </x:c>
      <x:c r="L5975" s="0">
        <x:f>hyperlink("https://icat2.azurewebsites.net/icat/?ontology=ICD&amp;tab=ClassesTab&amp;id=http%3A%2F%2Fwho.int%2Ficd%2334333_512ebf36_bf6b_4d70_85da_cf2637062af4","iCat")</x:f>
      </x:c>
      <x:c r="M5975" s="0" t="s">
        <x:v>21</x:v>
      </x:c>
      <x:c r="N5975" s="0" t="s">
        <x:v>46</x:v>
      </x:c>
    </x:row>
    <x:row r="5976" spans="1:16">
      <x:c r="A5976" s="0" t="s">
        <x:v>23757</x:v>
      </x:c>
      <x:c r="B5976" s="0" t="s">
        <x:v>23758</x:v>
      </x:c>
      <x:c r="C5976" s="0" t="s">
        <x:v>23759</x:v>
      </x:c>
      <x:c r="E5976" s="0" t="s">
        <x:v>23760</x:v>
      </x:c>
      <x:c r="F5976" s="0" t="s">
        <x:v>45</x:v>
      </x:c>
      <x:c r="G5976" s="0" t="s">
        <x:v>19</x:v>
      </x:c>
      <x:c r="H5976" s="0" t="s">
        <x:v>20</x:v>
      </x:c>
      <x:c r="I5976" s="0" t="s">
        <x:v>21</x:v>
      </x:c>
      <x:c r="K5976" s="0">
        <x:f>hyperlink("https://icd.who.int/dev11/l-ichi/en#/http%3A%2F%2Fid.who.int%2Ficd%2Fentity%2F2137039186","browser")</x:f>
      </x:c>
      <x:c r="L5976" s="0">
        <x:f>hyperlink("https://icat2.azurewebsites.net/icat/?ontology=ICD&amp;tab=ClassesTab&amp;id=http%3A%2F%2Fwho.int%2Ficd%2334340_512ebf36_bf6b_4d70_85da_cf2637062af4","iCat")</x:f>
      </x:c>
      <x:c r="M5976" s="0" t="s">
        <x:v>21</x:v>
      </x:c>
      <x:c r="N5976" s="0" t="s">
        <x:v>46</x:v>
      </x:c>
    </x:row>
    <x:row r="5977" spans="1:16">
      <x:c r="A5977" s="0" t="s">
        <x:v>23761</x:v>
      </x:c>
      <x:c r="B5977" s="0" t="s">
        <x:v>23762</x:v>
      </x:c>
      <x:c r="C5977" s="0" t="s">
        <x:v>23763</x:v>
      </x:c>
      <x:c r="E5977" s="0" t="s">
        <x:v>23764</x:v>
      </x:c>
      <x:c r="F5977" s="0" t="s">
        <x:v>45</x:v>
      </x:c>
      <x:c r="G5977" s="0" t="s">
        <x:v>19</x:v>
      </x:c>
      <x:c r="H5977" s="0" t="s">
        <x:v>20</x:v>
      </x:c>
      <x:c r="I5977" s="0" t="s">
        <x:v>21</x:v>
      </x:c>
      <x:c r="K5977" s="0">
        <x:f>hyperlink("https://icd.who.int/dev11/l-ichi/en#/http%3A%2F%2Fid.who.int%2Ficd%2Fentity%2F286827067","browser")</x:f>
      </x:c>
      <x:c r="L5977" s="0">
        <x:f>hyperlink("https://icat2.azurewebsites.net/icat/?ontology=ICD&amp;tab=ClassesTab&amp;id=http%3A%2F%2Fwho.int%2Ficd%2334349_512ebf36_bf6b_4d70_85da_cf2637062af4","iCat")</x:f>
      </x:c>
      <x:c r="M5977" s="0" t="s">
        <x:v>21</x:v>
      </x:c>
      <x:c r="N5977" s="0" t="s">
        <x:v>46</x:v>
      </x:c>
    </x:row>
    <x:row r="5978" spans="1:16">
      <x:c r="A5978" s="0" t="s">
        <x:v>23765</x:v>
      </x:c>
      <x:c r="B5978" s="0" t="s">
        <x:v>23766</x:v>
      </x:c>
      <x:c r="C5978" s="0" t="s">
        <x:v>23767</x:v>
      </x:c>
      <x:c r="E5978" s="0" t="s">
        <x:v>23768</x:v>
      </x:c>
      <x:c r="F5978" s="0" t="s">
        <x:v>45</x:v>
      </x:c>
      <x:c r="G5978" s="0" t="s">
        <x:v>19</x:v>
      </x:c>
      <x:c r="H5978" s="0" t="s">
        <x:v>20</x:v>
      </x:c>
      <x:c r="I5978" s="0" t="s">
        <x:v>21</x:v>
      </x:c>
      <x:c r="K5978" s="0">
        <x:f>hyperlink("https://icd.who.int/dev11/l-ichi/en#/http%3A%2F%2Fid.who.int%2Ficd%2Fentity%2F5997133","browser")</x:f>
      </x:c>
      <x:c r="L5978" s="0">
        <x:f>hyperlink("https://icat2.azurewebsites.net/icat/?ontology=ICD&amp;tab=ClassesTab&amp;id=http%3A%2F%2Fwho.int%2Ficd%2334355_512ebf36_bf6b_4d70_85da_cf2637062af4","iCat")</x:f>
      </x:c>
      <x:c r="M5978" s="0" t="s">
        <x:v>21</x:v>
      </x:c>
      <x:c r="N5978" s="0" t="s">
        <x:v>46</x:v>
      </x:c>
    </x:row>
    <x:row r="5979" spans="1:16">
      <x:c r="A5979" s="0" t="s">
        <x:v>23769</x:v>
      </x:c>
      <x:c r="B5979" s="0" t="s">
        <x:v>23770</x:v>
      </x:c>
      <x:c r="C5979" s="0" t="s">
        <x:v>23771</x:v>
      </x:c>
      <x:c r="E5979" s="0" t="s">
        <x:v>23772</x:v>
      </x:c>
      <x:c r="F5979" s="0" t="s">
        <x:v>45</x:v>
      </x:c>
      <x:c r="G5979" s="0" t="s">
        <x:v>19</x:v>
      </x:c>
      <x:c r="H5979" s="0" t="s">
        <x:v>20</x:v>
      </x:c>
      <x:c r="I5979" s="0" t="s">
        <x:v>21</x:v>
      </x:c>
      <x:c r="K5979" s="0">
        <x:f>hyperlink("https://icd.who.int/dev11/l-ichi/en#/http%3A%2F%2Fid.who.int%2Ficd%2Fentity%2F1611903094","browser")</x:f>
      </x:c>
      <x:c r="L5979" s="0">
        <x:f>hyperlink("https://icat2.azurewebsites.net/icat/?ontology=ICD&amp;tab=ClassesTab&amp;id=http%3A%2F%2Fwho.int%2Ficd%2334364_512ebf36_bf6b_4d70_85da_cf2637062af4","iCat")</x:f>
      </x:c>
      <x:c r="M5979" s="0" t="s">
        <x:v>21</x:v>
      </x:c>
      <x:c r="N5979" s="0" t="s">
        <x:v>46</x:v>
      </x:c>
    </x:row>
    <x:row r="5980" spans="1:16">
      <x:c r="A5980" s="0" t="s">
        <x:v>23773</x:v>
      </x:c>
      <x:c r="B5980" s="0" t="s">
        <x:v>23774</x:v>
      </x:c>
      <x:c r="C5980" s="0" t="s">
        <x:v>23775</x:v>
      </x:c>
      <x:c r="E5980" s="0" t="s">
        <x:v>23776</x:v>
      </x:c>
      <x:c r="F5980" s="0" t="s">
        <x:v>45</x:v>
      </x:c>
      <x:c r="G5980" s="0" t="s">
        <x:v>19</x:v>
      </x:c>
      <x:c r="H5980" s="0" t="s">
        <x:v>20</x:v>
      </x:c>
      <x:c r="I5980" s="0" t="s">
        <x:v>21</x:v>
      </x:c>
      <x:c r="K5980" s="0">
        <x:f>hyperlink("https://icd.who.int/dev11/l-ichi/en#/http%3A%2F%2Fid.who.int%2Ficd%2Fentity%2F1521351826","browser")</x:f>
      </x:c>
      <x:c r="L5980" s="0">
        <x:f>hyperlink("https://icat2.azurewebsites.net/icat/?ontology=ICD&amp;tab=ClassesTab&amp;id=http%3A%2F%2Fwho.int%2Ficd%2334372_512ebf36_bf6b_4d70_85da_cf2637062af4","iCat")</x:f>
      </x:c>
      <x:c r="M5980" s="0" t="s">
        <x:v>21</x:v>
      </x:c>
      <x:c r="N5980" s="0" t="s">
        <x:v>46</x:v>
      </x:c>
    </x:row>
    <x:row r="5981" spans="1:16">
      <x:c r="A5981" s="0" t="s">
        <x:v>23777</x:v>
      </x:c>
      <x:c r="B5981" s="0" t="s">
        <x:v>23778</x:v>
      </x:c>
      <x:c r="C5981" s="0" t="s">
        <x:v>23779</x:v>
      </x:c>
      <x:c r="E5981" s="0" t="s">
        <x:v>23780</x:v>
      </x:c>
      <x:c r="F5981" s="0" t="s">
        <x:v>45</x:v>
      </x:c>
      <x:c r="G5981" s="0" t="s">
        <x:v>19</x:v>
      </x:c>
      <x:c r="H5981" s="0" t="s">
        <x:v>20</x:v>
      </x:c>
      <x:c r="I5981" s="0" t="s">
        <x:v>21</x:v>
      </x:c>
      <x:c r="K5981" s="0">
        <x:f>hyperlink("https://icd.who.int/dev11/l-ichi/en#/http%3A%2F%2Fid.who.int%2Ficd%2Fentity%2F1370087996","browser")</x:f>
      </x:c>
      <x:c r="L5981" s="0">
        <x:f>hyperlink("https://icat2.azurewebsites.net/icat/?ontology=ICD&amp;tab=ClassesTab&amp;id=http%3A%2F%2Fwho.int%2Ficd%2334379_512ebf36_bf6b_4d70_85da_cf2637062af4","iCat")</x:f>
      </x:c>
      <x:c r="M5981" s="0" t="s">
        <x:v>21</x:v>
      </x:c>
      <x:c r="N5981" s="0" t="s">
        <x:v>46</x:v>
      </x:c>
    </x:row>
    <x:row r="5982" spans="1:16">
      <x:c r="A5982" s="0" t="s">
        <x:v>23781</x:v>
      </x:c>
      <x:c r="B5982" s="0" t="s">
        <x:v>23782</x:v>
      </x:c>
      <x:c r="C5982" s="0" t="s">
        <x:v>23783</x:v>
      </x:c>
      <x:c r="E5982" s="0" t="s">
        <x:v>23784</x:v>
      </x:c>
      <x:c r="F5982" s="0" t="s">
        <x:v>45</x:v>
      </x:c>
      <x:c r="G5982" s="0" t="s">
        <x:v>19</x:v>
      </x:c>
      <x:c r="H5982" s="0" t="s">
        <x:v>20</x:v>
      </x:c>
      <x:c r="I5982" s="0" t="s">
        <x:v>21</x:v>
      </x:c>
      <x:c r="K5982" s="0">
        <x:f>hyperlink("https://icd.who.int/dev11/l-ichi/en#/http%3A%2F%2Fid.who.int%2Ficd%2Fentity%2F2062761694","browser")</x:f>
      </x:c>
      <x:c r="L5982" s="0">
        <x:f>hyperlink("https://icat2.azurewebsites.net/icat/?ontology=ICD&amp;tab=ClassesTab&amp;id=http%3A%2F%2Fwho.int%2Ficd%2334390_512ebf36_bf6b_4d70_85da_cf2637062af4","iCat")</x:f>
      </x:c>
      <x:c r="M5982" s="0" t="s">
        <x:v>21</x:v>
      </x:c>
      <x:c r="N5982" s="0" t="s">
        <x:v>46</x:v>
      </x:c>
    </x:row>
    <x:row r="5983" spans="1:16">
      <x:c r="A5983" s="0" t="s">
        <x:v>23785</x:v>
      </x:c>
      <x:c r="B5983" s="0" t="s">
        <x:v>23786</x:v>
      </x:c>
      <x:c r="C5983" s="0" t="s">
        <x:v>23787</x:v>
      </x:c>
      <x:c r="E5983" s="0" t="s">
        <x:v>23788</x:v>
      </x:c>
      <x:c r="F5983" s="0" t="s">
        <x:v>45</x:v>
      </x:c>
      <x:c r="G5983" s="0" t="s">
        <x:v>19</x:v>
      </x:c>
      <x:c r="H5983" s="0" t="s">
        <x:v>20</x:v>
      </x:c>
      <x:c r="I5983" s="0" t="s">
        <x:v>21</x:v>
      </x:c>
      <x:c r="K5983" s="0">
        <x:f>hyperlink("https://icd.who.int/dev11/l-ichi/en#/http%3A%2F%2Fid.who.int%2Ficd%2Fentity%2F1666603555","browser")</x:f>
      </x:c>
      <x:c r="L5983" s="0">
        <x:f>hyperlink("https://icat2.azurewebsites.net/icat/?ontology=ICD&amp;tab=ClassesTab&amp;id=http%3A%2F%2Fwho.int%2Ficd%2334400_512ebf36_bf6b_4d70_85da_cf2637062af4","iCat")</x:f>
      </x:c>
      <x:c r="M5983" s="0" t="s">
        <x:v>21</x:v>
      </x:c>
      <x:c r="N5983" s="0" t="s">
        <x:v>46</x:v>
      </x:c>
    </x:row>
    <x:row r="5984" spans="1:16">
      <x:c r="A5984" s="0" t="s">
        <x:v>23789</x:v>
      </x:c>
      <x:c r="B5984" s="0" t="s">
        <x:v>23790</x:v>
      </x:c>
      <x:c r="C5984" s="0" t="s">
        <x:v>23791</x:v>
      </x:c>
      <x:c r="E5984" s="0" t="s">
        <x:v>23792</x:v>
      </x:c>
      <x:c r="F5984" s="0" t="s">
        <x:v>45</x:v>
      </x:c>
      <x:c r="G5984" s="0" t="s">
        <x:v>19</x:v>
      </x:c>
      <x:c r="H5984" s="0" t="s">
        <x:v>20</x:v>
      </x:c>
      <x:c r="I5984" s="0" t="s">
        <x:v>21</x:v>
      </x:c>
      <x:c r="K5984" s="0">
        <x:f>hyperlink("https://icd.who.int/dev11/l-ichi/en#/http%3A%2F%2Fid.who.int%2Ficd%2Fentity%2F694861128","browser")</x:f>
      </x:c>
      <x:c r="L5984" s="0">
        <x:f>hyperlink("https://icat2.azurewebsites.net/icat/?ontology=ICD&amp;tab=ClassesTab&amp;id=http%3A%2F%2Fwho.int%2Ficd%2334411_512ebf36_bf6b_4d70_85da_cf2637062af4","iCat")</x:f>
      </x:c>
      <x:c r="M5984" s="0" t="s">
        <x:v>21</x:v>
      </x:c>
      <x:c r="N5984" s="0" t="s">
        <x:v>46</x:v>
      </x:c>
    </x:row>
    <x:row r="5985" spans="1:16">
      <x:c r="A5985" s="0" t="s">
        <x:v>23793</x:v>
      </x:c>
      <x:c r="B5985" s="0" t="s">
        <x:v>23794</x:v>
      </x:c>
      <x:c r="C5985" s="0" t="s">
        <x:v>23795</x:v>
      </x:c>
      <x:c r="E5985" s="0" t="s">
        <x:v>23796</x:v>
      </x:c>
      <x:c r="F5985" s="0" t="s">
        <x:v>45</x:v>
      </x:c>
      <x:c r="G5985" s="0" t="s">
        <x:v>19</x:v>
      </x:c>
      <x:c r="H5985" s="0" t="s">
        <x:v>20</x:v>
      </x:c>
      <x:c r="I5985" s="0" t="s">
        <x:v>21</x:v>
      </x:c>
      <x:c r="K5985" s="0">
        <x:f>hyperlink("https://icd.who.int/dev11/l-ichi/en#/http%3A%2F%2Fid.who.int%2Ficd%2Fentity%2F2031183097","browser")</x:f>
      </x:c>
      <x:c r="L5985" s="0">
        <x:f>hyperlink("https://icat2.azurewebsites.net/icat/?ontology=ICD&amp;tab=ClassesTab&amp;id=http%3A%2F%2Fwho.int%2Ficd%2334417_512ebf36_bf6b_4d70_85da_cf2637062af4","iCat")</x:f>
      </x:c>
      <x:c r="M5985" s="0" t="s">
        <x:v>21</x:v>
      </x:c>
      <x:c r="N5985" s="0" t="s">
        <x:v>46</x:v>
      </x:c>
    </x:row>
    <x:row r="5986" spans="1:16">
      <x:c r="A5986" s="0" t="s">
        <x:v>23797</x:v>
      </x:c>
      <x:c r="B5986" s="0" t="s">
        <x:v>23798</x:v>
      </x:c>
      <x:c r="C5986" s="0" t="s">
        <x:v>23799</x:v>
      </x:c>
      <x:c r="E5986" s="0" t="s">
        <x:v>23800</x:v>
      </x:c>
      <x:c r="F5986" s="0" t="s">
        <x:v>45</x:v>
      </x:c>
      <x:c r="G5986" s="0" t="s">
        <x:v>19</x:v>
      </x:c>
      <x:c r="H5986" s="0" t="s">
        <x:v>20</x:v>
      </x:c>
      <x:c r="I5986" s="0" t="s">
        <x:v>21</x:v>
      </x:c>
      <x:c r="K5986" s="0">
        <x:f>hyperlink("https://icd.who.int/dev11/l-ichi/en#/http%3A%2F%2Fid.who.int%2Ficd%2Fentity%2F212328588","browser")</x:f>
      </x:c>
      <x:c r="L5986" s="0">
        <x:f>hyperlink("https://icat2.azurewebsites.net/icat/?ontology=ICD&amp;tab=ClassesTab&amp;id=http%3A%2F%2Fwho.int%2Ficd%2334423_512ebf36_bf6b_4d70_85da_cf2637062af4","iCat")</x:f>
      </x:c>
      <x:c r="M5986" s="0" t="s">
        <x:v>21</x:v>
      </x:c>
      <x:c r="N5986" s="0" t="s">
        <x:v>46</x:v>
      </x:c>
    </x:row>
    <x:row r="5987" spans="1:16">
      <x:c r="A5987" s="0" t="s">
        <x:v>23801</x:v>
      </x:c>
      <x:c r="B5987" s="0" t="s">
        <x:v>23802</x:v>
      </x:c>
      <x:c r="C5987" s="0" t="s">
        <x:v>23803</x:v>
      </x:c>
      <x:c r="E5987" s="0" t="s">
        <x:v>23804</x:v>
      </x:c>
      <x:c r="F5987" s="0" t="s">
        <x:v>45</x:v>
      </x:c>
      <x:c r="G5987" s="0" t="s">
        <x:v>19</x:v>
      </x:c>
      <x:c r="H5987" s="0" t="s">
        <x:v>20</x:v>
      </x:c>
      <x:c r="I5987" s="0" t="s">
        <x:v>21</x:v>
      </x:c>
      <x:c r="K5987" s="0">
        <x:f>hyperlink("https://icd.who.int/dev11/l-ichi/en#/http%3A%2F%2Fid.who.int%2Ficd%2Fentity%2F660245532","browser")</x:f>
      </x:c>
      <x:c r="L5987" s="0">
        <x:f>hyperlink("https://icat2.azurewebsites.net/icat/?ontology=ICD&amp;tab=ClassesTab&amp;id=http%3A%2F%2Fwho.int%2Ficd%2334429_512ebf36_bf6b_4d70_85da_cf2637062af4","iCat")</x:f>
      </x:c>
      <x:c r="M5987" s="0" t="s">
        <x:v>21</x:v>
      </x:c>
      <x:c r="N5987" s="0" t="s">
        <x:v>46</x:v>
      </x:c>
    </x:row>
    <x:row r="5988" spans="1:16">
      <x:c r="A5988" s="0" t="s">
        <x:v>23805</x:v>
      </x:c>
      <x:c r="B5988" s="0" t="s">
        <x:v>23806</x:v>
      </x:c>
      <x:c r="C5988" s="0" t="s">
        <x:v>23807</x:v>
      </x:c>
      <x:c r="E5988" s="0" t="s">
        <x:v>23808</x:v>
      </x:c>
      <x:c r="F5988" s="0" t="s">
        <x:v>45</x:v>
      </x:c>
      <x:c r="G5988" s="0" t="s">
        <x:v>19</x:v>
      </x:c>
      <x:c r="H5988" s="0" t="s">
        <x:v>20</x:v>
      </x:c>
      <x:c r="I5988" s="0" t="s">
        <x:v>21</x:v>
      </x:c>
      <x:c r="K5988" s="0">
        <x:f>hyperlink("https://icd.who.int/dev11/l-ichi/en#/http%3A%2F%2Fid.who.int%2Ficd%2Fentity%2F907652204","browser")</x:f>
      </x:c>
      <x:c r="L5988" s="0">
        <x:f>hyperlink("https://icat2.azurewebsites.net/icat/?ontology=ICD&amp;tab=ClassesTab&amp;id=http%3A%2F%2Fwho.int%2Ficd%2334435_512ebf36_bf6b_4d70_85da_cf2637062af4","iCat")</x:f>
      </x:c>
      <x:c r="M5988" s="0" t="s">
        <x:v>21</x:v>
      </x:c>
      <x:c r="N5988" s="0" t="s">
        <x:v>46</x:v>
      </x:c>
    </x:row>
    <x:row r="5989" spans="1:16">
      <x:c r="A5989" s="0" t="s">
        <x:v>23809</x:v>
      </x:c>
      <x:c r="B5989" s="0" t="s">
        <x:v>23810</x:v>
      </x:c>
      <x:c r="C5989" s="0" t="s">
        <x:v>23811</x:v>
      </x:c>
      <x:c r="E5989" s="0" t="s">
        <x:v>23812</x:v>
      </x:c>
      <x:c r="F5989" s="0" t="s">
        <x:v>45</x:v>
      </x:c>
      <x:c r="G5989" s="0" t="s">
        <x:v>19</x:v>
      </x:c>
      <x:c r="H5989" s="0" t="s">
        <x:v>20</x:v>
      </x:c>
      <x:c r="I5989" s="0" t="s">
        <x:v>21</x:v>
      </x:c>
      <x:c r="K5989" s="0">
        <x:f>hyperlink("https://icd.who.int/dev11/l-ichi/en#/http%3A%2F%2Fid.who.int%2Ficd%2Fentity%2F1984763131","browser")</x:f>
      </x:c>
      <x:c r="L5989" s="0">
        <x:f>hyperlink("https://icat2.azurewebsites.net/icat/?ontology=ICD&amp;tab=ClassesTab&amp;id=http%3A%2F%2Fwho.int%2Ficd%2334442_512ebf36_bf6b_4d70_85da_cf2637062af4","iCat")</x:f>
      </x:c>
      <x:c r="M5989" s="0" t="s">
        <x:v>21</x:v>
      </x:c>
      <x:c r="N5989" s="0" t="s">
        <x:v>46</x:v>
      </x:c>
    </x:row>
    <x:row r="5990" spans="1:16">
      <x:c r="A5990" s="0" t="s">
        <x:v>23813</x:v>
      </x:c>
      <x:c r="B5990" s="0" t="s">
        <x:v>23814</x:v>
      </x:c>
      <x:c r="C5990" s="0" t="s">
        <x:v>23815</x:v>
      </x:c>
      <x:c r="E5990" s="0" t="s">
        <x:v>23816</x:v>
      </x:c>
      <x:c r="F5990" s="0" t="s">
        <x:v>45</x:v>
      </x:c>
      <x:c r="G5990" s="0" t="s">
        <x:v>19</x:v>
      </x:c>
      <x:c r="H5990" s="0" t="s">
        <x:v>20</x:v>
      </x:c>
      <x:c r="I5990" s="0" t="s">
        <x:v>21</x:v>
      </x:c>
      <x:c r="K5990" s="0">
        <x:f>hyperlink("https://icd.who.int/dev11/l-ichi/en#/http%3A%2F%2Fid.who.int%2Ficd%2Fentity%2F2046073961","browser")</x:f>
      </x:c>
      <x:c r="L5990" s="0">
        <x:f>hyperlink("https://icat2.azurewebsites.net/icat/?ontology=ICD&amp;tab=ClassesTab&amp;id=http%3A%2F%2Fwho.int%2Ficd%2334450_512ebf36_bf6b_4d70_85da_cf2637062af4","iCat")</x:f>
      </x:c>
      <x:c r="M5990" s="0" t="s">
        <x:v>21</x:v>
      </x:c>
      <x:c r="N5990" s="0" t="s">
        <x:v>46</x:v>
      </x:c>
    </x:row>
    <x:row r="5991" spans="1:16">
      <x:c r="A5991" s="0" t="s">
        <x:v>23817</x:v>
      </x:c>
      <x:c r="B5991" s="0" t="s">
        <x:v>23818</x:v>
      </x:c>
      <x:c r="C5991" s="0" t="s">
        <x:v>23819</x:v>
      </x:c>
      <x:c r="E5991" s="0" t="s">
        <x:v>23820</x:v>
      </x:c>
      <x:c r="F5991" s="0" t="s">
        <x:v>45</x:v>
      </x:c>
      <x:c r="G5991" s="0" t="s">
        <x:v>19</x:v>
      </x:c>
      <x:c r="H5991" s="0" t="s">
        <x:v>20</x:v>
      </x:c>
      <x:c r="I5991" s="0" t="s">
        <x:v>21</x:v>
      </x:c>
      <x:c r="K5991" s="0">
        <x:f>hyperlink("https://icd.who.int/dev11/l-ichi/en#/http%3A%2F%2Fid.who.int%2Ficd%2Fentity%2F697255384","browser")</x:f>
      </x:c>
      <x:c r="L5991" s="0">
        <x:f>hyperlink("https://icat2.azurewebsites.net/icat/?ontology=ICD&amp;tab=ClassesTab&amp;id=http%3A%2F%2Fwho.int%2Ficd%2334456_512ebf36_bf6b_4d70_85da_cf2637062af4","iCat")</x:f>
      </x:c>
      <x:c r="M5991" s="0" t="s">
        <x:v>21</x:v>
      </x:c>
      <x:c r="N5991" s="0" t="s">
        <x:v>46</x:v>
      </x:c>
    </x:row>
    <x:row r="5992" spans="1:16">
      <x:c r="A5992" s="0" t="s">
        <x:v>23821</x:v>
      </x:c>
      <x:c r="B5992" s="0" t="s">
        <x:v>23822</x:v>
      </x:c>
      <x:c r="C5992" s="0" t="s">
        <x:v>23823</x:v>
      </x:c>
      <x:c r="E5992" s="0" t="s">
        <x:v>23824</x:v>
      </x:c>
      <x:c r="F5992" s="0" t="s">
        <x:v>45</x:v>
      </x:c>
      <x:c r="G5992" s="0" t="s">
        <x:v>19</x:v>
      </x:c>
      <x:c r="H5992" s="0" t="s">
        <x:v>20</x:v>
      </x:c>
      <x:c r="I5992" s="0" t="s">
        <x:v>21</x:v>
      </x:c>
      <x:c r="K5992" s="0">
        <x:f>hyperlink("https://icd.who.int/dev11/l-ichi/en#/http%3A%2F%2Fid.who.int%2Ficd%2Fentity%2F1547289003","browser")</x:f>
      </x:c>
      <x:c r="L5992" s="0">
        <x:f>hyperlink("https://icat2.azurewebsites.net/icat/?ontology=ICD&amp;tab=ClassesTab&amp;id=http%3A%2F%2Fwho.int%2Ficd%2334462_512ebf36_bf6b_4d70_85da_cf2637062af4","iCat")</x:f>
      </x:c>
      <x:c r="M5992" s="0" t="s">
        <x:v>21</x:v>
      </x:c>
      <x:c r="N5992" s="0" t="s">
        <x:v>46</x:v>
      </x:c>
    </x:row>
    <x:row r="5993" spans="1:16">
      <x:c r="A5993" s="0" t="s">
        <x:v>23825</x:v>
      </x:c>
      <x:c r="B5993" s="0" t="s">
        <x:v>23826</x:v>
      </x:c>
      <x:c r="C5993" s="0" t="s">
        <x:v>23827</x:v>
      </x:c>
      <x:c r="E5993" s="0" t="s">
        <x:v>23828</x:v>
      </x:c>
      <x:c r="F5993" s="0" t="s">
        <x:v>45</x:v>
      </x:c>
      <x:c r="G5993" s="0" t="s">
        <x:v>19</x:v>
      </x:c>
      <x:c r="H5993" s="0" t="s">
        <x:v>20</x:v>
      </x:c>
      <x:c r="I5993" s="0" t="s">
        <x:v>21</x:v>
      </x:c>
      <x:c r="K5993" s="0">
        <x:f>hyperlink("https://icd.who.int/dev11/l-ichi/en#/http%3A%2F%2Fid.who.int%2Ficd%2Fentity%2F2009378107","browser")</x:f>
      </x:c>
      <x:c r="L5993" s="0">
        <x:f>hyperlink("https://icat2.azurewebsites.net/icat/?ontology=ICD&amp;tab=ClassesTab&amp;id=http%3A%2F%2Fwho.int%2Ficd%2334468_512ebf36_bf6b_4d70_85da_cf2637062af4","iCat")</x:f>
      </x:c>
      <x:c r="M5993" s="0" t="s">
        <x:v>21</x:v>
      </x:c>
      <x:c r="N5993" s="0" t="s">
        <x:v>46</x:v>
      </x:c>
    </x:row>
    <x:row r="5994" spans="1:16">
      <x:c r="A5994" s="0" t="s">
        <x:v>23829</x:v>
      </x:c>
      <x:c r="B5994" s="0" t="s">
        <x:v>23830</x:v>
      </x:c>
      <x:c r="C5994" s="0" t="s">
        <x:v>23831</x:v>
      </x:c>
      <x:c r="E5994" s="0" t="s">
        <x:v>23832</x:v>
      </x:c>
      <x:c r="F5994" s="0" t="s">
        <x:v>45</x:v>
      </x:c>
      <x:c r="G5994" s="0" t="s">
        <x:v>19</x:v>
      </x:c>
      <x:c r="H5994" s="0" t="s">
        <x:v>20</x:v>
      </x:c>
      <x:c r="I5994" s="0" t="s">
        <x:v>21</x:v>
      </x:c>
      <x:c r="K5994" s="0">
        <x:f>hyperlink("https://icd.who.int/dev11/l-ichi/en#/http%3A%2F%2Fid.who.int%2Ficd%2Fentity%2F1720159565","browser")</x:f>
      </x:c>
      <x:c r="L5994" s="0">
        <x:f>hyperlink("https://icat2.azurewebsites.net/icat/?ontology=ICD&amp;tab=ClassesTab&amp;id=http%3A%2F%2Fwho.int%2Ficd%2334474_512ebf36_bf6b_4d70_85da_cf2637062af4","iCat")</x:f>
      </x:c>
      <x:c r="M5994" s="0" t="s">
        <x:v>21</x:v>
      </x:c>
      <x:c r="N5994" s="0" t="s">
        <x:v>46</x:v>
      </x:c>
    </x:row>
    <x:row r="5995" spans="1:16">
      <x:c r="A5995" s="0" t="s">
        <x:v>23833</x:v>
      </x:c>
      <x:c r="B5995" s="0" t="s">
        <x:v>23834</x:v>
      </x:c>
      <x:c r="C5995" s="0" t="s">
        <x:v>23835</x:v>
      </x:c>
      <x:c r="E5995" s="0" t="s">
        <x:v>23836</x:v>
      </x:c>
      <x:c r="F5995" s="0" t="s">
        <x:v>45</x:v>
      </x:c>
      <x:c r="G5995" s="0" t="s">
        <x:v>19</x:v>
      </x:c>
      <x:c r="H5995" s="0" t="s">
        <x:v>20</x:v>
      </x:c>
      <x:c r="I5995" s="0" t="s">
        <x:v>21</x:v>
      </x:c>
      <x:c r="K5995" s="0">
        <x:f>hyperlink("https://icd.who.int/dev11/l-ichi/en#/http%3A%2F%2Fid.who.int%2Ficd%2Fentity%2F971140128","browser")</x:f>
      </x:c>
      <x:c r="L5995" s="0">
        <x:f>hyperlink("https://icat2.azurewebsites.net/icat/?ontology=ICD&amp;tab=ClassesTab&amp;id=http%3A%2F%2Fwho.int%2Ficd%2334483_512ebf36_bf6b_4d70_85da_cf2637062af4","iCat")</x:f>
      </x:c>
      <x:c r="M5995" s="0" t="s">
        <x:v>21</x:v>
      </x:c>
      <x:c r="N5995" s="0" t="s">
        <x:v>46</x:v>
      </x:c>
    </x:row>
    <x:row r="5996" spans="1:16">
      <x:c r="A5996" s="0" t="s">
        <x:v>23837</x:v>
      </x:c>
      <x:c r="B5996" s="0" t="s">
        <x:v>23838</x:v>
      </x:c>
      <x:c r="C5996" s="0" t="s">
        <x:v>23839</x:v>
      </x:c>
      <x:c r="E5996" s="0" t="s">
        <x:v>23840</x:v>
      </x:c>
      <x:c r="F5996" s="0" t="s">
        <x:v>45</x:v>
      </x:c>
      <x:c r="G5996" s="0" t="s">
        <x:v>19</x:v>
      </x:c>
      <x:c r="H5996" s="0" t="s">
        <x:v>20</x:v>
      </x:c>
      <x:c r="I5996" s="0" t="s">
        <x:v>21</x:v>
      </x:c>
      <x:c r="K5996" s="0">
        <x:f>hyperlink("https://icd.who.int/dev11/l-ichi/en#/http%3A%2F%2Fid.who.int%2Ficd%2Fentity%2F1943964533","browser")</x:f>
      </x:c>
      <x:c r="L5996" s="0">
        <x:f>hyperlink("https://icat2.azurewebsites.net/icat/?ontology=ICD&amp;tab=ClassesTab&amp;id=http%3A%2F%2Fwho.int%2Ficd%2334492_512ebf36_bf6b_4d70_85da_cf2637062af4","iCat")</x:f>
      </x:c>
      <x:c r="M5996" s="0" t="s">
        <x:v>21</x:v>
      </x:c>
      <x:c r="N5996" s="0" t="s">
        <x:v>46</x:v>
      </x:c>
    </x:row>
    <x:row r="5997" spans="1:16">
      <x:c r="A5997" s="0" t="s">
        <x:v>23841</x:v>
      </x:c>
      <x:c r="B5997" s="0" t="s">
        <x:v>23842</x:v>
      </x:c>
      <x:c r="C5997" s="0" t="s">
        <x:v>23843</x:v>
      </x:c>
      <x:c r="E5997" s="0" t="s">
        <x:v>23844</x:v>
      </x:c>
      <x:c r="F5997" s="0" t="s">
        <x:v>45</x:v>
      </x:c>
      <x:c r="G5997" s="0" t="s">
        <x:v>19</x:v>
      </x:c>
      <x:c r="H5997" s="0" t="s">
        <x:v>20</x:v>
      </x:c>
      <x:c r="I5997" s="0" t="s">
        <x:v>21</x:v>
      </x:c>
      <x:c r="K5997" s="0">
        <x:f>hyperlink("https://icd.who.int/dev11/l-ichi/en#/http%3A%2F%2Fid.who.int%2Ficd%2Fentity%2F909176450","browser")</x:f>
      </x:c>
      <x:c r="L5997" s="0">
        <x:f>hyperlink("https://icat2.azurewebsites.net/icat/?ontology=ICD&amp;tab=ClassesTab&amp;id=http%3A%2F%2Fwho.int%2Ficd%2334501_512ebf36_bf6b_4d70_85da_cf2637062af4","iCat")</x:f>
      </x:c>
      <x:c r="M5997" s="0" t="s">
        <x:v>21</x:v>
      </x:c>
      <x:c r="N5997" s="0" t="s">
        <x:v>46</x:v>
      </x:c>
    </x:row>
    <x:row r="5998" spans="1:16">
      <x:c r="A5998" s="0" t="s">
        <x:v>23845</x:v>
      </x:c>
      <x:c r="B5998" s="0" t="s">
        <x:v>23846</x:v>
      </x:c>
      <x:c r="C5998" s="0" t="s">
        <x:v>23847</x:v>
      </x:c>
      <x:c r="E5998" s="0" t="s">
        <x:v>23848</x:v>
      </x:c>
      <x:c r="F5998" s="0" t="s">
        <x:v>45</x:v>
      </x:c>
      <x:c r="G5998" s="0" t="s">
        <x:v>19</x:v>
      </x:c>
      <x:c r="H5998" s="0" t="s">
        <x:v>20</x:v>
      </x:c>
      <x:c r="I5998" s="0" t="s">
        <x:v>21</x:v>
      </x:c>
      <x:c r="K5998" s="0">
        <x:f>hyperlink("https://icd.who.int/dev11/l-ichi/en#/http%3A%2F%2Fid.who.int%2Ficd%2Fentity%2F2081163753","browser")</x:f>
      </x:c>
      <x:c r="L5998" s="0">
        <x:f>hyperlink("https://icat2.azurewebsites.net/icat/?ontology=ICD&amp;tab=ClassesTab&amp;id=http%3A%2F%2Fwho.int%2Ficd%2334510_512ebf36_bf6b_4d70_85da_cf2637062af4","iCat")</x:f>
      </x:c>
      <x:c r="M5998" s="0" t="s">
        <x:v>21</x:v>
      </x:c>
      <x:c r="N5998" s="0" t="s">
        <x:v>46</x:v>
      </x:c>
    </x:row>
    <x:row r="5999" spans="1:16">
      <x:c r="A5999" s="0" t="s">
        <x:v>23849</x:v>
      </x:c>
      <x:c r="B5999" s="0" t="s">
        <x:v>23850</x:v>
      </x:c>
      <x:c r="C5999" s="0" t="s">
        <x:v>23851</x:v>
      </x:c>
      <x:c r="E5999" s="0" t="s">
        <x:v>23852</x:v>
      </x:c>
      <x:c r="F5999" s="0" t="s">
        <x:v>45</x:v>
      </x:c>
      <x:c r="G5999" s="0" t="s">
        <x:v>19</x:v>
      </x:c>
      <x:c r="H5999" s="0" t="s">
        <x:v>20</x:v>
      </x:c>
      <x:c r="I5999" s="0" t="s">
        <x:v>21</x:v>
      </x:c>
      <x:c r="K5999" s="0">
        <x:f>hyperlink("https://icd.who.int/dev11/l-ichi/en#/http%3A%2F%2Fid.who.int%2Ficd%2Fentity%2F210674278","browser")</x:f>
      </x:c>
      <x:c r="L5999" s="0">
        <x:f>hyperlink("https://icat2.azurewebsites.net/icat/?ontology=ICD&amp;tab=ClassesTab&amp;id=http%3A%2F%2Fwho.int%2Ficd%2334517_512ebf36_bf6b_4d70_85da_cf2637062af4","iCat")</x:f>
      </x:c>
      <x:c r="M5999" s="0" t="s">
        <x:v>21</x:v>
      </x:c>
      <x:c r="N5999" s="0" t="s">
        <x:v>46</x:v>
      </x:c>
    </x:row>
    <x:row r="6000" spans="1:16">
      <x:c r="A6000" s="0" t="s">
        <x:v>23853</x:v>
      </x:c>
      <x:c r="B6000" s="0" t="s">
        <x:v>23854</x:v>
      </x:c>
      <x:c r="C6000" s="0" t="s">
        <x:v>23855</x:v>
      </x:c>
      <x:c r="E6000" s="0" t="s">
        <x:v>23856</x:v>
      </x:c>
      <x:c r="F6000" s="0" t="s">
        <x:v>45</x:v>
      </x:c>
      <x:c r="G6000" s="0" t="s">
        <x:v>19</x:v>
      </x:c>
      <x:c r="H6000" s="0" t="s">
        <x:v>20</x:v>
      </x:c>
      <x:c r="I6000" s="0" t="s">
        <x:v>21</x:v>
      </x:c>
      <x:c r="K6000" s="0">
        <x:f>hyperlink("https://icd.who.int/dev11/l-ichi/en#/http%3A%2F%2Fid.who.int%2Ficd%2Fentity%2F1388661383","browser")</x:f>
      </x:c>
      <x:c r="L6000" s="0">
        <x:f>hyperlink("https://icat2.azurewebsites.net/icat/?ontology=ICD&amp;tab=ClassesTab&amp;id=http%3A%2F%2Fwho.int%2Ficd%2334529_512ebf36_bf6b_4d70_85da_cf2637062af4","iCat")</x:f>
      </x:c>
      <x:c r="M6000" s="0" t="s">
        <x:v>21</x:v>
      </x:c>
      <x:c r="N6000" s="0" t="s">
        <x:v>46</x:v>
      </x:c>
    </x:row>
    <x:row r="6001" spans="1:16">
      <x:c r="A6001" s="0" t="s">
        <x:v>23857</x:v>
      </x:c>
      <x:c r="B6001" s="0" t="s">
        <x:v>23858</x:v>
      </x:c>
      <x:c r="C6001" s="0" t="s">
        <x:v>23859</x:v>
      </x:c>
      <x:c r="E6001" s="0" t="s">
        <x:v>23860</x:v>
      </x:c>
      <x:c r="F6001" s="0" t="s">
        <x:v>45</x:v>
      </x:c>
      <x:c r="G6001" s="0" t="s">
        <x:v>19</x:v>
      </x:c>
      <x:c r="H6001" s="0" t="s">
        <x:v>20</x:v>
      </x:c>
      <x:c r="I6001" s="0" t="s">
        <x:v>21</x:v>
      </x:c>
      <x:c r="K6001" s="0">
        <x:f>hyperlink("https://icd.who.int/dev11/l-ichi/en#/http%3A%2F%2Fid.who.int%2Ficd%2Fentity%2F1132882673","browser")</x:f>
      </x:c>
      <x:c r="L6001" s="0">
        <x:f>hyperlink("https://icat2.azurewebsites.net/icat/?ontology=ICD&amp;tab=ClassesTab&amp;id=http%3A%2F%2Fwho.int%2Ficd%2334535_512ebf36_bf6b_4d70_85da_cf2637062af4","iCat")</x:f>
      </x:c>
      <x:c r="M6001" s="0" t="s">
        <x:v>21</x:v>
      </x:c>
      <x:c r="N6001" s="0" t="s">
        <x:v>46</x:v>
      </x:c>
    </x:row>
    <x:row r="6002" spans="1:16">
      <x:c r="A6002" s="0" t="s">
        <x:v>23861</x:v>
      </x:c>
      <x:c r="B6002" s="0" t="s">
        <x:v>23862</x:v>
      </x:c>
      <x:c r="C6002" s="0" t="s">
        <x:v>23863</x:v>
      </x:c>
      <x:c r="E6002" s="0" t="s">
        <x:v>23864</x:v>
      </x:c>
      <x:c r="F6002" s="0" t="s">
        <x:v>45</x:v>
      </x:c>
      <x:c r="G6002" s="0" t="s">
        <x:v>19</x:v>
      </x:c>
      <x:c r="H6002" s="0" t="s">
        <x:v>20</x:v>
      </x:c>
      <x:c r="I6002" s="0" t="s">
        <x:v>21</x:v>
      </x:c>
      <x:c r="K6002" s="0">
        <x:f>hyperlink("https://icd.who.int/dev11/l-ichi/en#/http%3A%2F%2Fid.who.int%2Ficd%2Fentity%2F1403587543","browser")</x:f>
      </x:c>
      <x:c r="L6002" s="0">
        <x:f>hyperlink("https://icat2.azurewebsites.net/icat/?ontology=ICD&amp;tab=ClassesTab&amp;id=http%3A%2F%2Fwho.int%2Ficd%2334544_512ebf36_bf6b_4d70_85da_cf2637062af4","iCat")</x:f>
      </x:c>
      <x:c r="M6002" s="0" t="s">
        <x:v>21</x:v>
      </x:c>
      <x:c r="N6002" s="0" t="s">
        <x:v>46</x:v>
      </x:c>
    </x:row>
    <x:row r="6003" spans="1:16">
      <x:c r="A6003" s="0" t="s">
        <x:v>23865</x:v>
      </x:c>
      <x:c r="B6003" s="0" t="s">
        <x:v>23866</x:v>
      </x:c>
      <x:c r="C6003" s="0" t="s">
        <x:v>23867</x:v>
      </x:c>
      <x:c r="E6003" s="0" t="s">
        <x:v>23868</x:v>
      </x:c>
      <x:c r="F6003" s="0" t="s">
        <x:v>45</x:v>
      </x:c>
      <x:c r="G6003" s="0" t="s">
        <x:v>19</x:v>
      </x:c>
      <x:c r="H6003" s="0" t="s">
        <x:v>20</x:v>
      </x:c>
      <x:c r="I6003" s="0" t="s">
        <x:v>21</x:v>
      </x:c>
      <x:c r="K6003" s="0">
        <x:f>hyperlink("https://icd.who.int/dev11/l-ichi/en#/http%3A%2F%2Fid.who.int%2Ficd%2Fentity%2F1240347917","browser")</x:f>
      </x:c>
      <x:c r="L6003" s="0">
        <x:f>hyperlink("https://icat2.azurewebsites.net/icat/?ontology=ICD&amp;tab=ClassesTab&amp;id=http%3A%2F%2Fwho.int%2Ficd%2334553_512ebf36_bf6b_4d70_85da_cf2637062af4","iCat")</x:f>
      </x:c>
      <x:c r="M6003" s="0" t="s">
        <x:v>21</x:v>
      </x:c>
      <x:c r="N6003" s="0" t="s">
        <x:v>46</x:v>
      </x:c>
    </x:row>
    <x:row r="6004" spans="1:16">
      <x:c r="A6004" s="0" t="s">
        <x:v>23869</x:v>
      </x:c>
      <x:c r="B6004" s="0" t="s">
        <x:v>23870</x:v>
      </x:c>
      <x:c r="C6004" s="0" t="s">
        <x:v>23871</x:v>
      </x:c>
      <x:c r="E6004" s="0" t="s">
        <x:v>23872</x:v>
      </x:c>
      <x:c r="F6004" s="0" t="s">
        <x:v>45</x:v>
      </x:c>
      <x:c r="G6004" s="0" t="s">
        <x:v>19</x:v>
      </x:c>
      <x:c r="H6004" s="0" t="s">
        <x:v>20</x:v>
      </x:c>
      <x:c r="I6004" s="0" t="s">
        <x:v>21</x:v>
      </x:c>
      <x:c r="K6004" s="0">
        <x:f>hyperlink("https://icd.who.int/dev11/l-ichi/en#/http%3A%2F%2Fid.who.int%2Ficd%2Fentity%2F698746678","browser")</x:f>
      </x:c>
      <x:c r="L6004" s="0">
        <x:f>hyperlink("https://icat2.azurewebsites.net/icat/?ontology=ICD&amp;tab=ClassesTab&amp;id=http%3A%2F%2Fwho.int%2Ficd%2334562_512ebf36_bf6b_4d70_85da_cf2637062af4","iCat")</x:f>
      </x:c>
      <x:c r="M6004" s="0" t="s">
        <x:v>21</x:v>
      </x:c>
      <x:c r="N6004" s="0" t="s">
        <x:v>46</x:v>
      </x:c>
    </x:row>
    <x:row r="6005" spans="1:16">
      <x:c r="A6005" s="0" t="s">
        <x:v>23873</x:v>
      </x:c>
      <x:c r="B6005" s="0" t="s">
        <x:v>23874</x:v>
      </x:c>
      <x:c r="C6005" s="0" t="s">
        <x:v>23875</x:v>
      </x:c>
      <x:c r="E6005" s="0" t="s">
        <x:v>23876</x:v>
      </x:c>
      <x:c r="F6005" s="0" t="s">
        <x:v>45</x:v>
      </x:c>
      <x:c r="G6005" s="0" t="s">
        <x:v>19</x:v>
      </x:c>
      <x:c r="H6005" s="0" t="s">
        <x:v>20</x:v>
      </x:c>
      <x:c r="I6005" s="0" t="s">
        <x:v>21</x:v>
      </x:c>
      <x:c r="K6005" s="0">
        <x:f>hyperlink("https://icd.who.int/dev11/l-ichi/en#/http%3A%2F%2Fid.who.int%2Ficd%2Fentity%2F115801498","browser")</x:f>
      </x:c>
      <x:c r="L6005" s="0">
        <x:f>hyperlink("https://icat2.azurewebsites.net/icat/?ontology=ICD&amp;tab=ClassesTab&amp;id=http%3A%2F%2Fwho.int%2Ficd%2334571_512ebf36_bf6b_4d70_85da_cf2637062af4","iCat")</x:f>
      </x:c>
      <x:c r="M6005" s="0" t="s">
        <x:v>21</x:v>
      </x:c>
      <x:c r="N6005" s="0" t="s">
        <x:v>46</x:v>
      </x:c>
    </x:row>
    <x:row r="6006" spans="1:16">
      <x:c r="A6006" s="0" t="s">
        <x:v>23877</x:v>
      </x:c>
      <x:c r="B6006" s="0" t="s">
        <x:v>23878</x:v>
      </x:c>
      <x:c r="C6006" s="0" t="s">
        <x:v>23879</x:v>
      </x:c>
      <x:c r="E6006" s="0" t="s">
        <x:v>23880</x:v>
      </x:c>
      <x:c r="F6006" s="0" t="s">
        <x:v>45</x:v>
      </x:c>
      <x:c r="G6006" s="0" t="s">
        <x:v>19</x:v>
      </x:c>
      <x:c r="H6006" s="0" t="s">
        <x:v>20</x:v>
      </x:c>
      <x:c r="I6006" s="0" t="s">
        <x:v>21</x:v>
      </x:c>
      <x:c r="K6006" s="0">
        <x:f>hyperlink("https://icd.who.int/dev11/l-ichi/en#/http%3A%2F%2Fid.who.int%2Ficd%2Fentity%2F1214745805","browser")</x:f>
      </x:c>
      <x:c r="L6006" s="0">
        <x:f>hyperlink("https://icat2.azurewebsites.net/icat/?ontology=ICD&amp;tab=ClassesTab&amp;id=http%3A%2F%2Fwho.int%2Ficd%2334579_512ebf36_bf6b_4d70_85da_cf2637062af4","iCat")</x:f>
      </x:c>
      <x:c r="M6006" s="0" t="s">
        <x:v>21</x:v>
      </x:c>
      <x:c r="N6006" s="0" t="s">
        <x:v>46</x:v>
      </x:c>
    </x:row>
    <x:row r="6007" spans="1:16">
      <x:c r="A6007" s="0" t="s">
        <x:v>23881</x:v>
      </x:c>
      <x:c r="B6007" s="0" t="s">
        <x:v>23882</x:v>
      </x:c>
      <x:c r="C6007" s="0" t="s">
        <x:v>23883</x:v>
      </x:c>
      <x:c r="E6007" s="0" t="s">
        <x:v>23884</x:v>
      </x:c>
      <x:c r="F6007" s="0" t="s">
        <x:v>45</x:v>
      </x:c>
      <x:c r="G6007" s="0" t="s">
        <x:v>19</x:v>
      </x:c>
      <x:c r="H6007" s="0" t="s">
        <x:v>20</x:v>
      </x:c>
      <x:c r="I6007" s="0" t="s">
        <x:v>21</x:v>
      </x:c>
      <x:c r="K6007" s="0">
        <x:f>hyperlink("https://icd.who.int/dev11/l-ichi/en#/http%3A%2F%2Fid.who.int%2Ficd%2Fentity%2F1136927249","browser")</x:f>
      </x:c>
      <x:c r="L6007" s="0">
        <x:f>hyperlink("https://icat2.azurewebsites.net/icat/?ontology=ICD&amp;tab=ClassesTab&amp;id=http%3A%2F%2Fwho.int%2Ficd%2334591_512ebf36_bf6b_4d70_85da_cf2637062af4","iCat")</x:f>
      </x:c>
      <x:c r="M6007" s="0" t="s">
        <x:v>21</x:v>
      </x:c>
      <x:c r="N6007" s="0" t="s">
        <x:v>46</x:v>
      </x:c>
    </x:row>
    <x:row r="6008" spans="1:16">
      <x:c r="A6008" s="0" t="s">
        <x:v>23885</x:v>
      </x:c>
      <x:c r="B6008" s="0" t="s">
        <x:v>23886</x:v>
      </x:c>
      <x:c r="C6008" s="0" t="s">
        <x:v>23887</x:v>
      </x:c>
      <x:c r="E6008" s="0" t="s">
        <x:v>23888</x:v>
      </x:c>
      <x:c r="F6008" s="0" t="s">
        <x:v>45</x:v>
      </x:c>
      <x:c r="G6008" s="0" t="s">
        <x:v>19</x:v>
      </x:c>
      <x:c r="H6008" s="0" t="s">
        <x:v>20</x:v>
      </x:c>
      <x:c r="I6008" s="0" t="s">
        <x:v>21</x:v>
      </x:c>
      <x:c r="K6008" s="0">
        <x:f>hyperlink("https://icd.who.int/dev11/l-ichi/en#/http%3A%2F%2Fid.who.int%2Ficd%2Fentity%2F222647110","browser")</x:f>
      </x:c>
      <x:c r="L6008" s="0">
        <x:f>hyperlink("https://icat2.azurewebsites.net/icat/?ontology=ICD&amp;tab=ClassesTab&amp;id=http%3A%2F%2Fwho.int%2Ficd%2334599_512ebf36_bf6b_4d70_85da_cf2637062af4","iCat")</x:f>
      </x:c>
      <x:c r="M6008" s="0" t="s">
        <x:v>21</x:v>
      </x:c>
      <x:c r="N6008" s="0" t="s">
        <x:v>46</x:v>
      </x:c>
    </x:row>
    <x:row r="6009" spans="1:16">
      <x:c r="A6009" s="0" t="s">
        <x:v>23889</x:v>
      </x:c>
      <x:c r="B6009" s="0" t="s">
        <x:v>23890</x:v>
      </x:c>
      <x:c r="C6009" s="0" t="s">
        <x:v>23891</x:v>
      </x:c>
      <x:c r="E6009" s="0" t="s">
        <x:v>23892</x:v>
      </x:c>
      <x:c r="F6009" s="0" t="s">
        <x:v>45</x:v>
      </x:c>
      <x:c r="G6009" s="0" t="s">
        <x:v>19</x:v>
      </x:c>
      <x:c r="H6009" s="0" t="s">
        <x:v>20</x:v>
      </x:c>
      <x:c r="I6009" s="0" t="s">
        <x:v>21</x:v>
      </x:c>
      <x:c r="K6009" s="0">
        <x:f>hyperlink("https://icd.who.int/dev11/l-ichi/en#/http%3A%2F%2Fid.who.int%2Ficd%2Fentity%2F669905240","browser")</x:f>
      </x:c>
      <x:c r="L6009" s="0">
        <x:f>hyperlink("https://icat2.azurewebsites.net/icat/?ontology=ICD&amp;tab=ClassesTab&amp;id=http%3A%2F%2Fwho.int%2Ficd%2334606_512ebf36_bf6b_4d70_85da_cf2637062af4","iCat")</x:f>
      </x:c>
      <x:c r="M6009" s="0" t="s">
        <x:v>21</x:v>
      </x:c>
      <x:c r="N6009" s="0" t="s">
        <x:v>46</x:v>
      </x:c>
    </x:row>
    <x:row r="6010" spans="1:16">
      <x:c r="A6010" s="0" t="s">
        <x:v>23893</x:v>
      </x:c>
      <x:c r="B6010" s="0" t="s">
        <x:v>23894</x:v>
      </x:c>
      <x:c r="C6010" s="0" t="s">
        <x:v>23895</x:v>
      </x:c>
      <x:c r="E6010" s="0" t="s">
        <x:v>23896</x:v>
      </x:c>
      <x:c r="F6010" s="0" t="s">
        <x:v>45</x:v>
      </x:c>
      <x:c r="G6010" s="0" t="s">
        <x:v>19</x:v>
      </x:c>
      <x:c r="H6010" s="0" t="s">
        <x:v>20</x:v>
      </x:c>
      <x:c r="I6010" s="0" t="s">
        <x:v>21</x:v>
      </x:c>
      <x:c r="K6010" s="0">
        <x:f>hyperlink("https://icd.who.int/dev11/l-ichi/en#/http%3A%2F%2Fid.who.int%2Ficd%2Fentity%2F1490473545","browser")</x:f>
      </x:c>
      <x:c r="L6010" s="0">
        <x:f>hyperlink("https://icat2.azurewebsites.net/icat/?ontology=ICD&amp;tab=ClassesTab&amp;id=http%3A%2F%2Fwho.int%2Ficd%2334613_512ebf36_bf6b_4d70_85da_cf2637062af4","iCat")</x:f>
      </x:c>
      <x:c r="M6010" s="0" t="s">
        <x:v>21</x:v>
      </x:c>
      <x:c r="N6010" s="0" t="s">
        <x:v>46</x:v>
      </x:c>
    </x:row>
    <x:row r="6011" spans="1:16">
      <x:c r="A6011" s="0" t="s">
        <x:v>23897</x:v>
      </x:c>
      <x:c r="B6011" s="0" t="s">
        <x:v>23898</x:v>
      </x:c>
      <x:c r="C6011" s="0" t="s">
        <x:v>23899</x:v>
      </x:c>
      <x:c r="E6011" s="0" t="s">
        <x:v>23900</x:v>
      </x:c>
      <x:c r="F6011" s="0" t="s">
        <x:v>45</x:v>
      </x:c>
      <x:c r="G6011" s="0" t="s">
        <x:v>19</x:v>
      </x:c>
      <x:c r="H6011" s="0" t="s">
        <x:v>20</x:v>
      </x:c>
      <x:c r="I6011" s="0" t="s">
        <x:v>21</x:v>
      </x:c>
      <x:c r="K6011" s="0">
        <x:f>hyperlink("https://icd.who.int/dev11/l-ichi/en#/http%3A%2F%2Fid.who.int%2Ficd%2Fentity%2F1575157175","browser")</x:f>
      </x:c>
      <x:c r="L6011" s="0">
        <x:f>hyperlink("https://icat2.azurewebsites.net/icat/?ontology=ICD&amp;tab=ClassesTab&amp;id=http%3A%2F%2Fwho.int%2Ficd%2334620_512ebf36_bf6b_4d70_85da_cf2637062af4","iCat")</x:f>
      </x:c>
      <x:c r="M6011" s="0" t="s">
        <x:v>21</x:v>
      </x:c>
      <x:c r="N6011" s="0" t="s">
        <x:v>46</x:v>
      </x:c>
    </x:row>
    <x:row r="6012" spans="1:16">
      <x:c r="A6012" s="0" t="s">
        <x:v>23901</x:v>
      </x:c>
      <x:c r="B6012" s="0" t="s">
        <x:v>23902</x:v>
      </x:c>
      <x:c r="C6012" s="0" t="s">
        <x:v>23903</x:v>
      </x:c>
      <x:c r="E6012" s="0" t="s">
        <x:v>23904</x:v>
      </x:c>
      <x:c r="F6012" s="0" t="s">
        <x:v>45</x:v>
      </x:c>
      <x:c r="G6012" s="0" t="s">
        <x:v>19</x:v>
      </x:c>
      <x:c r="H6012" s="0" t="s">
        <x:v>20</x:v>
      </x:c>
      <x:c r="I6012" s="0" t="s">
        <x:v>21</x:v>
      </x:c>
      <x:c r="K6012" s="0">
        <x:f>hyperlink("https://icd.who.int/dev11/l-ichi/en#/http%3A%2F%2Fid.who.int%2Ficd%2Fentity%2F325291236","browser")</x:f>
      </x:c>
      <x:c r="L6012" s="0">
        <x:f>hyperlink("https://icat2.azurewebsites.net/icat/?ontology=ICD&amp;tab=ClassesTab&amp;id=http%3A%2F%2Fwho.int%2Ficd%2334628_512ebf36_bf6b_4d70_85da_cf2637062af4","iCat")</x:f>
      </x:c>
      <x:c r="M6012" s="0" t="s">
        <x:v>21</x:v>
      </x:c>
      <x:c r="N6012" s="0" t="s">
        <x:v>46</x:v>
      </x:c>
    </x:row>
    <x:row r="6013" spans="1:16">
      <x:c r="A6013" s="0" t="s">
        <x:v>23905</x:v>
      </x:c>
      <x:c r="B6013" s="0" t="s">
        <x:v>23906</x:v>
      </x:c>
      <x:c r="C6013" s="0" t="s">
        <x:v>23907</x:v>
      </x:c>
      <x:c r="E6013" s="0" t="s">
        <x:v>23908</x:v>
      </x:c>
      <x:c r="F6013" s="0" t="s">
        <x:v>45</x:v>
      </x:c>
      <x:c r="G6013" s="0" t="s">
        <x:v>19</x:v>
      </x:c>
      <x:c r="H6013" s="0" t="s">
        <x:v>20</x:v>
      </x:c>
      <x:c r="I6013" s="0" t="s">
        <x:v>21</x:v>
      </x:c>
      <x:c r="K6013" s="0">
        <x:f>hyperlink("https://icd.who.int/dev11/l-ichi/en#/http%3A%2F%2Fid.who.int%2Ficd%2Fentity%2F1202045805","browser")</x:f>
      </x:c>
      <x:c r="L6013" s="0">
        <x:f>hyperlink("https://icat2.azurewebsites.net/icat/?ontology=ICD&amp;tab=ClassesTab&amp;id=http%3A%2F%2Fwho.int%2Ficd%2334637_512ebf36_bf6b_4d70_85da_cf2637062af4","iCat")</x:f>
      </x:c>
      <x:c r="M6013" s="0" t="s">
        <x:v>21</x:v>
      </x:c>
      <x:c r="N6013" s="0" t="s">
        <x:v>46</x:v>
      </x:c>
    </x:row>
    <x:row r="6014" spans="1:16">
      <x:c r="A6014" s="0" t="s">
        <x:v>23909</x:v>
      </x:c>
      <x:c r="B6014" s="0" t="s">
        <x:v>23910</x:v>
      </x:c>
      <x:c r="C6014" s="0" t="s">
        <x:v>23911</x:v>
      </x:c>
      <x:c r="E6014" s="0" t="s">
        <x:v>23912</x:v>
      </x:c>
      <x:c r="F6014" s="0" t="s">
        <x:v>45</x:v>
      </x:c>
      <x:c r="G6014" s="0" t="s">
        <x:v>19</x:v>
      </x:c>
      <x:c r="H6014" s="0" t="s">
        <x:v>20</x:v>
      </x:c>
      <x:c r="I6014" s="0" t="s">
        <x:v>21</x:v>
      </x:c>
      <x:c r="K6014" s="0">
        <x:f>hyperlink("https://icd.who.int/dev11/l-ichi/en#/http%3A%2F%2Fid.who.int%2Ficd%2Fentity%2F855031696","browser")</x:f>
      </x:c>
      <x:c r="L6014" s="0">
        <x:f>hyperlink("https://icat2.azurewebsites.net/icat/?ontology=ICD&amp;tab=ClassesTab&amp;id=http%3A%2F%2Fwho.int%2Ficd%2334644_512ebf36_bf6b_4d70_85da_cf2637062af4","iCat")</x:f>
      </x:c>
      <x:c r="M6014" s="0" t="s">
        <x:v>21</x:v>
      </x:c>
      <x:c r="N6014" s="0" t="s">
        <x:v>46</x:v>
      </x:c>
    </x:row>
    <x:row r="6015" spans="1:16">
      <x:c r="A6015" s="0" t="s">
        <x:v>23913</x:v>
      </x:c>
      <x:c r="B6015" s="0" t="s">
        <x:v>23914</x:v>
      </x:c>
      <x:c r="C6015" s="0" t="s">
        <x:v>23915</x:v>
      </x:c>
      <x:c r="E6015" s="0" t="s">
        <x:v>23916</x:v>
      </x:c>
      <x:c r="F6015" s="0" t="s">
        <x:v>45</x:v>
      </x:c>
      <x:c r="G6015" s="0" t="s">
        <x:v>19</x:v>
      </x:c>
      <x:c r="H6015" s="0" t="s">
        <x:v>20</x:v>
      </x:c>
      <x:c r="I6015" s="0" t="s">
        <x:v>21</x:v>
      </x:c>
      <x:c r="K6015" s="0">
        <x:f>hyperlink("https://icd.who.int/dev11/l-ichi/en#/http%3A%2F%2Fid.who.int%2Ficd%2Fentity%2F1305320593","browser")</x:f>
      </x:c>
      <x:c r="L6015" s="0">
        <x:f>hyperlink("https://icat2.azurewebsites.net/icat/?ontology=ICD&amp;tab=ClassesTab&amp;id=http%3A%2F%2Fwho.int%2Ficd%2334651_512ebf36_bf6b_4d70_85da_cf2637062af4","iCat")</x:f>
      </x:c>
      <x:c r="M6015" s="0" t="s">
        <x:v>21</x:v>
      </x:c>
      <x:c r="N6015" s="0" t="s">
        <x:v>46</x:v>
      </x:c>
    </x:row>
    <x:row r="6016" spans="1:16">
      <x:c r="A6016" s="0" t="s">
        <x:v>23917</x:v>
      </x:c>
      <x:c r="B6016" s="0" t="s">
        <x:v>23918</x:v>
      </x:c>
      <x:c r="C6016" s="0" t="s">
        <x:v>23919</x:v>
      </x:c>
      <x:c r="E6016" s="0" t="s">
        <x:v>23920</x:v>
      </x:c>
      <x:c r="F6016" s="0" t="s">
        <x:v>45</x:v>
      </x:c>
      <x:c r="G6016" s="0" t="s">
        <x:v>19</x:v>
      </x:c>
      <x:c r="H6016" s="0" t="s">
        <x:v>20</x:v>
      </x:c>
      <x:c r="I6016" s="0" t="s">
        <x:v>21</x:v>
      </x:c>
      <x:c r="K6016" s="0">
        <x:f>hyperlink("https://icd.who.int/dev11/l-ichi/en#/http%3A%2F%2Fid.who.int%2Ficd%2Fentity%2F55373254","browser")</x:f>
      </x:c>
      <x:c r="L6016" s="0">
        <x:f>hyperlink("https://icat2.azurewebsites.net/icat/?ontology=ICD&amp;tab=ClassesTab&amp;id=http%3A%2F%2Fwho.int%2Ficd%2334659_512ebf36_bf6b_4d70_85da_cf2637062af4","iCat")</x:f>
      </x:c>
      <x:c r="M6016" s="0" t="s">
        <x:v>21</x:v>
      </x:c>
      <x:c r="N6016" s="0" t="s">
        <x:v>46</x:v>
      </x:c>
    </x:row>
    <x:row r="6017" spans="1:16">
      <x:c r="A6017" s="0" t="s">
        <x:v>23921</x:v>
      </x:c>
      <x:c r="B6017" s="0" t="s">
        <x:v>23922</x:v>
      </x:c>
      <x:c r="C6017" s="0" t="s">
        <x:v>23923</x:v>
      </x:c>
      <x:c r="E6017" s="0" t="s">
        <x:v>23924</x:v>
      </x:c>
      <x:c r="F6017" s="0" t="s">
        <x:v>45</x:v>
      </x:c>
      <x:c r="G6017" s="0" t="s">
        <x:v>19</x:v>
      </x:c>
      <x:c r="H6017" s="0" t="s">
        <x:v>20</x:v>
      </x:c>
      <x:c r="I6017" s="0" t="s">
        <x:v>21</x:v>
      </x:c>
      <x:c r="K6017" s="0">
        <x:f>hyperlink("https://icd.who.int/dev11/l-ichi/en#/http%3A%2F%2Fid.who.int%2Ficd%2Fentity%2F1661263871","browser")</x:f>
      </x:c>
      <x:c r="L6017" s="0">
        <x:f>hyperlink("https://icat2.azurewebsites.net/icat/?ontology=ICD&amp;tab=ClassesTab&amp;id=http%3A%2F%2Fwho.int%2Ficd%2334668_512ebf36_bf6b_4d70_85da_cf2637062af4","iCat")</x:f>
      </x:c>
      <x:c r="M6017" s="0" t="s">
        <x:v>21</x:v>
      </x:c>
      <x:c r="N6017" s="0" t="s">
        <x:v>46</x:v>
      </x:c>
    </x:row>
    <x:row r="6018" spans="1:16">
      <x:c r="A6018" s="0" t="s">
        <x:v>23925</x:v>
      </x:c>
      <x:c r="B6018" s="0" t="s">
        <x:v>23926</x:v>
      </x:c>
      <x:c r="C6018" s="0" t="s">
        <x:v>23927</x:v>
      </x:c>
      <x:c r="E6018" s="0" t="s">
        <x:v>23928</x:v>
      </x:c>
      <x:c r="F6018" s="0" t="s">
        <x:v>45</x:v>
      </x:c>
      <x:c r="G6018" s="0" t="s">
        <x:v>19</x:v>
      </x:c>
      <x:c r="H6018" s="0" t="s">
        <x:v>20</x:v>
      </x:c>
      <x:c r="I6018" s="0" t="s">
        <x:v>21</x:v>
      </x:c>
      <x:c r="K6018" s="0">
        <x:f>hyperlink("https://icd.who.int/dev11/l-ichi/en#/http%3A%2F%2Fid.who.int%2Ficd%2Fentity%2F163662506","browser")</x:f>
      </x:c>
      <x:c r="L6018" s="0">
        <x:f>hyperlink("https://icat2.azurewebsites.net/icat/?ontology=ICD&amp;tab=ClassesTab&amp;id=http%3A%2F%2Fwho.int%2Ficd%2334678_512ebf36_bf6b_4d70_85da_cf2637062af4","iCat")</x:f>
      </x:c>
      <x:c r="M6018" s="0" t="s">
        <x:v>21</x:v>
      </x:c>
      <x:c r="N6018" s="0" t="s">
        <x:v>46</x:v>
      </x:c>
    </x:row>
    <x:row r="6019" spans="1:16">
      <x:c r="A6019" s="0" t="s">
        <x:v>23929</x:v>
      </x:c>
      <x:c r="B6019" s="0" t="s">
        <x:v>23930</x:v>
      </x:c>
      <x:c r="C6019" s="0" t="s">
        <x:v>23931</x:v>
      </x:c>
      <x:c r="E6019" s="0" t="s">
        <x:v>23932</x:v>
      </x:c>
      <x:c r="F6019" s="0" t="s">
        <x:v>45</x:v>
      </x:c>
      <x:c r="G6019" s="0" t="s">
        <x:v>19</x:v>
      </x:c>
      <x:c r="H6019" s="0" t="s">
        <x:v>20</x:v>
      </x:c>
      <x:c r="I6019" s="0" t="s">
        <x:v>21</x:v>
      </x:c>
      <x:c r="K6019" s="0">
        <x:f>hyperlink("https://icd.who.int/dev11/l-ichi/en#/http%3A%2F%2Fid.who.int%2Ficd%2Fentity%2F953985170","browser")</x:f>
      </x:c>
      <x:c r="L6019" s="0">
        <x:f>hyperlink("https://icat2.azurewebsites.net/icat/?ontology=ICD&amp;tab=ClassesTab&amp;id=http%3A%2F%2Fwho.int%2Ficd%2334686_512ebf36_bf6b_4d70_85da_cf2637062af4","iCat")</x:f>
      </x:c>
      <x:c r="M6019" s="0" t="s">
        <x:v>21</x:v>
      </x:c>
      <x:c r="N6019" s="0" t="s">
        <x:v>46</x:v>
      </x:c>
    </x:row>
    <x:row r="6020" spans="1:16">
      <x:c r="A6020" s="0" t="s">
        <x:v>23933</x:v>
      </x:c>
      <x:c r="B6020" s="0" t="s">
        <x:v>23934</x:v>
      </x:c>
      <x:c r="C6020" s="0" t="s">
        <x:v>23935</x:v>
      </x:c>
      <x:c r="E6020" s="0" t="s">
        <x:v>23936</x:v>
      </x:c>
      <x:c r="F6020" s="0" t="s">
        <x:v>45</x:v>
      </x:c>
      <x:c r="G6020" s="0" t="s">
        <x:v>19</x:v>
      </x:c>
      <x:c r="H6020" s="0" t="s">
        <x:v>20</x:v>
      </x:c>
      <x:c r="I6020" s="0" t="s">
        <x:v>21</x:v>
      </x:c>
      <x:c r="K6020" s="0">
        <x:f>hyperlink("https://icd.who.int/dev11/l-ichi/en#/http%3A%2F%2Fid.who.int%2Ficd%2Fentity%2F929374208","browser")</x:f>
      </x:c>
      <x:c r="L6020" s="0">
        <x:f>hyperlink("https://icat2.azurewebsites.net/icat/?ontology=ICD&amp;tab=ClassesTab&amp;id=http%3A%2F%2Fwho.int%2Ficd%2334694_512ebf36_bf6b_4d70_85da_cf2637062af4","iCat")</x:f>
      </x:c>
      <x:c r="M6020" s="0" t="s">
        <x:v>21</x:v>
      </x:c>
      <x:c r="N6020" s="0" t="s">
        <x:v>46</x:v>
      </x:c>
    </x:row>
    <x:row r="6021" spans="1:16">
      <x:c r="A6021" s="0" t="s">
        <x:v>23937</x:v>
      </x:c>
      <x:c r="B6021" s="0" t="s">
        <x:v>23938</x:v>
      </x:c>
      <x:c r="C6021" s="0" t="s">
        <x:v>23939</x:v>
      </x:c>
      <x:c r="E6021" s="0" t="s">
        <x:v>23940</x:v>
      </x:c>
      <x:c r="F6021" s="0" t="s">
        <x:v>45</x:v>
      </x:c>
      <x:c r="G6021" s="0" t="s">
        <x:v>19</x:v>
      </x:c>
      <x:c r="H6021" s="0" t="s">
        <x:v>20</x:v>
      </x:c>
      <x:c r="I6021" s="0" t="s">
        <x:v>21</x:v>
      </x:c>
      <x:c r="K6021" s="0">
        <x:f>hyperlink("https://icd.who.int/dev11/l-ichi/en#/http%3A%2F%2Fid.who.int%2Ficd%2Fentity%2F1735783359","browser")</x:f>
      </x:c>
      <x:c r="L6021" s="0">
        <x:f>hyperlink("https://icat2.azurewebsites.net/icat/?ontology=ICD&amp;tab=ClassesTab&amp;id=http%3A%2F%2Fwho.int%2Ficd%2334702_512ebf36_bf6b_4d70_85da_cf2637062af4","iCat")</x:f>
      </x:c>
      <x:c r="M6021" s="0" t="s">
        <x:v>21</x:v>
      </x:c>
      <x:c r="N6021" s="0" t="s">
        <x:v>46</x:v>
      </x:c>
    </x:row>
    <x:row r="6022" spans="1:16">
      <x:c r="A6022" s="0" t="s">
        <x:v>23941</x:v>
      </x:c>
      <x:c r="B6022" s="0" t="s">
        <x:v>23942</x:v>
      </x:c>
      <x:c r="C6022" s="0" t="s">
        <x:v>23943</x:v>
      </x:c>
      <x:c r="E6022" s="0" t="s">
        <x:v>23944</x:v>
      </x:c>
      <x:c r="F6022" s="0" t="s">
        <x:v>45</x:v>
      </x:c>
      <x:c r="G6022" s="0" t="s">
        <x:v>19</x:v>
      </x:c>
      <x:c r="H6022" s="0" t="s">
        <x:v>20</x:v>
      </x:c>
      <x:c r="I6022" s="0" t="s">
        <x:v>21</x:v>
      </x:c>
      <x:c r="K6022" s="0">
        <x:f>hyperlink("https://icd.who.int/dev11/l-ichi/en#/http%3A%2F%2Fid.who.int%2Ficd%2Fentity%2F1573633881","browser")</x:f>
      </x:c>
      <x:c r="L6022" s="0">
        <x:f>hyperlink("https://icat2.azurewebsites.net/icat/?ontology=ICD&amp;tab=ClassesTab&amp;id=http%3A%2F%2Fwho.int%2Ficd%2334714_512ebf36_bf6b_4d70_85da_cf2637062af4","iCat")</x:f>
      </x:c>
      <x:c r="M6022" s="0" t="s">
        <x:v>21</x:v>
      </x:c>
      <x:c r="N6022" s="0" t="s">
        <x:v>46</x:v>
      </x:c>
    </x:row>
    <x:row r="6023" spans="1:16">
      <x:c r="A6023" s="0" t="s">
        <x:v>23945</x:v>
      </x:c>
      <x:c r="B6023" s="0" t="s">
        <x:v>23946</x:v>
      </x:c>
      <x:c r="C6023" s="0" t="s">
        <x:v>23947</x:v>
      </x:c>
      <x:c r="E6023" s="0" t="s">
        <x:v>23948</x:v>
      </x:c>
      <x:c r="F6023" s="0" t="s">
        <x:v>45</x:v>
      </x:c>
      <x:c r="G6023" s="0" t="s">
        <x:v>19</x:v>
      </x:c>
      <x:c r="H6023" s="0" t="s">
        <x:v>20</x:v>
      </x:c>
      <x:c r="I6023" s="0" t="s">
        <x:v>21</x:v>
      </x:c>
      <x:c r="K6023" s="0">
        <x:f>hyperlink("https://icd.who.int/dev11/l-ichi/en#/http%3A%2F%2Fid.who.int%2Ficd%2Fentity%2F494600030","browser")</x:f>
      </x:c>
      <x:c r="L6023" s="0">
        <x:f>hyperlink("https://icat2.azurewebsites.net/icat/?ontology=ICD&amp;tab=ClassesTab&amp;id=http%3A%2F%2Fwho.int%2Ficd%2334724_512ebf36_bf6b_4d70_85da_cf2637062af4","iCat")</x:f>
      </x:c>
      <x:c r="M6023" s="0" t="s">
        <x:v>21</x:v>
      </x:c>
      <x:c r="N6023" s="0" t="s">
        <x:v>46</x:v>
      </x:c>
    </x:row>
    <x:row r="6024" spans="1:16">
      <x:c r="A6024" s="0" t="s">
        <x:v>23949</x:v>
      </x:c>
      <x:c r="B6024" s="0" t="s">
        <x:v>23950</x:v>
      </x:c>
      <x:c r="C6024" s="0" t="s">
        <x:v>23951</x:v>
      </x:c>
      <x:c r="E6024" s="0" t="s">
        <x:v>23952</x:v>
      </x:c>
      <x:c r="F6024" s="0" t="s">
        <x:v>45</x:v>
      </x:c>
      <x:c r="G6024" s="0" t="s">
        <x:v>19</x:v>
      </x:c>
      <x:c r="H6024" s="0" t="s">
        <x:v>20</x:v>
      </x:c>
      <x:c r="I6024" s="0" t="s">
        <x:v>21</x:v>
      </x:c>
      <x:c r="K6024" s="0">
        <x:f>hyperlink("https://icd.who.int/dev11/l-ichi/en#/http%3A%2F%2Fid.who.int%2Ficd%2Fentity%2F1648483393","browser")</x:f>
      </x:c>
      <x:c r="L6024" s="0">
        <x:f>hyperlink("https://icat2.azurewebsites.net/icat/?ontology=ICD&amp;tab=ClassesTab&amp;id=http%3A%2F%2Fwho.int%2Ficd%2334731_512ebf36_bf6b_4d70_85da_cf2637062af4","iCat")</x:f>
      </x:c>
      <x:c r="M6024" s="0" t="s">
        <x:v>21</x:v>
      </x:c>
      <x:c r="N6024" s="0" t="s">
        <x:v>46</x:v>
      </x:c>
    </x:row>
    <x:row r="6025" spans="1:16">
      <x:c r="A6025" s="0" t="s">
        <x:v>23953</x:v>
      </x:c>
      <x:c r="B6025" s="0" t="s">
        <x:v>23954</x:v>
      </x:c>
      <x:c r="C6025" s="0" t="s">
        <x:v>23955</x:v>
      </x:c>
      <x:c r="E6025" s="0" t="s">
        <x:v>23956</x:v>
      </x:c>
      <x:c r="F6025" s="0" t="s">
        <x:v>45</x:v>
      </x:c>
      <x:c r="G6025" s="0" t="s">
        <x:v>19</x:v>
      </x:c>
      <x:c r="H6025" s="0" t="s">
        <x:v>20</x:v>
      </x:c>
      <x:c r="I6025" s="0" t="s">
        <x:v>21</x:v>
      </x:c>
      <x:c r="K6025" s="0">
        <x:f>hyperlink("https://icd.who.int/dev11/l-ichi/en#/http%3A%2F%2Fid.who.int%2Ficd%2Fentity%2F205119274","browser")</x:f>
      </x:c>
      <x:c r="L6025" s="0">
        <x:f>hyperlink("https://icat2.azurewebsites.net/icat/?ontology=ICD&amp;tab=ClassesTab&amp;id=http%3A%2F%2Fwho.int%2Ficd%2334738_512ebf36_bf6b_4d70_85da_cf2637062af4","iCat")</x:f>
      </x:c>
      <x:c r="M6025" s="0" t="s">
        <x:v>21</x:v>
      </x:c>
      <x:c r="N6025" s="0" t="s">
        <x:v>46</x:v>
      </x:c>
    </x:row>
    <x:row r="6026" spans="1:16">
      <x:c r="A6026" s="0" t="s">
        <x:v>23957</x:v>
      </x:c>
      <x:c r="B6026" s="0" t="s">
        <x:v>23958</x:v>
      </x:c>
      <x:c r="C6026" s="0" t="s">
        <x:v>23959</x:v>
      </x:c>
      <x:c r="E6026" s="0" t="s">
        <x:v>23960</x:v>
      </x:c>
      <x:c r="F6026" s="0" t="s">
        <x:v>45</x:v>
      </x:c>
      <x:c r="G6026" s="0" t="s">
        <x:v>19</x:v>
      </x:c>
      <x:c r="H6026" s="0" t="s">
        <x:v>20</x:v>
      </x:c>
      <x:c r="I6026" s="0" t="s">
        <x:v>21</x:v>
      </x:c>
      <x:c r="K6026" s="0">
        <x:f>hyperlink("https://icd.who.int/dev11/l-ichi/en#/http%3A%2F%2Fid.who.int%2Ficd%2Fentity%2F1198094611","browser")</x:f>
      </x:c>
      <x:c r="L6026" s="0">
        <x:f>hyperlink("https://icat2.azurewebsites.net/icat/?ontology=ICD&amp;tab=ClassesTab&amp;id=http%3A%2F%2Fwho.int%2Ficd%2334744_512ebf36_bf6b_4d70_85da_cf2637062af4","iCat")</x:f>
      </x:c>
      <x:c r="M6026" s="0" t="s">
        <x:v>21</x:v>
      </x:c>
      <x:c r="N6026" s="0" t="s">
        <x:v>46</x:v>
      </x:c>
    </x:row>
    <x:row r="6027" spans="1:16">
      <x:c r="A6027" s="0" t="s">
        <x:v>23961</x:v>
      </x:c>
      <x:c r="B6027" s="0" t="s">
        <x:v>23962</x:v>
      </x:c>
      <x:c r="C6027" s="0" t="s">
        <x:v>23963</x:v>
      </x:c>
      <x:c r="E6027" s="0" t="s">
        <x:v>23964</x:v>
      </x:c>
      <x:c r="F6027" s="0" t="s">
        <x:v>45</x:v>
      </x:c>
      <x:c r="G6027" s="0" t="s">
        <x:v>19</x:v>
      </x:c>
      <x:c r="H6027" s="0" t="s">
        <x:v>20</x:v>
      </x:c>
      <x:c r="I6027" s="0" t="s">
        <x:v>21</x:v>
      </x:c>
      <x:c r="K6027" s="0">
        <x:f>hyperlink("https://icd.who.int/dev11/l-ichi/en#/http%3A%2F%2Fid.who.int%2Ficd%2Fentity%2F1030125044","browser")</x:f>
      </x:c>
      <x:c r="L6027" s="0">
        <x:f>hyperlink("https://icat2.azurewebsites.net/icat/?ontology=ICD&amp;tab=ClassesTab&amp;id=http%3A%2F%2Fwho.int%2Ficd%2334762_512ebf36_bf6b_4d70_85da_cf2637062af4","iCat")</x:f>
      </x:c>
      <x:c r="M6027" s="0" t="s">
        <x:v>21</x:v>
      </x:c>
      <x:c r="N6027" s="0" t="s">
        <x:v>46</x:v>
      </x:c>
    </x:row>
    <x:row r="6028" spans="1:16">
      <x:c r="A6028" s="0" t="s">
        <x:v>23965</x:v>
      </x:c>
      <x:c r="B6028" s="0" t="s">
        <x:v>23966</x:v>
      </x:c>
      <x:c r="C6028" s="0" t="s">
        <x:v>23967</x:v>
      </x:c>
      <x:c r="E6028" s="0" t="s">
        <x:v>23968</x:v>
      </x:c>
      <x:c r="F6028" s="0" t="s">
        <x:v>45</x:v>
      </x:c>
      <x:c r="G6028" s="0" t="s">
        <x:v>19</x:v>
      </x:c>
      <x:c r="H6028" s="0" t="s">
        <x:v>20</x:v>
      </x:c>
      <x:c r="I6028" s="0" t="s">
        <x:v>21</x:v>
      </x:c>
      <x:c r="K6028" s="0">
        <x:f>hyperlink("https://icd.who.int/dev11/l-ichi/en#/http%3A%2F%2Fid.who.int%2Ficd%2Fentity%2F490256320","browser")</x:f>
      </x:c>
      <x:c r="L6028" s="0">
        <x:f>hyperlink("https://icat2.azurewebsites.net/icat/?ontology=ICD&amp;tab=ClassesTab&amp;id=http%3A%2F%2Fwho.int%2Ficd%2334780_512ebf36_bf6b_4d70_85da_cf2637062af4","iCat")</x:f>
      </x:c>
      <x:c r="M6028" s="0" t="s">
        <x:v>21</x:v>
      </x:c>
      <x:c r="N6028" s="0" t="s">
        <x:v>46</x:v>
      </x:c>
    </x:row>
    <x:row r="6029" spans="1:16">
      <x:c r="A6029" s="0" t="s">
        <x:v>23969</x:v>
      </x:c>
      <x:c r="B6029" s="0" t="s">
        <x:v>23970</x:v>
      </x:c>
      <x:c r="C6029" s="0" t="s">
        <x:v>23971</x:v>
      </x:c>
      <x:c r="E6029" s="0" t="s">
        <x:v>23972</x:v>
      </x:c>
      <x:c r="F6029" s="0" t="s">
        <x:v>45</x:v>
      </x:c>
      <x:c r="G6029" s="0" t="s">
        <x:v>19</x:v>
      </x:c>
      <x:c r="H6029" s="0" t="s">
        <x:v>20</x:v>
      </x:c>
      <x:c r="I6029" s="0" t="s">
        <x:v>21</x:v>
      </x:c>
      <x:c r="K6029" s="0">
        <x:f>hyperlink("https://icd.who.int/dev11/l-ichi/en#/http%3A%2F%2Fid.who.int%2Ficd%2Fentity%2F125798758","browser")</x:f>
      </x:c>
      <x:c r="L6029" s="0">
        <x:f>hyperlink("https://icat2.azurewebsites.net/icat/?ontology=ICD&amp;tab=ClassesTab&amp;id=http%3A%2F%2Fwho.int%2Ficd%2334797_512ebf36_bf6b_4d70_85da_cf2637062af4","iCat")</x:f>
      </x:c>
      <x:c r="M6029" s="0" t="s">
        <x:v>21</x:v>
      </x:c>
      <x:c r="N6029" s="0" t="s">
        <x:v>46</x:v>
      </x:c>
    </x:row>
    <x:row r="6030" spans="1:16">
      <x:c r="A6030" s="0" t="s">
        <x:v>23973</x:v>
      </x:c>
      <x:c r="B6030" s="0" t="s">
        <x:v>23974</x:v>
      </x:c>
      <x:c r="C6030" s="0" t="s">
        <x:v>23975</x:v>
      </x:c>
      <x:c r="E6030" s="0" t="s">
        <x:v>23976</x:v>
      </x:c>
      <x:c r="F6030" s="0" t="s">
        <x:v>45</x:v>
      </x:c>
      <x:c r="G6030" s="0" t="s">
        <x:v>19</x:v>
      </x:c>
      <x:c r="H6030" s="0" t="s">
        <x:v>20</x:v>
      </x:c>
      <x:c r="I6030" s="0" t="s">
        <x:v>21</x:v>
      </x:c>
      <x:c r="K6030" s="0">
        <x:f>hyperlink("https://icd.who.int/dev11/l-ichi/en#/http%3A%2F%2Fid.who.int%2Ficd%2Fentity%2F608151501","browser")</x:f>
      </x:c>
      <x:c r="L6030" s="0">
        <x:f>hyperlink("https://icat2.azurewebsites.net/icat/?ontology=ICD&amp;tab=ClassesTab&amp;id=http%3A%2F%2Fwho.int%2Ficd%2334806_512ebf36_bf6b_4d70_85da_cf2637062af4","iCat")</x:f>
      </x:c>
      <x:c r="M6030" s="0" t="s">
        <x:v>21</x:v>
      </x:c>
      <x:c r="N6030" s="0" t="s">
        <x:v>46</x:v>
      </x:c>
    </x:row>
    <x:row r="6031" spans="1:16">
      <x:c r="A6031" s="0" t="s">
        <x:v>23977</x:v>
      </x:c>
      <x:c r="B6031" s="0" t="s">
        <x:v>23978</x:v>
      </x:c>
      <x:c r="C6031" s="0" t="s">
        <x:v>23979</x:v>
      </x:c>
      <x:c r="E6031" s="0" t="s">
        <x:v>23980</x:v>
      </x:c>
      <x:c r="F6031" s="0" t="s">
        <x:v>45</x:v>
      </x:c>
      <x:c r="G6031" s="0" t="s">
        <x:v>19</x:v>
      </x:c>
      <x:c r="H6031" s="0" t="s">
        <x:v>20</x:v>
      </x:c>
      <x:c r="I6031" s="0" t="s">
        <x:v>21</x:v>
      </x:c>
      <x:c r="K6031" s="0">
        <x:f>hyperlink("https://icd.who.int/dev11/l-ichi/en#/http%3A%2F%2Fid.who.int%2Ficd%2Fentity%2F1527022802","browser")</x:f>
      </x:c>
      <x:c r="L6031" s="0">
        <x:f>hyperlink("https://icat2.azurewebsites.net/icat/?ontology=ICD&amp;tab=ClassesTab&amp;id=http%3A%2F%2Fwho.int%2Ficd%2334813_512ebf36_bf6b_4d70_85da_cf2637062af4","iCat")</x:f>
      </x:c>
      <x:c r="M6031" s="0" t="s">
        <x:v>21</x:v>
      </x:c>
      <x:c r="N6031" s="0" t="s">
        <x:v>46</x:v>
      </x:c>
    </x:row>
    <x:row r="6032" spans="1:16">
      <x:c r="A6032" s="0" t="s">
        <x:v>23981</x:v>
      </x:c>
      <x:c r="B6032" s="0" t="s">
        <x:v>23982</x:v>
      </x:c>
      <x:c r="C6032" s="0" t="s">
        <x:v>23983</x:v>
      </x:c>
      <x:c r="E6032" s="0" t="s">
        <x:v>23984</x:v>
      </x:c>
      <x:c r="F6032" s="0" t="s">
        <x:v>45</x:v>
      </x:c>
      <x:c r="G6032" s="0" t="s">
        <x:v>19</x:v>
      </x:c>
      <x:c r="H6032" s="0" t="s">
        <x:v>20</x:v>
      </x:c>
      <x:c r="I6032" s="0" t="s">
        <x:v>21</x:v>
      </x:c>
      <x:c r="K6032" s="0">
        <x:f>hyperlink("https://icd.who.int/dev11/l-ichi/en#/http%3A%2F%2Fid.who.int%2Ficd%2Fentity%2F1580247852","browser")</x:f>
      </x:c>
      <x:c r="L6032" s="0">
        <x:f>hyperlink("https://icat2.azurewebsites.net/icat/?ontology=ICD&amp;tab=ClassesTab&amp;id=http%3A%2F%2Fwho.int%2Ficd%2334820_512ebf36_bf6b_4d70_85da_cf2637062af4","iCat")</x:f>
      </x:c>
      <x:c r="M6032" s="0" t="s">
        <x:v>21</x:v>
      </x:c>
      <x:c r="N6032" s="0" t="s">
        <x:v>46</x:v>
      </x:c>
    </x:row>
    <x:row r="6033" spans="1:16">
      <x:c r="A6033" s="0" t="s">
        <x:v>23985</x:v>
      </x:c>
      <x:c r="B6033" s="0" t="s">
        <x:v>23986</x:v>
      </x:c>
      <x:c r="C6033" s="0" t="s">
        <x:v>23987</x:v>
      </x:c>
      <x:c r="E6033" s="0" t="s">
        <x:v>23988</x:v>
      </x:c>
      <x:c r="F6033" s="0" t="s">
        <x:v>45</x:v>
      </x:c>
      <x:c r="G6033" s="0" t="s">
        <x:v>19</x:v>
      </x:c>
      <x:c r="H6033" s="0" t="s">
        <x:v>20</x:v>
      </x:c>
      <x:c r="I6033" s="0" t="s">
        <x:v>21</x:v>
      </x:c>
      <x:c r="K6033" s="0">
        <x:f>hyperlink("https://icd.who.int/dev11/l-ichi/en#/http%3A%2F%2Fid.who.int%2Ficd%2Fentity%2F239825565","browser")</x:f>
      </x:c>
      <x:c r="L6033" s="0">
        <x:f>hyperlink("https://icat2.azurewebsites.net/icat/?ontology=ICD&amp;tab=ClassesTab&amp;id=http%3A%2F%2Fwho.int%2Ficd%2334826_512ebf36_bf6b_4d70_85da_cf2637062af4","iCat")</x:f>
      </x:c>
      <x:c r="M6033" s="0" t="s">
        <x:v>21</x:v>
      </x:c>
      <x:c r="N6033" s="0" t="s">
        <x:v>46</x:v>
      </x:c>
    </x:row>
    <x:row r="6034" spans="1:16">
      <x:c r="A6034" s="0" t="s">
        <x:v>23989</x:v>
      </x:c>
      <x:c r="B6034" s="0" t="s">
        <x:v>23990</x:v>
      </x:c>
      <x:c r="C6034" s="0" t="s">
        <x:v>23991</x:v>
      </x:c>
      <x:c r="E6034" s="0" t="s">
        <x:v>23992</x:v>
      </x:c>
      <x:c r="F6034" s="0" t="s">
        <x:v>45</x:v>
      </x:c>
      <x:c r="G6034" s="0" t="s">
        <x:v>19</x:v>
      </x:c>
      <x:c r="H6034" s="0" t="s">
        <x:v>20</x:v>
      </x:c>
      <x:c r="I6034" s="0" t="s">
        <x:v>21</x:v>
      </x:c>
      <x:c r="K6034" s="0">
        <x:f>hyperlink("https://icd.who.int/dev11/l-ichi/en#/http%3A%2F%2Fid.who.int%2Ficd%2Fentity%2F1367942078","browser")</x:f>
      </x:c>
      <x:c r="L6034" s="0">
        <x:f>hyperlink("https://icat2.azurewebsites.net/icat/?ontology=ICD&amp;tab=ClassesTab&amp;id=http%3A%2F%2Fwho.int%2Ficd%2334832_512ebf36_bf6b_4d70_85da_cf2637062af4","iCat")</x:f>
      </x:c>
      <x:c r="M6034" s="0" t="s">
        <x:v>21</x:v>
      </x:c>
      <x:c r="N6034" s="0" t="s">
        <x:v>46</x:v>
      </x:c>
    </x:row>
    <x:row r="6035" spans="1:16">
      <x:c r="A6035" s="0" t="s">
        <x:v>23993</x:v>
      </x:c>
      <x:c r="B6035" s="0" t="s">
        <x:v>23994</x:v>
      </x:c>
      <x:c r="C6035" s="0" t="s">
        <x:v>23995</x:v>
      </x:c>
      <x:c r="E6035" s="0" t="s">
        <x:v>23996</x:v>
      </x:c>
      <x:c r="F6035" s="0" t="s">
        <x:v>45</x:v>
      </x:c>
      <x:c r="G6035" s="0" t="s">
        <x:v>19</x:v>
      </x:c>
      <x:c r="H6035" s="0" t="s">
        <x:v>20</x:v>
      </x:c>
      <x:c r="I6035" s="0" t="s">
        <x:v>21</x:v>
      </x:c>
      <x:c r="K6035" s="0">
        <x:f>hyperlink("https://icd.who.int/dev11/l-ichi/en#/http%3A%2F%2Fid.who.int%2Ficd%2Fentity%2F618291037","browser")</x:f>
      </x:c>
      <x:c r="L6035" s="0">
        <x:f>hyperlink("https://icat2.azurewebsites.net/icat/?ontology=ICD&amp;tab=ClassesTab&amp;id=http%3A%2F%2Fwho.int%2Ficd%2334841_512ebf36_bf6b_4d70_85da_cf2637062af4","iCat")</x:f>
      </x:c>
      <x:c r="M6035" s="0" t="s">
        <x:v>21</x:v>
      </x:c>
      <x:c r="N6035" s="0" t="s">
        <x:v>46</x:v>
      </x:c>
    </x:row>
    <x:row r="6036" spans="1:16">
      <x:c r="A6036" s="0" t="s">
        <x:v>23997</x:v>
      </x:c>
      <x:c r="B6036" s="0" t="s">
        <x:v>23998</x:v>
      </x:c>
      <x:c r="C6036" s="0" t="s">
        <x:v>23999</x:v>
      </x:c>
      <x:c r="E6036" s="0" t="s">
        <x:v>24000</x:v>
      </x:c>
      <x:c r="F6036" s="0" t="s">
        <x:v>45</x:v>
      </x:c>
      <x:c r="G6036" s="0" t="s">
        <x:v>19</x:v>
      </x:c>
      <x:c r="H6036" s="0" t="s">
        <x:v>20</x:v>
      </x:c>
      <x:c r="I6036" s="0" t="s">
        <x:v>21</x:v>
      </x:c>
      <x:c r="K6036" s="0">
        <x:f>hyperlink("https://icd.who.int/dev11/l-ichi/en#/http%3A%2F%2Fid.who.int%2Ficd%2Fentity%2F1956742894","browser")</x:f>
      </x:c>
      <x:c r="L6036" s="0">
        <x:f>hyperlink("https://icat2.azurewebsites.net/icat/?ontology=ICD&amp;tab=ClassesTab&amp;id=http%3A%2F%2Fwho.int%2Ficd%2334847_512ebf36_bf6b_4d70_85da_cf2637062af4","iCat")</x:f>
      </x:c>
      <x:c r="M6036" s="0" t="s">
        <x:v>21</x:v>
      </x:c>
      <x:c r="N6036" s="0" t="s">
        <x:v>46</x:v>
      </x:c>
    </x:row>
    <x:row r="6037" spans="1:16">
      <x:c r="A6037" s="0" t="s">
        <x:v>24001</x:v>
      </x:c>
      <x:c r="B6037" s="0" t="s">
        <x:v>24002</x:v>
      </x:c>
      <x:c r="C6037" s="0" t="s">
        <x:v>24003</x:v>
      </x:c>
      <x:c r="E6037" s="0" t="s">
        <x:v>24004</x:v>
      </x:c>
      <x:c r="F6037" s="0" t="s">
        <x:v>45</x:v>
      </x:c>
      <x:c r="G6037" s="0" t="s">
        <x:v>19</x:v>
      </x:c>
      <x:c r="H6037" s="0" t="s">
        <x:v>20</x:v>
      </x:c>
      <x:c r="I6037" s="0" t="s">
        <x:v>21</x:v>
      </x:c>
      <x:c r="K6037" s="0">
        <x:f>hyperlink("https://icd.who.int/dev11/l-ichi/en#/http%3A%2F%2Fid.who.int%2Ficd%2Fentity%2F10402655","browser")</x:f>
      </x:c>
      <x:c r="L6037" s="0">
        <x:f>hyperlink("https://icat2.azurewebsites.net/icat/?ontology=ICD&amp;tab=ClassesTab&amp;id=http%3A%2F%2Fwho.int%2Ficd%2334859_512ebf36_bf6b_4d70_85da_cf2637062af4","iCat")</x:f>
      </x:c>
      <x:c r="M6037" s="0" t="s">
        <x:v>21</x:v>
      </x:c>
      <x:c r="N6037" s="0" t="s">
        <x:v>46</x:v>
      </x:c>
    </x:row>
    <x:row r="6038" spans="1:16">
      <x:c r="A6038" s="0" t="s">
        <x:v>24005</x:v>
      </x:c>
      <x:c r="B6038" s="0" t="s">
        <x:v>24006</x:v>
      </x:c>
      <x:c r="C6038" s="0" t="s">
        <x:v>24007</x:v>
      </x:c>
      <x:c r="E6038" s="0" t="s">
        <x:v>24008</x:v>
      </x:c>
      <x:c r="F6038" s="0" t="s">
        <x:v>45</x:v>
      </x:c>
      <x:c r="G6038" s="0" t="s">
        <x:v>19</x:v>
      </x:c>
      <x:c r="H6038" s="0" t="s">
        <x:v>20</x:v>
      </x:c>
      <x:c r="I6038" s="0" t="s">
        <x:v>21</x:v>
      </x:c>
      <x:c r="K6038" s="0">
        <x:f>hyperlink("https://icd.who.int/dev11/l-ichi/en#/http%3A%2F%2Fid.who.int%2Ficd%2Fentity%2F2116821378","browser")</x:f>
      </x:c>
      <x:c r="L6038" s="0">
        <x:f>hyperlink("https://icat2.azurewebsites.net/icat/?ontology=ICD&amp;tab=ClassesTab&amp;id=http%3A%2F%2Fwho.int%2Ficd%2334866_512ebf36_bf6b_4d70_85da_cf2637062af4","iCat")</x:f>
      </x:c>
      <x:c r="M6038" s="0" t="s">
        <x:v>21</x:v>
      </x:c>
      <x:c r="N6038" s="0" t="s">
        <x:v>46</x:v>
      </x:c>
    </x:row>
    <x:row r="6039" spans="1:16">
      <x:c r="A6039" s="0" t="s">
        <x:v>24009</x:v>
      </x:c>
      <x:c r="B6039" s="0" t="s">
        <x:v>24010</x:v>
      </x:c>
      <x:c r="C6039" s="0" t="s">
        <x:v>24011</x:v>
      </x:c>
      <x:c r="E6039" s="0" t="s">
        <x:v>24012</x:v>
      </x:c>
      <x:c r="F6039" s="0" t="s">
        <x:v>45</x:v>
      </x:c>
      <x:c r="G6039" s="0" t="s">
        <x:v>19</x:v>
      </x:c>
      <x:c r="H6039" s="0" t="s">
        <x:v>20</x:v>
      </x:c>
      <x:c r="I6039" s="0" t="s">
        <x:v>21</x:v>
      </x:c>
      <x:c r="K6039" s="0">
        <x:f>hyperlink("https://icd.who.int/dev11/l-ichi/en#/http%3A%2F%2Fid.who.int%2Ficd%2Fentity%2F1802839992","browser")</x:f>
      </x:c>
      <x:c r="L6039" s="0">
        <x:f>hyperlink("https://icat2.azurewebsites.net/icat/?ontology=ICD&amp;tab=ClassesTab&amp;id=http%3A%2F%2Fwho.int%2Ficd%2334880_512ebf36_bf6b_4d70_85da_cf2637062af4","iCat")</x:f>
      </x:c>
      <x:c r="M6039" s="0" t="s">
        <x:v>21</x:v>
      </x:c>
      <x:c r="N6039" s="0" t="s">
        <x:v>46</x:v>
      </x:c>
    </x:row>
    <x:row r="6040" spans="1:16">
      <x:c r="A6040" s="0" t="s">
        <x:v>24013</x:v>
      </x:c>
      <x:c r="B6040" s="0" t="s">
        <x:v>24014</x:v>
      </x:c>
      <x:c r="C6040" s="0" t="s">
        <x:v>24015</x:v>
      </x:c>
      <x:c r="E6040" s="0" t="s">
        <x:v>24016</x:v>
      </x:c>
      <x:c r="F6040" s="0" t="s">
        <x:v>45</x:v>
      </x:c>
      <x:c r="G6040" s="0" t="s">
        <x:v>19</x:v>
      </x:c>
      <x:c r="H6040" s="0" t="s">
        <x:v>20</x:v>
      </x:c>
      <x:c r="I6040" s="0" t="s">
        <x:v>21</x:v>
      </x:c>
      <x:c r="K6040" s="0">
        <x:f>hyperlink("https://icd.who.int/dev11/l-ichi/en#/http%3A%2F%2Fid.who.int%2Ficd%2Fentity%2F469208117","browser")</x:f>
      </x:c>
      <x:c r="L6040" s="0">
        <x:f>hyperlink("https://icat2.azurewebsites.net/icat/?ontology=ICD&amp;tab=ClassesTab&amp;id=http%3A%2F%2Fwho.int%2Ficd%2334887_512ebf36_bf6b_4d70_85da_cf2637062af4","iCat")</x:f>
      </x:c>
      <x:c r="M6040" s="0" t="s">
        <x:v>21</x:v>
      </x:c>
      <x:c r="N6040" s="0" t="s">
        <x:v>46</x:v>
      </x:c>
    </x:row>
    <x:row r="6041" spans="1:16">
      <x:c r="A6041" s="0" t="s">
        <x:v>24017</x:v>
      </x:c>
      <x:c r="B6041" s="0" t="s">
        <x:v>24018</x:v>
      </x:c>
      <x:c r="C6041" s="0" t="s">
        <x:v>24019</x:v>
      </x:c>
      <x:c r="E6041" s="0" t="s">
        <x:v>24020</x:v>
      </x:c>
      <x:c r="F6041" s="0" t="s">
        <x:v>45</x:v>
      </x:c>
      <x:c r="G6041" s="0" t="s">
        <x:v>19</x:v>
      </x:c>
      <x:c r="H6041" s="0" t="s">
        <x:v>20</x:v>
      </x:c>
      <x:c r="I6041" s="0" t="s">
        <x:v>21</x:v>
      </x:c>
      <x:c r="K6041" s="0">
        <x:f>hyperlink("https://icd.who.int/dev11/l-ichi/en#/http%3A%2F%2Fid.who.int%2Ficd%2Fentity%2F1372285792","browser")</x:f>
      </x:c>
      <x:c r="L6041" s="0">
        <x:f>hyperlink("https://icat2.azurewebsites.net/icat/?ontology=ICD&amp;tab=ClassesTab&amp;id=http%3A%2F%2Fwho.int%2Ficd%2334896_512ebf36_bf6b_4d70_85da_cf2637062af4","iCat")</x:f>
      </x:c>
      <x:c r="M6041" s="0" t="s">
        <x:v>21</x:v>
      </x:c>
      <x:c r="N6041" s="0" t="s">
        <x:v>46</x:v>
      </x:c>
    </x:row>
    <x:row r="6042" spans="1:16">
      <x:c r="A6042" s="0" t="s">
        <x:v>24021</x:v>
      </x:c>
      <x:c r="B6042" s="0" t="s">
        <x:v>24022</x:v>
      </x:c>
      <x:c r="C6042" s="0" t="s">
        <x:v>24023</x:v>
      </x:c>
      <x:c r="E6042" s="0" t="s">
        <x:v>24024</x:v>
      </x:c>
      <x:c r="F6042" s="0" t="s">
        <x:v>45</x:v>
      </x:c>
      <x:c r="G6042" s="0" t="s">
        <x:v>19</x:v>
      </x:c>
      <x:c r="H6042" s="0" t="s">
        <x:v>20</x:v>
      </x:c>
      <x:c r="I6042" s="0" t="s">
        <x:v>21</x:v>
      </x:c>
      <x:c r="K6042" s="0">
        <x:f>hyperlink("https://icd.who.int/dev11/l-ichi/en#/http%3A%2F%2Fid.who.int%2Ficd%2Fentity%2F1147066136","browser")</x:f>
      </x:c>
      <x:c r="L6042" s="0">
        <x:f>hyperlink("https://icat2.azurewebsites.net/icat/?ontology=ICD&amp;tab=ClassesTab&amp;id=http%3A%2F%2Fwho.int%2Ficd%2334903_512ebf36_bf6b_4d70_85da_cf2637062af4","iCat")</x:f>
      </x:c>
      <x:c r="M6042" s="0" t="s">
        <x:v>21</x:v>
      </x:c>
      <x:c r="N6042" s="0" t="s">
        <x:v>46</x:v>
      </x:c>
    </x:row>
    <x:row r="6043" spans="1:16">
      <x:c r="A6043" s="0" t="s">
        <x:v>24025</x:v>
      </x:c>
      <x:c r="B6043" s="0" t="s">
        <x:v>24026</x:v>
      </x:c>
      <x:c r="C6043" s="0" t="s">
        <x:v>24027</x:v>
      </x:c>
      <x:c r="E6043" s="0" t="s">
        <x:v>24028</x:v>
      </x:c>
      <x:c r="F6043" s="0" t="s">
        <x:v>45</x:v>
      </x:c>
      <x:c r="G6043" s="0" t="s">
        <x:v>19</x:v>
      </x:c>
      <x:c r="H6043" s="0" t="s">
        <x:v>20</x:v>
      </x:c>
      <x:c r="I6043" s="0" t="s">
        <x:v>21</x:v>
      </x:c>
      <x:c r="K6043" s="0">
        <x:f>hyperlink("https://icd.who.int/dev11/l-ichi/en#/http%3A%2F%2Fid.who.int%2Ficd%2Fentity%2F781926991","browser")</x:f>
      </x:c>
      <x:c r="L6043" s="0">
        <x:f>hyperlink("https://icat2.azurewebsites.net/icat/?ontology=ICD&amp;tab=ClassesTab&amp;id=http%3A%2F%2Fwho.int%2Ficd%2334913_512ebf36_bf6b_4d70_85da_cf2637062af4","iCat")</x:f>
      </x:c>
      <x:c r="M6043" s="0" t="s">
        <x:v>21</x:v>
      </x:c>
      <x:c r="N6043" s="0" t="s">
        <x:v>46</x:v>
      </x:c>
    </x:row>
    <x:row r="6044" spans="1:16">
      <x:c r="A6044" s="0" t="s">
        <x:v>24029</x:v>
      </x:c>
      <x:c r="B6044" s="0" t="s">
        <x:v>24030</x:v>
      </x:c>
      <x:c r="C6044" s="0" t="s">
        <x:v>24031</x:v>
      </x:c>
      <x:c r="E6044" s="0" t="s">
        <x:v>24032</x:v>
      </x:c>
      <x:c r="F6044" s="0" t="s">
        <x:v>45</x:v>
      </x:c>
      <x:c r="G6044" s="0" t="s">
        <x:v>19</x:v>
      </x:c>
      <x:c r="H6044" s="0" t="s">
        <x:v>20</x:v>
      </x:c>
      <x:c r="I6044" s="0" t="s">
        <x:v>21</x:v>
      </x:c>
      <x:c r="K6044" s="0">
        <x:f>hyperlink("https://icd.who.int/dev11/l-ichi/en#/http%3A%2F%2Fid.who.int%2Ficd%2Fentity%2F732917169","browser")</x:f>
      </x:c>
      <x:c r="L6044" s="0">
        <x:f>hyperlink("https://icat2.azurewebsites.net/icat/?ontology=ICD&amp;tab=ClassesTab&amp;id=http%3A%2F%2Fwho.int%2Ficd%2334920_512ebf36_bf6b_4d70_85da_cf2637062af4","iCat")</x:f>
      </x:c>
      <x:c r="M6044" s="0" t="s">
        <x:v>21</x:v>
      </x:c>
      <x:c r="N6044" s="0" t="s">
        <x:v>46</x:v>
      </x:c>
    </x:row>
    <x:row r="6045" spans="1:16">
      <x:c r="A6045" s="0" t="s">
        <x:v>24033</x:v>
      </x:c>
      <x:c r="B6045" s="0" t="s">
        <x:v>24034</x:v>
      </x:c>
      <x:c r="C6045" s="0" t="s">
        <x:v>24035</x:v>
      </x:c>
      <x:c r="E6045" s="0" t="s">
        <x:v>24036</x:v>
      </x:c>
      <x:c r="F6045" s="0" t="s">
        <x:v>45</x:v>
      </x:c>
      <x:c r="G6045" s="0" t="s">
        <x:v>19</x:v>
      </x:c>
      <x:c r="H6045" s="0" t="s">
        <x:v>20</x:v>
      </x:c>
      <x:c r="I6045" s="0" t="s">
        <x:v>21</x:v>
      </x:c>
      <x:c r="K6045" s="0">
        <x:f>hyperlink("https://icd.who.int/dev11/l-ichi/en#/http%3A%2F%2Fid.who.int%2Ficd%2Fentity%2F1529726524","browser")</x:f>
      </x:c>
      <x:c r="L6045" s="0">
        <x:f>hyperlink("https://icat2.azurewebsites.net/icat/?ontology=ICD&amp;tab=ClassesTab&amp;id=http%3A%2F%2Fwho.int%2Ficd%2334927_512ebf36_bf6b_4d70_85da_cf2637062af4","iCat")</x:f>
      </x:c>
      <x:c r="M6045" s="0" t="s">
        <x:v>21</x:v>
      </x:c>
      <x:c r="N6045" s="0" t="s">
        <x:v>46</x:v>
      </x:c>
    </x:row>
    <x:row r="6046" spans="1:16">
      <x:c r="A6046" s="0" t="s">
        <x:v>24037</x:v>
      </x:c>
      <x:c r="B6046" s="0" t="s">
        <x:v>24038</x:v>
      </x:c>
      <x:c r="C6046" s="0" t="s">
        <x:v>24039</x:v>
      </x:c>
      <x:c r="E6046" s="0" t="s">
        <x:v>24040</x:v>
      </x:c>
      <x:c r="F6046" s="0" t="s">
        <x:v>45</x:v>
      </x:c>
      <x:c r="G6046" s="0" t="s">
        <x:v>19</x:v>
      </x:c>
      <x:c r="H6046" s="0" t="s">
        <x:v>20</x:v>
      </x:c>
      <x:c r="I6046" s="0" t="s">
        <x:v>21</x:v>
      </x:c>
      <x:c r="K6046" s="0">
        <x:f>hyperlink("https://icd.who.int/dev11/l-ichi/en#/http%3A%2F%2Fid.who.int%2Ficd%2Fentity%2F1419005614","browser")</x:f>
      </x:c>
      <x:c r="L6046" s="0">
        <x:f>hyperlink("https://icat2.azurewebsites.net/icat/?ontology=ICD&amp;tab=ClassesTab&amp;id=http%3A%2F%2Fwho.int%2Ficd%2334935_512ebf36_bf6b_4d70_85da_cf2637062af4","iCat")</x:f>
      </x:c>
      <x:c r="M6046" s="0" t="s">
        <x:v>21</x:v>
      </x:c>
      <x:c r="N6046" s="0" t="s">
        <x:v>46</x:v>
      </x:c>
    </x:row>
    <x:row r="6047" spans="1:16">
      <x:c r="A6047" s="0" t="s">
        <x:v>24041</x:v>
      </x:c>
      <x:c r="B6047" s="0" t="s">
        <x:v>24042</x:v>
      </x:c>
      <x:c r="C6047" s="0" t="s">
        <x:v>24043</x:v>
      </x:c>
      <x:c r="E6047" s="0" t="s">
        <x:v>24044</x:v>
      </x:c>
      <x:c r="F6047" s="0" t="s">
        <x:v>45</x:v>
      </x:c>
      <x:c r="G6047" s="0" t="s">
        <x:v>19</x:v>
      </x:c>
      <x:c r="H6047" s="0" t="s">
        <x:v>20</x:v>
      </x:c>
      <x:c r="I6047" s="0" t="s">
        <x:v>21</x:v>
      </x:c>
      <x:c r="K6047" s="0">
        <x:f>hyperlink("https://icd.who.int/dev11/l-ichi/en#/http%3A%2F%2Fid.who.int%2Ficd%2Fentity%2F1682070966","browser")</x:f>
      </x:c>
      <x:c r="L6047" s="0">
        <x:f>hyperlink("https://icat2.azurewebsites.net/icat/?ontology=ICD&amp;tab=ClassesTab&amp;id=http%3A%2F%2Fwho.int%2Ficd%2334945_512ebf36_bf6b_4d70_85da_cf2637062af4","iCat")</x:f>
      </x:c>
      <x:c r="M6047" s="0" t="s">
        <x:v>21</x:v>
      </x:c>
      <x:c r="N6047" s="0" t="s">
        <x:v>46</x:v>
      </x:c>
    </x:row>
    <x:row r="6048" spans="1:16">
      <x:c r="A6048" s="0" t="s">
        <x:v>24045</x:v>
      </x:c>
      <x:c r="B6048" s="0" t="s">
        <x:v>24046</x:v>
      </x:c>
      <x:c r="C6048" s="0" t="s">
        <x:v>24047</x:v>
      </x:c>
      <x:c r="E6048" s="0" t="s">
        <x:v>24048</x:v>
      </x:c>
      <x:c r="F6048" s="0" t="s">
        <x:v>45</x:v>
      </x:c>
      <x:c r="G6048" s="0" t="s">
        <x:v>19</x:v>
      </x:c>
      <x:c r="H6048" s="0" t="s">
        <x:v>20</x:v>
      </x:c>
      <x:c r="I6048" s="0" t="s">
        <x:v>21</x:v>
      </x:c>
      <x:c r="K6048" s="0">
        <x:f>hyperlink("https://icd.who.int/dev11/l-ichi/en#/http%3A%2F%2Fid.who.int%2Ficd%2Fentity%2F1593577810","browser")</x:f>
      </x:c>
      <x:c r="L6048" s="0">
        <x:f>hyperlink("https://icat2.azurewebsites.net/icat/?ontology=ICD&amp;tab=ClassesTab&amp;id=http%3A%2F%2Fwho.int%2Ficd%2334953_512ebf36_bf6b_4d70_85da_cf2637062af4","iCat")</x:f>
      </x:c>
      <x:c r="M6048" s="0" t="s">
        <x:v>21</x:v>
      </x:c>
      <x:c r="N6048" s="0" t="s">
        <x:v>46</x:v>
      </x:c>
    </x:row>
    <x:row r="6049" spans="1:16">
      <x:c r="A6049" s="0" t="s">
        <x:v>24049</x:v>
      </x:c>
      <x:c r="B6049" s="0" t="s">
        <x:v>24050</x:v>
      </x:c>
      <x:c r="C6049" s="0" t="s">
        <x:v>24051</x:v>
      </x:c>
      <x:c r="E6049" s="0" t="s">
        <x:v>24052</x:v>
      </x:c>
      <x:c r="F6049" s="0" t="s">
        <x:v>45</x:v>
      </x:c>
      <x:c r="G6049" s="0" t="s">
        <x:v>19</x:v>
      </x:c>
      <x:c r="H6049" s="0" t="s">
        <x:v>20</x:v>
      </x:c>
      <x:c r="I6049" s="0" t="s">
        <x:v>21</x:v>
      </x:c>
      <x:c r="K6049" s="0">
        <x:f>hyperlink("https://icd.who.int/dev11/l-ichi/en#/http%3A%2F%2Fid.who.int%2Ficd%2Fentity%2F1051992937","browser")</x:f>
      </x:c>
      <x:c r="L6049" s="0">
        <x:f>hyperlink("https://icat2.azurewebsites.net/icat/?ontology=ICD&amp;tab=ClassesTab&amp;id=http%3A%2F%2Fwho.int%2Ficd%2334962_512ebf36_bf6b_4d70_85da_cf2637062af4","iCat")</x:f>
      </x:c>
      <x:c r="M6049" s="0" t="s">
        <x:v>21</x:v>
      </x:c>
      <x:c r="N6049" s="0" t="s">
        <x:v>46</x:v>
      </x:c>
    </x:row>
    <x:row r="6050" spans="1:16">
      <x:c r="A6050" s="0" t="s">
        <x:v>24053</x:v>
      </x:c>
      <x:c r="B6050" s="0" t="s">
        <x:v>24054</x:v>
      </x:c>
      <x:c r="C6050" s="0" t="s">
        <x:v>24055</x:v>
      </x:c>
      <x:c r="E6050" s="0" t="s">
        <x:v>24056</x:v>
      </x:c>
      <x:c r="F6050" s="0" t="s">
        <x:v>45</x:v>
      </x:c>
      <x:c r="G6050" s="0" t="s">
        <x:v>19</x:v>
      </x:c>
      <x:c r="H6050" s="0" t="s">
        <x:v>20</x:v>
      </x:c>
      <x:c r="I6050" s="0" t="s">
        <x:v>21</x:v>
      </x:c>
      <x:c r="K6050" s="0">
        <x:f>hyperlink("https://icd.who.int/dev11/l-ichi/en#/http%3A%2F%2Fid.who.int%2Ficd%2Fentity%2F357126137","browser")</x:f>
      </x:c>
      <x:c r="L6050" s="0">
        <x:f>hyperlink("https://icat2.azurewebsites.net/icat/?ontology=ICD&amp;tab=ClassesTab&amp;id=http%3A%2F%2Fwho.int%2Ficd%2334968_512ebf36_bf6b_4d70_85da_cf2637062af4","iCat")</x:f>
      </x:c>
      <x:c r="M6050" s="0" t="s">
        <x:v>21</x:v>
      </x:c>
      <x:c r="N6050" s="0" t="s">
        <x:v>46</x:v>
      </x:c>
    </x:row>
    <x:row r="6051" spans="1:16">
      <x:c r="A6051" s="0" t="s">
        <x:v>24057</x:v>
      </x:c>
      <x:c r="B6051" s="0" t="s">
        <x:v>24058</x:v>
      </x:c>
      <x:c r="C6051" s="0" t="s">
        <x:v>24059</x:v>
      </x:c>
      <x:c r="E6051" s="0" t="s">
        <x:v>24060</x:v>
      </x:c>
      <x:c r="F6051" s="0" t="s">
        <x:v>45</x:v>
      </x:c>
      <x:c r="G6051" s="0" t="s">
        <x:v>19</x:v>
      </x:c>
      <x:c r="H6051" s="0" t="s">
        <x:v>20</x:v>
      </x:c>
      <x:c r="I6051" s="0" t="s">
        <x:v>21</x:v>
      </x:c>
      <x:c r="K6051" s="0">
        <x:f>hyperlink("https://icd.who.int/dev11/l-ichi/en#/http%3A%2F%2Fid.who.int%2Ficd%2Fentity%2F67792783","browser")</x:f>
      </x:c>
      <x:c r="L6051" s="0">
        <x:f>hyperlink("https://icat2.azurewebsites.net/icat/?ontology=ICD&amp;tab=ClassesTab&amp;id=http%3A%2F%2Fwho.int%2Ficd%2334974_512ebf36_bf6b_4d70_85da_cf2637062af4","iCat")</x:f>
      </x:c>
      <x:c r="M6051" s="0" t="s">
        <x:v>21</x:v>
      </x:c>
      <x:c r="N6051" s="0" t="s">
        <x:v>46</x:v>
      </x:c>
    </x:row>
    <x:row r="6052" spans="1:16">
      <x:c r="A6052" s="0" t="s">
        <x:v>24061</x:v>
      </x:c>
      <x:c r="B6052" s="0" t="s">
        <x:v>24062</x:v>
      </x:c>
      <x:c r="C6052" s="0" t="s">
        <x:v>24063</x:v>
      </x:c>
      <x:c r="E6052" s="0" t="s">
        <x:v>24064</x:v>
      </x:c>
      <x:c r="F6052" s="0" t="s">
        <x:v>45</x:v>
      </x:c>
      <x:c r="G6052" s="0" t="s">
        <x:v>19</x:v>
      </x:c>
      <x:c r="H6052" s="0" t="s">
        <x:v>20</x:v>
      </x:c>
      <x:c r="I6052" s="0" t="s">
        <x:v>21</x:v>
      </x:c>
      <x:c r="K6052" s="0">
        <x:f>hyperlink("https://icd.who.int/dev11/l-ichi/en#/http%3A%2F%2Fid.who.int%2Ficd%2Fentity%2F518709541","browser")</x:f>
      </x:c>
      <x:c r="L6052" s="0">
        <x:f>hyperlink("https://icat2.azurewebsites.net/icat/?ontology=ICD&amp;tab=ClassesTab&amp;id=http%3A%2F%2Fwho.int%2Ficd%2334980_512ebf36_bf6b_4d70_85da_cf2637062af4","iCat")</x:f>
      </x:c>
      <x:c r="M6052" s="0" t="s">
        <x:v>21</x:v>
      </x:c>
      <x:c r="N6052" s="0" t="s">
        <x:v>46</x:v>
      </x:c>
    </x:row>
    <x:row r="6053" spans="1:16">
      <x:c r="A6053" s="0" t="s">
        <x:v>24065</x:v>
      </x:c>
      <x:c r="B6053" s="0" t="s">
        <x:v>24066</x:v>
      </x:c>
      <x:c r="C6053" s="0" t="s">
        <x:v>24067</x:v>
      </x:c>
      <x:c r="E6053" s="0" t="s">
        <x:v>24068</x:v>
      </x:c>
      <x:c r="F6053" s="0" t="s">
        <x:v>45</x:v>
      </x:c>
      <x:c r="G6053" s="0" t="s">
        <x:v>19</x:v>
      </x:c>
      <x:c r="H6053" s="0" t="s">
        <x:v>20</x:v>
      </x:c>
      <x:c r="I6053" s="0" t="s">
        <x:v>21</x:v>
      </x:c>
      <x:c r="K6053" s="0">
        <x:f>hyperlink("https://icd.who.int/dev11/l-ichi/en#/http%3A%2F%2Fid.who.int%2Ficd%2Fentity%2F1318140054","browser")</x:f>
      </x:c>
      <x:c r="L6053" s="0">
        <x:f>hyperlink("https://icat2.azurewebsites.net/icat/?ontology=ICD&amp;tab=ClassesTab&amp;id=http%3A%2F%2Fwho.int%2Ficd%2334986_512ebf36_bf6b_4d70_85da_cf2637062af4","iCat")</x:f>
      </x:c>
      <x:c r="M6053" s="0" t="s">
        <x:v>21</x:v>
      </x:c>
      <x:c r="N6053" s="0" t="s">
        <x:v>46</x:v>
      </x:c>
    </x:row>
    <x:row r="6054" spans="1:16">
      <x:c r="A6054" s="0" t="s">
        <x:v>24069</x:v>
      </x:c>
      <x:c r="B6054" s="0" t="s">
        <x:v>24070</x:v>
      </x:c>
      <x:c r="C6054" s="0" t="s">
        <x:v>24071</x:v>
      </x:c>
      <x:c r="E6054" s="0" t="s">
        <x:v>24072</x:v>
      </x:c>
      <x:c r="F6054" s="0" t="s">
        <x:v>45</x:v>
      </x:c>
      <x:c r="G6054" s="0" t="s">
        <x:v>19</x:v>
      </x:c>
      <x:c r="H6054" s="0" t="s">
        <x:v>20</x:v>
      </x:c>
      <x:c r="I6054" s="0" t="s">
        <x:v>21</x:v>
      </x:c>
      <x:c r="K6054" s="0">
        <x:f>hyperlink("https://icd.who.int/dev11/l-ichi/en#/http%3A%2F%2Fid.who.int%2Ficd%2Fentity%2F833231755","browser")</x:f>
      </x:c>
      <x:c r="L6054" s="0">
        <x:f>hyperlink("https://icat2.azurewebsites.net/icat/?ontology=ICD&amp;tab=ClassesTab&amp;id=http%3A%2F%2Fwho.int%2Ficd%2334993_512ebf36_bf6b_4d70_85da_cf2637062af4","iCat")</x:f>
      </x:c>
      <x:c r="M6054" s="0" t="s">
        <x:v>21</x:v>
      </x:c>
      <x:c r="N6054" s="0" t="s">
        <x:v>46</x:v>
      </x:c>
    </x:row>
    <x:row r="6055" spans="1:16">
      <x:c r="A6055" s="0" t="s">
        <x:v>24073</x:v>
      </x:c>
      <x:c r="B6055" s="0" t="s">
        <x:v>24074</x:v>
      </x:c>
      <x:c r="C6055" s="0" t="s">
        <x:v>24075</x:v>
      </x:c>
      <x:c r="E6055" s="0" t="s">
        <x:v>24076</x:v>
      </x:c>
      <x:c r="F6055" s="0" t="s">
        <x:v>45</x:v>
      </x:c>
      <x:c r="G6055" s="0" t="s">
        <x:v>19</x:v>
      </x:c>
      <x:c r="H6055" s="0" t="s">
        <x:v>20</x:v>
      </x:c>
      <x:c r="I6055" s="0" t="s">
        <x:v>21</x:v>
      </x:c>
      <x:c r="K6055" s="0">
        <x:f>hyperlink("https://icd.who.int/dev11/l-ichi/en#/http%3A%2F%2Fid.who.int%2Ficd%2Fentity%2F1110655584","browser")</x:f>
      </x:c>
      <x:c r="L6055" s="0">
        <x:f>hyperlink("https://icat2.azurewebsites.net/icat/?ontology=ICD&amp;tab=ClassesTab&amp;id=http%3A%2F%2Fwho.int%2Ficd%2335002_512ebf36_bf6b_4d70_85da_cf2637062af4","iCat")</x:f>
      </x:c>
      <x:c r="M6055" s="0" t="s">
        <x:v>21</x:v>
      </x:c>
      <x:c r="N6055" s="0" t="s">
        <x:v>46</x:v>
      </x:c>
    </x:row>
    <x:row r="6056" spans="1:16">
      <x:c r="A6056" s="0" t="s">
        <x:v>24077</x:v>
      </x:c>
      <x:c r="B6056" s="0" t="s">
        <x:v>24078</x:v>
      </x:c>
      <x:c r="C6056" s="0" t="s">
        <x:v>24079</x:v>
      </x:c>
      <x:c r="E6056" s="0" t="s">
        <x:v>24080</x:v>
      </x:c>
      <x:c r="F6056" s="0" t="s">
        <x:v>45</x:v>
      </x:c>
      <x:c r="G6056" s="0" t="s">
        <x:v>19</x:v>
      </x:c>
      <x:c r="H6056" s="0" t="s">
        <x:v>20</x:v>
      </x:c>
      <x:c r="I6056" s="0" t="s">
        <x:v>21</x:v>
      </x:c>
      <x:c r="K6056" s="0">
        <x:f>hyperlink("https://icd.who.int/dev11/l-ichi/en#/http%3A%2F%2Fid.who.int%2Ficd%2Fentity%2F1484029114","browser")</x:f>
      </x:c>
      <x:c r="L6056" s="0">
        <x:f>hyperlink("https://icat2.azurewebsites.net/icat/?ontology=ICD&amp;tab=ClassesTab&amp;id=http%3A%2F%2Fwho.int%2Ficd%2335015_512ebf36_bf6b_4d70_85da_cf2637062af4","iCat")</x:f>
      </x:c>
      <x:c r="M6056" s="0" t="s">
        <x:v>21</x:v>
      </x:c>
      <x:c r="N6056" s="0" t="s">
        <x:v>46</x:v>
      </x:c>
    </x:row>
    <x:row r="6057" spans="1:16">
      <x:c r="A6057" s="0" t="s">
        <x:v>24081</x:v>
      </x:c>
      <x:c r="B6057" s="0" t="s">
        <x:v>24082</x:v>
      </x:c>
      <x:c r="C6057" s="0" t="s">
        <x:v>24083</x:v>
      </x:c>
      <x:c r="E6057" s="0" t="s">
        <x:v>24084</x:v>
      </x:c>
      <x:c r="F6057" s="0" t="s">
        <x:v>45</x:v>
      </x:c>
      <x:c r="G6057" s="0" t="s">
        <x:v>19</x:v>
      </x:c>
      <x:c r="H6057" s="0" t="s">
        <x:v>20</x:v>
      </x:c>
      <x:c r="I6057" s="0" t="s">
        <x:v>21</x:v>
      </x:c>
      <x:c r="K6057" s="0">
        <x:f>hyperlink("https://icd.who.int/dev11/l-ichi/en#/http%3A%2F%2Fid.who.int%2Ficd%2Fentity%2F1136327586","browser")</x:f>
      </x:c>
      <x:c r="L6057" s="0">
        <x:f>hyperlink("https://icat2.azurewebsites.net/icat/?ontology=ICD&amp;tab=ClassesTab&amp;id=http%3A%2F%2Fwho.int%2Ficd%2335028_512ebf36_bf6b_4d70_85da_cf2637062af4","iCat")</x:f>
      </x:c>
      <x:c r="M6057" s="0" t="s">
        <x:v>21</x:v>
      </x:c>
      <x:c r="N6057" s="0" t="s">
        <x:v>46</x:v>
      </x:c>
    </x:row>
    <x:row r="6058" spans="1:16">
      <x:c r="A6058" s="0" t="s">
        <x:v>24085</x:v>
      </x:c>
      <x:c r="B6058" s="0" t="s">
        <x:v>24086</x:v>
      </x:c>
      <x:c r="C6058" s="0" t="s">
        <x:v>24087</x:v>
      </x:c>
      <x:c r="E6058" s="0" t="s">
        <x:v>24088</x:v>
      </x:c>
      <x:c r="F6058" s="0" t="s">
        <x:v>45</x:v>
      </x:c>
      <x:c r="G6058" s="0" t="s">
        <x:v>19</x:v>
      </x:c>
      <x:c r="H6058" s="0" t="s">
        <x:v>20</x:v>
      </x:c>
      <x:c r="I6058" s="0" t="s">
        <x:v>21</x:v>
      </x:c>
      <x:c r="K6058" s="0">
        <x:f>hyperlink("https://icd.who.int/dev11/l-ichi/en#/http%3A%2F%2Fid.who.int%2Ficd%2Fentity%2F844370301","browser")</x:f>
      </x:c>
      <x:c r="L6058" s="0">
        <x:f>hyperlink("https://icat2.azurewebsites.net/icat/?ontology=ICD&amp;tab=ClassesTab&amp;id=http%3A%2F%2Fwho.int%2Ficd%2335042_512ebf36_bf6b_4d70_85da_cf2637062af4","iCat")</x:f>
      </x:c>
      <x:c r="M6058" s="0" t="s">
        <x:v>21</x:v>
      </x:c>
      <x:c r="N6058" s="0" t="s">
        <x:v>46</x:v>
      </x:c>
    </x:row>
    <x:row r="6059" spans="1:16">
      <x:c r="A6059" s="0" t="s">
        <x:v>24089</x:v>
      </x:c>
      <x:c r="B6059" s="0" t="s">
        <x:v>24090</x:v>
      </x:c>
      <x:c r="C6059" s="0" t="s">
        <x:v>24091</x:v>
      </x:c>
      <x:c r="E6059" s="0" t="s">
        <x:v>24092</x:v>
      </x:c>
      <x:c r="F6059" s="0" t="s">
        <x:v>45</x:v>
      </x:c>
      <x:c r="G6059" s="0" t="s">
        <x:v>19</x:v>
      </x:c>
      <x:c r="H6059" s="0" t="s">
        <x:v>20</x:v>
      </x:c>
      <x:c r="I6059" s="0" t="s">
        <x:v>21</x:v>
      </x:c>
      <x:c r="K6059" s="0">
        <x:f>hyperlink("https://icd.who.int/dev11/l-ichi/en#/http%3A%2F%2Fid.who.int%2Ficd%2Fentity%2F1038981615","browser")</x:f>
      </x:c>
      <x:c r="L6059" s="0">
        <x:f>hyperlink("https://icat2.azurewebsites.net/icat/?ontology=ICD&amp;tab=ClassesTab&amp;id=http%3A%2F%2Fwho.int%2Ficd%2335050_512ebf36_bf6b_4d70_85da_cf2637062af4","iCat")</x:f>
      </x:c>
      <x:c r="M6059" s="0" t="s">
        <x:v>21</x:v>
      </x:c>
      <x:c r="N6059" s="0" t="s">
        <x:v>46</x:v>
      </x:c>
    </x:row>
    <x:row r="6060" spans="1:16">
      <x:c r="A6060" s="0" t="s">
        <x:v>24093</x:v>
      </x:c>
      <x:c r="B6060" s="0" t="s">
        <x:v>24094</x:v>
      </x:c>
      <x:c r="C6060" s="0" t="s">
        <x:v>24095</x:v>
      </x:c>
      <x:c r="E6060" s="0" t="s">
        <x:v>24096</x:v>
      </x:c>
      <x:c r="F6060" s="0" t="s">
        <x:v>45</x:v>
      </x:c>
      <x:c r="G6060" s="0" t="s">
        <x:v>19</x:v>
      </x:c>
      <x:c r="H6060" s="0" t="s">
        <x:v>20</x:v>
      </x:c>
      <x:c r="I6060" s="0" t="s">
        <x:v>21</x:v>
      </x:c>
      <x:c r="K6060" s="0">
        <x:f>hyperlink("https://icd.who.int/dev11/l-ichi/en#/http%3A%2F%2Fid.who.int%2Ficd%2Fentity%2F1936517306","browser")</x:f>
      </x:c>
      <x:c r="L6060" s="0">
        <x:f>hyperlink("https://icat2.azurewebsites.net/icat/?ontology=ICD&amp;tab=ClassesTab&amp;id=http%3A%2F%2Fwho.int%2Ficd%2335058_512ebf36_bf6b_4d70_85da_cf2637062af4","iCat")</x:f>
      </x:c>
      <x:c r="M6060" s="0" t="s">
        <x:v>21</x:v>
      </x:c>
      <x:c r="N6060" s="0" t="s">
        <x:v>46</x:v>
      </x:c>
    </x:row>
    <x:row r="6061" spans="1:16">
      <x:c r="A6061" s="0" t="s">
        <x:v>24097</x:v>
      </x:c>
      <x:c r="B6061" s="0" t="s">
        <x:v>24098</x:v>
      </x:c>
      <x:c r="C6061" s="0" t="s">
        <x:v>24099</x:v>
      </x:c>
      <x:c r="E6061" s="0" t="s">
        <x:v>24100</x:v>
      </x:c>
      <x:c r="F6061" s="0" t="s">
        <x:v>45</x:v>
      </x:c>
      <x:c r="G6061" s="0" t="s">
        <x:v>19</x:v>
      </x:c>
      <x:c r="H6061" s="0" t="s">
        <x:v>20</x:v>
      </x:c>
      <x:c r="I6061" s="0" t="s">
        <x:v>21</x:v>
      </x:c>
      <x:c r="K6061" s="0">
        <x:f>hyperlink("https://icd.who.int/dev11/l-ichi/en#/http%3A%2F%2Fid.who.int%2Ficd%2Fentity%2F232682085","browser")</x:f>
      </x:c>
      <x:c r="L6061" s="0">
        <x:f>hyperlink("https://icat2.azurewebsites.net/icat/?ontology=ICD&amp;tab=ClassesTab&amp;id=http%3A%2F%2Fwho.int%2Ficd%2335067_512ebf36_bf6b_4d70_85da_cf2637062af4","iCat")</x:f>
      </x:c>
      <x:c r="M6061" s="0" t="s">
        <x:v>21</x:v>
      </x:c>
      <x:c r="N6061" s="0" t="s">
        <x:v>46</x:v>
      </x:c>
    </x:row>
    <x:row r="6062" spans="1:16">
      <x:c r="A6062" s="0" t="s">
        <x:v>24101</x:v>
      </x:c>
      <x:c r="B6062" s="0" t="s">
        <x:v>24102</x:v>
      </x:c>
      <x:c r="C6062" s="0" t="s">
        <x:v>24103</x:v>
      </x:c>
      <x:c r="E6062" s="0" t="s">
        <x:v>24104</x:v>
      </x:c>
      <x:c r="F6062" s="0" t="s">
        <x:v>45</x:v>
      </x:c>
      <x:c r="G6062" s="0" t="s">
        <x:v>19</x:v>
      </x:c>
      <x:c r="H6062" s="0" t="s">
        <x:v>20</x:v>
      </x:c>
      <x:c r="I6062" s="0" t="s">
        <x:v>21</x:v>
      </x:c>
      <x:c r="K6062" s="0">
        <x:f>hyperlink("https://icd.who.int/dev11/l-ichi/en#/http%3A%2F%2Fid.who.int%2Ficd%2Fentity%2F40368887","browser")</x:f>
      </x:c>
      <x:c r="L6062" s="0">
        <x:f>hyperlink("https://icat2.azurewebsites.net/icat/?ontology=ICD&amp;tab=ClassesTab&amp;id=http%3A%2F%2Fwho.int%2Ficd%2335075_512ebf36_bf6b_4d70_85da_cf2637062af4","iCat")</x:f>
      </x:c>
      <x:c r="M6062" s="0" t="s">
        <x:v>21</x:v>
      </x:c>
      <x:c r="N6062" s="0" t="s">
        <x:v>46</x:v>
      </x:c>
    </x:row>
    <x:row r="6063" spans="1:16">
      <x:c r="A6063" s="0" t="s">
        <x:v>24105</x:v>
      </x:c>
      <x:c r="B6063" s="0" t="s">
        <x:v>24106</x:v>
      </x:c>
      <x:c r="C6063" s="0" t="s">
        <x:v>24107</x:v>
      </x:c>
      <x:c r="E6063" s="0" t="s">
        <x:v>24108</x:v>
      </x:c>
      <x:c r="F6063" s="0" t="s">
        <x:v>45</x:v>
      </x:c>
      <x:c r="G6063" s="0" t="s">
        <x:v>19</x:v>
      </x:c>
      <x:c r="H6063" s="0" t="s">
        <x:v>20</x:v>
      </x:c>
      <x:c r="I6063" s="0" t="s">
        <x:v>21</x:v>
      </x:c>
      <x:c r="K6063" s="0">
        <x:f>hyperlink("https://icd.who.int/dev11/l-ichi/en#/http%3A%2F%2Fid.who.int%2Ficd%2Fentity%2F2113628568","browser")</x:f>
      </x:c>
      <x:c r="L6063" s="0">
        <x:f>hyperlink("https://icat2.azurewebsites.net/icat/?ontology=ICD&amp;tab=ClassesTab&amp;id=http%3A%2F%2Fwho.int%2Ficd%2335083_512ebf36_bf6b_4d70_85da_cf2637062af4","iCat")</x:f>
      </x:c>
      <x:c r="M6063" s="0" t="s">
        <x:v>21</x:v>
      </x:c>
      <x:c r="N6063" s="0" t="s">
        <x:v>46</x:v>
      </x:c>
    </x:row>
    <x:row r="6064" spans="1:16">
      <x:c r="A6064" s="0" t="s">
        <x:v>24109</x:v>
      </x:c>
      <x:c r="B6064" s="0" t="s">
        <x:v>24110</x:v>
      </x:c>
      <x:c r="C6064" s="0" t="s">
        <x:v>24111</x:v>
      </x:c>
      <x:c r="E6064" s="0" t="s">
        <x:v>24112</x:v>
      </x:c>
      <x:c r="F6064" s="0" t="s">
        <x:v>45</x:v>
      </x:c>
      <x:c r="G6064" s="0" t="s">
        <x:v>19</x:v>
      </x:c>
      <x:c r="H6064" s="0" t="s">
        <x:v>20</x:v>
      </x:c>
      <x:c r="I6064" s="0" t="s">
        <x:v>21</x:v>
      </x:c>
      <x:c r="K6064" s="0">
        <x:f>hyperlink("https://icd.who.int/dev11/l-ichi/en#/http%3A%2F%2Fid.who.int%2Ficd%2Fentity%2F1443235080","browser")</x:f>
      </x:c>
      <x:c r="L6064" s="0">
        <x:f>hyperlink("https://icat2.azurewebsites.net/icat/?ontology=ICD&amp;tab=ClassesTab&amp;id=http%3A%2F%2Fwho.int%2Ficd%2335089_512ebf36_bf6b_4d70_85da_cf2637062af4","iCat")</x:f>
      </x:c>
      <x:c r="M6064" s="0" t="s">
        <x:v>21</x:v>
      </x:c>
      <x:c r="N6064" s="0" t="s">
        <x:v>46</x:v>
      </x:c>
    </x:row>
    <x:row r="6065" spans="1:16">
      <x:c r="A6065" s="0" t="s">
        <x:v>24113</x:v>
      </x:c>
      <x:c r="B6065" s="0" t="s">
        <x:v>24114</x:v>
      </x:c>
      <x:c r="C6065" s="0" t="s">
        <x:v>24115</x:v>
      </x:c>
      <x:c r="E6065" s="0" t="s">
        <x:v>24116</x:v>
      </x:c>
      <x:c r="F6065" s="0" t="s">
        <x:v>45</x:v>
      </x:c>
      <x:c r="G6065" s="0" t="s">
        <x:v>19</x:v>
      </x:c>
      <x:c r="H6065" s="0" t="s">
        <x:v>20</x:v>
      </x:c>
      <x:c r="I6065" s="0" t="s">
        <x:v>21</x:v>
      </x:c>
      <x:c r="K6065" s="0">
        <x:f>hyperlink("https://icd.who.int/dev11/l-ichi/en#/http%3A%2F%2Fid.who.int%2Ficd%2Fentity%2F46156423","browser")</x:f>
      </x:c>
      <x:c r="L6065" s="0">
        <x:f>hyperlink("https://icat2.azurewebsites.net/icat/?ontology=ICD&amp;tab=ClassesTab&amp;id=http%3A%2F%2Fwho.int%2Ficd%2335096_512ebf36_bf6b_4d70_85da_cf2637062af4","iCat")</x:f>
      </x:c>
      <x:c r="M6065" s="0" t="s">
        <x:v>21</x:v>
      </x:c>
      <x:c r="N6065" s="0" t="s">
        <x:v>46</x:v>
      </x:c>
    </x:row>
    <x:row r="6066" spans="1:16">
      <x:c r="A6066" s="0" t="s">
        <x:v>24117</x:v>
      </x:c>
      <x:c r="B6066" s="0" t="s">
        <x:v>24118</x:v>
      </x:c>
      <x:c r="C6066" s="0" t="s">
        <x:v>24119</x:v>
      </x:c>
      <x:c r="E6066" s="0" t="s">
        <x:v>24120</x:v>
      </x:c>
      <x:c r="F6066" s="0" t="s">
        <x:v>45</x:v>
      </x:c>
      <x:c r="G6066" s="0" t="s">
        <x:v>19</x:v>
      </x:c>
      <x:c r="H6066" s="0" t="s">
        <x:v>20</x:v>
      </x:c>
      <x:c r="I6066" s="0" t="s">
        <x:v>21</x:v>
      </x:c>
      <x:c r="K6066" s="0">
        <x:f>hyperlink("https://icd.who.int/dev11/l-ichi/en#/http%3A%2F%2Fid.who.int%2Ficd%2Fentity%2F934053117","browser")</x:f>
      </x:c>
      <x:c r="L6066" s="0">
        <x:f>hyperlink("https://icat2.azurewebsites.net/icat/?ontology=ICD&amp;tab=ClassesTab&amp;id=http%3A%2F%2Fwho.int%2Ficd%2335102_512ebf36_bf6b_4d70_85da_cf2637062af4","iCat")</x:f>
      </x:c>
      <x:c r="M6066" s="0" t="s">
        <x:v>21</x:v>
      </x:c>
      <x:c r="N6066" s="0" t="s">
        <x:v>46</x:v>
      </x:c>
    </x:row>
    <x:row r="6067" spans="1:16">
      <x:c r="A6067" s="0" t="s">
        <x:v>24121</x:v>
      </x:c>
      <x:c r="B6067" s="0" t="s">
        <x:v>24122</x:v>
      </x:c>
      <x:c r="C6067" s="0" t="s">
        <x:v>24123</x:v>
      </x:c>
      <x:c r="E6067" s="0" t="s">
        <x:v>24124</x:v>
      </x:c>
      <x:c r="F6067" s="0" t="s">
        <x:v>45</x:v>
      </x:c>
      <x:c r="G6067" s="0" t="s">
        <x:v>19</x:v>
      </x:c>
      <x:c r="H6067" s="0" t="s">
        <x:v>20</x:v>
      </x:c>
      <x:c r="I6067" s="0" t="s">
        <x:v>21</x:v>
      </x:c>
      <x:c r="K6067" s="0">
        <x:f>hyperlink("https://icd.who.int/dev11/l-ichi/en#/http%3A%2F%2Fid.who.int%2Ficd%2Fentity%2F2090782152","browser")</x:f>
      </x:c>
      <x:c r="L6067" s="0">
        <x:f>hyperlink("https://icat2.azurewebsites.net/icat/?ontology=ICD&amp;tab=ClassesTab&amp;id=http%3A%2F%2Fwho.int%2Ficd%23299_b35e2f26_f485_4668_800f_7416297697bb","iCat")</x:f>
      </x:c>
      <x:c r="M6067" s="0" t="s">
        <x:v>21</x:v>
      </x:c>
      <x:c r="N6067" s="0" t="s">
        <x:v>46</x:v>
      </x:c>
    </x:row>
    <x:row r="6068" spans="1:16">
      <x:c r="A6068" s="0" t="s">
        <x:v>24125</x:v>
      </x:c>
      <x:c r="B6068" s="0" t="s">
        <x:v>24126</x:v>
      </x:c>
      <x:c r="C6068" s="0" t="s">
        <x:v>24127</x:v>
      </x:c>
      <x:c r="E6068" s="0" t="s">
        <x:v>24128</x:v>
      </x:c>
      <x:c r="F6068" s="0" t="s">
        <x:v>45</x:v>
      </x:c>
      <x:c r="G6068" s="0" t="s">
        <x:v>19</x:v>
      </x:c>
      <x:c r="H6068" s="0" t="s">
        <x:v>20</x:v>
      </x:c>
      <x:c r="I6068" s="0" t="s">
        <x:v>21</x:v>
      </x:c>
      <x:c r="K6068" s="0">
        <x:f>hyperlink("https://icd.who.int/dev11/l-ichi/en#/http%3A%2F%2Fid.who.int%2Ficd%2Fentity%2F1017682513","browser")</x:f>
      </x:c>
      <x:c r="L6068" s="0">
        <x:f>hyperlink("https://icat2.azurewebsites.net/icat/?ontology=ICD&amp;tab=ClassesTab&amp;id=http%3A%2F%2Fwho.int%2Ficd%2335109_512ebf36_bf6b_4d70_85da_cf2637062af4","iCat")</x:f>
      </x:c>
      <x:c r="M6068" s="0" t="s">
        <x:v>21</x:v>
      </x:c>
      <x:c r="N6068" s="0" t="s">
        <x:v>46</x:v>
      </x:c>
    </x:row>
    <x:row r="6069" spans="1:16">
      <x:c r="A6069" s="0" t="s">
        <x:v>24129</x:v>
      </x:c>
      <x:c r="B6069" s="0" t="s">
        <x:v>24130</x:v>
      </x:c>
      <x:c r="C6069" s="0" t="s">
        <x:v>24131</x:v>
      </x:c>
      <x:c r="E6069" s="0" t="s">
        <x:v>24132</x:v>
      </x:c>
      <x:c r="F6069" s="0" t="s">
        <x:v>45</x:v>
      </x:c>
      <x:c r="G6069" s="0" t="s">
        <x:v>19</x:v>
      </x:c>
      <x:c r="H6069" s="0" t="s">
        <x:v>20</x:v>
      </x:c>
      <x:c r="I6069" s="0" t="s">
        <x:v>21</x:v>
      </x:c>
      <x:c r="K6069" s="0">
        <x:f>hyperlink("https://icd.who.int/dev11/l-ichi/en#/http%3A%2F%2Fid.who.int%2Ficd%2Fentity%2F770423335","browser")</x:f>
      </x:c>
      <x:c r="L6069" s="0">
        <x:f>hyperlink("https://icat2.azurewebsites.net/icat/?ontology=ICD&amp;tab=ClassesTab&amp;id=http%3A%2F%2Fwho.int%2Ficd%2335115_512ebf36_bf6b_4d70_85da_cf2637062af4","iCat")</x:f>
      </x:c>
      <x:c r="M6069" s="0" t="s">
        <x:v>21</x:v>
      </x:c>
      <x:c r="N6069" s="0" t="s">
        <x:v>46</x:v>
      </x:c>
    </x:row>
    <x:row r="6070" spans="1:16">
      <x:c r="A6070" s="0" t="s">
        <x:v>24133</x:v>
      </x:c>
      <x:c r="B6070" s="0" t="s">
        <x:v>24134</x:v>
      </x:c>
      <x:c r="C6070" s="0" t="s">
        <x:v>24135</x:v>
      </x:c>
      <x:c r="E6070" s="0" t="s">
        <x:v>24136</x:v>
      </x:c>
      <x:c r="F6070" s="0" t="s">
        <x:v>45</x:v>
      </x:c>
      <x:c r="G6070" s="0" t="s">
        <x:v>19</x:v>
      </x:c>
      <x:c r="H6070" s="0" t="s">
        <x:v>20</x:v>
      </x:c>
      <x:c r="I6070" s="0" t="s">
        <x:v>21</x:v>
      </x:c>
      <x:c r="K6070" s="0">
        <x:f>hyperlink("https://icd.who.int/dev11/l-ichi/en#/http%3A%2F%2Fid.who.int%2Ficd%2Fentity%2F500715949","browser")</x:f>
      </x:c>
      <x:c r="L6070" s="0">
        <x:f>hyperlink("https://icat2.azurewebsites.net/icat/?ontology=ICD&amp;tab=ClassesTab&amp;id=http%3A%2F%2Fwho.int%2Ficd%2335122_512ebf36_bf6b_4d70_85da_cf2637062af4","iCat")</x:f>
      </x:c>
      <x:c r="M6070" s="0" t="s">
        <x:v>21</x:v>
      </x:c>
      <x:c r="N6070" s="0" t="s">
        <x:v>46</x:v>
      </x:c>
    </x:row>
    <x:row r="6071" spans="1:16">
      <x:c r="A6071" s="0" t="s">
        <x:v>24137</x:v>
      </x:c>
      <x:c r="B6071" s="0" t="s">
        <x:v>24138</x:v>
      </x:c>
      <x:c r="C6071" s="0" t="s">
        <x:v>24139</x:v>
      </x:c>
      <x:c r="E6071" s="0" t="s">
        <x:v>24140</x:v>
      </x:c>
      <x:c r="F6071" s="0" t="s">
        <x:v>45</x:v>
      </x:c>
      <x:c r="G6071" s="0" t="s">
        <x:v>19</x:v>
      </x:c>
      <x:c r="H6071" s="0" t="s">
        <x:v>20</x:v>
      </x:c>
      <x:c r="I6071" s="0" t="s">
        <x:v>21</x:v>
      </x:c>
      <x:c r="K6071" s="0">
        <x:f>hyperlink("https://icd.who.int/dev11/l-ichi/en#/http%3A%2F%2Fid.who.int%2Ficd%2Fentity%2F1998439676","browser")</x:f>
      </x:c>
      <x:c r="L6071" s="0">
        <x:f>hyperlink("https://icat2.azurewebsites.net/icat/?ontology=ICD&amp;tab=ClassesTab&amp;id=http%3A%2F%2Fwho.int%2Ficd%2335132_512ebf36_bf6b_4d70_85da_cf2637062af4","iCat")</x:f>
      </x:c>
      <x:c r="M6071" s="0" t="s">
        <x:v>21</x:v>
      </x:c>
      <x:c r="N6071" s="0" t="s">
        <x:v>46</x:v>
      </x:c>
    </x:row>
    <x:row r="6072" spans="1:16">
      <x:c r="A6072" s="0" t="s">
        <x:v>24141</x:v>
      </x:c>
      <x:c r="B6072" s="0" t="s">
        <x:v>24142</x:v>
      </x:c>
      <x:c r="C6072" s="0" t="s">
        <x:v>24143</x:v>
      </x:c>
      <x:c r="E6072" s="0" t="s">
        <x:v>24144</x:v>
      </x:c>
      <x:c r="F6072" s="0" t="s">
        <x:v>45</x:v>
      </x:c>
      <x:c r="G6072" s="0" t="s">
        <x:v>19</x:v>
      </x:c>
      <x:c r="H6072" s="0" t="s">
        <x:v>20</x:v>
      </x:c>
      <x:c r="I6072" s="0" t="s">
        <x:v>21</x:v>
      </x:c>
      <x:c r="K6072" s="0">
        <x:f>hyperlink("https://icd.who.int/dev11/l-ichi/en#/http%3A%2F%2Fid.who.int%2Ficd%2Fentity%2F582470181","browser")</x:f>
      </x:c>
      <x:c r="L6072" s="0">
        <x:f>hyperlink("https://icat2.azurewebsites.net/icat/?ontology=ICD&amp;tab=ClassesTab&amp;id=http%3A%2F%2Fwho.int%2Ficd%2335140_512ebf36_bf6b_4d70_85da_cf2637062af4","iCat")</x:f>
      </x:c>
      <x:c r="M6072" s="0" t="s">
        <x:v>21</x:v>
      </x:c>
      <x:c r="N6072" s="0" t="s">
        <x:v>46</x:v>
      </x:c>
    </x:row>
    <x:row r="6073" spans="1:16">
      <x:c r="A6073" s="0" t="s">
        <x:v>24145</x:v>
      </x:c>
      <x:c r="B6073" s="0" t="s">
        <x:v>24146</x:v>
      </x:c>
      <x:c r="C6073" s="0" t="s">
        <x:v>24147</x:v>
      </x:c>
      <x:c r="E6073" s="0" t="s">
        <x:v>24148</x:v>
      </x:c>
      <x:c r="F6073" s="0" t="s">
        <x:v>45</x:v>
      </x:c>
      <x:c r="G6073" s="0" t="s">
        <x:v>19</x:v>
      </x:c>
      <x:c r="H6073" s="0" t="s">
        <x:v>20</x:v>
      </x:c>
      <x:c r="I6073" s="0" t="s">
        <x:v>21</x:v>
      </x:c>
      <x:c r="K6073" s="0">
        <x:f>hyperlink("https://icd.who.int/dev11/l-ichi/en#/http%3A%2F%2Fid.who.int%2Ficd%2Fentity%2F1925976982","browser")</x:f>
      </x:c>
      <x:c r="L6073" s="0">
        <x:f>hyperlink("https://icat2.azurewebsites.net/icat/?ontology=ICD&amp;tab=ClassesTab&amp;id=http%3A%2F%2Fwho.int%2Ficd%2335146_512ebf36_bf6b_4d70_85da_cf2637062af4","iCat")</x:f>
      </x:c>
      <x:c r="M6073" s="0" t="s">
        <x:v>21</x:v>
      </x:c>
      <x:c r="N6073" s="0" t="s">
        <x:v>46</x:v>
      </x:c>
    </x:row>
    <x:row r="6074" spans="1:16">
      <x:c r="A6074" s="0" t="s">
        <x:v>24149</x:v>
      </x:c>
      <x:c r="B6074" s="0" t="s">
        <x:v>24150</x:v>
      </x:c>
      <x:c r="C6074" s="0" t="s">
        <x:v>24151</x:v>
      </x:c>
      <x:c r="E6074" s="0" t="s">
        <x:v>24152</x:v>
      </x:c>
      <x:c r="F6074" s="0" t="s">
        <x:v>45</x:v>
      </x:c>
      <x:c r="G6074" s="0" t="s">
        <x:v>19</x:v>
      </x:c>
      <x:c r="H6074" s="0" t="s">
        <x:v>20</x:v>
      </x:c>
      <x:c r="I6074" s="0" t="s">
        <x:v>21</x:v>
      </x:c>
      <x:c r="K6074" s="0">
        <x:f>hyperlink("https://icd.who.int/dev11/l-ichi/en#/http%3A%2F%2Fid.who.int%2Ficd%2Fentity%2F1569515834","browser")</x:f>
      </x:c>
      <x:c r="L6074" s="0">
        <x:f>hyperlink("https://icat2.azurewebsites.net/icat/?ontology=ICD&amp;tab=ClassesTab&amp;id=http%3A%2F%2Fwho.int%2Ficd%2335155_512ebf36_bf6b_4d70_85da_cf2637062af4","iCat")</x:f>
      </x:c>
      <x:c r="M6074" s="0" t="s">
        <x:v>21</x:v>
      </x:c>
      <x:c r="N6074" s="0" t="s">
        <x:v>46</x:v>
      </x:c>
    </x:row>
    <x:row r="6075" spans="1:16">
      <x:c r="A6075" s="0" t="s">
        <x:v>24153</x:v>
      </x:c>
      <x:c r="B6075" s="0" t="s">
        <x:v>24154</x:v>
      </x:c>
      <x:c r="C6075" s="0" t="s">
        <x:v>24155</x:v>
      </x:c>
      <x:c r="E6075" s="0" t="s">
        <x:v>24156</x:v>
      </x:c>
      <x:c r="F6075" s="0" t="s">
        <x:v>45</x:v>
      </x:c>
      <x:c r="G6075" s="0" t="s">
        <x:v>19</x:v>
      </x:c>
      <x:c r="H6075" s="0" t="s">
        <x:v>20</x:v>
      </x:c>
      <x:c r="I6075" s="0" t="s">
        <x:v>21</x:v>
      </x:c>
      <x:c r="K6075" s="0">
        <x:f>hyperlink("https://icd.who.int/dev11/l-ichi/en#/http%3A%2F%2Fid.who.int%2Ficd%2Fentity%2F1296461964","browser")</x:f>
      </x:c>
      <x:c r="L6075" s="0">
        <x:f>hyperlink("https://icat2.azurewebsites.net/icat/?ontology=ICD&amp;tab=ClassesTab&amp;id=http%3A%2F%2Fwho.int%2Ficd%2335163_512ebf36_bf6b_4d70_85da_cf2637062af4","iCat")</x:f>
      </x:c>
      <x:c r="M6075" s="0" t="s">
        <x:v>21</x:v>
      </x:c>
      <x:c r="N6075" s="0" t="s">
        <x:v>46</x:v>
      </x:c>
    </x:row>
    <x:row r="6076" spans="1:16">
      <x:c r="A6076" s="0" t="s">
        <x:v>24157</x:v>
      </x:c>
      <x:c r="B6076" s="0" t="s">
        <x:v>24158</x:v>
      </x:c>
      <x:c r="C6076" s="0" t="s">
        <x:v>24159</x:v>
      </x:c>
      <x:c r="E6076" s="0" t="s">
        <x:v>24160</x:v>
      </x:c>
      <x:c r="F6076" s="0" t="s">
        <x:v>45</x:v>
      </x:c>
      <x:c r="G6076" s="0" t="s">
        <x:v>19</x:v>
      </x:c>
      <x:c r="H6076" s="0" t="s">
        <x:v>20</x:v>
      </x:c>
      <x:c r="I6076" s="0" t="s">
        <x:v>21</x:v>
      </x:c>
      <x:c r="K6076" s="0">
        <x:f>hyperlink("https://icd.who.int/dev11/l-ichi/en#/http%3A%2F%2Fid.who.int%2Ficd%2Fentity%2F1644595748","browser")</x:f>
      </x:c>
      <x:c r="L6076" s="0">
        <x:f>hyperlink("https://icat2.azurewebsites.net/icat/?ontology=ICD&amp;tab=ClassesTab&amp;id=http%3A%2F%2Fwho.int%2Ficd%2335170_512ebf36_bf6b_4d70_85da_cf2637062af4","iCat")</x:f>
      </x:c>
      <x:c r="M6076" s="0" t="s">
        <x:v>21</x:v>
      </x:c>
      <x:c r="N6076" s="0" t="s">
        <x:v>46</x:v>
      </x:c>
    </x:row>
    <x:row r="6077" spans="1:16">
      <x:c r="A6077" s="0" t="s">
        <x:v>24161</x:v>
      </x:c>
      <x:c r="B6077" s="0" t="s">
        <x:v>24162</x:v>
      </x:c>
      <x:c r="C6077" s="0" t="s">
        <x:v>24163</x:v>
      </x:c>
      <x:c r="E6077" s="0" t="s">
        <x:v>24164</x:v>
      </x:c>
      <x:c r="F6077" s="0" t="s">
        <x:v>45</x:v>
      </x:c>
      <x:c r="G6077" s="0" t="s">
        <x:v>19</x:v>
      </x:c>
      <x:c r="H6077" s="0" t="s">
        <x:v>20</x:v>
      </x:c>
      <x:c r="I6077" s="0" t="s">
        <x:v>21</x:v>
      </x:c>
      <x:c r="K6077" s="0">
        <x:f>hyperlink("https://icd.who.int/dev11/l-ichi/en#/http%3A%2F%2Fid.who.int%2Ficd%2Fentity%2F310649263","browser")</x:f>
      </x:c>
      <x:c r="L6077" s="0">
        <x:f>hyperlink("https://icat2.azurewebsites.net/icat/?ontology=ICD&amp;tab=ClassesTab&amp;id=http%3A%2F%2Fwho.int%2Ficd%2335177_512ebf36_bf6b_4d70_85da_cf2637062af4","iCat")</x:f>
      </x:c>
      <x:c r="M6077" s="0" t="s">
        <x:v>21</x:v>
      </x:c>
      <x:c r="N6077" s="0" t="s">
        <x:v>46</x:v>
      </x:c>
    </x:row>
    <x:row r="6078" spans="1:16">
      <x:c r="A6078" s="0" t="s">
        <x:v>24165</x:v>
      </x:c>
      <x:c r="B6078" s="0" t="s">
        <x:v>24166</x:v>
      </x:c>
      <x:c r="C6078" s="0" t="s">
        <x:v>24167</x:v>
      </x:c>
      <x:c r="E6078" s="0" t="s">
        <x:v>24168</x:v>
      </x:c>
      <x:c r="F6078" s="0" t="s">
        <x:v>45</x:v>
      </x:c>
      <x:c r="G6078" s="0" t="s">
        <x:v>19</x:v>
      </x:c>
      <x:c r="H6078" s="0" t="s">
        <x:v>20</x:v>
      </x:c>
      <x:c r="I6078" s="0" t="s">
        <x:v>21</x:v>
      </x:c>
      <x:c r="K6078" s="0">
        <x:f>hyperlink("https://icd.who.int/dev11/l-ichi/en#/http%3A%2F%2Fid.who.int%2Ficd%2Fentity%2F140816133","browser")</x:f>
      </x:c>
      <x:c r="L6078" s="0">
        <x:f>hyperlink("https://icat2.azurewebsites.net/icat/?ontology=ICD&amp;tab=ClassesTab&amp;id=http%3A%2F%2Fwho.int%2Ficd%2335183_512ebf36_bf6b_4d70_85da_cf2637062af4","iCat")</x:f>
      </x:c>
      <x:c r="M6078" s="0" t="s">
        <x:v>21</x:v>
      </x:c>
      <x:c r="N6078" s="0" t="s">
        <x:v>46</x:v>
      </x:c>
    </x:row>
    <x:row r="6079" spans="1:16">
      <x:c r="A6079" s="0" t="s">
        <x:v>24169</x:v>
      </x:c>
      <x:c r="B6079" s="0" t="s">
        <x:v>24170</x:v>
      </x:c>
      <x:c r="C6079" s="0" t="s">
        <x:v>24171</x:v>
      </x:c>
      <x:c r="E6079" s="0" t="s">
        <x:v>24172</x:v>
      </x:c>
      <x:c r="F6079" s="0" t="s">
        <x:v>45</x:v>
      </x:c>
      <x:c r="G6079" s="0" t="s">
        <x:v>19</x:v>
      </x:c>
      <x:c r="H6079" s="0" t="s">
        <x:v>20</x:v>
      </x:c>
      <x:c r="I6079" s="0" t="s">
        <x:v>21</x:v>
      </x:c>
      <x:c r="K6079" s="0">
        <x:f>hyperlink("https://icd.who.int/dev11/l-ichi/en#/http%3A%2F%2Fid.who.int%2Ficd%2Fentity%2F656692651","browser")</x:f>
      </x:c>
      <x:c r="L6079" s="0">
        <x:f>hyperlink("https://icat2.azurewebsites.net/icat/?ontology=ICD&amp;tab=ClassesTab&amp;id=http%3A%2F%2Fwho.int%2Ficd%2335190_512ebf36_bf6b_4d70_85da_cf2637062af4","iCat")</x:f>
      </x:c>
      <x:c r="M6079" s="0" t="s">
        <x:v>21</x:v>
      </x:c>
      <x:c r="N6079" s="0" t="s">
        <x:v>46</x:v>
      </x:c>
    </x:row>
    <x:row r="6080" spans="1:16">
      <x:c r="A6080" s="0" t="s">
        <x:v>24173</x:v>
      </x:c>
      <x:c r="B6080" s="0" t="s">
        <x:v>24174</x:v>
      </x:c>
      <x:c r="C6080" s="0" t="s">
        <x:v>24175</x:v>
      </x:c>
      <x:c r="E6080" s="0" t="s">
        <x:v>24176</x:v>
      </x:c>
      <x:c r="F6080" s="0" t="s">
        <x:v>45</x:v>
      </x:c>
      <x:c r="G6080" s="0" t="s">
        <x:v>19</x:v>
      </x:c>
      <x:c r="H6080" s="0" t="s">
        <x:v>20</x:v>
      </x:c>
      <x:c r="I6080" s="0" t="s">
        <x:v>21</x:v>
      </x:c>
      <x:c r="K6080" s="0">
        <x:f>hyperlink("https://icd.who.int/dev11/l-ichi/en#/http%3A%2F%2Fid.who.int%2Ficd%2Fentity%2F1772430592","browser")</x:f>
      </x:c>
      <x:c r="L6080" s="0">
        <x:f>hyperlink("https://icat2.azurewebsites.net/icat/?ontology=ICD&amp;tab=ClassesTab&amp;id=http%3A%2F%2Fwho.int%2Ficd%2335198_512ebf36_bf6b_4d70_85da_cf2637062af4","iCat")</x:f>
      </x:c>
      <x:c r="M6080" s="0" t="s">
        <x:v>21</x:v>
      </x:c>
      <x:c r="N6080" s="0" t="s">
        <x:v>46</x:v>
      </x:c>
    </x:row>
    <x:row r="6081" spans="1:16">
      <x:c r="A6081" s="0" t="s">
        <x:v>24177</x:v>
      </x:c>
      <x:c r="B6081" s="0" t="s">
        <x:v>24178</x:v>
      </x:c>
      <x:c r="C6081" s="0" t="s">
        <x:v>24179</x:v>
      </x:c>
      <x:c r="E6081" s="0" t="s">
        <x:v>24180</x:v>
      </x:c>
      <x:c r="F6081" s="0" t="s">
        <x:v>45</x:v>
      </x:c>
      <x:c r="G6081" s="0" t="s">
        <x:v>19</x:v>
      </x:c>
      <x:c r="H6081" s="0" t="s">
        <x:v>20</x:v>
      </x:c>
      <x:c r="I6081" s="0" t="s">
        <x:v>21</x:v>
      </x:c>
      <x:c r="K6081" s="0">
        <x:f>hyperlink("https://icd.who.int/dev11/l-ichi/en#/http%3A%2F%2Fid.who.int%2Ficd%2Fentity%2F644979497","browser")</x:f>
      </x:c>
      <x:c r="L6081" s="0">
        <x:f>hyperlink("https://icat2.azurewebsites.net/icat/?ontology=ICD&amp;tab=ClassesTab&amp;id=http%3A%2F%2Fwho.int%2Ficd%2335205_512ebf36_bf6b_4d70_85da_cf2637062af4","iCat")</x:f>
      </x:c>
      <x:c r="M6081" s="0" t="s">
        <x:v>21</x:v>
      </x:c>
      <x:c r="N6081" s="0" t="s">
        <x:v>46</x:v>
      </x:c>
    </x:row>
    <x:row r="6082" spans="1:16">
      <x:c r="A6082" s="0" t="s">
        <x:v>24181</x:v>
      </x:c>
      <x:c r="B6082" s="0" t="s">
        <x:v>24182</x:v>
      </x:c>
      <x:c r="C6082" s="0" t="s">
        <x:v>24183</x:v>
      </x:c>
      <x:c r="E6082" s="0" t="s">
        <x:v>24184</x:v>
      </x:c>
      <x:c r="F6082" s="0" t="s">
        <x:v>45</x:v>
      </x:c>
      <x:c r="G6082" s="0" t="s">
        <x:v>19</x:v>
      </x:c>
      <x:c r="H6082" s="0" t="s">
        <x:v>20</x:v>
      </x:c>
      <x:c r="I6082" s="0" t="s">
        <x:v>21</x:v>
      </x:c>
      <x:c r="K6082" s="0">
        <x:f>hyperlink("https://icd.who.int/dev11/l-ichi/en#/http%3A%2F%2Fid.who.int%2Ficd%2Fentity%2F154231175","browser")</x:f>
      </x:c>
      <x:c r="L6082" s="0">
        <x:f>hyperlink("https://icat2.azurewebsites.net/icat/?ontology=ICD&amp;tab=ClassesTab&amp;id=http%3A%2F%2Fwho.int%2Ficd%2335216_512ebf36_bf6b_4d70_85da_cf2637062af4","iCat")</x:f>
      </x:c>
      <x:c r="M6082" s="0" t="s">
        <x:v>21</x:v>
      </x:c>
      <x:c r="N6082" s="0" t="s">
        <x:v>46</x:v>
      </x:c>
    </x:row>
    <x:row r="6083" spans="1:16">
      <x:c r="A6083" s="0" t="s">
        <x:v>24185</x:v>
      </x:c>
      <x:c r="B6083" s="0" t="s">
        <x:v>24186</x:v>
      </x:c>
      <x:c r="C6083" s="0" t="s">
        <x:v>24187</x:v>
      </x:c>
      <x:c r="E6083" s="0" t="s">
        <x:v>24188</x:v>
      </x:c>
      <x:c r="F6083" s="0" t="s">
        <x:v>45</x:v>
      </x:c>
      <x:c r="G6083" s="0" t="s">
        <x:v>19</x:v>
      </x:c>
      <x:c r="H6083" s="0" t="s">
        <x:v>20</x:v>
      </x:c>
      <x:c r="I6083" s="0" t="s">
        <x:v>21</x:v>
      </x:c>
      <x:c r="K6083" s="0">
        <x:f>hyperlink("https://icd.who.int/dev11/l-ichi/en#/http%3A%2F%2Fid.who.int%2Ficd%2Fentity%2F754728005","browser")</x:f>
      </x:c>
      <x:c r="L6083" s="0">
        <x:f>hyperlink("https://icat2.azurewebsites.net/icat/?ontology=ICD&amp;tab=ClassesTab&amp;id=http%3A%2F%2Fwho.int%2Ficd%2335224_512ebf36_bf6b_4d70_85da_cf2637062af4","iCat")</x:f>
      </x:c>
      <x:c r="M6083" s="0" t="s">
        <x:v>21</x:v>
      </x:c>
      <x:c r="N6083" s="0" t="s">
        <x:v>46</x:v>
      </x:c>
    </x:row>
    <x:row r="6084" spans="1:16">
      <x:c r="A6084" s="0" t="s">
        <x:v>24189</x:v>
      </x:c>
      <x:c r="B6084" s="0" t="s">
        <x:v>24190</x:v>
      </x:c>
      <x:c r="C6084" s="0" t="s">
        <x:v>24191</x:v>
      </x:c>
      <x:c r="E6084" s="0" t="s">
        <x:v>24192</x:v>
      </x:c>
      <x:c r="F6084" s="0" t="s">
        <x:v>45</x:v>
      </x:c>
      <x:c r="G6084" s="0" t="s">
        <x:v>19</x:v>
      </x:c>
      <x:c r="H6084" s="0" t="s">
        <x:v>20</x:v>
      </x:c>
      <x:c r="I6084" s="0" t="s">
        <x:v>21</x:v>
      </x:c>
      <x:c r="K6084" s="0">
        <x:f>hyperlink("https://icd.who.int/dev11/l-ichi/en#/http%3A%2F%2Fid.who.int%2Ficd%2Fentity%2F373452963","browser")</x:f>
      </x:c>
      <x:c r="L6084" s="0">
        <x:f>hyperlink("https://icat2.azurewebsites.net/icat/?ontology=ICD&amp;tab=ClassesTab&amp;id=http%3A%2F%2Fwho.int%2Ficd%2335232_512ebf36_bf6b_4d70_85da_cf2637062af4","iCat")</x:f>
      </x:c>
      <x:c r="M6084" s="0" t="s">
        <x:v>21</x:v>
      </x:c>
      <x:c r="N6084" s="0" t="s">
        <x:v>46</x:v>
      </x:c>
    </x:row>
    <x:row r="6085" spans="1:16">
      <x:c r="A6085" s="0" t="s">
        <x:v>24193</x:v>
      </x:c>
      <x:c r="B6085" s="0" t="s">
        <x:v>24194</x:v>
      </x:c>
      <x:c r="C6085" s="0" t="s">
        <x:v>24195</x:v>
      </x:c>
      <x:c r="E6085" s="0" t="s">
        <x:v>24196</x:v>
      </x:c>
      <x:c r="F6085" s="0" t="s">
        <x:v>45</x:v>
      </x:c>
      <x:c r="G6085" s="0" t="s">
        <x:v>19</x:v>
      </x:c>
      <x:c r="H6085" s="0" t="s">
        <x:v>20</x:v>
      </x:c>
      <x:c r="I6085" s="0" t="s">
        <x:v>21</x:v>
      </x:c>
      <x:c r="K6085" s="0">
        <x:f>hyperlink("https://icd.who.int/dev11/l-ichi/en#/http%3A%2F%2Fid.who.int%2Ficd%2Fentity%2F1035934771","browser")</x:f>
      </x:c>
      <x:c r="L6085" s="0">
        <x:f>hyperlink("https://icat2.azurewebsites.net/icat/?ontology=ICD&amp;tab=ClassesTab&amp;id=http%3A%2F%2Fwho.int%2Ficd%2335238_512ebf36_bf6b_4d70_85da_cf2637062af4","iCat")</x:f>
      </x:c>
      <x:c r="M6085" s="0" t="s">
        <x:v>21</x:v>
      </x:c>
      <x:c r="N6085" s="0" t="s">
        <x:v>46</x:v>
      </x:c>
    </x:row>
    <x:row r="6086" spans="1:16">
      <x:c r="A6086" s="0" t="s">
        <x:v>24197</x:v>
      </x:c>
      <x:c r="B6086" s="0" t="s">
        <x:v>24198</x:v>
      </x:c>
      <x:c r="C6086" s="0" t="s">
        <x:v>24199</x:v>
      </x:c>
      <x:c r="E6086" s="0" t="s">
        <x:v>24200</x:v>
      </x:c>
      <x:c r="F6086" s="0" t="s">
        <x:v>45</x:v>
      </x:c>
      <x:c r="G6086" s="0" t="s">
        <x:v>19</x:v>
      </x:c>
      <x:c r="H6086" s="0" t="s">
        <x:v>20</x:v>
      </x:c>
      <x:c r="I6086" s="0" t="s">
        <x:v>21</x:v>
      </x:c>
      <x:c r="K6086" s="0">
        <x:f>hyperlink("https://icd.who.int/dev11/l-ichi/en#/http%3A%2F%2Fid.who.int%2Ficd%2Fentity%2F1444333622","browser")</x:f>
      </x:c>
      <x:c r="L6086" s="0">
        <x:f>hyperlink("https://icat2.azurewebsites.net/icat/?ontology=ICD&amp;tab=ClassesTab&amp;id=http%3A%2F%2Fwho.int%2Ficd%2335245_512ebf36_bf6b_4d70_85da_cf2637062af4","iCat")</x:f>
      </x:c>
      <x:c r="M6086" s="0" t="s">
        <x:v>21</x:v>
      </x:c>
      <x:c r="N6086" s="0" t="s">
        <x:v>46</x:v>
      </x:c>
    </x:row>
    <x:row r="6087" spans="1:16">
      <x:c r="A6087" s="0" t="s">
        <x:v>24201</x:v>
      </x:c>
      <x:c r="B6087" s="0" t="s">
        <x:v>24202</x:v>
      </x:c>
      <x:c r="C6087" s="0" t="s">
        <x:v>24203</x:v>
      </x:c>
      <x:c r="E6087" s="0" t="s">
        <x:v>24204</x:v>
      </x:c>
      <x:c r="F6087" s="0" t="s">
        <x:v>45</x:v>
      </x:c>
      <x:c r="G6087" s="0" t="s">
        <x:v>19</x:v>
      </x:c>
      <x:c r="H6087" s="0" t="s">
        <x:v>20</x:v>
      </x:c>
      <x:c r="I6087" s="0" t="s">
        <x:v>21</x:v>
      </x:c>
      <x:c r="K6087" s="0">
        <x:f>hyperlink("https://icd.who.int/dev11/l-ichi/en#/http%3A%2F%2Fid.who.int%2Ficd%2Fentity%2F1822983378","browser")</x:f>
      </x:c>
      <x:c r="L6087" s="0">
        <x:f>hyperlink("https://icat2.azurewebsites.net/icat/?ontology=ICD&amp;tab=ClassesTab&amp;id=http%3A%2F%2Fwho.int%2Ficd%2335253_512ebf36_bf6b_4d70_85da_cf2637062af4","iCat")</x:f>
      </x:c>
      <x:c r="M6087" s="0" t="s">
        <x:v>21</x:v>
      </x:c>
      <x:c r="N6087" s="0" t="s">
        <x:v>46</x:v>
      </x:c>
    </x:row>
    <x:row r="6088" spans="1:16">
      <x:c r="A6088" s="0" t="s">
        <x:v>24205</x:v>
      </x:c>
      <x:c r="B6088" s="0" t="s">
        <x:v>24206</x:v>
      </x:c>
      <x:c r="C6088" s="0" t="s">
        <x:v>24207</x:v>
      </x:c>
      <x:c r="E6088" s="0" t="s">
        <x:v>24208</x:v>
      </x:c>
      <x:c r="F6088" s="0" t="s">
        <x:v>45</x:v>
      </x:c>
      <x:c r="G6088" s="0" t="s">
        <x:v>19</x:v>
      </x:c>
      <x:c r="H6088" s="0" t="s">
        <x:v>20</x:v>
      </x:c>
      <x:c r="I6088" s="0" t="s">
        <x:v>21</x:v>
      </x:c>
      <x:c r="K6088" s="0">
        <x:f>hyperlink("https://icd.who.int/dev11/l-ichi/en#/http%3A%2F%2Fid.who.int%2Ficd%2Fentity%2F1771875116","browser")</x:f>
      </x:c>
      <x:c r="L6088" s="0">
        <x:f>hyperlink("https://icat2.azurewebsites.net/icat/?ontology=ICD&amp;tab=ClassesTab&amp;id=http%3A%2F%2Fwho.int%2Ficd%2335260_512ebf36_bf6b_4d70_85da_cf2637062af4","iCat")</x:f>
      </x:c>
      <x:c r="M6088" s="0" t="s">
        <x:v>21</x:v>
      </x:c>
      <x:c r="N6088" s="0" t="s">
        <x:v>46</x:v>
      </x:c>
    </x:row>
    <x:row r="6089" spans="1:16">
      <x:c r="A6089" s="0" t="s">
        <x:v>24209</x:v>
      </x:c>
      <x:c r="B6089" s="0" t="s">
        <x:v>24210</x:v>
      </x:c>
      <x:c r="C6089" s="0" t="s">
        <x:v>24211</x:v>
      </x:c>
      <x:c r="E6089" s="0" t="s">
        <x:v>24212</x:v>
      </x:c>
      <x:c r="F6089" s="0" t="s">
        <x:v>45</x:v>
      </x:c>
      <x:c r="G6089" s="0" t="s">
        <x:v>19</x:v>
      </x:c>
      <x:c r="H6089" s="0" t="s">
        <x:v>20</x:v>
      </x:c>
      <x:c r="I6089" s="0" t="s">
        <x:v>21</x:v>
      </x:c>
      <x:c r="K6089" s="0">
        <x:f>hyperlink("https://icd.who.int/dev11/l-ichi/en#/http%3A%2F%2Fid.who.int%2Ficd%2Fentity%2F132425797","browser")</x:f>
      </x:c>
      <x:c r="L6089" s="0">
        <x:f>hyperlink("https://icat2.azurewebsites.net/icat/?ontology=ICD&amp;tab=ClassesTab&amp;id=http%3A%2F%2Fwho.int%2Ficd%2335269_512ebf36_bf6b_4d70_85da_cf2637062af4","iCat")</x:f>
      </x:c>
      <x:c r="M6089" s="0" t="s">
        <x:v>21</x:v>
      </x:c>
      <x:c r="N6089" s="0" t="s">
        <x:v>46</x:v>
      </x:c>
    </x:row>
    <x:row r="6090" spans="1:16">
      <x:c r="A6090" s="0" t="s">
        <x:v>24213</x:v>
      </x:c>
      <x:c r="B6090" s="0" t="s">
        <x:v>24214</x:v>
      </x:c>
      <x:c r="C6090" s="0" t="s">
        <x:v>24215</x:v>
      </x:c>
      <x:c r="E6090" s="0" t="s">
        <x:v>24216</x:v>
      </x:c>
      <x:c r="F6090" s="0" t="s">
        <x:v>45</x:v>
      </x:c>
      <x:c r="G6090" s="0" t="s">
        <x:v>19</x:v>
      </x:c>
      <x:c r="H6090" s="0" t="s">
        <x:v>20</x:v>
      </x:c>
      <x:c r="I6090" s="0" t="s">
        <x:v>21</x:v>
      </x:c>
      <x:c r="K6090" s="0">
        <x:f>hyperlink("https://icd.who.int/dev11/l-ichi/en#/http%3A%2F%2Fid.who.int%2Ficd%2Fentity%2F1394796492","browser")</x:f>
      </x:c>
      <x:c r="L6090" s="0">
        <x:f>hyperlink("https://icat2.azurewebsites.net/icat/?ontology=ICD&amp;tab=ClassesTab&amp;id=http%3A%2F%2Fwho.int%2Ficd%2335276_512ebf36_bf6b_4d70_85da_cf2637062af4","iCat")</x:f>
      </x:c>
      <x:c r="M6090" s="0" t="s">
        <x:v>21</x:v>
      </x:c>
      <x:c r="N6090" s="0" t="s">
        <x:v>46</x:v>
      </x:c>
    </x:row>
    <x:row r="6091" spans="1:16">
      <x:c r="A6091" s="0" t="s">
        <x:v>24217</x:v>
      </x:c>
      <x:c r="B6091" s="0" t="s">
        <x:v>24218</x:v>
      </x:c>
      <x:c r="C6091" s="0" t="s">
        <x:v>24219</x:v>
      </x:c>
      <x:c r="E6091" s="0" t="s">
        <x:v>24220</x:v>
      </x:c>
      <x:c r="F6091" s="0" t="s">
        <x:v>45</x:v>
      </x:c>
      <x:c r="G6091" s="0" t="s">
        <x:v>19</x:v>
      </x:c>
      <x:c r="H6091" s="0" t="s">
        <x:v>20</x:v>
      </x:c>
      <x:c r="I6091" s="0" t="s">
        <x:v>21</x:v>
      </x:c>
      <x:c r="K6091" s="0">
        <x:f>hyperlink("https://icd.who.int/dev11/l-ichi/en#/http%3A%2F%2Fid.who.int%2Ficd%2Fentity%2F1120303054","browser")</x:f>
      </x:c>
      <x:c r="L6091" s="0">
        <x:f>hyperlink("https://icat2.azurewebsites.net/icat/?ontology=ICD&amp;tab=ClassesTab&amp;id=http%3A%2F%2Fwho.int%2Ficd%2335289_512ebf36_bf6b_4d70_85da_cf2637062af4","iCat")</x:f>
      </x:c>
      <x:c r="M6091" s="0" t="s">
        <x:v>21</x:v>
      </x:c>
      <x:c r="N6091" s="0" t="s">
        <x:v>46</x:v>
      </x:c>
    </x:row>
    <x:row r="6092" spans="1:16">
      <x:c r="A6092" s="0" t="s">
        <x:v>24221</x:v>
      </x:c>
      <x:c r="B6092" s="0" t="s">
        <x:v>24222</x:v>
      </x:c>
      <x:c r="C6092" s="0" t="s">
        <x:v>24223</x:v>
      </x:c>
      <x:c r="E6092" s="0" t="s">
        <x:v>24224</x:v>
      </x:c>
      <x:c r="F6092" s="0" t="s">
        <x:v>45</x:v>
      </x:c>
      <x:c r="G6092" s="0" t="s">
        <x:v>19</x:v>
      </x:c>
      <x:c r="H6092" s="0" t="s">
        <x:v>20</x:v>
      </x:c>
      <x:c r="I6092" s="0" t="s">
        <x:v>21</x:v>
      </x:c>
      <x:c r="K6092" s="0">
        <x:f>hyperlink("https://icd.who.int/dev11/l-ichi/en#/http%3A%2F%2Fid.who.int%2Ficd%2Fentity%2F369113155","browser")</x:f>
      </x:c>
      <x:c r="L6092" s="0">
        <x:f>hyperlink("https://icat2.azurewebsites.net/icat/?ontology=ICD&amp;tab=ClassesTab&amp;id=http%3A%2F%2Fwho.int%2Ficd%2335296_512ebf36_bf6b_4d70_85da_cf2637062af4","iCat")</x:f>
      </x:c>
      <x:c r="M6092" s="0" t="s">
        <x:v>21</x:v>
      </x:c>
      <x:c r="N6092" s="0" t="s">
        <x:v>46</x:v>
      </x:c>
    </x:row>
    <x:row r="6093" spans="1:16">
      <x:c r="A6093" s="0" t="s">
        <x:v>24225</x:v>
      </x:c>
      <x:c r="B6093" s="0" t="s">
        <x:v>24226</x:v>
      </x:c>
      <x:c r="C6093" s="0" t="s">
        <x:v>24227</x:v>
      </x:c>
      <x:c r="E6093" s="0" t="s">
        <x:v>24228</x:v>
      </x:c>
      <x:c r="F6093" s="0" t="s">
        <x:v>45</x:v>
      </x:c>
      <x:c r="G6093" s="0" t="s">
        <x:v>19</x:v>
      </x:c>
      <x:c r="H6093" s="0" t="s">
        <x:v>20</x:v>
      </x:c>
      <x:c r="I6093" s="0" t="s">
        <x:v>21</x:v>
      </x:c>
      <x:c r="K6093" s="0">
        <x:f>hyperlink("https://icd.who.int/dev11/l-ichi/en#/http%3A%2F%2Fid.who.int%2Ficd%2Fentity%2F1930899336","browser")</x:f>
      </x:c>
      <x:c r="L6093" s="0">
        <x:f>hyperlink("https://icat2.azurewebsites.net/icat/?ontology=ICD&amp;tab=ClassesTab&amp;id=http%3A%2F%2Fwho.int%2Ficd%2335304_512ebf36_bf6b_4d70_85da_cf2637062af4","iCat")</x:f>
      </x:c>
      <x:c r="M6093" s="0" t="s">
        <x:v>21</x:v>
      </x:c>
      <x:c r="N6093" s="0" t="s">
        <x:v>46</x:v>
      </x:c>
    </x:row>
    <x:row r="6094" spans="1:16">
      <x:c r="A6094" s="0" t="s">
        <x:v>24229</x:v>
      </x:c>
      <x:c r="B6094" s="0" t="s">
        <x:v>24230</x:v>
      </x:c>
      <x:c r="C6094" s="0" t="s">
        <x:v>24231</x:v>
      </x:c>
      <x:c r="E6094" s="0" t="s">
        <x:v>24232</x:v>
      </x:c>
      <x:c r="F6094" s="0" t="s">
        <x:v>45</x:v>
      </x:c>
      <x:c r="G6094" s="0" t="s">
        <x:v>19</x:v>
      </x:c>
      <x:c r="H6094" s="0" t="s">
        <x:v>20</x:v>
      </x:c>
      <x:c r="I6094" s="0" t="s">
        <x:v>21</x:v>
      </x:c>
      <x:c r="K6094" s="0">
        <x:f>hyperlink("https://icd.who.int/dev11/l-ichi/en#/http%3A%2F%2Fid.who.int%2Ficd%2Fentity%2F1235837808","browser")</x:f>
      </x:c>
      <x:c r="L6094" s="0">
        <x:f>hyperlink("https://icat2.azurewebsites.net/icat/?ontology=ICD&amp;tab=ClassesTab&amp;id=http%3A%2F%2Fwho.int%2Ficd%2335312_512ebf36_bf6b_4d70_85da_cf2637062af4","iCat")</x:f>
      </x:c>
      <x:c r="M6094" s="0" t="s">
        <x:v>21</x:v>
      </x:c>
      <x:c r="N6094" s="0" t="s">
        <x:v>46</x:v>
      </x:c>
    </x:row>
    <x:row r="6095" spans="1:16">
      <x:c r="A6095" s="0" t="s">
        <x:v>24233</x:v>
      </x:c>
      <x:c r="B6095" s="0" t="s">
        <x:v>24234</x:v>
      </x:c>
      <x:c r="C6095" s="0" t="s">
        <x:v>24235</x:v>
      </x:c>
      <x:c r="E6095" s="0" t="s">
        <x:v>24236</x:v>
      </x:c>
      <x:c r="F6095" s="0" t="s">
        <x:v>45</x:v>
      </x:c>
      <x:c r="G6095" s="0" t="s">
        <x:v>19</x:v>
      </x:c>
      <x:c r="H6095" s="0" t="s">
        <x:v>20</x:v>
      </x:c>
      <x:c r="I6095" s="0" t="s">
        <x:v>21</x:v>
      </x:c>
      <x:c r="K6095" s="0">
        <x:f>hyperlink("https://icd.who.int/dev11/l-ichi/en#/http%3A%2F%2Fid.who.int%2Ficd%2Fentity%2F1649676288","browser")</x:f>
      </x:c>
      <x:c r="L6095" s="0">
        <x:f>hyperlink("https://icat2.azurewebsites.net/icat/?ontology=ICD&amp;tab=ClassesTab&amp;id=http%3A%2F%2Fwho.int%2Ficd%2335318_512ebf36_bf6b_4d70_85da_cf2637062af4","iCat")</x:f>
      </x:c>
      <x:c r="M6095" s="0" t="s">
        <x:v>21</x:v>
      </x:c>
      <x:c r="N6095" s="0" t="s">
        <x:v>46</x:v>
      </x:c>
    </x:row>
    <x:row r="6096" spans="1:16">
      <x:c r="A6096" s="0" t="s">
        <x:v>24237</x:v>
      </x:c>
      <x:c r="B6096" s="0" t="s">
        <x:v>24238</x:v>
      </x:c>
      <x:c r="C6096" s="0" t="s">
        <x:v>24239</x:v>
      </x:c>
      <x:c r="E6096" s="0" t="s">
        <x:v>24240</x:v>
      </x:c>
      <x:c r="F6096" s="0" t="s">
        <x:v>45</x:v>
      </x:c>
      <x:c r="G6096" s="0" t="s">
        <x:v>19</x:v>
      </x:c>
      <x:c r="H6096" s="0" t="s">
        <x:v>20</x:v>
      </x:c>
      <x:c r="I6096" s="0" t="s">
        <x:v>21</x:v>
      </x:c>
      <x:c r="K6096" s="0">
        <x:f>hyperlink("https://icd.who.int/dev11/l-ichi/en#/http%3A%2F%2Fid.who.int%2Ficd%2Fentity%2F1208081732","browser")</x:f>
      </x:c>
      <x:c r="L6096" s="0">
        <x:f>hyperlink("https://icat2.azurewebsites.net/icat/?ontology=ICD&amp;tab=ClassesTab&amp;id=http%3A%2F%2Fwho.int%2Ficd%2339_0b1ba77e_1110_4c95_88d7_b3da3232f4d4","iCat")</x:f>
      </x:c>
      <x:c r="M6096" s="0" t="s">
        <x:v>21</x:v>
      </x:c>
      <x:c r="N6096" s="0" t="s">
        <x:v>46</x:v>
      </x:c>
    </x:row>
    <x:row r="6097" spans="1:16">
      <x:c r="A6097" s="0" t="s">
        <x:v>24241</x:v>
      </x:c>
      <x:c r="B6097" s="0" t="s">
        <x:v>24242</x:v>
      </x:c>
      <x:c r="C6097" s="0" t="s">
        <x:v>24243</x:v>
      </x:c>
      <x:c r="E6097" s="0" t="s">
        <x:v>24244</x:v>
      </x:c>
      <x:c r="F6097" s="0" t="s">
        <x:v>45</x:v>
      </x:c>
      <x:c r="G6097" s="0" t="s">
        <x:v>19</x:v>
      </x:c>
      <x:c r="H6097" s="0" t="s">
        <x:v>20</x:v>
      </x:c>
      <x:c r="I6097" s="0" t="s">
        <x:v>21</x:v>
      </x:c>
      <x:c r="K6097" s="0">
        <x:f>hyperlink("https://icd.who.int/dev11/l-ichi/en#/http%3A%2F%2Fid.who.int%2Ficd%2Fentity%2F1499724506","browser")</x:f>
      </x:c>
      <x:c r="L6097" s="0">
        <x:f>hyperlink("https://icat2.azurewebsites.net/icat/?ontology=ICD&amp;tab=ClassesTab&amp;id=http%3A%2F%2Fwho.int%2Ficd%2335324_512ebf36_bf6b_4d70_85da_cf2637062af4","iCat")</x:f>
      </x:c>
      <x:c r="M6097" s="0" t="s">
        <x:v>21</x:v>
      </x:c>
      <x:c r="N6097" s="0" t="s">
        <x:v>46</x:v>
      </x:c>
    </x:row>
    <x:row r="6098" spans="1:16">
      <x:c r="A6098" s="0" t="s">
        <x:v>24245</x:v>
      </x:c>
      <x:c r="B6098" s="0" t="s">
        <x:v>24246</x:v>
      </x:c>
      <x:c r="C6098" s="0" t="s">
        <x:v>24247</x:v>
      </x:c>
      <x:c r="E6098" s="0" t="s">
        <x:v>24248</x:v>
      </x:c>
      <x:c r="F6098" s="0" t="s">
        <x:v>45</x:v>
      </x:c>
      <x:c r="G6098" s="0" t="s">
        <x:v>19</x:v>
      </x:c>
      <x:c r="H6098" s="0" t="s">
        <x:v>20</x:v>
      </x:c>
      <x:c r="I6098" s="0" t="s">
        <x:v>21</x:v>
      </x:c>
      <x:c r="K6098" s="0">
        <x:f>hyperlink("https://icd.who.int/dev11/l-ichi/en#/http%3A%2F%2Fid.who.int%2Ficd%2Fentity%2F866545551","browser")</x:f>
      </x:c>
      <x:c r="L6098" s="0">
        <x:f>hyperlink("https://icat2.azurewebsites.net/icat/?ontology=ICD&amp;tab=ClassesTab&amp;id=http%3A%2F%2Fwho.int%2Ficd%2335334_512ebf36_bf6b_4d70_85da_cf2637062af4","iCat")</x:f>
      </x:c>
      <x:c r="M6098" s="0" t="s">
        <x:v>21</x:v>
      </x:c>
      <x:c r="N6098" s="0" t="s">
        <x:v>46</x:v>
      </x:c>
    </x:row>
    <x:row r="6099" spans="1:16">
      <x:c r="A6099" s="0" t="s">
        <x:v>24249</x:v>
      </x:c>
      <x:c r="B6099" s="0" t="s">
        <x:v>24250</x:v>
      </x:c>
      <x:c r="C6099" s="0" t="s">
        <x:v>24251</x:v>
      </x:c>
      <x:c r="E6099" s="0" t="s">
        <x:v>24252</x:v>
      </x:c>
      <x:c r="F6099" s="0" t="s">
        <x:v>45</x:v>
      </x:c>
      <x:c r="G6099" s="0" t="s">
        <x:v>19</x:v>
      </x:c>
      <x:c r="H6099" s="0" t="s">
        <x:v>20</x:v>
      </x:c>
      <x:c r="I6099" s="0" t="s">
        <x:v>21</x:v>
      </x:c>
      <x:c r="K6099" s="0">
        <x:f>hyperlink("https://icd.who.int/dev11/l-ichi/en#/http%3A%2F%2Fid.who.int%2Ficd%2Fentity%2F1712087376","browser")</x:f>
      </x:c>
      <x:c r="L6099" s="0">
        <x:f>hyperlink("https://icat2.azurewebsites.net/icat/?ontology=ICD&amp;tab=ClassesTab&amp;id=http%3A%2F%2Fwho.int%2Ficd%2335346_512ebf36_bf6b_4d70_85da_cf2637062af4","iCat")</x:f>
      </x:c>
      <x:c r="M6099" s="0" t="s">
        <x:v>21</x:v>
      </x:c>
      <x:c r="N6099" s="0" t="s">
        <x:v>46</x:v>
      </x:c>
    </x:row>
    <x:row r="6100" spans="1:16">
      <x:c r="A6100" s="0" t="s">
        <x:v>24253</x:v>
      </x:c>
      <x:c r="B6100" s="0" t="s">
        <x:v>24254</x:v>
      </x:c>
      <x:c r="C6100" s="0" t="s">
        <x:v>24255</x:v>
      </x:c>
      <x:c r="E6100" s="0" t="s">
        <x:v>24256</x:v>
      </x:c>
      <x:c r="F6100" s="0" t="s">
        <x:v>45</x:v>
      </x:c>
      <x:c r="G6100" s="0" t="s">
        <x:v>19</x:v>
      </x:c>
      <x:c r="H6100" s="0" t="s">
        <x:v>20</x:v>
      </x:c>
      <x:c r="I6100" s="0" t="s">
        <x:v>21</x:v>
      </x:c>
      <x:c r="K6100" s="0">
        <x:f>hyperlink("https://icd.who.int/dev11/l-ichi/en#/http%3A%2F%2Fid.who.int%2Ficd%2Fentity%2F423051855","browser")</x:f>
      </x:c>
      <x:c r="L6100" s="0">
        <x:f>hyperlink("https://icat2.azurewebsites.net/icat/?ontology=ICD&amp;tab=ClassesTab&amp;id=http%3A%2F%2Fwho.int%2Ficd%2335353_512ebf36_bf6b_4d70_85da_cf2637062af4","iCat")</x:f>
      </x:c>
      <x:c r="M6100" s="0" t="s">
        <x:v>21</x:v>
      </x:c>
      <x:c r="N6100" s="0" t="s">
        <x:v>46</x:v>
      </x:c>
    </x:row>
    <x:row r="6101" spans="1:16">
      <x:c r="A6101" s="0" t="s">
        <x:v>24257</x:v>
      </x:c>
      <x:c r="B6101" s="0" t="s">
        <x:v>24258</x:v>
      </x:c>
      <x:c r="C6101" s="0" t="s">
        <x:v>24259</x:v>
      </x:c>
      <x:c r="E6101" s="0" t="s">
        <x:v>24260</x:v>
      </x:c>
      <x:c r="F6101" s="0" t="s">
        <x:v>45</x:v>
      </x:c>
      <x:c r="G6101" s="0" t="s">
        <x:v>19</x:v>
      </x:c>
      <x:c r="H6101" s="0" t="s">
        <x:v>20</x:v>
      </x:c>
      <x:c r="I6101" s="0" t="s">
        <x:v>21</x:v>
      </x:c>
      <x:c r="K6101" s="0">
        <x:f>hyperlink("https://icd.who.int/dev11/l-ichi/en#/http%3A%2F%2Fid.who.int%2Ficd%2Fentity%2F469986737","browser")</x:f>
      </x:c>
      <x:c r="L6101" s="0">
        <x:f>hyperlink("https://icat2.azurewebsites.net/icat/?ontology=ICD&amp;tab=ClassesTab&amp;id=http%3A%2F%2Fwho.int%2Ficd%2335360_512ebf36_bf6b_4d70_85da_cf2637062af4","iCat")</x:f>
      </x:c>
      <x:c r="M6101" s="0" t="s">
        <x:v>21</x:v>
      </x:c>
      <x:c r="N6101" s="0" t="s">
        <x:v>46</x:v>
      </x:c>
    </x:row>
    <x:row r="6102" spans="1:16">
      <x:c r="A6102" s="0" t="s">
        <x:v>24261</x:v>
      </x:c>
      <x:c r="B6102" s="0" t="s">
        <x:v>24262</x:v>
      </x:c>
      <x:c r="C6102" s="0" t="s">
        <x:v>24263</x:v>
      </x:c>
      <x:c r="E6102" s="0" t="s">
        <x:v>24264</x:v>
      </x:c>
      <x:c r="F6102" s="0" t="s">
        <x:v>45</x:v>
      </x:c>
      <x:c r="G6102" s="0" t="s">
        <x:v>19</x:v>
      </x:c>
      <x:c r="H6102" s="0" t="s">
        <x:v>20</x:v>
      </x:c>
      <x:c r="I6102" s="0" t="s">
        <x:v>21</x:v>
      </x:c>
      <x:c r="K6102" s="0">
        <x:f>hyperlink("https://icd.who.int/dev11/l-ichi/en#/http%3A%2F%2Fid.who.int%2Ficd%2Fentity%2F1282978818","browser")</x:f>
      </x:c>
      <x:c r="L6102" s="0">
        <x:f>hyperlink("https://icat2.azurewebsites.net/icat/?ontology=ICD&amp;tab=ClassesTab&amp;id=http%3A%2F%2Fwho.int%2Ficd%2335366_512ebf36_bf6b_4d70_85da_cf2637062af4","iCat")</x:f>
      </x:c>
      <x:c r="M6102" s="0" t="s">
        <x:v>21</x:v>
      </x:c>
      <x:c r="N6102" s="0" t="s">
        <x:v>46</x:v>
      </x:c>
    </x:row>
    <x:row r="6103" spans="1:16">
      <x:c r="A6103" s="0" t="s">
        <x:v>24265</x:v>
      </x:c>
      <x:c r="B6103" s="0" t="s">
        <x:v>24266</x:v>
      </x:c>
      <x:c r="C6103" s="0" t="s">
        <x:v>24267</x:v>
      </x:c>
      <x:c r="E6103" s="0" t="s">
        <x:v>24268</x:v>
      </x:c>
      <x:c r="F6103" s="0" t="s">
        <x:v>45</x:v>
      </x:c>
      <x:c r="G6103" s="0" t="s">
        <x:v>19</x:v>
      </x:c>
      <x:c r="H6103" s="0" t="s">
        <x:v>20</x:v>
      </x:c>
      <x:c r="I6103" s="0" t="s">
        <x:v>21</x:v>
      </x:c>
      <x:c r="K6103" s="0">
        <x:f>hyperlink("https://icd.who.int/dev11/l-ichi/en#/http%3A%2F%2Fid.who.int%2Ficd%2Fentity%2F331015459","browser")</x:f>
      </x:c>
      <x:c r="L6103" s="0">
        <x:f>hyperlink("https://icat2.azurewebsites.net/icat/?ontology=ICD&amp;tab=ClassesTab&amp;id=http%3A%2F%2Fwho.int%2Ficd%2335372_512ebf36_bf6b_4d70_85da_cf2637062af4","iCat")</x:f>
      </x:c>
      <x:c r="M6103" s="0" t="s">
        <x:v>21</x:v>
      </x:c>
      <x:c r="N6103" s="0" t="s">
        <x:v>46</x:v>
      </x:c>
    </x:row>
    <x:row r="6104" spans="1:16">
      <x:c r="A6104" s="0" t="s">
        <x:v>24269</x:v>
      </x:c>
      <x:c r="B6104" s="0" t="s">
        <x:v>24270</x:v>
      </x:c>
      <x:c r="C6104" s="0" t="s">
        <x:v>24271</x:v>
      </x:c>
      <x:c r="E6104" s="0" t="s">
        <x:v>24272</x:v>
      </x:c>
      <x:c r="F6104" s="0" t="s">
        <x:v>45</x:v>
      </x:c>
      <x:c r="G6104" s="0" t="s">
        <x:v>19</x:v>
      </x:c>
      <x:c r="H6104" s="0" t="s">
        <x:v>20</x:v>
      </x:c>
      <x:c r="I6104" s="0" t="s">
        <x:v>21</x:v>
      </x:c>
      <x:c r="K6104" s="0">
        <x:f>hyperlink("https://icd.who.int/dev11/l-ichi/en#/http%3A%2F%2Fid.who.int%2Ficd%2Fentity%2F415169423","browser")</x:f>
      </x:c>
      <x:c r="L6104" s="0">
        <x:f>hyperlink("https://icat2.azurewebsites.net/icat/?ontology=ICD&amp;tab=ClassesTab&amp;id=http%3A%2F%2Fwho.int%2Ficd%2335379_512ebf36_bf6b_4d70_85da_cf2637062af4","iCat")</x:f>
      </x:c>
      <x:c r="M6104" s="0" t="s">
        <x:v>21</x:v>
      </x:c>
      <x:c r="N6104" s="0" t="s">
        <x:v>46</x:v>
      </x:c>
    </x:row>
    <x:row r="6105" spans="1:16">
      <x:c r="A6105" s="0" t="s">
        <x:v>24273</x:v>
      </x:c>
      <x:c r="B6105" s="0" t="s">
        <x:v>24274</x:v>
      </x:c>
      <x:c r="C6105" s="0" t="s">
        <x:v>24275</x:v>
      </x:c>
      <x:c r="E6105" s="0" t="s">
        <x:v>24276</x:v>
      </x:c>
      <x:c r="F6105" s="0" t="s">
        <x:v>45</x:v>
      </x:c>
      <x:c r="G6105" s="0" t="s">
        <x:v>19</x:v>
      </x:c>
      <x:c r="H6105" s="0" t="s">
        <x:v>20</x:v>
      </x:c>
      <x:c r="I6105" s="0" t="s">
        <x:v>21</x:v>
      </x:c>
      <x:c r="K6105" s="0">
        <x:f>hyperlink("https://icd.who.int/dev11/l-ichi/en#/http%3A%2F%2Fid.who.int%2Ficd%2Fentity%2F870590319","browser")</x:f>
      </x:c>
      <x:c r="L6105" s="0">
        <x:f>hyperlink("https://icat2.azurewebsites.net/icat/?ontology=ICD&amp;tab=ClassesTab&amp;id=http%3A%2F%2Fwho.int%2Ficd%2335390_512ebf36_bf6b_4d70_85da_cf2637062af4","iCat")</x:f>
      </x:c>
      <x:c r="M6105" s="0" t="s">
        <x:v>21</x:v>
      </x:c>
      <x:c r="N6105" s="0" t="s">
        <x:v>46</x:v>
      </x:c>
    </x:row>
    <x:row r="6106" spans="1:16">
      <x:c r="A6106" s="0" t="s">
        <x:v>24277</x:v>
      </x:c>
      <x:c r="B6106" s="0" t="s">
        <x:v>24278</x:v>
      </x:c>
      <x:c r="C6106" s="0" t="s">
        <x:v>24279</x:v>
      </x:c>
      <x:c r="E6106" s="0" t="s">
        <x:v>24280</x:v>
      </x:c>
      <x:c r="F6106" s="0" t="s">
        <x:v>45</x:v>
      </x:c>
      <x:c r="G6106" s="0" t="s">
        <x:v>19</x:v>
      </x:c>
      <x:c r="H6106" s="0" t="s">
        <x:v>20</x:v>
      </x:c>
      <x:c r="I6106" s="0" t="s">
        <x:v>21</x:v>
      </x:c>
      <x:c r="K6106" s="0">
        <x:f>hyperlink("https://icd.who.int/dev11/l-ichi/en#/http%3A%2F%2Fid.who.int%2Ficd%2Fentity%2F1671429856","browser")</x:f>
      </x:c>
      <x:c r="L6106" s="0">
        <x:f>hyperlink("https://icat2.azurewebsites.net/icat/?ontology=ICD&amp;tab=ClassesTab&amp;id=http%3A%2F%2Fwho.int%2Ficd%2335396_512ebf36_bf6b_4d70_85da_cf2637062af4","iCat")</x:f>
      </x:c>
      <x:c r="M6106" s="0" t="s">
        <x:v>21</x:v>
      </x:c>
      <x:c r="N6106" s="0" t="s">
        <x:v>46</x:v>
      </x:c>
    </x:row>
    <x:row r="6107" spans="1:16">
      <x:c r="A6107" s="0" t="s">
        <x:v>24281</x:v>
      </x:c>
      <x:c r="B6107" s="0" t="s">
        <x:v>24282</x:v>
      </x:c>
      <x:c r="C6107" s="0" t="s">
        <x:v>24283</x:v>
      </x:c>
      <x:c r="E6107" s="0" t="s">
        <x:v>24284</x:v>
      </x:c>
      <x:c r="F6107" s="0" t="s">
        <x:v>45</x:v>
      </x:c>
      <x:c r="G6107" s="0" t="s">
        <x:v>19</x:v>
      </x:c>
      <x:c r="H6107" s="0" t="s">
        <x:v>20</x:v>
      </x:c>
      <x:c r="I6107" s="0" t="s">
        <x:v>21</x:v>
      </x:c>
      <x:c r="K6107" s="0">
        <x:f>hyperlink("https://icd.who.int/dev11/l-ichi/en#/http%3A%2F%2Fid.who.int%2Ficd%2Fentity%2F524716006","browser")</x:f>
      </x:c>
      <x:c r="L6107" s="0">
        <x:f>hyperlink("https://icat2.azurewebsites.net/icat/?ontology=ICD&amp;tab=ClassesTab&amp;id=http%3A%2F%2Fwho.int%2Ficd%2335404_512ebf36_bf6b_4d70_85da_cf2637062af4","iCat")</x:f>
      </x:c>
      <x:c r="M6107" s="0" t="s">
        <x:v>21</x:v>
      </x:c>
      <x:c r="N6107" s="0" t="s">
        <x:v>46</x:v>
      </x:c>
    </x:row>
    <x:row r="6108" spans="1:16">
      <x:c r="A6108" s="0" t="s">
        <x:v>24285</x:v>
      </x:c>
      <x:c r="B6108" s="0" t="s">
        <x:v>24286</x:v>
      </x:c>
      <x:c r="C6108" s="0" t="s">
        <x:v>24287</x:v>
      </x:c>
      <x:c r="E6108" s="0" t="s">
        <x:v>24288</x:v>
      </x:c>
      <x:c r="F6108" s="0" t="s">
        <x:v>45</x:v>
      </x:c>
      <x:c r="G6108" s="0" t="s">
        <x:v>19</x:v>
      </x:c>
      <x:c r="H6108" s="0" t="s">
        <x:v>20</x:v>
      </x:c>
      <x:c r="I6108" s="0" t="s">
        <x:v>21</x:v>
      </x:c>
      <x:c r="K6108" s="0">
        <x:f>hyperlink("https://icd.who.int/dev11/l-ichi/en#/http%3A%2F%2Fid.who.int%2Ficd%2Fentity%2F1618846971","browser")</x:f>
      </x:c>
      <x:c r="L6108" s="0">
        <x:f>hyperlink("https://icat2.azurewebsites.net/icat/?ontology=ICD&amp;tab=ClassesTab&amp;id=http%3A%2F%2Fwho.int%2Ficd%2335411_512ebf36_bf6b_4d70_85da_cf2637062af4","iCat")</x:f>
      </x:c>
      <x:c r="M6108" s="0" t="s">
        <x:v>21</x:v>
      </x:c>
      <x:c r="N6108" s="0" t="s">
        <x:v>46</x:v>
      </x:c>
    </x:row>
    <x:row r="6109" spans="1:16">
      <x:c r="A6109" s="0" t="s">
        <x:v>24289</x:v>
      </x:c>
      <x:c r="B6109" s="0" t="s">
        <x:v>24290</x:v>
      </x:c>
      <x:c r="C6109" s="0" t="s">
        <x:v>24291</x:v>
      </x:c>
      <x:c r="E6109" s="0" t="s">
        <x:v>24292</x:v>
      </x:c>
      <x:c r="F6109" s="0" t="s">
        <x:v>45</x:v>
      </x:c>
      <x:c r="G6109" s="0" t="s">
        <x:v>19</x:v>
      </x:c>
      <x:c r="H6109" s="0" t="s">
        <x:v>20</x:v>
      </x:c>
      <x:c r="I6109" s="0" t="s">
        <x:v>21</x:v>
      </x:c>
      <x:c r="K6109" s="0">
        <x:f>hyperlink("https://icd.who.int/dev11/l-ichi/en#/http%3A%2F%2Fid.who.int%2Ficd%2Fentity%2F805731658","browser")</x:f>
      </x:c>
      <x:c r="L6109" s="0">
        <x:f>hyperlink("https://icat2.azurewebsites.net/icat/?ontology=ICD&amp;tab=ClassesTab&amp;id=http%3A%2F%2Fwho.int%2Ficd%2335417_512ebf36_bf6b_4d70_85da_cf2637062af4","iCat")</x:f>
      </x:c>
      <x:c r="M6109" s="0" t="s">
        <x:v>21</x:v>
      </x:c>
      <x:c r="N6109" s="0" t="s">
        <x:v>46</x:v>
      </x:c>
    </x:row>
    <x:row r="6110" spans="1:16">
      <x:c r="A6110" s="0" t="s">
        <x:v>24293</x:v>
      </x:c>
      <x:c r="B6110" s="0" t="s">
        <x:v>24294</x:v>
      </x:c>
      <x:c r="C6110" s="0" t="s">
        <x:v>24295</x:v>
      </x:c>
      <x:c r="E6110" s="0" t="s">
        <x:v>24296</x:v>
      </x:c>
      <x:c r="F6110" s="0" t="s">
        <x:v>45</x:v>
      </x:c>
      <x:c r="G6110" s="0" t="s">
        <x:v>19</x:v>
      </x:c>
      <x:c r="H6110" s="0" t="s">
        <x:v>20</x:v>
      </x:c>
      <x:c r="I6110" s="0" t="s">
        <x:v>21</x:v>
      </x:c>
      <x:c r="K6110" s="0">
        <x:f>hyperlink("https://icd.who.int/dev11/l-ichi/en#/http%3A%2F%2Fid.who.int%2Ficd%2Fentity%2F1704930786","browser")</x:f>
      </x:c>
      <x:c r="L6110" s="0">
        <x:f>hyperlink("https://icat2.azurewebsites.net/icat/?ontology=ICD&amp;tab=ClassesTab&amp;id=http%3A%2F%2Fwho.int%2Ficd%23461_97087496_4a82_4efa_a45a_b3256f81bd7e","iCat")</x:f>
      </x:c>
      <x:c r="M6110" s="0" t="s">
        <x:v>21</x:v>
      </x:c>
      <x:c r="N6110" s="0" t="s">
        <x:v>46</x:v>
      </x:c>
    </x:row>
    <x:row r="6111" spans="1:16">
      <x:c r="A6111" s="0" t="s">
        <x:v>24297</x:v>
      </x:c>
      <x:c r="B6111" s="0" t="s">
        <x:v>24298</x:v>
      </x:c>
      <x:c r="C6111" s="0" t="s">
        <x:v>24299</x:v>
      </x:c>
      <x:c r="E6111" s="0" t="s">
        <x:v>24300</x:v>
      </x:c>
      <x:c r="F6111" s="0" t="s">
        <x:v>45</x:v>
      </x:c>
      <x:c r="G6111" s="0" t="s">
        <x:v>19</x:v>
      </x:c>
      <x:c r="H6111" s="0" t="s">
        <x:v>20</x:v>
      </x:c>
      <x:c r="I6111" s="0" t="s">
        <x:v>21</x:v>
      </x:c>
      <x:c r="K6111" s="0">
        <x:f>hyperlink("https://icd.who.int/dev11/l-ichi/en#/http%3A%2F%2Fid.who.int%2Ficd%2Fentity%2F892490420","browser")</x:f>
      </x:c>
      <x:c r="L6111" s="0">
        <x:f>hyperlink("https://icat2.azurewebsites.net/icat/?ontology=ICD&amp;tab=ClassesTab&amp;id=http%3A%2F%2Fwho.int%2Ficd%2335424_512ebf36_bf6b_4d70_85da_cf2637062af4","iCat")</x:f>
      </x:c>
      <x:c r="M6111" s="0" t="s">
        <x:v>21</x:v>
      </x:c>
      <x:c r="N6111" s="0" t="s">
        <x:v>46</x:v>
      </x:c>
    </x:row>
    <x:row r="6112" spans="1:16">
      <x:c r="A6112" s="0" t="s">
        <x:v>24301</x:v>
      </x:c>
      <x:c r="B6112" s="0" t="s">
        <x:v>24302</x:v>
      </x:c>
      <x:c r="C6112" s="0" t="s">
        <x:v>24303</x:v>
      </x:c>
      <x:c r="E6112" s="0" t="s">
        <x:v>24304</x:v>
      </x:c>
      <x:c r="F6112" s="0" t="s">
        <x:v>45</x:v>
      </x:c>
      <x:c r="G6112" s="0" t="s">
        <x:v>19</x:v>
      </x:c>
      <x:c r="H6112" s="0" t="s">
        <x:v>20</x:v>
      </x:c>
      <x:c r="I6112" s="0" t="s">
        <x:v>21</x:v>
      </x:c>
      <x:c r="K6112" s="0">
        <x:f>hyperlink("https://icd.who.int/dev11/l-ichi/en#/http%3A%2F%2Fid.who.int%2Ficd%2Fentity%2F1794114455","browser")</x:f>
      </x:c>
      <x:c r="L6112" s="0">
        <x:f>hyperlink("https://icat2.azurewebsites.net/icat/?ontology=ICD&amp;tab=ClassesTab&amp;id=http%3A%2F%2Fwho.int%2Ficd%2335430_512ebf36_bf6b_4d70_85da_cf2637062af4","iCat")</x:f>
      </x:c>
      <x:c r="M6112" s="0" t="s">
        <x:v>21</x:v>
      </x:c>
      <x:c r="N6112" s="0" t="s">
        <x:v>46</x:v>
      </x:c>
    </x:row>
    <x:row r="6113" spans="1:16">
      <x:c r="A6113" s="0" t="s">
        <x:v>24305</x:v>
      </x:c>
      <x:c r="B6113" s="0" t="s">
        <x:v>24306</x:v>
      </x:c>
      <x:c r="C6113" s="0" t="s">
        <x:v>24307</x:v>
      </x:c>
      <x:c r="E6113" s="0" t="s">
        <x:v>24308</x:v>
      </x:c>
      <x:c r="F6113" s="0" t="s">
        <x:v>45</x:v>
      </x:c>
      <x:c r="G6113" s="0" t="s">
        <x:v>19</x:v>
      </x:c>
      <x:c r="H6113" s="0" t="s">
        <x:v>20</x:v>
      </x:c>
      <x:c r="I6113" s="0" t="s">
        <x:v>21</x:v>
      </x:c>
      <x:c r="K6113" s="0">
        <x:f>hyperlink("https://icd.who.int/dev11/l-ichi/en#/http%3A%2F%2Fid.who.int%2Ficd%2Fentity%2F982243878","browser")</x:f>
      </x:c>
      <x:c r="L6113" s="0">
        <x:f>hyperlink("https://icat2.azurewebsites.net/icat/?ontology=ICD&amp;tab=ClassesTab&amp;id=http%3A%2F%2Fwho.int%2Ficd%2335436_512ebf36_bf6b_4d70_85da_cf2637062af4","iCat")</x:f>
      </x:c>
      <x:c r="M6113" s="0" t="s">
        <x:v>21</x:v>
      </x:c>
      <x:c r="N6113" s="0" t="s">
        <x:v>46</x:v>
      </x:c>
    </x:row>
    <x:row r="6114" spans="1:16">
      <x:c r="A6114" s="0" t="s">
        <x:v>24309</x:v>
      </x:c>
      <x:c r="B6114" s="0" t="s">
        <x:v>24310</x:v>
      </x:c>
      <x:c r="C6114" s="0" t="s">
        <x:v>24311</x:v>
      </x:c>
      <x:c r="E6114" s="0" t="s">
        <x:v>24312</x:v>
      </x:c>
      <x:c r="F6114" s="0" t="s">
        <x:v>45</x:v>
      </x:c>
      <x:c r="G6114" s="0" t="s">
        <x:v>19</x:v>
      </x:c>
      <x:c r="H6114" s="0" t="s">
        <x:v>20</x:v>
      </x:c>
      <x:c r="I6114" s="0" t="s">
        <x:v>21</x:v>
      </x:c>
      <x:c r="K6114" s="0">
        <x:f>hyperlink("https://icd.who.int/dev11/l-ichi/en#/http%3A%2F%2Fid.who.int%2Ficd%2Fentity%2F1062866248","browser")</x:f>
      </x:c>
      <x:c r="L6114" s="0">
        <x:f>hyperlink("https://icat2.azurewebsites.net/icat/?ontology=ICD&amp;tab=ClassesTab&amp;id=http%3A%2F%2Fwho.int%2Ficd%2335442_512ebf36_bf6b_4d70_85da_cf2637062af4","iCat")</x:f>
      </x:c>
      <x:c r="M6114" s="0" t="s">
        <x:v>21</x:v>
      </x:c>
      <x:c r="N6114" s="0" t="s">
        <x:v>46</x:v>
      </x:c>
    </x:row>
    <x:row r="6115" spans="1:16">
      <x:c r="A6115" s="0" t="s">
        <x:v>24313</x:v>
      </x:c>
      <x:c r="B6115" s="0" t="s">
        <x:v>24314</x:v>
      </x:c>
      <x:c r="C6115" s="0" t="s">
        <x:v>24315</x:v>
      </x:c>
      <x:c r="E6115" s="0" t="s">
        <x:v>24316</x:v>
      </x:c>
      <x:c r="F6115" s="0" t="s">
        <x:v>45</x:v>
      </x:c>
      <x:c r="G6115" s="0" t="s">
        <x:v>19</x:v>
      </x:c>
      <x:c r="H6115" s="0" t="s">
        <x:v>20</x:v>
      </x:c>
      <x:c r="I6115" s="0" t="s">
        <x:v>21</x:v>
      </x:c>
      <x:c r="K6115" s="0">
        <x:f>hyperlink("https://icd.who.int/dev11/l-ichi/en#/http%3A%2F%2Fid.who.int%2Ficd%2Fentity%2F820217306","browser")</x:f>
      </x:c>
      <x:c r="L6115" s="0">
        <x:f>hyperlink("https://icat2.azurewebsites.net/icat/?ontology=ICD&amp;tab=ClassesTab&amp;id=http%3A%2F%2Fwho.int%2Ficd%2335450_512ebf36_bf6b_4d70_85da_cf2637062af4","iCat")</x:f>
      </x:c>
      <x:c r="M6115" s="0" t="s">
        <x:v>21</x:v>
      </x:c>
      <x:c r="N6115" s="0" t="s">
        <x:v>46</x:v>
      </x:c>
    </x:row>
    <x:row r="6116" spans="1:16">
      <x:c r="A6116" s="0" t="s">
        <x:v>24317</x:v>
      </x:c>
      <x:c r="B6116" s="0" t="s">
        <x:v>24318</x:v>
      </x:c>
      <x:c r="C6116" s="0" t="s">
        <x:v>24319</x:v>
      </x:c>
      <x:c r="E6116" s="0" t="s">
        <x:v>24320</x:v>
      </x:c>
      <x:c r="F6116" s="0" t="s">
        <x:v>45</x:v>
      </x:c>
      <x:c r="G6116" s="0" t="s">
        <x:v>19</x:v>
      </x:c>
      <x:c r="H6116" s="0" t="s">
        <x:v>20</x:v>
      </x:c>
      <x:c r="I6116" s="0" t="s">
        <x:v>21</x:v>
      </x:c>
      <x:c r="K6116" s="0">
        <x:f>hyperlink("https://icd.who.int/dev11/l-ichi/en#/http%3A%2F%2Fid.who.int%2Ficd%2Fentity%2F1080110679","browser")</x:f>
      </x:c>
      <x:c r="L6116" s="0">
        <x:f>hyperlink("https://icat2.azurewebsites.net/icat/?ontology=ICD&amp;tab=ClassesTab&amp;id=http%3A%2F%2Fwho.int%2Ficd%2335457_512ebf36_bf6b_4d70_85da_cf2637062af4","iCat")</x:f>
      </x:c>
      <x:c r="M6116" s="0" t="s">
        <x:v>21</x:v>
      </x:c>
      <x:c r="N6116" s="0" t="s">
        <x:v>46</x:v>
      </x:c>
    </x:row>
    <x:row r="6117" spans="1:16">
      <x:c r="A6117" s="0" t="s">
        <x:v>24321</x:v>
      </x:c>
      <x:c r="B6117" s="0" t="s">
        <x:v>24322</x:v>
      </x:c>
      <x:c r="C6117" s="0" t="s">
        <x:v>24323</x:v>
      </x:c>
      <x:c r="E6117" s="0" t="s">
        <x:v>24324</x:v>
      </x:c>
      <x:c r="F6117" s="0" t="s">
        <x:v>45</x:v>
      </x:c>
      <x:c r="G6117" s="0" t="s">
        <x:v>19</x:v>
      </x:c>
      <x:c r="H6117" s="0" t="s">
        <x:v>20</x:v>
      </x:c>
      <x:c r="I6117" s="0" t="s">
        <x:v>21</x:v>
      </x:c>
      <x:c r="K6117" s="0">
        <x:f>hyperlink("https://icd.who.int/dev11/l-ichi/en#/http%3A%2F%2Fid.who.int%2Ficd%2Fentity%2F903326244","browser")</x:f>
      </x:c>
      <x:c r="L6117" s="0">
        <x:f>hyperlink("https://icat2.azurewebsites.net/icat/?ontology=ICD&amp;tab=ClassesTab&amp;id=http%3A%2F%2Fwho.int%2Ficd%2335463_512ebf36_bf6b_4d70_85da_cf2637062af4","iCat")</x:f>
      </x:c>
      <x:c r="M6117" s="0" t="s">
        <x:v>21</x:v>
      </x:c>
      <x:c r="N6117" s="0" t="s">
        <x:v>46</x:v>
      </x:c>
    </x:row>
    <x:row r="6118" spans="1:16">
      <x:c r="A6118" s="0" t="s">
        <x:v>24325</x:v>
      </x:c>
      <x:c r="B6118" s="0" t="s">
        <x:v>24326</x:v>
      </x:c>
      <x:c r="C6118" s="0" t="s">
        <x:v>24327</x:v>
      </x:c>
      <x:c r="E6118" s="0" t="s">
        <x:v>24328</x:v>
      </x:c>
      <x:c r="F6118" s="0" t="s">
        <x:v>45</x:v>
      </x:c>
      <x:c r="G6118" s="0" t="s">
        <x:v>19</x:v>
      </x:c>
      <x:c r="H6118" s="0" t="s">
        <x:v>20</x:v>
      </x:c>
      <x:c r="I6118" s="0" t="s">
        <x:v>21</x:v>
      </x:c>
      <x:c r="K6118" s="0">
        <x:f>hyperlink("https://icd.who.int/dev11/l-ichi/en#/http%3A%2F%2Fid.who.int%2Ficd%2Fentity%2F1595031411","browser")</x:f>
      </x:c>
      <x:c r="L6118" s="0">
        <x:f>hyperlink("https://icat2.azurewebsites.net/icat/?ontology=ICD&amp;tab=ClassesTab&amp;id=http%3A%2F%2Fwho.int%2Ficd%2335473_512ebf36_bf6b_4d70_85da_cf2637062af4","iCat")</x:f>
      </x:c>
      <x:c r="M6118" s="0" t="s">
        <x:v>21</x:v>
      </x:c>
      <x:c r="N6118" s="0" t="s">
        <x:v>46</x:v>
      </x:c>
    </x:row>
    <x:row r="6119" spans="1:16">
      <x:c r="A6119" s="0" t="s">
        <x:v>24329</x:v>
      </x:c>
      <x:c r="B6119" s="0" t="s">
        <x:v>24330</x:v>
      </x:c>
      <x:c r="C6119" s="0" t="s">
        <x:v>24331</x:v>
      </x:c>
      <x:c r="E6119" s="0" t="s">
        <x:v>24332</x:v>
      </x:c>
      <x:c r="F6119" s="0" t="s">
        <x:v>45</x:v>
      </x:c>
      <x:c r="G6119" s="0" t="s">
        <x:v>19</x:v>
      </x:c>
      <x:c r="H6119" s="0" t="s">
        <x:v>20</x:v>
      </x:c>
      <x:c r="I6119" s="0" t="s">
        <x:v>21</x:v>
      </x:c>
      <x:c r="K6119" s="0">
        <x:f>hyperlink("https://icd.who.int/dev11/l-ichi/en#/http%3A%2F%2Fid.who.int%2Ficd%2Fentity%2F1342965649","browser")</x:f>
      </x:c>
      <x:c r="L6119" s="0">
        <x:f>hyperlink("https://icat2.azurewebsites.net/icat/?ontology=ICD&amp;tab=ClassesTab&amp;id=http%3A%2F%2Fwho.int%2Ficd%2335482_512ebf36_bf6b_4d70_85da_cf2637062af4","iCat")</x:f>
      </x:c>
      <x:c r="M6119" s="0" t="s">
        <x:v>21</x:v>
      </x:c>
      <x:c r="N6119" s="0" t="s">
        <x:v>46</x:v>
      </x:c>
    </x:row>
    <x:row r="6120" spans="1:16">
      <x:c r="A6120" s="0" t="s">
        <x:v>24333</x:v>
      </x:c>
      <x:c r="B6120" s="0" t="s">
        <x:v>24334</x:v>
      </x:c>
      <x:c r="C6120" s="0" t="s">
        <x:v>24335</x:v>
      </x:c>
      <x:c r="E6120" s="0" t="s">
        <x:v>24336</x:v>
      </x:c>
      <x:c r="F6120" s="0" t="s">
        <x:v>45</x:v>
      </x:c>
      <x:c r="G6120" s="0" t="s">
        <x:v>19</x:v>
      </x:c>
      <x:c r="H6120" s="0" t="s">
        <x:v>20</x:v>
      </x:c>
      <x:c r="I6120" s="0" t="s">
        <x:v>21</x:v>
      </x:c>
      <x:c r="K6120" s="0">
        <x:f>hyperlink("https://icd.who.int/dev11/l-ichi/en#/http%3A%2F%2Fid.who.int%2Ficd%2Fentity%2F2079419137","browser")</x:f>
      </x:c>
      <x:c r="L6120" s="0">
        <x:f>hyperlink("https://icat2.azurewebsites.net/icat/?ontology=ICD&amp;tab=ClassesTab&amp;id=http%3A%2F%2Fwho.int%2Ficd%2335488_512ebf36_bf6b_4d70_85da_cf2637062af4","iCat")</x:f>
      </x:c>
      <x:c r="M6120" s="0" t="s">
        <x:v>21</x:v>
      </x:c>
      <x:c r="N6120" s="0" t="s">
        <x:v>46</x:v>
      </x:c>
    </x:row>
    <x:row r="6121" spans="1:16">
      <x:c r="A6121" s="0" t="s">
        <x:v>24337</x:v>
      </x:c>
      <x:c r="B6121" s="0" t="s">
        <x:v>24338</x:v>
      </x:c>
      <x:c r="C6121" s="0" t="s">
        <x:v>24339</x:v>
      </x:c>
      <x:c r="E6121" s="0" t="s">
        <x:v>24340</x:v>
      </x:c>
      <x:c r="F6121" s="0" t="s">
        <x:v>45</x:v>
      </x:c>
      <x:c r="G6121" s="0" t="s">
        <x:v>19</x:v>
      </x:c>
      <x:c r="H6121" s="0" t="s">
        <x:v>20</x:v>
      </x:c>
      <x:c r="I6121" s="0" t="s">
        <x:v>21</x:v>
      </x:c>
      <x:c r="K6121" s="0">
        <x:f>hyperlink("https://icd.who.int/dev11/l-ichi/en#/http%3A%2F%2Fid.who.int%2Ficd%2Fentity%2F983734472","browser")</x:f>
      </x:c>
      <x:c r="L6121" s="0">
        <x:f>hyperlink("https://icat2.azurewebsites.net/icat/?ontology=ICD&amp;tab=ClassesTab&amp;id=http%3A%2F%2Fwho.int%2Ficd%2335502_512ebf36_bf6b_4d70_85da_cf2637062af4","iCat")</x:f>
      </x:c>
      <x:c r="M6121" s="0" t="s">
        <x:v>21</x:v>
      </x:c>
      <x:c r="N6121" s="0" t="s">
        <x:v>46</x:v>
      </x:c>
    </x:row>
    <x:row r="6122" spans="1:16">
      <x:c r="A6122" s="0" t="s">
        <x:v>24341</x:v>
      </x:c>
      <x:c r="B6122" s="0" t="s">
        <x:v>24342</x:v>
      </x:c>
      <x:c r="C6122" s="0" t="s">
        <x:v>24343</x:v>
      </x:c>
      <x:c r="E6122" s="0" t="s">
        <x:v>24344</x:v>
      </x:c>
      <x:c r="F6122" s="0" t="s">
        <x:v>45</x:v>
      </x:c>
      <x:c r="G6122" s="0" t="s">
        <x:v>19</x:v>
      </x:c>
      <x:c r="H6122" s="0" t="s">
        <x:v>20</x:v>
      </x:c>
      <x:c r="I6122" s="0" t="s">
        <x:v>21</x:v>
      </x:c>
      <x:c r="K6122" s="0">
        <x:f>hyperlink("https://icd.who.int/dev11/l-ichi/en#/http%3A%2F%2Fid.who.int%2Ficd%2Fentity%2F1014520160","browser")</x:f>
      </x:c>
      <x:c r="L6122" s="0">
        <x:f>hyperlink("https://icat2.azurewebsites.net/icat/?ontology=ICD&amp;tab=ClassesTab&amp;id=http%3A%2F%2Fwho.int%2Ficd%231424_e9bf9ac7_0f21_4391_8ab3_5944290f317a","iCat")</x:f>
      </x:c>
      <x:c r="M6122" s="0" t="s">
        <x:v>21</x:v>
      </x:c>
      <x:c r="N6122" s="0" t="s">
        <x:v>46</x:v>
      </x:c>
    </x:row>
    <x:row r="6123" spans="1:16">
      <x:c r="A6123" s="0" t="s">
        <x:v>24345</x:v>
      </x:c>
      <x:c r="B6123" s="0" t="s">
        <x:v>24346</x:v>
      </x:c>
      <x:c r="C6123" s="0" t="s">
        <x:v>24347</x:v>
      </x:c>
      <x:c r="E6123" s="0" t="s">
        <x:v>24348</x:v>
      </x:c>
      <x:c r="F6123" s="0" t="s">
        <x:v>45</x:v>
      </x:c>
      <x:c r="G6123" s="0" t="s">
        <x:v>19</x:v>
      </x:c>
      <x:c r="H6123" s="0" t="s">
        <x:v>20</x:v>
      </x:c>
      <x:c r="I6123" s="0" t="s">
        <x:v>21</x:v>
      </x:c>
      <x:c r="K6123" s="0">
        <x:f>hyperlink("https://icd.who.int/dev11/l-ichi/en#/http%3A%2F%2Fid.who.int%2Ficd%2Fentity%2F1790069623","browser")</x:f>
      </x:c>
      <x:c r="L6123" s="0">
        <x:f>hyperlink("https://icat2.azurewebsites.net/icat/?ontology=ICD&amp;tab=ClassesTab&amp;id=http%3A%2F%2Fwho.int%2Ficd%2335494_512ebf36_bf6b_4d70_85da_cf2637062af4","iCat")</x:f>
      </x:c>
      <x:c r="M6123" s="0" t="s">
        <x:v>21</x:v>
      </x:c>
      <x:c r="N6123" s="0" t="s">
        <x:v>46</x:v>
      </x:c>
    </x:row>
    <x:row r="6124" spans="1:16">
      <x:c r="A6124" s="0" t="s">
        <x:v>24349</x:v>
      </x:c>
      <x:c r="B6124" s="0" t="s">
        <x:v>24350</x:v>
      </x:c>
      <x:c r="C6124" s="0" t="s">
        <x:v>24351</x:v>
      </x:c>
      <x:c r="E6124" s="0" t="s">
        <x:v>24352</x:v>
      </x:c>
      <x:c r="F6124" s="0" t="s">
        <x:v>45</x:v>
      </x:c>
      <x:c r="G6124" s="0" t="s">
        <x:v>19</x:v>
      </x:c>
      <x:c r="H6124" s="0" t="s">
        <x:v>20</x:v>
      </x:c>
      <x:c r="I6124" s="0" t="s">
        <x:v>21</x:v>
      </x:c>
      <x:c r="K6124" s="0">
        <x:f>hyperlink("https://icd.who.int/dev11/l-ichi/en#/http%3A%2F%2Fid.who.int%2Ficd%2Fentity%2F171603839","browser")</x:f>
      </x:c>
      <x:c r="L6124" s="0">
        <x:f>hyperlink("https://icat2.azurewebsites.net/icat/?ontology=ICD&amp;tab=ClassesTab&amp;id=http%3A%2F%2Fwho.int%2Ficd%231344_e9bf9ac7_0f21_4391_8ab3_5944290f317a","iCat")</x:f>
      </x:c>
      <x:c r="M6124" s="0" t="s">
        <x:v>21</x:v>
      </x:c>
      <x:c r="N6124" s="0" t="s">
        <x:v>46</x:v>
      </x:c>
    </x:row>
    <x:row r="6125" spans="1:16">
      <x:c r="A6125" s="0" t="s">
        <x:v>24353</x:v>
      </x:c>
      <x:c r="B6125" s="0" t="s">
        <x:v>24354</x:v>
      </x:c>
      <x:c r="C6125" s="0" t="s">
        <x:v>24355</x:v>
      </x:c>
      <x:c r="E6125" s="0" t="s">
        <x:v>24356</x:v>
      </x:c>
      <x:c r="F6125" s="0" t="s">
        <x:v>45</x:v>
      </x:c>
      <x:c r="G6125" s="0" t="s">
        <x:v>19</x:v>
      </x:c>
      <x:c r="H6125" s="0" t="s">
        <x:v>20</x:v>
      </x:c>
      <x:c r="I6125" s="0" t="s">
        <x:v>21</x:v>
      </x:c>
      <x:c r="K6125" s="0">
        <x:f>hyperlink("https://icd.who.int/dev11/l-ichi/en#/http%3A%2F%2Fid.who.int%2Ficd%2Fentity%2F1167702999","browser")</x:f>
      </x:c>
      <x:c r="L6125" s="0">
        <x:f>hyperlink("https://icat2.azurewebsites.net/icat/?ontology=ICD&amp;tab=ClassesTab&amp;id=http%3A%2F%2Fwho.int%2Ficd%2335517_512ebf36_bf6b_4d70_85da_cf2637062af4","iCat")</x:f>
      </x:c>
      <x:c r="M6125" s="0" t="s">
        <x:v>21</x:v>
      </x:c>
      <x:c r="N6125" s="0" t="s">
        <x:v>46</x:v>
      </x:c>
    </x:row>
    <x:row r="6126" spans="1:16">
      <x:c r="A6126" s="0" t="s">
        <x:v>24357</x:v>
      </x:c>
      <x:c r="B6126" s="0" t="s">
        <x:v>24358</x:v>
      </x:c>
      <x:c r="C6126" s="0" t="s">
        <x:v>24359</x:v>
      </x:c>
      <x:c r="E6126" s="0" t="s">
        <x:v>24360</x:v>
      </x:c>
      <x:c r="F6126" s="0" t="s">
        <x:v>45</x:v>
      </x:c>
      <x:c r="G6126" s="0" t="s">
        <x:v>19</x:v>
      </x:c>
      <x:c r="H6126" s="0" t="s">
        <x:v>20</x:v>
      </x:c>
      <x:c r="I6126" s="0" t="s">
        <x:v>21</x:v>
      </x:c>
      <x:c r="K6126" s="0">
        <x:f>hyperlink("https://icd.who.int/dev11/l-ichi/en#/http%3A%2F%2Fid.who.int%2Ficd%2Fentity%2F1066841910","browser")</x:f>
      </x:c>
      <x:c r="L6126" s="0">
        <x:f>hyperlink("https://icat2.azurewebsites.net/icat/?ontology=ICD&amp;tab=ClassesTab&amp;id=http%3A%2F%2Fwho.int%2Ficd%2335531_512ebf36_bf6b_4d70_85da_cf2637062af4","iCat")</x:f>
      </x:c>
      <x:c r="M6126" s="0" t="s">
        <x:v>21</x:v>
      </x:c>
      <x:c r="N6126" s="0" t="s">
        <x:v>46</x:v>
      </x:c>
    </x:row>
    <x:row r="6127" spans="1:16">
      <x:c r="A6127" s="0" t="s">
        <x:v>24361</x:v>
      </x:c>
      <x:c r="B6127" s="0" t="s">
        <x:v>24362</x:v>
      </x:c>
      <x:c r="C6127" s="0" t="s">
        <x:v>24363</x:v>
      </x:c>
      <x:c r="E6127" s="0" t="s">
        <x:v>24364</x:v>
      </x:c>
      <x:c r="F6127" s="0" t="s">
        <x:v>45</x:v>
      </x:c>
      <x:c r="G6127" s="0" t="s">
        <x:v>19</x:v>
      </x:c>
      <x:c r="H6127" s="0" t="s">
        <x:v>20</x:v>
      </x:c>
      <x:c r="I6127" s="0" t="s">
        <x:v>21</x:v>
      </x:c>
      <x:c r="K6127" s="0">
        <x:f>hyperlink("https://icd.who.int/dev11/l-ichi/en#/http%3A%2F%2Fid.who.int%2Ficd%2Fentity%2F1877831303","browser")</x:f>
      </x:c>
      <x:c r="L6127" s="0">
        <x:f>hyperlink("https://icat2.azurewebsites.net/icat/?ontology=ICD&amp;tab=ClassesTab&amp;id=http%3A%2F%2Fwho.int%2Ficd%2335537_512ebf36_bf6b_4d70_85da_cf2637062af4","iCat")</x:f>
      </x:c>
      <x:c r="M6127" s="0" t="s">
        <x:v>21</x:v>
      </x:c>
      <x:c r="N6127" s="0" t="s">
        <x:v>46</x:v>
      </x:c>
    </x:row>
    <x:row r="6128" spans="1:16">
      <x:c r="A6128" s="0" t="s">
        <x:v>24365</x:v>
      </x:c>
      <x:c r="B6128" s="0" t="s">
        <x:v>24366</x:v>
      </x:c>
      <x:c r="C6128" s="0" t="s">
        <x:v>24367</x:v>
      </x:c>
      <x:c r="E6128" s="0" t="s">
        <x:v>24368</x:v>
      </x:c>
      <x:c r="F6128" s="0" t="s">
        <x:v>45</x:v>
      </x:c>
      <x:c r="G6128" s="0" t="s">
        <x:v>19</x:v>
      </x:c>
      <x:c r="H6128" s="0" t="s">
        <x:v>20</x:v>
      </x:c>
      <x:c r="I6128" s="0" t="s">
        <x:v>21</x:v>
      </x:c>
      <x:c r="K6128" s="0">
        <x:f>hyperlink("https://icd.who.int/dev11/l-ichi/en#/http%3A%2F%2Fid.who.int%2Ficd%2Fentity%2F977756248","browser")</x:f>
      </x:c>
      <x:c r="L6128" s="0">
        <x:f>hyperlink("https://icat2.azurewebsites.net/icat/?ontology=ICD&amp;tab=ClassesTab&amp;id=http%3A%2F%2Fwho.int%2Ficd%2335545_512ebf36_bf6b_4d70_85da_cf2637062af4","iCat")</x:f>
      </x:c>
      <x:c r="M6128" s="0" t="s">
        <x:v>21</x:v>
      </x:c>
      <x:c r="N6128" s="0" t="s">
        <x:v>46</x:v>
      </x:c>
    </x:row>
    <x:row r="6129" spans="1:16">
      <x:c r="A6129" s="0" t="s">
        <x:v>24369</x:v>
      </x:c>
      <x:c r="B6129" s="0" t="s">
        <x:v>24370</x:v>
      </x:c>
      <x:c r="C6129" s="0" t="s">
        <x:v>24371</x:v>
      </x:c>
      <x:c r="E6129" s="0" t="s">
        <x:v>24372</x:v>
      </x:c>
      <x:c r="F6129" s="0" t="s">
        <x:v>45</x:v>
      </x:c>
      <x:c r="G6129" s="0" t="s">
        <x:v>19</x:v>
      </x:c>
      <x:c r="H6129" s="0" t="s">
        <x:v>20</x:v>
      </x:c>
      <x:c r="I6129" s="0" t="s">
        <x:v>21</x:v>
      </x:c>
      <x:c r="K6129" s="0">
        <x:f>hyperlink("https://icd.who.int/dev11/l-ichi/en#/http%3A%2F%2Fid.who.int%2Ficd%2Fentity%2F536895106","browser")</x:f>
      </x:c>
      <x:c r="L6129" s="0">
        <x:f>hyperlink("https://icat2.azurewebsites.net/icat/?ontology=ICD&amp;tab=ClassesTab&amp;id=http%3A%2F%2Fwho.int%2Ficd%2335552_512ebf36_bf6b_4d70_85da_cf2637062af4","iCat")</x:f>
      </x:c>
      <x:c r="M6129" s="0" t="s">
        <x:v>21</x:v>
      </x:c>
      <x:c r="N6129" s="0" t="s">
        <x:v>46</x:v>
      </x:c>
    </x:row>
    <x:row r="6130" spans="1:16">
      <x:c r="A6130" s="0" t="s">
        <x:v>24373</x:v>
      </x:c>
      <x:c r="B6130" s="0" t="s">
        <x:v>24374</x:v>
      </x:c>
      <x:c r="C6130" s="0" t="s">
        <x:v>24375</x:v>
      </x:c>
      <x:c r="E6130" s="0" t="s">
        <x:v>24376</x:v>
      </x:c>
      <x:c r="F6130" s="0" t="s">
        <x:v>45</x:v>
      </x:c>
      <x:c r="G6130" s="0" t="s">
        <x:v>19</x:v>
      </x:c>
      <x:c r="H6130" s="0" t="s">
        <x:v>20</x:v>
      </x:c>
      <x:c r="I6130" s="0" t="s">
        <x:v>21</x:v>
      </x:c>
      <x:c r="K6130" s="0">
        <x:f>hyperlink("https://icd.who.int/dev11/l-ichi/en#/http%3A%2F%2Fid.who.int%2Ficd%2Fentity%2F721698864","browser")</x:f>
      </x:c>
      <x:c r="L6130" s="0">
        <x:f>hyperlink("https://icat2.azurewebsites.net/icat/?ontology=ICD&amp;tab=ClassesTab&amp;id=http%3A%2F%2Fwho.int%2Ficd%2335559_512ebf36_bf6b_4d70_85da_cf2637062af4","iCat")</x:f>
      </x:c>
      <x:c r="M6130" s="0" t="s">
        <x:v>21</x:v>
      </x:c>
      <x:c r="N6130" s="0" t="s">
        <x:v>46</x:v>
      </x:c>
    </x:row>
    <x:row r="6131" spans="1:16">
      <x:c r="A6131" s="0" t="s">
        <x:v>24377</x:v>
      </x:c>
      <x:c r="B6131" s="0" t="s">
        <x:v>24378</x:v>
      </x:c>
      <x:c r="C6131" s="0" t="s">
        <x:v>24379</x:v>
      </x:c>
      <x:c r="E6131" s="0" t="s">
        <x:v>24380</x:v>
      </x:c>
      <x:c r="F6131" s="0" t="s">
        <x:v>45</x:v>
      </x:c>
      <x:c r="G6131" s="0" t="s">
        <x:v>19</x:v>
      </x:c>
      <x:c r="H6131" s="0" t="s">
        <x:v>20</x:v>
      </x:c>
      <x:c r="I6131" s="0" t="s">
        <x:v>21</x:v>
      </x:c>
      <x:c r="K6131" s="0">
        <x:f>hyperlink("https://icd.who.int/dev11/l-ichi/en#/http%3A%2F%2Fid.who.int%2Ficd%2Fentity%2F1438046961","browser")</x:f>
      </x:c>
      <x:c r="L6131" s="0">
        <x:f>hyperlink("https://icat2.azurewebsites.net/icat/?ontology=ICD&amp;tab=ClassesTab&amp;id=http%3A%2F%2Fwho.int%2Ficd%2335566_512ebf36_bf6b_4d70_85da_cf2637062af4","iCat")</x:f>
      </x:c>
      <x:c r="M6131" s="0" t="s">
        <x:v>21</x:v>
      </x:c>
      <x:c r="N6131" s="0" t="s">
        <x:v>46</x:v>
      </x:c>
    </x:row>
    <x:row r="6132" spans="1:16">
      <x:c r="A6132" s="0" t="s">
        <x:v>24381</x:v>
      </x:c>
      <x:c r="B6132" s="0" t="s">
        <x:v>24382</x:v>
      </x:c>
      <x:c r="C6132" s="0" t="s">
        <x:v>24383</x:v>
      </x:c>
      <x:c r="E6132" s="0" t="s">
        <x:v>24384</x:v>
      </x:c>
      <x:c r="F6132" s="0" t="s">
        <x:v>45</x:v>
      </x:c>
      <x:c r="G6132" s="0" t="s">
        <x:v>19</x:v>
      </x:c>
      <x:c r="H6132" s="0" t="s">
        <x:v>20</x:v>
      </x:c>
      <x:c r="I6132" s="0" t="s">
        <x:v>21</x:v>
      </x:c>
      <x:c r="K6132" s="0">
        <x:f>hyperlink("https://icd.who.int/dev11/l-ichi/en#/http%3A%2F%2Fid.who.int%2Ficd%2Fentity%2F713947630","browser")</x:f>
      </x:c>
      <x:c r="L6132" s="0">
        <x:f>hyperlink("https://icat2.azurewebsites.net/icat/?ontology=ICD&amp;tab=ClassesTab&amp;id=http%3A%2F%2Fwho.int%2Ficd%2335573_512ebf36_bf6b_4d70_85da_cf2637062af4","iCat")</x:f>
      </x:c>
      <x:c r="M6132" s="0" t="s">
        <x:v>21</x:v>
      </x:c>
      <x:c r="N6132" s="0" t="s">
        <x:v>46</x:v>
      </x:c>
    </x:row>
    <x:row r="6133" spans="1:16">
      <x:c r="A6133" s="0" t="s">
        <x:v>24385</x:v>
      </x:c>
      <x:c r="B6133" s="0" t="s">
        <x:v>24386</x:v>
      </x:c>
      <x:c r="C6133" s="0" t="s">
        <x:v>24387</x:v>
      </x:c>
      <x:c r="E6133" s="0" t="s">
        <x:v>24388</x:v>
      </x:c>
      <x:c r="F6133" s="0" t="s">
        <x:v>45</x:v>
      </x:c>
      <x:c r="G6133" s="0" t="s">
        <x:v>19</x:v>
      </x:c>
      <x:c r="H6133" s="0" t="s">
        <x:v>20</x:v>
      </x:c>
      <x:c r="I6133" s="0" t="s">
        <x:v>21</x:v>
      </x:c>
      <x:c r="K6133" s="0">
        <x:f>hyperlink("https://icd.who.int/dev11/l-ichi/en#/http%3A%2F%2Fid.who.int%2Ficd%2Fentity%2F1089461449","browser")</x:f>
      </x:c>
      <x:c r="L6133" s="0">
        <x:f>hyperlink("https://icat2.azurewebsites.net/icat/?ontology=ICD&amp;tab=ClassesTab&amp;id=http%3A%2F%2Fwho.int%2Ficd%2335580_512ebf36_bf6b_4d70_85da_cf2637062af4","iCat")</x:f>
      </x:c>
      <x:c r="M6133" s="0" t="s">
        <x:v>21</x:v>
      </x:c>
      <x:c r="N6133" s="0" t="s">
        <x:v>46</x:v>
      </x:c>
    </x:row>
    <x:row r="6134" spans="1:16">
      <x:c r="A6134" s="0" t="s">
        <x:v>24389</x:v>
      </x:c>
      <x:c r="B6134" s="0" t="s">
        <x:v>24390</x:v>
      </x:c>
      <x:c r="C6134" s="0" t="s">
        <x:v>24391</x:v>
      </x:c>
      <x:c r="E6134" s="0" t="s">
        <x:v>24392</x:v>
      </x:c>
      <x:c r="F6134" s="0" t="s">
        <x:v>45</x:v>
      </x:c>
      <x:c r="G6134" s="0" t="s">
        <x:v>19</x:v>
      </x:c>
      <x:c r="H6134" s="0" t="s">
        <x:v>20</x:v>
      </x:c>
      <x:c r="I6134" s="0" t="s">
        <x:v>21</x:v>
      </x:c>
      <x:c r="K6134" s="0">
        <x:f>hyperlink("https://icd.who.int/dev11/l-ichi/en#/http%3A%2F%2Fid.who.int%2Ficd%2Fentity%2F278136184","browser")</x:f>
      </x:c>
      <x:c r="L6134" s="0">
        <x:f>hyperlink("https://icat2.azurewebsites.net/icat/?ontology=ICD&amp;tab=ClassesTab&amp;id=http%3A%2F%2Fwho.int%2Ficd%2335586_512ebf36_bf6b_4d70_85da_cf2637062af4","iCat")</x:f>
      </x:c>
      <x:c r="M6134" s="0" t="s">
        <x:v>21</x:v>
      </x:c>
      <x:c r="N6134" s="0" t="s">
        <x:v>46</x:v>
      </x:c>
    </x:row>
    <x:row r="6135" spans="1:16">
      <x:c r="A6135" s="0" t="s">
        <x:v>24393</x:v>
      </x:c>
      <x:c r="B6135" s="0" t="s">
        <x:v>24394</x:v>
      </x:c>
      <x:c r="C6135" s="0" t="s">
        <x:v>24395</x:v>
      </x:c>
      <x:c r="E6135" s="0" t="s">
        <x:v>24396</x:v>
      </x:c>
      <x:c r="F6135" s="0" t="s">
        <x:v>45</x:v>
      </x:c>
      <x:c r="G6135" s="0" t="s">
        <x:v>19</x:v>
      </x:c>
      <x:c r="H6135" s="0" t="s">
        <x:v>20</x:v>
      </x:c>
      <x:c r="I6135" s="0" t="s">
        <x:v>21</x:v>
      </x:c>
      <x:c r="K6135" s="0">
        <x:f>hyperlink("https://icd.who.int/dev11/l-ichi/en#/http%3A%2F%2Fid.who.int%2Ficd%2Fentity%2F1331057755","browser")</x:f>
      </x:c>
      <x:c r="L6135" s="0">
        <x:f>hyperlink("https://icat2.azurewebsites.net/icat/?ontology=ICD&amp;tab=ClassesTab&amp;id=http%3A%2F%2Fwho.int%2Ficd%2335592_512ebf36_bf6b_4d70_85da_cf2637062af4","iCat")</x:f>
      </x:c>
      <x:c r="M6135" s="0" t="s">
        <x:v>21</x:v>
      </x:c>
      <x:c r="N6135" s="0" t="s">
        <x:v>46</x:v>
      </x:c>
    </x:row>
    <x:row r="6136" spans="1:16">
      <x:c r="A6136" s="0" t="s">
        <x:v>24397</x:v>
      </x:c>
      <x:c r="B6136" s="0" t="s">
        <x:v>24398</x:v>
      </x:c>
      <x:c r="C6136" s="0" t="s">
        <x:v>24399</x:v>
      </x:c>
      <x:c r="E6136" s="0" t="s">
        <x:v>24400</x:v>
      </x:c>
      <x:c r="F6136" s="0" t="s">
        <x:v>45</x:v>
      </x:c>
      <x:c r="G6136" s="0" t="s">
        <x:v>19</x:v>
      </x:c>
      <x:c r="H6136" s="0" t="s">
        <x:v>20</x:v>
      </x:c>
      <x:c r="I6136" s="0" t="s">
        <x:v>21</x:v>
      </x:c>
      <x:c r="K6136" s="0">
        <x:f>hyperlink("https://icd.who.int/dev11/l-ichi/en#/http%3A%2F%2Fid.who.int%2Ficd%2Fentity%2F1688942795","browser")</x:f>
      </x:c>
      <x:c r="L6136" s="0">
        <x:f>hyperlink("https://icat2.azurewebsites.net/icat/?ontology=ICD&amp;tab=ClassesTab&amp;id=http%3A%2F%2Fwho.int%2Ficd%2335598_512ebf36_bf6b_4d70_85da_cf2637062af4","iCat")</x:f>
      </x:c>
      <x:c r="M6136" s="0" t="s">
        <x:v>21</x:v>
      </x:c>
      <x:c r="N6136" s="0" t="s">
        <x:v>46</x:v>
      </x:c>
    </x:row>
    <x:row r="6137" spans="1:16">
      <x:c r="A6137" s="0" t="s">
        <x:v>24401</x:v>
      </x:c>
      <x:c r="B6137" s="0" t="s">
        <x:v>24402</x:v>
      </x:c>
      <x:c r="C6137" s="0" t="s">
        <x:v>24403</x:v>
      </x:c>
      <x:c r="E6137" s="0" t="s">
        <x:v>24404</x:v>
      </x:c>
      <x:c r="F6137" s="0" t="s">
        <x:v>45</x:v>
      </x:c>
      <x:c r="G6137" s="0" t="s">
        <x:v>19</x:v>
      </x:c>
      <x:c r="H6137" s="0" t="s">
        <x:v>20</x:v>
      </x:c>
      <x:c r="I6137" s="0" t="s">
        <x:v>21</x:v>
      </x:c>
      <x:c r="K6137" s="0">
        <x:f>hyperlink("https://icd.who.int/dev11/l-ichi/en#/http%3A%2F%2Fid.who.int%2Ficd%2Fentity%2F193393952","browser")</x:f>
      </x:c>
      <x:c r="L6137" s="0">
        <x:f>hyperlink("https://icat2.azurewebsites.net/icat/?ontology=ICD&amp;tab=ClassesTab&amp;id=http%3A%2F%2Fwho.int%2Ficd%2335604_512ebf36_bf6b_4d70_85da_cf2637062af4","iCat")</x:f>
      </x:c>
      <x:c r="M6137" s="0" t="s">
        <x:v>21</x:v>
      </x:c>
      <x:c r="N6137" s="0" t="s">
        <x:v>46</x:v>
      </x:c>
    </x:row>
    <x:row r="6138" spans="1:16">
      <x:c r="A6138" s="0" t="s">
        <x:v>24405</x:v>
      </x:c>
      <x:c r="B6138" s="0" t="s">
        <x:v>24406</x:v>
      </x:c>
      <x:c r="C6138" s="0" t="s">
        <x:v>24407</x:v>
      </x:c>
      <x:c r="E6138" s="0" t="s">
        <x:v>24408</x:v>
      </x:c>
      <x:c r="F6138" s="0" t="s">
        <x:v>45</x:v>
      </x:c>
      <x:c r="G6138" s="0" t="s">
        <x:v>19</x:v>
      </x:c>
      <x:c r="H6138" s="0" t="s">
        <x:v>20</x:v>
      </x:c>
      <x:c r="I6138" s="0" t="s">
        <x:v>21</x:v>
      </x:c>
      <x:c r="K6138" s="0">
        <x:f>hyperlink("https://icd.who.int/dev11/l-ichi/en#/http%3A%2F%2Fid.who.int%2Ficd%2Fentity%2F1413784579","browser")</x:f>
      </x:c>
      <x:c r="L6138" s="0">
        <x:f>hyperlink("https://icat2.azurewebsites.net/icat/?ontology=ICD&amp;tab=ClassesTab&amp;id=http%3A%2F%2Fwho.int%2Ficd%2335610_512ebf36_bf6b_4d70_85da_cf2637062af4","iCat")</x:f>
      </x:c>
      <x:c r="M6138" s="0" t="s">
        <x:v>21</x:v>
      </x:c>
      <x:c r="N6138" s="0" t="s">
        <x:v>46</x:v>
      </x:c>
    </x:row>
    <x:row r="6139" spans="1:16">
      <x:c r="A6139" s="0" t="s">
        <x:v>24409</x:v>
      </x:c>
      <x:c r="B6139" s="0" t="s">
        <x:v>24410</x:v>
      </x:c>
      <x:c r="C6139" s="0" t="s">
        <x:v>24411</x:v>
      </x:c>
      <x:c r="E6139" s="0" t="s">
        <x:v>24412</x:v>
      </x:c>
      <x:c r="F6139" s="0" t="s">
        <x:v>45</x:v>
      </x:c>
      <x:c r="G6139" s="0" t="s">
        <x:v>19</x:v>
      </x:c>
      <x:c r="H6139" s="0" t="s">
        <x:v>20</x:v>
      </x:c>
      <x:c r="I6139" s="0" t="s">
        <x:v>21</x:v>
      </x:c>
      <x:c r="K6139" s="0">
        <x:f>hyperlink("https://icd.who.int/dev11/l-ichi/en#/http%3A%2F%2Fid.who.int%2Ficd%2Fentity%2F351659012","browser")</x:f>
      </x:c>
      <x:c r="L6139" s="0">
        <x:f>hyperlink("https://icat2.azurewebsites.net/icat/?ontology=ICD&amp;tab=ClassesTab&amp;id=http%3A%2F%2Fwho.int%2Ficd%2335620_512ebf36_bf6b_4d70_85da_cf2637062af4","iCat")</x:f>
      </x:c>
      <x:c r="M6139" s="0" t="s">
        <x:v>21</x:v>
      </x:c>
      <x:c r="N6139" s="0" t="s">
        <x:v>46</x:v>
      </x:c>
    </x:row>
    <x:row r="6140" spans="1:16">
      <x:c r="A6140" s="0" t="s">
        <x:v>24413</x:v>
      </x:c>
      <x:c r="B6140" s="0" t="s">
        <x:v>24414</x:v>
      </x:c>
      <x:c r="C6140" s="0" t="s">
        <x:v>24415</x:v>
      </x:c>
      <x:c r="E6140" s="0" t="s">
        <x:v>24416</x:v>
      </x:c>
      <x:c r="F6140" s="0" t="s">
        <x:v>45</x:v>
      </x:c>
      <x:c r="G6140" s="0" t="s">
        <x:v>19</x:v>
      </x:c>
      <x:c r="H6140" s="0" t="s">
        <x:v>20</x:v>
      </x:c>
      <x:c r="I6140" s="0" t="s">
        <x:v>21</x:v>
      </x:c>
      <x:c r="K6140" s="0">
        <x:f>hyperlink("https://icd.who.int/dev11/l-ichi/en#/http%3A%2F%2Fid.who.int%2Ficd%2Fentity%2F1517589841","browser")</x:f>
      </x:c>
      <x:c r="L6140" s="0">
        <x:f>hyperlink("https://icat2.azurewebsites.net/icat/?ontology=ICD&amp;tab=ClassesTab&amp;id=http%3A%2F%2Fwho.int%2Ficd%2335628_512ebf36_bf6b_4d70_85da_cf2637062af4","iCat")</x:f>
      </x:c>
      <x:c r="M6140" s="0" t="s">
        <x:v>21</x:v>
      </x:c>
      <x:c r="N6140" s="0" t="s">
        <x:v>46</x:v>
      </x:c>
    </x:row>
    <x:row r="6141" spans="1:16">
      <x:c r="A6141" s="0" t="s">
        <x:v>24417</x:v>
      </x:c>
      <x:c r="B6141" s="0" t="s">
        <x:v>24418</x:v>
      </x:c>
      <x:c r="C6141" s="0" t="s">
        <x:v>24419</x:v>
      </x:c>
      <x:c r="E6141" s="0" t="s">
        <x:v>24420</x:v>
      </x:c>
      <x:c r="F6141" s="0" t="s">
        <x:v>45</x:v>
      </x:c>
      <x:c r="G6141" s="0" t="s">
        <x:v>19</x:v>
      </x:c>
      <x:c r="H6141" s="0" t="s">
        <x:v>20</x:v>
      </x:c>
      <x:c r="I6141" s="0" t="s">
        <x:v>21</x:v>
      </x:c>
      <x:c r="K6141" s="0">
        <x:f>hyperlink("https://icd.who.int/dev11/l-ichi/en#/http%3A%2F%2Fid.who.int%2Ficd%2Fentity%2F776710372","browser")</x:f>
      </x:c>
      <x:c r="L6141" s="0">
        <x:f>hyperlink("https://icat2.azurewebsites.net/icat/?ontology=ICD&amp;tab=ClassesTab&amp;id=http%3A%2F%2Fwho.int%2Ficd%2335636_512ebf36_bf6b_4d70_85da_cf2637062af4","iCat")</x:f>
      </x:c>
      <x:c r="M6141" s="0" t="s">
        <x:v>21</x:v>
      </x:c>
      <x:c r="N6141" s="0" t="s">
        <x:v>46</x:v>
      </x:c>
    </x:row>
    <x:row r="6142" spans="1:16">
      <x:c r="A6142" s="0" t="s">
        <x:v>24421</x:v>
      </x:c>
      <x:c r="B6142" s="0" t="s">
        <x:v>24422</x:v>
      </x:c>
      <x:c r="C6142" s="0" t="s">
        <x:v>24423</x:v>
      </x:c>
      <x:c r="E6142" s="0" t="s">
        <x:v>24424</x:v>
      </x:c>
      <x:c r="F6142" s="0" t="s">
        <x:v>45</x:v>
      </x:c>
      <x:c r="G6142" s="0" t="s">
        <x:v>19</x:v>
      </x:c>
      <x:c r="H6142" s="0" t="s">
        <x:v>20</x:v>
      </x:c>
      <x:c r="I6142" s="0" t="s">
        <x:v>21</x:v>
      </x:c>
      <x:c r="K6142" s="0">
        <x:f>hyperlink("https://icd.who.int/dev11/l-ichi/en#/http%3A%2F%2Fid.who.int%2Ficd%2Fentity%2F215430514","browser")</x:f>
      </x:c>
      <x:c r="L6142" s="0">
        <x:f>hyperlink("https://icat2.azurewebsites.net/icat/?ontology=ICD&amp;tab=ClassesTab&amp;id=http%3A%2F%2Fwho.int%2Ficd%2314162_4869915e_217e_423d_acb3_33c0f920ef4b","iCat")</x:f>
      </x:c>
      <x:c r="M6142" s="0" t="s">
        <x:v>21</x:v>
      </x:c>
      <x:c r="N6142" s="0" t="s">
        <x:v>46</x:v>
      </x:c>
    </x:row>
    <x:row r="6143" spans="1:16">
      <x:c r="A6143" s="0" t="s">
        <x:v>24425</x:v>
      </x:c>
      <x:c r="B6143" s="0" t="s">
        <x:v>24426</x:v>
      </x:c>
      <x:c r="C6143" s="0" t="s">
        <x:v>24427</x:v>
      </x:c>
      <x:c r="E6143" s="0" t="s">
        <x:v>24428</x:v>
      </x:c>
      <x:c r="F6143" s="0" t="s">
        <x:v>45</x:v>
      </x:c>
      <x:c r="G6143" s="0" t="s">
        <x:v>19</x:v>
      </x:c>
      <x:c r="H6143" s="0" t="s">
        <x:v>20</x:v>
      </x:c>
      <x:c r="I6143" s="0" t="s">
        <x:v>21</x:v>
      </x:c>
      <x:c r="K6143" s="0">
        <x:f>hyperlink("https://icd.who.int/dev11/l-ichi/en#/http%3A%2F%2Fid.who.int%2Ficd%2Fentity%2F211682719","browser")</x:f>
      </x:c>
      <x:c r="L6143" s="0">
        <x:f>hyperlink("https://icat2.azurewebsites.net/icat/?ontology=ICD&amp;tab=ClassesTab&amp;id=http%3A%2F%2Fwho.int%2Ficd%2313438_4869915e_217e_423d_acb3_33c0f920ef4b","iCat")</x:f>
      </x:c>
      <x:c r="M6143" s="0" t="s">
        <x:v>21</x:v>
      </x:c>
      <x:c r="N6143" s="0" t="s">
        <x:v>46</x:v>
      </x:c>
    </x:row>
    <x:row r="6144" spans="1:16">
      <x:c r="A6144" s="0" t="s">
        <x:v>24429</x:v>
      </x:c>
      <x:c r="B6144" s="0" t="s">
        <x:v>24430</x:v>
      </x:c>
      <x:c r="C6144" s="0" t="s">
        <x:v>24431</x:v>
      </x:c>
      <x:c r="E6144" s="0" t="s">
        <x:v>24432</x:v>
      </x:c>
      <x:c r="F6144" s="0" t="s">
        <x:v>45</x:v>
      </x:c>
      <x:c r="G6144" s="0" t="s">
        <x:v>19</x:v>
      </x:c>
      <x:c r="H6144" s="0" t="s">
        <x:v>20</x:v>
      </x:c>
      <x:c r="I6144" s="0" t="s">
        <x:v>21</x:v>
      </x:c>
      <x:c r="K6144" s="0">
        <x:f>hyperlink("https://icd.who.int/dev11/l-ichi/en#/http%3A%2F%2Fid.who.int%2Ficd%2Fentity%2F81429794","browser")</x:f>
      </x:c>
      <x:c r="L6144" s="0">
        <x:f>hyperlink("https://icat2.azurewebsites.net/icat/?ontology=ICD&amp;tab=ClassesTab&amp;id=http%3A%2F%2Fwho.int%2Ficd%2335651_512ebf36_bf6b_4d70_85da_cf2637062af4","iCat")</x:f>
      </x:c>
      <x:c r="M6144" s="0" t="s">
        <x:v>21</x:v>
      </x:c>
      <x:c r="N6144" s="0" t="s">
        <x:v>46</x:v>
      </x:c>
    </x:row>
    <x:row r="6145" spans="1:16">
      <x:c r="A6145" s="0" t="s">
        <x:v>24433</x:v>
      </x:c>
      <x:c r="B6145" s="0" t="s">
        <x:v>24434</x:v>
      </x:c>
      <x:c r="C6145" s="0" t="s">
        <x:v>24435</x:v>
      </x:c>
      <x:c r="E6145" s="0" t="s">
        <x:v>24436</x:v>
      </x:c>
      <x:c r="F6145" s="0" t="s">
        <x:v>45</x:v>
      </x:c>
      <x:c r="G6145" s="0" t="s">
        <x:v>19</x:v>
      </x:c>
      <x:c r="H6145" s="0" t="s">
        <x:v>20</x:v>
      </x:c>
      <x:c r="I6145" s="0" t="s">
        <x:v>21</x:v>
      </x:c>
      <x:c r="K6145" s="0">
        <x:f>hyperlink("https://icd.who.int/dev11/l-ichi/en#/http%3A%2F%2Fid.who.int%2Ficd%2Fentity%2F1147913509","browser")</x:f>
      </x:c>
      <x:c r="L6145" s="0">
        <x:f>hyperlink("https://icat2.azurewebsites.net/icat/?ontology=ICD&amp;tab=ClassesTab&amp;id=http%3A%2F%2Fwho.int%2Ficd%2335661_512ebf36_bf6b_4d70_85da_cf2637062af4","iCat")</x:f>
      </x:c>
      <x:c r="M6145" s="0" t="s">
        <x:v>21</x:v>
      </x:c>
      <x:c r="N6145" s="0" t="s">
        <x:v>46</x:v>
      </x:c>
    </x:row>
    <x:row r="6146" spans="1:16">
      <x:c r="A6146" s="0" t="s">
        <x:v>24437</x:v>
      </x:c>
      <x:c r="B6146" s="0" t="s">
        <x:v>24438</x:v>
      </x:c>
      <x:c r="C6146" s="0" t="s">
        <x:v>24439</x:v>
      </x:c>
      <x:c r="E6146" s="0" t="s">
        <x:v>24440</x:v>
      </x:c>
      <x:c r="F6146" s="0" t="s">
        <x:v>45</x:v>
      </x:c>
      <x:c r="G6146" s="0" t="s">
        <x:v>19</x:v>
      </x:c>
      <x:c r="H6146" s="0" t="s">
        <x:v>20</x:v>
      </x:c>
      <x:c r="I6146" s="0" t="s">
        <x:v>21</x:v>
      </x:c>
      <x:c r="K6146" s="0">
        <x:f>hyperlink("https://icd.who.int/dev11/l-ichi/en#/http%3A%2F%2Fid.who.int%2Ficd%2Fentity%2F705939020","browser")</x:f>
      </x:c>
      <x:c r="L6146" s="0">
        <x:f>hyperlink("https://icat2.azurewebsites.net/icat/?ontology=ICD&amp;tab=ClassesTab&amp;id=http%3A%2F%2Fwho.int%2Ficd%2335668_512ebf36_bf6b_4d70_85da_cf2637062af4","iCat")</x:f>
      </x:c>
      <x:c r="M6146" s="0" t="s">
        <x:v>21</x:v>
      </x:c>
      <x:c r="N6146" s="0" t="s">
        <x:v>46</x:v>
      </x:c>
    </x:row>
    <x:row r="6147" spans="1:16">
      <x:c r="A6147" s="0" t="s">
        <x:v>24441</x:v>
      </x:c>
      <x:c r="B6147" s="0" t="s">
        <x:v>24442</x:v>
      </x:c>
      <x:c r="C6147" s="0" t="s">
        <x:v>24443</x:v>
      </x:c>
      <x:c r="E6147" s="0" t="s">
        <x:v>24444</x:v>
      </x:c>
      <x:c r="F6147" s="0" t="s">
        <x:v>45</x:v>
      </x:c>
      <x:c r="G6147" s="0" t="s">
        <x:v>19</x:v>
      </x:c>
      <x:c r="H6147" s="0" t="s">
        <x:v>20</x:v>
      </x:c>
      <x:c r="I6147" s="0" t="s">
        <x:v>21</x:v>
      </x:c>
      <x:c r="K6147" s="0">
        <x:f>hyperlink("https://icd.who.int/dev11/l-ichi/en#/http%3A%2F%2Fid.who.int%2Ficd%2Fentity%2F1580006399","browser")</x:f>
      </x:c>
      <x:c r="L6147" s="0">
        <x:f>hyperlink("https://icat2.azurewebsites.net/icat/?ontology=ICD&amp;tab=ClassesTab&amp;id=http%3A%2F%2Fwho.int%2Ficd%2335676_512ebf36_bf6b_4d70_85da_cf2637062af4","iCat")</x:f>
      </x:c>
      <x:c r="M6147" s="0" t="s">
        <x:v>21</x:v>
      </x:c>
      <x:c r="N6147" s="0" t="s">
        <x:v>46</x:v>
      </x:c>
    </x:row>
    <x:row r="6148" spans="1:16">
      <x:c r="A6148" s="0" t="s">
        <x:v>24445</x:v>
      </x:c>
      <x:c r="B6148" s="0" t="s">
        <x:v>24446</x:v>
      </x:c>
      <x:c r="C6148" s="0" t="s">
        <x:v>24447</x:v>
      </x:c>
      <x:c r="E6148" s="0" t="s">
        <x:v>24448</x:v>
      </x:c>
      <x:c r="F6148" s="0" t="s">
        <x:v>45</x:v>
      </x:c>
      <x:c r="G6148" s="0" t="s">
        <x:v>19</x:v>
      </x:c>
      <x:c r="H6148" s="0" t="s">
        <x:v>20</x:v>
      </x:c>
      <x:c r="I6148" s="0" t="s">
        <x:v>21</x:v>
      </x:c>
      <x:c r="K6148" s="0">
        <x:f>hyperlink("https://icd.who.int/dev11/l-ichi/en#/http%3A%2F%2Fid.who.int%2Ficd%2Fentity%2F1362281245","browser")</x:f>
      </x:c>
      <x:c r="L6148" s="0">
        <x:f>hyperlink("https://icat2.azurewebsites.net/icat/?ontology=ICD&amp;tab=ClassesTab&amp;id=http%3A%2F%2Fwho.int%2Ficd%2335687_512ebf36_bf6b_4d70_85da_cf2637062af4","iCat")</x:f>
      </x:c>
      <x:c r="M6148" s="0" t="s">
        <x:v>21</x:v>
      </x:c>
      <x:c r="N6148" s="0" t="s">
        <x:v>46</x:v>
      </x:c>
    </x:row>
    <x:row r="6149" spans="1:16">
      <x:c r="A6149" s="0" t="s">
        <x:v>24449</x:v>
      </x:c>
      <x:c r="B6149" s="0" t="s">
        <x:v>24450</x:v>
      </x:c>
      <x:c r="C6149" s="0" t="s">
        <x:v>24451</x:v>
      </x:c>
      <x:c r="E6149" s="0" t="s">
        <x:v>24452</x:v>
      </x:c>
      <x:c r="F6149" s="0" t="s">
        <x:v>45</x:v>
      </x:c>
      <x:c r="G6149" s="0" t="s">
        <x:v>19</x:v>
      </x:c>
      <x:c r="H6149" s="0" t="s">
        <x:v>20</x:v>
      </x:c>
      <x:c r="I6149" s="0" t="s">
        <x:v>21</x:v>
      </x:c>
      <x:c r="K6149" s="0">
        <x:f>hyperlink("https://icd.who.int/dev11/l-ichi/en#/http%3A%2F%2Fid.who.int%2Ficd%2Fentity%2F621674160","browser")</x:f>
      </x:c>
      <x:c r="L6149" s="0">
        <x:f>hyperlink("https://icat2.azurewebsites.net/icat/?ontology=ICD&amp;tab=ClassesTab&amp;id=http%3A%2F%2Fwho.int%2Ficd%2335699_512ebf36_bf6b_4d70_85da_cf2637062af4","iCat")</x:f>
      </x:c>
      <x:c r="M6149" s="0" t="s">
        <x:v>21</x:v>
      </x:c>
      <x:c r="N6149" s="0" t="s">
        <x:v>46</x:v>
      </x:c>
    </x:row>
    <x:row r="6150" spans="1:16">
      <x:c r="A6150" s="0" t="s">
        <x:v>24453</x:v>
      </x:c>
      <x:c r="B6150" s="0" t="s">
        <x:v>24454</x:v>
      </x:c>
      <x:c r="C6150" s="0" t="s">
        <x:v>24455</x:v>
      </x:c>
      <x:c r="E6150" s="0" t="s">
        <x:v>24456</x:v>
      </x:c>
      <x:c r="F6150" s="0" t="s">
        <x:v>45</x:v>
      </x:c>
      <x:c r="G6150" s="0" t="s">
        <x:v>19</x:v>
      </x:c>
      <x:c r="H6150" s="0" t="s">
        <x:v>20</x:v>
      </x:c>
      <x:c r="I6150" s="0" t="s">
        <x:v>21</x:v>
      </x:c>
      <x:c r="K6150" s="0">
        <x:f>hyperlink("https://icd.who.int/dev11/l-ichi/en#/http%3A%2F%2Fid.who.int%2Ficd%2Fentity%2F19009698","browser")</x:f>
      </x:c>
      <x:c r="L6150" s="0">
        <x:f>hyperlink("https://icat2.azurewebsites.net/icat/?ontology=ICD&amp;tab=ClassesTab&amp;id=http%3A%2F%2Fwho.int%2Ficd%2335711_512ebf36_bf6b_4d70_85da_cf2637062af4","iCat")</x:f>
      </x:c>
      <x:c r="M6150" s="0" t="s">
        <x:v>21</x:v>
      </x:c>
      <x:c r="N6150" s="0" t="s">
        <x:v>46</x:v>
      </x:c>
    </x:row>
    <x:row r="6151" spans="1:16">
      <x:c r="A6151" s="0" t="s">
        <x:v>24457</x:v>
      </x:c>
      <x:c r="B6151" s="0" t="s">
        <x:v>24458</x:v>
      </x:c>
      <x:c r="C6151" s="0" t="s">
        <x:v>24459</x:v>
      </x:c>
      <x:c r="E6151" s="0" t="s">
        <x:v>24460</x:v>
      </x:c>
      <x:c r="F6151" s="0" t="s">
        <x:v>45</x:v>
      </x:c>
      <x:c r="G6151" s="0" t="s">
        <x:v>19</x:v>
      </x:c>
      <x:c r="H6151" s="0" t="s">
        <x:v>20</x:v>
      </x:c>
      <x:c r="I6151" s="0" t="s">
        <x:v>21</x:v>
      </x:c>
      <x:c r="K6151" s="0">
        <x:f>hyperlink("https://icd.who.int/dev11/l-ichi/en#/http%3A%2F%2Fid.who.int%2Ficd%2Fentity%2F823261994","browser")</x:f>
      </x:c>
      <x:c r="L6151" s="0">
        <x:f>hyperlink("https://icat2.azurewebsites.net/icat/?ontology=ICD&amp;tab=ClassesTab&amp;id=http%3A%2F%2Fwho.int%2Ficd%2335726_512ebf36_bf6b_4d70_85da_cf2637062af4","iCat")</x:f>
      </x:c>
      <x:c r="M6151" s="0" t="s">
        <x:v>21</x:v>
      </x:c>
      <x:c r="N6151" s="0" t="s">
        <x:v>46</x:v>
      </x:c>
    </x:row>
    <x:row r="6152" spans="1:16">
      <x:c r="A6152" s="0" t="s">
        <x:v>24461</x:v>
      </x:c>
      <x:c r="B6152" s="0" t="s">
        <x:v>24462</x:v>
      </x:c>
      <x:c r="C6152" s="0" t="s">
        <x:v>24463</x:v>
      </x:c>
      <x:c r="E6152" s="0" t="s">
        <x:v>24464</x:v>
      </x:c>
      <x:c r="F6152" s="0" t="s">
        <x:v>45</x:v>
      </x:c>
      <x:c r="G6152" s="0" t="s">
        <x:v>19</x:v>
      </x:c>
      <x:c r="H6152" s="0" t="s">
        <x:v>20</x:v>
      </x:c>
      <x:c r="I6152" s="0" t="s">
        <x:v>21</x:v>
      </x:c>
      <x:c r="K6152" s="0">
        <x:f>hyperlink("https://icd.who.int/dev11/l-ichi/en#/http%3A%2F%2Fid.who.int%2Ficd%2Fentity%2F1051227068","browser")</x:f>
      </x:c>
      <x:c r="L6152" s="0">
        <x:f>hyperlink("https://icat2.azurewebsites.net/icat/?ontology=ICD&amp;tab=ClassesTab&amp;id=http%3A%2F%2Fwho.int%2Ficd%2335734_512ebf36_bf6b_4d70_85da_cf2637062af4","iCat")</x:f>
      </x:c>
      <x:c r="M6152" s="0" t="s">
        <x:v>21</x:v>
      </x:c>
      <x:c r="N6152" s="0" t="s">
        <x:v>46</x:v>
      </x:c>
    </x:row>
    <x:row r="6153" spans="1:16">
      <x:c r="A6153" s="0" t="s">
        <x:v>24465</x:v>
      </x:c>
      <x:c r="B6153" s="0" t="s">
        <x:v>24466</x:v>
      </x:c>
      <x:c r="C6153" s="0" t="s">
        <x:v>24467</x:v>
      </x:c>
      <x:c r="E6153" s="0" t="s">
        <x:v>24468</x:v>
      </x:c>
      <x:c r="F6153" s="0" t="s">
        <x:v>45</x:v>
      </x:c>
      <x:c r="G6153" s="0" t="s">
        <x:v>19</x:v>
      </x:c>
      <x:c r="H6153" s="0" t="s">
        <x:v>20</x:v>
      </x:c>
      <x:c r="I6153" s="0" t="s">
        <x:v>21</x:v>
      </x:c>
      <x:c r="K6153" s="0">
        <x:f>hyperlink("https://icd.who.int/dev11/l-ichi/en#/http%3A%2F%2Fid.who.int%2Ficd%2Fentity%2F997827798","browser")</x:f>
      </x:c>
      <x:c r="L6153" s="0">
        <x:f>hyperlink("https://icat2.azurewebsites.net/icat/?ontology=ICD&amp;tab=ClassesTab&amp;id=http%3A%2F%2Fwho.int%2Ficd%2335740_512ebf36_bf6b_4d70_85da_cf2637062af4","iCat")</x:f>
      </x:c>
      <x:c r="M6153" s="0" t="s">
        <x:v>21</x:v>
      </x:c>
      <x:c r="N6153" s="0" t="s">
        <x:v>46</x:v>
      </x:c>
    </x:row>
    <x:row r="6154" spans="1:16">
      <x:c r="A6154" s="0" t="s">
        <x:v>24469</x:v>
      </x:c>
      <x:c r="B6154" s="0" t="s">
        <x:v>24470</x:v>
      </x:c>
      <x:c r="C6154" s="0" t="s">
        <x:v>24471</x:v>
      </x:c>
      <x:c r="E6154" s="0" t="s">
        <x:v>24472</x:v>
      </x:c>
      <x:c r="F6154" s="0" t="s">
        <x:v>45</x:v>
      </x:c>
      <x:c r="G6154" s="0" t="s">
        <x:v>19</x:v>
      </x:c>
      <x:c r="H6154" s="0" t="s">
        <x:v>20</x:v>
      </x:c>
      <x:c r="I6154" s="0" t="s">
        <x:v>21</x:v>
      </x:c>
      <x:c r="K6154" s="0">
        <x:f>hyperlink("https://icd.who.int/dev11/l-ichi/en#/http%3A%2F%2Fid.who.int%2Ficd%2Fentity%2F1795325285","browser")</x:f>
      </x:c>
      <x:c r="L6154" s="0">
        <x:f>hyperlink("https://icat2.azurewebsites.net/icat/?ontology=ICD&amp;tab=ClassesTab&amp;id=http%3A%2F%2Fwho.int%2Ficd%2335746_512ebf36_bf6b_4d70_85da_cf2637062af4","iCat")</x:f>
      </x:c>
      <x:c r="M6154" s="0" t="s">
        <x:v>21</x:v>
      </x:c>
      <x:c r="N6154" s="0" t="s">
        <x:v>46</x:v>
      </x:c>
    </x:row>
    <x:row r="6155" spans="1:16">
      <x:c r="A6155" s="0" t="s">
        <x:v>24473</x:v>
      </x:c>
      <x:c r="B6155" s="0" t="s">
        <x:v>24474</x:v>
      </x:c>
      <x:c r="C6155" s="0" t="s">
        <x:v>24475</x:v>
      </x:c>
      <x:c r="E6155" s="0" t="s">
        <x:v>24476</x:v>
      </x:c>
      <x:c r="F6155" s="0" t="s">
        <x:v>45</x:v>
      </x:c>
      <x:c r="G6155" s="0" t="s">
        <x:v>19</x:v>
      </x:c>
      <x:c r="H6155" s="0" t="s">
        <x:v>20</x:v>
      </x:c>
      <x:c r="I6155" s="0" t="s">
        <x:v>21</x:v>
      </x:c>
      <x:c r="K6155" s="0">
        <x:f>hyperlink("https://icd.who.int/dev11/l-ichi/en#/http%3A%2F%2Fid.who.int%2Ficd%2Fentity%2F1690039799","browser")</x:f>
      </x:c>
      <x:c r="L6155" s="0">
        <x:f>hyperlink("https://icat2.azurewebsites.net/icat/?ontology=ICD&amp;tab=ClassesTab&amp;id=http%3A%2F%2Fwho.int%2Ficd%2335754_512ebf36_bf6b_4d70_85da_cf2637062af4","iCat")</x:f>
      </x:c>
      <x:c r="M6155" s="0" t="s">
        <x:v>21</x:v>
      </x:c>
      <x:c r="N6155" s="0" t="s">
        <x:v>46</x:v>
      </x:c>
    </x:row>
    <x:row r="6156" spans="1:16">
      <x:c r="A6156" s="0" t="s">
        <x:v>24477</x:v>
      </x:c>
      <x:c r="B6156" s="0" t="s">
        <x:v>24478</x:v>
      </x:c>
      <x:c r="C6156" s="0" t="s">
        <x:v>24479</x:v>
      </x:c>
      <x:c r="E6156" s="0" t="s">
        <x:v>24480</x:v>
      </x:c>
      <x:c r="F6156" s="0" t="s">
        <x:v>45</x:v>
      </x:c>
      <x:c r="G6156" s="0" t="s">
        <x:v>19</x:v>
      </x:c>
      <x:c r="H6156" s="0" t="s">
        <x:v>20</x:v>
      </x:c>
      <x:c r="I6156" s="0" t="s">
        <x:v>21</x:v>
      </x:c>
      <x:c r="K6156" s="0">
        <x:f>hyperlink("https://icd.who.int/dev11/l-ichi/en#/http%3A%2F%2Fid.who.int%2Ficd%2Fentity%2F1412094537","browser")</x:f>
      </x:c>
      <x:c r="L6156" s="0">
        <x:f>hyperlink("https://icat2.azurewebsites.net/icat/?ontology=ICD&amp;tab=ClassesTab&amp;id=http%3A%2F%2Fwho.int%2Ficd%2313286_4869915e_217e_423d_acb3_33c0f920ef4b","iCat")</x:f>
      </x:c>
      <x:c r="M6156" s="0" t="s">
        <x:v>21</x:v>
      </x:c>
      <x:c r="N6156" s="0" t="s">
        <x:v>46</x:v>
      </x:c>
    </x:row>
    <x:row r="6157" spans="1:16">
      <x:c r="A6157" s="0" t="s">
        <x:v>24481</x:v>
      </x:c>
      <x:c r="B6157" s="0" t="s">
        <x:v>24482</x:v>
      </x:c>
      <x:c r="C6157" s="0" t="s">
        <x:v>24483</x:v>
      </x:c>
      <x:c r="E6157" s="0" t="s">
        <x:v>24484</x:v>
      </x:c>
      <x:c r="F6157" s="0" t="s">
        <x:v>45</x:v>
      </x:c>
      <x:c r="G6157" s="0" t="s">
        <x:v>19</x:v>
      </x:c>
      <x:c r="H6157" s="0" t="s">
        <x:v>20</x:v>
      </x:c>
      <x:c r="I6157" s="0" t="s">
        <x:v>21</x:v>
      </x:c>
      <x:c r="K6157" s="0">
        <x:f>hyperlink("https://icd.who.int/dev11/l-ichi/en#/http%3A%2F%2Fid.who.int%2Ficd%2Fentity%2F1636817417","browser")</x:f>
      </x:c>
      <x:c r="L6157" s="0">
        <x:f>hyperlink("https://icat2.azurewebsites.net/icat/?ontology=ICD&amp;tab=ClassesTab&amp;id=http%3A%2F%2Fwho.int%2Ficd%2335767_512ebf36_bf6b_4d70_85da_cf2637062af4","iCat")</x:f>
      </x:c>
      <x:c r="M6157" s="0" t="s">
        <x:v>21</x:v>
      </x:c>
      <x:c r="N6157" s="0" t="s">
        <x:v>46</x:v>
      </x:c>
    </x:row>
    <x:row r="6158" spans="1:16">
      <x:c r="A6158" s="0" t="s">
        <x:v>24485</x:v>
      </x:c>
      <x:c r="B6158" s="0" t="s">
        <x:v>24486</x:v>
      </x:c>
      <x:c r="C6158" s="0" t="s">
        <x:v>24487</x:v>
      </x:c>
      <x:c r="E6158" s="0" t="s">
        <x:v>24488</x:v>
      </x:c>
      <x:c r="F6158" s="0" t="s">
        <x:v>45</x:v>
      </x:c>
      <x:c r="G6158" s="0" t="s">
        <x:v>19</x:v>
      </x:c>
      <x:c r="H6158" s="0" t="s">
        <x:v>20</x:v>
      </x:c>
      <x:c r="I6158" s="0" t="s">
        <x:v>21</x:v>
      </x:c>
      <x:c r="K6158" s="0">
        <x:f>hyperlink("https://icd.who.int/dev11/l-ichi/en#/http%3A%2F%2Fid.who.int%2Ficd%2Fentity%2F1045269292","browser")</x:f>
      </x:c>
      <x:c r="L6158" s="0">
        <x:f>hyperlink("https://icat2.azurewebsites.net/icat/?ontology=ICD&amp;tab=ClassesTab&amp;id=http%3A%2F%2Fwho.int%2Ficd%2335773_512ebf36_bf6b_4d70_85da_cf2637062af4","iCat")</x:f>
      </x:c>
      <x:c r="M6158" s="0" t="s">
        <x:v>21</x:v>
      </x:c>
      <x:c r="N6158" s="0" t="s">
        <x:v>46</x:v>
      </x:c>
    </x:row>
    <x:row r="6159" spans="1:16">
      <x:c r="A6159" s="0" t="s">
        <x:v>24489</x:v>
      </x:c>
      <x:c r="B6159" s="0" t="s">
        <x:v>24490</x:v>
      </x:c>
      <x:c r="C6159" s="0" t="s">
        <x:v>24491</x:v>
      </x:c>
      <x:c r="E6159" s="0" t="s">
        <x:v>24492</x:v>
      </x:c>
      <x:c r="F6159" s="0" t="s">
        <x:v>45</x:v>
      </x:c>
      <x:c r="G6159" s="0" t="s">
        <x:v>19</x:v>
      </x:c>
      <x:c r="H6159" s="0" t="s">
        <x:v>20</x:v>
      </x:c>
      <x:c r="I6159" s="0" t="s">
        <x:v>21</x:v>
      </x:c>
      <x:c r="K6159" s="0">
        <x:f>hyperlink("https://icd.who.int/dev11/l-ichi/en#/http%3A%2F%2Fid.who.int%2Ficd%2Fentity%2F1412410893","browser")</x:f>
      </x:c>
      <x:c r="L6159" s="0">
        <x:f>hyperlink("https://icat2.azurewebsites.net/icat/?ontology=ICD&amp;tab=ClassesTab&amp;id=http%3A%2F%2Fwho.int%2Ficd%2335780_512ebf36_bf6b_4d70_85da_cf2637062af4","iCat")</x:f>
      </x:c>
      <x:c r="M6159" s="0" t="s">
        <x:v>21</x:v>
      </x:c>
      <x:c r="N6159" s="0" t="s">
        <x:v>46</x:v>
      </x:c>
    </x:row>
    <x:row r="6160" spans="1:16">
      <x:c r="A6160" s="0" t="s">
        <x:v>24493</x:v>
      </x:c>
      <x:c r="B6160" s="0" t="s">
        <x:v>24494</x:v>
      </x:c>
      <x:c r="D6160" s="0" t="s">
        <x:v>24495</x:v>
      </x:c>
      <x:c r="E6160" s="0" t="s">
        <x:v>24496</x:v>
      </x:c>
      <x:c r="F6160" s="0" t="s">
        <x:v>26</x:v>
      </x:c>
      <x:c r="G6160" s="0" t="s">
        <x:v>22</x:v>
      </x:c>
      <x:c r="H6160" s="0" t="s">
        <x:v>20</x:v>
      </x:c>
      <x:c r="I6160" s="0" t="s">
        <x:v>21</x:v>
      </x:c>
      <x:c r="K6160" s="0">
        <x:f>hyperlink("https://icd.who.int/dev11/l-ichi/en#/http%3A%2F%2Fid.who.int%2Ficd%2Fentity%2F447668056","browser")</x:f>
      </x:c>
      <x:c r="L6160" s="0">
        <x:f>hyperlink("https://icat2.azurewebsites.net/icat/?ontology=ICD&amp;tab=ClassesTab&amp;id=http%3A%2F%2Fwho.int%2Ficd%2335788_512ebf36_bf6b_4d70_85da_cf2637062af4","iCat")</x:f>
      </x:c>
      <x:c r="M6160" s="0" t="s">
        <x:v>20</x:v>
      </x:c>
      <x:c r="N6160" s="0" t="s">
        <x:v>3046</x:v>
      </x:c>
    </x:row>
    <x:row r="6161" spans="1:16">
      <x:c r="A6161" s="0" t="s">
        <x:v>24497</x:v>
      </x:c>
      <x:c r="B6161" s="0" t="s">
        <x:v>24498</x:v>
      </x:c>
      <x:c r="C6161" s="0" t="s">
        <x:v>24499</x:v>
      </x:c>
      <x:c r="E6161" s="0" t="s">
        <x:v>24500</x:v>
      </x:c>
      <x:c r="F6161" s="0" t="s">
        <x:v>45</x:v>
      </x:c>
      <x:c r="G6161" s="0" t="s">
        <x:v>19</x:v>
      </x:c>
      <x:c r="H6161" s="0" t="s">
        <x:v>20</x:v>
      </x:c>
      <x:c r="I6161" s="0" t="s">
        <x:v>21</x:v>
      </x:c>
      <x:c r="K6161" s="0">
        <x:f>hyperlink("https://icd.who.int/dev11/l-ichi/en#/http%3A%2F%2Fid.who.int%2Ficd%2Fentity%2F615318912","browser")</x:f>
      </x:c>
      <x:c r="L6161" s="0">
        <x:f>hyperlink("https://icat2.azurewebsites.net/icat/?ontology=ICD&amp;tab=ClassesTab&amp;id=http%3A%2F%2Fwho.int%2Ficd%2335787_512ebf36_bf6b_4d70_85da_cf2637062af4","iCat")</x:f>
      </x:c>
      <x:c r="M6161" s="0" t="s">
        <x:v>21</x:v>
      </x:c>
      <x:c r="N6161" s="0" t="s">
        <x:v>46</x:v>
      </x:c>
    </x:row>
    <x:row r="6162" spans="1:16">
      <x:c r="A6162" s="0" t="s">
        <x:v>24501</x:v>
      </x:c>
      <x:c r="B6162" s="0" t="s">
        <x:v>24502</x:v>
      </x:c>
      <x:c r="C6162" s="0" t="s">
        <x:v>24503</x:v>
      </x:c>
      <x:c r="E6162" s="0" t="s">
        <x:v>24504</x:v>
      </x:c>
      <x:c r="F6162" s="0" t="s">
        <x:v>45</x:v>
      </x:c>
      <x:c r="G6162" s="0" t="s">
        <x:v>19</x:v>
      </x:c>
      <x:c r="H6162" s="0" t="s">
        <x:v>20</x:v>
      </x:c>
      <x:c r="I6162" s="0" t="s">
        <x:v>21</x:v>
      </x:c>
      <x:c r="K6162" s="0">
        <x:f>hyperlink("https://icd.who.int/dev11/l-ichi/en#/http%3A%2F%2Fid.who.int%2Ficd%2Fentity%2F497686003","browser")</x:f>
      </x:c>
      <x:c r="L6162" s="0">
        <x:f>hyperlink("https://icat2.azurewebsites.net/icat/?ontology=ICD&amp;tab=ClassesTab&amp;id=http%3A%2F%2Fwho.int%2Ficd%2335801_512ebf36_bf6b_4d70_85da_cf2637062af4","iCat")</x:f>
      </x:c>
      <x:c r="M6162" s="0" t="s">
        <x:v>21</x:v>
      </x:c>
      <x:c r="N6162" s="0" t="s">
        <x:v>46</x:v>
      </x:c>
    </x:row>
    <x:row r="6163" spans="1:16">
      <x:c r="A6163" s="0" t="s">
        <x:v>24505</x:v>
      </x:c>
      <x:c r="B6163" s="0" t="s">
        <x:v>24506</x:v>
      </x:c>
      <x:c r="C6163" s="0" t="s">
        <x:v>24507</x:v>
      </x:c>
      <x:c r="E6163" s="0" t="s">
        <x:v>24508</x:v>
      </x:c>
      <x:c r="F6163" s="0" t="s">
        <x:v>45</x:v>
      </x:c>
      <x:c r="G6163" s="0" t="s">
        <x:v>19</x:v>
      </x:c>
      <x:c r="H6163" s="0" t="s">
        <x:v>20</x:v>
      </x:c>
      <x:c r="I6163" s="0" t="s">
        <x:v>21</x:v>
      </x:c>
      <x:c r="K6163" s="0">
        <x:f>hyperlink("https://icd.who.int/dev11/l-ichi/en#/http%3A%2F%2Fid.who.int%2Ficd%2Fentity%2F1943148186","browser")</x:f>
      </x:c>
      <x:c r="L6163" s="0">
        <x:f>hyperlink("https://icat2.azurewebsites.net/icat/?ontology=ICD&amp;tab=ClassesTab&amp;id=http%3A%2F%2Fwho.int%2Ficd%2335808_512ebf36_bf6b_4d70_85da_cf2637062af4","iCat")</x:f>
      </x:c>
      <x:c r="M6163" s="0" t="s">
        <x:v>21</x:v>
      </x:c>
      <x:c r="N6163" s="0" t="s">
        <x:v>46</x:v>
      </x:c>
    </x:row>
    <x:row r="6164" spans="1:16">
      <x:c r="A6164" s="0" t="s">
        <x:v>24509</x:v>
      </x:c>
      <x:c r="B6164" s="0" t="s">
        <x:v>24510</x:v>
      </x:c>
      <x:c r="C6164" s="0" t="s">
        <x:v>24511</x:v>
      </x:c>
      <x:c r="E6164" s="0" t="s">
        <x:v>24512</x:v>
      </x:c>
      <x:c r="F6164" s="0" t="s">
        <x:v>45</x:v>
      </x:c>
      <x:c r="G6164" s="0" t="s">
        <x:v>19</x:v>
      </x:c>
      <x:c r="H6164" s="0" t="s">
        <x:v>20</x:v>
      </x:c>
      <x:c r="I6164" s="0" t="s">
        <x:v>21</x:v>
      </x:c>
      <x:c r="K6164" s="0">
        <x:f>hyperlink("https://icd.who.int/dev11/l-ichi/en#/http%3A%2F%2Fid.who.int%2Ficd%2Fentity%2F1114129616","browser")</x:f>
      </x:c>
      <x:c r="L6164" s="0">
        <x:f>hyperlink("https://icat2.azurewebsites.net/icat/?ontology=ICD&amp;tab=ClassesTab&amp;id=http%3A%2F%2Fwho.int%2Ficd%2335815_512ebf36_bf6b_4d70_85da_cf2637062af4","iCat")</x:f>
      </x:c>
      <x:c r="M6164" s="0" t="s">
        <x:v>21</x:v>
      </x:c>
      <x:c r="N6164" s="0" t="s">
        <x:v>46</x:v>
      </x:c>
    </x:row>
    <x:row r="6165" spans="1:16">
      <x:c r="A6165" s="0" t="s">
        <x:v>24513</x:v>
      </x:c>
      <x:c r="B6165" s="0" t="s">
        <x:v>24514</x:v>
      </x:c>
      <x:c r="C6165" s="0" t="s">
        <x:v>24515</x:v>
      </x:c>
      <x:c r="E6165" s="0" t="s">
        <x:v>24516</x:v>
      </x:c>
      <x:c r="F6165" s="0" t="s">
        <x:v>45</x:v>
      </x:c>
      <x:c r="G6165" s="0" t="s">
        <x:v>19</x:v>
      </x:c>
      <x:c r="H6165" s="0" t="s">
        <x:v>20</x:v>
      </x:c>
      <x:c r="I6165" s="0" t="s">
        <x:v>21</x:v>
      </x:c>
      <x:c r="K6165" s="0">
        <x:f>hyperlink("https://icd.who.int/dev11/l-ichi/en#/http%3A%2F%2Fid.who.int%2Ficd%2Fentity%2F1918611292","browser")</x:f>
      </x:c>
      <x:c r="L6165" s="0">
        <x:f>hyperlink("https://icat2.azurewebsites.net/icat/?ontology=ICD&amp;tab=ClassesTab&amp;id=http%3A%2F%2Fwho.int%2Ficd%2335822_512ebf36_bf6b_4d70_85da_cf2637062af4","iCat")</x:f>
      </x:c>
      <x:c r="M6165" s="0" t="s">
        <x:v>21</x:v>
      </x:c>
      <x:c r="N6165" s="0" t="s">
        <x:v>46</x:v>
      </x:c>
    </x:row>
    <x:row r="6166" spans="1:16">
      <x:c r="A6166" s="0" t="s">
        <x:v>24517</x:v>
      </x:c>
      <x:c r="B6166" s="0" t="s">
        <x:v>24518</x:v>
      </x:c>
      <x:c r="C6166" s="0" t="s">
        <x:v>24519</x:v>
      </x:c>
      <x:c r="E6166" s="0" t="s">
        <x:v>24520</x:v>
      </x:c>
      <x:c r="F6166" s="0" t="s">
        <x:v>45</x:v>
      </x:c>
      <x:c r="G6166" s="0" t="s">
        <x:v>19</x:v>
      </x:c>
      <x:c r="H6166" s="0" t="s">
        <x:v>20</x:v>
      </x:c>
      <x:c r="I6166" s="0" t="s">
        <x:v>21</x:v>
      </x:c>
      <x:c r="K6166" s="0">
        <x:f>hyperlink("https://icd.who.int/dev11/l-ichi/en#/http%3A%2F%2Fid.who.int%2Ficd%2Fentity%2F2036314614","browser")</x:f>
      </x:c>
      <x:c r="L6166" s="0">
        <x:f>hyperlink("https://icat2.azurewebsites.net/icat/?ontology=ICD&amp;tab=ClassesTab&amp;id=http%3A%2F%2Fwho.int%2Ficd%2335829_512ebf36_bf6b_4d70_85da_cf2637062af4","iCat")</x:f>
      </x:c>
      <x:c r="M6166" s="0" t="s">
        <x:v>21</x:v>
      </x:c>
      <x:c r="N6166" s="0" t="s">
        <x:v>46</x:v>
      </x:c>
    </x:row>
    <x:row r="6167" spans="1:16">
      <x:c r="A6167" s="0" t="s">
        <x:v>24521</x:v>
      </x:c>
      <x:c r="B6167" s="0" t="s">
        <x:v>24522</x:v>
      </x:c>
      <x:c r="C6167" s="0" t="s">
        <x:v>24523</x:v>
      </x:c>
      <x:c r="E6167" s="0" t="s">
        <x:v>24524</x:v>
      </x:c>
      <x:c r="F6167" s="0" t="s">
        <x:v>45</x:v>
      </x:c>
      <x:c r="G6167" s="0" t="s">
        <x:v>19</x:v>
      </x:c>
      <x:c r="H6167" s="0" t="s">
        <x:v>20</x:v>
      </x:c>
      <x:c r="I6167" s="0" t="s">
        <x:v>21</x:v>
      </x:c>
      <x:c r="K6167" s="0">
        <x:f>hyperlink("https://icd.who.int/dev11/l-ichi/en#/http%3A%2F%2Fid.who.int%2Ficd%2Fentity%2F765066873","browser")</x:f>
      </x:c>
      <x:c r="L6167" s="0">
        <x:f>hyperlink("https://icat2.azurewebsites.net/icat/?ontology=ICD&amp;tab=ClassesTab&amp;id=http%3A%2F%2Fwho.int%2Ficd%2335836_512ebf36_bf6b_4d70_85da_cf2637062af4","iCat")</x:f>
      </x:c>
      <x:c r="M6167" s="0" t="s">
        <x:v>21</x:v>
      </x:c>
      <x:c r="N6167" s="0" t="s">
        <x:v>46</x:v>
      </x:c>
    </x:row>
    <x:row r="6168" spans="1:16">
      <x:c r="A6168" s="0" t="s">
        <x:v>24525</x:v>
      </x:c>
      <x:c r="B6168" s="0" t="s">
        <x:v>24526</x:v>
      </x:c>
      <x:c r="C6168" s="0" t="s">
        <x:v>24527</x:v>
      </x:c>
      <x:c r="E6168" s="0" t="s">
        <x:v>24528</x:v>
      </x:c>
      <x:c r="F6168" s="0" t="s">
        <x:v>45</x:v>
      </x:c>
      <x:c r="G6168" s="0" t="s">
        <x:v>19</x:v>
      </x:c>
      <x:c r="H6168" s="0" t="s">
        <x:v>20</x:v>
      </x:c>
      <x:c r="I6168" s="0" t="s">
        <x:v>21</x:v>
      </x:c>
      <x:c r="K6168" s="0">
        <x:f>hyperlink("https://icd.who.int/dev11/l-ichi/en#/http%3A%2F%2Fid.who.int%2Ficd%2Fentity%2F145840939","browser")</x:f>
      </x:c>
      <x:c r="L6168" s="0">
        <x:f>hyperlink("https://icat2.azurewebsites.net/icat/?ontology=ICD&amp;tab=ClassesTab&amp;id=http%3A%2F%2Fwho.int%2Ficd%2335843_512ebf36_bf6b_4d70_85da_cf2637062af4","iCat")</x:f>
      </x:c>
      <x:c r="M6168" s="0" t="s">
        <x:v>21</x:v>
      </x:c>
      <x:c r="N6168" s="0" t="s">
        <x:v>46</x:v>
      </x:c>
    </x:row>
    <x:row r="6169" spans="1:16">
      <x:c r="A6169" s="0" t="s">
        <x:v>24529</x:v>
      </x:c>
      <x:c r="B6169" s="0" t="s">
        <x:v>24530</x:v>
      </x:c>
      <x:c r="C6169" s="0" t="s">
        <x:v>24531</x:v>
      </x:c>
      <x:c r="E6169" s="0" t="s">
        <x:v>24532</x:v>
      </x:c>
      <x:c r="F6169" s="0" t="s">
        <x:v>45</x:v>
      </x:c>
      <x:c r="G6169" s="0" t="s">
        <x:v>19</x:v>
      </x:c>
      <x:c r="H6169" s="0" t="s">
        <x:v>20</x:v>
      </x:c>
      <x:c r="I6169" s="0" t="s">
        <x:v>21</x:v>
      </x:c>
      <x:c r="K6169" s="0">
        <x:f>hyperlink("https://icd.who.int/dev11/l-ichi/en#/http%3A%2F%2Fid.who.int%2Ficd%2Fentity%2F670146949","browser")</x:f>
      </x:c>
      <x:c r="L6169" s="0">
        <x:f>hyperlink("https://icat2.azurewebsites.net/icat/?ontology=ICD&amp;tab=ClassesTab&amp;id=http%3A%2F%2Fwho.int%2Ficd%2335850_512ebf36_bf6b_4d70_85da_cf2637062af4","iCat")</x:f>
      </x:c>
      <x:c r="M6169" s="0" t="s">
        <x:v>21</x:v>
      </x:c>
      <x:c r="N6169" s="0" t="s">
        <x:v>46</x:v>
      </x:c>
    </x:row>
    <x:row r="6170" spans="1:16">
      <x:c r="A6170" s="0" t="s">
        <x:v>24533</x:v>
      </x:c>
      <x:c r="B6170" s="0" t="s">
        <x:v>24534</x:v>
      </x:c>
      <x:c r="C6170" s="0" t="s">
        <x:v>24535</x:v>
      </x:c>
      <x:c r="E6170" s="0" t="s">
        <x:v>24536</x:v>
      </x:c>
      <x:c r="F6170" s="0" t="s">
        <x:v>45</x:v>
      </x:c>
      <x:c r="G6170" s="0" t="s">
        <x:v>19</x:v>
      </x:c>
      <x:c r="H6170" s="0" t="s">
        <x:v>20</x:v>
      </x:c>
      <x:c r="I6170" s="0" t="s">
        <x:v>21</x:v>
      </x:c>
      <x:c r="K6170" s="0">
        <x:f>hyperlink("https://icd.who.int/dev11/l-ichi/en#/http%3A%2F%2Fid.who.int%2Ficd%2Fentity%2F1467157000","browser")</x:f>
      </x:c>
      <x:c r="L6170" s="0">
        <x:f>hyperlink("https://icat2.azurewebsites.net/icat/?ontology=ICD&amp;tab=ClassesTab&amp;id=http%3A%2F%2Fwho.int%2Ficd%2335857_512ebf36_bf6b_4d70_85da_cf2637062af4","iCat")</x:f>
      </x:c>
      <x:c r="M6170" s="0" t="s">
        <x:v>21</x:v>
      </x:c>
      <x:c r="N6170" s="0" t="s">
        <x:v>46</x:v>
      </x:c>
    </x:row>
    <x:row r="6171" spans="1:16">
      <x:c r="A6171" s="0" t="s">
        <x:v>24537</x:v>
      </x:c>
      <x:c r="B6171" s="0" t="s">
        <x:v>24538</x:v>
      </x:c>
      <x:c r="C6171" s="0" t="s">
        <x:v>24539</x:v>
      </x:c>
      <x:c r="E6171" s="0" t="s">
        <x:v>24540</x:v>
      </x:c>
      <x:c r="F6171" s="0" t="s">
        <x:v>45</x:v>
      </x:c>
      <x:c r="G6171" s="0" t="s">
        <x:v>19</x:v>
      </x:c>
      <x:c r="H6171" s="0" t="s">
        <x:v>20</x:v>
      </x:c>
      <x:c r="I6171" s="0" t="s">
        <x:v>21</x:v>
      </x:c>
      <x:c r="K6171" s="0">
        <x:f>hyperlink("https://icd.who.int/dev11/l-ichi/en#/http%3A%2F%2Fid.who.int%2Ficd%2Fentity%2F1380394486","browser")</x:f>
      </x:c>
      <x:c r="L6171" s="0">
        <x:f>hyperlink("https://icat2.azurewebsites.net/icat/?ontology=ICD&amp;tab=ClassesTab&amp;id=http%3A%2F%2Fwho.int%2Ficd%2335864_512ebf36_bf6b_4d70_85da_cf2637062af4","iCat")</x:f>
      </x:c>
      <x:c r="M6171" s="0" t="s">
        <x:v>21</x:v>
      </x:c>
      <x:c r="N6171" s="0" t="s">
        <x:v>46</x:v>
      </x:c>
    </x:row>
    <x:row r="6172" spans="1:16">
      <x:c r="A6172" s="0" t="s">
        <x:v>24541</x:v>
      </x:c>
      <x:c r="B6172" s="0" t="s">
        <x:v>24542</x:v>
      </x:c>
      <x:c r="C6172" s="0" t="s">
        <x:v>24543</x:v>
      </x:c>
      <x:c r="E6172" s="0" t="s">
        <x:v>24544</x:v>
      </x:c>
      <x:c r="F6172" s="0" t="s">
        <x:v>45</x:v>
      </x:c>
      <x:c r="G6172" s="0" t="s">
        <x:v>19</x:v>
      </x:c>
      <x:c r="H6172" s="0" t="s">
        <x:v>20</x:v>
      </x:c>
      <x:c r="I6172" s="0" t="s">
        <x:v>21</x:v>
      </x:c>
      <x:c r="K6172" s="0">
        <x:f>hyperlink("https://icd.who.int/dev11/l-ichi/en#/http%3A%2F%2Fid.who.int%2Ficd%2Fentity%2F763102953","browser")</x:f>
      </x:c>
      <x:c r="L6172" s="0">
        <x:f>hyperlink("https://icat2.azurewebsites.net/icat/?ontology=ICD&amp;tab=ClassesTab&amp;id=http%3A%2F%2Fwho.int%2Ficd%2335871_512ebf36_bf6b_4d70_85da_cf2637062af4","iCat")</x:f>
      </x:c>
      <x:c r="M6172" s="0" t="s">
        <x:v>21</x:v>
      </x:c>
      <x:c r="N6172" s="0" t="s">
        <x:v>46</x:v>
      </x:c>
    </x:row>
    <x:row r="6173" spans="1:16">
      <x:c r="A6173" s="0" t="s">
        <x:v>24545</x:v>
      </x:c>
      <x:c r="B6173" s="0" t="s">
        <x:v>24546</x:v>
      </x:c>
      <x:c r="C6173" s="0" t="s">
        <x:v>24547</x:v>
      </x:c>
      <x:c r="E6173" s="0" t="s">
        <x:v>24548</x:v>
      </x:c>
      <x:c r="F6173" s="0" t="s">
        <x:v>45</x:v>
      </x:c>
      <x:c r="G6173" s="0" t="s">
        <x:v>19</x:v>
      </x:c>
      <x:c r="H6173" s="0" t="s">
        <x:v>20</x:v>
      </x:c>
      <x:c r="I6173" s="0" t="s">
        <x:v>21</x:v>
      </x:c>
      <x:c r="K6173" s="0">
        <x:f>hyperlink("https://icd.who.int/dev11/l-ichi/en#/http%3A%2F%2Fid.who.int%2Ficd%2Fentity%2F1124337026","browser")</x:f>
      </x:c>
      <x:c r="L6173" s="0">
        <x:f>hyperlink("https://icat2.azurewebsites.net/icat/?ontology=ICD&amp;tab=ClassesTab&amp;id=http%3A%2F%2Fwho.int%2Ficd%2335878_512ebf36_bf6b_4d70_85da_cf2637062af4","iCat")</x:f>
      </x:c>
      <x:c r="M6173" s="0" t="s">
        <x:v>21</x:v>
      </x:c>
      <x:c r="N6173" s="0" t="s">
        <x:v>46</x:v>
      </x:c>
    </x:row>
    <x:row r="6174" spans="1:16">
      <x:c r="A6174" s="0" t="s">
        <x:v>24549</x:v>
      </x:c>
      <x:c r="B6174" s="0" t="s">
        <x:v>24550</x:v>
      </x:c>
      <x:c r="C6174" s="0" t="s">
        <x:v>24551</x:v>
      </x:c>
      <x:c r="E6174" s="0" t="s">
        <x:v>24552</x:v>
      </x:c>
      <x:c r="F6174" s="0" t="s">
        <x:v>45</x:v>
      </x:c>
      <x:c r="G6174" s="0" t="s">
        <x:v>19</x:v>
      </x:c>
      <x:c r="H6174" s="0" t="s">
        <x:v>20</x:v>
      </x:c>
      <x:c r="I6174" s="0" t="s">
        <x:v>21</x:v>
      </x:c>
      <x:c r="K6174" s="0">
        <x:f>hyperlink("https://icd.who.int/dev11/l-ichi/en#/http%3A%2F%2Fid.who.int%2Ficd%2Fentity%2F1566121238","browser")</x:f>
      </x:c>
      <x:c r="L6174" s="0">
        <x:f>hyperlink("https://icat2.azurewebsites.net/icat/?ontology=ICD&amp;tab=ClassesTab&amp;id=http%3A%2F%2Fwho.int%2Ficd%2335895_512ebf36_bf6b_4d70_85da_cf2637062af4","iCat")</x:f>
      </x:c>
      <x:c r="M6174" s="0" t="s">
        <x:v>21</x:v>
      </x:c>
      <x:c r="N6174" s="0" t="s">
        <x:v>46</x:v>
      </x:c>
    </x:row>
    <x:row r="6175" spans="1:16">
      <x:c r="A6175" s="0" t="s">
        <x:v>24553</x:v>
      </x:c>
      <x:c r="B6175" s="0" t="s">
        <x:v>24554</x:v>
      </x:c>
      <x:c r="C6175" s="0" t="s">
        <x:v>24555</x:v>
      </x:c>
      <x:c r="E6175" s="0" t="s">
        <x:v>24556</x:v>
      </x:c>
      <x:c r="F6175" s="0" t="s">
        <x:v>45</x:v>
      </x:c>
      <x:c r="G6175" s="0" t="s">
        <x:v>19</x:v>
      </x:c>
      <x:c r="H6175" s="0" t="s">
        <x:v>20</x:v>
      </x:c>
      <x:c r="I6175" s="0" t="s">
        <x:v>21</x:v>
      </x:c>
      <x:c r="K6175" s="0">
        <x:f>hyperlink("https://icd.who.int/dev11/l-ichi/en#/http%3A%2F%2Fid.who.int%2Ficd%2Fentity%2F766557335","browser")</x:f>
      </x:c>
      <x:c r="L6175" s="0">
        <x:f>hyperlink("https://icat2.azurewebsites.net/icat/?ontology=ICD&amp;tab=ClassesTab&amp;id=http%3A%2F%2Fwho.int%2Ficd%2335902_512ebf36_bf6b_4d70_85da_cf2637062af4","iCat")</x:f>
      </x:c>
      <x:c r="M6175" s="0" t="s">
        <x:v>21</x:v>
      </x:c>
      <x:c r="N6175" s="0" t="s">
        <x:v>46</x:v>
      </x:c>
    </x:row>
    <x:row r="6176" spans="1:16">
      <x:c r="A6176" s="0" t="s">
        <x:v>24557</x:v>
      </x:c>
      <x:c r="B6176" s="0" t="s">
        <x:v>24558</x:v>
      </x:c>
      <x:c r="C6176" s="0" t="s">
        <x:v>24559</x:v>
      </x:c>
      <x:c r="E6176" s="0" t="s">
        <x:v>24560</x:v>
      </x:c>
      <x:c r="F6176" s="0" t="s">
        <x:v>45</x:v>
      </x:c>
      <x:c r="G6176" s="0" t="s">
        <x:v>19</x:v>
      </x:c>
      <x:c r="H6176" s="0" t="s">
        <x:v>20</x:v>
      </x:c>
      <x:c r="I6176" s="0" t="s">
        <x:v>21</x:v>
      </x:c>
      <x:c r="K6176" s="0">
        <x:f>hyperlink("https://icd.who.int/dev11/l-ichi/en#/http%3A%2F%2Fid.who.int%2Ficd%2Fentity%2F571028485","browser")</x:f>
      </x:c>
      <x:c r="L6176" s="0">
        <x:f>hyperlink("https://icat2.azurewebsites.net/icat/?ontology=ICD&amp;tab=ClassesTab&amp;id=http%3A%2F%2Fwho.int%2Ficd%2335910_512ebf36_bf6b_4d70_85da_cf2637062af4","iCat")</x:f>
      </x:c>
      <x:c r="M6176" s="0" t="s">
        <x:v>21</x:v>
      </x:c>
      <x:c r="N6176" s="0" t="s">
        <x:v>46</x:v>
      </x:c>
    </x:row>
    <x:row r="6177" spans="1:16">
      <x:c r="A6177" s="0" t="s">
        <x:v>24561</x:v>
      </x:c>
      <x:c r="B6177" s="0" t="s">
        <x:v>24562</x:v>
      </x:c>
      <x:c r="C6177" s="0" t="s">
        <x:v>24563</x:v>
      </x:c>
      <x:c r="E6177" s="0" t="s">
        <x:v>24564</x:v>
      </x:c>
      <x:c r="F6177" s="0" t="s">
        <x:v>45</x:v>
      </x:c>
      <x:c r="G6177" s="0" t="s">
        <x:v>19</x:v>
      </x:c>
      <x:c r="H6177" s="0" t="s">
        <x:v>20</x:v>
      </x:c>
      <x:c r="I6177" s="0" t="s">
        <x:v>21</x:v>
      </x:c>
      <x:c r="K6177" s="0">
        <x:f>hyperlink("https://icd.who.int/dev11/l-ichi/en#/http%3A%2F%2Fid.who.int%2Ficd%2Fentity%2F1820869968","browser")</x:f>
      </x:c>
      <x:c r="L6177" s="0">
        <x:f>hyperlink("https://icat2.azurewebsites.net/icat/?ontology=ICD&amp;tab=ClassesTab&amp;id=http%3A%2F%2Fwho.int%2Ficd%2335918_512ebf36_bf6b_4d70_85da_cf2637062af4","iCat")</x:f>
      </x:c>
      <x:c r="M6177" s="0" t="s">
        <x:v>21</x:v>
      </x:c>
      <x:c r="N6177" s="0" t="s">
        <x:v>46</x:v>
      </x:c>
    </x:row>
    <x:row r="6178" spans="1:16">
      <x:c r="A6178" s="0" t="s">
        <x:v>24565</x:v>
      </x:c>
      <x:c r="B6178" s="0" t="s">
        <x:v>24566</x:v>
      </x:c>
      <x:c r="C6178" s="0" t="s">
        <x:v>24567</x:v>
      </x:c>
      <x:c r="E6178" s="0" t="s">
        <x:v>24568</x:v>
      </x:c>
      <x:c r="F6178" s="0" t="s">
        <x:v>45</x:v>
      </x:c>
      <x:c r="G6178" s="0" t="s">
        <x:v>19</x:v>
      </x:c>
      <x:c r="H6178" s="0" t="s">
        <x:v>20</x:v>
      </x:c>
      <x:c r="I6178" s="0" t="s">
        <x:v>21</x:v>
      </x:c>
      <x:c r="K6178" s="0">
        <x:f>hyperlink("https://icd.who.int/dev11/l-ichi/en#/http%3A%2F%2Fid.who.int%2Ficd%2Fentity%2F1471083601","browser")</x:f>
      </x:c>
      <x:c r="L6178" s="0">
        <x:f>hyperlink("https://icat2.azurewebsites.net/icat/?ontology=ICD&amp;tab=ClassesTab&amp;id=http%3A%2F%2Fwho.int%2Ficd%23681_bf15315e_f1c5_45f6_9637_651657d70d50","iCat")</x:f>
      </x:c>
      <x:c r="M6178" s="0" t="s">
        <x:v>21</x:v>
      </x:c>
      <x:c r="N6178" s="0" t="s">
        <x:v>46</x:v>
      </x:c>
    </x:row>
    <x:row r="6179" spans="1:16">
      <x:c r="A6179" s="0" t="s">
        <x:v>24569</x:v>
      </x:c>
      <x:c r="B6179" s="0" t="s">
        <x:v>24570</x:v>
      </x:c>
      <x:c r="C6179" s="0" t="s">
        <x:v>24571</x:v>
      </x:c>
      <x:c r="E6179" s="0" t="s">
        <x:v>24572</x:v>
      </x:c>
      <x:c r="F6179" s="0" t="s">
        <x:v>45</x:v>
      </x:c>
      <x:c r="G6179" s="0" t="s">
        <x:v>19</x:v>
      </x:c>
      <x:c r="H6179" s="0" t="s">
        <x:v>20</x:v>
      </x:c>
      <x:c r="I6179" s="0" t="s">
        <x:v>21</x:v>
      </x:c>
      <x:c r="K6179" s="0">
        <x:f>hyperlink("https://icd.who.int/dev11/l-ichi/en#/http%3A%2F%2Fid.who.int%2Ficd%2Fentity%2F851684787","browser")</x:f>
      </x:c>
      <x:c r="L6179" s="0">
        <x:f>hyperlink("https://icat2.azurewebsites.net/icat/?ontology=ICD&amp;tab=ClassesTab&amp;id=http%3A%2F%2Fwho.int%2Ficd%2335926_512ebf36_bf6b_4d70_85da_cf2637062af4","iCat")</x:f>
      </x:c>
      <x:c r="M6179" s="0" t="s">
        <x:v>21</x:v>
      </x:c>
      <x:c r="N6179" s="0" t="s">
        <x:v>46</x:v>
      </x:c>
    </x:row>
    <x:row r="6180" spans="1:16">
      <x:c r="A6180" s="0" t="s">
        <x:v>24573</x:v>
      </x:c>
      <x:c r="B6180" s="0" t="s">
        <x:v>24574</x:v>
      </x:c>
      <x:c r="C6180" s="0" t="s">
        <x:v>24575</x:v>
      </x:c>
      <x:c r="E6180" s="0" t="s">
        <x:v>24576</x:v>
      </x:c>
      <x:c r="F6180" s="0" t="s">
        <x:v>45</x:v>
      </x:c>
      <x:c r="G6180" s="0" t="s">
        <x:v>19</x:v>
      </x:c>
      <x:c r="H6180" s="0" t="s">
        <x:v>20</x:v>
      </x:c>
      <x:c r="I6180" s="0" t="s">
        <x:v>21</x:v>
      </x:c>
      <x:c r="K6180" s="0">
        <x:f>hyperlink("https://icd.who.int/dev11/l-ichi/en#/http%3A%2F%2Fid.who.int%2Ficd%2Fentity%2F1308135084","browser")</x:f>
      </x:c>
      <x:c r="L6180" s="0">
        <x:f>hyperlink("https://icat2.azurewebsites.net/icat/?ontology=ICD&amp;tab=ClassesTab&amp;id=http%3A%2F%2Fwho.int%2Ficd%2335933_512ebf36_bf6b_4d70_85da_cf2637062af4","iCat")</x:f>
      </x:c>
      <x:c r="M6180" s="0" t="s">
        <x:v>21</x:v>
      </x:c>
      <x:c r="N6180" s="0" t="s">
        <x:v>46</x:v>
      </x:c>
    </x:row>
    <x:row r="6181" spans="1:16">
      <x:c r="A6181" s="0" t="s">
        <x:v>24577</x:v>
      </x:c>
      <x:c r="B6181" s="0" t="s">
        <x:v>24578</x:v>
      </x:c>
      <x:c r="D6181" s="0" t="s">
        <x:v>24579</x:v>
      </x:c>
      <x:c r="E6181" s="0" t="s">
        <x:v>24580</x:v>
      </x:c>
      <x:c r="F6181" s="0" t="s">
        <x:v>26</x:v>
      </x:c>
      <x:c r="G6181" s="0" t="s">
        <x:v>22</x:v>
      </x:c>
      <x:c r="H6181" s="0" t="s">
        <x:v>20</x:v>
      </x:c>
      <x:c r="I6181" s="0" t="s">
        <x:v>21</x:v>
      </x:c>
      <x:c r="K6181" s="0">
        <x:f>hyperlink("https://icd.who.int/dev11/l-ichi/en#/http%3A%2F%2Fid.who.int%2Ficd%2Fentity%2F2100207032","browser")</x:f>
      </x:c>
      <x:c r="L6181" s="0">
        <x:f>hyperlink("https://icat2.azurewebsites.net/icat/?ontology=ICD&amp;tab=ClassesTab&amp;id=http%3A%2F%2Fwho.int%2Ficd%2335943_512ebf36_bf6b_4d70_85da_cf2637062af4","iCat")</x:f>
      </x:c>
      <x:c r="M6181" s="0" t="s">
        <x:v>20</x:v>
      </x:c>
      <x:c r="N6181" s="0" t="s">
        <x:v>6843</x:v>
      </x:c>
    </x:row>
    <x:row r="6182" spans="1:16">
      <x:c r="A6182" s="0" t="s">
        <x:v>24581</x:v>
      </x:c>
      <x:c r="B6182" s="0" t="s">
        <x:v>24582</x:v>
      </x:c>
      <x:c r="C6182" s="0" t="s">
        <x:v>24583</x:v>
      </x:c>
      <x:c r="E6182" s="0" t="s">
        <x:v>24584</x:v>
      </x:c>
      <x:c r="F6182" s="0" t="s">
        <x:v>45</x:v>
      </x:c>
      <x:c r="G6182" s="0" t="s">
        <x:v>19</x:v>
      </x:c>
      <x:c r="H6182" s="0" t="s">
        <x:v>20</x:v>
      </x:c>
      <x:c r="I6182" s="0" t="s">
        <x:v>21</x:v>
      </x:c>
      <x:c r="K6182" s="0">
        <x:f>hyperlink("https://icd.who.int/dev11/l-ichi/en#/http%3A%2F%2Fid.who.int%2Ficd%2Fentity%2F1574432650","browser")</x:f>
      </x:c>
      <x:c r="L6182" s="0">
        <x:f>hyperlink("https://icat2.azurewebsites.net/icat/?ontology=ICD&amp;tab=ClassesTab&amp;id=http%3A%2F%2Fwho.int%2Ficd%2335942_512ebf36_bf6b_4d70_85da_cf2637062af4","iCat")</x:f>
      </x:c>
      <x:c r="M6182" s="0" t="s">
        <x:v>21</x:v>
      </x:c>
      <x:c r="N6182" s="0" t="s">
        <x:v>46</x:v>
      </x:c>
    </x:row>
    <x:row r="6183" spans="1:16">
      <x:c r="A6183" s="0" t="s">
        <x:v>24585</x:v>
      </x:c>
      <x:c r="B6183" s="0" t="s">
        <x:v>24586</x:v>
      </x:c>
      <x:c r="C6183" s="0" t="s">
        <x:v>24587</x:v>
      </x:c>
      <x:c r="E6183" s="0" t="s">
        <x:v>24588</x:v>
      </x:c>
      <x:c r="F6183" s="0" t="s">
        <x:v>45</x:v>
      </x:c>
      <x:c r="G6183" s="0" t="s">
        <x:v>19</x:v>
      </x:c>
      <x:c r="H6183" s="0" t="s">
        <x:v>20</x:v>
      </x:c>
      <x:c r="I6183" s="0" t="s">
        <x:v>21</x:v>
      </x:c>
      <x:c r="K6183" s="0">
        <x:f>hyperlink("https://icd.who.int/dev11/l-ichi/en#/http%3A%2F%2Fid.who.int%2Ficd%2Fentity%2F1290039074","browser")</x:f>
      </x:c>
      <x:c r="L6183" s="0">
        <x:f>hyperlink("https://icat2.azurewebsites.net/icat/?ontology=ICD&amp;tab=ClassesTab&amp;id=http%3A%2F%2Fwho.int%2Ficd%23757_2458c621_13a9_4018_84d7_a04ee4f7aacc","iCat")</x:f>
      </x:c>
      <x:c r="M6183" s="0" t="s">
        <x:v>21</x:v>
      </x:c>
      <x:c r="N6183" s="0" t="s">
        <x:v>46</x:v>
      </x:c>
    </x:row>
    <x:row r="6184" spans="1:16">
      <x:c r="A6184" s="0" t="s">
        <x:v>24589</x:v>
      </x:c>
      <x:c r="B6184" s="0" t="s">
        <x:v>24590</x:v>
      </x:c>
      <x:c r="C6184" s="0" t="s">
        <x:v>24591</x:v>
      </x:c>
      <x:c r="E6184" s="0" t="s">
        <x:v>24592</x:v>
      </x:c>
      <x:c r="F6184" s="0" t="s">
        <x:v>45</x:v>
      </x:c>
      <x:c r="G6184" s="0" t="s">
        <x:v>19</x:v>
      </x:c>
      <x:c r="H6184" s="0" t="s">
        <x:v>20</x:v>
      </x:c>
      <x:c r="I6184" s="0" t="s">
        <x:v>21</x:v>
      </x:c>
      <x:c r="K6184" s="0">
        <x:f>hyperlink("https://icd.who.int/dev11/l-ichi/en#/http%3A%2F%2Fid.who.int%2Ficd%2Fentity%2F961735507","browser")</x:f>
      </x:c>
      <x:c r="L6184" s="0">
        <x:f>hyperlink("https://icat2.azurewebsites.net/icat/?ontology=ICD&amp;tab=ClassesTab&amp;id=http%3A%2F%2Fwho.int%2Ficd%23763_2458c621_13a9_4018_84d7_a04ee4f7aacc","iCat")</x:f>
      </x:c>
      <x:c r="M6184" s="0" t="s">
        <x:v>21</x:v>
      </x:c>
      <x:c r="N6184" s="0" t="s">
        <x:v>46</x:v>
      </x:c>
    </x:row>
    <x:row r="6185" spans="1:16">
      <x:c r="A6185" s="0" t="s">
        <x:v>24593</x:v>
      </x:c>
      <x:c r="B6185" s="0" t="s">
        <x:v>24594</x:v>
      </x:c>
      <x:c r="C6185" s="0" t="s">
        <x:v>24595</x:v>
      </x:c>
      <x:c r="E6185" s="0" t="s">
        <x:v>24596</x:v>
      </x:c>
      <x:c r="F6185" s="0" t="s">
        <x:v>45</x:v>
      </x:c>
      <x:c r="G6185" s="0" t="s">
        <x:v>19</x:v>
      </x:c>
      <x:c r="H6185" s="0" t="s">
        <x:v>20</x:v>
      </x:c>
      <x:c r="I6185" s="0" t="s">
        <x:v>21</x:v>
      </x:c>
      <x:c r="K6185" s="0">
        <x:f>hyperlink("https://icd.who.int/dev11/l-ichi/en#/http%3A%2F%2Fid.who.int%2Ficd%2Fentity%2F1200673104","browser")</x:f>
      </x:c>
      <x:c r="L6185" s="0">
        <x:f>hyperlink("https://icat2.azurewebsites.net/icat/?ontology=ICD&amp;tab=ClassesTab&amp;id=http%3A%2F%2Fwho.int%2Ficd%2335955_512ebf36_bf6b_4d70_85da_cf2637062af4","iCat")</x:f>
      </x:c>
      <x:c r="M6185" s="0" t="s">
        <x:v>21</x:v>
      </x:c>
      <x:c r="N6185" s="0" t="s">
        <x:v>46</x:v>
      </x:c>
    </x:row>
    <x:row r="6186" spans="1:16">
      <x:c r="A6186" s="0" t="s">
        <x:v>24597</x:v>
      </x:c>
      <x:c r="B6186" s="0" t="s">
        <x:v>24598</x:v>
      </x:c>
      <x:c r="C6186" s="0" t="s">
        <x:v>24599</x:v>
      </x:c>
      <x:c r="E6186" s="0" t="s">
        <x:v>24600</x:v>
      </x:c>
      <x:c r="F6186" s="0" t="s">
        <x:v>45</x:v>
      </x:c>
      <x:c r="G6186" s="0" t="s">
        <x:v>19</x:v>
      </x:c>
      <x:c r="H6186" s="0" t="s">
        <x:v>20</x:v>
      </x:c>
      <x:c r="I6186" s="0" t="s">
        <x:v>21</x:v>
      </x:c>
      <x:c r="K6186" s="0">
        <x:f>hyperlink("https://icd.who.int/dev11/l-ichi/en#/http%3A%2F%2Fid.who.int%2Ficd%2Fentity%2F2007186140","browser")</x:f>
      </x:c>
      <x:c r="L6186" s="0">
        <x:f>hyperlink("https://icat2.azurewebsites.net/icat/?ontology=ICD&amp;tab=ClassesTab&amp;id=http%3A%2F%2Fwho.int%2Ficd%2335962_512ebf36_bf6b_4d70_85da_cf2637062af4","iCat")</x:f>
      </x:c>
      <x:c r="M6186" s="0" t="s">
        <x:v>21</x:v>
      </x:c>
      <x:c r="N6186" s="0" t="s">
        <x:v>46</x:v>
      </x:c>
    </x:row>
    <x:row r="6187" spans="1:16">
      <x:c r="A6187" s="0" t="s">
        <x:v>24601</x:v>
      </x:c>
      <x:c r="B6187" s="0" t="s">
        <x:v>24602</x:v>
      </x:c>
      <x:c r="C6187" s="0" t="s">
        <x:v>24603</x:v>
      </x:c>
      <x:c r="E6187" s="0" t="s">
        <x:v>24604</x:v>
      </x:c>
      <x:c r="F6187" s="0" t="s">
        <x:v>45</x:v>
      </x:c>
      <x:c r="G6187" s="0" t="s">
        <x:v>19</x:v>
      </x:c>
      <x:c r="H6187" s="0" t="s">
        <x:v>20</x:v>
      </x:c>
      <x:c r="I6187" s="0" t="s">
        <x:v>21</x:v>
      </x:c>
      <x:c r="K6187" s="0">
        <x:f>hyperlink("https://icd.who.int/dev11/l-ichi/en#/http%3A%2F%2Fid.who.int%2Ficd%2Fentity%2F2091328630","browser")</x:f>
      </x:c>
      <x:c r="L6187" s="0">
        <x:f>hyperlink("https://icat2.azurewebsites.net/icat/?ontology=ICD&amp;tab=ClassesTab&amp;id=http%3A%2F%2Fwho.int%2Ficd%2335969_512ebf36_bf6b_4d70_85da_cf2637062af4","iCat")</x:f>
      </x:c>
      <x:c r="M6187" s="0" t="s">
        <x:v>21</x:v>
      </x:c>
      <x:c r="N6187" s="0" t="s">
        <x:v>46</x:v>
      </x:c>
    </x:row>
    <x:row r="6188" spans="1:16">
      <x:c r="A6188" s="0" t="s">
        <x:v>24605</x:v>
      </x:c>
      <x:c r="B6188" s="0" t="s">
        <x:v>24606</x:v>
      </x:c>
      <x:c r="C6188" s="0" t="s">
        <x:v>24607</x:v>
      </x:c>
      <x:c r="E6188" s="0" t="s">
        <x:v>24608</x:v>
      </x:c>
      <x:c r="F6188" s="0" t="s">
        <x:v>45</x:v>
      </x:c>
      <x:c r="G6188" s="0" t="s">
        <x:v>19</x:v>
      </x:c>
      <x:c r="H6188" s="0" t="s">
        <x:v>20</x:v>
      </x:c>
      <x:c r="I6188" s="0" t="s">
        <x:v>21</x:v>
      </x:c>
      <x:c r="K6188" s="0">
        <x:f>hyperlink("https://icd.who.int/dev11/l-ichi/en#/http%3A%2F%2Fid.who.int%2Ficd%2Fentity%2F677473273","browser")</x:f>
      </x:c>
      <x:c r="L6188" s="0">
        <x:f>hyperlink("https://icat2.azurewebsites.net/icat/?ontology=ICD&amp;tab=ClassesTab&amp;id=http%3A%2F%2Fwho.int%2Ficd%2335976_512ebf36_bf6b_4d70_85da_cf2637062af4","iCat")</x:f>
      </x:c>
      <x:c r="M6188" s="0" t="s">
        <x:v>21</x:v>
      </x:c>
      <x:c r="N6188" s="0" t="s">
        <x:v>46</x:v>
      </x:c>
    </x:row>
    <x:row r="6189" spans="1:16">
      <x:c r="A6189" s="0" t="s">
        <x:v>24609</x:v>
      </x:c>
      <x:c r="B6189" s="0" t="s">
        <x:v>24610</x:v>
      </x:c>
      <x:c r="C6189" s="0" t="s">
        <x:v>24611</x:v>
      </x:c>
      <x:c r="E6189" s="0" t="s">
        <x:v>24612</x:v>
      </x:c>
      <x:c r="F6189" s="0" t="s">
        <x:v>45</x:v>
      </x:c>
      <x:c r="G6189" s="0" t="s">
        <x:v>19</x:v>
      </x:c>
      <x:c r="H6189" s="0" t="s">
        <x:v>20</x:v>
      </x:c>
      <x:c r="I6189" s="0" t="s">
        <x:v>21</x:v>
      </x:c>
      <x:c r="K6189" s="0">
        <x:f>hyperlink("https://icd.who.int/dev11/l-ichi/en#/http%3A%2F%2Fid.who.int%2Ficd%2Fentity%2F309892975","browser")</x:f>
      </x:c>
      <x:c r="L6189" s="0">
        <x:f>hyperlink("https://icat2.azurewebsites.net/icat/?ontology=ICD&amp;tab=ClassesTab&amp;id=http%3A%2F%2Fwho.int%2Ficd%2335983_512ebf36_bf6b_4d70_85da_cf2637062af4","iCat")</x:f>
      </x:c>
      <x:c r="M6189" s="0" t="s">
        <x:v>21</x:v>
      </x:c>
      <x:c r="N6189" s="0" t="s">
        <x:v>46</x:v>
      </x:c>
    </x:row>
    <x:row r="6190" spans="1:16">
      <x:c r="A6190" s="0" t="s">
        <x:v>24613</x:v>
      </x:c>
      <x:c r="B6190" s="0" t="s">
        <x:v>24614</x:v>
      </x:c>
      <x:c r="C6190" s="0" t="s">
        <x:v>24615</x:v>
      </x:c>
      <x:c r="E6190" s="0" t="s">
        <x:v>24616</x:v>
      </x:c>
      <x:c r="F6190" s="0" t="s">
        <x:v>45</x:v>
      </x:c>
      <x:c r="G6190" s="0" t="s">
        <x:v>19</x:v>
      </x:c>
      <x:c r="H6190" s="0" t="s">
        <x:v>20</x:v>
      </x:c>
      <x:c r="I6190" s="0" t="s">
        <x:v>21</x:v>
      </x:c>
      <x:c r="K6190" s="0">
        <x:f>hyperlink("https://icd.who.int/dev11/l-ichi/en#/http%3A%2F%2Fid.who.int%2Ficd%2Fentity%2F313493443","browser")</x:f>
      </x:c>
      <x:c r="L6190" s="0">
        <x:f>hyperlink("https://icat2.azurewebsites.net/icat/?ontology=ICD&amp;tab=ClassesTab&amp;id=http%3A%2F%2Fwho.int%2Ficd%23769_2458c621_13a9_4018_84d7_a04ee4f7aacc","iCat")</x:f>
      </x:c>
      <x:c r="M6190" s="0" t="s">
        <x:v>21</x:v>
      </x:c>
      <x:c r="N6190" s="0" t="s">
        <x:v>46</x:v>
      </x:c>
    </x:row>
    <x:row r="6191" spans="1:16">
      <x:c r="A6191" s="0" t="s">
        <x:v>24617</x:v>
      </x:c>
      <x:c r="B6191" s="0" t="s">
        <x:v>24618</x:v>
      </x:c>
      <x:c r="C6191" s="0" t="s">
        <x:v>24619</x:v>
      </x:c>
      <x:c r="E6191" s="0" t="s">
        <x:v>24620</x:v>
      </x:c>
      <x:c r="F6191" s="0" t="s">
        <x:v>45</x:v>
      </x:c>
      <x:c r="G6191" s="0" t="s">
        <x:v>19</x:v>
      </x:c>
      <x:c r="H6191" s="0" t="s">
        <x:v>20</x:v>
      </x:c>
      <x:c r="I6191" s="0" t="s">
        <x:v>21</x:v>
      </x:c>
      <x:c r="K6191" s="0">
        <x:f>hyperlink("https://icd.who.int/dev11/l-ichi/en#/http%3A%2F%2Fid.who.int%2Ficd%2Fentity%2F1027108289","browser")</x:f>
      </x:c>
      <x:c r="L6191" s="0">
        <x:f>hyperlink("https://icat2.azurewebsites.net/icat/?ontology=ICD&amp;tab=ClassesTab&amp;id=http%3A%2F%2Fwho.int%2Ficd%2335990_512ebf36_bf6b_4d70_85da_cf2637062af4","iCat")</x:f>
      </x:c>
      <x:c r="M6191" s="0" t="s">
        <x:v>21</x:v>
      </x:c>
      <x:c r="N6191" s="0" t="s">
        <x:v>46</x:v>
      </x:c>
    </x:row>
    <x:row r="6192" spans="1:16">
      <x:c r="A6192" s="0" t="s">
        <x:v>24621</x:v>
      </x:c>
      <x:c r="B6192" s="0" t="s">
        <x:v>24622</x:v>
      </x:c>
      <x:c r="C6192" s="0" t="s">
        <x:v>24623</x:v>
      </x:c>
      <x:c r="E6192" s="0" t="s">
        <x:v>24624</x:v>
      </x:c>
      <x:c r="F6192" s="0" t="s">
        <x:v>45</x:v>
      </x:c>
      <x:c r="G6192" s="0" t="s">
        <x:v>19</x:v>
      </x:c>
      <x:c r="H6192" s="0" t="s">
        <x:v>20</x:v>
      </x:c>
      <x:c r="I6192" s="0" t="s">
        <x:v>21</x:v>
      </x:c>
      <x:c r="K6192" s="0">
        <x:f>hyperlink("https://icd.who.int/dev11/l-ichi/en#/http%3A%2F%2Fid.who.int%2Ficd%2Fentity%2F1304086094","browser")</x:f>
      </x:c>
      <x:c r="L6192" s="0">
        <x:f>hyperlink("https://icat2.azurewebsites.net/icat/?ontology=ICD&amp;tab=ClassesTab&amp;id=http%3A%2F%2Fwho.int%2Ficd%2335997_512ebf36_bf6b_4d70_85da_cf2637062af4","iCat")</x:f>
      </x:c>
      <x:c r="M6192" s="0" t="s">
        <x:v>21</x:v>
      </x:c>
      <x:c r="N6192" s="0" t="s">
        <x:v>46</x:v>
      </x:c>
    </x:row>
    <x:row r="6193" spans="1:16">
      <x:c r="A6193" s="0" t="s">
        <x:v>24625</x:v>
      </x:c>
      <x:c r="B6193" s="0" t="s">
        <x:v>24626</x:v>
      </x:c>
      <x:c r="C6193" s="0" t="s">
        <x:v>24627</x:v>
      </x:c>
      <x:c r="E6193" s="0" t="s">
        <x:v>24628</x:v>
      </x:c>
      <x:c r="F6193" s="0" t="s">
        <x:v>45</x:v>
      </x:c>
      <x:c r="G6193" s="0" t="s">
        <x:v>19</x:v>
      </x:c>
      <x:c r="H6193" s="0" t="s">
        <x:v>20</x:v>
      </x:c>
      <x:c r="I6193" s="0" t="s">
        <x:v>21</x:v>
      </x:c>
      <x:c r="K6193" s="0">
        <x:f>hyperlink("https://icd.who.int/dev11/l-ichi/en#/http%3A%2F%2Fid.who.int%2Ficd%2Fentity%2F691487329","browser")</x:f>
      </x:c>
      <x:c r="L6193" s="0">
        <x:f>hyperlink("https://icat2.azurewebsites.net/icat/?ontology=ICD&amp;tab=ClassesTab&amp;id=http%3A%2F%2Fwho.int%2Ficd%2336038_512ebf36_bf6b_4d70_85da_cf2637062af4","iCat")</x:f>
      </x:c>
      <x:c r="M6193" s="0" t="s">
        <x:v>21</x:v>
      </x:c>
      <x:c r="N6193" s="0" t="s">
        <x:v>46</x:v>
      </x:c>
    </x:row>
    <x:row r="6194" spans="1:16">
      <x:c r="A6194" s="0" t="s">
        <x:v>24629</x:v>
      </x:c>
      <x:c r="B6194" s="0" t="s">
        <x:v>24630</x:v>
      </x:c>
      <x:c r="C6194" s="0" t="s">
        <x:v>24631</x:v>
      </x:c>
      <x:c r="E6194" s="0" t="s">
        <x:v>24632</x:v>
      </x:c>
      <x:c r="F6194" s="0" t="s">
        <x:v>45</x:v>
      </x:c>
      <x:c r="G6194" s="0" t="s">
        <x:v>19</x:v>
      </x:c>
      <x:c r="H6194" s="0" t="s">
        <x:v>20</x:v>
      </x:c>
      <x:c r="I6194" s="0" t="s">
        <x:v>21</x:v>
      </x:c>
      <x:c r="K6194" s="0">
        <x:f>hyperlink("https://icd.who.int/dev11/l-ichi/en#/http%3A%2F%2Fid.who.int%2Ficd%2Fentity%2F1511360497","browser")</x:f>
      </x:c>
      <x:c r="L6194" s="0">
        <x:f>hyperlink("https://icat2.azurewebsites.net/icat/?ontology=ICD&amp;tab=ClassesTab&amp;id=http%3A%2F%2Fwho.int%2Ficd%23260_d85a204c_d00a_4566_a3b7_2d137a1891cf","iCat")</x:f>
      </x:c>
      <x:c r="M6194" s="0" t="s">
        <x:v>21</x:v>
      </x:c>
      <x:c r="N6194" s="0" t="s">
        <x:v>46</x:v>
      </x:c>
    </x:row>
    <x:row r="6195" spans="1:16">
      <x:c r="A6195" s="0" t="s">
        <x:v>24633</x:v>
      </x:c>
      <x:c r="B6195" s="0" t="s">
        <x:v>24634</x:v>
      </x:c>
      <x:c r="C6195" s="0" t="s">
        <x:v>24635</x:v>
      </x:c>
      <x:c r="E6195" s="0" t="s">
        <x:v>24636</x:v>
      </x:c>
      <x:c r="F6195" s="0" t="s">
        <x:v>45</x:v>
      </x:c>
      <x:c r="G6195" s="0" t="s">
        <x:v>19</x:v>
      </x:c>
      <x:c r="H6195" s="0" t="s">
        <x:v>20</x:v>
      </x:c>
      <x:c r="I6195" s="0" t="s">
        <x:v>21</x:v>
      </x:c>
      <x:c r="K6195" s="0">
        <x:f>hyperlink("https://icd.who.int/dev11/l-ichi/en#/http%3A%2F%2Fid.who.int%2Ficd%2Fentity%2F119273887","browser")</x:f>
      </x:c>
      <x:c r="L6195" s="0">
        <x:f>hyperlink("https://icat2.azurewebsites.net/icat/?ontology=ICD&amp;tab=ClassesTab&amp;id=http%3A%2F%2Fwho.int%2Ficd%2336046_512ebf36_bf6b_4d70_85da_cf2637062af4","iCat")</x:f>
      </x:c>
      <x:c r="M6195" s="0" t="s">
        <x:v>21</x:v>
      </x:c>
      <x:c r="N6195" s="0" t="s">
        <x:v>46</x:v>
      </x:c>
    </x:row>
    <x:row r="6196" spans="1:16">
      <x:c r="A6196" s="0" t="s">
        <x:v>24637</x:v>
      </x:c>
      <x:c r="B6196" s="0" t="s">
        <x:v>24638</x:v>
      </x:c>
      <x:c r="C6196" s="0" t="s">
        <x:v>24639</x:v>
      </x:c>
      <x:c r="E6196" s="0" t="s">
        <x:v>24640</x:v>
      </x:c>
      <x:c r="F6196" s="0" t="s">
        <x:v>45</x:v>
      </x:c>
      <x:c r="G6196" s="0" t="s">
        <x:v>19</x:v>
      </x:c>
      <x:c r="H6196" s="0" t="s">
        <x:v>20</x:v>
      </x:c>
      <x:c r="I6196" s="0" t="s">
        <x:v>21</x:v>
      </x:c>
      <x:c r="K6196" s="0">
        <x:f>hyperlink("https://icd.who.int/dev11/l-ichi/en#/http%3A%2F%2Fid.who.int%2Ficd%2Fentity%2F144863501","browser")</x:f>
      </x:c>
      <x:c r="L6196" s="0">
        <x:f>hyperlink("https://icat2.azurewebsites.net/icat/?ontology=ICD&amp;tab=ClassesTab&amp;id=http%3A%2F%2Fwho.int%2Ficd%2336054_512ebf36_bf6b_4d70_85da_cf2637062af4","iCat")</x:f>
      </x:c>
      <x:c r="M6196" s="0" t="s">
        <x:v>21</x:v>
      </x:c>
      <x:c r="N6196" s="0" t="s">
        <x:v>46</x:v>
      </x:c>
    </x:row>
    <x:row r="6197" spans="1:16">
      <x:c r="A6197" s="0" t="s">
        <x:v>24641</x:v>
      </x:c>
      <x:c r="B6197" s="0" t="s">
        <x:v>24642</x:v>
      </x:c>
      <x:c r="C6197" s="0" t="s">
        <x:v>24643</x:v>
      </x:c>
      <x:c r="E6197" s="0" t="s">
        <x:v>24644</x:v>
      </x:c>
      <x:c r="F6197" s="0" t="s">
        <x:v>45</x:v>
      </x:c>
      <x:c r="G6197" s="0" t="s">
        <x:v>19</x:v>
      </x:c>
      <x:c r="H6197" s="0" t="s">
        <x:v>20</x:v>
      </x:c>
      <x:c r="I6197" s="0" t="s">
        <x:v>21</x:v>
      </x:c>
      <x:c r="K6197" s="0">
        <x:f>hyperlink("https://icd.who.int/dev11/l-ichi/en#/http%3A%2F%2Fid.who.int%2Ficd%2Fentity%2F409528507","browser")</x:f>
      </x:c>
      <x:c r="L6197" s="0">
        <x:f>hyperlink("https://icat2.azurewebsites.net/icat/?ontology=ICD&amp;tab=ClassesTab&amp;id=http%3A%2F%2Fwho.int%2Ficd%2336062_512ebf36_bf6b_4d70_85da_cf2637062af4","iCat")</x:f>
      </x:c>
      <x:c r="M6197" s="0" t="s">
        <x:v>21</x:v>
      </x:c>
      <x:c r="N6197" s="0" t="s">
        <x:v>46</x:v>
      </x:c>
    </x:row>
    <x:row r="6198" spans="1:16">
      <x:c r="A6198" s="0" t="s">
        <x:v>24645</x:v>
      </x:c>
      <x:c r="B6198" s="0" t="s">
        <x:v>24646</x:v>
      </x:c>
      <x:c r="C6198" s="0" t="s">
        <x:v>24647</x:v>
      </x:c>
      <x:c r="E6198" s="0" t="s">
        <x:v>24648</x:v>
      </x:c>
      <x:c r="F6198" s="0" t="s">
        <x:v>45</x:v>
      </x:c>
      <x:c r="G6198" s="0" t="s">
        <x:v>19</x:v>
      </x:c>
      <x:c r="H6198" s="0" t="s">
        <x:v>20</x:v>
      </x:c>
      <x:c r="I6198" s="0" t="s">
        <x:v>21</x:v>
      </x:c>
      <x:c r="K6198" s="0">
        <x:f>hyperlink("https://icd.who.int/dev11/l-ichi/en#/http%3A%2F%2Fid.who.int%2Ficd%2Fentity%2F175005250","browser")</x:f>
      </x:c>
      <x:c r="L6198" s="0">
        <x:f>hyperlink("https://icat2.azurewebsites.net/icat/?ontology=ICD&amp;tab=ClassesTab&amp;id=http%3A%2F%2Fwho.int%2Ficd%23266_d85a204c_d00a_4566_a3b7_2d137a1891cf","iCat")</x:f>
      </x:c>
      <x:c r="M6198" s="0" t="s">
        <x:v>21</x:v>
      </x:c>
      <x:c r="N6198" s="0" t="s">
        <x:v>46</x:v>
      </x:c>
    </x:row>
    <x:row r="6199" spans="1:16">
      <x:c r="A6199" s="0" t="s">
        <x:v>24649</x:v>
      </x:c>
      <x:c r="B6199" s="0" t="s">
        <x:v>24650</x:v>
      </x:c>
      <x:c r="C6199" s="0" t="s">
        <x:v>24651</x:v>
      </x:c>
      <x:c r="E6199" s="0" t="s">
        <x:v>24652</x:v>
      </x:c>
      <x:c r="F6199" s="0" t="s">
        <x:v>45</x:v>
      </x:c>
      <x:c r="G6199" s="0" t="s">
        <x:v>19</x:v>
      </x:c>
      <x:c r="H6199" s="0" t="s">
        <x:v>20</x:v>
      </x:c>
      <x:c r="I6199" s="0" t="s">
        <x:v>21</x:v>
      </x:c>
      <x:c r="K6199" s="0">
        <x:f>hyperlink("https://icd.who.int/dev11/l-ichi/en#/http%3A%2F%2Fid.who.int%2Ficd%2Fentity%2F325907991","browser")</x:f>
      </x:c>
      <x:c r="L6199" s="0">
        <x:f>hyperlink("https://icat2.azurewebsites.net/icat/?ontology=ICD&amp;tab=ClassesTab&amp;id=http%3A%2F%2Fwho.int%2Ficd%2336069_512ebf36_bf6b_4d70_85da_cf2637062af4","iCat")</x:f>
      </x:c>
      <x:c r="M6199" s="0" t="s">
        <x:v>21</x:v>
      </x:c>
      <x:c r="N6199" s="0" t="s">
        <x:v>46</x:v>
      </x:c>
    </x:row>
    <x:row r="6200" spans="1:16">
      <x:c r="A6200" s="0" t="s">
        <x:v>24653</x:v>
      </x:c>
      <x:c r="B6200" s="0" t="s">
        <x:v>24654</x:v>
      </x:c>
      <x:c r="C6200" s="0" t="s">
        <x:v>24655</x:v>
      </x:c>
      <x:c r="E6200" s="0" t="s">
        <x:v>24656</x:v>
      </x:c>
      <x:c r="F6200" s="0" t="s">
        <x:v>45</x:v>
      </x:c>
      <x:c r="G6200" s="0" t="s">
        <x:v>19</x:v>
      </x:c>
      <x:c r="H6200" s="0" t="s">
        <x:v>20</x:v>
      </x:c>
      <x:c r="I6200" s="0" t="s">
        <x:v>21</x:v>
      </x:c>
      <x:c r="K6200" s="0">
        <x:f>hyperlink("https://icd.who.int/dev11/l-ichi/en#/http%3A%2F%2Fid.who.int%2Ficd%2Fentity%2F1202370968","browser")</x:f>
      </x:c>
      <x:c r="L6200" s="0">
        <x:f>hyperlink("https://icat2.azurewebsites.net/icat/?ontology=ICD&amp;tab=ClassesTab&amp;id=http%3A%2F%2Fwho.int%2Ficd%2336076_512ebf36_bf6b_4d70_85da_cf2637062af4","iCat")</x:f>
      </x:c>
      <x:c r="M6200" s="0" t="s">
        <x:v>21</x:v>
      </x:c>
      <x:c r="N6200" s="0" t="s">
        <x:v>46</x:v>
      </x:c>
    </x:row>
    <x:row r="6201" spans="1:16">
      <x:c r="A6201" s="0" t="s">
        <x:v>24657</x:v>
      </x:c>
      <x:c r="B6201" s="0" t="s">
        <x:v>24658</x:v>
      </x:c>
      <x:c r="C6201" s="0" t="s">
        <x:v>24659</x:v>
      </x:c>
      <x:c r="E6201" s="0" t="s">
        <x:v>24660</x:v>
      </x:c>
      <x:c r="F6201" s="0" t="s">
        <x:v>45</x:v>
      </x:c>
      <x:c r="G6201" s="0" t="s">
        <x:v>19</x:v>
      </x:c>
      <x:c r="H6201" s="0" t="s">
        <x:v>20</x:v>
      </x:c>
      <x:c r="I6201" s="0" t="s">
        <x:v>21</x:v>
      </x:c>
      <x:c r="K6201" s="0">
        <x:f>hyperlink("https://icd.who.int/dev11/l-ichi/en#/http%3A%2F%2Fid.who.int%2Ficd%2Fentity%2F672735510","browser")</x:f>
      </x:c>
      <x:c r="L6201" s="0">
        <x:f>hyperlink("https://icat2.azurewebsites.net/icat/?ontology=ICD&amp;tab=ClassesTab&amp;id=http%3A%2F%2Fwho.int%2Ficd%2311312_4869915e_217e_423d_acb3_33c0f920ef4b","iCat")</x:f>
      </x:c>
      <x:c r="M6201" s="0" t="s">
        <x:v>21</x:v>
      </x:c>
      <x:c r="N6201" s="0" t="s">
        <x:v>46</x:v>
      </x:c>
    </x:row>
    <x:row r="6202" spans="1:16">
      <x:c r="A6202" s="0" t="s">
        <x:v>24661</x:v>
      </x:c>
      <x:c r="B6202" s="0" t="s">
        <x:v>24662</x:v>
      </x:c>
      <x:c r="C6202" s="0" t="s">
        <x:v>24663</x:v>
      </x:c>
      <x:c r="E6202" s="0" t="s">
        <x:v>24664</x:v>
      </x:c>
      <x:c r="F6202" s="0" t="s">
        <x:v>45</x:v>
      </x:c>
      <x:c r="G6202" s="0" t="s">
        <x:v>19</x:v>
      </x:c>
      <x:c r="H6202" s="0" t="s">
        <x:v>20</x:v>
      </x:c>
      <x:c r="I6202" s="0" t="s">
        <x:v>21</x:v>
      </x:c>
      <x:c r="K6202" s="0">
        <x:f>hyperlink("https://icd.who.int/dev11/l-ichi/en#/http%3A%2F%2Fid.who.int%2Ficd%2Fentity%2F1749939014","browser")</x:f>
      </x:c>
      <x:c r="L6202" s="0">
        <x:f>hyperlink("https://icat2.azurewebsites.net/icat/?ontology=ICD&amp;tab=ClassesTab&amp;id=http%3A%2F%2Fwho.int%2Ficd%2336086_512ebf36_bf6b_4d70_85da_cf2637062af4","iCat")</x:f>
      </x:c>
      <x:c r="M6202" s="0" t="s">
        <x:v>21</x:v>
      </x:c>
      <x:c r="N6202" s="0" t="s">
        <x:v>46</x:v>
      </x:c>
    </x:row>
    <x:row r="6203" spans="1:16">
      <x:c r="A6203" s="0" t="s">
        <x:v>24665</x:v>
      </x:c>
      <x:c r="B6203" s="0" t="s">
        <x:v>24666</x:v>
      </x:c>
      <x:c r="C6203" s="0" t="s">
        <x:v>24667</x:v>
      </x:c>
      <x:c r="E6203" s="0" t="s">
        <x:v>24668</x:v>
      </x:c>
      <x:c r="F6203" s="0" t="s">
        <x:v>45</x:v>
      </x:c>
      <x:c r="G6203" s="0" t="s">
        <x:v>19</x:v>
      </x:c>
      <x:c r="H6203" s="0" t="s">
        <x:v>20</x:v>
      </x:c>
      <x:c r="I6203" s="0" t="s">
        <x:v>21</x:v>
      </x:c>
      <x:c r="K6203" s="0">
        <x:f>hyperlink("https://icd.who.int/dev11/l-ichi/en#/http%3A%2F%2Fid.who.int%2Ficd%2Fentity%2F1480347692","browser")</x:f>
      </x:c>
      <x:c r="L6203" s="0">
        <x:f>hyperlink("https://icat2.azurewebsites.net/icat/?ontology=ICD&amp;tab=ClassesTab&amp;id=http%3A%2F%2Fwho.int%2Ficd%2336015_512ebf36_bf6b_4d70_85da_cf2637062af4","iCat")</x:f>
      </x:c>
      <x:c r="M6203" s="0" t="s">
        <x:v>21</x:v>
      </x:c>
      <x:c r="N6203" s="0" t="s">
        <x:v>46</x:v>
      </x:c>
    </x:row>
    <x:row r="6204" spans="1:16">
      <x:c r="A6204" s="0" t="s">
        <x:v>24669</x:v>
      </x:c>
      <x:c r="B6204" s="0" t="s">
        <x:v>24670</x:v>
      </x:c>
      <x:c r="C6204" s="0" t="s">
        <x:v>24671</x:v>
      </x:c>
      <x:c r="E6204" s="0" t="s">
        <x:v>24672</x:v>
      </x:c>
      <x:c r="F6204" s="0" t="s">
        <x:v>45</x:v>
      </x:c>
      <x:c r="G6204" s="0" t="s">
        <x:v>19</x:v>
      </x:c>
      <x:c r="H6204" s="0" t="s">
        <x:v>20</x:v>
      </x:c>
      <x:c r="I6204" s="0" t="s">
        <x:v>21</x:v>
      </x:c>
      <x:c r="K6204" s="0">
        <x:f>hyperlink("https://icd.who.int/dev11/l-ichi/en#/http%3A%2F%2Fid.who.int%2Ficd%2Fentity%2F1744075732","browser")</x:f>
      </x:c>
      <x:c r="L6204" s="0">
        <x:f>hyperlink("https://icat2.azurewebsites.net/icat/?ontology=ICD&amp;tab=ClassesTab&amp;id=http%3A%2F%2Fwho.int%2Ficd%2336094_512ebf36_bf6b_4d70_85da_cf2637062af4","iCat")</x:f>
      </x:c>
      <x:c r="M6204" s="0" t="s">
        <x:v>21</x:v>
      </x:c>
      <x:c r="N6204" s="0" t="s">
        <x:v>46</x:v>
      </x:c>
    </x:row>
    <x:row r="6205" spans="1:16">
      <x:c r="A6205" s="0" t="s">
        <x:v>24673</x:v>
      </x:c>
      <x:c r="B6205" s="0" t="s">
        <x:v>24674</x:v>
      </x:c>
      <x:c r="C6205" s="0" t="s">
        <x:v>24675</x:v>
      </x:c>
      <x:c r="E6205" s="0" t="s">
        <x:v>24676</x:v>
      </x:c>
      <x:c r="F6205" s="0" t="s">
        <x:v>45</x:v>
      </x:c>
      <x:c r="G6205" s="0" t="s">
        <x:v>19</x:v>
      </x:c>
      <x:c r="H6205" s="0" t="s">
        <x:v>20</x:v>
      </x:c>
      <x:c r="I6205" s="0" t="s">
        <x:v>21</x:v>
      </x:c>
      <x:c r="K6205" s="0">
        <x:f>hyperlink("https://icd.who.int/dev11/l-ichi/en#/http%3A%2F%2Fid.who.int%2Ficd%2Fentity%2F1739993910","browser")</x:f>
      </x:c>
      <x:c r="L6205" s="0">
        <x:f>hyperlink("https://icat2.azurewebsites.net/icat/?ontology=ICD&amp;tab=ClassesTab&amp;id=http%3A%2F%2Fwho.int%2Ficd%2336030_512ebf36_bf6b_4d70_85da_cf2637062af4","iCat")</x:f>
      </x:c>
      <x:c r="M6205" s="0" t="s">
        <x:v>21</x:v>
      </x:c>
      <x:c r="N6205" s="0" t="s">
        <x:v>46</x:v>
      </x:c>
    </x:row>
    <x:row r="6206" spans="1:16">
      <x:c r="A6206" s="0" t="s">
        <x:v>24677</x:v>
      </x:c>
      <x:c r="B6206" s="0" t="s">
        <x:v>24678</x:v>
      </x:c>
      <x:c r="C6206" s="0" t="s">
        <x:v>24679</x:v>
      </x:c>
      <x:c r="E6206" s="0" t="s">
        <x:v>24680</x:v>
      </x:c>
      <x:c r="F6206" s="0" t="s">
        <x:v>45</x:v>
      </x:c>
      <x:c r="G6206" s="0" t="s">
        <x:v>19</x:v>
      </x:c>
      <x:c r="H6206" s="0" t="s">
        <x:v>20</x:v>
      </x:c>
      <x:c r="I6206" s="0" t="s">
        <x:v>21</x:v>
      </x:c>
      <x:c r="K6206" s="0">
        <x:f>hyperlink("https://icd.who.int/dev11/l-ichi/en#/http%3A%2F%2Fid.who.int%2Ficd%2Fentity%2F937732203","browser")</x:f>
      </x:c>
      <x:c r="L6206" s="0">
        <x:f>hyperlink("https://icat2.azurewebsites.net/icat/?ontology=ICD&amp;tab=ClassesTab&amp;id=http%3A%2F%2Fwho.int%2Ficd%2336102_512ebf36_bf6b_4d70_85da_cf2637062af4","iCat")</x:f>
      </x:c>
      <x:c r="M6206" s="0" t="s">
        <x:v>21</x:v>
      </x:c>
      <x:c r="N6206" s="0" t="s">
        <x:v>46</x:v>
      </x:c>
    </x:row>
    <x:row r="6207" spans="1:16">
      <x:c r="A6207" s="0" t="s">
        <x:v>24681</x:v>
      </x:c>
      <x:c r="B6207" s="0" t="s">
        <x:v>24682</x:v>
      </x:c>
      <x:c r="C6207" s="0" t="s">
        <x:v>24683</x:v>
      </x:c>
      <x:c r="E6207" s="0" t="s">
        <x:v>24684</x:v>
      </x:c>
      <x:c r="F6207" s="0" t="s">
        <x:v>45</x:v>
      </x:c>
      <x:c r="G6207" s="0" t="s">
        <x:v>19</x:v>
      </x:c>
      <x:c r="H6207" s="0" t="s">
        <x:v>20</x:v>
      </x:c>
      <x:c r="I6207" s="0" t="s">
        <x:v>21</x:v>
      </x:c>
      <x:c r="K6207" s="0">
        <x:f>hyperlink("https://icd.who.int/dev11/l-ichi/en#/http%3A%2F%2Fid.who.int%2Ficd%2Fentity%2F1021359815","browser")</x:f>
      </x:c>
      <x:c r="L6207" s="0">
        <x:f>hyperlink("https://icat2.azurewebsites.net/icat/?ontology=ICD&amp;tab=ClassesTab&amp;id=http%3A%2F%2Fwho.int%2Ficd%2336109_512ebf36_bf6b_4d70_85da_cf2637062af4","iCat")</x:f>
      </x:c>
      <x:c r="M6207" s="0" t="s">
        <x:v>21</x:v>
      </x:c>
      <x:c r="N6207" s="0" t="s">
        <x:v>46</x:v>
      </x:c>
    </x:row>
    <x:row r="6208" spans="1:16">
      <x:c r="A6208" s="0" t="s">
        <x:v>24685</x:v>
      </x:c>
      <x:c r="B6208" s="0" t="s">
        <x:v>24686</x:v>
      </x:c>
      <x:c r="C6208" s="0" t="s">
        <x:v>24687</x:v>
      </x:c>
      <x:c r="E6208" s="0" t="s">
        <x:v>24688</x:v>
      </x:c>
      <x:c r="F6208" s="0" t="s">
        <x:v>45</x:v>
      </x:c>
      <x:c r="G6208" s="0" t="s">
        <x:v>19</x:v>
      </x:c>
      <x:c r="H6208" s="0" t="s">
        <x:v>20</x:v>
      </x:c>
      <x:c r="I6208" s="0" t="s">
        <x:v>21</x:v>
      </x:c>
      <x:c r="K6208" s="0">
        <x:f>hyperlink("https://icd.who.int/dev11/l-ichi/en#/http%3A%2F%2Fid.who.int%2Ficd%2Fentity%2F1747384650","browser")</x:f>
      </x:c>
      <x:c r="L6208" s="0">
        <x:f>hyperlink("https://icat2.azurewebsites.net/icat/?ontology=ICD&amp;tab=ClassesTab&amp;id=http%3A%2F%2Fwho.int%2Ficd%2336116_512ebf36_bf6b_4d70_85da_cf2637062af4","iCat")</x:f>
      </x:c>
      <x:c r="M6208" s="0" t="s">
        <x:v>21</x:v>
      </x:c>
      <x:c r="N6208" s="0" t="s">
        <x:v>46</x:v>
      </x:c>
    </x:row>
    <x:row r="6209" spans="1:16">
      <x:c r="A6209" s="0" t="s">
        <x:v>24689</x:v>
      </x:c>
      <x:c r="B6209" s="0" t="s">
        <x:v>24690</x:v>
      </x:c>
      <x:c r="C6209" s="0" t="s">
        <x:v>24691</x:v>
      </x:c>
      <x:c r="E6209" s="0" t="s">
        <x:v>24692</x:v>
      </x:c>
      <x:c r="F6209" s="0" t="s">
        <x:v>45</x:v>
      </x:c>
      <x:c r="G6209" s="0" t="s">
        <x:v>19</x:v>
      </x:c>
      <x:c r="H6209" s="0" t="s">
        <x:v>20</x:v>
      </x:c>
      <x:c r="I6209" s="0" t="s">
        <x:v>21</x:v>
      </x:c>
      <x:c r="K6209" s="0">
        <x:f>hyperlink("https://icd.who.int/dev11/l-ichi/en#/http%3A%2F%2Fid.who.int%2Ficd%2Fentity%2F1030295303","browser")</x:f>
      </x:c>
      <x:c r="L6209" s="0">
        <x:f>hyperlink("https://icat2.azurewebsites.net/icat/?ontology=ICD&amp;tab=ClassesTab&amp;id=http%3A%2F%2Fwho.int%2Ficd%2336123_512ebf36_bf6b_4d70_85da_cf2637062af4","iCat")</x:f>
      </x:c>
      <x:c r="M6209" s="0" t="s">
        <x:v>21</x:v>
      </x:c>
      <x:c r="N6209" s="0" t="s">
        <x:v>46</x:v>
      </x:c>
    </x:row>
    <x:row r="6210" spans="1:16">
      <x:c r="A6210" s="0" t="s">
        <x:v>24693</x:v>
      </x:c>
      <x:c r="B6210" s="0" t="s">
        <x:v>24694</x:v>
      </x:c>
      <x:c r="C6210" s="0" t="s">
        <x:v>24695</x:v>
      </x:c>
      <x:c r="E6210" s="0" t="s">
        <x:v>24696</x:v>
      </x:c>
      <x:c r="F6210" s="0" t="s">
        <x:v>45</x:v>
      </x:c>
      <x:c r="G6210" s="0" t="s">
        <x:v>19</x:v>
      </x:c>
      <x:c r="H6210" s="0" t="s">
        <x:v>20</x:v>
      </x:c>
      <x:c r="I6210" s="0" t="s">
        <x:v>21</x:v>
      </x:c>
      <x:c r="K6210" s="0">
        <x:f>hyperlink("https://icd.who.int/dev11/l-ichi/en#/http%3A%2F%2Fid.who.int%2Ficd%2Fentity%2F304739753","browser")</x:f>
      </x:c>
      <x:c r="L6210" s="0">
        <x:f>hyperlink("https://icat2.azurewebsites.net/icat/?ontology=ICD&amp;tab=ClassesTab&amp;id=http%3A%2F%2Fwho.int%2Ficd%2336130_512ebf36_bf6b_4d70_85da_cf2637062af4","iCat")</x:f>
      </x:c>
      <x:c r="M6210" s="0" t="s">
        <x:v>21</x:v>
      </x:c>
      <x:c r="N6210" s="0" t="s">
        <x:v>46</x:v>
      </x:c>
    </x:row>
    <x:row r="6211" spans="1:16">
      <x:c r="A6211" s="0" t="s">
        <x:v>24697</x:v>
      </x:c>
      <x:c r="B6211" s="0" t="s">
        <x:v>24698</x:v>
      </x:c>
      <x:c r="C6211" s="0" t="s">
        <x:v>24699</x:v>
      </x:c>
      <x:c r="E6211" s="0" t="s">
        <x:v>24700</x:v>
      </x:c>
      <x:c r="F6211" s="0" t="s">
        <x:v>45</x:v>
      </x:c>
      <x:c r="G6211" s="0" t="s">
        <x:v>19</x:v>
      </x:c>
      <x:c r="H6211" s="0" t="s">
        <x:v>20</x:v>
      </x:c>
      <x:c r="I6211" s="0" t="s">
        <x:v>21</x:v>
      </x:c>
      <x:c r="K6211" s="0">
        <x:f>hyperlink("https://icd.who.int/dev11/l-ichi/en#/http%3A%2F%2Fid.who.int%2Ficd%2Fentity%2F1655397926","browser")</x:f>
      </x:c>
      <x:c r="L6211" s="0">
        <x:f>hyperlink("https://icat2.azurewebsites.net/icat/?ontology=ICD&amp;tab=ClassesTab&amp;id=http%3A%2F%2Fwho.int%2Ficd%2336137_512ebf36_bf6b_4d70_85da_cf2637062af4","iCat")</x:f>
      </x:c>
      <x:c r="M6211" s="0" t="s">
        <x:v>21</x:v>
      </x:c>
      <x:c r="N6211" s="0" t="s">
        <x:v>46</x:v>
      </x:c>
    </x:row>
    <x:row r="6212" spans="1:16">
      <x:c r="A6212" s="0" t="s">
        <x:v>24701</x:v>
      </x:c>
      <x:c r="B6212" s="0" t="s">
        <x:v>24702</x:v>
      </x:c>
      <x:c r="C6212" s="0" t="s">
        <x:v>24703</x:v>
      </x:c>
      <x:c r="E6212" s="0" t="s">
        <x:v>24704</x:v>
      </x:c>
      <x:c r="F6212" s="0" t="s">
        <x:v>45</x:v>
      </x:c>
      <x:c r="G6212" s="0" t="s">
        <x:v>19</x:v>
      </x:c>
      <x:c r="H6212" s="0" t="s">
        <x:v>20</x:v>
      </x:c>
      <x:c r="I6212" s="0" t="s">
        <x:v>21</x:v>
      </x:c>
      <x:c r="K6212" s="0">
        <x:f>hyperlink("https://icd.who.int/dev11/l-ichi/en#/http%3A%2F%2Fid.who.int%2Ficd%2Fentity%2F402137799","browser")</x:f>
      </x:c>
      <x:c r="L6212" s="0">
        <x:f>hyperlink("https://icat2.azurewebsites.net/icat/?ontology=ICD&amp;tab=ClassesTab&amp;id=http%3A%2F%2Fwho.int%2Ficd%2336144_512ebf36_bf6b_4d70_85da_cf2637062af4","iCat")</x:f>
      </x:c>
      <x:c r="M6212" s="0" t="s">
        <x:v>21</x:v>
      </x:c>
      <x:c r="N6212" s="0" t="s">
        <x:v>46</x:v>
      </x:c>
    </x:row>
    <x:row r="6213" spans="1:16">
      <x:c r="A6213" s="0" t="s">
        <x:v>24705</x:v>
      </x:c>
      <x:c r="B6213" s="0" t="s">
        <x:v>24706</x:v>
      </x:c>
      <x:c r="C6213" s="0" t="s">
        <x:v>24707</x:v>
      </x:c>
      <x:c r="E6213" s="0" t="s">
        <x:v>24708</x:v>
      </x:c>
      <x:c r="F6213" s="0" t="s">
        <x:v>45</x:v>
      </x:c>
      <x:c r="G6213" s="0" t="s">
        <x:v>19</x:v>
      </x:c>
      <x:c r="H6213" s="0" t="s">
        <x:v>20</x:v>
      </x:c>
      <x:c r="I6213" s="0" t="s">
        <x:v>21</x:v>
      </x:c>
      <x:c r="K6213" s="0">
        <x:f>hyperlink("https://icd.who.int/dev11/l-ichi/en#/http%3A%2F%2Fid.who.int%2Ficd%2Fentity%2F1211790308","browser")</x:f>
      </x:c>
      <x:c r="L6213" s="0">
        <x:f>hyperlink("https://icat2.azurewebsites.net/icat/?ontology=ICD&amp;tab=ClassesTab&amp;id=http%3A%2F%2Fwho.int%2Ficd%2336150_512ebf36_bf6b_4d70_85da_cf2637062af4","iCat")</x:f>
      </x:c>
      <x:c r="M6213" s="0" t="s">
        <x:v>21</x:v>
      </x:c>
      <x:c r="N6213" s="0" t="s">
        <x:v>46</x:v>
      </x:c>
    </x:row>
    <x:row r="6214" spans="1:16">
      <x:c r="A6214" s="0" t="s">
        <x:v>24709</x:v>
      </x:c>
      <x:c r="B6214" s="0" t="s">
        <x:v>24710</x:v>
      </x:c>
      <x:c r="C6214" s="0" t="s">
        <x:v>24711</x:v>
      </x:c>
      <x:c r="E6214" s="0" t="s">
        <x:v>24712</x:v>
      </x:c>
      <x:c r="F6214" s="0" t="s">
        <x:v>45</x:v>
      </x:c>
      <x:c r="G6214" s="0" t="s">
        <x:v>19</x:v>
      </x:c>
      <x:c r="H6214" s="0" t="s">
        <x:v>20</x:v>
      </x:c>
      <x:c r="I6214" s="0" t="s">
        <x:v>21</x:v>
      </x:c>
      <x:c r="K6214" s="0">
        <x:f>hyperlink("https://icd.who.int/dev11/l-ichi/en#/http%3A%2F%2Fid.who.int%2Ficd%2Fentity%2F951638121","browser")</x:f>
      </x:c>
      <x:c r="L6214" s="0">
        <x:f>hyperlink("https://icat2.azurewebsites.net/icat/?ontology=ICD&amp;tab=ClassesTab&amp;id=http%3A%2F%2Fwho.int%2Ficd%2336157_512ebf36_bf6b_4d70_85da_cf2637062af4","iCat")</x:f>
      </x:c>
      <x:c r="M6214" s="0" t="s">
        <x:v>21</x:v>
      </x:c>
      <x:c r="N6214" s="0" t="s">
        <x:v>46</x:v>
      </x:c>
    </x:row>
    <x:row r="6215" spans="1:16">
      <x:c r="A6215" s="0" t="s">
        <x:v>24713</x:v>
      </x:c>
      <x:c r="B6215" s="0" t="s">
        <x:v>24714</x:v>
      </x:c>
      <x:c r="C6215" s="0" t="s">
        <x:v>24715</x:v>
      </x:c>
      <x:c r="E6215" s="0" t="s">
        <x:v>24716</x:v>
      </x:c>
      <x:c r="F6215" s="0" t="s">
        <x:v>45</x:v>
      </x:c>
      <x:c r="G6215" s="0" t="s">
        <x:v>19</x:v>
      </x:c>
      <x:c r="H6215" s="0" t="s">
        <x:v>20</x:v>
      </x:c>
      <x:c r="I6215" s="0" t="s">
        <x:v>21</x:v>
      </x:c>
      <x:c r="K6215" s="0">
        <x:f>hyperlink("https://icd.who.int/dev11/l-ichi/en#/http%3A%2F%2Fid.who.int%2Ficd%2Fentity%2F1032648599","browser")</x:f>
      </x:c>
      <x:c r="L6215" s="0">
        <x:f>hyperlink("https://icat2.azurewebsites.net/icat/?ontology=ICD&amp;tab=ClassesTab&amp;id=http%3A%2F%2Fwho.int%2Ficd%2336164_512ebf36_bf6b_4d70_85da_cf2637062af4","iCat")</x:f>
      </x:c>
      <x:c r="M6215" s="0" t="s">
        <x:v>21</x:v>
      </x:c>
      <x:c r="N6215" s="0" t="s">
        <x:v>46</x:v>
      </x:c>
    </x:row>
    <x:row r="6216" spans="1:16">
      <x:c r="A6216" s="0" t="s">
        <x:v>24717</x:v>
      </x:c>
      <x:c r="B6216" s="0" t="s">
        <x:v>24718</x:v>
      </x:c>
      <x:c r="C6216" s="0" t="s">
        <x:v>24719</x:v>
      </x:c>
      <x:c r="E6216" s="0" t="s">
        <x:v>24720</x:v>
      </x:c>
      <x:c r="F6216" s="0" t="s">
        <x:v>45</x:v>
      </x:c>
      <x:c r="G6216" s="0" t="s">
        <x:v>19</x:v>
      </x:c>
      <x:c r="H6216" s="0" t="s">
        <x:v>20</x:v>
      </x:c>
      <x:c r="I6216" s="0" t="s">
        <x:v>21</x:v>
      </x:c>
      <x:c r="K6216" s="0">
        <x:f>hyperlink("https://icd.who.int/dev11/l-ichi/en#/http%3A%2F%2Fid.who.int%2Ficd%2Fentity%2F1119343752","browser")</x:f>
      </x:c>
      <x:c r="L6216" s="0">
        <x:f>hyperlink("https://icat2.azurewebsites.net/icat/?ontology=ICD&amp;tab=ClassesTab&amp;id=http%3A%2F%2Fwho.int%2Ficd%2336171_512ebf36_bf6b_4d70_85da_cf2637062af4","iCat")</x:f>
      </x:c>
      <x:c r="M6216" s="0" t="s">
        <x:v>21</x:v>
      </x:c>
      <x:c r="N6216" s="0" t="s">
        <x:v>46</x:v>
      </x:c>
    </x:row>
    <x:row r="6217" spans="1:16">
      <x:c r="A6217" s="0" t="s">
        <x:v>24721</x:v>
      </x:c>
      <x:c r="B6217" s="0" t="s">
        <x:v>24722</x:v>
      </x:c>
      <x:c r="C6217" s="0" t="s">
        <x:v>24723</x:v>
      </x:c>
      <x:c r="E6217" s="0" t="s">
        <x:v>24724</x:v>
      </x:c>
      <x:c r="F6217" s="0" t="s">
        <x:v>45</x:v>
      </x:c>
      <x:c r="G6217" s="0" t="s">
        <x:v>19</x:v>
      </x:c>
      <x:c r="H6217" s="0" t="s">
        <x:v>20</x:v>
      </x:c>
      <x:c r="I6217" s="0" t="s">
        <x:v>21</x:v>
      </x:c>
      <x:c r="K6217" s="0">
        <x:f>hyperlink("https://icd.who.int/dev11/l-ichi/en#/http%3A%2F%2Fid.who.int%2Ficd%2Fentity%2F751818721","browser")</x:f>
      </x:c>
      <x:c r="L6217" s="0">
        <x:f>hyperlink("https://icat2.azurewebsites.net/icat/?ontology=ICD&amp;tab=ClassesTab&amp;id=http%3A%2F%2Fwho.int%2Ficd%2336178_512ebf36_bf6b_4d70_85da_cf2637062af4","iCat")</x:f>
      </x:c>
      <x:c r="M6217" s="0" t="s">
        <x:v>21</x:v>
      </x:c>
      <x:c r="N6217" s="0" t="s">
        <x:v>46</x:v>
      </x:c>
    </x:row>
    <x:row r="6218" spans="1:16">
      <x:c r="A6218" s="0" t="s">
        <x:v>24725</x:v>
      </x:c>
      <x:c r="B6218" s="0" t="s">
        <x:v>24726</x:v>
      </x:c>
      <x:c r="C6218" s="0" t="s">
        <x:v>24727</x:v>
      </x:c>
      <x:c r="E6218" s="0" t="s">
        <x:v>24728</x:v>
      </x:c>
      <x:c r="F6218" s="0" t="s">
        <x:v>45</x:v>
      </x:c>
      <x:c r="G6218" s="0" t="s">
        <x:v>19</x:v>
      </x:c>
      <x:c r="H6218" s="0" t="s">
        <x:v>20</x:v>
      </x:c>
      <x:c r="I6218" s="0" t="s">
        <x:v>21</x:v>
      </x:c>
      <x:c r="K6218" s="0">
        <x:f>hyperlink("https://icd.who.int/dev11/l-ichi/en#/http%3A%2F%2Fid.who.int%2Ficd%2Fentity%2F1617647485","browser")</x:f>
      </x:c>
      <x:c r="L6218" s="0">
        <x:f>hyperlink("https://icat2.azurewebsites.net/icat/?ontology=ICD&amp;tab=ClassesTab&amp;id=http%3A%2F%2Fwho.int%2Ficd%231231_7005c14c_2656_4f4b_85a0_8e71c99be967","iCat")</x:f>
      </x:c>
      <x:c r="M6218" s="0" t="s">
        <x:v>21</x:v>
      </x:c>
      <x:c r="N6218" s="0" t="s">
        <x:v>46</x:v>
      </x:c>
    </x:row>
    <x:row r="6219" spans="1:16">
      <x:c r="A6219" s="0" t="s">
        <x:v>24729</x:v>
      </x:c>
      <x:c r="B6219" s="0" t="s">
        <x:v>24730</x:v>
      </x:c>
      <x:c r="C6219" s="0" t="s">
        <x:v>24731</x:v>
      </x:c>
      <x:c r="E6219" s="0" t="s">
        <x:v>24732</x:v>
      </x:c>
      <x:c r="F6219" s="0" t="s">
        <x:v>45</x:v>
      </x:c>
      <x:c r="G6219" s="0" t="s">
        <x:v>19</x:v>
      </x:c>
      <x:c r="H6219" s="0" t="s">
        <x:v>20</x:v>
      </x:c>
      <x:c r="I6219" s="0" t="s">
        <x:v>21</x:v>
      </x:c>
      <x:c r="K6219" s="0">
        <x:f>hyperlink("https://icd.who.int/dev11/l-ichi/en#/http%3A%2F%2Fid.who.int%2Ficd%2Fentity%2F1482119716","browser")</x:f>
      </x:c>
      <x:c r="L6219" s="0">
        <x:f>hyperlink("https://icat2.azurewebsites.net/icat/?ontology=ICD&amp;tab=ClassesTab&amp;id=http%3A%2F%2Fwho.int%2Ficd%2336185_512ebf36_bf6b_4d70_85da_cf2637062af4","iCat")</x:f>
      </x:c>
      <x:c r="M6219" s="0" t="s">
        <x:v>21</x:v>
      </x:c>
      <x:c r="N6219" s="0" t="s">
        <x:v>46</x:v>
      </x:c>
    </x:row>
    <x:row r="6220" spans="1:16">
      <x:c r="B6220" s="0" t="s">
        <x:v>24733</x:v>
      </x:c>
      <x:c r="C6220" s="0" t="s">
        <x:v>24734</x:v>
      </x:c>
      <x:c r="E6220" s="0" t="s">
        <x:v>24735</x:v>
      </x:c>
      <x:c r="F6220" s="0" t="s">
        <x:v>45</x:v>
      </x:c>
      <x:c r="G6220" s="0" t="s">
        <x:v>19</x:v>
      </x:c>
      <x:c r="H6220" s="0" t="s">
        <x:v>21</x:v>
      </x:c>
      <x:c r="I6220" s="0" t="s">
        <x:v>21</x:v>
      </x:c>
      <x:c r="K6220" s="0">
        <x:f>hyperlink("https://icd.who.int/dev11/l-ichi/en#/http%3A%2F%2Fid.who.int%2Ficd%2Fentity%2F1333466189%2Fichi%2Fother","browser")</x:f>
      </x:c>
      <x:c r="L6220" s="0">
        <x:f>hyperlink("","iCat")</x:f>
      </x:c>
      <x:c r="M6220" s="0" t="s">
        <x:v>21</x:v>
      </x:c>
      <x:c r="N6220" s="0" t="s">
        <x:v>46</x:v>
      </x:c>
    </x:row>
    <x:row r="6221" spans="1:16">
      <x:c r="B6221" s="0" t="s">
        <x:v>24736</x:v>
      </x:c>
      <x:c r="C6221" s="0" t="s">
        <x:v>24737</x:v>
      </x:c>
      <x:c r="E6221" s="0" t="s">
        <x:v>24738</x:v>
      </x:c>
      <x:c r="F6221" s="0" t="s">
        <x:v>45</x:v>
      </x:c>
      <x:c r="G6221" s="0" t="s">
        <x:v>19</x:v>
      </x:c>
      <x:c r="H6221" s="0" t="s">
        <x:v>21</x:v>
      </x:c>
      <x:c r="I6221" s="0" t="s">
        <x:v>21</x:v>
      </x:c>
      <x:c r="K6221" s="0">
        <x:f>hyperlink("https://icd.who.int/dev11/l-ichi/en#/http%3A%2F%2Fid.who.int%2Ficd%2Fentity%2F1333466189%2Fichi%2Funspecified","browser")</x:f>
      </x:c>
      <x:c r="L6221" s="0">
        <x:f>hyperlink("","iCat")</x:f>
      </x:c>
      <x:c r="M6221" s="0" t="s">
        <x:v>21</x:v>
      </x:c>
      <x:c r="N6221" s="0" t="s">
        <x:v>46</x:v>
      </x:c>
    </x:row>
    <x:row r="6222" spans="1:16">
      <x:c r="A6222" s="0" t="s">
        <x:v>24739</x:v>
      </x:c>
      <x:c r="B6222" s="0" t="s">
        <x:v>24740</x:v>
      </x:c>
      <x:c r="D6222" s="0" t="s">
        <x:v>24741</x:v>
      </x:c>
      <x:c r="E6222" s="0" t="s">
        <x:v>24742</x:v>
      </x:c>
      <x:c r="F6222" s="0" t="s">
        <x:v>26</x:v>
      </x:c>
      <x:c r="G6222" s="0" t="s">
        <x:v>35</x:v>
      </x:c>
      <x:c r="H6222" s="0" t="s">
        <x:v>20</x:v>
      </x:c>
      <x:c r="I6222" s="0" t="s">
        <x:v>21</x:v>
      </x:c>
      <x:c r="K6222" s="0">
        <x:f>hyperlink("https://icd.who.int/dev11/l-ichi/en#/http%3A%2F%2Fid.who.int%2Ficd%2Fentity%2F1401893838","browser")</x:f>
      </x:c>
      <x:c r="L6222" s="0">
        <x:f>hyperlink("https://icat2.azurewebsites.net/icat/?ontology=ICD&amp;tab=ClassesTab&amp;id=http%3A%2F%2Fwho.int%2Ficd%2336231_512ebf36_bf6b_4d70_85da_cf2637062af4","iCat")</x:f>
      </x:c>
      <x:c r="M6222" s="0" t="s">
        <x:v>20</x:v>
      </x:c>
      <x:c r="N6222" s="0" t="s">
        <x:v>431</x:v>
      </x:c>
    </x:row>
    <x:row r="6223" spans="1:16">
      <x:c r="A6223" s="0" t="s">
        <x:v>24743</x:v>
      </x:c>
      <x:c r="B6223" s="0" t="s">
        <x:v>24744</x:v>
      </x:c>
      <x:c r="D6223" s="0" t="s">
        <x:v>24745</x:v>
      </x:c>
      <x:c r="E6223" s="0" t="s">
        <x:v>24746</x:v>
      </x:c>
      <x:c r="F6223" s="0" t="s">
        <x:v>26</x:v>
      </x:c>
      <x:c r="G6223" s="0" t="s">
        <x:v>22</x:v>
      </x:c>
      <x:c r="H6223" s="0" t="s">
        <x:v>20</x:v>
      </x:c>
      <x:c r="I6223" s="0" t="s">
        <x:v>21</x:v>
      </x:c>
      <x:c r="K6223" s="0">
        <x:f>hyperlink("https://icd.who.int/dev11/l-ichi/en#/http%3A%2F%2Fid.who.int%2Ficd%2Fentity%2F66382461","browser")</x:f>
      </x:c>
      <x:c r="L6223" s="0">
        <x:f>hyperlink("https://icat2.azurewebsites.net/icat/?ontology=ICD&amp;tab=ClassesTab&amp;id=http%3A%2F%2Fwho.int%2Ficd%2336237_512ebf36_bf6b_4d70_85da_cf2637062af4","iCat")</x:f>
      </x:c>
      <x:c r="M6223" s="0" t="s">
        <x:v>20</x:v>
      </x:c>
      <x:c r="N6223" s="0" t="s">
        <x:v>24747</x:v>
      </x:c>
    </x:row>
    <x:row r="6224" spans="1:16">
      <x:c r="A6224" s="0" t="s">
        <x:v>24748</x:v>
      </x:c>
      <x:c r="B6224" s="0" t="s">
        <x:v>24749</x:v>
      </x:c>
      <x:c r="C6224" s="0" t="s">
        <x:v>24750</x:v>
      </x:c>
      <x:c r="E6224" s="0" t="s">
        <x:v>24751</x:v>
      </x:c>
      <x:c r="F6224" s="0" t="s">
        <x:v>45</x:v>
      </x:c>
      <x:c r="G6224" s="0" t="s">
        <x:v>19</x:v>
      </x:c>
      <x:c r="H6224" s="0" t="s">
        <x:v>20</x:v>
      </x:c>
      <x:c r="I6224" s="0" t="s">
        <x:v>21</x:v>
      </x:c>
      <x:c r="K6224" s="0">
        <x:f>hyperlink("https://icd.who.int/dev11/l-ichi/en#/http%3A%2F%2Fid.who.int%2Ficd%2Fentity%2F1937129968","browser")</x:f>
      </x:c>
      <x:c r="L6224" s="0">
        <x:f>hyperlink("https://icat2.azurewebsites.net/icat/?ontology=ICD&amp;tab=ClassesTab&amp;id=http%3A%2F%2Fwho.int%2Ficd%2336230_512ebf36_bf6b_4d70_85da_cf2637062af4","iCat")</x:f>
      </x:c>
      <x:c r="M6224" s="0" t="s">
        <x:v>21</x:v>
      </x:c>
      <x:c r="N6224" s="0" t="s">
        <x:v>46</x:v>
      </x:c>
    </x:row>
    <x:row r="6225" spans="1:16">
      <x:c r="A6225" s="0" t="s">
        <x:v>24752</x:v>
      </x:c>
      <x:c r="B6225" s="0" t="s">
        <x:v>24753</x:v>
      </x:c>
      <x:c r="C6225" s="0" t="s">
        <x:v>24754</x:v>
      </x:c>
      <x:c r="E6225" s="0" t="s">
        <x:v>24755</x:v>
      </x:c>
      <x:c r="F6225" s="0" t="s">
        <x:v>45</x:v>
      </x:c>
      <x:c r="G6225" s="0" t="s">
        <x:v>19</x:v>
      </x:c>
      <x:c r="H6225" s="0" t="s">
        <x:v>20</x:v>
      </x:c>
      <x:c r="I6225" s="0" t="s">
        <x:v>21</x:v>
      </x:c>
      <x:c r="K6225" s="0">
        <x:f>hyperlink("https://icd.who.int/dev11/l-ichi/en#/http%3A%2F%2Fid.who.int%2Ficd%2Fentity%2F161265025","browser")</x:f>
      </x:c>
      <x:c r="L6225" s="0">
        <x:f>hyperlink("https://icat2.azurewebsites.net/icat/?ontology=ICD&amp;tab=ClassesTab&amp;id=http%3A%2F%2Fwho.int%2Ficd%2336251_512ebf36_bf6b_4d70_85da_cf2637062af4","iCat")</x:f>
      </x:c>
      <x:c r="M6225" s="0" t="s">
        <x:v>21</x:v>
      </x:c>
      <x:c r="N6225" s="0" t="s">
        <x:v>46</x:v>
      </x:c>
    </x:row>
    <x:row r="6226" spans="1:16">
      <x:c r="A6226" s="0" t="s">
        <x:v>24756</x:v>
      </x:c>
      <x:c r="B6226" s="0" t="s">
        <x:v>24757</x:v>
      </x:c>
      <x:c r="C6226" s="0" t="s">
        <x:v>24758</x:v>
      </x:c>
      <x:c r="E6226" s="0" t="s">
        <x:v>24759</x:v>
      </x:c>
      <x:c r="F6226" s="0" t="s">
        <x:v>45</x:v>
      </x:c>
      <x:c r="G6226" s="0" t="s">
        <x:v>19</x:v>
      </x:c>
      <x:c r="H6226" s="0" t="s">
        <x:v>20</x:v>
      </x:c>
      <x:c r="I6226" s="0" t="s">
        <x:v>21</x:v>
      </x:c>
      <x:c r="K6226" s="0">
        <x:f>hyperlink("https://icd.who.int/dev11/l-ichi/en#/http%3A%2F%2Fid.who.int%2Ficd%2Fentity%2F1227748744","browser")</x:f>
      </x:c>
      <x:c r="L6226" s="0">
        <x:f>hyperlink("https://icat2.azurewebsites.net/icat/?ontology=ICD&amp;tab=ClassesTab&amp;id=http%3A%2F%2Fwho.int%2Ficd%2336261_512ebf36_bf6b_4d70_85da_cf2637062af4","iCat")</x:f>
      </x:c>
      <x:c r="M6226" s="0" t="s">
        <x:v>21</x:v>
      </x:c>
      <x:c r="N6226" s="0" t="s">
        <x:v>46</x:v>
      </x:c>
    </x:row>
    <x:row r="6227" spans="1:16">
      <x:c r="A6227" s="0" t="s">
        <x:v>24760</x:v>
      </x:c>
      <x:c r="B6227" s="0" t="s">
        <x:v>24761</x:v>
      </x:c>
      <x:c r="C6227" s="0" t="s">
        <x:v>24762</x:v>
      </x:c>
      <x:c r="E6227" s="0" t="s">
        <x:v>24763</x:v>
      </x:c>
      <x:c r="F6227" s="0" t="s">
        <x:v>45</x:v>
      </x:c>
      <x:c r="G6227" s="0" t="s">
        <x:v>19</x:v>
      </x:c>
      <x:c r="H6227" s="0" t="s">
        <x:v>20</x:v>
      </x:c>
      <x:c r="I6227" s="0" t="s">
        <x:v>21</x:v>
      </x:c>
      <x:c r="K6227" s="0">
        <x:f>hyperlink("https://icd.who.int/dev11/l-ichi/en#/http%3A%2F%2Fid.who.int%2Ficd%2Fentity%2F128746707","browser")</x:f>
      </x:c>
      <x:c r="L6227" s="0">
        <x:f>hyperlink("https://icat2.azurewebsites.net/icat/?ontology=ICD&amp;tab=ClassesTab&amp;id=http%3A%2F%2Fwho.int%2Ficd%2336269_512ebf36_bf6b_4d70_85da_cf2637062af4","iCat")</x:f>
      </x:c>
      <x:c r="M6227" s="0" t="s">
        <x:v>21</x:v>
      </x:c>
      <x:c r="N6227" s="0" t="s">
        <x:v>46</x:v>
      </x:c>
    </x:row>
    <x:row r="6228" spans="1:16">
      <x:c r="A6228" s="0" t="s">
        <x:v>24764</x:v>
      </x:c>
      <x:c r="B6228" s="0" t="s">
        <x:v>24765</x:v>
      </x:c>
      <x:c r="C6228" s="0" t="s">
        <x:v>24766</x:v>
      </x:c>
      <x:c r="E6228" s="0" t="s">
        <x:v>24767</x:v>
      </x:c>
      <x:c r="F6228" s="0" t="s">
        <x:v>45</x:v>
      </x:c>
      <x:c r="G6228" s="0" t="s">
        <x:v>19</x:v>
      </x:c>
      <x:c r="H6228" s="0" t="s">
        <x:v>20</x:v>
      </x:c>
      <x:c r="I6228" s="0" t="s">
        <x:v>21</x:v>
      </x:c>
      <x:c r="K6228" s="0">
        <x:f>hyperlink("https://icd.who.int/dev11/l-ichi/en#/http%3A%2F%2Fid.who.int%2Ficd%2Fentity%2F1399507806","browser")</x:f>
      </x:c>
      <x:c r="L6228" s="0">
        <x:f>hyperlink("https://icat2.azurewebsites.net/icat/?ontology=ICD&amp;tab=ClassesTab&amp;id=http%3A%2F%2Fwho.int%2Ficd%2336276_512ebf36_bf6b_4d70_85da_cf2637062af4","iCat")</x:f>
      </x:c>
      <x:c r="M6228" s="0" t="s">
        <x:v>21</x:v>
      </x:c>
      <x:c r="N6228" s="0" t="s">
        <x:v>46</x:v>
      </x:c>
    </x:row>
    <x:row r="6229" spans="1:16">
      <x:c r="A6229" s="0" t="s">
        <x:v>24768</x:v>
      </x:c>
      <x:c r="B6229" s="0" t="s">
        <x:v>24769</x:v>
      </x:c>
      <x:c r="C6229" s="0" t="s">
        <x:v>24770</x:v>
      </x:c>
      <x:c r="E6229" s="0" t="s">
        <x:v>24771</x:v>
      </x:c>
      <x:c r="F6229" s="0" t="s">
        <x:v>45</x:v>
      </x:c>
      <x:c r="G6229" s="0" t="s">
        <x:v>19</x:v>
      </x:c>
      <x:c r="H6229" s="0" t="s">
        <x:v>20</x:v>
      </x:c>
      <x:c r="I6229" s="0" t="s">
        <x:v>21</x:v>
      </x:c>
      <x:c r="K6229" s="0">
        <x:f>hyperlink("https://icd.who.int/dev11/l-ichi/en#/http%3A%2F%2Fid.who.int%2Ficd%2Fentity%2F1551168446","browser")</x:f>
      </x:c>
      <x:c r="L6229" s="0">
        <x:f>hyperlink("https://icat2.azurewebsites.net/icat/?ontology=ICD&amp;tab=ClassesTab&amp;id=http%3A%2F%2Fwho.int%2Ficd%2336287_512ebf36_bf6b_4d70_85da_cf2637062af4","iCat")</x:f>
      </x:c>
      <x:c r="M6229" s="0" t="s">
        <x:v>21</x:v>
      </x:c>
      <x:c r="N6229" s="0" t="s">
        <x:v>46</x:v>
      </x:c>
    </x:row>
    <x:row r="6230" spans="1:16">
      <x:c r="A6230" s="0" t="s">
        <x:v>24772</x:v>
      </x:c>
      <x:c r="B6230" s="0" t="s">
        <x:v>24773</x:v>
      </x:c>
      <x:c r="C6230" s="0" t="s">
        <x:v>24774</x:v>
      </x:c>
      <x:c r="E6230" s="0" t="s">
        <x:v>24775</x:v>
      </x:c>
      <x:c r="F6230" s="0" t="s">
        <x:v>45</x:v>
      </x:c>
      <x:c r="G6230" s="0" t="s">
        <x:v>19</x:v>
      </x:c>
      <x:c r="H6230" s="0" t="s">
        <x:v>20</x:v>
      </x:c>
      <x:c r="I6230" s="0" t="s">
        <x:v>21</x:v>
      </x:c>
      <x:c r="K6230" s="0">
        <x:f>hyperlink("https://icd.who.int/dev11/l-ichi/en#/http%3A%2F%2Fid.who.int%2Ficd%2Fentity%2F1876269033","browser")</x:f>
      </x:c>
      <x:c r="L6230" s="0">
        <x:f>hyperlink("https://icat2.azurewebsites.net/icat/?ontology=ICD&amp;tab=ClassesTab&amp;id=http%3A%2F%2Fwho.int%2Ficd%2316076_4869915e_217e_423d_acb3_33c0f920ef4b","iCat")</x:f>
      </x:c>
      <x:c r="M6230" s="0" t="s">
        <x:v>21</x:v>
      </x:c>
      <x:c r="N6230" s="0" t="s">
        <x:v>46</x:v>
      </x:c>
    </x:row>
    <x:row r="6231" spans="1:16">
      <x:c r="A6231" s="0" t="s">
        <x:v>24776</x:v>
      </x:c>
      <x:c r="B6231" s="0" t="s">
        <x:v>24777</x:v>
      </x:c>
      <x:c r="C6231" s="0" t="s">
        <x:v>24778</x:v>
      </x:c>
      <x:c r="E6231" s="0" t="s">
        <x:v>24779</x:v>
      </x:c>
      <x:c r="F6231" s="0" t="s">
        <x:v>45</x:v>
      </x:c>
      <x:c r="G6231" s="0" t="s">
        <x:v>19</x:v>
      </x:c>
      <x:c r="H6231" s="0" t="s">
        <x:v>20</x:v>
      </x:c>
      <x:c r="I6231" s="0" t="s">
        <x:v>21</x:v>
      </x:c>
      <x:c r="K6231" s="0">
        <x:f>hyperlink("https://icd.who.int/dev11/l-ichi/en#/http%3A%2F%2Fid.who.int%2Ficd%2Fentity%2F62300829","browser")</x:f>
      </x:c>
      <x:c r="L6231" s="0">
        <x:f>hyperlink("https://icat2.azurewebsites.net/icat/?ontology=ICD&amp;tab=ClassesTab&amp;id=http%3A%2F%2Fwho.int%2Ficd%2336293_512ebf36_bf6b_4d70_85da_cf2637062af4","iCat")</x:f>
      </x:c>
      <x:c r="M6231" s="0" t="s">
        <x:v>21</x:v>
      </x:c>
      <x:c r="N6231" s="0" t="s">
        <x:v>46</x:v>
      </x:c>
    </x:row>
    <x:row r="6232" spans="1:16">
      <x:c r="A6232" s="0" t="s">
        <x:v>24780</x:v>
      </x:c>
      <x:c r="B6232" s="0" t="s">
        <x:v>24781</x:v>
      </x:c>
      <x:c r="C6232" s="0" t="s">
        <x:v>24782</x:v>
      </x:c>
      <x:c r="E6232" s="0" t="s">
        <x:v>24783</x:v>
      </x:c>
      <x:c r="F6232" s="0" t="s">
        <x:v>45</x:v>
      </x:c>
      <x:c r="G6232" s="0" t="s">
        <x:v>19</x:v>
      </x:c>
      <x:c r="H6232" s="0" t="s">
        <x:v>20</x:v>
      </x:c>
      <x:c r="I6232" s="0" t="s">
        <x:v>21</x:v>
      </x:c>
      <x:c r="K6232" s="0">
        <x:f>hyperlink("https://icd.who.int/dev11/l-ichi/en#/http%3A%2F%2Fid.who.int%2Ficd%2Fentity%2F676056589","browser")</x:f>
      </x:c>
      <x:c r="L6232" s="0">
        <x:f>hyperlink("https://icat2.azurewebsites.net/icat/?ontology=ICD&amp;tab=ClassesTab&amp;id=http%3A%2F%2Fwho.int%2Ficd%2336299_512ebf36_bf6b_4d70_85da_cf2637062af4","iCat")</x:f>
      </x:c>
      <x:c r="M6232" s="0" t="s">
        <x:v>21</x:v>
      </x:c>
      <x:c r="N6232" s="0" t="s">
        <x:v>46</x:v>
      </x:c>
    </x:row>
    <x:row r="6233" spans="1:16">
      <x:c r="A6233" s="0" t="s">
        <x:v>24784</x:v>
      </x:c>
      <x:c r="B6233" s="0" t="s">
        <x:v>24785</x:v>
      </x:c>
      <x:c r="C6233" s="0" t="s">
        <x:v>24786</x:v>
      </x:c>
      <x:c r="E6233" s="0" t="s">
        <x:v>24787</x:v>
      </x:c>
      <x:c r="F6233" s="0" t="s">
        <x:v>45</x:v>
      </x:c>
      <x:c r="G6233" s="0" t="s">
        <x:v>19</x:v>
      </x:c>
      <x:c r="H6233" s="0" t="s">
        <x:v>20</x:v>
      </x:c>
      <x:c r="I6233" s="0" t="s">
        <x:v>21</x:v>
      </x:c>
      <x:c r="K6233" s="0">
        <x:f>hyperlink("https://icd.who.int/dev11/l-ichi/en#/http%3A%2F%2Fid.who.int%2Ficd%2Fentity%2F1403416868","browser")</x:f>
      </x:c>
      <x:c r="L6233" s="0">
        <x:f>hyperlink("https://icat2.azurewebsites.net/icat/?ontology=ICD&amp;tab=ClassesTab&amp;id=http%3A%2F%2Fwho.int%2Ficd%2336305_512ebf36_bf6b_4d70_85da_cf2637062af4","iCat")</x:f>
      </x:c>
      <x:c r="M6233" s="0" t="s">
        <x:v>21</x:v>
      </x:c>
      <x:c r="N6233" s="0" t="s">
        <x:v>46</x:v>
      </x:c>
    </x:row>
    <x:row r="6234" spans="1:16">
      <x:c r="A6234" s="0" t="s">
        <x:v>24788</x:v>
      </x:c>
      <x:c r="B6234" s="0" t="s">
        <x:v>24789</x:v>
      </x:c>
      <x:c r="C6234" s="0" t="s">
        <x:v>24790</x:v>
      </x:c>
      <x:c r="E6234" s="0" t="s">
        <x:v>24791</x:v>
      </x:c>
      <x:c r="F6234" s="0" t="s">
        <x:v>45</x:v>
      </x:c>
      <x:c r="G6234" s="0" t="s">
        <x:v>19</x:v>
      </x:c>
      <x:c r="H6234" s="0" t="s">
        <x:v>20</x:v>
      </x:c>
      <x:c r="I6234" s="0" t="s">
        <x:v>21</x:v>
      </x:c>
      <x:c r="K6234" s="0">
        <x:f>hyperlink("https://icd.who.int/dev11/l-ichi/en#/http%3A%2F%2Fid.who.int%2Ficd%2Fentity%2F1239502842","browser")</x:f>
      </x:c>
      <x:c r="L6234" s="0">
        <x:f>hyperlink("https://icat2.azurewebsites.net/icat/?ontology=ICD&amp;tab=ClassesTab&amp;id=http%3A%2F%2Fwho.int%2Ficd%2336312_512ebf36_bf6b_4d70_85da_cf2637062af4","iCat")</x:f>
      </x:c>
      <x:c r="M6234" s="0" t="s">
        <x:v>21</x:v>
      </x:c>
      <x:c r="N6234" s="0" t="s">
        <x:v>46</x:v>
      </x:c>
    </x:row>
    <x:row r="6235" spans="1:16">
      <x:c r="A6235" s="0" t="s">
        <x:v>24792</x:v>
      </x:c>
      <x:c r="B6235" s="0" t="s">
        <x:v>24793</x:v>
      </x:c>
      <x:c r="C6235" s="0" t="s">
        <x:v>24794</x:v>
      </x:c>
      <x:c r="E6235" s="0" t="s">
        <x:v>24795</x:v>
      </x:c>
      <x:c r="F6235" s="0" t="s">
        <x:v>45</x:v>
      </x:c>
      <x:c r="G6235" s="0" t="s">
        <x:v>19</x:v>
      </x:c>
      <x:c r="H6235" s="0" t="s">
        <x:v>20</x:v>
      </x:c>
      <x:c r="I6235" s="0" t="s">
        <x:v>21</x:v>
      </x:c>
      <x:c r="K6235" s="0">
        <x:f>hyperlink("https://icd.who.int/dev11/l-ichi/en#/http%3A%2F%2Fid.who.int%2Ficd%2Fentity%2F1122324820","browser")</x:f>
      </x:c>
      <x:c r="L6235" s="0">
        <x:f>hyperlink("https://icat2.azurewebsites.net/icat/?ontology=ICD&amp;tab=ClassesTab&amp;id=http%3A%2F%2Fwho.int%2Ficd%2336319_512ebf36_bf6b_4d70_85da_cf2637062af4","iCat")</x:f>
      </x:c>
      <x:c r="M6235" s="0" t="s">
        <x:v>21</x:v>
      </x:c>
      <x:c r="N6235" s="0" t="s">
        <x:v>46</x:v>
      </x:c>
    </x:row>
    <x:row r="6236" spans="1:16">
      <x:c r="A6236" s="0" t="s">
        <x:v>24796</x:v>
      </x:c>
      <x:c r="B6236" s="0" t="s">
        <x:v>24797</x:v>
      </x:c>
      <x:c r="C6236" s="0" t="s">
        <x:v>24798</x:v>
      </x:c>
      <x:c r="E6236" s="0" t="s">
        <x:v>24799</x:v>
      </x:c>
      <x:c r="F6236" s="0" t="s">
        <x:v>45</x:v>
      </x:c>
      <x:c r="G6236" s="0" t="s">
        <x:v>19</x:v>
      </x:c>
      <x:c r="H6236" s="0" t="s">
        <x:v>20</x:v>
      </x:c>
      <x:c r="I6236" s="0" t="s">
        <x:v>21</x:v>
      </x:c>
      <x:c r="K6236" s="0">
        <x:f>hyperlink("https://icd.who.int/dev11/l-ichi/en#/http%3A%2F%2Fid.who.int%2Ficd%2Fentity%2F2043847794","browser")</x:f>
      </x:c>
      <x:c r="L6236" s="0">
        <x:f>hyperlink("https://icat2.azurewebsites.net/icat/?ontology=ICD&amp;tab=ClassesTab&amp;id=http%3A%2F%2Fwho.int%2Ficd%2336325_512ebf36_bf6b_4d70_85da_cf2637062af4","iCat")</x:f>
      </x:c>
      <x:c r="M6236" s="0" t="s">
        <x:v>21</x:v>
      </x:c>
      <x:c r="N6236" s="0" t="s">
        <x:v>46</x:v>
      </x:c>
    </x:row>
    <x:row r="6237" spans="1:16">
      <x:c r="A6237" s="0" t="s">
        <x:v>24800</x:v>
      </x:c>
      <x:c r="B6237" s="0" t="s">
        <x:v>24801</x:v>
      </x:c>
      <x:c r="C6237" s="0" t="s">
        <x:v>24802</x:v>
      </x:c>
      <x:c r="E6237" s="0" t="s">
        <x:v>24803</x:v>
      </x:c>
      <x:c r="F6237" s="0" t="s">
        <x:v>45</x:v>
      </x:c>
      <x:c r="G6237" s="0" t="s">
        <x:v>19</x:v>
      </x:c>
      <x:c r="H6237" s="0" t="s">
        <x:v>20</x:v>
      </x:c>
      <x:c r="I6237" s="0" t="s">
        <x:v>21</x:v>
      </x:c>
      <x:c r="K6237" s="0">
        <x:f>hyperlink("https://icd.who.int/dev11/l-ichi/en#/http%3A%2F%2Fid.who.int%2Ficd%2Fentity%2F871252761","browser")</x:f>
      </x:c>
      <x:c r="L6237" s="0">
        <x:f>hyperlink("https://icat2.azurewebsites.net/icat/?ontology=ICD&amp;tab=ClassesTab&amp;id=http%3A%2F%2Fwho.int%2Ficd%2336334_512ebf36_bf6b_4d70_85da_cf2637062af4","iCat")</x:f>
      </x:c>
      <x:c r="M6237" s="0" t="s">
        <x:v>21</x:v>
      </x:c>
      <x:c r="N6237" s="0" t="s">
        <x:v>46</x:v>
      </x:c>
    </x:row>
    <x:row r="6238" spans="1:16">
      <x:c r="A6238" s="0" t="s">
        <x:v>24804</x:v>
      </x:c>
      <x:c r="B6238" s="0" t="s">
        <x:v>24805</x:v>
      </x:c>
      <x:c r="C6238" s="0" t="s">
        <x:v>24806</x:v>
      </x:c>
      <x:c r="E6238" s="0" t="s">
        <x:v>24807</x:v>
      </x:c>
      <x:c r="F6238" s="0" t="s">
        <x:v>45</x:v>
      </x:c>
      <x:c r="G6238" s="0" t="s">
        <x:v>19</x:v>
      </x:c>
      <x:c r="H6238" s="0" t="s">
        <x:v>20</x:v>
      </x:c>
      <x:c r="I6238" s="0" t="s">
        <x:v>21</x:v>
      </x:c>
      <x:c r="K6238" s="0">
        <x:f>hyperlink("https://icd.who.int/dev11/l-ichi/en#/http%3A%2F%2Fid.who.int%2Ficd%2Fentity%2F1396935092","browser")</x:f>
      </x:c>
      <x:c r="L6238" s="0">
        <x:f>hyperlink("https://icat2.azurewebsites.net/icat/?ontology=ICD&amp;tab=ClassesTab&amp;id=http%3A%2F%2Fwho.int%2Ficd%2336342_512ebf36_bf6b_4d70_85da_cf2637062af4","iCat")</x:f>
      </x:c>
      <x:c r="M6238" s="0" t="s">
        <x:v>21</x:v>
      </x:c>
      <x:c r="N6238" s="0" t="s">
        <x:v>46</x:v>
      </x:c>
    </x:row>
    <x:row r="6239" spans="1:16">
      <x:c r="A6239" s="0" t="s">
        <x:v>24808</x:v>
      </x:c>
      <x:c r="B6239" s="0" t="s">
        <x:v>24809</x:v>
      </x:c>
      <x:c r="C6239" s="0" t="s">
        <x:v>24810</x:v>
      </x:c>
      <x:c r="E6239" s="0" t="s">
        <x:v>24811</x:v>
      </x:c>
      <x:c r="F6239" s="0" t="s">
        <x:v>45</x:v>
      </x:c>
      <x:c r="G6239" s="0" t="s">
        <x:v>19</x:v>
      </x:c>
      <x:c r="H6239" s="0" t="s">
        <x:v>20</x:v>
      </x:c>
      <x:c r="I6239" s="0" t="s">
        <x:v>21</x:v>
      </x:c>
      <x:c r="K6239" s="0">
        <x:f>hyperlink("https://icd.who.int/dev11/l-ichi/en#/http%3A%2F%2Fid.who.int%2Ficd%2Fentity%2F1481086750","browser")</x:f>
      </x:c>
      <x:c r="L6239" s="0">
        <x:f>hyperlink("https://icat2.azurewebsites.net/icat/?ontology=ICD&amp;tab=ClassesTab&amp;id=http%3A%2F%2Fwho.int%2Ficd%2336349_512ebf36_bf6b_4d70_85da_cf2637062af4","iCat")</x:f>
      </x:c>
      <x:c r="M6239" s="0" t="s">
        <x:v>21</x:v>
      </x:c>
      <x:c r="N6239" s="0" t="s">
        <x:v>46</x:v>
      </x:c>
    </x:row>
    <x:row r="6240" spans="1:16">
      <x:c r="A6240" s="0" t="s">
        <x:v>24812</x:v>
      </x:c>
      <x:c r="B6240" s="0" t="s">
        <x:v>24813</x:v>
      </x:c>
      <x:c r="C6240" s="0" t="s">
        <x:v>24814</x:v>
      </x:c>
      <x:c r="E6240" s="0" t="s">
        <x:v>24815</x:v>
      </x:c>
      <x:c r="F6240" s="0" t="s">
        <x:v>45</x:v>
      </x:c>
      <x:c r="G6240" s="0" t="s">
        <x:v>19</x:v>
      </x:c>
      <x:c r="H6240" s="0" t="s">
        <x:v>20</x:v>
      </x:c>
      <x:c r="I6240" s="0" t="s">
        <x:v>21</x:v>
      </x:c>
      <x:c r="K6240" s="0">
        <x:f>hyperlink("https://icd.who.int/dev11/l-ichi/en#/http%3A%2F%2Fid.who.int%2Ficd%2Fentity%2F474693927","browser")</x:f>
      </x:c>
      <x:c r="L6240" s="0">
        <x:f>hyperlink("https://icat2.azurewebsites.net/icat/?ontology=ICD&amp;tab=ClassesTab&amp;id=http%3A%2F%2Fwho.int%2Ficd%2336360_512ebf36_bf6b_4d70_85da_cf2637062af4","iCat")</x:f>
      </x:c>
      <x:c r="M6240" s="0" t="s">
        <x:v>21</x:v>
      </x:c>
      <x:c r="N6240" s="0" t="s">
        <x:v>46</x:v>
      </x:c>
    </x:row>
    <x:row r="6241" spans="1:16">
      <x:c r="A6241" s="0" t="s">
        <x:v>24816</x:v>
      </x:c>
      <x:c r="B6241" s="0" t="s">
        <x:v>24817</x:v>
      </x:c>
      <x:c r="C6241" s="0" t="s">
        <x:v>24818</x:v>
      </x:c>
      <x:c r="E6241" s="0" t="s">
        <x:v>24819</x:v>
      </x:c>
      <x:c r="F6241" s="0" t="s">
        <x:v>45</x:v>
      </x:c>
      <x:c r="G6241" s="0" t="s">
        <x:v>19</x:v>
      </x:c>
      <x:c r="H6241" s="0" t="s">
        <x:v>20</x:v>
      </x:c>
      <x:c r="I6241" s="0" t="s">
        <x:v>21</x:v>
      </x:c>
      <x:c r="K6241" s="0">
        <x:f>hyperlink("https://icd.who.int/dev11/l-ichi/en#/http%3A%2F%2Fid.who.int%2Ficd%2Fentity%2F1278253208","browser")</x:f>
      </x:c>
      <x:c r="L6241" s="0">
        <x:f>hyperlink("https://icat2.azurewebsites.net/icat/?ontology=ICD&amp;tab=ClassesTab&amp;id=http%3A%2F%2Fwho.int%2Ficd%2336366_512ebf36_bf6b_4d70_85da_cf2637062af4","iCat")</x:f>
      </x:c>
      <x:c r="M6241" s="0" t="s">
        <x:v>21</x:v>
      </x:c>
      <x:c r="N6241" s="0" t="s">
        <x:v>46</x:v>
      </x:c>
    </x:row>
    <x:row r="6242" spans="1:16">
      <x:c r="A6242" s="0" t="s">
        <x:v>24820</x:v>
      </x:c>
      <x:c r="B6242" s="0" t="s">
        <x:v>24821</x:v>
      </x:c>
      <x:c r="C6242" s="0" t="s">
        <x:v>24822</x:v>
      </x:c>
      <x:c r="E6242" s="0" t="s">
        <x:v>24823</x:v>
      </x:c>
      <x:c r="F6242" s="0" t="s">
        <x:v>45</x:v>
      </x:c>
      <x:c r="G6242" s="0" t="s">
        <x:v>19</x:v>
      </x:c>
      <x:c r="H6242" s="0" t="s">
        <x:v>20</x:v>
      </x:c>
      <x:c r="I6242" s="0" t="s">
        <x:v>21</x:v>
      </x:c>
      <x:c r="K6242" s="0">
        <x:f>hyperlink("https://icd.who.int/dev11/l-ichi/en#/http%3A%2F%2Fid.who.int%2Ficd%2Fentity%2F1133056006","browser")</x:f>
      </x:c>
      <x:c r="L6242" s="0">
        <x:f>hyperlink("https://icat2.azurewebsites.net/icat/?ontology=ICD&amp;tab=ClassesTab&amp;id=http%3A%2F%2Fwho.int%2Ficd%2336374_512ebf36_bf6b_4d70_85da_cf2637062af4","iCat")</x:f>
      </x:c>
      <x:c r="M6242" s="0" t="s">
        <x:v>21</x:v>
      </x:c>
      <x:c r="N6242" s="0" t="s">
        <x:v>46</x:v>
      </x:c>
    </x:row>
    <x:row r="6243" spans="1:16">
      <x:c r="A6243" s="0" t="s">
        <x:v>24824</x:v>
      </x:c>
      <x:c r="B6243" s="0" t="s">
        <x:v>24825</x:v>
      </x:c>
      <x:c r="C6243" s="0" t="s">
        <x:v>24826</x:v>
      </x:c>
      <x:c r="E6243" s="0" t="s">
        <x:v>24827</x:v>
      </x:c>
      <x:c r="F6243" s="0" t="s">
        <x:v>45</x:v>
      </x:c>
      <x:c r="G6243" s="0" t="s">
        <x:v>19</x:v>
      </x:c>
      <x:c r="H6243" s="0" t="s">
        <x:v>20</x:v>
      </x:c>
      <x:c r="I6243" s="0" t="s">
        <x:v>21</x:v>
      </x:c>
      <x:c r="K6243" s="0">
        <x:f>hyperlink("https://icd.who.int/dev11/l-ichi/en#/http%3A%2F%2Fid.who.int%2Ficd%2Fentity%2F485290327","browser")</x:f>
      </x:c>
      <x:c r="L6243" s="0">
        <x:f>hyperlink("https://icat2.azurewebsites.net/icat/?ontology=ICD&amp;tab=ClassesTab&amp;id=http%3A%2F%2Fwho.int%2Ficd%2336383_512ebf36_bf6b_4d70_85da_cf2637062af4","iCat")</x:f>
      </x:c>
      <x:c r="M6243" s="0" t="s">
        <x:v>21</x:v>
      </x:c>
      <x:c r="N6243" s="0" t="s">
        <x:v>46</x:v>
      </x:c>
    </x:row>
    <x:row r="6244" spans="1:16">
      <x:c r="A6244" s="0" t="s">
        <x:v>24828</x:v>
      </x:c>
      <x:c r="B6244" s="0" t="s">
        <x:v>24829</x:v>
      </x:c>
      <x:c r="C6244" s="0" t="s">
        <x:v>24830</x:v>
      </x:c>
      <x:c r="E6244" s="0" t="s">
        <x:v>24831</x:v>
      </x:c>
      <x:c r="F6244" s="0" t="s">
        <x:v>45</x:v>
      </x:c>
      <x:c r="G6244" s="0" t="s">
        <x:v>19</x:v>
      </x:c>
      <x:c r="H6244" s="0" t="s">
        <x:v>20</x:v>
      </x:c>
      <x:c r="I6244" s="0" t="s">
        <x:v>21</x:v>
      </x:c>
      <x:c r="K6244" s="0">
        <x:f>hyperlink("https://icd.who.int/dev11/l-ichi/en#/http%3A%2F%2Fid.who.int%2Ficd%2Fentity%2F1456477756","browser")</x:f>
      </x:c>
      <x:c r="L6244" s="0">
        <x:f>hyperlink("https://icat2.azurewebsites.net/icat/?ontology=ICD&amp;tab=ClassesTab&amp;id=http%3A%2F%2Fwho.int%2Ficd%2336392_512ebf36_bf6b_4d70_85da_cf2637062af4","iCat")</x:f>
      </x:c>
      <x:c r="M6244" s="0" t="s">
        <x:v>21</x:v>
      </x:c>
      <x:c r="N6244" s="0" t="s">
        <x:v>46</x:v>
      </x:c>
    </x:row>
    <x:row r="6245" spans="1:16">
      <x:c r="A6245" s="0" t="s">
        <x:v>24832</x:v>
      </x:c>
      <x:c r="B6245" s="0" t="s">
        <x:v>24833</x:v>
      </x:c>
      <x:c r="C6245" s="0" t="s">
        <x:v>24834</x:v>
      </x:c>
      <x:c r="E6245" s="0" t="s">
        <x:v>24835</x:v>
      </x:c>
      <x:c r="F6245" s="0" t="s">
        <x:v>45</x:v>
      </x:c>
      <x:c r="G6245" s="0" t="s">
        <x:v>19</x:v>
      </x:c>
      <x:c r="H6245" s="0" t="s">
        <x:v>20</x:v>
      </x:c>
      <x:c r="I6245" s="0" t="s">
        <x:v>21</x:v>
      </x:c>
      <x:c r="K6245" s="0">
        <x:f>hyperlink("https://icd.who.int/dev11/l-ichi/en#/http%3A%2F%2Fid.who.int%2Ficd%2Fentity%2F1574176914","browser")</x:f>
      </x:c>
      <x:c r="L6245" s="0">
        <x:f>hyperlink("https://icat2.azurewebsites.net/icat/?ontology=ICD&amp;tab=ClassesTab&amp;id=http%3A%2F%2Fwho.int%2Ficd%2336399_512ebf36_bf6b_4d70_85da_cf2637062af4","iCat")</x:f>
      </x:c>
      <x:c r="M6245" s="0" t="s">
        <x:v>21</x:v>
      </x:c>
      <x:c r="N6245" s="0" t="s">
        <x:v>46</x:v>
      </x:c>
    </x:row>
    <x:row r="6246" spans="1:16">
      <x:c r="A6246" s="0" t="s">
        <x:v>24836</x:v>
      </x:c>
      <x:c r="B6246" s="0" t="s">
        <x:v>24837</x:v>
      </x:c>
      <x:c r="C6246" s="0" t="s">
        <x:v>24838</x:v>
      </x:c>
      <x:c r="E6246" s="0" t="s">
        <x:v>24839</x:v>
      </x:c>
      <x:c r="F6246" s="0" t="s">
        <x:v>45</x:v>
      </x:c>
      <x:c r="G6246" s="0" t="s">
        <x:v>19</x:v>
      </x:c>
      <x:c r="H6246" s="0" t="s">
        <x:v>20</x:v>
      </x:c>
      <x:c r="I6246" s="0" t="s">
        <x:v>21</x:v>
      </x:c>
      <x:c r="K6246" s="0">
        <x:f>hyperlink("https://icd.who.int/dev11/l-ichi/en#/http%3A%2F%2Fid.who.int%2Ficd%2Fentity%2F1073207630","browser")</x:f>
      </x:c>
      <x:c r="L6246" s="0">
        <x:f>hyperlink("https://icat2.azurewebsites.net/icat/?ontology=ICD&amp;tab=ClassesTab&amp;id=http%3A%2F%2Fwho.int%2Ficd%2336405_512ebf36_bf6b_4d70_85da_cf2637062af4","iCat")</x:f>
      </x:c>
      <x:c r="M6246" s="0" t="s">
        <x:v>21</x:v>
      </x:c>
      <x:c r="N6246" s="0" t="s">
        <x:v>46</x:v>
      </x:c>
    </x:row>
    <x:row r="6247" spans="1:16">
      <x:c r="A6247" s="0" t="s">
        <x:v>24840</x:v>
      </x:c>
      <x:c r="B6247" s="0" t="s">
        <x:v>24841</x:v>
      </x:c>
      <x:c r="C6247" s="0" t="s">
        <x:v>24842</x:v>
      </x:c>
      <x:c r="E6247" s="0" t="s">
        <x:v>24843</x:v>
      </x:c>
      <x:c r="F6247" s="0" t="s">
        <x:v>45</x:v>
      </x:c>
      <x:c r="G6247" s="0" t="s">
        <x:v>19</x:v>
      </x:c>
      <x:c r="H6247" s="0" t="s">
        <x:v>20</x:v>
      </x:c>
      <x:c r="I6247" s="0" t="s">
        <x:v>21</x:v>
      </x:c>
      <x:c r="K6247" s="0">
        <x:f>hyperlink("https://icd.who.int/dev11/l-ichi/en#/http%3A%2F%2Fid.who.int%2Ficd%2Fentity%2F1614121069","browser")</x:f>
      </x:c>
      <x:c r="L6247" s="0">
        <x:f>hyperlink("https://icat2.azurewebsites.net/icat/?ontology=ICD&amp;tab=ClassesTab&amp;id=http%3A%2F%2Fwho.int%2Ficd%2336411_512ebf36_bf6b_4d70_85da_cf2637062af4","iCat")</x:f>
      </x:c>
      <x:c r="M6247" s="0" t="s">
        <x:v>21</x:v>
      </x:c>
      <x:c r="N6247" s="0" t="s">
        <x:v>46</x:v>
      </x:c>
    </x:row>
    <x:row r="6248" spans="1:16">
      <x:c r="A6248" s="0" t="s">
        <x:v>24844</x:v>
      </x:c>
      <x:c r="B6248" s="0" t="s">
        <x:v>24845</x:v>
      </x:c>
      <x:c r="C6248" s="0" t="s">
        <x:v>24846</x:v>
      </x:c>
      <x:c r="E6248" s="0" t="s">
        <x:v>24847</x:v>
      </x:c>
      <x:c r="F6248" s="0" t="s">
        <x:v>45</x:v>
      </x:c>
      <x:c r="G6248" s="0" t="s">
        <x:v>19</x:v>
      </x:c>
      <x:c r="H6248" s="0" t="s">
        <x:v>20</x:v>
      </x:c>
      <x:c r="I6248" s="0" t="s">
        <x:v>21</x:v>
      </x:c>
      <x:c r="K6248" s="0">
        <x:f>hyperlink("https://icd.who.int/dev11/l-ichi/en#/http%3A%2F%2Fid.who.int%2Ficd%2Fentity%2F239962884","browser")</x:f>
      </x:c>
      <x:c r="L6248" s="0">
        <x:f>hyperlink("https://icat2.azurewebsites.net/icat/?ontology=ICD&amp;tab=ClassesTab&amp;id=http%3A%2F%2Fwho.int%2Ficd%2336418_512ebf36_bf6b_4d70_85da_cf2637062af4","iCat")</x:f>
      </x:c>
      <x:c r="M6248" s="0" t="s">
        <x:v>21</x:v>
      </x:c>
      <x:c r="N6248" s="0" t="s">
        <x:v>46</x:v>
      </x:c>
    </x:row>
    <x:row r="6249" spans="1:16">
      <x:c r="A6249" s="0" t="s">
        <x:v>24848</x:v>
      </x:c>
      <x:c r="B6249" s="0" t="s">
        <x:v>24849</x:v>
      </x:c>
      <x:c r="C6249" s="0" t="s">
        <x:v>24850</x:v>
      </x:c>
      <x:c r="E6249" s="0" t="s">
        <x:v>24851</x:v>
      </x:c>
      <x:c r="F6249" s="0" t="s">
        <x:v>45</x:v>
      </x:c>
      <x:c r="G6249" s="0" t="s">
        <x:v>19</x:v>
      </x:c>
      <x:c r="H6249" s="0" t="s">
        <x:v>20</x:v>
      </x:c>
      <x:c r="I6249" s="0" t="s">
        <x:v>21</x:v>
      </x:c>
      <x:c r="K6249" s="0">
        <x:f>hyperlink("https://icd.who.int/dev11/l-ichi/en#/http%3A%2F%2Fid.who.int%2Ficd%2Fentity%2F1546059998","browser")</x:f>
      </x:c>
      <x:c r="L6249" s="0">
        <x:f>hyperlink("https://icat2.azurewebsites.net/icat/?ontology=ICD&amp;tab=ClassesTab&amp;id=http%3A%2F%2Fwho.int%2Ficd%2315656_4869915e_217e_423d_acb3_33c0f920ef4b","iCat")</x:f>
      </x:c>
      <x:c r="M6249" s="0" t="s">
        <x:v>21</x:v>
      </x:c>
      <x:c r="N6249" s="0" t="s">
        <x:v>46</x:v>
      </x:c>
    </x:row>
    <x:row r="6250" spans="1:16">
      <x:c r="A6250" s="0" t="s">
        <x:v>24852</x:v>
      </x:c>
      <x:c r="B6250" s="0" t="s">
        <x:v>24853</x:v>
      </x:c>
      <x:c r="C6250" s="0" t="s">
        <x:v>24854</x:v>
      </x:c>
      <x:c r="E6250" s="0" t="s">
        <x:v>24855</x:v>
      </x:c>
      <x:c r="F6250" s="0" t="s">
        <x:v>45</x:v>
      </x:c>
      <x:c r="G6250" s="0" t="s">
        <x:v>19</x:v>
      </x:c>
      <x:c r="H6250" s="0" t="s">
        <x:v>20</x:v>
      </x:c>
      <x:c r="I6250" s="0" t="s">
        <x:v>21</x:v>
      </x:c>
      <x:c r="K6250" s="0">
        <x:f>hyperlink("https://icd.who.int/dev11/l-ichi/en#/http%3A%2F%2Fid.who.int%2Ficd%2Fentity%2F897220130","browser")</x:f>
      </x:c>
      <x:c r="L6250" s="0">
        <x:f>hyperlink("https://icat2.azurewebsites.net/icat/?ontology=ICD&amp;tab=ClassesTab&amp;id=http%3A%2F%2Fwho.int%2Ficd%2336424_512ebf36_bf6b_4d70_85da_cf2637062af4","iCat")</x:f>
      </x:c>
      <x:c r="M6250" s="0" t="s">
        <x:v>21</x:v>
      </x:c>
      <x:c r="N6250" s="0" t="s">
        <x:v>46</x:v>
      </x:c>
    </x:row>
    <x:row r="6251" spans="1:16">
      <x:c r="A6251" s="0" t="s">
        <x:v>24856</x:v>
      </x:c>
      <x:c r="B6251" s="0" t="s">
        <x:v>24857</x:v>
      </x:c>
      <x:c r="C6251" s="0" t="s">
        <x:v>24858</x:v>
      </x:c>
      <x:c r="E6251" s="0" t="s">
        <x:v>24859</x:v>
      </x:c>
      <x:c r="F6251" s="0" t="s">
        <x:v>45</x:v>
      </x:c>
      <x:c r="G6251" s="0" t="s">
        <x:v>19</x:v>
      </x:c>
      <x:c r="H6251" s="0" t="s">
        <x:v>20</x:v>
      </x:c>
      <x:c r="I6251" s="0" t="s">
        <x:v>21</x:v>
      </x:c>
      <x:c r="K6251" s="0">
        <x:f>hyperlink("https://icd.who.int/dev11/l-ichi/en#/http%3A%2F%2Fid.who.int%2Ficd%2Fentity%2F1790455553","browser")</x:f>
      </x:c>
      <x:c r="L6251" s="0">
        <x:f>hyperlink("https://icat2.azurewebsites.net/icat/?ontology=ICD&amp;tab=ClassesTab&amp;id=http%3A%2F%2Fwho.int%2Ficd%2336430_512ebf36_bf6b_4d70_85da_cf2637062af4","iCat")</x:f>
      </x:c>
      <x:c r="M6251" s="0" t="s">
        <x:v>21</x:v>
      </x:c>
      <x:c r="N6251" s="0" t="s">
        <x:v>46</x:v>
      </x:c>
    </x:row>
    <x:row r="6252" spans="1:16">
      <x:c r="A6252" s="0" t="s">
        <x:v>24860</x:v>
      </x:c>
      <x:c r="B6252" s="0" t="s">
        <x:v>24861</x:v>
      </x:c>
      <x:c r="C6252" s="0" t="s">
        <x:v>24862</x:v>
      </x:c>
      <x:c r="E6252" s="0" t="s">
        <x:v>24863</x:v>
      </x:c>
      <x:c r="F6252" s="0" t="s">
        <x:v>45</x:v>
      </x:c>
      <x:c r="G6252" s="0" t="s">
        <x:v>19</x:v>
      </x:c>
      <x:c r="H6252" s="0" t="s">
        <x:v>20</x:v>
      </x:c>
      <x:c r="I6252" s="0" t="s">
        <x:v>21</x:v>
      </x:c>
      <x:c r="K6252" s="0">
        <x:f>hyperlink("https://icd.who.int/dev11/l-ichi/en#/http%3A%2F%2Fid.who.int%2Ficd%2Fentity%2F985921200","browser")</x:f>
      </x:c>
      <x:c r="L6252" s="0">
        <x:f>hyperlink("https://icat2.azurewebsites.net/icat/?ontology=ICD&amp;tab=ClassesTab&amp;id=http%3A%2F%2Fwho.int%2Ficd%2336436_512ebf36_bf6b_4d70_85da_cf2637062af4","iCat")</x:f>
      </x:c>
      <x:c r="M6252" s="0" t="s">
        <x:v>21</x:v>
      </x:c>
      <x:c r="N6252" s="0" t="s">
        <x:v>46</x:v>
      </x:c>
    </x:row>
    <x:row r="6253" spans="1:16">
      <x:c r="A6253" s="0" t="s">
        <x:v>24864</x:v>
      </x:c>
      <x:c r="B6253" s="0" t="s">
        <x:v>24865</x:v>
      </x:c>
      <x:c r="C6253" s="0" t="s">
        <x:v>24866</x:v>
      </x:c>
      <x:c r="E6253" s="0" t="s">
        <x:v>24867</x:v>
      </x:c>
      <x:c r="F6253" s="0" t="s">
        <x:v>45</x:v>
      </x:c>
      <x:c r="G6253" s="0" t="s">
        <x:v>19</x:v>
      </x:c>
      <x:c r="H6253" s="0" t="s">
        <x:v>20</x:v>
      </x:c>
      <x:c r="I6253" s="0" t="s">
        <x:v>21</x:v>
      </x:c>
      <x:c r="K6253" s="0">
        <x:f>hyperlink("https://icd.who.int/dev11/l-ichi/en#/http%3A%2F%2Fid.who.int%2Ficd%2Fentity%2F1058152926","browser")</x:f>
      </x:c>
      <x:c r="L6253" s="0">
        <x:f>hyperlink("https://icat2.azurewebsites.net/icat/?ontology=ICD&amp;tab=ClassesTab&amp;id=http%3A%2F%2Fwho.int%2Ficd%2336442_512ebf36_bf6b_4d70_85da_cf2637062af4","iCat")</x:f>
      </x:c>
      <x:c r="M6253" s="0" t="s">
        <x:v>21</x:v>
      </x:c>
      <x:c r="N6253" s="0" t="s">
        <x:v>46</x:v>
      </x:c>
    </x:row>
    <x:row r="6254" spans="1:16">
      <x:c r="A6254" s="0" t="s">
        <x:v>24868</x:v>
      </x:c>
      <x:c r="B6254" s="0" t="s">
        <x:v>24869</x:v>
      </x:c>
      <x:c r="C6254" s="0" t="s">
        <x:v>24870</x:v>
      </x:c>
      <x:c r="E6254" s="0" t="s">
        <x:v>24871</x:v>
      </x:c>
      <x:c r="F6254" s="0" t="s">
        <x:v>45</x:v>
      </x:c>
      <x:c r="G6254" s="0" t="s">
        <x:v>19</x:v>
      </x:c>
      <x:c r="H6254" s="0" t="s">
        <x:v>20</x:v>
      </x:c>
      <x:c r="I6254" s="0" t="s">
        <x:v>21</x:v>
      </x:c>
      <x:c r="K6254" s="0">
        <x:f>hyperlink("https://icd.who.int/dev11/l-ichi/en#/http%3A%2F%2Fid.who.int%2Ficd%2Fentity%2F351227214","browser")</x:f>
      </x:c>
      <x:c r="L6254" s="0">
        <x:f>hyperlink("https://icat2.azurewebsites.net/icat/?ontology=ICD&amp;tab=ClassesTab&amp;id=http%3A%2F%2Fwho.int%2Ficd%2336448_512ebf36_bf6b_4d70_85da_cf2637062af4","iCat")</x:f>
      </x:c>
      <x:c r="M6254" s="0" t="s">
        <x:v>21</x:v>
      </x:c>
      <x:c r="N6254" s="0" t="s">
        <x:v>46</x:v>
      </x:c>
    </x:row>
    <x:row r="6255" spans="1:16">
      <x:c r="A6255" s="0" t="s">
        <x:v>24872</x:v>
      </x:c>
      <x:c r="B6255" s="0" t="s">
        <x:v>24873</x:v>
      </x:c>
      <x:c r="C6255" s="0" t="s">
        <x:v>24874</x:v>
      </x:c>
      <x:c r="E6255" s="0" t="s">
        <x:v>24875</x:v>
      </x:c>
      <x:c r="F6255" s="0" t="s">
        <x:v>45</x:v>
      </x:c>
      <x:c r="G6255" s="0" t="s">
        <x:v>19</x:v>
      </x:c>
      <x:c r="H6255" s="0" t="s">
        <x:v>20</x:v>
      </x:c>
      <x:c r="I6255" s="0" t="s">
        <x:v>21</x:v>
      </x:c>
      <x:c r="K6255" s="0">
        <x:f>hyperlink("https://icd.who.int/dev11/l-ichi/en#/http%3A%2F%2Fid.who.int%2Ficd%2Fentity%2F1624273149","browser")</x:f>
      </x:c>
      <x:c r="L6255" s="0">
        <x:f>hyperlink("https://icat2.azurewebsites.net/icat/?ontology=ICD&amp;tab=ClassesTab&amp;id=http%3A%2F%2Fwho.int%2Ficd%2336456_512ebf36_bf6b_4d70_85da_cf2637062af4","iCat")</x:f>
      </x:c>
      <x:c r="M6255" s="0" t="s">
        <x:v>21</x:v>
      </x:c>
      <x:c r="N6255" s="0" t="s">
        <x:v>46</x:v>
      </x:c>
    </x:row>
    <x:row r="6256" spans="1:16">
      <x:c r="A6256" s="0" t="s">
        <x:v>24876</x:v>
      </x:c>
      <x:c r="B6256" s="0" t="s">
        <x:v>24877</x:v>
      </x:c>
      <x:c r="C6256" s="0" t="s">
        <x:v>24878</x:v>
      </x:c>
      <x:c r="E6256" s="0" t="s">
        <x:v>24879</x:v>
      </x:c>
      <x:c r="F6256" s="0" t="s">
        <x:v>45</x:v>
      </x:c>
      <x:c r="G6256" s="0" t="s">
        <x:v>19</x:v>
      </x:c>
      <x:c r="H6256" s="0" t="s">
        <x:v>20</x:v>
      </x:c>
      <x:c r="I6256" s="0" t="s">
        <x:v>21</x:v>
      </x:c>
      <x:c r="K6256" s="0">
        <x:f>hyperlink("https://icd.who.int/dev11/l-ichi/en#/http%3A%2F%2Fid.who.int%2Ficd%2Fentity%2F359068816","browser")</x:f>
      </x:c>
      <x:c r="L6256" s="0">
        <x:f>hyperlink("https://icat2.azurewebsites.net/icat/?ontology=ICD&amp;tab=ClassesTab&amp;id=http%3A%2F%2Fwho.int%2Ficd%2336462_512ebf36_bf6b_4d70_85da_cf2637062af4","iCat")</x:f>
      </x:c>
      <x:c r="M6256" s="0" t="s">
        <x:v>21</x:v>
      </x:c>
      <x:c r="N6256" s="0" t="s">
        <x:v>46</x:v>
      </x:c>
    </x:row>
    <x:row r="6257" spans="1:16">
      <x:c r="A6257" s="0" t="s">
        <x:v>24880</x:v>
      </x:c>
      <x:c r="B6257" s="0" t="s">
        <x:v>24881</x:v>
      </x:c>
      <x:c r="C6257" s="0" t="s">
        <x:v>24882</x:v>
      </x:c>
      <x:c r="E6257" s="0" t="s">
        <x:v>24883</x:v>
      </x:c>
      <x:c r="F6257" s="0" t="s">
        <x:v>45</x:v>
      </x:c>
      <x:c r="G6257" s="0" t="s">
        <x:v>19</x:v>
      </x:c>
      <x:c r="H6257" s="0" t="s">
        <x:v>20</x:v>
      </x:c>
      <x:c r="I6257" s="0" t="s">
        <x:v>21</x:v>
      </x:c>
      <x:c r="K6257" s="0">
        <x:f>hyperlink("https://icd.who.int/dev11/l-ichi/en#/http%3A%2F%2Fid.who.int%2Ficd%2Fentity%2F1050384416","browser")</x:f>
      </x:c>
      <x:c r="L6257" s="0">
        <x:f>hyperlink("https://icat2.azurewebsites.net/icat/?ontology=ICD&amp;tab=ClassesTab&amp;id=http%3A%2F%2Fwho.int%2Ficd%2336468_512ebf36_bf6b_4d70_85da_cf2637062af4","iCat")</x:f>
      </x:c>
      <x:c r="M6257" s="0" t="s">
        <x:v>21</x:v>
      </x:c>
      <x:c r="N6257" s="0" t="s">
        <x:v>46</x:v>
      </x:c>
    </x:row>
    <x:row r="6258" spans="1:16">
      <x:c r="A6258" s="0" t="s">
        <x:v>24884</x:v>
      </x:c>
      <x:c r="B6258" s="0" t="s">
        <x:v>24885</x:v>
      </x:c>
      <x:c r="C6258" s="0" t="s">
        <x:v>24886</x:v>
      </x:c>
      <x:c r="E6258" s="0" t="s">
        <x:v>24887</x:v>
      </x:c>
      <x:c r="F6258" s="0" t="s">
        <x:v>45</x:v>
      </x:c>
      <x:c r="G6258" s="0" t="s">
        <x:v>19</x:v>
      </x:c>
      <x:c r="H6258" s="0" t="s">
        <x:v>20</x:v>
      </x:c>
      <x:c r="I6258" s="0" t="s">
        <x:v>21</x:v>
      </x:c>
      <x:c r="K6258" s="0">
        <x:f>hyperlink("https://icd.who.int/dev11/l-ichi/en#/http%3A%2F%2Fid.who.int%2Ficd%2Fentity%2F1784534929","browser")</x:f>
      </x:c>
      <x:c r="L6258" s="0">
        <x:f>hyperlink("https://icat2.azurewebsites.net/icat/?ontology=ICD&amp;tab=ClassesTab&amp;id=http%3A%2F%2Fwho.int%2Ficd%2336477_512ebf36_bf6b_4d70_85da_cf2637062af4","iCat")</x:f>
      </x:c>
      <x:c r="M6258" s="0" t="s">
        <x:v>21</x:v>
      </x:c>
      <x:c r="N6258" s="0" t="s">
        <x:v>46</x:v>
      </x:c>
    </x:row>
    <x:row r="6259" spans="1:16">
      <x:c r="A6259" s="0" t="s">
        <x:v>24888</x:v>
      </x:c>
      <x:c r="B6259" s="0" t="s">
        <x:v>24889</x:v>
      </x:c>
      <x:c r="C6259" s="0" t="s">
        <x:v>24890</x:v>
      </x:c>
      <x:c r="E6259" s="0" t="s">
        <x:v>24891</x:v>
      </x:c>
      <x:c r="F6259" s="0" t="s">
        <x:v>45</x:v>
      </x:c>
      <x:c r="G6259" s="0" t="s">
        <x:v>19</x:v>
      </x:c>
      <x:c r="H6259" s="0" t="s">
        <x:v>20</x:v>
      </x:c>
      <x:c r="I6259" s="0" t="s">
        <x:v>21</x:v>
      </x:c>
      <x:c r="K6259" s="0">
        <x:f>hyperlink("https://icd.who.int/dev11/l-ichi/en#/http%3A%2F%2Fid.who.int%2Ficd%2Fentity%2F4190902","browser")</x:f>
      </x:c>
      <x:c r="L6259" s="0">
        <x:f>hyperlink("https://icat2.azurewebsites.net/icat/?ontology=ICD&amp;tab=ClassesTab&amp;id=http%3A%2F%2Fwho.int%2Ficd%2336484_512ebf36_bf6b_4d70_85da_cf2637062af4","iCat")</x:f>
      </x:c>
      <x:c r="M6259" s="0" t="s">
        <x:v>21</x:v>
      </x:c>
      <x:c r="N6259" s="0" t="s">
        <x:v>46</x:v>
      </x:c>
    </x:row>
    <x:row r="6260" spans="1:16">
      <x:c r="A6260" s="0" t="s">
        <x:v>24892</x:v>
      </x:c>
      <x:c r="B6260" s="0" t="s">
        <x:v>24893</x:v>
      </x:c>
      <x:c r="C6260" s="0" t="s">
        <x:v>24894</x:v>
      </x:c>
      <x:c r="E6260" s="0" t="s">
        <x:v>24895</x:v>
      </x:c>
      <x:c r="F6260" s="0" t="s">
        <x:v>45</x:v>
      </x:c>
      <x:c r="G6260" s="0" t="s">
        <x:v>19</x:v>
      </x:c>
      <x:c r="H6260" s="0" t="s">
        <x:v>20</x:v>
      </x:c>
      <x:c r="I6260" s="0" t="s">
        <x:v>21</x:v>
      </x:c>
      <x:c r="K6260" s="0">
        <x:f>hyperlink("https://icd.who.int/dev11/l-ichi/en#/http%3A%2F%2Fid.who.int%2Ficd%2Fentity%2F981581394","browser")</x:f>
      </x:c>
      <x:c r="L6260" s="0">
        <x:f>hyperlink("https://icat2.azurewebsites.net/icat/?ontology=ICD&amp;tab=ClassesTab&amp;id=http%3A%2F%2Fwho.int%2Ficd%2336492_512ebf36_bf6b_4d70_85da_cf2637062af4","iCat")</x:f>
      </x:c>
      <x:c r="M6260" s="0" t="s">
        <x:v>21</x:v>
      </x:c>
      <x:c r="N6260" s="0" t="s">
        <x:v>46</x:v>
      </x:c>
    </x:row>
    <x:row r="6261" spans="1:16">
      <x:c r="A6261" s="0" t="s">
        <x:v>24896</x:v>
      </x:c>
      <x:c r="B6261" s="0" t="s">
        <x:v>24897</x:v>
      </x:c>
      <x:c r="C6261" s="0" t="s">
        <x:v>24898</x:v>
      </x:c>
      <x:c r="E6261" s="0" t="s">
        <x:v>24899</x:v>
      </x:c>
      <x:c r="F6261" s="0" t="s">
        <x:v>45</x:v>
      </x:c>
      <x:c r="G6261" s="0" t="s">
        <x:v>19</x:v>
      </x:c>
      <x:c r="H6261" s="0" t="s">
        <x:v>20</x:v>
      </x:c>
      <x:c r="I6261" s="0" t="s">
        <x:v>21</x:v>
      </x:c>
      <x:c r="K6261" s="0">
        <x:f>hyperlink("https://icd.who.int/dev11/l-ichi/en#/http%3A%2F%2Fid.who.int%2Ficd%2Fentity%2F1603709339","browser")</x:f>
      </x:c>
      <x:c r="L6261" s="0">
        <x:f>hyperlink("https://icat2.azurewebsites.net/icat/?ontology=ICD&amp;tab=ClassesTab&amp;id=http%3A%2F%2Fwho.int%2Ficd%2336500_512ebf36_bf6b_4d70_85da_cf2637062af4","iCat")</x:f>
      </x:c>
      <x:c r="M6261" s="0" t="s">
        <x:v>21</x:v>
      </x:c>
      <x:c r="N6261" s="0" t="s">
        <x:v>46</x:v>
      </x:c>
    </x:row>
    <x:row r="6262" spans="1:16">
      <x:c r="A6262" s="0" t="s">
        <x:v>24900</x:v>
      </x:c>
      <x:c r="B6262" s="0" t="s">
        <x:v>24901</x:v>
      </x:c>
      <x:c r="C6262" s="0" t="s">
        <x:v>24902</x:v>
      </x:c>
      <x:c r="E6262" s="0" t="s">
        <x:v>24903</x:v>
      </x:c>
      <x:c r="F6262" s="0" t="s">
        <x:v>45</x:v>
      </x:c>
      <x:c r="G6262" s="0" t="s">
        <x:v>19</x:v>
      </x:c>
      <x:c r="H6262" s="0" t="s">
        <x:v>20</x:v>
      </x:c>
      <x:c r="I6262" s="0" t="s">
        <x:v>21</x:v>
      </x:c>
      <x:c r="K6262" s="0">
        <x:f>hyperlink("https://icd.who.int/dev11/l-ichi/en#/http%3A%2F%2Fid.who.int%2Ficd%2Fentity%2F837724916","browser")</x:f>
      </x:c>
      <x:c r="L6262" s="0">
        <x:f>hyperlink("https://icat2.azurewebsites.net/icat/?ontology=ICD&amp;tab=ClassesTab&amp;id=http%3A%2F%2Fwho.int%2Ficd%2336509_512ebf36_bf6b_4d70_85da_cf2637062af4","iCat")</x:f>
      </x:c>
      <x:c r="M6262" s="0" t="s">
        <x:v>21</x:v>
      </x:c>
      <x:c r="N6262" s="0" t="s">
        <x:v>46</x:v>
      </x:c>
    </x:row>
    <x:row r="6263" spans="1:16">
      <x:c r="A6263" s="0" t="s">
        <x:v>24904</x:v>
      </x:c>
      <x:c r="B6263" s="0" t="s">
        <x:v>24905</x:v>
      </x:c>
      <x:c r="C6263" s="0" t="s">
        <x:v>24906</x:v>
      </x:c>
      <x:c r="E6263" s="0" t="s">
        <x:v>24907</x:v>
      </x:c>
      <x:c r="F6263" s="0" t="s">
        <x:v>45</x:v>
      </x:c>
      <x:c r="G6263" s="0" t="s">
        <x:v>19</x:v>
      </x:c>
      <x:c r="H6263" s="0" t="s">
        <x:v>20</x:v>
      </x:c>
      <x:c r="I6263" s="0" t="s">
        <x:v>21</x:v>
      </x:c>
      <x:c r="K6263" s="0">
        <x:f>hyperlink("https://icd.who.int/dev11/l-ichi/en#/http%3A%2F%2Fid.who.int%2Ficd%2Fentity%2F1529560997","browser")</x:f>
      </x:c>
      <x:c r="L6263" s="0">
        <x:f>hyperlink("https://icat2.azurewebsites.net/icat/?ontology=ICD&amp;tab=ClassesTab&amp;id=http%3A%2F%2Fwho.int%2Ficd%2336519_512ebf36_bf6b_4d70_85da_cf2637062af4","iCat")</x:f>
      </x:c>
      <x:c r="M6263" s="0" t="s">
        <x:v>21</x:v>
      </x:c>
      <x:c r="N6263" s="0" t="s">
        <x:v>46</x:v>
      </x:c>
    </x:row>
    <x:row r="6264" spans="1:16">
      <x:c r="A6264" s="0" t="s">
        <x:v>24908</x:v>
      </x:c>
      <x:c r="B6264" s="0" t="s">
        <x:v>24909</x:v>
      </x:c>
      <x:c r="C6264" s="0" t="s">
        <x:v>24910</x:v>
      </x:c>
      <x:c r="E6264" s="0" t="s">
        <x:v>24911</x:v>
      </x:c>
      <x:c r="F6264" s="0" t="s">
        <x:v>45</x:v>
      </x:c>
      <x:c r="G6264" s="0" t="s">
        <x:v>19</x:v>
      </x:c>
      <x:c r="H6264" s="0" t="s">
        <x:v>20</x:v>
      </x:c>
      <x:c r="I6264" s="0" t="s">
        <x:v>21</x:v>
      </x:c>
      <x:c r="K6264" s="0">
        <x:f>hyperlink("https://icd.who.int/dev11/l-ichi/en#/http%3A%2F%2Fid.who.int%2Ficd%2Fentity%2F463110050","browser")</x:f>
      </x:c>
      <x:c r="L6264" s="0">
        <x:f>hyperlink("https://icat2.azurewebsites.net/icat/?ontology=ICD&amp;tab=ClassesTab&amp;id=http%3A%2F%2Fwho.int%2Ficd%2336529_512ebf36_bf6b_4d70_85da_cf2637062af4","iCat")</x:f>
      </x:c>
      <x:c r="M6264" s="0" t="s">
        <x:v>21</x:v>
      </x:c>
      <x:c r="N6264" s="0" t="s">
        <x:v>46</x:v>
      </x:c>
    </x:row>
    <x:row r="6265" spans="1:16">
      <x:c r="A6265" s="0" t="s">
        <x:v>24912</x:v>
      </x:c>
      <x:c r="B6265" s="0" t="s">
        <x:v>24913</x:v>
      </x:c>
      <x:c r="C6265" s="0" t="s">
        <x:v>24914</x:v>
      </x:c>
      <x:c r="E6265" s="0" t="s">
        <x:v>24915</x:v>
      </x:c>
      <x:c r="F6265" s="0" t="s">
        <x:v>45</x:v>
      </x:c>
      <x:c r="G6265" s="0" t="s">
        <x:v>19</x:v>
      </x:c>
      <x:c r="H6265" s="0" t="s">
        <x:v>20</x:v>
      </x:c>
      <x:c r="I6265" s="0" t="s">
        <x:v>21</x:v>
      </x:c>
      <x:c r="K6265" s="0">
        <x:f>hyperlink("https://icd.who.int/dev11/l-ichi/en#/http%3A%2F%2Fid.who.int%2Ficd%2Fentity%2F1369872585","browser")</x:f>
      </x:c>
      <x:c r="L6265" s="0">
        <x:f>hyperlink("https://icat2.azurewebsites.net/icat/?ontology=ICD&amp;tab=ClassesTab&amp;id=http%3A%2F%2Fwho.int%2Ficd%2336538_512ebf36_bf6b_4d70_85da_cf2637062af4","iCat")</x:f>
      </x:c>
      <x:c r="M6265" s="0" t="s">
        <x:v>21</x:v>
      </x:c>
      <x:c r="N6265" s="0" t="s">
        <x:v>46</x:v>
      </x:c>
    </x:row>
    <x:row r="6266" spans="1:16">
      <x:c r="A6266" s="0" t="s">
        <x:v>24916</x:v>
      </x:c>
      <x:c r="B6266" s="0" t="s">
        <x:v>24917</x:v>
      </x:c>
      <x:c r="C6266" s="0" t="s">
        <x:v>24918</x:v>
      </x:c>
      <x:c r="E6266" s="0" t="s">
        <x:v>24919</x:v>
      </x:c>
      <x:c r="F6266" s="0" t="s">
        <x:v>45</x:v>
      </x:c>
      <x:c r="G6266" s="0" t="s">
        <x:v>19</x:v>
      </x:c>
      <x:c r="H6266" s="0" t="s">
        <x:v>20</x:v>
      </x:c>
      <x:c r="I6266" s="0" t="s">
        <x:v>21</x:v>
      </x:c>
      <x:c r="K6266" s="0">
        <x:f>hyperlink("https://icd.who.int/dev11/l-ichi/en#/http%3A%2F%2Fid.who.int%2Ficd%2Fentity%2F1601392907","browser")</x:f>
      </x:c>
      <x:c r="L6266" s="0">
        <x:f>hyperlink("https://icat2.azurewebsites.net/icat/?ontology=ICD&amp;tab=ClassesTab&amp;id=http%3A%2F%2Fwho.int%2Ficd%2336547_512ebf36_bf6b_4d70_85da_cf2637062af4","iCat")</x:f>
      </x:c>
      <x:c r="M6266" s="0" t="s">
        <x:v>21</x:v>
      </x:c>
      <x:c r="N6266" s="0" t="s">
        <x:v>46</x:v>
      </x:c>
    </x:row>
    <x:row r="6267" spans="1:16">
      <x:c r="A6267" s="0" t="s">
        <x:v>24920</x:v>
      </x:c>
      <x:c r="B6267" s="0" t="s">
        <x:v>24921</x:v>
      </x:c>
      <x:c r="C6267" s="0" t="s">
        <x:v>24922</x:v>
      </x:c>
      <x:c r="E6267" s="0" t="s">
        <x:v>24923</x:v>
      </x:c>
      <x:c r="F6267" s="0" t="s">
        <x:v>45</x:v>
      </x:c>
      <x:c r="G6267" s="0" t="s">
        <x:v>19</x:v>
      </x:c>
      <x:c r="H6267" s="0" t="s">
        <x:v>20</x:v>
      </x:c>
      <x:c r="I6267" s="0" t="s">
        <x:v>21</x:v>
      </x:c>
      <x:c r="K6267" s="0">
        <x:f>hyperlink("https://icd.who.int/dev11/l-ichi/en#/http%3A%2F%2Fid.who.int%2Ficd%2Fentity%2F1355471257","browser")</x:f>
      </x:c>
      <x:c r="L6267" s="0">
        <x:f>hyperlink("https://icat2.azurewebsites.net/icat/?ontology=ICD&amp;tab=ClassesTab&amp;id=http%3A%2F%2Fwho.int%2Ficd%2336555_512ebf36_bf6b_4d70_85da_cf2637062af4","iCat")</x:f>
      </x:c>
      <x:c r="M6267" s="0" t="s">
        <x:v>21</x:v>
      </x:c>
      <x:c r="N6267" s="0" t="s">
        <x:v>46</x:v>
      </x:c>
    </x:row>
    <x:row r="6268" spans="1:16">
      <x:c r="A6268" s="0" t="s">
        <x:v>24924</x:v>
      </x:c>
      <x:c r="B6268" s="0" t="s">
        <x:v>24925</x:v>
      </x:c>
      <x:c r="C6268" s="0" t="s">
        <x:v>24926</x:v>
      </x:c>
      <x:c r="E6268" s="0" t="s">
        <x:v>24927</x:v>
      </x:c>
      <x:c r="F6268" s="0" t="s">
        <x:v>45</x:v>
      </x:c>
      <x:c r="G6268" s="0" t="s">
        <x:v>19</x:v>
      </x:c>
      <x:c r="H6268" s="0" t="s">
        <x:v>20</x:v>
      </x:c>
      <x:c r="I6268" s="0" t="s">
        <x:v>21</x:v>
      </x:c>
      <x:c r="K6268" s="0">
        <x:f>hyperlink("https://icd.who.int/dev11/l-ichi/en#/http%3A%2F%2Fid.who.int%2Ficd%2Fentity%2F1073758255","browser")</x:f>
      </x:c>
      <x:c r="L6268" s="0">
        <x:f>hyperlink("https://icat2.azurewebsites.net/icat/?ontology=ICD&amp;tab=ClassesTab&amp;id=http%3A%2F%2Fwho.int%2Ficd%2336563_512ebf36_bf6b_4d70_85da_cf2637062af4","iCat")</x:f>
      </x:c>
      <x:c r="M6268" s="0" t="s">
        <x:v>21</x:v>
      </x:c>
      <x:c r="N6268" s="0" t="s">
        <x:v>46</x:v>
      </x:c>
    </x:row>
    <x:row r="6269" spans="1:16">
      <x:c r="A6269" s="0" t="s">
        <x:v>24928</x:v>
      </x:c>
      <x:c r="B6269" s="0" t="s">
        <x:v>24929</x:v>
      </x:c>
      <x:c r="C6269" s="0" t="s">
        <x:v>24930</x:v>
      </x:c>
      <x:c r="E6269" s="0" t="s">
        <x:v>24931</x:v>
      </x:c>
      <x:c r="F6269" s="0" t="s">
        <x:v>45</x:v>
      </x:c>
      <x:c r="G6269" s="0" t="s">
        <x:v>19</x:v>
      </x:c>
      <x:c r="H6269" s="0" t="s">
        <x:v>20</x:v>
      </x:c>
      <x:c r="I6269" s="0" t="s">
        <x:v>21</x:v>
      </x:c>
      <x:c r="K6269" s="0">
        <x:f>hyperlink("https://icd.who.int/dev11/l-ichi/en#/http%3A%2F%2Fid.who.int%2Ficd%2Fentity%2F1337575613","browser")</x:f>
      </x:c>
      <x:c r="L6269" s="0">
        <x:f>hyperlink("https://icat2.azurewebsites.net/icat/?ontology=ICD&amp;tab=ClassesTab&amp;id=http%3A%2F%2Fwho.int%2Ficd%2336571_512ebf36_bf6b_4d70_85da_cf2637062af4","iCat")</x:f>
      </x:c>
      <x:c r="M6269" s="0" t="s">
        <x:v>21</x:v>
      </x:c>
      <x:c r="N6269" s="0" t="s">
        <x:v>46</x:v>
      </x:c>
    </x:row>
    <x:row r="6270" spans="1:16">
      <x:c r="A6270" s="0" t="s">
        <x:v>24932</x:v>
      </x:c>
      <x:c r="B6270" s="0" t="s">
        <x:v>24933</x:v>
      </x:c>
      <x:c r="C6270" s="0" t="s">
        <x:v>24934</x:v>
      </x:c>
      <x:c r="E6270" s="0" t="s">
        <x:v>24935</x:v>
      </x:c>
      <x:c r="F6270" s="0" t="s">
        <x:v>45</x:v>
      </x:c>
      <x:c r="G6270" s="0" t="s">
        <x:v>19</x:v>
      </x:c>
      <x:c r="H6270" s="0" t="s">
        <x:v>20</x:v>
      </x:c>
      <x:c r="I6270" s="0" t="s">
        <x:v>21</x:v>
      </x:c>
      <x:c r="K6270" s="0">
        <x:f>hyperlink("https://icd.who.int/dev11/l-ichi/en#/http%3A%2F%2Fid.who.int%2Ficd%2Fentity%2F20494824","browser")</x:f>
      </x:c>
      <x:c r="L6270" s="0">
        <x:f>hyperlink("https://icat2.azurewebsites.net/icat/?ontology=ICD&amp;tab=ClassesTab&amp;id=http%3A%2F%2Fwho.int%2Ficd%2336579_512ebf36_bf6b_4d70_85da_cf2637062af4","iCat")</x:f>
      </x:c>
      <x:c r="M6270" s="0" t="s">
        <x:v>21</x:v>
      </x:c>
      <x:c r="N6270" s="0" t="s">
        <x:v>46</x:v>
      </x:c>
    </x:row>
    <x:row r="6271" spans="1:16">
      <x:c r="A6271" s="0" t="s">
        <x:v>24936</x:v>
      </x:c>
      <x:c r="B6271" s="0" t="s">
        <x:v>24937</x:v>
      </x:c>
      <x:c r="C6271" s="0" t="s">
        <x:v>24938</x:v>
      </x:c>
      <x:c r="E6271" s="0" t="s">
        <x:v>24939</x:v>
      </x:c>
      <x:c r="F6271" s="0" t="s">
        <x:v>45</x:v>
      </x:c>
      <x:c r="G6271" s="0" t="s">
        <x:v>19</x:v>
      </x:c>
      <x:c r="H6271" s="0" t="s">
        <x:v>20</x:v>
      </x:c>
      <x:c r="I6271" s="0" t="s">
        <x:v>21</x:v>
      </x:c>
      <x:c r="K6271" s="0">
        <x:f>hyperlink("https://icd.who.int/dev11/l-ichi/en#/http%3A%2F%2Fid.who.int%2Ficd%2Fentity%2F282864110","browser")</x:f>
      </x:c>
      <x:c r="L6271" s="0">
        <x:f>hyperlink("https://icat2.azurewebsites.net/icat/?ontology=ICD&amp;tab=ClassesTab&amp;id=http%3A%2F%2Fwho.int%2Ficd%2336586_512ebf36_bf6b_4d70_85da_cf2637062af4","iCat")</x:f>
      </x:c>
      <x:c r="M6271" s="0" t="s">
        <x:v>21</x:v>
      </x:c>
      <x:c r="N6271" s="0" t="s">
        <x:v>46</x:v>
      </x:c>
    </x:row>
    <x:row r="6272" spans="1:16">
      <x:c r="A6272" s="0" t="s">
        <x:v>24940</x:v>
      </x:c>
      <x:c r="B6272" s="0" t="s">
        <x:v>24941</x:v>
      </x:c>
      <x:c r="C6272" s="0" t="s">
        <x:v>24942</x:v>
      </x:c>
      <x:c r="E6272" s="0" t="s">
        <x:v>24943</x:v>
      </x:c>
      <x:c r="F6272" s="0" t="s">
        <x:v>45</x:v>
      </x:c>
      <x:c r="G6272" s="0" t="s">
        <x:v>19</x:v>
      </x:c>
      <x:c r="H6272" s="0" t="s">
        <x:v>20</x:v>
      </x:c>
      <x:c r="I6272" s="0" t="s">
        <x:v>21</x:v>
      </x:c>
      <x:c r="K6272" s="0">
        <x:f>hyperlink("https://icd.who.int/dev11/l-ichi/en#/http%3A%2F%2Fid.who.int%2Ficd%2Fentity%2F1877412593","browser")</x:f>
      </x:c>
      <x:c r="L6272" s="0">
        <x:f>hyperlink("https://icat2.azurewebsites.net/icat/?ontology=ICD&amp;tab=ClassesTab&amp;id=http%3A%2F%2Fwho.int%2Ficd%2336593_512ebf36_bf6b_4d70_85da_cf2637062af4","iCat")</x:f>
      </x:c>
      <x:c r="M6272" s="0" t="s">
        <x:v>21</x:v>
      </x:c>
      <x:c r="N6272" s="0" t="s">
        <x:v>46</x:v>
      </x:c>
    </x:row>
    <x:row r="6273" spans="1:16">
      <x:c r="A6273" s="0" t="s">
        <x:v>24944</x:v>
      </x:c>
      <x:c r="B6273" s="0" t="s">
        <x:v>24945</x:v>
      </x:c>
      <x:c r="C6273" s="0" t="s">
        <x:v>24946</x:v>
      </x:c>
      <x:c r="E6273" s="0" t="s">
        <x:v>24947</x:v>
      </x:c>
      <x:c r="F6273" s="0" t="s">
        <x:v>45</x:v>
      </x:c>
      <x:c r="G6273" s="0" t="s">
        <x:v>19</x:v>
      </x:c>
      <x:c r="H6273" s="0" t="s">
        <x:v>20</x:v>
      </x:c>
      <x:c r="I6273" s="0" t="s">
        <x:v>21</x:v>
      </x:c>
      <x:c r="K6273" s="0">
        <x:f>hyperlink("https://icd.who.int/dev11/l-ichi/en#/http%3A%2F%2Fid.who.int%2Ficd%2Fentity%2F506490878","browser")</x:f>
      </x:c>
      <x:c r="L6273" s="0">
        <x:f>hyperlink("https://icat2.azurewebsites.net/icat/?ontology=ICD&amp;tab=ClassesTab&amp;id=http%3A%2F%2Fwho.int%2Ficd%2336601_512ebf36_bf6b_4d70_85da_cf2637062af4","iCat")</x:f>
      </x:c>
      <x:c r="M6273" s="0" t="s">
        <x:v>21</x:v>
      </x:c>
      <x:c r="N6273" s="0" t="s">
        <x:v>46</x:v>
      </x:c>
    </x:row>
    <x:row r="6274" spans="1:16">
      <x:c r="A6274" s="0" t="s">
        <x:v>24948</x:v>
      </x:c>
      <x:c r="B6274" s="0" t="s">
        <x:v>24949</x:v>
      </x:c>
      <x:c r="C6274" s="0" t="s">
        <x:v>24950</x:v>
      </x:c>
      <x:c r="E6274" s="0" t="s">
        <x:v>24951</x:v>
      </x:c>
      <x:c r="F6274" s="0" t="s">
        <x:v>45</x:v>
      </x:c>
      <x:c r="G6274" s="0" t="s">
        <x:v>19</x:v>
      </x:c>
      <x:c r="H6274" s="0" t="s">
        <x:v>20</x:v>
      </x:c>
      <x:c r="I6274" s="0" t="s">
        <x:v>21</x:v>
      </x:c>
      <x:c r="K6274" s="0">
        <x:f>hyperlink("https://icd.who.int/dev11/l-ichi/en#/http%3A%2F%2Fid.who.int%2Ficd%2Fentity%2F1353785003","browser")</x:f>
      </x:c>
      <x:c r="L6274" s="0">
        <x:f>hyperlink("https://icat2.azurewebsites.net/icat/?ontology=ICD&amp;tab=ClassesTab&amp;id=http%3A%2F%2Fwho.int%2Ficd%2336609_512ebf36_bf6b_4d70_85da_cf2637062af4","iCat")</x:f>
      </x:c>
      <x:c r="M6274" s="0" t="s">
        <x:v>21</x:v>
      </x:c>
      <x:c r="N6274" s="0" t="s">
        <x:v>46</x:v>
      </x:c>
    </x:row>
    <x:row r="6275" spans="1:16">
      <x:c r="A6275" s="0" t="s">
        <x:v>24952</x:v>
      </x:c>
      <x:c r="B6275" s="0" t="s">
        <x:v>24953</x:v>
      </x:c>
      <x:c r="C6275" s="0" t="s">
        <x:v>24954</x:v>
      </x:c>
      <x:c r="E6275" s="0" t="s">
        <x:v>24955</x:v>
      </x:c>
      <x:c r="F6275" s="0" t="s">
        <x:v>45</x:v>
      </x:c>
      <x:c r="G6275" s="0" t="s">
        <x:v>19</x:v>
      </x:c>
      <x:c r="H6275" s="0" t="s">
        <x:v>20</x:v>
      </x:c>
      <x:c r="I6275" s="0" t="s">
        <x:v>21</x:v>
      </x:c>
      <x:c r="K6275" s="0">
        <x:f>hyperlink("https://icd.who.int/dev11/l-ichi/en#/http%3A%2F%2Fid.who.int%2Ficd%2Fentity%2F613294874","browser")</x:f>
      </x:c>
      <x:c r="L6275" s="0">
        <x:f>hyperlink("https://icat2.azurewebsites.net/icat/?ontology=ICD&amp;tab=ClassesTab&amp;id=http%3A%2F%2Fwho.int%2Ficd%2336617_512ebf36_bf6b_4d70_85da_cf2637062af4","iCat")</x:f>
      </x:c>
      <x:c r="M6275" s="0" t="s">
        <x:v>21</x:v>
      </x:c>
      <x:c r="N6275" s="0" t="s">
        <x:v>46</x:v>
      </x:c>
    </x:row>
    <x:row r="6276" spans="1:16">
      <x:c r="A6276" s="0" t="s">
        <x:v>24956</x:v>
      </x:c>
      <x:c r="B6276" s="0" t="s">
        <x:v>24957</x:v>
      </x:c>
      <x:c r="C6276" s="0" t="s">
        <x:v>24958</x:v>
      </x:c>
      <x:c r="E6276" s="0" t="s">
        <x:v>24959</x:v>
      </x:c>
      <x:c r="F6276" s="0" t="s">
        <x:v>45</x:v>
      </x:c>
      <x:c r="G6276" s="0" t="s">
        <x:v>19</x:v>
      </x:c>
      <x:c r="H6276" s="0" t="s">
        <x:v>20</x:v>
      </x:c>
      <x:c r="I6276" s="0" t="s">
        <x:v>21</x:v>
      </x:c>
      <x:c r="K6276" s="0">
        <x:f>hyperlink("https://icd.who.int/dev11/l-ichi/en#/http%3A%2F%2Fid.who.int%2Ficd%2Fentity%2F1585524729","browser")</x:f>
      </x:c>
      <x:c r="L6276" s="0">
        <x:f>hyperlink("https://icat2.azurewebsites.net/icat/?ontology=ICD&amp;tab=ClassesTab&amp;id=http%3A%2F%2Fwho.int%2Ficd%2336631_512ebf36_bf6b_4d70_85da_cf2637062af4","iCat")</x:f>
      </x:c>
      <x:c r="M6276" s="0" t="s">
        <x:v>21</x:v>
      </x:c>
      <x:c r="N6276" s="0" t="s">
        <x:v>46</x:v>
      </x:c>
    </x:row>
    <x:row r="6277" spans="1:16">
      <x:c r="A6277" s="0" t="s">
        <x:v>24960</x:v>
      </x:c>
      <x:c r="B6277" s="0" t="s">
        <x:v>24961</x:v>
      </x:c>
      <x:c r="C6277" s="0" t="s">
        <x:v>24962</x:v>
      </x:c>
      <x:c r="E6277" s="0" t="s">
        <x:v>24963</x:v>
      </x:c>
      <x:c r="F6277" s="0" t="s">
        <x:v>45</x:v>
      </x:c>
      <x:c r="G6277" s="0" t="s">
        <x:v>19</x:v>
      </x:c>
      <x:c r="H6277" s="0" t="s">
        <x:v>20</x:v>
      </x:c>
      <x:c r="I6277" s="0" t="s">
        <x:v>21</x:v>
      </x:c>
      <x:c r="K6277" s="0">
        <x:f>hyperlink("https://icd.who.int/dev11/l-ichi/en#/http%3A%2F%2Fid.who.int%2Ficd%2Fentity%2F821636240","browser")</x:f>
      </x:c>
      <x:c r="L6277" s="0">
        <x:f>hyperlink("https://icat2.azurewebsites.net/icat/?ontology=ICD&amp;tab=ClassesTab&amp;id=http%3A%2F%2Fwho.int%2Ficd%2336638_512ebf36_bf6b_4d70_85da_cf2637062af4","iCat")</x:f>
      </x:c>
      <x:c r="M6277" s="0" t="s">
        <x:v>21</x:v>
      </x:c>
      <x:c r="N6277" s="0" t="s">
        <x:v>46</x:v>
      </x:c>
    </x:row>
    <x:row r="6278" spans="1:16">
      <x:c r="A6278" s="0" t="s">
        <x:v>24964</x:v>
      </x:c>
      <x:c r="B6278" s="0" t="s">
        <x:v>24965</x:v>
      </x:c>
      <x:c r="C6278" s="0" t="s">
        <x:v>24966</x:v>
      </x:c>
      <x:c r="E6278" s="0" t="s">
        <x:v>24967</x:v>
      </x:c>
      <x:c r="F6278" s="0" t="s">
        <x:v>45</x:v>
      </x:c>
      <x:c r="G6278" s="0" t="s">
        <x:v>19</x:v>
      </x:c>
      <x:c r="H6278" s="0" t="s">
        <x:v>20</x:v>
      </x:c>
      <x:c r="I6278" s="0" t="s">
        <x:v>21</x:v>
      </x:c>
      <x:c r="K6278" s="0">
        <x:f>hyperlink("https://icd.who.int/dev11/l-ichi/en#/http%3A%2F%2Fid.who.int%2Ficd%2Fentity%2F2074708651","browser")</x:f>
      </x:c>
      <x:c r="L6278" s="0">
        <x:f>hyperlink("https://icat2.azurewebsites.net/icat/?ontology=ICD&amp;tab=ClassesTab&amp;id=http%3A%2F%2Fwho.int%2Ficd%2336644_512ebf36_bf6b_4d70_85da_cf2637062af4","iCat")</x:f>
      </x:c>
      <x:c r="M6278" s="0" t="s">
        <x:v>21</x:v>
      </x:c>
      <x:c r="N6278" s="0" t="s">
        <x:v>46</x:v>
      </x:c>
    </x:row>
    <x:row r="6279" spans="1:16">
      <x:c r="A6279" s="0" t="s">
        <x:v>24968</x:v>
      </x:c>
      <x:c r="B6279" s="0" t="s">
        <x:v>24969</x:v>
      </x:c>
      <x:c r="C6279" s="0" t="s">
        <x:v>24970</x:v>
      </x:c>
      <x:c r="E6279" s="0" t="s">
        <x:v>24971</x:v>
      </x:c>
      <x:c r="F6279" s="0" t="s">
        <x:v>45</x:v>
      </x:c>
      <x:c r="G6279" s="0" t="s">
        <x:v>19</x:v>
      </x:c>
      <x:c r="H6279" s="0" t="s">
        <x:v>20</x:v>
      </x:c>
      <x:c r="I6279" s="0" t="s">
        <x:v>21</x:v>
      </x:c>
      <x:c r="K6279" s="0">
        <x:f>hyperlink("https://icd.who.int/dev11/l-ichi/en#/http%3A%2F%2Fid.who.int%2Ficd%2Fentity%2F1793764061","browser")</x:f>
      </x:c>
      <x:c r="L6279" s="0">
        <x:f>hyperlink("https://icat2.azurewebsites.net/icat/?ontology=ICD&amp;tab=ClassesTab&amp;id=http%3A%2F%2Fwho.int%2Ficd%2336658_512ebf36_bf6b_4d70_85da_cf2637062af4","iCat")</x:f>
      </x:c>
      <x:c r="M6279" s="0" t="s">
        <x:v>21</x:v>
      </x:c>
      <x:c r="N6279" s="0" t="s">
        <x:v>46</x:v>
      </x:c>
    </x:row>
    <x:row r="6280" spans="1:16">
      <x:c r="A6280" s="0" t="s">
        <x:v>24972</x:v>
      </x:c>
      <x:c r="B6280" s="0" t="s">
        <x:v>24973</x:v>
      </x:c>
      <x:c r="C6280" s="0" t="s">
        <x:v>24974</x:v>
      </x:c>
      <x:c r="E6280" s="0" t="s">
        <x:v>24975</x:v>
      </x:c>
      <x:c r="F6280" s="0" t="s">
        <x:v>45</x:v>
      </x:c>
      <x:c r="G6280" s="0" t="s">
        <x:v>19</x:v>
      </x:c>
      <x:c r="H6280" s="0" t="s">
        <x:v>20</x:v>
      </x:c>
      <x:c r="I6280" s="0" t="s">
        <x:v>21</x:v>
      </x:c>
      <x:c r="K6280" s="0">
        <x:f>hyperlink("https://icd.who.int/dev11/l-ichi/en#/http%3A%2F%2Fid.who.int%2Ficd%2Fentity%2F1801655069","browser")</x:f>
      </x:c>
      <x:c r="L6280" s="0">
        <x:f>hyperlink("https://icat2.azurewebsites.net/icat/?ontology=ICD&amp;tab=ClassesTab&amp;id=http%3A%2F%2Fwho.int%2Ficd%2336672_512ebf36_bf6b_4d70_85da_cf2637062af4","iCat")</x:f>
      </x:c>
      <x:c r="M6280" s="0" t="s">
        <x:v>21</x:v>
      </x:c>
      <x:c r="N6280" s="0" t="s">
        <x:v>46</x:v>
      </x:c>
    </x:row>
    <x:row r="6281" spans="1:16">
      <x:c r="A6281" s="0" t="s">
        <x:v>24976</x:v>
      </x:c>
      <x:c r="B6281" s="0" t="s">
        <x:v>24977</x:v>
      </x:c>
      <x:c r="C6281" s="0" t="s">
        <x:v>24978</x:v>
      </x:c>
      <x:c r="E6281" s="0" t="s">
        <x:v>24979</x:v>
      </x:c>
      <x:c r="F6281" s="0" t="s">
        <x:v>45</x:v>
      </x:c>
      <x:c r="G6281" s="0" t="s">
        <x:v>19</x:v>
      </x:c>
      <x:c r="H6281" s="0" t="s">
        <x:v>20</x:v>
      </x:c>
      <x:c r="I6281" s="0" t="s">
        <x:v>21</x:v>
      </x:c>
      <x:c r="K6281" s="0">
        <x:f>hyperlink("https://icd.who.int/dev11/l-ichi/en#/http%3A%2F%2Fid.who.int%2Ficd%2Fentity%2F1084129165","browser")</x:f>
      </x:c>
      <x:c r="L6281" s="0">
        <x:f>hyperlink("https://icat2.azurewebsites.net/icat/?ontology=ICD&amp;tab=ClassesTab&amp;id=http%3A%2F%2Fwho.int%2Ficd%2336678_512ebf36_bf6b_4d70_85da_cf2637062af4","iCat")</x:f>
      </x:c>
      <x:c r="M6281" s="0" t="s">
        <x:v>21</x:v>
      </x:c>
      <x:c r="N6281" s="0" t="s">
        <x:v>46</x:v>
      </x:c>
    </x:row>
    <x:row r="6282" spans="1:16">
      <x:c r="A6282" s="0" t="s">
        <x:v>24980</x:v>
      </x:c>
      <x:c r="B6282" s="0" t="s">
        <x:v>24981</x:v>
      </x:c>
      <x:c r="C6282" s="0" t="s">
        <x:v>24982</x:v>
      </x:c>
      <x:c r="E6282" s="0" t="s">
        <x:v>24983</x:v>
      </x:c>
      <x:c r="F6282" s="0" t="s">
        <x:v>45</x:v>
      </x:c>
      <x:c r="G6282" s="0" t="s">
        <x:v>19</x:v>
      </x:c>
      <x:c r="H6282" s="0" t="s">
        <x:v>20</x:v>
      </x:c>
      <x:c r="I6282" s="0" t="s">
        <x:v>21</x:v>
      </x:c>
      <x:c r="K6282" s="0">
        <x:f>hyperlink("https://icd.who.int/dev11/l-ichi/en#/http%3A%2F%2Fid.who.int%2Ficd%2Fentity%2F697402541","browser")</x:f>
      </x:c>
      <x:c r="L6282" s="0">
        <x:f>hyperlink("https://icat2.azurewebsites.net/icat/?ontology=ICD&amp;tab=ClassesTab&amp;id=http%3A%2F%2Fwho.int%2Ficd%2315662_4869915e_217e_423d_acb3_33c0f920ef4b","iCat")</x:f>
      </x:c>
      <x:c r="M6282" s="0" t="s">
        <x:v>21</x:v>
      </x:c>
      <x:c r="N6282" s="0" t="s">
        <x:v>46</x:v>
      </x:c>
    </x:row>
    <x:row r="6283" spans="1:16">
      <x:c r="A6283" s="0" t="s">
        <x:v>24984</x:v>
      </x:c>
      <x:c r="B6283" s="0" t="s">
        <x:v>24985</x:v>
      </x:c>
      <x:c r="C6283" s="0" t="s">
        <x:v>24986</x:v>
      </x:c>
      <x:c r="E6283" s="0" t="s">
        <x:v>24987</x:v>
      </x:c>
      <x:c r="F6283" s="0" t="s">
        <x:v>45</x:v>
      </x:c>
      <x:c r="G6283" s="0" t="s">
        <x:v>19</x:v>
      </x:c>
      <x:c r="H6283" s="0" t="s">
        <x:v>20</x:v>
      </x:c>
      <x:c r="I6283" s="0" t="s">
        <x:v>21</x:v>
      </x:c>
      <x:c r="K6283" s="0">
        <x:f>hyperlink("https://icd.who.int/dev11/l-ichi/en#/http%3A%2F%2Fid.who.int%2Ficd%2Fentity%2F1904450999","browser")</x:f>
      </x:c>
      <x:c r="L6283" s="0">
        <x:f>hyperlink("https://icat2.azurewebsites.net/icat/?ontology=ICD&amp;tab=ClassesTab&amp;id=http%3A%2F%2Fwho.int%2Ficd%2336686_512ebf36_bf6b_4d70_85da_cf2637062af4","iCat")</x:f>
      </x:c>
      <x:c r="M6283" s="0" t="s">
        <x:v>21</x:v>
      </x:c>
      <x:c r="N6283" s="0" t="s">
        <x:v>46</x:v>
      </x:c>
    </x:row>
    <x:row r="6284" spans="1:16">
      <x:c r="A6284" s="0" t="s">
        <x:v>24988</x:v>
      </x:c>
      <x:c r="B6284" s="0" t="s">
        <x:v>24989</x:v>
      </x:c>
      <x:c r="C6284" s="0" t="s">
        <x:v>24990</x:v>
      </x:c>
      <x:c r="E6284" s="0" t="s">
        <x:v>24991</x:v>
      </x:c>
      <x:c r="F6284" s="0" t="s">
        <x:v>45</x:v>
      </x:c>
      <x:c r="G6284" s="0" t="s">
        <x:v>19</x:v>
      </x:c>
      <x:c r="H6284" s="0" t="s">
        <x:v>20</x:v>
      </x:c>
      <x:c r="I6284" s="0" t="s">
        <x:v>21</x:v>
      </x:c>
      <x:c r="K6284" s="0">
        <x:f>hyperlink("https://icd.who.int/dev11/l-ichi/en#/http%3A%2F%2Fid.who.int%2Ficd%2Fentity%2F2117735717","browser")</x:f>
      </x:c>
      <x:c r="L6284" s="0">
        <x:f>hyperlink("https://icat2.azurewebsites.net/icat/?ontology=ICD&amp;tab=ClassesTab&amp;id=http%3A%2F%2Fwho.int%2Ficd%2336694_512ebf36_bf6b_4d70_85da_cf2637062af4","iCat")</x:f>
      </x:c>
      <x:c r="M6284" s="0" t="s">
        <x:v>21</x:v>
      </x:c>
      <x:c r="N6284" s="0" t="s">
        <x:v>46</x:v>
      </x:c>
    </x:row>
    <x:row r="6285" spans="1:16">
      <x:c r="A6285" s="0" t="s">
        <x:v>24992</x:v>
      </x:c>
      <x:c r="B6285" s="0" t="s">
        <x:v>24993</x:v>
      </x:c>
      <x:c r="C6285" s="0" t="s">
        <x:v>24994</x:v>
      </x:c>
      <x:c r="E6285" s="0" t="s">
        <x:v>24995</x:v>
      </x:c>
      <x:c r="F6285" s="0" t="s">
        <x:v>45</x:v>
      </x:c>
      <x:c r="G6285" s="0" t="s">
        <x:v>19</x:v>
      </x:c>
      <x:c r="H6285" s="0" t="s">
        <x:v>20</x:v>
      </x:c>
      <x:c r="I6285" s="0" t="s">
        <x:v>21</x:v>
      </x:c>
      <x:c r="K6285" s="0">
        <x:f>hyperlink("https://icd.who.int/dev11/l-ichi/en#/http%3A%2F%2Fid.who.int%2Ficd%2Fentity%2F1806674275","browser")</x:f>
      </x:c>
      <x:c r="L6285" s="0">
        <x:f>hyperlink("https://icat2.azurewebsites.net/icat/?ontology=ICD&amp;tab=ClassesTab&amp;id=http%3A%2F%2Fwho.int%2Ficd%2336701_512ebf36_bf6b_4d70_85da_cf2637062af4","iCat")</x:f>
      </x:c>
      <x:c r="M6285" s="0" t="s">
        <x:v>21</x:v>
      </x:c>
      <x:c r="N6285" s="0" t="s">
        <x:v>46</x:v>
      </x:c>
    </x:row>
    <x:row r="6286" spans="1:16">
      <x:c r="A6286" s="0" t="s">
        <x:v>24996</x:v>
      </x:c>
      <x:c r="B6286" s="0" t="s">
        <x:v>24997</x:v>
      </x:c>
      <x:c r="C6286" s="0" t="s">
        <x:v>24998</x:v>
      </x:c>
      <x:c r="E6286" s="0" t="s">
        <x:v>24999</x:v>
      </x:c>
      <x:c r="F6286" s="0" t="s">
        <x:v>45</x:v>
      </x:c>
      <x:c r="G6286" s="0" t="s">
        <x:v>19</x:v>
      </x:c>
      <x:c r="H6286" s="0" t="s">
        <x:v>20</x:v>
      </x:c>
      <x:c r="I6286" s="0" t="s">
        <x:v>21</x:v>
      </x:c>
      <x:c r="K6286" s="0">
        <x:f>hyperlink("https://icd.who.int/dev11/l-ichi/en#/http%3A%2F%2Fid.who.int%2Ficd%2Fentity%2F1003778260","browser")</x:f>
      </x:c>
      <x:c r="L6286" s="0">
        <x:f>hyperlink("https://icat2.azurewebsites.net/icat/?ontology=ICD&amp;tab=ClassesTab&amp;id=http%3A%2F%2Fwho.int%2Ficd%2336707_512ebf36_bf6b_4d70_85da_cf2637062af4","iCat")</x:f>
      </x:c>
      <x:c r="M6286" s="0" t="s">
        <x:v>21</x:v>
      </x:c>
      <x:c r="N6286" s="0" t="s">
        <x:v>46</x:v>
      </x:c>
    </x:row>
    <x:row r="6287" spans="1:16">
      <x:c r="A6287" s="0" t="s">
        <x:v>25000</x:v>
      </x:c>
      <x:c r="B6287" s="0" t="s">
        <x:v>25001</x:v>
      </x:c>
      <x:c r="C6287" s="0" t="s">
        <x:v>25002</x:v>
      </x:c>
      <x:c r="E6287" s="0" t="s">
        <x:v>25003</x:v>
      </x:c>
      <x:c r="F6287" s="0" t="s">
        <x:v>45</x:v>
      </x:c>
      <x:c r="G6287" s="0" t="s">
        <x:v>19</x:v>
      </x:c>
      <x:c r="H6287" s="0" t="s">
        <x:v>20</x:v>
      </x:c>
      <x:c r="I6287" s="0" t="s">
        <x:v>21</x:v>
      </x:c>
      <x:c r="K6287" s="0">
        <x:f>hyperlink("https://icd.who.int/dev11/l-ichi/en#/http%3A%2F%2Fid.who.int%2Ficd%2Fentity%2F1679172081","browser")</x:f>
      </x:c>
      <x:c r="L6287" s="0">
        <x:f>hyperlink("https://icat2.azurewebsites.net/icat/?ontology=ICD&amp;tab=ClassesTab&amp;id=http%3A%2F%2Fwho.int%2Ficd%2336713_512ebf36_bf6b_4d70_85da_cf2637062af4","iCat")</x:f>
      </x:c>
      <x:c r="M6287" s="0" t="s">
        <x:v>21</x:v>
      </x:c>
      <x:c r="N6287" s="0" t="s">
        <x:v>46</x:v>
      </x:c>
    </x:row>
    <x:row r="6288" spans="1:16">
      <x:c r="A6288" s="0" t="s">
        <x:v>25004</x:v>
      </x:c>
      <x:c r="B6288" s="0" t="s">
        <x:v>25005</x:v>
      </x:c>
      <x:c r="C6288" s="0" t="s">
        <x:v>25006</x:v>
      </x:c>
      <x:c r="E6288" s="0" t="s">
        <x:v>25007</x:v>
      </x:c>
      <x:c r="F6288" s="0" t="s">
        <x:v>45</x:v>
      </x:c>
      <x:c r="G6288" s="0" t="s">
        <x:v>19</x:v>
      </x:c>
      <x:c r="H6288" s="0" t="s">
        <x:v>20</x:v>
      </x:c>
      <x:c r="I6288" s="0" t="s">
        <x:v>21</x:v>
      </x:c>
      <x:c r="K6288" s="0">
        <x:f>hyperlink("https://icd.who.int/dev11/l-ichi/en#/http%3A%2F%2Fid.who.int%2Ficd%2Fentity%2F1340820833","browser")</x:f>
      </x:c>
      <x:c r="L6288" s="0">
        <x:f>hyperlink("https://icat2.azurewebsites.net/icat/?ontology=ICD&amp;tab=ClassesTab&amp;id=http%3A%2F%2Fwho.int%2Ficd%2336719_512ebf36_bf6b_4d70_85da_cf2637062af4","iCat")</x:f>
      </x:c>
      <x:c r="M6288" s="0" t="s">
        <x:v>21</x:v>
      </x:c>
      <x:c r="N6288" s="0" t="s">
        <x:v>46</x:v>
      </x:c>
    </x:row>
    <x:row r="6289" spans="1:16">
      <x:c r="A6289" s="0" t="s">
        <x:v>25008</x:v>
      </x:c>
      <x:c r="B6289" s="0" t="s">
        <x:v>25009</x:v>
      </x:c>
      <x:c r="C6289" s="0" t="s">
        <x:v>25010</x:v>
      </x:c>
      <x:c r="E6289" s="0" t="s">
        <x:v>25011</x:v>
      </x:c>
      <x:c r="F6289" s="0" t="s">
        <x:v>45</x:v>
      </x:c>
      <x:c r="G6289" s="0" t="s">
        <x:v>19</x:v>
      </x:c>
      <x:c r="H6289" s="0" t="s">
        <x:v>20</x:v>
      </x:c>
      <x:c r="I6289" s="0" t="s">
        <x:v>21</x:v>
      </x:c>
      <x:c r="K6289" s="0">
        <x:f>hyperlink("https://icd.who.int/dev11/l-ichi/en#/http%3A%2F%2Fid.who.int%2Ficd%2Fentity%2F1704958001","browser")</x:f>
      </x:c>
      <x:c r="L6289" s="0">
        <x:f>hyperlink("https://icat2.azurewebsites.net/icat/?ontology=ICD&amp;tab=ClassesTab&amp;id=http%3A%2F%2Fwho.int%2Ficd%2336739_512ebf36_bf6b_4d70_85da_cf2637062af4","iCat")</x:f>
      </x:c>
      <x:c r="M6289" s="0" t="s">
        <x:v>21</x:v>
      </x:c>
      <x:c r="N6289" s="0" t="s">
        <x:v>46</x:v>
      </x:c>
    </x:row>
    <x:row r="6290" spans="1:16">
      <x:c r="A6290" s="0" t="s">
        <x:v>25012</x:v>
      </x:c>
      <x:c r="B6290" s="0" t="s">
        <x:v>25013</x:v>
      </x:c>
      <x:c r="C6290" s="0" t="s">
        <x:v>25014</x:v>
      </x:c>
      <x:c r="E6290" s="0" t="s">
        <x:v>25015</x:v>
      </x:c>
      <x:c r="F6290" s="0" t="s">
        <x:v>45</x:v>
      </x:c>
      <x:c r="G6290" s="0" t="s">
        <x:v>19</x:v>
      </x:c>
      <x:c r="H6290" s="0" t="s">
        <x:v>20</x:v>
      </x:c>
      <x:c r="I6290" s="0" t="s">
        <x:v>21</x:v>
      </x:c>
      <x:c r="K6290" s="0">
        <x:f>hyperlink("https://icd.who.int/dev11/l-ichi/en#/http%3A%2F%2Fid.who.int%2Ficd%2Fentity%2F1896705833","browser")</x:f>
      </x:c>
      <x:c r="L6290" s="0">
        <x:f>hyperlink("https://icat2.azurewebsites.net/icat/?ontology=ICD&amp;tab=ClassesTab&amp;id=http%3A%2F%2Fwho.int%2Ficd%2336751_512ebf36_bf6b_4d70_85da_cf2637062af4","iCat")</x:f>
      </x:c>
      <x:c r="M6290" s="0" t="s">
        <x:v>21</x:v>
      </x:c>
      <x:c r="N6290" s="0" t="s">
        <x:v>46</x:v>
      </x:c>
    </x:row>
    <x:row r="6291" spans="1:16">
      <x:c r="A6291" s="0" t="s">
        <x:v>25016</x:v>
      </x:c>
      <x:c r="B6291" s="0" t="s">
        <x:v>25017</x:v>
      </x:c>
      <x:c r="C6291" s="0" t="s">
        <x:v>25018</x:v>
      </x:c>
      <x:c r="E6291" s="0" t="s">
        <x:v>25019</x:v>
      </x:c>
      <x:c r="F6291" s="0" t="s">
        <x:v>45</x:v>
      </x:c>
      <x:c r="G6291" s="0" t="s">
        <x:v>19</x:v>
      </x:c>
      <x:c r="H6291" s="0" t="s">
        <x:v>20</x:v>
      </x:c>
      <x:c r="I6291" s="0" t="s">
        <x:v>21</x:v>
      </x:c>
      <x:c r="K6291" s="0">
        <x:f>hyperlink("https://icd.who.int/dev11/l-ichi/en#/http%3A%2F%2Fid.who.int%2Ficd%2Fentity%2F527789122","browser")</x:f>
      </x:c>
      <x:c r="L6291" s="0">
        <x:f>hyperlink("https://icat2.azurewebsites.net/icat/?ontology=ICD&amp;tab=ClassesTab&amp;id=http%3A%2F%2Fwho.int%2Ficd%2336758_512ebf36_bf6b_4d70_85da_cf2637062af4","iCat")</x:f>
      </x:c>
      <x:c r="M6291" s="0" t="s">
        <x:v>21</x:v>
      </x:c>
      <x:c r="N6291" s="0" t="s">
        <x:v>46</x:v>
      </x:c>
    </x:row>
    <x:row r="6292" spans="1:16">
      <x:c r="A6292" s="0" t="s">
        <x:v>25020</x:v>
      </x:c>
      <x:c r="B6292" s="0" t="s">
        <x:v>25021</x:v>
      </x:c>
      <x:c r="C6292" s="0" t="s">
        <x:v>25022</x:v>
      </x:c>
      <x:c r="E6292" s="0" t="s">
        <x:v>25023</x:v>
      </x:c>
      <x:c r="F6292" s="0" t="s">
        <x:v>45</x:v>
      </x:c>
      <x:c r="G6292" s="0" t="s">
        <x:v>19</x:v>
      </x:c>
      <x:c r="H6292" s="0" t="s">
        <x:v>20</x:v>
      </x:c>
      <x:c r="I6292" s="0" t="s">
        <x:v>21</x:v>
      </x:c>
      <x:c r="K6292" s="0">
        <x:f>hyperlink("https://icd.who.int/dev11/l-ichi/en#/http%3A%2F%2Fid.who.int%2Ficd%2Fentity%2F79424346","browser")</x:f>
      </x:c>
      <x:c r="L6292" s="0">
        <x:f>hyperlink("https://icat2.azurewebsites.net/icat/?ontology=ICD&amp;tab=ClassesTab&amp;id=http%3A%2F%2Fwho.int%2Ficd%2336765_512ebf36_bf6b_4d70_85da_cf2637062af4","iCat")</x:f>
      </x:c>
      <x:c r="M6292" s="0" t="s">
        <x:v>21</x:v>
      </x:c>
      <x:c r="N6292" s="0" t="s">
        <x:v>46</x:v>
      </x:c>
    </x:row>
    <x:row r="6293" spans="1:16">
      <x:c r="A6293" s="0" t="s">
        <x:v>25024</x:v>
      </x:c>
      <x:c r="B6293" s="0" t="s">
        <x:v>25025</x:v>
      </x:c>
      <x:c r="C6293" s="0" t="s">
        <x:v>25026</x:v>
      </x:c>
      <x:c r="E6293" s="0" t="s">
        <x:v>25027</x:v>
      </x:c>
      <x:c r="F6293" s="0" t="s">
        <x:v>45</x:v>
      </x:c>
      <x:c r="G6293" s="0" t="s">
        <x:v>19</x:v>
      </x:c>
      <x:c r="H6293" s="0" t="s">
        <x:v>20</x:v>
      </x:c>
      <x:c r="I6293" s="0" t="s">
        <x:v>21</x:v>
      </x:c>
      <x:c r="K6293" s="0">
        <x:f>hyperlink("https://icd.who.int/dev11/l-ichi/en#/http%3A%2F%2Fid.who.int%2Ficd%2Fentity%2F519886208","browser")</x:f>
      </x:c>
      <x:c r="L6293" s="0">
        <x:f>hyperlink("https://icat2.azurewebsites.net/icat/?ontology=ICD&amp;tab=ClassesTab&amp;id=http%3A%2F%2Fwho.int%2Ficd%2336772_512ebf36_bf6b_4d70_85da_cf2637062af4","iCat")</x:f>
      </x:c>
      <x:c r="M6293" s="0" t="s">
        <x:v>21</x:v>
      </x:c>
      <x:c r="N6293" s="0" t="s">
        <x:v>46</x:v>
      </x:c>
    </x:row>
    <x:row r="6294" spans="1:16">
      <x:c r="A6294" s="0" t="s">
        <x:v>25028</x:v>
      </x:c>
      <x:c r="B6294" s="0" t="s">
        <x:v>25029</x:v>
      </x:c>
      <x:c r="C6294" s="0" t="s">
        <x:v>25030</x:v>
      </x:c>
      <x:c r="E6294" s="0" t="s">
        <x:v>25031</x:v>
      </x:c>
      <x:c r="F6294" s="0" t="s">
        <x:v>45</x:v>
      </x:c>
      <x:c r="G6294" s="0" t="s">
        <x:v>19</x:v>
      </x:c>
      <x:c r="H6294" s="0" t="s">
        <x:v>20</x:v>
      </x:c>
      <x:c r="I6294" s="0" t="s">
        <x:v>21</x:v>
      </x:c>
      <x:c r="K6294" s="0">
        <x:f>hyperlink("https://icd.who.int/dev11/l-ichi/en#/http%3A%2F%2Fid.who.int%2Ficd%2Fentity%2F1956573351","browser")</x:f>
      </x:c>
      <x:c r="L6294" s="0">
        <x:f>hyperlink("https://icat2.azurewebsites.net/icat/?ontology=ICD&amp;tab=ClassesTab&amp;id=http%3A%2F%2Fwho.int%2Ficd%2336781_512ebf36_bf6b_4d70_85da_cf2637062af4","iCat")</x:f>
      </x:c>
      <x:c r="M6294" s="0" t="s">
        <x:v>21</x:v>
      </x:c>
      <x:c r="N6294" s="0" t="s">
        <x:v>46</x:v>
      </x:c>
    </x:row>
    <x:row r="6295" spans="1:16">
      <x:c r="A6295" s="0" t="s">
        <x:v>25032</x:v>
      </x:c>
      <x:c r="B6295" s="0" t="s">
        <x:v>25033</x:v>
      </x:c>
      <x:c r="C6295" s="0" t="s">
        <x:v>25034</x:v>
      </x:c>
      <x:c r="E6295" s="0" t="s">
        <x:v>25035</x:v>
      </x:c>
      <x:c r="F6295" s="0" t="s">
        <x:v>45</x:v>
      </x:c>
      <x:c r="G6295" s="0" t="s">
        <x:v>19</x:v>
      </x:c>
      <x:c r="H6295" s="0" t="s">
        <x:v>20</x:v>
      </x:c>
      <x:c r="I6295" s="0" t="s">
        <x:v>21</x:v>
      </x:c>
      <x:c r="K6295" s="0">
        <x:f>hyperlink("https://icd.who.int/dev11/l-ichi/en#/http%3A%2F%2Fid.who.int%2Ficd%2Fentity%2F1050810316","browser")</x:f>
      </x:c>
      <x:c r="L6295" s="0">
        <x:f>hyperlink("https://icat2.azurewebsites.net/icat/?ontology=ICD&amp;tab=ClassesTab&amp;id=http%3A%2F%2Fwho.int%2Ficd%2336790_512ebf36_bf6b_4d70_85da_cf2637062af4","iCat")</x:f>
      </x:c>
      <x:c r="M6295" s="0" t="s">
        <x:v>21</x:v>
      </x:c>
      <x:c r="N6295" s="0" t="s">
        <x:v>46</x:v>
      </x:c>
    </x:row>
    <x:row r="6296" spans="1:16">
      <x:c r="A6296" s="0" t="s">
        <x:v>25036</x:v>
      </x:c>
      <x:c r="B6296" s="0" t="s">
        <x:v>25037</x:v>
      </x:c>
      <x:c r="C6296" s="0" t="s">
        <x:v>25038</x:v>
      </x:c>
      <x:c r="E6296" s="0" t="s">
        <x:v>25039</x:v>
      </x:c>
      <x:c r="F6296" s="0" t="s">
        <x:v>45</x:v>
      </x:c>
      <x:c r="G6296" s="0" t="s">
        <x:v>19</x:v>
      </x:c>
      <x:c r="H6296" s="0" t="s">
        <x:v>20</x:v>
      </x:c>
      <x:c r="I6296" s="0" t="s">
        <x:v>21</x:v>
      </x:c>
      <x:c r="K6296" s="0">
        <x:f>hyperlink("https://icd.who.int/dev11/l-ichi/en#/http%3A%2F%2Fid.who.int%2Ficd%2Fentity%2F1859767933","browser")</x:f>
      </x:c>
      <x:c r="L6296" s="0">
        <x:f>hyperlink("https://icat2.azurewebsites.net/icat/?ontology=ICD&amp;tab=ClassesTab&amp;id=http%3A%2F%2Fwho.int%2Ficd%2336796_512ebf36_bf6b_4d70_85da_cf2637062af4","iCat")</x:f>
      </x:c>
      <x:c r="M6296" s="0" t="s">
        <x:v>21</x:v>
      </x:c>
      <x:c r="N6296" s="0" t="s">
        <x:v>46</x:v>
      </x:c>
    </x:row>
    <x:row r="6297" spans="1:16">
      <x:c r="A6297" s="0" t="s">
        <x:v>25040</x:v>
      </x:c>
      <x:c r="B6297" s="0" t="s">
        <x:v>25041</x:v>
      </x:c>
      <x:c r="C6297" s="0" t="s">
        <x:v>25042</x:v>
      </x:c>
      <x:c r="E6297" s="0" t="s">
        <x:v>25043</x:v>
      </x:c>
      <x:c r="F6297" s="0" t="s">
        <x:v>45</x:v>
      </x:c>
      <x:c r="G6297" s="0" t="s">
        <x:v>19</x:v>
      </x:c>
      <x:c r="H6297" s="0" t="s">
        <x:v>20</x:v>
      </x:c>
      <x:c r="I6297" s="0" t="s">
        <x:v>21</x:v>
      </x:c>
      <x:c r="K6297" s="0">
        <x:f>hyperlink("https://icd.who.int/dev11/l-ichi/en#/http%3A%2F%2Fid.who.int%2Ficd%2Fentity%2F136089389","browser")</x:f>
      </x:c>
      <x:c r="L6297" s="0">
        <x:f>hyperlink("https://icat2.azurewebsites.net/icat/?ontology=ICD&amp;tab=ClassesTab&amp;id=http%3A%2F%2Fwho.int%2Ficd%2336804_512ebf36_bf6b_4d70_85da_cf2637062af4","iCat")</x:f>
      </x:c>
      <x:c r="M6297" s="0" t="s">
        <x:v>21</x:v>
      </x:c>
      <x:c r="N6297" s="0" t="s">
        <x:v>46</x:v>
      </x:c>
    </x:row>
    <x:row r="6298" spans="1:16">
      <x:c r="A6298" s="0" t="s">
        <x:v>25044</x:v>
      </x:c>
      <x:c r="B6298" s="0" t="s">
        <x:v>25045</x:v>
      </x:c>
      <x:c r="C6298" s="0" t="s">
        <x:v>25046</x:v>
      </x:c>
      <x:c r="E6298" s="0" t="s">
        <x:v>25047</x:v>
      </x:c>
      <x:c r="F6298" s="0" t="s">
        <x:v>45</x:v>
      </x:c>
      <x:c r="G6298" s="0" t="s">
        <x:v>19</x:v>
      </x:c>
      <x:c r="H6298" s="0" t="s">
        <x:v>20</x:v>
      </x:c>
      <x:c r="I6298" s="0" t="s">
        <x:v>21</x:v>
      </x:c>
      <x:c r="K6298" s="0">
        <x:f>hyperlink("https://icd.who.int/dev11/l-ichi/en#/http%3A%2F%2Fid.who.int%2Ficd%2Fentity%2F849527755","browser")</x:f>
      </x:c>
      <x:c r="L6298" s="0">
        <x:f>hyperlink("https://icat2.azurewebsites.net/icat/?ontology=ICD&amp;tab=ClassesTab&amp;id=http%3A%2F%2Fwho.int%2Ficd%2336812_512ebf36_bf6b_4d70_85da_cf2637062af4","iCat")</x:f>
      </x:c>
      <x:c r="M6298" s="0" t="s">
        <x:v>21</x:v>
      </x:c>
      <x:c r="N6298" s="0" t="s">
        <x:v>46</x:v>
      </x:c>
    </x:row>
    <x:row r="6299" spans="1:16">
      <x:c r="A6299" s="0" t="s">
        <x:v>25048</x:v>
      </x:c>
      <x:c r="B6299" s="0" t="s">
        <x:v>25049</x:v>
      </x:c>
      <x:c r="C6299" s="0" t="s">
        <x:v>25050</x:v>
      </x:c>
      <x:c r="E6299" s="0" t="s">
        <x:v>25051</x:v>
      </x:c>
      <x:c r="F6299" s="0" t="s">
        <x:v>45</x:v>
      </x:c>
      <x:c r="G6299" s="0" t="s">
        <x:v>19</x:v>
      </x:c>
      <x:c r="H6299" s="0" t="s">
        <x:v>20</x:v>
      </x:c>
      <x:c r="I6299" s="0" t="s">
        <x:v>21</x:v>
      </x:c>
      <x:c r="K6299" s="0">
        <x:f>hyperlink("https://icd.who.int/dev11/l-ichi/en#/http%3A%2F%2Fid.who.int%2Ficd%2Fentity%2F967236967","browser")</x:f>
      </x:c>
      <x:c r="L6299" s="0">
        <x:f>hyperlink("https://icat2.azurewebsites.net/icat/?ontology=ICD&amp;tab=ClassesTab&amp;id=http%3A%2F%2Fwho.int%2Ficd%2336819_512ebf36_bf6b_4d70_85da_cf2637062af4","iCat")</x:f>
      </x:c>
      <x:c r="M6299" s="0" t="s">
        <x:v>21</x:v>
      </x:c>
      <x:c r="N6299" s="0" t="s">
        <x:v>46</x:v>
      </x:c>
    </x:row>
    <x:row r="6300" spans="1:16">
      <x:c r="A6300" s="0" t="s">
        <x:v>25052</x:v>
      </x:c>
      <x:c r="B6300" s="0" t="s">
        <x:v>25053</x:v>
      </x:c>
      <x:c r="C6300" s="0" t="s">
        <x:v>25054</x:v>
      </x:c>
      <x:c r="E6300" s="0" t="s">
        <x:v>25055</x:v>
      </x:c>
      <x:c r="F6300" s="0" t="s">
        <x:v>45</x:v>
      </x:c>
      <x:c r="G6300" s="0" t="s">
        <x:v>19</x:v>
      </x:c>
      <x:c r="H6300" s="0" t="s">
        <x:v>20</x:v>
      </x:c>
      <x:c r="I6300" s="0" t="s">
        <x:v>21</x:v>
      </x:c>
      <x:c r="K6300" s="0">
        <x:f>hyperlink("https://icd.who.int/dev11/l-ichi/en#/http%3A%2F%2Fid.who.int%2Ficd%2Fentity%2F1192511416","browser")</x:f>
      </x:c>
      <x:c r="L6300" s="0">
        <x:f>hyperlink("https://icat2.azurewebsites.net/icat/?ontology=ICD&amp;tab=ClassesTab&amp;id=http%3A%2F%2Fwho.int%2Ficd%2336826_512ebf36_bf6b_4d70_85da_cf2637062af4","iCat")</x:f>
      </x:c>
      <x:c r="M6300" s="0" t="s">
        <x:v>21</x:v>
      </x:c>
      <x:c r="N6300" s="0" t="s">
        <x:v>46</x:v>
      </x:c>
    </x:row>
    <x:row r="6301" spans="1:16">
      <x:c r="A6301" s="0" t="s">
        <x:v>25056</x:v>
      </x:c>
      <x:c r="B6301" s="0" t="s">
        <x:v>25057</x:v>
      </x:c>
      <x:c r="C6301" s="0" t="s">
        <x:v>25058</x:v>
      </x:c>
      <x:c r="E6301" s="0" t="s">
        <x:v>25059</x:v>
      </x:c>
      <x:c r="F6301" s="0" t="s">
        <x:v>45</x:v>
      </x:c>
      <x:c r="G6301" s="0" t="s">
        <x:v>19</x:v>
      </x:c>
      <x:c r="H6301" s="0" t="s">
        <x:v>20</x:v>
      </x:c>
      <x:c r="I6301" s="0" t="s">
        <x:v>21</x:v>
      </x:c>
      <x:c r="K6301" s="0">
        <x:f>hyperlink("https://icd.who.int/dev11/l-ichi/en#/http%3A%2F%2Fid.who.int%2Ficd%2Fentity%2F416683675","browser")</x:f>
      </x:c>
      <x:c r="L6301" s="0">
        <x:f>hyperlink("https://icat2.azurewebsites.net/icat/?ontology=ICD&amp;tab=ClassesTab&amp;id=http%3A%2F%2Fwho.int%2Ficd%2336832_512ebf36_bf6b_4d70_85da_cf2637062af4","iCat")</x:f>
      </x:c>
      <x:c r="M6301" s="0" t="s">
        <x:v>21</x:v>
      </x:c>
      <x:c r="N6301" s="0" t="s">
        <x:v>46</x:v>
      </x:c>
    </x:row>
    <x:row r="6302" spans="1:16">
      <x:c r="A6302" s="0" t="s">
        <x:v>25060</x:v>
      </x:c>
      <x:c r="B6302" s="0" t="s">
        <x:v>25061</x:v>
      </x:c>
      <x:c r="C6302" s="0" t="s">
        <x:v>25062</x:v>
      </x:c>
      <x:c r="E6302" s="0" t="s">
        <x:v>25063</x:v>
      </x:c>
      <x:c r="F6302" s="0" t="s">
        <x:v>45</x:v>
      </x:c>
      <x:c r="G6302" s="0" t="s">
        <x:v>19</x:v>
      </x:c>
      <x:c r="H6302" s="0" t="s">
        <x:v>20</x:v>
      </x:c>
      <x:c r="I6302" s="0" t="s">
        <x:v>21</x:v>
      </x:c>
      <x:c r="K6302" s="0">
        <x:f>hyperlink("https://icd.who.int/dev11/l-ichi/en#/http%3A%2F%2Fid.who.int%2Ficd%2Fentity%2F1299978308","browser")</x:f>
      </x:c>
      <x:c r="L6302" s="0">
        <x:f>hyperlink("https://icat2.azurewebsites.net/icat/?ontology=ICD&amp;tab=ClassesTab&amp;id=http%3A%2F%2Fwho.int%2Ficd%2336840_512ebf36_bf6b_4d70_85da_cf2637062af4","iCat")</x:f>
      </x:c>
      <x:c r="M6302" s="0" t="s">
        <x:v>21</x:v>
      </x:c>
      <x:c r="N6302" s="0" t="s">
        <x:v>46</x:v>
      </x:c>
    </x:row>
    <x:row r="6303" spans="1:16">
      <x:c r="A6303" s="0" t="s">
        <x:v>25064</x:v>
      </x:c>
      <x:c r="B6303" s="0" t="s">
        <x:v>25065</x:v>
      </x:c>
      <x:c r="C6303" s="0" t="s">
        <x:v>25066</x:v>
      </x:c>
      <x:c r="E6303" s="0" t="s">
        <x:v>25067</x:v>
      </x:c>
      <x:c r="F6303" s="0" t="s">
        <x:v>45</x:v>
      </x:c>
      <x:c r="G6303" s="0" t="s">
        <x:v>19</x:v>
      </x:c>
      <x:c r="H6303" s="0" t="s">
        <x:v>20</x:v>
      </x:c>
      <x:c r="I6303" s="0" t="s">
        <x:v>21</x:v>
      </x:c>
      <x:c r="K6303" s="0">
        <x:f>hyperlink("https://icd.who.int/dev11/l-ichi/en#/http%3A%2F%2Fid.who.int%2Ficd%2Fentity%2F66939153","browser")</x:f>
      </x:c>
      <x:c r="L6303" s="0">
        <x:f>hyperlink("https://icat2.azurewebsites.net/icat/?ontology=ICD&amp;tab=ClassesTab&amp;id=http%3A%2F%2Fwho.int%2Ficd%2336848_512ebf36_bf6b_4d70_85da_cf2637062af4","iCat")</x:f>
      </x:c>
      <x:c r="M6303" s="0" t="s">
        <x:v>21</x:v>
      </x:c>
      <x:c r="N6303" s="0" t="s">
        <x:v>46</x:v>
      </x:c>
    </x:row>
    <x:row r="6304" spans="1:16">
      <x:c r="A6304" s="0" t="s">
        <x:v>25068</x:v>
      </x:c>
      <x:c r="B6304" s="0" t="s">
        <x:v>25069</x:v>
      </x:c>
      <x:c r="C6304" s="0" t="s">
        <x:v>25070</x:v>
      </x:c>
      <x:c r="E6304" s="0" t="s">
        <x:v>25071</x:v>
      </x:c>
      <x:c r="F6304" s="0" t="s">
        <x:v>45</x:v>
      </x:c>
      <x:c r="G6304" s="0" t="s">
        <x:v>19</x:v>
      </x:c>
      <x:c r="H6304" s="0" t="s">
        <x:v>20</x:v>
      </x:c>
      <x:c r="I6304" s="0" t="s">
        <x:v>21</x:v>
      </x:c>
      <x:c r="K6304" s="0">
        <x:f>hyperlink("https://icd.who.int/dev11/l-ichi/en#/http%3A%2F%2Fid.who.int%2Ficd%2Fentity%2F314460519","browser")</x:f>
      </x:c>
      <x:c r="L6304" s="0">
        <x:f>hyperlink("https://icat2.azurewebsites.net/icat/?ontology=ICD&amp;tab=ClassesTab&amp;id=http%3A%2F%2Fwho.int%2Ficd%2336854_512ebf36_bf6b_4d70_85da_cf2637062af4","iCat")</x:f>
      </x:c>
      <x:c r="M6304" s="0" t="s">
        <x:v>21</x:v>
      </x:c>
      <x:c r="N6304" s="0" t="s">
        <x:v>46</x:v>
      </x:c>
    </x:row>
    <x:row r="6305" spans="1:16">
      <x:c r="A6305" s="0" t="s">
        <x:v>25072</x:v>
      </x:c>
      <x:c r="B6305" s="0" t="s">
        <x:v>25073</x:v>
      </x:c>
      <x:c r="C6305" s="0" t="s">
        <x:v>25074</x:v>
      </x:c>
      <x:c r="E6305" s="0" t="s">
        <x:v>25075</x:v>
      </x:c>
      <x:c r="F6305" s="0" t="s">
        <x:v>45</x:v>
      </x:c>
      <x:c r="G6305" s="0" t="s">
        <x:v>19</x:v>
      </x:c>
      <x:c r="H6305" s="0" t="s">
        <x:v>20</x:v>
      </x:c>
      <x:c r="I6305" s="0" t="s">
        <x:v>21</x:v>
      </x:c>
      <x:c r="K6305" s="0">
        <x:f>hyperlink("https://icd.who.int/dev11/l-ichi/en#/http%3A%2F%2Fid.who.int%2Ficd%2Fentity%2F1207025448","browser")</x:f>
      </x:c>
      <x:c r="L6305" s="0">
        <x:f>hyperlink("https://icat2.azurewebsites.net/icat/?ontology=ICD&amp;tab=ClassesTab&amp;id=http%3A%2F%2Fwho.int%2Ficd%2336861_512ebf36_bf6b_4d70_85da_cf2637062af4","iCat")</x:f>
      </x:c>
      <x:c r="M6305" s="0" t="s">
        <x:v>21</x:v>
      </x:c>
      <x:c r="N6305" s="0" t="s">
        <x:v>46</x:v>
      </x:c>
    </x:row>
    <x:row r="6306" spans="1:16">
      <x:c r="A6306" s="0" t="s">
        <x:v>25076</x:v>
      </x:c>
      <x:c r="B6306" s="0" t="s">
        <x:v>25077</x:v>
      </x:c>
      <x:c r="C6306" s="0" t="s">
        <x:v>25078</x:v>
      </x:c>
      <x:c r="E6306" s="0" t="s">
        <x:v>25079</x:v>
      </x:c>
      <x:c r="F6306" s="0" t="s">
        <x:v>45</x:v>
      </x:c>
      <x:c r="G6306" s="0" t="s">
        <x:v>19</x:v>
      </x:c>
      <x:c r="H6306" s="0" t="s">
        <x:v>20</x:v>
      </x:c>
      <x:c r="I6306" s="0" t="s">
        <x:v>21</x:v>
      </x:c>
      <x:c r="K6306" s="0">
        <x:f>hyperlink("https://icd.who.int/dev11/l-ichi/en#/http%3A%2F%2Fid.who.int%2Ficd%2Fentity%2F696892481","browser")</x:f>
      </x:c>
      <x:c r="L6306" s="0">
        <x:f>hyperlink("https://icat2.azurewebsites.net/icat/?ontology=ICD&amp;tab=ClassesTab&amp;id=http%3A%2F%2Fwho.int%2Ficd%2336868_512ebf36_bf6b_4d70_85da_cf2637062af4","iCat")</x:f>
      </x:c>
      <x:c r="M6306" s="0" t="s">
        <x:v>21</x:v>
      </x:c>
      <x:c r="N6306" s="0" t="s">
        <x:v>46</x:v>
      </x:c>
    </x:row>
    <x:row r="6307" spans="1:16">
      <x:c r="A6307" s="0" t="s">
        <x:v>25080</x:v>
      </x:c>
      <x:c r="B6307" s="0" t="s">
        <x:v>25081</x:v>
      </x:c>
      <x:c r="C6307" s="0" t="s">
        <x:v>25082</x:v>
      </x:c>
      <x:c r="E6307" s="0" t="s">
        <x:v>25083</x:v>
      </x:c>
      <x:c r="F6307" s="0" t="s">
        <x:v>45</x:v>
      </x:c>
      <x:c r="G6307" s="0" t="s">
        <x:v>19</x:v>
      </x:c>
      <x:c r="H6307" s="0" t="s">
        <x:v>20</x:v>
      </x:c>
      <x:c r="I6307" s="0" t="s">
        <x:v>21</x:v>
      </x:c>
      <x:c r="K6307" s="0">
        <x:f>hyperlink("https://icd.who.int/dev11/l-ichi/en#/http%3A%2F%2Fid.who.int%2Ficd%2Fentity%2F406056459","browser")</x:f>
      </x:c>
      <x:c r="L6307" s="0">
        <x:f>hyperlink("https://icat2.azurewebsites.net/icat/?ontology=ICD&amp;tab=ClassesTab&amp;id=http%3A%2F%2Fwho.int%2Ficd%2336875_512ebf36_bf6b_4d70_85da_cf2637062af4","iCat")</x:f>
      </x:c>
      <x:c r="M6307" s="0" t="s">
        <x:v>21</x:v>
      </x:c>
      <x:c r="N6307" s="0" t="s">
        <x:v>46</x:v>
      </x:c>
    </x:row>
    <x:row r="6308" spans="1:16">
      <x:c r="A6308" s="0" t="s">
        <x:v>25084</x:v>
      </x:c>
      <x:c r="B6308" s="0" t="s">
        <x:v>25085</x:v>
      </x:c>
      <x:c r="C6308" s="0" t="s">
        <x:v>25086</x:v>
      </x:c>
      <x:c r="E6308" s="0" t="s">
        <x:v>25087</x:v>
      </x:c>
      <x:c r="F6308" s="0" t="s">
        <x:v>45</x:v>
      </x:c>
      <x:c r="G6308" s="0" t="s">
        <x:v>19</x:v>
      </x:c>
      <x:c r="H6308" s="0" t="s">
        <x:v>20</x:v>
      </x:c>
      <x:c r="I6308" s="0" t="s">
        <x:v>21</x:v>
      </x:c>
      <x:c r="K6308" s="0">
        <x:f>hyperlink("https://icd.who.int/dev11/l-ichi/en#/http%3A%2F%2Fid.who.int%2Ficd%2Fentity%2F47407265","browser")</x:f>
      </x:c>
      <x:c r="L6308" s="0">
        <x:f>hyperlink("https://icat2.azurewebsites.net/icat/?ontology=ICD&amp;tab=ClassesTab&amp;id=http%3A%2F%2Fwho.int%2Ficd%2336881_512ebf36_bf6b_4d70_85da_cf2637062af4","iCat")</x:f>
      </x:c>
      <x:c r="M6308" s="0" t="s">
        <x:v>21</x:v>
      </x:c>
      <x:c r="N6308" s="0" t="s">
        <x:v>46</x:v>
      </x:c>
    </x:row>
    <x:row r="6309" spans="1:16">
      <x:c r="A6309" s="0" t="s">
        <x:v>25088</x:v>
      </x:c>
      <x:c r="B6309" s="0" t="s">
        <x:v>25089</x:v>
      </x:c>
      <x:c r="C6309" s="0" t="s">
        <x:v>25090</x:v>
      </x:c>
      <x:c r="E6309" s="0" t="s">
        <x:v>25091</x:v>
      </x:c>
      <x:c r="F6309" s="0" t="s">
        <x:v>45</x:v>
      </x:c>
      <x:c r="G6309" s="0" t="s">
        <x:v>19</x:v>
      </x:c>
      <x:c r="H6309" s="0" t="s">
        <x:v>20</x:v>
      </x:c>
      <x:c r="I6309" s="0" t="s">
        <x:v>21</x:v>
      </x:c>
      <x:c r="K6309" s="0">
        <x:f>hyperlink("https://icd.who.int/dev11/l-ichi/en#/http%3A%2F%2Fid.who.int%2Ficd%2Fentity%2F1386789138","browser")</x:f>
      </x:c>
      <x:c r="L6309" s="0">
        <x:f>hyperlink("https://icat2.azurewebsites.net/icat/?ontology=ICD&amp;tab=ClassesTab&amp;id=http%3A%2F%2Fwho.int%2Ficd%2336887_512ebf36_bf6b_4d70_85da_cf2637062af4","iCat")</x:f>
      </x:c>
      <x:c r="M6309" s="0" t="s">
        <x:v>21</x:v>
      </x:c>
      <x:c r="N6309" s="0" t="s">
        <x:v>46</x:v>
      </x:c>
    </x:row>
    <x:row r="6310" spans="1:16">
      <x:c r="A6310" s="0" t="s">
        <x:v>25092</x:v>
      </x:c>
      <x:c r="B6310" s="0" t="s">
        <x:v>25093</x:v>
      </x:c>
      <x:c r="C6310" s="0" t="s">
        <x:v>25094</x:v>
      </x:c>
      <x:c r="E6310" s="0" t="s">
        <x:v>25095</x:v>
      </x:c>
      <x:c r="F6310" s="0" t="s">
        <x:v>45</x:v>
      </x:c>
      <x:c r="G6310" s="0" t="s">
        <x:v>19</x:v>
      </x:c>
      <x:c r="H6310" s="0" t="s">
        <x:v>20</x:v>
      </x:c>
      <x:c r="I6310" s="0" t="s">
        <x:v>21</x:v>
      </x:c>
      <x:c r="K6310" s="0">
        <x:f>hyperlink("https://icd.who.int/dev11/l-ichi/en#/http%3A%2F%2Fid.who.int%2Ficd%2Fentity%2F225110067","browser")</x:f>
      </x:c>
      <x:c r="L6310" s="0">
        <x:f>hyperlink("https://icat2.azurewebsites.net/icat/?ontology=ICD&amp;tab=ClassesTab&amp;id=http%3A%2F%2Fwho.int%2Ficd%2336893_512ebf36_bf6b_4d70_85da_cf2637062af4","iCat")</x:f>
      </x:c>
      <x:c r="M6310" s="0" t="s">
        <x:v>21</x:v>
      </x:c>
      <x:c r="N6310" s="0" t="s">
        <x:v>46</x:v>
      </x:c>
    </x:row>
    <x:row r="6311" spans="1:16">
      <x:c r="A6311" s="0" t="s">
        <x:v>25096</x:v>
      </x:c>
      <x:c r="B6311" s="0" t="s">
        <x:v>25097</x:v>
      </x:c>
      <x:c r="C6311" s="0" t="s">
        <x:v>25098</x:v>
      </x:c>
      <x:c r="E6311" s="0" t="s">
        <x:v>25099</x:v>
      </x:c>
      <x:c r="F6311" s="0" t="s">
        <x:v>45</x:v>
      </x:c>
      <x:c r="G6311" s="0" t="s">
        <x:v>19</x:v>
      </x:c>
      <x:c r="H6311" s="0" t="s">
        <x:v>20</x:v>
      </x:c>
      <x:c r="I6311" s="0" t="s">
        <x:v>21</x:v>
      </x:c>
      <x:c r="K6311" s="0">
        <x:f>hyperlink("https://icd.who.int/dev11/l-ichi/en#/http%3A%2F%2Fid.who.int%2Ficd%2Fentity%2F1594369000","browser")</x:f>
      </x:c>
      <x:c r="L6311" s="0">
        <x:f>hyperlink("https://icat2.azurewebsites.net/icat/?ontology=ICD&amp;tab=ClassesTab&amp;id=http%3A%2F%2Fwho.int%2Ficd%23543_97087496_4a82_4efa_a45a_b3256f81bd7e","iCat")</x:f>
      </x:c>
      <x:c r="M6311" s="0" t="s">
        <x:v>21</x:v>
      </x:c>
      <x:c r="N6311" s="0" t="s">
        <x:v>46</x:v>
      </x:c>
    </x:row>
    <x:row r="6312" spans="1:16">
      <x:c r="A6312" s="0" t="s">
        <x:v>25100</x:v>
      </x:c>
      <x:c r="B6312" s="0" t="s">
        <x:v>25101</x:v>
      </x:c>
      <x:c r="C6312" s="0" t="s">
        <x:v>25102</x:v>
      </x:c>
      <x:c r="E6312" s="0" t="s">
        <x:v>25103</x:v>
      </x:c>
      <x:c r="F6312" s="0" t="s">
        <x:v>45</x:v>
      </x:c>
      <x:c r="G6312" s="0" t="s">
        <x:v>19</x:v>
      </x:c>
      <x:c r="H6312" s="0" t="s">
        <x:v>20</x:v>
      </x:c>
      <x:c r="I6312" s="0" t="s">
        <x:v>21</x:v>
      </x:c>
      <x:c r="K6312" s="0">
        <x:f>hyperlink("https://icd.who.int/dev11/l-ichi/en#/http%3A%2F%2Fid.who.int%2Ficd%2Fentity%2F647464099","browser")</x:f>
      </x:c>
      <x:c r="L6312" s="0">
        <x:f>hyperlink("https://icat2.azurewebsites.net/icat/?ontology=ICD&amp;tab=ClassesTab&amp;id=http%3A%2F%2Fwho.int%2Ficd%2336899_512ebf36_bf6b_4d70_85da_cf2637062af4","iCat")</x:f>
      </x:c>
      <x:c r="M6312" s="0" t="s">
        <x:v>21</x:v>
      </x:c>
      <x:c r="N6312" s="0" t="s">
        <x:v>46</x:v>
      </x:c>
    </x:row>
    <x:row r="6313" spans="1:16">
      <x:c r="A6313" s="0" t="s">
        <x:v>25104</x:v>
      </x:c>
      <x:c r="B6313" s="0" t="s">
        <x:v>25105</x:v>
      </x:c>
      <x:c r="C6313" s="0" t="s">
        <x:v>25106</x:v>
      </x:c>
      <x:c r="E6313" s="0" t="s">
        <x:v>25107</x:v>
      </x:c>
      <x:c r="F6313" s="0" t="s">
        <x:v>45</x:v>
      </x:c>
      <x:c r="G6313" s="0" t="s">
        <x:v>19</x:v>
      </x:c>
      <x:c r="H6313" s="0" t="s">
        <x:v>20</x:v>
      </x:c>
      <x:c r="I6313" s="0" t="s">
        <x:v>21</x:v>
      </x:c>
      <x:c r="K6313" s="0">
        <x:f>hyperlink("https://icd.who.int/dev11/l-ichi/en#/http%3A%2F%2Fid.who.int%2Ficd%2Fentity%2F979382015","browser")</x:f>
      </x:c>
      <x:c r="L6313" s="0">
        <x:f>hyperlink("https://icat2.azurewebsites.net/icat/?ontology=ICD&amp;tab=ClassesTab&amp;id=http%3A%2F%2Fwho.int%2Ficd%2314489_4869915e_217e_423d_acb3_33c0f920ef4b","iCat")</x:f>
      </x:c>
      <x:c r="M6313" s="0" t="s">
        <x:v>21</x:v>
      </x:c>
      <x:c r="N6313" s="0" t="s">
        <x:v>46</x:v>
      </x:c>
    </x:row>
    <x:row r="6314" spans="1:16">
      <x:c r="A6314" s="0" t="s">
        <x:v>25108</x:v>
      </x:c>
      <x:c r="B6314" s="0" t="s">
        <x:v>25109</x:v>
      </x:c>
      <x:c r="C6314" s="0" t="s">
        <x:v>25110</x:v>
      </x:c>
      <x:c r="E6314" s="0" t="s">
        <x:v>25111</x:v>
      </x:c>
      <x:c r="F6314" s="0" t="s">
        <x:v>45</x:v>
      </x:c>
      <x:c r="G6314" s="0" t="s">
        <x:v>19</x:v>
      </x:c>
      <x:c r="H6314" s="0" t="s">
        <x:v>20</x:v>
      </x:c>
      <x:c r="I6314" s="0" t="s">
        <x:v>21</x:v>
      </x:c>
      <x:c r="K6314" s="0">
        <x:f>hyperlink("https://icd.who.int/dev11/l-ichi/en#/http%3A%2F%2Fid.who.int%2Ficd%2Fentity%2F1568291724","browser")</x:f>
      </x:c>
      <x:c r="L6314" s="0">
        <x:f>hyperlink("https://icat2.azurewebsites.net/icat/?ontology=ICD&amp;tab=ClassesTab&amp;id=http%3A%2F%2Fwho.int%2Ficd%2336905_512ebf36_bf6b_4d70_85da_cf2637062af4","iCat")</x:f>
      </x:c>
      <x:c r="M6314" s="0" t="s">
        <x:v>21</x:v>
      </x:c>
      <x:c r="N6314" s="0" t="s">
        <x:v>46</x:v>
      </x:c>
    </x:row>
    <x:row r="6315" spans="1:16">
      <x:c r="A6315" s="0" t="s">
        <x:v>25112</x:v>
      </x:c>
      <x:c r="B6315" s="0" t="s">
        <x:v>25113</x:v>
      </x:c>
      <x:c r="C6315" s="0" t="s">
        <x:v>25114</x:v>
      </x:c>
      <x:c r="E6315" s="0" t="s">
        <x:v>25115</x:v>
      </x:c>
      <x:c r="F6315" s="0" t="s">
        <x:v>45</x:v>
      </x:c>
      <x:c r="G6315" s="0" t="s">
        <x:v>19</x:v>
      </x:c>
      <x:c r="H6315" s="0" t="s">
        <x:v>20</x:v>
      </x:c>
      <x:c r="I6315" s="0" t="s">
        <x:v>21</x:v>
      </x:c>
      <x:c r="K6315" s="0">
        <x:f>hyperlink("https://icd.who.int/dev11/l-ichi/en#/http%3A%2F%2Fid.who.int%2Ficd%2Fentity%2F1195181398","browser")</x:f>
      </x:c>
      <x:c r="L6315" s="0">
        <x:f>hyperlink("https://icat2.azurewebsites.net/icat/?ontology=ICD&amp;tab=ClassesTab&amp;id=http%3A%2F%2Fwho.int%2Ficd%2336912_512ebf36_bf6b_4d70_85da_cf2637062af4","iCat")</x:f>
      </x:c>
      <x:c r="M6315" s="0" t="s">
        <x:v>21</x:v>
      </x:c>
      <x:c r="N6315" s="0" t="s">
        <x:v>46</x:v>
      </x:c>
    </x:row>
    <x:row r="6316" spans="1:16">
      <x:c r="A6316" s="0" t="s">
        <x:v>25116</x:v>
      </x:c>
      <x:c r="B6316" s="0" t="s">
        <x:v>25117</x:v>
      </x:c>
      <x:c r="C6316" s="0" t="s">
        <x:v>25118</x:v>
      </x:c>
      <x:c r="E6316" s="0" t="s">
        <x:v>25119</x:v>
      </x:c>
      <x:c r="F6316" s="0" t="s">
        <x:v>45</x:v>
      </x:c>
      <x:c r="G6316" s="0" t="s">
        <x:v>19</x:v>
      </x:c>
      <x:c r="H6316" s="0" t="s">
        <x:v>20</x:v>
      </x:c>
      <x:c r="I6316" s="0" t="s">
        <x:v>21</x:v>
      </x:c>
      <x:c r="K6316" s="0">
        <x:f>hyperlink("https://icd.who.int/dev11/l-ichi/en#/http%3A%2F%2Fid.who.int%2Ficd%2Fentity%2F1659918486","browser")</x:f>
      </x:c>
      <x:c r="L6316" s="0">
        <x:f>hyperlink("https://icat2.azurewebsites.net/icat/?ontology=ICD&amp;tab=ClassesTab&amp;id=http%3A%2F%2Fwho.int%2Ficd%2336920_512ebf36_bf6b_4d70_85da_cf2637062af4","iCat")</x:f>
      </x:c>
      <x:c r="M6316" s="0" t="s">
        <x:v>21</x:v>
      </x:c>
      <x:c r="N6316" s="0" t="s">
        <x:v>46</x:v>
      </x:c>
    </x:row>
    <x:row r="6317" spans="1:16">
      <x:c r="A6317" s="0" t="s">
        <x:v>25120</x:v>
      </x:c>
      <x:c r="B6317" s="0" t="s">
        <x:v>25121</x:v>
      </x:c>
      <x:c r="C6317" s="0" t="s">
        <x:v>25122</x:v>
      </x:c>
      <x:c r="E6317" s="0" t="s">
        <x:v>25123</x:v>
      </x:c>
      <x:c r="F6317" s="0" t="s">
        <x:v>45</x:v>
      </x:c>
      <x:c r="G6317" s="0" t="s">
        <x:v>19</x:v>
      </x:c>
      <x:c r="H6317" s="0" t="s">
        <x:v>20</x:v>
      </x:c>
      <x:c r="I6317" s="0" t="s">
        <x:v>21</x:v>
      </x:c>
      <x:c r="K6317" s="0">
        <x:f>hyperlink("https://icd.who.int/dev11/l-ichi/en#/http%3A%2F%2Fid.who.int%2Ficd%2Fentity%2F309523225","browser")</x:f>
      </x:c>
      <x:c r="L6317" s="0">
        <x:f>hyperlink("https://icat2.azurewebsites.net/icat/?ontology=ICD&amp;tab=ClassesTab&amp;id=http%3A%2F%2Fwho.int%2Ficd%2336927_512ebf36_bf6b_4d70_85da_cf2637062af4","iCat")</x:f>
      </x:c>
      <x:c r="M6317" s="0" t="s">
        <x:v>21</x:v>
      </x:c>
      <x:c r="N6317" s="0" t="s">
        <x:v>46</x:v>
      </x:c>
    </x:row>
    <x:row r="6318" spans="1:16">
      <x:c r="A6318" s="0" t="s">
        <x:v>25124</x:v>
      </x:c>
      <x:c r="B6318" s="0" t="s">
        <x:v>25125</x:v>
      </x:c>
      <x:c r="C6318" s="0" t="s">
        <x:v>25126</x:v>
      </x:c>
      <x:c r="E6318" s="0" t="s">
        <x:v>25127</x:v>
      </x:c>
      <x:c r="F6318" s="0" t="s">
        <x:v>45</x:v>
      </x:c>
      <x:c r="G6318" s="0" t="s">
        <x:v>19</x:v>
      </x:c>
      <x:c r="H6318" s="0" t="s">
        <x:v>20</x:v>
      </x:c>
      <x:c r="I6318" s="0" t="s">
        <x:v>21</x:v>
      </x:c>
      <x:c r="K6318" s="0">
        <x:f>hyperlink("https://icd.who.int/dev11/l-ichi/en#/http%3A%2F%2Fid.who.int%2Ficd%2Fentity%2F404401381","browser")</x:f>
      </x:c>
      <x:c r="L6318" s="0">
        <x:f>hyperlink("https://icat2.azurewebsites.net/icat/?ontology=ICD&amp;tab=ClassesTab&amp;id=http%3A%2F%2Fwho.int%2Ficd%2336941_512ebf36_bf6b_4d70_85da_cf2637062af4","iCat")</x:f>
      </x:c>
      <x:c r="M6318" s="0" t="s">
        <x:v>21</x:v>
      </x:c>
      <x:c r="N6318" s="0" t="s">
        <x:v>46</x:v>
      </x:c>
    </x:row>
    <x:row r="6319" spans="1:16">
      <x:c r="A6319" s="0" t="s">
        <x:v>25128</x:v>
      </x:c>
      <x:c r="B6319" s="0" t="s">
        <x:v>25129</x:v>
      </x:c>
      <x:c r="C6319" s="0" t="s">
        <x:v>25130</x:v>
      </x:c>
      <x:c r="E6319" s="0" t="s">
        <x:v>25131</x:v>
      </x:c>
      <x:c r="F6319" s="0" t="s">
        <x:v>45</x:v>
      </x:c>
      <x:c r="G6319" s="0" t="s">
        <x:v>19</x:v>
      </x:c>
      <x:c r="H6319" s="0" t="s">
        <x:v>20</x:v>
      </x:c>
      <x:c r="I6319" s="0" t="s">
        <x:v>21</x:v>
      </x:c>
      <x:c r="K6319" s="0">
        <x:f>hyperlink("https://icd.who.int/dev11/l-ichi/en#/http%3A%2F%2Fid.who.int%2Ficd%2Fentity%2F396567671","browser")</x:f>
      </x:c>
      <x:c r="L6319" s="0">
        <x:f>hyperlink("https://icat2.azurewebsites.net/icat/?ontology=ICD&amp;tab=ClassesTab&amp;id=http%3A%2F%2Fwho.int%2Ficd%2336953_512ebf36_bf6b_4d70_85da_cf2637062af4","iCat")</x:f>
      </x:c>
      <x:c r="M6319" s="0" t="s">
        <x:v>21</x:v>
      </x:c>
      <x:c r="N6319" s="0" t="s">
        <x:v>46</x:v>
      </x:c>
    </x:row>
    <x:row r="6320" spans="1:16">
      <x:c r="A6320" s="0" t="s">
        <x:v>25132</x:v>
      </x:c>
      <x:c r="B6320" s="0" t="s">
        <x:v>25133</x:v>
      </x:c>
      <x:c r="D6320" s="0" t="s">
        <x:v>25134</x:v>
      </x:c>
      <x:c r="E6320" s="0" t="s">
        <x:v>25135</x:v>
      </x:c>
      <x:c r="F6320" s="0" t="s">
        <x:v>26</x:v>
      </x:c>
      <x:c r="G6320" s="0" t="s">
        <x:v>22</x:v>
      </x:c>
      <x:c r="H6320" s="0" t="s">
        <x:v>20</x:v>
      </x:c>
      <x:c r="I6320" s="0" t="s">
        <x:v>21</x:v>
      </x:c>
      <x:c r="K6320" s="0">
        <x:f>hyperlink("https://icd.who.int/dev11/l-ichi/en#/http%3A%2F%2Fid.who.int%2Ficd%2Fentity%2F311888777","browser")</x:f>
      </x:c>
      <x:c r="L6320" s="0">
        <x:f>hyperlink("https://icat2.azurewebsites.net/icat/?ontology=ICD&amp;tab=ClassesTab&amp;id=http%3A%2F%2Fwho.int%2Ficd%2336960_512ebf36_bf6b_4d70_85da_cf2637062af4","iCat")</x:f>
      </x:c>
      <x:c r="M6320" s="0" t="s">
        <x:v>20</x:v>
      </x:c>
      <x:c r="N6320" s="0" t="s">
        <x:v>8440</x:v>
      </x:c>
    </x:row>
    <x:row r="6321" spans="1:16">
      <x:c r="A6321" s="0" t="s">
        <x:v>25136</x:v>
      </x:c>
      <x:c r="B6321" s="0" t="s">
        <x:v>25137</x:v>
      </x:c>
      <x:c r="C6321" s="0" t="s">
        <x:v>25138</x:v>
      </x:c>
      <x:c r="E6321" s="0" t="s">
        <x:v>25139</x:v>
      </x:c>
      <x:c r="F6321" s="0" t="s">
        <x:v>45</x:v>
      </x:c>
      <x:c r="G6321" s="0" t="s">
        <x:v>19</x:v>
      </x:c>
      <x:c r="H6321" s="0" t="s">
        <x:v>20</x:v>
      </x:c>
      <x:c r="I6321" s="0" t="s">
        <x:v>21</x:v>
      </x:c>
      <x:c r="K6321" s="0">
        <x:f>hyperlink("https://icd.who.int/dev11/l-ichi/en#/http%3A%2F%2Fid.who.int%2Ficd%2Fentity%2F1012812007","browser")</x:f>
      </x:c>
      <x:c r="L6321" s="0">
        <x:f>hyperlink("https://icat2.azurewebsites.net/icat/?ontology=ICD&amp;tab=ClassesTab&amp;id=http%3A%2F%2Fwho.int%2Ficd%2336959_512ebf36_bf6b_4d70_85da_cf2637062af4","iCat")</x:f>
      </x:c>
      <x:c r="M6321" s="0" t="s">
        <x:v>21</x:v>
      </x:c>
      <x:c r="N6321" s="0" t="s">
        <x:v>46</x:v>
      </x:c>
    </x:row>
    <x:row r="6322" spans="1:16">
      <x:c r="A6322" s="0" t="s">
        <x:v>25140</x:v>
      </x:c>
      <x:c r="B6322" s="0" t="s">
        <x:v>25141</x:v>
      </x:c>
      <x:c r="C6322" s="0" t="s">
        <x:v>25142</x:v>
      </x:c>
      <x:c r="E6322" s="0" t="s">
        <x:v>25143</x:v>
      </x:c>
      <x:c r="F6322" s="0" t="s">
        <x:v>45</x:v>
      </x:c>
      <x:c r="G6322" s="0" t="s">
        <x:v>19</x:v>
      </x:c>
      <x:c r="H6322" s="0" t="s">
        <x:v>20</x:v>
      </x:c>
      <x:c r="I6322" s="0" t="s">
        <x:v>21</x:v>
      </x:c>
      <x:c r="K6322" s="0">
        <x:f>hyperlink("https://icd.who.int/dev11/l-ichi/en#/http%3A%2F%2Fid.who.int%2Ficd%2Fentity%2F1077782150","browser")</x:f>
      </x:c>
      <x:c r="L6322" s="0">
        <x:f>hyperlink("https://icat2.azurewebsites.net/icat/?ontology=ICD&amp;tab=ClassesTab&amp;id=http%3A%2F%2Fwho.int%2Ficd%2393_e02c2df3_77b6_419a_b43f_c4531334dd70","iCat")</x:f>
      </x:c>
      <x:c r="M6322" s="0" t="s">
        <x:v>21</x:v>
      </x:c>
      <x:c r="N6322" s="0" t="s">
        <x:v>46</x:v>
      </x:c>
    </x:row>
    <x:row r="6323" spans="1:16">
      <x:c r="A6323" s="0" t="s">
        <x:v>25144</x:v>
      </x:c>
      <x:c r="B6323" s="0" t="s">
        <x:v>25145</x:v>
      </x:c>
      <x:c r="C6323" s="0" t="s">
        <x:v>25146</x:v>
      </x:c>
      <x:c r="E6323" s="0" t="s">
        <x:v>25147</x:v>
      </x:c>
      <x:c r="F6323" s="0" t="s">
        <x:v>45</x:v>
      </x:c>
      <x:c r="G6323" s="0" t="s">
        <x:v>19</x:v>
      </x:c>
      <x:c r="H6323" s="0" t="s">
        <x:v>20</x:v>
      </x:c>
      <x:c r="I6323" s="0" t="s">
        <x:v>21</x:v>
      </x:c>
      <x:c r="K6323" s="0">
        <x:f>hyperlink("https://icd.who.int/dev11/l-ichi/en#/http%3A%2F%2Fid.who.int%2Ficd%2Fentity%2F1323899068","browser")</x:f>
      </x:c>
      <x:c r="L6323" s="0">
        <x:f>hyperlink("https://icat2.azurewebsites.net/icat/?ontology=ICD&amp;tab=ClassesTab&amp;id=http%3A%2F%2Fwho.int%2Ficd%2337001_512ebf36_bf6b_4d70_85da_cf2637062af4","iCat")</x:f>
      </x:c>
      <x:c r="M6323" s="0" t="s">
        <x:v>21</x:v>
      </x:c>
      <x:c r="N6323" s="0" t="s">
        <x:v>46</x:v>
      </x:c>
    </x:row>
    <x:row r="6324" spans="1:16">
      <x:c r="A6324" s="0" t="s">
        <x:v>25148</x:v>
      </x:c>
      <x:c r="B6324" s="0" t="s">
        <x:v>25149</x:v>
      </x:c>
      <x:c r="C6324" s="0" t="s">
        <x:v>25150</x:v>
      </x:c>
      <x:c r="E6324" s="0" t="s">
        <x:v>25151</x:v>
      </x:c>
      <x:c r="F6324" s="0" t="s">
        <x:v>45</x:v>
      </x:c>
      <x:c r="G6324" s="0" t="s">
        <x:v>19</x:v>
      </x:c>
      <x:c r="H6324" s="0" t="s">
        <x:v>20</x:v>
      </x:c>
      <x:c r="I6324" s="0" t="s">
        <x:v>21</x:v>
      </x:c>
      <x:c r="K6324" s="0">
        <x:f>hyperlink("https://icd.who.int/dev11/l-ichi/en#/http%3A%2F%2Fid.who.int%2Ficd%2Fentity%2F546380757","browser")</x:f>
      </x:c>
      <x:c r="L6324" s="0">
        <x:f>hyperlink("https://icat2.azurewebsites.net/icat/?ontology=ICD&amp;tab=ClassesTab&amp;id=http%3A%2F%2Fwho.int%2Ficd%2337008_512ebf36_bf6b_4d70_85da_cf2637062af4","iCat")</x:f>
      </x:c>
      <x:c r="M6324" s="0" t="s">
        <x:v>21</x:v>
      </x:c>
      <x:c r="N6324" s="0" t="s">
        <x:v>46</x:v>
      </x:c>
    </x:row>
    <x:row r="6325" spans="1:16">
      <x:c r="A6325" s="0" t="s">
        <x:v>25152</x:v>
      </x:c>
      <x:c r="B6325" s="0" t="s">
        <x:v>25153</x:v>
      </x:c>
      <x:c r="C6325" s="0" t="s">
        <x:v>25154</x:v>
      </x:c>
      <x:c r="E6325" s="0" t="s">
        <x:v>25155</x:v>
      </x:c>
      <x:c r="F6325" s="0" t="s">
        <x:v>45</x:v>
      </x:c>
      <x:c r="G6325" s="0" t="s">
        <x:v>19</x:v>
      </x:c>
      <x:c r="H6325" s="0" t="s">
        <x:v>20</x:v>
      </x:c>
      <x:c r="I6325" s="0" t="s">
        <x:v>21</x:v>
      </x:c>
      <x:c r="K6325" s="0">
        <x:f>hyperlink("https://icd.who.int/dev11/l-ichi/en#/http%3A%2F%2Fid.who.int%2Ficd%2Fentity%2F1420699238","browser")</x:f>
      </x:c>
      <x:c r="L6325" s="0">
        <x:f>hyperlink("https://icat2.azurewebsites.net/icat/?ontology=ICD&amp;tab=ClassesTab&amp;id=http%3A%2F%2Fwho.int%2Ficd%2337016_512ebf36_bf6b_4d70_85da_cf2637062af4","iCat")</x:f>
      </x:c>
      <x:c r="M6325" s="0" t="s">
        <x:v>21</x:v>
      </x:c>
      <x:c r="N6325" s="0" t="s">
        <x:v>46</x:v>
      </x:c>
    </x:row>
    <x:row r="6326" spans="1:16">
      <x:c r="A6326" s="0" t="s">
        <x:v>25156</x:v>
      </x:c>
      <x:c r="B6326" s="0" t="s">
        <x:v>25157</x:v>
      </x:c>
      <x:c r="C6326" s="0" t="s">
        <x:v>25158</x:v>
      </x:c>
      <x:c r="E6326" s="0" t="s">
        <x:v>25159</x:v>
      </x:c>
      <x:c r="F6326" s="0" t="s">
        <x:v>45</x:v>
      </x:c>
      <x:c r="G6326" s="0" t="s">
        <x:v>19</x:v>
      </x:c>
      <x:c r="H6326" s="0" t="s">
        <x:v>20</x:v>
      </x:c>
      <x:c r="I6326" s="0" t="s">
        <x:v>21</x:v>
      </x:c>
      <x:c r="K6326" s="0">
        <x:f>hyperlink("https://icd.who.int/dev11/l-ichi/en#/http%3A%2F%2Fid.who.int%2Ficd%2Fentity%2F31576105","browser")</x:f>
      </x:c>
      <x:c r="L6326" s="0">
        <x:f>hyperlink("https://icat2.azurewebsites.net/icat/?ontology=ICD&amp;tab=ClassesTab&amp;id=http%3A%2F%2Fwho.int%2Ficd%2337023_512ebf36_bf6b_4d70_85da_cf2637062af4","iCat")</x:f>
      </x:c>
      <x:c r="M6326" s="0" t="s">
        <x:v>21</x:v>
      </x:c>
      <x:c r="N6326" s="0" t="s">
        <x:v>46</x:v>
      </x:c>
    </x:row>
    <x:row r="6327" spans="1:16">
      <x:c r="A6327" s="0" t="s">
        <x:v>25160</x:v>
      </x:c>
      <x:c r="B6327" s="0" t="s">
        <x:v>25161</x:v>
      </x:c>
      <x:c r="C6327" s="0" t="s">
        <x:v>25162</x:v>
      </x:c>
      <x:c r="E6327" s="0" t="s">
        <x:v>25163</x:v>
      </x:c>
      <x:c r="F6327" s="0" t="s">
        <x:v>45</x:v>
      </x:c>
      <x:c r="G6327" s="0" t="s">
        <x:v>19</x:v>
      </x:c>
      <x:c r="H6327" s="0" t="s">
        <x:v>20</x:v>
      </x:c>
      <x:c r="I6327" s="0" t="s">
        <x:v>21</x:v>
      </x:c>
      <x:c r="K6327" s="0">
        <x:f>hyperlink("https://icd.who.int/dev11/l-ichi/en#/http%3A%2F%2Fid.who.int%2Ficd%2Fentity%2F463924979","browser")</x:f>
      </x:c>
      <x:c r="L6327" s="0">
        <x:f>hyperlink("https://icat2.azurewebsites.net/icat/?ontology=ICD&amp;tab=ClassesTab&amp;id=http%3A%2F%2Fwho.int%2Ficd%2337034_512ebf36_bf6b_4d70_85da_cf2637062af4","iCat")</x:f>
      </x:c>
      <x:c r="M6327" s="0" t="s">
        <x:v>21</x:v>
      </x:c>
      <x:c r="N6327" s="0" t="s">
        <x:v>46</x:v>
      </x:c>
    </x:row>
    <x:row r="6328" spans="1:16">
      <x:c r="A6328" s="0" t="s">
        <x:v>25164</x:v>
      </x:c>
      <x:c r="B6328" s="0" t="s">
        <x:v>25165</x:v>
      </x:c>
      <x:c r="C6328" s="0" t="s">
        <x:v>25166</x:v>
      </x:c>
      <x:c r="E6328" s="0" t="s">
        <x:v>25167</x:v>
      </x:c>
      <x:c r="F6328" s="0" t="s">
        <x:v>45</x:v>
      </x:c>
      <x:c r="G6328" s="0" t="s">
        <x:v>19</x:v>
      </x:c>
      <x:c r="H6328" s="0" t="s">
        <x:v>20</x:v>
      </x:c>
      <x:c r="I6328" s="0" t="s">
        <x:v>21</x:v>
      </x:c>
      <x:c r="K6328" s="0">
        <x:f>hyperlink("https://icd.who.int/dev11/l-ichi/en#/http%3A%2F%2Fid.who.int%2Ficd%2Fentity%2F193564629","browser")</x:f>
      </x:c>
      <x:c r="L6328" s="0">
        <x:f>hyperlink("https://icat2.azurewebsites.net/icat/?ontology=ICD&amp;tab=ClassesTab&amp;id=http%3A%2F%2Fwho.int%2Ficd%2337045_512ebf36_bf6b_4d70_85da_cf2637062af4","iCat")</x:f>
      </x:c>
      <x:c r="M6328" s="0" t="s">
        <x:v>21</x:v>
      </x:c>
      <x:c r="N6328" s="0" t="s">
        <x:v>46</x:v>
      </x:c>
    </x:row>
    <x:row r="6329" spans="1:16">
      <x:c r="A6329" s="0" t="s">
        <x:v>25168</x:v>
      </x:c>
      <x:c r="B6329" s="0" t="s">
        <x:v>25169</x:v>
      </x:c>
      <x:c r="C6329" s="0" t="s">
        <x:v>25170</x:v>
      </x:c>
      <x:c r="E6329" s="0" t="s">
        <x:v>25171</x:v>
      </x:c>
      <x:c r="F6329" s="0" t="s">
        <x:v>45</x:v>
      </x:c>
      <x:c r="G6329" s="0" t="s">
        <x:v>19</x:v>
      </x:c>
      <x:c r="H6329" s="0" t="s">
        <x:v>20</x:v>
      </x:c>
      <x:c r="I6329" s="0" t="s">
        <x:v>21</x:v>
      </x:c>
      <x:c r="K6329" s="0">
        <x:f>hyperlink("https://icd.who.int/dev11/l-ichi/en#/http%3A%2F%2Fid.who.int%2Ficd%2Fentity%2F825738035","browser")</x:f>
      </x:c>
      <x:c r="L6329" s="0">
        <x:f>hyperlink("https://icat2.azurewebsites.net/icat/?ontology=ICD&amp;tab=ClassesTab&amp;id=http%3A%2F%2Fwho.int%2Ficd%2337053_512ebf36_bf6b_4d70_85da_cf2637062af4","iCat")</x:f>
      </x:c>
      <x:c r="M6329" s="0" t="s">
        <x:v>21</x:v>
      </x:c>
      <x:c r="N6329" s="0" t="s">
        <x:v>46</x:v>
      </x:c>
    </x:row>
    <x:row r="6330" spans="1:16">
      <x:c r="A6330" s="0" t="s">
        <x:v>25172</x:v>
      </x:c>
      <x:c r="B6330" s="0" t="s">
        <x:v>25173</x:v>
      </x:c>
      <x:c r="C6330" s="0" t="s">
        <x:v>25174</x:v>
      </x:c>
      <x:c r="E6330" s="0" t="s">
        <x:v>25175</x:v>
      </x:c>
      <x:c r="F6330" s="0" t="s">
        <x:v>45</x:v>
      </x:c>
      <x:c r="G6330" s="0" t="s">
        <x:v>19</x:v>
      </x:c>
      <x:c r="H6330" s="0" t="s">
        <x:v>20</x:v>
      </x:c>
      <x:c r="I6330" s="0" t="s">
        <x:v>21</x:v>
      </x:c>
      <x:c r="K6330" s="0">
        <x:f>hyperlink("https://icd.who.int/dev11/l-ichi/en#/http%3A%2F%2Fid.who.int%2Ficd%2Fentity%2F351969009","browser")</x:f>
      </x:c>
      <x:c r="L6330" s="0">
        <x:f>hyperlink("https://icat2.azurewebsites.net/icat/?ontology=ICD&amp;tab=ClassesTab&amp;id=http%3A%2F%2Fwho.int%2Ficd%2337061_512ebf36_bf6b_4d70_85da_cf2637062af4","iCat")</x:f>
      </x:c>
      <x:c r="M6330" s="0" t="s">
        <x:v>21</x:v>
      </x:c>
      <x:c r="N6330" s="0" t="s">
        <x:v>46</x:v>
      </x:c>
    </x:row>
    <x:row r="6331" spans="1:16">
      <x:c r="A6331" s="0" t="s">
        <x:v>25176</x:v>
      </x:c>
      <x:c r="B6331" s="0" t="s">
        <x:v>25177</x:v>
      </x:c>
      <x:c r="C6331" s="0" t="s">
        <x:v>25178</x:v>
      </x:c>
      <x:c r="E6331" s="0" t="s">
        <x:v>25179</x:v>
      </x:c>
      <x:c r="F6331" s="0" t="s">
        <x:v>45</x:v>
      </x:c>
      <x:c r="G6331" s="0" t="s">
        <x:v>19</x:v>
      </x:c>
      <x:c r="H6331" s="0" t="s">
        <x:v>20</x:v>
      </x:c>
      <x:c r="I6331" s="0" t="s">
        <x:v>21</x:v>
      </x:c>
      <x:c r="K6331" s="0">
        <x:f>hyperlink("https://icd.who.int/dev11/l-ichi/en#/http%3A%2F%2Fid.who.int%2Ficd%2Fentity%2F2055380376","browser")</x:f>
      </x:c>
      <x:c r="L6331" s="0">
        <x:f>hyperlink("https://icat2.azurewebsites.net/icat/?ontology=ICD&amp;tab=ClassesTab&amp;id=http%3A%2F%2Fwho.int%2Ficd%2337068_512ebf36_bf6b_4d70_85da_cf2637062af4","iCat")</x:f>
      </x:c>
      <x:c r="M6331" s="0" t="s">
        <x:v>21</x:v>
      </x:c>
      <x:c r="N6331" s="0" t="s">
        <x:v>46</x:v>
      </x:c>
    </x:row>
    <x:row r="6332" spans="1:16">
      <x:c r="A6332" s="0" t="s">
        <x:v>25180</x:v>
      </x:c>
      <x:c r="B6332" s="0" t="s">
        <x:v>25181</x:v>
      </x:c>
      <x:c r="C6332" s="0" t="s">
        <x:v>25182</x:v>
      </x:c>
      <x:c r="E6332" s="0" t="s">
        <x:v>25183</x:v>
      </x:c>
      <x:c r="F6332" s="0" t="s">
        <x:v>45</x:v>
      </x:c>
      <x:c r="G6332" s="0" t="s">
        <x:v>19</x:v>
      </x:c>
      <x:c r="H6332" s="0" t="s">
        <x:v>20</x:v>
      </x:c>
      <x:c r="I6332" s="0" t="s">
        <x:v>21</x:v>
      </x:c>
      <x:c r="K6332" s="0">
        <x:f>hyperlink("https://icd.who.int/dev11/l-ichi/en#/http%3A%2F%2Fid.who.int%2Ficd%2Fentity%2F817789683","browser")</x:f>
      </x:c>
      <x:c r="L6332" s="0">
        <x:f>hyperlink("https://icat2.azurewebsites.net/icat/?ontology=ICD&amp;tab=ClassesTab&amp;id=http%3A%2F%2Fwho.int%2Ficd%2337079_512ebf36_bf6b_4d70_85da_cf2637062af4","iCat")</x:f>
      </x:c>
      <x:c r="M6332" s="0" t="s">
        <x:v>21</x:v>
      </x:c>
      <x:c r="N6332" s="0" t="s">
        <x:v>46</x:v>
      </x:c>
    </x:row>
    <x:row r="6333" spans="1:16">
      <x:c r="A6333" s="0" t="s">
        <x:v>25184</x:v>
      </x:c>
      <x:c r="B6333" s="0" t="s">
        <x:v>25185</x:v>
      </x:c>
      <x:c r="C6333" s="0" t="s">
        <x:v>25186</x:v>
      </x:c>
      <x:c r="E6333" s="0" t="s">
        <x:v>25187</x:v>
      </x:c>
      <x:c r="F6333" s="0" t="s">
        <x:v>45</x:v>
      </x:c>
      <x:c r="G6333" s="0" t="s">
        <x:v>19</x:v>
      </x:c>
      <x:c r="H6333" s="0" t="s">
        <x:v>20</x:v>
      </x:c>
      <x:c r="I6333" s="0" t="s">
        <x:v>21</x:v>
      </x:c>
      <x:c r="K6333" s="0">
        <x:f>hyperlink("https://icd.who.int/dev11/l-ichi/en#/http%3A%2F%2Fid.who.int%2Ficd%2Fentity%2F27498697","browser")</x:f>
      </x:c>
      <x:c r="L6333" s="0">
        <x:f>hyperlink("https://icat2.azurewebsites.net/icat/?ontology=ICD&amp;tab=ClassesTab&amp;id=http%3A%2F%2Fwho.int%2Ficd%2337087_512ebf36_bf6b_4d70_85da_cf2637062af4","iCat")</x:f>
      </x:c>
      <x:c r="M6333" s="0" t="s">
        <x:v>21</x:v>
      </x:c>
      <x:c r="N6333" s="0" t="s">
        <x:v>46</x:v>
      </x:c>
    </x:row>
    <x:row r="6334" spans="1:16">
      <x:c r="A6334" s="0" t="s">
        <x:v>25188</x:v>
      </x:c>
      <x:c r="B6334" s="0" t="s">
        <x:v>25189</x:v>
      </x:c>
      <x:c r="C6334" s="0" t="s">
        <x:v>25190</x:v>
      </x:c>
      <x:c r="E6334" s="0" t="s">
        <x:v>25191</x:v>
      </x:c>
      <x:c r="F6334" s="0" t="s">
        <x:v>45</x:v>
      </x:c>
      <x:c r="G6334" s="0" t="s">
        <x:v>19</x:v>
      </x:c>
      <x:c r="H6334" s="0" t="s">
        <x:v>20</x:v>
      </x:c>
      <x:c r="I6334" s="0" t="s">
        <x:v>21</x:v>
      </x:c>
      <x:c r="K6334" s="0">
        <x:f>hyperlink("https://icd.who.int/dev11/l-ichi/en#/http%3A%2F%2Fid.who.int%2Ficd%2Fentity%2F236589147","browser")</x:f>
      </x:c>
      <x:c r="L6334" s="0">
        <x:f>hyperlink("https://icat2.azurewebsites.net/icat/?ontology=ICD&amp;tab=ClassesTab&amp;id=http%3A%2F%2Fwho.int%2Ficd%2337095_512ebf36_bf6b_4d70_85da_cf2637062af4","iCat")</x:f>
      </x:c>
      <x:c r="M6334" s="0" t="s">
        <x:v>21</x:v>
      </x:c>
      <x:c r="N6334" s="0" t="s">
        <x:v>46</x:v>
      </x:c>
    </x:row>
    <x:row r="6335" spans="1:16">
      <x:c r="A6335" s="0" t="s">
        <x:v>25192</x:v>
      </x:c>
      <x:c r="B6335" s="0" t="s">
        <x:v>25193</x:v>
      </x:c>
      <x:c r="C6335" s="0" t="s">
        <x:v>25194</x:v>
      </x:c>
      <x:c r="E6335" s="0" t="s">
        <x:v>25195</x:v>
      </x:c>
      <x:c r="F6335" s="0" t="s">
        <x:v>45</x:v>
      </x:c>
      <x:c r="G6335" s="0" t="s">
        <x:v>19</x:v>
      </x:c>
      <x:c r="H6335" s="0" t="s">
        <x:v>20</x:v>
      </x:c>
      <x:c r="I6335" s="0" t="s">
        <x:v>21</x:v>
      </x:c>
      <x:c r="K6335" s="0">
        <x:f>hyperlink("https://icd.who.int/dev11/l-ichi/en#/http%3A%2F%2Fid.who.int%2Ficd%2Fentity%2F2129899994","browser")</x:f>
      </x:c>
      <x:c r="L6335" s="0">
        <x:f>hyperlink("https://icat2.azurewebsites.net/icat/?ontology=ICD&amp;tab=ClassesTab&amp;id=http%3A%2F%2Fwho.int%2Ficd%2337102_512ebf36_bf6b_4d70_85da_cf2637062af4","iCat")</x:f>
      </x:c>
      <x:c r="M6335" s="0" t="s">
        <x:v>21</x:v>
      </x:c>
      <x:c r="N6335" s="0" t="s">
        <x:v>46</x:v>
      </x:c>
    </x:row>
    <x:row r="6336" spans="1:16">
      <x:c r="A6336" s="0" t="s">
        <x:v>25196</x:v>
      </x:c>
      <x:c r="B6336" s="0" t="s">
        <x:v>25197</x:v>
      </x:c>
      <x:c r="C6336" s="0" t="s">
        <x:v>25198</x:v>
      </x:c>
      <x:c r="E6336" s="0" t="s">
        <x:v>25199</x:v>
      </x:c>
      <x:c r="F6336" s="0" t="s">
        <x:v>45</x:v>
      </x:c>
      <x:c r="G6336" s="0" t="s">
        <x:v>19</x:v>
      </x:c>
      <x:c r="H6336" s="0" t="s">
        <x:v>20</x:v>
      </x:c>
      <x:c r="I6336" s="0" t="s">
        <x:v>21</x:v>
      </x:c>
      <x:c r="K6336" s="0">
        <x:f>hyperlink("https://icd.who.int/dev11/l-ichi/en#/http%3A%2F%2Fid.who.int%2Ficd%2Fentity%2F886003379","browser")</x:f>
      </x:c>
      <x:c r="L6336" s="0">
        <x:f>hyperlink("https://icat2.azurewebsites.net/icat/?ontology=ICD&amp;tab=ClassesTab&amp;id=http%3A%2F%2Fwho.int%2Ficd%2337113_512ebf36_bf6b_4d70_85da_cf2637062af4","iCat")</x:f>
      </x:c>
      <x:c r="M6336" s="0" t="s">
        <x:v>21</x:v>
      </x:c>
      <x:c r="N6336" s="0" t="s">
        <x:v>46</x:v>
      </x:c>
    </x:row>
    <x:row r="6337" spans="1:16">
      <x:c r="A6337" s="0" t="s">
        <x:v>25200</x:v>
      </x:c>
      <x:c r="B6337" s="0" t="s">
        <x:v>25201</x:v>
      </x:c>
      <x:c r="C6337" s="0" t="s">
        <x:v>25202</x:v>
      </x:c>
      <x:c r="E6337" s="0" t="s">
        <x:v>25203</x:v>
      </x:c>
      <x:c r="F6337" s="0" t="s">
        <x:v>45</x:v>
      </x:c>
      <x:c r="G6337" s="0" t="s">
        <x:v>19</x:v>
      </x:c>
      <x:c r="H6337" s="0" t="s">
        <x:v>20</x:v>
      </x:c>
      <x:c r="I6337" s="0" t="s">
        <x:v>21</x:v>
      </x:c>
      <x:c r="K6337" s="0">
        <x:f>hyperlink("https://icd.who.int/dev11/l-ichi/en#/http%3A%2F%2Fid.who.int%2Ficd%2Fentity%2F1321228882","browser")</x:f>
      </x:c>
      <x:c r="L6337" s="0">
        <x:f>hyperlink("https://icat2.azurewebsites.net/icat/?ontology=ICD&amp;tab=ClassesTab&amp;id=http%3A%2F%2Fwho.int%2Ficd%2337135_512ebf36_bf6b_4d70_85da_cf2637062af4","iCat")</x:f>
      </x:c>
      <x:c r="M6337" s="0" t="s">
        <x:v>21</x:v>
      </x:c>
      <x:c r="N6337" s="0" t="s">
        <x:v>46</x:v>
      </x:c>
    </x:row>
    <x:row r="6338" spans="1:16">
      <x:c r="A6338" s="0" t="s">
        <x:v>25204</x:v>
      </x:c>
      <x:c r="B6338" s="0" t="s">
        <x:v>25205</x:v>
      </x:c>
      <x:c r="C6338" s="0" t="s">
        <x:v>25206</x:v>
      </x:c>
      <x:c r="E6338" s="0" t="s">
        <x:v>25207</x:v>
      </x:c>
      <x:c r="F6338" s="0" t="s">
        <x:v>45</x:v>
      </x:c>
      <x:c r="G6338" s="0" t="s">
        <x:v>19</x:v>
      </x:c>
      <x:c r="H6338" s="0" t="s">
        <x:v>20</x:v>
      </x:c>
      <x:c r="I6338" s="0" t="s">
        <x:v>21</x:v>
      </x:c>
      <x:c r="K6338" s="0">
        <x:f>hyperlink("https://icd.who.int/dev11/l-ichi/en#/http%3A%2F%2Fid.who.int%2Ficd%2Fentity%2F1259441468","browser")</x:f>
      </x:c>
      <x:c r="L6338" s="0">
        <x:f>hyperlink("https://icat2.azurewebsites.net/icat/?ontology=ICD&amp;tab=ClassesTab&amp;id=http%3A%2F%2Fwho.int%2Ficd%2337141_512ebf36_bf6b_4d70_85da_cf2637062af4","iCat")</x:f>
      </x:c>
      <x:c r="M6338" s="0" t="s">
        <x:v>21</x:v>
      </x:c>
      <x:c r="N6338" s="0" t="s">
        <x:v>46</x:v>
      </x:c>
    </x:row>
    <x:row r="6339" spans="1:16">
      <x:c r="A6339" s="0" t="s">
        <x:v>25208</x:v>
      </x:c>
      <x:c r="B6339" s="0" t="s">
        <x:v>25209</x:v>
      </x:c>
      <x:c r="C6339" s="0" t="s">
        <x:v>25210</x:v>
      </x:c>
      <x:c r="E6339" s="0" t="s">
        <x:v>25211</x:v>
      </x:c>
      <x:c r="F6339" s="0" t="s">
        <x:v>45</x:v>
      </x:c>
      <x:c r="G6339" s="0" t="s">
        <x:v>19</x:v>
      </x:c>
      <x:c r="H6339" s="0" t="s">
        <x:v>20</x:v>
      </x:c>
      <x:c r="I6339" s="0" t="s">
        <x:v>21</x:v>
      </x:c>
      <x:c r="K6339" s="0">
        <x:f>hyperlink("https://icd.who.int/dev11/l-ichi/en#/http%3A%2F%2Fid.who.int%2Ficd%2Fentity%2F349428767","browser")</x:f>
      </x:c>
      <x:c r="L6339" s="0">
        <x:f>hyperlink("https://icat2.azurewebsites.net/icat/?ontology=ICD&amp;tab=ClassesTab&amp;id=http%3A%2F%2Fwho.int%2Ficd%2337155_512ebf36_bf6b_4d70_85da_cf2637062af4","iCat")</x:f>
      </x:c>
      <x:c r="M6339" s="0" t="s">
        <x:v>21</x:v>
      </x:c>
      <x:c r="N6339" s="0" t="s">
        <x:v>46</x:v>
      </x:c>
    </x:row>
    <x:row r="6340" spans="1:16">
      <x:c r="A6340" s="0" t="s">
        <x:v>25212</x:v>
      </x:c>
      <x:c r="B6340" s="0" t="s">
        <x:v>25213</x:v>
      </x:c>
      <x:c r="C6340" s="0" t="s">
        <x:v>25214</x:v>
      </x:c>
      <x:c r="E6340" s="0" t="s">
        <x:v>25215</x:v>
      </x:c>
      <x:c r="F6340" s="0" t="s">
        <x:v>45</x:v>
      </x:c>
      <x:c r="G6340" s="0" t="s">
        <x:v>19</x:v>
      </x:c>
      <x:c r="H6340" s="0" t="s">
        <x:v>20</x:v>
      </x:c>
      <x:c r="I6340" s="0" t="s">
        <x:v>21</x:v>
      </x:c>
      <x:c r="K6340" s="0">
        <x:f>hyperlink("https://icd.who.int/dev11/l-ichi/en#/http%3A%2F%2Fid.who.int%2Ficd%2Fentity%2F618674069","browser")</x:f>
      </x:c>
      <x:c r="L6340" s="0">
        <x:f>hyperlink("https://icat2.azurewebsites.net/icat/?ontology=ICD&amp;tab=ClassesTab&amp;id=http%3A%2F%2Fwho.int%2Ficd%2337162_512ebf36_bf6b_4d70_85da_cf2637062af4","iCat")</x:f>
      </x:c>
      <x:c r="M6340" s="0" t="s">
        <x:v>21</x:v>
      </x:c>
      <x:c r="N6340" s="0" t="s">
        <x:v>46</x:v>
      </x:c>
    </x:row>
    <x:row r="6341" spans="1:16">
      <x:c r="A6341" s="0" t="s">
        <x:v>25216</x:v>
      </x:c>
      <x:c r="B6341" s="0" t="s">
        <x:v>25217</x:v>
      </x:c>
      <x:c r="C6341" s="0" t="s">
        <x:v>25218</x:v>
      </x:c>
      <x:c r="E6341" s="0" t="s">
        <x:v>25219</x:v>
      </x:c>
      <x:c r="F6341" s="0" t="s">
        <x:v>45</x:v>
      </x:c>
      <x:c r="G6341" s="0" t="s">
        <x:v>19</x:v>
      </x:c>
      <x:c r="H6341" s="0" t="s">
        <x:v>20</x:v>
      </x:c>
      <x:c r="I6341" s="0" t="s">
        <x:v>21</x:v>
      </x:c>
      <x:c r="K6341" s="0">
        <x:f>hyperlink("https://icd.who.int/dev11/l-ichi/en#/http%3A%2F%2Fid.who.int%2Ficd%2Fentity%2F1859965184","browser")</x:f>
      </x:c>
      <x:c r="L6341" s="0">
        <x:f>hyperlink("https://icat2.azurewebsites.net/icat/?ontology=ICD&amp;tab=ClassesTab&amp;id=http%3A%2F%2Fwho.int%2Ficd%2337173_512ebf36_bf6b_4d70_85da_cf2637062af4","iCat")</x:f>
      </x:c>
      <x:c r="M6341" s="0" t="s">
        <x:v>21</x:v>
      </x:c>
      <x:c r="N6341" s="0" t="s">
        <x:v>46</x:v>
      </x:c>
    </x:row>
    <x:row r="6342" spans="1:16">
      <x:c r="A6342" s="0" t="s">
        <x:v>25220</x:v>
      </x:c>
      <x:c r="B6342" s="0" t="s">
        <x:v>25221</x:v>
      </x:c>
      <x:c r="C6342" s="0" t="s">
        <x:v>25222</x:v>
      </x:c>
      <x:c r="E6342" s="0" t="s">
        <x:v>25223</x:v>
      </x:c>
      <x:c r="F6342" s="0" t="s">
        <x:v>45</x:v>
      </x:c>
      <x:c r="G6342" s="0" t="s">
        <x:v>19</x:v>
      </x:c>
      <x:c r="H6342" s="0" t="s">
        <x:v>20</x:v>
      </x:c>
      <x:c r="I6342" s="0" t="s">
        <x:v>21</x:v>
      </x:c>
      <x:c r="K6342" s="0">
        <x:f>hyperlink("https://icd.who.int/dev11/l-ichi/en#/http%3A%2F%2Fid.who.int%2Ficd%2Fentity%2F2060458052","browser")</x:f>
      </x:c>
      <x:c r="L6342" s="0">
        <x:f>hyperlink("https://icat2.azurewebsites.net/icat/?ontology=ICD&amp;tab=ClassesTab&amp;id=http%3A%2F%2Fwho.int%2Ficd%2337200_512ebf36_bf6b_4d70_85da_cf2637062af4","iCat")</x:f>
      </x:c>
      <x:c r="M6342" s="0" t="s">
        <x:v>21</x:v>
      </x:c>
      <x:c r="N6342" s="0" t="s">
        <x:v>46</x:v>
      </x:c>
    </x:row>
    <x:row r="6343" spans="1:16">
      <x:c r="A6343" s="0" t="s">
        <x:v>25224</x:v>
      </x:c>
      <x:c r="B6343" s="0" t="s">
        <x:v>25225</x:v>
      </x:c>
      <x:c r="C6343" s="0" t="s">
        <x:v>25226</x:v>
      </x:c>
      <x:c r="E6343" s="0" t="s">
        <x:v>25227</x:v>
      </x:c>
      <x:c r="F6343" s="0" t="s">
        <x:v>45</x:v>
      </x:c>
      <x:c r="G6343" s="0" t="s">
        <x:v>19</x:v>
      </x:c>
      <x:c r="H6343" s="0" t="s">
        <x:v>20</x:v>
      </x:c>
      <x:c r="I6343" s="0" t="s">
        <x:v>21</x:v>
      </x:c>
      <x:c r="K6343" s="0">
        <x:f>hyperlink("https://icd.who.int/dev11/l-ichi/en#/http%3A%2F%2Fid.who.int%2Ficd%2Fentity%2F173192137","browser")</x:f>
      </x:c>
      <x:c r="L6343" s="0">
        <x:f>hyperlink("https://icat2.azurewebsites.net/icat/?ontology=ICD&amp;tab=ClassesTab&amp;id=http%3A%2F%2Fwho.int%2Ficd%2337207_512ebf36_bf6b_4d70_85da_cf2637062af4","iCat")</x:f>
      </x:c>
      <x:c r="M6343" s="0" t="s">
        <x:v>21</x:v>
      </x:c>
      <x:c r="N6343" s="0" t="s">
        <x:v>46</x:v>
      </x:c>
    </x:row>
    <x:row r="6344" spans="1:16">
      <x:c r="A6344" s="0" t="s">
        <x:v>25228</x:v>
      </x:c>
      <x:c r="B6344" s="0" t="s">
        <x:v>25229</x:v>
      </x:c>
      <x:c r="C6344" s="0" t="s">
        <x:v>25230</x:v>
      </x:c>
      <x:c r="E6344" s="0" t="s">
        <x:v>25231</x:v>
      </x:c>
      <x:c r="F6344" s="0" t="s">
        <x:v>45</x:v>
      </x:c>
      <x:c r="G6344" s="0" t="s">
        <x:v>19</x:v>
      </x:c>
      <x:c r="H6344" s="0" t="s">
        <x:v>20</x:v>
      </x:c>
      <x:c r="I6344" s="0" t="s">
        <x:v>21</x:v>
      </x:c>
      <x:c r="K6344" s="0">
        <x:f>hyperlink("https://icd.who.int/dev11/l-ichi/en#/http%3A%2F%2Fid.who.int%2Ficd%2Fentity%2F505789505","browser")</x:f>
      </x:c>
      <x:c r="L6344" s="0">
        <x:f>hyperlink("https://icat2.azurewebsites.net/icat/?ontology=ICD&amp;tab=ClassesTab&amp;id=http%3A%2F%2Fwho.int%2Ficd%2337228_512ebf36_bf6b_4d70_85da_cf2637062af4","iCat")</x:f>
      </x:c>
      <x:c r="M6344" s="0" t="s">
        <x:v>21</x:v>
      </x:c>
      <x:c r="N6344" s="0" t="s">
        <x:v>46</x:v>
      </x:c>
    </x:row>
    <x:row r="6345" spans="1:16">
      <x:c r="A6345" s="0" t="s">
        <x:v>25232</x:v>
      </x:c>
      <x:c r="B6345" s="0" t="s">
        <x:v>25233</x:v>
      </x:c>
      <x:c r="C6345" s="0" t="s">
        <x:v>25234</x:v>
      </x:c>
      <x:c r="E6345" s="0" t="s">
        <x:v>25235</x:v>
      </x:c>
      <x:c r="F6345" s="0" t="s">
        <x:v>45</x:v>
      </x:c>
      <x:c r="G6345" s="0" t="s">
        <x:v>19</x:v>
      </x:c>
      <x:c r="H6345" s="0" t="s">
        <x:v>20</x:v>
      </x:c>
      <x:c r="I6345" s="0" t="s">
        <x:v>21</x:v>
      </x:c>
      <x:c r="K6345" s="0">
        <x:f>hyperlink("https://icd.who.int/dev11/l-ichi/en#/http%3A%2F%2Fid.who.int%2Ficd%2Fentity%2F258382903","browser")</x:f>
      </x:c>
      <x:c r="L6345" s="0">
        <x:f>hyperlink("https://icat2.azurewebsites.net/icat/?ontology=ICD&amp;tab=ClassesTab&amp;id=http%3A%2F%2Fwho.int%2Ficd%2337234_512ebf36_bf6b_4d70_85da_cf2637062af4","iCat")</x:f>
      </x:c>
      <x:c r="M6345" s="0" t="s">
        <x:v>21</x:v>
      </x:c>
      <x:c r="N6345" s="0" t="s">
        <x:v>46</x:v>
      </x:c>
    </x:row>
    <x:row r="6346" spans="1:16">
      <x:c r="A6346" s="0" t="s">
        <x:v>25236</x:v>
      </x:c>
      <x:c r="B6346" s="0" t="s">
        <x:v>25237</x:v>
      </x:c>
      <x:c r="C6346" s="0" t="s">
        <x:v>25238</x:v>
      </x:c>
      <x:c r="E6346" s="0" t="s">
        <x:v>25239</x:v>
      </x:c>
      <x:c r="F6346" s="0" t="s">
        <x:v>45</x:v>
      </x:c>
      <x:c r="G6346" s="0" t="s">
        <x:v>19</x:v>
      </x:c>
      <x:c r="H6346" s="0" t="s">
        <x:v>20</x:v>
      </x:c>
      <x:c r="I6346" s="0" t="s">
        <x:v>21</x:v>
      </x:c>
      <x:c r="K6346" s="0">
        <x:f>hyperlink("https://icd.who.int/dev11/l-ichi/en#/http%3A%2F%2Fid.who.int%2Ficd%2Fentity%2F709769573","browser")</x:f>
      </x:c>
      <x:c r="L6346" s="0">
        <x:f>hyperlink("https://icat2.azurewebsites.net/icat/?ontology=ICD&amp;tab=ClassesTab&amp;id=http%3A%2F%2Fwho.int%2Ficd%2337241_512ebf36_bf6b_4d70_85da_cf2637062af4","iCat")</x:f>
      </x:c>
      <x:c r="M6346" s="0" t="s">
        <x:v>21</x:v>
      </x:c>
      <x:c r="N6346" s="0" t="s">
        <x:v>46</x:v>
      </x:c>
    </x:row>
    <x:row r="6347" spans="1:16">
      <x:c r="A6347" s="0" t="s">
        <x:v>25240</x:v>
      </x:c>
      <x:c r="B6347" s="0" t="s">
        <x:v>25241</x:v>
      </x:c>
      <x:c r="D6347" s="0" t="s">
        <x:v>25242</x:v>
      </x:c>
      <x:c r="E6347" s="0" t="s">
        <x:v>25243</x:v>
      </x:c>
      <x:c r="F6347" s="0" t="s">
        <x:v>26</x:v>
      </x:c>
      <x:c r="G6347" s="0" t="s">
        <x:v>22</x:v>
      </x:c>
      <x:c r="H6347" s="0" t="s">
        <x:v>20</x:v>
      </x:c>
      <x:c r="I6347" s="0" t="s">
        <x:v>21</x:v>
      </x:c>
      <x:c r="K6347" s="0">
        <x:f>hyperlink("https://icd.who.int/dev11/l-ichi/en#/http%3A%2F%2Fid.who.int%2Ficd%2Fentity%2F636989943","browser")</x:f>
      </x:c>
      <x:c r="L6347" s="0">
        <x:f>hyperlink("https://icat2.azurewebsites.net/icat/?ontology=ICD&amp;tab=ClassesTab&amp;id=http%3A%2F%2Fwho.int%2Ficd%2337253_512ebf36_bf6b_4d70_85da_cf2637062af4","iCat")</x:f>
      </x:c>
      <x:c r="M6347" s="0" t="s">
        <x:v>20</x:v>
      </x:c>
      <x:c r="N6347" s="0" t="s">
        <x:v>25244</x:v>
      </x:c>
    </x:row>
    <x:row r="6348" spans="1:16">
      <x:c r="A6348" s="0" t="s">
        <x:v>25245</x:v>
      </x:c>
      <x:c r="B6348" s="0" t="s">
        <x:v>25246</x:v>
      </x:c>
      <x:c r="C6348" s="0" t="s">
        <x:v>25247</x:v>
      </x:c>
      <x:c r="E6348" s="0" t="s">
        <x:v>25248</x:v>
      </x:c>
      <x:c r="F6348" s="0" t="s">
        <x:v>45</x:v>
      </x:c>
      <x:c r="G6348" s="0" t="s">
        <x:v>19</x:v>
      </x:c>
      <x:c r="H6348" s="0" t="s">
        <x:v>20</x:v>
      </x:c>
      <x:c r="I6348" s="0" t="s">
        <x:v>21</x:v>
      </x:c>
      <x:c r="K6348" s="0">
        <x:f>hyperlink("https://icd.who.int/dev11/l-ichi/en#/http%3A%2F%2Fid.who.int%2Ficd%2Fentity%2F84853707","browser")</x:f>
      </x:c>
      <x:c r="L6348" s="0">
        <x:f>hyperlink("https://icat2.azurewebsites.net/icat/?ontology=ICD&amp;tab=ClassesTab&amp;id=http%3A%2F%2Fwho.int%2Ficd%2337252_512ebf36_bf6b_4d70_85da_cf2637062af4","iCat")</x:f>
      </x:c>
      <x:c r="M6348" s="0" t="s">
        <x:v>21</x:v>
      </x:c>
      <x:c r="N6348" s="0" t="s">
        <x:v>46</x:v>
      </x:c>
    </x:row>
    <x:row r="6349" spans="1:16">
      <x:c r="A6349" s="0" t="s">
        <x:v>25249</x:v>
      </x:c>
      <x:c r="B6349" s="0" t="s">
        <x:v>25250</x:v>
      </x:c>
      <x:c r="C6349" s="0" t="s">
        <x:v>25251</x:v>
      </x:c>
      <x:c r="E6349" s="0" t="s">
        <x:v>25252</x:v>
      </x:c>
      <x:c r="F6349" s="0" t="s">
        <x:v>45</x:v>
      </x:c>
      <x:c r="G6349" s="0" t="s">
        <x:v>19</x:v>
      </x:c>
      <x:c r="H6349" s="0" t="s">
        <x:v>20</x:v>
      </x:c>
      <x:c r="I6349" s="0" t="s">
        <x:v>21</x:v>
      </x:c>
      <x:c r="K6349" s="0">
        <x:f>hyperlink("https://icd.who.int/dev11/l-ichi/en#/http%3A%2F%2Fid.who.int%2Ficd%2Fentity%2F1807796758","browser")</x:f>
      </x:c>
      <x:c r="L6349" s="0">
        <x:f>hyperlink("https://icat2.azurewebsites.net/icat/?ontology=ICD&amp;tab=ClassesTab&amp;id=http%3A%2F%2Fwho.int%2Ficd%2399_e02c2df3_77b6_419a_b43f_c4531334dd70","iCat")</x:f>
      </x:c>
      <x:c r="M6349" s="0" t="s">
        <x:v>21</x:v>
      </x:c>
      <x:c r="N6349" s="0" t="s">
        <x:v>46</x:v>
      </x:c>
    </x:row>
    <x:row r="6350" spans="1:16">
      <x:c r="A6350" s="0" t="s">
        <x:v>25253</x:v>
      </x:c>
      <x:c r="B6350" s="0" t="s">
        <x:v>25254</x:v>
      </x:c>
      <x:c r="C6350" s="0" t="s">
        <x:v>25255</x:v>
      </x:c>
      <x:c r="E6350" s="0" t="s">
        <x:v>25256</x:v>
      </x:c>
      <x:c r="F6350" s="0" t="s">
        <x:v>45</x:v>
      </x:c>
      <x:c r="G6350" s="0" t="s">
        <x:v>19</x:v>
      </x:c>
      <x:c r="H6350" s="0" t="s">
        <x:v>20</x:v>
      </x:c>
      <x:c r="I6350" s="0" t="s">
        <x:v>21</x:v>
      </x:c>
      <x:c r="K6350" s="0">
        <x:f>hyperlink("https://icd.who.int/dev11/l-ichi/en#/http%3A%2F%2Fid.who.int%2Ficd%2Fentity%2F256892633","browser")</x:f>
      </x:c>
      <x:c r="L6350" s="0">
        <x:f>hyperlink("https://icat2.azurewebsites.net/icat/?ontology=ICD&amp;tab=ClassesTab&amp;id=http%3A%2F%2Fwho.int%2Ficd%2337300_512ebf36_bf6b_4d70_85da_cf2637062af4","iCat")</x:f>
      </x:c>
      <x:c r="M6350" s="0" t="s">
        <x:v>21</x:v>
      </x:c>
      <x:c r="N6350" s="0" t="s">
        <x:v>46</x:v>
      </x:c>
    </x:row>
    <x:row r="6351" spans="1:16">
      <x:c r="A6351" s="0" t="s">
        <x:v>25257</x:v>
      </x:c>
      <x:c r="B6351" s="0" t="s">
        <x:v>25258</x:v>
      </x:c>
      <x:c r="C6351" s="0" t="s">
        <x:v>25259</x:v>
      </x:c>
      <x:c r="E6351" s="0" t="s">
        <x:v>25260</x:v>
      </x:c>
      <x:c r="F6351" s="0" t="s">
        <x:v>45</x:v>
      </x:c>
      <x:c r="G6351" s="0" t="s">
        <x:v>19</x:v>
      </x:c>
      <x:c r="H6351" s="0" t="s">
        <x:v>20</x:v>
      </x:c>
      <x:c r="I6351" s="0" t="s">
        <x:v>21</x:v>
      </x:c>
      <x:c r="K6351" s="0">
        <x:f>hyperlink("https://icd.who.int/dev11/l-ichi/en#/http%3A%2F%2Fid.who.int%2Ficd%2Fentity%2F193034623","browser")</x:f>
      </x:c>
      <x:c r="L6351" s="0">
        <x:f>hyperlink("https://icat2.azurewebsites.net/icat/?ontology=ICD&amp;tab=ClassesTab&amp;id=http%3A%2F%2Fwho.int%2Ficd%23117_8b79c97d_d531_439a_a326_5a6ff90bf00d","iCat")</x:f>
      </x:c>
      <x:c r="M6351" s="0" t="s">
        <x:v>21</x:v>
      </x:c>
      <x:c r="N6351" s="0" t="s">
        <x:v>46</x:v>
      </x:c>
    </x:row>
    <x:row r="6352" spans="1:16">
      <x:c r="A6352" s="0" t="s">
        <x:v>25261</x:v>
      </x:c>
      <x:c r="B6352" s="0" t="s">
        <x:v>25262</x:v>
      </x:c>
      <x:c r="C6352" s="0" t="s">
        <x:v>25263</x:v>
      </x:c>
      <x:c r="E6352" s="0" t="s">
        <x:v>25264</x:v>
      </x:c>
      <x:c r="F6352" s="0" t="s">
        <x:v>45</x:v>
      </x:c>
      <x:c r="G6352" s="0" t="s">
        <x:v>19</x:v>
      </x:c>
      <x:c r="H6352" s="0" t="s">
        <x:v>20</x:v>
      </x:c>
      <x:c r="I6352" s="0" t="s">
        <x:v>21</x:v>
      </x:c>
      <x:c r="K6352" s="0">
        <x:f>hyperlink("https://icd.who.int/dev11/l-ichi/en#/http%3A%2F%2Fid.who.int%2Ficd%2Fentity%2F2144171348","browser")</x:f>
      </x:c>
      <x:c r="L6352" s="0">
        <x:f>hyperlink("https://icat2.azurewebsites.net/icat/?ontology=ICD&amp;tab=ClassesTab&amp;id=http%3A%2F%2Fwho.int%2Ficd%2337307_512ebf36_bf6b_4d70_85da_cf2637062af4","iCat")</x:f>
      </x:c>
      <x:c r="M6352" s="0" t="s">
        <x:v>21</x:v>
      </x:c>
      <x:c r="N6352" s="0" t="s">
        <x:v>46</x:v>
      </x:c>
    </x:row>
    <x:row r="6353" spans="1:16">
      <x:c r="A6353" s="0" t="s">
        <x:v>25265</x:v>
      </x:c>
      <x:c r="B6353" s="0" t="s">
        <x:v>25266</x:v>
      </x:c>
      <x:c r="C6353" s="0" t="s">
        <x:v>25267</x:v>
      </x:c>
      <x:c r="E6353" s="0" t="s">
        <x:v>25268</x:v>
      </x:c>
      <x:c r="F6353" s="0" t="s">
        <x:v>45</x:v>
      </x:c>
      <x:c r="G6353" s="0" t="s">
        <x:v>19</x:v>
      </x:c>
      <x:c r="H6353" s="0" t="s">
        <x:v>20</x:v>
      </x:c>
      <x:c r="I6353" s="0" t="s">
        <x:v>21</x:v>
      </x:c>
      <x:c r="K6353" s="0">
        <x:f>hyperlink("https://icd.who.int/dev11/l-ichi/en#/http%3A%2F%2Fid.who.int%2Ficd%2Fentity%2F1078400590","browser")</x:f>
      </x:c>
      <x:c r="L6353" s="0">
        <x:f>hyperlink("https://icat2.azurewebsites.net/icat/?ontology=ICD&amp;tab=ClassesTab&amp;id=http%3A%2F%2Fwho.int%2Ficd%2337322_512ebf36_bf6b_4d70_85da_cf2637062af4","iCat")</x:f>
      </x:c>
      <x:c r="M6353" s="0" t="s">
        <x:v>21</x:v>
      </x:c>
      <x:c r="N6353" s="0" t="s">
        <x:v>46</x:v>
      </x:c>
    </x:row>
    <x:row r="6354" spans="1:16">
      <x:c r="A6354" s="0" t="s">
        <x:v>25269</x:v>
      </x:c>
      <x:c r="B6354" s="0" t="s">
        <x:v>25270</x:v>
      </x:c>
      <x:c r="C6354" s="0" t="s">
        <x:v>25271</x:v>
      </x:c>
      <x:c r="E6354" s="0" t="s">
        <x:v>25272</x:v>
      </x:c>
      <x:c r="F6354" s="0" t="s">
        <x:v>45</x:v>
      </x:c>
      <x:c r="G6354" s="0" t="s">
        <x:v>19</x:v>
      </x:c>
      <x:c r="H6354" s="0" t="s">
        <x:v>20</x:v>
      </x:c>
      <x:c r="I6354" s="0" t="s">
        <x:v>21</x:v>
      </x:c>
      <x:c r="K6354" s="0">
        <x:f>hyperlink("https://icd.who.int/dev11/l-ichi/en#/http%3A%2F%2Fid.who.int%2Ficd%2Fentity%2F1262684384","browser")</x:f>
      </x:c>
      <x:c r="L6354" s="0">
        <x:f>hyperlink("https://icat2.azurewebsites.net/icat/?ontology=ICD&amp;tab=ClassesTab&amp;id=http%3A%2F%2Fwho.int%2Ficd%2337329_512ebf36_bf6b_4d70_85da_cf2637062af4","iCat")</x:f>
      </x:c>
      <x:c r="M6354" s="0" t="s">
        <x:v>21</x:v>
      </x:c>
      <x:c r="N6354" s="0" t="s">
        <x:v>46</x:v>
      </x:c>
    </x:row>
    <x:row r="6355" spans="1:16">
      <x:c r="A6355" s="0" t="s">
        <x:v>25273</x:v>
      </x:c>
      <x:c r="B6355" s="0" t="s">
        <x:v>25274</x:v>
      </x:c>
      <x:c r="C6355" s="0" t="s">
        <x:v>25275</x:v>
      </x:c>
      <x:c r="E6355" s="0" t="s">
        <x:v>25276</x:v>
      </x:c>
      <x:c r="F6355" s="0" t="s">
        <x:v>45</x:v>
      </x:c>
      <x:c r="G6355" s="0" t="s">
        <x:v>19</x:v>
      </x:c>
      <x:c r="H6355" s="0" t="s">
        <x:v>20</x:v>
      </x:c>
      <x:c r="I6355" s="0" t="s">
        <x:v>21</x:v>
      </x:c>
      <x:c r="K6355" s="0">
        <x:f>hyperlink("https://icd.who.int/dev11/l-ichi/en#/http%3A%2F%2Fid.who.int%2Ficd%2Fentity%2F2133364164","browser")</x:f>
      </x:c>
      <x:c r="L6355" s="0">
        <x:f>hyperlink("https://icat2.azurewebsites.net/icat/?ontology=ICD&amp;tab=ClassesTab&amp;id=http%3A%2F%2Fwho.int%2Ficd%2337340_512ebf36_bf6b_4d70_85da_cf2637062af4","iCat")</x:f>
      </x:c>
      <x:c r="M6355" s="0" t="s">
        <x:v>21</x:v>
      </x:c>
      <x:c r="N6355" s="0" t="s">
        <x:v>46</x:v>
      </x:c>
    </x:row>
    <x:row r="6356" spans="1:16">
      <x:c r="A6356" s="0" t="s">
        <x:v>25277</x:v>
      </x:c>
      <x:c r="B6356" s="0" t="s">
        <x:v>25278</x:v>
      </x:c>
      <x:c r="C6356" s="0" t="s">
        <x:v>25279</x:v>
      </x:c>
      <x:c r="E6356" s="0" t="s">
        <x:v>25280</x:v>
      </x:c>
      <x:c r="F6356" s="0" t="s">
        <x:v>45</x:v>
      </x:c>
      <x:c r="G6356" s="0" t="s">
        <x:v>19</x:v>
      </x:c>
      <x:c r="H6356" s="0" t="s">
        <x:v>20</x:v>
      </x:c>
      <x:c r="I6356" s="0" t="s">
        <x:v>21</x:v>
      </x:c>
      <x:c r="K6356" s="0">
        <x:f>hyperlink("https://icd.who.int/dev11/l-ichi/en#/http%3A%2F%2Fid.who.int%2Ficd%2Fentity%2F833223825","browser")</x:f>
      </x:c>
      <x:c r="L6356" s="0">
        <x:f>hyperlink("https://icat2.azurewebsites.net/icat/?ontology=ICD&amp;tab=ClassesTab&amp;id=http%3A%2F%2Fwho.int%2Ficd%2337348_512ebf36_bf6b_4d70_85da_cf2637062af4","iCat")</x:f>
      </x:c>
      <x:c r="M6356" s="0" t="s">
        <x:v>21</x:v>
      </x:c>
      <x:c r="N6356" s="0" t="s">
        <x:v>46</x:v>
      </x:c>
    </x:row>
    <x:row r="6357" spans="1:16">
      <x:c r="A6357" s="0" t="s">
        <x:v>25281</x:v>
      </x:c>
      <x:c r="B6357" s="0" t="s">
        <x:v>25282</x:v>
      </x:c>
      <x:c r="C6357" s="0" t="s">
        <x:v>25283</x:v>
      </x:c>
      <x:c r="E6357" s="0" t="s">
        <x:v>25284</x:v>
      </x:c>
      <x:c r="F6357" s="0" t="s">
        <x:v>45</x:v>
      </x:c>
      <x:c r="G6357" s="0" t="s">
        <x:v>19</x:v>
      </x:c>
      <x:c r="H6357" s="0" t="s">
        <x:v>20</x:v>
      </x:c>
      <x:c r="I6357" s="0" t="s">
        <x:v>21</x:v>
      </x:c>
      <x:c r="K6357" s="0">
        <x:f>hyperlink("https://icd.who.int/dev11/l-ichi/en#/http%3A%2F%2Fid.who.int%2Ficd%2Fentity%2F1167507748","browser")</x:f>
      </x:c>
      <x:c r="L6357" s="0">
        <x:f>hyperlink("https://icat2.azurewebsites.net/icat/?ontology=ICD&amp;tab=ClassesTab&amp;id=http%3A%2F%2Fwho.int%2Ficd%2337356_512ebf36_bf6b_4d70_85da_cf2637062af4","iCat")</x:f>
      </x:c>
      <x:c r="M6357" s="0" t="s">
        <x:v>21</x:v>
      </x:c>
      <x:c r="N6357" s="0" t="s">
        <x:v>46</x:v>
      </x:c>
    </x:row>
    <x:row r="6358" spans="1:16">
      <x:c r="A6358" s="0" t="s">
        <x:v>25285</x:v>
      </x:c>
      <x:c r="B6358" s="0" t="s">
        <x:v>25286</x:v>
      </x:c>
      <x:c r="C6358" s="0" t="s">
        <x:v>25287</x:v>
      </x:c>
      <x:c r="E6358" s="0" t="s">
        <x:v>25288</x:v>
      </x:c>
      <x:c r="F6358" s="0" t="s">
        <x:v>45</x:v>
      </x:c>
      <x:c r="G6358" s="0" t="s">
        <x:v>19</x:v>
      </x:c>
      <x:c r="H6358" s="0" t="s">
        <x:v>20</x:v>
      </x:c>
      <x:c r="I6358" s="0" t="s">
        <x:v>21</x:v>
      </x:c>
      <x:c r="K6358" s="0">
        <x:f>hyperlink("https://icd.who.int/dev11/l-ichi/en#/http%3A%2F%2Fid.who.int%2Ficd%2Fentity%2F1616616672","browser")</x:f>
      </x:c>
      <x:c r="L6358" s="0">
        <x:f>hyperlink("https://icat2.azurewebsites.net/icat/?ontology=ICD&amp;tab=ClassesTab&amp;id=http%3A%2F%2Fwho.int%2Ficd%2337364_512ebf36_bf6b_4d70_85da_cf2637062af4","iCat")</x:f>
      </x:c>
      <x:c r="M6358" s="0" t="s">
        <x:v>21</x:v>
      </x:c>
      <x:c r="N6358" s="0" t="s">
        <x:v>46</x:v>
      </x:c>
    </x:row>
    <x:row r="6359" spans="1:16">
      <x:c r="A6359" s="0" t="s">
        <x:v>25289</x:v>
      </x:c>
      <x:c r="B6359" s="0" t="s">
        <x:v>25290</x:v>
      </x:c>
      <x:c r="C6359" s="0" t="s">
        <x:v>25291</x:v>
      </x:c>
      <x:c r="E6359" s="0" t="s">
        <x:v>25292</x:v>
      </x:c>
      <x:c r="F6359" s="0" t="s">
        <x:v>45</x:v>
      </x:c>
      <x:c r="G6359" s="0" t="s">
        <x:v>19</x:v>
      </x:c>
      <x:c r="H6359" s="0" t="s">
        <x:v>20</x:v>
      </x:c>
      <x:c r="I6359" s="0" t="s">
        <x:v>21</x:v>
      </x:c>
      <x:c r="K6359" s="0">
        <x:f>hyperlink("https://icd.who.int/dev11/l-ichi/en#/http%3A%2F%2Fid.who.int%2Ficd%2Fentity%2F526434303","browser")</x:f>
      </x:c>
      <x:c r="L6359" s="0">
        <x:f>hyperlink("https://icat2.azurewebsites.net/icat/?ontology=ICD&amp;tab=ClassesTab&amp;id=http%3A%2F%2Fwho.int%2Ficd%2337371_512ebf36_bf6b_4d70_85da_cf2637062af4","iCat")</x:f>
      </x:c>
      <x:c r="M6359" s="0" t="s">
        <x:v>21</x:v>
      </x:c>
      <x:c r="N6359" s="0" t="s">
        <x:v>46</x:v>
      </x:c>
    </x:row>
    <x:row r="6360" spans="1:16">
      <x:c r="A6360" s="0" t="s">
        <x:v>25293</x:v>
      </x:c>
      <x:c r="B6360" s="0" t="s">
        <x:v>25294</x:v>
      </x:c>
      <x:c r="C6360" s="0" t="s">
        <x:v>25295</x:v>
      </x:c>
      <x:c r="E6360" s="0" t="s">
        <x:v>25296</x:v>
      </x:c>
      <x:c r="F6360" s="0" t="s">
        <x:v>45</x:v>
      </x:c>
      <x:c r="G6360" s="0" t="s">
        <x:v>19</x:v>
      </x:c>
      <x:c r="H6360" s="0" t="s">
        <x:v>20</x:v>
      </x:c>
      <x:c r="I6360" s="0" t="s">
        <x:v>21</x:v>
      </x:c>
      <x:c r="K6360" s="0">
        <x:f>hyperlink("https://icd.who.int/dev11/l-ichi/en#/http%3A%2F%2Fid.who.int%2Ficd%2Fentity%2F1963104986","browser")</x:f>
      </x:c>
      <x:c r="L6360" s="0">
        <x:f>hyperlink("https://icat2.azurewebsites.net/icat/?ontology=ICD&amp;tab=ClassesTab&amp;id=http%3A%2F%2Fwho.int%2Ficd%2337382_512ebf36_bf6b_4d70_85da_cf2637062af4","iCat")</x:f>
      </x:c>
      <x:c r="M6360" s="0" t="s">
        <x:v>21</x:v>
      </x:c>
      <x:c r="N6360" s="0" t="s">
        <x:v>46</x:v>
      </x:c>
    </x:row>
    <x:row r="6361" spans="1:16">
      <x:c r="A6361" s="0" t="s">
        <x:v>25297</x:v>
      </x:c>
      <x:c r="B6361" s="0" t="s">
        <x:v>25298</x:v>
      </x:c>
      <x:c r="C6361" s="0" t="s">
        <x:v>25299</x:v>
      </x:c>
      <x:c r="E6361" s="0" t="s">
        <x:v>25300</x:v>
      </x:c>
      <x:c r="F6361" s="0" t="s">
        <x:v>45</x:v>
      </x:c>
      <x:c r="G6361" s="0" t="s">
        <x:v>19</x:v>
      </x:c>
      <x:c r="H6361" s="0" t="s">
        <x:v>20</x:v>
      </x:c>
      <x:c r="I6361" s="0" t="s">
        <x:v>21</x:v>
      </x:c>
      <x:c r="K6361" s="0">
        <x:f>hyperlink("https://icd.who.int/dev11/l-ichi/en#/http%3A%2F%2Fid.who.int%2Ficd%2Fentity%2F1514299510","browser")</x:f>
      </x:c>
      <x:c r="L6361" s="0">
        <x:f>hyperlink("https://icat2.azurewebsites.net/icat/?ontology=ICD&amp;tab=ClassesTab&amp;id=http%3A%2F%2Fwho.int%2Ficd%2337391_512ebf36_bf6b_4d70_85da_cf2637062af4","iCat")</x:f>
      </x:c>
      <x:c r="M6361" s="0" t="s">
        <x:v>21</x:v>
      </x:c>
      <x:c r="N6361" s="0" t="s">
        <x:v>46</x:v>
      </x:c>
    </x:row>
    <x:row r="6362" spans="1:16">
      <x:c r="A6362" s="0" t="s">
        <x:v>25301</x:v>
      </x:c>
      <x:c r="B6362" s="0" t="s">
        <x:v>25302</x:v>
      </x:c>
      <x:c r="C6362" s="0" t="s">
        <x:v>25303</x:v>
      </x:c>
      <x:c r="E6362" s="0" t="s">
        <x:v>25304</x:v>
      </x:c>
      <x:c r="F6362" s="0" t="s">
        <x:v>45</x:v>
      </x:c>
      <x:c r="G6362" s="0" t="s">
        <x:v>19</x:v>
      </x:c>
      <x:c r="H6362" s="0" t="s">
        <x:v>20</x:v>
      </x:c>
      <x:c r="I6362" s="0" t="s">
        <x:v>21</x:v>
      </x:c>
      <x:c r="K6362" s="0">
        <x:f>hyperlink("https://icd.who.int/dev11/l-ichi/en#/http%3A%2F%2Fid.who.int%2Ficd%2Fentity%2F348328227","browser")</x:f>
      </x:c>
      <x:c r="L6362" s="0">
        <x:f>hyperlink("https://icat2.azurewebsites.net/icat/?ontology=ICD&amp;tab=ClassesTab&amp;id=http%3A%2F%2Fwho.int%2Ficd%2337399_512ebf36_bf6b_4d70_85da_cf2637062af4","iCat")</x:f>
      </x:c>
      <x:c r="M6362" s="0" t="s">
        <x:v>21</x:v>
      </x:c>
      <x:c r="N6362" s="0" t="s">
        <x:v>46</x:v>
      </x:c>
    </x:row>
    <x:row r="6363" spans="1:16">
      <x:c r="A6363" s="0" t="s">
        <x:v>25305</x:v>
      </x:c>
      <x:c r="B6363" s="0" t="s">
        <x:v>25306</x:v>
      </x:c>
      <x:c r="C6363" s="0" t="s">
        <x:v>25307</x:v>
      </x:c>
      <x:c r="E6363" s="0" t="s">
        <x:v>25308</x:v>
      </x:c>
      <x:c r="F6363" s="0" t="s">
        <x:v>45</x:v>
      </x:c>
      <x:c r="G6363" s="0" t="s">
        <x:v>19</x:v>
      </x:c>
      <x:c r="H6363" s="0" t="s">
        <x:v>20</x:v>
      </x:c>
      <x:c r="I6363" s="0" t="s">
        <x:v>21</x:v>
      </x:c>
      <x:c r="K6363" s="0">
        <x:f>hyperlink("https://icd.who.int/dev11/l-ichi/en#/http%3A%2F%2Fid.who.int%2Ficd%2Fentity%2F862301956","browser")</x:f>
      </x:c>
      <x:c r="L6363" s="0">
        <x:f>hyperlink("https://icat2.azurewebsites.net/icat/?ontology=ICD&amp;tab=ClassesTab&amp;id=http%3A%2F%2Fwho.int%2Ficd%2337406_512ebf36_bf6b_4d70_85da_cf2637062af4","iCat")</x:f>
      </x:c>
      <x:c r="M6363" s="0" t="s">
        <x:v>21</x:v>
      </x:c>
      <x:c r="N6363" s="0" t="s">
        <x:v>46</x:v>
      </x:c>
    </x:row>
    <x:row r="6364" spans="1:16">
      <x:c r="A6364" s="0" t="s">
        <x:v>25309</x:v>
      </x:c>
      <x:c r="B6364" s="0" t="s">
        <x:v>25310</x:v>
      </x:c>
      <x:c r="C6364" s="0" t="s">
        <x:v>25311</x:v>
      </x:c>
      <x:c r="E6364" s="0" t="s">
        <x:v>25312</x:v>
      </x:c>
      <x:c r="F6364" s="0" t="s">
        <x:v>45</x:v>
      </x:c>
      <x:c r="G6364" s="0" t="s">
        <x:v>19</x:v>
      </x:c>
      <x:c r="H6364" s="0" t="s">
        <x:v>20</x:v>
      </x:c>
      <x:c r="I6364" s="0" t="s">
        <x:v>21</x:v>
      </x:c>
      <x:c r="K6364" s="0">
        <x:f>hyperlink("https://icd.who.int/dev11/l-ichi/en#/http%3A%2F%2Fid.who.int%2Ficd%2Fentity%2F2035894383","browser")</x:f>
      </x:c>
      <x:c r="L6364" s="0">
        <x:f>hyperlink("https://icat2.azurewebsites.net/icat/?ontology=ICD&amp;tab=ClassesTab&amp;id=http%3A%2F%2Fwho.int%2Ficd%2337417_512ebf36_bf6b_4d70_85da_cf2637062af4","iCat")</x:f>
      </x:c>
      <x:c r="M6364" s="0" t="s">
        <x:v>21</x:v>
      </x:c>
      <x:c r="N6364" s="0" t="s">
        <x:v>46</x:v>
      </x:c>
    </x:row>
    <x:row r="6365" spans="1:16">
      <x:c r="A6365" s="0" t="s">
        <x:v>25313</x:v>
      </x:c>
      <x:c r="B6365" s="0" t="s">
        <x:v>25314</x:v>
      </x:c>
      <x:c r="C6365" s="0" t="s">
        <x:v>25315</x:v>
      </x:c>
      <x:c r="E6365" s="0" t="s">
        <x:v>25316</x:v>
      </x:c>
      <x:c r="F6365" s="0" t="s">
        <x:v>45</x:v>
      </x:c>
      <x:c r="G6365" s="0" t="s">
        <x:v>19</x:v>
      </x:c>
      <x:c r="H6365" s="0" t="s">
        <x:v>20</x:v>
      </x:c>
      <x:c r="I6365" s="0" t="s">
        <x:v>21</x:v>
      </x:c>
      <x:c r="K6365" s="0">
        <x:f>hyperlink("https://icd.who.int/dev11/l-ichi/en#/http%3A%2F%2Fid.who.int%2Ficd%2Fentity%2F1305949659","browser")</x:f>
      </x:c>
      <x:c r="L6365" s="0">
        <x:f>hyperlink("https://icat2.azurewebsites.net/icat/?ontology=ICD&amp;tab=ClassesTab&amp;id=http%3A%2F%2Fwho.int%2Ficd%2337439_512ebf36_bf6b_4d70_85da_cf2637062af4","iCat")</x:f>
      </x:c>
      <x:c r="M6365" s="0" t="s">
        <x:v>21</x:v>
      </x:c>
      <x:c r="N6365" s="0" t="s">
        <x:v>46</x:v>
      </x:c>
    </x:row>
    <x:row r="6366" spans="1:16">
      <x:c r="A6366" s="0" t="s">
        <x:v>25317</x:v>
      </x:c>
      <x:c r="B6366" s="0" t="s">
        <x:v>25318</x:v>
      </x:c>
      <x:c r="C6366" s="0" t="s">
        <x:v>25319</x:v>
      </x:c>
      <x:c r="E6366" s="0" t="s">
        <x:v>25320</x:v>
      </x:c>
      <x:c r="F6366" s="0" t="s">
        <x:v>45</x:v>
      </x:c>
      <x:c r="G6366" s="0" t="s">
        <x:v>19</x:v>
      </x:c>
      <x:c r="H6366" s="0" t="s">
        <x:v>20</x:v>
      </x:c>
      <x:c r="I6366" s="0" t="s">
        <x:v>21</x:v>
      </x:c>
      <x:c r="K6366" s="0">
        <x:f>hyperlink("https://icd.who.int/dev11/l-ichi/en#/http%3A%2F%2Fid.who.int%2Ficd%2Fentity%2F569748527","browser")</x:f>
      </x:c>
      <x:c r="L6366" s="0">
        <x:f>hyperlink("https://icat2.azurewebsites.net/icat/?ontology=ICD&amp;tab=ClassesTab&amp;id=http%3A%2F%2Fwho.int%2Ficd%23137_8b79c97d_d531_439a_a326_5a6ff90bf00d","iCat")</x:f>
      </x:c>
      <x:c r="M6366" s="0" t="s">
        <x:v>21</x:v>
      </x:c>
      <x:c r="N6366" s="0" t="s">
        <x:v>46</x:v>
      </x:c>
    </x:row>
    <x:row r="6367" spans="1:16">
      <x:c r="A6367" s="0" t="s">
        <x:v>25321</x:v>
      </x:c>
      <x:c r="B6367" s="0" t="s">
        <x:v>25322</x:v>
      </x:c>
      <x:c r="C6367" s="0" t="s">
        <x:v>25323</x:v>
      </x:c>
      <x:c r="E6367" s="0" t="s">
        <x:v>25324</x:v>
      </x:c>
      <x:c r="F6367" s="0" t="s">
        <x:v>45</x:v>
      </x:c>
      <x:c r="G6367" s="0" t="s">
        <x:v>19</x:v>
      </x:c>
      <x:c r="H6367" s="0" t="s">
        <x:v>20</x:v>
      </x:c>
      <x:c r="I6367" s="0" t="s">
        <x:v>21</x:v>
      </x:c>
      <x:c r="K6367" s="0">
        <x:f>hyperlink("https://icd.who.int/dev11/l-ichi/en#/http%3A%2F%2Fid.who.int%2Ficd%2Fentity%2F1677430309","browser")</x:f>
      </x:c>
      <x:c r="L6367" s="0">
        <x:f>hyperlink("https://icat2.azurewebsites.net/icat/?ontology=ICD&amp;tab=ClassesTab&amp;id=http%3A%2F%2Fwho.int%2Ficd%2337447_512ebf36_bf6b_4d70_85da_cf2637062af4","iCat")</x:f>
      </x:c>
      <x:c r="M6367" s="0" t="s">
        <x:v>21</x:v>
      </x:c>
      <x:c r="N6367" s="0" t="s">
        <x:v>46</x:v>
      </x:c>
    </x:row>
    <x:row r="6368" spans="1:16">
      <x:c r="A6368" s="0" t="s">
        <x:v>25325</x:v>
      </x:c>
      <x:c r="B6368" s="0" t="s">
        <x:v>25326</x:v>
      </x:c>
      <x:c r="C6368" s="0" t="s">
        <x:v>25327</x:v>
      </x:c>
      <x:c r="E6368" s="0" t="s">
        <x:v>25328</x:v>
      </x:c>
      <x:c r="F6368" s="0" t="s">
        <x:v>45</x:v>
      </x:c>
      <x:c r="G6368" s="0" t="s">
        <x:v>19</x:v>
      </x:c>
      <x:c r="H6368" s="0" t="s">
        <x:v>20</x:v>
      </x:c>
      <x:c r="I6368" s="0" t="s">
        <x:v>21</x:v>
      </x:c>
      <x:c r="K6368" s="0">
        <x:f>hyperlink("https://icd.who.int/dev11/l-ichi/en#/http%3A%2F%2Fid.who.int%2Ficd%2Fentity%2F1287353483","browser")</x:f>
      </x:c>
      <x:c r="L6368" s="0">
        <x:f>hyperlink("https://icat2.azurewebsites.net/icat/?ontology=ICD&amp;tab=ClassesTab&amp;id=http%3A%2F%2Fwho.int%2Ficd%2337454_512ebf36_bf6b_4d70_85da_cf2637062af4","iCat")</x:f>
      </x:c>
      <x:c r="M6368" s="0" t="s">
        <x:v>21</x:v>
      </x:c>
      <x:c r="N6368" s="0" t="s">
        <x:v>46</x:v>
      </x:c>
    </x:row>
    <x:row r="6369" spans="1:16">
      <x:c r="A6369" s="0" t="s">
        <x:v>25329</x:v>
      </x:c>
      <x:c r="B6369" s="0" t="s">
        <x:v>25330</x:v>
      </x:c>
      <x:c r="C6369" s="0" t="s">
        <x:v>25331</x:v>
      </x:c>
      <x:c r="E6369" s="0" t="s">
        <x:v>25332</x:v>
      </x:c>
      <x:c r="F6369" s="0" t="s">
        <x:v>45</x:v>
      </x:c>
      <x:c r="G6369" s="0" t="s">
        <x:v>19</x:v>
      </x:c>
      <x:c r="H6369" s="0" t="s">
        <x:v>20</x:v>
      </x:c>
      <x:c r="I6369" s="0" t="s">
        <x:v>21</x:v>
      </x:c>
      <x:c r="K6369" s="0">
        <x:f>hyperlink("https://icd.who.int/dev11/l-ichi/en#/http%3A%2F%2Fid.who.int%2Ficd%2Fentity%2F754140848","browser")</x:f>
      </x:c>
      <x:c r="L6369" s="0">
        <x:f>hyperlink("https://icat2.azurewebsites.net/icat/?ontology=ICD&amp;tab=ClassesTab&amp;id=http%3A%2F%2Fwho.int%2Ficd%2337465_512ebf36_bf6b_4d70_85da_cf2637062af4","iCat")</x:f>
      </x:c>
      <x:c r="M6369" s="0" t="s">
        <x:v>21</x:v>
      </x:c>
      <x:c r="N6369" s="0" t="s">
        <x:v>46</x:v>
      </x:c>
    </x:row>
    <x:row r="6370" spans="1:16">
      <x:c r="A6370" s="0" t="s">
        <x:v>25333</x:v>
      </x:c>
      <x:c r="B6370" s="0" t="s">
        <x:v>25334</x:v>
      </x:c>
      <x:c r="C6370" s="0" t="s">
        <x:v>25335</x:v>
      </x:c>
      <x:c r="E6370" s="0" t="s">
        <x:v>25336</x:v>
      </x:c>
      <x:c r="F6370" s="0" t="s">
        <x:v>45</x:v>
      </x:c>
      <x:c r="G6370" s="0" t="s">
        <x:v>19</x:v>
      </x:c>
      <x:c r="H6370" s="0" t="s">
        <x:v>20</x:v>
      </x:c>
      <x:c r="I6370" s="0" t="s">
        <x:v>21</x:v>
      </x:c>
      <x:c r="K6370" s="0">
        <x:f>hyperlink("https://icd.who.int/dev11/l-ichi/en#/http%3A%2F%2Fid.who.int%2Ficd%2Fentity%2F1399838175","browser")</x:f>
      </x:c>
      <x:c r="L6370" s="0">
        <x:f>hyperlink("https://icat2.azurewebsites.net/icat/?ontology=ICD&amp;tab=ClassesTab&amp;id=http%3A%2F%2Fwho.int%2Ficd%2337493_512ebf36_bf6b_4d70_85da_cf2637062af4","iCat")</x:f>
      </x:c>
      <x:c r="M6370" s="0" t="s">
        <x:v>21</x:v>
      </x:c>
      <x:c r="N6370" s="0" t="s">
        <x:v>46</x:v>
      </x:c>
    </x:row>
    <x:row r="6371" spans="1:16">
      <x:c r="A6371" s="0" t="s">
        <x:v>25337</x:v>
      </x:c>
      <x:c r="B6371" s="0" t="s">
        <x:v>25338</x:v>
      </x:c>
      <x:c r="C6371" s="0" t="s">
        <x:v>25339</x:v>
      </x:c>
      <x:c r="E6371" s="0" t="s">
        <x:v>25340</x:v>
      </x:c>
      <x:c r="F6371" s="0" t="s">
        <x:v>45</x:v>
      </x:c>
      <x:c r="G6371" s="0" t="s">
        <x:v>19</x:v>
      </x:c>
      <x:c r="H6371" s="0" t="s">
        <x:v>20</x:v>
      </x:c>
      <x:c r="I6371" s="0" t="s">
        <x:v>21</x:v>
      </x:c>
      <x:c r="K6371" s="0">
        <x:f>hyperlink("https://icd.who.int/dev11/l-ichi/en#/http%3A%2F%2Fid.who.int%2Ficd%2Fentity%2F377597994","browser")</x:f>
      </x:c>
      <x:c r="L6371" s="0">
        <x:f>hyperlink("https://icat2.azurewebsites.net/icat/?ontology=ICD&amp;tab=ClassesTab&amp;id=http%3A%2F%2Fwho.int%2Ficd%2337500_512ebf36_bf6b_4d70_85da_cf2637062af4","iCat")</x:f>
      </x:c>
      <x:c r="M6371" s="0" t="s">
        <x:v>21</x:v>
      </x:c>
      <x:c r="N6371" s="0" t="s">
        <x:v>46</x:v>
      </x:c>
    </x:row>
    <x:row r="6372" spans="1:16">
      <x:c r="A6372" s="0" t="s">
        <x:v>25341</x:v>
      </x:c>
      <x:c r="B6372" s="0" t="s">
        <x:v>25342</x:v>
      </x:c>
      <x:c r="C6372" s="0" t="s">
        <x:v>25343</x:v>
      </x:c>
      <x:c r="E6372" s="0" t="s">
        <x:v>25344</x:v>
      </x:c>
      <x:c r="F6372" s="0" t="s">
        <x:v>45</x:v>
      </x:c>
      <x:c r="G6372" s="0" t="s">
        <x:v>19</x:v>
      </x:c>
      <x:c r="H6372" s="0" t="s">
        <x:v>20</x:v>
      </x:c>
      <x:c r="I6372" s="0" t="s">
        <x:v>21</x:v>
      </x:c>
      <x:c r="K6372" s="0">
        <x:f>hyperlink("https://icd.who.int/dev11/l-ichi/en#/http%3A%2F%2Fid.who.int%2Ficd%2Fentity%2F1555912515","browser")</x:f>
      </x:c>
      <x:c r="L6372" s="0">
        <x:f>hyperlink("https://icat2.azurewebsites.net/icat/?ontology=ICD&amp;tab=ClassesTab&amp;id=http%3A%2F%2Fwho.int%2Ficd%2337511_512ebf36_bf6b_4d70_85da_cf2637062af4","iCat")</x:f>
      </x:c>
      <x:c r="M6372" s="0" t="s">
        <x:v>21</x:v>
      </x:c>
      <x:c r="N6372" s="0" t="s">
        <x:v>46</x:v>
      </x:c>
    </x:row>
    <x:row r="6373" spans="1:16">
      <x:c r="A6373" s="0" t="s">
        <x:v>25345</x:v>
      </x:c>
      <x:c r="B6373" s="0" t="s">
        <x:v>25346</x:v>
      </x:c>
      <x:c r="C6373" s="0" t="s">
        <x:v>25347</x:v>
      </x:c>
      <x:c r="E6373" s="0" t="s">
        <x:v>25348</x:v>
      </x:c>
      <x:c r="F6373" s="0" t="s">
        <x:v>45</x:v>
      </x:c>
      <x:c r="G6373" s="0" t="s">
        <x:v>19</x:v>
      </x:c>
      <x:c r="H6373" s="0" t="s">
        <x:v>20</x:v>
      </x:c>
      <x:c r="I6373" s="0" t="s">
        <x:v>21</x:v>
      </x:c>
      <x:c r="K6373" s="0">
        <x:f>hyperlink("https://icd.who.int/dev11/l-ichi/en#/http%3A%2F%2Fid.who.int%2Ficd%2Fentity%2F214339316","browser")</x:f>
      </x:c>
      <x:c r="L6373" s="0">
        <x:f>hyperlink("https://icat2.azurewebsites.net/icat/?ontology=ICD&amp;tab=ClassesTab&amp;id=http%3A%2F%2Fwho.int%2Ficd%2337517_512ebf36_bf6b_4d70_85da_cf2637062af4","iCat")</x:f>
      </x:c>
      <x:c r="M6373" s="0" t="s">
        <x:v>21</x:v>
      </x:c>
      <x:c r="N6373" s="0" t="s">
        <x:v>46</x:v>
      </x:c>
    </x:row>
    <x:row r="6374" spans="1:16">
      <x:c r="A6374" s="0" t="s">
        <x:v>25349</x:v>
      </x:c>
      <x:c r="B6374" s="0" t="s">
        <x:v>25350</x:v>
      </x:c>
      <x:c r="C6374" s="0" t="s">
        <x:v>25351</x:v>
      </x:c>
      <x:c r="E6374" s="0" t="s">
        <x:v>25352</x:v>
      </x:c>
      <x:c r="F6374" s="0" t="s">
        <x:v>45</x:v>
      </x:c>
      <x:c r="G6374" s="0" t="s">
        <x:v>19</x:v>
      </x:c>
      <x:c r="H6374" s="0" t="s">
        <x:v>20</x:v>
      </x:c>
      <x:c r="I6374" s="0" t="s">
        <x:v>21</x:v>
      </x:c>
      <x:c r="K6374" s="0">
        <x:f>hyperlink("https://icd.who.int/dev11/l-ichi/en#/http%3A%2F%2Fid.who.int%2Ficd%2Fentity%2F166895886","browser")</x:f>
      </x:c>
      <x:c r="L6374" s="0">
        <x:f>hyperlink("https://icat2.azurewebsites.net/icat/?ontology=ICD&amp;tab=ClassesTab&amp;id=http%3A%2F%2Fwho.int%2Ficd%2337524_512ebf36_bf6b_4d70_85da_cf2637062af4","iCat")</x:f>
      </x:c>
      <x:c r="M6374" s="0" t="s">
        <x:v>21</x:v>
      </x:c>
      <x:c r="N6374" s="0" t="s">
        <x:v>46</x:v>
      </x:c>
    </x:row>
    <x:row r="6375" spans="1:16">
      <x:c r="A6375" s="0" t="s">
        <x:v>25353</x:v>
      </x:c>
      <x:c r="B6375" s="0" t="s">
        <x:v>25354</x:v>
      </x:c>
      <x:c r="D6375" s="0" t="s">
        <x:v>25355</x:v>
      </x:c>
      <x:c r="E6375" s="0" t="s">
        <x:v>25356</x:v>
      </x:c>
      <x:c r="F6375" s="0" t="s">
        <x:v>26</x:v>
      </x:c>
      <x:c r="G6375" s="0" t="s">
        <x:v>22</x:v>
      </x:c>
      <x:c r="H6375" s="0" t="s">
        <x:v>20</x:v>
      </x:c>
      <x:c r="I6375" s="0" t="s">
        <x:v>21</x:v>
      </x:c>
      <x:c r="K6375" s="0">
        <x:f>hyperlink("https://icd.who.int/dev11/l-ichi/en#/http%3A%2F%2Fid.who.int%2Ficd%2Fentity%2F105589152","browser")</x:f>
      </x:c>
      <x:c r="L6375" s="0">
        <x:f>hyperlink("https://icat2.azurewebsites.net/icat/?ontology=ICD&amp;tab=ClassesTab&amp;id=http%3A%2F%2Fwho.int%2Ficd%2337536_512ebf36_bf6b_4d70_85da_cf2637062af4","iCat")</x:f>
      </x:c>
      <x:c r="M6375" s="0" t="s">
        <x:v>20</x:v>
      </x:c>
      <x:c r="N6375" s="0" t="s">
        <x:v>35</x:v>
      </x:c>
    </x:row>
    <x:row r="6376" spans="1:16">
      <x:c r="A6376" s="0" t="s">
        <x:v>25357</x:v>
      </x:c>
      <x:c r="B6376" s="0" t="s">
        <x:v>25358</x:v>
      </x:c>
      <x:c r="C6376" s="0" t="s">
        <x:v>25359</x:v>
      </x:c>
      <x:c r="E6376" s="0" t="s">
        <x:v>25360</x:v>
      </x:c>
      <x:c r="F6376" s="0" t="s">
        <x:v>45</x:v>
      </x:c>
      <x:c r="G6376" s="0" t="s">
        <x:v>19</x:v>
      </x:c>
      <x:c r="H6376" s="0" t="s">
        <x:v>20</x:v>
      </x:c>
      <x:c r="I6376" s="0" t="s">
        <x:v>21</x:v>
      </x:c>
      <x:c r="K6376" s="0">
        <x:f>hyperlink("https://icd.who.int/dev11/l-ichi/en#/http%3A%2F%2Fid.who.int%2Ficd%2Fentity%2F375670970","browser")</x:f>
      </x:c>
      <x:c r="L6376" s="0">
        <x:f>hyperlink("https://icat2.azurewebsites.net/icat/?ontology=ICD&amp;tab=ClassesTab&amp;id=http%3A%2F%2Fwho.int%2Ficd%2337547_512ebf36_bf6b_4d70_85da_cf2637062af4","iCat")</x:f>
      </x:c>
      <x:c r="M6376" s="0" t="s">
        <x:v>21</x:v>
      </x:c>
      <x:c r="N6376" s="0" t="s">
        <x:v>46</x:v>
      </x:c>
    </x:row>
    <x:row r="6377" spans="1:16">
      <x:c r="A6377" s="0" t="s">
        <x:v>25361</x:v>
      </x:c>
      <x:c r="B6377" s="0" t="s">
        <x:v>25362</x:v>
      </x:c>
      <x:c r="C6377" s="0" t="s">
        <x:v>25363</x:v>
      </x:c>
      <x:c r="E6377" s="0" t="s">
        <x:v>25364</x:v>
      </x:c>
      <x:c r="F6377" s="0" t="s">
        <x:v>45</x:v>
      </x:c>
      <x:c r="G6377" s="0" t="s">
        <x:v>19</x:v>
      </x:c>
      <x:c r="H6377" s="0" t="s">
        <x:v>20</x:v>
      </x:c>
      <x:c r="I6377" s="0" t="s">
        <x:v>21</x:v>
      </x:c>
      <x:c r="K6377" s="0">
        <x:f>hyperlink("https://icd.who.int/dev11/l-ichi/en#/http%3A%2F%2Fid.who.int%2Ficd%2Fentity%2F1235622299","browser")</x:f>
      </x:c>
      <x:c r="L6377" s="0">
        <x:f>hyperlink("https://icat2.azurewebsites.net/icat/?ontology=ICD&amp;tab=ClassesTab&amp;id=http%3A%2F%2Fwho.int%2Ficd%2337553_512ebf36_bf6b_4d70_85da_cf2637062af4","iCat")</x:f>
      </x:c>
      <x:c r="M6377" s="0" t="s">
        <x:v>21</x:v>
      </x:c>
      <x:c r="N6377" s="0" t="s">
        <x:v>46</x:v>
      </x:c>
    </x:row>
    <x:row r="6378" spans="1:16">
      <x:c r="A6378" s="0" t="s">
        <x:v>25365</x:v>
      </x:c>
      <x:c r="B6378" s="0" t="s">
        <x:v>25366</x:v>
      </x:c>
      <x:c r="C6378" s="0" t="s">
        <x:v>25367</x:v>
      </x:c>
      <x:c r="E6378" s="0" t="s">
        <x:v>25368</x:v>
      </x:c>
      <x:c r="F6378" s="0" t="s">
        <x:v>45</x:v>
      </x:c>
      <x:c r="G6378" s="0" t="s">
        <x:v>19</x:v>
      </x:c>
      <x:c r="H6378" s="0" t="s">
        <x:v>20</x:v>
      </x:c>
      <x:c r="I6378" s="0" t="s">
        <x:v>21</x:v>
      </x:c>
      <x:c r="K6378" s="0">
        <x:f>hyperlink("https://icd.who.int/dev11/l-ichi/en#/http%3A%2F%2Fid.who.int%2Ficd%2Fentity%2F1650160907","browser")</x:f>
      </x:c>
      <x:c r="L6378" s="0">
        <x:f>hyperlink("https://icat2.azurewebsites.net/icat/?ontology=ICD&amp;tab=ClassesTab&amp;id=http%3A%2F%2Fwho.int%2Ficd%2337559_512ebf36_bf6b_4d70_85da_cf2637062af4","iCat")</x:f>
      </x:c>
      <x:c r="M6378" s="0" t="s">
        <x:v>21</x:v>
      </x:c>
      <x:c r="N6378" s="0" t="s">
        <x:v>46</x:v>
      </x:c>
    </x:row>
    <x:row r="6379" spans="1:16">
      <x:c r="A6379" s="0" t="s">
        <x:v>25369</x:v>
      </x:c>
      <x:c r="B6379" s="0" t="s">
        <x:v>25370</x:v>
      </x:c>
      <x:c r="D6379" s="0" t="s">
        <x:v>25371</x:v>
      </x:c>
      <x:c r="E6379" s="0" t="s">
        <x:v>25372</x:v>
      </x:c>
      <x:c r="F6379" s="0" t="s">
        <x:v>26</x:v>
      </x:c>
      <x:c r="G6379" s="0" t="s">
        <x:v>22</x:v>
      </x:c>
      <x:c r="H6379" s="0" t="s">
        <x:v>20</x:v>
      </x:c>
      <x:c r="I6379" s="0" t="s">
        <x:v>21</x:v>
      </x:c>
      <x:c r="K6379" s="0">
        <x:f>hyperlink("https://icd.who.int/dev11/l-ichi/en#/http%3A%2F%2Fid.who.int%2Ficd%2Fentity%2F485093334","browser")</x:f>
      </x:c>
      <x:c r="L6379" s="0">
        <x:f>hyperlink("https://icat2.azurewebsites.net/icat/?ontology=ICD&amp;tab=ClassesTab&amp;id=http%3A%2F%2Fwho.int%2Ficd%2337566_512ebf36_bf6b_4d70_85da_cf2637062af4","iCat")</x:f>
      </x:c>
      <x:c r="M6379" s="0" t="s">
        <x:v>20</x:v>
      </x:c>
      <x:c r="N6379" s="0" t="s">
        <x:v>7190</x:v>
      </x:c>
    </x:row>
    <x:row r="6380" spans="1:16">
      <x:c r="A6380" s="0" t="s">
        <x:v>25373</x:v>
      </x:c>
      <x:c r="B6380" s="0" t="s">
        <x:v>25374</x:v>
      </x:c>
      <x:c r="C6380" s="0" t="s">
        <x:v>25375</x:v>
      </x:c>
      <x:c r="E6380" s="0" t="s">
        <x:v>25376</x:v>
      </x:c>
      <x:c r="F6380" s="0" t="s">
        <x:v>45</x:v>
      </x:c>
      <x:c r="G6380" s="0" t="s">
        <x:v>19</x:v>
      </x:c>
      <x:c r="H6380" s="0" t="s">
        <x:v>20</x:v>
      </x:c>
      <x:c r="I6380" s="0" t="s">
        <x:v>21</x:v>
      </x:c>
      <x:c r="K6380" s="0">
        <x:f>hyperlink("https://icd.who.int/dev11/l-ichi/en#/http%3A%2F%2Fid.who.int%2Ficd%2Fentity%2F1500282925","browser")</x:f>
      </x:c>
      <x:c r="L6380" s="0">
        <x:f>hyperlink("https://icat2.azurewebsites.net/icat/?ontology=ICD&amp;tab=ClassesTab&amp;id=http%3A%2F%2Fwho.int%2Ficd%2337565_512ebf36_bf6b_4d70_85da_cf2637062af4","iCat")</x:f>
      </x:c>
      <x:c r="M6380" s="0" t="s">
        <x:v>21</x:v>
      </x:c>
      <x:c r="N6380" s="0" t="s">
        <x:v>46</x:v>
      </x:c>
    </x:row>
    <x:row r="6381" spans="1:16">
      <x:c r="A6381" s="0" t="s">
        <x:v>25377</x:v>
      </x:c>
      <x:c r="B6381" s="0" t="s">
        <x:v>25378</x:v>
      </x:c>
      <x:c r="C6381" s="0" t="s">
        <x:v>25379</x:v>
      </x:c>
      <x:c r="E6381" s="0" t="s">
        <x:v>25380</x:v>
      </x:c>
      <x:c r="F6381" s="0" t="s">
        <x:v>45</x:v>
      </x:c>
      <x:c r="G6381" s="0" t="s">
        <x:v>19</x:v>
      </x:c>
      <x:c r="H6381" s="0" t="s">
        <x:v>20</x:v>
      </x:c>
      <x:c r="I6381" s="0" t="s">
        <x:v>21</x:v>
      </x:c>
      <x:c r="K6381" s="0">
        <x:f>hyperlink("https://icd.who.int/dev11/l-ichi/en#/http%3A%2F%2Fid.who.int%2Ficd%2Fentity%2F1278576149","browser")</x:f>
      </x:c>
      <x:c r="L6381" s="0">
        <x:f>hyperlink("https://icat2.azurewebsites.net/icat/?ontology=ICD&amp;tab=ClassesTab&amp;id=http%3A%2F%2Fwho.int%2Ficd%2337583_512ebf36_bf6b_4d70_85da_cf2637062af4","iCat")</x:f>
      </x:c>
      <x:c r="M6381" s="0" t="s">
        <x:v>21</x:v>
      </x:c>
      <x:c r="N6381" s="0" t="s">
        <x:v>46</x:v>
      </x:c>
    </x:row>
    <x:row r="6382" spans="1:16">
      <x:c r="A6382" s="0" t="s">
        <x:v>25381</x:v>
      </x:c>
      <x:c r="B6382" s="0" t="s">
        <x:v>25382</x:v>
      </x:c>
      <x:c r="C6382" s="0" t="s">
        <x:v>25383</x:v>
      </x:c>
      <x:c r="E6382" s="0" t="s">
        <x:v>25384</x:v>
      </x:c>
      <x:c r="F6382" s="0" t="s">
        <x:v>45</x:v>
      </x:c>
      <x:c r="G6382" s="0" t="s">
        <x:v>19</x:v>
      </x:c>
      <x:c r="H6382" s="0" t="s">
        <x:v>20</x:v>
      </x:c>
      <x:c r="I6382" s="0" t="s">
        <x:v>21</x:v>
      </x:c>
      <x:c r="K6382" s="0">
        <x:f>hyperlink("https://icd.who.int/dev11/l-ichi/en#/http%3A%2F%2Fid.who.int%2Ficd%2Fentity%2F1741220485","browser")</x:f>
      </x:c>
      <x:c r="L6382" s="0">
        <x:f>hyperlink("https://icat2.azurewebsites.net/icat/?ontology=ICD&amp;tab=ClassesTab&amp;id=http%3A%2F%2Fwho.int%2Ficd%2337589_512ebf36_bf6b_4d70_85da_cf2637062af4","iCat")</x:f>
      </x:c>
      <x:c r="M6382" s="0" t="s">
        <x:v>21</x:v>
      </x:c>
      <x:c r="N6382" s="0" t="s">
        <x:v>46</x:v>
      </x:c>
    </x:row>
    <x:row r="6383" spans="1:16">
      <x:c r="A6383" s="0" t="s">
        <x:v>25385</x:v>
      </x:c>
      <x:c r="B6383" s="0" t="s">
        <x:v>25386</x:v>
      </x:c>
      <x:c r="C6383" s="0" t="s">
        <x:v>25387</x:v>
      </x:c>
      <x:c r="E6383" s="0" t="s">
        <x:v>25388</x:v>
      </x:c>
      <x:c r="F6383" s="0" t="s">
        <x:v>45</x:v>
      </x:c>
      <x:c r="G6383" s="0" t="s">
        <x:v>19</x:v>
      </x:c>
      <x:c r="H6383" s="0" t="s">
        <x:v>20</x:v>
      </x:c>
      <x:c r="I6383" s="0" t="s">
        <x:v>21</x:v>
      </x:c>
      <x:c r="K6383" s="0">
        <x:f>hyperlink("https://icd.who.int/dev11/l-ichi/en#/http%3A%2F%2Fid.who.int%2Ficd%2Fentity%2F1456801983","browser")</x:f>
      </x:c>
      <x:c r="L6383" s="0">
        <x:f>hyperlink("https://icat2.azurewebsites.net/icat/?ontology=ICD&amp;tab=ClassesTab&amp;id=http%3A%2F%2Fwho.int%2Ficd%2337577_512ebf36_bf6b_4d70_85da_cf2637062af4","iCat")</x:f>
      </x:c>
      <x:c r="M6383" s="0" t="s">
        <x:v>21</x:v>
      </x:c>
      <x:c r="N6383" s="0" t="s">
        <x:v>46</x:v>
      </x:c>
    </x:row>
    <x:row r="6384" spans="1:16">
      <x:c r="A6384" s="0" t="s">
        <x:v>25389</x:v>
      </x:c>
      <x:c r="B6384" s="0" t="s">
        <x:v>25390</x:v>
      </x:c>
      <x:c r="C6384" s="0" t="s">
        <x:v>25391</x:v>
      </x:c>
      <x:c r="E6384" s="0" t="s">
        <x:v>25392</x:v>
      </x:c>
      <x:c r="F6384" s="0" t="s">
        <x:v>45</x:v>
      </x:c>
      <x:c r="G6384" s="0" t="s">
        <x:v>19</x:v>
      </x:c>
      <x:c r="H6384" s="0" t="s">
        <x:v>20</x:v>
      </x:c>
      <x:c r="I6384" s="0" t="s">
        <x:v>21</x:v>
      </x:c>
      <x:c r="K6384" s="0">
        <x:f>hyperlink("https://icd.who.int/dev11/l-ichi/en#/http%3A%2F%2Fid.who.int%2Ficd%2Fentity%2F1988872947","browser")</x:f>
      </x:c>
      <x:c r="L6384" s="0">
        <x:f>hyperlink("https://icat2.azurewebsites.net/icat/?ontology=ICD&amp;tab=ClassesTab&amp;id=http%3A%2F%2Fwho.int%2Ficd%2337595_512ebf36_bf6b_4d70_85da_cf2637062af4","iCat")</x:f>
      </x:c>
      <x:c r="M6384" s="0" t="s">
        <x:v>21</x:v>
      </x:c>
      <x:c r="N6384" s="0" t="s">
        <x:v>46</x:v>
      </x:c>
    </x:row>
    <x:row r="6385" spans="1:16">
      <x:c r="A6385" s="0" t="s">
        <x:v>25393</x:v>
      </x:c>
      <x:c r="B6385" s="0" t="s">
        <x:v>25394</x:v>
      </x:c>
      <x:c r="C6385" s="0" t="s">
        <x:v>25395</x:v>
      </x:c>
      <x:c r="E6385" s="0" t="s">
        <x:v>25396</x:v>
      </x:c>
      <x:c r="F6385" s="0" t="s">
        <x:v>45</x:v>
      </x:c>
      <x:c r="G6385" s="0" t="s">
        <x:v>19</x:v>
      </x:c>
      <x:c r="H6385" s="0" t="s">
        <x:v>20</x:v>
      </x:c>
      <x:c r="I6385" s="0" t="s">
        <x:v>21</x:v>
      </x:c>
      <x:c r="K6385" s="0">
        <x:f>hyperlink("https://icd.who.int/dev11/l-ichi/en#/http%3A%2F%2Fid.who.int%2Ficd%2Fentity%2F1486814943","browser")</x:f>
      </x:c>
      <x:c r="L6385" s="0">
        <x:f>hyperlink("https://icat2.azurewebsites.net/icat/?ontology=ICD&amp;tab=ClassesTab&amp;id=http%3A%2F%2Fwho.int%2Ficd%2337613_512ebf36_bf6b_4d70_85da_cf2637062af4","iCat")</x:f>
      </x:c>
      <x:c r="M6385" s="0" t="s">
        <x:v>21</x:v>
      </x:c>
      <x:c r="N6385" s="0" t="s">
        <x:v>46</x:v>
      </x:c>
    </x:row>
    <x:row r="6386" spans="1:16">
      <x:c r="A6386" s="0" t="s">
        <x:v>25397</x:v>
      </x:c>
      <x:c r="B6386" s="0" t="s">
        <x:v>25398</x:v>
      </x:c>
      <x:c r="C6386" s="0" t="s">
        <x:v>25399</x:v>
      </x:c>
      <x:c r="E6386" s="0" t="s">
        <x:v>25400</x:v>
      </x:c>
      <x:c r="F6386" s="0" t="s">
        <x:v>45</x:v>
      </x:c>
      <x:c r="G6386" s="0" t="s">
        <x:v>19</x:v>
      </x:c>
      <x:c r="H6386" s="0" t="s">
        <x:v>20</x:v>
      </x:c>
      <x:c r="I6386" s="0" t="s">
        <x:v>21</x:v>
      </x:c>
      <x:c r="K6386" s="0">
        <x:f>hyperlink("https://icd.who.int/dev11/l-ichi/en#/http%3A%2F%2Fid.who.int%2Ficd%2Fentity%2F321626230","browser")</x:f>
      </x:c>
      <x:c r="L6386" s="0">
        <x:f>hyperlink("https://icat2.azurewebsites.net/icat/?ontology=ICD&amp;tab=ClassesTab&amp;id=http%3A%2F%2Fwho.int%2Ficd%2337628_512ebf36_bf6b_4d70_85da_cf2637062af4","iCat")</x:f>
      </x:c>
      <x:c r="M6386" s="0" t="s">
        <x:v>21</x:v>
      </x:c>
      <x:c r="N6386" s="0" t="s">
        <x:v>46</x:v>
      </x:c>
    </x:row>
    <x:row r="6387" spans="1:16">
      <x:c r="A6387" s="0" t="s">
        <x:v>25401</x:v>
      </x:c>
      <x:c r="B6387" s="0" t="s">
        <x:v>25402</x:v>
      </x:c>
      <x:c r="C6387" s="0" t="s">
        <x:v>25403</x:v>
      </x:c>
      <x:c r="E6387" s="0" t="s">
        <x:v>25404</x:v>
      </x:c>
      <x:c r="F6387" s="0" t="s">
        <x:v>45</x:v>
      </x:c>
      <x:c r="G6387" s="0" t="s">
        <x:v>19</x:v>
      </x:c>
      <x:c r="H6387" s="0" t="s">
        <x:v>20</x:v>
      </x:c>
      <x:c r="I6387" s="0" t="s">
        <x:v>21</x:v>
      </x:c>
      <x:c r="K6387" s="0">
        <x:f>hyperlink("https://icd.who.int/dev11/l-ichi/en#/http%3A%2F%2Fid.who.int%2Ficd%2Fentity%2F1121566725","browser")</x:f>
      </x:c>
      <x:c r="L6387" s="0">
        <x:f>hyperlink("https://icat2.azurewebsites.net/icat/?ontology=ICD&amp;tab=ClassesTab&amp;id=http%3A%2F%2Fwho.int%2Ficd%2337604_512ebf36_bf6b_4d70_85da_cf2637062af4","iCat")</x:f>
      </x:c>
      <x:c r="M6387" s="0" t="s">
        <x:v>21</x:v>
      </x:c>
      <x:c r="N6387" s="0" t="s">
        <x:v>46</x:v>
      </x:c>
    </x:row>
    <x:row r="6388" spans="1:16">
      <x:c r="A6388" s="0" t="s">
        <x:v>25405</x:v>
      </x:c>
      <x:c r="B6388" s="0" t="s">
        <x:v>25406</x:v>
      </x:c>
      <x:c r="C6388" s="0" t="s">
        <x:v>25407</x:v>
      </x:c>
      <x:c r="E6388" s="0" t="s">
        <x:v>25408</x:v>
      </x:c>
      <x:c r="F6388" s="0" t="s">
        <x:v>45</x:v>
      </x:c>
      <x:c r="G6388" s="0" t="s">
        <x:v>19</x:v>
      </x:c>
      <x:c r="H6388" s="0" t="s">
        <x:v>20</x:v>
      </x:c>
      <x:c r="I6388" s="0" t="s">
        <x:v>21</x:v>
      </x:c>
      <x:c r="K6388" s="0">
        <x:f>hyperlink("https://icd.who.int/dev11/l-ichi/en#/http%3A%2F%2Fid.who.int%2Ficd%2Fentity%2F1206775803","browser")</x:f>
      </x:c>
      <x:c r="L6388" s="0">
        <x:f>hyperlink("https://icat2.azurewebsites.net/icat/?ontology=ICD&amp;tab=ClassesTab&amp;id=http%3A%2F%2Fwho.int%2Ficd%2337637_512ebf36_bf6b_4d70_85da_cf2637062af4","iCat")</x:f>
      </x:c>
      <x:c r="M6388" s="0" t="s">
        <x:v>21</x:v>
      </x:c>
      <x:c r="N6388" s="0" t="s">
        <x:v>46</x:v>
      </x:c>
    </x:row>
    <x:row r="6389" spans="1:16">
      <x:c r="A6389" s="0" t="s">
        <x:v>25409</x:v>
      </x:c>
      <x:c r="B6389" s="0" t="s">
        <x:v>25410</x:v>
      </x:c>
      <x:c r="C6389" s="0" t="s">
        <x:v>25411</x:v>
      </x:c>
      <x:c r="E6389" s="0" t="s">
        <x:v>25412</x:v>
      </x:c>
      <x:c r="F6389" s="0" t="s">
        <x:v>45</x:v>
      </x:c>
      <x:c r="G6389" s="0" t="s">
        <x:v>19</x:v>
      </x:c>
      <x:c r="H6389" s="0" t="s">
        <x:v>20</x:v>
      </x:c>
      <x:c r="I6389" s="0" t="s">
        <x:v>21</x:v>
      </x:c>
      <x:c r="K6389" s="0">
        <x:f>hyperlink("https://icd.who.int/dev11/l-ichi/en#/http%3A%2F%2Fid.who.int%2Ficd%2Fentity%2F1111242901","browser")</x:f>
      </x:c>
      <x:c r="L6389" s="0">
        <x:f>hyperlink("https://icat2.azurewebsites.net/icat/?ontology=ICD&amp;tab=ClassesTab&amp;id=http%3A%2F%2Fwho.int%2Ficd%2337643_512ebf36_bf6b_4d70_85da_cf2637062af4","iCat")</x:f>
      </x:c>
      <x:c r="M6389" s="0" t="s">
        <x:v>21</x:v>
      </x:c>
      <x:c r="N6389" s="0" t="s">
        <x:v>46</x:v>
      </x:c>
    </x:row>
    <x:row r="6390" spans="1:16">
      <x:c r="A6390" s="0" t="s">
        <x:v>25413</x:v>
      </x:c>
      <x:c r="B6390" s="0" t="s">
        <x:v>25414</x:v>
      </x:c>
      <x:c r="C6390" s="0" t="s">
        <x:v>25415</x:v>
      </x:c>
      <x:c r="E6390" s="0" t="s">
        <x:v>25416</x:v>
      </x:c>
      <x:c r="F6390" s="0" t="s">
        <x:v>45</x:v>
      </x:c>
      <x:c r="G6390" s="0" t="s">
        <x:v>19</x:v>
      </x:c>
      <x:c r="H6390" s="0" t="s">
        <x:v>20</x:v>
      </x:c>
      <x:c r="I6390" s="0" t="s">
        <x:v>21</x:v>
      </x:c>
      <x:c r="K6390" s="0">
        <x:f>hyperlink("https://icd.who.int/dev11/l-ichi/en#/http%3A%2F%2Fid.who.int%2Ficd%2Fentity%2F1774277637","browser")</x:f>
      </x:c>
      <x:c r="L6390" s="0">
        <x:f>hyperlink("https://icat2.azurewebsites.net/icat/?ontology=ICD&amp;tab=ClassesTab&amp;id=http%3A%2F%2Fwho.int%2Ficd%2337649_512ebf36_bf6b_4d70_85da_cf2637062af4","iCat")</x:f>
      </x:c>
      <x:c r="M6390" s="0" t="s">
        <x:v>21</x:v>
      </x:c>
      <x:c r="N6390" s="0" t="s">
        <x:v>46</x:v>
      </x:c>
    </x:row>
    <x:row r="6391" spans="1:16">
      <x:c r="A6391" s="0" t="s">
        <x:v>25417</x:v>
      </x:c>
      <x:c r="B6391" s="0" t="s">
        <x:v>25418</x:v>
      </x:c>
      <x:c r="C6391" s="0" t="s">
        <x:v>25419</x:v>
      </x:c>
      <x:c r="E6391" s="0" t="s">
        <x:v>25420</x:v>
      </x:c>
      <x:c r="F6391" s="0" t="s">
        <x:v>45</x:v>
      </x:c>
      <x:c r="G6391" s="0" t="s">
        <x:v>19</x:v>
      </x:c>
      <x:c r="H6391" s="0" t="s">
        <x:v>20</x:v>
      </x:c>
      <x:c r="I6391" s="0" t="s">
        <x:v>21</x:v>
      </x:c>
      <x:c r="K6391" s="0">
        <x:f>hyperlink("https://icd.who.int/dev11/l-ichi/en#/http%3A%2F%2Fid.who.int%2Ficd%2Fentity%2F807783245","browser")</x:f>
      </x:c>
      <x:c r="L6391" s="0">
        <x:f>hyperlink("https://icat2.azurewebsites.net/icat/?ontology=ICD&amp;tab=ClassesTab&amp;id=http%3A%2F%2Fwho.int%2Ficd%2313217_512ebf36_bf6b_4d70_85da_cf2637062af4","iCat")</x:f>
      </x:c>
      <x:c r="M6391" s="0" t="s">
        <x:v>21</x:v>
      </x:c>
      <x:c r="N6391" s="0" t="s">
        <x:v>46</x:v>
      </x:c>
    </x:row>
    <x:row r="6392" spans="1:16">
      <x:c r="A6392" s="0" t="s">
        <x:v>25421</x:v>
      </x:c>
      <x:c r="B6392" s="0" t="s">
        <x:v>25422</x:v>
      </x:c>
      <x:c r="C6392" s="0" t="s">
        <x:v>25423</x:v>
      </x:c>
      <x:c r="E6392" s="0" t="s">
        <x:v>25424</x:v>
      </x:c>
      <x:c r="F6392" s="0" t="s">
        <x:v>45</x:v>
      </x:c>
      <x:c r="G6392" s="0" t="s">
        <x:v>19</x:v>
      </x:c>
      <x:c r="H6392" s="0" t="s">
        <x:v>20</x:v>
      </x:c>
      <x:c r="I6392" s="0" t="s">
        <x:v>21</x:v>
      </x:c>
      <x:c r="K6392" s="0">
        <x:f>hyperlink("https://icd.who.int/dev11/l-ichi/en#/http%3A%2F%2Fid.who.int%2Ficd%2Fentity%2F2021815411","browser")</x:f>
      </x:c>
      <x:c r="L6392" s="0">
        <x:f>hyperlink("https://icat2.azurewebsites.net/icat/?ontology=ICD&amp;tab=ClassesTab&amp;id=http%3A%2F%2Fwho.int%2Ficd%2337655_512ebf36_bf6b_4d70_85da_cf2637062af4","iCat")</x:f>
      </x:c>
      <x:c r="M6392" s="0" t="s">
        <x:v>21</x:v>
      </x:c>
      <x:c r="N6392" s="0" t="s">
        <x:v>46</x:v>
      </x:c>
    </x:row>
    <x:row r="6393" spans="1:16">
      <x:c r="A6393" s="0" t="s">
        <x:v>25425</x:v>
      </x:c>
      <x:c r="B6393" s="0" t="s">
        <x:v>25426</x:v>
      </x:c>
      <x:c r="C6393" s="0" t="s">
        <x:v>25427</x:v>
      </x:c>
      <x:c r="E6393" s="0" t="s">
        <x:v>25428</x:v>
      </x:c>
      <x:c r="F6393" s="0" t="s">
        <x:v>45</x:v>
      </x:c>
      <x:c r="G6393" s="0" t="s">
        <x:v>19</x:v>
      </x:c>
      <x:c r="H6393" s="0" t="s">
        <x:v>20</x:v>
      </x:c>
      <x:c r="I6393" s="0" t="s">
        <x:v>21</x:v>
      </x:c>
      <x:c r="K6393" s="0">
        <x:f>hyperlink("https://icd.who.int/dev11/l-ichi/en#/http%3A%2F%2Fid.who.int%2Ficd%2Fentity%2F1743873367","browser")</x:f>
      </x:c>
      <x:c r="L6393" s="0">
        <x:f>hyperlink("https://icat2.azurewebsites.net/icat/?ontology=ICD&amp;tab=ClassesTab&amp;id=http%3A%2F%2Fwho.int%2Ficd%2337671_512ebf36_bf6b_4d70_85da_cf2637062af4","iCat")</x:f>
      </x:c>
      <x:c r="M6393" s="0" t="s">
        <x:v>21</x:v>
      </x:c>
      <x:c r="N6393" s="0" t="s">
        <x:v>46</x:v>
      </x:c>
    </x:row>
    <x:row r="6394" spans="1:16">
      <x:c r="A6394" s="0" t="s">
        <x:v>25429</x:v>
      </x:c>
      <x:c r="B6394" s="0" t="s">
        <x:v>25430</x:v>
      </x:c>
      <x:c r="C6394" s="0" t="s">
        <x:v>25431</x:v>
      </x:c>
      <x:c r="E6394" s="0" t="s">
        <x:v>25432</x:v>
      </x:c>
      <x:c r="F6394" s="0" t="s">
        <x:v>45</x:v>
      </x:c>
      <x:c r="G6394" s="0" t="s">
        <x:v>19</x:v>
      </x:c>
      <x:c r="H6394" s="0" t="s">
        <x:v>20</x:v>
      </x:c>
      <x:c r="I6394" s="0" t="s">
        <x:v>21</x:v>
      </x:c>
      <x:c r="K6394" s="0">
        <x:f>hyperlink("https://icd.who.int/dev11/l-ichi/en#/http%3A%2F%2Fid.who.int%2Ficd%2Fentity%2F931839208","browser")</x:f>
      </x:c>
      <x:c r="L6394" s="0">
        <x:f>hyperlink("https://icat2.azurewebsites.net/icat/?ontology=ICD&amp;tab=ClassesTab&amp;id=http%3A%2F%2Fwho.int%2Ficd%2337677_512ebf36_bf6b_4d70_85da_cf2637062af4","iCat")</x:f>
      </x:c>
      <x:c r="M6394" s="0" t="s">
        <x:v>21</x:v>
      </x:c>
      <x:c r="N6394" s="0" t="s">
        <x:v>46</x:v>
      </x:c>
    </x:row>
    <x:row r="6395" spans="1:16">
      <x:c r="A6395" s="0" t="s">
        <x:v>25433</x:v>
      </x:c>
      <x:c r="B6395" s="0" t="s">
        <x:v>25434</x:v>
      </x:c>
      <x:c r="C6395" s="0" t="s">
        <x:v>25435</x:v>
      </x:c>
      <x:c r="E6395" s="0" t="s">
        <x:v>25436</x:v>
      </x:c>
      <x:c r="F6395" s="0" t="s">
        <x:v>45</x:v>
      </x:c>
      <x:c r="G6395" s="0" t="s">
        <x:v>19</x:v>
      </x:c>
      <x:c r="H6395" s="0" t="s">
        <x:v>20</x:v>
      </x:c>
      <x:c r="I6395" s="0" t="s">
        <x:v>21</x:v>
      </x:c>
      <x:c r="K6395" s="0">
        <x:f>hyperlink("https://icd.who.int/dev11/l-ichi/en#/http%3A%2F%2Fid.who.int%2Ficd%2Fentity%2F221573120","browser")</x:f>
      </x:c>
      <x:c r="L6395" s="0">
        <x:f>hyperlink("https://icat2.azurewebsites.net/icat/?ontology=ICD&amp;tab=ClassesTab&amp;id=http%3A%2F%2Fwho.int%2Ficd%2337661_512ebf36_bf6b_4d70_85da_cf2637062af4","iCat")</x:f>
      </x:c>
      <x:c r="M6395" s="0" t="s">
        <x:v>21</x:v>
      </x:c>
      <x:c r="N6395" s="0" t="s">
        <x:v>46</x:v>
      </x:c>
    </x:row>
    <x:row r="6396" spans="1:16">
      <x:c r="A6396" s="0" t="s">
        <x:v>25437</x:v>
      </x:c>
      <x:c r="B6396" s="0" t="s">
        <x:v>25438</x:v>
      </x:c>
      <x:c r="C6396" s="0" t="s">
        <x:v>25439</x:v>
      </x:c>
      <x:c r="E6396" s="0" t="s">
        <x:v>25440</x:v>
      </x:c>
      <x:c r="F6396" s="0" t="s">
        <x:v>45</x:v>
      </x:c>
      <x:c r="G6396" s="0" t="s">
        <x:v>19</x:v>
      </x:c>
      <x:c r="H6396" s="0" t="s">
        <x:v>20</x:v>
      </x:c>
      <x:c r="I6396" s="0" t="s">
        <x:v>21</x:v>
      </x:c>
      <x:c r="K6396" s="0">
        <x:f>hyperlink("https://icd.who.int/dev11/l-ichi/en#/http%3A%2F%2Fid.who.int%2Ficd%2Fentity%2F761934412","browser")</x:f>
      </x:c>
      <x:c r="L6396" s="0">
        <x:f>hyperlink("https://icat2.azurewebsites.net/icat/?ontology=ICD&amp;tab=ClassesTab&amp;id=http%3A%2F%2Fwho.int%2Ficd%2337683_512ebf36_bf6b_4d70_85da_cf2637062af4","iCat")</x:f>
      </x:c>
      <x:c r="M6396" s="0" t="s">
        <x:v>21</x:v>
      </x:c>
      <x:c r="N6396" s="0" t="s">
        <x:v>46</x:v>
      </x:c>
    </x:row>
    <x:row r="6397" spans="1:16">
      <x:c r="A6397" s="0" t="s">
        <x:v>25441</x:v>
      </x:c>
      <x:c r="B6397" s="0" t="s">
        <x:v>25442</x:v>
      </x:c>
      <x:c r="D6397" s="0" t="s">
        <x:v>25443</x:v>
      </x:c>
      <x:c r="E6397" s="0" t="s">
        <x:v>25444</x:v>
      </x:c>
      <x:c r="F6397" s="0" t="s">
        <x:v>26</x:v>
      </x:c>
      <x:c r="G6397" s="0" t="s">
        <x:v>22</x:v>
      </x:c>
      <x:c r="H6397" s="0" t="s">
        <x:v>20</x:v>
      </x:c>
      <x:c r="I6397" s="0" t="s">
        <x:v>21</x:v>
      </x:c>
      <x:c r="K6397" s="0">
        <x:f>hyperlink("https://icd.who.int/dev11/l-ichi/en#/http%3A%2F%2Fid.who.int%2Ficd%2Fentity%2F36358372","browser")</x:f>
      </x:c>
      <x:c r="L6397" s="0">
        <x:f>hyperlink("https://icat2.azurewebsites.net/icat/?ontology=ICD&amp;tab=ClassesTab&amp;id=http%3A%2F%2Fwho.int%2Ficd%2337690_512ebf36_bf6b_4d70_85da_cf2637062af4","iCat")</x:f>
      </x:c>
      <x:c r="M6397" s="0" t="s">
        <x:v>20</x:v>
      </x:c>
      <x:c r="N6397" s="0" t="s">
        <x:v>19</x:v>
      </x:c>
    </x:row>
    <x:row r="6398" spans="1:16">
      <x:c r="A6398" s="0" t="s">
        <x:v>25445</x:v>
      </x:c>
      <x:c r="B6398" s="0" t="s">
        <x:v>25446</x:v>
      </x:c>
      <x:c r="C6398" s="0" t="s">
        <x:v>25447</x:v>
      </x:c>
      <x:c r="E6398" s="0" t="s">
        <x:v>25448</x:v>
      </x:c>
      <x:c r="F6398" s="0" t="s">
        <x:v>45</x:v>
      </x:c>
      <x:c r="G6398" s="0" t="s">
        <x:v>19</x:v>
      </x:c>
      <x:c r="H6398" s="0" t="s">
        <x:v>20</x:v>
      </x:c>
      <x:c r="I6398" s="0" t="s">
        <x:v>21</x:v>
      </x:c>
      <x:c r="K6398" s="0">
        <x:f>hyperlink("https://icd.who.int/dev11/l-ichi/en#/http%3A%2F%2Fid.who.int%2Ficd%2Fentity%2F110583516","browser")</x:f>
      </x:c>
      <x:c r="L6398" s="0">
        <x:f>hyperlink("https://icat2.azurewebsites.net/icat/?ontology=ICD&amp;tab=ClassesTab&amp;id=http%3A%2F%2Fwho.int%2Ficd%2337689_512ebf36_bf6b_4d70_85da_cf2637062af4","iCat")</x:f>
      </x:c>
      <x:c r="M6398" s="0" t="s">
        <x:v>21</x:v>
      </x:c>
      <x:c r="N6398" s="0" t="s">
        <x:v>46</x:v>
      </x:c>
    </x:row>
    <x:row r="6399" spans="1:16">
      <x:c r="A6399" s="0" t="s">
        <x:v>25449</x:v>
      </x:c>
      <x:c r="B6399" s="0" t="s">
        <x:v>25450</x:v>
      </x:c>
      <x:c r="D6399" s="0" t="s">
        <x:v>25451</x:v>
      </x:c>
      <x:c r="E6399" s="0" t="s">
        <x:v>25452</x:v>
      </x:c>
      <x:c r="F6399" s="0" t="s">
        <x:v>26</x:v>
      </x:c>
      <x:c r="G6399" s="0" t="s">
        <x:v>22</x:v>
      </x:c>
      <x:c r="H6399" s="0" t="s">
        <x:v>20</x:v>
      </x:c>
      <x:c r="I6399" s="0" t="s">
        <x:v>21</x:v>
      </x:c>
      <x:c r="K6399" s="0">
        <x:f>hyperlink("https://icd.who.int/dev11/l-ichi/en#/http%3A%2F%2Fid.who.int%2Ficd%2Fentity%2F1732108073","browser")</x:f>
      </x:c>
      <x:c r="L6399" s="0">
        <x:f>hyperlink("https://icat2.azurewebsites.net/icat/?ontology=ICD&amp;tab=ClassesTab&amp;id=http%3A%2F%2Fwho.int%2Ficd%2337702_512ebf36_bf6b_4d70_85da_cf2637062af4","iCat")</x:f>
      </x:c>
      <x:c r="M6399" s="0" t="s">
        <x:v>20</x:v>
      </x:c>
      <x:c r="N6399" s="0" t="s">
        <x:v>25453</x:v>
      </x:c>
    </x:row>
    <x:row r="6400" spans="1:16">
      <x:c r="A6400" s="0" t="s">
        <x:v>25454</x:v>
      </x:c>
      <x:c r="B6400" s="0" t="s">
        <x:v>25455</x:v>
      </x:c>
      <x:c r="C6400" s="0" t="s">
        <x:v>25456</x:v>
      </x:c>
      <x:c r="E6400" s="0" t="s">
        <x:v>25457</x:v>
      </x:c>
      <x:c r="F6400" s="0" t="s">
        <x:v>45</x:v>
      </x:c>
      <x:c r="G6400" s="0" t="s">
        <x:v>19</x:v>
      </x:c>
      <x:c r="H6400" s="0" t="s">
        <x:v>20</x:v>
      </x:c>
      <x:c r="I6400" s="0" t="s">
        <x:v>21</x:v>
      </x:c>
      <x:c r="K6400" s="0">
        <x:f>hyperlink("https://icd.who.int/dev11/l-ichi/en#/http%3A%2F%2Fid.who.int%2Ficd%2Fentity%2F170198571","browser")</x:f>
      </x:c>
      <x:c r="L6400" s="0">
        <x:f>hyperlink("https://icat2.azurewebsites.net/icat/?ontology=ICD&amp;tab=ClassesTab&amp;id=http%3A%2F%2Fwho.int%2Ficd%23197_dd4d4347_e398_43b9_84dd_c9611ca6abfa","iCat")</x:f>
      </x:c>
      <x:c r="M6400" s="0" t="s">
        <x:v>21</x:v>
      </x:c>
      <x:c r="N6400" s="0" t="s">
        <x:v>46</x:v>
      </x:c>
    </x:row>
    <x:row r="6401" spans="1:16">
      <x:c r="A6401" s="0" t="s">
        <x:v>25458</x:v>
      </x:c>
      <x:c r="B6401" s="0" t="s">
        <x:v>25459</x:v>
      </x:c>
      <x:c r="C6401" s="0" t="s">
        <x:v>25460</x:v>
      </x:c>
      <x:c r="E6401" s="0" t="s">
        <x:v>25461</x:v>
      </x:c>
      <x:c r="F6401" s="0" t="s">
        <x:v>45</x:v>
      </x:c>
      <x:c r="G6401" s="0" t="s">
        <x:v>19</x:v>
      </x:c>
      <x:c r="H6401" s="0" t="s">
        <x:v>20</x:v>
      </x:c>
      <x:c r="I6401" s="0" t="s">
        <x:v>21</x:v>
      </x:c>
      <x:c r="K6401" s="0">
        <x:f>hyperlink("https://icd.who.int/dev11/l-ichi/en#/http%3A%2F%2Fid.who.int%2Ficd%2Fentity%2F582529234","browser")</x:f>
      </x:c>
      <x:c r="L6401" s="0">
        <x:f>hyperlink("https://icat2.azurewebsites.net/icat/?ontology=ICD&amp;tab=ClassesTab&amp;id=http%3A%2F%2Fwho.int%2Ficd%2337701_512ebf36_bf6b_4d70_85da_cf2637062af4","iCat")</x:f>
      </x:c>
      <x:c r="M6401" s="0" t="s">
        <x:v>21</x:v>
      </x:c>
      <x:c r="N6401" s="0" t="s">
        <x:v>46</x:v>
      </x:c>
    </x:row>
    <x:row r="6402" spans="1:16">
      <x:c r="A6402" s="0" t="s">
        <x:v>25462</x:v>
      </x:c>
      <x:c r="B6402" s="0" t="s">
        <x:v>25463</x:v>
      </x:c>
      <x:c r="C6402" s="0" t="s">
        <x:v>25464</x:v>
      </x:c>
      <x:c r="E6402" s="0" t="s">
        <x:v>25465</x:v>
      </x:c>
      <x:c r="F6402" s="0" t="s">
        <x:v>45</x:v>
      </x:c>
      <x:c r="G6402" s="0" t="s">
        <x:v>19</x:v>
      </x:c>
      <x:c r="H6402" s="0" t="s">
        <x:v>20</x:v>
      </x:c>
      <x:c r="I6402" s="0" t="s">
        <x:v>21</x:v>
      </x:c>
      <x:c r="K6402" s="0">
        <x:f>hyperlink("https://icd.who.int/dev11/l-ichi/en#/http%3A%2F%2Fid.who.int%2Ficd%2Fentity%2F674568126","browser")</x:f>
      </x:c>
      <x:c r="L6402" s="0">
        <x:f>hyperlink("https://icat2.azurewebsites.net/icat/?ontology=ICD&amp;tab=ClassesTab&amp;id=http%3A%2F%2Fwho.int%2Ficd%2337720_512ebf36_bf6b_4d70_85da_cf2637062af4","iCat")</x:f>
      </x:c>
      <x:c r="M6402" s="0" t="s">
        <x:v>21</x:v>
      </x:c>
      <x:c r="N6402" s="0" t="s">
        <x:v>46</x:v>
      </x:c>
    </x:row>
    <x:row r="6403" spans="1:16">
      <x:c r="A6403" s="0" t="s">
        <x:v>25466</x:v>
      </x:c>
      <x:c r="B6403" s="0" t="s">
        <x:v>25467</x:v>
      </x:c>
      <x:c r="C6403" s="0" t="s">
        <x:v>25468</x:v>
      </x:c>
      <x:c r="E6403" s="0" t="s">
        <x:v>25469</x:v>
      </x:c>
      <x:c r="F6403" s="0" t="s">
        <x:v>45</x:v>
      </x:c>
      <x:c r="G6403" s="0" t="s">
        <x:v>19</x:v>
      </x:c>
      <x:c r="H6403" s="0" t="s">
        <x:v>20</x:v>
      </x:c>
      <x:c r="I6403" s="0" t="s">
        <x:v>21</x:v>
      </x:c>
      <x:c r="K6403" s="0">
        <x:f>hyperlink("https://icd.who.int/dev11/l-ichi/en#/http%3A%2F%2Fid.who.int%2Ficd%2Fentity%2F1723098857","browser")</x:f>
      </x:c>
      <x:c r="L6403" s="0">
        <x:f>hyperlink("https://icat2.azurewebsites.net/icat/?ontology=ICD&amp;tab=ClassesTab&amp;id=http%3A%2F%2Fwho.int%2Ficd%2337728_512ebf36_bf6b_4d70_85da_cf2637062af4","iCat")</x:f>
      </x:c>
      <x:c r="M6403" s="0" t="s">
        <x:v>21</x:v>
      </x:c>
      <x:c r="N6403" s="0" t="s">
        <x:v>46</x:v>
      </x:c>
    </x:row>
    <x:row r="6404" spans="1:16">
      <x:c r="A6404" s="0" t="s">
        <x:v>25470</x:v>
      </x:c>
      <x:c r="B6404" s="0" t="s">
        <x:v>25471</x:v>
      </x:c>
      <x:c r="C6404" s="0" t="s">
        <x:v>25472</x:v>
      </x:c>
      <x:c r="E6404" s="0" t="s">
        <x:v>25473</x:v>
      </x:c>
      <x:c r="F6404" s="0" t="s">
        <x:v>45</x:v>
      </x:c>
      <x:c r="G6404" s="0" t="s">
        <x:v>19</x:v>
      </x:c>
      <x:c r="H6404" s="0" t="s">
        <x:v>20</x:v>
      </x:c>
      <x:c r="I6404" s="0" t="s">
        <x:v>21</x:v>
      </x:c>
      <x:c r="K6404" s="0">
        <x:f>hyperlink("https://icd.who.int/dev11/l-ichi/en#/http%3A%2F%2Fid.who.int%2Ficd%2Fentity%2F311122778","browser")</x:f>
      </x:c>
      <x:c r="L6404" s="0">
        <x:f>hyperlink("https://icat2.azurewebsites.net/icat/?ontology=ICD&amp;tab=ClassesTab&amp;id=http%3A%2F%2Fwho.int%2Ficd%2337736_512ebf36_bf6b_4d70_85da_cf2637062af4","iCat")</x:f>
      </x:c>
      <x:c r="M6404" s="0" t="s">
        <x:v>21</x:v>
      </x:c>
      <x:c r="N6404" s="0" t="s">
        <x:v>46</x:v>
      </x:c>
    </x:row>
    <x:row r="6405" spans="1:16">
      <x:c r="A6405" s="0" t="s">
        <x:v>25474</x:v>
      </x:c>
      <x:c r="B6405" s="0" t="s">
        <x:v>25475</x:v>
      </x:c>
      <x:c r="C6405" s="0" t="s">
        <x:v>25476</x:v>
      </x:c>
      <x:c r="E6405" s="0" t="s">
        <x:v>25477</x:v>
      </x:c>
      <x:c r="F6405" s="0" t="s">
        <x:v>45</x:v>
      </x:c>
      <x:c r="G6405" s="0" t="s">
        <x:v>19</x:v>
      </x:c>
      <x:c r="H6405" s="0" t="s">
        <x:v>20</x:v>
      </x:c>
      <x:c r="I6405" s="0" t="s">
        <x:v>21</x:v>
      </x:c>
      <x:c r="K6405" s="0">
        <x:f>hyperlink("https://icd.who.int/dev11/l-ichi/en#/http%3A%2F%2Fid.who.int%2Ficd%2Fentity%2F933494282","browser")</x:f>
      </x:c>
      <x:c r="L6405" s="0">
        <x:f>hyperlink("https://icat2.azurewebsites.net/icat/?ontology=ICD&amp;tab=ClassesTab&amp;id=http%3A%2F%2Fwho.int%2Ficd%2337743_512ebf36_bf6b_4d70_85da_cf2637062af4","iCat")</x:f>
      </x:c>
      <x:c r="M6405" s="0" t="s">
        <x:v>21</x:v>
      </x:c>
      <x:c r="N6405" s="0" t="s">
        <x:v>46</x:v>
      </x:c>
    </x:row>
    <x:row r="6406" spans="1:16">
      <x:c r="A6406" s="0" t="s">
        <x:v>25478</x:v>
      </x:c>
      <x:c r="B6406" s="0" t="s">
        <x:v>25479</x:v>
      </x:c>
      <x:c r="C6406" s="0" t="s">
        <x:v>25480</x:v>
      </x:c>
      <x:c r="E6406" s="0" t="s">
        <x:v>25481</x:v>
      </x:c>
      <x:c r="F6406" s="0" t="s">
        <x:v>45</x:v>
      </x:c>
      <x:c r="G6406" s="0" t="s">
        <x:v>19</x:v>
      </x:c>
      <x:c r="H6406" s="0" t="s">
        <x:v>20</x:v>
      </x:c>
      <x:c r="I6406" s="0" t="s">
        <x:v>21</x:v>
      </x:c>
      <x:c r="K6406" s="0">
        <x:f>hyperlink("https://icd.who.int/dev11/l-ichi/en#/http%3A%2F%2Fid.who.int%2Ficd%2Fentity%2F941258396","browser")</x:f>
      </x:c>
      <x:c r="L6406" s="0">
        <x:f>hyperlink("https://icat2.azurewebsites.net/icat/?ontology=ICD&amp;tab=ClassesTab&amp;id=http%3A%2F%2Fwho.int%2Ficd%2337751_512ebf36_bf6b_4d70_85da_cf2637062af4","iCat")</x:f>
      </x:c>
      <x:c r="M6406" s="0" t="s">
        <x:v>21</x:v>
      </x:c>
      <x:c r="N6406" s="0" t="s">
        <x:v>46</x:v>
      </x:c>
    </x:row>
    <x:row r="6407" spans="1:16">
      <x:c r="A6407" s="0" t="s">
        <x:v>25482</x:v>
      </x:c>
      <x:c r="B6407" s="0" t="s">
        <x:v>25483</x:v>
      </x:c>
      <x:c r="C6407" s="0" t="s">
        <x:v>25484</x:v>
      </x:c>
      <x:c r="E6407" s="0" t="s">
        <x:v>25485</x:v>
      </x:c>
      <x:c r="F6407" s="0" t="s">
        <x:v>45</x:v>
      </x:c>
      <x:c r="G6407" s="0" t="s">
        <x:v>19</x:v>
      </x:c>
      <x:c r="H6407" s="0" t="s">
        <x:v>20</x:v>
      </x:c>
      <x:c r="I6407" s="0" t="s">
        <x:v>21</x:v>
      </x:c>
      <x:c r="K6407" s="0">
        <x:f>hyperlink("https://icd.who.int/dev11/l-ichi/en#/http%3A%2F%2Fid.who.int%2Ficd%2Fentity%2F1751232299","browser")</x:f>
      </x:c>
      <x:c r="L6407" s="0">
        <x:f>hyperlink("https://icat2.azurewebsites.net/icat/?ontology=ICD&amp;tab=ClassesTab&amp;id=http%3A%2F%2Fwho.int%2Ficd%2337757_512ebf36_bf6b_4d70_85da_cf2637062af4","iCat")</x:f>
      </x:c>
      <x:c r="M6407" s="0" t="s">
        <x:v>21</x:v>
      </x:c>
      <x:c r="N6407" s="0" t="s">
        <x:v>46</x:v>
      </x:c>
    </x:row>
    <x:row r="6408" spans="1:16">
      <x:c r="A6408" s="0" t="s">
        <x:v>25486</x:v>
      </x:c>
      <x:c r="B6408" s="0" t="s">
        <x:v>25487</x:v>
      </x:c>
      <x:c r="C6408" s="0" t="s">
        <x:v>25488</x:v>
      </x:c>
      <x:c r="E6408" s="0" t="s">
        <x:v>25489</x:v>
      </x:c>
      <x:c r="F6408" s="0" t="s">
        <x:v>45</x:v>
      </x:c>
      <x:c r="G6408" s="0" t="s">
        <x:v>19</x:v>
      </x:c>
      <x:c r="H6408" s="0" t="s">
        <x:v>20</x:v>
      </x:c>
      <x:c r="I6408" s="0" t="s">
        <x:v>21</x:v>
      </x:c>
      <x:c r="K6408" s="0">
        <x:f>hyperlink("https://icd.who.int/dev11/l-ichi/en#/http%3A%2F%2Fid.who.int%2Ficd%2Fentity%2F1834320085","browser")</x:f>
      </x:c>
      <x:c r="L6408" s="0">
        <x:f>hyperlink("https://icat2.azurewebsites.net/icat/?ontology=ICD&amp;tab=ClassesTab&amp;id=http%3A%2F%2Fwho.int%2Ficd%2337764_512ebf36_bf6b_4d70_85da_cf2637062af4","iCat")</x:f>
      </x:c>
      <x:c r="M6408" s="0" t="s">
        <x:v>21</x:v>
      </x:c>
      <x:c r="N6408" s="0" t="s">
        <x:v>46</x:v>
      </x:c>
    </x:row>
    <x:row r="6409" spans="1:16">
      <x:c r="A6409" s="0" t="s">
        <x:v>25490</x:v>
      </x:c>
      <x:c r="B6409" s="0" t="s">
        <x:v>25491</x:v>
      </x:c>
      <x:c r="C6409" s="0" t="s">
        <x:v>25492</x:v>
      </x:c>
      <x:c r="E6409" s="0" t="s">
        <x:v>25493</x:v>
      </x:c>
      <x:c r="F6409" s="0" t="s">
        <x:v>45</x:v>
      </x:c>
      <x:c r="G6409" s="0" t="s">
        <x:v>19</x:v>
      </x:c>
      <x:c r="H6409" s="0" t="s">
        <x:v>20</x:v>
      </x:c>
      <x:c r="I6409" s="0" t="s">
        <x:v>21</x:v>
      </x:c>
      <x:c r="K6409" s="0">
        <x:f>hyperlink("https://icd.who.int/dev11/l-ichi/en#/http%3A%2F%2Fid.who.int%2Ficd%2Fentity%2F1084148316","browser")</x:f>
      </x:c>
      <x:c r="L6409" s="0">
        <x:f>hyperlink("https://icat2.azurewebsites.net/icat/?ontology=ICD&amp;tab=ClassesTab&amp;id=http%3A%2F%2Fwho.int%2Ficd%23520_97087496_4a82_4efa_a45a_b3256f81bd7e","iCat")</x:f>
      </x:c>
      <x:c r="M6409" s="0" t="s">
        <x:v>21</x:v>
      </x:c>
      <x:c r="N6409" s="0" t="s">
        <x:v>46</x:v>
      </x:c>
    </x:row>
    <x:row r="6410" spans="1:16">
      <x:c r="A6410" s="0" t="s">
        <x:v>25494</x:v>
      </x:c>
      <x:c r="B6410" s="0" t="s">
        <x:v>25495</x:v>
      </x:c>
      <x:c r="C6410" s="0" t="s">
        <x:v>25496</x:v>
      </x:c>
      <x:c r="E6410" s="0" t="s">
        <x:v>25497</x:v>
      </x:c>
      <x:c r="F6410" s="0" t="s">
        <x:v>45</x:v>
      </x:c>
      <x:c r="G6410" s="0" t="s">
        <x:v>19</x:v>
      </x:c>
      <x:c r="H6410" s="0" t="s">
        <x:v>20</x:v>
      </x:c>
      <x:c r="I6410" s="0" t="s">
        <x:v>21</x:v>
      </x:c>
      <x:c r="K6410" s="0">
        <x:f>hyperlink("https://icd.who.int/dev11/l-ichi/en#/http%3A%2F%2Fid.who.int%2Ficd%2Fentity%2F309240778","browser")</x:f>
      </x:c>
      <x:c r="L6410" s="0">
        <x:f>hyperlink("https://icat2.azurewebsites.net/icat/?ontology=ICD&amp;tab=ClassesTab&amp;id=http%3A%2F%2Fwho.int%2Ficd%2337771_512ebf36_bf6b_4d70_85da_cf2637062af4","iCat")</x:f>
      </x:c>
      <x:c r="M6410" s="0" t="s">
        <x:v>21</x:v>
      </x:c>
      <x:c r="N6410" s="0" t="s">
        <x:v>46</x:v>
      </x:c>
    </x:row>
    <x:row r="6411" spans="1:16">
      <x:c r="A6411" s="0" t="s">
        <x:v>25498</x:v>
      </x:c>
      <x:c r="B6411" s="0" t="s">
        <x:v>25499</x:v>
      </x:c>
      <x:c r="C6411" s="0" t="s">
        <x:v>25500</x:v>
      </x:c>
      <x:c r="E6411" s="0" t="s">
        <x:v>25501</x:v>
      </x:c>
      <x:c r="F6411" s="0" t="s">
        <x:v>45</x:v>
      </x:c>
      <x:c r="G6411" s="0" t="s">
        <x:v>19</x:v>
      </x:c>
      <x:c r="H6411" s="0" t="s">
        <x:v>20</x:v>
      </x:c>
      <x:c r="I6411" s="0" t="s">
        <x:v>21</x:v>
      </x:c>
      <x:c r="K6411" s="0">
        <x:f>hyperlink("https://icd.who.int/dev11/l-ichi/en#/http%3A%2F%2Fid.who.int%2Ficd%2Fentity%2F1559220895","browser")</x:f>
      </x:c>
      <x:c r="L6411" s="0">
        <x:f>hyperlink("https://icat2.azurewebsites.net/icat/?ontology=ICD&amp;tab=ClassesTab&amp;id=http%3A%2F%2Fwho.int%2Ficd%2337779_512ebf36_bf6b_4d70_85da_cf2637062af4","iCat")</x:f>
      </x:c>
      <x:c r="M6411" s="0" t="s">
        <x:v>21</x:v>
      </x:c>
      <x:c r="N6411" s="0" t="s">
        <x:v>46</x:v>
      </x:c>
    </x:row>
    <x:row r="6412" spans="1:16">
      <x:c r="A6412" s="0" t="s">
        <x:v>25502</x:v>
      </x:c>
      <x:c r="B6412" s="0" t="s">
        <x:v>25503</x:v>
      </x:c>
      <x:c r="C6412" s="0" t="s">
        <x:v>25504</x:v>
      </x:c>
      <x:c r="E6412" s="0" t="s">
        <x:v>25505</x:v>
      </x:c>
      <x:c r="F6412" s="0" t="s">
        <x:v>45</x:v>
      </x:c>
      <x:c r="G6412" s="0" t="s">
        <x:v>19</x:v>
      </x:c>
      <x:c r="H6412" s="0" t="s">
        <x:v>20</x:v>
      </x:c>
      <x:c r="I6412" s="0" t="s">
        <x:v>21</x:v>
      </x:c>
      <x:c r="K6412" s="0">
        <x:f>hyperlink("https://icd.who.int/dev11/l-ichi/en#/http%3A%2F%2Fid.who.int%2Ficd%2Fentity%2F1292583577","browser")</x:f>
      </x:c>
      <x:c r="L6412" s="0">
        <x:f>hyperlink("https://icat2.azurewebsites.net/icat/?ontology=ICD&amp;tab=ClassesTab&amp;id=http%3A%2F%2Fwho.int%2Ficd%2337786_512ebf36_bf6b_4d70_85da_cf2637062af4","iCat")</x:f>
      </x:c>
      <x:c r="M6412" s="0" t="s">
        <x:v>21</x:v>
      </x:c>
      <x:c r="N6412" s="0" t="s">
        <x:v>46</x:v>
      </x:c>
    </x:row>
    <x:row r="6413" spans="1:16">
      <x:c r="A6413" s="0" t="s">
        <x:v>25506</x:v>
      </x:c>
      <x:c r="B6413" s="0" t="s">
        <x:v>25507</x:v>
      </x:c>
      <x:c r="C6413" s="0" t="s">
        <x:v>25508</x:v>
      </x:c>
      <x:c r="E6413" s="0" t="s">
        <x:v>25509</x:v>
      </x:c>
      <x:c r="F6413" s="0" t="s">
        <x:v>45</x:v>
      </x:c>
      <x:c r="G6413" s="0" t="s">
        <x:v>19</x:v>
      </x:c>
      <x:c r="H6413" s="0" t="s">
        <x:v>20</x:v>
      </x:c>
      <x:c r="I6413" s="0" t="s">
        <x:v>21</x:v>
      </x:c>
      <x:c r="K6413" s="0">
        <x:f>hyperlink("https://icd.who.int/dev11/l-ichi/en#/http%3A%2F%2Fid.who.int%2Ficd%2Fentity%2F842031494","browser")</x:f>
      </x:c>
      <x:c r="L6413" s="0">
        <x:f>hyperlink("https://icat2.azurewebsites.net/icat/?ontology=ICD&amp;tab=ClassesTab&amp;id=http%3A%2F%2Fwho.int%2Ficd%2337793_512ebf36_bf6b_4d70_85da_cf2637062af4","iCat")</x:f>
      </x:c>
      <x:c r="M6413" s="0" t="s">
        <x:v>21</x:v>
      </x:c>
      <x:c r="N6413" s="0" t="s">
        <x:v>46</x:v>
      </x:c>
    </x:row>
    <x:row r="6414" spans="1:16">
      <x:c r="A6414" s="0" t="s">
        <x:v>25510</x:v>
      </x:c>
      <x:c r="B6414" s="0" t="s">
        <x:v>25511</x:v>
      </x:c>
      <x:c r="C6414" s="0" t="s">
        <x:v>25512</x:v>
      </x:c>
      <x:c r="E6414" s="0" t="s">
        <x:v>25513</x:v>
      </x:c>
      <x:c r="F6414" s="0" t="s">
        <x:v>45</x:v>
      </x:c>
      <x:c r="G6414" s="0" t="s">
        <x:v>19</x:v>
      </x:c>
      <x:c r="H6414" s="0" t="s">
        <x:v>20</x:v>
      </x:c>
      <x:c r="I6414" s="0" t="s">
        <x:v>21</x:v>
      </x:c>
      <x:c r="K6414" s="0">
        <x:f>hyperlink("https://icd.who.int/dev11/l-ichi/en#/http%3A%2F%2Fid.who.int%2Ficd%2Fentity%2F1946964716","browser")</x:f>
      </x:c>
      <x:c r="L6414" s="0">
        <x:f>hyperlink("https://icat2.azurewebsites.net/icat/?ontology=ICD&amp;tab=ClassesTab&amp;id=http%3A%2F%2Fwho.int%2Ficd%2337800_512ebf36_bf6b_4d70_85da_cf2637062af4","iCat")</x:f>
      </x:c>
      <x:c r="M6414" s="0" t="s">
        <x:v>21</x:v>
      </x:c>
      <x:c r="N6414" s="0" t="s">
        <x:v>46</x:v>
      </x:c>
    </x:row>
    <x:row r="6415" spans="1:16">
      <x:c r="A6415" s="0" t="s">
        <x:v>25514</x:v>
      </x:c>
      <x:c r="B6415" s="0" t="s">
        <x:v>25515</x:v>
      </x:c>
      <x:c r="C6415" s="0" t="s">
        <x:v>25516</x:v>
      </x:c>
      <x:c r="E6415" s="0" t="s">
        <x:v>25517</x:v>
      </x:c>
      <x:c r="F6415" s="0" t="s">
        <x:v>45</x:v>
      </x:c>
      <x:c r="G6415" s="0" t="s">
        <x:v>19</x:v>
      </x:c>
      <x:c r="H6415" s="0" t="s">
        <x:v>20</x:v>
      </x:c>
      <x:c r="I6415" s="0" t="s">
        <x:v>21</x:v>
      </x:c>
      <x:c r="K6415" s="0">
        <x:f>hyperlink("https://icd.who.int/dev11/l-ichi/en#/http%3A%2F%2Fid.who.int%2Ficd%2Fentity%2F2075515514","browser")</x:f>
      </x:c>
      <x:c r="L6415" s="0">
        <x:f>hyperlink("https://icat2.azurewebsites.net/icat/?ontology=ICD&amp;tab=ClassesTab&amp;id=http%3A%2F%2Fwho.int%2Ficd%2337812_512ebf36_bf6b_4d70_85da_cf2637062af4","iCat")</x:f>
      </x:c>
      <x:c r="M6415" s="0" t="s">
        <x:v>21</x:v>
      </x:c>
      <x:c r="N6415" s="0" t="s">
        <x:v>46</x:v>
      </x:c>
    </x:row>
    <x:row r="6416" spans="1:16">
      <x:c r="A6416" s="0" t="s">
        <x:v>25518</x:v>
      </x:c>
      <x:c r="B6416" s="0" t="s">
        <x:v>25519</x:v>
      </x:c>
      <x:c r="C6416" s="0" t="s">
        <x:v>25520</x:v>
      </x:c>
      <x:c r="E6416" s="0" t="s">
        <x:v>25521</x:v>
      </x:c>
      <x:c r="F6416" s="0" t="s">
        <x:v>45</x:v>
      </x:c>
      <x:c r="G6416" s="0" t="s">
        <x:v>19</x:v>
      </x:c>
      <x:c r="H6416" s="0" t="s">
        <x:v>20</x:v>
      </x:c>
      <x:c r="I6416" s="0" t="s">
        <x:v>21</x:v>
      </x:c>
      <x:c r="K6416" s="0">
        <x:f>hyperlink("https://icd.who.int/dev11/l-ichi/en#/http%3A%2F%2Fid.who.int%2Ficd%2Fentity%2F2122446216","browser")</x:f>
      </x:c>
      <x:c r="L6416" s="0">
        <x:f>hyperlink("https://icat2.azurewebsites.net/icat/?ontology=ICD&amp;tab=ClassesTab&amp;id=http%3A%2F%2Fwho.int%2Ficd%2337821_512ebf36_bf6b_4d70_85da_cf2637062af4","iCat")</x:f>
      </x:c>
      <x:c r="M6416" s="0" t="s">
        <x:v>21</x:v>
      </x:c>
      <x:c r="N6416" s="0" t="s">
        <x:v>46</x:v>
      </x:c>
    </x:row>
    <x:row r="6417" spans="1:16">
      <x:c r="A6417" s="0" t="s">
        <x:v>25522</x:v>
      </x:c>
      <x:c r="B6417" s="0" t="s">
        <x:v>25523</x:v>
      </x:c>
      <x:c r="C6417" s="0" t="s">
        <x:v>25524</x:v>
      </x:c>
      <x:c r="E6417" s="0" t="s">
        <x:v>25525</x:v>
      </x:c>
      <x:c r="F6417" s="0" t="s">
        <x:v>45</x:v>
      </x:c>
      <x:c r="G6417" s="0" t="s">
        <x:v>19</x:v>
      </x:c>
      <x:c r="H6417" s="0" t="s">
        <x:v>20</x:v>
      </x:c>
      <x:c r="I6417" s="0" t="s">
        <x:v>21</x:v>
      </x:c>
      <x:c r="K6417" s="0">
        <x:f>hyperlink("https://icd.who.int/dev11/l-ichi/en#/http%3A%2F%2Fid.who.int%2Ficd%2Fentity%2F284817135","browser")</x:f>
      </x:c>
      <x:c r="L6417" s="0">
        <x:f>hyperlink("https://icat2.azurewebsites.net/icat/?ontology=ICD&amp;tab=ClassesTab&amp;id=http%3A%2F%2Fwho.int%2Ficd%2337828_512ebf36_bf6b_4d70_85da_cf2637062af4","iCat")</x:f>
      </x:c>
      <x:c r="M6417" s="0" t="s">
        <x:v>21</x:v>
      </x:c>
      <x:c r="N6417" s="0" t="s">
        <x:v>46</x:v>
      </x:c>
    </x:row>
    <x:row r="6418" spans="1:16">
      <x:c r="A6418" s="0" t="s">
        <x:v>25526</x:v>
      </x:c>
      <x:c r="B6418" s="0" t="s">
        <x:v>25527</x:v>
      </x:c>
      <x:c r="C6418" s="0" t="s">
        <x:v>25528</x:v>
      </x:c>
      <x:c r="E6418" s="0" t="s">
        <x:v>25529</x:v>
      </x:c>
      <x:c r="F6418" s="0" t="s">
        <x:v>45</x:v>
      </x:c>
      <x:c r="G6418" s="0" t="s">
        <x:v>19</x:v>
      </x:c>
      <x:c r="H6418" s="0" t="s">
        <x:v>20</x:v>
      </x:c>
      <x:c r="I6418" s="0" t="s">
        <x:v>21</x:v>
      </x:c>
      <x:c r="K6418" s="0">
        <x:f>hyperlink("https://icd.who.int/dev11/l-ichi/en#/http%3A%2F%2Fid.who.int%2Ficd%2Fentity%2F1522864518","browser")</x:f>
      </x:c>
      <x:c r="L6418" s="0">
        <x:f>hyperlink("https://icat2.azurewebsites.net/icat/?ontology=ICD&amp;tab=ClassesTab&amp;id=http%3A%2F%2Fwho.int%2Ficd%2337839_512ebf36_bf6b_4d70_85da_cf2637062af4","iCat")</x:f>
      </x:c>
      <x:c r="M6418" s="0" t="s">
        <x:v>21</x:v>
      </x:c>
      <x:c r="N6418" s="0" t="s">
        <x:v>46</x:v>
      </x:c>
    </x:row>
    <x:row r="6419" spans="1:16">
      <x:c r="A6419" s="0" t="s">
        <x:v>25530</x:v>
      </x:c>
      <x:c r="B6419" s="0" t="s">
        <x:v>25531</x:v>
      </x:c>
      <x:c r="C6419" s="0" t="s">
        <x:v>25532</x:v>
      </x:c>
      <x:c r="E6419" s="0" t="s">
        <x:v>25533</x:v>
      </x:c>
      <x:c r="F6419" s="0" t="s">
        <x:v>45</x:v>
      </x:c>
      <x:c r="G6419" s="0" t="s">
        <x:v>19</x:v>
      </x:c>
      <x:c r="H6419" s="0" t="s">
        <x:v>20</x:v>
      </x:c>
      <x:c r="I6419" s="0" t="s">
        <x:v>21</x:v>
      </x:c>
      <x:c r="K6419" s="0">
        <x:f>hyperlink("https://icd.who.int/dev11/l-ichi/en#/http%3A%2F%2Fid.who.int%2Ficd%2Fentity%2F1410390086","browser")</x:f>
      </x:c>
      <x:c r="L6419" s="0">
        <x:f>hyperlink("https://icat2.azurewebsites.net/icat/?ontology=ICD&amp;tab=ClassesTab&amp;id=http%3A%2F%2Fwho.int%2Ficd%2337846_512ebf36_bf6b_4d70_85da_cf2637062af4","iCat")</x:f>
      </x:c>
      <x:c r="M6419" s="0" t="s">
        <x:v>21</x:v>
      </x:c>
      <x:c r="N6419" s="0" t="s">
        <x:v>46</x:v>
      </x:c>
    </x:row>
    <x:row r="6420" spans="1:16">
      <x:c r="A6420" s="0" t="s">
        <x:v>25534</x:v>
      </x:c>
      <x:c r="B6420" s="0" t="s">
        <x:v>25535</x:v>
      </x:c>
      <x:c r="C6420" s="0" t="s">
        <x:v>25536</x:v>
      </x:c>
      <x:c r="E6420" s="0" t="s">
        <x:v>25537</x:v>
      </x:c>
      <x:c r="F6420" s="0" t="s">
        <x:v>45</x:v>
      </x:c>
      <x:c r="G6420" s="0" t="s">
        <x:v>19</x:v>
      </x:c>
      <x:c r="H6420" s="0" t="s">
        <x:v>20</x:v>
      </x:c>
      <x:c r="I6420" s="0" t="s">
        <x:v>21</x:v>
      </x:c>
      <x:c r="K6420" s="0">
        <x:f>hyperlink("https://icd.who.int/dev11/l-ichi/en#/http%3A%2F%2Fid.who.int%2Ficd%2Fentity%2F198347109","browser")</x:f>
      </x:c>
      <x:c r="L6420" s="0">
        <x:f>hyperlink("https://icat2.azurewebsites.net/icat/?ontology=ICD&amp;tab=ClassesTab&amp;id=http%3A%2F%2Fwho.int%2Ficd%2337852_512ebf36_bf6b_4d70_85da_cf2637062af4","iCat")</x:f>
      </x:c>
      <x:c r="M6420" s="0" t="s">
        <x:v>21</x:v>
      </x:c>
      <x:c r="N6420" s="0" t="s">
        <x:v>46</x:v>
      </x:c>
    </x:row>
    <x:row r="6421" spans="1:16">
      <x:c r="A6421" s="0" t="s">
        <x:v>25538</x:v>
      </x:c>
      <x:c r="B6421" s="0" t="s">
        <x:v>25539</x:v>
      </x:c>
      <x:c r="C6421" s="0" t="s">
        <x:v>25540</x:v>
      </x:c>
      <x:c r="E6421" s="0" t="s">
        <x:v>25541</x:v>
      </x:c>
      <x:c r="F6421" s="0" t="s">
        <x:v>45</x:v>
      </x:c>
      <x:c r="G6421" s="0" t="s">
        <x:v>19</x:v>
      </x:c>
      <x:c r="H6421" s="0" t="s">
        <x:v>20</x:v>
      </x:c>
      <x:c r="I6421" s="0" t="s">
        <x:v>21</x:v>
      </x:c>
      <x:c r="K6421" s="0">
        <x:f>hyperlink("https://icd.who.int/dev11/l-ichi/en#/http%3A%2F%2Fid.who.int%2Ficd%2Fentity%2F833056981","browser")</x:f>
      </x:c>
      <x:c r="L6421" s="0">
        <x:f>hyperlink("https://icat2.azurewebsites.net/icat/?ontology=ICD&amp;tab=ClassesTab&amp;id=http%3A%2F%2Fwho.int%2Ficd%2321781_512ebf36_bf6b_4d70_85da_cf2637062af4","iCat")</x:f>
      </x:c>
      <x:c r="M6421" s="0" t="s">
        <x:v>21</x:v>
      </x:c>
      <x:c r="N6421" s="0" t="s">
        <x:v>46</x:v>
      </x:c>
    </x:row>
    <x:row r="6422" spans="1:16">
      <x:c r="A6422" s="0" t="s">
        <x:v>25542</x:v>
      </x:c>
      <x:c r="B6422" s="0" t="s">
        <x:v>25543</x:v>
      </x:c>
      <x:c r="C6422" s="0" t="s">
        <x:v>25544</x:v>
      </x:c>
      <x:c r="E6422" s="0" t="s">
        <x:v>25545</x:v>
      </x:c>
      <x:c r="F6422" s="0" t="s">
        <x:v>45</x:v>
      </x:c>
      <x:c r="G6422" s="0" t="s">
        <x:v>19</x:v>
      </x:c>
      <x:c r="H6422" s="0" t="s">
        <x:v>20</x:v>
      </x:c>
      <x:c r="I6422" s="0" t="s">
        <x:v>21</x:v>
      </x:c>
      <x:c r="K6422" s="0">
        <x:f>hyperlink("https://icd.who.int/dev11/l-ichi/en#/http%3A%2F%2Fid.who.int%2Ficd%2Fentity%2F540009973","browser")</x:f>
      </x:c>
      <x:c r="L6422" s="0">
        <x:f>hyperlink("https://icat2.azurewebsites.net/icat/?ontology=ICD&amp;tab=ClassesTab&amp;id=http%3A%2F%2Fwho.int%2Ficd%2337858_512ebf36_bf6b_4d70_85da_cf2637062af4","iCat")</x:f>
      </x:c>
      <x:c r="M6422" s="0" t="s">
        <x:v>21</x:v>
      </x:c>
      <x:c r="N6422" s="0" t="s">
        <x:v>46</x:v>
      </x:c>
    </x:row>
    <x:row r="6423" spans="1:16">
      <x:c r="A6423" s="0" t="s">
        <x:v>25546</x:v>
      </x:c>
      <x:c r="B6423" s="0" t="s">
        <x:v>25547</x:v>
      </x:c>
      <x:c r="C6423" s="0" t="s">
        <x:v>25548</x:v>
      </x:c>
      <x:c r="E6423" s="0" t="s">
        <x:v>25549</x:v>
      </x:c>
      <x:c r="F6423" s="0" t="s">
        <x:v>45</x:v>
      </x:c>
      <x:c r="G6423" s="0" t="s">
        <x:v>19</x:v>
      </x:c>
      <x:c r="H6423" s="0" t="s">
        <x:v>20</x:v>
      </x:c>
      <x:c r="I6423" s="0" t="s">
        <x:v>21</x:v>
      </x:c>
      <x:c r="K6423" s="0">
        <x:f>hyperlink("https://icd.who.int/dev11/l-ichi/en#/http%3A%2F%2Fid.who.int%2Ficd%2Fentity%2F1004626671","browser")</x:f>
      </x:c>
      <x:c r="L6423" s="0">
        <x:f>hyperlink("https://icat2.azurewebsites.net/icat/?ontology=ICD&amp;tab=ClassesTab&amp;id=http%3A%2F%2Fwho.int%2Ficd%2337865_512ebf36_bf6b_4d70_85da_cf2637062af4","iCat")</x:f>
      </x:c>
      <x:c r="M6423" s="0" t="s">
        <x:v>21</x:v>
      </x:c>
      <x:c r="N6423" s="0" t="s">
        <x:v>46</x:v>
      </x:c>
    </x:row>
    <x:row r="6424" spans="1:16">
      <x:c r="A6424" s="0" t="s">
        <x:v>25550</x:v>
      </x:c>
      <x:c r="B6424" s="0" t="s">
        <x:v>25551</x:v>
      </x:c>
      <x:c r="C6424" s="0" t="s">
        <x:v>25552</x:v>
      </x:c>
      <x:c r="E6424" s="0" t="s">
        <x:v>25553</x:v>
      </x:c>
      <x:c r="F6424" s="0" t="s">
        <x:v>45</x:v>
      </x:c>
      <x:c r="G6424" s="0" t="s">
        <x:v>19</x:v>
      </x:c>
      <x:c r="H6424" s="0" t="s">
        <x:v>20</x:v>
      </x:c>
      <x:c r="I6424" s="0" t="s">
        <x:v>21</x:v>
      </x:c>
      <x:c r="K6424" s="0">
        <x:f>hyperlink("https://icd.who.int/dev11/l-ichi/en#/http%3A%2F%2Fid.who.int%2Ficd%2Fentity%2F1910343046","browser")</x:f>
      </x:c>
      <x:c r="L6424" s="0">
        <x:f>hyperlink("https://icat2.azurewebsites.net/icat/?ontology=ICD&amp;tab=ClassesTab&amp;id=http%3A%2F%2Fwho.int%2Ficd%2337874_512ebf36_bf6b_4d70_85da_cf2637062af4","iCat")</x:f>
      </x:c>
      <x:c r="M6424" s="0" t="s">
        <x:v>21</x:v>
      </x:c>
      <x:c r="N6424" s="0" t="s">
        <x:v>46</x:v>
      </x:c>
    </x:row>
    <x:row r="6425" spans="1:16">
      <x:c r="A6425" s="0" t="s">
        <x:v>25554</x:v>
      </x:c>
      <x:c r="B6425" s="0" t="s">
        <x:v>25555</x:v>
      </x:c>
      <x:c r="C6425" s="0" t="s">
        <x:v>25556</x:v>
      </x:c>
      <x:c r="E6425" s="0" t="s">
        <x:v>25557</x:v>
      </x:c>
      <x:c r="F6425" s="0" t="s">
        <x:v>45</x:v>
      </x:c>
      <x:c r="G6425" s="0" t="s">
        <x:v>19</x:v>
      </x:c>
      <x:c r="H6425" s="0" t="s">
        <x:v>20</x:v>
      </x:c>
      <x:c r="I6425" s="0" t="s">
        <x:v>21</x:v>
      </x:c>
      <x:c r="K6425" s="0">
        <x:f>hyperlink("https://icd.who.int/dev11/l-ichi/en#/http%3A%2F%2Fid.who.int%2Ficd%2Fentity%2F1799162670","browser")</x:f>
      </x:c>
      <x:c r="L6425" s="0">
        <x:f>hyperlink("https://icat2.azurewebsites.net/icat/?ontology=ICD&amp;tab=ClassesTab&amp;id=http%3A%2F%2Fwho.int%2Ficd%2337880_512ebf36_bf6b_4d70_85da_cf2637062af4","iCat")</x:f>
      </x:c>
      <x:c r="M6425" s="0" t="s">
        <x:v>21</x:v>
      </x:c>
      <x:c r="N6425" s="0" t="s">
        <x:v>46</x:v>
      </x:c>
    </x:row>
    <x:row r="6426" spans="1:16">
      <x:c r="A6426" s="0" t="s">
        <x:v>25558</x:v>
      </x:c>
      <x:c r="B6426" s="0" t="s">
        <x:v>25559</x:v>
      </x:c>
      <x:c r="C6426" s="0" t="s">
        <x:v>25560</x:v>
      </x:c>
      <x:c r="E6426" s="0" t="s">
        <x:v>25561</x:v>
      </x:c>
      <x:c r="F6426" s="0" t="s">
        <x:v>45</x:v>
      </x:c>
      <x:c r="G6426" s="0" t="s">
        <x:v>19</x:v>
      </x:c>
      <x:c r="H6426" s="0" t="s">
        <x:v>20</x:v>
      </x:c>
      <x:c r="I6426" s="0" t="s">
        <x:v>21</x:v>
      </x:c>
      <x:c r="K6426" s="0">
        <x:f>hyperlink("https://icd.who.int/dev11/l-ichi/en#/http%3A%2F%2Fid.who.int%2Ficd%2Fentity%2F994497183","browser")</x:f>
      </x:c>
      <x:c r="L6426" s="0">
        <x:f>hyperlink("https://icat2.azurewebsites.net/icat/?ontology=ICD&amp;tab=ClassesTab&amp;id=http%3A%2F%2Fwho.int%2Ficd%2337886_512ebf36_bf6b_4d70_85da_cf2637062af4","iCat")</x:f>
      </x:c>
      <x:c r="M6426" s="0" t="s">
        <x:v>21</x:v>
      </x:c>
      <x:c r="N6426" s="0" t="s">
        <x:v>46</x:v>
      </x:c>
    </x:row>
    <x:row r="6427" spans="1:16">
      <x:c r="A6427" s="0" t="s">
        <x:v>25562</x:v>
      </x:c>
      <x:c r="B6427" s="0" t="s">
        <x:v>25563</x:v>
      </x:c>
      <x:c r="C6427" s="0" t="s">
        <x:v>25564</x:v>
      </x:c>
      <x:c r="E6427" s="0" t="s">
        <x:v>25565</x:v>
      </x:c>
      <x:c r="F6427" s="0" t="s">
        <x:v>45</x:v>
      </x:c>
      <x:c r="G6427" s="0" t="s">
        <x:v>19</x:v>
      </x:c>
      <x:c r="H6427" s="0" t="s">
        <x:v>20</x:v>
      </x:c>
      <x:c r="I6427" s="0" t="s">
        <x:v>21</x:v>
      </x:c>
      <x:c r="K6427" s="0">
        <x:f>hyperlink("https://icd.who.int/dev11/l-ichi/en#/http%3A%2F%2Fid.who.int%2Ficd%2Fentity%2F1903834612","browser")</x:f>
      </x:c>
      <x:c r="L6427" s="0">
        <x:f>hyperlink("https://icat2.azurewebsites.net/icat/?ontology=ICD&amp;tab=ClassesTab&amp;id=http%3A%2F%2Fwho.int%2Ficd%2337897_512ebf36_bf6b_4d70_85da_cf2637062af4","iCat")</x:f>
      </x:c>
      <x:c r="M6427" s="0" t="s">
        <x:v>21</x:v>
      </x:c>
      <x:c r="N6427" s="0" t="s">
        <x:v>46</x:v>
      </x:c>
    </x:row>
    <x:row r="6428" spans="1:16">
      <x:c r="A6428" s="0" t="s">
        <x:v>25566</x:v>
      </x:c>
      <x:c r="B6428" s="0" t="s">
        <x:v>25567</x:v>
      </x:c>
      <x:c r="C6428" s="0" t="s">
        <x:v>25568</x:v>
      </x:c>
      <x:c r="E6428" s="0" t="s">
        <x:v>25569</x:v>
      </x:c>
      <x:c r="F6428" s="0" t="s">
        <x:v>45</x:v>
      </x:c>
      <x:c r="G6428" s="0" t="s">
        <x:v>19</x:v>
      </x:c>
      <x:c r="H6428" s="0" t="s">
        <x:v>20</x:v>
      </x:c>
      <x:c r="I6428" s="0" t="s">
        <x:v>21</x:v>
      </x:c>
      <x:c r="K6428" s="0">
        <x:f>hyperlink("https://icd.who.int/dev11/l-ichi/en#/http%3A%2F%2Fid.who.int%2Ficd%2Fentity%2F342696511","browser")</x:f>
      </x:c>
      <x:c r="L6428" s="0">
        <x:f>hyperlink("https://icat2.azurewebsites.net/icat/?ontology=ICD&amp;tab=ClassesTab&amp;id=http%3A%2F%2Fwho.int%2Ficd%2337905_512ebf36_bf6b_4d70_85da_cf2637062af4","iCat")</x:f>
      </x:c>
      <x:c r="M6428" s="0" t="s">
        <x:v>21</x:v>
      </x:c>
      <x:c r="N6428" s="0" t="s">
        <x:v>46</x:v>
      </x:c>
    </x:row>
    <x:row r="6429" spans="1:16">
      <x:c r="A6429" s="0" t="s">
        <x:v>25570</x:v>
      </x:c>
      <x:c r="B6429" s="0" t="s">
        <x:v>25571</x:v>
      </x:c>
      <x:c r="C6429" s="0" t="s">
        <x:v>25572</x:v>
      </x:c>
      <x:c r="E6429" s="0" t="s">
        <x:v>25573</x:v>
      </x:c>
      <x:c r="F6429" s="0" t="s">
        <x:v>45</x:v>
      </x:c>
      <x:c r="G6429" s="0" t="s">
        <x:v>19</x:v>
      </x:c>
      <x:c r="H6429" s="0" t="s">
        <x:v>20</x:v>
      </x:c>
      <x:c r="I6429" s="0" t="s">
        <x:v>21</x:v>
      </x:c>
      <x:c r="K6429" s="0">
        <x:f>hyperlink("https://icd.who.int/dev11/l-ichi/en#/http%3A%2F%2Fid.who.int%2Ficd%2Fentity%2F785608409","browser")</x:f>
      </x:c>
      <x:c r="L6429" s="0">
        <x:f>hyperlink("https://icat2.azurewebsites.net/icat/?ontology=ICD&amp;tab=ClassesTab&amp;id=http%3A%2F%2Fwho.int%2Ficd%2337913_512ebf36_bf6b_4d70_85da_cf2637062af4","iCat")</x:f>
      </x:c>
      <x:c r="M6429" s="0" t="s">
        <x:v>21</x:v>
      </x:c>
      <x:c r="N6429" s="0" t="s">
        <x:v>46</x:v>
      </x:c>
    </x:row>
    <x:row r="6430" spans="1:16">
      <x:c r="A6430" s="0" t="s">
        <x:v>25574</x:v>
      </x:c>
      <x:c r="B6430" s="0" t="s">
        <x:v>25575</x:v>
      </x:c>
      <x:c r="C6430" s="0" t="s">
        <x:v>25576</x:v>
      </x:c>
      <x:c r="E6430" s="0" t="s">
        <x:v>25577</x:v>
      </x:c>
      <x:c r="F6430" s="0" t="s">
        <x:v>45</x:v>
      </x:c>
      <x:c r="G6430" s="0" t="s">
        <x:v>19</x:v>
      </x:c>
      <x:c r="H6430" s="0" t="s">
        <x:v>20</x:v>
      </x:c>
      <x:c r="I6430" s="0" t="s">
        <x:v>21</x:v>
      </x:c>
      <x:c r="K6430" s="0">
        <x:f>hyperlink("https://icd.who.int/dev11/l-ichi/en#/http%3A%2F%2Fid.who.int%2Ficd%2Fentity%2F736575783","browser")</x:f>
      </x:c>
      <x:c r="L6430" s="0">
        <x:f>hyperlink("https://icat2.azurewebsites.net/icat/?ontology=ICD&amp;tab=ClassesTab&amp;id=http%3A%2F%2Fwho.int%2Ficd%2337920_512ebf36_bf6b_4d70_85da_cf2637062af4","iCat")</x:f>
      </x:c>
      <x:c r="M6430" s="0" t="s">
        <x:v>21</x:v>
      </x:c>
      <x:c r="N6430" s="0" t="s">
        <x:v>46</x:v>
      </x:c>
    </x:row>
    <x:row r="6431" spans="1:16">
      <x:c r="A6431" s="0" t="s">
        <x:v>25578</x:v>
      </x:c>
      <x:c r="B6431" s="0" t="s">
        <x:v>25579</x:v>
      </x:c>
      <x:c r="C6431" s="0" t="s">
        <x:v>25580</x:v>
      </x:c>
      <x:c r="E6431" s="0" t="s">
        <x:v>25581</x:v>
      </x:c>
      <x:c r="F6431" s="0" t="s">
        <x:v>45</x:v>
      </x:c>
      <x:c r="G6431" s="0" t="s">
        <x:v>19</x:v>
      </x:c>
      <x:c r="H6431" s="0" t="s">
        <x:v>20</x:v>
      </x:c>
      <x:c r="I6431" s="0" t="s">
        <x:v>21</x:v>
      </x:c>
      <x:c r="K6431" s="0">
        <x:f>hyperlink("https://icd.who.int/dev11/l-ichi/en#/http%3A%2F%2Fid.who.int%2Ficd%2Fentity%2F1533405866","browser")</x:f>
      </x:c>
      <x:c r="L6431" s="0">
        <x:f>hyperlink("https://icat2.azurewebsites.net/icat/?ontology=ICD&amp;tab=ClassesTab&amp;id=http%3A%2F%2Fwho.int%2Ficd%2337927_512ebf36_bf6b_4d70_85da_cf2637062af4","iCat")</x:f>
      </x:c>
      <x:c r="M6431" s="0" t="s">
        <x:v>21</x:v>
      </x:c>
      <x:c r="N6431" s="0" t="s">
        <x:v>46</x:v>
      </x:c>
    </x:row>
    <x:row r="6432" spans="1:16">
      <x:c r="A6432" s="0" t="s">
        <x:v>25582</x:v>
      </x:c>
      <x:c r="B6432" s="0" t="s">
        <x:v>25583</x:v>
      </x:c>
      <x:c r="C6432" s="0" t="s">
        <x:v>25584</x:v>
      </x:c>
      <x:c r="E6432" s="0" t="s">
        <x:v>25585</x:v>
      </x:c>
      <x:c r="F6432" s="0" t="s">
        <x:v>45</x:v>
      </x:c>
      <x:c r="G6432" s="0" t="s">
        <x:v>19</x:v>
      </x:c>
      <x:c r="H6432" s="0" t="s">
        <x:v>20</x:v>
      </x:c>
      <x:c r="I6432" s="0" t="s">
        <x:v>21</x:v>
      </x:c>
      <x:c r="K6432" s="0">
        <x:f>hyperlink("https://icd.who.int/dev11/l-ichi/en#/http%3A%2F%2Fid.who.int%2Ficd%2Fentity%2F265137408","browser")</x:f>
      </x:c>
      <x:c r="L6432" s="0">
        <x:f>hyperlink("https://icat2.azurewebsites.net/icat/?ontology=ICD&amp;tab=ClassesTab&amp;id=http%3A%2F%2Fwho.int%2Ficd%23203_0368fbe2_93a4_4815_a335_62c65beafc84","iCat")</x:f>
      </x:c>
      <x:c r="M6432" s="0" t="s">
        <x:v>21</x:v>
      </x:c>
      <x:c r="N6432" s="0" t="s">
        <x:v>46</x:v>
      </x:c>
    </x:row>
    <x:row r="6433" spans="1:16">
      <x:c r="A6433" s="0" t="s">
        <x:v>25586</x:v>
      </x:c>
      <x:c r="B6433" s="0" t="s">
        <x:v>25587</x:v>
      </x:c>
      <x:c r="C6433" s="0" t="s">
        <x:v>25588</x:v>
      </x:c>
      <x:c r="E6433" s="0" t="s">
        <x:v>25589</x:v>
      </x:c>
      <x:c r="F6433" s="0" t="s">
        <x:v>45</x:v>
      </x:c>
      <x:c r="G6433" s="0" t="s">
        <x:v>19</x:v>
      </x:c>
      <x:c r="H6433" s="0" t="s">
        <x:v>20</x:v>
      </x:c>
      <x:c r="I6433" s="0" t="s">
        <x:v>21</x:v>
      </x:c>
      <x:c r="K6433" s="0">
        <x:f>hyperlink("https://icd.who.int/dev11/l-ichi/en#/http%3A%2F%2Fid.who.int%2Ficd%2Fentity%2F832602109","browser")</x:f>
      </x:c>
      <x:c r="L6433" s="0">
        <x:f>hyperlink("https://icat2.azurewebsites.net/icat/?ontology=ICD&amp;tab=ClassesTab&amp;id=http%3A%2F%2Fwho.int%2Ficd%2337937_512ebf36_bf6b_4d70_85da_cf2637062af4","iCat")</x:f>
      </x:c>
      <x:c r="M6433" s="0" t="s">
        <x:v>21</x:v>
      </x:c>
      <x:c r="N6433" s="0" t="s">
        <x:v>46</x:v>
      </x:c>
    </x:row>
    <x:row r="6434" spans="1:16">
      <x:c r="A6434" s="0" t="s">
        <x:v>25590</x:v>
      </x:c>
      <x:c r="B6434" s="0" t="s">
        <x:v>25591</x:v>
      </x:c>
      <x:c r="C6434" s="0" t="s">
        <x:v>25592</x:v>
      </x:c>
      <x:c r="E6434" s="0" t="s">
        <x:v>25593</x:v>
      </x:c>
      <x:c r="F6434" s="0" t="s">
        <x:v>45</x:v>
      </x:c>
      <x:c r="G6434" s="0" t="s">
        <x:v>19</x:v>
      </x:c>
      <x:c r="H6434" s="0" t="s">
        <x:v>20</x:v>
      </x:c>
      <x:c r="I6434" s="0" t="s">
        <x:v>21</x:v>
      </x:c>
      <x:c r="K6434" s="0">
        <x:f>hyperlink("https://icd.who.int/dev11/l-ichi/en#/http%3A%2F%2Fid.who.int%2Ficd%2Fentity%2F1156776734","browser")</x:f>
      </x:c>
      <x:c r="L6434" s="0">
        <x:f>hyperlink("https://icat2.azurewebsites.net/icat/?ontology=ICD&amp;tab=ClassesTab&amp;id=http%3A%2F%2Fwho.int%2Ficd%2337944_512ebf36_bf6b_4d70_85da_cf2637062af4","iCat")</x:f>
      </x:c>
      <x:c r="M6434" s="0" t="s">
        <x:v>21</x:v>
      </x:c>
      <x:c r="N6434" s="0" t="s">
        <x:v>46</x:v>
      </x:c>
    </x:row>
    <x:row r="6435" spans="1:16">
      <x:c r="A6435" s="0" t="s">
        <x:v>25594</x:v>
      </x:c>
      <x:c r="B6435" s="0" t="s">
        <x:v>25595</x:v>
      </x:c>
      <x:c r="C6435" s="0" t="s">
        <x:v>25596</x:v>
      </x:c>
      <x:c r="E6435" s="0" t="s">
        <x:v>25597</x:v>
      </x:c>
      <x:c r="F6435" s="0" t="s">
        <x:v>45</x:v>
      </x:c>
      <x:c r="G6435" s="0" t="s">
        <x:v>19</x:v>
      </x:c>
      <x:c r="H6435" s="0" t="s">
        <x:v>20</x:v>
      </x:c>
      <x:c r="I6435" s="0" t="s">
        <x:v>21</x:v>
      </x:c>
      <x:c r="K6435" s="0">
        <x:f>hyperlink("https://icd.who.int/dev11/l-ichi/en#/http%3A%2F%2Fid.who.int%2Ficd%2Fentity%2F1002971137","browser")</x:f>
      </x:c>
      <x:c r="L6435" s="0">
        <x:f>hyperlink("https://icat2.azurewebsites.net/icat/?ontology=ICD&amp;tab=ClassesTab&amp;id=http%3A%2F%2Fwho.int%2Ficd%2337951_512ebf36_bf6b_4d70_85da_cf2637062af4","iCat")</x:f>
      </x:c>
      <x:c r="M6435" s="0" t="s">
        <x:v>21</x:v>
      </x:c>
      <x:c r="N6435" s="0" t="s">
        <x:v>46</x:v>
      </x:c>
    </x:row>
    <x:row r="6436" spans="1:16">
      <x:c r="A6436" s="0" t="s">
        <x:v>25598</x:v>
      </x:c>
      <x:c r="B6436" s="0" t="s">
        <x:v>25599</x:v>
      </x:c>
      <x:c r="C6436" s="0" t="s">
        <x:v>25600</x:v>
      </x:c>
      <x:c r="E6436" s="0" t="s">
        <x:v>25601</x:v>
      </x:c>
      <x:c r="F6436" s="0" t="s">
        <x:v>45</x:v>
      </x:c>
      <x:c r="G6436" s="0" t="s">
        <x:v>19</x:v>
      </x:c>
      <x:c r="H6436" s="0" t="s">
        <x:v>20</x:v>
      </x:c>
      <x:c r="I6436" s="0" t="s">
        <x:v>21</x:v>
      </x:c>
      <x:c r="K6436" s="0">
        <x:f>hyperlink("https://icd.who.int/dev11/l-ichi/en#/http%3A%2F%2Fid.who.int%2Ficd%2Fentity%2F1806956978","browser")</x:f>
      </x:c>
      <x:c r="L6436" s="0">
        <x:f>hyperlink("https://icat2.azurewebsites.net/icat/?ontology=ICD&amp;tab=ClassesTab&amp;id=http%3A%2F%2Fwho.int%2Ficd%2337957_512ebf36_bf6b_4d70_85da_cf2637062af4","iCat")</x:f>
      </x:c>
      <x:c r="M6436" s="0" t="s">
        <x:v>21</x:v>
      </x:c>
      <x:c r="N6436" s="0" t="s">
        <x:v>46</x:v>
      </x:c>
    </x:row>
    <x:row r="6437" spans="1:16">
      <x:c r="A6437" s="0" t="s">
        <x:v>25602</x:v>
      </x:c>
      <x:c r="B6437" s="0" t="s">
        <x:v>25603</x:v>
      </x:c>
      <x:c r="C6437" s="0" t="s">
        <x:v>25604</x:v>
      </x:c>
      <x:c r="E6437" s="0" t="s">
        <x:v>25605</x:v>
      </x:c>
      <x:c r="F6437" s="0" t="s">
        <x:v>45</x:v>
      </x:c>
      <x:c r="G6437" s="0" t="s">
        <x:v>19</x:v>
      </x:c>
      <x:c r="H6437" s="0" t="s">
        <x:v>20</x:v>
      </x:c>
      <x:c r="I6437" s="0" t="s">
        <x:v>21</x:v>
      </x:c>
      <x:c r="K6437" s="0">
        <x:f>hyperlink("https://icd.who.int/dev11/l-ichi/en#/http%3A%2F%2Fid.who.int%2Ficd%2Fentity%2F1441224456","browser")</x:f>
      </x:c>
      <x:c r="L6437" s="0">
        <x:f>hyperlink("https://icat2.azurewebsites.net/icat/?ontology=ICD&amp;tab=ClassesTab&amp;id=http%3A%2F%2Fwho.int%2Ficd%23183_dd4d4347_e398_43b9_84dd_c9611ca6abfa","iCat")</x:f>
      </x:c>
      <x:c r="M6437" s="0" t="s">
        <x:v>21</x:v>
      </x:c>
      <x:c r="N6437" s="0" t="s">
        <x:v>46</x:v>
      </x:c>
    </x:row>
    <x:row r="6438" spans="1:16">
      <x:c r="A6438" s="0" t="s">
        <x:v>25606</x:v>
      </x:c>
      <x:c r="B6438" s="0" t="s">
        <x:v>25607</x:v>
      </x:c>
      <x:c r="C6438" s="0" t="s">
        <x:v>25608</x:v>
      </x:c>
      <x:c r="E6438" s="0" t="s">
        <x:v>25609</x:v>
      </x:c>
      <x:c r="F6438" s="0" t="s">
        <x:v>45</x:v>
      </x:c>
      <x:c r="G6438" s="0" t="s">
        <x:v>19</x:v>
      </x:c>
      <x:c r="H6438" s="0" t="s">
        <x:v>20</x:v>
      </x:c>
      <x:c r="I6438" s="0" t="s">
        <x:v>21</x:v>
      </x:c>
      <x:c r="K6438" s="0">
        <x:f>hyperlink("https://icd.who.int/dev11/l-ichi/en#/http%3A%2F%2Fid.who.int%2Ficd%2Fentity%2F1854395984","browser")</x:f>
      </x:c>
      <x:c r="L6438" s="0">
        <x:f>hyperlink("https://icat2.azurewebsites.net/icat/?ontology=ICD&amp;tab=ClassesTab&amp;id=http%3A%2F%2Fwho.int%2Ficd%2337964_512ebf36_bf6b_4d70_85da_cf2637062af4","iCat")</x:f>
      </x:c>
      <x:c r="M6438" s="0" t="s">
        <x:v>21</x:v>
      </x:c>
      <x:c r="N6438" s="0" t="s">
        <x:v>46</x:v>
      </x:c>
    </x:row>
    <x:row r="6439" spans="1:16">
      <x:c r="A6439" s="0" t="s">
        <x:v>25610</x:v>
      </x:c>
      <x:c r="B6439" s="0" t="s">
        <x:v>25611</x:v>
      </x:c>
      <x:c r="C6439" s="0" t="s">
        <x:v>25612</x:v>
      </x:c>
      <x:c r="E6439" s="0" t="s">
        <x:v>25613</x:v>
      </x:c>
      <x:c r="F6439" s="0" t="s">
        <x:v>45</x:v>
      </x:c>
      <x:c r="G6439" s="0" t="s">
        <x:v>19</x:v>
      </x:c>
      <x:c r="H6439" s="0" t="s">
        <x:v>20</x:v>
      </x:c>
      <x:c r="I6439" s="0" t="s">
        <x:v>21</x:v>
      </x:c>
      <x:c r="K6439" s="0">
        <x:f>hyperlink("https://icd.who.int/dev11/l-ichi/en#/http%3A%2F%2Fid.who.int%2Ficd%2Fentity%2F1413061288","browser")</x:f>
      </x:c>
      <x:c r="L6439" s="0">
        <x:f>hyperlink("https://icat2.azurewebsites.net/icat/?ontology=ICD&amp;tab=ClassesTab&amp;id=http%3A%2F%2Fwho.int%2Ficd%2337972_512ebf36_bf6b_4d70_85da_cf2637062af4","iCat")</x:f>
      </x:c>
      <x:c r="M6439" s="0" t="s">
        <x:v>21</x:v>
      </x:c>
      <x:c r="N6439" s="0" t="s">
        <x:v>46</x:v>
      </x:c>
    </x:row>
    <x:row r="6440" spans="1:16">
      <x:c r="A6440" s="0" t="s">
        <x:v>25614</x:v>
      </x:c>
      <x:c r="B6440" s="0" t="s">
        <x:v>25615</x:v>
      </x:c>
      <x:c r="C6440" s="0" t="s">
        <x:v>25616</x:v>
      </x:c>
      <x:c r="E6440" s="0" t="s">
        <x:v>25617</x:v>
      </x:c>
      <x:c r="F6440" s="0" t="s">
        <x:v>45</x:v>
      </x:c>
      <x:c r="G6440" s="0" t="s">
        <x:v>19</x:v>
      </x:c>
      <x:c r="H6440" s="0" t="s">
        <x:v>20</x:v>
      </x:c>
      <x:c r="I6440" s="0" t="s">
        <x:v>21</x:v>
      </x:c>
      <x:c r="K6440" s="0">
        <x:f>hyperlink("https://icd.who.int/dev11/l-ichi/en#/http%3A%2F%2Fid.who.int%2Ficd%2Fentity%2F2143614520","browser")</x:f>
      </x:c>
      <x:c r="L6440" s="0">
        <x:f>hyperlink("https://icat2.azurewebsites.net/icat/?ontology=ICD&amp;tab=ClassesTab&amp;id=http%3A%2F%2Fwho.int%2Ficd%2337978_512ebf36_bf6b_4d70_85da_cf2637062af4","iCat")</x:f>
      </x:c>
      <x:c r="M6440" s="0" t="s">
        <x:v>21</x:v>
      </x:c>
      <x:c r="N6440" s="0" t="s">
        <x:v>46</x:v>
      </x:c>
    </x:row>
    <x:row r="6441" spans="1:16">
      <x:c r="A6441" s="0" t="s">
        <x:v>25618</x:v>
      </x:c>
      <x:c r="B6441" s="0" t="s">
        <x:v>25619</x:v>
      </x:c>
      <x:c r="C6441" s="0" t="s">
        <x:v>25620</x:v>
      </x:c>
      <x:c r="E6441" s="0" t="s">
        <x:v>25621</x:v>
      </x:c>
      <x:c r="F6441" s="0" t="s">
        <x:v>45</x:v>
      </x:c>
      <x:c r="G6441" s="0" t="s">
        <x:v>19</x:v>
      </x:c>
      <x:c r="H6441" s="0" t="s">
        <x:v>20</x:v>
      </x:c>
      <x:c r="I6441" s="0" t="s">
        <x:v>21</x:v>
      </x:c>
      <x:c r="K6441" s="0">
        <x:f>hyperlink("https://icd.who.int/dev11/l-ichi/en#/http%3A%2F%2Fid.who.int%2Ficd%2Fentity%2F1847617086","browser")</x:f>
      </x:c>
      <x:c r="L6441" s="0">
        <x:f>hyperlink("https://icat2.azurewebsites.net/icat/?ontology=ICD&amp;tab=ClassesTab&amp;id=http%3A%2F%2Fwho.int%2Ficd%2337987_512ebf36_bf6b_4d70_85da_cf2637062af4","iCat")</x:f>
      </x:c>
      <x:c r="M6441" s="0" t="s">
        <x:v>21</x:v>
      </x:c>
      <x:c r="N6441" s="0" t="s">
        <x:v>46</x:v>
      </x:c>
    </x:row>
    <x:row r="6442" spans="1:16">
      <x:c r="A6442" s="0" t="s">
        <x:v>25622</x:v>
      </x:c>
      <x:c r="B6442" s="0" t="s">
        <x:v>25623</x:v>
      </x:c>
      <x:c r="C6442" s="0" t="s">
        <x:v>25624</x:v>
      </x:c>
      <x:c r="E6442" s="0" t="s">
        <x:v>25625</x:v>
      </x:c>
      <x:c r="F6442" s="0" t="s">
        <x:v>45</x:v>
      </x:c>
      <x:c r="G6442" s="0" t="s">
        <x:v>19</x:v>
      </x:c>
      <x:c r="H6442" s="0" t="s">
        <x:v>20</x:v>
      </x:c>
      <x:c r="I6442" s="0" t="s">
        <x:v>21</x:v>
      </x:c>
      <x:c r="K6442" s="0">
        <x:f>hyperlink("https://icd.who.int/dev11/l-ichi/en#/http%3A%2F%2Fid.who.int%2Ficd%2Fentity%2F1096850578","browser")</x:f>
      </x:c>
      <x:c r="L6442" s="0">
        <x:f>hyperlink("https://icat2.azurewebsites.net/icat/?ontology=ICD&amp;tab=ClassesTab&amp;id=http%3A%2F%2Fwho.int%2Ficd%2337994_512ebf36_bf6b_4d70_85da_cf2637062af4","iCat")</x:f>
      </x:c>
      <x:c r="M6442" s="0" t="s">
        <x:v>21</x:v>
      </x:c>
      <x:c r="N6442" s="0" t="s">
        <x:v>46</x:v>
      </x:c>
    </x:row>
    <x:row r="6443" spans="1:16">
      <x:c r="A6443" s="0" t="s">
        <x:v>25626</x:v>
      </x:c>
      <x:c r="B6443" s="0" t="s">
        <x:v>25627</x:v>
      </x:c>
      <x:c r="C6443" s="0" t="s">
        <x:v>25628</x:v>
      </x:c>
      <x:c r="E6443" s="0" t="s">
        <x:v>25629</x:v>
      </x:c>
      <x:c r="F6443" s="0" t="s">
        <x:v>45</x:v>
      </x:c>
      <x:c r="G6443" s="0" t="s">
        <x:v>19</x:v>
      </x:c>
      <x:c r="H6443" s="0" t="s">
        <x:v>20</x:v>
      </x:c>
      <x:c r="I6443" s="0" t="s">
        <x:v>21</x:v>
      </x:c>
      <x:c r="K6443" s="0">
        <x:f>hyperlink("https://icd.who.int/dev11/l-ichi/en#/http%3A%2F%2Fid.who.int%2Ficd%2Fentity%2F1333888626","browser")</x:f>
      </x:c>
      <x:c r="L6443" s="0">
        <x:f>hyperlink("https://icat2.azurewebsites.net/icat/?ontology=ICD&amp;tab=ClassesTab&amp;id=http%3A%2F%2Fwho.int%2Ficd%2338001_512ebf36_bf6b_4d70_85da_cf2637062af4","iCat")</x:f>
      </x:c>
      <x:c r="M6443" s="0" t="s">
        <x:v>21</x:v>
      </x:c>
      <x:c r="N6443" s="0" t="s">
        <x:v>46</x:v>
      </x:c>
    </x:row>
    <x:row r="6444" spans="1:16">
      <x:c r="A6444" s="0" t="s">
        <x:v>25630</x:v>
      </x:c>
      <x:c r="B6444" s="0" t="s">
        <x:v>25631</x:v>
      </x:c>
      <x:c r="C6444" s="0" t="s">
        <x:v>25632</x:v>
      </x:c>
      <x:c r="E6444" s="0" t="s">
        <x:v>25633</x:v>
      </x:c>
      <x:c r="F6444" s="0" t="s">
        <x:v>45</x:v>
      </x:c>
      <x:c r="G6444" s="0" t="s">
        <x:v>19</x:v>
      </x:c>
      <x:c r="H6444" s="0" t="s">
        <x:v>20</x:v>
      </x:c>
      <x:c r="I6444" s="0" t="s">
        <x:v>21</x:v>
      </x:c>
      <x:c r="K6444" s="0">
        <x:f>hyperlink("https://icd.who.int/dev11/l-ichi/en#/http%3A%2F%2Fid.who.int%2Ficd%2Fentity%2F570000667","browser")</x:f>
      </x:c>
      <x:c r="L6444" s="0">
        <x:f>hyperlink("https://icat2.azurewebsites.net/icat/?ontology=ICD&amp;tab=ClassesTab&amp;id=http%3A%2F%2Fwho.int%2Ficd%2338008_512ebf36_bf6b_4d70_85da_cf2637062af4","iCat")</x:f>
      </x:c>
      <x:c r="M6444" s="0" t="s">
        <x:v>21</x:v>
      </x:c>
      <x:c r="N6444" s="0" t="s">
        <x:v>46</x:v>
      </x:c>
    </x:row>
    <x:row r="6445" spans="1:16">
      <x:c r="A6445" s="0" t="s">
        <x:v>25634</x:v>
      </x:c>
      <x:c r="B6445" s="0" t="s">
        <x:v>25635</x:v>
      </x:c>
      <x:c r="C6445" s="0" t="s">
        <x:v>25636</x:v>
      </x:c>
      <x:c r="E6445" s="0" t="s">
        <x:v>25637</x:v>
      </x:c>
      <x:c r="F6445" s="0" t="s">
        <x:v>45</x:v>
      </x:c>
      <x:c r="G6445" s="0" t="s">
        <x:v>19</x:v>
      </x:c>
      <x:c r="H6445" s="0" t="s">
        <x:v>20</x:v>
      </x:c>
      <x:c r="I6445" s="0" t="s">
        <x:v>21</x:v>
      </x:c>
      <x:c r="K6445" s="0">
        <x:f>hyperlink("https://icd.who.int/dev11/l-ichi/en#/http%3A%2F%2Fid.who.int%2Ficd%2Fentity%2F1967114902","browser")</x:f>
      </x:c>
      <x:c r="L6445" s="0">
        <x:f>hyperlink("https://icat2.azurewebsites.net/icat/?ontology=ICD&amp;tab=ClassesTab&amp;id=http%3A%2F%2Fwho.int%2Ficd%2338017_512ebf36_bf6b_4d70_85da_cf2637062af4","iCat")</x:f>
      </x:c>
      <x:c r="M6445" s="0" t="s">
        <x:v>21</x:v>
      </x:c>
      <x:c r="N6445" s="0" t="s">
        <x:v>46</x:v>
      </x:c>
    </x:row>
    <x:row r="6446" spans="1:16">
      <x:c r="A6446" s="0" t="s">
        <x:v>25638</x:v>
      </x:c>
      <x:c r="B6446" s="0" t="s">
        <x:v>25639</x:v>
      </x:c>
      <x:c r="C6446" s="0" t="s">
        <x:v>25640</x:v>
      </x:c>
      <x:c r="E6446" s="0" t="s">
        <x:v>25641</x:v>
      </x:c>
      <x:c r="F6446" s="0" t="s">
        <x:v>45</x:v>
      </x:c>
      <x:c r="G6446" s="0" t="s">
        <x:v>19</x:v>
      </x:c>
      <x:c r="H6446" s="0" t="s">
        <x:v>20</x:v>
      </x:c>
      <x:c r="I6446" s="0" t="s">
        <x:v>21</x:v>
      </x:c>
      <x:c r="K6446" s="0">
        <x:f>hyperlink("https://icd.who.int/dev11/l-ichi/en#/http%3A%2F%2Fid.who.int%2Ficd%2Fentity%2F8998631","browser")</x:f>
      </x:c>
      <x:c r="L6446" s="0">
        <x:f>hyperlink("https://icat2.azurewebsites.net/icat/?ontology=ICD&amp;tab=ClassesTab&amp;id=http%3A%2F%2Fwho.int%2Ficd%2338023_512ebf36_bf6b_4d70_85da_cf2637062af4","iCat")</x:f>
      </x:c>
      <x:c r="M6446" s="0" t="s">
        <x:v>21</x:v>
      </x:c>
      <x:c r="N6446" s="0" t="s">
        <x:v>46</x:v>
      </x:c>
    </x:row>
    <x:row r="6447" spans="1:16">
      <x:c r="A6447" s="0" t="s">
        <x:v>25642</x:v>
      </x:c>
      <x:c r="B6447" s="0" t="s">
        <x:v>25643</x:v>
      </x:c>
      <x:c r="C6447" s="0" t="s">
        <x:v>25644</x:v>
      </x:c>
      <x:c r="E6447" s="0" t="s">
        <x:v>25645</x:v>
      </x:c>
      <x:c r="F6447" s="0" t="s">
        <x:v>45</x:v>
      </x:c>
      <x:c r="G6447" s="0" t="s">
        <x:v>19</x:v>
      </x:c>
      <x:c r="H6447" s="0" t="s">
        <x:v>20</x:v>
      </x:c>
      <x:c r="I6447" s="0" t="s">
        <x:v>21</x:v>
      </x:c>
      <x:c r="K6447" s="0">
        <x:f>hyperlink("https://icd.who.int/dev11/l-ichi/en#/http%3A%2F%2Fid.who.int%2Ficd%2Fentity%2F801748041","browser")</x:f>
      </x:c>
      <x:c r="L6447" s="0">
        <x:f>hyperlink("https://icat2.azurewebsites.net/icat/?ontology=ICD&amp;tab=ClassesTab&amp;id=http%3A%2F%2Fwho.int%2Ficd%2338030_512ebf36_bf6b_4d70_85da_cf2637062af4","iCat")</x:f>
      </x:c>
      <x:c r="M6447" s="0" t="s">
        <x:v>21</x:v>
      </x:c>
      <x:c r="N6447" s="0" t="s">
        <x:v>46</x:v>
      </x:c>
    </x:row>
    <x:row r="6448" spans="1:16">
      <x:c r="A6448" s="0" t="s">
        <x:v>25646</x:v>
      </x:c>
      <x:c r="B6448" s="0" t="s">
        <x:v>25647</x:v>
      </x:c>
      <x:c r="C6448" s="0" t="s">
        <x:v>25648</x:v>
      </x:c>
      <x:c r="E6448" s="0" t="s">
        <x:v>25649</x:v>
      </x:c>
      <x:c r="F6448" s="0" t="s">
        <x:v>45</x:v>
      </x:c>
      <x:c r="G6448" s="0" t="s">
        <x:v>19</x:v>
      </x:c>
      <x:c r="H6448" s="0" t="s">
        <x:v>20</x:v>
      </x:c>
      <x:c r="I6448" s="0" t="s">
        <x:v>21</x:v>
      </x:c>
      <x:c r="K6448" s="0">
        <x:f>hyperlink("https://icd.who.int/dev11/l-ichi/en#/http%3A%2F%2Fid.who.int%2Ficd%2Fentity%2F1102165794","browser")</x:f>
      </x:c>
      <x:c r="L6448" s="0">
        <x:f>hyperlink("https://icat2.azurewebsites.net/icat/?ontology=ICD&amp;tab=ClassesTab&amp;id=http%3A%2F%2Fwho.int%2Ficd%2338039_512ebf36_bf6b_4d70_85da_cf2637062af4","iCat")</x:f>
      </x:c>
      <x:c r="M6448" s="0" t="s">
        <x:v>21</x:v>
      </x:c>
      <x:c r="N6448" s="0" t="s">
        <x:v>46</x:v>
      </x:c>
    </x:row>
    <x:row r="6449" spans="1:16">
      <x:c r="A6449" s="0" t="s">
        <x:v>25650</x:v>
      </x:c>
      <x:c r="B6449" s="0" t="s">
        <x:v>25651</x:v>
      </x:c>
      <x:c r="C6449" s="0" t="s">
        <x:v>25652</x:v>
      </x:c>
      <x:c r="E6449" s="0" t="s">
        <x:v>25653</x:v>
      </x:c>
      <x:c r="F6449" s="0" t="s">
        <x:v>45</x:v>
      </x:c>
      <x:c r="G6449" s="0" t="s">
        <x:v>19</x:v>
      </x:c>
      <x:c r="H6449" s="0" t="s">
        <x:v>20</x:v>
      </x:c>
      <x:c r="I6449" s="0" t="s">
        <x:v>21</x:v>
      </x:c>
      <x:c r="K6449" s="0">
        <x:f>hyperlink("https://icd.who.int/dev11/l-ichi/en#/http%3A%2F%2Fid.who.int%2Ficd%2Fentity%2F182522139","browser")</x:f>
      </x:c>
      <x:c r="L6449" s="0">
        <x:f>hyperlink("https://icat2.azurewebsites.net/icat/?ontology=ICD&amp;tab=ClassesTab&amp;id=http%3A%2F%2Fwho.int%2Ficd%2338045_512ebf36_bf6b_4d70_85da_cf2637062af4","iCat")</x:f>
      </x:c>
      <x:c r="M6449" s="0" t="s">
        <x:v>21</x:v>
      </x:c>
      <x:c r="N6449" s="0" t="s">
        <x:v>46</x:v>
      </x:c>
    </x:row>
    <x:row r="6450" spans="1:16">
      <x:c r="A6450" s="0" t="s">
        <x:v>25654</x:v>
      </x:c>
      <x:c r="B6450" s="0" t="s">
        <x:v>25655</x:v>
      </x:c>
      <x:c r="C6450" s="0" t="s">
        <x:v>25656</x:v>
      </x:c>
      <x:c r="E6450" s="0" t="s">
        <x:v>25657</x:v>
      </x:c>
      <x:c r="F6450" s="0" t="s">
        <x:v>45</x:v>
      </x:c>
      <x:c r="G6450" s="0" t="s">
        <x:v>19</x:v>
      </x:c>
      <x:c r="H6450" s="0" t="s">
        <x:v>20</x:v>
      </x:c>
      <x:c r="I6450" s="0" t="s">
        <x:v>21</x:v>
      </x:c>
      <x:c r="K6450" s="0">
        <x:f>hyperlink("https://icd.who.int/dev11/l-ichi/en#/http%3A%2F%2Fid.who.int%2Ficd%2Fentity%2F1639276032","browser")</x:f>
      </x:c>
      <x:c r="L6450" s="0">
        <x:f>hyperlink("https://icat2.azurewebsites.net/icat/?ontology=ICD&amp;tab=ClassesTab&amp;id=http%3A%2F%2Fwho.int%2Ficd%23212_dd4d4347_e398_43b9_84dd_c9611ca6abfa","iCat")</x:f>
      </x:c>
      <x:c r="M6450" s="0" t="s">
        <x:v>21</x:v>
      </x:c>
      <x:c r="N6450" s="0" t="s">
        <x:v>46</x:v>
      </x:c>
    </x:row>
    <x:row r="6451" spans="1:16">
      <x:c r="A6451" s="0" t="s">
        <x:v>25658</x:v>
      </x:c>
      <x:c r="B6451" s="0" t="s">
        <x:v>25659</x:v>
      </x:c>
      <x:c r="C6451" s="0" t="s">
        <x:v>25660</x:v>
      </x:c>
      <x:c r="E6451" s="0" t="s">
        <x:v>25661</x:v>
      </x:c>
      <x:c r="F6451" s="0" t="s">
        <x:v>45</x:v>
      </x:c>
      <x:c r="G6451" s="0" t="s">
        <x:v>19</x:v>
      </x:c>
      <x:c r="H6451" s="0" t="s">
        <x:v>20</x:v>
      </x:c>
      <x:c r="I6451" s="0" t="s">
        <x:v>21</x:v>
      </x:c>
      <x:c r="K6451" s="0">
        <x:f>hyperlink("https://icd.who.int/dev11/l-ichi/en#/http%3A%2F%2Fid.who.int%2Ficd%2Fentity%2F1428373560","browser")</x:f>
      </x:c>
      <x:c r="L6451" s="0">
        <x:f>hyperlink("https://icat2.azurewebsites.net/icat/?ontology=ICD&amp;tab=ClassesTab&amp;id=http%3A%2F%2Fwho.int%2Ficd%2338051_512ebf36_bf6b_4d70_85da_cf2637062af4","iCat")</x:f>
      </x:c>
      <x:c r="M6451" s="0" t="s">
        <x:v>21</x:v>
      </x:c>
      <x:c r="N6451" s="0" t="s">
        <x:v>46</x:v>
      </x:c>
    </x:row>
    <x:row r="6452" spans="1:16">
      <x:c r="A6452" s="0" t="s">
        <x:v>25662</x:v>
      </x:c>
      <x:c r="B6452" s="0" t="s">
        <x:v>25663</x:v>
      </x:c>
      <x:c r="C6452" s="0" t="s">
        <x:v>25664</x:v>
      </x:c>
      <x:c r="E6452" s="0" t="s">
        <x:v>25665</x:v>
      </x:c>
      <x:c r="F6452" s="0" t="s">
        <x:v>45</x:v>
      </x:c>
      <x:c r="G6452" s="0" t="s">
        <x:v>19</x:v>
      </x:c>
      <x:c r="H6452" s="0" t="s">
        <x:v>20</x:v>
      </x:c>
      <x:c r="I6452" s="0" t="s">
        <x:v>21</x:v>
      </x:c>
      <x:c r="K6452" s="0">
        <x:f>hyperlink("https://icd.who.int/dev11/l-ichi/en#/http%3A%2F%2Fid.who.int%2Ficd%2Fentity%2F896233987","browser")</x:f>
      </x:c>
      <x:c r="L6452" s="0">
        <x:f>hyperlink("https://icat2.azurewebsites.net/icat/?ontology=ICD&amp;tab=ClassesTab&amp;id=http%3A%2F%2Fwho.int%2Ficd%2338060_512ebf36_bf6b_4d70_85da_cf2637062af4","iCat")</x:f>
      </x:c>
      <x:c r="M6452" s="0" t="s">
        <x:v>21</x:v>
      </x:c>
      <x:c r="N6452" s="0" t="s">
        <x:v>46</x:v>
      </x:c>
    </x:row>
    <x:row r="6453" spans="1:16">
      <x:c r="A6453" s="0" t="s">
        <x:v>25666</x:v>
      </x:c>
      <x:c r="B6453" s="0" t="s">
        <x:v>25667</x:v>
      </x:c>
      <x:c r="C6453" s="0" t="s">
        <x:v>25668</x:v>
      </x:c>
      <x:c r="E6453" s="0" t="s">
        <x:v>25669</x:v>
      </x:c>
      <x:c r="F6453" s="0" t="s">
        <x:v>45</x:v>
      </x:c>
      <x:c r="G6453" s="0" t="s">
        <x:v>19</x:v>
      </x:c>
      <x:c r="H6453" s="0" t="s">
        <x:v>20</x:v>
      </x:c>
      <x:c r="I6453" s="0" t="s">
        <x:v>21</x:v>
      </x:c>
      <x:c r="K6453" s="0">
        <x:f>hyperlink("https://icd.who.int/dev11/l-ichi/en#/http%3A%2F%2Fid.who.int%2Ficd%2Fentity%2F986905233","browser")</x:f>
      </x:c>
      <x:c r="L6453" s="0">
        <x:f>hyperlink("https://icat2.azurewebsites.net/icat/?ontology=ICD&amp;tab=ClassesTab&amp;id=http%3A%2F%2Fwho.int%2Ficd%2338072_512ebf36_bf6b_4d70_85da_cf2637062af4","iCat")</x:f>
      </x:c>
      <x:c r="M6453" s="0" t="s">
        <x:v>21</x:v>
      </x:c>
      <x:c r="N6453" s="0" t="s">
        <x:v>46</x:v>
      </x:c>
    </x:row>
    <x:row r="6454" spans="1:16">
      <x:c r="A6454" s="0" t="s">
        <x:v>25670</x:v>
      </x:c>
      <x:c r="B6454" s="0" t="s">
        <x:v>25671</x:v>
      </x:c>
      <x:c r="C6454" s="0" t="s">
        <x:v>25672</x:v>
      </x:c>
      <x:c r="E6454" s="0" t="s">
        <x:v>25673</x:v>
      </x:c>
      <x:c r="F6454" s="0" t="s">
        <x:v>45</x:v>
      </x:c>
      <x:c r="G6454" s="0" t="s">
        <x:v>19</x:v>
      </x:c>
      <x:c r="H6454" s="0" t="s">
        <x:v>20</x:v>
      </x:c>
      <x:c r="I6454" s="0" t="s">
        <x:v>21</x:v>
      </x:c>
      <x:c r="K6454" s="0">
        <x:f>hyperlink("https://icd.who.int/dev11/l-ichi/en#/http%3A%2F%2Fid.who.int%2Ficd%2Fentity%2F803272359","browser")</x:f>
      </x:c>
      <x:c r="L6454" s="0">
        <x:f>hyperlink("https://icat2.azurewebsites.net/icat/?ontology=ICD&amp;tab=ClassesTab&amp;id=http%3A%2F%2Fwho.int%2Ficd%2338104_512ebf36_bf6b_4d70_85da_cf2637062af4","iCat")</x:f>
      </x:c>
      <x:c r="M6454" s="0" t="s">
        <x:v>21</x:v>
      </x:c>
      <x:c r="N6454" s="0" t="s">
        <x:v>46</x:v>
      </x:c>
    </x:row>
    <x:row r="6455" spans="1:16">
      <x:c r="A6455" s="0" t="s">
        <x:v>25674</x:v>
      </x:c>
      <x:c r="B6455" s="0" t="s">
        <x:v>25675</x:v>
      </x:c>
      <x:c r="C6455" s="0" t="s">
        <x:v>25676</x:v>
      </x:c>
      <x:c r="E6455" s="0" t="s">
        <x:v>25677</x:v>
      </x:c>
      <x:c r="F6455" s="0" t="s">
        <x:v>45</x:v>
      </x:c>
      <x:c r="G6455" s="0" t="s">
        <x:v>19</x:v>
      </x:c>
      <x:c r="H6455" s="0" t="s">
        <x:v>20</x:v>
      </x:c>
      <x:c r="I6455" s="0" t="s">
        <x:v>21</x:v>
      </x:c>
      <x:c r="K6455" s="0">
        <x:f>hyperlink("https://icd.who.int/dev11/l-ichi/en#/http%3A%2F%2Fid.who.int%2Ficd%2Fentity%2F1881319302","browser")</x:f>
      </x:c>
      <x:c r="L6455" s="0">
        <x:f>hyperlink("https://icat2.azurewebsites.net/icat/?ontology=ICD&amp;tab=ClassesTab&amp;id=http%3A%2F%2Fwho.int%2Ficd%2338110_512ebf36_bf6b_4d70_85da_cf2637062af4","iCat")</x:f>
      </x:c>
      <x:c r="M6455" s="0" t="s">
        <x:v>21</x:v>
      </x:c>
      <x:c r="N6455" s="0" t="s">
        <x:v>46</x:v>
      </x:c>
    </x:row>
    <x:row r="6456" spans="1:16">
      <x:c r="A6456" s="0" t="s">
        <x:v>25678</x:v>
      </x:c>
      <x:c r="B6456" s="0" t="s">
        <x:v>25679</x:v>
      </x:c>
      <x:c r="C6456" s="0" t="s">
        <x:v>25680</x:v>
      </x:c>
      <x:c r="E6456" s="0" t="s">
        <x:v>25681</x:v>
      </x:c>
      <x:c r="F6456" s="0" t="s">
        <x:v>45</x:v>
      </x:c>
      <x:c r="G6456" s="0" t="s">
        <x:v>19</x:v>
      </x:c>
      <x:c r="H6456" s="0" t="s">
        <x:v>20</x:v>
      </x:c>
      <x:c r="I6456" s="0" t="s">
        <x:v>21</x:v>
      </x:c>
      <x:c r="K6456" s="0">
        <x:f>hyperlink("https://icd.who.int/dev11/l-ichi/en#/http%3A%2F%2Fid.who.int%2Ficd%2Fentity%2F542735925","browser")</x:f>
      </x:c>
      <x:c r="L6456" s="0">
        <x:f>hyperlink("https://icat2.azurewebsites.net/icat/?ontology=ICD&amp;tab=ClassesTab&amp;id=http%3A%2F%2Fwho.int%2Ficd%2338116_512ebf36_bf6b_4d70_85da_cf2637062af4","iCat")</x:f>
      </x:c>
      <x:c r="M6456" s="0" t="s">
        <x:v>21</x:v>
      </x:c>
      <x:c r="N6456" s="0" t="s">
        <x:v>46</x:v>
      </x:c>
    </x:row>
    <x:row r="6457" spans="1:16">
      <x:c r="A6457" s="0" t="s">
        <x:v>25682</x:v>
      </x:c>
      <x:c r="B6457" s="0" t="s">
        <x:v>25683</x:v>
      </x:c>
      <x:c r="C6457" s="0" t="s">
        <x:v>25684</x:v>
      </x:c>
      <x:c r="E6457" s="0" t="s">
        <x:v>25685</x:v>
      </x:c>
      <x:c r="F6457" s="0" t="s">
        <x:v>45</x:v>
      </x:c>
      <x:c r="G6457" s="0" t="s">
        <x:v>19</x:v>
      </x:c>
      <x:c r="H6457" s="0" t="s">
        <x:v>20</x:v>
      </x:c>
      <x:c r="I6457" s="0" t="s">
        <x:v>21</x:v>
      </x:c>
      <x:c r="K6457" s="0">
        <x:f>hyperlink("https://icd.who.int/dev11/l-ichi/en#/http%3A%2F%2Fid.who.int%2Ficd%2Fentity%2F1964411004","browser")</x:f>
      </x:c>
      <x:c r="L6457" s="0">
        <x:f>hyperlink("https://icat2.azurewebsites.net/icat/?ontology=ICD&amp;tab=ClassesTab&amp;id=http%3A%2F%2Fwho.int%2Ficd%2338123_512ebf36_bf6b_4d70_85da_cf2637062af4","iCat")</x:f>
      </x:c>
      <x:c r="M6457" s="0" t="s">
        <x:v>21</x:v>
      </x:c>
      <x:c r="N6457" s="0" t="s">
        <x:v>46</x:v>
      </x:c>
    </x:row>
    <x:row r="6458" spans="1:16">
      <x:c r="A6458" s="0" t="s">
        <x:v>25686</x:v>
      </x:c>
      <x:c r="B6458" s="0" t="s">
        <x:v>25687</x:v>
      </x:c>
      <x:c r="C6458" s="0" t="s">
        <x:v>25688</x:v>
      </x:c>
      <x:c r="E6458" s="0" t="s">
        <x:v>25689</x:v>
      </x:c>
      <x:c r="F6458" s="0" t="s">
        <x:v>45</x:v>
      </x:c>
      <x:c r="G6458" s="0" t="s">
        <x:v>19</x:v>
      </x:c>
      <x:c r="H6458" s="0" t="s">
        <x:v>20</x:v>
      </x:c>
      <x:c r="I6458" s="0" t="s">
        <x:v>21</x:v>
      </x:c>
      <x:c r="K6458" s="0">
        <x:f>hyperlink("https://icd.who.int/dev11/l-ichi/en#/http%3A%2F%2Fid.who.int%2Ficd%2Fentity%2F1515614932","browser")</x:f>
      </x:c>
      <x:c r="L6458" s="0">
        <x:f>hyperlink("https://icat2.azurewebsites.net/icat/?ontology=ICD&amp;tab=ClassesTab&amp;id=http%3A%2F%2Fwho.int%2Ficd%2338130_512ebf36_bf6b_4d70_85da_cf2637062af4","iCat")</x:f>
      </x:c>
      <x:c r="M6458" s="0" t="s">
        <x:v>21</x:v>
      </x:c>
      <x:c r="N6458" s="0" t="s">
        <x:v>46</x:v>
      </x:c>
    </x:row>
    <x:row r="6459" spans="1:16">
      <x:c r="A6459" s="0" t="s">
        <x:v>25690</x:v>
      </x:c>
      <x:c r="B6459" s="0" t="s">
        <x:v>25691</x:v>
      </x:c>
      <x:c r="C6459" s="0" t="s">
        <x:v>25692</x:v>
      </x:c>
      <x:c r="E6459" s="0" t="s">
        <x:v>25693</x:v>
      </x:c>
      <x:c r="F6459" s="0" t="s">
        <x:v>45</x:v>
      </x:c>
      <x:c r="G6459" s="0" t="s">
        <x:v>19</x:v>
      </x:c>
      <x:c r="H6459" s="0" t="s">
        <x:v>20</x:v>
      </x:c>
      <x:c r="I6459" s="0" t="s">
        <x:v>21</x:v>
      </x:c>
      <x:c r="K6459" s="0">
        <x:f>hyperlink("https://icd.who.int/dev11/l-ichi/en#/http%3A%2F%2Fid.who.int%2Ficd%2Fentity%2F349635457","browser")</x:f>
      </x:c>
      <x:c r="L6459" s="0">
        <x:f>hyperlink("https://icat2.azurewebsites.net/icat/?ontology=ICD&amp;tab=ClassesTab&amp;id=http%3A%2F%2Fwho.int%2Ficd%2338138_512ebf36_bf6b_4d70_85da_cf2637062af4","iCat")</x:f>
      </x:c>
      <x:c r="M6459" s="0" t="s">
        <x:v>21</x:v>
      </x:c>
      <x:c r="N6459" s="0" t="s">
        <x:v>46</x:v>
      </x:c>
    </x:row>
    <x:row r="6460" spans="1:16">
      <x:c r="A6460" s="0" t="s">
        <x:v>25694</x:v>
      </x:c>
      <x:c r="B6460" s="0" t="s">
        <x:v>25695</x:v>
      </x:c>
      <x:c r="C6460" s="0" t="s">
        <x:v>25696</x:v>
      </x:c>
      <x:c r="E6460" s="0" t="s">
        <x:v>25697</x:v>
      </x:c>
      <x:c r="F6460" s="0" t="s">
        <x:v>45</x:v>
      </x:c>
      <x:c r="G6460" s="0" t="s">
        <x:v>19</x:v>
      </x:c>
      <x:c r="H6460" s="0" t="s">
        <x:v>20</x:v>
      </x:c>
      <x:c r="I6460" s="0" t="s">
        <x:v>21</x:v>
      </x:c>
      <x:c r="K6460" s="0">
        <x:f>hyperlink("https://icd.who.int/dev11/l-ichi/en#/http%3A%2F%2Fid.who.int%2Ficd%2Fentity%2F604049563","browser")</x:f>
      </x:c>
      <x:c r="L6460" s="0">
        <x:f>hyperlink("https://icat2.azurewebsites.net/icat/?ontology=ICD&amp;tab=ClassesTab&amp;id=http%3A%2F%2Fwho.int%2Ficd%2338148_512ebf36_bf6b_4d70_85da_cf2637062af4","iCat")</x:f>
      </x:c>
      <x:c r="M6460" s="0" t="s">
        <x:v>21</x:v>
      </x:c>
      <x:c r="N6460" s="0" t="s">
        <x:v>46</x:v>
      </x:c>
    </x:row>
    <x:row r="6461" spans="1:16">
      <x:c r="A6461" s="0" t="s">
        <x:v>25698</x:v>
      </x:c>
      <x:c r="B6461" s="0" t="s">
        <x:v>25699</x:v>
      </x:c>
      <x:c r="C6461" s="0" t="s">
        <x:v>25700</x:v>
      </x:c>
      <x:c r="E6461" s="0" t="s">
        <x:v>25701</x:v>
      </x:c>
      <x:c r="F6461" s="0" t="s">
        <x:v>45</x:v>
      </x:c>
      <x:c r="G6461" s="0" t="s">
        <x:v>19</x:v>
      </x:c>
      <x:c r="H6461" s="0" t="s">
        <x:v>20</x:v>
      </x:c>
      <x:c r="I6461" s="0" t="s">
        <x:v>21</x:v>
      </x:c>
      <x:c r="K6461" s="0">
        <x:f>hyperlink("https://icd.who.int/dev11/l-ichi/en#/http%3A%2F%2Fid.who.int%2Ficd%2Fentity%2F893530349","browser")</x:f>
      </x:c>
      <x:c r="L6461" s="0">
        <x:f>hyperlink("https://icat2.azurewebsites.net/icat/?ontology=ICD&amp;tab=ClassesTab&amp;id=http%3A%2F%2Fwho.int%2Ficd%2338154_512ebf36_bf6b_4d70_85da_cf2637062af4","iCat")</x:f>
      </x:c>
      <x:c r="M6461" s="0" t="s">
        <x:v>21</x:v>
      </x:c>
      <x:c r="N6461" s="0" t="s">
        <x:v>46</x:v>
      </x:c>
    </x:row>
    <x:row r="6462" spans="1:16">
      <x:c r="A6462" s="0" t="s">
        <x:v>25702</x:v>
      </x:c>
      <x:c r="B6462" s="0" t="s">
        <x:v>25703</x:v>
      </x:c>
      <x:c r="C6462" s="0" t="s">
        <x:v>25704</x:v>
      </x:c>
      <x:c r="E6462" s="0" t="s">
        <x:v>25705</x:v>
      </x:c>
      <x:c r="F6462" s="0" t="s">
        <x:v>45</x:v>
      </x:c>
      <x:c r="G6462" s="0" t="s">
        <x:v>19</x:v>
      </x:c>
      <x:c r="H6462" s="0" t="s">
        <x:v>20</x:v>
      </x:c>
      <x:c r="I6462" s="0" t="s">
        <x:v>21</x:v>
      </x:c>
      <x:c r="K6462" s="0">
        <x:f>hyperlink("https://icd.who.int/dev11/l-ichi/en#/http%3A%2F%2Fid.who.int%2Ficd%2Fentity%2F629713243","browser")</x:f>
      </x:c>
      <x:c r="L6462" s="0">
        <x:f>hyperlink("https://icat2.azurewebsites.net/icat/?ontology=ICD&amp;tab=ClassesTab&amp;id=http%3A%2F%2Fwho.int%2Ficd%2338162_512ebf36_bf6b_4d70_85da_cf2637062af4","iCat")</x:f>
      </x:c>
      <x:c r="M6462" s="0" t="s">
        <x:v>21</x:v>
      </x:c>
      <x:c r="N6462" s="0" t="s">
        <x:v>46</x:v>
      </x:c>
    </x:row>
    <x:row r="6463" spans="1:16">
      <x:c r="A6463" s="0" t="s">
        <x:v>25706</x:v>
      </x:c>
      <x:c r="B6463" s="0" t="s">
        <x:v>25707</x:v>
      </x:c>
      <x:c r="C6463" s="0" t="s">
        <x:v>25708</x:v>
      </x:c>
      <x:c r="E6463" s="0" t="s">
        <x:v>25709</x:v>
      </x:c>
      <x:c r="F6463" s="0" t="s">
        <x:v>45</x:v>
      </x:c>
      <x:c r="G6463" s="0" t="s">
        <x:v>19</x:v>
      </x:c>
      <x:c r="H6463" s="0" t="s">
        <x:v>20</x:v>
      </x:c>
      <x:c r="I6463" s="0" t="s">
        <x:v>21</x:v>
      </x:c>
      <x:c r="K6463" s="0">
        <x:f>hyperlink("https://icd.who.int/dev11/l-ichi/en#/http%3A%2F%2Fid.who.int%2Ficd%2Fentity%2F707862985","browser")</x:f>
      </x:c>
      <x:c r="L6463" s="0">
        <x:f>hyperlink("https://icat2.azurewebsites.net/icat/?ontology=ICD&amp;tab=ClassesTab&amp;id=http%3A%2F%2Fwho.int%2Ficd%2338170_512ebf36_bf6b_4d70_85da_cf2637062af4","iCat")</x:f>
      </x:c>
      <x:c r="M6463" s="0" t="s">
        <x:v>21</x:v>
      </x:c>
      <x:c r="N6463" s="0" t="s">
        <x:v>46</x:v>
      </x:c>
    </x:row>
    <x:row r="6464" spans="1:16">
      <x:c r="A6464" s="0" t="s">
        <x:v>25710</x:v>
      </x:c>
      <x:c r="B6464" s="0" t="s">
        <x:v>25711</x:v>
      </x:c>
      <x:c r="C6464" s="0" t="s">
        <x:v>25712</x:v>
      </x:c>
      <x:c r="E6464" s="0" t="s">
        <x:v>25713</x:v>
      </x:c>
      <x:c r="F6464" s="0" t="s">
        <x:v>45</x:v>
      </x:c>
      <x:c r="G6464" s="0" t="s">
        <x:v>19</x:v>
      </x:c>
      <x:c r="H6464" s="0" t="s">
        <x:v>20</x:v>
      </x:c>
      <x:c r="I6464" s="0" t="s">
        <x:v>21</x:v>
      </x:c>
      <x:c r="K6464" s="0">
        <x:f>hyperlink("https://icd.who.int/dev11/l-ichi/en#/http%3A%2F%2Fid.who.int%2Ficd%2Fentity%2F1689276572","browser")</x:f>
      </x:c>
      <x:c r="L6464" s="0">
        <x:f>hyperlink("https://icat2.azurewebsites.net/icat/?ontology=ICD&amp;tab=ClassesTab&amp;id=http%3A%2F%2Fwho.int%2Ficd%2338178_512ebf36_bf6b_4d70_85da_cf2637062af4","iCat")</x:f>
      </x:c>
      <x:c r="M6464" s="0" t="s">
        <x:v>21</x:v>
      </x:c>
      <x:c r="N6464" s="0" t="s">
        <x:v>46</x:v>
      </x:c>
    </x:row>
    <x:row r="6465" spans="1:16">
      <x:c r="A6465" s="0" t="s">
        <x:v>25714</x:v>
      </x:c>
      <x:c r="B6465" s="0" t="s">
        <x:v>25715</x:v>
      </x:c>
      <x:c r="C6465" s="0" t="s">
        <x:v>25716</x:v>
      </x:c>
      <x:c r="E6465" s="0" t="s">
        <x:v>25717</x:v>
      </x:c>
      <x:c r="F6465" s="0" t="s">
        <x:v>45</x:v>
      </x:c>
      <x:c r="G6465" s="0" t="s">
        <x:v>19</x:v>
      </x:c>
      <x:c r="H6465" s="0" t="s">
        <x:v>20</x:v>
      </x:c>
      <x:c r="I6465" s="0" t="s">
        <x:v>21</x:v>
      </x:c>
      <x:c r="K6465" s="0">
        <x:f>hyperlink("https://icd.who.int/dev11/l-ichi/en#/http%3A%2F%2Fid.who.int%2Ficd%2Fentity%2F271113567","browser")</x:f>
      </x:c>
      <x:c r="L6465" s="0">
        <x:f>hyperlink("https://icat2.azurewebsites.net/icat/?ontology=ICD&amp;tab=ClassesTab&amp;id=http%3A%2F%2Fwho.int%2Ficd%2338185_512ebf36_bf6b_4d70_85da_cf2637062af4","iCat")</x:f>
      </x:c>
      <x:c r="M6465" s="0" t="s">
        <x:v>21</x:v>
      </x:c>
      <x:c r="N6465" s="0" t="s">
        <x:v>46</x:v>
      </x:c>
    </x:row>
    <x:row r="6466" spans="1:16">
      <x:c r="A6466" s="0" t="s">
        <x:v>25718</x:v>
      </x:c>
      <x:c r="B6466" s="0" t="s">
        <x:v>25719</x:v>
      </x:c>
      <x:c r="C6466" s="0" t="s">
        <x:v>25720</x:v>
      </x:c>
      <x:c r="E6466" s="0" t="s">
        <x:v>25721</x:v>
      </x:c>
      <x:c r="F6466" s="0" t="s">
        <x:v>45</x:v>
      </x:c>
      <x:c r="G6466" s="0" t="s">
        <x:v>19</x:v>
      </x:c>
      <x:c r="H6466" s="0" t="s">
        <x:v>20</x:v>
      </x:c>
      <x:c r="I6466" s="0" t="s">
        <x:v>21</x:v>
      </x:c>
      <x:c r="K6466" s="0">
        <x:f>hyperlink("https://icd.who.int/dev11/l-ichi/en#/http%3A%2F%2Fid.who.int%2Ficd%2Fentity%2F175104901","browser")</x:f>
      </x:c>
      <x:c r="L6466" s="0">
        <x:f>hyperlink("https://icat2.azurewebsites.net/icat/?ontology=ICD&amp;tab=ClassesTab&amp;id=http%3A%2F%2Fwho.int%2Ficd%2338192_512ebf36_bf6b_4d70_85da_cf2637062af4","iCat")</x:f>
      </x:c>
      <x:c r="M6466" s="0" t="s">
        <x:v>21</x:v>
      </x:c>
      <x:c r="N6466" s="0" t="s">
        <x:v>46</x:v>
      </x:c>
    </x:row>
    <x:row r="6467" spans="1:16">
      <x:c r="A6467" s="0" t="s">
        <x:v>25722</x:v>
      </x:c>
      <x:c r="B6467" s="0" t="s">
        <x:v>25723</x:v>
      </x:c>
      <x:c r="C6467" s="0" t="s">
        <x:v>25724</x:v>
      </x:c>
      <x:c r="E6467" s="0" t="s">
        <x:v>25725</x:v>
      </x:c>
      <x:c r="F6467" s="0" t="s">
        <x:v>45</x:v>
      </x:c>
      <x:c r="G6467" s="0" t="s">
        <x:v>19</x:v>
      </x:c>
      <x:c r="H6467" s="0" t="s">
        <x:v>20</x:v>
      </x:c>
      <x:c r="I6467" s="0" t="s">
        <x:v>21</x:v>
      </x:c>
      <x:c r="K6467" s="0">
        <x:f>hyperlink("https://icd.who.int/dev11/l-ichi/en#/http%3A%2F%2Fid.who.int%2Ficd%2Fentity%2F23854377","browser")</x:f>
      </x:c>
      <x:c r="L6467" s="0">
        <x:f>hyperlink("https://icat2.azurewebsites.net/icat/?ontology=ICD&amp;tab=ClassesTab&amp;id=http%3A%2F%2Fwho.int%2Ficd%2338199_512ebf36_bf6b_4d70_85da_cf2637062af4","iCat")</x:f>
      </x:c>
      <x:c r="M6467" s="0" t="s">
        <x:v>21</x:v>
      </x:c>
      <x:c r="N6467" s="0" t="s">
        <x:v>46</x:v>
      </x:c>
    </x:row>
    <x:row r="6468" spans="1:16">
      <x:c r="A6468" s="0" t="s">
        <x:v>25726</x:v>
      </x:c>
      <x:c r="B6468" s="0" t="s">
        <x:v>25727</x:v>
      </x:c>
      <x:c r="C6468" s="0" t="s">
        <x:v>25728</x:v>
      </x:c>
      <x:c r="E6468" s="0" t="s">
        <x:v>25729</x:v>
      </x:c>
      <x:c r="F6468" s="0" t="s">
        <x:v>45</x:v>
      </x:c>
      <x:c r="G6468" s="0" t="s">
        <x:v>19</x:v>
      </x:c>
      <x:c r="H6468" s="0" t="s">
        <x:v>20</x:v>
      </x:c>
      <x:c r="I6468" s="0" t="s">
        <x:v>21</x:v>
      </x:c>
      <x:c r="K6468" s="0">
        <x:f>hyperlink("https://icd.who.int/dev11/l-ichi/en#/http%3A%2F%2Fid.who.int%2Ficd%2Fentity%2F734224187","browser")</x:f>
      </x:c>
      <x:c r="L6468" s="0">
        <x:f>hyperlink("https://icat2.azurewebsites.net/icat/?ontology=ICD&amp;tab=ClassesTab&amp;id=http%3A%2F%2Fwho.int%2Ficd%2338206_512ebf36_bf6b_4d70_85da_cf2637062af4","iCat")</x:f>
      </x:c>
      <x:c r="M6468" s="0" t="s">
        <x:v>21</x:v>
      </x:c>
      <x:c r="N6468" s="0" t="s">
        <x:v>46</x:v>
      </x:c>
    </x:row>
    <x:row r="6469" spans="1:16">
      <x:c r="A6469" s="0" t="s">
        <x:v>25730</x:v>
      </x:c>
      <x:c r="B6469" s="0" t="s">
        <x:v>25731</x:v>
      </x:c>
      <x:c r="C6469" s="0" t="s">
        <x:v>25732</x:v>
      </x:c>
      <x:c r="E6469" s="0" t="s">
        <x:v>25733</x:v>
      </x:c>
      <x:c r="F6469" s="0" t="s">
        <x:v>45</x:v>
      </x:c>
      <x:c r="G6469" s="0" t="s">
        <x:v>19</x:v>
      </x:c>
      <x:c r="H6469" s="0" t="s">
        <x:v>20</x:v>
      </x:c>
      <x:c r="I6469" s="0" t="s">
        <x:v>21</x:v>
      </x:c>
      <x:c r="K6469" s="0">
        <x:f>hyperlink("https://icd.who.int/dev11/l-ichi/en#/http%3A%2F%2Fid.who.int%2Ficd%2Fentity%2F1946226200","browser")</x:f>
      </x:c>
      <x:c r="L6469" s="0">
        <x:f>hyperlink("https://icat2.azurewebsites.net/icat/?ontology=ICD&amp;tab=ClassesTab&amp;id=http%3A%2F%2Fwho.int%2Ficd%2338212_512ebf36_bf6b_4d70_85da_cf2637062af4","iCat")</x:f>
      </x:c>
      <x:c r="M6469" s="0" t="s">
        <x:v>21</x:v>
      </x:c>
      <x:c r="N6469" s="0" t="s">
        <x:v>46</x:v>
      </x:c>
    </x:row>
    <x:row r="6470" spans="1:16">
      <x:c r="A6470" s="0" t="s">
        <x:v>25734</x:v>
      </x:c>
      <x:c r="B6470" s="0" t="s">
        <x:v>25735</x:v>
      </x:c>
      <x:c r="C6470" s="0" t="s">
        <x:v>25736</x:v>
      </x:c>
      <x:c r="E6470" s="0" t="s">
        <x:v>25737</x:v>
      </x:c>
      <x:c r="F6470" s="0" t="s">
        <x:v>45</x:v>
      </x:c>
      <x:c r="G6470" s="0" t="s">
        <x:v>19</x:v>
      </x:c>
      <x:c r="H6470" s="0" t="s">
        <x:v>20</x:v>
      </x:c>
      <x:c r="I6470" s="0" t="s">
        <x:v>21</x:v>
      </x:c>
      <x:c r="K6470" s="0">
        <x:f>hyperlink("https://icd.who.int/dev11/l-ichi/en#/http%3A%2F%2Fid.who.int%2Ficd%2Fentity%2F1144186260","browser")</x:f>
      </x:c>
      <x:c r="L6470" s="0">
        <x:f>hyperlink("https://icat2.azurewebsites.net/icat/?ontology=ICD&amp;tab=ClassesTab&amp;id=http%3A%2F%2Fwho.int%2Ficd%2338225_512ebf36_bf6b_4d70_85da_cf2637062af4","iCat")</x:f>
      </x:c>
      <x:c r="M6470" s="0" t="s">
        <x:v>21</x:v>
      </x:c>
      <x:c r="N6470" s="0" t="s">
        <x:v>46</x:v>
      </x:c>
    </x:row>
    <x:row r="6471" spans="1:16">
      <x:c r="A6471" s="0" t="s">
        <x:v>25738</x:v>
      </x:c>
      <x:c r="B6471" s="0" t="s">
        <x:v>25739</x:v>
      </x:c>
      <x:c r="C6471" s="0" t="s">
        <x:v>25740</x:v>
      </x:c>
      <x:c r="E6471" s="0" t="s">
        <x:v>25741</x:v>
      </x:c>
      <x:c r="F6471" s="0" t="s">
        <x:v>45</x:v>
      </x:c>
      <x:c r="G6471" s="0" t="s">
        <x:v>19</x:v>
      </x:c>
      <x:c r="H6471" s="0" t="s">
        <x:v>20</x:v>
      </x:c>
      <x:c r="I6471" s="0" t="s">
        <x:v>21</x:v>
      </x:c>
      <x:c r="K6471" s="0">
        <x:f>hyperlink("https://icd.who.int/dev11/l-ichi/en#/http%3A%2F%2Fid.who.int%2Ficd%2Fentity%2F468759729","browser")</x:f>
      </x:c>
      <x:c r="L6471" s="0">
        <x:f>hyperlink("https://icat2.azurewebsites.net/icat/?ontology=ICD&amp;tab=ClassesTab&amp;id=http%3A%2F%2Fwho.int%2Ficd%2338231_512ebf36_bf6b_4d70_85da_cf2637062af4","iCat")</x:f>
      </x:c>
      <x:c r="M6471" s="0" t="s">
        <x:v>21</x:v>
      </x:c>
      <x:c r="N6471" s="0" t="s">
        <x:v>46</x:v>
      </x:c>
    </x:row>
    <x:row r="6472" spans="1:16">
      <x:c r="A6472" s="0" t="s">
        <x:v>25742</x:v>
      </x:c>
      <x:c r="B6472" s="0" t="s">
        <x:v>25743</x:v>
      </x:c>
      <x:c r="C6472" s="0" t="s">
        <x:v>25744</x:v>
      </x:c>
      <x:c r="E6472" s="0" t="s">
        <x:v>25745</x:v>
      </x:c>
      <x:c r="F6472" s="0" t="s">
        <x:v>45</x:v>
      </x:c>
      <x:c r="G6472" s="0" t="s">
        <x:v>19</x:v>
      </x:c>
      <x:c r="H6472" s="0" t="s">
        <x:v>20</x:v>
      </x:c>
      <x:c r="I6472" s="0" t="s">
        <x:v>21</x:v>
      </x:c>
      <x:c r="K6472" s="0">
        <x:f>hyperlink("https://icd.who.int/dev11/l-ichi/en#/http%3A%2F%2Fid.who.int%2Ficd%2Fentity%2F1267428610","browser")</x:f>
      </x:c>
      <x:c r="L6472" s="0">
        <x:f>hyperlink("https://icat2.azurewebsites.net/icat/?ontology=ICD&amp;tab=ClassesTab&amp;id=http%3A%2F%2Fwho.int%2Ficd%2338237_512ebf36_bf6b_4d70_85da_cf2637062af4","iCat")</x:f>
      </x:c>
      <x:c r="M6472" s="0" t="s">
        <x:v>21</x:v>
      </x:c>
      <x:c r="N6472" s="0" t="s">
        <x:v>46</x:v>
      </x:c>
    </x:row>
    <x:row r="6473" spans="1:16">
      <x:c r="A6473" s="0" t="s">
        <x:v>25746</x:v>
      </x:c>
      <x:c r="B6473" s="0" t="s">
        <x:v>25747</x:v>
      </x:c>
      <x:c r="C6473" s="0" t="s">
        <x:v>25748</x:v>
      </x:c>
      <x:c r="E6473" s="0" t="s">
        <x:v>25749</x:v>
      </x:c>
      <x:c r="F6473" s="0" t="s">
        <x:v>45</x:v>
      </x:c>
      <x:c r="G6473" s="0" t="s">
        <x:v>19</x:v>
      </x:c>
      <x:c r="H6473" s="0" t="s">
        <x:v>20</x:v>
      </x:c>
      <x:c r="I6473" s="0" t="s">
        <x:v>21</x:v>
      </x:c>
      <x:c r="K6473" s="0">
        <x:f>hyperlink("https://icd.who.int/dev11/l-ichi/en#/http%3A%2F%2Fid.who.int%2Ficd%2Fentity%2F1314568816","browser")</x:f>
      </x:c>
      <x:c r="L6473" s="0">
        <x:f>hyperlink("https://icat2.azurewebsites.net/icat/?ontology=ICD&amp;tab=ClassesTab&amp;id=http%3A%2F%2Fwho.int%2Ficd%2338243_512ebf36_bf6b_4d70_85da_cf2637062af4","iCat")</x:f>
      </x:c>
      <x:c r="M6473" s="0" t="s">
        <x:v>21</x:v>
      </x:c>
      <x:c r="N6473" s="0" t="s">
        <x:v>46</x:v>
      </x:c>
    </x:row>
    <x:row r="6474" spans="1:16">
      <x:c r="A6474" s="0" t="s">
        <x:v>25750</x:v>
      </x:c>
      <x:c r="B6474" s="0" t="s">
        <x:v>25751</x:v>
      </x:c>
      <x:c r="C6474" s="0" t="s">
        <x:v>25752</x:v>
      </x:c>
      <x:c r="E6474" s="0" t="s">
        <x:v>25753</x:v>
      </x:c>
      <x:c r="F6474" s="0" t="s">
        <x:v>45</x:v>
      </x:c>
      <x:c r="G6474" s="0" t="s">
        <x:v>19</x:v>
      </x:c>
      <x:c r="H6474" s="0" t="s">
        <x:v>20</x:v>
      </x:c>
      <x:c r="I6474" s="0" t="s">
        <x:v>21</x:v>
      </x:c>
      <x:c r="K6474" s="0">
        <x:f>hyperlink("https://icd.who.int/dev11/l-ichi/en#/http%3A%2F%2Fid.who.int%2Ficd%2Fentity%2F1705498368","browser")</x:f>
      </x:c>
      <x:c r="L6474" s="0">
        <x:f>hyperlink("https://icat2.azurewebsites.net/icat/?ontology=ICD&amp;tab=ClassesTab&amp;id=http%3A%2F%2Fwho.int%2Ficd%2338249_512ebf36_bf6b_4d70_85da_cf2637062af4","iCat")</x:f>
      </x:c>
      <x:c r="M6474" s="0" t="s">
        <x:v>21</x:v>
      </x:c>
      <x:c r="N6474" s="0" t="s">
        <x:v>46</x:v>
      </x:c>
    </x:row>
    <x:row r="6475" spans="1:16">
      <x:c r="A6475" s="0" t="s">
        <x:v>25754</x:v>
      </x:c>
      <x:c r="B6475" s="0" t="s">
        <x:v>25755</x:v>
      </x:c>
      <x:c r="D6475" s="0" t="s">
        <x:v>25756</x:v>
      </x:c>
      <x:c r="E6475" s="0" t="s">
        <x:v>25757</x:v>
      </x:c>
      <x:c r="F6475" s="0" t="s">
        <x:v>26</x:v>
      </x:c>
      <x:c r="G6475" s="0" t="s">
        <x:v>30</x:v>
      </x:c>
      <x:c r="H6475" s="0" t="s">
        <x:v>20</x:v>
      </x:c>
      <x:c r="I6475" s="0" t="s">
        <x:v>21</x:v>
      </x:c>
      <x:c r="K6475" s="0">
        <x:f>hyperlink("https://icd.who.int/dev11/l-ichi/en#/http%3A%2F%2Fid.who.int%2Ficd%2Fentity%2F183622695","browser")</x:f>
      </x:c>
      <x:c r="L6475" s="0">
        <x:f>hyperlink("https://icat2.azurewebsites.net/icat/?ontology=ICD&amp;tab=ClassesTab&amp;id=http%3A%2F%2Fwho.int%2Ficd%2338289_512ebf36_bf6b_4d70_85da_cf2637062af4","iCat")</x:f>
      </x:c>
      <x:c r="M6475" s="0" t="s">
        <x:v>20</x:v>
      </x:c>
      <x:c r="N6475" s="0" t="s">
        <x:v>36</x:v>
      </x:c>
    </x:row>
    <x:row r="6476" spans="1:16">
      <x:c r="A6476" s="0" t="s">
        <x:v>25758</x:v>
      </x:c>
      <x:c r="B6476" s="0" t="s">
        <x:v>25759</x:v>
      </x:c>
      <x:c r="D6476" s="0" t="s">
        <x:v>25760</x:v>
      </x:c>
      <x:c r="E6476" s="0" t="s">
        <x:v>25761</x:v>
      </x:c>
      <x:c r="F6476" s="0" t="s">
        <x:v>26</x:v>
      </x:c>
      <x:c r="G6476" s="0" t="s">
        <x:v>35</x:v>
      </x:c>
      <x:c r="H6476" s="0" t="s">
        <x:v>20</x:v>
      </x:c>
      <x:c r="I6476" s="0" t="s">
        <x:v>21</x:v>
      </x:c>
      <x:c r="K6476" s="0">
        <x:f>hyperlink("https://icd.who.int/dev11/l-ichi/en#/http%3A%2F%2Fid.who.int%2Ficd%2Fentity%2F464714833","browser")</x:f>
      </x:c>
      <x:c r="L6476" s="0">
        <x:f>hyperlink("https://icat2.azurewebsites.net/icat/?ontology=ICD&amp;tab=ClassesTab&amp;id=http%3A%2F%2Fwho.int%2Ficd%2338295_512ebf36_bf6b_4d70_85da_cf2637062af4","iCat")</x:f>
      </x:c>
      <x:c r="M6476" s="0" t="s">
        <x:v>20</x:v>
      </x:c>
      <x:c r="N6476" s="0" t="s">
        <x:v>35</x:v>
      </x:c>
    </x:row>
    <x:row r="6477" spans="1:16">
      <x:c r="A6477" s="0" t="s">
        <x:v>25762</x:v>
      </x:c>
      <x:c r="B6477" s="0" t="s">
        <x:v>25763</x:v>
      </x:c>
      <x:c r="D6477" s="0" t="s">
        <x:v>25764</x:v>
      </x:c>
      <x:c r="E6477" s="0" t="s">
        <x:v>25765</x:v>
      </x:c>
      <x:c r="F6477" s="0" t="s">
        <x:v>26</x:v>
      </x:c>
      <x:c r="G6477" s="0" t="s">
        <x:v>22</x:v>
      </x:c>
      <x:c r="H6477" s="0" t="s">
        <x:v>20</x:v>
      </x:c>
      <x:c r="I6477" s="0" t="s">
        <x:v>21</x:v>
      </x:c>
      <x:c r="K6477" s="0">
        <x:f>hyperlink("https://icd.who.int/dev11/l-ichi/en#/http%3A%2F%2Fid.who.int%2Ficd%2Fentity%2F786313771","browser")</x:f>
      </x:c>
      <x:c r="L6477" s="0">
        <x:f>hyperlink("https://icat2.azurewebsites.net/icat/?ontology=ICD&amp;tab=ClassesTab&amp;id=http%3A%2F%2Fwho.int%2Ficd%2338301_512ebf36_bf6b_4d70_85da_cf2637062af4","iCat")</x:f>
      </x:c>
      <x:c r="M6477" s="0" t="s">
        <x:v>20</x:v>
      </x:c>
      <x:c r="N6477" s="0" t="s">
        <x:v>16648</x:v>
      </x:c>
    </x:row>
    <x:row r="6478" spans="1:16">
      <x:c r="A6478" s="0" t="s">
        <x:v>25766</x:v>
      </x:c>
      <x:c r="B6478" s="0" t="s">
        <x:v>25767</x:v>
      </x:c>
      <x:c r="C6478" s="0" t="s">
        <x:v>25768</x:v>
      </x:c>
      <x:c r="E6478" s="0" t="s">
        <x:v>25769</x:v>
      </x:c>
      <x:c r="F6478" s="0" t="s">
        <x:v>45</x:v>
      </x:c>
      <x:c r="G6478" s="0" t="s">
        <x:v>19</x:v>
      </x:c>
      <x:c r="H6478" s="0" t="s">
        <x:v>20</x:v>
      </x:c>
      <x:c r="I6478" s="0" t="s">
        <x:v>21</x:v>
      </x:c>
      <x:c r="K6478" s="0">
        <x:f>hyperlink("https://icd.who.int/dev11/l-ichi/en#/http%3A%2F%2Fid.who.int%2Ficd%2Fentity%2F705211931","browser")</x:f>
      </x:c>
      <x:c r="L6478" s="0">
        <x:f>hyperlink("https://icat2.azurewebsites.net/icat/?ontology=ICD&amp;tab=ClassesTab&amp;id=http%3A%2F%2Fwho.int%2Ficd%2338288_512ebf36_bf6b_4d70_85da_cf2637062af4","iCat")</x:f>
      </x:c>
      <x:c r="M6478" s="0" t="s">
        <x:v>21</x:v>
      </x:c>
      <x:c r="N6478" s="0" t="s">
        <x:v>46</x:v>
      </x:c>
    </x:row>
    <x:row r="6479" spans="1:16">
      <x:c r="A6479" s="0" t="s">
        <x:v>25770</x:v>
      </x:c>
      <x:c r="B6479" s="0" t="s">
        <x:v>25771</x:v>
      </x:c>
      <x:c r="C6479" s="0" t="s">
        <x:v>25772</x:v>
      </x:c>
      <x:c r="E6479" s="0" t="s">
        <x:v>25773</x:v>
      </x:c>
      <x:c r="F6479" s="0" t="s">
        <x:v>45</x:v>
      </x:c>
      <x:c r="G6479" s="0" t="s">
        <x:v>19</x:v>
      </x:c>
      <x:c r="H6479" s="0" t="s">
        <x:v>20</x:v>
      </x:c>
      <x:c r="I6479" s="0" t="s">
        <x:v>21</x:v>
      </x:c>
      <x:c r="K6479" s="0">
        <x:f>hyperlink("https://icd.who.int/dev11/l-ichi/en#/http%3A%2F%2Fid.who.int%2Ficd%2Fentity%2F560446137","browser")</x:f>
      </x:c>
      <x:c r="L6479" s="0">
        <x:f>hyperlink("https://icat2.azurewebsites.net/icat/?ontology=ICD&amp;tab=ClassesTab&amp;id=http%3A%2F%2Fwho.int%2Ficd%2338313_512ebf36_bf6b_4d70_85da_cf2637062af4","iCat")</x:f>
      </x:c>
      <x:c r="M6479" s="0" t="s">
        <x:v>21</x:v>
      </x:c>
      <x:c r="N6479" s="0" t="s">
        <x:v>46</x:v>
      </x:c>
    </x:row>
    <x:row r="6480" spans="1:16">
      <x:c r="A6480" s="0" t="s">
        <x:v>25774</x:v>
      </x:c>
      <x:c r="B6480" s="0" t="s">
        <x:v>25775</x:v>
      </x:c>
      <x:c r="C6480" s="0" t="s">
        <x:v>25776</x:v>
      </x:c>
      <x:c r="E6480" s="0" t="s">
        <x:v>25777</x:v>
      </x:c>
      <x:c r="F6480" s="0" t="s">
        <x:v>45</x:v>
      </x:c>
      <x:c r="G6480" s="0" t="s">
        <x:v>19</x:v>
      </x:c>
      <x:c r="H6480" s="0" t="s">
        <x:v>20</x:v>
      </x:c>
      <x:c r="I6480" s="0" t="s">
        <x:v>21</x:v>
      </x:c>
      <x:c r="K6480" s="0">
        <x:f>hyperlink("https://icd.who.int/dev11/l-ichi/en#/http%3A%2F%2Fid.who.int%2Ficd%2Fentity%2F609457479","browser")</x:f>
      </x:c>
      <x:c r="L6480" s="0">
        <x:f>hyperlink("https://icat2.azurewebsites.net/icat/?ontology=ICD&amp;tab=ClassesTab&amp;id=http%3A%2F%2Fwho.int%2Ficd%2338320_512ebf36_bf6b_4d70_85da_cf2637062af4","iCat")</x:f>
      </x:c>
      <x:c r="M6480" s="0" t="s">
        <x:v>21</x:v>
      </x:c>
      <x:c r="N6480" s="0" t="s">
        <x:v>46</x:v>
      </x:c>
    </x:row>
    <x:row r="6481" spans="1:16">
      <x:c r="A6481" s="0" t="s">
        <x:v>25778</x:v>
      </x:c>
      <x:c r="B6481" s="0" t="s">
        <x:v>25779</x:v>
      </x:c>
      <x:c r="C6481" s="0" t="s">
        <x:v>25780</x:v>
      </x:c>
      <x:c r="E6481" s="0" t="s">
        <x:v>25781</x:v>
      </x:c>
      <x:c r="F6481" s="0" t="s">
        <x:v>45</x:v>
      </x:c>
      <x:c r="G6481" s="0" t="s">
        <x:v>19</x:v>
      </x:c>
      <x:c r="H6481" s="0" t="s">
        <x:v>20</x:v>
      </x:c>
      <x:c r="I6481" s="0" t="s">
        <x:v>21</x:v>
      </x:c>
      <x:c r="K6481" s="0">
        <x:f>hyperlink("https://icd.who.int/dev11/l-ichi/en#/http%3A%2F%2Fid.who.int%2Ficd%2Fentity%2F1422999244","browser")</x:f>
      </x:c>
      <x:c r="L6481" s="0">
        <x:f>hyperlink("https://icat2.azurewebsites.net/icat/?ontology=ICD&amp;tab=ClassesTab&amp;id=http%3A%2F%2Fwho.int%2Ficd%2338327_512ebf36_bf6b_4d70_85da_cf2637062af4","iCat")</x:f>
      </x:c>
      <x:c r="M6481" s="0" t="s">
        <x:v>21</x:v>
      </x:c>
      <x:c r="N6481" s="0" t="s">
        <x:v>46</x:v>
      </x:c>
    </x:row>
    <x:row r="6482" spans="1:16">
      <x:c r="A6482" s="0" t="s">
        <x:v>25782</x:v>
      </x:c>
      <x:c r="B6482" s="0" t="s">
        <x:v>25783</x:v>
      </x:c>
      <x:c r="C6482" s="0" t="s">
        <x:v>25784</x:v>
      </x:c>
      <x:c r="E6482" s="0" t="s">
        <x:v>25785</x:v>
      </x:c>
      <x:c r="F6482" s="0" t="s">
        <x:v>45</x:v>
      </x:c>
      <x:c r="G6482" s="0" t="s">
        <x:v>19</x:v>
      </x:c>
      <x:c r="H6482" s="0" t="s">
        <x:v>20</x:v>
      </x:c>
      <x:c r="I6482" s="0" t="s">
        <x:v>21</x:v>
      </x:c>
      <x:c r="K6482" s="0">
        <x:f>hyperlink("https://icd.who.int/dev11/l-ichi/en#/http%3A%2F%2Fid.who.int%2Ficd%2Fentity%2F2073150564","browser")</x:f>
      </x:c>
      <x:c r="L6482" s="0">
        <x:f>hyperlink("https://icat2.azurewebsites.net/icat/?ontology=ICD&amp;tab=ClassesTab&amp;id=http%3A%2F%2Fwho.int%2Ficd%2338334_512ebf36_bf6b_4d70_85da_cf2637062af4","iCat")</x:f>
      </x:c>
      <x:c r="M6482" s="0" t="s">
        <x:v>21</x:v>
      </x:c>
      <x:c r="N6482" s="0" t="s">
        <x:v>46</x:v>
      </x:c>
    </x:row>
    <x:row r="6483" spans="1:16">
      <x:c r="A6483" s="0" t="s">
        <x:v>25786</x:v>
      </x:c>
      <x:c r="B6483" s="0" t="s">
        <x:v>25787</x:v>
      </x:c>
      <x:c r="C6483" s="0" t="s">
        <x:v>25788</x:v>
      </x:c>
      <x:c r="E6483" s="0" t="s">
        <x:v>25789</x:v>
      </x:c>
      <x:c r="F6483" s="0" t="s">
        <x:v>45</x:v>
      </x:c>
      <x:c r="G6483" s="0" t="s">
        <x:v>19</x:v>
      </x:c>
      <x:c r="H6483" s="0" t="s">
        <x:v>20</x:v>
      </x:c>
      <x:c r="I6483" s="0" t="s">
        <x:v>21</x:v>
      </x:c>
      <x:c r="K6483" s="0">
        <x:f>hyperlink("https://icd.who.int/dev11/l-ichi/en#/http%3A%2F%2Fid.who.int%2Ficd%2Fentity%2F1589207352","browser")</x:f>
      </x:c>
      <x:c r="L6483" s="0">
        <x:f>hyperlink("https://icat2.azurewebsites.net/icat/?ontology=ICD&amp;tab=ClassesTab&amp;id=http%3A%2F%2Fwho.int%2Ficd%2338341_512ebf36_bf6b_4d70_85da_cf2637062af4","iCat")</x:f>
      </x:c>
      <x:c r="M6483" s="0" t="s">
        <x:v>21</x:v>
      </x:c>
      <x:c r="N6483" s="0" t="s">
        <x:v>46</x:v>
      </x:c>
    </x:row>
    <x:row r="6484" spans="1:16">
      <x:c r="A6484" s="0" t="s">
        <x:v>25790</x:v>
      </x:c>
      <x:c r="B6484" s="0" t="s">
        <x:v>25791</x:v>
      </x:c>
      <x:c r="C6484" s="0" t="s">
        <x:v>25792</x:v>
      </x:c>
      <x:c r="E6484" s="0" t="s">
        <x:v>25793</x:v>
      </x:c>
      <x:c r="F6484" s="0" t="s">
        <x:v>45</x:v>
      </x:c>
      <x:c r="G6484" s="0" t="s">
        <x:v>19</x:v>
      </x:c>
      <x:c r="H6484" s="0" t="s">
        <x:v>20</x:v>
      </x:c>
      <x:c r="I6484" s="0" t="s">
        <x:v>21</x:v>
      </x:c>
      <x:c r="K6484" s="0">
        <x:f>hyperlink("https://icd.who.int/dev11/l-ichi/en#/http%3A%2F%2Fid.who.int%2Ficd%2Fentity%2F817979999","browser")</x:f>
      </x:c>
      <x:c r="L6484" s="0">
        <x:f>hyperlink("https://icat2.azurewebsites.net/icat/?ontology=ICD&amp;tab=ClassesTab&amp;id=http%3A%2F%2Fwho.int%2Ficd%2338348_512ebf36_bf6b_4d70_85da_cf2637062af4","iCat")</x:f>
      </x:c>
      <x:c r="M6484" s="0" t="s">
        <x:v>21</x:v>
      </x:c>
      <x:c r="N6484" s="0" t="s">
        <x:v>46</x:v>
      </x:c>
    </x:row>
    <x:row r="6485" spans="1:16">
      <x:c r="A6485" s="0" t="s">
        <x:v>25794</x:v>
      </x:c>
      <x:c r="B6485" s="0" t="s">
        <x:v>25795</x:v>
      </x:c>
      <x:c r="C6485" s="0" t="s">
        <x:v>25796</x:v>
      </x:c>
      <x:c r="E6485" s="0" t="s">
        <x:v>25797</x:v>
      </x:c>
      <x:c r="F6485" s="0" t="s">
        <x:v>45</x:v>
      </x:c>
      <x:c r="G6485" s="0" t="s">
        <x:v>19</x:v>
      </x:c>
      <x:c r="H6485" s="0" t="s">
        <x:v>20</x:v>
      </x:c>
      <x:c r="I6485" s="0" t="s">
        <x:v>21</x:v>
      </x:c>
      <x:c r="K6485" s="0">
        <x:f>hyperlink("https://icd.who.int/dev11/l-ichi/en#/http%3A%2F%2Fid.who.int%2Ficd%2Fentity%2F24850453","browser")</x:f>
      </x:c>
      <x:c r="L6485" s="0">
        <x:f>hyperlink("https://icat2.azurewebsites.net/icat/?ontology=ICD&amp;tab=ClassesTab&amp;id=http%3A%2F%2Fwho.int%2Ficd%2338355_512ebf36_bf6b_4d70_85da_cf2637062af4","iCat")</x:f>
      </x:c>
      <x:c r="M6485" s="0" t="s">
        <x:v>21</x:v>
      </x:c>
      <x:c r="N6485" s="0" t="s">
        <x:v>46</x:v>
      </x:c>
    </x:row>
    <x:row r="6486" spans="1:16">
      <x:c r="A6486" s="0" t="s">
        <x:v>25798</x:v>
      </x:c>
      <x:c r="B6486" s="0" t="s">
        <x:v>25799</x:v>
      </x:c>
      <x:c r="C6486" s="0" t="s">
        <x:v>25800</x:v>
      </x:c>
      <x:c r="E6486" s="0" t="s">
        <x:v>25801</x:v>
      </x:c>
      <x:c r="F6486" s="0" t="s">
        <x:v>45</x:v>
      </x:c>
      <x:c r="G6486" s="0" t="s">
        <x:v>19</x:v>
      </x:c>
      <x:c r="H6486" s="0" t="s">
        <x:v>20</x:v>
      </x:c>
      <x:c r="I6486" s="0" t="s">
        <x:v>21</x:v>
      </x:c>
      <x:c r="K6486" s="0">
        <x:f>hyperlink("https://icd.who.int/dev11/l-ichi/en#/http%3A%2F%2Fid.who.int%2Ficd%2Fentity%2F826858399","browser")</x:f>
      </x:c>
      <x:c r="L6486" s="0">
        <x:f>hyperlink("https://icat2.azurewebsites.net/icat/?ontology=ICD&amp;tab=ClassesTab&amp;id=http%3A%2F%2Fwho.int%2Ficd%2338362_512ebf36_bf6b_4d70_85da_cf2637062af4","iCat")</x:f>
      </x:c>
      <x:c r="M6486" s="0" t="s">
        <x:v>21</x:v>
      </x:c>
      <x:c r="N6486" s="0" t="s">
        <x:v>46</x:v>
      </x:c>
    </x:row>
    <x:row r="6487" spans="1:16">
      <x:c r="A6487" s="0" t="s">
        <x:v>25802</x:v>
      </x:c>
      <x:c r="B6487" s="0" t="s">
        <x:v>25803</x:v>
      </x:c>
      <x:c r="C6487" s="0" t="s">
        <x:v>25804</x:v>
      </x:c>
      <x:c r="E6487" s="0" t="s">
        <x:v>25805</x:v>
      </x:c>
      <x:c r="F6487" s="0" t="s">
        <x:v>45</x:v>
      </x:c>
      <x:c r="G6487" s="0" t="s">
        <x:v>19</x:v>
      </x:c>
      <x:c r="H6487" s="0" t="s">
        <x:v>20</x:v>
      </x:c>
      <x:c r="I6487" s="0" t="s">
        <x:v>21</x:v>
      </x:c>
      <x:c r="K6487" s="0">
        <x:f>hyperlink("https://icd.who.int/dev11/l-ichi/en#/http%3A%2F%2Fid.who.int%2Ficd%2Fentity%2F978109747","browser")</x:f>
      </x:c>
      <x:c r="L6487" s="0">
        <x:f>hyperlink("https://icat2.azurewebsites.net/icat/?ontology=ICD&amp;tab=ClassesTab&amp;id=http%3A%2F%2Fwho.int%2Ficd%2338369_512ebf36_bf6b_4d70_85da_cf2637062af4","iCat")</x:f>
      </x:c>
      <x:c r="M6487" s="0" t="s">
        <x:v>21</x:v>
      </x:c>
      <x:c r="N6487" s="0" t="s">
        <x:v>46</x:v>
      </x:c>
    </x:row>
    <x:row r="6488" spans="1:16">
      <x:c r="A6488" s="0" t="s">
        <x:v>25806</x:v>
      </x:c>
      <x:c r="B6488" s="0" t="s">
        <x:v>25807</x:v>
      </x:c>
      <x:c r="C6488" s="0" t="s">
        <x:v>25808</x:v>
      </x:c>
      <x:c r="E6488" s="0" t="s">
        <x:v>25809</x:v>
      </x:c>
      <x:c r="F6488" s="0" t="s">
        <x:v>45</x:v>
      </x:c>
      <x:c r="G6488" s="0" t="s">
        <x:v>19</x:v>
      </x:c>
      <x:c r="H6488" s="0" t="s">
        <x:v>20</x:v>
      </x:c>
      <x:c r="I6488" s="0" t="s">
        <x:v>21</x:v>
      </x:c>
      <x:c r="K6488" s="0">
        <x:f>hyperlink("https://icd.who.int/dev11/l-ichi/en#/http%3A%2F%2Fid.who.int%2Ficd%2Fentity%2F1854573244","browser")</x:f>
      </x:c>
      <x:c r="L6488" s="0">
        <x:f>hyperlink("https://icat2.azurewebsites.net/icat/?ontology=ICD&amp;tab=ClassesTab&amp;id=http%3A%2F%2Fwho.int%2Ficd%2338376_512ebf36_bf6b_4d70_85da_cf2637062af4","iCat")</x:f>
      </x:c>
      <x:c r="M6488" s="0" t="s">
        <x:v>21</x:v>
      </x:c>
      <x:c r="N6488" s="0" t="s">
        <x:v>46</x:v>
      </x:c>
    </x:row>
    <x:row r="6489" spans="1:16">
      <x:c r="A6489" s="0" t="s">
        <x:v>25810</x:v>
      </x:c>
      <x:c r="B6489" s="0" t="s">
        <x:v>25811</x:v>
      </x:c>
      <x:c r="C6489" s="0" t="s">
        <x:v>25812</x:v>
      </x:c>
      <x:c r="E6489" s="0" t="s">
        <x:v>25813</x:v>
      </x:c>
      <x:c r="F6489" s="0" t="s">
        <x:v>45</x:v>
      </x:c>
      <x:c r="G6489" s="0" t="s">
        <x:v>19</x:v>
      </x:c>
      <x:c r="H6489" s="0" t="s">
        <x:v>20</x:v>
      </x:c>
      <x:c r="I6489" s="0" t="s">
        <x:v>21</x:v>
      </x:c>
      <x:c r="K6489" s="0">
        <x:f>hyperlink("https://icd.who.int/dev11/l-ichi/en#/http%3A%2F%2Fid.who.int%2Ficd%2Fentity%2F1418950186","browser")</x:f>
      </x:c>
      <x:c r="L6489" s="0">
        <x:f>hyperlink("https://icat2.azurewebsites.net/icat/?ontology=ICD&amp;tab=ClassesTab&amp;id=http%3A%2F%2Fwho.int%2Ficd%2338383_512ebf36_bf6b_4d70_85da_cf2637062af4","iCat")</x:f>
      </x:c>
      <x:c r="M6489" s="0" t="s">
        <x:v>21</x:v>
      </x:c>
      <x:c r="N6489" s="0" t="s">
        <x:v>46</x:v>
      </x:c>
    </x:row>
    <x:row r="6490" spans="1:16">
      <x:c r="A6490" s="0" t="s">
        <x:v>25814</x:v>
      </x:c>
      <x:c r="B6490" s="0" t="s">
        <x:v>25815</x:v>
      </x:c>
      <x:c r="C6490" s="0" t="s">
        <x:v>25816</x:v>
      </x:c>
      <x:c r="E6490" s="0" t="s">
        <x:v>25817</x:v>
      </x:c>
      <x:c r="F6490" s="0" t="s">
        <x:v>45</x:v>
      </x:c>
      <x:c r="G6490" s="0" t="s">
        <x:v>19</x:v>
      </x:c>
      <x:c r="H6490" s="0" t="s">
        <x:v>20</x:v>
      </x:c>
      <x:c r="I6490" s="0" t="s">
        <x:v>21</x:v>
      </x:c>
      <x:c r="K6490" s="0">
        <x:f>hyperlink("https://icd.who.int/dev11/l-ichi/en#/http%3A%2F%2Fid.who.int%2Ficd%2Fentity%2F2077461638","browser")</x:f>
      </x:c>
      <x:c r="L6490" s="0">
        <x:f>hyperlink("https://icat2.azurewebsites.net/icat/?ontology=ICD&amp;tab=ClassesTab&amp;id=http%3A%2F%2Fwho.int%2Ficd%2338390_512ebf36_bf6b_4d70_85da_cf2637062af4","iCat")</x:f>
      </x:c>
      <x:c r="M6490" s="0" t="s">
        <x:v>21</x:v>
      </x:c>
      <x:c r="N6490" s="0" t="s">
        <x:v>46</x:v>
      </x:c>
    </x:row>
    <x:row r="6491" spans="1:16">
      <x:c r="A6491" s="0" t="s">
        <x:v>25818</x:v>
      </x:c>
      <x:c r="B6491" s="0" t="s">
        <x:v>25819</x:v>
      </x:c>
      <x:c r="C6491" s="0" t="s">
        <x:v>25820</x:v>
      </x:c>
      <x:c r="E6491" s="0" t="s">
        <x:v>25821</x:v>
      </x:c>
      <x:c r="F6491" s="0" t="s">
        <x:v>45</x:v>
      </x:c>
      <x:c r="G6491" s="0" t="s">
        <x:v>19</x:v>
      </x:c>
      <x:c r="H6491" s="0" t="s">
        <x:v>20</x:v>
      </x:c>
      <x:c r="I6491" s="0" t="s">
        <x:v>21</x:v>
      </x:c>
      <x:c r="K6491" s="0">
        <x:f>hyperlink("https://icd.who.int/dev11/l-ichi/en#/http%3A%2F%2Fid.who.int%2Ficd%2Fentity%2F189867785","browser")</x:f>
      </x:c>
      <x:c r="L6491" s="0">
        <x:f>hyperlink("https://icat2.azurewebsites.net/icat/?ontology=ICD&amp;tab=ClassesTab&amp;id=http%3A%2F%2Fwho.int%2Ficd%2338397_512ebf36_bf6b_4d70_85da_cf2637062af4","iCat")</x:f>
      </x:c>
      <x:c r="M6491" s="0" t="s">
        <x:v>21</x:v>
      </x:c>
      <x:c r="N6491" s="0" t="s">
        <x:v>46</x:v>
      </x:c>
    </x:row>
    <x:row r="6492" spans="1:16">
      <x:c r="A6492" s="0" t="s">
        <x:v>25822</x:v>
      </x:c>
      <x:c r="B6492" s="0" t="s">
        <x:v>25823</x:v>
      </x:c>
      <x:c r="C6492" s="0" t="s">
        <x:v>25824</x:v>
      </x:c>
      <x:c r="E6492" s="0" t="s">
        <x:v>25825</x:v>
      </x:c>
      <x:c r="F6492" s="0" t="s">
        <x:v>45</x:v>
      </x:c>
      <x:c r="G6492" s="0" t="s">
        <x:v>19</x:v>
      </x:c>
      <x:c r="H6492" s="0" t="s">
        <x:v>20</x:v>
      </x:c>
      <x:c r="I6492" s="0" t="s">
        <x:v>21</x:v>
      </x:c>
      <x:c r="K6492" s="0">
        <x:f>hyperlink("https://icd.who.int/dev11/l-ichi/en#/http%3A%2F%2Fid.who.int%2Ficd%2Fentity%2F1467034639","browser")</x:f>
      </x:c>
      <x:c r="L6492" s="0">
        <x:f>hyperlink("https://icat2.azurewebsites.net/icat/?ontology=ICD&amp;tab=ClassesTab&amp;id=http%3A%2F%2Fwho.int%2Ficd%2338404_512ebf36_bf6b_4d70_85da_cf2637062af4","iCat")</x:f>
      </x:c>
      <x:c r="M6492" s="0" t="s">
        <x:v>21</x:v>
      </x:c>
      <x:c r="N6492" s="0" t="s">
        <x:v>46</x:v>
      </x:c>
    </x:row>
    <x:row r="6493" spans="1:16">
      <x:c r="A6493" s="0" t="s">
        <x:v>25826</x:v>
      </x:c>
      <x:c r="B6493" s="0" t="s">
        <x:v>25827</x:v>
      </x:c>
      <x:c r="C6493" s="0" t="s">
        <x:v>25828</x:v>
      </x:c>
      <x:c r="E6493" s="0" t="s">
        <x:v>25829</x:v>
      </x:c>
      <x:c r="F6493" s="0" t="s">
        <x:v>45</x:v>
      </x:c>
      <x:c r="G6493" s="0" t="s">
        <x:v>19</x:v>
      </x:c>
      <x:c r="H6493" s="0" t="s">
        <x:v>20</x:v>
      </x:c>
      <x:c r="I6493" s="0" t="s">
        <x:v>21</x:v>
      </x:c>
      <x:c r="K6493" s="0">
        <x:f>hyperlink("https://icd.who.int/dev11/l-ichi/en#/http%3A%2F%2Fid.who.int%2Ficd%2Fentity%2F675942160","browser")</x:f>
      </x:c>
      <x:c r="L6493" s="0">
        <x:f>hyperlink("https://icat2.azurewebsites.net/icat/?ontology=ICD&amp;tab=ClassesTab&amp;id=http%3A%2F%2Fwho.int%2Ficd%2338411_512ebf36_bf6b_4d70_85da_cf2637062af4","iCat")</x:f>
      </x:c>
      <x:c r="M6493" s="0" t="s">
        <x:v>21</x:v>
      </x:c>
      <x:c r="N6493" s="0" t="s">
        <x:v>46</x:v>
      </x:c>
    </x:row>
    <x:row r="6494" spans="1:16">
      <x:c r="A6494" s="0" t="s">
        <x:v>25830</x:v>
      </x:c>
      <x:c r="B6494" s="0" t="s">
        <x:v>25831</x:v>
      </x:c>
      <x:c r="C6494" s="0" t="s">
        <x:v>25832</x:v>
      </x:c>
      <x:c r="E6494" s="0" t="s">
        <x:v>25833</x:v>
      </x:c>
      <x:c r="F6494" s="0" t="s">
        <x:v>45</x:v>
      </x:c>
      <x:c r="G6494" s="0" t="s">
        <x:v>19</x:v>
      </x:c>
      <x:c r="H6494" s="0" t="s">
        <x:v>20</x:v>
      </x:c>
      <x:c r="I6494" s="0" t="s">
        <x:v>21</x:v>
      </x:c>
      <x:c r="K6494" s="0">
        <x:f>hyperlink("https://icd.who.int/dev11/l-ichi/en#/http%3A%2F%2Fid.who.int%2Ficd%2Fentity%2F1177685113","browser")</x:f>
      </x:c>
      <x:c r="L6494" s="0">
        <x:f>hyperlink("https://icat2.azurewebsites.net/icat/?ontology=ICD&amp;tab=ClassesTab&amp;id=http%3A%2F%2Fwho.int%2Ficd%2338418_512ebf36_bf6b_4d70_85da_cf2637062af4","iCat")</x:f>
      </x:c>
      <x:c r="M6494" s="0" t="s">
        <x:v>21</x:v>
      </x:c>
      <x:c r="N6494" s="0" t="s">
        <x:v>46</x:v>
      </x:c>
    </x:row>
    <x:row r="6495" spans="1:16">
      <x:c r="A6495" s="0" t="s">
        <x:v>25834</x:v>
      </x:c>
      <x:c r="B6495" s="0" t="s">
        <x:v>25835</x:v>
      </x:c>
      <x:c r="C6495" s="0" t="s">
        <x:v>25836</x:v>
      </x:c>
      <x:c r="E6495" s="0" t="s">
        <x:v>25837</x:v>
      </x:c>
      <x:c r="F6495" s="0" t="s">
        <x:v>45</x:v>
      </x:c>
      <x:c r="G6495" s="0" t="s">
        <x:v>19</x:v>
      </x:c>
      <x:c r="H6495" s="0" t="s">
        <x:v>20</x:v>
      </x:c>
      <x:c r="I6495" s="0" t="s">
        <x:v>21</x:v>
      </x:c>
      <x:c r="K6495" s="0">
        <x:f>hyperlink("https://icd.who.int/dev11/l-ichi/en#/http%3A%2F%2Fid.who.int%2Ficd%2Fentity%2F1576831843","browser")</x:f>
      </x:c>
      <x:c r="L6495" s="0">
        <x:f>hyperlink("https://icat2.azurewebsites.net/icat/?ontology=ICD&amp;tab=ClassesTab&amp;id=http%3A%2F%2Fwho.int%2Ficd%2338425_512ebf36_bf6b_4d70_85da_cf2637062af4","iCat")</x:f>
      </x:c>
      <x:c r="M6495" s="0" t="s">
        <x:v>21</x:v>
      </x:c>
      <x:c r="N6495" s="0" t="s">
        <x:v>46</x:v>
      </x:c>
    </x:row>
    <x:row r="6496" spans="1:16">
      <x:c r="A6496" s="0" t="s">
        <x:v>25838</x:v>
      </x:c>
      <x:c r="B6496" s="0" t="s">
        <x:v>25839</x:v>
      </x:c>
      <x:c r="C6496" s="0" t="s">
        <x:v>25840</x:v>
      </x:c>
      <x:c r="E6496" s="0" t="s">
        <x:v>25841</x:v>
      </x:c>
      <x:c r="F6496" s="0" t="s">
        <x:v>45</x:v>
      </x:c>
      <x:c r="G6496" s="0" t="s">
        <x:v>19</x:v>
      </x:c>
      <x:c r="H6496" s="0" t="s">
        <x:v>20</x:v>
      </x:c>
      <x:c r="I6496" s="0" t="s">
        <x:v>21</x:v>
      </x:c>
      <x:c r="K6496" s="0">
        <x:f>hyperlink("https://icd.who.int/dev11/l-ichi/en#/http%3A%2F%2Fid.who.int%2Ficd%2Fentity%2F1203484089","browser")</x:f>
      </x:c>
      <x:c r="L6496" s="0">
        <x:f>hyperlink("https://icat2.azurewebsites.net/icat/?ontology=ICD&amp;tab=ClassesTab&amp;id=http%3A%2F%2Fwho.int%2Ficd%2338432_512ebf36_bf6b_4d70_85da_cf2637062af4","iCat")</x:f>
      </x:c>
      <x:c r="M6496" s="0" t="s">
        <x:v>21</x:v>
      </x:c>
      <x:c r="N6496" s="0" t="s">
        <x:v>46</x:v>
      </x:c>
    </x:row>
    <x:row r="6497" spans="1:16">
      <x:c r="A6497" s="0" t="s">
        <x:v>25842</x:v>
      </x:c>
      <x:c r="B6497" s="0" t="s">
        <x:v>25843</x:v>
      </x:c>
      <x:c r="C6497" s="0" t="s">
        <x:v>25844</x:v>
      </x:c>
      <x:c r="E6497" s="0" t="s">
        <x:v>25845</x:v>
      </x:c>
      <x:c r="F6497" s="0" t="s">
        <x:v>45</x:v>
      </x:c>
      <x:c r="G6497" s="0" t="s">
        <x:v>19</x:v>
      </x:c>
      <x:c r="H6497" s="0" t="s">
        <x:v>20</x:v>
      </x:c>
      <x:c r="I6497" s="0" t="s">
        <x:v>21</x:v>
      </x:c>
      <x:c r="K6497" s="0">
        <x:f>hyperlink("https://icd.who.int/dev11/l-ichi/en#/http%3A%2F%2Fid.who.int%2Ficd%2Fentity%2F1287629589","browser")</x:f>
      </x:c>
      <x:c r="L6497" s="0">
        <x:f>hyperlink("https://icat2.azurewebsites.net/icat/?ontology=ICD&amp;tab=ClassesTab&amp;id=http%3A%2F%2Fwho.int%2Ficd%2338439_512ebf36_bf6b_4d70_85da_cf2637062af4","iCat")</x:f>
      </x:c>
      <x:c r="M6497" s="0" t="s">
        <x:v>21</x:v>
      </x:c>
      <x:c r="N6497" s="0" t="s">
        <x:v>46</x:v>
      </x:c>
    </x:row>
    <x:row r="6498" spans="1:16">
      <x:c r="A6498" s="0" t="s">
        <x:v>25846</x:v>
      </x:c>
      <x:c r="B6498" s="0" t="s">
        <x:v>25847</x:v>
      </x:c>
      <x:c r="C6498" s="0" t="s">
        <x:v>25848</x:v>
      </x:c>
      <x:c r="E6498" s="0" t="s">
        <x:v>25849</x:v>
      </x:c>
      <x:c r="F6498" s="0" t="s">
        <x:v>45</x:v>
      </x:c>
      <x:c r="G6498" s="0" t="s">
        <x:v>19</x:v>
      </x:c>
      <x:c r="H6498" s="0" t="s">
        <x:v>20</x:v>
      </x:c>
      <x:c r="I6498" s="0" t="s">
        <x:v>21</x:v>
      </x:c>
      <x:c r="K6498" s="0">
        <x:f>hyperlink("https://icd.who.int/dev11/l-ichi/en#/http%3A%2F%2Fid.who.int%2Ficd%2Fentity%2F1114268375","browser")</x:f>
      </x:c>
      <x:c r="L6498" s="0">
        <x:f>hyperlink("https://icat2.azurewebsites.net/icat/?ontology=ICD&amp;tab=ClassesTab&amp;id=http%3A%2F%2Fwho.int%2Ficd%2338446_512ebf36_bf6b_4d70_85da_cf2637062af4","iCat")</x:f>
      </x:c>
      <x:c r="M6498" s="0" t="s">
        <x:v>21</x:v>
      </x:c>
      <x:c r="N6498" s="0" t="s">
        <x:v>46</x:v>
      </x:c>
    </x:row>
    <x:row r="6499" spans="1:16">
      <x:c r="A6499" s="0" t="s">
        <x:v>25850</x:v>
      </x:c>
      <x:c r="B6499" s="0" t="s">
        <x:v>25851</x:v>
      </x:c>
      <x:c r="C6499" s="0" t="s">
        <x:v>25852</x:v>
      </x:c>
      <x:c r="E6499" s="0" t="s">
        <x:v>25853</x:v>
      </x:c>
      <x:c r="F6499" s="0" t="s">
        <x:v>45</x:v>
      </x:c>
      <x:c r="G6499" s="0" t="s">
        <x:v>19</x:v>
      </x:c>
      <x:c r="H6499" s="0" t="s">
        <x:v>20</x:v>
      </x:c>
      <x:c r="I6499" s="0" t="s">
        <x:v>21</x:v>
      </x:c>
      <x:c r="K6499" s="0">
        <x:f>hyperlink("https://icd.who.int/dev11/l-ichi/en#/http%3A%2F%2Fid.who.int%2Ficd%2Fentity%2F1028735432","browser")</x:f>
      </x:c>
      <x:c r="L6499" s="0">
        <x:f>hyperlink("https://icat2.azurewebsites.net/icat/?ontology=ICD&amp;tab=ClassesTab&amp;id=http%3A%2F%2Fwho.int%2Ficd%2338453_512ebf36_bf6b_4d70_85da_cf2637062af4","iCat")</x:f>
      </x:c>
      <x:c r="M6499" s="0" t="s">
        <x:v>21</x:v>
      </x:c>
      <x:c r="N6499" s="0" t="s">
        <x:v>46</x:v>
      </x:c>
    </x:row>
    <x:row r="6500" spans="1:16">
      <x:c r="A6500" s="0" t="s">
        <x:v>25854</x:v>
      </x:c>
      <x:c r="B6500" s="0" t="s">
        <x:v>25855</x:v>
      </x:c>
      <x:c r="C6500" s="0" t="s">
        <x:v>25856</x:v>
      </x:c>
      <x:c r="E6500" s="0" t="s">
        <x:v>25857</x:v>
      </x:c>
      <x:c r="F6500" s="0" t="s">
        <x:v>45</x:v>
      </x:c>
      <x:c r="G6500" s="0" t="s">
        <x:v>19</x:v>
      </x:c>
      <x:c r="H6500" s="0" t="s">
        <x:v>20</x:v>
      </x:c>
      <x:c r="I6500" s="0" t="s">
        <x:v>21</x:v>
      </x:c>
      <x:c r="K6500" s="0">
        <x:f>hyperlink("https://icd.who.int/dev11/l-ichi/en#/http%3A%2F%2Fid.who.int%2Ficd%2Fentity%2F946171446","browser")</x:f>
      </x:c>
      <x:c r="L6500" s="0">
        <x:f>hyperlink("https://icat2.azurewebsites.net/icat/?ontology=ICD&amp;tab=ClassesTab&amp;id=http%3A%2F%2Fwho.int%2Ficd%2338460_512ebf36_bf6b_4d70_85da_cf2637062af4","iCat")</x:f>
      </x:c>
      <x:c r="M6500" s="0" t="s">
        <x:v>21</x:v>
      </x:c>
      <x:c r="N6500" s="0" t="s">
        <x:v>46</x:v>
      </x:c>
    </x:row>
    <x:row r="6501" spans="1:16">
      <x:c r="A6501" s="0" t="s">
        <x:v>25858</x:v>
      </x:c>
      <x:c r="B6501" s="0" t="s">
        <x:v>25859</x:v>
      </x:c>
      <x:c r="C6501" s="0" t="s">
        <x:v>25860</x:v>
      </x:c>
      <x:c r="E6501" s="0" t="s">
        <x:v>25861</x:v>
      </x:c>
      <x:c r="F6501" s="0" t="s">
        <x:v>45</x:v>
      </x:c>
      <x:c r="G6501" s="0" t="s">
        <x:v>19</x:v>
      </x:c>
      <x:c r="H6501" s="0" t="s">
        <x:v>20</x:v>
      </x:c>
      <x:c r="I6501" s="0" t="s">
        <x:v>21</x:v>
      </x:c>
      <x:c r="K6501" s="0">
        <x:f>hyperlink("https://icd.who.int/dev11/l-ichi/en#/http%3A%2F%2Fid.who.int%2Ficd%2Fentity%2F1223148987","browser")</x:f>
      </x:c>
      <x:c r="L6501" s="0">
        <x:f>hyperlink("https://icat2.azurewebsites.net/icat/?ontology=ICD&amp;tab=ClassesTab&amp;id=http%3A%2F%2Fwho.int%2Ficd%2338467_512ebf36_bf6b_4d70_85da_cf2637062af4","iCat")</x:f>
      </x:c>
      <x:c r="M6501" s="0" t="s">
        <x:v>21</x:v>
      </x:c>
      <x:c r="N6501" s="0" t="s">
        <x:v>46</x:v>
      </x:c>
    </x:row>
    <x:row r="6502" spans="1:16">
      <x:c r="A6502" s="0" t="s">
        <x:v>25862</x:v>
      </x:c>
      <x:c r="B6502" s="0" t="s">
        <x:v>25863</x:v>
      </x:c>
      <x:c r="C6502" s="0" t="s">
        <x:v>25864</x:v>
      </x:c>
      <x:c r="E6502" s="0" t="s">
        <x:v>25865</x:v>
      </x:c>
      <x:c r="F6502" s="0" t="s">
        <x:v>45</x:v>
      </x:c>
      <x:c r="G6502" s="0" t="s">
        <x:v>19</x:v>
      </x:c>
      <x:c r="H6502" s="0" t="s">
        <x:v>20</x:v>
      </x:c>
      <x:c r="I6502" s="0" t="s">
        <x:v>21</x:v>
      </x:c>
      <x:c r="K6502" s="0">
        <x:f>hyperlink("https://icd.who.int/dev11/l-ichi/en#/http%3A%2F%2Fid.who.int%2Ficd%2Fentity%2F1739013909","browser")</x:f>
      </x:c>
      <x:c r="L6502" s="0">
        <x:f>hyperlink("https://icat2.azurewebsites.net/icat/?ontology=ICD&amp;tab=ClassesTab&amp;id=http%3A%2F%2Fwho.int%2Ficd%2338474_512ebf36_bf6b_4d70_85da_cf2637062af4","iCat")</x:f>
      </x:c>
      <x:c r="M6502" s="0" t="s">
        <x:v>21</x:v>
      </x:c>
      <x:c r="N6502" s="0" t="s">
        <x:v>46</x:v>
      </x:c>
    </x:row>
    <x:row r="6503" spans="1:16">
      <x:c r="A6503" s="0" t="s">
        <x:v>25866</x:v>
      </x:c>
      <x:c r="B6503" s="0" t="s">
        <x:v>25867</x:v>
      </x:c>
      <x:c r="C6503" s="0" t="s">
        <x:v>25868</x:v>
      </x:c>
      <x:c r="E6503" s="0" t="s">
        <x:v>25869</x:v>
      </x:c>
      <x:c r="F6503" s="0" t="s">
        <x:v>45</x:v>
      </x:c>
      <x:c r="G6503" s="0" t="s">
        <x:v>19</x:v>
      </x:c>
      <x:c r="H6503" s="0" t="s">
        <x:v>20</x:v>
      </x:c>
      <x:c r="I6503" s="0" t="s">
        <x:v>21</x:v>
      </x:c>
      <x:c r="K6503" s="0">
        <x:f>hyperlink("https://icd.who.int/dev11/l-ichi/en#/http%3A%2F%2Fid.who.int%2Ficd%2Fentity%2F1572782979","browser")</x:f>
      </x:c>
      <x:c r="L6503" s="0">
        <x:f>hyperlink("https://icat2.azurewebsites.net/icat/?ontology=ICD&amp;tab=ClassesTab&amp;id=http%3A%2F%2Fwho.int%2Ficd%2338481_512ebf36_bf6b_4d70_85da_cf2637062af4","iCat")</x:f>
      </x:c>
      <x:c r="M6503" s="0" t="s">
        <x:v>21</x:v>
      </x:c>
      <x:c r="N6503" s="0" t="s">
        <x:v>46</x:v>
      </x:c>
    </x:row>
    <x:row r="6504" spans="1:16">
      <x:c r="A6504" s="0" t="s">
        <x:v>25870</x:v>
      </x:c>
      <x:c r="B6504" s="0" t="s">
        <x:v>25871</x:v>
      </x:c>
      <x:c r="C6504" s="0" t="s">
        <x:v>25872</x:v>
      </x:c>
      <x:c r="E6504" s="0" t="s">
        <x:v>25873</x:v>
      </x:c>
      <x:c r="F6504" s="0" t="s">
        <x:v>45</x:v>
      </x:c>
      <x:c r="G6504" s="0" t="s">
        <x:v>19</x:v>
      </x:c>
      <x:c r="H6504" s="0" t="s">
        <x:v>20</x:v>
      </x:c>
      <x:c r="I6504" s="0" t="s">
        <x:v>21</x:v>
      </x:c>
      <x:c r="K6504" s="0">
        <x:f>hyperlink("https://icd.who.int/dev11/l-ichi/en#/http%3A%2F%2Fid.who.int%2Ficd%2Fentity%2F868663530","browser")</x:f>
      </x:c>
      <x:c r="L6504" s="0">
        <x:f>hyperlink("https://icat2.azurewebsites.net/icat/?ontology=ICD&amp;tab=ClassesTab&amp;id=http%3A%2F%2Fwho.int%2Ficd%2338488_512ebf36_bf6b_4d70_85da_cf2637062af4","iCat")</x:f>
      </x:c>
      <x:c r="M6504" s="0" t="s">
        <x:v>21</x:v>
      </x:c>
      <x:c r="N6504" s="0" t="s">
        <x:v>46</x:v>
      </x:c>
    </x:row>
    <x:row r="6505" spans="1:16">
      <x:c r="A6505" s="0" t="s">
        <x:v>25874</x:v>
      </x:c>
      <x:c r="B6505" s="0" t="s">
        <x:v>25875</x:v>
      </x:c>
      <x:c r="C6505" s="0" t="s">
        <x:v>25876</x:v>
      </x:c>
      <x:c r="E6505" s="0" t="s">
        <x:v>25877</x:v>
      </x:c>
      <x:c r="F6505" s="0" t="s">
        <x:v>45</x:v>
      </x:c>
      <x:c r="G6505" s="0" t="s">
        <x:v>19</x:v>
      </x:c>
      <x:c r="H6505" s="0" t="s">
        <x:v>20</x:v>
      </x:c>
      <x:c r="I6505" s="0" t="s">
        <x:v>21</x:v>
      </x:c>
      <x:c r="K6505" s="0">
        <x:f>hyperlink("https://icd.who.int/dev11/l-ichi/en#/http%3A%2F%2Fid.who.int%2Ficd%2Fentity%2F41718432","browser")</x:f>
      </x:c>
      <x:c r="L6505" s="0">
        <x:f>hyperlink("https://icat2.azurewebsites.net/icat/?ontology=ICD&amp;tab=ClassesTab&amp;id=http%3A%2F%2Fwho.int%2Ficd%2338495_512ebf36_bf6b_4d70_85da_cf2637062af4","iCat")</x:f>
      </x:c>
      <x:c r="M6505" s="0" t="s">
        <x:v>21</x:v>
      </x:c>
      <x:c r="N6505" s="0" t="s">
        <x:v>46</x:v>
      </x:c>
    </x:row>
    <x:row r="6506" spans="1:16">
      <x:c r="A6506" s="0" t="s">
        <x:v>25878</x:v>
      </x:c>
      <x:c r="B6506" s="0" t="s">
        <x:v>25879</x:v>
      </x:c>
      <x:c r="C6506" s="0" t="s">
        <x:v>25880</x:v>
      </x:c>
      <x:c r="E6506" s="0" t="s">
        <x:v>25881</x:v>
      </x:c>
      <x:c r="F6506" s="0" t="s">
        <x:v>45</x:v>
      </x:c>
      <x:c r="G6506" s="0" t="s">
        <x:v>19</x:v>
      </x:c>
      <x:c r="H6506" s="0" t="s">
        <x:v>20</x:v>
      </x:c>
      <x:c r="I6506" s="0" t="s">
        <x:v>21</x:v>
      </x:c>
      <x:c r="K6506" s="0">
        <x:f>hyperlink("https://icd.who.int/dev11/l-ichi/en#/http%3A%2F%2Fid.who.int%2Ficd%2Fentity%2F1922380579","browser")</x:f>
      </x:c>
      <x:c r="L6506" s="0">
        <x:f>hyperlink("https://icat2.azurewebsites.net/icat/?ontology=ICD&amp;tab=ClassesTab&amp;id=http%3A%2F%2Fwho.int%2Ficd%2338502_512ebf36_bf6b_4d70_85da_cf2637062af4","iCat")</x:f>
      </x:c>
      <x:c r="M6506" s="0" t="s">
        <x:v>21</x:v>
      </x:c>
      <x:c r="N6506" s="0" t="s">
        <x:v>46</x:v>
      </x:c>
    </x:row>
    <x:row r="6507" spans="1:16">
      <x:c r="A6507" s="0" t="s">
        <x:v>25882</x:v>
      </x:c>
      <x:c r="B6507" s="0" t="s">
        <x:v>25883</x:v>
      </x:c>
      <x:c r="C6507" s="0" t="s">
        <x:v>25884</x:v>
      </x:c>
      <x:c r="E6507" s="0" t="s">
        <x:v>25885</x:v>
      </x:c>
      <x:c r="F6507" s="0" t="s">
        <x:v>45</x:v>
      </x:c>
      <x:c r="G6507" s="0" t="s">
        <x:v>19</x:v>
      </x:c>
      <x:c r="H6507" s="0" t="s">
        <x:v>20</x:v>
      </x:c>
      <x:c r="I6507" s="0" t="s">
        <x:v>21</x:v>
      </x:c>
      <x:c r="K6507" s="0">
        <x:f>hyperlink("https://icd.who.int/dev11/l-ichi/en#/http%3A%2F%2Fid.who.int%2Ficd%2Fentity%2F2039557519","browser")</x:f>
      </x:c>
      <x:c r="L6507" s="0">
        <x:f>hyperlink("https://icat2.azurewebsites.net/icat/?ontology=ICD&amp;tab=ClassesTab&amp;id=http%3A%2F%2Fwho.int%2Ficd%2338509_512ebf36_bf6b_4d70_85da_cf2637062af4","iCat")</x:f>
      </x:c>
      <x:c r="M6507" s="0" t="s">
        <x:v>21</x:v>
      </x:c>
      <x:c r="N6507" s="0" t="s">
        <x:v>46</x:v>
      </x:c>
    </x:row>
    <x:row r="6508" spans="1:16">
      <x:c r="A6508" s="0" t="s">
        <x:v>25886</x:v>
      </x:c>
      <x:c r="B6508" s="0" t="s">
        <x:v>25887</x:v>
      </x:c>
      <x:c r="C6508" s="0" t="s">
        <x:v>25888</x:v>
      </x:c>
      <x:c r="E6508" s="0" t="s">
        <x:v>25889</x:v>
      </x:c>
      <x:c r="F6508" s="0" t="s">
        <x:v>45</x:v>
      </x:c>
      <x:c r="G6508" s="0" t="s">
        <x:v>19</x:v>
      </x:c>
      <x:c r="H6508" s="0" t="s">
        <x:v>20</x:v>
      </x:c>
      <x:c r="I6508" s="0" t="s">
        <x:v>21</x:v>
      </x:c>
      <x:c r="K6508" s="0">
        <x:f>hyperlink("https://icd.who.int/dev11/l-ichi/en#/http%3A%2F%2Fid.who.int%2Ficd%2Fentity%2F760701440","browser")</x:f>
      </x:c>
      <x:c r="L6508" s="0">
        <x:f>hyperlink("https://icat2.azurewebsites.net/icat/?ontology=ICD&amp;tab=ClassesTab&amp;id=http%3A%2F%2Fwho.int%2Ficd%2338516_512ebf36_bf6b_4d70_85da_cf2637062af4","iCat")</x:f>
      </x:c>
      <x:c r="M6508" s="0" t="s">
        <x:v>21</x:v>
      </x:c>
      <x:c r="N6508" s="0" t="s">
        <x:v>46</x:v>
      </x:c>
    </x:row>
    <x:row r="6509" spans="1:16">
      <x:c r="A6509" s="0" t="s">
        <x:v>25890</x:v>
      </x:c>
      <x:c r="B6509" s="0" t="s">
        <x:v>25891</x:v>
      </x:c>
      <x:c r="C6509" s="0" t="s">
        <x:v>25892</x:v>
      </x:c>
      <x:c r="E6509" s="0" t="s">
        <x:v>25893</x:v>
      </x:c>
      <x:c r="F6509" s="0" t="s">
        <x:v>45</x:v>
      </x:c>
      <x:c r="G6509" s="0" t="s">
        <x:v>19</x:v>
      </x:c>
      <x:c r="H6509" s="0" t="s">
        <x:v>20</x:v>
      </x:c>
      <x:c r="I6509" s="0" t="s">
        <x:v>21</x:v>
      </x:c>
      <x:c r="K6509" s="0">
        <x:f>hyperlink("https://icd.who.int/dev11/l-ichi/en#/http%3A%2F%2Fid.who.int%2Ficd%2Fentity%2F2014876751","browser")</x:f>
      </x:c>
      <x:c r="L6509" s="0">
        <x:f>hyperlink("https://icat2.azurewebsites.net/icat/?ontology=ICD&amp;tab=ClassesTab&amp;id=http%3A%2F%2Fwho.int%2Ficd%2338523_512ebf36_bf6b_4d70_85da_cf2637062af4","iCat")</x:f>
      </x:c>
      <x:c r="M6509" s="0" t="s">
        <x:v>21</x:v>
      </x:c>
      <x:c r="N6509" s="0" t="s">
        <x:v>46</x:v>
      </x:c>
    </x:row>
    <x:row r="6510" spans="1:16">
      <x:c r="A6510" s="0" t="s">
        <x:v>25894</x:v>
      </x:c>
      <x:c r="B6510" s="0" t="s">
        <x:v>25895</x:v>
      </x:c>
      <x:c r="C6510" s="0" t="s">
        <x:v>25896</x:v>
      </x:c>
      <x:c r="E6510" s="0" t="s">
        <x:v>25897</x:v>
      </x:c>
      <x:c r="F6510" s="0" t="s">
        <x:v>45</x:v>
      </x:c>
      <x:c r="G6510" s="0" t="s">
        <x:v>19</x:v>
      </x:c>
      <x:c r="H6510" s="0" t="s">
        <x:v>20</x:v>
      </x:c>
      <x:c r="I6510" s="0" t="s">
        <x:v>21</x:v>
      </x:c>
      <x:c r="K6510" s="0">
        <x:f>hyperlink("https://icd.who.int/dev11/l-ichi/en#/http%3A%2F%2Fid.who.int%2Ficd%2Fentity%2F1465413345","browser")</x:f>
      </x:c>
      <x:c r="L6510" s="0">
        <x:f>hyperlink("https://icat2.azurewebsites.net/icat/?ontology=ICD&amp;tab=ClassesTab&amp;id=http%3A%2F%2Fwho.int%2Ficd%2338530_512ebf36_bf6b_4d70_85da_cf2637062af4","iCat")</x:f>
      </x:c>
      <x:c r="M6510" s="0" t="s">
        <x:v>21</x:v>
      </x:c>
      <x:c r="N6510" s="0" t="s">
        <x:v>46</x:v>
      </x:c>
    </x:row>
    <x:row r="6511" spans="1:16">
      <x:c r="A6511" s="0" t="s">
        <x:v>25898</x:v>
      </x:c>
      <x:c r="B6511" s="0" t="s">
        <x:v>25899</x:v>
      </x:c>
      <x:c r="C6511" s="0" t="s">
        <x:v>25900</x:v>
      </x:c>
      <x:c r="E6511" s="0" t="s">
        <x:v>25901</x:v>
      </x:c>
      <x:c r="F6511" s="0" t="s">
        <x:v>45</x:v>
      </x:c>
      <x:c r="G6511" s="0" t="s">
        <x:v>19</x:v>
      </x:c>
      <x:c r="H6511" s="0" t="s">
        <x:v>20</x:v>
      </x:c>
      <x:c r="I6511" s="0" t="s">
        <x:v>21</x:v>
      </x:c>
      <x:c r="K6511" s="0">
        <x:f>hyperlink("https://icd.who.int/dev11/l-ichi/en#/http%3A%2F%2Fid.who.int%2Ficd%2Fentity%2F668648812","browser")</x:f>
      </x:c>
      <x:c r="L6511" s="0">
        <x:f>hyperlink("https://icat2.azurewebsites.net/icat/?ontology=ICD&amp;tab=ClassesTab&amp;id=http%3A%2F%2Fwho.int%2Ficd%2338537_512ebf36_bf6b_4d70_85da_cf2637062af4","iCat")</x:f>
      </x:c>
      <x:c r="M6511" s="0" t="s">
        <x:v>21</x:v>
      </x:c>
      <x:c r="N6511" s="0" t="s">
        <x:v>46</x:v>
      </x:c>
    </x:row>
    <x:row r="6512" spans="1:16">
      <x:c r="A6512" s="0" t="s">
        <x:v>25902</x:v>
      </x:c>
      <x:c r="B6512" s="0" t="s">
        <x:v>25903</x:v>
      </x:c>
      <x:c r="C6512" s="0" t="s">
        <x:v>25904</x:v>
      </x:c>
      <x:c r="E6512" s="0" t="s">
        <x:v>25905</x:v>
      </x:c>
      <x:c r="F6512" s="0" t="s">
        <x:v>45</x:v>
      </x:c>
      <x:c r="G6512" s="0" t="s">
        <x:v>19</x:v>
      </x:c>
      <x:c r="H6512" s="0" t="s">
        <x:v>20</x:v>
      </x:c>
      <x:c r="I6512" s="0" t="s">
        <x:v>21</x:v>
      </x:c>
      <x:c r="K6512" s="0">
        <x:f>hyperlink("https://icd.who.int/dev11/l-ichi/en#/http%3A%2F%2Fid.who.int%2Ficd%2Fentity%2F1384757647","browser")</x:f>
      </x:c>
      <x:c r="L6512" s="0">
        <x:f>hyperlink("https://icat2.azurewebsites.net/icat/?ontology=ICD&amp;tab=ClassesTab&amp;id=http%3A%2F%2Fwho.int%2Ficd%2338544_512ebf36_bf6b_4d70_85da_cf2637062af4","iCat")</x:f>
      </x:c>
      <x:c r="M6512" s="0" t="s">
        <x:v>21</x:v>
      </x:c>
      <x:c r="N6512" s="0" t="s">
        <x:v>46</x:v>
      </x:c>
    </x:row>
    <x:row r="6513" spans="1:16">
      <x:c r="A6513" s="0" t="s">
        <x:v>25906</x:v>
      </x:c>
      <x:c r="B6513" s="0" t="s">
        <x:v>25907</x:v>
      </x:c>
      <x:c r="C6513" s="0" t="s">
        <x:v>25908</x:v>
      </x:c>
      <x:c r="E6513" s="0" t="s">
        <x:v>25909</x:v>
      </x:c>
      <x:c r="F6513" s="0" t="s">
        <x:v>45</x:v>
      </x:c>
      <x:c r="G6513" s="0" t="s">
        <x:v>19</x:v>
      </x:c>
      <x:c r="H6513" s="0" t="s">
        <x:v>20</x:v>
      </x:c>
      <x:c r="I6513" s="0" t="s">
        <x:v>21</x:v>
      </x:c>
      <x:c r="K6513" s="0">
        <x:f>hyperlink("https://icd.who.int/dev11/l-ichi/en#/http%3A%2F%2Fid.who.int%2Ficd%2Fentity%2F766679696","browser")</x:f>
      </x:c>
      <x:c r="L6513" s="0">
        <x:f>hyperlink("https://icat2.azurewebsites.net/icat/?ontology=ICD&amp;tab=ClassesTab&amp;id=http%3A%2F%2Fwho.int%2Ficd%2338551_512ebf36_bf6b_4d70_85da_cf2637062af4","iCat")</x:f>
      </x:c>
      <x:c r="M6513" s="0" t="s">
        <x:v>21</x:v>
      </x:c>
      <x:c r="N6513" s="0" t="s">
        <x:v>46</x:v>
      </x:c>
    </x:row>
    <x:row r="6514" spans="1:16">
      <x:c r="A6514" s="0" t="s">
        <x:v>25910</x:v>
      </x:c>
      <x:c r="B6514" s="0" t="s">
        <x:v>25911</x:v>
      </x:c>
      <x:c r="C6514" s="0" t="s">
        <x:v>25912</x:v>
      </x:c>
      <x:c r="E6514" s="0" t="s">
        <x:v>25913</x:v>
      </x:c>
      <x:c r="F6514" s="0" t="s">
        <x:v>45</x:v>
      </x:c>
      <x:c r="G6514" s="0" t="s">
        <x:v>19</x:v>
      </x:c>
      <x:c r="H6514" s="0" t="s">
        <x:v>20</x:v>
      </x:c>
      <x:c r="I6514" s="0" t="s">
        <x:v>21</x:v>
      </x:c>
      <x:c r="K6514" s="0">
        <x:f>hyperlink("https://icd.who.int/dev11/l-ichi/en#/http%3A%2F%2Fid.who.int%2Ficd%2Fentity%2F1137351161","browser")</x:f>
      </x:c>
      <x:c r="L6514" s="0">
        <x:f>hyperlink("https://icat2.azurewebsites.net/icat/?ontology=ICD&amp;tab=ClassesTab&amp;id=http%3A%2F%2Fwho.int%2Ficd%2338558_512ebf36_bf6b_4d70_85da_cf2637062af4","iCat")</x:f>
      </x:c>
      <x:c r="M6514" s="0" t="s">
        <x:v>21</x:v>
      </x:c>
      <x:c r="N6514" s="0" t="s">
        <x:v>46</x:v>
      </x:c>
    </x:row>
    <x:row r="6515" spans="1:16">
      <x:c r="A6515" s="0" t="s">
        <x:v>25914</x:v>
      </x:c>
      <x:c r="B6515" s="0" t="s">
        <x:v>25915</x:v>
      </x:c>
      <x:c r="C6515" s="0" t="s">
        <x:v>25916</x:v>
      </x:c>
      <x:c r="E6515" s="0" t="s">
        <x:v>25917</x:v>
      </x:c>
      <x:c r="F6515" s="0" t="s">
        <x:v>45</x:v>
      </x:c>
      <x:c r="G6515" s="0" t="s">
        <x:v>19</x:v>
      </x:c>
      <x:c r="H6515" s="0" t="s">
        <x:v>20</x:v>
      </x:c>
      <x:c r="I6515" s="0" t="s">
        <x:v>21</x:v>
      </x:c>
      <x:c r="K6515" s="0">
        <x:f>hyperlink("https://icd.who.int/dev11/l-ichi/en#/http%3A%2F%2Fid.who.int%2Ficd%2Fentity%2F1476665059","browser")</x:f>
      </x:c>
      <x:c r="L6515" s="0">
        <x:f>hyperlink("https://icat2.azurewebsites.net/icat/?ontology=ICD&amp;tab=ClassesTab&amp;id=http%3A%2F%2Fwho.int%2Ficd%2338565_512ebf36_bf6b_4d70_85da_cf2637062af4","iCat")</x:f>
      </x:c>
      <x:c r="M6515" s="0" t="s">
        <x:v>21</x:v>
      </x:c>
      <x:c r="N6515" s="0" t="s">
        <x:v>46</x:v>
      </x:c>
    </x:row>
    <x:row r="6516" spans="1:16">
      <x:c r="A6516" s="0" t="s">
        <x:v>25918</x:v>
      </x:c>
      <x:c r="B6516" s="0" t="s">
        <x:v>25919</x:v>
      </x:c>
      <x:c r="C6516" s="0" t="s">
        <x:v>25920</x:v>
      </x:c>
      <x:c r="E6516" s="0" t="s">
        <x:v>25921</x:v>
      </x:c>
      <x:c r="F6516" s="0" t="s">
        <x:v>45</x:v>
      </x:c>
      <x:c r="G6516" s="0" t="s">
        <x:v>19</x:v>
      </x:c>
      <x:c r="H6516" s="0" t="s">
        <x:v>20</x:v>
      </x:c>
      <x:c r="I6516" s="0" t="s">
        <x:v>21</x:v>
      </x:c>
      <x:c r="K6516" s="0">
        <x:f>hyperlink("https://icd.who.int/dev11/l-ichi/en#/http%3A%2F%2Fid.who.int%2Ficd%2Fentity%2F1111695417","browser")</x:f>
      </x:c>
      <x:c r="L6516" s="0">
        <x:f>hyperlink("https://icat2.azurewebsites.net/icat/?ontology=ICD&amp;tab=ClassesTab&amp;id=http%3A%2F%2Fwho.int%2Ficd%2338572_512ebf36_bf6b_4d70_85da_cf2637062af4","iCat")</x:f>
      </x:c>
      <x:c r="M6516" s="0" t="s">
        <x:v>21</x:v>
      </x:c>
      <x:c r="N6516" s="0" t="s">
        <x:v>46</x:v>
      </x:c>
    </x:row>
    <x:row r="6517" spans="1:16">
      <x:c r="A6517" s="0" t="s">
        <x:v>25922</x:v>
      </x:c>
      <x:c r="B6517" s="0" t="s">
        <x:v>25923</x:v>
      </x:c>
      <x:c r="C6517" s="0" t="s">
        <x:v>25924</x:v>
      </x:c>
      <x:c r="E6517" s="0" t="s">
        <x:v>25925</x:v>
      </x:c>
      <x:c r="F6517" s="0" t="s">
        <x:v>45</x:v>
      </x:c>
      <x:c r="G6517" s="0" t="s">
        <x:v>19</x:v>
      </x:c>
      <x:c r="H6517" s="0" t="s">
        <x:v>20</x:v>
      </x:c>
      <x:c r="I6517" s="0" t="s">
        <x:v>21</x:v>
      </x:c>
      <x:c r="K6517" s="0">
        <x:f>hyperlink("https://icd.who.int/dev11/l-ichi/en#/http%3A%2F%2Fid.who.int%2Ficd%2Fentity%2F1038070616","browser")</x:f>
      </x:c>
      <x:c r="L6517" s="0">
        <x:f>hyperlink("https://icat2.azurewebsites.net/icat/?ontology=ICD&amp;tab=ClassesTab&amp;id=http%3A%2F%2Fwho.int%2Ficd%2338584_512ebf36_bf6b_4d70_85da_cf2637062af4","iCat")</x:f>
      </x:c>
      <x:c r="M6517" s="0" t="s">
        <x:v>21</x:v>
      </x:c>
      <x:c r="N6517" s="0" t="s">
        <x:v>46</x:v>
      </x:c>
    </x:row>
    <x:row r="6518" spans="1:16">
      <x:c r="A6518" s="0" t="s">
        <x:v>25926</x:v>
      </x:c>
      <x:c r="B6518" s="0" t="s">
        <x:v>25927</x:v>
      </x:c>
      <x:c r="C6518" s="0" t="s">
        <x:v>25928</x:v>
      </x:c>
      <x:c r="E6518" s="0" t="s">
        <x:v>25929</x:v>
      </x:c>
      <x:c r="F6518" s="0" t="s">
        <x:v>45</x:v>
      </x:c>
      <x:c r="G6518" s="0" t="s">
        <x:v>19</x:v>
      </x:c>
      <x:c r="H6518" s="0" t="s">
        <x:v>20</x:v>
      </x:c>
      <x:c r="I6518" s="0" t="s">
        <x:v>21</x:v>
      </x:c>
      <x:c r="K6518" s="0">
        <x:f>hyperlink("https://icd.who.int/dev11/l-ichi/en#/http%3A%2F%2Fid.who.int%2Ficd%2Fentity%2F2011386941","browser")</x:f>
      </x:c>
      <x:c r="L6518" s="0">
        <x:f>hyperlink("https://icat2.azurewebsites.net/icat/?ontology=ICD&amp;tab=ClassesTab&amp;id=http%3A%2F%2Fwho.int%2Ficd%2338595_512ebf36_bf6b_4d70_85da_cf2637062af4","iCat")</x:f>
      </x:c>
      <x:c r="M6518" s="0" t="s">
        <x:v>21</x:v>
      </x:c>
      <x:c r="N6518" s="0" t="s">
        <x:v>46</x:v>
      </x:c>
    </x:row>
    <x:row r="6519" spans="1:16">
      <x:c r="A6519" s="0" t="s">
        <x:v>25930</x:v>
      </x:c>
      <x:c r="B6519" s="0" t="s">
        <x:v>25931</x:v>
      </x:c>
      <x:c r="C6519" s="0" t="s">
        <x:v>25932</x:v>
      </x:c>
      <x:c r="E6519" s="0" t="s">
        <x:v>25933</x:v>
      </x:c>
      <x:c r="F6519" s="0" t="s">
        <x:v>45</x:v>
      </x:c>
      <x:c r="G6519" s="0" t="s">
        <x:v>19</x:v>
      </x:c>
      <x:c r="H6519" s="0" t="s">
        <x:v>20</x:v>
      </x:c>
      <x:c r="I6519" s="0" t="s">
        <x:v>21</x:v>
      </x:c>
      <x:c r="K6519" s="0">
        <x:f>hyperlink("https://icd.who.int/dev11/l-ichi/en#/http%3A%2F%2Fid.who.int%2Ficd%2Fentity%2F650986256","browser")</x:f>
      </x:c>
      <x:c r="L6519" s="0">
        <x:f>hyperlink("https://icat2.azurewebsites.net/icat/?ontology=ICD&amp;tab=ClassesTab&amp;id=http%3A%2F%2Fwho.int%2Ficd%2338606_512ebf36_bf6b_4d70_85da_cf2637062af4","iCat")</x:f>
      </x:c>
      <x:c r="M6519" s="0" t="s">
        <x:v>21</x:v>
      </x:c>
      <x:c r="N6519" s="0" t="s">
        <x:v>46</x:v>
      </x:c>
    </x:row>
    <x:row r="6520" spans="1:16">
      <x:c r="A6520" s="0" t="s">
        <x:v>25934</x:v>
      </x:c>
      <x:c r="B6520" s="0" t="s">
        <x:v>25935</x:v>
      </x:c>
      <x:c r="D6520" s="0" t="s">
        <x:v>25936</x:v>
      </x:c>
      <x:c r="E6520" s="0" t="s">
        <x:v>25937</x:v>
      </x:c>
      <x:c r="F6520" s="0" t="s">
        <x:v>26</x:v>
      </x:c>
      <x:c r="G6520" s="0" t="s">
        <x:v>22</x:v>
      </x:c>
      <x:c r="H6520" s="0" t="s">
        <x:v>20</x:v>
      </x:c>
      <x:c r="I6520" s="0" t="s">
        <x:v>21</x:v>
      </x:c>
      <x:c r="K6520" s="0">
        <x:f>hyperlink("https://icd.who.int/dev11/l-ichi/en#/http%3A%2F%2Fid.who.int%2Ficd%2Fentity%2F1391623869","browser")</x:f>
      </x:c>
      <x:c r="L6520" s="0">
        <x:f>hyperlink("https://icat2.azurewebsites.net/icat/?ontology=ICD&amp;tab=ClassesTab&amp;id=http%3A%2F%2Fwho.int%2Ficd%2338618_512ebf36_bf6b_4d70_85da_cf2637062af4","iCat")</x:f>
      </x:c>
      <x:c r="M6520" s="0" t="s">
        <x:v>20</x:v>
      </x:c>
      <x:c r="N6520" s="0" t="s">
        <x:v>25938</x:v>
      </x:c>
    </x:row>
    <x:row r="6521" spans="1:16">
      <x:c r="A6521" s="0" t="s">
        <x:v>25939</x:v>
      </x:c>
      <x:c r="B6521" s="0" t="s">
        <x:v>25940</x:v>
      </x:c>
      <x:c r="C6521" s="0" t="s">
        <x:v>25941</x:v>
      </x:c>
      <x:c r="E6521" s="0" t="s">
        <x:v>25942</x:v>
      </x:c>
      <x:c r="F6521" s="0" t="s">
        <x:v>45</x:v>
      </x:c>
      <x:c r="G6521" s="0" t="s">
        <x:v>19</x:v>
      </x:c>
      <x:c r="H6521" s="0" t="s">
        <x:v>20</x:v>
      </x:c>
      <x:c r="I6521" s="0" t="s">
        <x:v>21</x:v>
      </x:c>
      <x:c r="K6521" s="0">
        <x:f>hyperlink("https://icd.who.int/dev11/l-ichi/en#/http%3A%2F%2Fid.who.int%2Ficd%2Fentity%2F1827775589","browser")</x:f>
      </x:c>
      <x:c r="L6521" s="0">
        <x:f>hyperlink("https://icat2.azurewebsites.net/icat/?ontology=ICD&amp;tab=ClassesTab&amp;id=http%3A%2F%2Fwho.int%2Ficd%2338617_512ebf36_bf6b_4d70_85da_cf2637062af4","iCat")</x:f>
      </x:c>
      <x:c r="M6521" s="0" t="s">
        <x:v>21</x:v>
      </x:c>
      <x:c r="N6521" s="0" t="s">
        <x:v>46</x:v>
      </x:c>
    </x:row>
    <x:row r="6522" spans="1:16">
      <x:c r="A6522" s="0" t="s">
        <x:v>25943</x:v>
      </x:c>
      <x:c r="B6522" s="0" t="s">
        <x:v>25944</x:v>
      </x:c>
      <x:c r="C6522" s="0" t="s">
        <x:v>25945</x:v>
      </x:c>
      <x:c r="E6522" s="0" t="s">
        <x:v>25946</x:v>
      </x:c>
      <x:c r="F6522" s="0" t="s">
        <x:v>45</x:v>
      </x:c>
      <x:c r="G6522" s="0" t="s">
        <x:v>19</x:v>
      </x:c>
      <x:c r="H6522" s="0" t="s">
        <x:v>20</x:v>
      </x:c>
      <x:c r="I6522" s="0" t="s">
        <x:v>21</x:v>
      </x:c>
      <x:c r="K6522" s="0">
        <x:f>hyperlink("https://icd.who.int/dev11/l-ichi/en#/http%3A%2F%2Fid.who.int%2Ficd%2Fentity%2F906484410","browser")</x:f>
      </x:c>
      <x:c r="L6522" s="0">
        <x:f>hyperlink("https://icat2.azurewebsites.net/icat/?ontology=ICD&amp;tab=ClassesTab&amp;id=http%3A%2F%2Fwho.int%2Ficd%2338630_512ebf36_bf6b_4d70_85da_cf2637062af4","iCat")</x:f>
      </x:c>
      <x:c r="M6522" s="0" t="s">
        <x:v>21</x:v>
      </x:c>
      <x:c r="N6522" s="0" t="s">
        <x:v>46</x:v>
      </x:c>
    </x:row>
    <x:row r="6523" spans="1:16">
      <x:c r="A6523" s="0" t="s">
        <x:v>25947</x:v>
      </x:c>
      <x:c r="B6523" s="0" t="s">
        <x:v>25948</x:v>
      </x:c>
      <x:c r="C6523" s="0" t="s">
        <x:v>25949</x:v>
      </x:c>
      <x:c r="E6523" s="0" t="s">
        <x:v>25950</x:v>
      </x:c>
      <x:c r="F6523" s="0" t="s">
        <x:v>45</x:v>
      </x:c>
      <x:c r="G6523" s="0" t="s">
        <x:v>19</x:v>
      </x:c>
      <x:c r="H6523" s="0" t="s">
        <x:v>20</x:v>
      </x:c>
      <x:c r="I6523" s="0" t="s">
        <x:v>21</x:v>
      </x:c>
      <x:c r="K6523" s="0">
        <x:f>hyperlink("https://icd.who.int/dev11/l-ichi/en#/http%3A%2F%2Fid.who.int%2Ficd%2Fentity%2F1183150389","browser")</x:f>
      </x:c>
      <x:c r="L6523" s="0">
        <x:f>hyperlink("https://icat2.azurewebsites.net/icat/?ontology=ICD&amp;tab=ClassesTab&amp;id=http%3A%2F%2Fwho.int%2Ficd%2338637_512ebf36_bf6b_4d70_85da_cf2637062af4","iCat")</x:f>
      </x:c>
      <x:c r="M6523" s="0" t="s">
        <x:v>21</x:v>
      </x:c>
      <x:c r="N6523" s="0" t="s">
        <x:v>46</x:v>
      </x:c>
    </x:row>
    <x:row r="6524" spans="1:16">
      <x:c r="A6524" s="0" t="s">
        <x:v>25951</x:v>
      </x:c>
      <x:c r="B6524" s="0" t="s">
        <x:v>25952</x:v>
      </x:c>
      <x:c r="C6524" s="0" t="s">
        <x:v>25953</x:v>
      </x:c>
      <x:c r="E6524" s="0" t="s">
        <x:v>25954</x:v>
      </x:c>
      <x:c r="F6524" s="0" t="s">
        <x:v>45</x:v>
      </x:c>
      <x:c r="G6524" s="0" t="s">
        <x:v>19</x:v>
      </x:c>
      <x:c r="H6524" s="0" t="s">
        <x:v>20</x:v>
      </x:c>
      <x:c r="I6524" s="0" t="s">
        <x:v>21</x:v>
      </x:c>
      <x:c r="K6524" s="0">
        <x:f>hyperlink("https://icd.who.int/dev11/l-ichi/en#/http%3A%2F%2Fid.who.int%2Ficd%2Fentity%2F869666264","browser")</x:f>
      </x:c>
      <x:c r="L6524" s="0">
        <x:f>hyperlink("https://icat2.azurewebsites.net/icat/?ontology=ICD&amp;tab=ClassesTab&amp;id=http%3A%2F%2Fwho.int%2Ficd%2338644_512ebf36_bf6b_4d70_85da_cf2637062af4","iCat")</x:f>
      </x:c>
      <x:c r="M6524" s="0" t="s">
        <x:v>21</x:v>
      </x:c>
      <x:c r="N6524" s="0" t="s">
        <x:v>46</x:v>
      </x:c>
    </x:row>
    <x:row r="6525" spans="1:16">
      <x:c r="A6525" s="0" t="s">
        <x:v>25955</x:v>
      </x:c>
      <x:c r="B6525" s="0" t="s">
        <x:v>25956</x:v>
      </x:c>
      <x:c r="C6525" s="0" t="s">
        <x:v>25957</x:v>
      </x:c>
      <x:c r="E6525" s="0" t="s">
        <x:v>25958</x:v>
      </x:c>
      <x:c r="F6525" s="0" t="s">
        <x:v>45</x:v>
      </x:c>
      <x:c r="G6525" s="0" t="s">
        <x:v>19</x:v>
      </x:c>
      <x:c r="H6525" s="0" t="s">
        <x:v>20</x:v>
      </x:c>
      <x:c r="I6525" s="0" t="s">
        <x:v>21</x:v>
      </x:c>
      <x:c r="K6525" s="0">
        <x:f>hyperlink("https://icd.who.int/dev11/l-ichi/en#/http%3A%2F%2Fid.who.int%2Ficd%2Fentity%2F1290612425","browser")</x:f>
      </x:c>
      <x:c r="L6525" s="0">
        <x:f>hyperlink("https://icat2.azurewebsites.net/icat/?ontology=ICD&amp;tab=ClassesTab&amp;id=http%3A%2F%2Fwho.int%2Ficd%2338651_512ebf36_bf6b_4d70_85da_cf2637062af4","iCat")</x:f>
      </x:c>
      <x:c r="M6525" s="0" t="s">
        <x:v>21</x:v>
      </x:c>
      <x:c r="N6525" s="0" t="s">
        <x:v>46</x:v>
      </x:c>
    </x:row>
    <x:row r="6526" spans="1:16">
      <x:c r="A6526" s="0" t="s">
        <x:v>25959</x:v>
      </x:c>
      <x:c r="B6526" s="0" t="s">
        <x:v>25960</x:v>
      </x:c>
      <x:c r="C6526" s="0" t="s">
        <x:v>25961</x:v>
      </x:c>
      <x:c r="E6526" s="0" t="s">
        <x:v>25962</x:v>
      </x:c>
      <x:c r="F6526" s="0" t="s">
        <x:v>45</x:v>
      </x:c>
      <x:c r="G6526" s="0" t="s">
        <x:v>19</x:v>
      </x:c>
      <x:c r="H6526" s="0" t="s">
        <x:v>20</x:v>
      </x:c>
      <x:c r="I6526" s="0" t="s">
        <x:v>21</x:v>
      </x:c>
      <x:c r="K6526" s="0">
        <x:f>hyperlink("https://icd.who.int/dev11/l-ichi/en#/http%3A%2F%2Fid.who.int%2Ficd%2Fentity%2F580201888","browser")</x:f>
      </x:c>
      <x:c r="L6526" s="0">
        <x:f>hyperlink("https://icat2.azurewebsites.net/icat/?ontology=ICD&amp;tab=ClassesTab&amp;id=http%3A%2F%2Fwho.int%2Ficd%2338658_512ebf36_bf6b_4d70_85da_cf2637062af4","iCat")</x:f>
      </x:c>
      <x:c r="M6526" s="0" t="s">
        <x:v>21</x:v>
      </x:c>
      <x:c r="N6526" s="0" t="s">
        <x:v>46</x:v>
      </x:c>
    </x:row>
    <x:row r="6527" spans="1:16">
      <x:c r="A6527" s="0" t="s">
        <x:v>25963</x:v>
      </x:c>
      <x:c r="B6527" s="0" t="s">
        <x:v>25964</x:v>
      </x:c>
      <x:c r="C6527" s="0" t="s">
        <x:v>25965</x:v>
      </x:c>
      <x:c r="E6527" s="0" t="s">
        <x:v>25966</x:v>
      </x:c>
      <x:c r="F6527" s="0" t="s">
        <x:v>45</x:v>
      </x:c>
      <x:c r="G6527" s="0" t="s">
        <x:v>19</x:v>
      </x:c>
      <x:c r="H6527" s="0" t="s">
        <x:v>20</x:v>
      </x:c>
      <x:c r="I6527" s="0" t="s">
        <x:v>21</x:v>
      </x:c>
      <x:c r="K6527" s="0">
        <x:f>hyperlink("https://icd.who.int/dev11/l-ichi/en#/http%3A%2F%2Fid.who.int%2Ficd%2Fentity%2F962308796","browser")</x:f>
      </x:c>
      <x:c r="L6527" s="0">
        <x:f>hyperlink("https://icat2.azurewebsites.net/icat/?ontology=ICD&amp;tab=ClassesTab&amp;id=http%3A%2F%2Fwho.int%2Ficd%2338665_512ebf36_bf6b_4d70_85da_cf2637062af4","iCat")</x:f>
      </x:c>
      <x:c r="M6527" s="0" t="s">
        <x:v>21</x:v>
      </x:c>
      <x:c r="N6527" s="0" t="s">
        <x:v>46</x:v>
      </x:c>
    </x:row>
    <x:row r="6528" spans="1:16">
      <x:c r="A6528" s="0" t="s">
        <x:v>25967</x:v>
      </x:c>
      <x:c r="B6528" s="0" t="s">
        <x:v>25968</x:v>
      </x:c>
      <x:c r="C6528" s="0" t="s">
        <x:v>25969</x:v>
      </x:c>
      <x:c r="E6528" s="0" t="s">
        <x:v>25970</x:v>
      </x:c>
      <x:c r="F6528" s="0" t="s">
        <x:v>45</x:v>
      </x:c>
      <x:c r="G6528" s="0" t="s">
        <x:v>19</x:v>
      </x:c>
      <x:c r="H6528" s="0" t="s">
        <x:v>20</x:v>
      </x:c>
      <x:c r="I6528" s="0" t="s">
        <x:v>21</x:v>
      </x:c>
      <x:c r="K6528" s="0">
        <x:f>hyperlink("https://icd.who.int/dev11/l-ichi/en#/http%3A%2F%2Fid.who.int%2Ficd%2Fentity%2F589075554","browser")</x:f>
      </x:c>
      <x:c r="L6528" s="0">
        <x:f>hyperlink("https://icat2.azurewebsites.net/icat/?ontology=ICD&amp;tab=ClassesTab&amp;id=http%3A%2F%2Fwho.int%2Ficd%2338672_512ebf36_bf6b_4d70_85da_cf2637062af4","iCat")</x:f>
      </x:c>
      <x:c r="M6528" s="0" t="s">
        <x:v>21</x:v>
      </x:c>
      <x:c r="N6528" s="0" t="s">
        <x:v>46</x:v>
      </x:c>
    </x:row>
    <x:row r="6529" spans="1:16">
      <x:c r="A6529" s="0" t="s">
        <x:v>25971</x:v>
      </x:c>
      <x:c r="B6529" s="0" t="s">
        <x:v>25972</x:v>
      </x:c>
      <x:c r="C6529" s="0" t="s">
        <x:v>25973</x:v>
      </x:c>
      <x:c r="E6529" s="0" t="s">
        <x:v>25974</x:v>
      </x:c>
      <x:c r="F6529" s="0" t="s">
        <x:v>45</x:v>
      </x:c>
      <x:c r="G6529" s="0" t="s">
        <x:v>19</x:v>
      </x:c>
      <x:c r="H6529" s="0" t="s">
        <x:v>20</x:v>
      </x:c>
      <x:c r="I6529" s="0" t="s">
        <x:v>21</x:v>
      </x:c>
      <x:c r="K6529" s="0">
        <x:f>hyperlink("https://icd.who.int/dev11/l-ichi/en#/http%3A%2F%2Fid.who.int%2Ficd%2Fentity%2F672697036","browser")</x:f>
      </x:c>
      <x:c r="L6529" s="0">
        <x:f>hyperlink("https://icat2.azurewebsites.net/icat/?ontology=ICD&amp;tab=ClassesTab&amp;id=http%3A%2F%2Fwho.int%2Ficd%2338679_512ebf36_bf6b_4d70_85da_cf2637062af4","iCat")</x:f>
      </x:c>
      <x:c r="M6529" s="0" t="s">
        <x:v>21</x:v>
      </x:c>
      <x:c r="N6529" s="0" t="s">
        <x:v>46</x:v>
      </x:c>
    </x:row>
    <x:row r="6530" spans="1:16">
      <x:c r="A6530" s="0" t="s">
        <x:v>25975</x:v>
      </x:c>
      <x:c r="B6530" s="0" t="s">
        <x:v>25976</x:v>
      </x:c>
      <x:c r="C6530" s="0" t="s">
        <x:v>25977</x:v>
      </x:c>
      <x:c r="E6530" s="0" t="s">
        <x:v>25978</x:v>
      </x:c>
      <x:c r="F6530" s="0" t="s">
        <x:v>45</x:v>
      </x:c>
      <x:c r="G6530" s="0" t="s">
        <x:v>19</x:v>
      </x:c>
      <x:c r="H6530" s="0" t="s">
        <x:v>20</x:v>
      </x:c>
      <x:c r="I6530" s="0" t="s">
        <x:v>21</x:v>
      </x:c>
      <x:c r="K6530" s="0">
        <x:f>hyperlink("https://icd.who.int/dev11/l-ichi/en#/http%3A%2F%2Fid.who.int%2Ficd%2Fentity%2F972823242","browser")</x:f>
      </x:c>
      <x:c r="L6530" s="0">
        <x:f>hyperlink("https://icat2.azurewebsites.net/icat/?ontology=ICD&amp;tab=ClassesTab&amp;id=http%3A%2F%2Fwho.int%2Ficd%2338686_512ebf36_bf6b_4d70_85da_cf2637062af4","iCat")</x:f>
      </x:c>
      <x:c r="M6530" s="0" t="s">
        <x:v>21</x:v>
      </x:c>
      <x:c r="N6530" s="0" t="s">
        <x:v>46</x:v>
      </x:c>
    </x:row>
    <x:row r="6531" spans="1:16">
      <x:c r="A6531" s="0" t="s">
        <x:v>25979</x:v>
      </x:c>
      <x:c r="B6531" s="0" t="s">
        <x:v>25980</x:v>
      </x:c>
      <x:c r="C6531" s="0" t="s">
        <x:v>25981</x:v>
      </x:c>
      <x:c r="E6531" s="0" t="s">
        <x:v>25982</x:v>
      </x:c>
      <x:c r="F6531" s="0" t="s">
        <x:v>45</x:v>
      </x:c>
      <x:c r="G6531" s="0" t="s">
        <x:v>19</x:v>
      </x:c>
      <x:c r="H6531" s="0" t="s">
        <x:v>20</x:v>
      </x:c>
      <x:c r="I6531" s="0" t="s">
        <x:v>21</x:v>
      </x:c>
      <x:c r="K6531" s="0">
        <x:f>hyperlink("https://icd.who.int/dev11/l-ichi/en#/http%3A%2F%2Fid.who.int%2Ficd%2Fentity%2F1187461589","browser")</x:f>
      </x:c>
      <x:c r="L6531" s="0">
        <x:f>hyperlink("https://icat2.azurewebsites.net/icat/?ontology=ICD&amp;tab=ClassesTab&amp;id=http%3A%2F%2Fwho.int%2Ficd%2338693_512ebf36_bf6b_4d70_85da_cf2637062af4","iCat")</x:f>
      </x:c>
      <x:c r="M6531" s="0" t="s">
        <x:v>21</x:v>
      </x:c>
      <x:c r="N6531" s="0" t="s">
        <x:v>46</x:v>
      </x:c>
    </x:row>
    <x:row r="6532" spans="1:16">
      <x:c r="A6532" s="0" t="s">
        <x:v>25983</x:v>
      </x:c>
      <x:c r="B6532" s="0" t="s">
        <x:v>25984</x:v>
      </x:c>
      <x:c r="C6532" s="0" t="s">
        <x:v>25985</x:v>
      </x:c>
      <x:c r="E6532" s="0" t="s">
        <x:v>25986</x:v>
      </x:c>
      <x:c r="F6532" s="0" t="s">
        <x:v>45</x:v>
      </x:c>
      <x:c r="G6532" s="0" t="s">
        <x:v>19</x:v>
      </x:c>
      <x:c r="H6532" s="0" t="s">
        <x:v>20</x:v>
      </x:c>
      <x:c r="I6532" s="0" t="s">
        <x:v>21</x:v>
      </x:c>
      <x:c r="K6532" s="0">
        <x:f>hyperlink("https://icd.who.int/dev11/l-ichi/en#/http%3A%2F%2Fid.who.int%2Ficd%2Fentity%2F53042210","browser")</x:f>
      </x:c>
      <x:c r="L6532" s="0">
        <x:f>hyperlink("https://icat2.azurewebsites.net/icat/?ontology=ICD&amp;tab=ClassesTab&amp;id=http%3A%2F%2Fwho.int%2Ficd%2338700_512ebf36_bf6b_4d70_85da_cf2637062af4","iCat")</x:f>
      </x:c>
      <x:c r="M6532" s="0" t="s">
        <x:v>21</x:v>
      </x:c>
      <x:c r="N6532" s="0" t="s">
        <x:v>46</x:v>
      </x:c>
    </x:row>
    <x:row r="6533" spans="1:16">
      <x:c r="A6533" s="0" t="s">
        <x:v>25987</x:v>
      </x:c>
      <x:c r="B6533" s="0" t="s">
        <x:v>25988</x:v>
      </x:c>
      <x:c r="C6533" s="0" t="s">
        <x:v>25989</x:v>
      </x:c>
      <x:c r="E6533" s="0" t="s">
        <x:v>25990</x:v>
      </x:c>
      <x:c r="F6533" s="0" t="s">
        <x:v>45</x:v>
      </x:c>
      <x:c r="G6533" s="0" t="s">
        <x:v>19</x:v>
      </x:c>
      <x:c r="H6533" s="0" t="s">
        <x:v>20</x:v>
      </x:c>
      <x:c r="I6533" s="0" t="s">
        <x:v>21</x:v>
      </x:c>
      <x:c r="K6533" s="0">
        <x:f>hyperlink("https://icd.who.int/dev11/l-ichi/en#/http%3A%2F%2Fid.who.int%2Ficd%2Fentity%2F1940649903","browser")</x:f>
      </x:c>
      <x:c r="L6533" s="0">
        <x:f>hyperlink("https://icat2.azurewebsites.net/icat/?ontology=ICD&amp;tab=ClassesTab&amp;id=http%3A%2F%2Fwho.int%2Ficd%2338707_512ebf36_bf6b_4d70_85da_cf2637062af4","iCat")</x:f>
      </x:c>
      <x:c r="M6533" s="0" t="s">
        <x:v>21</x:v>
      </x:c>
      <x:c r="N6533" s="0" t="s">
        <x:v>46</x:v>
      </x:c>
    </x:row>
    <x:row r="6534" spans="1:16">
      <x:c r="A6534" s="0" t="s">
        <x:v>25991</x:v>
      </x:c>
      <x:c r="B6534" s="0" t="s">
        <x:v>25992</x:v>
      </x:c>
      <x:c r="C6534" s="0" t="s">
        <x:v>25993</x:v>
      </x:c>
      <x:c r="E6534" s="0" t="s">
        <x:v>25994</x:v>
      </x:c>
      <x:c r="F6534" s="0" t="s">
        <x:v>45</x:v>
      </x:c>
      <x:c r="G6534" s="0" t="s">
        <x:v>19</x:v>
      </x:c>
      <x:c r="H6534" s="0" t="s">
        <x:v>20</x:v>
      </x:c>
      <x:c r="I6534" s="0" t="s">
        <x:v>21</x:v>
      </x:c>
      <x:c r="K6534" s="0">
        <x:f>hyperlink("https://icd.who.int/dev11/l-ichi/en#/http%3A%2F%2Fid.who.int%2Ficd%2Fentity%2F1558908161","browser")</x:f>
      </x:c>
      <x:c r="L6534" s="0">
        <x:f>hyperlink("https://icat2.azurewebsites.net/icat/?ontology=ICD&amp;tab=ClassesTab&amp;id=http%3A%2F%2Fwho.int%2Ficd%2338714_512ebf36_bf6b_4d70_85da_cf2637062af4","iCat")</x:f>
      </x:c>
      <x:c r="M6534" s="0" t="s">
        <x:v>21</x:v>
      </x:c>
      <x:c r="N6534" s="0" t="s">
        <x:v>46</x:v>
      </x:c>
    </x:row>
    <x:row r="6535" spans="1:16">
      <x:c r="A6535" s="0" t="s">
        <x:v>25995</x:v>
      </x:c>
      <x:c r="B6535" s="0" t="s">
        <x:v>25996</x:v>
      </x:c>
      <x:c r="C6535" s="0" t="s">
        <x:v>25997</x:v>
      </x:c>
      <x:c r="E6535" s="0" t="s">
        <x:v>25998</x:v>
      </x:c>
      <x:c r="F6535" s="0" t="s">
        <x:v>45</x:v>
      </x:c>
      <x:c r="G6535" s="0" t="s">
        <x:v>19</x:v>
      </x:c>
      <x:c r="H6535" s="0" t="s">
        <x:v>20</x:v>
      </x:c>
      <x:c r="I6535" s="0" t="s">
        <x:v>21</x:v>
      </x:c>
      <x:c r="K6535" s="0">
        <x:f>hyperlink("https://icd.who.int/dev11/l-ichi/en#/http%3A%2F%2Fid.who.int%2Ficd%2Fentity%2F161807182","browser")</x:f>
      </x:c>
      <x:c r="L6535" s="0">
        <x:f>hyperlink("https://icat2.azurewebsites.net/icat/?ontology=ICD&amp;tab=ClassesTab&amp;id=http%3A%2F%2Fwho.int%2Ficd%2338721_512ebf36_bf6b_4d70_85da_cf2637062af4","iCat")</x:f>
      </x:c>
      <x:c r="M6535" s="0" t="s">
        <x:v>21</x:v>
      </x:c>
      <x:c r="N6535" s="0" t="s">
        <x:v>46</x:v>
      </x:c>
    </x:row>
    <x:row r="6536" spans="1:16">
      <x:c r="A6536" s="0" t="s">
        <x:v>25999</x:v>
      </x:c>
      <x:c r="B6536" s="0" t="s">
        <x:v>26000</x:v>
      </x:c>
      <x:c r="C6536" s="0" t="s">
        <x:v>26001</x:v>
      </x:c>
      <x:c r="E6536" s="0" t="s">
        <x:v>26002</x:v>
      </x:c>
      <x:c r="F6536" s="0" t="s">
        <x:v>45</x:v>
      </x:c>
      <x:c r="G6536" s="0" t="s">
        <x:v>19</x:v>
      </x:c>
      <x:c r="H6536" s="0" t="s">
        <x:v>20</x:v>
      </x:c>
      <x:c r="I6536" s="0" t="s">
        <x:v>21</x:v>
      </x:c>
      <x:c r="K6536" s="0">
        <x:f>hyperlink("https://icd.who.int/dev11/l-ichi/en#/http%3A%2F%2Fid.who.int%2Ficd%2Fentity%2F1742534695","browser")</x:f>
      </x:c>
      <x:c r="L6536" s="0">
        <x:f>hyperlink("https://icat2.azurewebsites.net/icat/?ontology=ICD&amp;tab=ClassesTab&amp;id=http%3A%2F%2Fwho.int%2Ficd%2338728_512ebf36_bf6b_4d70_85da_cf2637062af4","iCat")</x:f>
      </x:c>
      <x:c r="M6536" s="0" t="s">
        <x:v>21</x:v>
      </x:c>
      <x:c r="N6536" s="0" t="s">
        <x:v>46</x:v>
      </x:c>
    </x:row>
    <x:row r="6537" spans="1:16">
      <x:c r="A6537" s="0" t="s">
        <x:v>26003</x:v>
      </x:c>
      <x:c r="B6537" s="0" t="s">
        <x:v>26004</x:v>
      </x:c>
      <x:c r="C6537" s="0" t="s">
        <x:v>26005</x:v>
      </x:c>
      <x:c r="E6537" s="0" t="s">
        <x:v>26006</x:v>
      </x:c>
      <x:c r="F6537" s="0" t="s">
        <x:v>45</x:v>
      </x:c>
      <x:c r="G6537" s="0" t="s">
        <x:v>19</x:v>
      </x:c>
      <x:c r="H6537" s="0" t="s">
        <x:v>20</x:v>
      </x:c>
      <x:c r="I6537" s="0" t="s">
        <x:v>21</x:v>
      </x:c>
      <x:c r="K6537" s="0">
        <x:f>hyperlink("https://icd.who.int/dev11/l-ichi/en#/http%3A%2F%2Fid.who.int%2Ficd%2Fentity%2F1449568877","browser")</x:f>
      </x:c>
      <x:c r="L6537" s="0">
        <x:f>hyperlink("https://icat2.azurewebsites.net/icat/?ontology=ICD&amp;tab=ClassesTab&amp;id=http%3A%2F%2Fwho.int%2Ficd%2338735_512ebf36_bf6b_4d70_85da_cf2637062af4","iCat")</x:f>
      </x:c>
      <x:c r="M6537" s="0" t="s">
        <x:v>21</x:v>
      </x:c>
      <x:c r="N6537" s="0" t="s">
        <x:v>46</x:v>
      </x:c>
    </x:row>
    <x:row r="6538" spans="1:16">
      <x:c r="A6538" s="0" t="s">
        <x:v>26007</x:v>
      </x:c>
      <x:c r="B6538" s="0" t="s">
        <x:v>26008</x:v>
      </x:c>
      <x:c r="C6538" s="0" t="s">
        <x:v>26009</x:v>
      </x:c>
      <x:c r="E6538" s="0" t="s">
        <x:v>26010</x:v>
      </x:c>
      <x:c r="F6538" s="0" t="s">
        <x:v>45</x:v>
      </x:c>
      <x:c r="G6538" s="0" t="s">
        <x:v>19</x:v>
      </x:c>
      <x:c r="H6538" s="0" t="s">
        <x:v>20</x:v>
      </x:c>
      <x:c r="I6538" s="0" t="s">
        <x:v>21</x:v>
      </x:c>
      <x:c r="K6538" s="0">
        <x:f>hyperlink("https://icd.who.int/dev11/l-ichi/en#/http%3A%2F%2Fid.who.int%2Ficd%2Fentity%2F372380410","browser")</x:f>
      </x:c>
      <x:c r="L6538" s="0">
        <x:f>hyperlink("https://icat2.azurewebsites.net/icat/?ontology=ICD&amp;tab=ClassesTab&amp;id=http%3A%2F%2Fwho.int%2Ficd%2338742_512ebf36_bf6b_4d70_85da_cf2637062af4","iCat")</x:f>
      </x:c>
      <x:c r="M6538" s="0" t="s">
        <x:v>21</x:v>
      </x:c>
      <x:c r="N6538" s="0" t="s">
        <x:v>46</x:v>
      </x:c>
    </x:row>
    <x:row r="6539" spans="1:16">
      <x:c r="A6539" s="0" t="s">
        <x:v>26011</x:v>
      </x:c>
      <x:c r="B6539" s="0" t="s">
        <x:v>26012</x:v>
      </x:c>
      <x:c r="C6539" s="0" t="s">
        <x:v>26013</x:v>
      </x:c>
      <x:c r="E6539" s="0" t="s">
        <x:v>26014</x:v>
      </x:c>
      <x:c r="F6539" s="0" t="s">
        <x:v>45</x:v>
      </x:c>
      <x:c r="G6539" s="0" t="s">
        <x:v>19</x:v>
      </x:c>
      <x:c r="H6539" s="0" t="s">
        <x:v>20</x:v>
      </x:c>
      <x:c r="I6539" s="0" t="s">
        <x:v>21</x:v>
      </x:c>
      <x:c r="K6539" s="0">
        <x:f>hyperlink("https://icd.who.int/dev11/l-ichi/en#/http%3A%2F%2Fid.who.int%2Ficd%2Fentity%2F490081368","browser")</x:f>
      </x:c>
      <x:c r="L6539" s="0">
        <x:f>hyperlink("https://icat2.azurewebsites.net/icat/?ontology=ICD&amp;tab=ClassesTab&amp;id=http%3A%2F%2Fwho.int%2Ficd%2338749_512ebf36_bf6b_4d70_85da_cf2637062af4","iCat")</x:f>
      </x:c>
      <x:c r="M6539" s="0" t="s">
        <x:v>21</x:v>
      </x:c>
      <x:c r="N6539" s="0" t="s">
        <x:v>46</x:v>
      </x:c>
    </x:row>
    <x:row r="6540" spans="1:16">
      <x:c r="A6540" s="0" t="s">
        <x:v>26015</x:v>
      </x:c>
      <x:c r="B6540" s="0" t="s">
        <x:v>26016</x:v>
      </x:c>
      <x:c r="C6540" s="0" t="s">
        <x:v>26017</x:v>
      </x:c>
      <x:c r="E6540" s="0" t="s">
        <x:v>26018</x:v>
      </x:c>
      <x:c r="F6540" s="0" t="s">
        <x:v>45</x:v>
      </x:c>
      <x:c r="G6540" s="0" t="s">
        <x:v>19</x:v>
      </x:c>
      <x:c r="H6540" s="0" t="s">
        <x:v>20</x:v>
      </x:c>
      <x:c r="I6540" s="0" t="s">
        <x:v>21</x:v>
      </x:c>
      <x:c r="K6540" s="0">
        <x:f>hyperlink("https://icd.who.int/dev11/l-ichi/en#/http%3A%2F%2Fid.who.int%2Ficd%2Fentity%2F1240482777","browser")</x:f>
      </x:c>
      <x:c r="L6540" s="0">
        <x:f>hyperlink("https://icat2.azurewebsites.net/icat/?ontology=ICD&amp;tab=ClassesTab&amp;id=http%3A%2F%2Fwho.int%2Ficd%2338756_512ebf36_bf6b_4d70_85da_cf2637062af4","iCat")</x:f>
      </x:c>
      <x:c r="M6540" s="0" t="s">
        <x:v>21</x:v>
      </x:c>
      <x:c r="N6540" s="0" t="s">
        <x:v>46</x:v>
      </x:c>
    </x:row>
    <x:row r="6541" spans="1:16">
      <x:c r="A6541" s="0" t="s">
        <x:v>26019</x:v>
      </x:c>
      <x:c r="B6541" s="0" t="s">
        <x:v>26020</x:v>
      </x:c>
      <x:c r="C6541" s="0" t="s">
        <x:v>26021</x:v>
      </x:c>
      <x:c r="E6541" s="0" t="s">
        <x:v>26022</x:v>
      </x:c>
      <x:c r="F6541" s="0" t="s">
        <x:v>45</x:v>
      </x:c>
      <x:c r="G6541" s="0" t="s">
        <x:v>19</x:v>
      </x:c>
      <x:c r="H6541" s="0" t="s">
        <x:v>20</x:v>
      </x:c>
      <x:c r="I6541" s="0" t="s">
        <x:v>21</x:v>
      </x:c>
      <x:c r="K6541" s="0">
        <x:f>hyperlink("https://icd.who.int/dev11/l-ichi/en#/http%3A%2F%2Fid.who.int%2Ficd%2Fentity%2F482325910","browser")</x:f>
      </x:c>
      <x:c r="L6541" s="0">
        <x:f>hyperlink("https://icat2.azurewebsites.net/icat/?ontology=ICD&amp;tab=ClassesTab&amp;id=http%3A%2F%2Fwho.int%2Ficd%2338763_512ebf36_bf6b_4d70_85da_cf2637062af4","iCat")</x:f>
      </x:c>
      <x:c r="M6541" s="0" t="s">
        <x:v>21</x:v>
      </x:c>
      <x:c r="N6541" s="0" t="s">
        <x:v>46</x:v>
      </x:c>
    </x:row>
    <x:row r="6542" spans="1:16">
      <x:c r="A6542" s="0" t="s">
        <x:v>26023</x:v>
      </x:c>
      <x:c r="B6542" s="0" t="s">
        <x:v>26024</x:v>
      </x:c>
      <x:c r="C6542" s="0" t="s">
        <x:v>26025</x:v>
      </x:c>
      <x:c r="E6542" s="0" t="s">
        <x:v>26026</x:v>
      </x:c>
      <x:c r="F6542" s="0" t="s">
        <x:v>45</x:v>
      </x:c>
      <x:c r="G6542" s="0" t="s">
        <x:v>19</x:v>
      </x:c>
      <x:c r="H6542" s="0" t="s">
        <x:v>20</x:v>
      </x:c>
      <x:c r="I6542" s="0" t="s">
        <x:v>21</x:v>
      </x:c>
      <x:c r="K6542" s="0">
        <x:f>hyperlink("https://icd.who.int/dev11/l-ichi/en#/http%3A%2F%2Fid.who.int%2Ficd%2Fentity%2F872369978","browser")</x:f>
      </x:c>
      <x:c r="L6542" s="0">
        <x:f>hyperlink("https://icat2.azurewebsites.net/icat/?ontology=ICD&amp;tab=ClassesTab&amp;id=http%3A%2F%2Fwho.int%2Ficd%2338770_512ebf36_bf6b_4d70_85da_cf2637062af4","iCat")</x:f>
      </x:c>
      <x:c r="M6542" s="0" t="s">
        <x:v>21</x:v>
      </x:c>
      <x:c r="N6542" s="0" t="s">
        <x:v>46</x:v>
      </x:c>
    </x:row>
    <x:row r="6543" spans="1:16">
      <x:c r="A6543" s="0" t="s">
        <x:v>26027</x:v>
      </x:c>
      <x:c r="B6543" s="0" t="s">
        <x:v>26028</x:v>
      </x:c>
      <x:c r="C6543" s="0" t="s">
        <x:v>26029</x:v>
      </x:c>
      <x:c r="E6543" s="0" t="s">
        <x:v>26030</x:v>
      </x:c>
      <x:c r="F6543" s="0" t="s">
        <x:v>45</x:v>
      </x:c>
      <x:c r="G6543" s="0" t="s">
        <x:v>19</x:v>
      </x:c>
      <x:c r="H6543" s="0" t="s">
        <x:v>20</x:v>
      </x:c>
      <x:c r="I6543" s="0" t="s">
        <x:v>21</x:v>
      </x:c>
      <x:c r="K6543" s="0">
        <x:f>hyperlink("https://icd.who.int/dev11/l-ichi/en#/http%3A%2F%2Fid.who.int%2Ficd%2Fentity%2F1132324021","browser")</x:f>
      </x:c>
      <x:c r="L6543" s="0">
        <x:f>hyperlink("https://icat2.azurewebsites.net/icat/?ontology=ICD&amp;tab=ClassesTab&amp;id=http%3A%2F%2Fwho.int%2Ficd%2338777_512ebf36_bf6b_4d70_85da_cf2637062af4","iCat")</x:f>
      </x:c>
      <x:c r="M6543" s="0" t="s">
        <x:v>21</x:v>
      </x:c>
      <x:c r="N6543" s="0" t="s">
        <x:v>46</x:v>
      </x:c>
    </x:row>
    <x:row r="6544" spans="1:16">
      <x:c r="A6544" s="0" t="s">
        <x:v>26031</x:v>
      </x:c>
      <x:c r="B6544" s="0" t="s">
        <x:v>26032</x:v>
      </x:c>
      <x:c r="C6544" s="0" t="s">
        <x:v>26033</x:v>
      </x:c>
      <x:c r="E6544" s="0" t="s">
        <x:v>26034</x:v>
      </x:c>
      <x:c r="F6544" s="0" t="s">
        <x:v>45</x:v>
      </x:c>
      <x:c r="G6544" s="0" t="s">
        <x:v>19</x:v>
      </x:c>
      <x:c r="H6544" s="0" t="s">
        <x:v>20</x:v>
      </x:c>
      <x:c r="I6544" s="0" t="s">
        <x:v>21</x:v>
      </x:c>
      <x:c r="K6544" s="0">
        <x:f>hyperlink("https://icd.who.int/dev11/l-ichi/en#/http%3A%2F%2Fid.who.int%2Ficd%2Fentity%2F689947026","browser")</x:f>
      </x:c>
      <x:c r="L6544" s="0">
        <x:f>hyperlink("https://icat2.azurewebsites.net/icat/?ontology=ICD&amp;tab=ClassesTab&amp;id=http%3A%2F%2Fwho.int%2Ficd%2338784_512ebf36_bf6b_4d70_85da_cf2637062af4","iCat")</x:f>
      </x:c>
      <x:c r="M6544" s="0" t="s">
        <x:v>21</x:v>
      </x:c>
      <x:c r="N6544" s="0" t="s">
        <x:v>46</x:v>
      </x:c>
    </x:row>
    <x:row r="6545" spans="1:16">
      <x:c r="A6545" s="0" t="s">
        <x:v>26035</x:v>
      </x:c>
      <x:c r="B6545" s="0" t="s">
        <x:v>26036</x:v>
      </x:c>
      <x:c r="C6545" s="0" t="s">
        <x:v>26037</x:v>
      </x:c>
      <x:c r="E6545" s="0" t="s">
        <x:v>26038</x:v>
      </x:c>
      <x:c r="F6545" s="0" t="s">
        <x:v>45</x:v>
      </x:c>
      <x:c r="G6545" s="0" t="s">
        <x:v>19</x:v>
      </x:c>
      <x:c r="H6545" s="0" t="s">
        <x:v>20</x:v>
      </x:c>
      <x:c r="I6545" s="0" t="s">
        <x:v>21</x:v>
      </x:c>
      <x:c r="K6545" s="0">
        <x:f>hyperlink("https://icd.who.int/dev11/l-ichi/en#/http%3A%2F%2Fid.who.int%2Ficd%2Fentity%2F1445257869","browser")</x:f>
      </x:c>
      <x:c r="L6545" s="0">
        <x:f>hyperlink("https://icat2.azurewebsites.net/icat/?ontology=ICD&amp;tab=ClassesTab&amp;id=http%3A%2F%2Fwho.int%2Ficd%2338791_512ebf36_bf6b_4d70_85da_cf2637062af4","iCat")</x:f>
      </x:c>
      <x:c r="M6545" s="0" t="s">
        <x:v>21</x:v>
      </x:c>
      <x:c r="N6545" s="0" t="s">
        <x:v>46</x:v>
      </x:c>
    </x:row>
    <x:row r="6546" spans="1:16">
      <x:c r="A6546" s="0" t="s">
        <x:v>26039</x:v>
      </x:c>
      <x:c r="B6546" s="0" t="s">
        <x:v>26040</x:v>
      </x:c>
      <x:c r="C6546" s="0" t="s">
        <x:v>26041</x:v>
      </x:c>
      <x:c r="E6546" s="0" t="s">
        <x:v>26042</x:v>
      </x:c>
      <x:c r="F6546" s="0" t="s">
        <x:v>45</x:v>
      </x:c>
      <x:c r="G6546" s="0" t="s">
        <x:v>19</x:v>
      </x:c>
      <x:c r="H6546" s="0" t="s">
        <x:v>20</x:v>
      </x:c>
      <x:c r="I6546" s="0" t="s">
        <x:v>21</x:v>
      </x:c>
      <x:c r="K6546" s="0">
        <x:f>hyperlink("https://icd.who.int/dev11/l-ichi/en#/http%3A%2F%2Fid.who.int%2Ficd%2Fentity%2F945611238","browser")</x:f>
      </x:c>
      <x:c r="L6546" s="0">
        <x:f>hyperlink("https://icat2.azurewebsites.net/icat/?ontology=ICD&amp;tab=ClassesTab&amp;id=http%3A%2F%2Fwho.int%2Ficd%2338798_512ebf36_bf6b_4d70_85da_cf2637062af4","iCat")</x:f>
      </x:c>
      <x:c r="M6546" s="0" t="s">
        <x:v>21</x:v>
      </x:c>
      <x:c r="N6546" s="0" t="s">
        <x:v>46</x:v>
      </x:c>
    </x:row>
    <x:row r="6547" spans="1:16">
      <x:c r="A6547" s="0" t="s">
        <x:v>26043</x:v>
      </x:c>
      <x:c r="B6547" s="0" t="s">
        <x:v>26044</x:v>
      </x:c>
      <x:c r="C6547" s="0" t="s">
        <x:v>26045</x:v>
      </x:c>
      <x:c r="E6547" s="0" t="s">
        <x:v>26046</x:v>
      </x:c>
      <x:c r="F6547" s="0" t="s">
        <x:v>45</x:v>
      </x:c>
      <x:c r="G6547" s="0" t="s">
        <x:v>19</x:v>
      </x:c>
      <x:c r="H6547" s="0" t="s">
        <x:v>20</x:v>
      </x:c>
      <x:c r="I6547" s="0" t="s">
        <x:v>21</x:v>
      </x:c>
      <x:c r="K6547" s="0">
        <x:f>hyperlink("https://icd.who.int/dev11/l-ichi/en#/http%3A%2F%2Fid.who.int%2Ficd%2Fentity%2F1620736622","browser")</x:f>
      </x:c>
      <x:c r="L6547" s="0">
        <x:f>hyperlink("https://icat2.azurewebsites.net/icat/?ontology=ICD&amp;tab=ClassesTab&amp;id=http%3A%2F%2Fwho.int%2Ficd%2338805_512ebf36_bf6b_4d70_85da_cf2637062af4","iCat")</x:f>
      </x:c>
      <x:c r="M6547" s="0" t="s">
        <x:v>21</x:v>
      </x:c>
      <x:c r="N6547" s="0" t="s">
        <x:v>46</x:v>
      </x:c>
    </x:row>
    <x:row r="6548" spans="1:16">
      <x:c r="A6548" s="0" t="s">
        <x:v>26047</x:v>
      </x:c>
      <x:c r="B6548" s="0" t="s">
        <x:v>26048</x:v>
      </x:c>
      <x:c r="C6548" s="0" t="s">
        <x:v>26049</x:v>
      </x:c>
      <x:c r="E6548" s="0" t="s">
        <x:v>26050</x:v>
      </x:c>
      <x:c r="F6548" s="0" t="s">
        <x:v>45</x:v>
      </x:c>
      <x:c r="G6548" s="0" t="s">
        <x:v>19</x:v>
      </x:c>
      <x:c r="H6548" s="0" t="s">
        <x:v>20</x:v>
      </x:c>
      <x:c r="I6548" s="0" t="s">
        <x:v>21</x:v>
      </x:c>
      <x:c r="K6548" s="0">
        <x:f>hyperlink("https://icd.who.int/dev11/l-ichi/en#/http%3A%2F%2Fid.who.int%2Ficd%2Fentity%2F2061321400","browser")</x:f>
      </x:c>
      <x:c r="L6548" s="0">
        <x:f>hyperlink("https://icat2.azurewebsites.net/icat/?ontology=ICD&amp;tab=ClassesTab&amp;id=http%3A%2F%2Fwho.int%2Ficd%2338812_512ebf36_bf6b_4d70_85da_cf2637062af4","iCat")</x:f>
      </x:c>
      <x:c r="M6548" s="0" t="s">
        <x:v>21</x:v>
      </x:c>
      <x:c r="N6548" s="0" t="s">
        <x:v>46</x:v>
      </x:c>
    </x:row>
    <x:row r="6549" spans="1:16">
      <x:c r="A6549" s="0" t="s">
        <x:v>26051</x:v>
      </x:c>
      <x:c r="B6549" s="0" t="s">
        <x:v>26052</x:v>
      </x:c>
      <x:c r="C6549" s="0" t="s">
        <x:v>26053</x:v>
      </x:c>
      <x:c r="E6549" s="0" t="s">
        <x:v>26054</x:v>
      </x:c>
      <x:c r="F6549" s="0" t="s">
        <x:v>45</x:v>
      </x:c>
      <x:c r="G6549" s="0" t="s">
        <x:v>19</x:v>
      </x:c>
      <x:c r="H6549" s="0" t="s">
        <x:v>20</x:v>
      </x:c>
      <x:c r="I6549" s="0" t="s">
        <x:v>21</x:v>
      </x:c>
      <x:c r="K6549" s="0">
        <x:f>hyperlink("https://icd.who.int/dev11/l-ichi/en#/http%3A%2F%2Fid.who.int%2Ficd%2Fentity%2F1910069786","browser")</x:f>
      </x:c>
      <x:c r="L6549" s="0">
        <x:f>hyperlink("https://icat2.azurewebsites.net/icat/?ontology=ICD&amp;tab=ClassesTab&amp;id=http%3A%2F%2Fwho.int%2Ficd%2338819_512ebf36_bf6b_4d70_85da_cf2637062af4","iCat")</x:f>
      </x:c>
      <x:c r="M6549" s="0" t="s">
        <x:v>21</x:v>
      </x:c>
      <x:c r="N6549" s="0" t="s">
        <x:v>46</x:v>
      </x:c>
    </x:row>
    <x:row r="6550" spans="1:16">
      <x:c r="A6550" s="0" t="s">
        <x:v>26055</x:v>
      </x:c>
      <x:c r="B6550" s="0" t="s">
        <x:v>26056</x:v>
      </x:c>
      <x:c r="C6550" s="0" t="s">
        <x:v>26057</x:v>
      </x:c>
      <x:c r="E6550" s="0" t="s">
        <x:v>26058</x:v>
      </x:c>
      <x:c r="F6550" s="0" t="s">
        <x:v>45</x:v>
      </x:c>
      <x:c r="G6550" s="0" t="s">
        <x:v>19</x:v>
      </x:c>
      <x:c r="H6550" s="0" t="s">
        <x:v>20</x:v>
      </x:c>
      <x:c r="I6550" s="0" t="s">
        <x:v>21</x:v>
      </x:c>
      <x:c r="K6550" s="0">
        <x:f>hyperlink("https://icd.who.int/dev11/l-ichi/en#/http%3A%2F%2Fid.who.int%2Ficd%2Fentity%2F258719941","browser")</x:f>
      </x:c>
      <x:c r="L6550" s="0">
        <x:f>hyperlink("https://icat2.azurewebsites.net/icat/?ontology=ICD&amp;tab=ClassesTab&amp;id=http%3A%2F%2Fwho.int%2Ficd%2338826_512ebf36_bf6b_4d70_85da_cf2637062af4","iCat")</x:f>
      </x:c>
      <x:c r="M6550" s="0" t="s">
        <x:v>21</x:v>
      </x:c>
      <x:c r="N6550" s="0" t="s">
        <x:v>46</x:v>
      </x:c>
    </x:row>
    <x:row r="6551" spans="1:16">
      <x:c r="A6551" s="0" t="s">
        <x:v>26059</x:v>
      </x:c>
      <x:c r="B6551" s="0" t="s">
        <x:v>26060</x:v>
      </x:c>
      <x:c r="C6551" s="0" t="s">
        <x:v>26061</x:v>
      </x:c>
      <x:c r="E6551" s="0" t="s">
        <x:v>26062</x:v>
      </x:c>
      <x:c r="F6551" s="0" t="s">
        <x:v>45</x:v>
      </x:c>
      <x:c r="G6551" s="0" t="s">
        <x:v>19</x:v>
      </x:c>
      <x:c r="H6551" s="0" t="s">
        <x:v>20</x:v>
      </x:c>
      <x:c r="I6551" s="0" t="s">
        <x:v>21</x:v>
      </x:c>
      <x:c r="K6551" s="0">
        <x:f>hyperlink("https://icd.who.int/dev11/l-ichi/en#/http%3A%2F%2Fid.who.int%2Ficd%2Fentity%2F1884349404","browser")</x:f>
      </x:c>
      <x:c r="L6551" s="0">
        <x:f>hyperlink("https://icat2.azurewebsites.net/icat/?ontology=ICD&amp;tab=ClassesTab&amp;id=http%3A%2F%2Fwho.int%2Ficd%2338833_512ebf36_bf6b_4d70_85da_cf2637062af4","iCat")</x:f>
      </x:c>
      <x:c r="M6551" s="0" t="s">
        <x:v>21</x:v>
      </x:c>
      <x:c r="N6551" s="0" t="s">
        <x:v>46</x:v>
      </x:c>
    </x:row>
    <x:row r="6552" spans="1:16">
      <x:c r="A6552" s="0" t="s">
        <x:v>26063</x:v>
      </x:c>
      <x:c r="B6552" s="0" t="s">
        <x:v>26064</x:v>
      </x:c>
      <x:c r="C6552" s="0" t="s">
        <x:v>26065</x:v>
      </x:c>
      <x:c r="E6552" s="0" t="s">
        <x:v>26066</x:v>
      </x:c>
      <x:c r="F6552" s="0" t="s">
        <x:v>45</x:v>
      </x:c>
      <x:c r="G6552" s="0" t="s">
        <x:v>19</x:v>
      </x:c>
      <x:c r="H6552" s="0" t="s">
        <x:v>20</x:v>
      </x:c>
      <x:c r="I6552" s="0" t="s">
        <x:v>21</x:v>
      </x:c>
      <x:c r="K6552" s="0">
        <x:f>hyperlink("https://icd.who.int/dev11/l-ichi/en#/http%3A%2F%2Fid.who.int%2Ficd%2Fentity%2F84123449","browser")</x:f>
      </x:c>
      <x:c r="L6552" s="0">
        <x:f>hyperlink("https://icat2.azurewebsites.net/icat/?ontology=ICD&amp;tab=ClassesTab&amp;id=http%3A%2F%2Fwho.int%2Ficd%2338840_512ebf36_bf6b_4d70_85da_cf2637062af4","iCat")</x:f>
      </x:c>
      <x:c r="M6552" s="0" t="s">
        <x:v>21</x:v>
      </x:c>
      <x:c r="N6552" s="0" t="s">
        <x:v>46</x:v>
      </x:c>
    </x:row>
    <x:row r="6553" spans="1:16">
      <x:c r="A6553" s="0" t="s">
        <x:v>26067</x:v>
      </x:c>
      <x:c r="B6553" s="0" t="s">
        <x:v>26068</x:v>
      </x:c>
      <x:c r="C6553" s="0" t="s">
        <x:v>26069</x:v>
      </x:c>
      <x:c r="E6553" s="0" t="s">
        <x:v>26070</x:v>
      </x:c>
      <x:c r="F6553" s="0" t="s">
        <x:v>45</x:v>
      </x:c>
      <x:c r="G6553" s="0" t="s">
        <x:v>19</x:v>
      </x:c>
      <x:c r="H6553" s="0" t="s">
        <x:v>20</x:v>
      </x:c>
      <x:c r="I6553" s="0" t="s">
        <x:v>21</x:v>
      </x:c>
      <x:c r="K6553" s="0">
        <x:f>hyperlink("https://icd.who.int/dev11/l-ichi/en#/http%3A%2F%2Fid.who.int%2Ficd%2Fentity%2F1971401910","browser")</x:f>
      </x:c>
      <x:c r="L6553" s="0">
        <x:f>hyperlink("https://icat2.azurewebsites.net/icat/?ontology=ICD&amp;tab=ClassesTab&amp;id=http%3A%2F%2Fwho.int%2Ficd%2338847_512ebf36_bf6b_4d70_85da_cf2637062af4","iCat")</x:f>
      </x:c>
      <x:c r="M6553" s="0" t="s">
        <x:v>21</x:v>
      </x:c>
      <x:c r="N6553" s="0" t="s">
        <x:v>46</x:v>
      </x:c>
    </x:row>
    <x:row r="6554" spans="1:16">
      <x:c r="A6554" s="0" t="s">
        <x:v>26071</x:v>
      </x:c>
      <x:c r="B6554" s="0" t="s">
        <x:v>26072</x:v>
      </x:c>
      <x:c r="C6554" s="0" t="s">
        <x:v>26073</x:v>
      </x:c>
      <x:c r="E6554" s="0" t="s">
        <x:v>26074</x:v>
      </x:c>
      <x:c r="F6554" s="0" t="s">
        <x:v>45</x:v>
      </x:c>
      <x:c r="G6554" s="0" t="s">
        <x:v>19</x:v>
      </x:c>
      <x:c r="H6554" s="0" t="s">
        <x:v>20</x:v>
      </x:c>
      <x:c r="I6554" s="0" t="s">
        <x:v>21</x:v>
      </x:c>
      <x:c r="K6554" s="0">
        <x:f>hyperlink("https://icd.who.int/dev11/l-ichi/en#/http%3A%2F%2Fid.who.int%2Ficd%2Fentity%2F1522650650","browser")</x:f>
      </x:c>
      <x:c r="L6554" s="0">
        <x:f>hyperlink("https://icat2.azurewebsites.net/icat/?ontology=ICD&amp;tab=ClassesTab&amp;id=http%3A%2F%2Fwho.int%2Ficd%2338854_512ebf36_bf6b_4d70_85da_cf2637062af4","iCat")</x:f>
      </x:c>
      <x:c r="M6554" s="0" t="s">
        <x:v>21</x:v>
      </x:c>
      <x:c r="N6554" s="0" t="s">
        <x:v>46</x:v>
      </x:c>
    </x:row>
    <x:row r="6555" spans="1:16">
      <x:c r="A6555" s="0" t="s">
        <x:v>26075</x:v>
      </x:c>
      <x:c r="B6555" s="0" t="s">
        <x:v>26076</x:v>
      </x:c>
      <x:c r="C6555" s="0" t="s">
        <x:v>26077</x:v>
      </x:c>
      <x:c r="E6555" s="0" t="s">
        <x:v>26078</x:v>
      </x:c>
      <x:c r="F6555" s="0" t="s">
        <x:v>45</x:v>
      </x:c>
      <x:c r="G6555" s="0" t="s">
        <x:v>19</x:v>
      </x:c>
      <x:c r="H6555" s="0" t="s">
        <x:v>20</x:v>
      </x:c>
      <x:c r="I6555" s="0" t="s">
        <x:v>21</x:v>
      </x:c>
      <x:c r="K6555" s="0">
        <x:f>hyperlink("https://icd.who.int/dev11/l-ichi/en#/http%3A%2F%2Fid.who.int%2Ficd%2Fentity%2F260978773","browser")</x:f>
      </x:c>
      <x:c r="L6555" s="0">
        <x:f>hyperlink("https://icat2.azurewebsites.net/icat/?ontology=ICD&amp;tab=ClassesTab&amp;id=http%3A%2F%2Fwho.int%2Ficd%2338861_512ebf36_bf6b_4d70_85da_cf2637062af4","iCat")</x:f>
      </x:c>
      <x:c r="M6555" s="0" t="s">
        <x:v>21</x:v>
      </x:c>
      <x:c r="N6555" s="0" t="s">
        <x:v>46</x:v>
      </x:c>
    </x:row>
    <x:row r="6556" spans="1:16">
      <x:c r="A6556" s="0" t="s">
        <x:v>26079</x:v>
      </x:c>
      <x:c r="B6556" s="0" t="s">
        <x:v>26080</x:v>
      </x:c>
      <x:c r="C6556" s="0" t="s">
        <x:v>26081</x:v>
      </x:c>
      <x:c r="E6556" s="0" t="s">
        <x:v>26082</x:v>
      </x:c>
      <x:c r="F6556" s="0" t="s">
        <x:v>45</x:v>
      </x:c>
      <x:c r="G6556" s="0" t="s">
        <x:v>19</x:v>
      </x:c>
      <x:c r="H6556" s="0" t="s">
        <x:v>20</x:v>
      </x:c>
      <x:c r="I6556" s="0" t="s">
        <x:v>21</x:v>
      </x:c>
      <x:c r="K6556" s="0">
        <x:f>hyperlink("https://icd.who.int/dev11/l-ichi/en#/http%3A%2F%2Fid.who.int%2Ficd%2Fentity%2F1643526972","browser")</x:f>
      </x:c>
      <x:c r="L6556" s="0">
        <x:f>hyperlink("https://icat2.azurewebsites.net/icat/?ontology=ICD&amp;tab=ClassesTab&amp;id=http%3A%2F%2Fwho.int%2Ficd%2338868_512ebf36_bf6b_4d70_85da_cf2637062af4","iCat")</x:f>
      </x:c>
      <x:c r="M6556" s="0" t="s">
        <x:v>21</x:v>
      </x:c>
      <x:c r="N6556" s="0" t="s">
        <x:v>46</x:v>
      </x:c>
    </x:row>
    <x:row r="6557" spans="1:16">
      <x:c r="A6557" s="0" t="s">
        <x:v>26083</x:v>
      </x:c>
      <x:c r="B6557" s="0" t="s">
        <x:v>26084</x:v>
      </x:c>
      <x:c r="C6557" s="0" t="s">
        <x:v>26085</x:v>
      </x:c>
      <x:c r="E6557" s="0" t="s">
        <x:v>26086</x:v>
      </x:c>
      <x:c r="F6557" s="0" t="s">
        <x:v>45</x:v>
      </x:c>
      <x:c r="G6557" s="0" t="s">
        <x:v>19</x:v>
      </x:c>
      <x:c r="H6557" s="0" t="s">
        <x:v>20</x:v>
      </x:c>
      <x:c r="I6557" s="0" t="s">
        <x:v>21</x:v>
      </x:c>
      <x:c r="K6557" s="0">
        <x:f>hyperlink("https://icd.who.int/dev11/l-ichi/en#/http%3A%2F%2Fid.who.int%2Ficd%2Fentity%2F1347185014","browser")</x:f>
      </x:c>
      <x:c r="L6557" s="0">
        <x:f>hyperlink("https://icat2.azurewebsites.net/icat/?ontology=ICD&amp;tab=ClassesTab&amp;id=http%3A%2F%2Fwho.int%2Ficd%2338875_512ebf36_bf6b_4d70_85da_cf2637062af4","iCat")</x:f>
      </x:c>
      <x:c r="M6557" s="0" t="s">
        <x:v>21</x:v>
      </x:c>
      <x:c r="N6557" s="0" t="s">
        <x:v>46</x:v>
      </x:c>
    </x:row>
    <x:row r="6558" spans="1:16">
      <x:c r="A6558" s="0" t="s">
        <x:v>26087</x:v>
      </x:c>
      <x:c r="B6558" s="0" t="s">
        <x:v>26088</x:v>
      </x:c>
      <x:c r="C6558" s="0" t="s">
        <x:v>26089</x:v>
      </x:c>
      <x:c r="E6558" s="0" t="s">
        <x:v>26090</x:v>
      </x:c>
      <x:c r="F6558" s="0" t="s">
        <x:v>45</x:v>
      </x:c>
      <x:c r="G6558" s="0" t="s">
        <x:v>19</x:v>
      </x:c>
      <x:c r="H6558" s="0" t="s">
        <x:v>20</x:v>
      </x:c>
      <x:c r="I6558" s="0" t="s">
        <x:v>21</x:v>
      </x:c>
      <x:c r="K6558" s="0">
        <x:f>hyperlink("https://icd.who.int/dev11/l-ichi/en#/http%3A%2F%2Fid.who.int%2Ficd%2Fentity%2F254380069","browser")</x:f>
      </x:c>
      <x:c r="L6558" s="0">
        <x:f>hyperlink("https://icat2.azurewebsites.net/icat/?ontology=ICD&amp;tab=ClassesTab&amp;id=http%3A%2F%2Fwho.int%2Ficd%2338882_512ebf36_bf6b_4d70_85da_cf2637062af4","iCat")</x:f>
      </x:c>
      <x:c r="M6558" s="0" t="s">
        <x:v>21</x:v>
      </x:c>
      <x:c r="N6558" s="0" t="s">
        <x:v>46</x:v>
      </x:c>
    </x:row>
    <x:row r="6559" spans="1:16">
      <x:c r="A6559" s="0" t="s">
        <x:v>26091</x:v>
      </x:c>
      <x:c r="B6559" s="0" t="s">
        <x:v>26092</x:v>
      </x:c>
      <x:c r="C6559" s="0" t="s">
        <x:v>26093</x:v>
      </x:c>
      <x:c r="E6559" s="0" t="s">
        <x:v>26094</x:v>
      </x:c>
      <x:c r="F6559" s="0" t="s">
        <x:v>45</x:v>
      </x:c>
      <x:c r="G6559" s="0" t="s">
        <x:v>19</x:v>
      </x:c>
      <x:c r="H6559" s="0" t="s">
        <x:v>20</x:v>
      </x:c>
      <x:c r="I6559" s="0" t="s">
        <x:v>21</x:v>
      </x:c>
      <x:c r="K6559" s="0">
        <x:f>hyperlink("https://icd.who.int/dev11/l-ichi/en#/http%3A%2F%2Fid.who.int%2Ficd%2Fentity%2F70096521","browser")</x:f>
      </x:c>
      <x:c r="L6559" s="0">
        <x:f>hyperlink("https://icat2.azurewebsites.net/icat/?ontology=ICD&amp;tab=ClassesTab&amp;id=http%3A%2F%2Fwho.int%2Ficd%2338889_512ebf36_bf6b_4d70_85da_cf2637062af4","iCat")</x:f>
      </x:c>
      <x:c r="M6559" s="0" t="s">
        <x:v>21</x:v>
      </x:c>
      <x:c r="N6559" s="0" t="s">
        <x:v>46</x:v>
      </x:c>
    </x:row>
    <x:row r="6560" spans="1:16">
      <x:c r="A6560" s="0" t="s">
        <x:v>26095</x:v>
      </x:c>
      <x:c r="B6560" s="0" t="s">
        <x:v>26096</x:v>
      </x:c>
      <x:c r="C6560" s="0" t="s">
        <x:v>26097</x:v>
      </x:c>
      <x:c r="E6560" s="0" t="s">
        <x:v>26098</x:v>
      </x:c>
      <x:c r="F6560" s="0" t="s">
        <x:v>45</x:v>
      </x:c>
      <x:c r="G6560" s="0" t="s">
        <x:v>19</x:v>
      </x:c>
      <x:c r="H6560" s="0" t="s">
        <x:v>20</x:v>
      </x:c>
      <x:c r="I6560" s="0" t="s">
        <x:v>21</x:v>
      </x:c>
      <x:c r="K6560" s="0">
        <x:f>hyperlink("https://icd.who.int/dev11/l-ichi/en#/http%3A%2F%2Fid.who.int%2Ficd%2Fentity%2F1357633800","browser")</x:f>
      </x:c>
      <x:c r="L6560" s="0">
        <x:f>hyperlink("https://icat2.azurewebsites.net/icat/?ontology=ICD&amp;tab=ClassesTab&amp;id=http%3A%2F%2Fwho.int%2Ficd%2338896_512ebf36_bf6b_4d70_85da_cf2637062af4","iCat")</x:f>
      </x:c>
      <x:c r="M6560" s="0" t="s">
        <x:v>21</x:v>
      </x:c>
      <x:c r="N6560" s="0" t="s">
        <x:v>46</x:v>
      </x:c>
    </x:row>
    <x:row r="6561" spans="1:16">
      <x:c r="A6561" s="0" t="s">
        <x:v>26099</x:v>
      </x:c>
      <x:c r="B6561" s="0" t="s">
        <x:v>26100</x:v>
      </x:c>
      <x:c r="C6561" s="0" t="s">
        <x:v>26101</x:v>
      </x:c>
      <x:c r="E6561" s="0" t="s">
        <x:v>26102</x:v>
      </x:c>
      <x:c r="F6561" s="0" t="s">
        <x:v>45</x:v>
      </x:c>
      <x:c r="G6561" s="0" t="s">
        <x:v>19</x:v>
      </x:c>
      <x:c r="H6561" s="0" t="s">
        <x:v>20</x:v>
      </x:c>
      <x:c r="I6561" s="0" t="s">
        <x:v>21</x:v>
      </x:c>
      <x:c r="K6561" s="0">
        <x:f>hyperlink("https://icd.who.int/dev11/l-ichi/en#/http%3A%2F%2Fid.who.int%2Ficd%2Fentity%2F1165911360","browser")</x:f>
      </x:c>
      <x:c r="L6561" s="0">
        <x:f>hyperlink("https://icat2.azurewebsites.net/icat/?ontology=ICD&amp;tab=ClassesTab&amp;id=http%3A%2F%2Fwho.int%2Ficd%2338903_512ebf36_bf6b_4d70_85da_cf2637062af4","iCat")</x:f>
      </x:c>
      <x:c r="M6561" s="0" t="s">
        <x:v>21</x:v>
      </x:c>
      <x:c r="N6561" s="0" t="s">
        <x:v>46</x:v>
      </x:c>
    </x:row>
    <x:row r="6562" spans="1:16">
      <x:c r="A6562" s="0" t="s">
        <x:v>26103</x:v>
      </x:c>
      <x:c r="B6562" s="0" t="s">
        <x:v>26104</x:v>
      </x:c>
      <x:c r="C6562" s="0" t="s">
        <x:v>26105</x:v>
      </x:c>
      <x:c r="E6562" s="0" t="s">
        <x:v>26106</x:v>
      </x:c>
      <x:c r="F6562" s="0" t="s">
        <x:v>45</x:v>
      </x:c>
      <x:c r="G6562" s="0" t="s">
        <x:v>19</x:v>
      </x:c>
      <x:c r="H6562" s="0" t="s">
        <x:v>20</x:v>
      </x:c>
      <x:c r="I6562" s="0" t="s">
        <x:v>21</x:v>
      </x:c>
      <x:c r="K6562" s="0">
        <x:f>hyperlink("https://icd.who.int/dev11/l-ichi/en#/http%3A%2F%2Fid.who.int%2Ficd%2Fentity%2F1782489072","browser")</x:f>
      </x:c>
      <x:c r="L6562" s="0">
        <x:f>hyperlink("https://icat2.azurewebsites.net/icat/?ontology=ICD&amp;tab=ClassesTab&amp;id=http%3A%2F%2Fwho.int%2Ficd%2338910_512ebf36_bf6b_4d70_85da_cf2637062af4","iCat")</x:f>
      </x:c>
      <x:c r="M6562" s="0" t="s">
        <x:v>21</x:v>
      </x:c>
      <x:c r="N6562" s="0" t="s">
        <x:v>46</x:v>
      </x:c>
    </x:row>
    <x:row r="6563" spans="1:16">
      <x:c r="A6563" s="0" t="s">
        <x:v>26107</x:v>
      </x:c>
      <x:c r="B6563" s="0" t="s">
        <x:v>26108</x:v>
      </x:c>
      <x:c r="C6563" s="0" t="s">
        <x:v>26109</x:v>
      </x:c>
      <x:c r="E6563" s="0" t="s">
        <x:v>26110</x:v>
      </x:c>
      <x:c r="F6563" s="0" t="s">
        <x:v>45</x:v>
      </x:c>
      <x:c r="G6563" s="0" t="s">
        <x:v>19</x:v>
      </x:c>
      <x:c r="H6563" s="0" t="s">
        <x:v>20</x:v>
      </x:c>
      <x:c r="I6563" s="0" t="s">
        <x:v>21</x:v>
      </x:c>
      <x:c r="K6563" s="0">
        <x:f>hyperlink("https://icd.who.int/dev11/l-ichi/en#/http%3A%2F%2Fid.who.int%2Ficd%2Fentity%2F448541795","browser")</x:f>
      </x:c>
      <x:c r="L6563" s="0">
        <x:f>hyperlink("https://icat2.azurewebsites.net/icat/?ontology=ICD&amp;tab=ClassesTab&amp;id=http%3A%2F%2Fwho.int%2Ficd%2338917_512ebf36_bf6b_4d70_85da_cf2637062af4","iCat")</x:f>
      </x:c>
      <x:c r="M6563" s="0" t="s">
        <x:v>21</x:v>
      </x:c>
      <x:c r="N6563" s="0" t="s">
        <x:v>46</x:v>
      </x:c>
    </x:row>
    <x:row r="6564" spans="1:16">
      <x:c r="A6564" s="0" t="s">
        <x:v>26111</x:v>
      </x:c>
      <x:c r="B6564" s="0" t="s">
        <x:v>26112</x:v>
      </x:c>
      <x:c r="C6564" s="0" t="s">
        <x:v>26113</x:v>
      </x:c>
      <x:c r="E6564" s="0" t="s">
        <x:v>26114</x:v>
      </x:c>
      <x:c r="F6564" s="0" t="s">
        <x:v>45</x:v>
      </x:c>
      <x:c r="G6564" s="0" t="s">
        <x:v>19</x:v>
      </x:c>
      <x:c r="H6564" s="0" t="s">
        <x:v>20</x:v>
      </x:c>
      <x:c r="I6564" s="0" t="s">
        <x:v>21</x:v>
      </x:c>
      <x:c r="K6564" s="0">
        <x:f>hyperlink("https://icd.who.int/dev11/l-ichi/en#/http%3A%2F%2Fid.who.int%2Ficd%2Fentity%2F529013661","browser")</x:f>
      </x:c>
      <x:c r="L6564" s="0">
        <x:f>hyperlink("https://icat2.azurewebsites.net/icat/?ontology=ICD&amp;tab=ClassesTab&amp;id=http%3A%2F%2Fwho.int%2Ficd%2338924_512ebf36_bf6b_4d70_85da_cf2637062af4","iCat")</x:f>
      </x:c>
      <x:c r="M6564" s="0" t="s">
        <x:v>21</x:v>
      </x:c>
      <x:c r="N6564" s="0" t="s">
        <x:v>46</x:v>
      </x:c>
    </x:row>
    <x:row r="6565" spans="1:16">
      <x:c r="A6565" s="0" t="s">
        <x:v>26115</x:v>
      </x:c>
      <x:c r="B6565" s="0" t="s">
        <x:v>26116</x:v>
      </x:c>
      <x:c r="C6565" s="0" t="s">
        <x:v>26117</x:v>
      </x:c>
      <x:c r="E6565" s="0" t="s">
        <x:v>26118</x:v>
      </x:c>
      <x:c r="F6565" s="0" t="s">
        <x:v>45</x:v>
      </x:c>
      <x:c r="G6565" s="0" t="s">
        <x:v>19</x:v>
      </x:c>
      <x:c r="H6565" s="0" t="s">
        <x:v>20</x:v>
      </x:c>
      <x:c r="I6565" s="0" t="s">
        <x:v>21</x:v>
      </x:c>
      <x:c r="K6565" s="0">
        <x:f>hyperlink("https://icd.who.int/dev11/l-ichi/en#/http%3A%2F%2Fid.who.int%2Ficd%2Fentity%2F1622358148","browser")</x:f>
      </x:c>
      <x:c r="L6565" s="0">
        <x:f>hyperlink("https://icat2.azurewebsites.net/icat/?ontology=ICD&amp;tab=ClassesTab&amp;id=http%3A%2F%2Fwho.int%2Ficd%2338931_512ebf36_bf6b_4d70_85da_cf2637062af4","iCat")</x:f>
      </x:c>
      <x:c r="M6565" s="0" t="s">
        <x:v>21</x:v>
      </x:c>
      <x:c r="N6565" s="0" t="s">
        <x:v>46</x:v>
      </x:c>
    </x:row>
    <x:row r="6566" spans="1:16">
      <x:c r="A6566" s="0" t="s">
        <x:v>26119</x:v>
      </x:c>
      <x:c r="B6566" s="0" t="s">
        <x:v>26120</x:v>
      </x:c>
      <x:c r="C6566" s="0" t="s">
        <x:v>26121</x:v>
      </x:c>
      <x:c r="E6566" s="0" t="s">
        <x:v>26122</x:v>
      </x:c>
      <x:c r="F6566" s="0" t="s">
        <x:v>45</x:v>
      </x:c>
      <x:c r="G6566" s="0" t="s">
        <x:v>19</x:v>
      </x:c>
      <x:c r="H6566" s="0" t="s">
        <x:v>20</x:v>
      </x:c>
      <x:c r="I6566" s="0" t="s">
        <x:v>21</x:v>
      </x:c>
      <x:c r="K6566" s="0">
        <x:f>hyperlink("https://icd.who.int/dev11/l-ichi/en#/http%3A%2F%2Fid.who.int%2Ficd%2Fentity%2F248200171","browser")</x:f>
      </x:c>
      <x:c r="L6566" s="0">
        <x:f>hyperlink("https://icat2.azurewebsites.net/icat/?ontology=ICD&amp;tab=ClassesTab&amp;id=http%3A%2F%2Fwho.int%2Ficd%2338938_512ebf36_bf6b_4d70_85da_cf2637062af4","iCat")</x:f>
      </x:c>
      <x:c r="M6566" s="0" t="s">
        <x:v>21</x:v>
      </x:c>
      <x:c r="N6566" s="0" t="s">
        <x:v>46</x:v>
      </x:c>
    </x:row>
    <x:row r="6567" spans="1:16">
      <x:c r="A6567" s="0" t="s">
        <x:v>26123</x:v>
      </x:c>
      <x:c r="B6567" s="0" t="s">
        <x:v>26124</x:v>
      </x:c>
      <x:c r="C6567" s="0" t="s">
        <x:v>26125</x:v>
      </x:c>
      <x:c r="E6567" s="0" t="s">
        <x:v>26126</x:v>
      </x:c>
      <x:c r="F6567" s="0" t="s">
        <x:v>45</x:v>
      </x:c>
      <x:c r="G6567" s="0" t="s">
        <x:v>19</x:v>
      </x:c>
      <x:c r="H6567" s="0" t="s">
        <x:v>20</x:v>
      </x:c>
      <x:c r="I6567" s="0" t="s">
        <x:v>21</x:v>
      </x:c>
      <x:c r="K6567" s="0">
        <x:f>hyperlink("https://icd.who.int/dev11/l-ichi/en#/http%3A%2F%2Fid.who.int%2Ficd%2Fentity%2F1700982766","browser")</x:f>
      </x:c>
      <x:c r="L6567" s="0">
        <x:f>hyperlink("https://icat2.azurewebsites.net/icat/?ontology=ICD&amp;tab=ClassesTab&amp;id=http%3A%2F%2Fwho.int%2Ficd%2338945_512ebf36_bf6b_4d70_85da_cf2637062af4","iCat")</x:f>
      </x:c>
      <x:c r="M6567" s="0" t="s">
        <x:v>21</x:v>
      </x:c>
      <x:c r="N6567" s="0" t="s">
        <x:v>46</x:v>
      </x:c>
    </x:row>
    <x:row r="6568" spans="1:16">
      <x:c r="A6568" s="0" t="s">
        <x:v>26127</x:v>
      </x:c>
      <x:c r="B6568" s="0" t="s">
        <x:v>26128</x:v>
      </x:c>
      <x:c r="C6568" s="0" t="s">
        <x:v>26129</x:v>
      </x:c>
      <x:c r="E6568" s="0" t="s">
        <x:v>26130</x:v>
      </x:c>
      <x:c r="F6568" s="0" t="s">
        <x:v>45</x:v>
      </x:c>
      <x:c r="G6568" s="0" t="s">
        <x:v>19</x:v>
      </x:c>
      <x:c r="H6568" s="0" t="s">
        <x:v>20</x:v>
      </x:c>
      <x:c r="I6568" s="0" t="s">
        <x:v>21</x:v>
      </x:c>
      <x:c r="K6568" s="0">
        <x:f>hyperlink("https://icd.who.int/dev11/l-ichi/en#/http%3A%2F%2Fid.who.int%2Ficd%2Fentity%2F2133184824","browser")</x:f>
      </x:c>
      <x:c r="L6568" s="0">
        <x:f>hyperlink("https://icat2.azurewebsites.net/icat/?ontology=ICD&amp;tab=ClassesTab&amp;id=http%3A%2F%2Fwho.int%2Ficd%2338952_512ebf36_bf6b_4d70_85da_cf2637062af4","iCat")</x:f>
      </x:c>
      <x:c r="M6568" s="0" t="s">
        <x:v>21</x:v>
      </x:c>
      <x:c r="N6568" s="0" t="s">
        <x:v>46</x:v>
      </x:c>
    </x:row>
    <x:row r="6569" spans="1:16">
      <x:c r="A6569" s="0" t="s">
        <x:v>26131</x:v>
      </x:c>
      <x:c r="B6569" s="0" t="s">
        <x:v>26132</x:v>
      </x:c>
      <x:c r="C6569" s="0" t="s">
        <x:v>26133</x:v>
      </x:c>
      <x:c r="E6569" s="0" t="s">
        <x:v>26134</x:v>
      </x:c>
      <x:c r="F6569" s="0" t="s">
        <x:v>45</x:v>
      </x:c>
      <x:c r="G6569" s="0" t="s">
        <x:v>19</x:v>
      </x:c>
      <x:c r="H6569" s="0" t="s">
        <x:v>20</x:v>
      </x:c>
      <x:c r="I6569" s="0" t="s">
        <x:v>21</x:v>
      </x:c>
      <x:c r="K6569" s="0">
        <x:f>hyperlink("https://icd.who.int/dev11/l-ichi/en#/http%3A%2F%2Fid.who.int%2Ficd%2Fentity%2F1948372890","browser")</x:f>
      </x:c>
      <x:c r="L6569" s="0">
        <x:f>hyperlink("https://icat2.azurewebsites.net/icat/?ontology=ICD&amp;tab=ClassesTab&amp;id=http%3A%2F%2Fwho.int%2Ficd%2338959_512ebf36_bf6b_4d70_85da_cf2637062af4","iCat")</x:f>
      </x:c>
      <x:c r="M6569" s="0" t="s">
        <x:v>21</x:v>
      </x:c>
      <x:c r="N6569" s="0" t="s">
        <x:v>46</x:v>
      </x:c>
    </x:row>
    <x:row r="6570" spans="1:16">
      <x:c r="A6570" s="0" t="s">
        <x:v>26135</x:v>
      </x:c>
      <x:c r="B6570" s="0" t="s">
        <x:v>26136</x:v>
      </x:c>
      <x:c r="C6570" s="0" t="s">
        <x:v>26137</x:v>
      </x:c>
      <x:c r="E6570" s="0" t="s">
        <x:v>26138</x:v>
      </x:c>
      <x:c r="F6570" s="0" t="s">
        <x:v>45</x:v>
      </x:c>
      <x:c r="G6570" s="0" t="s">
        <x:v>19</x:v>
      </x:c>
      <x:c r="H6570" s="0" t="s">
        <x:v>20</x:v>
      </x:c>
      <x:c r="I6570" s="0" t="s">
        <x:v>21</x:v>
      </x:c>
      <x:c r="K6570" s="0">
        <x:f>hyperlink("https://icd.who.int/dev11/l-ichi/en#/http%3A%2F%2Fid.who.int%2Ficd%2Fentity%2F177427781","browser")</x:f>
      </x:c>
      <x:c r="L6570" s="0">
        <x:f>hyperlink("https://icat2.azurewebsites.net/icat/?ontology=ICD&amp;tab=ClassesTab&amp;id=http%3A%2F%2Fwho.int%2Ficd%2338966_512ebf36_bf6b_4d70_85da_cf2637062af4","iCat")</x:f>
      </x:c>
      <x:c r="M6570" s="0" t="s">
        <x:v>21</x:v>
      </x:c>
      <x:c r="N6570" s="0" t="s">
        <x:v>46</x:v>
      </x:c>
    </x:row>
    <x:row r="6571" spans="1:16">
      <x:c r="A6571" s="0" t="s">
        <x:v>26139</x:v>
      </x:c>
      <x:c r="B6571" s="0" t="s">
        <x:v>26140</x:v>
      </x:c>
      <x:c r="C6571" s="0" t="s">
        <x:v>26141</x:v>
      </x:c>
      <x:c r="E6571" s="0" t="s">
        <x:v>26142</x:v>
      </x:c>
      <x:c r="F6571" s="0" t="s">
        <x:v>45</x:v>
      </x:c>
      <x:c r="G6571" s="0" t="s">
        <x:v>19</x:v>
      </x:c>
      <x:c r="H6571" s="0" t="s">
        <x:v>20</x:v>
      </x:c>
      <x:c r="I6571" s="0" t="s">
        <x:v>21</x:v>
      </x:c>
      <x:c r="K6571" s="0">
        <x:f>hyperlink("https://icd.who.int/dev11/l-ichi/en#/http%3A%2F%2Fid.who.int%2Ficd%2Fentity%2F1973974620","browser")</x:f>
      </x:c>
      <x:c r="L6571" s="0">
        <x:f>hyperlink("https://icat2.azurewebsites.net/icat/?ontology=ICD&amp;tab=ClassesTab&amp;id=http%3A%2F%2Fwho.int%2Ficd%2338973_512ebf36_bf6b_4d70_85da_cf2637062af4","iCat")</x:f>
      </x:c>
      <x:c r="M6571" s="0" t="s">
        <x:v>21</x:v>
      </x:c>
      <x:c r="N6571" s="0" t="s">
        <x:v>46</x:v>
      </x:c>
    </x:row>
    <x:row r="6572" spans="1:16">
      <x:c r="A6572" s="0" t="s">
        <x:v>26143</x:v>
      </x:c>
      <x:c r="B6572" s="0" t="s">
        <x:v>26144</x:v>
      </x:c>
      <x:c r="C6572" s="0" t="s">
        <x:v>26145</x:v>
      </x:c>
      <x:c r="E6572" s="0" t="s">
        <x:v>26146</x:v>
      </x:c>
      <x:c r="F6572" s="0" t="s">
        <x:v>45</x:v>
      </x:c>
      <x:c r="G6572" s="0" t="s">
        <x:v>19</x:v>
      </x:c>
      <x:c r="H6572" s="0" t="s">
        <x:v>20</x:v>
      </x:c>
      <x:c r="I6572" s="0" t="s">
        <x:v>21</x:v>
      </x:c>
      <x:c r="K6572" s="0">
        <x:f>hyperlink("https://icd.who.int/dev11/l-ichi/en#/http%3A%2F%2Fid.who.int%2Ficd%2Fentity%2F533353341","browser")</x:f>
      </x:c>
      <x:c r="L6572" s="0">
        <x:f>hyperlink("https://icat2.azurewebsites.net/icat/?ontology=ICD&amp;tab=ClassesTab&amp;id=http%3A%2F%2Fwho.int%2Ficd%2338980_512ebf36_bf6b_4d70_85da_cf2637062af4","iCat")</x:f>
      </x:c>
      <x:c r="M6572" s="0" t="s">
        <x:v>21</x:v>
      </x:c>
      <x:c r="N6572" s="0" t="s">
        <x:v>46</x:v>
      </x:c>
    </x:row>
    <x:row r="6573" spans="1:16">
      <x:c r="A6573" s="0" t="s">
        <x:v>26147</x:v>
      </x:c>
      <x:c r="B6573" s="0" t="s">
        <x:v>26148</x:v>
      </x:c>
      <x:c r="C6573" s="0" t="s">
        <x:v>26149</x:v>
      </x:c>
      <x:c r="E6573" s="0" t="s">
        <x:v>26150</x:v>
      </x:c>
      <x:c r="F6573" s="0" t="s">
        <x:v>45</x:v>
      </x:c>
      <x:c r="G6573" s="0" t="s">
        <x:v>19</x:v>
      </x:c>
      <x:c r="H6573" s="0" t="s">
        <x:v>20</x:v>
      </x:c>
      <x:c r="I6573" s="0" t="s">
        <x:v>21</x:v>
      </x:c>
      <x:c r="K6573" s="0">
        <x:f>hyperlink("https://icd.who.int/dev11/l-ichi/en#/http%3A%2F%2Fid.who.int%2Ficd%2Fentity%2F1867053296","browser")</x:f>
      </x:c>
      <x:c r="L6573" s="0">
        <x:f>hyperlink("https://icat2.azurewebsites.net/icat/?ontology=ICD&amp;tab=ClassesTab&amp;id=http%3A%2F%2Fwho.int%2Ficd%2338987_512ebf36_bf6b_4d70_85da_cf2637062af4","iCat")</x:f>
      </x:c>
      <x:c r="M6573" s="0" t="s">
        <x:v>21</x:v>
      </x:c>
      <x:c r="N6573" s="0" t="s">
        <x:v>46</x:v>
      </x:c>
    </x:row>
    <x:row r="6574" spans="1:16">
      <x:c r="A6574" s="0" t="s">
        <x:v>26151</x:v>
      </x:c>
      <x:c r="B6574" s="0" t="s">
        <x:v>26152</x:v>
      </x:c>
      <x:c r="C6574" s="0" t="s">
        <x:v>26153</x:v>
      </x:c>
      <x:c r="E6574" s="0" t="s">
        <x:v>26154</x:v>
      </x:c>
      <x:c r="F6574" s="0" t="s">
        <x:v>45</x:v>
      </x:c>
      <x:c r="G6574" s="0" t="s">
        <x:v>19</x:v>
      </x:c>
      <x:c r="H6574" s="0" t="s">
        <x:v>20</x:v>
      </x:c>
      <x:c r="I6574" s="0" t="s">
        <x:v>21</x:v>
      </x:c>
      <x:c r="K6574" s="0">
        <x:f>hyperlink("https://icd.who.int/dev11/l-ichi/en#/http%3A%2F%2Fid.who.int%2Ficd%2Fentity%2F1074266720","browser")</x:f>
      </x:c>
      <x:c r="L6574" s="0">
        <x:f>hyperlink("https://icat2.azurewebsites.net/icat/?ontology=ICD&amp;tab=ClassesTab&amp;id=http%3A%2F%2Fwho.int%2Ficd%2338994_512ebf36_bf6b_4d70_85da_cf2637062af4","iCat")</x:f>
      </x:c>
      <x:c r="M6574" s="0" t="s">
        <x:v>21</x:v>
      </x:c>
      <x:c r="N6574" s="0" t="s">
        <x:v>46</x:v>
      </x:c>
    </x:row>
    <x:row r="6575" spans="1:16">
      <x:c r="A6575" s="0" t="s">
        <x:v>26155</x:v>
      </x:c>
      <x:c r="B6575" s="0" t="s">
        <x:v>26156</x:v>
      </x:c>
      <x:c r="C6575" s="0" t="s">
        <x:v>26157</x:v>
      </x:c>
      <x:c r="E6575" s="0" t="s">
        <x:v>26158</x:v>
      </x:c>
      <x:c r="F6575" s="0" t="s">
        <x:v>45</x:v>
      </x:c>
      <x:c r="G6575" s="0" t="s">
        <x:v>19</x:v>
      </x:c>
      <x:c r="H6575" s="0" t="s">
        <x:v>20</x:v>
      </x:c>
      <x:c r="I6575" s="0" t="s">
        <x:v>21</x:v>
      </x:c>
      <x:c r="K6575" s="0">
        <x:f>hyperlink("https://icd.who.int/dev11/l-ichi/en#/http%3A%2F%2Fid.who.int%2Ficd%2Fentity%2F110534593","browser")</x:f>
      </x:c>
      <x:c r="L6575" s="0">
        <x:f>hyperlink("https://icat2.azurewebsites.net/icat/?ontology=ICD&amp;tab=ClassesTab&amp;id=http%3A%2F%2Fwho.int%2Ficd%2339001_512ebf36_bf6b_4d70_85da_cf2637062af4","iCat")</x:f>
      </x:c>
      <x:c r="M6575" s="0" t="s">
        <x:v>21</x:v>
      </x:c>
      <x:c r="N6575" s="0" t="s">
        <x:v>46</x:v>
      </x:c>
    </x:row>
    <x:row r="6576" spans="1:16">
      <x:c r="A6576" s="0" t="s">
        <x:v>26159</x:v>
      </x:c>
      <x:c r="B6576" s="0" t="s">
        <x:v>26160</x:v>
      </x:c>
      <x:c r="C6576" s="0" t="s">
        <x:v>26161</x:v>
      </x:c>
      <x:c r="E6576" s="0" t="s">
        <x:v>26162</x:v>
      </x:c>
      <x:c r="F6576" s="0" t="s">
        <x:v>45</x:v>
      </x:c>
      <x:c r="G6576" s="0" t="s">
        <x:v>19</x:v>
      </x:c>
      <x:c r="H6576" s="0" t="s">
        <x:v>20</x:v>
      </x:c>
      <x:c r="I6576" s="0" t="s">
        <x:v>21</x:v>
      </x:c>
      <x:c r="K6576" s="0">
        <x:f>hyperlink("https://icd.who.int/dev11/l-ichi/en#/http%3A%2F%2Fid.who.int%2Ficd%2Fentity%2F1760468136","browser")</x:f>
      </x:c>
      <x:c r="L6576" s="0">
        <x:f>hyperlink("https://icat2.azurewebsites.net/icat/?ontology=ICD&amp;tab=ClassesTab&amp;id=http%3A%2F%2Fwho.int%2Ficd%2339008_512ebf36_bf6b_4d70_85da_cf2637062af4","iCat")</x:f>
      </x:c>
      <x:c r="M6576" s="0" t="s">
        <x:v>21</x:v>
      </x:c>
      <x:c r="N6576" s="0" t="s">
        <x:v>46</x:v>
      </x:c>
    </x:row>
    <x:row r="6577" spans="1:16">
      <x:c r="A6577" s="0" t="s">
        <x:v>26163</x:v>
      </x:c>
      <x:c r="B6577" s="0" t="s">
        <x:v>26164</x:v>
      </x:c>
      <x:c r="C6577" s="0" t="s">
        <x:v>26165</x:v>
      </x:c>
      <x:c r="E6577" s="0" t="s">
        <x:v>26166</x:v>
      </x:c>
      <x:c r="F6577" s="0" t="s">
        <x:v>45</x:v>
      </x:c>
      <x:c r="G6577" s="0" t="s">
        <x:v>19</x:v>
      </x:c>
      <x:c r="H6577" s="0" t="s">
        <x:v>20</x:v>
      </x:c>
      <x:c r="I6577" s="0" t="s">
        <x:v>21</x:v>
      </x:c>
      <x:c r="K6577" s="0">
        <x:f>hyperlink("https://icd.who.int/dev11/l-ichi/en#/http%3A%2F%2Fid.who.int%2Ficd%2Fentity%2F1498730210","browser")</x:f>
      </x:c>
      <x:c r="L6577" s="0">
        <x:f>hyperlink("https://icat2.azurewebsites.net/icat/?ontology=ICD&amp;tab=ClassesTab&amp;id=http%3A%2F%2Fwho.int%2Ficd%2339015_512ebf36_bf6b_4d70_85da_cf2637062af4","iCat")</x:f>
      </x:c>
      <x:c r="M6577" s="0" t="s">
        <x:v>21</x:v>
      </x:c>
      <x:c r="N6577" s="0" t="s">
        <x:v>46</x:v>
      </x:c>
    </x:row>
    <x:row r="6578" spans="1:16">
      <x:c r="A6578" s="0" t="s">
        <x:v>26167</x:v>
      </x:c>
      <x:c r="B6578" s="0" t="s">
        <x:v>26168</x:v>
      </x:c>
      <x:c r="C6578" s="0" t="s">
        <x:v>26169</x:v>
      </x:c>
      <x:c r="E6578" s="0" t="s">
        <x:v>26170</x:v>
      </x:c>
      <x:c r="F6578" s="0" t="s">
        <x:v>45</x:v>
      </x:c>
      <x:c r="G6578" s="0" t="s">
        <x:v>19</x:v>
      </x:c>
      <x:c r="H6578" s="0" t="s">
        <x:v>20</x:v>
      </x:c>
      <x:c r="I6578" s="0" t="s">
        <x:v>21</x:v>
      </x:c>
      <x:c r="K6578" s="0">
        <x:f>hyperlink("https://icd.who.int/dev11/l-ichi/en#/http%3A%2F%2Fid.who.int%2Ficd%2Fentity%2F1768367466","browser")</x:f>
      </x:c>
      <x:c r="L6578" s="0">
        <x:f>hyperlink("https://icat2.azurewebsites.net/icat/?ontology=ICD&amp;tab=ClassesTab&amp;id=http%3A%2F%2Fwho.int%2Ficd%2339022_512ebf36_bf6b_4d70_85da_cf2637062af4","iCat")</x:f>
      </x:c>
      <x:c r="M6578" s="0" t="s">
        <x:v>21</x:v>
      </x:c>
      <x:c r="N6578" s="0" t="s">
        <x:v>46</x:v>
      </x:c>
    </x:row>
    <x:row r="6579" spans="1:16">
      <x:c r="A6579" s="0" t="s">
        <x:v>26171</x:v>
      </x:c>
      <x:c r="B6579" s="0" t="s">
        <x:v>26172</x:v>
      </x:c>
      <x:c r="C6579" s="0" t="s">
        <x:v>26173</x:v>
      </x:c>
      <x:c r="E6579" s="0" t="s">
        <x:v>26174</x:v>
      </x:c>
      <x:c r="F6579" s="0" t="s">
        <x:v>45</x:v>
      </x:c>
      <x:c r="G6579" s="0" t="s">
        <x:v>19</x:v>
      </x:c>
      <x:c r="H6579" s="0" t="s">
        <x:v>20</x:v>
      </x:c>
      <x:c r="I6579" s="0" t="s">
        <x:v>21</x:v>
      </x:c>
      <x:c r="K6579" s="0">
        <x:f>hyperlink("https://icd.who.int/dev11/l-ichi/en#/http%3A%2F%2Fid.who.int%2Ficd%2Fentity%2F1650670532","browser")</x:f>
      </x:c>
      <x:c r="L6579" s="0">
        <x:f>hyperlink("https://icat2.azurewebsites.net/icat/?ontology=ICD&amp;tab=ClassesTab&amp;id=http%3A%2F%2Fwho.int%2Ficd%2339029_512ebf36_bf6b_4d70_85da_cf2637062af4","iCat")</x:f>
      </x:c>
      <x:c r="M6579" s="0" t="s">
        <x:v>21</x:v>
      </x:c>
      <x:c r="N6579" s="0" t="s">
        <x:v>46</x:v>
      </x:c>
    </x:row>
    <x:row r="6580" spans="1:16">
      <x:c r="A6580" s="0" t="s">
        <x:v>26175</x:v>
      </x:c>
      <x:c r="B6580" s="0" t="s">
        <x:v>26176</x:v>
      </x:c>
      <x:c r="C6580" s="0" t="s">
        <x:v>26177</x:v>
      </x:c>
      <x:c r="E6580" s="0" t="s">
        <x:v>26178</x:v>
      </x:c>
      <x:c r="F6580" s="0" t="s">
        <x:v>45</x:v>
      </x:c>
      <x:c r="G6580" s="0" t="s">
        <x:v>19</x:v>
      </x:c>
      <x:c r="H6580" s="0" t="s">
        <x:v>20</x:v>
      </x:c>
      <x:c r="I6580" s="0" t="s">
        <x:v>21</x:v>
      </x:c>
      <x:c r="K6580" s="0">
        <x:f>hyperlink("https://icd.who.int/dev11/l-ichi/en#/http%3A%2F%2Fid.who.int%2Ficd%2Fentity%2F916812875","browser")</x:f>
      </x:c>
      <x:c r="L6580" s="0">
        <x:f>hyperlink("https://icat2.azurewebsites.net/icat/?ontology=ICD&amp;tab=ClassesTab&amp;id=http%3A%2F%2Fwho.int%2Ficd%2339036_512ebf36_bf6b_4d70_85da_cf2637062af4","iCat")</x:f>
      </x:c>
      <x:c r="M6580" s="0" t="s">
        <x:v>21</x:v>
      </x:c>
      <x:c r="N6580" s="0" t="s">
        <x:v>46</x:v>
      </x:c>
    </x:row>
    <x:row r="6581" spans="1:16">
      <x:c r="A6581" s="0" t="s">
        <x:v>26179</x:v>
      </x:c>
      <x:c r="B6581" s="0" t="s">
        <x:v>26180</x:v>
      </x:c>
      <x:c r="C6581" s="0" t="s">
        <x:v>26181</x:v>
      </x:c>
      <x:c r="E6581" s="0" t="s">
        <x:v>26182</x:v>
      </x:c>
      <x:c r="F6581" s="0" t="s">
        <x:v>45</x:v>
      </x:c>
      <x:c r="G6581" s="0" t="s">
        <x:v>19</x:v>
      </x:c>
      <x:c r="H6581" s="0" t="s">
        <x:v>20</x:v>
      </x:c>
      <x:c r="I6581" s="0" t="s">
        <x:v>21</x:v>
      </x:c>
      <x:c r="K6581" s="0">
        <x:f>hyperlink("https://icd.who.int/dev11/l-ichi/en#/http%3A%2F%2Fid.who.int%2Ficd%2Fentity%2F328061209","browser")</x:f>
      </x:c>
      <x:c r="L6581" s="0">
        <x:f>hyperlink("https://icat2.azurewebsites.net/icat/?ontology=ICD&amp;tab=ClassesTab&amp;id=http%3A%2F%2Fwho.int%2Ficd%2339043_512ebf36_bf6b_4d70_85da_cf2637062af4","iCat")</x:f>
      </x:c>
      <x:c r="M6581" s="0" t="s">
        <x:v>21</x:v>
      </x:c>
      <x:c r="N6581" s="0" t="s">
        <x:v>46</x:v>
      </x:c>
    </x:row>
    <x:row r="6582" spans="1:16">
      <x:c r="A6582" s="0" t="s">
        <x:v>26183</x:v>
      </x:c>
      <x:c r="B6582" s="0" t="s">
        <x:v>26184</x:v>
      </x:c>
      <x:c r="C6582" s="0" t="s">
        <x:v>26185</x:v>
      </x:c>
      <x:c r="E6582" s="0" t="s">
        <x:v>26186</x:v>
      </x:c>
      <x:c r="F6582" s="0" t="s">
        <x:v>45</x:v>
      </x:c>
      <x:c r="G6582" s="0" t="s">
        <x:v>19</x:v>
      </x:c>
      <x:c r="H6582" s="0" t="s">
        <x:v>20</x:v>
      </x:c>
      <x:c r="I6582" s="0" t="s">
        <x:v>21</x:v>
      </x:c>
      <x:c r="K6582" s="0">
        <x:f>hyperlink("https://icd.who.int/dev11/l-ichi/en#/http%3A%2F%2Fid.who.int%2Ficd%2Fentity%2F1020079031","browser")</x:f>
      </x:c>
      <x:c r="L6582" s="0">
        <x:f>hyperlink("https://icat2.azurewebsites.net/icat/?ontology=ICD&amp;tab=ClassesTab&amp;id=http%3A%2F%2Fwho.int%2Ficd%2339050_512ebf36_bf6b_4d70_85da_cf2637062af4","iCat")</x:f>
      </x:c>
      <x:c r="M6582" s="0" t="s">
        <x:v>21</x:v>
      </x:c>
      <x:c r="N6582" s="0" t="s">
        <x:v>46</x:v>
      </x:c>
    </x:row>
    <x:row r="6583" spans="1:16">
      <x:c r="A6583" s="0" t="s">
        <x:v>26187</x:v>
      </x:c>
      <x:c r="B6583" s="0" t="s">
        <x:v>26188</x:v>
      </x:c>
      <x:c r="C6583" s="0" t="s">
        <x:v>26189</x:v>
      </x:c>
      <x:c r="E6583" s="0" t="s">
        <x:v>26190</x:v>
      </x:c>
      <x:c r="F6583" s="0" t="s">
        <x:v>45</x:v>
      </x:c>
      <x:c r="G6583" s="0" t="s">
        <x:v>19</x:v>
      </x:c>
      <x:c r="H6583" s="0" t="s">
        <x:v>20</x:v>
      </x:c>
      <x:c r="I6583" s="0" t="s">
        <x:v>21</x:v>
      </x:c>
      <x:c r="K6583" s="0">
        <x:f>hyperlink("https://icd.who.int/dev11/l-ichi/en#/http%3A%2F%2Fid.who.int%2Ficd%2Fentity%2F1280278586","browser")</x:f>
      </x:c>
      <x:c r="L6583" s="0">
        <x:f>hyperlink("https://icat2.azurewebsites.net/icat/?ontology=ICD&amp;tab=ClassesTab&amp;id=http%3A%2F%2Fwho.int%2Ficd%2339057_512ebf36_bf6b_4d70_85da_cf2637062af4","iCat")</x:f>
      </x:c>
      <x:c r="M6583" s="0" t="s">
        <x:v>21</x:v>
      </x:c>
      <x:c r="N6583" s="0" t="s">
        <x:v>46</x:v>
      </x:c>
    </x:row>
    <x:row r="6584" spans="1:16">
      <x:c r="A6584" s="0" t="s">
        <x:v>26191</x:v>
      </x:c>
      <x:c r="B6584" s="0" t="s">
        <x:v>26192</x:v>
      </x:c>
      <x:c r="C6584" s="0" t="s">
        <x:v>26193</x:v>
      </x:c>
      <x:c r="E6584" s="0" t="s">
        <x:v>26194</x:v>
      </x:c>
      <x:c r="F6584" s="0" t="s">
        <x:v>45</x:v>
      </x:c>
      <x:c r="G6584" s="0" t="s">
        <x:v>19</x:v>
      </x:c>
      <x:c r="H6584" s="0" t="s">
        <x:v>20</x:v>
      </x:c>
      <x:c r="I6584" s="0" t="s">
        <x:v>21</x:v>
      </x:c>
      <x:c r="K6584" s="0">
        <x:f>hyperlink("https://icd.who.int/dev11/l-ichi/en#/http%3A%2F%2Fid.who.int%2Ficd%2Fentity%2F1232842692","browser")</x:f>
      </x:c>
      <x:c r="L6584" s="0">
        <x:f>hyperlink("https://icat2.azurewebsites.net/icat/?ontology=ICD&amp;tab=ClassesTab&amp;id=http%3A%2F%2Fwho.int%2Ficd%2339064_512ebf36_bf6b_4d70_85da_cf2637062af4","iCat")</x:f>
      </x:c>
      <x:c r="M6584" s="0" t="s">
        <x:v>21</x:v>
      </x:c>
      <x:c r="N6584" s="0" t="s">
        <x:v>46</x:v>
      </x:c>
    </x:row>
    <x:row r="6585" spans="1:16">
      <x:c r="A6585" s="0" t="s">
        <x:v>26195</x:v>
      </x:c>
      <x:c r="B6585" s="0" t="s">
        <x:v>26196</x:v>
      </x:c>
      <x:c r="C6585" s="0" t="s">
        <x:v>26197</x:v>
      </x:c>
      <x:c r="E6585" s="0" t="s">
        <x:v>26198</x:v>
      </x:c>
      <x:c r="F6585" s="0" t="s">
        <x:v>45</x:v>
      </x:c>
      <x:c r="G6585" s="0" t="s">
        <x:v>19</x:v>
      </x:c>
      <x:c r="H6585" s="0" t="s">
        <x:v>20</x:v>
      </x:c>
      <x:c r="I6585" s="0" t="s">
        <x:v>21</x:v>
      </x:c>
      <x:c r="K6585" s="0">
        <x:f>hyperlink("https://icd.who.int/dev11/l-ichi/en#/http%3A%2F%2Fid.who.int%2Ficd%2Fentity%2F910200027","browser")</x:f>
      </x:c>
      <x:c r="L6585" s="0">
        <x:f>hyperlink("https://icat2.azurewebsites.net/icat/?ontology=ICD&amp;tab=ClassesTab&amp;id=http%3A%2F%2Fwho.int%2Ficd%2339071_512ebf36_bf6b_4d70_85da_cf2637062af4","iCat")</x:f>
      </x:c>
      <x:c r="M6585" s="0" t="s">
        <x:v>21</x:v>
      </x:c>
      <x:c r="N6585" s="0" t="s">
        <x:v>46</x:v>
      </x:c>
    </x:row>
    <x:row r="6586" spans="1:16">
      <x:c r="A6586" s="0" t="s">
        <x:v>26199</x:v>
      </x:c>
      <x:c r="B6586" s="0" t="s">
        <x:v>26200</x:v>
      </x:c>
      <x:c r="C6586" s="0" t="s">
        <x:v>26201</x:v>
      </x:c>
      <x:c r="E6586" s="0" t="s">
        <x:v>26202</x:v>
      </x:c>
      <x:c r="F6586" s="0" t="s">
        <x:v>45</x:v>
      </x:c>
      <x:c r="G6586" s="0" t="s">
        <x:v>19</x:v>
      </x:c>
      <x:c r="H6586" s="0" t="s">
        <x:v>20</x:v>
      </x:c>
      <x:c r="I6586" s="0" t="s">
        <x:v>21</x:v>
      </x:c>
      <x:c r="K6586" s="0">
        <x:f>hyperlink("https://icd.who.int/dev11/l-ichi/en#/http%3A%2F%2Fid.who.int%2Ficd%2Fentity%2F1480101812","browser")</x:f>
      </x:c>
      <x:c r="L6586" s="0">
        <x:f>hyperlink("https://icat2.azurewebsites.net/icat/?ontology=ICD&amp;tab=ClassesTab&amp;id=http%3A%2F%2Fwho.int%2Ficd%2339078_512ebf36_bf6b_4d70_85da_cf2637062af4","iCat")</x:f>
      </x:c>
      <x:c r="M6586" s="0" t="s">
        <x:v>21</x:v>
      </x:c>
      <x:c r="N6586" s="0" t="s">
        <x:v>46</x:v>
      </x:c>
    </x:row>
    <x:row r="6587" spans="1:16">
      <x:c r="A6587" s="0" t="s">
        <x:v>26203</x:v>
      </x:c>
      <x:c r="B6587" s="0" t="s">
        <x:v>26204</x:v>
      </x:c>
      <x:c r="C6587" s="0" t="s">
        <x:v>26205</x:v>
      </x:c>
      <x:c r="E6587" s="0" t="s">
        <x:v>26206</x:v>
      </x:c>
      <x:c r="F6587" s="0" t="s">
        <x:v>45</x:v>
      </x:c>
      <x:c r="G6587" s="0" t="s">
        <x:v>19</x:v>
      </x:c>
      <x:c r="H6587" s="0" t="s">
        <x:v>20</x:v>
      </x:c>
      <x:c r="I6587" s="0" t="s">
        <x:v>21</x:v>
      </x:c>
      <x:c r="K6587" s="0">
        <x:f>hyperlink("https://icd.who.int/dev11/l-ichi/en#/http%3A%2F%2Fid.who.int%2Ficd%2Fentity%2F748683889","browser")</x:f>
      </x:c>
      <x:c r="L6587" s="0">
        <x:f>hyperlink("https://icat2.azurewebsites.net/icat/?ontology=ICD&amp;tab=ClassesTab&amp;id=http%3A%2F%2Fwho.int%2Ficd%2339085_512ebf36_bf6b_4d70_85da_cf2637062af4","iCat")</x:f>
      </x:c>
      <x:c r="M6587" s="0" t="s">
        <x:v>21</x:v>
      </x:c>
      <x:c r="N6587" s="0" t="s">
        <x:v>46</x:v>
      </x:c>
    </x:row>
    <x:row r="6588" spans="1:16">
      <x:c r="A6588" s="0" t="s">
        <x:v>26207</x:v>
      </x:c>
      <x:c r="B6588" s="0" t="s">
        <x:v>26208</x:v>
      </x:c>
      <x:c r="C6588" s="0" t="s">
        <x:v>26209</x:v>
      </x:c>
      <x:c r="E6588" s="0" t="s">
        <x:v>26210</x:v>
      </x:c>
      <x:c r="F6588" s="0" t="s">
        <x:v>45</x:v>
      </x:c>
      <x:c r="G6588" s="0" t="s">
        <x:v>19</x:v>
      </x:c>
      <x:c r="H6588" s="0" t="s">
        <x:v>20</x:v>
      </x:c>
      <x:c r="I6588" s="0" t="s">
        <x:v>21</x:v>
      </x:c>
      <x:c r="K6588" s="0">
        <x:f>hyperlink("https://icd.who.int/dev11/l-ichi/en#/http%3A%2F%2Fid.who.int%2Ficd%2Fentity%2F921124011","browser")</x:f>
      </x:c>
      <x:c r="L6588" s="0">
        <x:f>hyperlink("https://icat2.azurewebsites.net/icat/?ontology=ICD&amp;tab=ClassesTab&amp;id=http%3A%2F%2Fwho.int%2Ficd%2339092_512ebf36_bf6b_4d70_85da_cf2637062af4","iCat")</x:f>
      </x:c>
      <x:c r="M6588" s="0" t="s">
        <x:v>21</x:v>
      </x:c>
      <x:c r="N6588" s="0" t="s">
        <x:v>46</x:v>
      </x:c>
    </x:row>
    <x:row r="6589" spans="1:16">
      <x:c r="A6589" s="0" t="s">
        <x:v>26211</x:v>
      </x:c>
      <x:c r="B6589" s="0" t="s">
        <x:v>26212</x:v>
      </x:c>
      <x:c r="C6589" s="0" t="s">
        <x:v>26213</x:v>
      </x:c>
      <x:c r="E6589" s="0" t="s">
        <x:v>26214</x:v>
      </x:c>
      <x:c r="F6589" s="0" t="s">
        <x:v>45</x:v>
      </x:c>
      <x:c r="G6589" s="0" t="s">
        <x:v>19</x:v>
      </x:c>
      <x:c r="H6589" s="0" t="s">
        <x:v>20</x:v>
      </x:c>
      <x:c r="I6589" s="0" t="s">
        <x:v>21</x:v>
      </x:c>
      <x:c r="K6589" s="0">
        <x:f>hyperlink("https://icd.who.int/dev11/l-ichi/en#/http%3A%2F%2Fid.who.int%2Ficd%2Fentity%2F1038295559","browser")</x:f>
      </x:c>
      <x:c r="L6589" s="0">
        <x:f>hyperlink("https://icat2.azurewebsites.net/icat/?ontology=ICD&amp;tab=ClassesTab&amp;id=http%3A%2F%2Fwho.int%2Ficd%2339099_512ebf36_bf6b_4d70_85da_cf2637062af4","iCat")</x:f>
      </x:c>
      <x:c r="M6589" s="0" t="s">
        <x:v>21</x:v>
      </x:c>
      <x:c r="N6589" s="0" t="s">
        <x:v>46</x:v>
      </x:c>
    </x:row>
    <x:row r="6590" spans="1:16">
      <x:c r="A6590" s="0" t="s">
        <x:v>26215</x:v>
      </x:c>
      <x:c r="B6590" s="0" t="s">
        <x:v>26216</x:v>
      </x:c>
      <x:c r="C6590" s="0" t="s">
        <x:v>26217</x:v>
      </x:c>
      <x:c r="E6590" s="0" t="s">
        <x:v>26218</x:v>
      </x:c>
      <x:c r="F6590" s="0" t="s">
        <x:v>45</x:v>
      </x:c>
      <x:c r="G6590" s="0" t="s">
        <x:v>19</x:v>
      </x:c>
      <x:c r="H6590" s="0" t="s">
        <x:v>20</x:v>
      </x:c>
      <x:c r="I6590" s="0" t="s">
        <x:v>21</x:v>
      </x:c>
      <x:c r="K6590" s="0">
        <x:f>hyperlink("https://icd.who.int/dev11/l-ichi/en#/http%3A%2F%2Fid.who.int%2Ficd%2Fentity%2F59503313","browser")</x:f>
      </x:c>
      <x:c r="L6590" s="0">
        <x:f>hyperlink("https://icat2.azurewebsites.net/icat/?ontology=ICD&amp;tab=ClassesTab&amp;id=http%3A%2F%2Fwho.int%2Ficd%2339106_512ebf36_bf6b_4d70_85da_cf2637062af4","iCat")</x:f>
      </x:c>
      <x:c r="M6590" s="0" t="s">
        <x:v>21</x:v>
      </x:c>
      <x:c r="N6590" s="0" t="s">
        <x:v>46</x:v>
      </x:c>
    </x:row>
    <x:row r="6591" spans="1:16">
      <x:c r="A6591" s="0" t="s">
        <x:v>26219</x:v>
      </x:c>
      <x:c r="B6591" s="0" t="s">
        <x:v>26220</x:v>
      </x:c>
      <x:c r="C6591" s="0" t="s">
        <x:v>26221</x:v>
      </x:c>
      <x:c r="E6591" s="0" t="s">
        <x:v>26222</x:v>
      </x:c>
      <x:c r="F6591" s="0" t="s">
        <x:v>45</x:v>
      </x:c>
      <x:c r="G6591" s="0" t="s">
        <x:v>19</x:v>
      </x:c>
      <x:c r="H6591" s="0" t="s">
        <x:v>20</x:v>
      </x:c>
      <x:c r="I6591" s="0" t="s">
        <x:v>21</x:v>
      </x:c>
      <x:c r="K6591" s="0">
        <x:f>hyperlink("https://icd.who.int/dev11/l-ichi/en#/http%3A%2F%2Fid.who.int%2Ficd%2Fentity%2F2091962832","browser")</x:f>
      </x:c>
      <x:c r="L6591" s="0">
        <x:f>hyperlink("https://icat2.azurewebsites.net/icat/?ontology=ICD&amp;tab=ClassesTab&amp;id=http%3A%2F%2Fwho.int%2Ficd%2339113_512ebf36_bf6b_4d70_85da_cf2637062af4","iCat")</x:f>
      </x:c>
      <x:c r="M6591" s="0" t="s">
        <x:v>21</x:v>
      </x:c>
      <x:c r="N6591" s="0" t="s">
        <x:v>46</x:v>
      </x:c>
    </x:row>
    <x:row r="6592" spans="1:16">
      <x:c r="A6592" s="0" t="s">
        <x:v>26223</x:v>
      </x:c>
      <x:c r="B6592" s="0" t="s">
        <x:v>26224</x:v>
      </x:c>
      <x:c r="C6592" s="0" t="s">
        <x:v>26225</x:v>
      </x:c>
      <x:c r="E6592" s="0" t="s">
        <x:v>26226</x:v>
      </x:c>
      <x:c r="F6592" s="0" t="s">
        <x:v>45</x:v>
      </x:c>
      <x:c r="G6592" s="0" t="s">
        <x:v>19</x:v>
      </x:c>
      <x:c r="H6592" s="0" t="s">
        <x:v>20</x:v>
      </x:c>
      <x:c r="I6592" s="0" t="s">
        <x:v>21</x:v>
      </x:c>
      <x:c r="K6592" s="0">
        <x:f>hyperlink("https://icd.who.int/dev11/l-ichi/en#/http%3A%2F%2Fid.who.int%2Ficd%2Fentity%2F2038758962","browser")</x:f>
      </x:c>
      <x:c r="L6592" s="0">
        <x:f>hyperlink("https://icat2.azurewebsites.net/icat/?ontology=ICD&amp;tab=ClassesTab&amp;id=http%3A%2F%2Fwho.int%2Ficd%2339120_512ebf36_bf6b_4d70_85da_cf2637062af4","iCat")</x:f>
      </x:c>
      <x:c r="M6592" s="0" t="s">
        <x:v>21</x:v>
      </x:c>
      <x:c r="N6592" s="0" t="s">
        <x:v>46</x:v>
      </x:c>
    </x:row>
    <x:row r="6593" spans="1:16">
      <x:c r="A6593" s="0" t="s">
        <x:v>26227</x:v>
      </x:c>
      <x:c r="B6593" s="0" t="s">
        <x:v>26228</x:v>
      </x:c>
      <x:c r="C6593" s="0" t="s">
        <x:v>26229</x:v>
      </x:c>
      <x:c r="E6593" s="0" t="s">
        <x:v>26230</x:v>
      </x:c>
      <x:c r="F6593" s="0" t="s">
        <x:v>45</x:v>
      </x:c>
      <x:c r="G6593" s="0" t="s">
        <x:v>19</x:v>
      </x:c>
      <x:c r="H6593" s="0" t="s">
        <x:v>20</x:v>
      </x:c>
      <x:c r="I6593" s="0" t="s">
        <x:v>21</x:v>
      </x:c>
      <x:c r="K6593" s="0">
        <x:f>hyperlink("https://icd.who.int/dev11/l-ichi/en#/http%3A%2F%2Fid.who.int%2Ficd%2Fentity%2F151410109","browser")</x:f>
      </x:c>
      <x:c r="L6593" s="0">
        <x:f>hyperlink("https://icat2.azurewebsites.net/icat/?ontology=ICD&amp;tab=ClassesTab&amp;id=http%3A%2F%2Fwho.int%2Ficd%2339127_512ebf36_bf6b_4d70_85da_cf2637062af4","iCat")</x:f>
      </x:c>
      <x:c r="M6593" s="0" t="s">
        <x:v>21</x:v>
      </x:c>
      <x:c r="N6593" s="0" t="s">
        <x:v>46</x:v>
      </x:c>
    </x:row>
    <x:row r="6594" spans="1:16">
      <x:c r="A6594" s="0" t="s">
        <x:v>26231</x:v>
      </x:c>
      <x:c r="B6594" s="0" t="s">
        <x:v>26232</x:v>
      </x:c>
      <x:c r="C6594" s="0" t="s">
        <x:v>26233</x:v>
      </x:c>
      <x:c r="E6594" s="0" t="s">
        <x:v>26234</x:v>
      </x:c>
      <x:c r="F6594" s="0" t="s">
        <x:v>45</x:v>
      </x:c>
      <x:c r="G6594" s="0" t="s">
        <x:v>19</x:v>
      </x:c>
      <x:c r="H6594" s="0" t="s">
        <x:v>20</x:v>
      </x:c>
      <x:c r="I6594" s="0" t="s">
        <x:v>21</x:v>
      </x:c>
      <x:c r="K6594" s="0">
        <x:f>hyperlink("https://icd.who.int/dev11/l-ichi/en#/http%3A%2F%2Fid.who.int%2Ficd%2Fentity%2F642166547","browser")</x:f>
      </x:c>
      <x:c r="L6594" s="0">
        <x:f>hyperlink("https://icat2.azurewebsites.net/icat/?ontology=ICD&amp;tab=ClassesTab&amp;id=http%3A%2F%2Fwho.int%2Ficd%2339134_512ebf36_bf6b_4d70_85da_cf2637062af4","iCat")</x:f>
      </x:c>
      <x:c r="M6594" s="0" t="s">
        <x:v>21</x:v>
      </x:c>
      <x:c r="N6594" s="0" t="s">
        <x:v>46</x:v>
      </x:c>
    </x:row>
    <x:row r="6595" spans="1:16">
      <x:c r="A6595" s="0" t="s">
        <x:v>26235</x:v>
      </x:c>
      <x:c r="B6595" s="0" t="s">
        <x:v>26236</x:v>
      </x:c>
      <x:c r="C6595" s="0" t="s">
        <x:v>26237</x:v>
      </x:c>
      <x:c r="E6595" s="0" t="s">
        <x:v>26238</x:v>
      </x:c>
      <x:c r="F6595" s="0" t="s">
        <x:v>45</x:v>
      </x:c>
      <x:c r="G6595" s="0" t="s">
        <x:v>19</x:v>
      </x:c>
      <x:c r="H6595" s="0" t="s">
        <x:v>20</x:v>
      </x:c>
      <x:c r="I6595" s="0" t="s">
        <x:v>21</x:v>
      </x:c>
      <x:c r="K6595" s="0">
        <x:f>hyperlink("https://icd.who.int/dev11/l-ichi/en#/http%3A%2F%2Fid.who.int%2Ficd%2Fentity%2F1189832120","browser")</x:f>
      </x:c>
      <x:c r="L6595" s="0">
        <x:f>hyperlink("https://icat2.azurewebsites.net/icat/?ontology=ICD&amp;tab=ClassesTab&amp;id=http%3A%2F%2Fwho.int%2Ficd%2339142_512ebf36_bf6b_4d70_85da_cf2637062af4","iCat")</x:f>
      </x:c>
      <x:c r="M6595" s="0" t="s">
        <x:v>21</x:v>
      </x:c>
      <x:c r="N6595" s="0" t="s">
        <x:v>46</x:v>
      </x:c>
    </x:row>
    <x:row r="6596" spans="1:16">
      <x:c r="A6596" s="0" t="s">
        <x:v>26239</x:v>
      </x:c>
      <x:c r="B6596" s="0" t="s">
        <x:v>26240</x:v>
      </x:c>
      <x:c r="C6596" s="0" t="s">
        <x:v>26241</x:v>
      </x:c>
      <x:c r="E6596" s="0" t="s">
        <x:v>26242</x:v>
      </x:c>
      <x:c r="F6596" s="0" t="s">
        <x:v>45</x:v>
      </x:c>
      <x:c r="G6596" s="0" t="s">
        <x:v>19</x:v>
      </x:c>
      <x:c r="H6596" s="0" t="s">
        <x:v>20</x:v>
      </x:c>
      <x:c r="I6596" s="0" t="s">
        <x:v>21</x:v>
      </x:c>
      <x:c r="K6596" s="0">
        <x:f>hyperlink("https://icd.who.int/dev11/l-ichi/en#/http%3A%2F%2Fid.who.int%2Ficd%2Fentity%2F1307540246","browser")</x:f>
      </x:c>
      <x:c r="L6596" s="0">
        <x:f>hyperlink("https://icat2.azurewebsites.net/icat/?ontology=ICD&amp;tab=ClassesTab&amp;id=http%3A%2F%2Fwho.int%2Ficd%2339149_512ebf36_bf6b_4d70_85da_cf2637062af4","iCat")</x:f>
      </x:c>
      <x:c r="M6596" s="0" t="s">
        <x:v>21</x:v>
      </x:c>
      <x:c r="N6596" s="0" t="s">
        <x:v>46</x:v>
      </x:c>
    </x:row>
    <x:row r="6597" spans="1:16">
      <x:c r="A6597" s="0" t="s">
        <x:v>26243</x:v>
      </x:c>
      <x:c r="B6597" s="0" t="s">
        <x:v>26244</x:v>
      </x:c>
      <x:c r="C6597" s="0" t="s">
        <x:v>26245</x:v>
      </x:c>
      <x:c r="E6597" s="0" t="s">
        <x:v>26246</x:v>
      </x:c>
      <x:c r="F6597" s="0" t="s">
        <x:v>45</x:v>
      </x:c>
      <x:c r="G6597" s="0" t="s">
        <x:v>19</x:v>
      </x:c>
      <x:c r="H6597" s="0" t="s">
        <x:v>20</x:v>
      </x:c>
      <x:c r="I6597" s="0" t="s">
        <x:v>21</x:v>
      </x:c>
      <x:c r="K6597" s="0">
        <x:f>hyperlink("https://icd.who.int/dev11/l-ichi/en#/http%3A%2F%2Fid.who.int%2Ficd%2Fentity%2F422130843","browser")</x:f>
      </x:c>
      <x:c r="L6597" s="0">
        <x:f>hyperlink("https://icat2.azurewebsites.net/icat/?ontology=ICD&amp;tab=ClassesTab&amp;id=http%3A%2F%2Fwho.int%2Ficd%2339156_512ebf36_bf6b_4d70_85da_cf2637062af4","iCat")</x:f>
      </x:c>
      <x:c r="M6597" s="0" t="s">
        <x:v>21</x:v>
      </x:c>
      <x:c r="N6597" s="0" t="s">
        <x:v>46</x:v>
      </x:c>
    </x:row>
    <x:row r="6598" spans="1:16">
      <x:c r="A6598" s="0" t="s">
        <x:v>26247</x:v>
      </x:c>
      <x:c r="B6598" s="0" t="s">
        <x:v>26248</x:v>
      </x:c>
      <x:c r="C6598" s="0" t="s">
        <x:v>26249</x:v>
      </x:c>
      <x:c r="E6598" s="0" t="s">
        <x:v>26250</x:v>
      </x:c>
      <x:c r="F6598" s="0" t="s">
        <x:v>45</x:v>
      </x:c>
      <x:c r="G6598" s="0" t="s">
        <x:v>19</x:v>
      </x:c>
      <x:c r="H6598" s="0" t="s">
        <x:v>20</x:v>
      </x:c>
      <x:c r="I6598" s="0" t="s">
        <x:v>21</x:v>
      </x:c>
      <x:c r="K6598" s="0">
        <x:f>hyperlink("https://icd.who.int/dev11/l-ichi/en#/http%3A%2F%2Fid.who.int%2Ficd%2Fentity%2F1281802964","browser")</x:f>
      </x:c>
      <x:c r="L6598" s="0">
        <x:f>hyperlink("https://icat2.azurewebsites.net/icat/?ontology=ICD&amp;tab=ClassesTab&amp;id=http%3A%2F%2Fwho.int%2Ficd%2339163_512ebf36_bf6b_4d70_85da_cf2637062af4","iCat")</x:f>
      </x:c>
      <x:c r="M6598" s="0" t="s">
        <x:v>21</x:v>
      </x:c>
      <x:c r="N6598" s="0" t="s">
        <x:v>46</x:v>
      </x:c>
    </x:row>
    <x:row r="6599" spans="1:16">
      <x:c r="A6599" s="0" t="s">
        <x:v>26251</x:v>
      </x:c>
      <x:c r="B6599" s="0" t="s">
        <x:v>26252</x:v>
      </x:c>
      <x:c r="C6599" s="0" t="s">
        <x:v>26253</x:v>
      </x:c>
      <x:c r="E6599" s="0" t="s">
        <x:v>26254</x:v>
      </x:c>
      <x:c r="F6599" s="0" t="s">
        <x:v>45</x:v>
      </x:c>
      <x:c r="G6599" s="0" t="s">
        <x:v>19</x:v>
      </x:c>
      <x:c r="H6599" s="0" t="s">
        <x:v>20</x:v>
      </x:c>
      <x:c r="I6599" s="0" t="s">
        <x:v>21</x:v>
      </x:c>
      <x:c r="K6599" s="0">
        <x:f>hyperlink("https://icd.who.int/dev11/l-ichi/en#/http%3A%2F%2Fid.who.int%2Ficd%2Fentity%2F1663449212","browser")</x:f>
      </x:c>
      <x:c r="L6599" s="0">
        <x:f>hyperlink("https://icat2.azurewebsites.net/icat/?ontology=ICD&amp;tab=ClassesTab&amp;id=http%3A%2F%2Fwho.int%2Ficd%2339170_512ebf36_bf6b_4d70_85da_cf2637062af4","iCat")</x:f>
      </x:c>
      <x:c r="M6599" s="0" t="s">
        <x:v>21</x:v>
      </x:c>
      <x:c r="N6599" s="0" t="s">
        <x:v>46</x:v>
      </x:c>
    </x:row>
    <x:row r="6600" spans="1:16">
      <x:c r="A6600" s="0" t="s">
        <x:v>26255</x:v>
      </x:c>
      <x:c r="B6600" s="0" t="s">
        <x:v>26256</x:v>
      </x:c>
      <x:c r="C6600" s="0" t="s">
        <x:v>26257</x:v>
      </x:c>
      <x:c r="E6600" s="0" t="s">
        <x:v>26258</x:v>
      </x:c>
      <x:c r="F6600" s="0" t="s">
        <x:v>45</x:v>
      </x:c>
      <x:c r="G6600" s="0" t="s">
        <x:v>19</x:v>
      </x:c>
      <x:c r="H6600" s="0" t="s">
        <x:v>20</x:v>
      </x:c>
      <x:c r="I6600" s="0" t="s">
        <x:v>21</x:v>
      </x:c>
      <x:c r="K6600" s="0">
        <x:f>hyperlink("https://icd.who.int/dev11/l-ichi/en#/http%3A%2F%2Fid.who.int%2Ficd%2Fentity%2F329552887","browser")</x:f>
      </x:c>
      <x:c r="L6600" s="0">
        <x:f>hyperlink("https://icat2.azurewebsites.net/icat/?ontology=ICD&amp;tab=ClassesTab&amp;id=http%3A%2F%2Fwho.int%2Ficd%2339177_512ebf36_bf6b_4d70_85da_cf2637062af4","iCat")</x:f>
      </x:c>
      <x:c r="M6600" s="0" t="s">
        <x:v>21</x:v>
      </x:c>
      <x:c r="N6600" s="0" t="s">
        <x:v>46</x:v>
      </x:c>
    </x:row>
    <x:row r="6601" spans="1:16">
      <x:c r="A6601" s="0" t="s">
        <x:v>26259</x:v>
      </x:c>
      <x:c r="B6601" s="0" t="s">
        <x:v>26260</x:v>
      </x:c>
      <x:c r="C6601" s="0" t="s">
        <x:v>26261</x:v>
      </x:c>
      <x:c r="E6601" s="0" t="s">
        <x:v>26262</x:v>
      </x:c>
      <x:c r="F6601" s="0" t="s">
        <x:v>45</x:v>
      </x:c>
      <x:c r="G6601" s="0" t="s">
        <x:v>19</x:v>
      </x:c>
      <x:c r="H6601" s="0" t="s">
        <x:v>20</x:v>
      </x:c>
      <x:c r="I6601" s="0" t="s">
        <x:v>21</x:v>
      </x:c>
      <x:c r="K6601" s="0">
        <x:f>hyperlink("https://icd.who.int/dev11/l-ichi/en#/http%3A%2F%2Fid.who.int%2Ficd%2Fentity%2F2043066064","browser")</x:f>
      </x:c>
      <x:c r="L6601" s="0">
        <x:f>hyperlink("https://icat2.azurewebsites.net/icat/?ontology=ICD&amp;tab=ClassesTab&amp;id=http%3A%2F%2Fwho.int%2Ficd%2339184_512ebf36_bf6b_4d70_85da_cf2637062af4","iCat")</x:f>
      </x:c>
      <x:c r="M6601" s="0" t="s">
        <x:v>21</x:v>
      </x:c>
      <x:c r="N6601" s="0" t="s">
        <x:v>46</x:v>
      </x:c>
    </x:row>
    <x:row r="6602" spans="1:16">
      <x:c r="A6602" s="0" t="s">
        <x:v>26263</x:v>
      </x:c>
      <x:c r="B6602" s="0" t="s">
        <x:v>26264</x:v>
      </x:c>
      <x:c r="D6602" s="0" t="s">
        <x:v>26265</x:v>
      </x:c>
      <x:c r="E6602" s="0" t="s">
        <x:v>26266</x:v>
      </x:c>
      <x:c r="F6602" s="0" t="s">
        <x:v>26</x:v>
      </x:c>
      <x:c r="G6602" s="0" t="s">
        <x:v>22</x:v>
      </x:c>
      <x:c r="H6602" s="0" t="s">
        <x:v>20</x:v>
      </x:c>
      <x:c r="I6602" s="0" t="s">
        <x:v>21</x:v>
      </x:c>
      <x:c r="K6602" s="0">
        <x:f>hyperlink("https://icd.who.int/dev11/l-ichi/en#/http%3A%2F%2Fid.who.int%2Ficd%2Fentity%2F1132001848","browser")</x:f>
      </x:c>
      <x:c r="L6602" s="0">
        <x:f>hyperlink("https://icat2.azurewebsites.net/icat/?ontology=ICD&amp;tab=ClassesTab&amp;id=http%3A%2F%2Fwho.int%2Ficd%2339192_512ebf36_bf6b_4d70_85da_cf2637062af4","iCat")</x:f>
      </x:c>
      <x:c r="M6602" s="0" t="s">
        <x:v>20</x:v>
      </x:c>
      <x:c r="N6602" s="0" t="s">
        <x:v>26267</x:v>
      </x:c>
    </x:row>
    <x:row r="6603" spans="1:16">
      <x:c r="A6603" s="0" t="s">
        <x:v>26268</x:v>
      </x:c>
      <x:c r="B6603" s="0" t="s">
        <x:v>26269</x:v>
      </x:c>
      <x:c r="C6603" s="0" t="s">
        <x:v>26270</x:v>
      </x:c>
      <x:c r="E6603" s="0" t="s">
        <x:v>26271</x:v>
      </x:c>
      <x:c r="F6603" s="0" t="s">
        <x:v>45</x:v>
      </x:c>
      <x:c r="G6603" s="0" t="s">
        <x:v>19</x:v>
      </x:c>
      <x:c r="H6603" s="0" t="s">
        <x:v>20</x:v>
      </x:c>
      <x:c r="I6603" s="0" t="s">
        <x:v>21</x:v>
      </x:c>
      <x:c r="K6603" s="0">
        <x:f>hyperlink("https://icd.who.int/dev11/l-ichi/en#/http%3A%2F%2Fid.who.int%2Ficd%2Fentity%2F117282255","browser")</x:f>
      </x:c>
      <x:c r="L6603" s="0">
        <x:f>hyperlink("https://icat2.azurewebsites.net/icat/?ontology=ICD&amp;tab=ClassesTab&amp;id=http%3A%2F%2Fwho.int%2Ficd%2339191_512ebf36_bf6b_4d70_85da_cf2637062af4","iCat")</x:f>
      </x:c>
      <x:c r="M6603" s="0" t="s">
        <x:v>21</x:v>
      </x:c>
      <x:c r="N6603" s="0" t="s">
        <x:v>46</x:v>
      </x:c>
    </x:row>
    <x:row r="6604" spans="1:16">
      <x:c r="A6604" s="0" t="s">
        <x:v>26272</x:v>
      </x:c>
      <x:c r="B6604" s="0" t="s">
        <x:v>26273</x:v>
      </x:c>
      <x:c r="C6604" s="0" t="s">
        <x:v>26274</x:v>
      </x:c>
      <x:c r="E6604" s="0" t="s">
        <x:v>26275</x:v>
      </x:c>
      <x:c r="F6604" s="0" t="s">
        <x:v>45</x:v>
      </x:c>
      <x:c r="G6604" s="0" t="s">
        <x:v>19</x:v>
      </x:c>
      <x:c r="H6604" s="0" t="s">
        <x:v>20</x:v>
      </x:c>
      <x:c r="I6604" s="0" t="s">
        <x:v>21</x:v>
      </x:c>
      <x:c r="K6604" s="0">
        <x:f>hyperlink("https://icd.who.int/dev11/l-ichi/en#/http%3A%2F%2Fid.who.int%2Ficd%2Fentity%2F128473933","browser")</x:f>
      </x:c>
      <x:c r="L6604" s="0">
        <x:f>hyperlink("https://icat2.azurewebsites.net/icat/?ontology=ICD&amp;tab=ClassesTab&amp;id=http%3A%2F%2Fwho.int%2Ficd%2339204_512ebf36_bf6b_4d70_85da_cf2637062af4","iCat")</x:f>
      </x:c>
      <x:c r="M6604" s="0" t="s">
        <x:v>21</x:v>
      </x:c>
      <x:c r="N6604" s="0" t="s">
        <x:v>46</x:v>
      </x:c>
    </x:row>
    <x:row r="6605" spans="1:16">
      <x:c r="A6605" s="0" t="s">
        <x:v>26276</x:v>
      </x:c>
      <x:c r="B6605" s="0" t="s">
        <x:v>26277</x:v>
      </x:c>
      <x:c r="C6605" s="0" t="s">
        <x:v>26278</x:v>
      </x:c>
      <x:c r="E6605" s="0" t="s">
        <x:v>26279</x:v>
      </x:c>
      <x:c r="F6605" s="0" t="s">
        <x:v>45</x:v>
      </x:c>
      <x:c r="G6605" s="0" t="s">
        <x:v>19</x:v>
      </x:c>
      <x:c r="H6605" s="0" t="s">
        <x:v>20</x:v>
      </x:c>
      <x:c r="I6605" s="0" t="s">
        <x:v>21</x:v>
      </x:c>
      <x:c r="K6605" s="0">
        <x:f>hyperlink("https://icd.who.int/dev11/l-ichi/en#/http%3A%2F%2Fid.who.int%2Ficd%2Fentity%2F2022930514","browser")</x:f>
      </x:c>
      <x:c r="L6605" s="0">
        <x:f>hyperlink("https://icat2.azurewebsites.net/icat/?ontology=ICD&amp;tab=ClassesTab&amp;id=http%3A%2F%2Fwho.int%2Ficd%2339211_512ebf36_bf6b_4d70_85da_cf2637062af4","iCat")</x:f>
      </x:c>
      <x:c r="M6605" s="0" t="s">
        <x:v>21</x:v>
      </x:c>
      <x:c r="N6605" s="0" t="s">
        <x:v>46</x:v>
      </x:c>
    </x:row>
    <x:row r="6606" spans="1:16">
      <x:c r="A6606" s="0" t="s">
        <x:v>26280</x:v>
      </x:c>
      <x:c r="B6606" s="0" t="s">
        <x:v>26281</x:v>
      </x:c>
      <x:c r="C6606" s="0" t="s">
        <x:v>26282</x:v>
      </x:c>
      <x:c r="E6606" s="0" t="s">
        <x:v>26283</x:v>
      </x:c>
      <x:c r="F6606" s="0" t="s">
        <x:v>45</x:v>
      </x:c>
      <x:c r="G6606" s="0" t="s">
        <x:v>19</x:v>
      </x:c>
      <x:c r="H6606" s="0" t="s">
        <x:v>20</x:v>
      </x:c>
      <x:c r="I6606" s="0" t="s">
        <x:v>21</x:v>
      </x:c>
      <x:c r="K6606" s="0">
        <x:f>hyperlink("https://icd.who.int/dev11/l-ichi/en#/http%3A%2F%2Fid.who.int%2Ficd%2Fentity%2F384531259","browser")</x:f>
      </x:c>
      <x:c r="L6606" s="0">
        <x:f>hyperlink("https://icat2.azurewebsites.net/icat/?ontology=ICD&amp;tab=ClassesTab&amp;id=http%3A%2F%2Fwho.int%2Ficd%2339218_512ebf36_bf6b_4d70_85da_cf2637062af4","iCat")</x:f>
      </x:c>
      <x:c r="M6606" s="0" t="s">
        <x:v>21</x:v>
      </x:c>
      <x:c r="N6606" s="0" t="s">
        <x:v>46</x:v>
      </x:c>
    </x:row>
    <x:row r="6607" spans="1:16">
      <x:c r="A6607" s="0" t="s">
        <x:v>26284</x:v>
      </x:c>
      <x:c r="B6607" s="0" t="s">
        <x:v>26285</x:v>
      </x:c>
      <x:c r="C6607" s="0" t="s">
        <x:v>26286</x:v>
      </x:c>
      <x:c r="E6607" s="0" t="s">
        <x:v>26287</x:v>
      </x:c>
      <x:c r="F6607" s="0" t="s">
        <x:v>45</x:v>
      </x:c>
      <x:c r="G6607" s="0" t="s">
        <x:v>19</x:v>
      </x:c>
      <x:c r="H6607" s="0" t="s">
        <x:v>20</x:v>
      </x:c>
      <x:c r="I6607" s="0" t="s">
        <x:v>21</x:v>
      </x:c>
      <x:c r="K6607" s="0">
        <x:f>hyperlink("https://icd.who.int/dev11/l-ichi/en#/http%3A%2F%2Fid.who.int%2Ficd%2Fentity%2F220593185","browser")</x:f>
      </x:c>
      <x:c r="L6607" s="0">
        <x:f>hyperlink("https://icat2.azurewebsites.net/icat/?ontology=ICD&amp;tab=ClassesTab&amp;id=http%3A%2F%2Fwho.int%2Ficd%2339225_512ebf36_bf6b_4d70_85da_cf2637062af4","iCat")</x:f>
      </x:c>
      <x:c r="M6607" s="0" t="s">
        <x:v>21</x:v>
      </x:c>
      <x:c r="N6607" s="0" t="s">
        <x:v>46</x:v>
      </x:c>
    </x:row>
    <x:row r="6608" spans="1:16">
      <x:c r="A6608" s="0" t="s">
        <x:v>26288</x:v>
      </x:c>
      <x:c r="B6608" s="0" t="s">
        <x:v>26289</x:v>
      </x:c>
      <x:c r="C6608" s="0" t="s">
        <x:v>26290</x:v>
      </x:c>
      <x:c r="E6608" s="0" t="s">
        <x:v>26291</x:v>
      </x:c>
      <x:c r="F6608" s="0" t="s">
        <x:v>45</x:v>
      </x:c>
      <x:c r="G6608" s="0" t="s">
        <x:v>19</x:v>
      </x:c>
      <x:c r="H6608" s="0" t="s">
        <x:v>20</x:v>
      </x:c>
      <x:c r="I6608" s="0" t="s">
        <x:v>21</x:v>
      </x:c>
      <x:c r="K6608" s="0">
        <x:f>hyperlink("https://icd.who.int/dev11/l-ichi/en#/http%3A%2F%2Fid.who.int%2Ficd%2Fentity%2F392348411","browser")</x:f>
      </x:c>
      <x:c r="L6608" s="0">
        <x:f>hyperlink("https://icat2.azurewebsites.net/icat/?ontology=ICD&amp;tab=ClassesTab&amp;id=http%3A%2F%2Fwho.int%2Ficd%2339232_512ebf36_bf6b_4d70_85da_cf2637062af4","iCat")</x:f>
      </x:c>
      <x:c r="M6608" s="0" t="s">
        <x:v>21</x:v>
      </x:c>
      <x:c r="N6608" s="0" t="s">
        <x:v>46</x:v>
      </x:c>
    </x:row>
    <x:row r="6609" spans="1:16">
      <x:c r="A6609" s="0" t="s">
        <x:v>26292</x:v>
      </x:c>
      <x:c r="B6609" s="0" t="s">
        <x:v>26293</x:v>
      </x:c>
      <x:c r="C6609" s="0" t="s">
        <x:v>26294</x:v>
      </x:c>
      <x:c r="E6609" s="0" t="s">
        <x:v>26295</x:v>
      </x:c>
      <x:c r="F6609" s="0" t="s">
        <x:v>45</x:v>
      </x:c>
      <x:c r="G6609" s="0" t="s">
        <x:v>19</x:v>
      </x:c>
      <x:c r="H6609" s="0" t="s">
        <x:v>20</x:v>
      </x:c>
      <x:c r="I6609" s="0" t="s">
        <x:v>21</x:v>
      </x:c>
      <x:c r="K6609" s="0">
        <x:f>hyperlink("https://icd.who.int/dev11/l-ichi/en#/http%3A%2F%2Fid.who.int%2Ficd%2Fentity%2F476503127","browser")</x:f>
      </x:c>
      <x:c r="L6609" s="0">
        <x:f>hyperlink("https://icat2.azurewebsites.net/icat/?ontology=ICD&amp;tab=ClassesTab&amp;id=http%3A%2F%2Fwho.int%2Ficd%2339239_512ebf36_bf6b_4d70_85da_cf2637062af4","iCat")</x:f>
      </x:c>
      <x:c r="M6609" s="0" t="s">
        <x:v>21</x:v>
      </x:c>
      <x:c r="N6609" s="0" t="s">
        <x:v>46</x:v>
      </x:c>
    </x:row>
    <x:row r="6610" spans="1:16">
      <x:c r="A6610" s="0" t="s">
        <x:v>26296</x:v>
      </x:c>
      <x:c r="B6610" s="0" t="s">
        <x:v>26297</x:v>
      </x:c>
      <x:c r="C6610" s="0" t="s">
        <x:v>26298</x:v>
      </x:c>
      <x:c r="E6610" s="0" t="s">
        <x:v>26299</x:v>
      </x:c>
      <x:c r="F6610" s="0" t="s">
        <x:v>45</x:v>
      </x:c>
      <x:c r="G6610" s="0" t="s">
        <x:v>19</x:v>
      </x:c>
      <x:c r="H6610" s="0" t="s">
        <x:v>20</x:v>
      </x:c>
      <x:c r="I6610" s="0" t="s">
        <x:v>21</x:v>
      </x:c>
      <x:c r="K6610" s="0">
        <x:f>hyperlink("https://icd.who.int/dev11/l-ichi/en#/http%3A%2F%2Fid.who.int%2Ficd%2Fentity%2F313726357","browser")</x:f>
      </x:c>
      <x:c r="L6610" s="0">
        <x:f>hyperlink("https://icat2.azurewebsites.net/icat/?ontology=ICD&amp;tab=ClassesTab&amp;id=http%3A%2F%2Fwho.int%2Ficd%2339246_512ebf36_bf6b_4d70_85da_cf2637062af4","iCat")</x:f>
      </x:c>
      <x:c r="M6610" s="0" t="s">
        <x:v>21</x:v>
      </x:c>
      <x:c r="N6610" s="0" t="s">
        <x:v>46</x:v>
      </x:c>
    </x:row>
    <x:row r="6611" spans="1:16">
      <x:c r="A6611" s="0" t="s">
        <x:v>26300</x:v>
      </x:c>
      <x:c r="B6611" s="0" t="s">
        <x:v>26301</x:v>
      </x:c>
      <x:c r="C6611" s="0" t="s">
        <x:v>26302</x:v>
      </x:c>
      <x:c r="E6611" s="0" t="s">
        <x:v>26303</x:v>
      </x:c>
      <x:c r="F6611" s="0" t="s">
        <x:v>45</x:v>
      </x:c>
      <x:c r="G6611" s="0" t="s">
        <x:v>19</x:v>
      </x:c>
      <x:c r="H6611" s="0" t="s">
        <x:v>20</x:v>
      </x:c>
      <x:c r="I6611" s="0" t="s">
        <x:v>21</x:v>
      </x:c>
      <x:c r="K6611" s="0">
        <x:f>hyperlink("https://icd.who.int/dev11/l-ichi/en#/http%3A%2F%2Fid.who.int%2Ficd%2Fentity%2F1837643402","browser")</x:f>
      </x:c>
      <x:c r="L6611" s="0">
        <x:f>hyperlink("https://icat2.azurewebsites.net/icat/?ontology=ICD&amp;tab=ClassesTab&amp;id=http%3A%2F%2Fwho.int%2Ficd%2339253_512ebf36_bf6b_4d70_85da_cf2637062af4","iCat")</x:f>
      </x:c>
      <x:c r="M6611" s="0" t="s">
        <x:v>21</x:v>
      </x:c>
      <x:c r="N6611" s="0" t="s">
        <x:v>46</x:v>
      </x:c>
    </x:row>
    <x:row r="6612" spans="1:16">
      <x:c r="A6612" s="0" t="s">
        <x:v>26304</x:v>
      </x:c>
      <x:c r="B6612" s="0" t="s">
        <x:v>26305</x:v>
      </x:c>
      <x:c r="C6612" s="0" t="s">
        <x:v>26306</x:v>
      </x:c>
      <x:c r="E6612" s="0" t="s">
        <x:v>26307</x:v>
      </x:c>
      <x:c r="F6612" s="0" t="s">
        <x:v>45</x:v>
      </x:c>
      <x:c r="G6612" s="0" t="s">
        <x:v>19</x:v>
      </x:c>
      <x:c r="H6612" s="0" t="s">
        <x:v>20</x:v>
      </x:c>
      <x:c r="I6612" s="0" t="s">
        <x:v>21</x:v>
      </x:c>
      <x:c r="K6612" s="0">
        <x:f>hyperlink("https://icd.who.int/dev11/l-ichi/en#/http%3A%2F%2Fid.who.int%2Ficd%2Fentity%2F1757157748","browser")</x:f>
      </x:c>
      <x:c r="L6612" s="0">
        <x:f>hyperlink("https://icat2.azurewebsites.net/icat/?ontology=ICD&amp;tab=ClassesTab&amp;id=http%3A%2F%2Fwho.int%2Ficd%2339260_512ebf36_bf6b_4d70_85da_cf2637062af4","iCat")</x:f>
      </x:c>
      <x:c r="M6612" s="0" t="s">
        <x:v>21</x:v>
      </x:c>
      <x:c r="N6612" s="0" t="s">
        <x:v>46</x:v>
      </x:c>
    </x:row>
    <x:row r="6613" spans="1:16">
      <x:c r="A6613" s="0" t="s">
        <x:v>26308</x:v>
      </x:c>
      <x:c r="B6613" s="0" t="s">
        <x:v>26309</x:v>
      </x:c>
      <x:c r="C6613" s="0" t="s">
        <x:v>26310</x:v>
      </x:c>
      <x:c r="E6613" s="0" t="s">
        <x:v>26311</x:v>
      </x:c>
      <x:c r="F6613" s="0" t="s">
        <x:v>45</x:v>
      </x:c>
      <x:c r="G6613" s="0" t="s">
        <x:v>19</x:v>
      </x:c>
      <x:c r="H6613" s="0" t="s">
        <x:v>20</x:v>
      </x:c>
      <x:c r="I6613" s="0" t="s">
        <x:v>21</x:v>
      </x:c>
      <x:c r="K6613" s="0">
        <x:f>hyperlink("https://icd.who.int/dev11/l-ichi/en#/http%3A%2F%2Fid.who.int%2Ficd%2Fentity%2F406762233","browser")</x:f>
      </x:c>
      <x:c r="L6613" s="0">
        <x:f>hyperlink("https://icat2.azurewebsites.net/icat/?ontology=ICD&amp;tab=ClassesTab&amp;id=http%3A%2F%2Fwho.int%2Ficd%2339267_512ebf36_bf6b_4d70_85da_cf2637062af4","iCat")</x:f>
      </x:c>
      <x:c r="M6613" s="0" t="s">
        <x:v>21</x:v>
      </x:c>
      <x:c r="N6613" s="0" t="s">
        <x:v>46</x:v>
      </x:c>
    </x:row>
    <x:row r="6614" spans="1:16">
      <x:c r="A6614" s="0" t="s">
        <x:v>26312</x:v>
      </x:c>
      <x:c r="B6614" s="0" t="s">
        <x:v>26313</x:v>
      </x:c>
      <x:c r="C6614" s="0" t="s">
        <x:v>26314</x:v>
      </x:c>
      <x:c r="E6614" s="0" t="s">
        <x:v>26315</x:v>
      </x:c>
      <x:c r="F6614" s="0" t="s">
        <x:v>45</x:v>
      </x:c>
      <x:c r="G6614" s="0" t="s">
        <x:v>19</x:v>
      </x:c>
      <x:c r="H6614" s="0" t="s">
        <x:v>20</x:v>
      </x:c>
      <x:c r="I6614" s="0" t="s">
        <x:v>21</x:v>
      </x:c>
      <x:c r="K6614" s="0">
        <x:f>hyperlink("https://icd.who.int/dev11/l-ichi/en#/http%3A%2F%2Fid.who.int%2Ficd%2Fentity%2F931022935","browser")</x:f>
      </x:c>
      <x:c r="L6614" s="0">
        <x:f>hyperlink("https://icat2.azurewebsites.net/icat/?ontology=ICD&amp;tab=ClassesTab&amp;id=http%3A%2F%2Fwho.int%2Ficd%2339274_512ebf36_bf6b_4d70_85da_cf2637062af4","iCat")</x:f>
      </x:c>
      <x:c r="M6614" s="0" t="s">
        <x:v>21</x:v>
      </x:c>
      <x:c r="N6614" s="0" t="s">
        <x:v>46</x:v>
      </x:c>
    </x:row>
    <x:row r="6615" spans="1:16">
      <x:c r="A6615" s="0" t="s">
        <x:v>26316</x:v>
      </x:c>
      <x:c r="B6615" s="0" t="s">
        <x:v>26317</x:v>
      </x:c>
      <x:c r="C6615" s="0" t="s">
        <x:v>26318</x:v>
      </x:c>
      <x:c r="E6615" s="0" t="s">
        <x:v>26319</x:v>
      </x:c>
      <x:c r="F6615" s="0" t="s">
        <x:v>45</x:v>
      </x:c>
      <x:c r="G6615" s="0" t="s">
        <x:v>19</x:v>
      </x:c>
      <x:c r="H6615" s="0" t="s">
        <x:v>20</x:v>
      </x:c>
      <x:c r="I6615" s="0" t="s">
        <x:v>21</x:v>
      </x:c>
      <x:c r="K6615" s="0">
        <x:f>hyperlink("https://icd.who.int/dev11/l-ichi/en#/http%3A%2F%2Fid.who.int%2Ficd%2Fentity%2F224900289","browser")</x:f>
      </x:c>
      <x:c r="L6615" s="0">
        <x:f>hyperlink("https://icat2.azurewebsites.net/icat/?ontology=ICD&amp;tab=ClassesTab&amp;id=http%3A%2F%2Fwho.int%2Ficd%2339281_512ebf36_bf6b_4d70_85da_cf2637062af4","iCat")</x:f>
      </x:c>
      <x:c r="M6615" s="0" t="s">
        <x:v>21</x:v>
      </x:c>
      <x:c r="N6615" s="0" t="s">
        <x:v>46</x:v>
      </x:c>
    </x:row>
    <x:row r="6616" spans="1:16">
      <x:c r="A6616" s="0" t="s">
        <x:v>26320</x:v>
      </x:c>
      <x:c r="B6616" s="0" t="s">
        <x:v>26321</x:v>
      </x:c>
      <x:c r="C6616" s="0" t="s">
        <x:v>26322</x:v>
      </x:c>
      <x:c r="E6616" s="0" t="s">
        <x:v>26323</x:v>
      </x:c>
      <x:c r="F6616" s="0" t="s">
        <x:v>45</x:v>
      </x:c>
      <x:c r="G6616" s="0" t="s">
        <x:v>19</x:v>
      </x:c>
      <x:c r="H6616" s="0" t="s">
        <x:v>20</x:v>
      </x:c>
      <x:c r="I6616" s="0" t="s">
        <x:v>21</x:v>
      </x:c>
      <x:c r="K6616" s="0">
        <x:f>hyperlink("https://icd.who.int/dev11/l-ichi/en#/http%3A%2F%2Fid.who.int%2Ficd%2Fentity%2F1663023016","browser")</x:f>
      </x:c>
      <x:c r="L6616" s="0">
        <x:f>hyperlink("https://icat2.azurewebsites.net/icat/?ontology=ICD&amp;tab=ClassesTab&amp;id=http%3A%2F%2Fwho.int%2Ficd%2339288_512ebf36_bf6b_4d70_85da_cf2637062af4","iCat")</x:f>
      </x:c>
      <x:c r="M6616" s="0" t="s">
        <x:v>21</x:v>
      </x:c>
      <x:c r="N6616" s="0" t="s">
        <x:v>46</x:v>
      </x:c>
    </x:row>
    <x:row r="6617" spans="1:16">
      <x:c r="A6617" s="0" t="s">
        <x:v>26324</x:v>
      </x:c>
      <x:c r="B6617" s="0" t="s">
        <x:v>26325</x:v>
      </x:c>
      <x:c r="C6617" s="0" t="s">
        <x:v>26326</x:v>
      </x:c>
      <x:c r="E6617" s="0" t="s">
        <x:v>26327</x:v>
      </x:c>
      <x:c r="F6617" s="0" t="s">
        <x:v>45</x:v>
      </x:c>
      <x:c r="G6617" s="0" t="s">
        <x:v>19</x:v>
      </x:c>
      <x:c r="H6617" s="0" t="s">
        <x:v>20</x:v>
      </x:c>
      <x:c r="I6617" s="0" t="s">
        <x:v>21</x:v>
      </x:c>
      <x:c r="K6617" s="0">
        <x:f>hyperlink("https://icd.who.int/dev11/l-ichi/en#/http%3A%2F%2Fid.who.int%2Ficd%2Fentity%2F1386604002","browser")</x:f>
      </x:c>
      <x:c r="L6617" s="0">
        <x:f>hyperlink("https://icat2.azurewebsites.net/icat/?ontology=ICD&amp;tab=ClassesTab&amp;id=http%3A%2F%2Fwho.int%2Ficd%2339295_512ebf36_bf6b_4d70_85da_cf2637062af4","iCat")</x:f>
      </x:c>
      <x:c r="M6617" s="0" t="s">
        <x:v>21</x:v>
      </x:c>
      <x:c r="N6617" s="0" t="s">
        <x:v>46</x:v>
      </x:c>
    </x:row>
    <x:row r="6618" spans="1:16">
      <x:c r="A6618" s="0" t="s">
        <x:v>26328</x:v>
      </x:c>
      <x:c r="B6618" s="0" t="s">
        <x:v>26329</x:v>
      </x:c>
      <x:c r="C6618" s="0" t="s">
        <x:v>26330</x:v>
      </x:c>
      <x:c r="E6618" s="0" t="s">
        <x:v>26331</x:v>
      </x:c>
      <x:c r="F6618" s="0" t="s">
        <x:v>45</x:v>
      </x:c>
      <x:c r="G6618" s="0" t="s">
        <x:v>19</x:v>
      </x:c>
      <x:c r="H6618" s="0" t="s">
        <x:v>20</x:v>
      </x:c>
      <x:c r="I6618" s="0" t="s">
        <x:v>21</x:v>
      </x:c>
      <x:c r="K6618" s="0">
        <x:f>hyperlink("https://icd.who.int/dev11/l-ichi/en#/http%3A%2F%2Fid.who.int%2Ficd%2Fentity%2F575423585","browser")</x:f>
      </x:c>
      <x:c r="L6618" s="0">
        <x:f>hyperlink("https://icat2.azurewebsites.net/icat/?ontology=ICD&amp;tab=ClassesTab&amp;id=http%3A%2F%2Fwho.int%2Ficd%2339302_512ebf36_bf6b_4d70_85da_cf2637062af4","iCat")</x:f>
      </x:c>
      <x:c r="M6618" s="0" t="s">
        <x:v>21</x:v>
      </x:c>
      <x:c r="N6618" s="0" t="s">
        <x:v>46</x:v>
      </x:c>
    </x:row>
    <x:row r="6619" spans="1:16">
      <x:c r="A6619" s="0" t="s">
        <x:v>26332</x:v>
      </x:c>
      <x:c r="B6619" s="0" t="s">
        <x:v>26333</x:v>
      </x:c>
      <x:c r="C6619" s="0" t="s">
        <x:v>26334</x:v>
      </x:c>
      <x:c r="E6619" s="0" t="s">
        <x:v>26335</x:v>
      </x:c>
      <x:c r="F6619" s="0" t="s">
        <x:v>45</x:v>
      </x:c>
      <x:c r="G6619" s="0" t="s">
        <x:v>19</x:v>
      </x:c>
      <x:c r="H6619" s="0" t="s">
        <x:v>20</x:v>
      </x:c>
      <x:c r="I6619" s="0" t="s">
        <x:v>21</x:v>
      </x:c>
      <x:c r="K6619" s="0">
        <x:f>hyperlink("https://icd.who.int/dev11/l-ichi/en#/http%3A%2F%2Fid.who.int%2Ficd%2Fentity%2F692607693","browser")</x:f>
      </x:c>
      <x:c r="L6619" s="0">
        <x:f>hyperlink("https://icat2.azurewebsites.net/icat/?ontology=ICD&amp;tab=ClassesTab&amp;id=http%3A%2F%2Fwho.int%2Ficd%2339309_512ebf36_bf6b_4d70_85da_cf2637062af4","iCat")</x:f>
      </x:c>
      <x:c r="M6619" s="0" t="s">
        <x:v>21</x:v>
      </x:c>
      <x:c r="N6619" s="0" t="s">
        <x:v>46</x:v>
      </x:c>
    </x:row>
    <x:row r="6620" spans="1:16">
      <x:c r="A6620" s="0" t="s">
        <x:v>26336</x:v>
      </x:c>
      <x:c r="B6620" s="0" t="s">
        <x:v>26337</x:v>
      </x:c>
      <x:c r="C6620" s="0" t="s">
        <x:v>26338</x:v>
      </x:c>
      <x:c r="E6620" s="0" t="s">
        <x:v>26339</x:v>
      </x:c>
      <x:c r="F6620" s="0" t="s">
        <x:v>45</x:v>
      </x:c>
      <x:c r="G6620" s="0" t="s">
        <x:v>19</x:v>
      </x:c>
      <x:c r="H6620" s="0" t="s">
        <x:v>20</x:v>
      </x:c>
      <x:c r="I6620" s="0" t="s">
        <x:v>21</x:v>
      </x:c>
      <x:c r="K6620" s="0">
        <x:f>hyperlink("https://icd.who.int/dev11/l-ichi/en#/http%3A%2F%2Fid.who.int%2Ficd%2Fentity%2F2106463554","browser")</x:f>
      </x:c>
      <x:c r="L6620" s="0">
        <x:f>hyperlink("https://icat2.azurewebsites.net/icat/?ontology=ICD&amp;tab=ClassesTab&amp;id=http%3A%2F%2Fwho.int%2Ficd%2339316_512ebf36_bf6b_4d70_85da_cf2637062af4","iCat")</x:f>
      </x:c>
      <x:c r="M6620" s="0" t="s">
        <x:v>21</x:v>
      </x:c>
      <x:c r="N6620" s="0" t="s">
        <x:v>46</x:v>
      </x:c>
    </x:row>
    <x:row r="6621" spans="1:16">
      <x:c r="A6621" s="0" t="s">
        <x:v>26340</x:v>
      </x:c>
      <x:c r="B6621" s="0" t="s">
        <x:v>26341</x:v>
      </x:c>
      <x:c r="C6621" s="0" t="s">
        <x:v>26342</x:v>
      </x:c>
      <x:c r="E6621" s="0" t="s">
        <x:v>26343</x:v>
      </x:c>
      <x:c r="F6621" s="0" t="s">
        <x:v>45</x:v>
      </x:c>
      <x:c r="G6621" s="0" t="s">
        <x:v>19</x:v>
      </x:c>
      <x:c r="H6621" s="0" t="s">
        <x:v>20</x:v>
      </x:c>
      <x:c r="I6621" s="0" t="s">
        <x:v>21</x:v>
      </x:c>
      <x:c r="K6621" s="0">
        <x:f>hyperlink("https://icd.who.int/dev11/l-ichi/en#/http%3A%2F%2Fid.who.int%2Ficd%2Fentity%2F683795213","browser")</x:f>
      </x:c>
      <x:c r="L6621" s="0">
        <x:f>hyperlink("https://icat2.azurewebsites.net/icat/?ontology=ICD&amp;tab=ClassesTab&amp;id=http%3A%2F%2Fwho.int%2Ficd%2339323_512ebf36_bf6b_4d70_85da_cf2637062af4","iCat")</x:f>
      </x:c>
      <x:c r="M6621" s="0" t="s">
        <x:v>21</x:v>
      </x:c>
      <x:c r="N6621" s="0" t="s">
        <x:v>46</x:v>
      </x:c>
    </x:row>
    <x:row r="6622" spans="1:16">
      <x:c r="A6622" s="0" t="s">
        <x:v>26344</x:v>
      </x:c>
      <x:c r="B6622" s="0" t="s">
        <x:v>26345</x:v>
      </x:c>
      <x:c r="C6622" s="0" t="s">
        <x:v>26346</x:v>
      </x:c>
      <x:c r="E6622" s="0" t="s">
        <x:v>26347</x:v>
      </x:c>
      <x:c r="F6622" s="0" t="s">
        <x:v>45</x:v>
      </x:c>
      <x:c r="G6622" s="0" t="s">
        <x:v>19</x:v>
      </x:c>
      <x:c r="H6622" s="0" t="s">
        <x:v>20</x:v>
      </x:c>
      <x:c r="I6622" s="0" t="s">
        <x:v>21</x:v>
      </x:c>
      <x:c r="K6622" s="0">
        <x:f>hyperlink("https://icd.who.int/dev11/l-ichi/en#/http%3A%2F%2Fid.who.int%2Ficd%2Fentity%2F125901219","browser")</x:f>
      </x:c>
      <x:c r="L6622" s="0">
        <x:f>hyperlink("https://icat2.azurewebsites.net/icat/?ontology=ICD&amp;tab=ClassesTab&amp;id=http%3A%2F%2Fwho.int%2Ficd%2339330_512ebf36_bf6b_4d70_85da_cf2637062af4","iCat")</x:f>
      </x:c>
      <x:c r="M6622" s="0" t="s">
        <x:v>21</x:v>
      </x:c>
      <x:c r="N6622" s="0" t="s">
        <x:v>46</x:v>
      </x:c>
    </x:row>
    <x:row r="6623" spans="1:16">
      <x:c r="A6623" s="0" t="s">
        <x:v>26348</x:v>
      </x:c>
      <x:c r="B6623" s="0" t="s">
        <x:v>26349</x:v>
      </x:c>
      <x:c r="C6623" s="0" t="s">
        <x:v>26350</x:v>
      </x:c>
      <x:c r="E6623" s="0" t="s">
        <x:v>26351</x:v>
      </x:c>
      <x:c r="F6623" s="0" t="s">
        <x:v>45</x:v>
      </x:c>
      <x:c r="G6623" s="0" t="s">
        <x:v>19</x:v>
      </x:c>
      <x:c r="H6623" s="0" t="s">
        <x:v>20</x:v>
      </x:c>
      <x:c r="I6623" s="0" t="s">
        <x:v>21</x:v>
      </x:c>
      <x:c r="K6623" s="0">
        <x:f>hyperlink("https://icd.who.int/dev11/l-ichi/en#/http%3A%2F%2Fid.who.int%2Ficd%2Fentity%2F1996730926","browser")</x:f>
      </x:c>
      <x:c r="L6623" s="0">
        <x:f>hyperlink("https://icat2.azurewebsites.net/icat/?ontology=ICD&amp;tab=ClassesTab&amp;id=http%3A%2F%2Fwho.int%2Ficd%2339337_512ebf36_bf6b_4d70_85da_cf2637062af4","iCat")</x:f>
      </x:c>
      <x:c r="M6623" s="0" t="s">
        <x:v>21</x:v>
      </x:c>
      <x:c r="N6623" s="0" t="s">
        <x:v>46</x:v>
      </x:c>
    </x:row>
    <x:row r="6624" spans="1:16">
      <x:c r="A6624" s="0" t="s">
        <x:v>26352</x:v>
      </x:c>
      <x:c r="B6624" s="0" t="s">
        <x:v>26353</x:v>
      </x:c>
      <x:c r="C6624" s="0" t="s">
        <x:v>26354</x:v>
      </x:c>
      <x:c r="E6624" s="0" t="s">
        <x:v>26355</x:v>
      </x:c>
      <x:c r="F6624" s="0" t="s">
        <x:v>45</x:v>
      </x:c>
      <x:c r="G6624" s="0" t="s">
        <x:v>19</x:v>
      </x:c>
      <x:c r="H6624" s="0" t="s">
        <x:v>20</x:v>
      </x:c>
      <x:c r="I6624" s="0" t="s">
        <x:v>21</x:v>
      </x:c>
      <x:c r="K6624" s="0">
        <x:f>hyperlink("https://icd.who.int/dev11/l-ichi/en#/http%3A%2F%2Fid.who.int%2Ficd%2Fentity%2F38850253","browser")</x:f>
      </x:c>
      <x:c r="L6624" s="0">
        <x:f>hyperlink("https://icat2.azurewebsites.net/icat/?ontology=ICD&amp;tab=ClassesTab&amp;id=http%3A%2F%2Fwho.int%2Ficd%2339344_512ebf36_bf6b_4d70_85da_cf2637062af4","iCat")</x:f>
      </x:c>
      <x:c r="M6624" s="0" t="s">
        <x:v>21</x:v>
      </x:c>
      <x:c r="N6624" s="0" t="s">
        <x:v>46</x:v>
      </x:c>
    </x:row>
    <x:row r="6625" spans="1:16">
      <x:c r="A6625" s="0" t="s">
        <x:v>26356</x:v>
      </x:c>
      <x:c r="B6625" s="0" t="s">
        <x:v>26357</x:v>
      </x:c>
      <x:c r="C6625" s="0" t="s">
        <x:v>26358</x:v>
      </x:c>
      <x:c r="E6625" s="0" t="s">
        <x:v>26359</x:v>
      </x:c>
      <x:c r="F6625" s="0" t="s">
        <x:v>45</x:v>
      </x:c>
      <x:c r="G6625" s="0" t="s">
        <x:v>19</x:v>
      </x:c>
      <x:c r="H6625" s="0" t="s">
        <x:v>20</x:v>
      </x:c>
      <x:c r="I6625" s="0" t="s">
        <x:v>21</x:v>
      </x:c>
      <x:c r="K6625" s="0">
        <x:f>hyperlink("https://icd.who.int/dev11/l-ichi/en#/http%3A%2F%2Fid.who.int%2Ficd%2Fentity%2F2104225234","browser")</x:f>
      </x:c>
      <x:c r="L6625" s="0">
        <x:f>hyperlink("https://icat2.azurewebsites.net/icat/?ontology=ICD&amp;tab=ClassesTab&amp;id=http%3A%2F%2Fwho.int%2Ficd%2339351_512ebf36_bf6b_4d70_85da_cf2637062af4","iCat")</x:f>
      </x:c>
      <x:c r="M6625" s="0" t="s">
        <x:v>21</x:v>
      </x:c>
      <x:c r="N6625" s="0" t="s">
        <x:v>46</x:v>
      </x:c>
    </x:row>
    <x:row r="6626" spans="1:16">
      <x:c r="A6626" s="0" t="s">
        <x:v>26360</x:v>
      </x:c>
      <x:c r="B6626" s="0" t="s">
        <x:v>26361</x:v>
      </x:c>
      <x:c r="C6626" s="0" t="s">
        <x:v>26362</x:v>
      </x:c>
      <x:c r="E6626" s="0" t="s">
        <x:v>26363</x:v>
      </x:c>
      <x:c r="F6626" s="0" t="s">
        <x:v>45</x:v>
      </x:c>
      <x:c r="G6626" s="0" t="s">
        <x:v>19</x:v>
      </x:c>
      <x:c r="H6626" s="0" t="s">
        <x:v>20</x:v>
      </x:c>
      <x:c r="I6626" s="0" t="s">
        <x:v>21</x:v>
      </x:c>
      <x:c r="K6626" s="0">
        <x:f>hyperlink("https://icd.who.int/dev11/l-ichi/en#/http%3A%2F%2Fid.who.int%2Ficd%2Fentity%2F320073403","browser")</x:f>
      </x:c>
      <x:c r="L6626" s="0">
        <x:f>hyperlink("https://icat2.azurewebsites.net/icat/?ontology=ICD&amp;tab=ClassesTab&amp;id=http%3A%2F%2Fwho.int%2Ficd%2339358_512ebf36_bf6b_4d70_85da_cf2637062af4","iCat")</x:f>
      </x:c>
      <x:c r="M6626" s="0" t="s">
        <x:v>21</x:v>
      </x:c>
      <x:c r="N6626" s="0" t="s">
        <x:v>46</x:v>
      </x:c>
    </x:row>
    <x:row r="6627" spans="1:16">
      <x:c r="A6627" s="0" t="s">
        <x:v>26364</x:v>
      </x:c>
      <x:c r="B6627" s="0" t="s">
        <x:v>26365</x:v>
      </x:c>
      <x:c r="C6627" s="0" t="s">
        <x:v>26366</x:v>
      </x:c>
      <x:c r="E6627" s="0" t="s">
        <x:v>26367</x:v>
      </x:c>
      <x:c r="F6627" s="0" t="s">
        <x:v>45</x:v>
      </x:c>
      <x:c r="G6627" s="0" t="s">
        <x:v>19</x:v>
      </x:c>
      <x:c r="H6627" s="0" t="s">
        <x:v>20</x:v>
      </x:c>
      <x:c r="I6627" s="0" t="s">
        <x:v>21</x:v>
      </x:c>
      <x:c r="K6627" s="0">
        <x:f>hyperlink("https://icd.who.int/dev11/l-ichi/en#/http%3A%2F%2Fid.who.int%2Ficd%2Fentity%2F148728225","browser")</x:f>
      </x:c>
      <x:c r="L6627" s="0">
        <x:f>hyperlink("https://icat2.azurewebsites.net/icat/?ontology=ICD&amp;tab=ClassesTab&amp;id=http%3A%2F%2Fwho.int%2Ficd%2339365_512ebf36_bf6b_4d70_85da_cf2637062af4","iCat")</x:f>
      </x:c>
      <x:c r="M6627" s="0" t="s">
        <x:v>21</x:v>
      </x:c>
      <x:c r="N6627" s="0" t="s">
        <x:v>46</x:v>
      </x:c>
    </x:row>
    <x:row r="6628" spans="1:16">
      <x:c r="A6628" s="0" t="s">
        <x:v>26368</x:v>
      </x:c>
      <x:c r="B6628" s="0" t="s">
        <x:v>26369</x:v>
      </x:c>
      <x:c r="C6628" s="0" t="s">
        <x:v>26370</x:v>
      </x:c>
      <x:c r="E6628" s="0" t="s">
        <x:v>26371</x:v>
      </x:c>
      <x:c r="F6628" s="0" t="s">
        <x:v>45</x:v>
      </x:c>
      <x:c r="G6628" s="0" t="s">
        <x:v>19</x:v>
      </x:c>
      <x:c r="H6628" s="0" t="s">
        <x:v>20</x:v>
      </x:c>
      <x:c r="I6628" s="0" t="s">
        <x:v>21</x:v>
      </x:c>
      <x:c r="K6628" s="0">
        <x:f>hyperlink("https://icd.who.int/dev11/l-ichi/en#/http%3A%2F%2Fid.who.int%2Ficd%2Fentity%2F312104827","browser")</x:f>
      </x:c>
      <x:c r="L6628" s="0">
        <x:f>hyperlink("https://icat2.azurewebsites.net/icat/?ontology=ICD&amp;tab=ClassesTab&amp;id=http%3A%2F%2Fwho.int%2Ficd%2339372_512ebf36_bf6b_4d70_85da_cf2637062af4","iCat")</x:f>
      </x:c>
      <x:c r="M6628" s="0" t="s">
        <x:v>21</x:v>
      </x:c>
      <x:c r="N6628" s="0" t="s">
        <x:v>46</x:v>
      </x:c>
    </x:row>
    <x:row r="6629" spans="1:16">
      <x:c r="A6629" s="0" t="s">
        <x:v>26372</x:v>
      </x:c>
      <x:c r="B6629" s="0" t="s">
        <x:v>26373</x:v>
      </x:c>
      <x:c r="C6629" s="0" t="s">
        <x:v>26374</x:v>
      </x:c>
      <x:c r="E6629" s="0" t="s">
        <x:v>26375</x:v>
      </x:c>
      <x:c r="F6629" s="0" t="s">
        <x:v>45</x:v>
      </x:c>
      <x:c r="G6629" s="0" t="s">
        <x:v>19</x:v>
      </x:c>
      <x:c r="H6629" s="0" t="s">
        <x:v>20</x:v>
      </x:c>
      <x:c r="I6629" s="0" t="s">
        <x:v>21</x:v>
      </x:c>
      <x:c r="K6629" s="0">
        <x:f>hyperlink("https://icd.who.int/dev11/l-ichi/en#/http%3A%2F%2Fid.who.int%2Ficd%2Fentity%2F429803991","browser")</x:f>
      </x:c>
      <x:c r="L6629" s="0">
        <x:f>hyperlink("https://icat2.azurewebsites.net/icat/?ontology=ICD&amp;tab=ClassesTab&amp;id=http%3A%2F%2Fwho.int%2Ficd%2339379_512ebf36_bf6b_4d70_85da_cf2637062af4","iCat")</x:f>
      </x:c>
      <x:c r="M6629" s="0" t="s">
        <x:v>21</x:v>
      </x:c>
      <x:c r="N6629" s="0" t="s">
        <x:v>46</x:v>
      </x:c>
    </x:row>
    <x:row r="6630" spans="1:16">
      <x:c r="A6630" s="0" t="s">
        <x:v>26376</x:v>
      </x:c>
      <x:c r="B6630" s="0" t="s">
        <x:v>26377</x:v>
      </x:c>
      <x:c r="C6630" s="0" t="s">
        <x:v>26378</x:v>
      </x:c>
      <x:c r="E6630" s="0" t="s">
        <x:v>26379</x:v>
      </x:c>
      <x:c r="F6630" s="0" t="s">
        <x:v>45</x:v>
      </x:c>
      <x:c r="G6630" s="0" t="s">
        <x:v>19</x:v>
      </x:c>
      <x:c r="H6630" s="0" t="s">
        <x:v>20</x:v>
      </x:c>
      <x:c r="I6630" s="0" t="s">
        <x:v>21</x:v>
      </x:c>
      <x:c r="K6630" s="0">
        <x:f>hyperlink("https://icd.who.int/dev11/l-ichi/en#/http%3A%2F%2Fid.who.int%2Ficd%2Fentity%2F142268881","browser")</x:f>
      </x:c>
      <x:c r="L6630" s="0">
        <x:f>hyperlink("https://icat2.azurewebsites.net/icat/?ontology=ICD&amp;tab=ClassesTab&amp;id=http%3A%2F%2Fwho.int%2Ficd%2339386_512ebf36_bf6b_4d70_85da_cf2637062af4","iCat")</x:f>
      </x:c>
      <x:c r="M6630" s="0" t="s">
        <x:v>21</x:v>
      </x:c>
      <x:c r="N6630" s="0" t="s">
        <x:v>46</x:v>
      </x:c>
    </x:row>
    <x:row r="6631" spans="1:16">
      <x:c r="A6631" s="0" t="s">
        <x:v>26380</x:v>
      </x:c>
      <x:c r="B6631" s="0" t="s">
        <x:v>26381</x:v>
      </x:c>
      <x:c r="C6631" s="0" t="s">
        <x:v>26382</x:v>
      </x:c>
      <x:c r="E6631" s="0" t="s">
        <x:v>26383</x:v>
      </x:c>
      <x:c r="F6631" s="0" t="s">
        <x:v>45</x:v>
      </x:c>
      <x:c r="G6631" s="0" t="s">
        <x:v>19</x:v>
      </x:c>
      <x:c r="H6631" s="0" t="s">
        <x:v>20</x:v>
      </x:c>
      <x:c r="I6631" s="0" t="s">
        <x:v>21</x:v>
      </x:c>
      <x:c r="K6631" s="0">
        <x:f>hyperlink("https://icd.who.int/dev11/l-ichi/en#/http%3A%2F%2Fid.who.int%2Ficd%2Fentity%2F2000812752","browser")</x:f>
      </x:c>
      <x:c r="L6631" s="0">
        <x:f>hyperlink("https://icat2.azurewebsites.net/icat/?ontology=ICD&amp;tab=ClassesTab&amp;id=http%3A%2F%2Fwho.int%2Ficd%2339393_512ebf36_bf6b_4d70_85da_cf2637062af4","iCat")</x:f>
      </x:c>
      <x:c r="M6631" s="0" t="s">
        <x:v>21</x:v>
      </x:c>
      <x:c r="N6631" s="0" t="s">
        <x:v>46</x:v>
      </x:c>
    </x:row>
    <x:row r="6632" spans="1:16">
      <x:c r="A6632" s="0" t="s">
        <x:v>26384</x:v>
      </x:c>
      <x:c r="B6632" s="0" t="s">
        <x:v>26385</x:v>
      </x:c>
      <x:c r="C6632" s="0" t="s">
        <x:v>26386</x:v>
      </x:c>
      <x:c r="E6632" s="0" t="s">
        <x:v>26387</x:v>
      </x:c>
      <x:c r="F6632" s="0" t="s">
        <x:v>45</x:v>
      </x:c>
      <x:c r="G6632" s="0" t="s">
        <x:v>19</x:v>
      </x:c>
      <x:c r="H6632" s="0" t="s">
        <x:v>20</x:v>
      </x:c>
      <x:c r="I6632" s="0" t="s">
        <x:v>21</x:v>
      </x:c>
      <x:c r="K6632" s="0">
        <x:f>hyperlink("https://icd.who.int/dev11/l-ichi/en#/http%3A%2F%2Fid.who.int%2Ficd%2Fentity%2F727839176","browser")</x:f>
      </x:c>
      <x:c r="L6632" s="0">
        <x:f>hyperlink("https://icat2.azurewebsites.net/icat/?ontology=ICD&amp;tab=ClassesTab&amp;id=http%3A%2F%2Fwho.int%2Ficd%2339400_512ebf36_bf6b_4d70_85da_cf2637062af4","iCat")</x:f>
      </x:c>
      <x:c r="M6632" s="0" t="s">
        <x:v>21</x:v>
      </x:c>
      <x:c r="N6632" s="0" t="s">
        <x:v>46</x:v>
      </x:c>
    </x:row>
    <x:row r="6633" spans="1:16">
      <x:c r="A6633" s="0" t="s">
        <x:v>26388</x:v>
      </x:c>
      <x:c r="B6633" s="0" t="s">
        <x:v>26389</x:v>
      </x:c>
      <x:c r="C6633" s="0" t="s">
        <x:v>26390</x:v>
      </x:c>
      <x:c r="E6633" s="0" t="s">
        <x:v>26391</x:v>
      </x:c>
      <x:c r="F6633" s="0" t="s">
        <x:v>45</x:v>
      </x:c>
      <x:c r="G6633" s="0" t="s">
        <x:v>19</x:v>
      </x:c>
      <x:c r="H6633" s="0" t="s">
        <x:v>20</x:v>
      </x:c>
      <x:c r="I6633" s="0" t="s">
        <x:v>21</x:v>
      </x:c>
      <x:c r="K6633" s="0">
        <x:f>hyperlink("https://icd.who.int/dev11/l-ichi/en#/http%3A%2F%2Fid.who.int%2Ficd%2Fentity%2F1541626437","browser")</x:f>
      </x:c>
      <x:c r="L6633" s="0">
        <x:f>hyperlink("https://icat2.azurewebsites.net/icat/?ontology=ICD&amp;tab=ClassesTab&amp;id=http%3A%2F%2Fwho.int%2Ficd%2339407_512ebf36_bf6b_4d70_85da_cf2637062af4","iCat")</x:f>
      </x:c>
      <x:c r="M6633" s="0" t="s">
        <x:v>21</x:v>
      </x:c>
      <x:c r="N6633" s="0" t="s">
        <x:v>46</x:v>
      </x:c>
    </x:row>
    <x:row r="6634" spans="1:16">
      <x:c r="A6634" s="0" t="s">
        <x:v>26392</x:v>
      </x:c>
      <x:c r="B6634" s="0" t="s">
        <x:v>26393</x:v>
      </x:c>
      <x:c r="C6634" s="0" t="s">
        <x:v>26394</x:v>
      </x:c>
      <x:c r="E6634" s="0" t="s">
        <x:v>26395</x:v>
      </x:c>
      <x:c r="F6634" s="0" t="s">
        <x:v>45</x:v>
      </x:c>
      <x:c r="G6634" s="0" t="s">
        <x:v>19</x:v>
      </x:c>
      <x:c r="H6634" s="0" t="s">
        <x:v>20</x:v>
      </x:c>
      <x:c r="I6634" s="0" t="s">
        <x:v>21</x:v>
      </x:c>
      <x:c r="K6634" s="0">
        <x:f>hyperlink("https://icd.who.int/dev11/l-ichi/en#/http%3A%2F%2Fid.who.int%2Ficd%2Fentity%2F1956880619","browser")</x:f>
      </x:c>
      <x:c r="L6634" s="0">
        <x:f>hyperlink("https://icat2.azurewebsites.net/icat/?ontology=ICD&amp;tab=ClassesTab&amp;id=http%3A%2F%2Fwho.int%2Ficd%2339414_512ebf36_bf6b_4d70_85da_cf2637062af4","iCat")</x:f>
      </x:c>
      <x:c r="M6634" s="0" t="s">
        <x:v>21</x:v>
      </x:c>
      <x:c r="N6634" s="0" t="s">
        <x:v>46</x:v>
      </x:c>
    </x:row>
    <x:row r="6635" spans="1:16">
      <x:c r="A6635" s="0" t="s">
        <x:v>26396</x:v>
      </x:c>
      <x:c r="B6635" s="0" t="s">
        <x:v>26397</x:v>
      </x:c>
      <x:c r="C6635" s="0" t="s">
        <x:v>26398</x:v>
      </x:c>
      <x:c r="E6635" s="0" t="s">
        <x:v>26399</x:v>
      </x:c>
      <x:c r="F6635" s="0" t="s">
        <x:v>45</x:v>
      </x:c>
      <x:c r="G6635" s="0" t="s">
        <x:v>19</x:v>
      </x:c>
      <x:c r="H6635" s="0" t="s">
        <x:v>20</x:v>
      </x:c>
      <x:c r="I6635" s="0" t="s">
        <x:v>21</x:v>
      </x:c>
      <x:c r="K6635" s="0">
        <x:f>hyperlink("https://icd.who.int/dev11/l-ichi/en#/http%3A%2F%2Fid.who.int%2Ficd%2Fentity%2F569136804","browser")</x:f>
      </x:c>
      <x:c r="L6635" s="0">
        <x:f>hyperlink("https://icat2.azurewebsites.net/icat/?ontology=ICD&amp;tab=ClassesTab&amp;id=http%3A%2F%2Fwho.int%2Ficd%2339421_512ebf36_bf6b_4d70_85da_cf2637062af4","iCat")</x:f>
      </x:c>
      <x:c r="M6635" s="0" t="s">
        <x:v>21</x:v>
      </x:c>
      <x:c r="N6635" s="0" t="s">
        <x:v>46</x:v>
      </x:c>
    </x:row>
    <x:row r="6636" spans="1:16">
      <x:c r="A6636" s="0" t="s">
        <x:v>26400</x:v>
      </x:c>
      <x:c r="B6636" s="0" t="s">
        <x:v>26401</x:v>
      </x:c>
      <x:c r="C6636" s="0" t="s">
        <x:v>26402</x:v>
      </x:c>
      <x:c r="E6636" s="0" t="s">
        <x:v>26403</x:v>
      </x:c>
      <x:c r="F6636" s="0" t="s">
        <x:v>45</x:v>
      </x:c>
      <x:c r="G6636" s="0" t="s">
        <x:v>19</x:v>
      </x:c>
      <x:c r="H6636" s="0" t="s">
        <x:v>20</x:v>
      </x:c>
      <x:c r="I6636" s="0" t="s">
        <x:v>21</x:v>
      </x:c>
      <x:c r="K6636" s="0">
        <x:f>hyperlink("https://icd.who.int/dev11/l-ichi/en#/http%3A%2F%2Fid.who.int%2Ficd%2Fentity%2F1335121357","browser")</x:f>
      </x:c>
      <x:c r="L6636" s="0">
        <x:f>hyperlink("https://icat2.azurewebsites.net/icat/?ontology=ICD&amp;tab=ClassesTab&amp;id=http%3A%2F%2Fwho.int%2Ficd%2339428_512ebf36_bf6b_4d70_85da_cf2637062af4","iCat")</x:f>
      </x:c>
      <x:c r="M6636" s="0" t="s">
        <x:v>21</x:v>
      </x:c>
      <x:c r="N6636" s="0" t="s">
        <x:v>46</x:v>
      </x:c>
    </x:row>
    <x:row r="6637" spans="1:16">
      <x:c r="A6637" s="0" t="s">
        <x:v>26404</x:v>
      </x:c>
      <x:c r="B6637" s="0" t="s">
        <x:v>26405</x:v>
      </x:c>
      <x:c r="C6637" s="0" t="s">
        <x:v>26406</x:v>
      </x:c>
      <x:c r="E6637" s="0" t="s">
        <x:v>26407</x:v>
      </x:c>
      <x:c r="F6637" s="0" t="s">
        <x:v>45</x:v>
      </x:c>
      <x:c r="G6637" s="0" t="s">
        <x:v>19</x:v>
      </x:c>
      <x:c r="H6637" s="0" t="s">
        <x:v>20</x:v>
      </x:c>
      <x:c r="I6637" s="0" t="s">
        <x:v>21</x:v>
      </x:c>
      <x:c r="K6637" s="0">
        <x:f>hyperlink("https://icd.who.int/dev11/l-ichi/en#/http%3A%2F%2Fid.who.int%2Ficd%2Fentity%2F2116945799","browser")</x:f>
      </x:c>
      <x:c r="L6637" s="0">
        <x:f>hyperlink("https://icat2.azurewebsites.net/icat/?ontology=ICD&amp;tab=ClassesTab&amp;id=http%3A%2F%2Fwho.int%2Ficd%2339435_512ebf36_bf6b_4d70_85da_cf2637062af4","iCat")</x:f>
      </x:c>
      <x:c r="M6637" s="0" t="s">
        <x:v>21</x:v>
      </x:c>
      <x:c r="N6637" s="0" t="s">
        <x:v>46</x:v>
      </x:c>
    </x:row>
    <x:row r="6638" spans="1:16">
      <x:c r="A6638" s="0" t="s">
        <x:v>26408</x:v>
      </x:c>
      <x:c r="B6638" s="0" t="s">
        <x:v>26409</x:v>
      </x:c>
      <x:c r="C6638" s="0" t="s">
        <x:v>26410</x:v>
      </x:c>
      <x:c r="E6638" s="0" t="s">
        <x:v>26411</x:v>
      </x:c>
      <x:c r="F6638" s="0" t="s">
        <x:v>45</x:v>
      </x:c>
      <x:c r="G6638" s="0" t="s">
        <x:v>19</x:v>
      </x:c>
      <x:c r="H6638" s="0" t="s">
        <x:v>20</x:v>
      </x:c>
      <x:c r="I6638" s="0" t="s">
        <x:v>21</x:v>
      </x:c>
      <x:c r="K6638" s="0">
        <x:f>hyperlink("https://icd.who.int/dev11/l-ichi/en#/http%3A%2F%2Fid.who.int%2Ficd%2Fentity%2F1048231696","browser")</x:f>
      </x:c>
      <x:c r="L6638" s="0">
        <x:f>hyperlink("https://icat2.azurewebsites.net/icat/?ontology=ICD&amp;tab=ClassesTab&amp;id=http%3A%2F%2Fwho.int%2Ficd%2339442_512ebf36_bf6b_4d70_85da_cf2637062af4","iCat")</x:f>
      </x:c>
      <x:c r="M6638" s="0" t="s">
        <x:v>21</x:v>
      </x:c>
      <x:c r="N6638" s="0" t="s">
        <x:v>46</x:v>
      </x:c>
    </x:row>
    <x:row r="6639" spans="1:16">
      <x:c r="A6639" s="0" t="s">
        <x:v>26412</x:v>
      </x:c>
      <x:c r="B6639" s="0" t="s">
        <x:v>26413</x:v>
      </x:c>
      <x:c r="C6639" s="0" t="s">
        <x:v>26414</x:v>
      </x:c>
      <x:c r="E6639" s="0" t="s">
        <x:v>26415</x:v>
      </x:c>
      <x:c r="F6639" s="0" t="s">
        <x:v>45</x:v>
      </x:c>
      <x:c r="G6639" s="0" t="s">
        <x:v>19</x:v>
      </x:c>
      <x:c r="H6639" s="0" t="s">
        <x:v>20</x:v>
      </x:c>
      <x:c r="I6639" s="0" t="s">
        <x:v>21</x:v>
      </x:c>
      <x:c r="K6639" s="0">
        <x:f>hyperlink("https://icd.who.int/dev11/l-ichi/en#/http%3A%2F%2Fid.who.int%2Ficd%2Fentity%2F1421814343","browser")</x:f>
      </x:c>
      <x:c r="L6639" s="0">
        <x:f>hyperlink("https://icat2.azurewebsites.net/icat/?ontology=ICD&amp;tab=ClassesTab&amp;id=http%3A%2F%2Fwho.int%2Ficd%2339452_512ebf36_bf6b_4d70_85da_cf2637062af4","iCat")</x:f>
      </x:c>
      <x:c r="M6639" s="0" t="s">
        <x:v>21</x:v>
      </x:c>
      <x:c r="N6639" s="0" t="s">
        <x:v>46</x:v>
      </x:c>
    </x:row>
    <x:row r="6640" spans="1:16">
      <x:c r="A6640" s="0" t="s">
        <x:v>26416</x:v>
      </x:c>
      <x:c r="B6640" s="0" t="s">
        <x:v>26417</x:v>
      </x:c>
      <x:c r="C6640" s="0" t="s">
        <x:v>26418</x:v>
      </x:c>
      <x:c r="E6640" s="0" t="s">
        <x:v>26419</x:v>
      </x:c>
      <x:c r="F6640" s="0" t="s">
        <x:v>45</x:v>
      </x:c>
      <x:c r="G6640" s="0" t="s">
        <x:v>19</x:v>
      </x:c>
      <x:c r="H6640" s="0" t="s">
        <x:v>20</x:v>
      </x:c>
      <x:c r="I6640" s="0" t="s">
        <x:v>21</x:v>
      </x:c>
      <x:c r="K6640" s="0">
        <x:f>hyperlink("https://icd.who.int/dev11/l-ichi/en#/http%3A%2F%2Fid.who.int%2Ficd%2Fentity%2F1606104299","browser")</x:f>
      </x:c>
      <x:c r="L6640" s="0">
        <x:f>hyperlink("https://icat2.azurewebsites.net/icat/?ontology=ICD&amp;tab=ClassesTab&amp;id=http%3A%2F%2Fwho.int%2Ficd%2339459_512ebf36_bf6b_4d70_85da_cf2637062af4","iCat")</x:f>
      </x:c>
      <x:c r="M6640" s="0" t="s">
        <x:v>21</x:v>
      </x:c>
      <x:c r="N6640" s="0" t="s">
        <x:v>46</x:v>
      </x:c>
    </x:row>
    <x:row r="6641" spans="1:16">
      <x:c r="A6641" s="0" t="s">
        <x:v>26420</x:v>
      </x:c>
      <x:c r="B6641" s="0" t="s">
        <x:v>26421</x:v>
      </x:c>
      <x:c r="C6641" s="0" t="s">
        <x:v>26422</x:v>
      </x:c>
      <x:c r="E6641" s="0" t="s">
        <x:v>26423</x:v>
      </x:c>
      <x:c r="F6641" s="0" t="s">
        <x:v>45</x:v>
      </x:c>
      <x:c r="G6641" s="0" t="s">
        <x:v>19</x:v>
      </x:c>
      <x:c r="H6641" s="0" t="s">
        <x:v>20</x:v>
      </x:c>
      <x:c r="I6641" s="0" t="s">
        <x:v>21</x:v>
      </x:c>
      <x:c r="K6641" s="0">
        <x:f>hyperlink("https://icd.who.int/dev11/l-ichi/en#/http%3A%2F%2Fid.who.int%2Ficd%2Fentity%2F554282548","browser")</x:f>
      </x:c>
      <x:c r="L6641" s="0">
        <x:f>hyperlink("https://icat2.azurewebsites.net/icat/?ontology=ICD&amp;tab=ClassesTab&amp;id=http%3A%2F%2Fwho.int%2Ficd%2339466_512ebf36_bf6b_4d70_85da_cf2637062af4","iCat")</x:f>
      </x:c>
      <x:c r="M6641" s="0" t="s">
        <x:v>21</x:v>
      </x:c>
      <x:c r="N6641" s="0" t="s">
        <x:v>46</x:v>
      </x:c>
    </x:row>
    <x:row r="6642" spans="1:16">
      <x:c r="A6642" s="0" t="s">
        <x:v>26424</x:v>
      </x:c>
      <x:c r="B6642" s="0" t="s">
        <x:v>26425</x:v>
      </x:c>
      <x:c r="C6642" s="0" t="s">
        <x:v>26426</x:v>
      </x:c>
      <x:c r="E6642" s="0" t="s">
        <x:v>26427</x:v>
      </x:c>
      <x:c r="F6642" s="0" t="s">
        <x:v>45</x:v>
      </x:c>
      <x:c r="G6642" s="0" t="s">
        <x:v>19</x:v>
      </x:c>
      <x:c r="H6642" s="0" t="s">
        <x:v>20</x:v>
      </x:c>
      <x:c r="I6642" s="0" t="s">
        <x:v>21</x:v>
      </x:c>
      <x:c r="K6642" s="0">
        <x:f>hyperlink("https://icd.who.int/dev11/l-ichi/en#/http%3A%2F%2Fid.who.int%2Ficd%2Fentity%2F1580371243","browser")</x:f>
      </x:c>
      <x:c r="L6642" s="0">
        <x:f>hyperlink("https://icat2.azurewebsites.net/icat/?ontology=ICD&amp;tab=ClassesTab&amp;id=http%3A%2F%2Fwho.int%2Ficd%2339473_512ebf36_bf6b_4d70_85da_cf2637062af4","iCat")</x:f>
      </x:c>
      <x:c r="M6642" s="0" t="s">
        <x:v>21</x:v>
      </x:c>
      <x:c r="N6642" s="0" t="s">
        <x:v>46</x:v>
      </x:c>
    </x:row>
    <x:row r="6643" spans="1:16">
      <x:c r="A6643" s="0" t="s">
        <x:v>26428</x:v>
      </x:c>
      <x:c r="B6643" s="0" t="s">
        <x:v>26429</x:v>
      </x:c>
      <x:c r="C6643" s="0" t="s">
        <x:v>26430</x:v>
      </x:c>
      <x:c r="E6643" s="0" t="s">
        <x:v>26431</x:v>
      </x:c>
      <x:c r="F6643" s="0" t="s">
        <x:v>45</x:v>
      </x:c>
      <x:c r="G6643" s="0" t="s">
        <x:v>19</x:v>
      </x:c>
      <x:c r="H6643" s="0" t="s">
        <x:v>20</x:v>
      </x:c>
      <x:c r="I6643" s="0" t="s">
        <x:v>21</x:v>
      </x:c>
      <x:c r="K6643" s="0">
        <x:f>hyperlink("https://icd.who.int/dev11/l-ichi/en#/http%3A%2F%2Fid.who.int%2Ficd%2Fentity%2F877701134","browser")</x:f>
      </x:c>
      <x:c r="L6643" s="0">
        <x:f>hyperlink("https://icat2.azurewebsites.net/icat/?ontology=ICD&amp;tab=ClassesTab&amp;id=http%3A%2F%2Fwho.int%2Ficd%2339480_512ebf36_bf6b_4d70_85da_cf2637062af4","iCat")</x:f>
      </x:c>
      <x:c r="M6643" s="0" t="s">
        <x:v>21</x:v>
      </x:c>
      <x:c r="N6643" s="0" t="s">
        <x:v>46</x:v>
      </x:c>
    </x:row>
    <x:row r="6644" spans="1:16">
      <x:c r="A6644" s="0" t="s">
        <x:v>26432</x:v>
      </x:c>
      <x:c r="B6644" s="0" t="s">
        <x:v>26433</x:v>
      </x:c>
      <x:c r="C6644" s="0" t="s">
        <x:v>26434</x:v>
      </x:c>
      <x:c r="E6644" s="0" t="s">
        <x:v>26435</x:v>
      </x:c>
      <x:c r="F6644" s="0" t="s">
        <x:v>45</x:v>
      </x:c>
      <x:c r="G6644" s="0" t="s">
        <x:v>19</x:v>
      </x:c>
      <x:c r="H6644" s="0" t="s">
        <x:v>20</x:v>
      </x:c>
      <x:c r="I6644" s="0" t="s">
        <x:v>21</x:v>
      </x:c>
      <x:c r="K6644" s="0">
        <x:f>hyperlink("https://icd.who.int/dev11/l-ichi/en#/http%3A%2F%2Fid.who.int%2Ficd%2Fentity%2F1154614145","browser")</x:f>
      </x:c>
      <x:c r="L6644" s="0">
        <x:f>hyperlink("https://icat2.azurewebsites.net/icat/?ontology=ICD&amp;tab=ClassesTab&amp;id=http%3A%2F%2Fwho.int%2Ficd%2339487_512ebf36_bf6b_4d70_85da_cf2637062af4","iCat")</x:f>
      </x:c>
      <x:c r="M6644" s="0" t="s">
        <x:v>21</x:v>
      </x:c>
      <x:c r="N6644" s="0" t="s">
        <x:v>46</x:v>
      </x:c>
    </x:row>
    <x:row r="6645" spans="1:16">
      <x:c r="A6645" s="0" t="s">
        <x:v>26436</x:v>
      </x:c>
      <x:c r="B6645" s="0" t="s">
        <x:v>26437</x:v>
      </x:c>
      <x:c r="C6645" s="0" t="s">
        <x:v>26438</x:v>
      </x:c>
      <x:c r="E6645" s="0" t="s">
        <x:v>26439</x:v>
      </x:c>
      <x:c r="F6645" s="0" t="s">
        <x:v>45</x:v>
      </x:c>
      <x:c r="G6645" s="0" t="s">
        <x:v>19</x:v>
      </x:c>
      <x:c r="H6645" s="0" t="s">
        <x:v>20</x:v>
      </x:c>
      <x:c r="I6645" s="0" t="s">
        <x:v>21</x:v>
      </x:c>
      <x:c r="K6645" s="0">
        <x:f>hyperlink("https://icd.who.int/dev11/l-ichi/en#/http%3A%2F%2Fid.who.int%2Ficd%2Fentity%2F1804794159","browser")</x:f>
      </x:c>
      <x:c r="L6645" s="0">
        <x:f>hyperlink("https://icat2.azurewebsites.net/icat/?ontology=ICD&amp;tab=ClassesTab&amp;id=http%3A%2F%2Fwho.int%2Ficd%2339494_512ebf36_bf6b_4d70_85da_cf2637062af4","iCat")</x:f>
      </x:c>
      <x:c r="M6645" s="0" t="s">
        <x:v>21</x:v>
      </x:c>
      <x:c r="N6645" s="0" t="s">
        <x:v>46</x:v>
      </x:c>
    </x:row>
    <x:row r="6646" spans="1:16">
      <x:c r="A6646" s="0" t="s">
        <x:v>26440</x:v>
      </x:c>
      <x:c r="B6646" s="0" t="s">
        <x:v>26441</x:v>
      </x:c>
      <x:c r="C6646" s="0" t="s">
        <x:v>26442</x:v>
      </x:c>
      <x:c r="E6646" s="0" t="s">
        <x:v>26443</x:v>
      </x:c>
      <x:c r="F6646" s="0" t="s">
        <x:v>45</x:v>
      </x:c>
      <x:c r="G6646" s="0" t="s">
        <x:v>19</x:v>
      </x:c>
      <x:c r="H6646" s="0" t="s">
        <x:v>20</x:v>
      </x:c>
      <x:c r="I6646" s="0" t="s">
        <x:v>21</x:v>
      </x:c>
      <x:c r="K6646" s="0">
        <x:f>hyperlink("https://icd.who.int/dev11/l-ichi/en#/http%3A%2F%2Fid.who.int%2Ficd%2Fentity%2F461068462","browser")</x:f>
      </x:c>
      <x:c r="L6646" s="0">
        <x:f>hyperlink("https://icat2.azurewebsites.net/icat/?ontology=ICD&amp;tab=ClassesTab&amp;id=http%3A%2F%2Fwho.int%2Ficd%2339503_512ebf36_bf6b_4d70_85da_cf2637062af4","iCat")</x:f>
      </x:c>
      <x:c r="M6646" s="0" t="s">
        <x:v>21</x:v>
      </x:c>
      <x:c r="N6646" s="0" t="s">
        <x:v>46</x:v>
      </x:c>
    </x:row>
    <x:row r="6647" spans="1:16">
      <x:c r="A6647" s="0" t="s">
        <x:v>26444</x:v>
      </x:c>
      <x:c r="B6647" s="0" t="s">
        <x:v>26445</x:v>
      </x:c>
      <x:c r="C6647" s="0" t="s">
        <x:v>26446</x:v>
      </x:c>
      <x:c r="E6647" s="0" t="s">
        <x:v>26447</x:v>
      </x:c>
      <x:c r="F6647" s="0" t="s">
        <x:v>45</x:v>
      </x:c>
      <x:c r="G6647" s="0" t="s">
        <x:v>19</x:v>
      </x:c>
      <x:c r="H6647" s="0" t="s">
        <x:v>20</x:v>
      </x:c>
      <x:c r="I6647" s="0" t="s">
        <x:v>21</x:v>
      </x:c>
      <x:c r="K6647" s="0">
        <x:f>hyperlink("https://icd.who.int/dev11/l-ichi/en#/http%3A%2F%2Fid.who.int%2Ficd%2Fentity%2F876323330","browser")</x:f>
      </x:c>
      <x:c r="L6647" s="0">
        <x:f>hyperlink("https://icat2.azurewebsites.net/icat/?ontology=ICD&amp;tab=ClassesTab&amp;id=http%3A%2F%2Fwho.int%2Ficd%2339510_512ebf36_bf6b_4d70_85da_cf2637062af4","iCat")</x:f>
      </x:c>
      <x:c r="M6647" s="0" t="s">
        <x:v>21</x:v>
      </x:c>
      <x:c r="N6647" s="0" t="s">
        <x:v>46</x:v>
      </x:c>
    </x:row>
    <x:row r="6648" spans="1:16">
      <x:c r="A6648" s="0" t="s">
        <x:v>26448</x:v>
      </x:c>
      <x:c r="B6648" s="0" t="s">
        <x:v>26449</x:v>
      </x:c>
      <x:c r="C6648" s="0" t="s">
        <x:v>26450</x:v>
      </x:c>
      <x:c r="E6648" s="0" t="s">
        <x:v>26451</x:v>
      </x:c>
      <x:c r="F6648" s="0" t="s">
        <x:v>45</x:v>
      </x:c>
      <x:c r="G6648" s="0" t="s">
        <x:v>19</x:v>
      </x:c>
      <x:c r="H6648" s="0" t="s">
        <x:v>20</x:v>
      </x:c>
      <x:c r="I6648" s="0" t="s">
        <x:v>21</x:v>
      </x:c>
      <x:c r="K6648" s="0">
        <x:f>hyperlink("https://icd.who.int/dev11/l-ichi/en#/http%3A%2F%2Fid.who.int%2Ficd%2Fentity%2F1152977295","browser")</x:f>
      </x:c>
      <x:c r="L6648" s="0">
        <x:f>hyperlink("https://icat2.azurewebsites.net/icat/?ontology=ICD&amp;tab=ClassesTab&amp;id=http%3A%2F%2Fwho.int%2Ficd%2339517_512ebf36_bf6b_4d70_85da_cf2637062af4","iCat")</x:f>
      </x:c>
      <x:c r="M6648" s="0" t="s">
        <x:v>21</x:v>
      </x:c>
      <x:c r="N6648" s="0" t="s">
        <x:v>46</x:v>
      </x:c>
    </x:row>
    <x:row r="6649" spans="1:16">
      <x:c r="A6649" s="0" t="s">
        <x:v>26452</x:v>
      </x:c>
      <x:c r="B6649" s="0" t="s">
        <x:v>26453</x:v>
      </x:c>
      <x:c r="C6649" s="0" t="s">
        <x:v>26454</x:v>
      </x:c>
      <x:c r="E6649" s="0" t="s">
        <x:v>26455</x:v>
      </x:c>
      <x:c r="F6649" s="0" t="s">
        <x:v>45</x:v>
      </x:c>
      <x:c r="G6649" s="0" t="s">
        <x:v>19</x:v>
      </x:c>
      <x:c r="H6649" s="0" t="s">
        <x:v>20</x:v>
      </x:c>
      <x:c r="I6649" s="0" t="s">
        <x:v>21</x:v>
      </x:c>
      <x:c r="K6649" s="0">
        <x:f>hyperlink("https://icd.who.int/dev11/l-ichi/en#/http%3A%2F%2Fid.who.int%2Ficd%2Fentity%2F1099769457","browser")</x:f>
      </x:c>
      <x:c r="L6649" s="0">
        <x:f>hyperlink("https://icat2.azurewebsites.net/icat/?ontology=ICD&amp;tab=ClassesTab&amp;id=http%3A%2F%2Fwho.int%2Ficd%2339524_512ebf36_bf6b_4d70_85da_cf2637062af4","iCat")</x:f>
      </x:c>
      <x:c r="M6649" s="0" t="s">
        <x:v>21</x:v>
      </x:c>
      <x:c r="N6649" s="0" t="s">
        <x:v>46</x:v>
      </x:c>
    </x:row>
    <x:row r="6650" spans="1:16">
      <x:c r="A6650" s="0" t="s">
        <x:v>26456</x:v>
      </x:c>
      <x:c r="B6650" s="0" t="s">
        <x:v>26457</x:v>
      </x:c>
      <x:c r="C6650" s="0" t="s">
        <x:v>26458</x:v>
      </x:c>
      <x:c r="E6650" s="0" t="s">
        <x:v>26459</x:v>
      </x:c>
      <x:c r="F6650" s="0" t="s">
        <x:v>45</x:v>
      </x:c>
      <x:c r="G6650" s="0" t="s">
        <x:v>19</x:v>
      </x:c>
      <x:c r="H6650" s="0" t="s">
        <x:v>20</x:v>
      </x:c>
      <x:c r="I6650" s="0" t="s">
        <x:v>21</x:v>
      </x:c>
      <x:c r="K6650" s="0">
        <x:f>hyperlink("https://icd.who.int/dev11/l-ichi/en#/http%3A%2F%2Fid.who.int%2Ficd%2Fentity%2F1052116334","browser")</x:f>
      </x:c>
      <x:c r="L6650" s="0">
        <x:f>hyperlink("https://icat2.azurewebsites.net/icat/?ontology=ICD&amp;tab=ClassesTab&amp;id=http%3A%2F%2Fwho.int%2Ficd%2339531_512ebf36_bf6b_4d70_85da_cf2637062af4","iCat")</x:f>
      </x:c>
      <x:c r="M6650" s="0" t="s">
        <x:v>21</x:v>
      </x:c>
      <x:c r="N6650" s="0" t="s">
        <x:v>46</x:v>
      </x:c>
    </x:row>
    <x:row r="6651" spans="1:16">
      <x:c r="A6651" s="0" t="s">
        <x:v>26460</x:v>
      </x:c>
      <x:c r="B6651" s="0" t="s">
        <x:v>26461</x:v>
      </x:c>
      <x:c r="C6651" s="0" t="s">
        <x:v>26462</x:v>
      </x:c>
      <x:c r="E6651" s="0" t="s">
        <x:v>26463</x:v>
      </x:c>
      <x:c r="F6651" s="0" t="s">
        <x:v>45</x:v>
      </x:c>
      <x:c r="G6651" s="0" t="s">
        <x:v>19</x:v>
      </x:c>
      <x:c r="H6651" s="0" t="s">
        <x:v>20</x:v>
      </x:c>
      <x:c r="I6651" s="0" t="s">
        <x:v>21</x:v>
      </x:c>
      <x:c r="K6651" s="0">
        <x:f>hyperlink("https://icd.who.int/dev11/l-ichi/en#/http%3A%2F%2Fid.who.int%2Ficd%2Fentity%2F1355679239","browser")</x:f>
      </x:c>
      <x:c r="L6651" s="0">
        <x:f>hyperlink("https://icat2.azurewebsites.net/icat/?ontology=ICD&amp;tab=ClassesTab&amp;id=http%3A%2F%2Fwho.int%2Ficd%2339538_512ebf36_bf6b_4d70_85da_cf2637062af4","iCat")</x:f>
      </x:c>
      <x:c r="M6651" s="0" t="s">
        <x:v>21</x:v>
      </x:c>
      <x:c r="N6651" s="0" t="s">
        <x:v>46</x:v>
      </x:c>
    </x:row>
    <x:row r="6652" spans="1:16">
      <x:c r="A6652" s="0" t="s">
        <x:v>26464</x:v>
      </x:c>
      <x:c r="B6652" s="0" t="s">
        <x:v>26465</x:v>
      </x:c>
      <x:c r="C6652" s="0" t="s">
        <x:v>26466</x:v>
      </x:c>
      <x:c r="E6652" s="0" t="s">
        <x:v>26467</x:v>
      </x:c>
      <x:c r="F6652" s="0" t="s">
        <x:v>45</x:v>
      </x:c>
      <x:c r="G6652" s="0" t="s">
        <x:v>19</x:v>
      </x:c>
      <x:c r="H6652" s="0" t="s">
        <x:v>20</x:v>
      </x:c>
      <x:c r="I6652" s="0" t="s">
        <x:v>21</x:v>
      </x:c>
      <x:c r="K6652" s="0">
        <x:f>hyperlink("https://icd.who.int/dev11/l-ichi/en#/http%3A%2F%2Fid.who.int%2Ficd%2Fentity%2F996659712","browser")</x:f>
      </x:c>
      <x:c r="L6652" s="0">
        <x:f>hyperlink("https://icat2.azurewebsites.net/icat/?ontology=ICD&amp;tab=ClassesTab&amp;id=http%3A%2F%2Fwho.int%2Ficd%2339545_512ebf36_bf6b_4d70_85da_cf2637062af4","iCat")</x:f>
      </x:c>
      <x:c r="M6652" s="0" t="s">
        <x:v>21</x:v>
      </x:c>
      <x:c r="N6652" s="0" t="s">
        <x:v>46</x:v>
      </x:c>
    </x:row>
    <x:row r="6653" spans="1:16">
      <x:c r="A6653" s="0" t="s">
        <x:v>26468</x:v>
      </x:c>
      <x:c r="B6653" s="0" t="s">
        <x:v>26469</x:v>
      </x:c>
      <x:c r="C6653" s="0" t="s">
        <x:v>26470</x:v>
      </x:c>
      <x:c r="E6653" s="0" t="s">
        <x:v>26471</x:v>
      </x:c>
      <x:c r="F6653" s="0" t="s">
        <x:v>45</x:v>
      </x:c>
      <x:c r="G6653" s="0" t="s">
        <x:v>19</x:v>
      </x:c>
      <x:c r="H6653" s="0" t="s">
        <x:v>20</x:v>
      </x:c>
      <x:c r="I6653" s="0" t="s">
        <x:v>21</x:v>
      </x:c>
      <x:c r="K6653" s="0">
        <x:f>hyperlink("https://icd.who.int/dev11/l-ichi/en#/http%3A%2F%2Fid.who.int%2Ficd%2Fentity%2F555805914","browser")</x:f>
      </x:c>
      <x:c r="L6653" s="0">
        <x:f>hyperlink("https://icat2.azurewebsites.net/icat/?ontology=ICD&amp;tab=ClassesTab&amp;id=http%3A%2F%2Fwho.int%2Ficd%2339552_512ebf36_bf6b_4d70_85da_cf2637062af4","iCat")</x:f>
      </x:c>
      <x:c r="M6653" s="0" t="s">
        <x:v>21</x:v>
      </x:c>
      <x:c r="N6653" s="0" t="s">
        <x:v>46</x:v>
      </x:c>
    </x:row>
    <x:row r="6654" spans="1:16">
      <x:c r="A6654" s="0" t="s">
        <x:v>26472</x:v>
      </x:c>
      <x:c r="B6654" s="0" t="s">
        <x:v>26473</x:v>
      </x:c>
      <x:c r="C6654" s="0" t="s">
        <x:v>26474</x:v>
      </x:c>
      <x:c r="E6654" s="0" t="s">
        <x:v>26475</x:v>
      </x:c>
      <x:c r="F6654" s="0" t="s">
        <x:v>45</x:v>
      </x:c>
      <x:c r="G6654" s="0" t="s">
        <x:v>19</x:v>
      </x:c>
      <x:c r="H6654" s="0" t="s">
        <x:v>20</x:v>
      </x:c>
      <x:c r="I6654" s="0" t="s">
        <x:v>21</x:v>
      </x:c>
      <x:c r="K6654" s="0">
        <x:f>hyperlink("https://icd.who.int/dev11/l-ichi/en#/http%3A%2F%2Fid.who.int%2Ficd%2Fentity%2F82686234","browser")</x:f>
      </x:c>
      <x:c r="L6654" s="0">
        <x:f>hyperlink("https://icat2.azurewebsites.net/icat/?ontology=ICD&amp;tab=ClassesTab&amp;id=http%3A%2F%2Fwho.int%2Ficd%2339560_512ebf36_bf6b_4d70_85da_cf2637062af4","iCat")</x:f>
      </x:c>
      <x:c r="M6654" s="0" t="s">
        <x:v>21</x:v>
      </x:c>
      <x:c r="N6654" s="0" t="s">
        <x:v>46</x:v>
      </x:c>
    </x:row>
    <x:row r="6655" spans="1:16">
      <x:c r="A6655" s="0" t="s">
        <x:v>26476</x:v>
      </x:c>
      <x:c r="B6655" s="0" t="s">
        <x:v>26477</x:v>
      </x:c>
      <x:c r="C6655" s="0" t="s">
        <x:v>26478</x:v>
      </x:c>
      <x:c r="E6655" s="0" t="s">
        <x:v>26479</x:v>
      </x:c>
      <x:c r="F6655" s="0" t="s">
        <x:v>45</x:v>
      </x:c>
      <x:c r="G6655" s="0" t="s">
        <x:v>19</x:v>
      </x:c>
      <x:c r="H6655" s="0" t="s">
        <x:v>20</x:v>
      </x:c>
      <x:c r="I6655" s="0" t="s">
        <x:v>21</x:v>
      </x:c>
      <x:c r="K6655" s="0">
        <x:f>hyperlink("https://icd.who.int/dev11/l-ichi/en#/http%3A%2F%2Fid.who.int%2Ficd%2Fentity%2F1953438357","browser")</x:f>
      </x:c>
      <x:c r="L6655" s="0">
        <x:f>hyperlink("https://icat2.azurewebsites.net/icat/?ontology=ICD&amp;tab=ClassesTab&amp;id=http%3A%2F%2Fwho.int%2Ficd%2339567_512ebf36_bf6b_4d70_85da_cf2637062af4","iCat")</x:f>
      </x:c>
      <x:c r="M6655" s="0" t="s">
        <x:v>21</x:v>
      </x:c>
      <x:c r="N6655" s="0" t="s">
        <x:v>46</x:v>
      </x:c>
    </x:row>
    <x:row r="6656" spans="1:16">
      <x:c r="A6656" s="0" t="s">
        <x:v>26480</x:v>
      </x:c>
      <x:c r="B6656" s="0" t="s">
        <x:v>26481</x:v>
      </x:c>
      <x:c r="C6656" s="0" t="s">
        <x:v>26482</x:v>
      </x:c>
      <x:c r="E6656" s="0" t="s">
        <x:v>26483</x:v>
      </x:c>
      <x:c r="F6656" s="0" t="s">
        <x:v>45</x:v>
      </x:c>
      <x:c r="G6656" s="0" t="s">
        <x:v>19</x:v>
      </x:c>
      <x:c r="H6656" s="0" t="s">
        <x:v>20</x:v>
      </x:c>
      <x:c r="I6656" s="0" t="s">
        <x:v>21</x:v>
      </x:c>
      <x:c r="K6656" s="0">
        <x:f>hyperlink("https://icd.who.int/dev11/l-ichi/en#/http%3A%2F%2Fid.who.int%2Ficd%2Fentity%2F1529864251","browser")</x:f>
      </x:c>
      <x:c r="L6656" s="0">
        <x:f>hyperlink("https://icat2.azurewebsites.net/icat/?ontology=ICD&amp;tab=ClassesTab&amp;id=http%3A%2F%2Fwho.int%2Ficd%2339574_512ebf36_bf6b_4d70_85da_cf2637062af4","iCat")</x:f>
      </x:c>
      <x:c r="M6656" s="0" t="s">
        <x:v>21</x:v>
      </x:c>
      <x:c r="N6656" s="0" t="s">
        <x:v>46</x:v>
      </x:c>
    </x:row>
    <x:row r="6657" spans="1:16">
      <x:c r="A6657" s="0" t="s">
        <x:v>26484</x:v>
      </x:c>
      <x:c r="B6657" s="0" t="s">
        <x:v>26485</x:v>
      </x:c>
      <x:c r="C6657" s="0" t="s">
        <x:v>26486</x:v>
      </x:c>
      <x:c r="E6657" s="0" t="s">
        <x:v>26487</x:v>
      </x:c>
      <x:c r="F6657" s="0" t="s">
        <x:v>45</x:v>
      </x:c>
      <x:c r="G6657" s="0" t="s">
        <x:v>19</x:v>
      </x:c>
      <x:c r="H6657" s="0" t="s">
        <x:v>20</x:v>
      </x:c>
      <x:c r="I6657" s="0" t="s">
        <x:v>21</x:v>
      </x:c>
      <x:c r="K6657" s="0">
        <x:f>hyperlink("https://icd.who.int/dev11/l-ichi/en#/http%3A%2F%2Fid.who.int%2Ficd%2Fentity%2F1630936237","browser")</x:f>
      </x:c>
      <x:c r="L6657" s="0">
        <x:f>hyperlink("https://icat2.azurewebsites.net/icat/?ontology=ICD&amp;tab=ClassesTab&amp;id=http%3A%2F%2Fwho.int%2Ficd%2339581_512ebf36_bf6b_4d70_85da_cf2637062af4","iCat")</x:f>
      </x:c>
      <x:c r="M6657" s="0" t="s">
        <x:v>21</x:v>
      </x:c>
      <x:c r="N6657" s="0" t="s">
        <x:v>46</x:v>
      </x:c>
    </x:row>
    <x:row r="6658" spans="1:16">
      <x:c r="A6658" s="0" t="s">
        <x:v>26488</x:v>
      </x:c>
      <x:c r="B6658" s="0" t="s">
        <x:v>26489</x:v>
      </x:c>
      <x:c r="C6658" s="0" t="s">
        <x:v>26490</x:v>
      </x:c>
      <x:c r="E6658" s="0" t="s">
        <x:v>26491</x:v>
      </x:c>
      <x:c r="F6658" s="0" t="s">
        <x:v>45</x:v>
      </x:c>
      <x:c r="G6658" s="0" t="s">
        <x:v>19</x:v>
      </x:c>
      <x:c r="H6658" s="0" t="s">
        <x:v>20</x:v>
      </x:c>
      <x:c r="I6658" s="0" t="s">
        <x:v>21</x:v>
      </x:c>
      <x:c r="K6658" s="0">
        <x:f>hyperlink("https://icd.who.int/dev11/l-ichi/en#/http%3A%2F%2Fid.who.int%2Ficd%2Fentity%2F256778182","browser")</x:f>
      </x:c>
      <x:c r="L6658" s="0">
        <x:f>hyperlink("https://icat2.azurewebsites.net/icat/?ontology=ICD&amp;tab=ClassesTab&amp;id=http%3A%2F%2Fwho.int%2Ficd%2339588_512ebf36_bf6b_4d70_85da_cf2637062af4","iCat")</x:f>
      </x:c>
      <x:c r="M6658" s="0" t="s">
        <x:v>21</x:v>
      </x:c>
      <x:c r="N6658" s="0" t="s">
        <x:v>46</x:v>
      </x:c>
    </x:row>
    <x:row r="6659" spans="1:16">
      <x:c r="A6659" s="0" t="s">
        <x:v>26492</x:v>
      </x:c>
      <x:c r="B6659" s="0" t="s">
        <x:v>26493</x:v>
      </x:c>
      <x:c r="C6659" s="0" t="s">
        <x:v>26494</x:v>
      </x:c>
      <x:c r="E6659" s="0" t="s">
        <x:v>26495</x:v>
      </x:c>
      <x:c r="F6659" s="0" t="s">
        <x:v>45</x:v>
      </x:c>
      <x:c r="G6659" s="0" t="s">
        <x:v>19</x:v>
      </x:c>
      <x:c r="H6659" s="0" t="s">
        <x:v>20</x:v>
      </x:c>
      <x:c r="I6659" s="0" t="s">
        <x:v>21</x:v>
      </x:c>
      <x:c r="K6659" s="0">
        <x:f>hyperlink("https://icd.who.int/dev11/l-ichi/en#/http%3A%2F%2Fid.who.int%2Ficd%2Fentity%2F1056198032","browser")</x:f>
      </x:c>
      <x:c r="L6659" s="0">
        <x:f>hyperlink("https://icat2.azurewebsites.net/icat/?ontology=ICD&amp;tab=ClassesTab&amp;id=http%3A%2F%2Fwho.int%2Ficd%2339595_512ebf36_bf6b_4d70_85da_cf2637062af4","iCat")</x:f>
      </x:c>
      <x:c r="M6659" s="0" t="s">
        <x:v>21</x:v>
      </x:c>
      <x:c r="N6659" s="0" t="s">
        <x:v>46</x:v>
      </x:c>
    </x:row>
    <x:row r="6660" spans="1:16">
      <x:c r="A6660" s="0" t="s">
        <x:v>26496</x:v>
      </x:c>
      <x:c r="B6660" s="0" t="s">
        <x:v>26497</x:v>
      </x:c>
      <x:c r="C6660" s="0" t="s">
        <x:v>26498</x:v>
      </x:c>
      <x:c r="E6660" s="0" t="s">
        <x:v>26499</x:v>
      </x:c>
      <x:c r="F6660" s="0" t="s">
        <x:v>45</x:v>
      </x:c>
      <x:c r="G6660" s="0" t="s">
        <x:v>19</x:v>
      </x:c>
      <x:c r="H6660" s="0" t="s">
        <x:v>20</x:v>
      </x:c>
      <x:c r="I6660" s="0" t="s">
        <x:v>21</x:v>
      </x:c>
      <x:c r="K6660" s="0">
        <x:f>hyperlink("https://icd.who.int/dev11/l-ichi/en#/http%3A%2F%2Fid.who.int%2Ficd%2Fentity%2F1524473545","browser")</x:f>
      </x:c>
      <x:c r="L6660" s="0">
        <x:f>hyperlink("https://icat2.azurewebsites.net/icat/?ontology=ICD&amp;tab=ClassesTab&amp;id=http%3A%2F%2Fwho.int%2Ficd%2339602_512ebf36_bf6b_4d70_85da_cf2637062af4","iCat")</x:f>
      </x:c>
      <x:c r="M6660" s="0" t="s">
        <x:v>21</x:v>
      </x:c>
      <x:c r="N6660" s="0" t="s">
        <x:v>46</x:v>
      </x:c>
    </x:row>
    <x:row r="6661" spans="1:16">
      <x:c r="A6661" s="0" t="s">
        <x:v>26500</x:v>
      </x:c>
      <x:c r="B6661" s="0" t="s">
        <x:v>26501</x:v>
      </x:c>
      <x:c r="C6661" s="0" t="s">
        <x:v>26502</x:v>
      </x:c>
      <x:c r="E6661" s="0" t="s">
        <x:v>26503</x:v>
      </x:c>
      <x:c r="F6661" s="0" t="s">
        <x:v>45</x:v>
      </x:c>
      <x:c r="G6661" s="0" t="s">
        <x:v>19</x:v>
      </x:c>
      <x:c r="H6661" s="0" t="s">
        <x:v>20</x:v>
      </x:c>
      <x:c r="I6661" s="0" t="s">
        <x:v>21</x:v>
      </x:c>
      <x:c r="K6661" s="0">
        <x:f>hyperlink("https://icd.who.int/dev11/l-ichi/en#/http%3A%2F%2Fid.who.int%2Ficd%2Fentity%2F1373208677","browser")</x:f>
      </x:c>
      <x:c r="L6661" s="0">
        <x:f>hyperlink("https://icat2.azurewebsites.net/icat/?ontology=ICD&amp;tab=ClassesTab&amp;id=http%3A%2F%2Fwho.int%2Ficd%2339609_512ebf36_bf6b_4d70_85da_cf2637062af4","iCat")</x:f>
      </x:c>
      <x:c r="M6661" s="0" t="s">
        <x:v>21</x:v>
      </x:c>
      <x:c r="N6661" s="0" t="s">
        <x:v>46</x:v>
      </x:c>
    </x:row>
    <x:row r="6662" spans="1:16">
      <x:c r="A6662" s="0" t="s">
        <x:v>26504</x:v>
      </x:c>
      <x:c r="B6662" s="0" t="s">
        <x:v>26505</x:v>
      </x:c>
      <x:c r="C6662" s="0" t="s">
        <x:v>26506</x:v>
      </x:c>
      <x:c r="E6662" s="0" t="s">
        <x:v>26507</x:v>
      </x:c>
      <x:c r="F6662" s="0" t="s">
        <x:v>45</x:v>
      </x:c>
      <x:c r="G6662" s="0" t="s">
        <x:v>19</x:v>
      </x:c>
      <x:c r="H6662" s="0" t="s">
        <x:v>20</x:v>
      </x:c>
      <x:c r="I6662" s="0" t="s">
        <x:v>21</x:v>
      </x:c>
      <x:c r="K6662" s="0">
        <x:f>hyperlink("https://icd.who.int/dev11/l-ichi/en#/http%3A%2F%2Fid.who.int%2Ficd%2Fentity%2F65841077","browser")</x:f>
      </x:c>
      <x:c r="L6662" s="0">
        <x:f>hyperlink("https://icat2.azurewebsites.net/icat/?ontology=ICD&amp;tab=ClassesTab&amp;id=http%3A%2F%2Fwho.int%2Ficd%23775_2458c621_13a9_4018_84d7_a04ee4f7aacc","iCat")</x:f>
      </x:c>
      <x:c r="M6662" s="0" t="s">
        <x:v>21</x:v>
      </x:c>
      <x:c r="N6662" s="0" t="s">
        <x:v>46</x:v>
      </x:c>
    </x:row>
    <x:row r="6663" spans="1:16">
      <x:c r="A6663" s="0" t="s">
        <x:v>26508</x:v>
      </x:c>
      <x:c r="B6663" s="0" t="s">
        <x:v>26509</x:v>
      </x:c>
      <x:c r="C6663" s="0" t="s">
        <x:v>26510</x:v>
      </x:c>
      <x:c r="E6663" s="0" t="s">
        <x:v>26511</x:v>
      </x:c>
      <x:c r="F6663" s="0" t="s">
        <x:v>45</x:v>
      </x:c>
      <x:c r="G6663" s="0" t="s">
        <x:v>19</x:v>
      </x:c>
      <x:c r="H6663" s="0" t="s">
        <x:v>20</x:v>
      </x:c>
      <x:c r="I6663" s="0" t="s">
        <x:v>21</x:v>
      </x:c>
      <x:c r="K6663" s="0">
        <x:f>hyperlink("https://icd.who.int/dev11/l-ichi/en#/http%3A%2F%2Fid.who.int%2Ficd%2Fentity%2F85970922","browser")</x:f>
      </x:c>
      <x:c r="L6663" s="0">
        <x:f>hyperlink("https://icat2.azurewebsites.net/icat/?ontology=ICD&amp;tab=ClassesTab&amp;id=http%3A%2F%2Fwho.int%2Ficd%2339616_512ebf36_bf6b_4d70_85da_cf2637062af4","iCat")</x:f>
      </x:c>
      <x:c r="M6663" s="0" t="s">
        <x:v>21</x:v>
      </x:c>
      <x:c r="N6663" s="0" t="s">
        <x:v>46</x:v>
      </x:c>
    </x:row>
    <x:row r="6664" spans="1:16">
      <x:c r="A6664" s="0" t="s">
        <x:v>26512</x:v>
      </x:c>
      <x:c r="B6664" s="0" t="s">
        <x:v>26513</x:v>
      </x:c>
      <x:c r="D6664" s="0" t="s">
        <x:v>26514</x:v>
      </x:c>
      <x:c r="E6664" s="0" t="s">
        <x:v>26515</x:v>
      </x:c>
      <x:c r="F6664" s="0" t="s">
        <x:v>26</x:v>
      </x:c>
      <x:c r="G6664" s="0" t="s">
        <x:v>35</x:v>
      </x:c>
      <x:c r="H6664" s="0" t="s">
        <x:v>20</x:v>
      </x:c>
      <x:c r="I6664" s="0" t="s">
        <x:v>21</x:v>
      </x:c>
      <x:c r="K6664" s="0">
        <x:f>hyperlink("https://icd.who.int/dev11/l-ichi/en#/http%3A%2F%2Fid.who.int%2Ficd%2Fentity%2F550670890","browser")</x:f>
      </x:c>
      <x:c r="L6664" s="0">
        <x:f>hyperlink("https://icat2.azurewebsites.net/icat/?ontology=ICD&amp;tab=ClassesTab&amp;id=http%3A%2F%2Fwho.int%2Ficd%2339624_512ebf36_bf6b_4d70_85da_cf2637062af4","iCat")</x:f>
      </x:c>
      <x:c r="M6664" s="0" t="s">
        <x:v>20</x:v>
      </x:c>
      <x:c r="N6664" s="0" t="s">
        <x:v>26516</x:v>
      </x:c>
    </x:row>
    <x:row r="6665" spans="1:16">
      <x:c r="A6665" s="0" t="s">
        <x:v>26517</x:v>
      </x:c>
      <x:c r="B6665" s="0" t="s">
        <x:v>26518</x:v>
      </x:c>
      <x:c r="C6665" s="0" t="s">
        <x:v>26519</x:v>
      </x:c>
      <x:c r="E6665" s="0" t="s">
        <x:v>26520</x:v>
      </x:c>
      <x:c r="F6665" s="0" t="s">
        <x:v>45</x:v>
      </x:c>
      <x:c r="G6665" s="0" t="s">
        <x:v>19</x:v>
      </x:c>
      <x:c r="H6665" s="0" t="s">
        <x:v>20</x:v>
      </x:c>
      <x:c r="I6665" s="0" t="s">
        <x:v>21</x:v>
      </x:c>
      <x:c r="K6665" s="0">
        <x:f>hyperlink("https://icd.who.int/dev11/l-ichi/en#/http%3A%2F%2Fid.who.int%2Ficd%2Fentity%2F1347434917","browser")</x:f>
      </x:c>
      <x:c r="L6665" s="0">
        <x:f>hyperlink("https://icat2.azurewebsites.net/icat/?ontology=ICD&amp;tab=ClassesTab&amp;id=http%3A%2F%2Fwho.int%2Ficd%2339623_512ebf36_bf6b_4d70_85da_cf2637062af4","iCat")</x:f>
      </x:c>
      <x:c r="M6665" s="0" t="s">
        <x:v>21</x:v>
      </x:c>
      <x:c r="N6665" s="0" t="s">
        <x:v>46</x:v>
      </x:c>
    </x:row>
    <x:row r="6666" spans="1:16">
      <x:c r="A6666" s="0" t="s">
        <x:v>26521</x:v>
      </x:c>
      <x:c r="B6666" s="0" t="s">
        <x:v>26522</x:v>
      </x:c>
      <x:c r="C6666" s="0" t="s">
        <x:v>26523</x:v>
      </x:c>
      <x:c r="E6666" s="0" t="s">
        <x:v>26524</x:v>
      </x:c>
      <x:c r="F6666" s="0" t="s">
        <x:v>45</x:v>
      </x:c>
      <x:c r="G6666" s="0" t="s">
        <x:v>19</x:v>
      </x:c>
      <x:c r="H6666" s="0" t="s">
        <x:v>20</x:v>
      </x:c>
      <x:c r="I6666" s="0" t="s">
        <x:v>21</x:v>
      </x:c>
      <x:c r="K6666" s="0">
        <x:f>hyperlink("https://icd.who.int/dev11/l-ichi/en#/http%3A%2F%2Fid.who.int%2Ficd%2Fentity%2F795548348","browser")</x:f>
      </x:c>
      <x:c r="L6666" s="0">
        <x:f>hyperlink("https://icat2.azurewebsites.net/icat/?ontology=ICD&amp;tab=ClassesTab&amp;id=http%3A%2F%2Fwho.int%2Ficd%2339636_512ebf36_bf6b_4d70_85da_cf2637062af4","iCat")</x:f>
      </x:c>
      <x:c r="M6666" s="0" t="s">
        <x:v>21</x:v>
      </x:c>
      <x:c r="N6666" s="0" t="s">
        <x:v>46</x:v>
      </x:c>
    </x:row>
    <x:row r="6667" spans="1:16">
      <x:c r="A6667" s="0" t="s">
        <x:v>26525</x:v>
      </x:c>
      <x:c r="B6667" s="0" t="s">
        <x:v>26526</x:v>
      </x:c>
      <x:c r="C6667" s="0" t="s">
        <x:v>26527</x:v>
      </x:c>
      <x:c r="E6667" s="0" t="s">
        <x:v>26528</x:v>
      </x:c>
      <x:c r="F6667" s="0" t="s">
        <x:v>45</x:v>
      </x:c>
      <x:c r="G6667" s="0" t="s">
        <x:v>19</x:v>
      </x:c>
      <x:c r="H6667" s="0" t="s">
        <x:v>20</x:v>
      </x:c>
      <x:c r="I6667" s="0" t="s">
        <x:v>21</x:v>
      </x:c>
      <x:c r="K6667" s="0">
        <x:f>hyperlink("https://icd.who.int/dev11/l-ichi/en#/http%3A%2F%2Fid.who.int%2Ficd%2Fentity%2F172212200","browser")</x:f>
      </x:c>
      <x:c r="L6667" s="0">
        <x:f>hyperlink("https://icat2.azurewebsites.net/icat/?ontology=ICD&amp;tab=ClassesTab&amp;id=http%3A%2F%2Fwho.int%2Ficd%2339643_512ebf36_bf6b_4d70_85da_cf2637062af4","iCat")</x:f>
      </x:c>
      <x:c r="M6667" s="0" t="s">
        <x:v>21</x:v>
      </x:c>
      <x:c r="N6667" s="0" t="s">
        <x:v>46</x:v>
      </x:c>
    </x:row>
    <x:row r="6668" spans="1:16">
      <x:c r="A6668" s="0" t="s">
        <x:v>26529</x:v>
      </x:c>
      <x:c r="B6668" s="0" t="s">
        <x:v>26530</x:v>
      </x:c>
      <x:c r="C6668" s="0" t="s">
        <x:v>26531</x:v>
      </x:c>
      <x:c r="E6668" s="0" t="s">
        <x:v>26532</x:v>
      </x:c>
      <x:c r="F6668" s="0" t="s">
        <x:v>45</x:v>
      </x:c>
      <x:c r="G6668" s="0" t="s">
        <x:v>19</x:v>
      </x:c>
      <x:c r="H6668" s="0" t="s">
        <x:v>20</x:v>
      </x:c>
      <x:c r="I6668" s="0" t="s">
        <x:v>21</x:v>
      </x:c>
      <x:c r="K6668" s="0">
        <x:f>hyperlink("https://icd.who.int/dev11/l-ichi/en#/http%3A%2F%2Fid.who.int%2Ficd%2Fentity%2F620971336","browser")</x:f>
      </x:c>
      <x:c r="L6668" s="0">
        <x:f>hyperlink("https://icat2.azurewebsites.net/icat/?ontology=ICD&amp;tab=ClassesTab&amp;id=http%3A%2F%2Fwho.int%2Ficd%2339650_512ebf36_bf6b_4d70_85da_cf2637062af4","iCat")</x:f>
      </x:c>
      <x:c r="M6668" s="0" t="s">
        <x:v>21</x:v>
      </x:c>
      <x:c r="N6668" s="0" t="s">
        <x:v>46</x:v>
      </x:c>
    </x:row>
    <x:row r="6669" spans="1:16">
      <x:c r="A6669" s="0" t="s">
        <x:v>26533</x:v>
      </x:c>
      <x:c r="B6669" s="0" t="s">
        <x:v>26534</x:v>
      </x:c>
      <x:c r="C6669" s="0" t="s">
        <x:v>26535</x:v>
      </x:c>
      <x:c r="E6669" s="0" t="s">
        <x:v>26536</x:v>
      </x:c>
      <x:c r="F6669" s="0" t="s">
        <x:v>45</x:v>
      </x:c>
      <x:c r="G6669" s="0" t="s">
        <x:v>19</x:v>
      </x:c>
      <x:c r="H6669" s="0" t="s">
        <x:v>20</x:v>
      </x:c>
      <x:c r="I6669" s="0" t="s">
        <x:v>21</x:v>
      </x:c>
      <x:c r="K6669" s="0">
        <x:f>hyperlink("https://icd.who.int/dev11/l-ichi/en#/http%3A%2F%2Fid.who.int%2Ficd%2Fentity%2F1434578635","browser")</x:f>
      </x:c>
      <x:c r="L6669" s="0">
        <x:f>hyperlink("https://icat2.azurewebsites.net/icat/?ontology=ICD&amp;tab=ClassesTab&amp;id=http%3A%2F%2Fwho.int%2Ficd%2339657_512ebf36_bf6b_4d70_85da_cf2637062af4","iCat")</x:f>
      </x:c>
      <x:c r="M6669" s="0" t="s">
        <x:v>21</x:v>
      </x:c>
      <x:c r="N6669" s="0" t="s">
        <x:v>46</x:v>
      </x:c>
    </x:row>
    <x:row r="6670" spans="1:16">
      <x:c r="A6670" s="0" t="s">
        <x:v>26537</x:v>
      </x:c>
      <x:c r="B6670" s="0" t="s">
        <x:v>26538</x:v>
      </x:c>
      <x:c r="C6670" s="0" t="s">
        <x:v>26539</x:v>
      </x:c>
      <x:c r="E6670" s="0" t="s">
        <x:v>26540</x:v>
      </x:c>
      <x:c r="F6670" s="0" t="s">
        <x:v>45</x:v>
      </x:c>
      <x:c r="G6670" s="0" t="s">
        <x:v>19</x:v>
      </x:c>
      <x:c r="H6670" s="0" t="s">
        <x:v>20</x:v>
      </x:c>
      <x:c r="I6670" s="0" t="s">
        <x:v>21</x:v>
      </x:c>
      <x:c r="K6670" s="0">
        <x:f>hyperlink("https://icd.who.int/dev11/l-ichi/en#/http%3A%2F%2Fid.who.int%2Ficd%2Fentity%2F1354088757","browser")</x:f>
      </x:c>
      <x:c r="L6670" s="0">
        <x:f>hyperlink("https://icat2.azurewebsites.net/icat/?ontology=ICD&amp;tab=ClassesTab&amp;id=http%3A%2F%2Fwho.int%2Ficd%2339664_512ebf36_bf6b_4d70_85da_cf2637062af4","iCat")</x:f>
      </x:c>
      <x:c r="M6670" s="0" t="s">
        <x:v>21</x:v>
      </x:c>
      <x:c r="N6670" s="0" t="s">
        <x:v>46</x:v>
      </x:c>
    </x:row>
    <x:row r="6671" spans="1:16">
      <x:c r="A6671" s="0" t="s">
        <x:v>26541</x:v>
      </x:c>
      <x:c r="B6671" s="0" t="s">
        <x:v>26542</x:v>
      </x:c>
      <x:c r="C6671" s="0" t="s">
        <x:v>26543</x:v>
      </x:c>
      <x:c r="E6671" s="0" t="s">
        <x:v>26544</x:v>
      </x:c>
      <x:c r="F6671" s="0" t="s">
        <x:v>45</x:v>
      </x:c>
      <x:c r="G6671" s="0" t="s">
        <x:v>19</x:v>
      </x:c>
      <x:c r="H6671" s="0" t="s">
        <x:v>20</x:v>
      </x:c>
      <x:c r="I6671" s="0" t="s">
        <x:v>21</x:v>
      </x:c>
      <x:c r="K6671" s="0">
        <x:f>hyperlink("https://icd.who.int/dev11/l-ichi/en#/http%3A%2F%2Fid.who.int%2Ficd%2Fentity%2F797893164","browser")</x:f>
      </x:c>
      <x:c r="L6671" s="0">
        <x:f>hyperlink("https://icat2.azurewebsites.net/icat/?ontology=ICD&amp;tab=ClassesTab&amp;id=http%3A%2F%2Fwho.int%2Ficd%2339671_512ebf36_bf6b_4d70_85da_cf2637062af4","iCat")</x:f>
      </x:c>
      <x:c r="M6671" s="0" t="s">
        <x:v>21</x:v>
      </x:c>
      <x:c r="N6671" s="0" t="s">
        <x:v>46</x:v>
      </x:c>
    </x:row>
    <x:row r="6672" spans="1:16">
      <x:c r="A6672" s="0" t="s">
        <x:v>26545</x:v>
      </x:c>
      <x:c r="B6672" s="0" t="s">
        <x:v>26546</x:v>
      </x:c>
      <x:c r="C6672" s="0" t="s">
        <x:v>26547</x:v>
      </x:c>
      <x:c r="E6672" s="0" t="s">
        <x:v>26548</x:v>
      </x:c>
      <x:c r="F6672" s="0" t="s">
        <x:v>45</x:v>
      </x:c>
      <x:c r="G6672" s="0" t="s">
        <x:v>19</x:v>
      </x:c>
      <x:c r="H6672" s="0" t="s">
        <x:v>20</x:v>
      </x:c>
      <x:c r="I6672" s="0" t="s">
        <x:v>21</x:v>
      </x:c>
      <x:c r="K6672" s="0">
        <x:f>hyperlink("https://icd.who.int/dev11/l-ichi/en#/http%3A%2F%2Fid.who.int%2Ficd%2Fentity%2F1106698563","browser")</x:f>
      </x:c>
      <x:c r="L6672" s="0">
        <x:f>hyperlink("https://icat2.azurewebsites.net/icat/?ontology=ICD&amp;tab=ClassesTab&amp;id=http%3A%2F%2Fwho.int%2Ficd%2339678_512ebf36_bf6b_4d70_85da_cf2637062af4","iCat")</x:f>
      </x:c>
      <x:c r="M6672" s="0" t="s">
        <x:v>21</x:v>
      </x:c>
      <x:c r="N6672" s="0" t="s">
        <x:v>46</x:v>
      </x:c>
    </x:row>
    <x:row r="6673" spans="1:16">
      <x:c r="A6673" s="0" t="s">
        <x:v>26549</x:v>
      </x:c>
      <x:c r="B6673" s="0" t="s">
        <x:v>26550</x:v>
      </x:c>
      <x:c r="C6673" s="0" t="s">
        <x:v>26551</x:v>
      </x:c>
      <x:c r="E6673" s="0" t="s">
        <x:v>26552</x:v>
      </x:c>
      <x:c r="F6673" s="0" t="s">
        <x:v>45</x:v>
      </x:c>
      <x:c r="G6673" s="0" t="s">
        <x:v>19</x:v>
      </x:c>
      <x:c r="H6673" s="0" t="s">
        <x:v>20</x:v>
      </x:c>
      <x:c r="I6673" s="0" t="s">
        <x:v>21</x:v>
      </x:c>
      <x:c r="K6673" s="0">
        <x:f>hyperlink("https://icd.who.int/dev11/l-ichi/en#/http%3A%2F%2Fid.who.int%2Ficd%2Fentity%2F896429184","browser")</x:f>
      </x:c>
      <x:c r="L6673" s="0">
        <x:f>hyperlink("https://icat2.azurewebsites.net/icat/?ontology=ICD&amp;tab=ClassesTab&amp;id=http%3A%2F%2Fwho.int%2Ficd%2339685_512ebf36_bf6b_4d70_85da_cf2637062af4","iCat")</x:f>
      </x:c>
      <x:c r="M6673" s="0" t="s">
        <x:v>21</x:v>
      </x:c>
      <x:c r="N6673" s="0" t="s">
        <x:v>46</x:v>
      </x:c>
    </x:row>
    <x:row r="6674" spans="1:16">
      <x:c r="A6674" s="0" t="s">
        <x:v>26553</x:v>
      </x:c>
      <x:c r="B6674" s="0" t="s">
        <x:v>26554</x:v>
      </x:c>
      <x:c r="C6674" s="0" t="s">
        <x:v>26555</x:v>
      </x:c>
      <x:c r="E6674" s="0" t="s">
        <x:v>26556</x:v>
      </x:c>
      <x:c r="F6674" s="0" t="s">
        <x:v>45</x:v>
      </x:c>
      <x:c r="G6674" s="0" t="s">
        <x:v>19</x:v>
      </x:c>
      <x:c r="H6674" s="0" t="s">
        <x:v>20</x:v>
      </x:c>
      <x:c r="I6674" s="0" t="s">
        <x:v>21</x:v>
      </x:c>
      <x:c r="K6674" s="0">
        <x:f>hyperlink("https://icd.who.int/dev11/l-ichi/en#/http%3A%2F%2Fid.who.int%2Ficd%2Fentity%2F791237210","browser")</x:f>
      </x:c>
      <x:c r="L6674" s="0">
        <x:f>hyperlink("https://icat2.azurewebsites.net/icat/?ontology=ICD&amp;tab=ClassesTab&amp;id=http%3A%2F%2Fwho.int%2Ficd%2339692_512ebf36_bf6b_4d70_85da_cf2637062af4","iCat")</x:f>
      </x:c>
      <x:c r="M6674" s="0" t="s">
        <x:v>21</x:v>
      </x:c>
      <x:c r="N6674" s="0" t="s">
        <x:v>46</x:v>
      </x:c>
    </x:row>
    <x:row r="6675" spans="1:16">
      <x:c r="A6675" s="0" t="s">
        <x:v>26557</x:v>
      </x:c>
      <x:c r="B6675" s="0" t="s">
        <x:v>26558</x:v>
      </x:c>
      <x:c r="C6675" s="0" t="s">
        <x:v>26559</x:v>
      </x:c>
      <x:c r="E6675" s="0" t="s">
        <x:v>26560</x:v>
      </x:c>
      <x:c r="F6675" s="0" t="s">
        <x:v>45</x:v>
      </x:c>
      <x:c r="G6675" s="0" t="s">
        <x:v>19</x:v>
      </x:c>
      <x:c r="H6675" s="0" t="s">
        <x:v>20</x:v>
      </x:c>
      <x:c r="I6675" s="0" t="s">
        <x:v>21</x:v>
      </x:c>
      <x:c r="K6675" s="0">
        <x:f>hyperlink("https://icd.who.int/dev11/l-ichi/en#/http%3A%2F%2Fid.who.int%2Ficd%2Fentity%2F606948600","browser")</x:f>
      </x:c>
      <x:c r="L6675" s="0">
        <x:f>hyperlink("https://icat2.azurewebsites.net/icat/?ontology=ICD&amp;tab=ClassesTab&amp;id=http%3A%2F%2Fwho.int%2Ficd%2339699_512ebf36_bf6b_4d70_85da_cf2637062af4","iCat")</x:f>
      </x:c>
      <x:c r="M6675" s="0" t="s">
        <x:v>21</x:v>
      </x:c>
      <x:c r="N6675" s="0" t="s">
        <x:v>46</x:v>
      </x:c>
    </x:row>
    <x:row r="6676" spans="1:16">
      <x:c r="A6676" s="0" t="s">
        <x:v>26561</x:v>
      </x:c>
      <x:c r="B6676" s="0" t="s">
        <x:v>26562</x:v>
      </x:c>
      <x:c r="C6676" s="0" t="s">
        <x:v>26563</x:v>
      </x:c>
      <x:c r="E6676" s="0" t="s">
        <x:v>26564</x:v>
      </x:c>
      <x:c r="F6676" s="0" t="s">
        <x:v>45</x:v>
      </x:c>
      <x:c r="G6676" s="0" t="s">
        <x:v>19</x:v>
      </x:c>
      <x:c r="H6676" s="0" t="s">
        <x:v>20</x:v>
      </x:c>
      <x:c r="I6676" s="0" t="s">
        <x:v>21</x:v>
      </x:c>
      <x:c r="K6676" s="0">
        <x:f>hyperlink("https://icd.who.int/dev11/l-ichi/en#/http%3A%2F%2Fid.who.int%2Ficd%2Fentity%2F440769568","browser")</x:f>
      </x:c>
      <x:c r="L6676" s="0">
        <x:f>hyperlink("https://icat2.azurewebsites.net/icat/?ontology=ICD&amp;tab=ClassesTab&amp;id=http%3A%2F%2Fwho.int%2Ficd%2339706_512ebf36_bf6b_4d70_85da_cf2637062af4","iCat")</x:f>
      </x:c>
      <x:c r="M6676" s="0" t="s">
        <x:v>21</x:v>
      </x:c>
      <x:c r="N6676" s="0" t="s">
        <x:v>46</x:v>
      </x:c>
    </x:row>
    <x:row r="6677" spans="1:16">
      <x:c r="A6677" s="0" t="s">
        <x:v>26565</x:v>
      </x:c>
      <x:c r="B6677" s="0" t="s">
        <x:v>26566</x:v>
      </x:c>
      <x:c r="C6677" s="0" t="s">
        <x:v>26567</x:v>
      </x:c>
      <x:c r="E6677" s="0" t="s">
        <x:v>26568</x:v>
      </x:c>
      <x:c r="F6677" s="0" t="s">
        <x:v>45</x:v>
      </x:c>
      <x:c r="G6677" s="0" t="s">
        <x:v>19</x:v>
      </x:c>
      <x:c r="H6677" s="0" t="s">
        <x:v>20</x:v>
      </x:c>
      <x:c r="I6677" s="0" t="s">
        <x:v>21</x:v>
      </x:c>
      <x:c r="K6677" s="0">
        <x:f>hyperlink("https://icd.who.int/dev11/l-ichi/en#/http%3A%2F%2Fid.who.int%2Ficd%2Fentity%2F1702805311","browser")</x:f>
      </x:c>
      <x:c r="L6677" s="0">
        <x:f>hyperlink("https://icat2.azurewebsites.net/icat/?ontology=ICD&amp;tab=ClassesTab&amp;id=http%3A%2F%2Fwho.int%2Ficd%2339713_512ebf36_bf6b_4d70_85da_cf2637062af4","iCat")</x:f>
      </x:c>
      <x:c r="M6677" s="0" t="s">
        <x:v>21</x:v>
      </x:c>
      <x:c r="N6677" s="0" t="s">
        <x:v>46</x:v>
      </x:c>
    </x:row>
    <x:row r="6678" spans="1:16">
      <x:c r="A6678" s="0" t="s">
        <x:v>26569</x:v>
      </x:c>
      <x:c r="B6678" s="0" t="s">
        <x:v>26570</x:v>
      </x:c>
      <x:c r="C6678" s="0" t="s">
        <x:v>26571</x:v>
      </x:c>
      <x:c r="E6678" s="0" t="s">
        <x:v>26572</x:v>
      </x:c>
      <x:c r="F6678" s="0" t="s">
        <x:v>45</x:v>
      </x:c>
      <x:c r="G6678" s="0" t="s">
        <x:v>19</x:v>
      </x:c>
      <x:c r="H6678" s="0" t="s">
        <x:v>20</x:v>
      </x:c>
      <x:c r="I6678" s="0" t="s">
        <x:v>21</x:v>
      </x:c>
      <x:c r="K6678" s="0">
        <x:f>hyperlink("https://icd.who.int/dev11/l-ichi/en#/http%3A%2F%2Fid.who.int%2Ficd%2Fentity%2F1615499457","browser")</x:f>
      </x:c>
      <x:c r="L6678" s="0">
        <x:f>hyperlink("https://icat2.azurewebsites.net/icat/?ontology=ICD&amp;tab=ClassesTab&amp;id=http%3A%2F%2Fwho.int%2Ficd%2339720_512ebf36_bf6b_4d70_85da_cf2637062af4","iCat")</x:f>
      </x:c>
      <x:c r="M6678" s="0" t="s">
        <x:v>21</x:v>
      </x:c>
      <x:c r="N6678" s="0" t="s">
        <x:v>46</x:v>
      </x:c>
    </x:row>
    <x:row r="6679" spans="1:16">
      <x:c r="A6679" s="0" t="s">
        <x:v>26573</x:v>
      </x:c>
      <x:c r="B6679" s="0" t="s">
        <x:v>26574</x:v>
      </x:c>
      <x:c r="C6679" s="0" t="s">
        <x:v>26575</x:v>
      </x:c>
      <x:c r="E6679" s="0" t="s">
        <x:v>26576</x:v>
      </x:c>
      <x:c r="F6679" s="0" t="s">
        <x:v>45</x:v>
      </x:c>
      <x:c r="G6679" s="0" t="s">
        <x:v>19</x:v>
      </x:c>
      <x:c r="H6679" s="0" t="s">
        <x:v>20</x:v>
      </x:c>
      <x:c r="I6679" s="0" t="s">
        <x:v>21</x:v>
      </x:c>
      <x:c r="K6679" s="0">
        <x:f>hyperlink("https://icd.who.int/dev11/l-ichi/en#/http%3A%2F%2Fid.who.int%2Ficd%2Fentity%2F281557836","browser")</x:f>
      </x:c>
      <x:c r="L6679" s="0">
        <x:f>hyperlink("https://icat2.azurewebsites.net/icat/?ontology=ICD&amp;tab=ClassesTab&amp;id=http%3A%2F%2Fwho.int%2Ficd%2339727_512ebf36_bf6b_4d70_85da_cf2637062af4","iCat")</x:f>
      </x:c>
      <x:c r="M6679" s="0" t="s">
        <x:v>21</x:v>
      </x:c>
      <x:c r="N6679" s="0" t="s">
        <x:v>46</x:v>
      </x:c>
    </x:row>
    <x:row r="6680" spans="1:16">
      <x:c r="A6680" s="0" t="s">
        <x:v>26577</x:v>
      </x:c>
      <x:c r="B6680" s="0" t="s">
        <x:v>26578</x:v>
      </x:c>
      <x:c r="C6680" s="0" t="s">
        <x:v>26579</x:v>
      </x:c>
      <x:c r="E6680" s="0" t="s">
        <x:v>26580</x:v>
      </x:c>
      <x:c r="F6680" s="0" t="s">
        <x:v>45</x:v>
      </x:c>
      <x:c r="G6680" s="0" t="s">
        <x:v>19</x:v>
      </x:c>
      <x:c r="H6680" s="0" t="s">
        <x:v>20</x:v>
      </x:c>
      <x:c r="I6680" s="0" t="s">
        <x:v>21</x:v>
      </x:c>
      <x:c r="K6680" s="0">
        <x:f>hyperlink("https://icd.who.int/dev11/l-ichi/en#/http%3A%2F%2Fid.who.int%2Ficd%2Fentity%2F1693910783","browser")</x:f>
      </x:c>
      <x:c r="L6680" s="0">
        <x:f>hyperlink("https://icat2.azurewebsites.net/icat/?ontology=ICD&amp;tab=ClassesTab&amp;id=http%3A%2F%2Fwho.int%2Ficd%2339739_512ebf36_bf6b_4d70_85da_cf2637062af4","iCat")</x:f>
      </x:c>
      <x:c r="M6680" s="0" t="s">
        <x:v>21</x:v>
      </x:c>
      <x:c r="N6680" s="0" t="s">
        <x:v>46</x:v>
      </x:c>
    </x:row>
    <x:row r="6681" spans="1:16">
      <x:c r="A6681" s="0" t="s">
        <x:v>26581</x:v>
      </x:c>
      <x:c r="B6681" s="0" t="s">
        <x:v>26582</x:v>
      </x:c>
      <x:c r="C6681" s="0" t="s">
        <x:v>26583</x:v>
      </x:c>
      <x:c r="E6681" s="0" t="s">
        <x:v>26584</x:v>
      </x:c>
      <x:c r="F6681" s="0" t="s">
        <x:v>45</x:v>
      </x:c>
      <x:c r="G6681" s="0" t="s">
        <x:v>19</x:v>
      </x:c>
      <x:c r="H6681" s="0" t="s">
        <x:v>20</x:v>
      </x:c>
      <x:c r="I6681" s="0" t="s">
        <x:v>21</x:v>
      </x:c>
      <x:c r="K6681" s="0">
        <x:f>hyperlink("https://icd.who.int/dev11/l-ichi/en#/http%3A%2F%2Fid.who.int%2Ficd%2Fentity%2F1780666173","browser")</x:f>
      </x:c>
      <x:c r="L6681" s="0">
        <x:f>hyperlink("https://icat2.azurewebsites.net/icat/?ontology=ICD&amp;tab=ClassesTab&amp;id=http%3A%2F%2Fwho.int%2Ficd%2339746_512ebf36_bf6b_4d70_85da_cf2637062af4","iCat")</x:f>
      </x:c>
      <x:c r="M6681" s="0" t="s">
        <x:v>21</x:v>
      </x:c>
      <x:c r="N6681" s="0" t="s">
        <x:v>46</x:v>
      </x:c>
    </x:row>
    <x:row r="6682" spans="1:16">
      <x:c r="A6682" s="0" t="s">
        <x:v>26585</x:v>
      </x:c>
      <x:c r="B6682" s="0" t="s">
        <x:v>26586</x:v>
      </x:c>
      <x:c r="C6682" s="0" t="s">
        <x:v>26587</x:v>
      </x:c>
      <x:c r="E6682" s="0" t="s">
        <x:v>26588</x:v>
      </x:c>
      <x:c r="F6682" s="0" t="s">
        <x:v>45</x:v>
      </x:c>
      <x:c r="G6682" s="0" t="s">
        <x:v>19</x:v>
      </x:c>
      <x:c r="H6682" s="0" t="s">
        <x:v>20</x:v>
      </x:c>
      <x:c r="I6682" s="0" t="s">
        <x:v>21</x:v>
      </x:c>
      <x:c r="K6682" s="0">
        <x:f>hyperlink("https://icd.who.int/dev11/l-ichi/en#/http%3A%2F%2Fid.who.int%2Ficd%2Fentity%2F354020386","browser")</x:f>
      </x:c>
      <x:c r="L6682" s="0">
        <x:f>hyperlink("https://icat2.azurewebsites.net/icat/?ontology=ICD&amp;tab=ClassesTab&amp;id=http%3A%2F%2Fwho.int%2Ficd%2339753_512ebf36_bf6b_4d70_85da_cf2637062af4","iCat")</x:f>
      </x:c>
      <x:c r="M6682" s="0" t="s">
        <x:v>21</x:v>
      </x:c>
      <x:c r="N6682" s="0" t="s">
        <x:v>46</x:v>
      </x:c>
    </x:row>
    <x:row r="6683" spans="1:16">
      <x:c r="A6683" s="0" t="s">
        <x:v>26589</x:v>
      </x:c>
      <x:c r="B6683" s="0" t="s">
        <x:v>26590</x:v>
      </x:c>
      <x:c r="C6683" s="0" t="s">
        <x:v>26591</x:v>
      </x:c>
      <x:c r="E6683" s="0" t="s">
        <x:v>26592</x:v>
      </x:c>
      <x:c r="F6683" s="0" t="s">
        <x:v>45</x:v>
      </x:c>
      <x:c r="G6683" s="0" t="s">
        <x:v>19</x:v>
      </x:c>
      <x:c r="H6683" s="0" t="s">
        <x:v>20</x:v>
      </x:c>
      <x:c r="I6683" s="0" t="s">
        <x:v>21</x:v>
      </x:c>
      <x:c r="K6683" s="0">
        <x:f>hyperlink("https://icd.who.int/dev11/l-ichi/en#/http%3A%2F%2Fid.who.int%2Ficd%2Fentity%2F271434716","browser")</x:f>
      </x:c>
      <x:c r="L6683" s="0">
        <x:f>hyperlink("https://icat2.azurewebsites.net/icat/?ontology=ICD&amp;tab=ClassesTab&amp;id=http%3A%2F%2Fwho.int%2Ficd%2339760_512ebf36_bf6b_4d70_85da_cf2637062af4","iCat")</x:f>
      </x:c>
      <x:c r="M6683" s="0" t="s">
        <x:v>21</x:v>
      </x:c>
      <x:c r="N6683" s="0" t="s">
        <x:v>46</x:v>
      </x:c>
    </x:row>
    <x:row r="6684" spans="1:16">
      <x:c r="A6684" s="0" t="s">
        <x:v>26593</x:v>
      </x:c>
      <x:c r="B6684" s="0" t="s">
        <x:v>26594</x:v>
      </x:c>
      <x:c r="C6684" s="0" t="s">
        <x:v>26595</x:v>
      </x:c>
      <x:c r="E6684" s="0" t="s">
        <x:v>26596</x:v>
      </x:c>
      <x:c r="F6684" s="0" t="s">
        <x:v>45</x:v>
      </x:c>
      <x:c r="G6684" s="0" t="s">
        <x:v>19</x:v>
      </x:c>
      <x:c r="H6684" s="0" t="s">
        <x:v>20</x:v>
      </x:c>
      <x:c r="I6684" s="0" t="s">
        <x:v>21</x:v>
      </x:c>
      <x:c r="K6684" s="0">
        <x:f>hyperlink("https://icd.who.int/dev11/l-ichi/en#/http%3A%2F%2Fid.who.int%2Ficd%2Fentity%2F1622108241","browser")</x:f>
      </x:c>
      <x:c r="L6684" s="0">
        <x:f>hyperlink("https://icat2.azurewebsites.net/icat/?ontology=ICD&amp;tab=ClassesTab&amp;id=http%3A%2F%2Fwho.int%2Ficd%2339767_512ebf36_bf6b_4d70_85da_cf2637062af4","iCat")</x:f>
      </x:c>
      <x:c r="M6684" s="0" t="s">
        <x:v>21</x:v>
      </x:c>
      <x:c r="N6684" s="0" t="s">
        <x:v>46</x:v>
      </x:c>
    </x:row>
    <x:row r="6685" spans="1:16">
      <x:c r="A6685" s="0" t="s">
        <x:v>26597</x:v>
      </x:c>
      <x:c r="B6685" s="0" t="s">
        <x:v>26598</x:v>
      </x:c>
      <x:c r="C6685" s="0" t="s">
        <x:v>26599</x:v>
      </x:c>
      <x:c r="E6685" s="0" t="s">
        <x:v>26600</x:v>
      </x:c>
      <x:c r="F6685" s="0" t="s">
        <x:v>45</x:v>
      </x:c>
      <x:c r="G6685" s="0" t="s">
        <x:v>19</x:v>
      </x:c>
      <x:c r="H6685" s="0" t="s">
        <x:v>20</x:v>
      </x:c>
      <x:c r="I6685" s="0" t="s">
        <x:v>21</x:v>
      </x:c>
      <x:c r="K6685" s="0">
        <x:f>hyperlink("https://icd.who.int/dev11/l-ichi/en#/http%3A%2F%2Fid.who.int%2Ficd%2Fentity%2F1341100799","browser")</x:f>
      </x:c>
      <x:c r="L6685" s="0">
        <x:f>hyperlink("https://icat2.azurewebsites.net/icat/?ontology=ICD&amp;tab=ClassesTab&amp;id=http%3A%2F%2Fwho.int%2Ficd%2339774_512ebf36_bf6b_4d70_85da_cf2637062af4","iCat")</x:f>
      </x:c>
      <x:c r="M6685" s="0" t="s">
        <x:v>21</x:v>
      </x:c>
      <x:c r="N6685" s="0" t="s">
        <x:v>46</x:v>
      </x:c>
    </x:row>
    <x:row r="6686" spans="1:16">
      <x:c r="A6686" s="0" t="s">
        <x:v>26601</x:v>
      </x:c>
      <x:c r="B6686" s="0" t="s">
        <x:v>26602</x:v>
      </x:c>
      <x:c r="C6686" s="0" t="s">
        <x:v>26603</x:v>
      </x:c>
      <x:c r="E6686" s="0" t="s">
        <x:v>26604</x:v>
      </x:c>
      <x:c r="F6686" s="0" t="s">
        <x:v>45</x:v>
      </x:c>
      <x:c r="G6686" s="0" t="s">
        <x:v>19</x:v>
      </x:c>
      <x:c r="H6686" s="0" t="s">
        <x:v>20</x:v>
      </x:c>
      <x:c r="I6686" s="0" t="s">
        <x:v>21</x:v>
      </x:c>
      <x:c r="K6686" s="0">
        <x:f>hyperlink("https://icd.who.int/dev11/l-ichi/en#/http%3A%2F%2Fid.who.int%2Ficd%2Fentity%2F1979084393","browser")</x:f>
      </x:c>
      <x:c r="L6686" s="0">
        <x:f>hyperlink("https://icat2.azurewebsites.net/icat/?ontology=ICD&amp;tab=ClassesTab&amp;id=http%3A%2F%2Fwho.int%2Ficd%2339781_512ebf36_bf6b_4d70_85da_cf2637062af4","iCat")</x:f>
      </x:c>
      <x:c r="M6686" s="0" t="s">
        <x:v>21</x:v>
      </x:c>
      <x:c r="N6686" s="0" t="s">
        <x:v>46</x:v>
      </x:c>
    </x:row>
    <x:row r="6687" spans="1:16">
      <x:c r="A6687" s="0" t="s">
        <x:v>26605</x:v>
      </x:c>
      <x:c r="B6687" s="0" t="s">
        <x:v>26606</x:v>
      </x:c>
      <x:c r="C6687" s="0" t="s">
        <x:v>26607</x:v>
      </x:c>
      <x:c r="E6687" s="0" t="s">
        <x:v>26608</x:v>
      </x:c>
      <x:c r="F6687" s="0" t="s">
        <x:v>45</x:v>
      </x:c>
      <x:c r="G6687" s="0" t="s">
        <x:v>19</x:v>
      </x:c>
      <x:c r="H6687" s="0" t="s">
        <x:v>20</x:v>
      </x:c>
      <x:c r="I6687" s="0" t="s">
        <x:v>21</x:v>
      </x:c>
      <x:c r="K6687" s="0">
        <x:f>hyperlink("https://icd.who.int/dev11/l-ichi/en#/http%3A%2F%2Fid.who.int%2Ficd%2Fentity%2F462318848","browser")</x:f>
      </x:c>
      <x:c r="L6687" s="0">
        <x:f>hyperlink("https://icat2.azurewebsites.net/icat/?ontology=ICD&amp;tab=ClassesTab&amp;id=http%3A%2F%2Fwho.int%2Ficd%2339788_512ebf36_bf6b_4d70_85da_cf2637062af4","iCat")</x:f>
      </x:c>
      <x:c r="M6687" s="0" t="s">
        <x:v>21</x:v>
      </x:c>
      <x:c r="N6687" s="0" t="s">
        <x:v>46</x:v>
      </x:c>
    </x:row>
    <x:row r="6688" spans="1:16">
      <x:c r="A6688" s="0" t="s">
        <x:v>26609</x:v>
      </x:c>
      <x:c r="B6688" s="0" t="s">
        <x:v>26610</x:v>
      </x:c>
      <x:c r="C6688" s="0" t="s">
        <x:v>26611</x:v>
      </x:c>
      <x:c r="E6688" s="0" t="s">
        <x:v>26612</x:v>
      </x:c>
      <x:c r="F6688" s="0" t="s">
        <x:v>45</x:v>
      </x:c>
      <x:c r="G6688" s="0" t="s">
        <x:v>19</x:v>
      </x:c>
      <x:c r="H6688" s="0" t="s">
        <x:v>20</x:v>
      </x:c>
      <x:c r="I6688" s="0" t="s">
        <x:v>21</x:v>
      </x:c>
      <x:c r="K6688" s="0">
        <x:f>hyperlink("https://icd.who.int/dev11/l-ichi/en#/http%3A%2F%2Fid.who.int%2Ficd%2Fentity%2F708067146","browser")</x:f>
      </x:c>
      <x:c r="L6688" s="0">
        <x:f>hyperlink("https://icat2.azurewebsites.net/icat/?ontology=ICD&amp;tab=ClassesTab&amp;id=http%3A%2F%2Fwho.int%2Ficd%2339795_512ebf36_bf6b_4d70_85da_cf2637062af4","iCat")</x:f>
      </x:c>
      <x:c r="M6688" s="0" t="s">
        <x:v>21</x:v>
      </x:c>
      <x:c r="N6688" s="0" t="s">
        <x:v>46</x:v>
      </x:c>
    </x:row>
    <x:row r="6689" spans="1:16">
      <x:c r="A6689" s="0" t="s">
        <x:v>26613</x:v>
      </x:c>
      <x:c r="B6689" s="0" t="s">
        <x:v>26614</x:v>
      </x:c>
      <x:c r="C6689" s="0" t="s">
        <x:v>26615</x:v>
      </x:c>
      <x:c r="E6689" s="0" t="s">
        <x:v>26616</x:v>
      </x:c>
      <x:c r="F6689" s="0" t="s">
        <x:v>45</x:v>
      </x:c>
      <x:c r="G6689" s="0" t="s">
        <x:v>19</x:v>
      </x:c>
      <x:c r="H6689" s="0" t="s">
        <x:v>20</x:v>
      </x:c>
      <x:c r="I6689" s="0" t="s">
        <x:v>21</x:v>
      </x:c>
      <x:c r="K6689" s="0">
        <x:f>hyperlink("https://icd.who.int/dev11/l-ichi/en#/http%3A%2F%2Fid.who.int%2Ficd%2Fentity%2F1494206546","browser")</x:f>
      </x:c>
      <x:c r="L6689" s="0">
        <x:f>hyperlink("https://icat2.azurewebsites.net/icat/?ontology=ICD&amp;tab=ClassesTab&amp;id=http%3A%2F%2Fwho.int%2Ficd%2339802_512ebf36_bf6b_4d70_85da_cf2637062af4","iCat")</x:f>
      </x:c>
      <x:c r="M6689" s="0" t="s">
        <x:v>21</x:v>
      </x:c>
      <x:c r="N6689" s="0" t="s">
        <x:v>46</x:v>
      </x:c>
    </x:row>
    <x:row r="6690" spans="1:16">
      <x:c r="A6690" s="0" t="s">
        <x:v>26617</x:v>
      </x:c>
      <x:c r="B6690" s="0" t="s">
        <x:v>26618</x:v>
      </x:c>
      <x:c r="C6690" s="0" t="s">
        <x:v>26619</x:v>
      </x:c>
      <x:c r="E6690" s="0" t="s">
        <x:v>26620</x:v>
      </x:c>
      <x:c r="F6690" s="0" t="s">
        <x:v>45</x:v>
      </x:c>
      <x:c r="G6690" s="0" t="s">
        <x:v>19</x:v>
      </x:c>
      <x:c r="H6690" s="0" t="s">
        <x:v>20</x:v>
      </x:c>
      <x:c r="I6690" s="0" t="s">
        <x:v>21</x:v>
      </x:c>
      <x:c r="K6690" s="0">
        <x:f>hyperlink("https://icd.who.int/dev11/l-ichi/en#/http%3A%2F%2Fid.who.int%2Ficd%2Fentity%2F1376507648","browser")</x:f>
      </x:c>
      <x:c r="L6690" s="0">
        <x:f>hyperlink("https://icat2.azurewebsites.net/icat/?ontology=ICD&amp;tab=ClassesTab&amp;id=http%3A%2F%2Fwho.int%2Ficd%2339809_512ebf36_bf6b_4d70_85da_cf2637062af4","iCat")</x:f>
      </x:c>
      <x:c r="M6690" s="0" t="s">
        <x:v>21</x:v>
      </x:c>
      <x:c r="N6690" s="0" t="s">
        <x:v>46</x:v>
      </x:c>
    </x:row>
    <x:row r="6691" spans="1:16">
      <x:c r="A6691" s="0" t="s">
        <x:v>26621</x:v>
      </x:c>
      <x:c r="B6691" s="0" t="s">
        <x:v>26622</x:v>
      </x:c>
      <x:c r="C6691" s="0" t="s">
        <x:v>26623</x:v>
      </x:c>
      <x:c r="E6691" s="0" t="s">
        <x:v>26624</x:v>
      </x:c>
      <x:c r="F6691" s="0" t="s">
        <x:v>45</x:v>
      </x:c>
      <x:c r="G6691" s="0" t="s">
        <x:v>19</x:v>
      </x:c>
      <x:c r="H6691" s="0" t="s">
        <x:v>20</x:v>
      </x:c>
      <x:c r="I6691" s="0" t="s">
        <x:v>21</x:v>
      </x:c>
      <x:c r="K6691" s="0">
        <x:f>hyperlink("https://icd.who.int/dev11/l-ichi/en#/http%3A%2F%2Fid.who.int%2Ficd%2Fentity%2F114137457","browser")</x:f>
      </x:c>
      <x:c r="L6691" s="0">
        <x:f>hyperlink("https://icat2.azurewebsites.net/icat/?ontology=ICD&amp;tab=ClassesTab&amp;id=http%3A%2F%2Fwho.int%2Ficd%2339816_512ebf36_bf6b_4d70_85da_cf2637062af4","iCat")</x:f>
      </x:c>
      <x:c r="M6691" s="0" t="s">
        <x:v>21</x:v>
      </x:c>
      <x:c r="N6691" s="0" t="s">
        <x:v>46</x:v>
      </x:c>
    </x:row>
    <x:row r="6692" spans="1:16">
      <x:c r="A6692" s="0" t="s">
        <x:v>26625</x:v>
      </x:c>
      <x:c r="B6692" s="0" t="s">
        <x:v>26626</x:v>
      </x:c>
      <x:c r="C6692" s="0" t="s">
        <x:v>26627</x:v>
      </x:c>
      <x:c r="E6692" s="0" t="s">
        <x:v>26628</x:v>
      </x:c>
      <x:c r="F6692" s="0" t="s">
        <x:v>45</x:v>
      </x:c>
      <x:c r="G6692" s="0" t="s">
        <x:v>19</x:v>
      </x:c>
      <x:c r="H6692" s="0" t="s">
        <x:v>20</x:v>
      </x:c>
      <x:c r="I6692" s="0" t="s">
        <x:v>21</x:v>
      </x:c>
      <x:c r="K6692" s="0">
        <x:f>hyperlink("https://icd.who.int/dev11/l-ichi/en#/http%3A%2F%2Fid.who.int%2Ficd%2Fentity%2F1401057086","browser")</x:f>
      </x:c>
      <x:c r="L6692" s="0">
        <x:f>hyperlink("https://icat2.azurewebsites.net/icat/?ontology=ICD&amp;tab=ClassesTab&amp;id=http%3A%2F%2Fwho.int%2Ficd%2339823_512ebf36_bf6b_4d70_85da_cf2637062af4","iCat")</x:f>
      </x:c>
      <x:c r="M6692" s="0" t="s">
        <x:v>21</x:v>
      </x:c>
      <x:c r="N6692" s="0" t="s">
        <x:v>46</x:v>
      </x:c>
    </x:row>
    <x:row r="6693" spans="1:16">
      <x:c r="A6693" s="0" t="s">
        <x:v>26629</x:v>
      </x:c>
      <x:c r="B6693" s="0" t="s">
        <x:v>26630</x:v>
      </x:c>
      <x:c r="C6693" s="0" t="s">
        <x:v>26631</x:v>
      </x:c>
      <x:c r="E6693" s="0" t="s">
        <x:v>26632</x:v>
      </x:c>
      <x:c r="F6693" s="0" t="s">
        <x:v>45</x:v>
      </x:c>
      <x:c r="G6693" s="0" t="s">
        <x:v>19</x:v>
      </x:c>
      <x:c r="H6693" s="0" t="s">
        <x:v>20</x:v>
      </x:c>
      <x:c r="I6693" s="0" t="s">
        <x:v>21</x:v>
      </x:c>
      <x:c r="K6693" s="0">
        <x:f>hyperlink("https://icd.who.int/dev11/l-ichi/en#/http%3A%2F%2Fid.who.int%2Ficd%2Fentity%2F2093127058","browser")</x:f>
      </x:c>
      <x:c r="L6693" s="0">
        <x:f>hyperlink("https://icat2.azurewebsites.net/icat/?ontology=ICD&amp;tab=ClassesTab&amp;id=http%3A%2F%2Fwho.int%2Ficd%2339830_512ebf36_bf6b_4d70_85da_cf2637062af4","iCat")</x:f>
      </x:c>
      <x:c r="M6693" s="0" t="s">
        <x:v>21</x:v>
      </x:c>
      <x:c r="N6693" s="0" t="s">
        <x:v>46</x:v>
      </x:c>
    </x:row>
    <x:row r="6694" spans="1:16">
      <x:c r="A6694" s="0" t="s">
        <x:v>26633</x:v>
      </x:c>
      <x:c r="B6694" s="0" t="s">
        <x:v>26634</x:v>
      </x:c>
      <x:c r="C6694" s="0" t="s">
        <x:v>26635</x:v>
      </x:c>
      <x:c r="E6694" s="0" t="s">
        <x:v>26636</x:v>
      </x:c>
      <x:c r="F6694" s="0" t="s">
        <x:v>45</x:v>
      </x:c>
      <x:c r="G6694" s="0" t="s">
        <x:v>19</x:v>
      </x:c>
      <x:c r="H6694" s="0" t="s">
        <x:v>20</x:v>
      </x:c>
      <x:c r="I6694" s="0" t="s">
        <x:v>21</x:v>
      </x:c>
      <x:c r="K6694" s="0">
        <x:f>hyperlink("https://icd.who.int/dev11/l-ichi/en#/http%3A%2F%2Fid.who.int%2Ficd%2Fentity%2F205536797","browser")</x:f>
      </x:c>
      <x:c r="L6694" s="0">
        <x:f>hyperlink("https://icat2.azurewebsites.net/icat/?ontology=ICD&amp;tab=ClassesTab&amp;id=http%3A%2F%2Fwho.int%2Ficd%2339837_512ebf36_bf6b_4d70_85da_cf2637062af4","iCat")</x:f>
      </x:c>
      <x:c r="M6694" s="0" t="s">
        <x:v>21</x:v>
      </x:c>
      <x:c r="N6694" s="0" t="s">
        <x:v>46</x:v>
      </x:c>
    </x:row>
    <x:row r="6695" spans="1:16">
      <x:c r="A6695" s="0" t="s">
        <x:v>26637</x:v>
      </x:c>
      <x:c r="B6695" s="0" t="s">
        <x:v>26638</x:v>
      </x:c>
      <x:c r="C6695" s="0" t="s">
        <x:v>26639</x:v>
      </x:c>
      <x:c r="E6695" s="0" t="s">
        <x:v>26640</x:v>
      </x:c>
      <x:c r="F6695" s="0" t="s">
        <x:v>45</x:v>
      </x:c>
      <x:c r="G6695" s="0" t="s">
        <x:v>19</x:v>
      </x:c>
      <x:c r="H6695" s="0" t="s">
        <x:v>20</x:v>
      </x:c>
      <x:c r="I6695" s="0" t="s">
        <x:v>21</x:v>
      </x:c>
      <x:c r="K6695" s="0">
        <x:f>hyperlink("https://icd.who.int/dev11/l-ichi/en#/http%3A%2F%2Fid.who.int%2Ficd%2Fentity%2F2031305472","browser")</x:f>
      </x:c>
      <x:c r="L6695" s="0">
        <x:f>hyperlink("https://icat2.azurewebsites.net/icat/?ontology=ICD&amp;tab=ClassesTab&amp;id=http%3A%2F%2Fwho.int%2Ficd%2339844_512ebf36_bf6b_4d70_85da_cf2637062af4","iCat")</x:f>
      </x:c>
      <x:c r="M6695" s="0" t="s">
        <x:v>21</x:v>
      </x:c>
      <x:c r="N6695" s="0" t="s">
        <x:v>46</x:v>
      </x:c>
    </x:row>
    <x:row r="6696" spans="1:16">
      <x:c r="A6696" s="0" t="s">
        <x:v>26641</x:v>
      </x:c>
      <x:c r="B6696" s="0" t="s">
        <x:v>26642</x:v>
      </x:c>
      <x:c r="C6696" s="0" t="s">
        <x:v>26643</x:v>
      </x:c>
      <x:c r="E6696" s="0" t="s">
        <x:v>26644</x:v>
      </x:c>
      <x:c r="F6696" s="0" t="s">
        <x:v>45</x:v>
      </x:c>
      <x:c r="G6696" s="0" t="s">
        <x:v>19</x:v>
      </x:c>
      <x:c r="H6696" s="0" t="s">
        <x:v>20</x:v>
      </x:c>
      <x:c r="I6696" s="0" t="s">
        <x:v>21</x:v>
      </x:c>
      <x:c r="K6696" s="0">
        <x:f>hyperlink("https://icd.who.int/dev11/l-ichi/en#/http%3A%2F%2Fid.who.int%2Ficd%2Fentity%2F103309793","browser")</x:f>
      </x:c>
      <x:c r="L6696" s="0">
        <x:f>hyperlink("https://icat2.azurewebsites.net/icat/?ontology=ICD&amp;tab=ClassesTab&amp;id=http%3A%2F%2Fwho.int%2Ficd%2339851_512ebf36_bf6b_4d70_85da_cf2637062af4","iCat")</x:f>
      </x:c>
      <x:c r="M6696" s="0" t="s">
        <x:v>21</x:v>
      </x:c>
      <x:c r="N6696" s="0" t="s">
        <x:v>46</x:v>
      </x:c>
    </x:row>
    <x:row r="6697" spans="1:16">
      <x:c r="A6697" s="0" t="s">
        <x:v>26645</x:v>
      </x:c>
      <x:c r="B6697" s="0" t="s">
        <x:v>26646</x:v>
      </x:c>
      <x:c r="C6697" s="0" t="s">
        <x:v>26647</x:v>
      </x:c>
      <x:c r="E6697" s="0" t="s">
        <x:v>26648</x:v>
      </x:c>
      <x:c r="F6697" s="0" t="s">
        <x:v>45</x:v>
      </x:c>
      <x:c r="G6697" s="0" t="s">
        <x:v>19</x:v>
      </x:c>
      <x:c r="H6697" s="0" t="s">
        <x:v>20</x:v>
      </x:c>
      <x:c r="I6697" s="0" t="s">
        <x:v>21</x:v>
      </x:c>
      <x:c r="K6697" s="0">
        <x:f>hyperlink("https://icd.who.int/dev11/l-ichi/en#/http%3A%2F%2Fid.who.int%2Ficd%2Fentity%2F1750098568","browser")</x:f>
      </x:c>
      <x:c r="L6697" s="0">
        <x:f>hyperlink("https://icat2.azurewebsites.net/icat/?ontology=ICD&amp;tab=ClassesTab&amp;id=http%3A%2F%2Fwho.int%2Ficd%2339858_512ebf36_bf6b_4d70_85da_cf2637062af4","iCat")</x:f>
      </x:c>
      <x:c r="M6697" s="0" t="s">
        <x:v>21</x:v>
      </x:c>
      <x:c r="N6697" s="0" t="s">
        <x:v>46</x:v>
      </x:c>
    </x:row>
    <x:row r="6698" spans="1:16">
      <x:c r="A6698" s="0" t="s">
        <x:v>26649</x:v>
      </x:c>
      <x:c r="B6698" s="0" t="s">
        <x:v>26650</x:v>
      </x:c>
      <x:c r="C6698" s="0" t="s">
        <x:v>26651</x:v>
      </x:c>
      <x:c r="E6698" s="0" t="s">
        <x:v>26652</x:v>
      </x:c>
      <x:c r="F6698" s="0" t="s">
        <x:v>45</x:v>
      </x:c>
      <x:c r="G6698" s="0" t="s">
        <x:v>19</x:v>
      </x:c>
      <x:c r="H6698" s="0" t="s">
        <x:v>20</x:v>
      </x:c>
      <x:c r="I6698" s="0" t="s">
        <x:v>21</x:v>
      </x:c>
      <x:c r="K6698" s="0">
        <x:f>hyperlink("https://icd.who.int/dev11/l-ichi/en#/http%3A%2F%2Fid.who.int%2Ficd%2Fentity%2F1939793300","browser")</x:f>
      </x:c>
      <x:c r="L6698" s="0">
        <x:f>hyperlink("https://icat2.azurewebsites.net/icat/?ontology=ICD&amp;tab=ClassesTab&amp;id=http%3A%2F%2Fwho.int%2Ficd%2339865_512ebf36_bf6b_4d70_85da_cf2637062af4","iCat")</x:f>
      </x:c>
      <x:c r="M6698" s="0" t="s">
        <x:v>21</x:v>
      </x:c>
      <x:c r="N6698" s="0" t="s">
        <x:v>46</x:v>
      </x:c>
    </x:row>
    <x:row r="6699" spans="1:16">
      <x:c r="A6699" s="0" t="s">
        <x:v>26653</x:v>
      </x:c>
      <x:c r="B6699" s="0" t="s">
        <x:v>26654</x:v>
      </x:c>
      <x:c r="C6699" s="0" t="s">
        <x:v>26655</x:v>
      </x:c>
      <x:c r="E6699" s="0" t="s">
        <x:v>26656</x:v>
      </x:c>
      <x:c r="F6699" s="0" t="s">
        <x:v>45</x:v>
      </x:c>
      <x:c r="G6699" s="0" t="s">
        <x:v>19</x:v>
      </x:c>
      <x:c r="H6699" s="0" t="s">
        <x:v>20</x:v>
      </x:c>
      <x:c r="I6699" s="0" t="s">
        <x:v>21</x:v>
      </x:c>
      <x:c r="K6699" s="0">
        <x:f>hyperlink("https://icd.who.int/dev11/l-ichi/en#/http%3A%2F%2Fid.who.int%2Ficd%2Fentity%2F1775885130","browser")</x:f>
      </x:c>
      <x:c r="L6699" s="0">
        <x:f>hyperlink("https://icat2.azurewebsites.net/icat/?ontology=ICD&amp;tab=ClassesTab&amp;id=http%3A%2F%2Fwho.int%2Ficd%2339872_512ebf36_bf6b_4d70_85da_cf2637062af4","iCat")</x:f>
      </x:c>
      <x:c r="M6699" s="0" t="s">
        <x:v>21</x:v>
      </x:c>
      <x:c r="N6699" s="0" t="s">
        <x:v>46</x:v>
      </x:c>
    </x:row>
    <x:row r="6700" spans="1:16">
      <x:c r="A6700" s="0" t="s">
        <x:v>26657</x:v>
      </x:c>
      <x:c r="B6700" s="0" t="s">
        <x:v>26658</x:v>
      </x:c>
      <x:c r="C6700" s="0" t="s">
        <x:v>26659</x:v>
      </x:c>
      <x:c r="E6700" s="0" t="s">
        <x:v>26660</x:v>
      </x:c>
      <x:c r="F6700" s="0" t="s">
        <x:v>45</x:v>
      </x:c>
      <x:c r="G6700" s="0" t="s">
        <x:v>19</x:v>
      </x:c>
      <x:c r="H6700" s="0" t="s">
        <x:v>20</x:v>
      </x:c>
      <x:c r="I6700" s="0" t="s">
        <x:v>21</x:v>
      </x:c>
      <x:c r="K6700" s="0">
        <x:f>hyperlink("https://icd.who.int/dev11/l-ichi/en#/http%3A%2F%2Fid.who.int%2Ficd%2Fentity%2F1658701284","browser")</x:f>
      </x:c>
      <x:c r="L6700" s="0">
        <x:f>hyperlink("https://icat2.azurewebsites.net/icat/?ontology=ICD&amp;tab=ClassesTab&amp;id=http%3A%2F%2Fwho.int%2Ficd%2339879_512ebf36_bf6b_4d70_85da_cf2637062af4","iCat")</x:f>
      </x:c>
      <x:c r="M6700" s="0" t="s">
        <x:v>21</x:v>
      </x:c>
      <x:c r="N6700" s="0" t="s">
        <x:v>46</x:v>
      </x:c>
    </x:row>
    <x:row r="6701" spans="1:16">
      <x:c r="A6701" s="0" t="s">
        <x:v>26661</x:v>
      </x:c>
      <x:c r="B6701" s="0" t="s">
        <x:v>26662</x:v>
      </x:c>
      <x:c r="C6701" s="0" t="s">
        <x:v>26663</x:v>
      </x:c>
      <x:c r="E6701" s="0" t="s">
        <x:v>26664</x:v>
      </x:c>
      <x:c r="F6701" s="0" t="s">
        <x:v>45</x:v>
      </x:c>
      <x:c r="G6701" s="0" t="s">
        <x:v>19</x:v>
      </x:c>
      <x:c r="H6701" s="0" t="s">
        <x:v>20</x:v>
      </x:c>
      <x:c r="I6701" s="0" t="s">
        <x:v>21</x:v>
      </x:c>
      <x:c r="K6701" s="0">
        <x:f>hyperlink("https://icd.who.int/dev11/l-ichi/en#/http%3A%2F%2Fid.who.int%2Ficd%2Fentity%2F1933137378","browser")</x:f>
      </x:c>
      <x:c r="L6701" s="0">
        <x:f>hyperlink("https://icat2.azurewebsites.net/icat/?ontology=ICD&amp;tab=ClassesTab&amp;id=http%3A%2F%2Fwho.int%2Ficd%2339886_512ebf36_bf6b_4d70_85da_cf2637062af4","iCat")</x:f>
      </x:c>
      <x:c r="M6701" s="0" t="s">
        <x:v>21</x:v>
      </x:c>
      <x:c r="N6701" s="0" t="s">
        <x:v>46</x:v>
      </x:c>
    </x:row>
    <x:row r="6702" spans="1:16">
      <x:c r="A6702" s="0" t="s">
        <x:v>26665</x:v>
      </x:c>
      <x:c r="B6702" s="0" t="s">
        <x:v>26666</x:v>
      </x:c>
      <x:c r="C6702" s="0" t="s">
        <x:v>26667</x:v>
      </x:c>
      <x:c r="E6702" s="0" t="s">
        <x:v>26668</x:v>
      </x:c>
      <x:c r="F6702" s="0" t="s">
        <x:v>45</x:v>
      </x:c>
      <x:c r="G6702" s="0" t="s">
        <x:v>19</x:v>
      </x:c>
      <x:c r="H6702" s="0" t="s">
        <x:v>20</x:v>
      </x:c>
      <x:c r="I6702" s="0" t="s">
        <x:v>21</x:v>
      </x:c>
      <x:c r="K6702" s="0">
        <x:f>hyperlink("https://icd.who.int/dev11/l-ichi/en#/http%3A%2F%2Fid.who.int%2Ficd%2Fentity%2F201488125","browser")</x:f>
      </x:c>
      <x:c r="L6702" s="0">
        <x:f>hyperlink("https://icat2.azurewebsites.net/icat/?ontology=ICD&amp;tab=ClassesTab&amp;id=http%3A%2F%2Fwho.int%2Ficd%2339893_512ebf36_bf6b_4d70_85da_cf2637062af4","iCat")</x:f>
      </x:c>
      <x:c r="M6702" s="0" t="s">
        <x:v>21</x:v>
      </x:c>
      <x:c r="N6702" s="0" t="s">
        <x:v>46</x:v>
      </x:c>
    </x:row>
    <x:row r="6703" spans="1:16">
      <x:c r="A6703" s="0" t="s">
        <x:v>26669</x:v>
      </x:c>
      <x:c r="B6703" s="0" t="s">
        <x:v>26670</x:v>
      </x:c>
      <x:c r="C6703" s="0" t="s">
        <x:v>26671</x:v>
      </x:c>
      <x:c r="E6703" s="0" t="s">
        <x:v>26672</x:v>
      </x:c>
      <x:c r="F6703" s="0" t="s">
        <x:v>45</x:v>
      </x:c>
      <x:c r="G6703" s="0" t="s">
        <x:v>19</x:v>
      </x:c>
      <x:c r="H6703" s="0" t="s">
        <x:v>20</x:v>
      </x:c>
      <x:c r="I6703" s="0" t="s">
        <x:v>21</x:v>
      </x:c>
      <x:c r="K6703" s="0">
        <x:f>hyperlink("https://icd.who.int/dev11/l-ichi/en#/http%3A%2F%2Fid.who.int%2Ficd%2Fentity%2F1240208138","browser")</x:f>
      </x:c>
      <x:c r="L6703" s="0">
        <x:f>hyperlink("https://icat2.azurewebsites.net/icat/?ontology=ICD&amp;tab=ClassesTab&amp;id=http%3A%2F%2Fwho.int%2Ficd%2339900_512ebf36_bf6b_4d70_85da_cf2637062af4","iCat")</x:f>
      </x:c>
      <x:c r="M6703" s="0" t="s">
        <x:v>21</x:v>
      </x:c>
      <x:c r="N6703" s="0" t="s">
        <x:v>46</x:v>
      </x:c>
    </x:row>
    <x:row r="6704" spans="1:16">
      <x:c r="A6704" s="0" t="s">
        <x:v>26673</x:v>
      </x:c>
      <x:c r="B6704" s="0" t="s">
        <x:v>26674</x:v>
      </x:c>
      <x:c r="C6704" s="0" t="s">
        <x:v>26675</x:v>
      </x:c>
      <x:c r="E6704" s="0" t="s">
        <x:v>26676</x:v>
      </x:c>
      <x:c r="F6704" s="0" t="s">
        <x:v>45</x:v>
      </x:c>
      <x:c r="G6704" s="0" t="s">
        <x:v>19</x:v>
      </x:c>
      <x:c r="H6704" s="0" t="s">
        <x:v>20</x:v>
      </x:c>
      <x:c r="I6704" s="0" t="s">
        <x:v>21</x:v>
      </x:c>
      <x:c r="K6704" s="0">
        <x:f>hyperlink("https://icd.who.int/dev11/l-ichi/en#/http%3A%2F%2Fid.who.int%2Ficd%2Fentity%2F963557511","browser")</x:f>
      </x:c>
      <x:c r="L6704" s="0">
        <x:f>hyperlink("https://icat2.azurewebsites.net/icat/?ontology=ICD&amp;tab=ClassesTab&amp;id=http%3A%2F%2Fwho.int%2Ficd%2339907_512ebf36_bf6b_4d70_85da_cf2637062af4","iCat")</x:f>
      </x:c>
      <x:c r="M6704" s="0" t="s">
        <x:v>21</x:v>
      </x:c>
      <x:c r="N6704" s="0" t="s">
        <x:v>46</x:v>
      </x:c>
    </x:row>
    <x:row r="6705" spans="1:16">
      <x:c r="A6705" s="0" t="s">
        <x:v>26677</x:v>
      </x:c>
      <x:c r="B6705" s="0" t="s">
        <x:v>26678</x:v>
      </x:c>
      <x:c r="C6705" s="0" t="s">
        <x:v>26679</x:v>
      </x:c>
      <x:c r="E6705" s="0" t="s">
        <x:v>26680</x:v>
      </x:c>
      <x:c r="F6705" s="0" t="s">
        <x:v>45</x:v>
      </x:c>
      <x:c r="G6705" s="0" t="s">
        <x:v>19</x:v>
      </x:c>
      <x:c r="H6705" s="0" t="s">
        <x:v>20</x:v>
      </x:c>
      <x:c r="I6705" s="0" t="s">
        <x:v>21</x:v>
      </x:c>
      <x:c r="K6705" s="0">
        <x:f>hyperlink("https://icd.who.int/dev11/l-ichi/en#/http%3A%2F%2Fid.who.int%2Ficd%2Fentity%2F372130345","browser")</x:f>
      </x:c>
      <x:c r="L6705" s="0">
        <x:f>hyperlink("https://icat2.azurewebsites.net/icat/?ontology=ICD&amp;tab=ClassesTab&amp;id=http%3A%2F%2Fwho.int%2Ficd%2339914_512ebf36_bf6b_4d70_85da_cf2637062af4","iCat")</x:f>
      </x:c>
      <x:c r="M6705" s="0" t="s">
        <x:v>21</x:v>
      </x:c>
      <x:c r="N6705" s="0" t="s">
        <x:v>46</x:v>
      </x:c>
    </x:row>
    <x:row r="6706" spans="1:16">
      <x:c r="A6706" s="0" t="s">
        <x:v>26681</x:v>
      </x:c>
      <x:c r="B6706" s="0" t="s">
        <x:v>26682</x:v>
      </x:c>
      <x:c r="C6706" s="0" t="s">
        <x:v>26683</x:v>
      </x:c>
      <x:c r="E6706" s="0" t="s">
        <x:v>26684</x:v>
      </x:c>
      <x:c r="F6706" s="0" t="s">
        <x:v>45</x:v>
      </x:c>
      <x:c r="G6706" s="0" t="s">
        <x:v>19</x:v>
      </x:c>
      <x:c r="H6706" s="0" t="s">
        <x:v>20</x:v>
      </x:c>
      <x:c r="I6706" s="0" t="s">
        <x:v>21</x:v>
      </x:c>
      <x:c r="K6706" s="0">
        <x:f>hyperlink("https://icd.who.int/dev11/l-ichi/en#/http%3A%2F%2Fid.who.int%2Ficd%2Fentity%2F1453261358","browser")</x:f>
      </x:c>
      <x:c r="L6706" s="0">
        <x:f>hyperlink("https://icat2.azurewebsites.net/icat/?ontology=ICD&amp;tab=ClassesTab&amp;id=http%3A%2F%2Fwho.int%2Ficd%2339924_512ebf36_bf6b_4d70_85da_cf2637062af4","iCat")</x:f>
      </x:c>
      <x:c r="M6706" s="0" t="s">
        <x:v>21</x:v>
      </x:c>
      <x:c r="N6706" s="0" t="s">
        <x:v>46</x:v>
      </x:c>
    </x:row>
    <x:row r="6707" spans="1:16">
      <x:c r="A6707" s="0" t="s">
        <x:v>26685</x:v>
      </x:c>
      <x:c r="B6707" s="0" t="s">
        <x:v>26686</x:v>
      </x:c>
      <x:c r="C6707" s="0" t="s">
        <x:v>26687</x:v>
      </x:c>
      <x:c r="E6707" s="0" t="s">
        <x:v>26688</x:v>
      </x:c>
      <x:c r="F6707" s="0" t="s">
        <x:v>45</x:v>
      </x:c>
      <x:c r="G6707" s="0" t="s">
        <x:v>19</x:v>
      </x:c>
      <x:c r="H6707" s="0" t="s">
        <x:v>20</x:v>
      </x:c>
      <x:c r="I6707" s="0" t="s">
        <x:v>21</x:v>
      </x:c>
      <x:c r="K6707" s="0">
        <x:f>hyperlink("https://icd.who.int/dev11/l-ichi/en#/http%3A%2F%2Fid.who.int%2Ficd%2Fentity%2F698622257","browser")</x:f>
      </x:c>
      <x:c r="L6707" s="0">
        <x:f>hyperlink("https://icat2.azurewebsites.net/icat/?ontology=ICD&amp;tab=ClassesTab&amp;id=http%3A%2F%2Fwho.int%2Ficd%2339931_512ebf36_bf6b_4d70_85da_cf2637062af4","iCat")</x:f>
      </x:c>
      <x:c r="M6707" s="0" t="s">
        <x:v>21</x:v>
      </x:c>
      <x:c r="N6707" s="0" t="s">
        <x:v>46</x:v>
      </x:c>
    </x:row>
    <x:row r="6708" spans="1:16">
      <x:c r="A6708" s="0" t="s">
        <x:v>26689</x:v>
      </x:c>
      <x:c r="B6708" s="0" t="s">
        <x:v>26690</x:v>
      </x:c>
      <x:c r="C6708" s="0" t="s">
        <x:v>26691</x:v>
      </x:c>
      <x:c r="E6708" s="0" t="s">
        <x:v>26692</x:v>
      </x:c>
      <x:c r="F6708" s="0" t="s">
        <x:v>45</x:v>
      </x:c>
      <x:c r="G6708" s="0" t="s">
        <x:v>19</x:v>
      </x:c>
      <x:c r="H6708" s="0" t="s">
        <x:v>20</x:v>
      </x:c>
      <x:c r="I6708" s="0" t="s">
        <x:v>21</x:v>
      </x:c>
      <x:c r="K6708" s="0">
        <x:f>hyperlink("https://icd.who.int/dev11/l-ichi/en#/http%3A%2F%2Fid.who.int%2Ficd%2Fentity%2F1205609050","browser")</x:f>
      </x:c>
      <x:c r="L6708" s="0">
        <x:f>hyperlink("https://icat2.azurewebsites.net/icat/?ontology=ICD&amp;tab=ClassesTab&amp;id=http%3A%2F%2Fwho.int%2Ficd%2339938_512ebf36_bf6b_4d70_85da_cf2637062af4","iCat")</x:f>
      </x:c>
      <x:c r="M6708" s="0" t="s">
        <x:v>21</x:v>
      </x:c>
      <x:c r="N6708" s="0" t="s">
        <x:v>46</x:v>
      </x:c>
    </x:row>
    <x:row r="6709" spans="1:16">
      <x:c r="A6709" s="0" t="s">
        <x:v>26693</x:v>
      </x:c>
      <x:c r="B6709" s="0" t="s">
        <x:v>26694</x:v>
      </x:c>
      <x:c r="C6709" s="0" t="s">
        <x:v>26695</x:v>
      </x:c>
      <x:c r="E6709" s="0" t="s">
        <x:v>26696</x:v>
      </x:c>
      <x:c r="F6709" s="0" t="s">
        <x:v>45</x:v>
      </x:c>
      <x:c r="G6709" s="0" t="s">
        <x:v>19</x:v>
      </x:c>
      <x:c r="H6709" s="0" t="s">
        <x:v>20</x:v>
      </x:c>
      <x:c r="I6709" s="0" t="s">
        <x:v>21</x:v>
      </x:c>
      <x:c r="K6709" s="0">
        <x:f>hyperlink("https://icd.who.int/dev11/l-ichi/en#/http%3A%2F%2Fid.who.int%2Ficd%2Fentity%2F1777375656","browser")</x:f>
      </x:c>
      <x:c r="L6709" s="0">
        <x:f>hyperlink("https://icat2.azurewebsites.net/icat/?ontology=ICD&amp;tab=ClassesTab&amp;id=http%3A%2F%2Fwho.int%2Ficd%2339946_512ebf36_bf6b_4d70_85da_cf2637062af4","iCat")</x:f>
      </x:c>
      <x:c r="M6709" s="0" t="s">
        <x:v>21</x:v>
      </x:c>
      <x:c r="N6709" s="0" t="s">
        <x:v>46</x:v>
      </x:c>
    </x:row>
    <x:row r="6710" spans="1:16">
      <x:c r="A6710" s="0" t="s">
        <x:v>26697</x:v>
      </x:c>
      <x:c r="B6710" s="0" t="s">
        <x:v>26698</x:v>
      </x:c>
      <x:c r="C6710" s="0" t="s">
        <x:v>26699</x:v>
      </x:c>
      <x:c r="E6710" s="0" t="s">
        <x:v>26700</x:v>
      </x:c>
      <x:c r="F6710" s="0" t="s">
        <x:v>45</x:v>
      </x:c>
      <x:c r="G6710" s="0" t="s">
        <x:v>19</x:v>
      </x:c>
      <x:c r="H6710" s="0" t="s">
        <x:v>20</x:v>
      </x:c>
      <x:c r="I6710" s="0" t="s">
        <x:v>21</x:v>
      </x:c>
      <x:c r="K6710" s="0">
        <x:f>hyperlink("https://icd.who.int/dev11/l-ichi/en#/http%3A%2F%2Fid.who.int%2Ficd%2Fentity%2F382450361","browser")</x:f>
      </x:c>
      <x:c r="L6710" s="0">
        <x:f>hyperlink("https://icat2.azurewebsites.net/icat/?ontology=ICD&amp;tab=ClassesTab&amp;id=http%3A%2F%2Fwho.int%2Ficd%2339953_512ebf36_bf6b_4d70_85da_cf2637062af4","iCat")</x:f>
      </x:c>
      <x:c r="M6710" s="0" t="s">
        <x:v>21</x:v>
      </x:c>
      <x:c r="N6710" s="0" t="s">
        <x:v>46</x:v>
      </x:c>
    </x:row>
    <x:row r="6711" spans="1:16">
      <x:c r="A6711" s="0" t="s">
        <x:v>26701</x:v>
      </x:c>
      <x:c r="B6711" s="0" t="s">
        <x:v>26702</x:v>
      </x:c>
      <x:c r="D6711" s="0" t="s">
        <x:v>26703</x:v>
      </x:c>
      <x:c r="E6711" s="0" t="s">
        <x:v>26704</x:v>
      </x:c>
      <x:c r="F6711" s="0" t="s">
        <x:v>26</x:v>
      </x:c>
      <x:c r="G6711" s="0" t="s">
        <x:v>35</x:v>
      </x:c>
      <x:c r="H6711" s="0" t="s">
        <x:v>20</x:v>
      </x:c>
      <x:c r="I6711" s="0" t="s">
        <x:v>21</x:v>
      </x:c>
      <x:c r="K6711" s="0">
        <x:f>hyperlink("https://icd.who.int/dev11/l-ichi/en#/http%3A%2F%2Fid.who.int%2Ficd%2Fentity%2F856090491","browser")</x:f>
      </x:c>
      <x:c r="L6711" s="0">
        <x:f>hyperlink("https://icat2.azurewebsites.net/icat/?ontology=ICD&amp;tab=ClassesTab&amp;id=http%3A%2F%2Fwho.int%2Ficd%2339961_512ebf36_bf6b_4d70_85da_cf2637062af4","iCat")</x:f>
      </x:c>
      <x:c r="M6711" s="0" t="s">
        <x:v>20</x:v>
      </x:c>
      <x:c r="N6711" s="0" t="s">
        <x:v>35</x:v>
      </x:c>
    </x:row>
    <x:row r="6712" spans="1:16">
      <x:c r="A6712" s="0" t="s">
        <x:v>26705</x:v>
      </x:c>
      <x:c r="B6712" s="0" t="s">
        <x:v>26706</x:v>
      </x:c>
      <x:c r="D6712" s="0" t="s">
        <x:v>26707</x:v>
      </x:c>
      <x:c r="E6712" s="0" t="s">
        <x:v>26708</x:v>
      </x:c>
      <x:c r="F6712" s="0" t="s">
        <x:v>26</x:v>
      </x:c>
      <x:c r="G6712" s="0" t="s">
        <x:v>22</x:v>
      </x:c>
      <x:c r="H6712" s="0" t="s">
        <x:v>20</x:v>
      </x:c>
      <x:c r="I6712" s="0" t="s">
        <x:v>21</x:v>
      </x:c>
      <x:c r="K6712" s="0">
        <x:f>hyperlink("https://icd.who.int/dev11/l-ichi/en#/http%3A%2F%2Fid.who.int%2Ficd%2Fentity%2F1669152460","browser")</x:f>
      </x:c>
      <x:c r="L6712" s="0">
        <x:f>hyperlink("https://icat2.azurewebsites.net/icat/?ontology=ICD&amp;tab=ClassesTab&amp;id=http%3A%2F%2Fwho.int%2Ficd%2339967_512ebf36_bf6b_4d70_85da_cf2637062af4","iCat")</x:f>
      </x:c>
      <x:c r="M6712" s="0" t="s">
        <x:v>20</x:v>
      </x:c>
      <x:c r="N6712" s="0" t="s">
        <x:v>26516</x:v>
      </x:c>
    </x:row>
    <x:row r="6713" spans="1:16">
      <x:c r="A6713" s="0" t="s">
        <x:v>26709</x:v>
      </x:c>
      <x:c r="B6713" s="0" t="s">
        <x:v>26710</x:v>
      </x:c>
      <x:c r="C6713" s="0" t="s">
        <x:v>26711</x:v>
      </x:c>
      <x:c r="E6713" s="0" t="s">
        <x:v>26712</x:v>
      </x:c>
      <x:c r="F6713" s="0" t="s">
        <x:v>45</x:v>
      </x:c>
      <x:c r="G6713" s="0" t="s">
        <x:v>19</x:v>
      </x:c>
      <x:c r="H6713" s="0" t="s">
        <x:v>20</x:v>
      </x:c>
      <x:c r="I6713" s="0" t="s">
        <x:v>21</x:v>
      </x:c>
      <x:c r="K6713" s="0">
        <x:f>hyperlink("https://icd.who.int/dev11/l-ichi/en#/http%3A%2F%2Fid.who.int%2Ficd%2Fentity%2F335516999","browser")</x:f>
      </x:c>
      <x:c r="L6713" s="0">
        <x:f>hyperlink("https://icat2.azurewebsites.net/icat/?ontology=ICD&amp;tab=ClassesTab&amp;id=http%3A%2F%2Fwho.int%2Ficd%2339960_512ebf36_bf6b_4d70_85da_cf2637062af4","iCat")</x:f>
      </x:c>
      <x:c r="M6713" s="0" t="s">
        <x:v>21</x:v>
      </x:c>
      <x:c r="N6713" s="0" t="s">
        <x:v>46</x:v>
      </x:c>
    </x:row>
    <x:row r="6714" spans="1:16">
      <x:c r="A6714" s="0" t="s">
        <x:v>26713</x:v>
      </x:c>
      <x:c r="B6714" s="0" t="s">
        <x:v>26714</x:v>
      </x:c>
      <x:c r="C6714" s="0" t="s">
        <x:v>26715</x:v>
      </x:c>
      <x:c r="E6714" s="0" t="s">
        <x:v>26716</x:v>
      </x:c>
      <x:c r="F6714" s="0" t="s">
        <x:v>45</x:v>
      </x:c>
      <x:c r="G6714" s="0" t="s">
        <x:v>19</x:v>
      </x:c>
      <x:c r="H6714" s="0" t="s">
        <x:v>20</x:v>
      </x:c>
      <x:c r="I6714" s="0" t="s">
        <x:v>21</x:v>
      </x:c>
      <x:c r="K6714" s="0">
        <x:f>hyperlink("https://icd.who.int/dev11/l-ichi/en#/http%3A%2F%2Fid.who.int%2Ficd%2Fentity%2F390202233","browser")</x:f>
      </x:c>
      <x:c r="L6714" s="0">
        <x:f>hyperlink("https://icat2.azurewebsites.net/icat/?ontology=ICD&amp;tab=ClassesTab&amp;id=http%3A%2F%2Fwho.int%2Ficd%2339979_512ebf36_bf6b_4d70_85da_cf2637062af4","iCat")</x:f>
      </x:c>
      <x:c r="M6714" s="0" t="s">
        <x:v>21</x:v>
      </x:c>
      <x:c r="N6714" s="0" t="s">
        <x:v>46</x:v>
      </x:c>
    </x:row>
    <x:row r="6715" spans="1:16">
      <x:c r="A6715" s="0" t="s">
        <x:v>26717</x:v>
      </x:c>
      <x:c r="B6715" s="0" t="s">
        <x:v>26718</x:v>
      </x:c>
      <x:c r="C6715" s="0" t="s">
        <x:v>26719</x:v>
      </x:c>
      <x:c r="E6715" s="0" t="s">
        <x:v>26720</x:v>
      </x:c>
      <x:c r="F6715" s="0" t="s">
        <x:v>45</x:v>
      </x:c>
      <x:c r="G6715" s="0" t="s">
        <x:v>19</x:v>
      </x:c>
      <x:c r="H6715" s="0" t="s">
        <x:v>20</x:v>
      </x:c>
      <x:c r="I6715" s="0" t="s">
        <x:v>21</x:v>
      </x:c>
      <x:c r="K6715" s="0">
        <x:f>hyperlink("https://icd.who.int/dev11/l-ichi/en#/http%3A%2F%2Fid.who.int%2Ficd%2Fentity%2F111580031","browser")</x:f>
      </x:c>
      <x:c r="L6715" s="0">
        <x:f>hyperlink("https://icat2.azurewebsites.net/icat/?ontology=ICD&amp;tab=ClassesTab&amp;id=http%3A%2F%2Fwho.int%2Ficd%2339986_512ebf36_bf6b_4d70_85da_cf2637062af4","iCat")</x:f>
      </x:c>
      <x:c r="M6715" s="0" t="s">
        <x:v>21</x:v>
      </x:c>
      <x:c r="N6715" s="0" t="s">
        <x:v>46</x:v>
      </x:c>
    </x:row>
    <x:row r="6716" spans="1:16">
      <x:c r="A6716" s="0" t="s">
        <x:v>26721</x:v>
      </x:c>
      <x:c r="B6716" s="0" t="s">
        <x:v>26722</x:v>
      </x:c>
      <x:c r="C6716" s="0" t="s">
        <x:v>26723</x:v>
      </x:c>
      <x:c r="E6716" s="0" t="s">
        <x:v>26724</x:v>
      </x:c>
      <x:c r="F6716" s="0" t="s">
        <x:v>45</x:v>
      </x:c>
      <x:c r="G6716" s="0" t="s">
        <x:v>19</x:v>
      </x:c>
      <x:c r="H6716" s="0" t="s">
        <x:v>20</x:v>
      </x:c>
      <x:c r="I6716" s="0" t="s">
        <x:v>21</x:v>
      </x:c>
      <x:c r="K6716" s="0">
        <x:f>hyperlink("https://icd.who.int/dev11/l-ichi/en#/http%3A%2F%2Fid.who.int%2Ficd%2Fentity%2F2040377440","browser")</x:f>
      </x:c>
      <x:c r="L6716" s="0">
        <x:f>hyperlink("https://icat2.azurewebsites.net/icat/?ontology=ICD&amp;tab=ClassesTab&amp;id=http%3A%2F%2Fwho.int%2Ficd%2339993_512ebf36_bf6b_4d70_85da_cf2637062af4","iCat")</x:f>
      </x:c>
      <x:c r="M6716" s="0" t="s">
        <x:v>21</x:v>
      </x:c>
      <x:c r="N6716" s="0" t="s">
        <x:v>46</x:v>
      </x:c>
    </x:row>
    <x:row r="6717" spans="1:16">
      <x:c r="A6717" s="0" t="s">
        <x:v>26725</x:v>
      </x:c>
      <x:c r="B6717" s="0" t="s">
        <x:v>26726</x:v>
      </x:c>
      <x:c r="C6717" s="0" t="s">
        <x:v>26727</x:v>
      </x:c>
      <x:c r="E6717" s="0" t="s">
        <x:v>26728</x:v>
      </x:c>
      <x:c r="F6717" s="0" t="s">
        <x:v>45</x:v>
      </x:c>
      <x:c r="G6717" s="0" t="s">
        <x:v>19</x:v>
      </x:c>
      <x:c r="H6717" s="0" t="s">
        <x:v>20</x:v>
      </x:c>
      <x:c r="I6717" s="0" t="s">
        <x:v>21</x:v>
      </x:c>
      <x:c r="K6717" s="0">
        <x:f>hyperlink("https://icd.who.int/dev11/l-ichi/en#/http%3A%2F%2Fid.who.int%2Ficd%2Fentity%2F11495580","browser")</x:f>
      </x:c>
      <x:c r="L6717" s="0">
        <x:f>hyperlink("https://icat2.azurewebsites.net/icat/?ontology=ICD&amp;tab=ClassesTab&amp;id=http%3A%2F%2Fwho.int%2Ficd%2340000_512ebf36_bf6b_4d70_85da_cf2637062af4","iCat")</x:f>
      </x:c>
      <x:c r="M6717" s="0" t="s">
        <x:v>21</x:v>
      </x:c>
      <x:c r="N6717" s="0" t="s">
        <x:v>46</x:v>
      </x:c>
    </x:row>
    <x:row r="6718" spans="1:16">
      <x:c r="A6718" s="0" t="s">
        <x:v>26729</x:v>
      </x:c>
      <x:c r="B6718" s="0" t="s">
        <x:v>26730</x:v>
      </x:c>
      <x:c r="C6718" s="0" t="s">
        <x:v>26731</x:v>
      </x:c>
      <x:c r="E6718" s="0" t="s">
        <x:v>26732</x:v>
      </x:c>
      <x:c r="F6718" s="0" t="s">
        <x:v>45</x:v>
      </x:c>
      <x:c r="G6718" s="0" t="s">
        <x:v>19</x:v>
      </x:c>
      <x:c r="H6718" s="0" t="s">
        <x:v>20</x:v>
      </x:c>
      <x:c r="I6718" s="0" t="s">
        <x:v>21</x:v>
      </x:c>
      <x:c r="K6718" s="0">
        <x:f>hyperlink("https://icd.who.int/dev11/l-ichi/en#/http%3A%2F%2Fid.who.int%2Ficd%2Fentity%2F1882047249","browser")</x:f>
      </x:c>
      <x:c r="L6718" s="0">
        <x:f>hyperlink("https://icat2.azurewebsites.net/icat/?ontology=ICD&amp;tab=ClassesTab&amp;id=http%3A%2F%2Fwho.int%2Ficd%2340007_512ebf36_bf6b_4d70_85da_cf2637062af4","iCat")</x:f>
      </x:c>
      <x:c r="M6718" s="0" t="s">
        <x:v>21</x:v>
      </x:c>
      <x:c r="N6718" s="0" t="s">
        <x:v>46</x:v>
      </x:c>
    </x:row>
    <x:row r="6719" spans="1:16">
      <x:c r="A6719" s="0" t="s">
        <x:v>26733</x:v>
      </x:c>
      <x:c r="B6719" s="0" t="s">
        <x:v>26734</x:v>
      </x:c>
      <x:c r="C6719" s="0" t="s">
        <x:v>26735</x:v>
      </x:c>
      <x:c r="E6719" s="0" t="s">
        <x:v>26736</x:v>
      </x:c>
      <x:c r="F6719" s="0" t="s">
        <x:v>45</x:v>
      </x:c>
      <x:c r="G6719" s="0" t="s">
        <x:v>19</x:v>
      </x:c>
      <x:c r="H6719" s="0" t="s">
        <x:v>20</x:v>
      </x:c>
      <x:c r="I6719" s="0" t="s">
        <x:v>21</x:v>
      </x:c>
      <x:c r="K6719" s="0">
        <x:f>hyperlink("https://icd.who.int/dev11/l-ichi/en#/http%3A%2F%2Fid.who.int%2Ficd%2Fentity%2F1600993727","browser")</x:f>
      </x:c>
      <x:c r="L6719" s="0">
        <x:f>hyperlink("https://icat2.azurewebsites.net/icat/?ontology=ICD&amp;tab=ClassesTab&amp;id=http%3A%2F%2Fwho.int%2Ficd%2340014_512ebf36_bf6b_4d70_85da_cf2637062af4","iCat")</x:f>
      </x:c>
      <x:c r="M6719" s="0" t="s">
        <x:v>21</x:v>
      </x:c>
      <x:c r="N6719" s="0" t="s">
        <x:v>46</x:v>
      </x:c>
    </x:row>
    <x:row r="6720" spans="1:16">
      <x:c r="A6720" s="0" t="s">
        <x:v>26737</x:v>
      </x:c>
      <x:c r="B6720" s="0" t="s">
        <x:v>26738</x:v>
      </x:c>
      <x:c r="C6720" s="0" t="s">
        <x:v>26739</x:v>
      </x:c>
      <x:c r="E6720" s="0" t="s">
        <x:v>26740</x:v>
      </x:c>
      <x:c r="F6720" s="0" t="s">
        <x:v>45</x:v>
      </x:c>
      <x:c r="G6720" s="0" t="s">
        <x:v>19</x:v>
      </x:c>
      <x:c r="H6720" s="0" t="s">
        <x:v>20</x:v>
      </x:c>
      <x:c r="I6720" s="0" t="s">
        <x:v>21</x:v>
      </x:c>
      <x:c r="K6720" s="0">
        <x:f>hyperlink("https://icd.who.int/dev11/l-ichi/en#/http%3A%2F%2Fid.who.int%2Ficd%2Fentity%2F170053616","browser")</x:f>
      </x:c>
      <x:c r="L6720" s="0">
        <x:f>hyperlink("https://icat2.azurewebsites.net/icat/?ontology=ICD&amp;tab=ClassesTab&amp;id=http%3A%2F%2Fwho.int%2Ficd%2340021_512ebf36_bf6b_4d70_85da_cf2637062af4","iCat")</x:f>
      </x:c>
      <x:c r="M6720" s="0" t="s">
        <x:v>21</x:v>
      </x:c>
      <x:c r="N6720" s="0" t="s">
        <x:v>46</x:v>
      </x:c>
    </x:row>
    <x:row r="6721" spans="1:16">
      <x:c r="A6721" s="0" t="s">
        <x:v>26741</x:v>
      </x:c>
      <x:c r="B6721" s="0" t="s">
        <x:v>26742</x:v>
      </x:c>
      <x:c r="C6721" s="0" t="s">
        <x:v>26743</x:v>
      </x:c>
      <x:c r="E6721" s="0" t="s">
        <x:v>26744</x:v>
      </x:c>
      <x:c r="F6721" s="0" t="s">
        <x:v>45</x:v>
      </x:c>
      <x:c r="G6721" s="0" t="s">
        <x:v>19</x:v>
      </x:c>
      <x:c r="H6721" s="0" t="s">
        <x:v>20</x:v>
      </x:c>
      <x:c r="I6721" s="0" t="s">
        <x:v>21</x:v>
      </x:c>
      <x:c r="K6721" s="0">
        <x:f>hyperlink("https://icd.who.int/dev11/l-ichi/en#/http%3A%2F%2Fid.who.int%2Ficd%2Fentity%2F1683672217","browser")</x:f>
      </x:c>
      <x:c r="L6721" s="0">
        <x:f>hyperlink("https://icat2.azurewebsites.net/icat/?ontology=ICD&amp;tab=ClassesTab&amp;id=http%3A%2F%2Fwho.int%2Ficd%2340028_512ebf36_bf6b_4d70_85da_cf2637062af4","iCat")</x:f>
      </x:c>
      <x:c r="M6721" s="0" t="s">
        <x:v>21</x:v>
      </x:c>
      <x:c r="N6721" s="0" t="s">
        <x:v>46</x:v>
      </x:c>
    </x:row>
    <x:row r="6722" spans="1:16">
      <x:c r="A6722" s="0" t="s">
        <x:v>26745</x:v>
      </x:c>
      <x:c r="B6722" s="0" t="s">
        <x:v>26746</x:v>
      </x:c>
      <x:c r="C6722" s="0" t="s">
        <x:v>26747</x:v>
      </x:c>
      <x:c r="E6722" s="0" t="s">
        <x:v>26748</x:v>
      </x:c>
      <x:c r="F6722" s="0" t="s">
        <x:v>45</x:v>
      </x:c>
      <x:c r="G6722" s="0" t="s">
        <x:v>19</x:v>
      </x:c>
      <x:c r="H6722" s="0" t="s">
        <x:v>20</x:v>
      </x:c>
      <x:c r="I6722" s="0" t="s">
        <x:v>21</x:v>
      </x:c>
      <x:c r="K6722" s="0">
        <x:f>hyperlink("https://icd.who.int/dev11/l-ichi/en#/http%3A%2F%2Fid.who.int%2Ficd%2Fentity%2F1440784083","browser")</x:f>
      </x:c>
      <x:c r="L6722" s="0">
        <x:f>hyperlink("https://icat2.azurewebsites.net/icat/?ontology=ICD&amp;tab=ClassesTab&amp;id=http%3A%2F%2Fwho.int%2Ficd%2340035_512ebf36_bf6b_4d70_85da_cf2637062af4","iCat")</x:f>
      </x:c>
      <x:c r="M6722" s="0" t="s">
        <x:v>21</x:v>
      </x:c>
      <x:c r="N6722" s="0" t="s">
        <x:v>46</x:v>
      </x:c>
    </x:row>
    <x:row r="6723" spans="1:16">
      <x:c r="A6723" s="0" t="s">
        <x:v>26749</x:v>
      </x:c>
      <x:c r="B6723" s="0" t="s">
        <x:v>26750</x:v>
      </x:c>
      <x:c r="C6723" s="0" t="s">
        <x:v>26751</x:v>
      </x:c>
      <x:c r="E6723" s="0" t="s">
        <x:v>26752</x:v>
      </x:c>
      <x:c r="F6723" s="0" t="s">
        <x:v>45</x:v>
      </x:c>
      <x:c r="G6723" s="0" t="s">
        <x:v>19</x:v>
      </x:c>
      <x:c r="H6723" s="0" t="s">
        <x:v>20</x:v>
      </x:c>
      <x:c r="I6723" s="0" t="s">
        <x:v>21</x:v>
      </x:c>
      <x:c r="K6723" s="0">
        <x:f>hyperlink("https://icd.who.int/dev11/l-ichi/en#/http%3A%2F%2Fid.who.int%2Ficd%2Fentity%2F364127812","browser")</x:f>
      </x:c>
      <x:c r="L6723" s="0">
        <x:f>hyperlink("https://icat2.azurewebsites.net/icat/?ontology=ICD&amp;tab=ClassesTab&amp;id=http%3A%2F%2Fwho.int%2Ficd%2340042_512ebf36_bf6b_4d70_85da_cf2637062af4","iCat")</x:f>
      </x:c>
      <x:c r="M6723" s="0" t="s">
        <x:v>21</x:v>
      </x:c>
      <x:c r="N6723" s="0" t="s">
        <x:v>46</x:v>
      </x:c>
    </x:row>
    <x:row r="6724" spans="1:16">
      <x:c r="A6724" s="0" t="s">
        <x:v>26753</x:v>
      </x:c>
      <x:c r="B6724" s="0" t="s">
        <x:v>26754</x:v>
      </x:c>
      <x:c r="C6724" s="0" t="s">
        <x:v>26755</x:v>
      </x:c>
      <x:c r="E6724" s="0" t="s">
        <x:v>26756</x:v>
      </x:c>
      <x:c r="F6724" s="0" t="s">
        <x:v>45</x:v>
      </x:c>
      <x:c r="G6724" s="0" t="s">
        <x:v>19</x:v>
      </x:c>
      <x:c r="H6724" s="0" t="s">
        <x:v>20</x:v>
      </x:c>
      <x:c r="I6724" s="0" t="s">
        <x:v>21</x:v>
      </x:c>
      <x:c r="K6724" s="0">
        <x:f>hyperlink("https://icd.who.int/dev11/l-ichi/en#/http%3A%2F%2Fid.who.int%2Ficd%2Fentity%2F514865386","browser")</x:f>
      </x:c>
      <x:c r="L6724" s="0">
        <x:f>hyperlink("https://icat2.azurewebsites.net/icat/?ontology=ICD&amp;tab=ClassesTab&amp;id=http%3A%2F%2Fwho.int%2Ficd%2340049_512ebf36_bf6b_4d70_85da_cf2637062af4","iCat")</x:f>
      </x:c>
      <x:c r="M6724" s="0" t="s">
        <x:v>21</x:v>
      </x:c>
      <x:c r="N6724" s="0" t="s">
        <x:v>46</x:v>
      </x:c>
    </x:row>
    <x:row r="6725" spans="1:16">
      <x:c r="A6725" s="0" t="s">
        <x:v>26757</x:v>
      </x:c>
      <x:c r="B6725" s="0" t="s">
        <x:v>26758</x:v>
      </x:c>
      <x:c r="C6725" s="0" t="s">
        <x:v>26759</x:v>
      </x:c>
      <x:c r="E6725" s="0" t="s">
        <x:v>26760</x:v>
      </x:c>
      <x:c r="F6725" s="0" t="s">
        <x:v>45</x:v>
      </x:c>
      <x:c r="G6725" s="0" t="s">
        <x:v>19</x:v>
      </x:c>
      <x:c r="H6725" s="0" t="s">
        <x:v>20</x:v>
      </x:c>
      <x:c r="I6725" s="0" t="s">
        <x:v>21</x:v>
      </x:c>
      <x:c r="K6725" s="0">
        <x:f>hyperlink("https://icd.who.int/dev11/l-ichi/en#/http%3A%2F%2Fid.who.int%2Ficd%2Fentity%2F1249277799","browser")</x:f>
      </x:c>
      <x:c r="L6725" s="0">
        <x:f>hyperlink("https://icat2.azurewebsites.net/icat/?ontology=ICD&amp;tab=ClassesTab&amp;id=http%3A%2F%2Fwho.int%2Ficd%2340056_512ebf36_bf6b_4d70_85da_cf2637062af4","iCat")</x:f>
      </x:c>
      <x:c r="M6725" s="0" t="s">
        <x:v>21</x:v>
      </x:c>
      <x:c r="N6725" s="0" t="s">
        <x:v>46</x:v>
      </x:c>
    </x:row>
    <x:row r="6726" spans="1:16">
      <x:c r="A6726" s="0" t="s">
        <x:v>26761</x:v>
      </x:c>
      <x:c r="B6726" s="0" t="s">
        <x:v>26762</x:v>
      </x:c>
      <x:c r="C6726" s="0" t="s">
        <x:v>26763</x:v>
      </x:c>
      <x:c r="E6726" s="0" t="s">
        <x:v>26764</x:v>
      </x:c>
      <x:c r="F6726" s="0" t="s">
        <x:v>45</x:v>
      </x:c>
      <x:c r="G6726" s="0" t="s">
        <x:v>19</x:v>
      </x:c>
      <x:c r="H6726" s="0" t="s">
        <x:v>20</x:v>
      </x:c>
      <x:c r="I6726" s="0" t="s">
        <x:v>21</x:v>
      </x:c>
      <x:c r="K6726" s="0">
        <x:f>hyperlink("https://icd.who.int/dev11/l-ichi/en#/http%3A%2F%2Fid.who.int%2Ficd%2Fentity%2F523862312","browser")</x:f>
      </x:c>
      <x:c r="L6726" s="0">
        <x:f>hyperlink("https://icat2.azurewebsites.net/icat/?ontology=ICD&amp;tab=ClassesTab&amp;id=http%3A%2F%2Fwho.int%2Ficd%2340063_512ebf36_bf6b_4d70_85da_cf2637062af4","iCat")</x:f>
      </x:c>
      <x:c r="M6726" s="0" t="s">
        <x:v>21</x:v>
      </x:c>
      <x:c r="N6726" s="0" t="s">
        <x:v>46</x:v>
      </x:c>
    </x:row>
    <x:row r="6727" spans="1:16">
      <x:c r="A6727" s="0" t="s">
        <x:v>26765</x:v>
      </x:c>
      <x:c r="B6727" s="0" t="s">
        <x:v>26766</x:v>
      </x:c>
      <x:c r="C6727" s="0" t="s">
        <x:v>26767</x:v>
      </x:c>
      <x:c r="E6727" s="0" t="s">
        <x:v>26768</x:v>
      </x:c>
      <x:c r="F6727" s="0" t="s">
        <x:v>45</x:v>
      </x:c>
      <x:c r="G6727" s="0" t="s">
        <x:v>19</x:v>
      </x:c>
      <x:c r="H6727" s="0" t="s">
        <x:v>20</x:v>
      </x:c>
      <x:c r="I6727" s="0" t="s">
        <x:v>21</x:v>
      </x:c>
      <x:c r="K6727" s="0">
        <x:f>hyperlink("https://icd.who.int/dev11/l-ichi/en#/http%3A%2F%2Fid.who.int%2Ficd%2Fentity%2F813267848","browser")</x:f>
      </x:c>
      <x:c r="L6727" s="0">
        <x:f>hyperlink("https://icat2.azurewebsites.net/icat/?ontology=ICD&amp;tab=ClassesTab&amp;id=http%3A%2F%2Fwho.int%2Ficd%2340070_512ebf36_bf6b_4d70_85da_cf2637062af4","iCat")</x:f>
      </x:c>
      <x:c r="M6727" s="0" t="s">
        <x:v>21</x:v>
      </x:c>
      <x:c r="N6727" s="0" t="s">
        <x:v>46</x:v>
      </x:c>
    </x:row>
    <x:row r="6728" spans="1:16">
      <x:c r="A6728" s="0" t="s">
        <x:v>26769</x:v>
      </x:c>
      <x:c r="B6728" s="0" t="s">
        <x:v>26770</x:v>
      </x:c>
      <x:c r="C6728" s="0" t="s">
        <x:v>26771</x:v>
      </x:c>
      <x:c r="E6728" s="0" t="s">
        <x:v>26772</x:v>
      </x:c>
      <x:c r="F6728" s="0" t="s">
        <x:v>45</x:v>
      </x:c>
      <x:c r="G6728" s="0" t="s">
        <x:v>19</x:v>
      </x:c>
      <x:c r="H6728" s="0" t="s">
        <x:v>20</x:v>
      </x:c>
      <x:c r="I6728" s="0" t="s">
        <x:v>21</x:v>
      </x:c>
      <x:c r="K6728" s="0">
        <x:f>hyperlink("https://icd.who.int/dev11/l-ichi/en#/http%3A%2F%2Fid.who.int%2Ficd%2Fentity%2F1090244619","browser")</x:f>
      </x:c>
      <x:c r="L6728" s="0">
        <x:f>hyperlink("https://icat2.azurewebsites.net/icat/?ontology=ICD&amp;tab=ClassesTab&amp;id=http%3A%2F%2Fwho.int%2Ficd%2340077_512ebf36_bf6b_4d70_85da_cf2637062af4","iCat")</x:f>
      </x:c>
      <x:c r="M6728" s="0" t="s">
        <x:v>21</x:v>
      </x:c>
      <x:c r="N6728" s="0" t="s">
        <x:v>46</x:v>
      </x:c>
    </x:row>
    <x:row r="6729" spans="1:16">
      <x:c r="A6729" s="0" t="s">
        <x:v>26773</x:v>
      </x:c>
      <x:c r="B6729" s="0" t="s">
        <x:v>26774</x:v>
      </x:c>
      <x:c r="C6729" s="0" t="s">
        <x:v>26775</x:v>
      </x:c>
      <x:c r="E6729" s="0" t="s">
        <x:v>26776</x:v>
      </x:c>
      <x:c r="F6729" s="0" t="s">
        <x:v>45</x:v>
      </x:c>
      <x:c r="G6729" s="0" t="s">
        <x:v>19</x:v>
      </x:c>
      <x:c r="H6729" s="0" t="s">
        <x:v>20</x:v>
      </x:c>
      <x:c r="I6729" s="0" t="s">
        <x:v>21</x:v>
      </x:c>
      <x:c r="K6729" s="0">
        <x:f>hyperlink("https://icd.who.int/dev11/l-ichi/en#/http%3A%2F%2Fid.who.int%2Ficd%2Fentity%2F714732844","browser")</x:f>
      </x:c>
      <x:c r="L6729" s="0">
        <x:f>hyperlink("https://icat2.azurewebsites.net/icat/?ontology=ICD&amp;tab=ClassesTab&amp;id=http%3A%2F%2Fwho.int%2Ficd%2340084_512ebf36_bf6b_4d70_85da_cf2637062af4","iCat")</x:f>
      </x:c>
      <x:c r="M6729" s="0" t="s">
        <x:v>21</x:v>
      </x:c>
      <x:c r="N6729" s="0" t="s">
        <x:v>46</x:v>
      </x:c>
    </x:row>
    <x:row r="6730" spans="1:16">
      <x:c r="A6730" s="0" t="s">
        <x:v>26777</x:v>
      </x:c>
      <x:c r="B6730" s="0" t="s">
        <x:v>26778</x:v>
      </x:c>
      <x:c r="C6730" s="0" t="s">
        <x:v>26779</x:v>
      </x:c>
      <x:c r="E6730" s="0" t="s">
        <x:v>26780</x:v>
      </x:c>
      <x:c r="F6730" s="0" t="s">
        <x:v>45</x:v>
      </x:c>
      <x:c r="G6730" s="0" t="s">
        <x:v>19</x:v>
      </x:c>
      <x:c r="H6730" s="0" t="s">
        <x:v>20</x:v>
      </x:c>
      <x:c r="I6730" s="0" t="s">
        <x:v>21</x:v>
      </x:c>
      <x:c r="K6730" s="0">
        <x:f>hyperlink("https://icd.who.int/dev11/l-ichi/en#/http%3A%2F%2Fid.who.int%2Ficd%2Fentity%2F1436735027","browser")</x:f>
      </x:c>
      <x:c r="L6730" s="0">
        <x:f>hyperlink("https://icat2.azurewebsites.net/icat/?ontology=ICD&amp;tab=ClassesTab&amp;id=http%3A%2F%2Fwho.int%2Ficd%2340091_512ebf36_bf6b_4d70_85da_cf2637062af4","iCat")</x:f>
      </x:c>
      <x:c r="M6730" s="0" t="s">
        <x:v>21</x:v>
      </x:c>
      <x:c r="N6730" s="0" t="s">
        <x:v>46</x:v>
      </x:c>
    </x:row>
    <x:row r="6731" spans="1:16">
      <x:c r="A6731" s="0" t="s">
        <x:v>26781</x:v>
      </x:c>
      <x:c r="B6731" s="0" t="s">
        <x:v>26782</x:v>
      </x:c>
      <x:c r="C6731" s="0" t="s">
        <x:v>26783</x:v>
      </x:c>
      <x:c r="E6731" s="0" t="s">
        <x:v>26784</x:v>
      </x:c>
      <x:c r="F6731" s="0" t="s">
        <x:v>45</x:v>
      </x:c>
      <x:c r="G6731" s="0" t="s">
        <x:v>19</x:v>
      </x:c>
      <x:c r="H6731" s="0" t="s">
        <x:v>20</x:v>
      </x:c>
      <x:c r="I6731" s="0" t="s">
        <x:v>21</x:v>
      </x:c>
      <x:c r="K6731" s="0">
        <x:f>hyperlink("https://icd.who.int/dev11/l-ichi/en#/http%3A%2F%2Fid.who.int%2Ficd%2Fentity%2F1004197212","browser")</x:f>
      </x:c>
      <x:c r="L6731" s="0">
        <x:f>hyperlink("https://icat2.azurewebsites.net/icat/?ontology=ICD&amp;tab=ClassesTab&amp;id=http%3A%2F%2Fwho.int%2Ficd%2340098_512ebf36_bf6b_4d70_85da_cf2637062af4","iCat")</x:f>
      </x:c>
      <x:c r="M6731" s="0" t="s">
        <x:v>21</x:v>
      </x:c>
      <x:c r="N6731" s="0" t="s">
        <x:v>46</x:v>
      </x:c>
    </x:row>
    <x:row r="6732" spans="1:16">
      <x:c r="A6732" s="0" t="s">
        <x:v>26785</x:v>
      </x:c>
      <x:c r="B6732" s="0" t="s">
        <x:v>26786</x:v>
      </x:c>
      <x:c r="C6732" s="0" t="s">
        <x:v>26787</x:v>
      </x:c>
      <x:c r="E6732" s="0" t="s">
        <x:v>26788</x:v>
      </x:c>
      <x:c r="F6732" s="0" t="s">
        <x:v>45</x:v>
      </x:c>
      <x:c r="G6732" s="0" t="s">
        <x:v>19</x:v>
      </x:c>
      <x:c r="H6732" s="0" t="s">
        <x:v>20</x:v>
      </x:c>
      <x:c r="I6732" s="0" t="s">
        <x:v>21</x:v>
      </x:c>
      <x:c r="K6732" s="0">
        <x:f>hyperlink("https://icd.who.int/dev11/l-ichi/en#/http%3A%2F%2Fid.who.int%2Ficd%2Fentity%2F1624119369","browser")</x:f>
      </x:c>
      <x:c r="L6732" s="0">
        <x:f>hyperlink("https://icat2.azurewebsites.net/icat/?ontology=ICD&amp;tab=ClassesTab&amp;id=http%3A%2F%2Fwho.int%2Ficd%2340105_512ebf36_bf6b_4d70_85da_cf2637062af4","iCat")</x:f>
      </x:c>
      <x:c r="M6732" s="0" t="s">
        <x:v>21</x:v>
      </x:c>
      <x:c r="N6732" s="0" t="s">
        <x:v>46</x:v>
      </x:c>
    </x:row>
    <x:row r="6733" spans="1:16">
      <x:c r="A6733" s="0" t="s">
        <x:v>26789</x:v>
      </x:c>
      <x:c r="B6733" s="0" t="s">
        <x:v>26790</x:v>
      </x:c>
      <x:c r="C6733" s="0" t="s">
        <x:v>26791</x:v>
      </x:c>
      <x:c r="E6733" s="0" t="s">
        <x:v>26792</x:v>
      </x:c>
      <x:c r="F6733" s="0" t="s">
        <x:v>45</x:v>
      </x:c>
      <x:c r="G6733" s="0" t="s">
        <x:v>19</x:v>
      </x:c>
      <x:c r="H6733" s="0" t="s">
        <x:v>20</x:v>
      </x:c>
      <x:c r="I6733" s="0" t="s">
        <x:v>21</x:v>
      </x:c>
      <x:c r="K6733" s="0">
        <x:f>hyperlink("https://icd.who.int/dev11/l-ichi/en#/http%3A%2F%2Fid.who.int%2Ficd%2Fentity%2F2055808659","browser")</x:f>
      </x:c>
      <x:c r="L6733" s="0">
        <x:f>hyperlink("https://icat2.azurewebsites.net/icat/?ontology=ICD&amp;tab=ClassesTab&amp;id=http%3A%2F%2Fwho.int%2Ficd%2340112_512ebf36_bf6b_4d70_85da_cf2637062af4","iCat")</x:f>
      </x:c>
      <x:c r="M6733" s="0" t="s">
        <x:v>21</x:v>
      </x:c>
      <x:c r="N6733" s="0" t="s">
        <x:v>46</x:v>
      </x:c>
    </x:row>
    <x:row r="6734" spans="1:16">
      <x:c r="A6734" s="0" t="s">
        <x:v>26793</x:v>
      </x:c>
      <x:c r="B6734" s="0" t="s">
        <x:v>26794</x:v>
      </x:c>
      <x:c r="C6734" s="0" t="s">
        <x:v>26795</x:v>
      </x:c>
      <x:c r="E6734" s="0" t="s">
        <x:v>26796</x:v>
      </x:c>
      <x:c r="F6734" s="0" t="s">
        <x:v>45</x:v>
      </x:c>
      <x:c r="G6734" s="0" t="s">
        <x:v>19</x:v>
      </x:c>
      <x:c r="H6734" s="0" t="s">
        <x:v>20</x:v>
      </x:c>
      <x:c r="I6734" s="0" t="s">
        <x:v>21</x:v>
      </x:c>
      <x:c r="K6734" s="0">
        <x:f>hyperlink("https://icd.who.int/dev11/l-ichi/en#/http%3A%2F%2Fid.who.int%2Ficd%2Fentity%2F1905080383","browser")</x:f>
      </x:c>
      <x:c r="L6734" s="0">
        <x:f>hyperlink("https://icat2.azurewebsites.net/icat/?ontology=ICD&amp;tab=ClassesTab&amp;id=http%3A%2F%2Fwho.int%2Ficd%2340119_512ebf36_bf6b_4d70_85da_cf2637062af4","iCat")</x:f>
      </x:c>
      <x:c r="M6734" s="0" t="s">
        <x:v>21</x:v>
      </x:c>
      <x:c r="N6734" s="0" t="s">
        <x:v>46</x:v>
      </x:c>
    </x:row>
    <x:row r="6735" spans="1:16">
      <x:c r="A6735" s="0" t="s">
        <x:v>26797</x:v>
      </x:c>
      <x:c r="B6735" s="0" t="s">
        <x:v>26798</x:v>
      </x:c>
      <x:c r="C6735" s="0" t="s">
        <x:v>26799</x:v>
      </x:c>
      <x:c r="E6735" s="0" t="s">
        <x:v>26800</x:v>
      </x:c>
      <x:c r="F6735" s="0" t="s">
        <x:v>45</x:v>
      </x:c>
      <x:c r="G6735" s="0" t="s">
        <x:v>19</x:v>
      </x:c>
      <x:c r="H6735" s="0" t="s">
        <x:v>20</x:v>
      </x:c>
      <x:c r="I6735" s="0" t="s">
        <x:v>21</x:v>
      </x:c>
      <x:c r="K6735" s="0">
        <x:f>hyperlink("https://icd.who.int/dev11/l-ichi/en#/http%3A%2F%2Fid.who.int%2Ficd%2Fentity%2F255828704","browser")</x:f>
      </x:c>
      <x:c r="L6735" s="0">
        <x:f>hyperlink("https://icat2.azurewebsites.net/icat/?ontology=ICD&amp;tab=ClassesTab&amp;id=http%3A%2F%2Fwho.int%2Ficd%2340126_512ebf36_bf6b_4d70_85da_cf2637062af4","iCat")</x:f>
      </x:c>
      <x:c r="M6735" s="0" t="s">
        <x:v>21</x:v>
      </x:c>
      <x:c r="N6735" s="0" t="s">
        <x:v>46</x:v>
      </x:c>
    </x:row>
    <x:row r="6736" spans="1:16">
      <x:c r="A6736" s="0" t="s">
        <x:v>26801</x:v>
      </x:c>
      <x:c r="B6736" s="0" t="s">
        <x:v>26802</x:v>
      </x:c>
      <x:c r="C6736" s="0" t="s">
        <x:v>26803</x:v>
      </x:c>
      <x:c r="E6736" s="0" t="s">
        <x:v>26804</x:v>
      </x:c>
      <x:c r="F6736" s="0" t="s">
        <x:v>45</x:v>
      </x:c>
      <x:c r="G6736" s="0" t="s">
        <x:v>19</x:v>
      </x:c>
      <x:c r="H6736" s="0" t="s">
        <x:v>20</x:v>
      </x:c>
      <x:c r="I6736" s="0" t="s">
        <x:v>21</x:v>
      </x:c>
      <x:c r="K6736" s="0">
        <x:f>hyperlink("https://icd.who.int/dev11/l-ichi/en#/http%3A%2F%2Fid.who.int%2Ficd%2Fentity%2F545216592","browser")</x:f>
      </x:c>
      <x:c r="L6736" s="0">
        <x:f>hyperlink("https://icat2.azurewebsites.net/icat/?ontology=ICD&amp;tab=ClassesTab&amp;id=http%3A%2F%2Fwho.int%2Ficd%2340135_512ebf36_bf6b_4d70_85da_cf2637062af4","iCat")</x:f>
      </x:c>
      <x:c r="M6736" s="0" t="s">
        <x:v>21</x:v>
      </x:c>
      <x:c r="N6736" s="0" t="s">
        <x:v>46</x:v>
      </x:c>
    </x:row>
    <x:row r="6737" spans="1:16">
      <x:c r="A6737" s="0" t="s">
        <x:v>26805</x:v>
      </x:c>
      <x:c r="B6737" s="0" t="s">
        <x:v>26806</x:v>
      </x:c>
      <x:c r="C6737" s="0" t="s">
        <x:v>26807</x:v>
      </x:c>
      <x:c r="E6737" s="0" t="s">
        <x:v>26808</x:v>
      </x:c>
      <x:c r="F6737" s="0" t="s">
        <x:v>45</x:v>
      </x:c>
      <x:c r="G6737" s="0" t="s">
        <x:v>19</x:v>
      </x:c>
      <x:c r="H6737" s="0" t="s">
        <x:v>20</x:v>
      </x:c>
      <x:c r="I6737" s="0" t="s">
        <x:v>21</x:v>
      </x:c>
      <x:c r="K6737" s="0">
        <x:f>hyperlink("https://icd.who.int/dev11/l-ichi/en#/http%3A%2F%2Fid.who.int%2Ficd%2Fentity%2F1613488345","browser")</x:f>
      </x:c>
      <x:c r="L6737" s="0">
        <x:f>hyperlink("https://icat2.azurewebsites.net/icat/?ontology=ICD&amp;tab=ClassesTab&amp;id=http%3A%2F%2Fwho.int%2Ficd%2340142_512ebf36_bf6b_4d70_85da_cf2637062af4","iCat")</x:f>
      </x:c>
      <x:c r="M6737" s="0" t="s">
        <x:v>21</x:v>
      </x:c>
      <x:c r="N6737" s="0" t="s">
        <x:v>46</x:v>
      </x:c>
    </x:row>
    <x:row r="6738" spans="1:16">
      <x:c r="A6738" s="0" t="s">
        <x:v>26809</x:v>
      </x:c>
      <x:c r="B6738" s="0" t="s">
        <x:v>26810</x:v>
      </x:c>
      <x:c r="C6738" s="0" t="s">
        <x:v>26811</x:v>
      </x:c>
      <x:c r="E6738" s="0" t="s">
        <x:v>26812</x:v>
      </x:c>
      <x:c r="F6738" s="0" t="s">
        <x:v>45</x:v>
      </x:c>
      <x:c r="G6738" s="0" t="s">
        <x:v>19</x:v>
      </x:c>
      <x:c r="H6738" s="0" t="s">
        <x:v>20</x:v>
      </x:c>
      <x:c r="I6738" s="0" t="s">
        <x:v>21</x:v>
      </x:c>
      <x:c r="K6738" s="0">
        <x:f>hyperlink("https://icd.who.int/dev11/l-ichi/en#/http%3A%2F%2Fid.who.int%2Ficd%2Fentity%2F1798307445","browser")</x:f>
      </x:c>
      <x:c r="L6738" s="0">
        <x:f>hyperlink("https://icat2.azurewebsites.net/icat/?ontology=ICD&amp;tab=ClassesTab&amp;id=http%3A%2F%2Fwho.int%2Ficd%2340149_512ebf36_bf6b_4d70_85da_cf2637062af4","iCat")</x:f>
      </x:c>
      <x:c r="M6738" s="0" t="s">
        <x:v>21</x:v>
      </x:c>
      <x:c r="N6738" s="0" t="s">
        <x:v>46</x:v>
      </x:c>
    </x:row>
    <x:row r="6739" spans="1:16">
      <x:c r="A6739" s="0" t="s">
        <x:v>26813</x:v>
      </x:c>
      <x:c r="B6739" s="0" t="s">
        <x:v>26814</x:v>
      </x:c>
      <x:c r="C6739" s="0" t="s">
        <x:v>26815</x:v>
      </x:c>
      <x:c r="E6739" s="0" t="s">
        <x:v>26816</x:v>
      </x:c>
      <x:c r="F6739" s="0" t="s">
        <x:v>45</x:v>
      </x:c>
      <x:c r="G6739" s="0" t="s">
        <x:v>19</x:v>
      </x:c>
      <x:c r="H6739" s="0" t="s">
        <x:v>20</x:v>
      </x:c>
      <x:c r="I6739" s="0" t="s">
        <x:v>21</x:v>
      </x:c>
      <x:c r="K6739" s="0">
        <x:f>hyperlink("https://icd.who.int/dev11/l-ichi/en#/http%3A%2F%2Fid.who.int%2Ficd%2Fentity%2F1072280060","browser")</x:f>
      </x:c>
      <x:c r="L6739" s="0">
        <x:f>hyperlink("https://icat2.azurewebsites.net/icat/?ontology=ICD&amp;tab=ClassesTab&amp;id=http%3A%2F%2Fwho.int%2Ficd%2340156_512ebf36_bf6b_4d70_85da_cf2637062af4","iCat")</x:f>
      </x:c>
      <x:c r="M6739" s="0" t="s">
        <x:v>21</x:v>
      </x:c>
      <x:c r="N6739" s="0" t="s">
        <x:v>46</x:v>
      </x:c>
    </x:row>
    <x:row r="6740" spans="1:16">
      <x:c r="A6740" s="0" t="s">
        <x:v>26817</x:v>
      </x:c>
      <x:c r="B6740" s="0" t="s">
        <x:v>26818</x:v>
      </x:c>
      <x:c r="C6740" s="0" t="s">
        <x:v>26819</x:v>
      </x:c>
      <x:c r="E6740" s="0" t="s">
        <x:v>26820</x:v>
      </x:c>
      <x:c r="F6740" s="0" t="s">
        <x:v>45</x:v>
      </x:c>
      <x:c r="G6740" s="0" t="s">
        <x:v>19</x:v>
      </x:c>
      <x:c r="H6740" s="0" t="s">
        <x:v>20</x:v>
      </x:c>
      <x:c r="I6740" s="0" t="s">
        <x:v>21</x:v>
      </x:c>
      <x:c r="K6740" s="0">
        <x:f>hyperlink("https://icd.who.int/dev11/l-ichi/en#/http%3A%2F%2Fid.who.int%2Ficd%2Fentity%2F1789282229","browser")</x:f>
      </x:c>
      <x:c r="L6740" s="0">
        <x:f>hyperlink("https://icat2.azurewebsites.net/icat/?ontology=ICD&amp;tab=ClassesTab&amp;id=http%3A%2F%2Fwho.int%2Ficd%2340163_512ebf36_bf6b_4d70_85da_cf2637062af4","iCat")</x:f>
      </x:c>
      <x:c r="M6740" s="0" t="s">
        <x:v>21</x:v>
      </x:c>
      <x:c r="N6740" s="0" t="s">
        <x:v>46</x:v>
      </x:c>
    </x:row>
    <x:row r="6741" spans="1:16">
      <x:c r="A6741" s="0" t="s">
        <x:v>26821</x:v>
      </x:c>
      <x:c r="B6741" s="0" t="s">
        <x:v>26822</x:v>
      </x:c>
      <x:c r="C6741" s="0" t="s">
        <x:v>26823</x:v>
      </x:c>
      <x:c r="E6741" s="0" t="s">
        <x:v>26824</x:v>
      </x:c>
      <x:c r="F6741" s="0" t="s">
        <x:v>45</x:v>
      </x:c>
      <x:c r="G6741" s="0" t="s">
        <x:v>19</x:v>
      </x:c>
      <x:c r="H6741" s="0" t="s">
        <x:v>20</x:v>
      </x:c>
      <x:c r="I6741" s="0" t="s">
        <x:v>21</x:v>
      </x:c>
      <x:c r="K6741" s="0">
        <x:f>hyperlink("https://icd.who.int/dev11/l-ichi/en#/http%3A%2F%2Fid.who.int%2Ficd%2Fentity%2F1851791033","browser")</x:f>
      </x:c>
      <x:c r="L6741" s="0">
        <x:f>hyperlink("https://icat2.azurewebsites.net/icat/?ontology=ICD&amp;tab=ClassesTab&amp;id=http%3A%2F%2Fwho.int%2Ficd%2340226_512ebf36_bf6b_4d70_85da_cf2637062af4","iCat")</x:f>
      </x:c>
      <x:c r="M6741" s="0" t="s">
        <x:v>21</x:v>
      </x:c>
      <x:c r="N6741" s="0" t="s">
        <x:v>46</x:v>
      </x:c>
    </x:row>
    <x:row r="6742" spans="1:16">
      <x:c r="A6742" s="0" t="s">
        <x:v>26825</x:v>
      </x:c>
      <x:c r="B6742" s="0" t="s">
        <x:v>26826</x:v>
      </x:c>
      <x:c r="C6742" s="0" t="s">
        <x:v>26827</x:v>
      </x:c>
      <x:c r="E6742" s="0" t="s">
        <x:v>26828</x:v>
      </x:c>
      <x:c r="F6742" s="0" t="s">
        <x:v>45</x:v>
      </x:c>
      <x:c r="G6742" s="0" t="s">
        <x:v>19</x:v>
      </x:c>
      <x:c r="H6742" s="0" t="s">
        <x:v>20</x:v>
      </x:c>
      <x:c r="I6742" s="0" t="s">
        <x:v>21</x:v>
      </x:c>
      <x:c r="K6742" s="0">
        <x:f>hyperlink("https://icd.who.int/dev11/l-ichi/en#/http%3A%2F%2Fid.who.int%2Ficd%2Fentity%2F291190184","browser")</x:f>
      </x:c>
      <x:c r="L6742" s="0">
        <x:f>hyperlink("https://icat2.azurewebsites.net/icat/?ontology=ICD&amp;tab=ClassesTab&amp;id=http%3A%2F%2Fwho.int%2Ficd%2340233_512ebf36_bf6b_4d70_85da_cf2637062af4","iCat")</x:f>
      </x:c>
      <x:c r="M6742" s="0" t="s">
        <x:v>21</x:v>
      </x:c>
      <x:c r="N6742" s="0" t="s">
        <x:v>46</x:v>
      </x:c>
    </x:row>
    <x:row r="6743" spans="1:16">
      <x:c r="A6743" s="0" t="s">
        <x:v>26829</x:v>
      </x:c>
      <x:c r="B6743" s="0" t="s">
        <x:v>26830</x:v>
      </x:c>
      <x:c r="C6743" s="0" t="s">
        <x:v>26831</x:v>
      </x:c>
      <x:c r="E6743" s="0" t="s">
        <x:v>26832</x:v>
      </x:c>
      <x:c r="F6743" s="0" t="s">
        <x:v>45</x:v>
      </x:c>
      <x:c r="G6743" s="0" t="s">
        <x:v>19</x:v>
      </x:c>
      <x:c r="H6743" s="0" t="s">
        <x:v>20</x:v>
      </x:c>
      <x:c r="I6743" s="0" t="s">
        <x:v>21</x:v>
      </x:c>
      <x:c r="K6743" s="0">
        <x:f>hyperlink("https://icd.who.int/dev11/l-ichi/en#/http%3A%2F%2Fid.who.int%2Ficd%2Fentity%2F1678264645","browser")</x:f>
      </x:c>
      <x:c r="L6743" s="0">
        <x:f>hyperlink("https://icat2.azurewebsites.net/icat/?ontology=ICD&amp;tab=ClassesTab&amp;id=http%3A%2F%2Fwho.int%2Ficd%2340240_512ebf36_bf6b_4d70_85da_cf2637062af4","iCat")</x:f>
      </x:c>
      <x:c r="M6743" s="0" t="s">
        <x:v>21</x:v>
      </x:c>
      <x:c r="N6743" s="0" t="s">
        <x:v>46</x:v>
      </x:c>
    </x:row>
    <x:row r="6744" spans="1:16">
      <x:c r="A6744" s="0" t="s">
        <x:v>26833</x:v>
      </x:c>
      <x:c r="B6744" s="0" t="s">
        <x:v>26834</x:v>
      </x:c>
      <x:c r="C6744" s="0" t="s">
        <x:v>26835</x:v>
      </x:c>
      <x:c r="E6744" s="0" t="s">
        <x:v>26836</x:v>
      </x:c>
      <x:c r="F6744" s="0" t="s">
        <x:v>45</x:v>
      </x:c>
      <x:c r="G6744" s="0" t="s">
        <x:v>19</x:v>
      </x:c>
      <x:c r="H6744" s="0" t="s">
        <x:v>20</x:v>
      </x:c>
      <x:c r="I6744" s="0" t="s">
        <x:v>21</x:v>
      </x:c>
      <x:c r="K6744" s="0">
        <x:f>hyperlink("https://icd.who.int/dev11/l-ichi/en#/http%3A%2F%2Fid.who.int%2Ficd%2Fentity%2F344646346","browser")</x:f>
      </x:c>
      <x:c r="L6744" s="0">
        <x:f>hyperlink("https://icat2.azurewebsites.net/icat/?ontology=ICD&amp;tab=ClassesTab&amp;id=http%3A%2F%2Fwho.int%2Ficd%2340247_512ebf36_bf6b_4d70_85da_cf2637062af4","iCat")</x:f>
      </x:c>
      <x:c r="M6744" s="0" t="s">
        <x:v>21</x:v>
      </x:c>
      <x:c r="N6744" s="0" t="s">
        <x:v>46</x:v>
      </x:c>
    </x:row>
    <x:row r="6745" spans="1:16">
      <x:c r="A6745" s="0" t="s">
        <x:v>26837</x:v>
      </x:c>
      <x:c r="B6745" s="0" t="s">
        <x:v>26838</x:v>
      </x:c>
      <x:c r="C6745" s="0" t="s">
        <x:v>26839</x:v>
      </x:c>
      <x:c r="E6745" s="0" t="s">
        <x:v>26840</x:v>
      </x:c>
      <x:c r="F6745" s="0" t="s">
        <x:v>45</x:v>
      </x:c>
      <x:c r="G6745" s="0" t="s">
        <x:v>19</x:v>
      </x:c>
      <x:c r="H6745" s="0" t="s">
        <x:v>20</x:v>
      </x:c>
      <x:c r="I6745" s="0" t="s">
        <x:v>21</x:v>
      </x:c>
      <x:c r="K6745" s="0">
        <x:f>hyperlink("https://icd.who.int/dev11/l-ichi/en#/http%3A%2F%2Fid.who.int%2Ficd%2Fentity%2F1003100262","browser")</x:f>
      </x:c>
      <x:c r="L6745" s="0">
        <x:f>hyperlink("https://icat2.azurewebsites.net/icat/?ontology=ICD&amp;tab=ClassesTab&amp;id=http%3A%2F%2Fwho.int%2Ficd%2340254_512ebf36_bf6b_4d70_85da_cf2637062af4","iCat")</x:f>
      </x:c>
      <x:c r="M6745" s="0" t="s">
        <x:v>21</x:v>
      </x:c>
      <x:c r="N6745" s="0" t="s">
        <x:v>46</x:v>
      </x:c>
    </x:row>
    <x:row r="6746" spans="1:16">
      <x:c r="A6746" s="0" t="s">
        <x:v>26841</x:v>
      </x:c>
      <x:c r="B6746" s="0" t="s">
        <x:v>26842</x:v>
      </x:c>
      <x:c r="C6746" s="0" t="s">
        <x:v>26843</x:v>
      </x:c>
      <x:c r="E6746" s="0" t="s">
        <x:v>26844</x:v>
      </x:c>
      <x:c r="F6746" s="0" t="s">
        <x:v>45</x:v>
      </x:c>
      <x:c r="G6746" s="0" t="s">
        <x:v>19</x:v>
      </x:c>
      <x:c r="H6746" s="0" t="s">
        <x:v>20</x:v>
      </x:c>
      <x:c r="I6746" s="0" t="s">
        <x:v>21</x:v>
      </x:c>
      <x:c r="K6746" s="0">
        <x:f>hyperlink("https://icd.who.int/dev11/l-ichi/en#/http%3A%2F%2Fid.who.int%2Ficd%2Fentity%2F1854271017","browser")</x:f>
      </x:c>
      <x:c r="L6746" s="0">
        <x:f>hyperlink("https://icat2.azurewebsites.net/icat/?ontology=ICD&amp;tab=ClassesTab&amp;id=http%3A%2F%2Fwho.int%2Ficd%2340261_512ebf36_bf6b_4d70_85da_cf2637062af4","iCat")</x:f>
      </x:c>
      <x:c r="M6746" s="0" t="s">
        <x:v>21</x:v>
      </x:c>
      <x:c r="N6746" s="0" t="s">
        <x:v>46</x:v>
      </x:c>
    </x:row>
    <x:row r="6747" spans="1:16">
      <x:c r="A6747" s="0" t="s">
        <x:v>26845</x:v>
      </x:c>
      <x:c r="B6747" s="0" t="s">
        <x:v>26846</x:v>
      </x:c>
      <x:c r="C6747" s="0" t="s">
        <x:v>26847</x:v>
      </x:c>
      <x:c r="E6747" s="0" t="s">
        <x:v>26848</x:v>
      </x:c>
      <x:c r="F6747" s="0" t="s">
        <x:v>45</x:v>
      </x:c>
      <x:c r="G6747" s="0" t="s">
        <x:v>19</x:v>
      </x:c>
      <x:c r="H6747" s="0" t="s">
        <x:v>20</x:v>
      </x:c>
      <x:c r="I6747" s="0" t="s">
        <x:v>21</x:v>
      </x:c>
      <x:c r="K6747" s="0">
        <x:f>hyperlink("https://icd.who.int/dev11/l-ichi/en#/http%3A%2F%2Fid.who.int%2Ficd%2Fentity%2F16641344","browser")</x:f>
      </x:c>
      <x:c r="L6747" s="0">
        <x:f>hyperlink("https://icat2.azurewebsites.net/icat/?ontology=ICD&amp;tab=ClassesTab&amp;id=http%3A%2F%2Fwho.int%2Ficd%2340268_512ebf36_bf6b_4d70_85da_cf2637062af4","iCat")</x:f>
      </x:c>
      <x:c r="M6747" s="0" t="s">
        <x:v>21</x:v>
      </x:c>
      <x:c r="N6747" s="0" t="s">
        <x:v>46</x:v>
      </x:c>
    </x:row>
    <x:row r="6748" spans="1:16">
      <x:c r="A6748" s="0" t="s">
        <x:v>26849</x:v>
      </x:c>
      <x:c r="B6748" s="0" t="s">
        <x:v>26850</x:v>
      </x:c>
      <x:c r="C6748" s="0" t="s">
        <x:v>26851</x:v>
      </x:c>
      <x:c r="E6748" s="0" t="s">
        <x:v>26852</x:v>
      </x:c>
      <x:c r="F6748" s="0" t="s">
        <x:v>45</x:v>
      </x:c>
      <x:c r="G6748" s="0" t="s">
        <x:v>19</x:v>
      </x:c>
      <x:c r="H6748" s="0" t="s">
        <x:v>20</x:v>
      </x:c>
      <x:c r="I6748" s="0" t="s">
        <x:v>21</x:v>
      </x:c>
      <x:c r="K6748" s="0">
        <x:f>hyperlink("https://icd.who.int/dev11/l-ichi/en#/http%3A%2F%2Fid.who.int%2Ficd%2Fentity%2F826785546","browser")</x:f>
      </x:c>
      <x:c r="L6748" s="0">
        <x:f>hyperlink("https://icat2.azurewebsites.net/icat/?ontology=ICD&amp;tab=ClassesTab&amp;id=http%3A%2F%2Fwho.int%2Ficd%2340275_512ebf36_bf6b_4d70_85da_cf2637062af4","iCat")</x:f>
      </x:c>
      <x:c r="M6748" s="0" t="s">
        <x:v>21</x:v>
      </x:c>
      <x:c r="N6748" s="0" t="s">
        <x:v>46</x:v>
      </x:c>
    </x:row>
    <x:row r="6749" spans="1:16">
      <x:c r="A6749" s="0" t="s">
        <x:v>26853</x:v>
      </x:c>
      <x:c r="B6749" s="0" t="s">
        <x:v>26854</x:v>
      </x:c>
      <x:c r="C6749" s="0" t="s">
        <x:v>26855</x:v>
      </x:c>
      <x:c r="E6749" s="0" t="s">
        <x:v>26856</x:v>
      </x:c>
      <x:c r="F6749" s="0" t="s">
        <x:v>45</x:v>
      </x:c>
      <x:c r="G6749" s="0" t="s">
        <x:v>19</x:v>
      </x:c>
      <x:c r="H6749" s="0" t="s">
        <x:v>20</x:v>
      </x:c>
      <x:c r="I6749" s="0" t="s">
        <x:v>21</x:v>
      </x:c>
      <x:c r="K6749" s="0">
        <x:f>hyperlink("https://icd.who.int/dev11/l-ichi/en#/http%3A%2F%2Fid.who.int%2Ficd%2Fentity%2F1847746137","browser")</x:f>
      </x:c>
      <x:c r="L6749" s="0">
        <x:f>hyperlink("https://icat2.azurewebsites.net/icat/?ontology=ICD&amp;tab=ClassesTab&amp;id=http%3A%2F%2Fwho.int%2Ficd%2340282_512ebf36_bf6b_4d70_85da_cf2637062af4","iCat")</x:f>
      </x:c>
      <x:c r="M6749" s="0" t="s">
        <x:v>21</x:v>
      </x:c>
      <x:c r="N6749" s="0" t="s">
        <x:v>46</x:v>
      </x:c>
    </x:row>
    <x:row r="6750" spans="1:16">
      <x:c r="A6750" s="0" t="s">
        <x:v>26857</x:v>
      </x:c>
      <x:c r="B6750" s="0" t="s">
        <x:v>26858</x:v>
      </x:c>
      <x:c r="C6750" s="0" t="s">
        <x:v>26859</x:v>
      </x:c>
      <x:c r="E6750" s="0" t="s">
        <x:v>26860</x:v>
      </x:c>
      <x:c r="F6750" s="0" t="s">
        <x:v>45</x:v>
      </x:c>
      <x:c r="G6750" s="0" t="s">
        <x:v>19</x:v>
      </x:c>
      <x:c r="H6750" s="0" t="s">
        <x:v>20</x:v>
      </x:c>
      <x:c r="I6750" s="0" t="s">
        <x:v>21</x:v>
      </x:c>
      <x:c r="K6750" s="0">
        <x:f>hyperlink("https://icd.who.int/dev11/l-ichi/en#/http%3A%2F%2Fid.who.int%2Ficd%2Fentity%2F1697005813","browser")</x:f>
      </x:c>
      <x:c r="L6750" s="0">
        <x:f>hyperlink("https://icat2.azurewebsites.net/icat/?ontology=ICD&amp;tab=ClassesTab&amp;id=http%3A%2F%2Fwho.int%2Ficd%2340289_512ebf36_bf6b_4d70_85da_cf2637062af4","iCat")</x:f>
      </x:c>
      <x:c r="M6750" s="0" t="s">
        <x:v>21</x:v>
      </x:c>
      <x:c r="N6750" s="0" t="s">
        <x:v>46</x:v>
      </x:c>
    </x:row>
    <x:row r="6751" spans="1:16">
      <x:c r="A6751" s="0" t="s">
        <x:v>26861</x:v>
      </x:c>
      <x:c r="B6751" s="0" t="s">
        <x:v>26862</x:v>
      </x:c>
      <x:c r="C6751" s="0" t="s">
        <x:v>26863</x:v>
      </x:c>
      <x:c r="E6751" s="0" t="s">
        <x:v>26864</x:v>
      </x:c>
      <x:c r="F6751" s="0" t="s">
        <x:v>45</x:v>
      </x:c>
      <x:c r="G6751" s="0" t="s">
        <x:v>19</x:v>
      </x:c>
      <x:c r="H6751" s="0" t="s">
        <x:v>20</x:v>
      </x:c>
      <x:c r="I6751" s="0" t="s">
        <x:v>21</x:v>
      </x:c>
      <x:c r="K6751" s="0">
        <x:f>hyperlink("https://icd.who.int/dev11/l-ichi/en#/http%3A%2F%2Fid.who.int%2Ficd%2Fentity%2F836767612","browser")</x:f>
      </x:c>
      <x:c r="L6751" s="0">
        <x:f>hyperlink("https://icat2.azurewebsites.net/icat/?ontology=ICD&amp;tab=ClassesTab&amp;id=http%3A%2F%2Fwho.int%2Ficd%2340296_512ebf36_bf6b_4d70_85da_cf2637062af4","iCat")</x:f>
      </x:c>
      <x:c r="M6751" s="0" t="s">
        <x:v>21</x:v>
      </x:c>
      <x:c r="N6751" s="0" t="s">
        <x:v>46</x:v>
      </x:c>
    </x:row>
    <x:row r="6752" spans="1:16">
      <x:c r="A6752" s="0" t="s">
        <x:v>26865</x:v>
      </x:c>
      <x:c r="B6752" s="0" t="s">
        <x:v>26866</x:v>
      </x:c>
      <x:c r="C6752" s="0" t="s">
        <x:v>26867</x:v>
      </x:c>
      <x:c r="E6752" s="0" t="s">
        <x:v>26868</x:v>
      </x:c>
      <x:c r="F6752" s="0" t="s">
        <x:v>45</x:v>
      </x:c>
      <x:c r="G6752" s="0" t="s">
        <x:v>19</x:v>
      </x:c>
      <x:c r="H6752" s="0" t="s">
        <x:v>20</x:v>
      </x:c>
      <x:c r="I6752" s="0" t="s">
        <x:v>21</x:v>
      </x:c>
      <x:c r="K6752" s="0">
        <x:f>hyperlink("https://icd.who.int/dev11/l-ichi/en#/http%3A%2F%2Fid.who.int%2Ficd%2Fentity%2F611693372","browser")</x:f>
      </x:c>
      <x:c r="L6752" s="0">
        <x:f>hyperlink("https://icat2.azurewebsites.net/icat/?ontology=ICD&amp;tab=ClassesTab&amp;id=http%3A%2F%2Fwho.int%2Ficd%2340303_512ebf36_bf6b_4d70_85da_cf2637062af4","iCat")</x:f>
      </x:c>
      <x:c r="M6752" s="0" t="s">
        <x:v>21</x:v>
      </x:c>
      <x:c r="N6752" s="0" t="s">
        <x:v>46</x:v>
      </x:c>
    </x:row>
    <x:row r="6753" spans="1:16">
      <x:c r="A6753" s="0" t="s">
        <x:v>26869</x:v>
      </x:c>
      <x:c r="B6753" s="0" t="s">
        <x:v>26870</x:v>
      </x:c>
      <x:c r="C6753" s="0" t="s">
        <x:v>26871</x:v>
      </x:c>
      <x:c r="E6753" s="0" t="s">
        <x:v>26872</x:v>
      </x:c>
      <x:c r="F6753" s="0" t="s">
        <x:v>45</x:v>
      </x:c>
      <x:c r="G6753" s="0" t="s">
        <x:v>19</x:v>
      </x:c>
      <x:c r="H6753" s="0" t="s">
        <x:v>20</x:v>
      </x:c>
      <x:c r="I6753" s="0" t="s">
        <x:v>21</x:v>
      </x:c>
      <x:c r="K6753" s="0">
        <x:f>hyperlink("https://icd.who.int/dev11/l-ichi/en#/http%3A%2F%2Fid.who.int%2Ficd%2Fentity%2F188041620","browser")</x:f>
      </x:c>
      <x:c r="L6753" s="0">
        <x:f>hyperlink("https://icat2.azurewebsites.net/icat/?ontology=ICD&amp;tab=ClassesTab&amp;id=http%3A%2F%2Fwho.int%2Ficd%2340310_512ebf36_bf6b_4d70_85da_cf2637062af4","iCat")</x:f>
      </x:c>
      <x:c r="M6753" s="0" t="s">
        <x:v>21</x:v>
      </x:c>
      <x:c r="N6753" s="0" t="s">
        <x:v>46</x:v>
      </x:c>
    </x:row>
    <x:row r="6754" spans="1:16">
      <x:c r="A6754" s="0" t="s">
        <x:v>26873</x:v>
      </x:c>
      <x:c r="B6754" s="0" t="s">
        <x:v>26874</x:v>
      </x:c>
      <x:c r="C6754" s="0" t="s">
        <x:v>26875</x:v>
      </x:c>
      <x:c r="E6754" s="0" t="s">
        <x:v>26876</x:v>
      </x:c>
      <x:c r="F6754" s="0" t="s">
        <x:v>45</x:v>
      </x:c>
      <x:c r="G6754" s="0" t="s">
        <x:v>19</x:v>
      </x:c>
      <x:c r="H6754" s="0" t="s">
        <x:v>20</x:v>
      </x:c>
      <x:c r="I6754" s="0" t="s">
        <x:v>21</x:v>
      </x:c>
      <x:c r="K6754" s="0">
        <x:f>hyperlink("https://icd.who.int/dev11/l-ichi/en#/http%3A%2F%2Fid.who.int%2Ficd%2Fentity%2F1169438919","browser")</x:f>
      </x:c>
      <x:c r="L6754" s="0">
        <x:f>hyperlink("https://icat2.azurewebsites.net/icat/?ontology=ICD&amp;tab=ClassesTab&amp;id=http%3A%2F%2Fwho.int%2Ficd%2340318_512ebf36_bf6b_4d70_85da_cf2637062af4","iCat")</x:f>
      </x:c>
      <x:c r="M6754" s="0" t="s">
        <x:v>21</x:v>
      </x:c>
      <x:c r="N6754" s="0" t="s">
        <x:v>46</x:v>
      </x:c>
    </x:row>
    <x:row r="6755" spans="1:16">
      <x:c r="A6755" s="0" t="s">
        <x:v>26877</x:v>
      </x:c>
      <x:c r="B6755" s="0" t="s">
        <x:v>26878</x:v>
      </x:c>
      <x:c r="C6755" s="0" t="s">
        <x:v>26879</x:v>
      </x:c>
      <x:c r="E6755" s="0" t="s">
        <x:v>26880</x:v>
      </x:c>
      <x:c r="F6755" s="0" t="s">
        <x:v>45</x:v>
      </x:c>
      <x:c r="G6755" s="0" t="s">
        <x:v>19</x:v>
      </x:c>
      <x:c r="H6755" s="0" t="s">
        <x:v>20</x:v>
      </x:c>
      <x:c r="I6755" s="0" t="s">
        <x:v>21</x:v>
      </x:c>
      <x:c r="K6755" s="0">
        <x:f>hyperlink("https://icd.who.int/dev11/l-ichi/en#/http%3A%2F%2Fid.who.int%2Ficd%2Fentity%2F1585102813","browser")</x:f>
      </x:c>
      <x:c r="L6755" s="0">
        <x:f>hyperlink("https://icat2.azurewebsites.net/icat/?ontology=ICD&amp;tab=ClassesTab&amp;id=http%3A%2F%2Fwho.int%2Ficd%2340325_512ebf36_bf6b_4d70_85da_cf2637062af4","iCat")</x:f>
      </x:c>
      <x:c r="M6755" s="0" t="s">
        <x:v>21</x:v>
      </x:c>
      <x:c r="N6755" s="0" t="s">
        <x:v>46</x:v>
      </x:c>
    </x:row>
    <x:row r="6756" spans="1:16">
      <x:c r="A6756" s="0" t="s">
        <x:v>26881</x:v>
      </x:c>
      <x:c r="B6756" s="0" t="s">
        <x:v>26882</x:v>
      </x:c>
      <x:c r="C6756" s="0" t="s">
        <x:v>26883</x:v>
      </x:c>
      <x:c r="E6756" s="0" t="s">
        <x:v>26884</x:v>
      </x:c>
      <x:c r="F6756" s="0" t="s">
        <x:v>45</x:v>
      </x:c>
      <x:c r="G6756" s="0" t="s">
        <x:v>19</x:v>
      </x:c>
      <x:c r="H6756" s="0" t="s">
        <x:v>20</x:v>
      </x:c>
      <x:c r="I6756" s="0" t="s">
        <x:v>21</x:v>
      </x:c>
      <x:c r="K6756" s="0">
        <x:f>hyperlink("https://icd.who.int/dev11/l-ichi/en#/http%3A%2F%2Fid.who.int%2Ficd%2Fentity%2F1144881415","browser")</x:f>
      </x:c>
      <x:c r="L6756" s="0">
        <x:f>hyperlink("https://icat2.azurewebsites.net/icat/?ontology=ICD&amp;tab=ClassesTab&amp;id=http%3A%2F%2Fwho.int%2Ficd%2340332_512ebf36_bf6b_4d70_85da_cf2637062af4","iCat")</x:f>
      </x:c>
      <x:c r="M6756" s="0" t="s">
        <x:v>21</x:v>
      </x:c>
      <x:c r="N6756" s="0" t="s">
        <x:v>46</x:v>
      </x:c>
    </x:row>
    <x:row r="6757" spans="1:16">
      <x:c r="A6757" s="0" t="s">
        <x:v>26885</x:v>
      </x:c>
      <x:c r="B6757" s="0" t="s">
        <x:v>26886</x:v>
      </x:c>
      <x:c r="C6757" s="0" t="s">
        <x:v>26887</x:v>
      </x:c>
      <x:c r="E6757" s="0" t="s">
        <x:v>26888</x:v>
      </x:c>
      <x:c r="F6757" s="0" t="s">
        <x:v>45</x:v>
      </x:c>
      <x:c r="G6757" s="0" t="s">
        <x:v>19</x:v>
      </x:c>
      <x:c r="H6757" s="0" t="s">
        <x:v>20</x:v>
      </x:c>
      <x:c r="I6757" s="0" t="s">
        <x:v>21</x:v>
      </x:c>
      <x:c r="K6757" s="0">
        <x:f>hyperlink("https://icd.who.int/dev11/l-ichi/en#/http%3A%2F%2Fid.who.int%2Ficd%2Fentity%2F1329176491","browser")</x:f>
      </x:c>
      <x:c r="L6757" s="0">
        <x:f>hyperlink("https://icat2.azurewebsites.net/icat/?ontology=ICD&amp;tab=ClassesTab&amp;id=http%3A%2F%2Fwho.int%2Ficd%2340339_512ebf36_bf6b_4d70_85da_cf2637062af4","iCat")</x:f>
      </x:c>
      <x:c r="M6757" s="0" t="s">
        <x:v>21</x:v>
      </x:c>
      <x:c r="N6757" s="0" t="s">
        <x:v>46</x:v>
      </x:c>
    </x:row>
    <x:row r="6758" spans="1:16">
      <x:c r="A6758" s="0" t="s">
        <x:v>26889</x:v>
      </x:c>
      <x:c r="B6758" s="0" t="s">
        <x:v>26890</x:v>
      </x:c>
      <x:c r="C6758" s="0" t="s">
        <x:v>26891</x:v>
      </x:c>
      <x:c r="E6758" s="0" t="s">
        <x:v>26892</x:v>
      </x:c>
      <x:c r="F6758" s="0" t="s">
        <x:v>45</x:v>
      </x:c>
      <x:c r="G6758" s="0" t="s">
        <x:v>19</x:v>
      </x:c>
      <x:c r="H6758" s="0" t="s">
        <x:v>20</x:v>
      </x:c>
      <x:c r="I6758" s="0" t="s">
        <x:v>21</x:v>
      </x:c>
      <x:c r="K6758" s="0">
        <x:f>hyperlink("https://icd.who.int/dev11/l-ichi/en#/http%3A%2F%2Fid.who.int%2Ficd%2Fentity%2F1106007657","browser")</x:f>
      </x:c>
      <x:c r="L6758" s="0">
        <x:f>hyperlink("https://icat2.azurewebsites.net/icat/?ontology=ICD&amp;tab=ClassesTab&amp;id=http%3A%2F%2Fwho.int%2Ficd%2340346_512ebf36_bf6b_4d70_85da_cf2637062af4","iCat")</x:f>
      </x:c>
      <x:c r="M6758" s="0" t="s">
        <x:v>21</x:v>
      </x:c>
      <x:c r="N6758" s="0" t="s">
        <x:v>46</x:v>
      </x:c>
    </x:row>
    <x:row r="6759" spans="1:16">
      <x:c r="A6759" s="0" t="s">
        <x:v>26893</x:v>
      </x:c>
      <x:c r="B6759" s="0" t="s">
        <x:v>26894</x:v>
      </x:c>
      <x:c r="D6759" s="0" t="s">
        <x:v>26895</x:v>
      </x:c>
      <x:c r="E6759" s="0" t="s">
        <x:v>26896</x:v>
      </x:c>
      <x:c r="F6759" s="0" t="s">
        <x:v>26</x:v>
      </x:c>
      <x:c r="G6759" s="0" t="s">
        <x:v>22</x:v>
      </x:c>
      <x:c r="H6759" s="0" t="s">
        <x:v>20</x:v>
      </x:c>
      <x:c r="I6759" s="0" t="s">
        <x:v>21</x:v>
      </x:c>
      <x:c r="K6759" s="0">
        <x:f>hyperlink("https://icd.who.int/dev11/l-ichi/en#/http%3A%2F%2Fid.who.int%2Ficd%2Fentity%2F1314250491","browser")</x:f>
      </x:c>
      <x:c r="L6759" s="0">
        <x:f>hyperlink("https://icat2.azurewebsites.net/icat/?ontology=ICD&amp;tab=ClassesTab&amp;id=http%3A%2F%2Fwho.int%2Ficd%2340354_512ebf36_bf6b_4d70_85da_cf2637062af4","iCat")</x:f>
      </x:c>
      <x:c r="M6759" s="0" t="s">
        <x:v>20</x:v>
      </x:c>
      <x:c r="N6759" s="0" t="s">
        <x:v>26897</x:v>
      </x:c>
    </x:row>
    <x:row r="6760" spans="1:16">
      <x:c r="A6760" s="0" t="s">
        <x:v>26898</x:v>
      </x:c>
      <x:c r="B6760" s="0" t="s">
        <x:v>26899</x:v>
      </x:c>
      <x:c r="C6760" s="0" t="s">
        <x:v>26900</x:v>
      </x:c>
      <x:c r="E6760" s="0" t="s">
        <x:v>26901</x:v>
      </x:c>
      <x:c r="F6760" s="0" t="s">
        <x:v>45</x:v>
      </x:c>
      <x:c r="G6760" s="0" t="s">
        <x:v>19</x:v>
      </x:c>
      <x:c r="H6760" s="0" t="s">
        <x:v>20</x:v>
      </x:c>
      <x:c r="I6760" s="0" t="s">
        <x:v>21</x:v>
      </x:c>
      <x:c r="K6760" s="0">
        <x:f>hyperlink("https://icd.who.int/dev11/l-ichi/en#/http%3A%2F%2Fid.who.int%2Ficd%2Fentity%2F1054307702","browser")</x:f>
      </x:c>
      <x:c r="L6760" s="0">
        <x:f>hyperlink("https://icat2.azurewebsites.net/icat/?ontology=ICD&amp;tab=ClassesTab&amp;id=http%3A%2F%2Fwho.int%2Ficd%2340353_512ebf36_bf6b_4d70_85da_cf2637062af4","iCat")</x:f>
      </x:c>
      <x:c r="M6760" s="0" t="s">
        <x:v>21</x:v>
      </x:c>
      <x:c r="N6760" s="0" t="s">
        <x:v>46</x:v>
      </x:c>
    </x:row>
    <x:row r="6761" spans="1:16">
      <x:c r="A6761" s="0" t="s">
        <x:v>26902</x:v>
      </x:c>
      <x:c r="B6761" s="0" t="s">
        <x:v>26903</x:v>
      </x:c>
      <x:c r="C6761" s="0" t="s">
        <x:v>26904</x:v>
      </x:c>
      <x:c r="E6761" s="0" t="s">
        <x:v>26905</x:v>
      </x:c>
      <x:c r="F6761" s="0" t="s">
        <x:v>45</x:v>
      </x:c>
      <x:c r="G6761" s="0" t="s">
        <x:v>19</x:v>
      </x:c>
      <x:c r="H6761" s="0" t="s">
        <x:v>20</x:v>
      </x:c>
      <x:c r="I6761" s="0" t="s">
        <x:v>21</x:v>
      </x:c>
      <x:c r="K6761" s="0">
        <x:f>hyperlink("https://icd.who.int/dev11/l-ichi/en#/http%3A%2F%2Fid.who.int%2Ficd%2Fentity%2F1805157177","browser")</x:f>
      </x:c>
      <x:c r="L6761" s="0">
        <x:f>hyperlink("https://icat2.azurewebsites.net/icat/?ontology=ICD&amp;tab=ClassesTab&amp;id=http%3A%2F%2Fwho.int%2Ficd%2340366_512ebf36_bf6b_4d70_85da_cf2637062af4","iCat")</x:f>
      </x:c>
      <x:c r="M6761" s="0" t="s">
        <x:v>21</x:v>
      </x:c>
      <x:c r="N6761" s="0" t="s">
        <x:v>46</x:v>
      </x:c>
    </x:row>
    <x:row r="6762" spans="1:16">
      <x:c r="A6762" s="0" t="s">
        <x:v>26906</x:v>
      </x:c>
      <x:c r="B6762" s="0" t="s">
        <x:v>26907</x:v>
      </x:c>
      <x:c r="C6762" s="0" t="s">
        <x:v>26908</x:v>
      </x:c>
      <x:c r="E6762" s="0" t="s">
        <x:v>26909</x:v>
      </x:c>
      <x:c r="F6762" s="0" t="s">
        <x:v>45</x:v>
      </x:c>
      <x:c r="G6762" s="0" t="s">
        <x:v>19</x:v>
      </x:c>
      <x:c r="H6762" s="0" t="s">
        <x:v>20</x:v>
      </x:c>
      <x:c r="I6762" s="0" t="s">
        <x:v>21</x:v>
      </x:c>
      <x:c r="K6762" s="0">
        <x:f>hyperlink("https://icd.who.int/dev11/l-ichi/en#/http%3A%2F%2Fid.who.int%2Ficd%2Fentity%2F346267688","browser")</x:f>
      </x:c>
      <x:c r="L6762" s="0">
        <x:f>hyperlink("https://icat2.azurewebsites.net/icat/?ontology=ICD&amp;tab=ClassesTab&amp;id=http%3A%2F%2Fwho.int%2Ficd%2340373_512ebf36_bf6b_4d70_85da_cf2637062af4","iCat")</x:f>
      </x:c>
      <x:c r="M6762" s="0" t="s">
        <x:v>21</x:v>
      </x:c>
      <x:c r="N6762" s="0" t="s">
        <x:v>46</x:v>
      </x:c>
    </x:row>
    <x:row r="6763" spans="1:16">
      <x:c r="A6763" s="0" t="s">
        <x:v>26910</x:v>
      </x:c>
      <x:c r="B6763" s="0" t="s">
        <x:v>26911</x:v>
      </x:c>
      <x:c r="C6763" s="0" t="s">
        <x:v>26912</x:v>
      </x:c>
      <x:c r="E6763" s="0" t="s">
        <x:v>26913</x:v>
      </x:c>
      <x:c r="F6763" s="0" t="s">
        <x:v>45</x:v>
      </x:c>
      <x:c r="G6763" s="0" t="s">
        <x:v>19</x:v>
      </x:c>
      <x:c r="H6763" s="0" t="s">
        <x:v>20</x:v>
      </x:c>
      <x:c r="I6763" s="0" t="s">
        <x:v>21</x:v>
      </x:c>
      <x:c r="K6763" s="0">
        <x:f>hyperlink("https://icd.who.int/dev11/l-ichi/en#/http%3A%2F%2Fid.who.int%2Ficd%2Fentity%2F2126611713","browser")</x:f>
      </x:c>
      <x:c r="L6763" s="0">
        <x:f>hyperlink("https://icat2.azurewebsites.net/icat/?ontology=ICD&amp;tab=ClassesTab&amp;id=http%3A%2F%2Fwho.int%2Ficd%2340380_512ebf36_bf6b_4d70_85da_cf2637062af4","iCat")</x:f>
      </x:c>
      <x:c r="M6763" s="0" t="s">
        <x:v>21</x:v>
      </x:c>
      <x:c r="N6763" s="0" t="s">
        <x:v>46</x:v>
      </x:c>
    </x:row>
    <x:row r="6764" spans="1:16">
      <x:c r="A6764" s="0" t="s">
        <x:v>26914</x:v>
      </x:c>
      <x:c r="B6764" s="0" t="s">
        <x:v>26915</x:v>
      </x:c>
      <x:c r="C6764" s="0" t="s">
        <x:v>26916</x:v>
      </x:c>
      <x:c r="E6764" s="0" t="s">
        <x:v>26917</x:v>
      </x:c>
      <x:c r="F6764" s="0" t="s">
        <x:v>45</x:v>
      </x:c>
      <x:c r="G6764" s="0" t="s">
        <x:v>19</x:v>
      </x:c>
      <x:c r="H6764" s="0" t="s">
        <x:v>20</x:v>
      </x:c>
      <x:c r="I6764" s="0" t="s">
        <x:v>21</x:v>
      </x:c>
      <x:c r="K6764" s="0">
        <x:f>hyperlink("https://icd.who.int/dev11/l-ichi/en#/http%3A%2F%2Fid.who.int%2Ficd%2Fentity%2F239283852","browser")</x:f>
      </x:c>
      <x:c r="L6764" s="0">
        <x:f>hyperlink("https://icat2.azurewebsites.net/icat/?ontology=ICD&amp;tab=ClassesTab&amp;id=http%3A%2F%2Fwho.int%2Ficd%2340387_512ebf36_bf6b_4d70_85da_cf2637062af4","iCat")</x:f>
      </x:c>
      <x:c r="M6764" s="0" t="s">
        <x:v>21</x:v>
      </x:c>
      <x:c r="N6764" s="0" t="s">
        <x:v>46</x:v>
      </x:c>
    </x:row>
    <x:row r="6765" spans="1:16">
      <x:c r="A6765" s="0" t="s">
        <x:v>26918</x:v>
      </x:c>
      <x:c r="B6765" s="0" t="s">
        <x:v>26919</x:v>
      </x:c>
      <x:c r="C6765" s="0" t="s">
        <x:v>26920</x:v>
      </x:c>
      <x:c r="E6765" s="0" t="s">
        <x:v>26921</x:v>
      </x:c>
      <x:c r="F6765" s="0" t="s">
        <x:v>45</x:v>
      </x:c>
      <x:c r="G6765" s="0" t="s">
        <x:v>19</x:v>
      </x:c>
      <x:c r="H6765" s="0" t="s">
        <x:v>20</x:v>
      </x:c>
      <x:c r="I6765" s="0" t="s">
        <x:v>21</x:v>
      </x:c>
      <x:c r="K6765" s="0">
        <x:f>hyperlink("https://icd.who.int/dev11/l-ichi/en#/http%3A%2F%2Fid.who.int%2Ficd%2Fentity%2F553899044","browser")</x:f>
      </x:c>
      <x:c r="L6765" s="0">
        <x:f>hyperlink("https://icat2.azurewebsites.net/icat/?ontology=ICD&amp;tab=ClassesTab&amp;id=http%3A%2F%2Fwho.int%2Ficd%2340394_512ebf36_bf6b_4d70_85da_cf2637062af4","iCat")</x:f>
      </x:c>
      <x:c r="M6765" s="0" t="s">
        <x:v>21</x:v>
      </x:c>
      <x:c r="N6765" s="0" t="s">
        <x:v>46</x:v>
      </x:c>
    </x:row>
    <x:row r="6766" spans="1:16">
      <x:c r="A6766" s="0" t="s">
        <x:v>26922</x:v>
      </x:c>
      <x:c r="B6766" s="0" t="s">
        <x:v>26923</x:v>
      </x:c>
      <x:c r="C6766" s="0" t="s">
        <x:v>26924</x:v>
      </x:c>
      <x:c r="E6766" s="0" t="s">
        <x:v>26925</x:v>
      </x:c>
      <x:c r="F6766" s="0" t="s">
        <x:v>45</x:v>
      </x:c>
      <x:c r="G6766" s="0" t="s">
        <x:v>19</x:v>
      </x:c>
      <x:c r="H6766" s="0" t="s">
        <x:v>20</x:v>
      </x:c>
      <x:c r="I6766" s="0" t="s">
        <x:v>21</x:v>
      </x:c>
      <x:c r="K6766" s="0">
        <x:f>hyperlink("https://icd.who.int/dev11/l-ichi/en#/http%3A%2F%2Fid.who.int%2Ficd%2Fentity%2F760743573","browser")</x:f>
      </x:c>
      <x:c r="L6766" s="0">
        <x:f>hyperlink("https://icat2.azurewebsites.net/icat/?ontology=ICD&amp;tab=ClassesTab&amp;id=http%3A%2F%2Fwho.int%2Ficd%2340401_512ebf36_bf6b_4d70_85da_cf2637062af4","iCat")</x:f>
      </x:c>
      <x:c r="M6766" s="0" t="s">
        <x:v>21</x:v>
      </x:c>
      <x:c r="N6766" s="0" t="s">
        <x:v>46</x:v>
      </x:c>
    </x:row>
    <x:row r="6767" spans="1:16">
      <x:c r="A6767" s="0" t="s">
        <x:v>26926</x:v>
      </x:c>
      <x:c r="B6767" s="0" t="s">
        <x:v>26927</x:v>
      </x:c>
      <x:c r="C6767" s="0" t="s">
        <x:v>26928</x:v>
      </x:c>
      <x:c r="E6767" s="0" t="s">
        <x:v>26929</x:v>
      </x:c>
      <x:c r="F6767" s="0" t="s">
        <x:v>45</x:v>
      </x:c>
      <x:c r="G6767" s="0" t="s">
        <x:v>19</x:v>
      </x:c>
      <x:c r="H6767" s="0" t="s">
        <x:v>20</x:v>
      </x:c>
      <x:c r="I6767" s="0" t="s">
        <x:v>21</x:v>
      </x:c>
      <x:c r="K6767" s="0">
        <x:f>hyperlink("https://icd.who.int/dev11/l-ichi/en#/http%3A%2F%2Fid.who.int%2Ficd%2Fentity%2F1126172156","browser")</x:f>
      </x:c>
      <x:c r="L6767" s="0">
        <x:f>hyperlink("https://icat2.azurewebsites.net/icat/?ontology=ICD&amp;tab=ClassesTab&amp;id=http%3A%2F%2Fwho.int%2Ficd%2340408_512ebf36_bf6b_4d70_85da_cf2637062af4","iCat")</x:f>
      </x:c>
      <x:c r="M6767" s="0" t="s">
        <x:v>21</x:v>
      </x:c>
      <x:c r="N6767" s="0" t="s">
        <x:v>46</x:v>
      </x:c>
    </x:row>
    <x:row r="6768" spans="1:16">
      <x:c r="A6768" s="0" t="s">
        <x:v>26930</x:v>
      </x:c>
      <x:c r="B6768" s="0" t="s">
        <x:v>26931</x:v>
      </x:c>
      <x:c r="C6768" s="0" t="s">
        <x:v>26932</x:v>
      </x:c>
      <x:c r="E6768" s="0" t="s">
        <x:v>26933</x:v>
      </x:c>
      <x:c r="F6768" s="0" t="s">
        <x:v>45</x:v>
      </x:c>
      <x:c r="G6768" s="0" t="s">
        <x:v>19</x:v>
      </x:c>
      <x:c r="H6768" s="0" t="s">
        <x:v>20</x:v>
      </x:c>
      <x:c r="I6768" s="0" t="s">
        <x:v>21</x:v>
      </x:c>
      <x:c r="K6768" s="0">
        <x:f>hyperlink("https://icd.who.int/dev11/l-ichi/en#/http%3A%2F%2Fid.who.int%2Ficd%2Fentity%2F1922717622","browser")</x:f>
      </x:c>
      <x:c r="L6768" s="0">
        <x:f>hyperlink("https://icat2.azurewebsites.net/icat/?ontology=ICD&amp;tab=ClassesTab&amp;id=http%3A%2F%2Fwho.int%2Ficd%2340415_512ebf36_bf6b_4d70_85da_cf2637062af4","iCat")</x:f>
      </x:c>
      <x:c r="M6768" s="0" t="s">
        <x:v>21</x:v>
      </x:c>
      <x:c r="N6768" s="0" t="s">
        <x:v>46</x:v>
      </x:c>
    </x:row>
    <x:row r="6769" spans="1:16">
      <x:c r="A6769" s="0" t="s">
        <x:v>26934</x:v>
      </x:c>
      <x:c r="B6769" s="0" t="s">
        <x:v>26935</x:v>
      </x:c>
      <x:c r="C6769" s="0" t="s">
        <x:v>26936</x:v>
      </x:c>
      <x:c r="E6769" s="0" t="s">
        <x:v>26937</x:v>
      </x:c>
      <x:c r="F6769" s="0" t="s">
        <x:v>45</x:v>
      </x:c>
      <x:c r="G6769" s="0" t="s">
        <x:v>19</x:v>
      </x:c>
      <x:c r="H6769" s="0" t="s">
        <x:v>20</x:v>
      </x:c>
      <x:c r="I6769" s="0" t="s">
        <x:v>21</x:v>
      </x:c>
      <x:c r="K6769" s="0">
        <x:f>hyperlink("https://icd.who.int/dev11/l-ichi/en#/http%3A%2F%2Fid.who.int%2Ficd%2Fentity%2F1118420030","browser")</x:f>
      </x:c>
      <x:c r="L6769" s="0">
        <x:f>hyperlink("https://icat2.azurewebsites.net/icat/?ontology=ICD&amp;tab=ClassesTab&amp;id=http%3A%2F%2Fwho.int%2Ficd%2340422_512ebf36_bf6b_4d70_85da_cf2637062af4","iCat")</x:f>
      </x:c>
      <x:c r="M6769" s="0" t="s">
        <x:v>21</x:v>
      </x:c>
      <x:c r="N6769" s="0" t="s">
        <x:v>46</x:v>
      </x:c>
    </x:row>
    <x:row r="6770" spans="1:16">
      <x:c r="A6770" s="0" t="s">
        <x:v>26938</x:v>
      </x:c>
      <x:c r="B6770" s="0" t="s">
        <x:v>26939</x:v>
      </x:c>
      <x:c r="C6770" s="0" t="s">
        <x:v>26940</x:v>
      </x:c>
      <x:c r="E6770" s="0" t="s">
        <x:v>26941</x:v>
      </x:c>
      <x:c r="F6770" s="0" t="s">
        <x:v>45</x:v>
      </x:c>
      <x:c r="G6770" s="0" t="s">
        <x:v>19</x:v>
      </x:c>
      <x:c r="H6770" s="0" t="s">
        <x:v>20</x:v>
      </x:c>
      <x:c r="I6770" s="0" t="s">
        <x:v>21</x:v>
      </x:c>
      <x:c r="K6770" s="0">
        <x:f>hyperlink("https://icd.who.int/dev11/l-ichi/en#/http%3A%2F%2Fid.who.int%2Ficd%2Fentity%2F1236116112","browser")</x:f>
      </x:c>
      <x:c r="L6770" s="0">
        <x:f>hyperlink("https://icat2.azurewebsites.net/icat/?ontology=ICD&amp;tab=ClassesTab&amp;id=http%3A%2F%2Fwho.int%2Ficd%2340429_512ebf36_bf6b_4d70_85da_cf2637062af4","iCat")</x:f>
      </x:c>
      <x:c r="M6770" s="0" t="s">
        <x:v>21</x:v>
      </x:c>
      <x:c r="N6770" s="0" t="s">
        <x:v>46</x:v>
      </x:c>
    </x:row>
    <x:row r="6771" spans="1:16">
      <x:c r="A6771" s="0" t="s">
        <x:v>26942</x:v>
      </x:c>
      <x:c r="B6771" s="0" t="s">
        <x:v>26943</x:v>
      </x:c>
      <x:c r="C6771" s="0" t="s">
        <x:v>26944</x:v>
      </x:c>
      <x:c r="E6771" s="0" t="s">
        <x:v>26945</x:v>
      </x:c>
      <x:c r="F6771" s="0" t="s">
        <x:v>45</x:v>
      </x:c>
      <x:c r="G6771" s="0" t="s">
        <x:v>19</x:v>
      </x:c>
      <x:c r="H6771" s="0" t="s">
        <x:v>20</x:v>
      </x:c>
      <x:c r="I6771" s="0" t="s">
        <x:v>21</x:v>
      </x:c>
      <x:c r="K6771" s="0">
        <x:f>hyperlink("https://icd.who.int/dev11/l-ichi/en#/http%3A%2F%2Fid.who.int%2Ficd%2Fentity%2F493612319","browser")</x:f>
      </x:c>
      <x:c r="L6771" s="0">
        <x:f>hyperlink("https://icat2.azurewebsites.net/icat/?ontology=ICD&amp;tab=ClassesTab&amp;id=http%3A%2F%2Fwho.int%2Ficd%2340436_512ebf36_bf6b_4d70_85da_cf2637062af4","iCat")</x:f>
      </x:c>
      <x:c r="M6771" s="0" t="s">
        <x:v>21</x:v>
      </x:c>
      <x:c r="N6771" s="0" t="s">
        <x:v>46</x:v>
      </x:c>
    </x:row>
    <x:row r="6772" spans="1:16">
      <x:c r="A6772" s="0" t="s">
        <x:v>26946</x:v>
      </x:c>
      <x:c r="B6772" s="0" t="s">
        <x:v>26947</x:v>
      </x:c>
      <x:c r="C6772" s="0" t="s">
        <x:v>26948</x:v>
      </x:c>
      <x:c r="E6772" s="0" t="s">
        <x:v>26949</x:v>
      </x:c>
      <x:c r="F6772" s="0" t="s">
        <x:v>45</x:v>
      </x:c>
      <x:c r="G6772" s="0" t="s">
        <x:v>19</x:v>
      </x:c>
      <x:c r="H6772" s="0" t="s">
        <x:v>20</x:v>
      </x:c>
      <x:c r="I6772" s="0" t="s">
        <x:v>21</x:v>
      </x:c>
      <x:c r="K6772" s="0">
        <x:f>hyperlink("https://icd.who.int/dev11/l-ichi/en#/http%3A%2F%2Fid.who.int%2Ficd%2Fentity%2F943933517","browser")</x:f>
      </x:c>
      <x:c r="L6772" s="0">
        <x:f>hyperlink("https://icat2.azurewebsites.net/icat/?ontology=ICD&amp;tab=ClassesTab&amp;id=http%3A%2F%2Fwho.int%2Ficd%2340443_512ebf36_bf6b_4d70_85da_cf2637062af4","iCat")</x:f>
      </x:c>
      <x:c r="M6772" s="0" t="s">
        <x:v>21</x:v>
      </x:c>
      <x:c r="N6772" s="0" t="s">
        <x:v>46</x:v>
      </x:c>
    </x:row>
    <x:row r="6773" spans="1:16">
      <x:c r="A6773" s="0" t="s">
        <x:v>26950</x:v>
      </x:c>
      <x:c r="B6773" s="0" t="s">
        <x:v>26951</x:v>
      </x:c>
      <x:c r="C6773" s="0" t="s">
        <x:v>26952</x:v>
      </x:c>
      <x:c r="E6773" s="0" t="s">
        <x:v>26953</x:v>
      </x:c>
      <x:c r="F6773" s="0" t="s">
        <x:v>45</x:v>
      </x:c>
      <x:c r="G6773" s="0" t="s">
        <x:v>19</x:v>
      </x:c>
      <x:c r="H6773" s="0" t="s">
        <x:v>20</x:v>
      </x:c>
      <x:c r="I6773" s="0" t="s">
        <x:v>21</x:v>
      </x:c>
      <x:c r="K6773" s="0">
        <x:f>hyperlink("https://icd.who.int/dev11/l-ichi/en#/http%3A%2F%2Fid.who.int%2Ficd%2Fentity%2F386118371","browser")</x:f>
      </x:c>
      <x:c r="L6773" s="0">
        <x:f>hyperlink("https://icat2.azurewebsites.net/icat/?ontology=ICD&amp;tab=ClassesTab&amp;id=http%3A%2F%2Fwho.int%2Ficd%2340450_512ebf36_bf6b_4d70_85da_cf2637062af4","iCat")</x:f>
      </x:c>
      <x:c r="M6773" s="0" t="s">
        <x:v>21</x:v>
      </x:c>
      <x:c r="N6773" s="0" t="s">
        <x:v>46</x:v>
      </x:c>
    </x:row>
    <x:row r="6774" spans="1:16">
      <x:c r="A6774" s="0" t="s">
        <x:v>26954</x:v>
      </x:c>
      <x:c r="B6774" s="0" t="s">
        <x:v>26955</x:v>
      </x:c>
      <x:c r="C6774" s="0" t="s">
        <x:v>26956</x:v>
      </x:c>
      <x:c r="E6774" s="0" t="s">
        <x:v>26957</x:v>
      </x:c>
      <x:c r="F6774" s="0" t="s">
        <x:v>45</x:v>
      </x:c>
      <x:c r="G6774" s="0" t="s">
        <x:v>19</x:v>
      </x:c>
      <x:c r="H6774" s="0" t="s">
        <x:v>20</x:v>
      </x:c>
      <x:c r="I6774" s="0" t="s">
        <x:v>21</x:v>
      </x:c>
      <x:c r="K6774" s="0">
        <x:f>hyperlink("https://icd.who.int/dev11/l-ichi/en#/http%3A%2F%2Fid.who.int%2Ficd%2Fentity%2F1736513902","browser")</x:f>
      </x:c>
      <x:c r="L6774" s="0">
        <x:f>hyperlink("https://icat2.azurewebsites.net/icat/?ontology=ICD&amp;tab=ClassesTab&amp;id=http%3A%2F%2Fwho.int%2Ficd%2340457_512ebf36_bf6b_4d70_85da_cf2637062af4","iCat")</x:f>
      </x:c>
      <x:c r="M6774" s="0" t="s">
        <x:v>21</x:v>
      </x:c>
      <x:c r="N6774" s="0" t="s">
        <x:v>46</x:v>
      </x:c>
    </x:row>
    <x:row r="6775" spans="1:16">
      <x:c r="A6775" s="0" t="s">
        <x:v>26958</x:v>
      </x:c>
      <x:c r="B6775" s="0" t="s">
        <x:v>26959</x:v>
      </x:c>
      <x:c r="C6775" s="0" t="s">
        <x:v>26960</x:v>
      </x:c>
      <x:c r="E6775" s="0" t="s">
        <x:v>26961</x:v>
      </x:c>
      <x:c r="F6775" s="0" t="s">
        <x:v>45</x:v>
      </x:c>
      <x:c r="G6775" s="0" t="s">
        <x:v>19</x:v>
      </x:c>
      <x:c r="H6775" s="0" t="s">
        <x:v>20</x:v>
      </x:c>
      <x:c r="I6775" s="0" t="s">
        <x:v>21</x:v>
      </x:c>
      <x:c r="K6775" s="0">
        <x:f>hyperlink("https://icd.who.int/dev11/l-ichi/en#/http%3A%2F%2Fid.who.int%2Ficd%2Fentity%2F1656043152","browser")</x:f>
      </x:c>
      <x:c r="L6775" s="0">
        <x:f>hyperlink("https://icat2.azurewebsites.net/icat/?ontology=ICD&amp;tab=ClassesTab&amp;id=http%3A%2F%2Fwho.int%2Ficd%2340464_512ebf36_bf6b_4d70_85da_cf2637062af4","iCat")</x:f>
      </x:c>
      <x:c r="M6775" s="0" t="s">
        <x:v>21</x:v>
      </x:c>
      <x:c r="N6775" s="0" t="s">
        <x:v>46</x:v>
      </x:c>
    </x:row>
    <x:row r="6776" spans="1:16">
      <x:c r="A6776" s="0" t="s">
        <x:v>26962</x:v>
      </x:c>
      <x:c r="B6776" s="0" t="s">
        <x:v>26963</x:v>
      </x:c>
      <x:c r="C6776" s="0" t="s">
        <x:v>26964</x:v>
      </x:c>
      <x:c r="E6776" s="0" t="s">
        <x:v>26965</x:v>
      </x:c>
      <x:c r="F6776" s="0" t="s">
        <x:v>45</x:v>
      </x:c>
      <x:c r="G6776" s="0" t="s">
        <x:v>19</x:v>
      </x:c>
      <x:c r="H6776" s="0" t="s">
        <x:v>20</x:v>
      </x:c>
      <x:c r="I6776" s="0" t="s">
        <x:v>21</x:v>
      </x:c>
      <x:c r="K6776" s="0">
        <x:f>hyperlink("https://icd.who.int/dev11/l-ichi/en#/http%3A%2F%2Fid.who.int%2Ficd%2Fentity%2F495850895","browser")</x:f>
      </x:c>
      <x:c r="L6776" s="0">
        <x:f>hyperlink("https://icat2.azurewebsites.net/icat/?ontology=ICD&amp;tab=ClassesTab&amp;id=http%3A%2F%2Fwho.int%2Ficd%2340471_512ebf36_bf6b_4d70_85da_cf2637062af4","iCat")</x:f>
      </x:c>
      <x:c r="M6776" s="0" t="s">
        <x:v>21</x:v>
      </x:c>
      <x:c r="N6776" s="0" t="s">
        <x:v>46</x:v>
      </x:c>
    </x:row>
    <x:row r="6777" spans="1:16">
      <x:c r="A6777" s="0" t="s">
        <x:v>26966</x:v>
      </x:c>
      <x:c r="B6777" s="0" t="s">
        <x:v>26967</x:v>
      </x:c>
      <x:c r="C6777" s="0" t="s">
        <x:v>26968</x:v>
      </x:c>
      <x:c r="E6777" s="0" t="s">
        <x:v>26969</x:v>
      </x:c>
      <x:c r="F6777" s="0" t="s">
        <x:v>45</x:v>
      </x:c>
      <x:c r="G6777" s="0" t="s">
        <x:v>19</x:v>
      </x:c>
      <x:c r="H6777" s="0" t="s">
        <x:v>20</x:v>
      </x:c>
      <x:c r="I6777" s="0" t="s">
        <x:v>21</x:v>
      </x:c>
      <x:c r="K6777" s="0">
        <x:f>hyperlink("https://icd.who.int/dev11/l-ichi/en#/http%3A%2F%2Fid.who.int%2Ficd%2Fentity%2F1945507560","browser")</x:f>
      </x:c>
      <x:c r="L6777" s="0">
        <x:f>hyperlink("https://icat2.azurewebsites.net/icat/?ontology=ICD&amp;tab=ClassesTab&amp;id=http%3A%2F%2Fwho.int%2Ficd%2340478_512ebf36_bf6b_4d70_85da_cf2637062af4","iCat")</x:f>
      </x:c>
      <x:c r="M6777" s="0" t="s">
        <x:v>21</x:v>
      </x:c>
      <x:c r="N6777" s="0" t="s">
        <x:v>46</x:v>
      </x:c>
    </x:row>
    <x:row r="6778" spans="1:16">
      <x:c r="A6778" s="0" t="s">
        <x:v>26970</x:v>
      </x:c>
      <x:c r="B6778" s="0" t="s">
        <x:v>26971</x:v>
      </x:c>
      <x:c r="C6778" s="0" t="s">
        <x:v>26972</x:v>
      </x:c>
      <x:c r="E6778" s="0" t="s">
        <x:v>26973</x:v>
      </x:c>
      <x:c r="F6778" s="0" t="s">
        <x:v>45</x:v>
      </x:c>
      <x:c r="G6778" s="0" t="s">
        <x:v>19</x:v>
      </x:c>
      <x:c r="H6778" s="0" t="s">
        <x:v>20</x:v>
      </x:c>
      <x:c r="I6778" s="0" t="s">
        <x:v>21</x:v>
      </x:c>
      <x:c r="K6778" s="0">
        <x:f>hyperlink("https://icd.who.int/dev11/l-ichi/en#/http%3A%2F%2Fid.who.int%2Ficd%2Fentity%2F124689189","browser")</x:f>
      </x:c>
      <x:c r="L6778" s="0">
        <x:f>hyperlink("https://icat2.azurewebsites.net/icat/?ontology=ICD&amp;tab=ClassesTab&amp;id=http%3A%2F%2Fwho.int%2Ficd%2340485_512ebf36_bf6b_4d70_85da_cf2637062af4","iCat")</x:f>
      </x:c>
      <x:c r="M6778" s="0" t="s">
        <x:v>21</x:v>
      </x:c>
      <x:c r="N6778" s="0" t="s">
        <x:v>46</x:v>
      </x:c>
    </x:row>
    <x:row r="6779" spans="1:16">
      <x:c r="A6779" s="0" t="s">
        <x:v>26974</x:v>
      </x:c>
      <x:c r="B6779" s="0" t="s">
        <x:v>26975</x:v>
      </x:c>
      <x:c r="C6779" s="0" t="s">
        <x:v>26976</x:v>
      </x:c>
      <x:c r="E6779" s="0" t="s">
        <x:v>26977</x:v>
      </x:c>
      <x:c r="F6779" s="0" t="s">
        <x:v>45</x:v>
      </x:c>
      <x:c r="G6779" s="0" t="s">
        <x:v>19</x:v>
      </x:c>
      <x:c r="H6779" s="0" t="s">
        <x:v>20</x:v>
      </x:c>
      <x:c r="I6779" s="0" t="s">
        <x:v>21</x:v>
      </x:c>
      <x:c r="K6779" s="0">
        <x:f>hyperlink("https://icd.who.int/dev11/l-ichi/en#/http%3A%2F%2Fid.who.int%2Ficd%2Fentity%2F1172749595","browser")</x:f>
      </x:c>
      <x:c r="L6779" s="0">
        <x:f>hyperlink("https://icat2.azurewebsites.net/icat/?ontology=ICD&amp;tab=ClassesTab&amp;id=http%3A%2F%2Fwho.int%2Ficd%2340170_512ebf36_bf6b_4d70_85da_cf2637062af4","iCat")</x:f>
      </x:c>
      <x:c r="M6779" s="0" t="s">
        <x:v>21</x:v>
      </x:c>
      <x:c r="N6779" s="0" t="s">
        <x:v>46</x:v>
      </x:c>
    </x:row>
    <x:row r="6780" spans="1:16">
      <x:c r="A6780" s="0" t="s">
        <x:v>26978</x:v>
      </x:c>
      <x:c r="B6780" s="0" t="s">
        <x:v>26979</x:v>
      </x:c>
      <x:c r="C6780" s="0" t="s">
        <x:v>26980</x:v>
      </x:c>
      <x:c r="E6780" s="0" t="s">
        <x:v>26981</x:v>
      </x:c>
      <x:c r="F6780" s="0" t="s">
        <x:v>45</x:v>
      </x:c>
      <x:c r="G6780" s="0" t="s">
        <x:v>19</x:v>
      </x:c>
      <x:c r="H6780" s="0" t="s">
        <x:v>20</x:v>
      </x:c>
      <x:c r="I6780" s="0" t="s">
        <x:v>21</x:v>
      </x:c>
      <x:c r="K6780" s="0">
        <x:f>hyperlink("https://icd.who.int/dev11/l-ichi/en#/http%3A%2F%2Fid.who.int%2Ficd%2Fentity%2F895751832","browser")</x:f>
      </x:c>
      <x:c r="L6780" s="0">
        <x:f>hyperlink("https://icat2.azurewebsites.net/icat/?ontology=ICD&amp;tab=ClassesTab&amp;id=http%3A%2F%2Fwho.int%2Ficd%2340177_512ebf36_bf6b_4d70_85da_cf2637062af4","iCat")</x:f>
      </x:c>
      <x:c r="M6780" s="0" t="s">
        <x:v>21</x:v>
      </x:c>
      <x:c r="N6780" s="0" t="s">
        <x:v>46</x:v>
      </x:c>
    </x:row>
    <x:row r="6781" spans="1:16">
      <x:c r="A6781" s="0" t="s">
        <x:v>26982</x:v>
      </x:c>
      <x:c r="B6781" s="0" t="s">
        <x:v>26983</x:v>
      </x:c>
      <x:c r="C6781" s="0" t="s">
        <x:v>26984</x:v>
      </x:c>
      <x:c r="E6781" s="0" t="s">
        <x:v>26985</x:v>
      </x:c>
      <x:c r="F6781" s="0" t="s">
        <x:v>45</x:v>
      </x:c>
      <x:c r="G6781" s="0" t="s">
        <x:v>19</x:v>
      </x:c>
      <x:c r="H6781" s="0" t="s">
        <x:v>20</x:v>
      </x:c>
      <x:c r="I6781" s="0" t="s">
        <x:v>21</x:v>
      </x:c>
      <x:c r="K6781" s="0">
        <x:f>hyperlink("https://icd.who.int/dev11/l-ichi/en#/http%3A%2F%2Fid.who.int%2Ficd%2Fentity%2F1594241969","browser")</x:f>
      </x:c>
      <x:c r="L6781" s="0">
        <x:f>hyperlink("https://icat2.azurewebsites.net/icat/?ontology=ICD&amp;tab=ClassesTab&amp;id=http%3A%2F%2Fwho.int%2Ficd%2340184_512ebf36_bf6b_4d70_85da_cf2637062af4","iCat")</x:f>
      </x:c>
      <x:c r="M6781" s="0" t="s">
        <x:v>21</x:v>
      </x:c>
      <x:c r="N6781" s="0" t="s">
        <x:v>46</x:v>
      </x:c>
    </x:row>
    <x:row r="6782" spans="1:16">
      <x:c r="A6782" s="0" t="s">
        <x:v>26986</x:v>
      </x:c>
      <x:c r="B6782" s="0" t="s">
        <x:v>26987</x:v>
      </x:c>
      <x:c r="C6782" s="0" t="s">
        <x:v>26988</x:v>
      </x:c>
      <x:c r="E6782" s="0" t="s">
        <x:v>26989</x:v>
      </x:c>
      <x:c r="F6782" s="0" t="s">
        <x:v>45</x:v>
      </x:c>
      <x:c r="G6782" s="0" t="s">
        <x:v>19</x:v>
      </x:c>
      <x:c r="H6782" s="0" t="s">
        <x:v>20</x:v>
      </x:c>
      <x:c r="I6782" s="0" t="s">
        <x:v>21</x:v>
      </x:c>
      <x:c r="K6782" s="0">
        <x:f>hyperlink("https://icd.who.int/dev11/l-ichi/en#/http%3A%2F%2Fid.who.int%2Ficd%2Fentity%2F540872878","browser")</x:f>
      </x:c>
      <x:c r="L6782" s="0">
        <x:f>hyperlink("https://icat2.azurewebsites.net/icat/?ontology=ICD&amp;tab=ClassesTab&amp;id=http%3A%2F%2Fwho.int%2Ficd%2340191_512ebf36_bf6b_4d70_85da_cf2637062af4","iCat")</x:f>
      </x:c>
      <x:c r="M6782" s="0" t="s">
        <x:v>21</x:v>
      </x:c>
      <x:c r="N6782" s="0" t="s">
        <x:v>46</x:v>
      </x:c>
    </x:row>
    <x:row r="6783" spans="1:16">
      <x:c r="A6783" s="0" t="s">
        <x:v>26990</x:v>
      </x:c>
      <x:c r="B6783" s="0" t="s">
        <x:v>26991</x:v>
      </x:c>
      <x:c r="C6783" s="0" t="s">
        <x:v>26992</x:v>
      </x:c>
      <x:c r="E6783" s="0" t="s">
        <x:v>26993</x:v>
      </x:c>
      <x:c r="F6783" s="0" t="s">
        <x:v>45</x:v>
      </x:c>
      <x:c r="G6783" s="0" t="s">
        <x:v>19</x:v>
      </x:c>
      <x:c r="H6783" s="0" t="s">
        <x:v>20</x:v>
      </x:c>
      <x:c r="I6783" s="0" t="s">
        <x:v>21</x:v>
      </x:c>
      <x:c r="K6783" s="0">
        <x:f>hyperlink("https://icd.who.int/dev11/l-ichi/en#/http%3A%2F%2Fid.who.int%2Ficd%2Fentity%2F1313149895","browser")</x:f>
      </x:c>
      <x:c r="L6783" s="0">
        <x:f>hyperlink("https://icat2.azurewebsites.net/icat/?ontology=ICD&amp;tab=ClassesTab&amp;id=http%3A%2F%2Fwho.int%2Ficd%2340198_512ebf36_bf6b_4d70_85da_cf2637062af4","iCat")</x:f>
      </x:c>
      <x:c r="M6783" s="0" t="s">
        <x:v>21</x:v>
      </x:c>
      <x:c r="N6783" s="0" t="s">
        <x:v>46</x:v>
      </x:c>
    </x:row>
    <x:row r="6784" spans="1:16">
      <x:c r="A6784" s="0" t="s">
        <x:v>26994</x:v>
      </x:c>
      <x:c r="B6784" s="0" t="s">
        <x:v>26995</x:v>
      </x:c>
      <x:c r="C6784" s="0" t="s">
        <x:v>26996</x:v>
      </x:c>
      <x:c r="E6784" s="0" t="s">
        <x:v>26997</x:v>
      </x:c>
      <x:c r="F6784" s="0" t="s">
        <x:v>45</x:v>
      </x:c>
      <x:c r="G6784" s="0" t="s">
        <x:v>19</x:v>
      </x:c>
      <x:c r="H6784" s="0" t="s">
        <x:v>20</x:v>
      </x:c>
      <x:c r="I6784" s="0" t="s">
        <x:v>21</x:v>
      </x:c>
      <x:c r="K6784" s="0">
        <x:f>hyperlink("https://icd.who.int/dev11/l-ichi/en#/http%3A%2F%2Fid.who.int%2Ficd%2Fentity%2F26323986","browser")</x:f>
      </x:c>
      <x:c r="L6784" s="0">
        <x:f>hyperlink("https://icat2.azurewebsites.net/icat/?ontology=ICD&amp;tab=ClassesTab&amp;id=http%3A%2F%2Fwho.int%2Ficd%2340205_512ebf36_bf6b_4d70_85da_cf2637062af4","iCat")</x:f>
      </x:c>
      <x:c r="M6784" s="0" t="s">
        <x:v>21</x:v>
      </x:c>
      <x:c r="N6784" s="0" t="s">
        <x:v>46</x:v>
      </x:c>
    </x:row>
    <x:row r="6785" spans="1:16">
      <x:c r="A6785" s="0" t="s">
        <x:v>26998</x:v>
      </x:c>
      <x:c r="B6785" s="0" t="s">
        <x:v>26999</x:v>
      </x:c>
      <x:c r="C6785" s="0" t="s">
        <x:v>27000</x:v>
      </x:c>
      <x:c r="E6785" s="0" t="s">
        <x:v>27001</x:v>
      </x:c>
      <x:c r="F6785" s="0" t="s">
        <x:v>45</x:v>
      </x:c>
      <x:c r="G6785" s="0" t="s">
        <x:v>19</x:v>
      </x:c>
      <x:c r="H6785" s="0" t="s">
        <x:v>20</x:v>
      </x:c>
      <x:c r="I6785" s="0" t="s">
        <x:v>21</x:v>
      </x:c>
      <x:c r="K6785" s="0">
        <x:f>hyperlink("https://icd.who.int/dev11/l-ichi/en#/http%3A%2F%2Fid.who.int%2Ficd%2Fentity%2F467047116","browser")</x:f>
      </x:c>
      <x:c r="L6785" s="0">
        <x:f>hyperlink("https://icat2.azurewebsites.net/icat/?ontology=ICD&amp;tab=ClassesTab&amp;id=http%3A%2F%2Fwho.int%2Ficd%2340212_512ebf36_bf6b_4d70_85da_cf2637062af4","iCat")</x:f>
      </x:c>
      <x:c r="M6785" s="0" t="s">
        <x:v>21</x:v>
      </x:c>
      <x:c r="N6785" s="0" t="s">
        <x:v>46</x:v>
      </x:c>
    </x:row>
    <x:row r="6786" spans="1:16">
      <x:c r="A6786" s="0" t="s">
        <x:v>27002</x:v>
      </x:c>
      <x:c r="B6786" s="0" t="s">
        <x:v>27003</x:v>
      </x:c>
      <x:c r="C6786" s="0" t="s">
        <x:v>27004</x:v>
      </x:c>
      <x:c r="E6786" s="0" t="s">
        <x:v>27005</x:v>
      </x:c>
      <x:c r="F6786" s="0" t="s">
        <x:v>45</x:v>
      </x:c>
      <x:c r="G6786" s="0" t="s">
        <x:v>19</x:v>
      </x:c>
      <x:c r="H6786" s="0" t="s">
        <x:v>20</x:v>
      </x:c>
      <x:c r="I6786" s="0" t="s">
        <x:v>21</x:v>
      </x:c>
      <x:c r="K6786" s="0">
        <x:f>hyperlink("https://icd.who.int/dev11/l-ichi/en#/http%3A%2F%2Fid.who.int%2Ficd%2Fentity%2F282233958","browser")</x:f>
      </x:c>
      <x:c r="L6786" s="0">
        <x:f>hyperlink("https://icat2.azurewebsites.net/icat/?ontology=ICD&amp;tab=ClassesTab&amp;id=http%3A%2F%2Fwho.int%2Ficd%2340219_512ebf36_bf6b_4d70_85da_cf2637062af4","iCat")</x:f>
      </x:c>
      <x:c r="M6786" s="0" t="s">
        <x:v>21</x:v>
      </x:c>
      <x:c r="N6786" s="0" t="s">
        <x:v>46</x:v>
      </x:c>
    </x:row>
    <x:row r="6787" spans="1:16">
      <x:c r="A6787" s="0" t="s">
        <x:v>27006</x:v>
      </x:c>
      <x:c r="B6787" s="0" t="s">
        <x:v>27007</x:v>
      </x:c>
      <x:c r="C6787" s="0" t="s">
        <x:v>27008</x:v>
      </x:c>
      <x:c r="E6787" s="0" t="s">
        <x:v>27009</x:v>
      </x:c>
      <x:c r="F6787" s="0" t="s">
        <x:v>45</x:v>
      </x:c>
      <x:c r="G6787" s="0" t="s">
        <x:v>19</x:v>
      </x:c>
      <x:c r="H6787" s="0" t="s">
        <x:v>20</x:v>
      </x:c>
      <x:c r="I6787" s="0" t="s">
        <x:v>21</x:v>
      </x:c>
      <x:c r="K6787" s="0">
        <x:f>hyperlink("https://icd.who.int/dev11/l-ichi/en#/http%3A%2F%2Fid.who.int%2Ficd%2Fentity%2F489268735","browser")</x:f>
      </x:c>
      <x:c r="L6787" s="0">
        <x:f>hyperlink("https://icat2.azurewebsites.net/icat/?ontology=ICD&amp;tab=ClassesTab&amp;id=http%3A%2F%2Fwho.int%2Ficd%2340492_512ebf36_bf6b_4d70_85da_cf2637062af4","iCat")</x:f>
      </x:c>
      <x:c r="M6787" s="0" t="s">
        <x:v>21</x:v>
      </x:c>
      <x:c r="N6787" s="0" t="s">
        <x:v>46</x:v>
      </x:c>
    </x:row>
    <x:row r="6788" spans="1:16">
      <x:c r="A6788" s="0" t="s">
        <x:v>27010</x:v>
      </x:c>
      <x:c r="B6788" s="0" t="s">
        <x:v>27011</x:v>
      </x:c>
      <x:c r="C6788" s="0" t="s">
        <x:v>27012</x:v>
      </x:c>
      <x:c r="E6788" s="0" t="s">
        <x:v>27013</x:v>
      </x:c>
      <x:c r="F6788" s="0" t="s">
        <x:v>45</x:v>
      </x:c>
      <x:c r="G6788" s="0" t="s">
        <x:v>19</x:v>
      </x:c>
      <x:c r="H6788" s="0" t="s">
        <x:v>20</x:v>
      </x:c>
      <x:c r="I6788" s="0" t="s">
        <x:v>21</x:v>
      </x:c>
      <x:c r="K6788" s="0">
        <x:f>hyperlink("https://icd.who.int/dev11/l-ichi/en#/http%3A%2F%2Fid.who.int%2Ficd%2Fentity%2F372095827","browser")</x:f>
      </x:c>
      <x:c r="L6788" s="0">
        <x:f>hyperlink("https://icat2.azurewebsites.net/icat/?ontology=ICD&amp;tab=ClassesTab&amp;id=http%3A%2F%2Fwho.int%2Ficd%2340499_512ebf36_bf6b_4d70_85da_cf2637062af4","iCat")</x:f>
      </x:c>
      <x:c r="M6788" s="0" t="s">
        <x:v>21</x:v>
      </x:c>
      <x:c r="N6788" s="0" t="s">
        <x:v>46</x:v>
      </x:c>
    </x:row>
    <x:row r="6789" spans="1:16">
      <x:c r="A6789" s="0" t="s">
        <x:v>27014</x:v>
      </x:c>
      <x:c r="B6789" s="0" t="s">
        <x:v>27015</x:v>
      </x:c>
      <x:c r="C6789" s="0" t="s">
        <x:v>27016</x:v>
      </x:c>
      <x:c r="E6789" s="0" t="s">
        <x:v>27017</x:v>
      </x:c>
      <x:c r="F6789" s="0" t="s">
        <x:v>45</x:v>
      </x:c>
      <x:c r="G6789" s="0" t="s">
        <x:v>19</x:v>
      </x:c>
      <x:c r="H6789" s="0" t="s">
        <x:v>20</x:v>
      </x:c>
      <x:c r="I6789" s="0" t="s">
        <x:v>21</x:v>
      </x:c>
      <x:c r="K6789" s="0">
        <x:f>hyperlink("https://icd.who.int/dev11/l-ichi/en#/http%3A%2F%2Fid.who.int%2Ficd%2Fentity%2F675638149","browser")</x:f>
      </x:c>
      <x:c r="L6789" s="0">
        <x:f>hyperlink("https://icat2.azurewebsites.net/icat/?ontology=ICD&amp;tab=ClassesTab&amp;id=http%3A%2F%2Fwho.int%2Ficd%2340506_512ebf36_bf6b_4d70_85da_cf2637062af4","iCat")</x:f>
      </x:c>
      <x:c r="M6789" s="0" t="s">
        <x:v>21</x:v>
      </x:c>
      <x:c r="N6789" s="0" t="s">
        <x:v>46</x:v>
      </x:c>
    </x:row>
    <x:row r="6790" spans="1:16">
      <x:c r="A6790" s="0" t="s">
        <x:v>27018</x:v>
      </x:c>
      <x:c r="B6790" s="0" t="s">
        <x:v>27019</x:v>
      </x:c>
      <x:c r="C6790" s="0" t="s">
        <x:v>27020</x:v>
      </x:c>
      <x:c r="E6790" s="0" t="s">
        <x:v>27021</x:v>
      </x:c>
      <x:c r="F6790" s="0" t="s">
        <x:v>45</x:v>
      </x:c>
      <x:c r="G6790" s="0" t="s">
        <x:v>19</x:v>
      </x:c>
      <x:c r="H6790" s="0" t="s">
        <x:v>20</x:v>
      </x:c>
      <x:c r="I6790" s="0" t="s">
        <x:v>21</x:v>
      </x:c>
      <x:c r="K6790" s="0">
        <x:f>hyperlink("https://icd.who.int/dev11/l-ichi/en#/http%3A%2F%2Fid.who.int%2Ficd%2Fentity%2F1467893916","browser")</x:f>
      </x:c>
      <x:c r="L6790" s="0">
        <x:f>hyperlink("https://icat2.azurewebsites.net/icat/?ontology=ICD&amp;tab=ClassesTab&amp;id=http%3A%2F%2Fwho.int%2Ficd%2340513_512ebf36_bf6b_4d70_85da_cf2637062af4","iCat")</x:f>
      </x:c>
      <x:c r="M6790" s="0" t="s">
        <x:v>21</x:v>
      </x:c>
      <x:c r="N6790" s="0" t="s">
        <x:v>46</x:v>
      </x:c>
    </x:row>
    <x:row r="6791" spans="1:16">
      <x:c r="A6791" s="0" t="s">
        <x:v>27022</x:v>
      </x:c>
      <x:c r="B6791" s="0" t="s">
        <x:v>27023</x:v>
      </x:c>
      <x:c r="C6791" s="0" t="s">
        <x:v>27024</x:v>
      </x:c>
      <x:c r="E6791" s="0" t="s">
        <x:v>27025</x:v>
      </x:c>
      <x:c r="F6791" s="0" t="s">
        <x:v>45</x:v>
      </x:c>
      <x:c r="G6791" s="0" t="s">
        <x:v>19</x:v>
      </x:c>
      <x:c r="H6791" s="0" t="s">
        <x:v>20</x:v>
      </x:c>
      <x:c r="I6791" s="0" t="s">
        <x:v>21</x:v>
      </x:c>
      <x:c r="K6791" s="0">
        <x:f>hyperlink("https://icd.who.int/dev11/l-ichi/en#/http%3A%2F%2Fid.who.int%2Ficd%2Fentity%2F1380607846","browser")</x:f>
      </x:c>
      <x:c r="L6791" s="0">
        <x:f>hyperlink("https://icat2.azurewebsites.net/icat/?ontology=ICD&amp;tab=ClassesTab&amp;id=http%3A%2F%2Fwho.int%2Ficd%2340520_512ebf36_bf6b_4d70_85da_cf2637062af4","iCat")</x:f>
      </x:c>
      <x:c r="M6791" s="0" t="s">
        <x:v>21</x:v>
      </x:c>
      <x:c r="N6791" s="0" t="s">
        <x:v>46</x:v>
      </x:c>
    </x:row>
    <x:row r="6792" spans="1:16">
      <x:c r="A6792" s="0" t="s">
        <x:v>27026</x:v>
      </x:c>
      <x:c r="B6792" s="0" t="s">
        <x:v>27027</x:v>
      </x:c>
      <x:c r="C6792" s="0" t="s">
        <x:v>27028</x:v>
      </x:c>
      <x:c r="E6792" s="0" t="s">
        <x:v>27029</x:v>
      </x:c>
      <x:c r="F6792" s="0" t="s">
        <x:v>45</x:v>
      </x:c>
      <x:c r="G6792" s="0" t="s">
        <x:v>19</x:v>
      </x:c>
      <x:c r="H6792" s="0" t="s">
        <x:v>20</x:v>
      </x:c>
      <x:c r="I6792" s="0" t="s">
        <x:v>21</x:v>
      </x:c>
      <x:c r="K6792" s="0">
        <x:f>hyperlink("https://icd.who.int/dev11/l-ichi/en#/http%3A%2F%2Fid.who.int%2Ficd%2Fentity%2F583585001","browser")</x:f>
      </x:c>
      <x:c r="L6792" s="0">
        <x:f>hyperlink("https://icat2.azurewebsites.net/icat/?ontology=ICD&amp;tab=ClassesTab&amp;id=http%3A%2F%2Fwho.int%2Ficd%2340527_512ebf36_bf6b_4d70_85da_cf2637062af4","iCat")</x:f>
      </x:c>
      <x:c r="M6792" s="0" t="s">
        <x:v>21</x:v>
      </x:c>
      <x:c r="N6792" s="0" t="s">
        <x:v>46</x:v>
      </x:c>
    </x:row>
    <x:row r="6793" spans="1:16">
      <x:c r="A6793" s="0" t="s">
        <x:v>27030</x:v>
      </x:c>
      <x:c r="B6793" s="0" t="s">
        <x:v>27031</x:v>
      </x:c>
      <x:c r="C6793" s="0" t="s">
        <x:v>27032</x:v>
      </x:c>
      <x:c r="E6793" s="0" t="s">
        <x:v>27033</x:v>
      </x:c>
      <x:c r="F6793" s="0" t="s">
        <x:v>45</x:v>
      </x:c>
      <x:c r="G6793" s="0" t="s">
        <x:v>19</x:v>
      </x:c>
      <x:c r="H6793" s="0" t="s">
        <x:v>20</x:v>
      </x:c>
      <x:c r="I6793" s="0" t="s">
        <x:v>21</x:v>
      </x:c>
      <x:c r="K6793" s="0">
        <x:f>hyperlink("https://icd.who.int/dev11/l-ichi/en#/http%3A%2F%2Fid.who.int%2Ficd%2Fentity%2F227030599","browser")</x:f>
      </x:c>
      <x:c r="L6793" s="0">
        <x:f>hyperlink("https://icat2.azurewebsites.net/icat/?ontology=ICD&amp;tab=ClassesTab&amp;id=http%3A%2F%2Fwho.int%2Ficd%2340534_512ebf36_bf6b_4d70_85da_cf2637062af4","iCat")</x:f>
      </x:c>
      <x:c r="M6793" s="0" t="s">
        <x:v>21</x:v>
      </x:c>
      <x:c r="N6793" s="0" t="s">
        <x:v>46</x:v>
      </x:c>
    </x:row>
    <x:row r="6794" spans="1:16">
      <x:c r="A6794" s="0" t="s">
        <x:v>27034</x:v>
      </x:c>
      <x:c r="B6794" s="0" t="s">
        <x:v>27035</x:v>
      </x:c>
      <x:c r="C6794" s="0" t="s">
        <x:v>27036</x:v>
      </x:c>
      <x:c r="E6794" s="0" t="s">
        <x:v>27037</x:v>
      </x:c>
      <x:c r="F6794" s="0" t="s">
        <x:v>45</x:v>
      </x:c>
      <x:c r="G6794" s="0" t="s">
        <x:v>19</x:v>
      </x:c>
      <x:c r="H6794" s="0" t="s">
        <x:v>20</x:v>
      </x:c>
      <x:c r="I6794" s="0" t="s">
        <x:v>21</x:v>
      </x:c>
      <x:c r="K6794" s="0">
        <x:f>hyperlink("https://icd.who.int/dev11/l-ichi/en#/http%3A%2F%2Fid.who.int%2Ficd%2Fentity%2F681612053","browser")</x:f>
      </x:c>
      <x:c r="L6794" s="0">
        <x:f>hyperlink("https://icat2.azurewebsites.net/icat/?ontology=ICD&amp;tab=ClassesTab&amp;id=http%3A%2F%2Fwho.int%2Ficd%2340541_512ebf36_bf6b_4d70_85da_cf2637062af4","iCat")</x:f>
      </x:c>
      <x:c r="M6794" s="0" t="s">
        <x:v>21</x:v>
      </x:c>
      <x:c r="N6794" s="0" t="s">
        <x:v>46</x:v>
      </x:c>
    </x:row>
    <x:row r="6795" spans="1:16">
      <x:c r="A6795" s="0" t="s">
        <x:v>27038</x:v>
      </x:c>
      <x:c r="B6795" s="0" t="s">
        <x:v>27039</x:v>
      </x:c>
      <x:c r="C6795" s="0" t="s">
        <x:v>27040</x:v>
      </x:c>
      <x:c r="E6795" s="0" t="s">
        <x:v>27041</x:v>
      </x:c>
      <x:c r="F6795" s="0" t="s">
        <x:v>45</x:v>
      </x:c>
      <x:c r="G6795" s="0" t="s">
        <x:v>19</x:v>
      </x:c>
      <x:c r="H6795" s="0" t="s">
        <x:v>20</x:v>
      </x:c>
      <x:c r="I6795" s="0" t="s">
        <x:v>21</x:v>
      </x:c>
      <x:c r="K6795" s="0">
        <x:f>hyperlink("https://icd.who.int/dev11/l-ichi/en#/http%3A%2F%2Fid.who.int%2Ficd%2Fentity%2F1188597884","browser")</x:f>
      </x:c>
      <x:c r="L6795" s="0">
        <x:f>hyperlink("https://icat2.azurewebsites.net/icat/?ontology=ICD&amp;tab=ClassesTab&amp;id=http%3A%2F%2Fwho.int%2Ficd%2340548_512ebf36_bf6b_4d70_85da_cf2637062af4","iCat")</x:f>
      </x:c>
      <x:c r="M6795" s="0" t="s">
        <x:v>21</x:v>
      </x:c>
      <x:c r="N6795" s="0" t="s">
        <x:v>46</x:v>
      </x:c>
    </x:row>
    <x:row r="6796" spans="1:16">
      <x:c r="A6796" s="0" t="s">
        <x:v>27042</x:v>
      </x:c>
      <x:c r="B6796" s="0" t="s">
        <x:v>27043</x:v>
      </x:c>
      <x:c r="C6796" s="0" t="s">
        <x:v>27044</x:v>
      </x:c>
      <x:c r="E6796" s="0" t="s">
        <x:v>27045</x:v>
      </x:c>
      <x:c r="F6796" s="0" t="s">
        <x:v>45</x:v>
      </x:c>
      <x:c r="G6796" s="0" t="s">
        <x:v>19</x:v>
      </x:c>
      <x:c r="H6796" s="0" t="s">
        <x:v>20</x:v>
      </x:c>
      <x:c r="I6796" s="0" t="s">
        <x:v>21</x:v>
      </x:c>
      <x:c r="K6796" s="0">
        <x:f>hyperlink("https://icd.who.int/dev11/l-ichi/en#/http%3A%2F%2Fid.who.int%2Ficd%2Fentity%2F2002960950","browser")</x:f>
      </x:c>
      <x:c r="L6796" s="0">
        <x:f>hyperlink("https://icat2.azurewebsites.net/icat/?ontology=ICD&amp;tab=ClassesTab&amp;id=http%3A%2F%2Fwho.int%2Ficd%2340555_512ebf36_bf6b_4d70_85da_cf2637062af4","iCat")</x:f>
      </x:c>
      <x:c r="M6796" s="0" t="s">
        <x:v>21</x:v>
      </x:c>
      <x:c r="N6796" s="0" t="s">
        <x:v>46</x:v>
      </x:c>
    </x:row>
    <x:row r="6797" spans="1:16">
      <x:c r="A6797" s="0" t="s">
        <x:v>27046</x:v>
      </x:c>
      <x:c r="B6797" s="0" t="s">
        <x:v>27047</x:v>
      </x:c>
      <x:c r="C6797" s="0" t="s">
        <x:v>27048</x:v>
      </x:c>
      <x:c r="E6797" s="0" t="s">
        <x:v>27049</x:v>
      </x:c>
      <x:c r="F6797" s="0" t="s">
        <x:v>45</x:v>
      </x:c>
      <x:c r="G6797" s="0" t="s">
        <x:v>19</x:v>
      </x:c>
      <x:c r="H6797" s="0" t="s">
        <x:v>20</x:v>
      </x:c>
      <x:c r="I6797" s="0" t="s">
        <x:v>21</x:v>
      </x:c>
      <x:c r="K6797" s="0">
        <x:f>hyperlink("https://icd.who.int/dev11/l-ichi/en#/http%3A%2F%2Fid.who.int%2Ficd%2Fentity%2F1196501438","browser")</x:f>
      </x:c>
      <x:c r="L6797" s="0">
        <x:f>hyperlink("https://icat2.azurewebsites.net/icat/?ontology=ICD&amp;tab=ClassesTab&amp;id=http%3A%2F%2Fwho.int%2Ficd%2340562_512ebf36_bf6b_4d70_85da_cf2637062af4","iCat")</x:f>
      </x:c>
      <x:c r="M6797" s="0" t="s">
        <x:v>21</x:v>
      </x:c>
      <x:c r="N6797" s="0" t="s">
        <x:v>46</x:v>
      </x:c>
    </x:row>
    <x:row r="6798" spans="1:16">
      <x:c r="A6798" s="0" t="s">
        <x:v>27050</x:v>
      </x:c>
      <x:c r="B6798" s="0" t="s">
        <x:v>27051</x:v>
      </x:c>
      <x:c r="C6798" s="0" t="s">
        <x:v>27052</x:v>
      </x:c>
      <x:c r="E6798" s="0" t="s">
        <x:v>27053</x:v>
      </x:c>
      <x:c r="F6798" s="0" t="s">
        <x:v>45</x:v>
      </x:c>
      <x:c r="G6798" s="0" t="s">
        <x:v>19</x:v>
      </x:c>
      <x:c r="H6798" s="0" t="s">
        <x:v>20</x:v>
      </x:c>
      <x:c r="I6798" s="0" t="s">
        <x:v>21</x:v>
      </x:c>
      <x:c r="K6798" s="0">
        <x:f>hyperlink("https://icd.who.int/dev11/l-ichi/en#/http%3A%2F%2Fid.who.int%2Ficd%2Fentity%2F1280653072","browser")</x:f>
      </x:c>
      <x:c r="L6798" s="0">
        <x:f>hyperlink("https://icat2.azurewebsites.net/icat/?ontology=ICD&amp;tab=ClassesTab&amp;id=http%3A%2F%2Fwho.int%2Ficd%2340569_512ebf36_bf6b_4d70_85da_cf2637062af4","iCat")</x:f>
      </x:c>
      <x:c r="M6798" s="0" t="s">
        <x:v>21</x:v>
      </x:c>
      <x:c r="N6798" s="0" t="s">
        <x:v>46</x:v>
      </x:c>
    </x:row>
    <x:row r="6799" spans="1:16">
      <x:c r="A6799" s="0" t="s">
        <x:v>27054</x:v>
      </x:c>
      <x:c r="B6799" s="0" t="s">
        <x:v>27055</x:v>
      </x:c>
      <x:c r="C6799" s="0" t="s">
        <x:v>27056</x:v>
      </x:c>
      <x:c r="E6799" s="0" t="s">
        <x:v>27057</x:v>
      </x:c>
      <x:c r="F6799" s="0" t="s">
        <x:v>45</x:v>
      </x:c>
      <x:c r="G6799" s="0" t="s">
        <x:v>19</x:v>
      </x:c>
      <x:c r="H6799" s="0" t="s">
        <x:v>20</x:v>
      </x:c>
      <x:c r="I6799" s="0" t="s">
        <x:v>21</x:v>
      </x:c>
      <x:c r="K6799" s="0">
        <x:f>hyperlink("https://icd.who.int/dev11/l-ichi/en#/http%3A%2F%2Fid.who.int%2Ficd%2Fentity%2F412317855","browser")</x:f>
      </x:c>
      <x:c r="L6799" s="0">
        <x:f>hyperlink("https://icat2.azurewebsites.net/icat/?ontology=ICD&amp;tab=ClassesTab&amp;id=http%3A%2F%2Fwho.int%2Ficd%2340576_512ebf36_bf6b_4d70_85da_cf2637062af4","iCat")</x:f>
      </x:c>
      <x:c r="M6799" s="0" t="s">
        <x:v>21</x:v>
      </x:c>
      <x:c r="N6799" s="0" t="s">
        <x:v>46</x:v>
      </x:c>
    </x:row>
    <x:row r="6800" spans="1:16">
      <x:c r="A6800" s="0" t="s">
        <x:v>27058</x:v>
      </x:c>
      <x:c r="B6800" s="0" t="s">
        <x:v>27059</x:v>
      </x:c>
      <x:c r="C6800" s="0" t="s">
        <x:v>27060</x:v>
      </x:c>
      <x:c r="E6800" s="0" t="s">
        <x:v>27061</x:v>
      </x:c>
      <x:c r="F6800" s="0" t="s">
        <x:v>45</x:v>
      </x:c>
      <x:c r="G6800" s="0" t="s">
        <x:v>19</x:v>
      </x:c>
      <x:c r="H6800" s="0" t="s">
        <x:v>20</x:v>
      </x:c>
      <x:c r="I6800" s="0" t="s">
        <x:v>21</x:v>
      </x:c>
      <x:c r="K6800" s="0">
        <x:f>hyperlink("https://icd.who.int/dev11/l-ichi/en#/http%3A%2F%2Fid.who.int%2Ficd%2Fentity%2F579503113","browser")</x:f>
      </x:c>
      <x:c r="L6800" s="0">
        <x:f>hyperlink("https://icat2.azurewebsites.net/icat/?ontology=ICD&amp;tab=ClassesTab&amp;id=http%3A%2F%2Fwho.int%2Ficd%2340583_512ebf36_bf6b_4d70_85da_cf2637062af4","iCat")</x:f>
      </x:c>
      <x:c r="M6800" s="0" t="s">
        <x:v>21</x:v>
      </x:c>
      <x:c r="N6800" s="0" t="s">
        <x:v>46</x:v>
      </x:c>
    </x:row>
    <x:row r="6801" spans="1:16">
      <x:c r="A6801" s="0" t="s">
        <x:v>27062</x:v>
      </x:c>
      <x:c r="B6801" s="0" t="s">
        <x:v>27063</x:v>
      </x:c>
      <x:c r="C6801" s="0" t="s">
        <x:v>27064</x:v>
      </x:c>
      <x:c r="E6801" s="0" t="s">
        <x:v>27065</x:v>
      </x:c>
      <x:c r="F6801" s="0" t="s">
        <x:v>45</x:v>
      </x:c>
      <x:c r="G6801" s="0" t="s">
        <x:v>19</x:v>
      </x:c>
      <x:c r="H6801" s="0" t="s">
        <x:v>20</x:v>
      </x:c>
      <x:c r="I6801" s="0" t="s">
        <x:v>21</x:v>
      </x:c>
      <x:c r="K6801" s="0">
        <x:f>hyperlink("https://icd.who.int/dev11/l-ichi/en#/http%3A%2F%2Fid.who.int%2Ficd%2Fentity%2F231374503","browser")</x:f>
      </x:c>
      <x:c r="L6801" s="0">
        <x:f>hyperlink("https://icat2.azurewebsites.net/icat/?ontology=ICD&amp;tab=ClassesTab&amp;id=http%3A%2F%2Fwho.int%2Ficd%2340590_512ebf36_bf6b_4d70_85da_cf2637062af4","iCat")</x:f>
      </x:c>
      <x:c r="M6801" s="0" t="s">
        <x:v>21</x:v>
      </x:c>
      <x:c r="N6801" s="0" t="s">
        <x:v>46</x:v>
      </x:c>
    </x:row>
    <x:row r="6802" spans="1:16">
      <x:c r="A6802" s="0" t="s">
        <x:v>27066</x:v>
      </x:c>
      <x:c r="B6802" s="0" t="s">
        <x:v>27067</x:v>
      </x:c>
      <x:c r="C6802" s="0" t="s">
        <x:v>27068</x:v>
      </x:c>
      <x:c r="E6802" s="0" t="s">
        <x:v>27069</x:v>
      </x:c>
      <x:c r="F6802" s="0" t="s">
        <x:v>45</x:v>
      </x:c>
      <x:c r="G6802" s="0" t="s">
        <x:v>19</x:v>
      </x:c>
      <x:c r="H6802" s="0" t="s">
        <x:v>20</x:v>
      </x:c>
      <x:c r="I6802" s="0" t="s">
        <x:v>21</x:v>
      </x:c>
      <x:c r="K6802" s="0">
        <x:f>hyperlink("https://icd.who.int/dev11/l-ichi/en#/http%3A%2F%2Fid.who.int%2Ficd%2Fentity%2F2101925164","browser")</x:f>
      </x:c>
      <x:c r="L6802" s="0">
        <x:f>hyperlink("https://icat2.azurewebsites.net/icat/?ontology=ICD&amp;tab=ClassesTab&amp;id=http%3A%2F%2Fwho.int%2Ficd%2340597_512ebf36_bf6b_4d70_85da_cf2637062af4","iCat")</x:f>
      </x:c>
      <x:c r="M6802" s="0" t="s">
        <x:v>21</x:v>
      </x:c>
      <x:c r="N6802" s="0" t="s">
        <x:v>46</x:v>
      </x:c>
    </x:row>
    <x:row r="6803" spans="1:16">
      <x:c r="A6803" s="0" t="s">
        <x:v>27070</x:v>
      </x:c>
      <x:c r="B6803" s="0" t="s">
        <x:v>27071</x:v>
      </x:c>
      <x:c r="C6803" s="0" t="s">
        <x:v>27072</x:v>
      </x:c>
      <x:c r="E6803" s="0" t="s">
        <x:v>27073</x:v>
      </x:c>
      <x:c r="F6803" s="0" t="s">
        <x:v>45</x:v>
      </x:c>
      <x:c r="G6803" s="0" t="s">
        <x:v>19</x:v>
      </x:c>
      <x:c r="H6803" s="0" t="s">
        <x:v>20</x:v>
      </x:c>
      <x:c r="I6803" s="0" t="s">
        <x:v>21</x:v>
      </x:c>
      <x:c r="K6803" s="0">
        <x:f>hyperlink("https://icd.who.int/dev11/l-ichi/en#/http%3A%2F%2Fid.who.int%2Ficd%2Fentity%2F744931865","browser")</x:f>
      </x:c>
      <x:c r="L6803" s="0">
        <x:f>hyperlink("https://icat2.azurewebsites.net/icat/?ontology=ICD&amp;tab=ClassesTab&amp;id=http%3A%2F%2Fwho.int%2Ficd%2340604_512ebf36_bf6b_4d70_85da_cf2637062af4","iCat")</x:f>
      </x:c>
      <x:c r="M6803" s="0" t="s">
        <x:v>21</x:v>
      </x:c>
      <x:c r="N6803" s="0" t="s">
        <x:v>46</x:v>
      </x:c>
    </x:row>
    <x:row r="6804" spans="1:16">
      <x:c r="A6804" s="0" t="s">
        <x:v>27074</x:v>
      </x:c>
      <x:c r="B6804" s="0" t="s">
        <x:v>27075</x:v>
      </x:c>
      <x:c r="C6804" s="0" t="s">
        <x:v>27076</x:v>
      </x:c>
      <x:c r="E6804" s="0" t="s">
        <x:v>27077</x:v>
      </x:c>
      <x:c r="F6804" s="0" t="s">
        <x:v>45</x:v>
      </x:c>
      <x:c r="G6804" s="0" t="s">
        <x:v>19</x:v>
      </x:c>
      <x:c r="H6804" s="0" t="s">
        <x:v>20</x:v>
      </x:c>
      <x:c r="I6804" s="0" t="s">
        <x:v>21</x:v>
      </x:c>
      <x:c r="K6804" s="0">
        <x:f>hyperlink("https://icd.who.int/dev11/l-ichi/en#/http%3A%2F%2Fid.who.int%2Ficd%2Fentity%2F1398661382","browser")</x:f>
      </x:c>
      <x:c r="L6804" s="0">
        <x:f>hyperlink("https://icat2.azurewebsites.net/icat/?ontology=ICD&amp;tab=ClassesTab&amp;id=http%3A%2F%2Fwho.int%2Ficd%2340611_512ebf36_bf6b_4d70_85da_cf2637062af4","iCat")</x:f>
      </x:c>
      <x:c r="M6804" s="0" t="s">
        <x:v>21</x:v>
      </x:c>
      <x:c r="N6804" s="0" t="s">
        <x:v>46</x:v>
      </x:c>
    </x:row>
    <x:row r="6805" spans="1:16">
      <x:c r="A6805" s="0" t="s">
        <x:v>27078</x:v>
      </x:c>
      <x:c r="B6805" s="0" t="s">
        <x:v>27079</x:v>
      </x:c>
      <x:c r="C6805" s="0" t="s">
        <x:v>27080</x:v>
      </x:c>
      <x:c r="E6805" s="0" t="s">
        <x:v>27081</x:v>
      </x:c>
      <x:c r="F6805" s="0" t="s">
        <x:v>45</x:v>
      </x:c>
      <x:c r="G6805" s="0" t="s">
        <x:v>19</x:v>
      </x:c>
      <x:c r="H6805" s="0" t="s">
        <x:v>20</x:v>
      </x:c>
      <x:c r="I6805" s="0" t="s">
        <x:v>21</x:v>
      </x:c>
      <x:c r="K6805" s="0">
        <x:f>hyperlink("https://icd.who.int/dev11/l-ichi/en#/http%3A%2F%2Fid.who.int%2Ficd%2Fentity%2F1025892975","browser")</x:f>
      </x:c>
      <x:c r="L6805" s="0">
        <x:f>hyperlink("https://icat2.azurewebsites.net/icat/?ontology=ICD&amp;tab=ClassesTab&amp;id=http%3A%2F%2Fwho.int%2Ficd%2340618_512ebf36_bf6b_4d70_85da_cf2637062af4","iCat")</x:f>
      </x:c>
      <x:c r="M6805" s="0" t="s">
        <x:v>21</x:v>
      </x:c>
      <x:c r="N6805" s="0" t="s">
        <x:v>46</x:v>
      </x:c>
    </x:row>
    <x:row r="6806" spans="1:16">
      <x:c r="A6806" s="0" t="s">
        <x:v>27082</x:v>
      </x:c>
      <x:c r="B6806" s="0" t="s">
        <x:v>27083</x:v>
      </x:c>
      <x:c r="C6806" s="0" t="s">
        <x:v>27084</x:v>
      </x:c>
      <x:c r="E6806" s="0" t="s">
        <x:v>27085</x:v>
      </x:c>
      <x:c r="F6806" s="0" t="s">
        <x:v>45</x:v>
      </x:c>
      <x:c r="G6806" s="0" t="s">
        <x:v>19</x:v>
      </x:c>
      <x:c r="H6806" s="0" t="s">
        <x:v>20</x:v>
      </x:c>
      <x:c r="I6806" s="0" t="s">
        <x:v>21</x:v>
      </x:c>
      <x:c r="K6806" s="0">
        <x:f>hyperlink("https://icd.who.int/dev11/l-ichi/en#/http%3A%2F%2Fid.who.int%2Ficd%2Fentity%2F652961141","browser")</x:f>
      </x:c>
      <x:c r="L6806" s="0">
        <x:f>hyperlink("https://icat2.azurewebsites.net/icat/?ontology=ICD&amp;tab=ClassesTab&amp;id=http%3A%2F%2Fwho.int%2Ficd%2340625_512ebf36_bf6b_4d70_85da_cf2637062af4","iCat")</x:f>
      </x:c>
      <x:c r="M6806" s="0" t="s">
        <x:v>21</x:v>
      </x:c>
      <x:c r="N6806" s="0" t="s">
        <x:v>46</x:v>
      </x:c>
    </x:row>
    <x:row r="6807" spans="1:16">
      <x:c r="A6807" s="0" t="s">
        <x:v>27086</x:v>
      </x:c>
      <x:c r="B6807" s="0" t="s">
        <x:v>27087</x:v>
      </x:c>
      <x:c r="C6807" s="0" t="s">
        <x:v>27088</x:v>
      </x:c>
      <x:c r="E6807" s="0" t="s">
        <x:v>27089</x:v>
      </x:c>
      <x:c r="F6807" s="0" t="s">
        <x:v>45</x:v>
      </x:c>
      <x:c r="G6807" s="0" t="s">
        <x:v>19</x:v>
      </x:c>
      <x:c r="H6807" s="0" t="s">
        <x:v>20</x:v>
      </x:c>
      <x:c r="I6807" s="0" t="s">
        <x:v>21</x:v>
      </x:c>
      <x:c r="K6807" s="0">
        <x:f>hyperlink("https://icd.who.int/dev11/l-ichi/en#/http%3A%2F%2Fid.who.int%2Ficd%2Fentity%2F1017928623","browser")</x:f>
      </x:c>
      <x:c r="L6807" s="0">
        <x:f>hyperlink("https://icat2.azurewebsites.net/icat/?ontology=ICD&amp;tab=ClassesTab&amp;id=http%3A%2F%2Fwho.int%2Ficd%2340632_512ebf36_bf6b_4d70_85da_cf2637062af4","iCat")</x:f>
      </x:c>
      <x:c r="M6807" s="0" t="s">
        <x:v>21</x:v>
      </x:c>
      <x:c r="N6807" s="0" t="s">
        <x:v>46</x:v>
      </x:c>
    </x:row>
    <x:row r="6808" spans="1:16">
      <x:c r="A6808" s="0" t="s">
        <x:v>27090</x:v>
      </x:c>
      <x:c r="B6808" s="0" t="s">
        <x:v>27091</x:v>
      </x:c>
      <x:c r="C6808" s="0" t="s">
        <x:v>27092</x:v>
      </x:c>
      <x:c r="E6808" s="0" t="s">
        <x:v>27093</x:v>
      </x:c>
      <x:c r="F6808" s="0" t="s">
        <x:v>45</x:v>
      </x:c>
      <x:c r="G6808" s="0" t="s">
        <x:v>19</x:v>
      </x:c>
      <x:c r="H6808" s="0" t="s">
        <x:v>20</x:v>
      </x:c>
      <x:c r="I6808" s="0" t="s">
        <x:v>21</x:v>
      </x:c>
      <x:c r="K6808" s="0">
        <x:f>hyperlink("https://icd.who.int/dev11/l-ichi/en#/http%3A%2F%2Fid.who.int%2Ficd%2Fentity%2F933774595","browser")</x:f>
      </x:c>
      <x:c r="L6808" s="0">
        <x:f>hyperlink("https://icat2.azurewebsites.net/icat/?ontology=ICD&amp;tab=ClassesTab&amp;id=http%3A%2F%2Fwho.int%2Ficd%2340639_512ebf36_bf6b_4d70_85da_cf2637062af4","iCat")</x:f>
      </x:c>
      <x:c r="M6808" s="0" t="s">
        <x:v>21</x:v>
      </x:c>
      <x:c r="N6808" s="0" t="s">
        <x:v>46</x:v>
      </x:c>
    </x:row>
    <x:row r="6809" spans="1:16">
      <x:c r="A6809" s="0" t="s">
        <x:v>27094</x:v>
      </x:c>
      <x:c r="B6809" s="0" t="s">
        <x:v>27095</x:v>
      </x:c>
      <x:c r="C6809" s="0" t="s">
        <x:v>27096</x:v>
      </x:c>
      <x:c r="E6809" s="0" t="s">
        <x:v>27097</x:v>
      </x:c>
      <x:c r="F6809" s="0" t="s">
        <x:v>45</x:v>
      </x:c>
      <x:c r="G6809" s="0" t="s">
        <x:v>19</x:v>
      </x:c>
      <x:c r="H6809" s="0" t="s">
        <x:v>20</x:v>
      </x:c>
      <x:c r="I6809" s="0" t="s">
        <x:v>21</x:v>
      </x:c>
      <x:c r="K6809" s="0">
        <x:f>hyperlink("https://icd.who.int/dev11/l-ichi/en#/http%3A%2F%2Fid.who.int%2Ficd%2Fentity%2F964529345","browser")</x:f>
      </x:c>
      <x:c r="L6809" s="0">
        <x:f>hyperlink("https://icat2.azurewebsites.net/icat/?ontology=ICD&amp;tab=ClassesTab&amp;id=http%3A%2F%2Fwho.int%2Ficd%2340646_512ebf36_bf6b_4d70_85da_cf2637062af4","iCat")</x:f>
      </x:c>
      <x:c r="M6809" s="0" t="s">
        <x:v>21</x:v>
      </x:c>
      <x:c r="N6809" s="0" t="s">
        <x:v>46</x:v>
      </x:c>
    </x:row>
    <x:row r="6810" spans="1:16">
      <x:c r="A6810" s="0" t="s">
        <x:v>27098</x:v>
      </x:c>
      <x:c r="B6810" s="0" t="s">
        <x:v>27099</x:v>
      </x:c>
      <x:c r="C6810" s="0" t="s">
        <x:v>27100</x:v>
      </x:c>
      <x:c r="E6810" s="0" t="s">
        <x:v>27101</x:v>
      </x:c>
      <x:c r="F6810" s="0" t="s">
        <x:v>45</x:v>
      </x:c>
      <x:c r="G6810" s="0" t="s">
        <x:v>19</x:v>
      </x:c>
      <x:c r="H6810" s="0" t="s">
        <x:v>20</x:v>
      </x:c>
      <x:c r="I6810" s="0" t="s">
        <x:v>21</x:v>
      </x:c>
      <x:c r="K6810" s="0">
        <x:f>hyperlink("https://icd.who.int/dev11/l-ichi/en#/http%3A%2F%2Fid.who.int%2Ficd%2Fentity%2F1179037662","browser")</x:f>
      </x:c>
      <x:c r="L6810" s="0">
        <x:f>hyperlink("https://icat2.azurewebsites.net/icat/?ontology=ICD&amp;tab=ClassesTab&amp;id=http%3A%2F%2Fwho.int%2Ficd%2340653_512ebf36_bf6b_4d70_85da_cf2637062af4","iCat")</x:f>
      </x:c>
      <x:c r="M6810" s="0" t="s">
        <x:v>21</x:v>
      </x:c>
      <x:c r="N6810" s="0" t="s">
        <x:v>46</x:v>
      </x:c>
    </x:row>
    <x:row r="6811" spans="1:16">
      <x:c r="A6811" s="0" t="s">
        <x:v>27102</x:v>
      </x:c>
      <x:c r="B6811" s="0" t="s">
        <x:v>27103</x:v>
      </x:c>
      <x:c r="C6811" s="0" t="s">
        <x:v>27104</x:v>
      </x:c>
      <x:c r="E6811" s="0" t="s">
        <x:v>27105</x:v>
      </x:c>
      <x:c r="F6811" s="0" t="s">
        <x:v>45</x:v>
      </x:c>
      <x:c r="G6811" s="0" t="s">
        <x:v>19</x:v>
      </x:c>
      <x:c r="H6811" s="0" t="s">
        <x:v>20</x:v>
      </x:c>
      <x:c r="I6811" s="0" t="s">
        <x:v>21</x:v>
      </x:c>
      <x:c r="K6811" s="0">
        <x:f>hyperlink("https://icd.who.int/dev11/l-ichi/en#/http%3A%2F%2Fid.who.int%2Ficd%2Fentity%2F1131577376","browser")</x:f>
      </x:c>
      <x:c r="L6811" s="0">
        <x:f>hyperlink("https://icat2.azurewebsites.net/icat/?ontology=ICD&amp;tab=ClassesTab&amp;id=http%3A%2F%2Fwho.int%2Ficd%2340660_512ebf36_bf6b_4d70_85da_cf2637062af4","iCat")</x:f>
      </x:c>
      <x:c r="M6811" s="0" t="s">
        <x:v>21</x:v>
      </x:c>
      <x:c r="N6811" s="0" t="s">
        <x:v>46</x:v>
      </x:c>
    </x:row>
    <x:row r="6812" spans="1:16">
      <x:c r="A6812" s="0" t="s">
        <x:v>27106</x:v>
      </x:c>
      <x:c r="B6812" s="0" t="s">
        <x:v>27107</x:v>
      </x:c>
      <x:c r="C6812" s="0" t="s">
        <x:v>27108</x:v>
      </x:c>
      <x:c r="E6812" s="0" t="s">
        <x:v>27109</x:v>
      </x:c>
      <x:c r="F6812" s="0" t="s">
        <x:v>45</x:v>
      </x:c>
      <x:c r="G6812" s="0" t="s">
        <x:v>19</x:v>
      </x:c>
      <x:c r="H6812" s="0" t="s">
        <x:v>20</x:v>
      </x:c>
      <x:c r="I6812" s="0" t="s">
        <x:v>21</x:v>
      </x:c>
      <x:c r="K6812" s="0">
        <x:f>hyperlink("https://icd.who.int/dev11/l-ichi/en#/http%3A%2F%2Fid.who.int%2Ficd%2Fentity%2F871377837","browser")</x:f>
      </x:c>
      <x:c r="L6812" s="0">
        <x:f>hyperlink("https://icat2.azurewebsites.net/icat/?ontology=ICD&amp;tab=ClassesTab&amp;id=http%3A%2F%2Fwho.int%2Ficd%2340667_512ebf36_bf6b_4d70_85da_cf2637062af4","iCat")</x:f>
      </x:c>
      <x:c r="M6812" s="0" t="s">
        <x:v>21</x:v>
      </x:c>
      <x:c r="N6812" s="0" t="s">
        <x:v>46</x:v>
      </x:c>
    </x:row>
    <x:row r="6813" spans="1:16">
      <x:c r="A6813" s="0" t="s">
        <x:v>27110</x:v>
      </x:c>
      <x:c r="B6813" s="0" t="s">
        <x:v>27111</x:v>
      </x:c>
      <x:c r="C6813" s="0" t="s">
        <x:v>27112</x:v>
      </x:c>
      <x:c r="E6813" s="0" t="s">
        <x:v>27113</x:v>
      </x:c>
      <x:c r="F6813" s="0" t="s">
        <x:v>45</x:v>
      </x:c>
      <x:c r="G6813" s="0" t="s">
        <x:v>19</x:v>
      </x:c>
      <x:c r="H6813" s="0" t="s">
        <x:v>20</x:v>
      </x:c>
      <x:c r="I6813" s="0" t="s">
        <x:v>21</x:v>
      </x:c>
      <x:c r="K6813" s="0">
        <x:f>hyperlink("https://icd.who.int/dev11/l-ichi/en#/http%3A%2F%2Fid.who.int%2Ficd%2Fentity%2F481349891","browser")</x:f>
      </x:c>
      <x:c r="L6813" s="0">
        <x:f>hyperlink("https://icat2.azurewebsites.net/icat/?ontology=ICD&amp;tab=ClassesTab&amp;id=http%3A%2F%2Fwho.int%2Ficd%2340674_512ebf36_bf6b_4d70_85da_cf2637062af4","iCat")</x:f>
      </x:c>
      <x:c r="M6813" s="0" t="s">
        <x:v>21</x:v>
      </x:c>
      <x:c r="N6813" s="0" t="s">
        <x:v>46</x:v>
      </x:c>
    </x:row>
    <x:row r="6814" spans="1:16">
      <x:c r="A6814" s="0" t="s">
        <x:v>27114</x:v>
      </x:c>
      <x:c r="B6814" s="0" t="s">
        <x:v>27115</x:v>
      </x:c>
      <x:c r="D6814" s="0" t="s">
        <x:v>27116</x:v>
      </x:c>
      <x:c r="E6814" s="0" t="s">
        <x:v>27117</x:v>
      </x:c>
      <x:c r="F6814" s="0" t="s">
        <x:v>26</x:v>
      </x:c>
      <x:c r="G6814" s="0" t="s">
        <x:v>22</x:v>
      </x:c>
      <x:c r="H6814" s="0" t="s">
        <x:v>20</x:v>
      </x:c>
      <x:c r="I6814" s="0" t="s">
        <x:v>21</x:v>
      </x:c>
      <x:c r="K6814" s="0">
        <x:f>hyperlink("https://icd.who.int/dev11/l-ichi/en#/http%3A%2F%2Fid.who.int%2Ficd%2Fentity%2F1663844972","browser")</x:f>
      </x:c>
      <x:c r="L6814" s="0">
        <x:f>hyperlink("https://icat2.azurewebsites.net/icat/?ontology=ICD&amp;tab=ClassesTab&amp;id=http%3A%2F%2Fwho.int%2Ficd%2340682_512ebf36_bf6b_4d70_85da_cf2637062af4","iCat")</x:f>
      </x:c>
      <x:c r="M6814" s="0" t="s">
        <x:v>20</x:v>
      </x:c>
      <x:c r="N6814" s="0" t="s">
        <x:v>6611</x:v>
      </x:c>
    </x:row>
    <x:row r="6815" spans="1:16">
      <x:c r="A6815" s="0" t="s">
        <x:v>27118</x:v>
      </x:c>
      <x:c r="B6815" s="0" t="s">
        <x:v>27119</x:v>
      </x:c>
      <x:c r="C6815" s="0" t="s">
        <x:v>27120</x:v>
      </x:c>
      <x:c r="E6815" s="0" t="s">
        <x:v>27121</x:v>
      </x:c>
      <x:c r="F6815" s="0" t="s">
        <x:v>45</x:v>
      </x:c>
      <x:c r="G6815" s="0" t="s">
        <x:v>19</x:v>
      </x:c>
      <x:c r="H6815" s="0" t="s">
        <x:v>20</x:v>
      </x:c>
      <x:c r="I6815" s="0" t="s">
        <x:v>21</x:v>
      </x:c>
      <x:c r="K6815" s="0">
        <x:f>hyperlink("https://icd.who.int/dev11/l-ichi/en#/http%3A%2F%2Fid.who.int%2Ficd%2Fentity%2F648621461","browser")</x:f>
      </x:c>
      <x:c r="L6815" s="0">
        <x:f>hyperlink("https://icat2.azurewebsites.net/icat/?ontology=ICD&amp;tab=ClassesTab&amp;id=http%3A%2F%2Fwho.int%2Ficd%2340681_512ebf36_bf6b_4d70_85da_cf2637062af4","iCat")</x:f>
      </x:c>
      <x:c r="M6815" s="0" t="s">
        <x:v>21</x:v>
      </x:c>
      <x:c r="N6815" s="0" t="s">
        <x:v>46</x:v>
      </x:c>
    </x:row>
    <x:row r="6816" spans="1:16">
      <x:c r="A6816" s="0" t="s">
        <x:v>27122</x:v>
      </x:c>
      <x:c r="B6816" s="0" t="s">
        <x:v>27123</x:v>
      </x:c>
      <x:c r="C6816" s="0" t="s">
        <x:v>27124</x:v>
      </x:c>
      <x:c r="E6816" s="0" t="s">
        <x:v>27125</x:v>
      </x:c>
      <x:c r="F6816" s="0" t="s">
        <x:v>45</x:v>
      </x:c>
      <x:c r="G6816" s="0" t="s">
        <x:v>19</x:v>
      </x:c>
      <x:c r="H6816" s="0" t="s">
        <x:v>20</x:v>
      </x:c>
      <x:c r="I6816" s="0" t="s">
        <x:v>21</x:v>
      </x:c>
      <x:c r="K6816" s="0">
        <x:f>hyperlink("https://icd.who.int/dev11/l-ichi/en#/http%3A%2F%2Fid.who.int%2Ficd%2Fentity%2F1395707508","browser")</x:f>
      </x:c>
      <x:c r="L6816" s="0">
        <x:f>hyperlink("https://icat2.azurewebsites.net/icat/?ontology=ICD&amp;tab=ClassesTab&amp;id=http%3A%2F%2Fwho.int%2Ficd%23790_2458c621_13a9_4018_84d7_a04ee4f7aacc","iCat")</x:f>
      </x:c>
      <x:c r="M6816" s="0" t="s">
        <x:v>21</x:v>
      </x:c>
      <x:c r="N6816" s="0" t="s">
        <x:v>46</x:v>
      </x:c>
    </x:row>
    <x:row r="6817" spans="1:16">
      <x:c r="A6817" s="0" t="s">
        <x:v>27126</x:v>
      </x:c>
      <x:c r="B6817" s="0" t="s">
        <x:v>27127</x:v>
      </x:c>
      <x:c r="C6817" s="0" t="s">
        <x:v>27128</x:v>
      </x:c>
      <x:c r="E6817" s="0" t="s">
        <x:v>27129</x:v>
      </x:c>
      <x:c r="F6817" s="0" t="s">
        <x:v>45</x:v>
      </x:c>
      <x:c r="G6817" s="0" t="s">
        <x:v>19</x:v>
      </x:c>
      <x:c r="H6817" s="0" t="s">
        <x:v>20</x:v>
      </x:c>
      <x:c r="I6817" s="0" t="s">
        <x:v>21</x:v>
      </x:c>
      <x:c r="K6817" s="0">
        <x:f>hyperlink("https://icd.who.int/dev11/l-ichi/en#/http%3A%2F%2Fid.who.int%2Ficd%2Fentity%2F1502744204","browser")</x:f>
      </x:c>
      <x:c r="L6817" s="0">
        <x:f>hyperlink("https://icat2.azurewebsites.net/icat/?ontology=ICD&amp;tab=ClassesTab&amp;id=http%3A%2F%2Fwho.int%2Ficd%2340694_512ebf36_bf6b_4d70_85da_cf2637062af4","iCat")</x:f>
      </x:c>
      <x:c r="M6817" s="0" t="s">
        <x:v>21</x:v>
      </x:c>
      <x:c r="N6817" s="0" t="s">
        <x:v>46</x:v>
      </x:c>
    </x:row>
    <x:row r="6818" spans="1:16">
      <x:c r="A6818" s="0" t="s">
        <x:v>27130</x:v>
      </x:c>
      <x:c r="B6818" s="0" t="s">
        <x:v>27131</x:v>
      </x:c>
      <x:c r="C6818" s="0" t="s">
        <x:v>27132</x:v>
      </x:c>
      <x:c r="E6818" s="0" t="s">
        <x:v>27133</x:v>
      </x:c>
      <x:c r="F6818" s="0" t="s">
        <x:v>45</x:v>
      </x:c>
      <x:c r="G6818" s="0" t="s">
        <x:v>19</x:v>
      </x:c>
      <x:c r="H6818" s="0" t="s">
        <x:v>20</x:v>
      </x:c>
      <x:c r="I6818" s="0" t="s">
        <x:v>21</x:v>
      </x:c>
      <x:c r="K6818" s="0">
        <x:f>hyperlink("https://icd.who.int/dev11/l-ichi/en#/http%3A%2F%2Fid.who.int%2Ficd%2Fentity%2F1275572940","browser")</x:f>
      </x:c>
      <x:c r="L6818" s="0">
        <x:f>hyperlink("https://icat2.azurewebsites.net/icat/?ontology=ICD&amp;tab=ClassesTab&amp;id=http%3A%2F%2Fwho.int%2Ficd%2340701_512ebf36_bf6b_4d70_85da_cf2637062af4","iCat")</x:f>
      </x:c>
      <x:c r="M6818" s="0" t="s">
        <x:v>21</x:v>
      </x:c>
      <x:c r="N6818" s="0" t="s">
        <x:v>46</x:v>
      </x:c>
    </x:row>
    <x:row r="6819" spans="1:16">
      <x:c r="A6819" s="0" t="s">
        <x:v>27134</x:v>
      </x:c>
      <x:c r="B6819" s="0" t="s">
        <x:v>27135</x:v>
      </x:c>
      <x:c r="C6819" s="0" t="s">
        <x:v>27136</x:v>
      </x:c>
      <x:c r="E6819" s="0" t="s">
        <x:v>27137</x:v>
      </x:c>
      <x:c r="F6819" s="0" t="s">
        <x:v>45</x:v>
      </x:c>
      <x:c r="G6819" s="0" t="s">
        <x:v>19</x:v>
      </x:c>
      <x:c r="H6819" s="0" t="s">
        <x:v>20</x:v>
      </x:c>
      <x:c r="I6819" s="0" t="s">
        <x:v>21</x:v>
      </x:c>
      <x:c r="K6819" s="0">
        <x:f>hyperlink("https://icd.who.int/dev11/l-ichi/en#/http%3A%2F%2Fid.who.int%2Ficd%2Fentity%2F578793893","browser")</x:f>
      </x:c>
      <x:c r="L6819" s="0">
        <x:f>hyperlink("https://icat2.azurewebsites.net/icat/?ontology=ICD&amp;tab=ClassesTab&amp;id=http%3A%2F%2Fwho.int%2Ficd%2340708_512ebf36_bf6b_4d70_85da_cf2637062af4","iCat")</x:f>
      </x:c>
      <x:c r="M6819" s="0" t="s">
        <x:v>21</x:v>
      </x:c>
      <x:c r="N6819" s="0" t="s">
        <x:v>46</x:v>
      </x:c>
    </x:row>
    <x:row r="6820" spans="1:16">
      <x:c r="A6820" s="0" t="s">
        <x:v>27138</x:v>
      </x:c>
      <x:c r="B6820" s="0" t="s">
        <x:v>27139</x:v>
      </x:c>
      <x:c r="C6820" s="0" t="s">
        <x:v>27140</x:v>
      </x:c>
      <x:c r="E6820" s="0" t="s">
        <x:v>27141</x:v>
      </x:c>
      <x:c r="F6820" s="0" t="s">
        <x:v>45</x:v>
      </x:c>
      <x:c r="G6820" s="0" t="s">
        <x:v>19</x:v>
      </x:c>
      <x:c r="H6820" s="0" t="s">
        <x:v>20</x:v>
      </x:c>
      <x:c r="I6820" s="0" t="s">
        <x:v>21</x:v>
      </x:c>
      <x:c r="K6820" s="0">
        <x:f>hyperlink("https://icd.who.int/dev11/l-ichi/en#/http%3A%2F%2Fid.who.int%2Ficd%2Fentity%2F331736047","browser")</x:f>
      </x:c>
      <x:c r="L6820" s="0">
        <x:f>hyperlink("https://icat2.azurewebsites.net/icat/?ontology=ICD&amp;tab=ClassesTab&amp;id=http%3A%2F%2Fwho.int%2Ficd%2340715_512ebf36_bf6b_4d70_85da_cf2637062af4","iCat")</x:f>
      </x:c>
      <x:c r="M6820" s="0" t="s">
        <x:v>21</x:v>
      </x:c>
      <x:c r="N6820" s="0" t="s">
        <x:v>46</x:v>
      </x:c>
    </x:row>
    <x:row r="6821" spans="1:16">
      <x:c r="A6821" s="0" t="s">
        <x:v>27142</x:v>
      </x:c>
      <x:c r="B6821" s="0" t="s">
        <x:v>27143</x:v>
      </x:c>
      <x:c r="C6821" s="0" t="s">
        <x:v>27144</x:v>
      </x:c>
      <x:c r="E6821" s="0" t="s">
        <x:v>27145</x:v>
      </x:c>
      <x:c r="F6821" s="0" t="s">
        <x:v>45</x:v>
      </x:c>
      <x:c r="G6821" s="0" t="s">
        <x:v>19</x:v>
      </x:c>
      <x:c r="H6821" s="0" t="s">
        <x:v>20</x:v>
      </x:c>
      <x:c r="I6821" s="0" t="s">
        <x:v>21</x:v>
      </x:c>
      <x:c r="K6821" s="0">
        <x:f>hyperlink("https://icd.who.int/dev11/l-ichi/en#/http%3A%2F%2Fid.who.int%2Ficd%2Fentity%2F603326565","browser")</x:f>
      </x:c>
      <x:c r="L6821" s="0">
        <x:f>hyperlink("https://icat2.azurewebsites.net/icat/?ontology=ICD&amp;tab=ClassesTab&amp;id=http%3A%2F%2Fwho.int%2Ficd%2340722_512ebf36_bf6b_4d70_85da_cf2637062af4","iCat")</x:f>
      </x:c>
      <x:c r="M6821" s="0" t="s">
        <x:v>21</x:v>
      </x:c>
      <x:c r="N6821" s="0" t="s">
        <x:v>46</x:v>
      </x:c>
    </x:row>
    <x:row r="6822" spans="1:16">
      <x:c r="A6822" s="0" t="s">
        <x:v>27146</x:v>
      </x:c>
      <x:c r="B6822" s="0" t="s">
        <x:v>27147</x:v>
      </x:c>
      <x:c r="C6822" s="0" t="s">
        <x:v>27148</x:v>
      </x:c>
      <x:c r="E6822" s="0" t="s">
        <x:v>27149</x:v>
      </x:c>
      <x:c r="F6822" s="0" t="s">
        <x:v>45</x:v>
      </x:c>
      <x:c r="G6822" s="0" t="s">
        <x:v>19</x:v>
      </x:c>
      <x:c r="H6822" s="0" t="s">
        <x:v>20</x:v>
      </x:c>
      <x:c r="I6822" s="0" t="s">
        <x:v>21</x:v>
      </x:c>
      <x:c r="K6822" s="0">
        <x:f>hyperlink("https://icd.who.int/dev11/l-ichi/en#/http%3A%2F%2Fid.who.int%2Ficd%2Fentity%2F686954185","browser")</x:f>
      </x:c>
      <x:c r="L6822" s="0">
        <x:f>hyperlink("https://icat2.azurewebsites.net/icat/?ontology=ICD&amp;tab=ClassesTab&amp;id=http%3A%2F%2Fwho.int%2Ficd%2340729_512ebf36_bf6b_4d70_85da_cf2637062af4","iCat")</x:f>
      </x:c>
      <x:c r="M6822" s="0" t="s">
        <x:v>21</x:v>
      </x:c>
      <x:c r="N6822" s="0" t="s">
        <x:v>46</x:v>
      </x:c>
    </x:row>
    <x:row r="6823" spans="1:16">
      <x:c r="A6823" s="0" t="s">
        <x:v>27150</x:v>
      </x:c>
      <x:c r="B6823" s="0" t="s">
        <x:v>27151</x:v>
      </x:c>
      <x:c r="C6823" s="0" t="s">
        <x:v>27152</x:v>
      </x:c>
      <x:c r="E6823" s="0" t="s">
        <x:v>27153</x:v>
      </x:c>
      <x:c r="F6823" s="0" t="s">
        <x:v>45</x:v>
      </x:c>
      <x:c r="G6823" s="0" t="s">
        <x:v>19</x:v>
      </x:c>
      <x:c r="H6823" s="0" t="s">
        <x:v>20</x:v>
      </x:c>
      <x:c r="I6823" s="0" t="s">
        <x:v>21</x:v>
      </x:c>
      <x:c r="K6823" s="0">
        <x:f>hyperlink("https://icd.who.int/dev11/l-ichi/en#/http%3A%2F%2Fid.who.int%2Ficd%2Fentity%2F2083805512","browser")</x:f>
      </x:c>
      <x:c r="L6823" s="0">
        <x:f>hyperlink("https://icat2.azurewebsites.net/icat/?ontology=ICD&amp;tab=ClassesTab&amp;id=http%3A%2F%2Fwho.int%2Ficd%2340736_512ebf36_bf6b_4d70_85da_cf2637062af4","iCat")</x:f>
      </x:c>
      <x:c r="M6823" s="0" t="s">
        <x:v>21</x:v>
      </x:c>
      <x:c r="N6823" s="0" t="s">
        <x:v>46</x:v>
      </x:c>
    </x:row>
    <x:row r="6824" spans="1:16">
      <x:c r="A6824" s="0" t="s">
        <x:v>27154</x:v>
      </x:c>
      <x:c r="B6824" s="0" t="s">
        <x:v>27155</x:v>
      </x:c>
      <x:c r="C6824" s="0" t="s">
        <x:v>27156</x:v>
      </x:c>
      <x:c r="E6824" s="0" t="s">
        <x:v>27157</x:v>
      </x:c>
      <x:c r="F6824" s="0" t="s">
        <x:v>45</x:v>
      </x:c>
      <x:c r="G6824" s="0" t="s">
        <x:v>19</x:v>
      </x:c>
      <x:c r="H6824" s="0" t="s">
        <x:v>20</x:v>
      </x:c>
      <x:c r="I6824" s="0" t="s">
        <x:v>21</x:v>
      </x:c>
      <x:c r="K6824" s="0">
        <x:f>hyperlink("https://icd.who.int/dev11/l-ichi/en#/http%3A%2F%2Fid.who.int%2Ficd%2Fentity%2F1495071764","browser")</x:f>
      </x:c>
      <x:c r="L6824" s="0">
        <x:f>hyperlink("https://icat2.azurewebsites.net/icat/?ontology=ICD&amp;tab=ClassesTab&amp;id=http%3A%2F%2Fwho.int%2Ficd%2340743_512ebf36_bf6b_4d70_85da_cf2637062af4","iCat")</x:f>
      </x:c>
      <x:c r="M6824" s="0" t="s">
        <x:v>21</x:v>
      </x:c>
      <x:c r="N6824" s="0" t="s">
        <x:v>46</x:v>
      </x:c>
    </x:row>
    <x:row r="6825" spans="1:16">
      <x:c r="A6825" s="0" t="s">
        <x:v>27158</x:v>
      </x:c>
      <x:c r="B6825" s="0" t="s">
        <x:v>27159</x:v>
      </x:c>
      <x:c r="C6825" s="0" t="s">
        <x:v>27160</x:v>
      </x:c>
      <x:c r="E6825" s="0" t="s">
        <x:v>27161</x:v>
      </x:c>
      <x:c r="F6825" s="0" t="s">
        <x:v>45</x:v>
      </x:c>
      <x:c r="G6825" s="0" t="s">
        <x:v>19</x:v>
      </x:c>
      <x:c r="H6825" s="0" t="s">
        <x:v>20</x:v>
      </x:c>
      <x:c r="I6825" s="0" t="s">
        <x:v>21</x:v>
      </x:c>
      <x:c r="K6825" s="0">
        <x:f>hyperlink("https://icd.who.int/dev11/l-ichi/en#/http%3A%2F%2Fid.who.int%2Ficd%2Fentity%2F1985742524","browser")</x:f>
      </x:c>
      <x:c r="L6825" s="0">
        <x:f>hyperlink("https://icat2.azurewebsites.net/icat/?ontology=ICD&amp;tab=ClassesTab&amp;id=http%3A%2F%2Fwho.int%2Ficd%2340750_512ebf36_bf6b_4d70_85da_cf2637062af4","iCat")</x:f>
      </x:c>
      <x:c r="M6825" s="0" t="s">
        <x:v>21</x:v>
      </x:c>
      <x:c r="N6825" s="0" t="s">
        <x:v>46</x:v>
      </x:c>
    </x:row>
    <x:row r="6826" spans="1:16">
      <x:c r="A6826" s="0" t="s">
        <x:v>27162</x:v>
      </x:c>
      <x:c r="B6826" s="0" t="s">
        <x:v>27163</x:v>
      </x:c>
      <x:c r="C6826" s="0" t="s">
        <x:v>27164</x:v>
      </x:c>
      <x:c r="E6826" s="0" t="s">
        <x:v>27165</x:v>
      </x:c>
      <x:c r="F6826" s="0" t="s">
        <x:v>45</x:v>
      </x:c>
      <x:c r="G6826" s="0" t="s">
        <x:v>19</x:v>
      </x:c>
      <x:c r="H6826" s="0" t="s">
        <x:v>20</x:v>
      </x:c>
      <x:c r="I6826" s="0" t="s">
        <x:v>21</x:v>
      </x:c>
      <x:c r="K6826" s="0">
        <x:f>hyperlink("https://icd.who.int/dev11/l-ichi/en#/http%3A%2F%2Fid.who.int%2Ficd%2Fentity%2F115256631","browser")</x:f>
      </x:c>
      <x:c r="L6826" s="0">
        <x:f>hyperlink("https://icat2.azurewebsites.net/icat/?ontology=ICD&amp;tab=ClassesTab&amp;id=http%3A%2F%2Fwho.int%2Ficd%2340757_512ebf36_bf6b_4d70_85da_cf2637062af4","iCat")</x:f>
      </x:c>
      <x:c r="M6826" s="0" t="s">
        <x:v>21</x:v>
      </x:c>
      <x:c r="N6826" s="0" t="s">
        <x:v>46</x:v>
      </x:c>
    </x:row>
    <x:row r="6827" spans="1:16">
      <x:c r="A6827" s="0" t="s">
        <x:v>27166</x:v>
      </x:c>
      <x:c r="B6827" s="0" t="s">
        <x:v>27167</x:v>
      </x:c>
      <x:c r="C6827" s="0" t="s">
        <x:v>27168</x:v>
      </x:c>
      <x:c r="E6827" s="0" t="s">
        <x:v>27169</x:v>
      </x:c>
      <x:c r="F6827" s="0" t="s">
        <x:v>45</x:v>
      </x:c>
      <x:c r="G6827" s="0" t="s">
        <x:v>19</x:v>
      </x:c>
      <x:c r="H6827" s="0" t="s">
        <x:v>20</x:v>
      </x:c>
      <x:c r="I6827" s="0" t="s">
        <x:v>21</x:v>
      </x:c>
      <x:c r="K6827" s="0">
        <x:f>hyperlink("https://icd.who.int/dev11/l-ichi/en#/http%3A%2F%2Fid.who.int%2Ficd%2Fentity%2F65700553","browser")</x:f>
      </x:c>
      <x:c r="L6827" s="0">
        <x:f>hyperlink("https://icat2.azurewebsites.net/icat/?ontology=ICD&amp;tab=ClassesTab&amp;id=http%3A%2F%2Fwho.int%2Ficd%2340764_512ebf36_bf6b_4d70_85da_cf2637062af4","iCat")</x:f>
      </x:c>
      <x:c r="M6827" s="0" t="s">
        <x:v>21</x:v>
      </x:c>
      <x:c r="N6827" s="0" t="s">
        <x:v>46</x:v>
      </x:c>
    </x:row>
    <x:row r="6828" spans="1:16">
      <x:c r="A6828" s="0" t="s">
        <x:v>27170</x:v>
      </x:c>
      <x:c r="B6828" s="0" t="s">
        <x:v>27171</x:v>
      </x:c>
      <x:c r="C6828" s="0" t="s">
        <x:v>27172</x:v>
      </x:c>
      <x:c r="E6828" s="0" t="s">
        <x:v>27173</x:v>
      </x:c>
      <x:c r="F6828" s="0" t="s">
        <x:v>45</x:v>
      </x:c>
      <x:c r="G6828" s="0" t="s">
        <x:v>19</x:v>
      </x:c>
      <x:c r="H6828" s="0" t="s">
        <x:v>20</x:v>
      </x:c>
      <x:c r="I6828" s="0" t="s">
        <x:v>21</x:v>
      </x:c>
      <x:c r="K6828" s="0">
        <x:f>hyperlink("https://icd.who.int/dev11/l-ichi/en#/http%3A%2F%2Fid.who.int%2Ficd%2Fentity%2F2094113240","browser")</x:f>
      </x:c>
      <x:c r="L6828" s="0">
        <x:f>hyperlink("https://icat2.azurewebsites.net/icat/?ontology=ICD&amp;tab=ClassesTab&amp;id=http%3A%2F%2Fwho.int%2Ficd%2340771_512ebf36_bf6b_4d70_85da_cf2637062af4","iCat")</x:f>
      </x:c>
      <x:c r="M6828" s="0" t="s">
        <x:v>21</x:v>
      </x:c>
      <x:c r="N6828" s="0" t="s">
        <x:v>46</x:v>
      </x:c>
    </x:row>
    <x:row r="6829" spans="1:16">
      <x:c r="A6829" s="0" t="s">
        <x:v>27174</x:v>
      </x:c>
      <x:c r="B6829" s="0" t="s">
        <x:v>27175</x:v>
      </x:c>
      <x:c r="C6829" s="0" t="s">
        <x:v>27176</x:v>
      </x:c>
      <x:c r="E6829" s="0" t="s">
        <x:v>27177</x:v>
      </x:c>
      <x:c r="F6829" s="0" t="s">
        <x:v>45</x:v>
      </x:c>
      <x:c r="G6829" s="0" t="s">
        <x:v>19</x:v>
      </x:c>
      <x:c r="H6829" s="0" t="s">
        <x:v>20</x:v>
      </x:c>
      <x:c r="I6829" s="0" t="s">
        <x:v>21</x:v>
      </x:c>
      <x:c r="K6829" s="0">
        <x:f>hyperlink("https://icd.who.int/dev11/l-ichi/en#/http%3A%2F%2Fid.who.int%2Ficd%2Fentity%2F313107135","browser")</x:f>
      </x:c>
      <x:c r="L6829" s="0">
        <x:f>hyperlink("https://icat2.azurewebsites.net/icat/?ontology=ICD&amp;tab=ClassesTab&amp;id=http%3A%2F%2Fwho.int%2Ficd%2340778_512ebf36_bf6b_4d70_85da_cf2637062af4","iCat")</x:f>
      </x:c>
      <x:c r="M6829" s="0" t="s">
        <x:v>21</x:v>
      </x:c>
      <x:c r="N6829" s="0" t="s">
        <x:v>46</x:v>
      </x:c>
    </x:row>
    <x:row r="6830" spans="1:16">
      <x:c r="A6830" s="0" t="s">
        <x:v>27178</x:v>
      </x:c>
      <x:c r="B6830" s="0" t="s">
        <x:v>27179</x:v>
      </x:c>
      <x:c r="C6830" s="0" t="s">
        <x:v>27180</x:v>
      </x:c>
      <x:c r="E6830" s="0" t="s">
        <x:v>27181</x:v>
      </x:c>
      <x:c r="F6830" s="0" t="s">
        <x:v>45</x:v>
      </x:c>
      <x:c r="G6830" s="0" t="s">
        <x:v>19</x:v>
      </x:c>
      <x:c r="H6830" s="0" t="s">
        <x:v>20</x:v>
      </x:c>
      <x:c r="I6830" s="0" t="s">
        <x:v>21</x:v>
      </x:c>
      <x:c r="K6830" s="0">
        <x:f>hyperlink("https://icd.who.int/dev11/l-ichi/en#/http%3A%2F%2Fid.who.int%2Ficd%2Fentity%2F1714499452","browser")</x:f>
      </x:c>
      <x:c r="L6830" s="0">
        <x:f>hyperlink("https://icat2.azurewebsites.net/icat/?ontology=ICD&amp;tab=ClassesTab&amp;id=http%3A%2F%2Fwho.int%2Ficd%2340785_512ebf36_bf6b_4d70_85da_cf2637062af4","iCat")</x:f>
      </x:c>
      <x:c r="M6830" s="0" t="s">
        <x:v>21</x:v>
      </x:c>
      <x:c r="N6830" s="0" t="s">
        <x:v>46</x:v>
      </x:c>
    </x:row>
    <x:row r="6831" spans="1:16">
      <x:c r="A6831" s="0" t="s">
        <x:v>27182</x:v>
      </x:c>
      <x:c r="B6831" s="0" t="s">
        <x:v>27183</x:v>
      </x:c>
      <x:c r="C6831" s="0" t="s">
        <x:v>27184</x:v>
      </x:c>
      <x:c r="E6831" s="0" t="s">
        <x:v>27185</x:v>
      </x:c>
      <x:c r="F6831" s="0" t="s">
        <x:v>45</x:v>
      </x:c>
      <x:c r="G6831" s="0" t="s">
        <x:v>19</x:v>
      </x:c>
      <x:c r="H6831" s="0" t="s">
        <x:v>20</x:v>
      </x:c>
      <x:c r="I6831" s="0" t="s">
        <x:v>21</x:v>
      </x:c>
      <x:c r="K6831" s="0">
        <x:f>hyperlink("https://icd.who.int/dev11/l-ichi/en#/http%3A%2F%2Fid.who.int%2Ficd%2Fentity%2F2088112550","browser")</x:f>
      </x:c>
      <x:c r="L6831" s="0">
        <x:f>hyperlink("https://icat2.azurewebsites.net/icat/?ontology=ICD&amp;tab=ClassesTab&amp;id=http%3A%2F%2Fwho.int%2Ficd%2340792_512ebf36_bf6b_4d70_85da_cf2637062af4","iCat")</x:f>
      </x:c>
      <x:c r="M6831" s="0" t="s">
        <x:v>21</x:v>
      </x:c>
      <x:c r="N6831" s="0" t="s">
        <x:v>46</x:v>
      </x:c>
    </x:row>
    <x:row r="6832" spans="1:16">
      <x:c r="A6832" s="0" t="s">
        <x:v>27186</x:v>
      </x:c>
      <x:c r="B6832" s="0" t="s">
        <x:v>27187</x:v>
      </x:c>
      <x:c r="C6832" s="0" t="s">
        <x:v>27188</x:v>
      </x:c>
      <x:c r="E6832" s="0" t="s">
        <x:v>27189</x:v>
      </x:c>
      <x:c r="F6832" s="0" t="s">
        <x:v>45</x:v>
      </x:c>
      <x:c r="G6832" s="0" t="s">
        <x:v>19</x:v>
      </x:c>
      <x:c r="H6832" s="0" t="s">
        <x:v>20</x:v>
      </x:c>
      <x:c r="I6832" s="0" t="s">
        <x:v>21</x:v>
      </x:c>
      <x:c r="K6832" s="0">
        <x:f>hyperlink("https://icd.who.int/dev11/l-ichi/en#/http%3A%2F%2Fid.who.int%2Ficd%2Fentity%2F2003963660","browser")</x:f>
      </x:c>
      <x:c r="L6832" s="0">
        <x:f>hyperlink("https://icat2.azurewebsites.net/icat/?ontology=ICD&amp;tab=ClassesTab&amp;id=http%3A%2F%2Fwho.int%2Ficd%2340799_512ebf36_bf6b_4d70_85da_cf2637062af4","iCat")</x:f>
      </x:c>
      <x:c r="M6832" s="0" t="s">
        <x:v>21</x:v>
      </x:c>
      <x:c r="N6832" s="0" t="s">
        <x:v>46</x:v>
      </x:c>
    </x:row>
    <x:row r="6833" spans="1:16">
      <x:c r="A6833" s="0" t="s">
        <x:v>27190</x:v>
      </x:c>
      <x:c r="B6833" s="0" t="s">
        <x:v>27191</x:v>
      </x:c>
      <x:c r="C6833" s="0" t="s">
        <x:v>27192</x:v>
      </x:c>
      <x:c r="E6833" s="0" t="s">
        <x:v>27193</x:v>
      </x:c>
      <x:c r="F6833" s="0" t="s">
        <x:v>45</x:v>
      </x:c>
      <x:c r="G6833" s="0" t="s">
        <x:v>19</x:v>
      </x:c>
      <x:c r="H6833" s="0" t="s">
        <x:v>20</x:v>
      </x:c>
      <x:c r="I6833" s="0" t="s">
        <x:v>21</x:v>
      </x:c>
      <x:c r="K6833" s="0">
        <x:f>hyperlink("https://icd.who.int/dev11/l-ichi/en#/http%3A%2F%2Fid.who.int%2Ficd%2Fentity%2F1254656327","browser")</x:f>
      </x:c>
      <x:c r="L6833" s="0">
        <x:f>hyperlink("https://icat2.azurewebsites.net/icat/?ontology=ICD&amp;tab=ClassesTab&amp;id=http%3A%2F%2Fwho.int%2Ficd%2340806_512ebf36_bf6b_4d70_85da_cf2637062af4","iCat")</x:f>
      </x:c>
      <x:c r="M6833" s="0" t="s">
        <x:v>21</x:v>
      </x:c>
      <x:c r="N6833" s="0" t="s">
        <x:v>46</x:v>
      </x:c>
    </x:row>
    <x:row r="6834" spans="1:16">
      <x:c r="A6834" s="0" t="s">
        <x:v>27194</x:v>
      </x:c>
      <x:c r="B6834" s="0" t="s">
        <x:v>27195</x:v>
      </x:c>
      <x:c r="C6834" s="0" t="s">
        <x:v>27196</x:v>
      </x:c>
      <x:c r="E6834" s="0" t="s">
        <x:v>27197</x:v>
      </x:c>
      <x:c r="F6834" s="0" t="s">
        <x:v>45</x:v>
      </x:c>
      <x:c r="G6834" s="0" t="s">
        <x:v>19</x:v>
      </x:c>
      <x:c r="H6834" s="0" t="s">
        <x:v>20</x:v>
      </x:c>
      <x:c r="I6834" s="0" t="s">
        <x:v>21</x:v>
      </x:c>
      <x:c r="K6834" s="0">
        <x:f>hyperlink("https://icd.who.int/dev11/l-ichi/en#/http%3A%2F%2Fid.who.int%2Ficd%2Fentity%2F905161306","browser")</x:f>
      </x:c>
      <x:c r="L6834" s="0">
        <x:f>hyperlink("https://icat2.azurewebsites.net/icat/?ontology=ICD&amp;tab=ClassesTab&amp;id=http%3A%2F%2Fwho.int%2Ficd%2340813_512ebf36_bf6b_4d70_85da_cf2637062af4","iCat")</x:f>
      </x:c>
      <x:c r="M6834" s="0" t="s">
        <x:v>21</x:v>
      </x:c>
      <x:c r="N6834" s="0" t="s">
        <x:v>46</x:v>
      </x:c>
    </x:row>
    <x:row r="6835" spans="1:16">
      <x:c r="A6835" s="0" t="s">
        <x:v>27198</x:v>
      </x:c>
      <x:c r="B6835" s="0" t="s">
        <x:v>27199</x:v>
      </x:c>
      <x:c r="C6835" s="0" t="s">
        <x:v>27200</x:v>
      </x:c>
      <x:c r="E6835" s="0" t="s">
        <x:v>27201</x:v>
      </x:c>
      <x:c r="F6835" s="0" t="s">
        <x:v>45</x:v>
      </x:c>
      <x:c r="G6835" s="0" t="s">
        <x:v>19</x:v>
      </x:c>
      <x:c r="H6835" s="0" t="s">
        <x:v>20</x:v>
      </x:c>
      <x:c r="I6835" s="0" t="s">
        <x:v>21</x:v>
      </x:c>
      <x:c r="K6835" s="0">
        <x:f>hyperlink("https://icd.who.int/dev11/l-ichi/en#/http%3A%2F%2Fid.who.int%2Ficd%2Fentity%2F818382248","browser")</x:f>
      </x:c>
      <x:c r="L6835" s="0">
        <x:f>hyperlink("https://icat2.azurewebsites.net/icat/?ontology=ICD&amp;tab=ClassesTab&amp;id=http%3A%2F%2Fwho.int%2Ficd%2340820_512ebf36_bf6b_4d70_85da_cf2637062af4","iCat")</x:f>
      </x:c>
      <x:c r="M6835" s="0" t="s">
        <x:v>21</x:v>
      </x:c>
      <x:c r="N6835" s="0" t="s">
        <x:v>46</x:v>
      </x:c>
    </x:row>
    <x:row r="6836" spans="1:16">
      <x:c r="A6836" s="0" t="s">
        <x:v>27202</x:v>
      </x:c>
      <x:c r="B6836" s="0" t="s">
        <x:v>27203</x:v>
      </x:c>
      <x:c r="C6836" s="0" t="s">
        <x:v>27204</x:v>
      </x:c>
      <x:c r="E6836" s="0" t="s">
        <x:v>27205</x:v>
      </x:c>
      <x:c r="F6836" s="0" t="s">
        <x:v>45</x:v>
      </x:c>
      <x:c r="G6836" s="0" t="s">
        <x:v>19</x:v>
      </x:c>
      <x:c r="H6836" s="0" t="s">
        <x:v>20</x:v>
      </x:c>
      <x:c r="I6836" s="0" t="s">
        <x:v>21</x:v>
      </x:c>
      <x:c r="K6836" s="0">
        <x:f>hyperlink("https://icd.who.int/dev11/l-ichi/en#/http%3A%2F%2Fid.who.int%2Ficd%2Fentity%2F1078275627","browser")</x:f>
      </x:c>
      <x:c r="L6836" s="0">
        <x:f>hyperlink("https://icat2.azurewebsites.net/icat/?ontology=ICD&amp;tab=ClassesTab&amp;id=http%3A%2F%2Fwho.int%2Ficd%2340827_512ebf36_bf6b_4d70_85da_cf2637062af4","iCat")</x:f>
      </x:c>
      <x:c r="M6836" s="0" t="s">
        <x:v>21</x:v>
      </x:c>
      <x:c r="N6836" s="0" t="s">
        <x:v>46</x:v>
      </x:c>
    </x:row>
    <x:row r="6837" spans="1:16">
      <x:c r="A6837" s="0" t="s">
        <x:v>27206</x:v>
      </x:c>
      <x:c r="B6837" s="0" t="s">
        <x:v>27207</x:v>
      </x:c>
      <x:c r="C6837" s="0" t="s">
        <x:v>27208</x:v>
      </x:c>
      <x:c r="E6837" s="0" t="s">
        <x:v>27209</x:v>
      </x:c>
      <x:c r="F6837" s="0" t="s">
        <x:v>45</x:v>
      </x:c>
      <x:c r="G6837" s="0" t="s">
        <x:v>19</x:v>
      </x:c>
      <x:c r="H6837" s="0" t="s">
        <x:v>20</x:v>
      </x:c>
      <x:c r="I6837" s="0" t="s">
        <x:v>21</x:v>
      </x:c>
      <x:c r="K6837" s="0">
        <x:f>hyperlink("https://icd.who.int/dev11/l-ichi/en#/http%3A%2F%2Fid.who.int%2Ficd%2Fentity%2F1862653061","browser")</x:f>
      </x:c>
      <x:c r="L6837" s="0">
        <x:f>hyperlink("https://icat2.azurewebsites.net/icat/?ontology=ICD&amp;tab=ClassesTab&amp;id=http%3A%2F%2Fwho.int%2Ficd%2340834_512ebf36_bf6b_4d70_85da_cf2637062af4","iCat")</x:f>
      </x:c>
      <x:c r="M6837" s="0" t="s">
        <x:v>21</x:v>
      </x:c>
      <x:c r="N6837" s="0" t="s">
        <x:v>46</x:v>
      </x:c>
    </x:row>
    <x:row r="6838" spans="1:16">
      <x:c r="A6838" s="0" t="s">
        <x:v>27210</x:v>
      </x:c>
      <x:c r="B6838" s="0" t="s">
        <x:v>27211</x:v>
      </x:c>
      <x:c r="D6838" s="0" t="s">
        <x:v>27212</x:v>
      </x:c>
      <x:c r="E6838" s="0" t="s">
        <x:v>27213</x:v>
      </x:c>
      <x:c r="F6838" s="0" t="s">
        <x:v>26</x:v>
      </x:c>
      <x:c r="G6838" s="0" t="s">
        <x:v>35</x:v>
      </x:c>
      <x:c r="H6838" s="0" t="s">
        <x:v>20</x:v>
      </x:c>
      <x:c r="I6838" s="0" t="s">
        <x:v>21</x:v>
      </x:c>
      <x:c r="K6838" s="0">
        <x:f>hyperlink("https://icd.who.int/dev11/l-ichi/en#/http%3A%2F%2Fid.who.int%2Ficd%2Fentity%2F262676014","browser")</x:f>
      </x:c>
      <x:c r="L6838" s="0">
        <x:f>hyperlink("https://icat2.azurewebsites.net/icat/?ontology=ICD&amp;tab=ClassesTab&amp;id=http%3A%2F%2Fwho.int%2Ficd%2340842_512ebf36_bf6b_4d70_85da_cf2637062af4","iCat")</x:f>
      </x:c>
      <x:c r="M6838" s="0" t="s">
        <x:v>20</x:v>
      </x:c>
      <x:c r="N6838" s="0" t="s">
        <x:v>22</x:v>
      </x:c>
    </x:row>
    <x:row r="6839" spans="1:16">
      <x:c r="A6839" s="0" t="s">
        <x:v>27214</x:v>
      </x:c>
      <x:c r="B6839" s="0" t="s">
        <x:v>27215</x:v>
      </x:c>
      <x:c r="D6839" s="0" t="s">
        <x:v>27216</x:v>
      </x:c>
      <x:c r="E6839" s="0" t="s">
        <x:v>27217</x:v>
      </x:c>
      <x:c r="F6839" s="0" t="s">
        <x:v>26</x:v>
      </x:c>
      <x:c r="G6839" s="0" t="s">
        <x:v>22</x:v>
      </x:c>
      <x:c r="H6839" s="0" t="s">
        <x:v>20</x:v>
      </x:c>
      <x:c r="I6839" s="0" t="s">
        <x:v>21</x:v>
      </x:c>
      <x:c r="K6839" s="0">
        <x:f>hyperlink("https://icd.who.int/dev11/l-ichi/en#/http%3A%2F%2Fid.who.int%2Ficd%2Fentity%2F609579710","browser")</x:f>
      </x:c>
      <x:c r="L6839" s="0">
        <x:f>hyperlink("https://icat2.azurewebsites.net/icat/?ontology=ICD&amp;tab=ClassesTab&amp;id=http%3A%2F%2Fwho.int%2Ficd%2340848_512ebf36_bf6b_4d70_85da_cf2637062af4","iCat")</x:f>
      </x:c>
      <x:c r="M6839" s="0" t="s">
        <x:v>20</x:v>
      </x:c>
      <x:c r="N6839" s="0" t="s">
        <x:v>27218</x:v>
      </x:c>
    </x:row>
    <x:row r="6840" spans="1:16">
      <x:c r="A6840" s="0" t="s">
        <x:v>27219</x:v>
      </x:c>
      <x:c r="B6840" s="0" t="s">
        <x:v>27220</x:v>
      </x:c>
      <x:c r="C6840" s="0" t="s">
        <x:v>27221</x:v>
      </x:c>
      <x:c r="E6840" s="0" t="s">
        <x:v>27222</x:v>
      </x:c>
      <x:c r="F6840" s="0" t="s">
        <x:v>45</x:v>
      </x:c>
      <x:c r="G6840" s="0" t="s">
        <x:v>19</x:v>
      </x:c>
      <x:c r="H6840" s="0" t="s">
        <x:v>20</x:v>
      </x:c>
      <x:c r="I6840" s="0" t="s">
        <x:v>21</x:v>
      </x:c>
      <x:c r="K6840" s="0">
        <x:f>hyperlink("https://icd.who.int/dev11/l-ichi/en#/http%3A%2F%2Fid.who.int%2Ficd%2Fentity%2F1244492247","browser")</x:f>
      </x:c>
      <x:c r="L6840" s="0">
        <x:f>hyperlink("https://icat2.azurewebsites.net/icat/?ontology=ICD&amp;tab=ClassesTab&amp;id=http%3A%2F%2Fwho.int%2Ficd%2340841_512ebf36_bf6b_4d70_85da_cf2637062af4","iCat")</x:f>
      </x:c>
      <x:c r="M6840" s="0" t="s">
        <x:v>21</x:v>
      </x:c>
      <x:c r="N6840" s="0" t="s">
        <x:v>46</x:v>
      </x:c>
    </x:row>
    <x:row r="6841" spans="1:16">
      <x:c r="A6841" s="0" t="s">
        <x:v>27223</x:v>
      </x:c>
      <x:c r="B6841" s="0" t="s">
        <x:v>27224</x:v>
      </x:c>
      <x:c r="C6841" s="0" t="s">
        <x:v>27225</x:v>
      </x:c>
      <x:c r="E6841" s="0" t="s">
        <x:v>27226</x:v>
      </x:c>
      <x:c r="F6841" s="0" t="s">
        <x:v>45</x:v>
      </x:c>
      <x:c r="G6841" s="0" t="s">
        <x:v>19</x:v>
      </x:c>
      <x:c r="H6841" s="0" t="s">
        <x:v>20</x:v>
      </x:c>
      <x:c r="I6841" s="0" t="s">
        <x:v>21</x:v>
      </x:c>
      <x:c r="K6841" s="0">
        <x:f>hyperlink("https://icd.who.int/dev11/l-ichi/en#/http%3A%2F%2Fid.who.int%2Ficd%2Fentity%2F1084282555","browser")</x:f>
      </x:c>
      <x:c r="L6841" s="0">
        <x:f>hyperlink("https://icat2.azurewebsites.net/icat/?ontology=ICD&amp;tab=ClassesTab&amp;id=http%3A%2F%2Fwho.int%2Ficd%2340860_512ebf36_bf6b_4d70_85da_cf2637062af4","iCat")</x:f>
      </x:c>
      <x:c r="M6841" s="0" t="s">
        <x:v>21</x:v>
      </x:c>
      <x:c r="N6841" s="0" t="s">
        <x:v>46</x:v>
      </x:c>
    </x:row>
    <x:row r="6842" spans="1:16">
      <x:c r="A6842" s="0" t="s">
        <x:v>27227</x:v>
      </x:c>
      <x:c r="B6842" s="0" t="s">
        <x:v>27228</x:v>
      </x:c>
      <x:c r="C6842" s="0" t="s">
        <x:v>27229</x:v>
      </x:c>
      <x:c r="E6842" s="0" t="s">
        <x:v>27230</x:v>
      </x:c>
      <x:c r="F6842" s="0" t="s">
        <x:v>45</x:v>
      </x:c>
      <x:c r="G6842" s="0" t="s">
        <x:v>19</x:v>
      </x:c>
      <x:c r="H6842" s="0" t="s">
        <x:v>20</x:v>
      </x:c>
      <x:c r="I6842" s="0" t="s">
        <x:v>21</x:v>
      </x:c>
      <x:c r="K6842" s="0">
        <x:f>hyperlink("https://icd.who.int/dev11/l-ichi/en#/http%3A%2F%2Fid.who.int%2Ficd%2Fentity%2F807566648","browser")</x:f>
      </x:c>
      <x:c r="L6842" s="0">
        <x:f>hyperlink("https://icat2.azurewebsites.net/icat/?ontology=ICD&amp;tab=ClassesTab&amp;id=http%3A%2F%2Fwho.int%2Ficd%2340867_512ebf36_bf6b_4d70_85da_cf2637062af4","iCat")</x:f>
      </x:c>
      <x:c r="M6842" s="0" t="s">
        <x:v>21</x:v>
      </x:c>
      <x:c r="N6842" s="0" t="s">
        <x:v>46</x:v>
      </x:c>
    </x:row>
    <x:row r="6843" spans="1:16">
      <x:c r="A6843" s="0" t="s">
        <x:v>27231</x:v>
      </x:c>
      <x:c r="B6843" s="0" t="s">
        <x:v>27232</x:v>
      </x:c>
      <x:c r="C6843" s="0" t="s">
        <x:v>27233</x:v>
      </x:c>
      <x:c r="E6843" s="0" t="s">
        <x:v>27234</x:v>
      </x:c>
      <x:c r="F6843" s="0" t="s">
        <x:v>45</x:v>
      </x:c>
      <x:c r="G6843" s="0" t="s">
        <x:v>19</x:v>
      </x:c>
      <x:c r="H6843" s="0" t="s">
        <x:v>20</x:v>
      </x:c>
      <x:c r="I6843" s="0" t="s">
        <x:v>21</x:v>
      </x:c>
      <x:c r="K6843" s="0">
        <x:f>hyperlink("https://icd.who.int/dev11/l-ichi/en#/http%3A%2F%2Fid.who.int%2Ficd%2Fentity%2F526550936","browser")</x:f>
      </x:c>
      <x:c r="L6843" s="0">
        <x:f>hyperlink("https://icat2.azurewebsites.net/icat/?ontology=ICD&amp;tab=ClassesTab&amp;id=http%3A%2F%2Fwho.int%2Ficd%2340874_512ebf36_bf6b_4d70_85da_cf2637062af4","iCat")</x:f>
      </x:c>
      <x:c r="M6843" s="0" t="s">
        <x:v>21</x:v>
      </x:c>
      <x:c r="N6843" s="0" t="s">
        <x:v>46</x:v>
      </x:c>
    </x:row>
    <x:row r="6844" spans="1:16">
      <x:c r="A6844" s="0" t="s">
        <x:v>27235</x:v>
      </x:c>
      <x:c r="B6844" s="0" t="s">
        <x:v>27236</x:v>
      </x:c>
      <x:c r="C6844" s="0" t="s">
        <x:v>27237</x:v>
      </x:c>
      <x:c r="E6844" s="0" t="s">
        <x:v>27238</x:v>
      </x:c>
      <x:c r="F6844" s="0" t="s">
        <x:v>45</x:v>
      </x:c>
      <x:c r="G6844" s="0" t="s">
        <x:v>19</x:v>
      </x:c>
      <x:c r="H6844" s="0" t="s">
        <x:v>20</x:v>
      </x:c>
      <x:c r="I6844" s="0" t="s">
        <x:v>21</x:v>
      </x:c>
      <x:c r="K6844" s="0">
        <x:f>hyperlink("https://icd.who.int/dev11/l-ichi/en#/http%3A%2F%2Fid.who.int%2Ficd%2Fentity%2F1627264247","browser")</x:f>
      </x:c>
      <x:c r="L6844" s="0">
        <x:f>hyperlink("https://icat2.azurewebsites.net/icat/?ontology=ICD&amp;tab=ClassesTab&amp;id=http%3A%2F%2Fwho.int%2Ficd%2340882_512ebf36_bf6b_4d70_85da_cf2637062af4","iCat")</x:f>
      </x:c>
      <x:c r="M6844" s="0" t="s">
        <x:v>21</x:v>
      </x:c>
      <x:c r="N6844" s="0" t="s">
        <x:v>46</x:v>
      </x:c>
    </x:row>
    <x:row r="6845" spans="1:16">
      <x:c r="A6845" s="0" t="s">
        <x:v>27239</x:v>
      </x:c>
      <x:c r="B6845" s="0" t="s">
        <x:v>27240</x:v>
      </x:c>
      <x:c r="C6845" s="0" t="s">
        <x:v>27241</x:v>
      </x:c>
      <x:c r="E6845" s="0" t="s">
        <x:v>27242</x:v>
      </x:c>
      <x:c r="F6845" s="0" t="s">
        <x:v>45</x:v>
      </x:c>
      <x:c r="G6845" s="0" t="s">
        <x:v>19</x:v>
      </x:c>
      <x:c r="H6845" s="0" t="s">
        <x:v>20</x:v>
      </x:c>
      <x:c r="I6845" s="0" t="s">
        <x:v>21</x:v>
      </x:c>
      <x:c r="K6845" s="0">
        <x:f>hyperlink("https://icd.who.int/dev11/l-ichi/en#/http%3A%2F%2Fid.who.int%2Ficd%2Fentity%2F171671970","browser")</x:f>
      </x:c>
      <x:c r="L6845" s="0">
        <x:f>hyperlink("https://icat2.azurewebsites.net/icat/?ontology=ICD&amp;tab=ClassesTab&amp;id=http%3A%2F%2Fwho.int%2Ficd%2340892_512ebf36_bf6b_4d70_85da_cf2637062af4","iCat")</x:f>
      </x:c>
      <x:c r="M6845" s="0" t="s">
        <x:v>21</x:v>
      </x:c>
      <x:c r="N6845" s="0" t="s">
        <x:v>46</x:v>
      </x:c>
    </x:row>
    <x:row r="6846" spans="1:16">
      <x:c r="A6846" s="0" t="s">
        <x:v>27243</x:v>
      </x:c>
      <x:c r="B6846" s="0" t="s">
        <x:v>27244</x:v>
      </x:c>
      <x:c r="C6846" s="0" t="s">
        <x:v>27245</x:v>
      </x:c>
      <x:c r="E6846" s="0" t="s">
        <x:v>27246</x:v>
      </x:c>
      <x:c r="F6846" s="0" t="s">
        <x:v>45</x:v>
      </x:c>
      <x:c r="G6846" s="0" t="s">
        <x:v>19</x:v>
      </x:c>
      <x:c r="H6846" s="0" t="s">
        <x:v>20</x:v>
      </x:c>
      <x:c r="I6846" s="0" t="s">
        <x:v>21</x:v>
      </x:c>
      <x:c r="K6846" s="0">
        <x:f>hyperlink("https://icd.who.int/dev11/l-ichi/en#/http%3A%2F%2Fid.who.int%2Ficd%2Fentity%2F20946700","browser")</x:f>
      </x:c>
      <x:c r="L6846" s="0">
        <x:f>hyperlink("https://icat2.azurewebsites.net/icat/?ontology=ICD&amp;tab=ClassesTab&amp;id=http%3A%2F%2Fwho.int%2Ficd%2340899_512ebf36_bf6b_4d70_85da_cf2637062af4","iCat")</x:f>
      </x:c>
      <x:c r="M6846" s="0" t="s">
        <x:v>21</x:v>
      </x:c>
      <x:c r="N6846" s="0" t="s">
        <x:v>46</x:v>
      </x:c>
    </x:row>
    <x:row r="6847" spans="1:16">
      <x:c r="A6847" s="0" t="s">
        <x:v>27247</x:v>
      </x:c>
      <x:c r="B6847" s="0" t="s">
        <x:v>27248</x:v>
      </x:c>
      <x:c r="C6847" s="0" t="s">
        <x:v>27249</x:v>
      </x:c>
      <x:c r="E6847" s="0" t="s">
        <x:v>27250</x:v>
      </x:c>
      <x:c r="F6847" s="0" t="s">
        <x:v>45</x:v>
      </x:c>
      <x:c r="G6847" s="0" t="s">
        <x:v>19</x:v>
      </x:c>
      <x:c r="H6847" s="0" t="s">
        <x:v>20</x:v>
      </x:c>
      <x:c r="I6847" s="0" t="s">
        <x:v>21</x:v>
      </x:c>
      <x:c r="K6847" s="0">
        <x:f>hyperlink("https://icd.who.int/dev11/l-ichi/en#/http%3A%2F%2Fid.who.int%2Ficd%2Fentity%2F1062686684","browser")</x:f>
      </x:c>
      <x:c r="L6847" s="0">
        <x:f>hyperlink("https://icat2.azurewebsites.net/icat/?ontology=ICD&amp;tab=ClassesTab&amp;id=http%3A%2F%2Fwho.int%2Ficd%2340906_512ebf36_bf6b_4d70_85da_cf2637062af4","iCat")</x:f>
      </x:c>
      <x:c r="M6847" s="0" t="s">
        <x:v>21</x:v>
      </x:c>
      <x:c r="N6847" s="0" t="s">
        <x:v>46</x:v>
      </x:c>
    </x:row>
    <x:row r="6848" spans="1:16">
      <x:c r="A6848" s="0" t="s">
        <x:v>27251</x:v>
      </x:c>
      <x:c r="B6848" s="0" t="s">
        <x:v>27252</x:v>
      </x:c>
      <x:c r="C6848" s="0" t="s">
        <x:v>27253</x:v>
      </x:c>
      <x:c r="E6848" s="0" t="s">
        <x:v>27254</x:v>
      </x:c>
      <x:c r="F6848" s="0" t="s">
        <x:v>45</x:v>
      </x:c>
      <x:c r="G6848" s="0" t="s">
        <x:v>19</x:v>
      </x:c>
      <x:c r="H6848" s="0" t="s">
        <x:v>20</x:v>
      </x:c>
      <x:c r="I6848" s="0" t="s">
        <x:v>21</x:v>
      </x:c>
      <x:c r="K6848" s="0">
        <x:f>hyperlink("https://icd.who.int/dev11/l-ichi/en#/http%3A%2F%2Fid.who.int%2Ficd%2Fentity%2F1080847557","browser")</x:f>
      </x:c>
      <x:c r="L6848" s="0">
        <x:f>hyperlink("https://icat2.azurewebsites.net/icat/?ontology=ICD&amp;tab=ClassesTab&amp;id=http%3A%2F%2Fwho.int%2Ficd%2340913_512ebf36_bf6b_4d70_85da_cf2637062af4","iCat")</x:f>
      </x:c>
      <x:c r="M6848" s="0" t="s">
        <x:v>21</x:v>
      </x:c>
      <x:c r="N6848" s="0" t="s">
        <x:v>46</x:v>
      </x:c>
    </x:row>
    <x:row r="6849" spans="1:16">
      <x:c r="A6849" s="0" t="s">
        <x:v>27255</x:v>
      </x:c>
      <x:c r="B6849" s="0" t="s">
        <x:v>27256</x:v>
      </x:c>
      <x:c r="C6849" s="0" t="s">
        <x:v>27257</x:v>
      </x:c>
      <x:c r="E6849" s="0" t="s">
        <x:v>27258</x:v>
      </x:c>
      <x:c r="F6849" s="0" t="s">
        <x:v>45</x:v>
      </x:c>
      <x:c r="G6849" s="0" t="s">
        <x:v>19</x:v>
      </x:c>
      <x:c r="H6849" s="0" t="s">
        <x:v>20</x:v>
      </x:c>
      <x:c r="I6849" s="0" t="s">
        <x:v>21</x:v>
      </x:c>
      <x:c r="K6849" s="0">
        <x:f>hyperlink("https://icd.who.int/dev11/l-ichi/en#/http%3A%2F%2Fid.who.int%2Ficd%2Fentity%2F1163412283","browser")</x:f>
      </x:c>
      <x:c r="L6849" s="0">
        <x:f>hyperlink("https://icat2.azurewebsites.net/icat/?ontology=ICD&amp;tab=ClassesTab&amp;id=http%3A%2F%2Fwho.int%2Ficd%2340920_512ebf36_bf6b_4d70_85da_cf2637062af4","iCat")</x:f>
      </x:c>
      <x:c r="M6849" s="0" t="s">
        <x:v>21</x:v>
      </x:c>
      <x:c r="N6849" s="0" t="s">
        <x:v>46</x:v>
      </x:c>
    </x:row>
    <x:row r="6850" spans="1:16">
      <x:c r="A6850" s="0" t="s">
        <x:v>27259</x:v>
      </x:c>
      <x:c r="B6850" s="0" t="s">
        <x:v>27260</x:v>
      </x:c>
      <x:c r="C6850" s="0" t="s">
        <x:v>27261</x:v>
      </x:c>
      <x:c r="E6850" s="0" t="s">
        <x:v>27262</x:v>
      </x:c>
      <x:c r="F6850" s="0" t="s">
        <x:v>45</x:v>
      </x:c>
      <x:c r="G6850" s="0" t="s">
        <x:v>19</x:v>
      </x:c>
      <x:c r="H6850" s="0" t="s">
        <x:v>20</x:v>
      </x:c>
      <x:c r="I6850" s="0" t="s">
        <x:v>21</x:v>
      </x:c>
      <x:c r="K6850" s="0">
        <x:f>hyperlink("https://icd.who.int/dev11/l-ichi/en#/http%3A%2F%2Fid.who.int%2Ficd%2Fentity%2F903538872","browser")</x:f>
      </x:c>
      <x:c r="L6850" s="0">
        <x:f>hyperlink("https://icat2.azurewebsites.net/icat/?ontology=ICD&amp;tab=ClassesTab&amp;id=http%3A%2F%2Fwho.int%2Ficd%2340927_512ebf36_bf6b_4d70_85da_cf2637062af4","iCat")</x:f>
      </x:c>
      <x:c r="M6850" s="0" t="s">
        <x:v>21</x:v>
      </x:c>
      <x:c r="N6850" s="0" t="s">
        <x:v>46</x:v>
      </x:c>
    </x:row>
    <x:row r="6851" spans="1:16">
      <x:c r="A6851" s="0" t="s">
        <x:v>27263</x:v>
      </x:c>
      <x:c r="B6851" s="0" t="s">
        <x:v>27264</x:v>
      </x:c>
      <x:c r="C6851" s="0" t="s">
        <x:v>27265</x:v>
      </x:c>
      <x:c r="E6851" s="0" t="s">
        <x:v>27266</x:v>
      </x:c>
      <x:c r="F6851" s="0" t="s">
        <x:v>45</x:v>
      </x:c>
      <x:c r="G6851" s="0" t="s">
        <x:v>19</x:v>
      </x:c>
      <x:c r="H6851" s="0" t="s">
        <x:v>20</x:v>
      </x:c>
      <x:c r="I6851" s="0" t="s">
        <x:v>21</x:v>
      </x:c>
      <x:c r="K6851" s="0">
        <x:f>hyperlink("https://icd.who.int/dev11/l-ichi/en#/http%3A%2F%2Fid.who.int%2Ficd%2Fentity%2F446304792","browser")</x:f>
      </x:c>
      <x:c r="L6851" s="0">
        <x:f>hyperlink("https://icat2.azurewebsites.net/icat/?ontology=ICD&amp;tab=ClassesTab&amp;id=http%3A%2F%2Fwho.int%2Ficd%2340934_512ebf36_bf6b_4d70_85da_cf2637062af4","iCat")</x:f>
      </x:c>
      <x:c r="M6851" s="0" t="s">
        <x:v>21</x:v>
      </x:c>
      <x:c r="N6851" s="0" t="s">
        <x:v>46</x:v>
      </x:c>
    </x:row>
    <x:row r="6852" spans="1:16">
      <x:c r="A6852" s="0" t="s">
        <x:v>27267</x:v>
      </x:c>
      <x:c r="B6852" s="0" t="s">
        <x:v>27268</x:v>
      </x:c>
      <x:c r="C6852" s="0" t="s">
        <x:v>27269</x:v>
      </x:c>
      <x:c r="E6852" s="0" t="s">
        <x:v>27270</x:v>
      </x:c>
      <x:c r="F6852" s="0" t="s">
        <x:v>45</x:v>
      </x:c>
      <x:c r="G6852" s="0" t="s">
        <x:v>19</x:v>
      </x:c>
      <x:c r="H6852" s="0" t="s">
        <x:v>20</x:v>
      </x:c>
      <x:c r="I6852" s="0" t="s">
        <x:v>21</x:v>
      </x:c>
      <x:c r="K6852" s="0">
        <x:f>hyperlink("https://icd.who.int/dev11/l-ichi/en#/http%3A%2F%2Fid.who.int%2Ficd%2Fentity%2F1523493519","browser")</x:f>
      </x:c>
      <x:c r="L6852" s="0">
        <x:f>hyperlink("https://icat2.azurewebsites.net/icat/?ontology=ICD&amp;tab=ClassesTab&amp;id=http%3A%2F%2Fwho.int%2Ficd%2340943_512ebf36_bf6b_4d70_85da_cf2637062af4","iCat")</x:f>
      </x:c>
      <x:c r="M6852" s="0" t="s">
        <x:v>21</x:v>
      </x:c>
      <x:c r="N6852" s="0" t="s">
        <x:v>46</x:v>
      </x:c>
    </x:row>
    <x:row r="6853" spans="1:16">
      <x:c r="A6853" s="0" t="s">
        <x:v>27271</x:v>
      </x:c>
      <x:c r="B6853" s="0" t="s">
        <x:v>27272</x:v>
      </x:c>
      <x:c r="C6853" s="0" t="s">
        <x:v>27273</x:v>
      </x:c>
      <x:c r="E6853" s="0" t="s">
        <x:v>27274</x:v>
      </x:c>
      <x:c r="F6853" s="0" t="s">
        <x:v>45</x:v>
      </x:c>
      <x:c r="G6853" s="0" t="s">
        <x:v>19</x:v>
      </x:c>
      <x:c r="H6853" s="0" t="s">
        <x:v>20</x:v>
      </x:c>
      <x:c r="I6853" s="0" t="s">
        <x:v>21</x:v>
      </x:c>
      <x:c r="K6853" s="0">
        <x:f>hyperlink("https://icd.who.int/dev11/l-ichi/en#/http%3A%2F%2Fid.who.int%2Ficd%2Fentity%2F1972260897","browser")</x:f>
      </x:c>
      <x:c r="L6853" s="0">
        <x:f>hyperlink("https://icat2.azurewebsites.net/icat/?ontology=ICD&amp;tab=ClassesTab&amp;id=http%3A%2F%2Fwho.int%2Ficd%2340950_512ebf36_bf6b_4d70_85da_cf2637062af4","iCat")</x:f>
      </x:c>
      <x:c r="M6853" s="0" t="s">
        <x:v>21</x:v>
      </x:c>
      <x:c r="N6853" s="0" t="s">
        <x:v>46</x:v>
      </x:c>
    </x:row>
    <x:row r="6854" spans="1:16">
      <x:c r="A6854" s="0" t="s">
        <x:v>27275</x:v>
      </x:c>
      <x:c r="B6854" s="0" t="s">
        <x:v>27276</x:v>
      </x:c>
      <x:c r="C6854" s="0" t="s">
        <x:v>27277</x:v>
      </x:c>
      <x:c r="E6854" s="0" t="s">
        <x:v>27278</x:v>
      </x:c>
      <x:c r="F6854" s="0" t="s">
        <x:v>45</x:v>
      </x:c>
      <x:c r="G6854" s="0" t="s">
        <x:v>19</x:v>
      </x:c>
      <x:c r="H6854" s="0" t="s">
        <x:v>20</x:v>
      </x:c>
      <x:c r="I6854" s="0" t="s">
        <x:v>21</x:v>
      </x:c>
      <x:c r="K6854" s="0">
        <x:f>hyperlink("https://icd.who.int/dev11/l-ichi/en#/http%3A%2F%2Fid.who.int%2Ficd%2Fentity%2F84736940","browser")</x:f>
      </x:c>
      <x:c r="L6854" s="0">
        <x:f>hyperlink("https://icat2.azurewebsites.net/icat/?ontology=ICD&amp;tab=ClassesTab&amp;id=http%3A%2F%2Fwho.int%2Ficd%2340957_512ebf36_bf6b_4d70_85da_cf2637062af4","iCat")</x:f>
      </x:c>
      <x:c r="M6854" s="0" t="s">
        <x:v>21</x:v>
      </x:c>
      <x:c r="N6854" s="0" t="s">
        <x:v>46</x:v>
      </x:c>
    </x:row>
    <x:row r="6855" spans="1:16">
      <x:c r="A6855" s="0" t="s">
        <x:v>27279</x:v>
      </x:c>
      <x:c r="B6855" s="0" t="s">
        <x:v>27280</x:v>
      </x:c>
      <x:c r="C6855" s="0" t="s">
        <x:v>27281</x:v>
      </x:c>
      <x:c r="E6855" s="0" t="s">
        <x:v>27282</x:v>
      </x:c>
      <x:c r="F6855" s="0" t="s">
        <x:v>45</x:v>
      </x:c>
      <x:c r="G6855" s="0" t="s">
        <x:v>19</x:v>
      </x:c>
      <x:c r="H6855" s="0" t="s">
        <x:v>20</x:v>
      </x:c>
      <x:c r="I6855" s="0" t="s">
        <x:v>21</x:v>
      </x:c>
      <x:c r="K6855" s="0">
        <x:f>hyperlink("https://icd.who.int/dev11/l-ichi/en#/http%3A%2F%2Fid.who.int%2Ficd%2Fentity%2F1699006871","browser")</x:f>
      </x:c>
      <x:c r="L6855" s="0">
        <x:f>hyperlink("https://icat2.azurewebsites.net/icat/?ontology=ICD&amp;tab=ClassesTab&amp;id=http%3A%2F%2Fwho.int%2Ficd%2340966_512ebf36_bf6b_4d70_85da_cf2637062af4","iCat")</x:f>
      </x:c>
      <x:c r="M6855" s="0" t="s">
        <x:v>21</x:v>
      </x:c>
      <x:c r="N6855" s="0" t="s">
        <x:v>46</x:v>
      </x:c>
    </x:row>
    <x:row r="6856" spans="1:16">
      <x:c r="A6856" s="0" t="s">
        <x:v>27283</x:v>
      </x:c>
      <x:c r="B6856" s="0" t="s">
        <x:v>27284</x:v>
      </x:c>
      <x:c r="C6856" s="0" t="s">
        <x:v>27285</x:v>
      </x:c>
      <x:c r="E6856" s="0" t="s">
        <x:v>27286</x:v>
      </x:c>
      <x:c r="F6856" s="0" t="s">
        <x:v>45</x:v>
      </x:c>
      <x:c r="G6856" s="0" t="s">
        <x:v>19</x:v>
      </x:c>
      <x:c r="H6856" s="0" t="s">
        <x:v>20</x:v>
      </x:c>
      <x:c r="I6856" s="0" t="s">
        <x:v>21</x:v>
      </x:c>
      <x:c r="K6856" s="0">
        <x:f>hyperlink("https://icd.who.int/dev11/l-ichi/en#/http%3A%2F%2Fid.who.int%2Ficd%2Fentity%2F1794982149","browser")</x:f>
      </x:c>
      <x:c r="L6856" s="0">
        <x:f>hyperlink("https://icat2.azurewebsites.net/icat/?ontology=ICD&amp;tab=ClassesTab&amp;id=http%3A%2F%2Fwho.int%2Ficd%2340974_512ebf36_bf6b_4d70_85da_cf2637062af4","iCat")</x:f>
      </x:c>
      <x:c r="M6856" s="0" t="s">
        <x:v>21</x:v>
      </x:c>
      <x:c r="N6856" s="0" t="s">
        <x:v>46</x:v>
      </x:c>
    </x:row>
    <x:row r="6857" spans="1:16">
      <x:c r="A6857" s="0" t="s">
        <x:v>27287</x:v>
      </x:c>
      <x:c r="B6857" s="0" t="s">
        <x:v>27288</x:v>
      </x:c>
      <x:c r="C6857" s="0" t="s">
        <x:v>27289</x:v>
      </x:c>
      <x:c r="E6857" s="0" t="s">
        <x:v>27290</x:v>
      </x:c>
      <x:c r="F6857" s="0" t="s">
        <x:v>45</x:v>
      </x:c>
      <x:c r="G6857" s="0" t="s">
        <x:v>19</x:v>
      </x:c>
      <x:c r="H6857" s="0" t="s">
        <x:v>20</x:v>
      </x:c>
      <x:c r="I6857" s="0" t="s">
        <x:v>21</x:v>
      </x:c>
      <x:c r="K6857" s="0">
        <x:f>hyperlink("https://icd.who.int/dev11/l-ichi/en#/http%3A%2F%2Fid.who.int%2Ficd%2Fentity%2F1709406695","browser")</x:f>
      </x:c>
      <x:c r="L6857" s="0">
        <x:f>hyperlink("https://icat2.azurewebsites.net/icat/?ontology=ICD&amp;tab=ClassesTab&amp;id=http%3A%2F%2Fwho.int%2Ficd%2340985_512ebf36_bf6b_4d70_85da_cf2637062af4","iCat")</x:f>
      </x:c>
      <x:c r="M6857" s="0" t="s">
        <x:v>21</x:v>
      </x:c>
      <x:c r="N6857" s="0" t="s">
        <x:v>46</x:v>
      </x:c>
    </x:row>
    <x:row r="6858" spans="1:16">
      <x:c r="A6858" s="0" t="s">
        <x:v>27291</x:v>
      </x:c>
      <x:c r="B6858" s="0" t="s">
        <x:v>27292</x:v>
      </x:c>
      <x:c r="C6858" s="0" t="s">
        <x:v>27293</x:v>
      </x:c>
      <x:c r="E6858" s="0" t="s">
        <x:v>27294</x:v>
      </x:c>
      <x:c r="F6858" s="0" t="s">
        <x:v>45</x:v>
      </x:c>
      <x:c r="G6858" s="0" t="s">
        <x:v>19</x:v>
      </x:c>
      <x:c r="H6858" s="0" t="s">
        <x:v>20</x:v>
      </x:c>
      <x:c r="I6858" s="0" t="s">
        <x:v>21</x:v>
      </x:c>
      <x:c r="K6858" s="0">
        <x:f>hyperlink("https://icd.who.int/dev11/l-ichi/en#/http%3A%2F%2Fid.who.int%2Ficd%2Fentity%2F2141472573","browser")</x:f>
      </x:c>
      <x:c r="L6858" s="0">
        <x:f>hyperlink("https://icat2.azurewebsites.net/icat/?ontology=ICD&amp;tab=ClassesTab&amp;id=http%3A%2F%2Fwho.int%2Ficd%2340992_512ebf36_bf6b_4d70_85da_cf2637062af4","iCat")</x:f>
      </x:c>
      <x:c r="M6858" s="0" t="s">
        <x:v>21</x:v>
      </x:c>
      <x:c r="N6858" s="0" t="s">
        <x:v>46</x:v>
      </x:c>
    </x:row>
    <x:row r="6859" spans="1:16">
      <x:c r="A6859" s="0" t="s">
        <x:v>27295</x:v>
      </x:c>
      <x:c r="B6859" s="0" t="s">
        <x:v>27296</x:v>
      </x:c>
      <x:c r="C6859" s="0" t="s">
        <x:v>27297</x:v>
      </x:c>
      <x:c r="E6859" s="0" t="s">
        <x:v>27298</x:v>
      </x:c>
      <x:c r="F6859" s="0" t="s">
        <x:v>45</x:v>
      </x:c>
      <x:c r="G6859" s="0" t="s">
        <x:v>19</x:v>
      </x:c>
      <x:c r="H6859" s="0" t="s">
        <x:v>20</x:v>
      </x:c>
      <x:c r="I6859" s="0" t="s">
        <x:v>21</x:v>
      </x:c>
      <x:c r="K6859" s="0">
        <x:f>hyperlink("https://icd.who.int/dev11/l-ichi/en#/http%3A%2F%2Fid.who.int%2Ficd%2Fentity%2F1956665745","browser")</x:f>
      </x:c>
      <x:c r="L6859" s="0">
        <x:f>hyperlink("https://icat2.azurewebsites.net/icat/?ontology=ICD&amp;tab=ClassesTab&amp;id=http%3A%2F%2Fwho.int%2Ficd%2340999_512ebf36_bf6b_4d70_85da_cf2637062af4","iCat")</x:f>
      </x:c>
      <x:c r="M6859" s="0" t="s">
        <x:v>21</x:v>
      </x:c>
      <x:c r="N6859" s="0" t="s">
        <x:v>46</x:v>
      </x:c>
    </x:row>
    <x:row r="6860" spans="1:16">
      <x:c r="A6860" s="0" t="s">
        <x:v>27299</x:v>
      </x:c>
      <x:c r="B6860" s="0" t="s">
        <x:v>27300</x:v>
      </x:c>
      <x:c r="C6860" s="0" t="s">
        <x:v>27301</x:v>
      </x:c>
      <x:c r="E6860" s="0" t="s">
        <x:v>27302</x:v>
      </x:c>
      <x:c r="F6860" s="0" t="s">
        <x:v>45</x:v>
      </x:c>
      <x:c r="G6860" s="0" t="s">
        <x:v>19</x:v>
      </x:c>
      <x:c r="H6860" s="0" t="s">
        <x:v>20</x:v>
      </x:c>
      <x:c r="I6860" s="0" t="s">
        <x:v>21</x:v>
      </x:c>
      <x:c r="K6860" s="0">
        <x:f>hyperlink("https://icd.who.int/dev11/l-ichi/en#/http%3A%2F%2Fid.who.int%2Ficd%2Fentity%2F432253086","browser")</x:f>
      </x:c>
      <x:c r="L6860" s="0">
        <x:f>hyperlink("https://icat2.azurewebsites.net/icat/?ontology=ICD&amp;tab=ClassesTab&amp;id=http%3A%2F%2Fwho.int%2Ficd%2341006_512ebf36_bf6b_4d70_85da_cf2637062af4","iCat")</x:f>
      </x:c>
      <x:c r="M6860" s="0" t="s">
        <x:v>21</x:v>
      </x:c>
      <x:c r="N6860" s="0" t="s">
        <x:v>46</x:v>
      </x:c>
    </x:row>
    <x:row r="6861" spans="1:16">
      <x:c r="A6861" s="0" t="s">
        <x:v>27303</x:v>
      </x:c>
      <x:c r="B6861" s="0" t="s">
        <x:v>27304</x:v>
      </x:c>
      <x:c r="C6861" s="0" t="s">
        <x:v>27305</x:v>
      </x:c>
      <x:c r="E6861" s="0" t="s">
        <x:v>27306</x:v>
      </x:c>
      <x:c r="F6861" s="0" t="s">
        <x:v>45</x:v>
      </x:c>
      <x:c r="G6861" s="0" t="s">
        <x:v>19</x:v>
      </x:c>
      <x:c r="H6861" s="0" t="s">
        <x:v>20</x:v>
      </x:c>
      <x:c r="I6861" s="0" t="s">
        <x:v>21</x:v>
      </x:c>
      <x:c r="K6861" s="0">
        <x:f>hyperlink("https://icd.who.int/dev11/l-ichi/en#/http%3A%2F%2Fid.who.int%2Ficd%2Fentity%2F1727564673","browser")</x:f>
      </x:c>
      <x:c r="L6861" s="0">
        <x:f>hyperlink("https://icat2.azurewebsites.net/icat/?ontology=ICD&amp;tab=ClassesTab&amp;id=http%3A%2F%2Fwho.int%2Ficd%2341013_512ebf36_bf6b_4d70_85da_cf2637062af4","iCat")</x:f>
      </x:c>
      <x:c r="M6861" s="0" t="s">
        <x:v>21</x:v>
      </x:c>
      <x:c r="N6861" s="0" t="s">
        <x:v>46</x:v>
      </x:c>
    </x:row>
    <x:row r="6862" spans="1:16">
      <x:c r="A6862" s="0" t="s">
        <x:v>27307</x:v>
      </x:c>
      <x:c r="B6862" s="0" t="s">
        <x:v>27308</x:v>
      </x:c>
      <x:c r="C6862" s="0" t="s">
        <x:v>27309</x:v>
      </x:c>
      <x:c r="E6862" s="0" t="s">
        <x:v>27310</x:v>
      </x:c>
      <x:c r="F6862" s="0" t="s">
        <x:v>45</x:v>
      </x:c>
      <x:c r="G6862" s="0" t="s">
        <x:v>19</x:v>
      </x:c>
      <x:c r="H6862" s="0" t="s">
        <x:v>20</x:v>
      </x:c>
      <x:c r="I6862" s="0" t="s">
        <x:v>21</x:v>
      </x:c>
      <x:c r="K6862" s="0">
        <x:f>hyperlink("https://icd.who.int/dev11/l-ichi/en#/http%3A%2F%2Fid.who.int%2Ficd%2Fentity%2F1674355839","browser")</x:f>
      </x:c>
      <x:c r="L6862" s="0">
        <x:f>hyperlink("https://icat2.azurewebsites.net/icat/?ontology=ICD&amp;tab=ClassesTab&amp;id=http%3A%2F%2Fwho.int%2Ficd%2341020_512ebf36_bf6b_4d70_85da_cf2637062af4","iCat")</x:f>
      </x:c>
      <x:c r="M6862" s="0" t="s">
        <x:v>21</x:v>
      </x:c>
      <x:c r="N6862" s="0" t="s">
        <x:v>46</x:v>
      </x:c>
    </x:row>
    <x:row r="6863" spans="1:16">
      <x:c r="A6863" s="0" t="s">
        <x:v>27311</x:v>
      </x:c>
      <x:c r="B6863" s="0" t="s">
        <x:v>27312</x:v>
      </x:c>
      <x:c r="C6863" s="0" t="s">
        <x:v>27313</x:v>
      </x:c>
      <x:c r="E6863" s="0" t="s">
        <x:v>27314</x:v>
      </x:c>
      <x:c r="F6863" s="0" t="s">
        <x:v>45</x:v>
      </x:c>
      <x:c r="G6863" s="0" t="s">
        <x:v>19</x:v>
      </x:c>
      <x:c r="H6863" s="0" t="s">
        <x:v>20</x:v>
      </x:c>
      <x:c r="I6863" s="0" t="s">
        <x:v>21</x:v>
      </x:c>
      <x:c r="K6863" s="0">
        <x:f>hyperlink("https://icd.who.int/dev11/l-ichi/en#/http%3A%2F%2Fid.who.int%2Ficd%2Fentity%2F323882994","browser")</x:f>
      </x:c>
      <x:c r="L6863" s="0">
        <x:f>hyperlink("https://icat2.azurewebsites.net/icat/?ontology=ICD&amp;tab=ClassesTab&amp;id=http%3A%2F%2Fwho.int%2Ficd%2341027_512ebf36_bf6b_4d70_85da_cf2637062af4","iCat")</x:f>
      </x:c>
      <x:c r="M6863" s="0" t="s">
        <x:v>21</x:v>
      </x:c>
      <x:c r="N6863" s="0" t="s">
        <x:v>46</x:v>
      </x:c>
    </x:row>
    <x:row r="6864" spans="1:16">
      <x:c r="A6864" s="0" t="s">
        <x:v>27315</x:v>
      </x:c>
      <x:c r="B6864" s="0" t="s">
        <x:v>27316</x:v>
      </x:c>
      <x:c r="C6864" s="0" t="s">
        <x:v>27317</x:v>
      </x:c>
      <x:c r="E6864" s="0" t="s">
        <x:v>27318</x:v>
      </x:c>
      <x:c r="F6864" s="0" t="s">
        <x:v>45</x:v>
      </x:c>
      <x:c r="G6864" s="0" t="s">
        <x:v>19</x:v>
      </x:c>
      <x:c r="H6864" s="0" t="s">
        <x:v>20</x:v>
      </x:c>
      <x:c r="I6864" s="0" t="s">
        <x:v>21</x:v>
      </x:c>
      <x:c r="K6864" s="0">
        <x:f>hyperlink("https://icd.who.int/dev11/l-ichi/en#/http%3A%2F%2Fid.who.int%2Ficd%2Fentity%2F1007613278","browser")</x:f>
      </x:c>
      <x:c r="L6864" s="0">
        <x:f>hyperlink("https://icat2.azurewebsites.net/icat/?ontology=ICD&amp;tab=ClassesTab&amp;id=http%3A%2F%2Fwho.int%2Ficd%2341034_512ebf36_bf6b_4d70_85da_cf2637062af4","iCat")</x:f>
      </x:c>
      <x:c r="M6864" s="0" t="s">
        <x:v>21</x:v>
      </x:c>
      <x:c r="N6864" s="0" t="s">
        <x:v>46</x:v>
      </x:c>
    </x:row>
    <x:row r="6865" spans="1:16">
      <x:c r="A6865" s="0" t="s">
        <x:v>27319</x:v>
      </x:c>
      <x:c r="B6865" s="0" t="s">
        <x:v>27320</x:v>
      </x:c>
      <x:c r="C6865" s="0" t="s">
        <x:v>27321</x:v>
      </x:c>
      <x:c r="E6865" s="0" t="s">
        <x:v>27322</x:v>
      </x:c>
      <x:c r="F6865" s="0" t="s">
        <x:v>45</x:v>
      </x:c>
      <x:c r="G6865" s="0" t="s">
        <x:v>19</x:v>
      </x:c>
      <x:c r="H6865" s="0" t="s">
        <x:v>20</x:v>
      </x:c>
      <x:c r="I6865" s="0" t="s">
        <x:v>21</x:v>
      </x:c>
      <x:c r="K6865" s="0">
        <x:f>hyperlink("https://icd.who.int/dev11/l-ichi/en#/http%3A%2F%2Fid.who.int%2Ficd%2Fentity%2F421941262","browser")</x:f>
      </x:c>
      <x:c r="L6865" s="0">
        <x:f>hyperlink("https://icat2.azurewebsites.net/icat/?ontology=ICD&amp;tab=ClassesTab&amp;id=http%3A%2F%2Fwho.int%2Ficd%2341041_512ebf36_bf6b_4d70_85da_cf2637062af4","iCat")</x:f>
      </x:c>
      <x:c r="M6865" s="0" t="s">
        <x:v>21</x:v>
      </x:c>
      <x:c r="N6865" s="0" t="s">
        <x:v>46</x:v>
      </x:c>
    </x:row>
    <x:row r="6866" spans="1:16">
      <x:c r="A6866" s="0" t="s">
        <x:v>27323</x:v>
      </x:c>
      <x:c r="B6866" s="0" t="s">
        <x:v>27324</x:v>
      </x:c>
      <x:c r="C6866" s="0" t="s">
        <x:v>27325</x:v>
      </x:c>
      <x:c r="E6866" s="0" t="s">
        <x:v>27326</x:v>
      </x:c>
      <x:c r="F6866" s="0" t="s">
        <x:v>45</x:v>
      </x:c>
      <x:c r="G6866" s="0" t="s">
        <x:v>19</x:v>
      </x:c>
      <x:c r="H6866" s="0" t="s">
        <x:v>20</x:v>
      </x:c>
      <x:c r="I6866" s="0" t="s">
        <x:v>21</x:v>
      </x:c>
      <x:c r="K6866" s="0">
        <x:f>hyperlink("https://icd.who.int/dev11/l-ichi/en#/http%3A%2F%2Fid.who.int%2Ficd%2Fentity%2F2002670439","browser")</x:f>
      </x:c>
      <x:c r="L6866" s="0">
        <x:f>hyperlink("https://icat2.azurewebsites.net/icat/?ontology=ICD&amp;tab=ClassesTab&amp;id=http%3A%2F%2Fwho.int%2Ficd%2341048_512ebf36_bf6b_4d70_85da_cf2637062af4","iCat")</x:f>
      </x:c>
      <x:c r="M6866" s="0" t="s">
        <x:v>21</x:v>
      </x:c>
      <x:c r="N6866" s="0" t="s">
        <x:v>46</x:v>
      </x:c>
    </x:row>
    <x:row r="6867" spans="1:16">
      <x:c r="A6867" s="0" t="s">
        <x:v>27327</x:v>
      </x:c>
      <x:c r="B6867" s="0" t="s">
        <x:v>27328</x:v>
      </x:c>
      <x:c r="C6867" s="0" t="s">
        <x:v>27329</x:v>
      </x:c>
      <x:c r="E6867" s="0" t="s">
        <x:v>27330</x:v>
      </x:c>
      <x:c r="F6867" s="0" t="s">
        <x:v>45</x:v>
      </x:c>
      <x:c r="G6867" s="0" t="s">
        <x:v>19</x:v>
      </x:c>
      <x:c r="H6867" s="0" t="s">
        <x:v>20</x:v>
      </x:c>
      <x:c r="I6867" s="0" t="s">
        <x:v>21</x:v>
      </x:c>
      <x:c r="K6867" s="0">
        <x:f>hyperlink("https://icd.who.int/dev11/l-ichi/en#/http%3A%2F%2Fid.who.int%2Ficd%2Fentity%2F1189347629","browser")</x:f>
      </x:c>
      <x:c r="L6867" s="0">
        <x:f>hyperlink("https://icat2.azurewebsites.net/icat/?ontology=ICD&amp;tab=ClassesTab&amp;id=http%3A%2F%2Fwho.int%2Ficd%2341055_512ebf36_bf6b_4d70_85da_cf2637062af4","iCat")</x:f>
      </x:c>
      <x:c r="M6867" s="0" t="s">
        <x:v>21</x:v>
      </x:c>
      <x:c r="N6867" s="0" t="s">
        <x:v>46</x:v>
      </x:c>
    </x:row>
    <x:row r="6868" spans="1:16">
      <x:c r="A6868" s="0" t="s">
        <x:v>27331</x:v>
      </x:c>
      <x:c r="B6868" s="0" t="s">
        <x:v>27332</x:v>
      </x:c>
      <x:c r="C6868" s="0" t="s">
        <x:v>27333</x:v>
      </x:c>
      <x:c r="E6868" s="0" t="s">
        <x:v>27334</x:v>
      </x:c>
      <x:c r="F6868" s="0" t="s">
        <x:v>45</x:v>
      </x:c>
      <x:c r="G6868" s="0" t="s">
        <x:v>19</x:v>
      </x:c>
      <x:c r="H6868" s="0" t="s">
        <x:v>20</x:v>
      </x:c>
      <x:c r="I6868" s="0" t="s">
        <x:v>21</x:v>
      </x:c>
      <x:c r="K6868" s="0">
        <x:f>hyperlink("https://icd.who.int/dev11/l-ichi/en#/http%3A%2F%2Fid.who.int%2Ficd%2Fentity%2F1993861799","browser")</x:f>
      </x:c>
      <x:c r="L6868" s="0">
        <x:f>hyperlink("https://icat2.azurewebsites.net/icat/?ontology=ICD&amp;tab=ClassesTab&amp;id=http%3A%2F%2Fwho.int%2Ficd%2341062_512ebf36_bf6b_4d70_85da_cf2637062af4","iCat")</x:f>
      </x:c>
      <x:c r="M6868" s="0" t="s">
        <x:v>21</x:v>
      </x:c>
      <x:c r="N6868" s="0" t="s">
        <x:v>46</x:v>
      </x:c>
    </x:row>
    <x:row r="6869" spans="1:16">
      <x:c r="A6869" s="0" t="s">
        <x:v>27335</x:v>
      </x:c>
      <x:c r="B6869" s="0" t="s">
        <x:v>27336</x:v>
      </x:c>
      <x:c r="C6869" s="0" t="s">
        <x:v>27337</x:v>
      </x:c>
      <x:c r="E6869" s="0" t="s">
        <x:v>27338</x:v>
      </x:c>
      <x:c r="F6869" s="0" t="s">
        <x:v>45</x:v>
      </x:c>
      <x:c r="G6869" s="0" t="s">
        <x:v>19</x:v>
      </x:c>
      <x:c r="H6869" s="0" t="s">
        <x:v>20</x:v>
      </x:c>
      <x:c r="I6869" s="0" t="s">
        <x:v>21</x:v>
      </x:c>
      <x:c r="K6869" s="0">
        <x:f>hyperlink("https://icd.who.int/dev11/l-ichi/en#/http%3A%2F%2Fid.who.int%2Ficd%2Fentity%2F2111042571","browser")</x:f>
      </x:c>
      <x:c r="L6869" s="0">
        <x:f>hyperlink("https://icat2.azurewebsites.net/icat/?ontology=ICD&amp;tab=ClassesTab&amp;id=http%3A%2F%2Fwho.int%2Ficd%2341069_512ebf36_bf6b_4d70_85da_cf2637062af4","iCat")</x:f>
      </x:c>
      <x:c r="M6869" s="0" t="s">
        <x:v>21</x:v>
      </x:c>
      <x:c r="N6869" s="0" t="s">
        <x:v>46</x:v>
      </x:c>
    </x:row>
    <x:row r="6870" spans="1:16">
      <x:c r="A6870" s="0" t="s">
        <x:v>27339</x:v>
      </x:c>
      <x:c r="B6870" s="0" t="s">
        <x:v>27340</x:v>
      </x:c>
      <x:c r="C6870" s="0" t="s">
        <x:v>27341</x:v>
      </x:c>
      <x:c r="E6870" s="0" t="s">
        <x:v>27342</x:v>
      </x:c>
      <x:c r="F6870" s="0" t="s">
        <x:v>45</x:v>
      </x:c>
      <x:c r="G6870" s="0" t="s">
        <x:v>19</x:v>
      </x:c>
      <x:c r="H6870" s="0" t="s">
        <x:v>20</x:v>
      </x:c>
      <x:c r="I6870" s="0" t="s">
        <x:v>21</x:v>
      </x:c>
      <x:c r="K6870" s="0">
        <x:f>hyperlink("https://icd.who.int/dev11/l-ichi/en#/http%3A%2F%2Fid.who.int%2Ficd%2Fentity%2F938414944","browser")</x:f>
      </x:c>
      <x:c r="L6870" s="0">
        <x:f>hyperlink("https://icat2.azurewebsites.net/icat/?ontology=ICD&amp;tab=ClassesTab&amp;id=http%3A%2F%2Fwho.int%2Ficd%2341078_512ebf36_bf6b_4d70_85da_cf2637062af4","iCat")</x:f>
      </x:c>
      <x:c r="M6870" s="0" t="s">
        <x:v>21</x:v>
      </x:c>
      <x:c r="N6870" s="0" t="s">
        <x:v>46</x:v>
      </x:c>
    </x:row>
    <x:row r="6871" spans="1:16">
      <x:c r="A6871" s="0" t="s">
        <x:v>27343</x:v>
      </x:c>
      <x:c r="B6871" s="0" t="s">
        <x:v>27344</x:v>
      </x:c>
      <x:c r="C6871" s="0" t="s">
        <x:v>27345</x:v>
      </x:c>
      <x:c r="E6871" s="0" t="s">
        <x:v>27346</x:v>
      </x:c>
      <x:c r="F6871" s="0" t="s">
        <x:v>45</x:v>
      </x:c>
      <x:c r="G6871" s="0" t="s">
        <x:v>19</x:v>
      </x:c>
      <x:c r="H6871" s="0" t="s">
        <x:v>20</x:v>
      </x:c>
      <x:c r="I6871" s="0" t="s">
        <x:v>21</x:v>
      </x:c>
      <x:c r="K6871" s="0">
        <x:f>hyperlink("https://icd.who.int/dev11/l-ichi/en#/http%3A%2F%2Fid.who.int%2Ficd%2Fentity%2F1131912867","browser")</x:f>
      </x:c>
      <x:c r="L6871" s="0">
        <x:f>hyperlink("https://icat2.azurewebsites.net/icat/?ontology=ICD&amp;tab=ClassesTab&amp;id=http%3A%2F%2Fwho.int%2Ficd%2341085_512ebf36_bf6b_4d70_85da_cf2637062af4","iCat")</x:f>
      </x:c>
      <x:c r="M6871" s="0" t="s">
        <x:v>21</x:v>
      </x:c>
      <x:c r="N6871" s="0" t="s">
        <x:v>46</x:v>
      </x:c>
    </x:row>
    <x:row r="6872" spans="1:16">
      <x:c r="A6872" s="0" t="s">
        <x:v>27347</x:v>
      </x:c>
      <x:c r="B6872" s="0" t="s">
        <x:v>27348</x:v>
      </x:c>
      <x:c r="C6872" s="0" t="s">
        <x:v>27349</x:v>
      </x:c>
      <x:c r="E6872" s="0" t="s">
        <x:v>27350</x:v>
      </x:c>
      <x:c r="F6872" s="0" t="s">
        <x:v>45</x:v>
      </x:c>
      <x:c r="G6872" s="0" t="s">
        <x:v>19</x:v>
      </x:c>
      <x:c r="H6872" s="0" t="s">
        <x:v>20</x:v>
      </x:c>
      <x:c r="I6872" s="0" t="s">
        <x:v>21</x:v>
      </x:c>
      <x:c r="K6872" s="0">
        <x:f>hyperlink("https://icd.who.int/dev11/l-ichi/en#/http%3A%2F%2Fid.who.int%2Ficd%2Fentity%2F155941322","browser")</x:f>
      </x:c>
      <x:c r="L6872" s="0">
        <x:f>hyperlink("https://icat2.azurewebsites.net/icat/?ontology=ICD&amp;tab=ClassesTab&amp;id=http%3A%2F%2Fwho.int%2Ficd%2341094_512ebf36_bf6b_4d70_85da_cf2637062af4","iCat")</x:f>
      </x:c>
      <x:c r="M6872" s="0" t="s">
        <x:v>21</x:v>
      </x:c>
      <x:c r="N6872" s="0" t="s">
        <x:v>46</x:v>
      </x:c>
    </x:row>
    <x:row r="6873" spans="1:16">
      <x:c r="A6873" s="0" t="s">
        <x:v>27351</x:v>
      </x:c>
      <x:c r="B6873" s="0" t="s">
        <x:v>27352</x:v>
      </x:c>
      <x:c r="C6873" s="0" t="s">
        <x:v>27353</x:v>
      </x:c>
      <x:c r="E6873" s="0" t="s">
        <x:v>27354</x:v>
      </x:c>
      <x:c r="F6873" s="0" t="s">
        <x:v>45</x:v>
      </x:c>
      <x:c r="G6873" s="0" t="s">
        <x:v>19</x:v>
      </x:c>
      <x:c r="H6873" s="0" t="s">
        <x:v>20</x:v>
      </x:c>
      <x:c r="I6873" s="0" t="s">
        <x:v>21</x:v>
      </x:c>
      <x:c r="K6873" s="0">
        <x:f>hyperlink("https://icd.who.int/dev11/l-ichi/en#/http%3A%2F%2Fid.who.int%2Ficd%2Fentity%2F1499179639","browser")</x:f>
      </x:c>
      <x:c r="L6873" s="0">
        <x:f>hyperlink("https://icat2.azurewebsites.net/icat/?ontology=ICD&amp;tab=ClassesTab&amp;id=http%3A%2F%2Fwho.int%2Ficd%2341102_512ebf36_bf6b_4d70_85da_cf2637062af4","iCat")</x:f>
      </x:c>
      <x:c r="M6873" s="0" t="s">
        <x:v>21</x:v>
      </x:c>
      <x:c r="N6873" s="0" t="s">
        <x:v>46</x:v>
      </x:c>
    </x:row>
    <x:row r="6874" spans="1:16">
      <x:c r="A6874" s="0" t="s">
        <x:v>27355</x:v>
      </x:c>
      <x:c r="B6874" s="0" t="s">
        <x:v>27356</x:v>
      </x:c>
      <x:c r="C6874" s="0" t="s">
        <x:v>27357</x:v>
      </x:c>
      <x:c r="E6874" s="0" t="s">
        <x:v>27358</x:v>
      </x:c>
      <x:c r="F6874" s="0" t="s">
        <x:v>45</x:v>
      </x:c>
      <x:c r="G6874" s="0" t="s">
        <x:v>19</x:v>
      </x:c>
      <x:c r="H6874" s="0" t="s">
        <x:v>20</x:v>
      </x:c>
      <x:c r="I6874" s="0" t="s">
        <x:v>21</x:v>
      </x:c>
      <x:c r="K6874" s="0">
        <x:f>hyperlink("https://icd.who.int/dev11/l-ichi/en#/http%3A%2F%2Fid.who.int%2Ficd%2Fentity%2F1382003931","browser")</x:f>
      </x:c>
      <x:c r="L6874" s="0">
        <x:f>hyperlink("https://icat2.azurewebsites.net/icat/?ontology=ICD&amp;tab=ClassesTab&amp;id=http%3A%2F%2Fwho.int%2Ficd%2341109_512ebf36_bf6b_4d70_85da_cf2637062af4","iCat")</x:f>
      </x:c>
      <x:c r="M6874" s="0" t="s">
        <x:v>21</x:v>
      </x:c>
      <x:c r="N6874" s="0" t="s">
        <x:v>46</x:v>
      </x:c>
    </x:row>
    <x:row r="6875" spans="1:16">
      <x:c r="A6875" s="0" t="s">
        <x:v>27359</x:v>
      </x:c>
      <x:c r="B6875" s="0" t="s">
        <x:v>27360</x:v>
      </x:c>
      <x:c r="C6875" s="0" t="s">
        <x:v>27361</x:v>
      </x:c>
      <x:c r="E6875" s="0" t="s">
        <x:v>27362</x:v>
      </x:c>
      <x:c r="F6875" s="0" t="s">
        <x:v>45</x:v>
      </x:c>
      <x:c r="G6875" s="0" t="s">
        <x:v>19</x:v>
      </x:c>
      <x:c r="H6875" s="0" t="s">
        <x:v>20</x:v>
      </x:c>
      <x:c r="I6875" s="0" t="s">
        <x:v>21</x:v>
      </x:c>
      <x:c r="K6875" s="0">
        <x:f>hyperlink("https://icd.who.int/dev11/l-ichi/en#/http%3A%2F%2Fid.who.int%2Ficd%2Fentity%2F643860842","browser")</x:f>
      </x:c>
      <x:c r="L6875" s="0">
        <x:f>hyperlink("https://icat2.azurewebsites.net/icat/?ontology=ICD&amp;tab=ClassesTab&amp;id=http%3A%2F%2Fwho.int%2Ficd%2341117_512ebf36_bf6b_4d70_85da_cf2637062af4","iCat")</x:f>
      </x:c>
      <x:c r="M6875" s="0" t="s">
        <x:v>21</x:v>
      </x:c>
      <x:c r="N6875" s="0" t="s">
        <x:v>46</x:v>
      </x:c>
    </x:row>
    <x:row r="6876" spans="1:16">
      <x:c r="A6876" s="0" t="s">
        <x:v>27363</x:v>
      </x:c>
      <x:c r="B6876" s="0" t="s">
        <x:v>27364</x:v>
      </x:c>
      <x:c r="C6876" s="0" t="s">
        <x:v>27365</x:v>
      </x:c>
      <x:c r="E6876" s="0" t="s">
        <x:v>27366</x:v>
      </x:c>
      <x:c r="F6876" s="0" t="s">
        <x:v>45</x:v>
      </x:c>
      <x:c r="G6876" s="0" t="s">
        <x:v>19</x:v>
      </x:c>
      <x:c r="H6876" s="0" t="s">
        <x:v>20</x:v>
      </x:c>
      <x:c r="I6876" s="0" t="s">
        <x:v>21</x:v>
      </x:c>
      <x:c r="K6876" s="0">
        <x:f>hyperlink("https://icd.who.int/dev11/l-ichi/en#/http%3A%2F%2Fid.who.int%2Ficd%2Fentity%2F592750232","browser")</x:f>
      </x:c>
      <x:c r="L6876" s="0">
        <x:f>hyperlink("https://icat2.azurewebsites.net/icat/?ontology=ICD&amp;tab=ClassesTab&amp;id=http%3A%2F%2Fwho.int%2Ficd%2341124_512ebf36_bf6b_4d70_85da_cf2637062af4","iCat")</x:f>
      </x:c>
      <x:c r="M6876" s="0" t="s">
        <x:v>21</x:v>
      </x:c>
      <x:c r="N6876" s="0" t="s">
        <x:v>46</x:v>
      </x:c>
    </x:row>
    <x:row r="6877" spans="1:16">
      <x:c r="A6877" s="0" t="s">
        <x:v>27367</x:v>
      </x:c>
      <x:c r="B6877" s="0" t="s">
        <x:v>27368</x:v>
      </x:c>
      <x:c r="C6877" s="0" t="s">
        <x:v>27369</x:v>
      </x:c>
      <x:c r="E6877" s="0" t="s">
        <x:v>27370</x:v>
      </x:c>
      <x:c r="F6877" s="0" t="s">
        <x:v>45</x:v>
      </x:c>
      <x:c r="G6877" s="0" t="s">
        <x:v>19</x:v>
      </x:c>
      <x:c r="H6877" s="0" t="s">
        <x:v>20</x:v>
      </x:c>
      <x:c r="I6877" s="0" t="s">
        <x:v>21</x:v>
      </x:c>
      <x:c r="K6877" s="0">
        <x:f>hyperlink("https://icd.who.int/dev11/l-ichi/en#/http%3A%2F%2Fid.who.int%2Ficd%2Fentity%2F1550812553","browser")</x:f>
      </x:c>
      <x:c r="L6877" s="0">
        <x:f>hyperlink("https://icat2.azurewebsites.net/icat/?ontology=ICD&amp;tab=ClassesTab&amp;id=http%3A%2F%2Fwho.int%2Ficd%2341131_512ebf36_bf6b_4d70_85da_cf2637062af4","iCat")</x:f>
      </x:c>
      <x:c r="M6877" s="0" t="s">
        <x:v>21</x:v>
      </x:c>
      <x:c r="N6877" s="0" t="s">
        <x:v>46</x:v>
      </x:c>
    </x:row>
    <x:row r="6878" spans="1:16">
      <x:c r="A6878" s="0" t="s">
        <x:v>27371</x:v>
      </x:c>
      <x:c r="B6878" s="0" t="s">
        <x:v>27372</x:v>
      </x:c>
      <x:c r="C6878" s="0" t="s">
        <x:v>27373</x:v>
      </x:c>
      <x:c r="E6878" s="0" t="s">
        <x:v>27374</x:v>
      </x:c>
      <x:c r="F6878" s="0" t="s">
        <x:v>45</x:v>
      </x:c>
      <x:c r="G6878" s="0" t="s">
        <x:v>19</x:v>
      </x:c>
      <x:c r="H6878" s="0" t="s">
        <x:v>20</x:v>
      </x:c>
      <x:c r="I6878" s="0" t="s">
        <x:v>21</x:v>
      </x:c>
      <x:c r="K6878" s="0">
        <x:f>hyperlink("https://icd.who.int/dev11/l-ichi/en#/http%3A%2F%2Fid.who.int%2Ficd%2Fentity%2F840402656","browser")</x:f>
      </x:c>
      <x:c r="L6878" s="0">
        <x:f>hyperlink("https://icat2.azurewebsites.net/icat/?ontology=ICD&amp;tab=ClassesTab&amp;id=http%3A%2F%2Fwho.int%2Ficd%2341138_512ebf36_bf6b_4d70_85da_cf2637062af4","iCat")</x:f>
      </x:c>
      <x:c r="M6878" s="0" t="s">
        <x:v>21</x:v>
      </x:c>
      <x:c r="N6878" s="0" t="s">
        <x:v>46</x:v>
      </x:c>
    </x:row>
    <x:row r="6879" spans="1:16">
      <x:c r="A6879" s="0" t="s">
        <x:v>27375</x:v>
      </x:c>
      <x:c r="B6879" s="0" t="s">
        <x:v>27376</x:v>
      </x:c>
      <x:c r="C6879" s="0" t="s">
        <x:v>27377</x:v>
      </x:c>
      <x:c r="E6879" s="0" t="s">
        <x:v>27378</x:v>
      </x:c>
      <x:c r="F6879" s="0" t="s">
        <x:v>45</x:v>
      </x:c>
      <x:c r="G6879" s="0" t="s">
        <x:v>19</x:v>
      </x:c>
      <x:c r="H6879" s="0" t="s">
        <x:v>20</x:v>
      </x:c>
      <x:c r="I6879" s="0" t="s">
        <x:v>21</x:v>
      </x:c>
      <x:c r="K6879" s="0">
        <x:f>hyperlink("https://icd.who.int/dev11/l-ichi/en#/http%3A%2F%2Fid.who.int%2Ficd%2Fentity%2F1505645287","browser")</x:f>
      </x:c>
      <x:c r="L6879" s="0">
        <x:f>hyperlink("https://icat2.azurewebsites.net/icat/?ontology=ICD&amp;tab=ClassesTab&amp;id=http%3A%2F%2Fwho.int%2Ficd%2341145_512ebf36_bf6b_4d70_85da_cf2637062af4","iCat")</x:f>
      </x:c>
      <x:c r="M6879" s="0" t="s">
        <x:v>21</x:v>
      </x:c>
      <x:c r="N6879" s="0" t="s">
        <x:v>46</x:v>
      </x:c>
    </x:row>
    <x:row r="6880" spans="1:16">
      <x:c r="A6880" s="0" t="s">
        <x:v>27379</x:v>
      </x:c>
      <x:c r="B6880" s="0" t="s">
        <x:v>27380</x:v>
      </x:c>
      <x:c r="C6880" s="0" t="s">
        <x:v>27381</x:v>
      </x:c>
      <x:c r="E6880" s="0" t="s">
        <x:v>27382</x:v>
      </x:c>
      <x:c r="F6880" s="0" t="s">
        <x:v>45</x:v>
      </x:c>
      <x:c r="G6880" s="0" t="s">
        <x:v>19</x:v>
      </x:c>
      <x:c r="H6880" s="0" t="s">
        <x:v>20</x:v>
      </x:c>
      <x:c r="I6880" s="0" t="s">
        <x:v>21</x:v>
      </x:c>
      <x:c r="K6880" s="0">
        <x:f>hyperlink("https://icd.who.int/dev11/l-ichi/en#/http%3A%2F%2Fid.who.int%2Ficd%2Fentity%2F1140419645","browser")</x:f>
      </x:c>
      <x:c r="L6880" s="0">
        <x:f>hyperlink("https://icat2.azurewebsites.net/icat/?ontology=ICD&amp;tab=ClassesTab&amp;id=http%3A%2F%2Fwho.int%2Ficd%2341152_512ebf36_bf6b_4d70_85da_cf2637062af4","iCat")</x:f>
      </x:c>
      <x:c r="M6880" s="0" t="s">
        <x:v>21</x:v>
      </x:c>
      <x:c r="N6880" s="0" t="s">
        <x:v>46</x:v>
      </x:c>
    </x:row>
    <x:row r="6881" spans="1:16">
      <x:c r="A6881" s="0" t="s">
        <x:v>27383</x:v>
      </x:c>
      <x:c r="B6881" s="0" t="s">
        <x:v>27384</x:v>
      </x:c>
      <x:c r="C6881" s="0" t="s">
        <x:v>27385</x:v>
      </x:c>
      <x:c r="E6881" s="0" t="s">
        <x:v>27386</x:v>
      </x:c>
      <x:c r="F6881" s="0" t="s">
        <x:v>45</x:v>
      </x:c>
      <x:c r="G6881" s="0" t="s">
        <x:v>19</x:v>
      </x:c>
      <x:c r="H6881" s="0" t="s">
        <x:v>20</x:v>
      </x:c>
      <x:c r="I6881" s="0" t="s">
        <x:v>21</x:v>
      </x:c>
      <x:c r="K6881" s="0">
        <x:f>hyperlink("https://icd.who.int/dev11/l-ichi/en#/http%3A%2F%2Fid.who.int%2Ficd%2Fentity%2F1224569489","browser")</x:f>
      </x:c>
      <x:c r="L6881" s="0">
        <x:f>hyperlink("https://icat2.azurewebsites.net/icat/?ontology=ICD&amp;tab=ClassesTab&amp;id=http%3A%2F%2Fwho.int%2Ficd%2341159_512ebf36_bf6b_4d70_85da_cf2637062af4","iCat")</x:f>
      </x:c>
      <x:c r="M6881" s="0" t="s">
        <x:v>21</x:v>
      </x:c>
      <x:c r="N6881" s="0" t="s">
        <x:v>46</x:v>
      </x:c>
    </x:row>
    <x:row r="6882" spans="1:16">
      <x:c r="A6882" s="0" t="s">
        <x:v>27387</x:v>
      </x:c>
      <x:c r="B6882" s="0" t="s">
        <x:v>27388</x:v>
      </x:c>
      <x:c r="C6882" s="0" t="s">
        <x:v>27389</x:v>
      </x:c>
      <x:c r="E6882" s="0" t="s">
        <x:v>27390</x:v>
      </x:c>
      <x:c r="F6882" s="0" t="s">
        <x:v>45</x:v>
      </x:c>
      <x:c r="G6882" s="0" t="s">
        <x:v>19</x:v>
      </x:c>
      <x:c r="H6882" s="0" t="s">
        <x:v>20</x:v>
      </x:c>
      <x:c r="I6882" s="0" t="s">
        <x:v>21</x:v>
      </x:c>
      <x:c r="K6882" s="0">
        <x:f>hyperlink("https://icd.who.int/dev11/l-ichi/en#/http%3A%2F%2Fid.who.int%2Ficd%2Fentity%2F911206480","browser")</x:f>
      </x:c>
      <x:c r="L6882" s="0">
        <x:f>hyperlink("https://icat2.azurewebsites.net/icat/?ontology=ICD&amp;tab=ClassesTab&amp;id=http%3A%2F%2Fwho.int%2Ficd%2341166_512ebf36_bf6b_4d70_85da_cf2637062af4","iCat")</x:f>
      </x:c>
      <x:c r="M6882" s="0" t="s">
        <x:v>21</x:v>
      </x:c>
      <x:c r="N6882" s="0" t="s">
        <x:v>46</x:v>
      </x:c>
    </x:row>
    <x:row r="6883" spans="1:16">
      <x:c r="A6883" s="0" t="s">
        <x:v>27391</x:v>
      </x:c>
      <x:c r="B6883" s="0" t="s">
        <x:v>27392</x:v>
      </x:c>
      <x:c r="C6883" s="0" t="s">
        <x:v>27393</x:v>
      </x:c>
      <x:c r="E6883" s="0" t="s">
        <x:v>27394</x:v>
      </x:c>
      <x:c r="F6883" s="0" t="s">
        <x:v>45</x:v>
      </x:c>
      <x:c r="G6883" s="0" t="s">
        <x:v>19</x:v>
      </x:c>
      <x:c r="H6883" s="0" t="s">
        <x:v>20</x:v>
      </x:c>
      <x:c r="I6883" s="0" t="s">
        <x:v>21</x:v>
      </x:c>
      <x:c r="K6883" s="0">
        <x:f>hyperlink("https://icd.who.int/dev11/l-ichi/en#/http%3A%2F%2Fid.who.int%2Ficd%2Fentity%2F420418272","browser")</x:f>
      </x:c>
      <x:c r="L6883" s="0">
        <x:f>hyperlink("https://icat2.azurewebsites.net/icat/?ontology=ICD&amp;tab=ClassesTab&amp;id=http%3A%2F%2Fwho.int%2Ficd%2341175_512ebf36_bf6b_4d70_85da_cf2637062af4","iCat")</x:f>
      </x:c>
      <x:c r="M6883" s="0" t="s">
        <x:v>21</x:v>
      </x:c>
      <x:c r="N6883" s="0" t="s">
        <x:v>46</x:v>
      </x:c>
    </x:row>
    <x:row r="6884" spans="1:16">
      <x:c r="A6884" s="0" t="s">
        <x:v>27395</x:v>
      </x:c>
      <x:c r="B6884" s="0" t="s">
        <x:v>27396</x:v>
      </x:c>
      <x:c r="C6884" s="0" t="s">
        <x:v>27397</x:v>
      </x:c>
      <x:c r="E6884" s="0" t="s">
        <x:v>27398</x:v>
      </x:c>
      <x:c r="F6884" s="0" t="s">
        <x:v>45</x:v>
      </x:c>
      <x:c r="G6884" s="0" t="s">
        <x:v>19</x:v>
      </x:c>
      <x:c r="H6884" s="0" t="s">
        <x:v>20</x:v>
      </x:c>
      <x:c r="I6884" s="0" t="s">
        <x:v>21</x:v>
      </x:c>
      <x:c r="K6884" s="0">
        <x:f>hyperlink("https://icd.who.int/dev11/l-ichi/en#/http%3A%2F%2Fid.who.int%2Ficd%2Fentity%2F1181414323","browser")</x:f>
      </x:c>
      <x:c r="L6884" s="0">
        <x:f>hyperlink("https://icat2.azurewebsites.net/icat/?ontology=ICD&amp;tab=ClassesTab&amp;id=http%3A%2F%2Fwho.int%2Ficd%2341182_512ebf36_bf6b_4d70_85da_cf2637062af4","iCat")</x:f>
      </x:c>
      <x:c r="M6884" s="0" t="s">
        <x:v>21</x:v>
      </x:c>
      <x:c r="N6884" s="0" t="s">
        <x:v>46</x:v>
      </x:c>
    </x:row>
    <x:row r="6885" spans="1:16">
      <x:c r="A6885" s="0" t="s">
        <x:v>27399</x:v>
      </x:c>
      <x:c r="B6885" s="0" t="s">
        <x:v>27400</x:v>
      </x:c>
      <x:c r="D6885" s="0" t="s">
        <x:v>27401</x:v>
      </x:c>
      <x:c r="E6885" s="0" t="s">
        <x:v>27402</x:v>
      </x:c>
      <x:c r="F6885" s="0" t="s">
        <x:v>26</x:v>
      </x:c>
      <x:c r="G6885" s="0" t="s">
        <x:v>22</x:v>
      </x:c>
      <x:c r="H6885" s="0" t="s">
        <x:v>20</x:v>
      </x:c>
      <x:c r="I6885" s="0" t="s">
        <x:v>21</x:v>
      </x:c>
      <x:c r="K6885" s="0">
        <x:f>hyperlink("https://icd.who.int/dev11/l-ichi/en#/http%3A%2F%2Fid.who.int%2Ficd%2Fentity%2F1238596385","browser")</x:f>
      </x:c>
      <x:c r="L6885" s="0">
        <x:f>hyperlink("https://icat2.azurewebsites.net/icat/?ontology=ICD&amp;tab=ClassesTab&amp;id=http%3A%2F%2Fwho.int%2Ficd%2341190_512ebf36_bf6b_4d70_85da_cf2637062af4","iCat")</x:f>
      </x:c>
      <x:c r="M6885" s="0" t="s">
        <x:v>20</x:v>
      </x:c>
      <x:c r="N6885" s="0" t="s">
        <x:v>27403</x:v>
      </x:c>
    </x:row>
    <x:row r="6886" spans="1:16">
      <x:c r="A6886" s="0" t="s">
        <x:v>27404</x:v>
      </x:c>
      <x:c r="B6886" s="0" t="s">
        <x:v>27405</x:v>
      </x:c>
      <x:c r="C6886" s="0" t="s">
        <x:v>27406</x:v>
      </x:c>
      <x:c r="E6886" s="0" t="s">
        <x:v>27407</x:v>
      </x:c>
      <x:c r="F6886" s="0" t="s">
        <x:v>45</x:v>
      </x:c>
      <x:c r="G6886" s="0" t="s">
        <x:v>19</x:v>
      </x:c>
      <x:c r="H6886" s="0" t="s">
        <x:v>20</x:v>
      </x:c>
      <x:c r="I6886" s="0" t="s">
        <x:v>21</x:v>
      </x:c>
      <x:c r="K6886" s="0">
        <x:f>hyperlink("https://icd.who.int/dev11/l-ichi/en#/http%3A%2F%2Fid.who.int%2Ficd%2Fentity%2F1299115295","browser")</x:f>
      </x:c>
      <x:c r="L6886" s="0">
        <x:f>hyperlink("https://icat2.azurewebsites.net/icat/?ontology=ICD&amp;tab=ClassesTab&amp;id=http%3A%2F%2Fwho.int%2Ficd%2341189_512ebf36_bf6b_4d70_85da_cf2637062af4","iCat")</x:f>
      </x:c>
      <x:c r="M6886" s="0" t="s">
        <x:v>21</x:v>
      </x:c>
      <x:c r="N6886" s="0" t="s">
        <x:v>46</x:v>
      </x:c>
    </x:row>
    <x:row r="6887" spans="1:16">
      <x:c r="A6887" s="0" t="s">
        <x:v>27408</x:v>
      </x:c>
      <x:c r="B6887" s="0" t="s">
        <x:v>27409</x:v>
      </x:c>
      <x:c r="C6887" s="0" t="s">
        <x:v>27410</x:v>
      </x:c>
      <x:c r="E6887" s="0" t="s">
        <x:v>27411</x:v>
      </x:c>
      <x:c r="F6887" s="0" t="s">
        <x:v>45</x:v>
      </x:c>
      <x:c r="G6887" s="0" t="s">
        <x:v>19</x:v>
      </x:c>
      <x:c r="H6887" s="0" t="s">
        <x:v>20</x:v>
      </x:c>
      <x:c r="I6887" s="0" t="s">
        <x:v>21</x:v>
      </x:c>
      <x:c r="K6887" s="0">
        <x:f>hyperlink("https://icd.who.int/dev11/l-ichi/en#/http%3A%2F%2Fid.who.int%2Ficd%2Fentity%2F939793966","browser")</x:f>
      </x:c>
      <x:c r="L6887" s="0">
        <x:f>hyperlink("https://icat2.azurewebsites.net/icat/?ontology=ICD&amp;tab=ClassesTab&amp;id=http%3A%2F%2Fwho.int%2Ficd%2341202_512ebf36_bf6b_4d70_85da_cf2637062af4","iCat")</x:f>
      </x:c>
      <x:c r="M6887" s="0" t="s">
        <x:v>21</x:v>
      </x:c>
      <x:c r="N6887" s="0" t="s">
        <x:v>46</x:v>
      </x:c>
    </x:row>
    <x:row r="6888" spans="1:16">
      <x:c r="A6888" s="0" t="s">
        <x:v>27412</x:v>
      </x:c>
      <x:c r="B6888" s="0" t="s">
        <x:v>27413</x:v>
      </x:c>
      <x:c r="C6888" s="0" t="s">
        <x:v>27414</x:v>
      </x:c>
      <x:c r="E6888" s="0" t="s">
        <x:v>27415</x:v>
      </x:c>
      <x:c r="F6888" s="0" t="s">
        <x:v>45</x:v>
      </x:c>
      <x:c r="G6888" s="0" t="s">
        <x:v>19</x:v>
      </x:c>
      <x:c r="H6888" s="0" t="s">
        <x:v>20</x:v>
      </x:c>
      <x:c r="I6888" s="0" t="s">
        <x:v>21</x:v>
      </x:c>
      <x:c r="K6888" s="0">
        <x:f>hyperlink("https://icd.who.int/dev11/l-ichi/en#/http%3A%2F%2Fid.who.int%2Ficd%2Fentity%2F855638148","browser")</x:f>
      </x:c>
      <x:c r="L6888" s="0">
        <x:f>hyperlink("https://icat2.azurewebsites.net/icat/?ontology=ICD&amp;tab=ClassesTab&amp;id=http%3A%2F%2Fwho.int%2Ficd%2341209_512ebf36_bf6b_4d70_85da_cf2637062af4","iCat")</x:f>
      </x:c>
      <x:c r="M6888" s="0" t="s">
        <x:v>21</x:v>
      </x:c>
      <x:c r="N6888" s="0" t="s">
        <x:v>46</x:v>
      </x:c>
    </x:row>
    <x:row r="6889" spans="1:16">
      <x:c r="A6889" s="0" t="s">
        <x:v>27416</x:v>
      </x:c>
      <x:c r="B6889" s="0" t="s">
        <x:v>27417</x:v>
      </x:c>
      <x:c r="C6889" s="0" t="s">
        <x:v>27418</x:v>
      </x:c>
      <x:c r="E6889" s="0" t="s">
        <x:v>27419</x:v>
      </x:c>
      <x:c r="F6889" s="0" t="s">
        <x:v>45</x:v>
      </x:c>
      <x:c r="G6889" s="0" t="s">
        <x:v>19</x:v>
      </x:c>
      <x:c r="H6889" s="0" t="s">
        <x:v>20</x:v>
      </x:c>
      <x:c r="I6889" s="0" t="s">
        <x:v>21</x:v>
      </x:c>
      <x:c r="K6889" s="0">
        <x:f>hyperlink("https://icd.who.int/dev11/l-ichi/en#/http%3A%2F%2Fid.who.int%2Ficd%2Fentity%2F1741049613","browser")</x:f>
      </x:c>
      <x:c r="L6889" s="0">
        <x:f>hyperlink("https://icat2.azurewebsites.net/icat/?ontology=ICD&amp;tab=ClassesTab&amp;id=http%3A%2F%2Fwho.int%2Ficd%2341216_512ebf36_bf6b_4d70_85da_cf2637062af4","iCat")</x:f>
      </x:c>
      <x:c r="M6889" s="0" t="s">
        <x:v>21</x:v>
      </x:c>
      <x:c r="N6889" s="0" t="s">
        <x:v>46</x:v>
      </x:c>
    </x:row>
    <x:row r="6890" spans="1:16">
      <x:c r="A6890" s="0" t="s">
        <x:v>27420</x:v>
      </x:c>
      <x:c r="B6890" s="0" t="s">
        <x:v>27421</x:v>
      </x:c>
      <x:c r="C6890" s="0" t="s">
        <x:v>27422</x:v>
      </x:c>
      <x:c r="E6890" s="0" t="s">
        <x:v>27423</x:v>
      </x:c>
      <x:c r="F6890" s="0" t="s">
        <x:v>45</x:v>
      </x:c>
      <x:c r="G6890" s="0" t="s">
        <x:v>19</x:v>
      </x:c>
      <x:c r="H6890" s="0" t="s">
        <x:v>20</x:v>
      </x:c>
      <x:c r="I6890" s="0" t="s">
        <x:v>21</x:v>
      </x:c>
      <x:c r="K6890" s="0">
        <x:f>hyperlink("https://icd.who.int/dev11/l-ichi/en#/http%3A%2F%2Fid.who.int%2Ficd%2Fentity%2F847886658","browser")</x:f>
      </x:c>
      <x:c r="L6890" s="0">
        <x:f>hyperlink("https://icat2.azurewebsites.net/icat/?ontology=ICD&amp;tab=ClassesTab&amp;id=http%3A%2F%2Fwho.int%2Ficd%2341223_512ebf36_bf6b_4d70_85da_cf2637062af4","iCat")</x:f>
      </x:c>
      <x:c r="M6890" s="0" t="s">
        <x:v>21</x:v>
      </x:c>
      <x:c r="N6890" s="0" t="s">
        <x:v>46</x:v>
      </x:c>
    </x:row>
    <x:row r="6891" spans="1:16">
      <x:c r="A6891" s="0" t="s">
        <x:v>27424</x:v>
      </x:c>
      <x:c r="B6891" s="0" t="s">
        <x:v>27425</x:v>
      </x:c>
      <x:c r="C6891" s="0" t="s">
        <x:v>27426</x:v>
      </x:c>
      <x:c r="E6891" s="0" t="s">
        <x:v>27427</x:v>
      </x:c>
      <x:c r="F6891" s="0" t="s">
        <x:v>45</x:v>
      </x:c>
      <x:c r="G6891" s="0" t="s">
        <x:v>19</x:v>
      </x:c>
      <x:c r="H6891" s="0" t="s">
        <x:v>20</x:v>
      </x:c>
      <x:c r="I6891" s="0" t="s">
        <x:v>21</x:v>
      </x:c>
      <x:c r="K6891" s="0">
        <x:f>hyperlink("https://icd.who.int/dev11/l-ichi/en#/http%3A%2F%2Fid.who.int%2Ficd%2Fentity%2F499729390","browser")</x:f>
      </x:c>
      <x:c r="L6891" s="0">
        <x:f>hyperlink("https://icat2.azurewebsites.net/icat/?ontology=ICD&amp;tab=ClassesTab&amp;id=http%3A%2F%2Fwho.int%2Ficd%2341230_512ebf36_bf6b_4d70_85da_cf2637062af4","iCat")</x:f>
      </x:c>
      <x:c r="M6891" s="0" t="s">
        <x:v>21</x:v>
      </x:c>
      <x:c r="N6891" s="0" t="s">
        <x:v>46</x:v>
      </x:c>
    </x:row>
    <x:row r="6892" spans="1:16">
      <x:c r="A6892" s="0" t="s">
        <x:v>27428</x:v>
      </x:c>
      <x:c r="B6892" s="0" t="s">
        <x:v>27429</x:v>
      </x:c>
      <x:c r="C6892" s="0" t="s">
        <x:v>27430</x:v>
      </x:c>
      <x:c r="E6892" s="0" t="s">
        <x:v>27431</x:v>
      </x:c>
      <x:c r="F6892" s="0" t="s">
        <x:v>45</x:v>
      </x:c>
      <x:c r="G6892" s="0" t="s">
        <x:v>19</x:v>
      </x:c>
      <x:c r="H6892" s="0" t="s">
        <x:v>20</x:v>
      </x:c>
      <x:c r="I6892" s="0" t="s">
        <x:v>21</x:v>
      </x:c>
      <x:c r="K6892" s="0">
        <x:f>hyperlink("https://icd.who.int/dev11/l-ichi/en#/http%3A%2F%2Fid.who.int%2Ficd%2Fentity%2F1833691233","browser")</x:f>
      </x:c>
      <x:c r="L6892" s="0">
        <x:f>hyperlink("https://icat2.azurewebsites.net/icat/?ontology=ICD&amp;tab=ClassesTab&amp;id=http%3A%2F%2Fwho.int%2Ficd%2341237_512ebf36_bf6b_4d70_85da_cf2637062af4","iCat")</x:f>
      </x:c>
      <x:c r="M6892" s="0" t="s">
        <x:v>21</x:v>
      </x:c>
      <x:c r="N6892" s="0" t="s">
        <x:v>46</x:v>
      </x:c>
    </x:row>
    <x:row r="6893" spans="1:16">
      <x:c r="A6893" s="0" t="s">
        <x:v>27432</x:v>
      </x:c>
      <x:c r="B6893" s="0" t="s">
        <x:v>27433</x:v>
      </x:c>
      <x:c r="C6893" s="0" t="s">
        <x:v>27434</x:v>
      </x:c>
      <x:c r="E6893" s="0" t="s">
        <x:v>27435</x:v>
      </x:c>
      <x:c r="F6893" s="0" t="s">
        <x:v>45</x:v>
      </x:c>
      <x:c r="G6893" s="0" t="s">
        <x:v>19</x:v>
      </x:c>
      <x:c r="H6893" s="0" t="s">
        <x:v>20</x:v>
      </x:c>
      <x:c r="I6893" s="0" t="s">
        <x:v>21</x:v>
      </x:c>
      <x:c r="K6893" s="0">
        <x:f>hyperlink("https://icd.who.int/dev11/l-ichi/en#/http%3A%2F%2Fid.who.int%2Ficd%2Fentity%2F404264068","browser")</x:f>
      </x:c>
      <x:c r="L6893" s="0">
        <x:f>hyperlink("https://icat2.azurewebsites.net/icat/?ontology=ICD&amp;tab=ClassesTab&amp;id=http%3A%2F%2Fwho.int%2Ficd%2341244_512ebf36_bf6b_4d70_85da_cf2637062af4","iCat")</x:f>
      </x:c>
      <x:c r="M6893" s="0" t="s">
        <x:v>21</x:v>
      </x:c>
      <x:c r="N6893" s="0" t="s">
        <x:v>46</x:v>
      </x:c>
    </x:row>
    <x:row r="6894" spans="1:16">
      <x:c r="A6894" s="0" t="s">
        <x:v>27436</x:v>
      </x:c>
      <x:c r="B6894" s="0" t="s">
        <x:v>27437</x:v>
      </x:c>
      <x:c r="C6894" s="0" t="s">
        <x:v>27438</x:v>
      </x:c>
      <x:c r="E6894" s="0" t="s">
        <x:v>27439</x:v>
      </x:c>
      <x:c r="F6894" s="0" t="s">
        <x:v>45</x:v>
      </x:c>
      <x:c r="G6894" s="0" t="s">
        <x:v>19</x:v>
      </x:c>
      <x:c r="H6894" s="0" t="s">
        <x:v>20</x:v>
      </x:c>
      <x:c r="I6894" s="0" t="s">
        <x:v>21</x:v>
      </x:c>
      <x:c r="K6894" s="0">
        <x:f>hyperlink("https://icd.who.int/dev11/l-ichi/en#/http%3A%2F%2Fid.who.int%2Ficd%2Fentity%2F1730394013","browser")</x:f>
      </x:c>
      <x:c r="L6894" s="0">
        <x:f>hyperlink("https://icat2.azurewebsites.net/icat/?ontology=ICD&amp;tab=ClassesTab&amp;id=http%3A%2F%2Fwho.int%2Ficd%2341251_512ebf36_bf6b_4d70_85da_cf2637062af4","iCat")</x:f>
      </x:c>
      <x:c r="M6894" s="0" t="s">
        <x:v>21</x:v>
      </x:c>
      <x:c r="N6894" s="0" t="s">
        <x:v>46</x:v>
      </x:c>
    </x:row>
    <x:row r="6895" spans="1:16">
      <x:c r="A6895" s="0" t="s">
        <x:v>27440</x:v>
      </x:c>
      <x:c r="B6895" s="0" t="s">
        <x:v>27441</x:v>
      </x:c>
      <x:c r="C6895" s="0" t="s">
        <x:v>27442</x:v>
      </x:c>
      <x:c r="E6895" s="0" t="s">
        <x:v>27443</x:v>
      </x:c>
      <x:c r="F6895" s="0" t="s">
        <x:v>45</x:v>
      </x:c>
      <x:c r="G6895" s="0" t="s">
        <x:v>19</x:v>
      </x:c>
      <x:c r="H6895" s="0" t="s">
        <x:v>20</x:v>
      </x:c>
      <x:c r="I6895" s="0" t="s">
        <x:v>21</x:v>
      </x:c>
      <x:c r="K6895" s="0">
        <x:f>hyperlink("https://icd.who.int/dev11/l-ichi/en#/http%3A%2F%2Fid.who.int%2Ficd%2Fentity%2F157005044","browser")</x:f>
      </x:c>
      <x:c r="L6895" s="0">
        <x:f>hyperlink("https://icat2.azurewebsites.net/icat/?ontology=ICD&amp;tab=ClassesTab&amp;id=http%3A%2F%2Fwho.int%2Ficd%2341258_512ebf36_bf6b_4d70_85da_cf2637062af4","iCat")</x:f>
      </x:c>
      <x:c r="M6895" s="0" t="s">
        <x:v>21</x:v>
      </x:c>
      <x:c r="N6895" s="0" t="s">
        <x:v>46</x:v>
      </x:c>
    </x:row>
    <x:row r="6896" spans="1:16">
      <x:c r="A6896" s="0" t="s">
        <x:v>27444</x:v>
      </x:c>
      <x:c r="B6896" s="0" t="s">
        <x:v>27445</x:v>
      </x:c>
      <x:c r="C6896" s="0" t="s">
        <x:v>27446</x:v>
      </x:c>
      <x:c r="E6896" s="0" t="s">
        <x:v>27447</x:v>
      </x:c>
      <x:c r="F6896" s="0" t="s">
        <x:v>45</x:v>
      </x:c>
      <x:c r="G6896" s="0" t="s">
        <x:v>19</x:v>
      </x:c>
      <x:c r="H6896" s="0" t="s">
        <x:v>20</x:v>
      </x:c>
      <x:c r="I6896" s="0" t="s">
        <x:v>21</x:v>
      </x:c>
      <x:c r="K6896" s="0">
        <x:f>hyperlink("https://icd.who.int/dev11/l-ichi/en#/http%3A%2F%2Fid.who.int%2Ficd%2Fentity%2F311768048","browser")</x:f>
      </x:c>
      <x:c r="L6896" s="0">
        <x:f>hyperlink("https://icat2.azurewebsites.net/icat/?ontology=ICD&amp;tab=ClassesTab&amp;id=http%3A%2F%2Fwho.int%2Ficd%2341265_512ebf36_bf6b_4d70_85da_cf2637062af4","iCat")</x:f>
      </x:c>
      <x:c r="M6896" s="0" t="s">
        <x:v>21</x:v>
      </x:c>
      <x:c r="N6896" s="0" t="s">
        <x:v>46</x:v>
      </x:c>
    </x:row>
    <x:row r="6897" spans="1:16">
      <x:c r="A6897" s="0" t="s">
        <x:v>27448</x:v>
      </x:c>
      <x:c r="B6897" s="0" t="s">
        <x:v>27449</x:v>
      </x:c>
      <x:c r="C6897" s="0" t="s">
        <x:v>27450</x:v>
      </x:c>
      <x:c r="E6897" s="0" t="s">
        <x:v>27451</x:v>
      </x:c>
      <x:c r="F6897" s="0" t="s">
        <x:v>45</x:v>
      </x:c>
      <x:c r="G6897" s="0" t="s">
        <x:v>19</x:v>
      </x:c>
      <x:c r="H6897" s="0" t="s">
        <x:v>20</x:v>
      </x:c>
      <x:c r="I6897" s="0" t="s">
        <x:v>21</x:v>
      </x:c>
      <x:c r="K6897" s="0">
        <x:f>hyperlink("https://icd.who.int/dev11/l-ichi/en#/http%3A%2F%2Fid.who.int%2Ficd%2Fentity%2F147983670","browser")</x:f>
      </x:c>
      <x:c r="L6897" s="0">
        <x:f>hyperlink("https://icat2.azurewebsites.net/icat/?ontology=ICD&amp;tab=ClassesTab&amp;id=http%3A%2F%2Fwho.int%2Ficd%2341272_512ebf36_bf6b_4d70_85da_cf2637062af4","iCat")</x:f>
      </x:c>
      <x:c r="M6897" s="0" t="s">
        <x:v>21</x:v>
      </x:c>
      <x:c r="N6897" s="0" t="s">
        <x:v>46</x:v>
      </x:c>
    </x:row>
    <x:row r="6898" spans="1:16">
      <x:c r="A6898" s="0" t="s">
        <x:v>27452</x:v>
      </x:c>
      <x:c r="B6898" s="0" t="s">
        <x:v>27453</x:v>
      </x:c>
      <x:c r="C6898" s="0" t="s">
        <x:v>27454</x:v>
      </x:c>
      <x:c r="E6898" s="0" t="s">
        <x:v>27455</x:v>
      </x:c>
      <x:c r="F6898" s="0" t="s">
        <x:v>45</x:v>
      </x:c>
      <x:c r="G6898" s="0" t="s">
        <x:v>19</x:v>
      </x:c>
      <x:c r="H6898" s="0" t="s">
        <x:v>20</x:v>
      </x:c>
      <x:c r="I6898" s="0" t="s">
        <x:v>21</x:v>
      </x:c>
      <x:c r="K6898" s="0">
        <x:f>hyperlink("https://icd.who.int/dev11/l-ichi/en#/http%3A%2F%2Fid.who.int%2Ficd%2Fentity%2F130823638","browser")</x:f>
      </x:c>
      <x:c r="L6898" s="0">
        <x:f>hyperlink("https://icat2.azurewebsites.net/icat/?ontology=ICD&amp;tab=ClassesTab&amp;id=http%3A%2F%2Fwho.int%2Ficd%2341283_512ebf36_bf6b_4d70_85da_cf2637062af4","iCat")</x:f>
      </x:c>
      <x:c r="M6898" s="0" t="s">
        <x:v>21</x:v>
      </x:c>
      <x:c r="N6898" s="0" t="s">
        <x:v>46</x:v>
      </x:c>
    </x:row>
    <x:row r="6899" spans="1:16">
      <x:c r="A6899" s="0" t="s">
        <x:v>27456</x:v>
      </x:c>
      <x:c r="B6899" s="0" t="s">
        <x:v>27457</x:v>
      </x:c>
      <x:c r="C6899" s="0" t="s">
        <x:v>27458</x:v>
      </x:c>
      <x:c r="E6899" s="0" t="s">
        <x:v>27459</x:v>
      </x:c>
      <x:c r="F6899" s="0" t="s">
        <x:v>45</x:v>
      </x:c>
      <x:c r="G6899" s="0" t="s">
        <x:v>19</x:v>
      </x:c>
      <x:c r="H6899" s="0" t="s">
        <x:v>20</x:v>
      </x:c>
      <x:c r="I6899" s="0" t="s">
        <x:v>21</x:v>
      </x:c>
      <x:c r="K6899" s="0">
        <x:f>hyperlink("https://icd.who.int/dev11/l-ichi/en#/http%3A%2F%2Fid.who.int%2Ficd%2Fentity%2F680316794","browser")</x:f>
      </x:c>
      <x:c r="L6899" s="0">
        <x:f>hyperlink("https://icat2.azurewebsites.net/icat/?ontology=ICD&amp;tab=ClassesTab&amp;id=http%3A%2F%2Fwho.int%2Ficd%2341290_512ebf36_bf6b_4d70_85da_cf2637062af4","iCat")</x:f>
      </x:c>
      <x:c r="M6899" s="0" t="s">
        <x:v>21</x:v>
      </x:c>
      <x:c r="N6899" s="0" t="s">
        <x:v>46</x:v>
      </x:c>
    </x:row>
    <x:row r="6900" spans="1:16">
      <x:c r="A6900" s="0" t="s">
        <x:v>27460</x:v>
      </x:c>
      <x:c r="B6900" s="0" t="s">
        <x:v>27461</x:v>
      </x:c>
      <x:c r="C6900" s="0" t="s">
        <x:v>27462</x:v>
      </x:c>
      <x:c r="E6900" s="0" t="s">
        <x:v>27463</x:v>
      </x:c>
      <x:c r="F6900" s="0" t="s">
        <x:v>45</x:v>
      </x:c>
      <x:c r="G6900" s="0" t="s">
        <x:v>19</x:v>
      </x:c>
      <x:c r="H6900" s="0" t="s">
        <x:v>20</x:v>
      </x:c>
      <x:c r="I6900" s="0" t="s">
        <x:v>21</x:v>
      </x:c>
      <x:c r="K6900" s="0">
        <x:f>hyperlink("https://icd.who.int/dev11/l-ichi/en#/http%3A%2F%2Fid.who.int%2Ficd%2Fentity%2F1712176685","browser")</x:f>
      </x:c>
      <x:c r="L6900" s="0">
        <x:f>hyperlink("https://icat2.azurewebsites.net/icat/?ontology=ICD&amp;tab=ClassesTab&amp;id=http%3A%2F%2Fwho.int%2Ficd%2341298_512ebf36_bf6b_4d70_85da_cf2637062af4","iCat")</x:f>
      </x:c>
      <x:c r="M6900" s="0" t="s">
        <x:v>21</x:v>
      </x:c>
      <x:c r="N6900" s="0" t="s">
        <x:v>46</x:v>
      </x:c>
    </x:row>
    <x:row r="6901" spans="1:16">
      <x:c r="A6901" s="0" t="s">
        <x:v>27464</x:v>
      </x:c>
      <x:c r="B6901" s="0" t="s">
        <x:v>27465</x:v>
      </x:c>
      <x:c r="C6901" s="0" t="s">
        <x:v>27466</x:v>
      </x:c>
      <x:c r="E6901" s="0" t="s">
        <x:v>27467</x:v>
      </x:c>
      <x:c r="F6901" s="0" t="s">
        <x:v>45</x:v>
      </x:c>
      <x:c r="G6901" s="0" t="s">
        <x:v>19</x:v>
      </x:c>
      <x:c r="H6901" s="0" t="s">
        <x:v>20</x:v>
      </x:c>
      <x:c r="I6901" s="0" t="s">
        <x:v>21</x:v>
      </x:c>
      <x:c r="K6901" s="0">
        <x:f>hyperlink("https://icd.who.int/dev11/l-ichi/en#/http%3A%2F%2Fid.who.int%2Ficd%2Fentity%2F1025078078","browser")</x:f>
      </x:c>
      <x:c r="L6901" s="0">
        <x:f>hyperlink("https://icat2.azurewebsites.net/icat/?ontology=ICD&amp;tab=ClassesTab&amp;id=http%3A%2F%2Fwho.int%2Ficd%2341305_512ebf36_bf6b_4d70_85da_cf2637062af4","iCat")</x:f>
      </x:c>
      <x:c r="M6901" s="0" t="s">
        <x:v>21</x:v>
      </x:c>
      <x:c r="N6901" s="0" t="s">
        <x:v>46</x:v>
      </x:c>
    </x:row>
    <x:row r="6902" spans="1:16">
      <x:c r="A6902" s="0" t="s">
        <x:v>27468</x:v>
      </x:c>
      <x:c r="B6902" s="0" t="s">
        <x:v>27469</x:v>
      </x:c>
      <x:c r="C6902" s="0" t="s">
        <x:v>27470</x:v>
      </x:c>
      <x:c r="E6902" s="0" t="s">
        <x:v>27471</x:v>
      </x:c>
      <x:c r="F6902" s="0" t="s">
        <x:v>45</x:v>
      </x:c>
      <x:c r="G6902" s="0" t="s">
        <x:v>19</x:v>
      </x:c>
      <x:c r="H6902" s="0" t="s">
        <x:v>20</x:v>
      </x:c>
      <x:c r="I6902" s="0" t="s">
        <x:v>21</x:v>
      </x:c>
      <x:c r="K6902" s="0">
        <x:f>hyperlink("https://icd.who.int/dev11/l-ichi/en#/http%3A%2F%2Fid.who.int%2Ficd%2Fentity%2F660491748","browser")</x:f>
      </x:c>
      <x:c r="L6902" s="0">
        <x:f>hyperlink("https://icat2.azurewebsites.net/icat/?ontology=ICD&amp;tab=ClassesTab&amp;id=http%3A%2F%2Fwho.int%2Ficd%2341312_512ebf36_bf6b_4d70_85da_cf2637062af4","iCat")</x:f>
      </x:c>
      <x:c r="M6902" s="0" t="s">
        <x:v>21</x:v>
      </x:c>
      <x:c r="N6902" s="0" t="s">
        <x:v>46</x:v>
      </x:c>
    </x:row>
    <x:row r="6903" spans="1:16">
      <x:c r="A6903" s="0" t="s">
        <x:v>27472</x:v>
      </x:c>
      <x:c r="B6903" s="0" t="s">
        <x:v>27473</x:v>
      </x:c>
      <x:c r="C6903" s="0" t="s">
        <x:v>27474</x:v>
      </x:c>
      <x:c r="E6903" s="0" t="s">
        <x:v>27475</x:v>
      </x:c>
      <x:c r="F6903" s="0" t="s">
        <x:v>45</x:v>
      </x:c>
      <x:c r="G6903" s="0" t="s">
        <x:v>19</x:v>
      </x:c>
      <x:c r="H6903" s="0" t="s">
        <x:v>20</x:v>
      </x:c>
      <x:c r="I6903" s="0" t="s">
        <x:v>21</x:v>
      </x:c>
      <x:c r="K6903" s="0">
        <x:f>hyperlink("https://icd.who.int/dev11/l-ichi/en#/http%3A%2F%2Fid.who.int%2Ficd%2Fentity%2F744117066","browser")</x:f>
      </x:c>
      <x:c r="L6903" s="0">
        <x:f>hyperlink("https://icat2.azurewebsites.net/icat/?ontology=ICD&amp;tab=ClassesTab&amp;id=http%3A%2F%2Fwho.int%2Ficd%2341319_512ebf36_bf6b_4d70_85da_cf2637062af4","iCat")</x:f>
      </x:c>
      <x:c r="M6903" s="0" t="s">
        <x:v>21</x:v>
      </x:c>
      <x:c r="N6903" s="0" t="s">
        <x:v>46</x:v>
      </x:c>
    </x:row>
    <x:row r="6904" spans="1:16">
      <x:c r="A6904" s="0" t="s">
        <x:v>27476</x:v>
      </x:c>
      <x:c r="B6904" s="0" t="s">
        <x:v>27477</x:v>
      </x:c>
      <x:c r="C6904" s="0" t="s">
        <x:v>27478</x:v>
      </x:c>
      <x:c r="E6904" s="0" t="s">
        <x:v>27479</x:v>
      </x:c>
      <x:c r="F6904" s="0" t="s">
        <x:v>45</x:v>
      </x:c>
      <x:c r="G6904" s="0" t="s">
        <x:v>19</x:v>
      </x:c>
      <x:c r="H6904" s="0" t="s">
        <x:v>20</x:v>
      </x:c>
      <x:c r="I6904" s="0" t="s">
        <x:v>21</x:v>
      </x:c>
      <x:c r="K6904" s="0">
        <x:f>hyperlink("https://icd.who.int/dev11/l-ichi/en#/http%3A%2F%2Fid.who.int%2Ficd%2Fentity%2F1390987671","browser")</x:f>
      </x:c>
      <x:c r="L6904" s="0">
        <x:f>hyperlink("https://icat2.azurewebsites.net/icat/?ontology=ICD&amp;tab=ClassesTab&amp;id=http%3A%2F%2Fwho.int%2Ficd%2341326_512ebf36_bf6b_4d70_85da_cf2637062af4","iCat")</x:f>
      </x:c>
      <x:c r="M6904" s="0" t="s">
        <x:v>21</x:v>
      </x:c>
      <x:c r="N6904" s="0" t="s">
        <x:v>46</x:v>
      </x:c>
    </x:row>
    <x:row r="6905" spans="1:16">
      <x:c r="A6905" s="0" t="s">
        <x:v>27480</x:v>
      </x:c>
      <x:c r="B6905" s="0" t="s">
        <x:v>27481</x:v>
      </x:c>
      <x:c r="C6905" s="0" t="s">
        <x:v>27482</x:v>
      </x:c>
      <x:c r="E6905" s="0" t="s">
        <x:v>27483</x:v>
      </x:c>
      <x:c r="F6905" s="0" t="s">
        <x:v>45</x:v>
      </x:c>
      <x:c r="G6905" s="0" t="s">
        <x:v>19</x:v>
      </x:c>
      <x:c r="H6905" s="0" t="s">
        <x:v>20</x:v>
      </x:c>
      <x:c r="I6905" s="0" t="s">
        <x:v>21</x:v>
      </x:c>
      <x:c r="K6905" s="0">
        <x:f>hyperlink("https://icd.who.int/dev11/l-ichi/en#/http%3A%2F%2Fid.who.int%2Ficd%2Fentity%2F2108175161","browser")</x:f>
      </x:c>
      <x:c r="L6905" s="0">
        <x:f>hyperlink("https://icat2.azurewebsites.net/icat/?ontology=ICD&amp;tab=ClassesTab&amp;id=http%3A%2F%2Fwho.int%2Ficd%2341335_512ebf36_bf6b_4d70_85da_cf2637062af4","iCat")</x:f>
      </x:c>
      <x:c r="M6905" s="0" t="s">
        <x:v>21</x:v>
      </x:c>
      <x:c r="N6905" s="0" t="s">
        <x:v>46</x:v>
      </x:c>
    </x:row>
    <x:row r="6906" spans="1:16">
      <x:c r="A6906" s="0" t="s">
        <x:v>27484</x:v>
      </x:c>
      <x:c r="B6906" s="0" t="s">
        <x:v>27485</x:v>
      </x:c>
      <x:c r="C6906" s="0" t="s">
        <x:v>27486</x:v>
      </x:c>
      <x:c r="E6906" s="0" t="s">
        <x:v>27487</x:v>
      </x:c>
      <x:c r="F6906" s="0" t="s">
        <x:v>45</x:v>
      </x:c>
      <x:c r="G6906" s="0" t="s">
        <x:v>19</x:v>
      </x:c>
      <x:c r="H6906" s="0" t="s">
        <x:v>20</x:v>
      </x:c>
      <x:c r="I6906" s="0" t="s">
        <x:v>21</x:v>
      </x:c>
      <x:c r="K6906" s="0">
        <x:f>hyperlink("https://icd.who.int/dev11/l-ichi/en#/http%3A%2F%2Fid.who.int%2Ficd%2Fentity%2F1039961006","browser")</x:f>
      </x:c>
      <x:c r="L6906" s="0">
        <x:f>hyperlink("https://icat2.azurewebsites.net/icat/?ontology=ICD&amp;tab=ClassesTab&amp;id=http%3A%2F%2Fwho.int%2Ficd%2341342_512ebf36_bf6b_4d70_85da_cf2637062af4","iCat")</x:f>
      </x:c>
      <x:c r="M6906" s="0" t="s">
        <x:v>21</x:v>
      </x:c>
      <x:c r="N6906" s="0" t="s">
        <x:v>46</x:v>
      </x:c>
    </x:row>
    <x:row r="6907" spans="1:16">
      <x:c r="A6907" s="0" t="s">
        <x:v>27488</x:v>
      </x:c>
      <x:c r="B6907" s="0" t="s">
        <x:v>27489</x:v>
      </x:c>
      <x:c r="C6907" s="0" t="s">
        <x:v>27490</x:v>
      </x:c>
      <x:c r="E6907" s="0" t="s">
        <x:v>27491</x:v>
      </x:c>
      <x:c r="F6907" s="0" t="s">
        <x:v>45</x:v>
      </x:c>
      <x:c r="G6907" s="0" t="s">
        <x:v>19</x:v>
      </x:c>
      <x:c r="H6907" s="0" t="s">
        <x:v>20</x:v>
      </x:c>
      <x:c r="I6907" s="0" t="s">
        <x:v>21</x:v>
      </x:c>
      <x:c r="K6907" s="0">
        <x:f>hyperlink("https://icd.who.int/dev11/l-ichi/en#/http%3A%2F%2Fid.who.int%2Ficd%2Fentity%2F922260740","browser")</x:f>
      </x:c>
      <x:c r="L6907" s="0">
        <x:f>hyperlink("https://icat2.azurewebsites.net/icat/?ontology=ICD&amp;tab=ClassesTab&amp;id=http%3A%2F%2Fwho.int%2Ficd%2341349_512ebf36_bf6b_4d70_85da_cf2637062af4","iCat")</x:f>
      </x:c>
      <x:c r="M6907" s="0" t="s">
        <x:v>21</x:v>
      </x:c>
      <x:c r="N6907" s="0" t="s">
        <x:v>46</x:v>
      </x:c>
    </x:row>
    <x:row r="6908" spans="1:16">
      <x:c r="A6908" s="0" t="s">
        <x:v>27492</x:v>
      </x:c>
      <x:c r="B6908" s="0" t="s">
        <x:v>27493</x:v>
      </x:c>
      <x:c r="C6908" s="0" t="s">
        <x:v>27494</x:v>
      </x:c>
      <x:c r="E6908" s="0" t="s">
        <x:v>27495</x:v>
      </x:c>
      <x:c r="F6908" s="0" t="s">
        <x:v>45</x:v>
      </x:c>
      <x:c r="G6908" s="0" t="s">
        <x:v>19</x:v>
      </x:c>
      <x:c r="H6908" s="0" t="s">
        <x:v>20</x:v>
      </x:c>
      <x:c r="I6908" s="0" t="s">
        <x:v>21</x:v>
      </x:c>
      <x:c r="K6908" s="0">
        <x:f>hyperlink("https://icd.who.int/dev11/l-ichi/en#/http%3A%2F%2Fid.who.int%2Ficd%2Fentity%2F1648286349","browser")</x:f>
      </x:c>
      <x:c r="L6908" s="0">
        <x:f>hyperlink("https://icat2.azurewebsites.net/icat/?ontology=ICD&amp;tab=ClassesTab&amp;id=http%3A%2F%2Fwho.int%2Ficd%2341356_512ebf36_bf6b_4d70_85da_cf2637062af4","iCat")</x:f>
      </x:c>
      <x:c r="M6908" s="0" t="s">
        <x:v>21</x:v>
      </x:c>
      <x:c r="N6908" s="0" t="s">
        <x:v>46</x:v>
      </x:c>
    </x:row>
    <x:row r="6909" spans="1:16">
      <x:c r="A6909" s="0" t="s">
        <x:v>27496</x:v>
      </x:c>
      <x:c r="B6909" s="0" t="s">
        <x:v>27497</x:v>
      </x:c>
      <x:c r="C6909" s="0" t="s">
        <x:v>27498</x:v>
      </x:c>
      <x:c r="E6909" s="0" t="s">
        <x:v>27499</x:v>
      </x:c>
      <x:c r="F6909" s="0" t="s">
        <x:v>45</x:v>
      </x:c>
      <x:c r="G6909" s="0" t="s">
        <x:v>19</x:v>
      </x:c>
      <x:c r="H6909" s="0" t="s">
        <x:v>20</x:v>
      </x:c>
      <x:c r="I6909" s="0" t="s">
        <x:v>21</x:v>
      </x:c>
      <x:c r="K6909" s="0">
        <x:f>hyperlink("https://icd.who.int/dev11/l-ichi/en#/http%3A%2F%2Fid.who.int%2Ficd%2Fentity%2F952673360","browser")</x:f>
      </x:c>
      <x:c r="L6909" s="0">
        <x:f>hyperlink("https://icat2.azurewebsites.net/icat/?ontology=ICD&amp;tab=ClassesTab&amp;id=http%3A%2F%2Fwho.int%2Ficd%2341371_512ebf36_bf6b_4d70_85da_cf2637062af4","iCat")</x:f>
      </x:c>
      <x:c r="M6909" s="0" t="s">
        <x:v>21</x:v>
      </x:c>
      <x:c r="N6909" s="0" t="s">
        <x:v>46</x:v>
      </x:c>
    </x:row>
    <x:row r="6910" spans="1:16">
      <x:c r="A6910" s="0" t="s">
        <x:v>27500</x:v>
      </x:c>
      <x:c r="B6910" s="0" t="s">
        <x:v>27501</x:v>
      </x:c>
      <x:c r="C6910" s="0" t="s">
        <x:v>27502</x:v>
      </x:c>
      <x:c r="E6910" s="0" t="s">
        <x:v>27503</x:v>
      </x:c>
      <x:c r="F6910" s="0" t="s">
        <x:v>45</x:v>
      </x:c>
      <x:c r="G6910" s="0" t="s">
        <x:v>19</x:v>
      </x:c>
      <x:c r="H6910" s="0" t="s">
        <x:v>20</x:v>
      </x:c>
      <x:c r="I6910" s="0" t="s">
        <x:v>21</x:v>
      </x:c>
      <x:c r="K6910" s="0">
        <x:f>hyperlink("https://icd.who.int/dev11/l-ichi/en#/http%3A%2F%2Fid.who.int%2Ficd%2Fentity%2F1984550149","browser")</x:f>
      </x:c>
      <x:c r="L6910" s="0">
        <x:f>hyperlink("https://icat2.azurewebsites.net/icat/?ontology=ICD&amp;tab=ClassesTab&amp;id=http%3A%2F%2Fwho.int%2Ficd%2341379_512ebf36_bf6b_4d70_85da_cf2637062af4","iCat")</x:f>
      </x:c>
      <x:c r="M6910" s="0" t="s">
        <x:v>21</x:v>
      </x:c>
      <x:c r="N6910" s="0" t="s">
        <x:v>46</x:v>
      </x:c>
    </x:row>
    <x:row r="6911" spans="1:16">
      <x:c r="A6911" s="0" t="s">
        <x:v>27504</x:v>
      </x:c>
      <x:c r="B6911" s="0" t="s">
        <x:v>27505</x:v>
      </x:c>
      <x:c r="C6911" s="0" t="s">
        <x:v>27506</x:v>
      </x:c>
      <x:c r="E6911" s="0" t="s">
        <x:v>27507</x:v>
      </x:c>
      <x:c r="F6911" s="0" t="s">
        <x:v>45</x:v>
      </x:c>
      <x:c r="G6911" s="0" t="s">
        <x:v>19</x:v>
      </x:c>
      <x:c r="H6911" s="0" t="s">
        <x:v>20</x:v>
      </x:c>
      <x:c r="I6911" s="0" t="s">
        <x:v>21</x:v>
      </x:c>
      <x:c r="K6911" s="0">
        <x:f>hyperlink("https://icd.who.int/dev11/l-ichi/en#/http%3A%2F%2Fid.who.int%2Ficd%2Fentity%2F1739408643","browser")</x:f>
      </x:c>
      <x:c r="L6911" s="0">
        <x:f>hyperlink("https://icat2.azurewebsites.net/icat/?ontology=ICD&amp;tab=ClassesTab&amp;id=http%3A%2F%2Fwho.int%2Ficd%2341386_512ebf36_bf6b_4d70_85da_cf2637062af4","iCat")</x:f>
      </x:c>
      <x:c r="M6911" s="0" t="s">
        <x:v>21</x:v>
      </x:c>
      <x:c r="N6911" s="0" t="s">
        <x:v>46</x:v>
      </x:c>
    </x:row>
    <x:row r="6912" spans="1:16">
      <x:c r="A6912" s="0" t="s">
        <x:v>27508</x:v>
      </x:c>
      <x:c r="B6912" s="0" t="s">
        <x:v>27509</x:v>
      </x:c>
      <x:c r="C6912" s="0" t="s">
        <x:v>27510</x:v>
      </x:c>
      <x:c r="E6912" s="0" t="s">
        <x:v>27511</x:v>
      </x:c>
      <x:c r="F6912" s="0" t="s">
        <x:v>45</x:v>
      </x:c>
      <x:c r="G6912" s="0" t="s">
        <x:v>19</x:v>
      </x:c>
      <x:c r="H6912" s="0" t="s">
        <x:v>20</x:v>
      </x:c>
      <x:c r="I6912" s="0" t="s">
        <x:v>21</x:v>
      </x:c>
      <x:c r="K6912" s="0">
        <x:f>hyperlink("https://icd.who.int/dev11/l-ichi/en#/http%3A%2F%2Fid.who.int%2Ficd%2Fentity%2F224972884","browser")</x:f>
      </x:c>
      <x:c r="L6912" s="0">
        <x:f>hyperlink("https://icat2.azurewebsites.net/icat/?ontology=ICD&amp;tab=ClassesTab&amp;id=http%3A%2F%2Fwho.int%2Ficd%2341396_512ebf36_bf6b_4d70_85da_cf2637062af4","iCat")</x:f>
      </x:c>
      <x:c r="M6912" s="0" t="s">
        <x:v>21</x:v>
      </x:c>
      <x:c r="N6912" s="0" t="s">
        <x:v>46</x:v>
      </x:c>
    </x:row>
    <x:row r="6913" spans="1:16">
      <x:c r="A6913" s="0" t="s">
        <x:v>27512</x:v>
      </x:c>
      <x:c r="B6913" s="0" t="s">
        <x:v>27513</x:v>
      </x:c>
      <x:c r="C6913" s="0" t="s">
        <x:v>27514</x:v>
      </x:c>
      <x:c r="E6913" s="0" t="s">
        <x:v>27515</x:v>
      </x:c>
      <x:c r="F6913" s="0" t="s">
        <x:v>45</x:v>
      </x:c>
      <x:c r="G6913" s="0" t="s">
        <x:v>19</x:v>
      </x:c>
      <x:c r="H6913" s="0" t="s">
        <x:v>20</x:v>
      </x:c>
      <x:c r="I6913" s="0" t="s">
        <x:v>21</x:v>
      </x:c>
      <x:c r="K6913" s="0">
        <x:f>hyperlink("https://icd.who.int/dev11/l-ichi/en#/http%3A%2F%2Fid.who.int%2Ficd%2Fentity%2F20120291","browser")</x:f>
      </x:c>
      <x:c r="L6913" s="0">
        <x:f>hyperlink("https://icat2.azurewebsites.net/icat/?ontology=ICD&amp;tab=ClassesTab&amp;id=http%3A%2F%2Fwho.int%2Ficd%2341403_512ebf36_bf6b_4d70_85da_cf2637062af4","iCat")</x:f>
      </x:c>
      <x:c r="M6913" s="0" t="s">
        <x:v>21</x:v>
      </x:c>
      <x:c r="N6913" s="0" t="s">
        <x:v>46</x:v>
      </x:c>
    </x:row>
    <x:row r="6914" spans="1:16">
      <x:c r="A6914" s="0" t="s">
        <x:v>27516</x:v>
      </x:c>
      <x:c r="B6914" s="0" t="s">
        <x:v>27517</x:v>
      </x:c>
      <x:c r="C6914" s="0" t="s">
        <x:v>27518</x:v>
      </x:c>
      <x:c r="E6914" s="0" t="s">
        <x:v>27519</x:v>
      </x:c>
      <x:c r="F6914" s="0" t="s">
        <x:v>45</x:v>
      </x:c>
      <x:c r="G6914" s="0" t="s">
        <x:v>19</x:v>
      </x:c>
      <x:c r="H6914" s="0" t="s">
        <x:v>20</x:v>
      </x:c>
      <x:c r="I6914" s="0" t="s">
        <x:v>21</x:v>
      </x:c>
      <x:c r="K6914" s="0">
        <x:f>hyperlink("https://icd.who.int/dev11/l-ichi/en#/http%3A%2F%2Fid.who.int%2Ficd%2Fentity%2F779352141","browser")</x:f>
      </x:c>
      <x:c r="L6914" s="0">
        <x:f>hyperlink("https://icat2.azurewebsites.net/icat/?ontology=ICD&amp;tab=ClassesTab&amp;id=http%3A%2F%2Fwho.int%2Ficd%2341410_512ebf36_bf6b_4d70_85da_cf2637062af4","iCat")</x:f>
      </x:c>
      <x:c r="M6914" s="0" t="s">
        <x:v>21</x:v>
      </x:c>
      <x:c r="N6914" s="0" t="s">
        <x:v>46</x:v>
      </x:c>
    </x:row>
    <x:row r="6915" spans="1:16">
      <x:c r="A6915" s="0" t="s">
        <x:v>27520</x:v>
      </x:c>
      <x:c r="B6915" s="0" t="s">
        <x:v>27521</x:v>
      </x:c>
      <x:c r="C6915" s="0" t="s">
        <x:v>27522</x:v>
      </x:c>
      <x:c r="E6915" s="0" t="s">
        <x:v>27523</x:v>
      </x:c>
      <x:c r="F6915" s="0" t="s">
        <x:v>45</x:v>
      </x:c>
      <x:c r="G6915" s="0" t="s">
        <x:v>19</x:v>
      </x:c>
      <x:c r="H6915" s="0" t="s">
        <x:v>20</x:v>
      </x:c>
      <x:c r="I6915" s="0" t="s">
        <x:v>21</x:v>
      </x:c>
      <x:c r="K6915" s="0">
        <x:f>hyperlink("https://icd.who.int/dev11/l-ichi/en#/http%3A%2F%2Fid.who.int%2Ficd%2Fentity%2F1592873922","browser")</x:f>
      </x:c>
      <x:c r="L6915" s="0">
        <x:f>hyperlink("https://icat2.azurewebsites.net/icat/?ontology=ICD&amp;tab=ClassesTab&amp;id=http%3A%2F%2Fwho.int%2Ficd%2341417_512ebf36_bf6b_4d70_85da_cf2637062af4","iCat")</x:f>
      </x:c>
      <x:c r="M6915" s="0" t="s">
        <x:v>21</x:v>
      </x:c>
      <x:c r="N6915" s="0" t="s">
        <x:v>46</x:v>
      </x:c>
    </x:row>
    <x:row r="6916" spans="1:16">
      <x:c r="A6916" s="0" t="s">
        <x:v>27524</x:v>
      </x:c>
      <x:c r="B6916" s="0" t="s">
        <x:v>27525</x:v>
      </x:c>
      <x:c r="C6916" s="0" t="s">
        <x:v>27526</x:v>
      </x:c>
      <x:c r="E6916" s="0" t="s">
        <x:v>27527</x:v>
      </x:c>
      <x:c r="F6916" s="0" t="s">
        <x:v>45</x:v>
      </x:c>
      <x:c r="G6916" s="0" t="s">
        <x:v>19</x:v>
      </x:c>
      <x:c r="H6916" s="0" t="s">
        <x:v>20</x:v>
      </x:c>
      <x:c r="I6916" s="0" t="s">
        <x:v>21</x:v>
      </x:c>
      <x:c r="K6916" s="0">
        <x:f>hyperlink("https://icd.who.int/dev11/l-ichi/en#/http%3A%2F%2Fid.who.int%2Ficd%2Fentity%2F1539669056","browser")</x:f>
      </x:c>
      <x:c r="L6916" s="0">
        <x:f>hyperlink("https://icat2.azurewebsites.net/icat/?ontology=ICD&amp;tab=ClassesTab&amp;id=http%3A%2F%2Fwho.int%2Ficd%2341424_512ebf36_bf6b_4d70_85da_cf2637062af4","iCat")</x:f>
      </x:c>
      <x:c r="M6916" s="0" t="s">
        <x:v>21</x:v>
      </x:c>
      <x:c r="N6916" s="0" t="s">
        <x:v>46</x:v>
      </x:c>
    </x:row>
    <x:row r="6917" spans="1:16">
      <x:c r="A6917" s="0" t="s">
        <x:v>27528</x:v>
      </x:c>
      <x:c r="B6917" s="0" t="s">
        <x:v>27529</x:v>
      </x:c>
      <x:c r="C6917" s="0" t="s">
        <x:v>27530</x:v>
      </x:c>
      <x:c r="E6917" s="0" t="s">
        <x:v>27531</x:v>
      </x:c>
      <x:c r="F6917" s="0" t="s">
        <x:v>45</x:v>
      </x:c>
      <x:c r="G6917" s="0" t="s">
        <x:v>19</x:v>
      </x:c>
      <x:c r="H6917" s="0" t="s">
        <x:v>20</x:v>
      </x:c>
      <x:c r="I6917" s="0" t="s">
        <x:v>21</x:v>
      </x:c>
      <x:c r="K6917" s="0">
        <x:f>hyperlink("https://icd.who.int/dev11/l-ichi/en#/http%3A%2F%2Fid.who.int%2Ficd%2Fentity%2F1417475246","browser")</x:f>
      </x:c>
      <x:c r="L6917" s="0">
        <x:f>hyperlink("https://icat2.azurewebsites.net/icat/?ontology=ICD&amp;tab=ClassesTab&amp;id=http%3A%2F%2Fwho.int%2Ficd%2341436_512ebf36_bf6b_4d70_85da_cf2637062af4","iCat")</x:f>
      </x:c>
      <x:c r="M6917" s="0" t="s">
        <x:v>21</x:v>
      </x:c>
      <x:c r="N6917" s="0" t="s">
        <x:v>46</x:v>
      </x:c>
    </x:row>
    <x:row r="6918" spans="1:16">
      <x:c r="A6918" s="0" t="s">
        <x:v>27532</x:v>
      </x:c>
      <x:c r="B6918" s="0" t="s">
        <x:v>27533</x:v>
      </x:c>
      <x:c r="C6918" s="0" t="s">
        <x:v>27534</x:v>
      </x:c>
      <x:c r="E6918" s="0" t="s">
        <x:v>27535</x:v>
      </x:c>
      <x:c r="F6918" s="0" t="s">
        <x:v>45</x:v>
      </x:c>
      <x:c r="G6918" s="0" t="s">
        <x:v>19</x:v>
      </x:c>
      <x:c r="H6918" s="0" t="s">
        <x:v>20</x:v>
      </x:c>
      <x:c r="I6918" s="0" t="s">
        <x:v>21</x:v>
      </x:c>
      <x:c r="K6918" s="0">
        <x:f>hyperlink("https://icd.who.int/dev11/l-ichi/en#/http%3A%2F%2Fid.who.int%2Ficd%2Fentity%2F1901351422","browser")</x:f>
      </x:c>
      <x:c r="L6918" s="0">
        <x:f>hyperlink("https://icat2.azurewebsites.net/icat/?ontology=ICD&amp;tab=ClassesTab&amp;id=http%3A%2F%2Fwho.int%2Ficd%2341443_512ebf36_bf6b_4d70_85da_cf2637062af4","iCat")</x:f>
      </x:c>
      <x:c r="M6918" s="0" t="s">
        <x:v>21</x:v>
      </x:c>
      <x:c r="N6918" s="0" t="s">
        <x:v>46</x:v>
      </x:c>
    </x:row>
    <x:row r="6919" spans="1:16">
      <x:c r="A6919" s="0" t="s">
        <x:v>27536</x:v>
      </x:c>
      <x:c r="B6919" s="0" t="s">
        <x:v>27537</x:v>
      </x:c>
      <x:c r="C6919" s="0" t="s">
        <x:v>27538</x:v>
      </x:c>
      <x:c r="E6919" s="0" t="s">
        <x:v>27539</x:v>
      </x:c>
      <x:c r="F6919" s="0" t="s">
        <x:v>45</x:v>
      </x:c>
      <x:c r="G6919" s="0" t="s">
        <x:v>19</x:v>
      </x:c>
      <x:c r="H6919" s="0" t="s">
        <x:v>20</x:v>
      </x:c>
      <x:c r="I6919" s="0" t="s">
        <x:v>21</x:v>
      </x:c>
      <x:c r="K6919" s="0">
        <x:f>hyperlink("https://icd.who.int/dev11/l-ichi/en#/http%3A%2F%2Fid.who.int%2Ficd%2Fentity%2F1578412882","browser")</x:f>
      </x:c>
      <x:c r="L6919" s="0">
        <x:f>hyperlink("https://icat2.azurewebsites.net/icat/?ontology=ICD&amp;tab=ClassesTab&amp;id=http%3A%2F%2Fwho.int%2Ficd%2341450_512ebf36_bf6b_4d70_85da_cf2637062af4","iCat")</x:f>
      </x:c>
      <x:c r="M6919" s="0" t="s">
        <x:v>21</x:v>
      </x:c>
      <x:c r="N6919" s="0" t="s">
        <x:v>46</x:v>
      </x:c>
    </x:row>
    <x:row r="6920" spans="1:16">
      <x:c r="A6920" s="0" t="s">
        <x:v>27540</x:v>
      </x:c>
      <x:c r="B6920" s="0" t="s">
        <x:v>27541</x:v>
      </x:c>
      <x:c r="C6920" s="0" t="s">
        <x:v>27542</x:v>
      </x:c>
      <x:c r="E6920" s="0" t="s">
        <x:v>27543</x:v>
      </x:c>
      <x:c r="F6920" s="0" t="s">
        <x:v>45</x:v>
      </x:c>
      <x:c r="G6920" s="0" t="s">
        <x:v>19</x:v>
      </x:c>
      <x:c r="H6920" s="0" t="s">
        <x:v>20</x:v>
      </x:c>
      <x:c r="I6920" s="0" t="s">
        <x:v>21</x:v>
      </x:c>
      <x:c r="K6920" s="0">
        <x:f>hyperlink("https://icd.who.int/dev11/l-ichi/en#/http%3A%2F%2Fid.who.int%2Ficd%2Fentity%2F781582557","browser")</x:f>
      </x:c>
      <x:c r="L6920" s="0">
        <x:f>hyperlink("https://icat2.azurewebsites.net/icat/?ontology=ICD&amp;tab=ClassesTab&amp;id=http%3A%2F%2Fwho.int%2Ficd%2341457_512ebf36_bf6b_4d70_85da_cf2637062af4","iCat")</x:f>
      </x:c>
      <x:c r="M6920" s="0" t="s">
        <x:v>21</x:v>
      </x:c>
      <x:c r="N6920" s="0" t="s">
        <x:v>46</x:v>
      </x:c>
    </x:row>
    <x:row r="6921" spans="1:16">
      <x:c r="A6921" s="0" t="s">
        <x:v>27544</x:v>
      </x:c>
      <x:c r="B6921" s="0" t="s">
        <x:v>27545</x:v>
      </x:c>
      <x:c r="C6921" s="0" t="s">
        <x:v>27546</x:v>
      </x:c>
      <x:c r="E6921" s="0" t="s">
        <x:v>27547</x:v>
      </x:c>
      <x:c r="F6921" s="0" t="s">
        <x:v>45</x:v>
      </x:c>
      <x:c r="G6921" s="0" t="s">
        <x:v>19</x:v>
      </x:c>
      <x:c r="H6921" s="0" t="s">
        <x:v>20</x:v>
      </x:c>
      <x:c r="I6921" s="0" t="s">
        <x:v>21</x:v>
      </x:c>
      <x:c r="K6921" s="0">
        <x:f>hyperlink("https://icd.who.int/dev11/l-ichi/en#/http%3A%2F%2Fid.who.int%2Ficd%2Fentity%2F1952480768","browser")</x:f>
      </x:c>
      <x:c r="L6921" s="0">
        <x:f>hyperlink("https://icat2.azurewebsites.net/icat/?ontology=ICD&amp;tab=ClassesTab&amp;id=http%3A%2F%2Fwho.int%2Ficd%2341470_512ebf36_bf6b_4d70_85da_cf2637062af4","iCat")</x:f>
      </x:c>
      <x:c r="M6921" s="0" t="s">
        <x:v>21</x:v>
      </x:c>
      <x:c r="N6921" s="0" t="s">
        <x:v>46</x:v>
      </x:c>
    </x:row>
    <x:row r="6922" spans="1:16">
      <x:c r="A6922" s="0" t="s">
        <x:v>27548</x:v>
      </x:c>
      <x:c r="B6922" s="0" t="s">
        <x:v>27549</x:v>
      </x:c>
      <x:c r="C6922" s="0" t="s">
        <x:v>27550</x:v>
      </x:c>
      <x:c r="E6922" s="0" t="s">
        <x:v>27551</x:v>
      </x:c>
      <x:c r="F6922" s="0" t="s">
        <x:v>45</x:v>
      </x:c>
      <x:c r="G6922" s="0" t="s">
        <x:v>19</x:v>
      </x:c>
      <x:c r="H6922" s="0" t="s">
        <x:v>20</x:v>
      </x:c>
      <x:c r="I6922" s="0" t="s">
        <x:v>21</x:v>
      </x:c>
      <x:c r="K6922" s="0">
        <x:f>hyperlink("https://icd.who.int/dev11/l-ichi/en#/http%3A%2F%2Fid.who.int%2Ficd%2Fentity%2F81974669","browser")</x:f>
      </x:c>
      <x:c r="L6922" s="0">
        <x:f>hyperlink("https://icat2.azurewebsites.net/icat/?ontology=ICD&amp;tab=ClassesTab&amp;id=http%3A%2F%2Fwho.int%2Ficd%2341477_512ebf36_bf6b_4d70_85da_cf2637062af4","iCat")</x:f>
      </x:c>
      <x:c r="M6922" s="0" t="s">
        <x:v>21</x:v>
      </x:c>
      <x:c r="N6922" s="0" t="s">
        <x:v>46</x:v>
      </x:c>
    </x:row>
    <x:row r="6923" spans="1:16">
      <x:c r="A6923" s="0" t="s">
        <x:v>27552</x:v>
      </x:c>
      <x:c r="B6923" s="0" t="s">
        <x:v>27553</x:v>
      </x:c>
      <x:c r="C6923" s="0" t="s">
        <x:v>27554</x:v>
      </x:c>
      <x:c r="E6923" s="0" t="s">
        <x:v>27555</x:v>
      </x:c>
      <x:c r="F6923" s="0" t="s">
        <x:v>45</x:v>
      </x:c>
      <x:c r="G6923" s="0" t="s">
        <x:v>19</x:v>
      </x:c>
      <x:c r="H6923" s="0" t="s">
        <x:v>20</x:v>
      </x:c>
      <x:c r="I6923" s="0" t="s">
        <x:v>21</x:v>
      </x:c>
      <x:c r="K6923" s="0">
        <x:f>hyperlink("https://icd.who.int/dev11/l-ichi/en#/http%3A%2F%2Fid.who.int%2Ficd%2Fentity%2F1853943980","browser")</x:f>
      </x:c>
      <x:c r="L6923" s="0">
        <x:f>hyperlink("https://icat2.azurewebsites.net/icat/?ontology=ICD&amp;tab=ClassesTab&amp;id=http%3A%2F%2Fwho.int%2Ficd%2341484_512ebf36_bf6b_4d70_85da_cf2637062af4","iCat")</x:f>
      </x:c>
      <x:c r="M6923" s="0" t="s">
        <x:v>21</x:v>
      </x:c>
      <x:c r="N6923" s="0" t="s">
        <x:v>46</x:v>
      </x:c>
    </x:row>
    <x:row r="6924" spans="1:16">
      <x:c r="A6924" s="0" t="s">
        <x:v>27556</x:v>
      </x:c>
      <x:c r="B6924" s="0" t="s">
        <x:v>27557</x:v>
      </x:c>
      <x:c r="C6924" s="0" t="s">
        <x:v>27558</x:v>
      </x:c>
      <x:c r="E6924" s="0" t="s">
        <x:v>27559</x:v>
      </x:c>
      <x:c r="F6924" s="0" t="s">
        <x:v>45</x:v>
      </x:c>
      <x:c r="G6924" s="0" t="s">
        <x:v>19</x:v>
      </x:c>
      <x:c r="H6924" s="0" t="s">
        <x:v>20</x:v>
      </x:c>
      <x:c r="I6924" s="0" t="s">
        <x:v>21</x:v>
      </x:c>
      <x:c r="K6924" s="0">
        <x:f>hyperlink("https://icd.who.int/dev11/l-ichi/en#/http%3A%2F%2Fid.who.int%2Ficd%2Fentity%2F297522101","browser")</x:f>
      </x:c>
      <x:c r="L6924" s="0">
        <x:f>hyperlink("https://icat2.azurewebsites.net/icat/?ontology=ICD&amp;tab=ClassesTab&amp;id=http%3A%2F%2Fwho.int%2Ficd%2341491_512ebf36_bf6b_4d70_85da_cf2637062af4","iCat")</x:f>
      </x:c>
      <x:c r="M6924" s="0" t="s">
        <x:v>21</x:v>
      </x:c>
      <x:c r="N6924" s="0" t="s">
        <x:v>46</x:v>
      </x:c>
    </x:row>
    <x:row r="6925" spans="1:16">
      <x:c r="A6925" s="0" t="s">
        <x:v>27560</x:v>
      </x:c>
      <x:c r="B6925" s="0" t="s">
        <x:v>27561</x:v>
      </x:c>
      <x:c r="C6925" s="0" t="s">
        <x:v>27562</x:v>
      </x:c>
      <x:c r="E6925" s="0" t="s">
        <x:v>27563</x:v>
      </x:c>
      <x:c r="F6925" s="0" t="s">
        <x:v>45</x:v>
      </x:c>
      <x:c r="G6925" s="0" t="s">
        <x:v>19</x:v>
      </x:c>
      <x:c r="H6925" s="0" t="s">
        <x:v>20</x:v>
      </x:c>
      <x:c r="I6925" s="0" t="s">
        <x:v>21</x:v>
      </x:c>
      <x:c r="K6925" s="0">
        <x:f>hyperlink("https://icd.who.int/dev11/l-ichi/en#/http%3A%2F%2Fid.who.int%2Ficd%2Fentity%2F2143539420","browser")</x:f>
      </x:c>
      <x:c r="L6925" s="0">
        <x:f>hyperlink("https://icat2.azurewebsites.net/icat/?ontology=ICD&amp;tab=ClassesTab&amp;id=http%3A%2F%2Fwho.int%2Ficd%2341498_512ebf36_bf6b_4d70_85da_cf2637062af4","iCat")</x:f>
      </x:c>
      <x:c r="M6925" s="0" t="s">
        <x:v>21</x:v>
      </x:c>
      <x:c r="N6925" s="0" t="s">
        <x:v>46</x:v>
      </x:c>
    </x:row>
    <x:row r="6926" spans="1:16">
      <x:c r="A6926" s="0" t="s">
        <x:v>27564</x:v>
      </x:c>
      <x:c r="B6926" s="0" t="s">
        <x:v>27565</x:v>
      </x:c>
      <x:c r="D6926" s="0" t="s">
        <x:v>27566</x:v>
      </x:c>
      <x:c r="E6926" s="0" t="s">
        <x:v>27567</x:v>
      </x:c>
      <x:c r="F6926" s="0" t="s">
        <x:v>26</x:v>
      </x:c>
      <x:c r="G6926" s="0" t="s">
        <x:v>22</x:v>
      </x:c>
      <x:c r="H6926" s="0" t="s">
        <x:v>20</x:v>
      </x:c>
      <x:c r="I6926" s="0" t="s">
        <x:v>21</x:v>
      </x:c>
      <x:c r="K6926" s="0">
        <x:f>hyperlink("https://icd.who.int/dev11/l-ichi/en#/http%3A%2F%2Fid.who.int%2Ficd%2Fentity%2F1632793142","browser")</x:f>
      </x:c>
      <x:c r="L6926" s="0">
        <x:f>hyperlink("https://icat2.azurewebsites.net/icat/?ontology=ICD&amp;tab=ClassesTab&amp;id=http%3A%2F%2Fwho.int%2Ficd%2341506_512ebf36_bf6b_4d70_85da_cf2637062af4","iCat")</x:f>
      </x:c>
      <x:c r="M6926" s="0" t="s">
        <x:v>20</x:v>
      </x:c>
      <x:c r="N6926" s="0" t="s">
        <x:v>26516</x:v>
      </x:c>
    </x:row>
    <x:row r="6927" spans="1:16">
      <x:c r="A6927" s="0" t="s">
        <x:v>27568</x:v>
      </x:c>
      <x:c r="B6927" s="0" t="s">
        <x:v>27569</x:v>
      </x:c>
      <x:c r="C6927" s="0" t="s">
        <x:v>27570</x:v>
      </x:c>
      <x:c r="E6927" s="0" t="s">
        <x:v>27571</x:v>
      </x:c>
      <x:c r="F6927" s="0" t="s">
        <x:v>45</x:v>
      </x:c>
      <x:c r="G6927" s="0" t="s">
        <x:v>19</x:v>
      </x:c>
      <x:c r="H6927" s="0" t="s">
        <x:v>20</x:v>
      </x:c>
      <x:c r="I6927" s="0" t="s">
        <x:v>21</x:v>
      </x:c>
      <x:c r="K6927" s="0">
        <x:f>hyperlink("https://icd.who.int/dev11/l-ichi/en#/http%3A%2F%2Fid.who.int%2Ficd%2Fentity%2F618077647","browser")</x:f>
      </x:c>
      <x:c r="L6927" s="0">
        <x:f>hyperlink("https://icat2.azurewebsites.net/icat/?ontology=ICD&amp;tab=ClassesTab&amp;id=http%3A%2F%2Fwho.int%2Ficd%2341505_512ebf36_bf6b_4d70_85da_cf2637062af4","iCat")</x:f>
      </x:c>
      <x:c r="M6927" s="0" t="s">
        <x:v>21</x:v>
      </x:c>
      <x:c r="N6927" s="0" t="s">
        <x:v>46</x:v>
      </x:c>
    </x:row>
    <x:row r="6928" spans="1:16">
      <x:c r="A6928" s="0" t="s">
        <x:v>27572</x:v>
      </x:c>
      <x:c r="B6928" s="0" t="s">
        <x:v>27573</x:v>
      </x:c>
      <x:c r="C6928" s="0" t="s">
        <x:v>27574</x:v>
      </x:c>
      <x:c r="E6928" s="0" t="s">
        <x:v>27575</x:v>
      </x:c>
      <x:c r="F6928" s="0" t="s">
        <x:v>45</x:v>
      </x:c>
      <x:c r="G6928" s="0" t="s">
        <x:v>19</x:v>
      </x:c>
      <x:c r="H6928" s="0" t="s">
        <x:v>20</x:v>
      </x:c>
      <x:c r="I6928" s="0" t="s">
        <x:v>21</x:v>
      </x:c>
      <x:c r="K6928" s="0">
        <x:f>hyperlink("https://icd.who.int/dev11/l-ichi/en#/http%3A%2F%2Fid.who.int%2Ficd%2Fentity%2F359485317","browser")</x:f>
      </x:c>
      <x:c r="L6928" s="0">
        <x:f>hyperlink("https://icat2.azurewebsites.net/icat/?ontology=ICD&amp;tab=ClassesTab&amp;id=http%3A%2F%2Fwho.int%2Ficd%2341518_512ebf36_bf6b_4d70_85da_cf2637062af4","iCat")</x:f>
      </x:c>
      <x:c r="M6928" s="0" t="s">
        <x:v>21</x:v>
      </x:c>
      <x:c r="N6928" s="0" t="s">
        <x:v>46</x:v>
      </x:c>
    </x:row>
    <x:row r="6929" spans="1:16">
      <x:c r="A6929" s="0" t="s">
        <x:v>27576</x:v>
      </x:c>
      <x:c r="B6929" s="0" t="s">
        <x:v>27577</x:v>
      </x:c>
      <x:c r="C6929" s="0" t="s">
        <x:v>27578</x:v>
      </x:c>
      <x:c r="E6929" s="0" t="s">
        <x:v>27579</x:v>
      </x:c>
      <x:c r="F6929" s="0" t="s">
        <x:v>45</x:v>
      </x:c>
      <x:c r="G6929" s="0" t="s">
        <x:v>19</x:v>
      </x:c>
      <x:c r="H6929" s="0" t="s">
        <x:v>20</x:v>
      </x:c>
      <x:c r="I6929" s="0" t="s">
        <x:v>21</x:v>
      </x:c>
      <x:c r="K6929" s="0">
        <x:f>hyperlink("https://icd.who.int/dev11/l-ichi/en#/http%3A%2F%2Fid.who.int%2Ficd%2Fentity%2F245614751","browser")</x:f>
      </x:c>
      <x:c r="L6929" s="0">
        <x:f>hyperlink("https://icat2.azurewebsites.net/icat/?ontology=ICD&amp;tab=ClassesTab&amp;id=http%3A%2F%2Fwho.int%2Ficd%2341525_512ebf36_bf6b_4d70_85da_cf2637062af4","iCat")</x:f>
      </x:c>
      <x:c r="M6929" s="0" t="s">
        <x:v>21</x:v>
      </x:c>
      <x:c r="N6929" s="0" t="s">
        <x:v>46</x:v>
      </x:c>
    </x:row>
    <x:row r="6930" spans="1:16">
      <x:c r="A6930" s="0" t="s">
        <x:v>27580</x:v>
      </x:c>
      <x:c r="B6930" s="0" t="s">
        <x:v>27581</x:v>
      </x:c>
      <x:c r="C6930" s="0" t="s">
        <x:v>27582</x:v>
      </x:c>
      <x:c r="E6930" s="0" t="s">
        <x:v>27583</x:v>
      </x:c>
      <x:c r="F6930" s="0" t="s">
        <x:v>45</x:v>
      </x:c>
      <x:c r="G6930" s="0" t="s">
        <x:v>19</x:v>
      </x:c>
      <x:c r="H6930" s="0" t="s">
        <x:v>20</x:v>
      </x:c>
      <x:c r="I6930" s="0" t="s">
        <x:v>21</x:v>
      </x:c>
      <x:c r="K6930" s="0">
        <x:f>hyperlink("https://icd.who.int/dev11/l-ichi/en#/http%3A%2F%2Fid.who.int%2Ficd%2Fentity%2F350549573","browser")</x:f>
      </x:c>
      <x:c r="L6930" s="0">
        <x:f>hyperlink("https://icat2.azurewebsites.net/icat/?ontology=ICD&amp;tab=ClassesTab&amp;id=http%3A%2F%2Fwho.int%2Ficd%2341532_512ebf36_bf6b_4d70_85da_cf2637062af4","iCat")</x:f>
      </x:c>
      <x:c r="M6930" s="0" t="s">
        <x:v>21</x:v>
      </x:c>
      <x:c r="N6930" s="0" t="s">
        <x:v>46</x:v>
      </x:c>
    </x:row>
    <x:row r="6931" spans="1:16">
      <x:c r="A6931" s="0" t="s">
        <x:v>27584</x:v>
      </x:c>
      <x:c r="B6931" s="0" t="s">
        <x:v>27585</x:v>
      </x:c>
      <x:c r="C6931" s="0" t="s">
        <x:v>27586</x:v>
      </x:c>
      <x:c r="E6931" s="0" t="s">
        <x:v>27587</x:v>
      </x:c>
      <x:c r="F6931" s="0" t="s">
        <x:v>45</x:v>
      </x:c>
      <x:c r="G6931" s="0" t="s">
        <x:v>19</x:v>
      </x:c>
      <x:c r="H6931" s="0" t="s">
        <x:v>20</x:v>
      </x:c>
      <x:c r="I6931" s="0" t="s">
        <x:v>21</x:v>
      </x:c>
      <x:c r="K6931" s="0">
        <x:f>hyperlink("https://icd.who.int/dev11/l-ichi/en#/http%3A%2F%2Fid.who.int%2Ficd%2Fentity%2F534833385","browser")</x:f>
      </x:c>
      <x:c r="L6931" s="0">
        <x:f>hyperlink("https://icat2.azurewebsites.net/icat/?ontology=ICD&amp;tab=ClassesTab&amp;id=http%3A%2F%2Fwho.int%2Ficd%2341539_512ebf36_bf6b_4d70_85da_cf2637062af4","iCat")</x:f>
      </x:c>
      <x:c r="M6931" s="0" t="s">
        <x:v>21</x:v>
      </x:c>
      <x:c r="N6931" s="0" t="s">
        <x:v>46</x:v>
      </x:c>
    </x:row>
    <x:row r="6932" spans="1:16">
      <x:c r="A6932" s="0" t="s">
        <x:v>27588</x:v>
      </x:c>
      <x:c r="B6932" s="0" t="s">
        <x:v>27589</x:v>
      </x:c>
      <x:c r="C6932" s="0" t="s">
        <x:v>27590</x:v>
      </x:c>
      <x:c r="E6932" s="0" t="s">
        <x:v>27591</x:v>
      </x:c>
      <x:c r="F6932" s="0" t="s">
        <x:v>45</x:v>
      </x:c>
      <x:c r="G6932" s="0" t="s">
        <x:v>19</x:v>
      </x:c>
      <x:c r="H6932" s="0" t="s">
        <x:v>20</x:v>
      </x:c>
      <x:c r="I6932" s="0" t="s">
        <x:v>21</x:v>
      </x:c>
      <x:c r="K6932" s="0">
        <x:f>hyperlink("https://icd.who.int/dev11/l-ichi/en#/http%3A%2F%2Fid.who.int%2Ficd%2Fentity%2F288694571","browser")</x:f>
      </x:c>
      <x:c r="L6932" s="0">
        <x:f>hyperlink("https://icat2.azurewebsites.net/icat/?ontology=ICD&amp;tab=ClassesTab&amp;id=http%3A%2F%2Fwho.int%2Ficd%2341546_512ebf36_bf6b_4d70_85da_cf2637062af4","iCat")</x:f>
      </x:c>
      <x:c r="M6932" s="0" t="s">
        <x:v>21</x:v>
      </x:c>
      <x:c r="N6932" s="0" t="s">
        <x:v>46</x:v>
      </x:c>
    </x:row>
    <x:row r="6933" spans="1:16">
      <x:c r="A6933" s="0" t="s">
        <x:v>27592</x:v>
      </x:c>
      <x:c r="B6933" s="0" t="s">
        <x:v>27593</x:v>
      </x:c>
      <x:c r="C6933" s="0" t="s">
        <x:v>27594</x:v>
      </x:c>
      <x:c r="E6933" s="0" t="s">
        <x:v>27595</x:v>
      </x:c>
      <x:c r="F6933" s="0" t="s">
        <x:v>45</x:v>
      </x:c>
      <x:c r="G6933" s="0" t="s">
        <x:v>19</x:v>
      </x:c>
      <x:c r="H6933" s="0" t="s">
        <x:v>20</x:v>
      </x:c>
      <x:c r="I6933" s="0" t="s">
        <x:v>21</x:v>
      </x:c>
      <x:c r="K6933" s="0">
        <x:f>hyperlink("https://icd.who.int/dev11/l-ichi/en#/http%3A%2F%2Fid.who.int%2Ficd%2Fentity%2F1527367234","browser")</x:f>
      </x:c>
      <x:c r="L6933" s="0">
        <x:f>hyperlink("https://icat2.azurewebsites.net/icat/?ontology=ICD&amp;tab=ClassesTab&amp;id=http%3A%2F%2Fwho.int%2Ficd%2341557_512ebf36_bf6b_4d70_85da_cf2637062af4","iCat")</x:f>
      </x:c>
      <x:c r="M6933" s="0" t="s">
        <x:v>21</x:v>
      </x:c>
      <x:c r="N6933" s="0" t="s">
        <x:v>46</x:v>
      </x:c>
    </x:row>
    <x:row r="6934" spans="1:16">
      <x:c r="A6934" s="0" t="s">
        <x:v>27596</x:v>
      </x:c>
      <x:c r="B6934" s="0" t="s">
        <x:v>27597</x:v>
      </x:c>
      <x:c r="C6934" s="0" t="s">
        <x:v>27598</x:v>
      </x:c>
      <x:c r="E6934" s="0" t="s">
        <x:v>27599</x:v>
      </x:c>
      <x:c r="F6934" s="0" t="s">
        <x:v>45</x:v>
      </x:c>
      <x:c r="G6934" s="0" t="s">
        <x:v>19</x:v>
      </x:c>
      <x:c r="H6934" s="0" t="s">
        <x:v>20</x:v>
      </x:c>
      <x:c r="I6934" s="0" t="s">
        <x:v>21</x:v>
      </x:c>
      <x:c r="K6934" s="0">
        <x:f>hyperlink("https://icd.who.int/dev11/l-ichi/en#/http%3A%2F%2Fid.who.int%2Ficd%2Fentity%2F1581115840","browser")</x:f>
      </x:c>
      <x:c r="L6934" s="0">
        <x:f>hyperlink("https://icat2.azurewebsites.net/icat/?ontology=ICD&amp;tab=ClassesTab&amp;id=http%3A%2F%2Fwho.int%2Ficd%2341564_512ebf36_bf6b_4d70_85da_cf2637062af4","iCat")</x:f>
      </x:c>
      <x:c r="M6934" s="0" t="s">
        <x:v>21</x:v>
      </x:c>
      <x:c r="N6934" s="0" t="s">
        <x:v>46</x:v>
      </x:c>
    </x:row>
    <x:row r="6935" spans="1:16">
      <x:c r="A6935" s="0" t="s">
        <x:v>27600</x:v>
      </x:c>
      <x:c r="B6935" s="0" t="s">
        <x:v>27601</x:v>
      </x:c>
      <x:c r="C6935" s="0" t="s">
        <x:v>27602</x:v>
      </x:c>
      <x:c r="E6935" s="0" t="s">
        <x:v>27603</x:v>
      </x:c>
      <x:c r="F6935" s="0" t="s">
        <x:v>45</x:v>
      </x:c>
      <x:c r="G6935" s="0" t="s">
        <x:v>19</x:v>
      </x:c>
      <x:c r="H6935" s="0" t="s">
        <x:v>20</x:v>
      </x:c>
      <x:c r="I6935" s="0" t="s">
        <x:v>21</x:v>
      </x:c>
      <x:c r="K6935" s="0">
        <x:f>hyperlink("https://icd.who.int/dev11/l-ichi/en#/http%3A%2F%2Fid.who.int%2Ficd%2Fentity%2F554093217","browser")</x:f>
      </x:c>
      <x:c r="L6935" s="0">
        <x:f>hyperlink("https://icat2.azurewebsites.net/icat/?ontology=ICD&amp;tab=ClassesTab&amp;id=http%3A%2F%2Fwho.int%2Ficd%2341571_512ebf36_bf6b_4d70_85da_cf2637062af4","iCat")</x:f>
      </x:c>
      <x:c r="M6935" s="0" t="s">
        <x:v>21</x:v>
      </x:c>
      <x:c r="N6935" s="0" t="s">
        <x:v>46</x:v>
      </x:c>
    </x:row>
    <x:row r="6936" spans="1:16">
      <x:c r="A6936" s="0" t="s">
        <x:v>27604</x:v>
      </x:c>
      <x:c r="B6936" s="0" t="s">
        <x:v>27605</x:v>
      </x:c>
      <x:c r="C6936" s="0" t="s">
        <x:v>27606</x:v>
      </x:c>
      <x:c r="E6936" s="0" t="s">
        <x:v>27607</x:v>
      </x:c>
      <x:c r="F6936" s="0" t="s">
        <x:v>45</x:v>
      </x:c>
      <x:c r="G6936" s="0" t="s">
        <x:v>19</x:v>
      </x:c>
      <x:c r="H6936" s="0" t="s">
        <x:v>20</x:v>
      </x:c>
      <x:c r="I6936" s="0" t="s">
        <x:v>21</x:v>
      </x:c>
      <x:c r="K6936" s="0">
        <x:f>hyperlink("https://icd.who.int/dev11/l-ichi/en#/http%3A%2F%2Fid.who.int%2Ficd%2Fentity%2F1264906118","browser")</x:f>
      </x:c>
      <x:c r="L6936" s="0">
        <x:f>hyperlink("https://icat2.azurewebsites.net/icat/?ontology=ICD&amp;tab=ClassesTab&amp;id=http%3A%2F%2Fwho.int%2Ficd%2341582_512ebf36_bf6b_4d70_85da_cf2637062af4","iCat")</x:f>
      </x:c>
      <x:c r="M6936" s="0" t="s">
        <x:v>21</x:v>
      </x:c>
      <x:c r="N6936" s="0" t="s">
        <x:v>46</x:v>
      </x:c>
    </x:row>
    <x:row r="6937" spans="1:16">
      <x:c r="A6937" s="0" t="s">
        <x:v>27608</x:v>
      </x:c>
      <x:c r="B6937" s="0" t="s">
        <x:v>27609</x:v>
      </x:c>
      <x:c r="C6937" s="0" t="s">
        <x:v>27610</x:v>
      </x:c>
      <x:c r="E6937" s="0" t="s">
        <x:v>27611</x:v>
      </x:c>
      <x:c r="F6937" s="0" t="s">
        <x:v>45</x:v>
      </x:c>
      <x:c r="G6937" s="0" t="s">
        <x:v>19</x:v>
      </x:c>
      <x:c r="H6937" s="0" t="s">
        <x:v>20</x:v>
      </x:c>
      <x:c r="I6937" s="0" t="s">
        <x:v>21</x:v>
      </x:c>
      <x:c r="K6937" s="0">
        <x:f>hyperlink("https://icd.who.int/dev11/l-ichi/en#/http%3A%2F%2Fid.who.int%2Ficd%2Fentity%2F1910154082","browser")</x:f>
      </x:c>
      <x:c r="L6937" s="0">
        <x:f>hyperlink("https://icat2.azurewebsites.net/icat/?ontology=ICD&amp;tab=ClassesTab&amp;id=http%3A%2F%2Fwho.int%2Ficd%2341594_512ebf36_bf6b_4d70_85da_cf2637062af4","iCat")</x:f>
      </x:c>
      <x:c r="M6937" s="0" t="s">
        <x:v>21</x:v>
      </x:c>
      <x:c r="N6937" s="0" t="s">
        <x:v>46</x:v>
      </x:c>
    </x:row>
    <x:row r="6938" spans="1:16">
      <x:c r="A6938" s="0" t="s">
        <x:v>27612</x:v>
      </x:c>
      <x:c r="B6938" s="0" t="s">
        <x:v>27613</x:v>
      </x:c>
      <x:c r="C6938" s="0" t="s">
        <x:v>27614</x:v>
      </x:c>
      <x:c r="E6938" s="0" t="s">
        <x:v>27615</x:v>
      </x:c>
      <x:c r="F6938" s="0" t="s">
        <x:v>45</x:v>
      </x:c>
      <x:c r="G6938" s="0" t="s">
        <x:v>19</x:v>
      </x:c>
      <x:c r="H6938" s="0" t="s">
        <x:v>20</x:v>
      </x:c>
      <x:c r="I6938" s="0" t="s">
        <x:v>21</x:v>
      </x:c>
      <x:c r="K6938" s="0">
        <x:f>hyperlink("https://icd.who.int/dev11/l-ichi/en#/http%3A%2F%2Fid.who.int%2Ficd%2Fentity%2F1888447972","browser")</x:f>
      </x:c>
      <x:c r="L6938" s="0">
        <x:f>hyperlink("https://icat2.azurewebsites.net/icat/?ontology=ICD&amp;tab=ClassesTab&amp;id=http%3A%2F%2Fwho.int%2Ficd%2341601_512ebf36_bf6b_4d70_85da_cf2637062af4","iCat")</x:f>
      </x:c>
      <x:c r="M6938" s="0" t="s">
        <x:v>21</x:v>
      </x:c>
      <x:c r="N6938" s="0" t="s">
        <x:v>46</x:v>
      </x:c>
    </x:row>
    <x:row r="6939" spans="1:16">
      <x:c r="A6939" s="0" t="s">
        <x:v>27616</x:v>
      </x:c>
      <x:c r="B6939" s="0" t="s">
        <x:v>27617</x:v>
      </x:c>
      <x:c r="C6939" s="0" t="s">
        <x:v>27618</x:v>
      </x:c>
      <x:c r="E6939" s="0" t="s">
        <x:v>27619</x:v>
      </x:c>
      <x:c r="F6939" s="0" t="s">
        <x:v>45</x:v>
      </x:c>
      <x:c r="G6939" s="0" t="s">
        <x:v>19</x:v>
      </x:c>
      <x:c r="H6939" s="0" t="s">
        <x:v>20</x:v>
      </x:c>
      <x:c r="I6939" s="0" t="s">
        <x:v>21</x:v>
      </x:c>
      <x:c r="K6939" s="0">
        <x:f>hyperlink("https://icd.who.int/dev11/l-ichi/en#/http%3A%2F%2Fid.who.int%2Ficd%2Fentity%2F519532171","browser")</x:f>
      </x:c>
      <x:c r="L6939" s="0">
        <x:f>hyperlink("https://icat2.azurewebsites.net/icat/?ontology=ICD&amp;tab=ClassesTab&amp;id=http%3A%2F%2Fwho.int%2Ficd%2341608_512ebf36_bf6b_4d70_85da_cf2637062af4","iCat")</x:f>
      </x:c>
      <x:c r="M6939" s="0" t="s">
        <x:v>21</x:v>
      </x:c>
      <x:c r="N6939" s="0" t="s">
        <x:v>46</x:v>
      </x:c>
    </x:row>
    <x:row r="6940" spans="1:16">
      <x:c r="A6940" s="0" t="s">
        <x:v>27620</x:v>
      </x:c>
      <x:c r="B6940" s="0" t="s">
        <x:v>27621</x:v>
      </x:c>
      <x:c r="C6940" s="0" t="s">
        <x:v>27622</x:v>
      </x:c>
      <x:c r="E6940" s="0" t="s">
        <x:v>27623</x:v>
      </x:c>
      <x:c r="F6940" s="0" t="s">
        <x:v>45</x:v>
      </x:c>
      <x:c r="G6940" s="0" t="s">
        <x:v>19</x:v>
      </x:c>
      <x:c r="H6940" s="0" t="s">
        <x:v>20</x:v>
      </x:c>
      <x:c r="I6940" s="0" t="s">
        <x:v>21</x:v>
      </x:c>
      <x:c r="K6940" s="0">
        <x:f>hyperlink("https://icd.who.int/dev11/l-ichi/en#/http%3A%2F%2Fid.who.int%2Ficd%2Fentity%2F793590977","browser")</x:f>
      </x:c>
      <x:c r="L6940" s="0">
        <x:f>hyperlink("https://icat2.azurewebsites.net/icat/?ontology=ICD&amp;tab=ClassesTab&amp;id=http%3A%2F%2Fwho.int%2Ficd%2341615_512ebf36_bf6b_4d70_85da_cf2637062af4","iCat")</x:f>
      </x:c>
      <x:c r="M6940" s="0" t="s">
        <x:v>21</x:v>
      </x:c>
      <x:c r="N6940" s="0" t="s">
        <x:v>46</x:v>
      </x:c>
    </x:row>
    <x:row r="6941" spans="1:16">
      <x:c r="A6941" s="0" t="s">
        <x:v>27624</x:v>
      </x:c>
      <x:c r="B6941" s="0" t="s">
        <x:v>27625</x:v>
      </x:c>
      <x:c r="C6941" s="0" t="s">
        <x:v>27626</x:v>
      </x:c>
      <x:c r="E6941" s="0" t="s">
        <x:v>27627</x:v>
      </x:c>
      <x:c r="F6941" s="0" t="s">
        <x:v>45</x:v>
      </x:c>
      <x:c r="G6941" s="0" t="s">
        <x:v>19</x:v>
      </x:c>
      <x:c r="H6941" s="0" t="s">
        <x:v>20</x:v>
      </x:c>
      <x:c r="I6941" s="0" t="s">
        <x:v>21</x:v>
      </x:c>
      <x:c r="K6941" s="0">
        <x:f>hyperlink("https://icd.who.int/dev11/l-ichi/en#/http%3A%2F%2Fid.who.int%2Ficd%2Fentity%2F712577855","browser")</x:f>
      </x:c>
      <x:c r="L6941" s="0">
        <x:f>hyperlink("https://icat2.azurewebsites.net/icat/?ontology=ICD&amp;tab=ClassesTab&amp;id=http%3A%2F%2Fwho.int%2Ficd%2341626_512ebf36_bf6b_4d70_85da_cf2637062af4","iCat")</x:f>
      </x:c>
      <x:c r="M6941" s="0" t="s">
        <x:v>21</x:v>
      </x:c>
      <x:c r="N6941" s="0" t="s">
        <x:v>46</x:v>
      </x:c>
    </x:row>
    <x:row r="6942" spans="1:16">
      <x:c r="A6942" s="0" t="s">
        <x:v>27628</x:v>
      </x:c>
      <x:c r="B6942" s="0" t="s">
        <x:v>27629</x:v>
      </x:c>
      <x:c r="C6942" s="0" t="s">
        <x:v>27630</x:v>
      </x:c>
      <x:c r="E6942" s="0" t="s">
        <x:v>27631</x:v>
      </x:c>
      <x:c r="F6942" s="0" t="s">
        <x:v>45</x:v>
      </x:c>
      <x:c r="G6942" s="0" t="s">
        <x:v>19</x:v>
      </x:c>
      <x:c r="H6942" s="0" t="s">
        <x:v>20</x:v>
      </x:c>
      <x:c r="I6942" s="0" t="s">
        <x:v>21</x:v>
      </x:c>
      <x:c r="K6942" s="0">
        <x:f>hyperlink("https://icd.who.int/dev11/l-ichi/en#/http%3A%2F%2Fid.who.int%2Ficd%2Fentity%2F1430401056","browser")</x:f>
      </x:c>
      <x:c r="L6942" s="0">
        <x:f>hyperlink("https://icat2.azurewebsites.net/icat/?ontology=ICD&amp;tab=ClassesTab&amp;id=http%3A%2F%2Fwho.int%2Ficd%2341633_512ebf36_bf6b_4d70_85da_cf2637062af4","iCat")</x:f>
      </x:c>
      <x:c r="M6942" s="0" t="s">
        <x:v>21</x:v>
      </x:c>
      <x:c r="N6942" s="0" t="s">
        <x:v>46</x:v>
      </x:c>
    </x:row>
    <x:row r="6943" spans="1:16">
      <x:c r="A6943" s="0" t="s">
        <x:v>27632</x:v>
      </x:c>
      <x:c r="B6943" s="0" t="s">
        <x:v>27633</x:v>
      </x:c>
      <x:c r="C6943" s="0" t="s">
        <x:v>27634</x:v>
      </x:c>
      <x:c r="E6943" s="0" t="s">
        <x:v>27635</x:v>
      </x:c>
      <x:c r="F6943" s="0" t="s">
        <x:v>45</x:v>
      </x:c>
      <x:c r="G6943" s="0" t="s">
        <x:v>19</x:v>
      </x:c>
      <x:c r="H6943" s="0" t="s">
        <x:v>20</x:v>
      </x:c>
      <x:c r="I6943" s="0" t="s">
        <x:v>21</x:v>
      </x:c>
      <x:c r="K6943" s="0">
        <x:f>hyperlink("https://icd.who.int/dev11/l-ichi/en#/http%3A%2F%2Fid.who.int%2Ficd%2Fentity%2F538004675","browser")</x:f>
      </x:c>
      <x:c r="L6943" s="0">
        <x:f>hyperlink("https://icat2.azurewebsites.net/icat/?ontology=ICD&amp;tab=ClassesTab&amp;id=http%3A%2F%2Fwho.int%2Ficd%2341640_512ebf36_bf6b_4d70_85da_cf2637062af4","iCat")</x:f>
      </x:c>
      <x:c r="M6943" s="0" t="s">
        <x:v>21</x:v>
      </x:c>
      <x:c r="N6943" s="0" t="s">
        <x:v>46</x:v>
      </x:c>
    </x:row>
    <x:row r="6944" spans="1:16">
      <x:c r="A6944" s="0" t="s">
        <x:v>27636</x:v>
      </x:c>
      <x:c r="B6944" s="0" t="s">
        <x:v>27637</x:v>
      </x:c>
      <x:c r="C6944" s="0" t="s">
        <x:v>27638</x:v>
      </x:c>
      <x:c r="E6944" s="0" t="s">
        <x:v>27639</x:v>
      </x:c>
      <x:c r="F6944" s="0" t="s">
        <x:v>45</x:v>
      </x:c>
      <x:c r="G6944" s="0" t="s">
        <x:v>19</x:v>
      </x:c>
      <x:c r="H6944" s="0" t="s">
        <x:v>20</x:v>
      </x:c>
      <x:c r="I6944" s="0" t="s">
        <x:v>21</x:v>
      </x:c>
      <x:c r="K6944" s="0">
        <x:f>hyperlink("https://icd.who.int/dev11/l-ichi/en#/http%3A%2F%2Fid.who.int%2Ficd%2Fentity%2F1351870286","browser")</x:f>
      </x:c>
      <x:c r="L6944" s="0">
        <x:f>hyperlink("https://icat2.azurewebsites.net/icat/?ontology=ICD&amp;tab=ClassesTab&amp;id=http%3A%2F%2Fwho.int%2Ficd%2341647_512ebf36_bf6b_4d70_85da_cf2637062af4","iCat")</x:f>
      </x:c>
      <x:c r="M6944" s="0" t="s">
        <x:v>21</x:v>
      </x:c>
      <x:c r="N6944" s="0" t="s">
        <x:v>46</x:v>
      </x:c>
    </x:row>
    <x:row r="6945" spans="1:16">
      <x:c r="A6945" s="0" t="s">
        <x:v>27640</x:v>
      </x:c>
      <x:c r="B6945" s="0" t="s">
        <x:v>27641</x:v>
      </x:c>
      <x:c r="C6945" s="0" t="s">
        <x:v>27642</x:v>
      </x:c>
      <x:c r="E6945" s="0" t="s">
        <x:v>27643</x:v>
      </x:c>
      <x:c r="F6945" s="0" t="s">
        <x:v>45</x:v>
      </x:c>
      <x:c r="G6945" s="0" t="s">
        <x:v>19</x:v>
      </x:c>
      <x:c r="H6945" s="0" t="s">
        <x:v>20</x:v>
      </x:c>
      <x:c r="I6945" s="0" t="s">
        <x:v>21</x:v>
      </x:c>
      <x:c r="K6945" s="0">
        <x:f>hyperlink("https://icd.who.int/dev11/l-ichi/en#/http%3A%2F%2Fid.who.int%2Ficd%2Fentity%2F2144542178","browser")</x:f>
      </x:c>
      <x:c r="L6945" s="0">
        <x:f>hyperlink("https://icat2.azurewebsites.net/icat/?ontology=ICD&amp;tab=ClassesTab&amp;id=http%3A%2F%2Fwho.int%2Ficd%2341654_512ebf36_bf6b_4d70_85da_cf2637062af4","iCat")</x:f>
      </x:c>
      <x:c r="M6945" s="0" t="s">
        <x:v>21</x:v>
      </x:c>
      <x:c r="N6945" s="0" t="s">
        <x:v>46</x:v>
      </x:c>
    </x:row>
    <x:row r="6946" spans="1:16">
      <x:c r="A6946" s="0" t="s">
        <x:v>27644</x:v>
      </x:c>
      <x:c r="B6946" s="0" t="s">
        <x:v>27645</x:v>
      </x:c>
      <x:c r="C6946" s="0" t="s">
        <x:v>27646</x:v>
      </x:c>
      <x:c r="E6946" s="0" t="s">
        <x:v>27647</x:v>
      </x:c>
      <x:c r="F6946" s="0" t="s">
        <x:v>45</x:v>
      </x:c>
      <x:c r="G6946" s="0" t="s">
        <x:v>19</x:v>
      </x:c>
      <x:c r="H6946" s="0" t="s">
        <x:v>20</x:v>
      </x:c>
      <x:c r="I6946" s="0" t="s">
        <x:v>21</x:v>
      </x:c>
      <x:c r="K6946" s="0">
        <x:f>hyperlink("https://icd.who.int/dev11/l-ichi/en#/http%3A%2F%2Fid.who.int%2Ficd%2Fentity%2F714927023","browser")</x:f>
      </x:c>
      <x:c r="L6946" s="0">
        <x:f>hyperlink("https://icat2.azurewebsites.net/icat/?ontology=ICD&amp;tab=ClassesTab&amp;id=http%3A%2F%2Fwho.int%2Ficd%2341661_512ebf36_bf6b_4d70_85da_cf2637062af4","iCat")</x:f>
      </x:c>
      <x:c r="M6946" s="0" t="s">
        <x:v>21</x:v>
      </x:c>
      <x:c r="N6946" s="0" t="s">
        <x:v>46</x:v>
      </x:c>
    </x:row>
    <x:row r="6947" spans="1:16">
      <x:c r="A6947" s="0" t="s">
        <x:v>27648</x:v>
      </x:c>
      <x:c r="B6947" s="0" t="s">
        <x:v>27649</x:v>
      </x:c>
      <x:c r="C6947" s="0" t="s">
        <x:v>27650</x:v>
      </x:c>
      <x:c r="E6947" s="0" t="s">
        <x:v>27651</x:v>
      </x:c>
      <x:c r="F6947" s="0" t="s">
        <x:v>45</x:v>
      </x:c>
      <x:c r="G6947" s="0" t="s">
        <x:v>19</x:v>
      </x:c>
      <x:c r="H6947" s="0" t="s">
        <x:v>20</x:v>
      </x:c>
      <x:c r="I6947" s="0" t="s">
        <x:v>21</x:v>
      </x:c>
      <x:c r="K6947" s="0">
        <x:f>hyperlink("https://icd.who.int/dev11/l-ichi/en#/http%3A%2F%2Fid.who.int%2Ficd%2Fentity%2F1155852488","browser")</x:f>
      </x:c>
      <x:c r="L6947" s="0">
        <x:f>hyperlink("https://icat2.azurewebsites.net/icat/?ontology=ICD&amp;tab=ClassesTab&amp;id=http%3A%2F%2Fwho.int%2Ficd%2341668_512ebf36_bf6b_4d70_85da_cf2637062af4","iCat")</x:f>
      </x:c>
      <x:c r="M6947" s="0" t="s">
        <x:v>21</x:v>
      </x:c>
      <x:c r="N6947" s="0" t="s">
        <x:v>46</x:v>
      </x:c>
    </x:row>
    <x:row r="6948" spans="1:16">
      <x:c r="A6948" s="0" t="s">
        <x:v>27652</x:v>
      </x:c>
      <x:c r="B6948" s="0" t="s">
        <x:v>27653</x:v>
      </x:c>
      <x:c r="C6948" s="0" t="s">
        <x:v>27654</x:v>
      </x:c>
      <x:c r="E6948" s="0" t="s">
        <x:v>27655</x:v>
      </x:c>
      <x:c r="F6948" s="0" t="s">
        <x:v>45</x:v>
      </x:c>
      <x:c r="G6948" s="0" t="s">
        <x:v>19</x:v>
      </x:c>
      <x:c r="H6948" s="0" t="s">
        <x:v>20</x:v>
      </x:c>
      <x:c r="I6948" s="0" t="s">
        <x:v>21</x:v>
      </x:c>
      <x:c r="K6948" s="0">
        <x:f>hyperlink("https://icd.who.int/dev11/l-ichi/en#/http%3A%2F%2Fid.who.int%2Ficd%2Fentity%2F1969142414","browser")</x:f>
      </x:c>
      <x:c r="L6948" s="0">
        <x:f>hyperlink("https://icat2.azurewebsites.net/icat/?ontology=ICD&amp;tab=ClassesTab&amp;id=http%3A%2F%2Fwho.int%2Ficd%2341675_512ebf36_bf6b_4d70_85da_cf2637062af4","iCat")</x:f>
      </x:c>
      <x:c r="M6948" s="0" t="s">
        <x:v>21</x:v>
      </x:c>
      <x:c r="N6948" s="0" t="s">
        <x:v>46</x:v>
      </x:c>
    </x:row>
    <x:row r="6949" spans="1:16">
      <x:c r="A6949" s="0" t="s">
        <x:v>27656</x:v>
      </x:c>
      <x:c r="B6949" s="0" t="s">
        <x:v>27657</x:v>
      </x:c>
      <x:c r="C6949" s="0" t="s">
        <x:v>27658</x:v>
      </x:c>
      <x:c r="E6949" s="0" t="s">
        <x:v>27659</x:v>
      </x:c>
      <x:c r="F6949" s="0" t="s">
        <x:v>45</x:v>
      </x:c>
      <x:c r="G6949" s="0" t="s">
        <x:v>19</x:v>
      </x:c>
      <x:c r="H6949" s="0" t="s">
        <x:v>20</x:v>
      </x:c>
      <x:c r="I6949" s="0" t="s">
        <x:v>21</x:v>
      </x:c>
      <x:c r="K6949" s="0">
        <x:f>hyperlink("https://icd.who.int/dev11/l-ichi/en#/http%3A%2F%2Fid.who.int%2Ficd%2Fentity%2F708533215","browser")</x:f>
      </x:c>
      <x:c r="L6949" s="0">
        <x:f>hyperlink("https://icat2.azurewebsites.net/icat/?ontology=ICD&amp;tab=ClassesTab&amp;id=http%3A%2F%2Fwho.int%2Ficd%2341682_512ebf36_bf6b_4d70_85da_cf2637062af4","iCat")</x:f>
      </x:c>
      <x:c r="M6949" s="0" t="s">
        <x:v>21</x:v>
      </x:c>
      <x:c r="N6949" s="0" t="s">
        <x:v>46</x:v>
      </x:c>
    </x:row>
    <x:row r="6950" spans="1:16">
      <x:c r="A6950" s="0" t="s">
        <x:v>27660</x:v>
      </x:c>
      <x:c r="B6950" s="0" t="s">
        <x:v>27661</x:v>
      </x:c>
      <x:c r="C6950" s="0" t="s">
        <x:v>27662</x:v>
      </x:c>
      <x:c r="E6950" s="0" t="s">
        <x:v>27663</x:v>
      </x:c>
      <x:c r="F6950" s="0" t="s">
        <x:v>45</x:v>
      </x:c>
      <x:c r="G6950" s="0" t="s">
        <x:v>19</x:v>
      </x:c>
      <x:c r="H6950" s="0" t="s">
        <x:v>20</x:v>
      </x:c>
      <x:c r="I6950" s="0" t="s">
        <x:v>21</x:v>
      </x:c>
      <x:c r="K6950" s="0">
        <x:f>hyperlink("https://icd.who.int/dev11/l-ichi/en#/http%3A%2F%2Fid.who.int%2Ficd%2Fentity%2F557794675","browser")</x:f>
      </x:c>
      <x:c r="L6950" s="0">
        <x:f>hyperlink("https://icat2.azurewebsites.net/icat/?ontology=ICD&amp;tab=ClassesTab&amp;id=http%3A%2F%2Fwho.int%2Ficd%2341689_512ebf36_bf6b_4d70_85da_cf2637062af4","iCat")</x:f>
      </x:c>
      <x:c r="M6950" s="0" t="s">
        <x:v>21</x:v>
      </x:c>
      <x:c r="N6950" s="0" t="s">
        <x:v>46</x:v>
      </x:c>
    </x:row>
    <x:row r="6951" spans="1:16">
      <x:c r="A6951" s="0" t="s">
        <x:v>27664</x:v>
      </x:c>
      <x:c r="B6951" s="0" t="s">
        <x:v>27665</x:v>
      </x:c>
      <x:c r="C6951" s="0" t="s">
        <x:v>27666</x:v>
      </x:c>
      <x:c r="E6951" s="0" t="s">
        <x:v>27667</x:v>
      </x:c>
      <x:c r="F6951" s="0" t="s">
        <x:v>45</x:v>
      </x:c>
      <x:c r="G6951" s="0" t="s">
        <x:v>19</x:v>
      </x:c>
      <x:c r="H6951" s="0" t="s">
        <x:v>20</x:v>
      </x:c>
      <x:c r="I6951" s="0" t="s">
        <x:v>21</x:v>
      </x:c>
      <x:c r="K6951" s="0">
        <x:f>hyperlink("https://icd.who.int/dev11/l-ichi/en#/http%3A%2F%2Fid.who.int%2Ficd%2Fentity%2F1979255548","browser")</x:f>
      </x:c>
      <x:c r="L6951" s="0">
        <x:f>hyperlink("https://icat2.azurewebsites.net/icat/?ontology=ICD&amp;tab=ClassesTab&amp;id=http%3A%2F%2Fwho.int%2Ficd%2341696_512ebf36_bf6b_4d70_85da_cf2637062af4","iCat")</x:f>
      </x:c>
      <x:c r="M6951" s="0" t="s">
        <x:v>21</x:v>
      </x:c>
      <x:c r="N6951" s="0" t="s">
        <x:v>46</x:v>
      </x:c>
    </x:row>
    <x:row r="6952" spans="1:16">
      <x:c r="A6952" s="0" t="s">
        <x:v>27668</x:v>
      </x:c>
      <x:c r="B6952" s="0" t="s">
        <x:v>27669</x:v>
      </x:c>
      <x:c r="C6952" s="0" t="s">
        <x:v>27670</x:v>
      </x:c>
      <x:c r="E6952" s="0" t="s">
        <x:v>27671</x:v>
      </x:c>
      <x:c r="F6952" s="0" t="s">
        <x:v>45</x:v>
      </x:c>
      <x:c r="G6952" s="0" t="s">
        <x:v>19</x:v>
      </x:c>
      <x:c r="H6952" s="0" t="s">
        <x:v>20</x:v>
      </x:c>
      <x:c r="I6952" s="0" t="s">
        <x:v>21</x:v>
      </x:c>
      <x:c r="K6952" s="0">
        <x:f>hyperlink("https://icd.who.int/dev11/l-ichi/en#/http%3A%2F%2Fid.who.int%2Ficd%2Fentity%2F1617737404","browser")</x:f>
      </x:c>
      <x:c r="L6952" s="0">
        <x:f>hyperlink("https://icat2.azurewebsites.net/icat/?ontology=ICD&amp;tab=ClassesTab&amp;id=http%3A%2F%2Fwho.int%2Ficd%2341703_512ebf36_bf6b_4d70_85da_cf2637062af4","iCat")</x:f>
      </x:c>
      <x:c r="M6952" s="0" t="s">
        <x:v>21</x:v>
      </x:c>
      <x:c r="N6952" s="0" t="s">
        <x:v>46</x:v>
      </x:c>
    </x:row>
    <x:row r="6953" spans="1:16">
      <x:c r="A6953" s="0" t="s">
        <x:v>27672</x:v>
      </x:c>
      <x:c r="B6953" s="0" t="s">
        <x:v>27673</x:v>
      </x:c>
      <x:c r="C6953" s="0" t="s">
        <x:v>27674</x:v>
      </x:c>
      <x:c r="E6953" s="0" t="s">
        <x:v>27675</x:v>
      </x:c>
      <x:c r="F6953" s="0" t="s">
        <x:v>45</x:v>
      </x:c>
      <x:c r="G6953" s="0" t="s">
        <x:v>19</x:v>
      </x:c>
      <x:c r="H6953" s="0" t="s">
        <x:v>20</x:v>
      </x:c>
      <x:c r="I6953" s="0" t="s">
        <x:v>21</x:v>
      </x:c>
      <x:c r="K6953" s="0">
        <x:f>hyperlink("https://icd.who.int/dev11/l-ichi/en#/http%3A%2F%2Fid.who.int%2Ficd%2Fentity%2F2049673314","browser")</x:f>
      </x:c>
      <x:c r="L6953" s="0">
        <x:f>hyperlink("https://icat2.azurewebsites.net/icat/?ontology=ICD&amp;tab=ClassesTab&amp;id=http%3A%2F%2Fwho.int%2Ficd%2341714_512ebf36_bf6b_4d70_85da_cf2637062af4","iCat")</x:f>
      </x:c>
      <x:c r="M6953" s="0" t="s">
        <x:v>21</x:v>
      </x:c>
      <x:c r="N6953" s="0" t="s">
        <x:v>46</x:v>
      </x:c>
    </x:row>
    <x:row r="6954" spans="1:16">
      <x:c r="A6954" s="0" t="s">
        <x:v>27676</x:v>
      </x:c>
      <x:c r="B6954" s="0" t="s">
        <x:v>27677</x:v>
      </x:c>
      <x:c r="C6954" s="0" t="s">
        <x:v>27678</x:v>
      </x:c>
      <x:c r="E6954" s="0" t="s">
        <x:v>27679</x:v>
      </x:c>
      <x:c r="F6954" s="0" t="s">
        <x:v>45</x:v>
      </x:c>
      <x:c r="G6954" s="0" t="s">
        <x:v>19</x:v>
      </x:c>
      <x:c r="H6954" s="0" t="s">
        <x:v>20</x:v>
      </x:c>
      <x:c r="I6954" s="0" t="s">
        <x:v>21</x:v>
      </x:c>
      <x:c r="K6954" s="0">
        <x:f>hyperlink("https://icd.who.int/dev11/l-ichi/en#/http%3A%2F%2Fid.who.int%2Ficd%2Fentity%2F795115055","browser")</x:f>
      </x:c>
      <x:c r="L6954" s="0">
        <x:f>hyperlink("https://icat2.azurewebsites.net/icat/?ontology=ICD&amp;tab=ClassesTab&amp;id=http%3A%2F%2Fwho.int%2Ficd%2341721_512ebf36_bf6b_4d70_85da_cf2637062af4","iCat")</x:f>
      </x:c>
      <x:c r="M6954" s="0" t="s">
        <x:v>21</x:v>
      </x:c>
      <x:c r="N6954" s="0" t="s">
        <x:v>46</x:v>
      </x:c>
    </x:row>
    <x:row r="6955" spans="1:16">
      <x:c r="A6955" s="0" t="s">
        <x:v>27680</x:v>
      </x:c>
      <x:c r="B6955" s="0" t="s">
        <x:v>27681</x:v>
      </x:c>
      <x:c r="C6955" s="0" t="s">
        <x:v>27682</x:v>
      </x:c>
      <x:c r="E6955" s="0" t="s">
        <x:v>27683</x:v>
      </x:c>
      <x:c r="F6955" s="0" t="s">
        <x:v>45</x:v>
      </x:c>
      <x:c r="G6955" s="0" t="s">
        <x:v>19</x:v>
      </x:c>
      <x:c r="H6955" s="0" t="s">
        <x:v>20</x:v>
      </x:c>
      <x:c r="I6955" s="0" t="s">
        <x:v>21</x:v>
      </x:c>
      <x:c r="K6955" s="0">
        <x:f>hyperlink("https://icd.who.int/dev11/l-ichi/en#/http%3A%2F%2Fid.who.int%2Ficd%2Fentity%2F1092386120","browser")</x:f>
      </x:c>
      <x:c r="L6955" s="0">
        <x:f>hyperlink("https://icat2.azurewebsites.net/icat/?ontology=ICD&amp;tab=ClassesTab&amp;id=http%3A%2F%2Fwho.int%2Ficd%2341728_512ebf36_bf6b_4d70_85da_cf2637062af4","iCat")</x:f>
      </x:c>
      <x:c r="M6955" s="0" t="s">
        <x:v>21</x:v>
      </x:c>
      <x:c r="N6955" s="0" t="s">
        <x:v>46</x:v>
      </x:c>
    </x:row>
    <x:row r="6956" spans="1:16">
      <x:c r="A6956" s="0" t="s">
        <x:v>27684</x:v>
      </x:c>
      <x:c r="B6956" s="0" t="s">
        <x:v>27685</x:v>
      </x:c>
      <x:c r="C6956" s="0" t="s">
        <x:v>27686</x:v>
      </x:c>
      <x:c r="E6956" s="0" t="s">
        <x:v>27687</x:v>
      </x:c>
      <x:c r="F6956" s="0" t="s">
        <x:v>45</x:v>
      </x:c>
      <x:c r="G6956" s="0" t="s">
        <x:v>19</x:v>
      </x:c>
      <x:c r="H6956" s="0" t="s">
        <x:v>20</x:v>
      </x:c>
      <x:c r="I6956" s="0" t="s">
        <x:v>21</x:v>
      </x:c>
      <x:c r="K6956" s="0">
        <x:f>hyperlink("https://icd.who.int/dev11/l-ichi/en#/http%3A%2F%2Fid.who.int%2Ficd%2Fentity%2F1889939214","browser")</x:f>
      </x:c>
      <x:c r="L6956" s="0">
        <x:f>hyperlink("https://icat2.azurewebsites.net/icat/?ontology=ICD&amp;tab=ClassesTab&amp;id=http%3A%2F%2Fwho.int%2Ficd%2341735_512ebf36_bf6b_4d70_85da_cf2637062af4","iCat")</x:f>
      </x:c>
      <x:c r="M6956" s="0" t="s">
        <x:v>21</x:v>
      </x:c>
      <x:c r="N6956" s="0" t="s">
        <x:v>46</x:v>
      </x:c>
    </x:row>
    <x:row r="6957" spans="1:16">
      <x:c r="A6957" s="0" t="s">
        <x:v>27688</x:v>
      </x:c>
      <x:c r="B6957" s="0" t="s">
        <x:v>27689</x:v>
      </x:c>
      <x:c r="C6957" s="0" t="s">
        <x:v>27690</x:v>
      </x:c>
      <x:c r="E6957" s="0" t="s">
        <x:v>27691</x:v>
      </x:c>
      <x:c r="F6957" s="0" t="s">
        <x:v>45</x:v>
      </x:c>
      <x:c r="G6957" s="0" t="s">
        <x:v>19</x:v>
      </x:c>
      <x:c r="H6957" s="0" t="s">
        <x:v>20</x:v>
      </x:c>
      <x:c r="I6957" s="0" t="s">
        <x:v>21</x:v>
      </x:c>
      <x:c r="K6957" s="0">
        <x:f>hyperlink("https://icd.who.int/dev11/l-ichi/en#/http%3A%2F%2Fid.who.int%2Ficd%2Fentity%2F821204891","browser")</x:f>
      </x:c>
      <x:c r="L6957" s="0">
        <x:f>hyperlink("https://icat2.azurewebsites.net/icat/?ontology=ICD&amp;tab=ClassesTab&amp;id=http%3A%2F%2Fwho.int%2Ficd%2341742_512ebf36_bf6b_4d70_85da_cf2637062af4","iCat")</x:f>
      </x:c>
      <x:c r="M6957" s="0" t="s">
        <x:v>21</x:v>
      </x:c>
      <x:c r="N6957" s="0" t="s">
        <x:v>46</x:v>
      </x:c>
    </x:row>
    <x:row r="6958" spans="1:16">
      <x:c r="A6958" s="0" t="s">
        <x:v>27692</x:v>
      </x:c>
      <x:c r="B6958" s="0" t="s">
        <x:v>27693</x:v>
      </x:c>
      <x:c r="C6958" s="0" t="s">
        <x:v>27694</x:v>
      </x:c>
      <x:c r="E6958" s="0" t="s">
        <x:v>27695</x:v>
      </x:c>
      <x:c r="F6958" s="0" t="s">
        <x:v>45</x:v>
      </x:c>
      <x:c r="G6958" s="0" t="s">
        <x:v>19</x:v>
      </x:c>
      <x:c r="H6958" s="0" t="s">
        <x:v>20</x:v>
      </x:c>
      <x:c r="I6958" s="0" t="s">
        <x:v>21</x:v>
      </x:c>
      <x:c r="K6958" s="0">
        <x:f>hyperlink("https://icd.who.int/dev11/l-ichi/en#/http%3A%2F%2Fid.who.int%2Ficd%2Fentity%2F1061887753","browser")</x:f>
      </x:c>
      <x:c r="L6958" s="0">
        <x:f>hyperlink("https://icat2.azurewebsites.net/icat/?ontology=ICD&amp;tab=ClassesTab&amp;id=http%3A%2F%2Fwho.int%2Ficd%2341750_512ebf36_bf6b_4d70_85da_cf2637062af4","iCat")</x:f>
      </x:c>
      <x:c r="M6958" s="0" t="s">
        <x:v>21</x:v>
      </x:c>
      <x:c r="N6958" s="0" t="s">
        <x:v>46</x:v>
      </x:c>
    </x:row>
    <x:row r="6959" spans="1:16">
      <x:c r="A6959" s="0" t="s">
        <x:v>27696</x:v>
      </x:c>
      <x:c r="B6959" s="0" t="s">
        <x:v>27697</x:v>
      </x:c>
      <x:c r="C6959" s="0" t="s">
        <x:v>27698</x:v>
      </x:c>
      <x:c r="E6959" s="0" t="s">
        <x:v>27699</x:v>
      </x:c>
      <x:c r="F6959" s="0" t="s">
        <x:v>45</x:v>
      </x:c>
      <x:c r="G6959" s="0" t="s">
        <x:v>19</x:v>
      </x:c>
      <x:c r="H6959" s="0" t="s">
        <x:v>20</x:v>
      </x:c>
      <x:c r="I6959" s="0" t="s">
        <x:v>21</x:v>
      </x:c>
      <x:c r="K6959" s="0">
        <x:f>hyperlink("https://icd.who.int/dev11/l-ichi/en#/http%3A%2F%2Fid.who.int%2Ficd%2Fentity%2F1338619012","browser")</x:f>
      </x:c>
      <x:c r="L6959" s="0">
        <x:f>hyperlink("https://icat2.azurewebsites.net/icat/?ontology=ICD&amp;tab=ClassesTab&amp;id=http%3A%2F%2Fwho.int%2Ficd%2341757_512ebf36_bf6b_4d70_85da_cf2637062af4","iCat")</x:f>
      </x:c>
      <x:c r="M6959" s="0" t="s">
        <x:v>21</x:v>
      </x:c>
      <x:c r="N6959" s="0" t="s">
        <x:v>46</x:v>
      </x:c>
    </x:row>
    <x:row r="6960" spans="1:16">
      <x:c r="A6960" s="0" t="s">
        <x:v>27700</x:v>
      </x:c>
      <x:c r="B6960" s="0" t="s">
        <x:v>27701</x:v>
      </x:c>
      <x:c r="C6960" s="0" t="s">
        <x:v>27702</x:v>
      </x:c>
      <x:c r="E6960" s="0" t="s">
        <x:v>27703</x:v>
      </x:c>
      <x:c r="F6960" s="0" t="s">
        <x:v>45</x:v>
      </x:c>
      <x:c r="G6960" s="0" t="s">
        <x:v>19</x:v>
      </x:c>
      <x:c r="H6960" s="0" t="s">
        <x:v>20</x:v>
      </x:c>
      <x:c r="I6960" s="0" t="s">
        <x:v>21</x:v>
      </x:c>
      <x:c r="K6960" s="0">
        <x:f>hyperlink("https://icd.who.int/dev11/l-ichi/en#/http%3A%2F%2Fid.who.int%2Ficd%2Fentity%2F1258134394","browser")</x:f>
      </x:c>
      <x:c r="L6960" s="0">
        <x:f>hyperlink("https://icat2.azurewebsites.net/icat/?ontology=ICD&amp;tab=ClassesTab&amp;id=http%3A%2F%2Fwho.int%2Ficd%2341764_512ebf36_bf6b_4d70_85da_cf2637062af4","iCat")</x:f>
      </x:c>
      <x:c r="M6960" s="0" t="s">
        <x:v>21</x:v>
      </x:c>
      <x:c r="N6960" s="0" t="s">
        <x:v>46</x:v>
      </x:c>
    </x:row>
    <x:row r="6961" spans="1:16">
      <x:c r="A6961" s="0" t="s">
        <x:v>27704</x:v>
      </x:c>
      <x:c r="B6961" s="0" t="s">
        <x:v>27705</x:v>
      </x:c>
      <x:c r="C6961" s="0" t="s">
        <x:v>27706</x:v>
      </x:c>
      <x:c r="E6961" s="0" t="s">
        <x:v>27707</x:v>
      </x:c>
      <x:c r="F6961" s="0" t="s">
        <x:v>45</x:v>
      </x:c>
      <x:c r="G6961" s="0" t="s">
        <x:v>19</x:v>
      </x:c>
      <x:c r="H6961" s="0" t="s">
        <x:v>20</x:v>
      </x:c>
      <x:c r="I6961" s="0" t="s">
        <x:v>21</x:v>
      </x:c>
      <x:c r="K6961" s="0">
        <x:f>hyperlink("https://icd.who.int/dev11/l-ichi/en#/http%3A%2F%2Fid.who.int%2Ficd%2Fentity%2F902215781","browser")</x:f>
      </x:c>
      <x:c r="L6961" s="0">
        <x:f>hyperlink("https://icat2.azurewebsites.net/icat/?ontology=ICD&amp;tab=ClassesTab&amp;id=http%3A%2F%2Fwho.int%2Ficd%2341771_512ebf36_bf6b_4d70_85da_cf2637062af4","iCat")</x:f>
      </x:c>
      <x:c r="M6961" s="0" t="s">
        <x:v>21</x:v>
      </x:c>
      <x:c r="N6961" s="0" t="s">
        <x:v>46</x:v>
      </x:c>
    </x:row>
    <x:row r="6962" spans="1:16">
      <x:c r="A6962" s="0" t="s">
        <x:v>27708</x:v>
      </x:c>
      <x:c r="B6962" s="0" t="s">
        <x:v>27709</x:v>
      </x:c>
      <x:c r="C6962" s="0" t="s">
        <x:v>27710</x:v>
      </x:c>
      <x:c r="E6962" s="0" t="s">
        <x:v>27711</x:v>
      </x:c>
      <x:c r="F6962" s="0" t="s">
        <x:v>45</x:v>
      </x:c>
      <x:c r="G6962" s="0" t="s">
        <x:v>19</x:v>
      </x:c>
      <x:c r="H6962" s="0" t="s">
        <x:v>20</x:v>
      </x:c>
      <x:c r="I6962" s="0" t="s">
        <x:v>21</x:v>
      </x:c>
      <x:c r="K6962" s="0">
        <x:f>hyperlink("https://icd.who.int/dev11/l-ichi/en#/http%3A%2F%2Fid.who.int%2Ficd%2Fentity%2F1539226382","browser")</x:f>
      </x:c>
      <x:c r="L6962" s="0">
        <x:f>hyperlink("https://icat2.azurewebsites.net/icat/?ontology=ICD&amp;tab=ClassesTab&amp;id=http%3A%2F%2Fwho.int%2Ficd%2341778_512ebf36_bf6b_4d70_85da_cf2637062af4","iCat")</x:f>
      </x:c>
      <x:c r="M6962" s="0" t="s">
        <x:v>21</x:v>
      </x:c>
      <x:c r="N6962" s="0" t="s">
        <x:v>46</x:v>
      </x:c>
    </x:row>
    <x:row r="6963" spans="1:16">
      <x:c r="A6963" s="0" t="s">
        <x:v>27712</x:v>
      </x:c>
      <x:c r="B6963" s="0" t="s">
        <x:v>27713</x:v>
      </x:c>
      <x:c r="C6963" s="0" t="s">
        <x:v>27714</x:v>
      </x:c>
      <x:c r="E6963" s="0" t="s">
        <x:v>27715</x:v>
      </x:c>
      <x:c r="F6963" s="0" t="s">
        <x:v>45</x:v>
      </x:c>
      <x:c r="G6963" s="0" t="s">
        <x:v>19</x:v>
      </x:c>
      <x:c r="H6963" s="0" t="s">
        <x:v>20</x:v>
      </x:c>
      <x:c r="I6963" s="0" t="s">
        <x:v>21</x:v>
      </x:c>
      <x:c r="K6963" s="0">
        <x:f>hyperlink("https://icd.who.int/dev11/l-ichi/en#/http%3A%2F%2Fid.who.int%2Ficd%2Fentity%2F791033551","browser")</x:f>
      </x:c>
      <x:c r="L6963" s="0">
        <x:f>hyperlink("https://icat2.azurewebsites.net/icat/?ontology=ICD&amp;tab=ClassesTab&amp;id=http%3A%2F%2Fwho.int%2Ficd%2341785_512ebf36_bf6b_4d70_85da_cf2637062af4","iCat")</x:f>
      </x:c>
      <x:c r="M6963" s="0" t="s">
        <x:v>21</x:v>
      </x:c>
      <x:c r="N6963" s="0" t="s">
        <x:v>46</x:v>
      </x:c>
    </x:row>
    <x:row r="6964" spans="1:16">
      <x:c r="A6964" s="0" t="s">
        <x:v>27716</x:v>
      </x:c>
      <x:c r="B6964" s="0" t="s">
        <x:v>27717</x:v>
      </x:c>
      <x:c r="C6964" s="0" t="s">
        <x:v>27718</x:v>
      </x:c>
      <x:c r="E6964" s="0" t="s">
        <x:v>27719</x:v>
      </x:c>
      <x:c r="F6964" s="0" t="s">
        <x:v>45</x:v>
      </x:c>
      <x:c r="G6964" s="0" t="s">
        <x:v>19</x:v>
      </x:c>
      <x:c r="H6964" s="0" t="s">
        <x:v>20</x:v>
      </x:c>
      <x:c r="I6964" s="0" t="s">
        <x:v>21</x:v>
      </x:c>
      <x:c r="K6964" s="0">
        <x:f>hyperlink("https://icd.who.int/dev11/l-ichi/en#/http%3A%2F%2Fid.who.int%2Ficd%2Fentity%2F1696256420","browser")</x:f>
      </x:c>
      <x:c r="L6964" s="0">
        <x:f>hyperlink("https://icat2.azurewebsites.net/icat/?ontology=ICD&amp;tab=ClassesTab&amp;id=http%3A%2F%2Fwho.int%2Ficd%2341794_512ebf36_bf6b_4d70_85da_cf2637062af4","iCat")</x:f>
      </x:c>
      <x:c r="M6964" s="0" t="s">
        <x:v>21</x:v>
      </x:c>
      <x:c r="N6964" s="0" t="s">
        <x:v>46</x:v>
      </x:c>
    </x:row>
    <x:row r="6965" spans="1:16">
      <x:c r="A6965" s="0" t="s">
        <x:v>27720</x:v>
      </x:c>
      <x:c r="B6965" s="0" t="s">
        <x:v>27721</x:v>
      </x:c>
      <x:c r="C6965" s="0" t="s">
        <x:v>27722</x:v>
      </x:c>
      <x:c r="E6965" s="0" t="s">
        <x:v>27723</x:v>
      </x:c>
      <x:c r="F6965" s="0" t="s">
        <x:v>45</x:v>
      </x:c>
      <x:c r="G6965" s="0" t="s">
        <x:v>19</x:v>
      </x:c>
      <x:c r="H6965" s="0" t="s">
        <x:v>20</x:v>
      </x:c>
      <x:c r="I6965" s="0" t="s">
        <x:v>21</x:v>
      </x:c>
      <x:c r="K6965" s="0">
        <x:f>hyperlink("https://icd.who.int/dev11/l-ichi/en#/http%3A%2F%2Fid.who.int%2Ficd%2Fentity%2F1935489913","browser")</x:f>
      </x:c>
      <x:c r="L6965" s="0">
        <x:f>hyperlink("https://icat2.azurewebsites.net/icat/?ontology=ICD&amp;tab=ClassesTab&amp;id=http%3A%2F%2Fwho.int%2Ficd%2341801_512ebf36_bf6b_4d70_85da_cf2637062af4","iCat")</x:f>
      </x:c>
      <x:c r="M6965" s="0" t="s">
        <x:v>21</x:v>
      </x:c>
      <x:c r="N6965" s="0" t="s">
        <x:v>46</x:v>
      </x:c>
    </x:row>
    <x:row r="6966" spans="1:16">
      <x:c r="A6966" s="0" t="s">
        <x:v>27724</x:v>
      </x:c>
      <x:c r="B6966" s="0" t="s">
        <x:v>27725</x:v>
      </x:c>
      <x:c r="C6966" s="0" t="s">
        <x:v>27726</x:v>
      </x:c>
      <x:c r="E6966" s="0" t="s">
        <x:v>27727</x:v>
      </x:c>
      <x:c r="F6966" s="0" t="s">
        <x:v>45</x:v>
      </x:c>
      <x:c r="G6966" s="0" t="s">
        <x:v>19</x:v>
      </x:c>
      <x:c r="H6966" s="0" t="s">
        <x:v>20</x:v>
      </x:c>
      <x:c r="I6966" s="0" t="s">
        <x:v>21</x:v>
      </x:c>
      <x:c r="K6966" s="0">
        <x:f>hyperlink("https://icd.who.int/dev11/l-ichi/en#/http%3A%2F%2Fid.who.int%2Ficd%2Fentity%2F488978450","browser")</x:f>
      </x:c>
      <x:c r="L6966" s="0">
        <x:f>hyperlink("https://icat2.azurewebsites.net/icat/?ontology=ICD&amp;tab=ClassesTab&amp;id=http%3A%2F%2Fwho.int%2Ficd%2341808_512ebf36_bf6b_4d70_85da_cf2637062af4","iCat")</x:f>
      </x:c>
      <x:c r="M6966" s="0" t="s">
        <x:v>21</x:v>
      </x:c>
      <x:c r="N6966" s="0" t="s">
        <x:v>46</x:v>
      </x:c>
    </x:row>
    <x:row r="6967" spans="1:16">
      <x:c r="A6967" s="0" t="s">
        <x:v>27728</x:v>
      </x:c>
      <x:c r="B6967" s="0" t="s">
        <x:v>27729</x:v>
      </x:c>
      <x:c r="C6967" s="0" t="s">
        <x:v>27730</x:v>
      </x:c>
      <x:c r="E6967" s="0" t="s">
        <x:v>27731</x:v>
      </x:c>
      <x:c r="F6967" s="0" t="s">
        <x:v>45</x:v>
      </x:c>
      <x:c r="G6967" s="0" t="s">
        <x:v>19</x:v>
      </x:c>
      <x:c r="H6967" s="0" t="s">
        <x:v>20</x:v>
      </x:c>
      <x:c r="I6967" s="0" t="s">
        <x:v>21</x:v>
      </x:c>
      <x:c r="K6967" s="0">
        <x:f>hyperlink("https://icd.who.int/dev11/l-ichi/en#/http%3A%2F%2Fid.who.int%2Ficd%2Fentity%2F748644956","browser")</x:f>
      </x:c>
      <x:c r="L6967" s="0">
        <x:f>hyperlink("https://icat2.azurewebsites.net/icat/?ontology=ICD&amp;tab=ClassesTab&amp;id=http%3A%2F%2Fwho.int%2Ficd%2341815_512ebf36_bf6b_4d70_85da_cf2637062af4","iCat")</x:f>
      </x:c>
      <x:c r="M6967" s="0" t="s">
        <x:v>21</x:v>
      </x:c>
      <x:c r="N6967" s="0" t="s">
        <x:v>46</x:v>
      </x:c>
    </x:row>
    <x:row r="6968" spans="1:16">
      <x:c r="A6968" s="0" t="s">
        <x:v>27732</x:v>
      </x:c>
      <x:c r="B6968" s="0" t="s">
        <x:v>27733</x:v>
      </x:c>
      <x:c r="C6968" s="0" t="s">
        <x:v>27734</x:v>
      </x:c>
      <x:c r="E6968" s="0" t="s">
        <x:v>27735</x:v>
      </x:c>
      <x:c r="F6968" s="0" t="s">
        <x:v>45</x:v>
      </x:c>
      <x:c r="G6968" s="0" t="s">
        <x:v>19</x:v>
      </x:c>
      <x:c r="H6968" s="0" t="s">
        <x:v>20</x:v>
      </x:c>
      <x:c r="I6968" s="0" t="s">
        <x:v>21</x:v>
      </x:c>
      <x:c r="K6968" s="0">
        <x:f>hyperlink("https://icd.who.int/dev11/l-ichi/en#/http%3A%2F%2Fid.who.int%2Ficd%2Fentity%2F699090342","browser")</x:f>
      </x:c>
      <x:c r="L6968" s="0">
        <x:f>hyperlink("https://icat2.azurewebsites.net/icat/?ontology=ICD&amp;tab=ClassesTab&amp;id=http%3A%2F%2Fwho.int%2Ficd%2341826_512ebf36_bf6b_4d70_85da_cf2637062af4","iCat")</x:f>
      </x:c>
      <x:c r="M6968" s="0" t="s">
        <x:v>21</x:v>
      </x:c>
      <x:c r="N6968" s="0" t="s">
        <x:v>46</x:v>
      </x:c>
    </x:row>
    <x:row r="6969" spans="1:16">
      <x:c r="A6969" s="0" t="s">
        <x:v>27736</x:v>
      </x:c>
      <x:c r="B6969" s="0" t="s">
        <x:v>27737</x:v>
      </x:c>
      <x:c r="C6969" s="0" t="s">
        <x:v>27738</x:v>
      </x:c>
      <x:c r="E6969" s="0" t="s">
        <x:v>27739</x:v>
      </x:c>
      <x:c r="F6969" s="0" t="s">
        <x:v>45</x:v>
      </x:c>
      <x:c r="G6969" s="0" t="s">
        <x:v>19</x:v>
      </x:c>
      <x:c r="H6969" s="0" t="s">
        <x:v>20</x:v>
      </x:c>
      <x:c r="I6969" s="0" t="s">
        <x:v>21</x:v>
      </x:c>
      <x:c r="K6969" s="0">
        <x:f>hyperlink("https://icd.who.int/dev11/l-ichi/en#/http%3A%2F%2Fid.who.int%2Ficd%2Fentity%2F1670881999","browser")</x:f>
      </x:c>
      <x:c r="L6969" s="0">
        <x:f>hyperlink("https://icat2.azurewebsites.net/icat/?ontology=ICD&amp;tab=ClassesTab&amp;id=http%3A%2F%2Fwho.int%2Ficd%2341837_512ebf36_bf6b_4d70_85da_cf2637062af4","iCat")</x:f>
      </x:c>
      <x:c r="M6969" s="0" t="s">
        <x:v>21</x:v>
      </x:c>
      <x:c r="N6969" s="0" t="s">
        <x:v>46</x:v>
      </x:c>
    </x:row>
    <x:row r="6970" spans="1:16">
      <x:c r="A6970" s="0" t="s">
        <x:v>27740</x:v>
      </x:c>
      <x:c r="B6970" s="0" t="s">
        <x:v>27741</x:v>
      </x:c>
      <x:c r="C6970" s="0" t="s">
        <x:v>27742</x:v>
      </x:c>
      <x:c r="E6970" s="0" t="s">
        <x:v>27743</x:v>
      </x:c>
      <x:c r="F6970" s="0" t="s">
        <x:v>45</x:v>
      </x:c>
      <x:c r="G6970" s="0" t="s">
        <x:v>19</x:v>
      </x:c>
      <x:c r="H6970" s="0" t="s">
        <x:v>20</x:v>
      </x:c>
      <x:c r="I6970" s="0" t="s">
        <x:v>21</x:v>
      </x:c>
      <x:c r="K6970" s="0">
        <x:f>hyperlink("https://icd.who.int/dev11/l-ichi/en#/http%3A%2F%2Fid.who.int%2Ficd%2Fentity%2F1396814293","browser")</x:f>
      </x:c>
      <x:c r="L6970" s="0">
        <x:f>hyperlink("https://icat2.azurewebsites.net/icat/?ontology=ICD&amp;tab=ClassesTab&amp;id=http%3A%2F%2Fwho.int%2Ficd%2341847_512ebf36_bf6b_4d70_85da_cf2637062af4","iCat")</x:f>
      </x:c>
      <x:c r="M6970" s="0" t="s">
        <x:v>21</x:v>
      </x:c>
      <x:c r="N6970" s="0" t="s">
        <x:v>46</x:v>
      </x:c>
    </x:row>
    <x:row r="6971" spans="1:16">
      <x:c r="A6971" s="0" t="s">
        <x:v>27744</x:v>
      </x:c>
      <x:c r="B6971" s="0" t="s">
        <x:v>27745</x:v>
      </x:c>
      <x:c r="C6971" s="0" t="s">
        <x:v>27746</x:v>
      </x:c>
      <x:c r="E6971" s="0" t="s">
        <x:v>27747</x:v>
      </x:c>
      <x:c r="F6971" s="0" t="s">
        <x:v>45</x:v>
      </x:c>
      <x:c r="G6971" s="0" t="s">
        <x:v>19</x:v>
      </x:c>
      <x:c r="H6971" s="0" t="s">
        <x:v>20</x:v>
      </x:c>
      <x:c r="I6971" s="0" t="s">
        <x:v>21</x:v>
      </x:c>
      <x:c r="K6971" s="0">
        <x:f>hyperlink("https://icd.who.int/dev11/l-ichi/en#/http%3A%2F%2Fid.who.int%2Ficd%2Fentity%2F126352988","browser")</x:f>
      </x:c>
      <x:c r="L6971" s="0">
        <x:f>hyperlink("https://icat2.azurewebsites.net/icat/?ontology=ICD&amp;tab=ClassesTab&amp;id=http%3A%2F%2Fwho.int%2Ficd%2341858_512ebf36_bf6b_4d70_85da_cf2637062af4","iCat")</x:f>
      </x:c>
      <x:c r="M6971" s="0" t="s">
        <x:v>21</x:v>
      </x:c>
      <x:c r="N6971" s="0" t="s">
        <x:v>46</x:v>
      </x:c>
    </x:row>
    <x:row r="6972" spans="1:16">
      <x:c r="A6972" s="0" t="s">
        <x:v>27748</x:v>
      </x:c>
      <x:c r="B6972" s="0" t="s">
        <x:v>27749</x:v>
      </x:c>
      <x:c r="C6972" s="0" t="s">
        <x:v>27750</x:v>
      </x:c>
      <x:c r="E6972" s="0" t="s">
        <x:v>27751</x:v>
      </x:c>
      <x:c r="F6972" s="0" t="s">
        <x:v>45</x:v>
      </x:c>
      <x:c r="G6972" s="0" t="s">
        <x:v>19</x:v>
      </x:c>
      <x:c r="H6972" s="0" t="s">
        <x:v>20</x:v>
      </x:c>
      <x:c r="I6972" s="0" t="s">
        <x:v>21</x:v>
      </x:c>
      <x:c r="K6972" s="0">
        <x:f>hyperlink("https://icd.who.int/dev11/l-ichi/en#/http%3A%2F%2Fid.who.int%2Ficd%2Fentity%2F1741671521","browser")</x:f>
      </x:c>
      <x:c r="L6972" s="0">
        <x:f>hyperlink("https://icat2.azurewebsites.net/icat/?ontology=ICD&amp;tab=ClassesTab&amp;id=http%3A%2F%2Fwho.int%2Ficd%2341869_512ebf36_bf6b_4d70_85da_cf2637062af4","iCat")</x:f>
      </x:c>
      <x:c r="M6972" s="0" t="s">
        <x:v>21</x:v>
      </x:c>
      <x:c r="N6972" s="0" t="s">
        <x:v>46</x:v>
      </x:c>
    </x:row>
    <x:row r="6973" spans="1:16">
      <x:c r="A6973" s="0" t="s">
        <x:v>27752</x:v>
      </x:c>
      <x:c r="B6973" s="0" t="s">
        <x:v>27753</x:v>
      </x:c>
      <x:c r="D6973" s="0" t="s">
        <x:v>27754</x:v>
      </x:c>
      <x:c r="E6973" s="0" t="s">
        <x:v>27755</x:v>
      </x:c>
      <x:c r="F6973" s="0" t="s">
        <x:v>26</x:v>
      </x:c>
      <x:c r="G6973" s="0" t="s">
        <x:v>22</x:v>
      </x:c>
      <x:c r="H6973" s="0" t="s">
        <x:v>20</x:v>
      </x:c>
      <x:c r="I6973" s="0" t="s">
        <x:v>21</x:v>
      </x:c>
      <x:c r="K6973" s="0">
        <x:f>hyperlink("https://icd.who.int/dev11/l-ichi/en#/http%3A%2F%2Fid.who.int%2Ficd%2Fentity%2F1819042493","browser")</x:f>
      </x:c>
      <x:c r="L6973" s="0">
        <x:f>hyperlink("https://icat2.azurewebsites.net/icat/?ontology=ICD&amp;tab=ClassesTab&amp;id=http%3A%2F%2Fwho.int%2Ficd%2341881_512ebf36_bf6b_4d70_85da_cf2637062af4","iCat")</x:f>
      </x:c>
      <x:c r="M6973" s="0" t="s">
        <x:v>20</x:v>
      </x:c>
      <x:c r="N6973" s="0" t="s">
        <x:v>8440</x:v>
      </x:c>
    </x:row>
    <x:row r="6974" spans="1:16">
      <x:c r="A6974" s="0" t="s">
        <x:v>27756</x:v>
      </x:c>
      <x:c r="B6974" s="0" t="s">
        <x:v>27757</x:v>
      </x:c>
      <x:c r="C6974" s="0" t="s">
        <x:v>27758</x:v>
      </x:c>
      <x:c r="E6974" s="0" t="s">
        <x:v>27759</x:v>
      </x:c>
      <x:c r="F6974" s="0" t="s">
        <x:v>45</x:v>
      </x:c>
      <x:c r="G6974" s="0" t="s">
        <x:v>19</x:v>
      </x:c>
      <x:c r="H6974" s="0" t="s">
        <x:v>20</x:v>
      </x:c>
      <x:c r="I6974" s="0" t="s">
        <x:v>21</x:v>
      </x:c>
      <x:c r="K6974" s="0">
        <x:f>hyperlink("https://icd.who.int/dev11/l-ichi/en#/http%3A%2F%2Fid.who.int%2Ficd%2Fentity%2F1284837505","browser")</x:f>
      </x:c>
      <x:c r="L6974" s="0">
        <x:f>hyperlink("https://icat2.azurewebsites.net/icat/?ontology=ICD&amp;tab=ClassesTab&amp;id=http%3A%2F%2Fwho.int%2Ficd%2341880_512ebf36_bf6b_4d70_85da_cf2637062af4","iCat")</x:f>
      </x:c>
      <x:c r="M6974" s="0" t="s">
        <x:v>21</x:v>
      </x:c>
      <x:c r="N6974" s="0" t="s">
        <x:v>46</x:v>
      </x:c>
    </x:row>
    <x:row r="6975" spans="1:16">
      <x:c r="A6975" s="0" t="s">
        <x:v>27760</x:v>
      </x:c>
      <x:c r="B6975" s="0" t="s">
        <x:v>27761</x:v>
      </x:c>
      <x:c r="C6975" s="0" t="s">
        <x:v>27762</x:v>
      </x:c>
      <x:c r="E6975" s="0" t="s">
        <x:v>27763</x:v>
      </x:c>
      <x:c r="F6975" s="0" t="s">
        <x:v>45</x:v>
      </x:c>
      <x:c r="G6975" s="0" t="s">
        <x:v>19</x:v>
      </x:c>
      <x:c r="H6975" s="0" t="s">
        <x:v>20</x:v>
      </x:c>
      <x:c r="I6975" s="0" t="s">
        <x:v>21</x:v>
      </x:c>
      <x:c r="K6975" s="0">
        <x:f>hyperlink("https://icd.who.int/dev11/l-ichi/en#/http%3A%2F%2Fid.who.int%2Ficd%2Fentity%2F1674963503","browser")</x:f>
      </x:c>
      <x:c r="L6975" s="0">
        <x:f>hyperlink("https://icat2.azurewebsites.net/icat/?ontology=ICD&amp;tab=ClassesTab&amp;id=http%3A%2F%2Fwho.int%2Ficd%2341893_512ebf36_bf6b_4d70_85da_cf2637062af4","iCat")</x:f>
      </x:c>
      <x:c r="M6975" s="0" t="s">
        <x:v>21</x:v>
      </x:c>
      <x:c r="N6975" s="0" t="s">
        <x:v>46</x:v>
      </x:c>
    </x:row>
    <x:row r="6976" spans="1:16">
      <x:c r="A6976" s="0" t="s">
        <x:v>27764</x:v>
      </x:c>
      <x:c r="B6976" s="0" t="s">
        <x:v>27765</x:v>
      </x:c>
      <x:c r="C6976" s="0" t="s">
        <x:v>27766</x:v>
      </x:c>
      <x:c r="E6976" s="0" t="s">
        <x:v>27767</x:v>
      </x:c>
      <x:c r="F6976" s="0" t="s">
        <x:v>45</x:v>
      </x:c>
      <x:c r="G6976" s="0" t="s">
        <x:v>19</x:v>
      </x:c>
      <x:c r="H6976" s="0" t="s">
        <x:v>20</x:v>
      </x:c>
      <x:c r="I6976" s="0" t="s">
        <x:v>21</x:v>
      </x:c>
      <x:c r="K6976" s="0">
        <x:f>hyperlink("https://icd.who.int/dev11/l-ichi/en#/http%3A%2F%2Fid.who.int%2Ficd%2Fentity%2F641437658","browser")</x:f>
      </x:c>
      <x:c r="L6976" s="0">
        <x:f>hyperlink("https://icat2.azurewebsites.net/icat/?ontology=ICD&amp;tab=ClassesTab&amp;id=http%3A%2F%2Fwho.int%2Ficd%2341900_512ebf36_bf6b_4d70_85da_cf2637062af4","iCat")</x:f>
      </x:c>
      <x:c r="M6976" s="0" t="s">
        <x:v>21</x:v>
      </x:c>
      <x:c r="N6976" s="0" t="s">
        <x:v>46</x:v>
      </x:c>
    </x:row>
    <x:row r="6977" spans="1:16">
      <x:c r="A6977" s="0" t="s">
        <x:v>27768</x:v>
      </x:c>
      <x:c r="B6977" s="0" t="s">
        <x:v>27769</x:v>
      </x:c>
      <x:c r="C6977" s="0" t="s">
        <x:v>27770</x:v>
      </x:c>
      <x:c r="E6977" s="0" t="s">
        <x:v>27771</x:v>
      </x:c>
      <x:c r="F6977" s="0" t="s">
        <x:v>45</x:v>
      </x:c>
      <x:c r="G6977" s="0" t="s">
        <x:v>19</x:v>
      </x:c>
      <x:c r="H6977" s="0" t="s">
        <x:v>20</x:v>
      </x:c>
      <x:c r="I6977" s="0" t="s">
        <x:v>21</x:v>
      </x:c>
      <x:c r="K6977" s="0">
        <x:f>hyperlink("https://icd.who.int/dev11/l-ichi/en#/http%3A%2F%2Fid.who.int%2Ficd%2Fentity%2F1454974037","browser")</x:f>
      </x:c>
      <x:c r="L6977" s="0">
        <x:f>hyperlink("https://icat2.azurewebsites.net/icat/?ontology=ICD&amp;tab=ClassesTab&amp;id=http%3A%2F%2Fwho.int%2Ficd%2341907_512ebf36_bf6b_4d70_85da_cf2637062af4","iCat")</x:f>
      </x:c>
      <x:c r="M6977" s="0" t="s">
        <x:v>21</x:v>
      </x:c>
      <x:c r="N6977" s="0" t="s">
        <x:v>46</x:v>
      </x:c>
    </x:row>
    <x:row r="6978" spans="1:16">
      <x:c r="A6978" s="0" t="s">
        <x:v>27772</x:v>
      </x:c>
      <x:c r="B6978" s="0" t="s">
        <x:v>27773</x:v>
      </x:c>
      <x:c r="C6978" s="0" t="s">
        <x:v>27774</x:v>
      </x:c>
      <x:c r="E6978" s="0" t="s">
        <x:v>27775</x:v>
      </x:c>
      <x:c r="F6978" s="0" t="s">
        <x:v>45</x:v>
      </x:c>
      <x:c r="G6978" s="0" t="s">
        <x:v>19</x:v>
      </x:c>
      <x:c r="H6978" s="0" t="s">
        <x:v>20</x:v>
      </x:c>
      <x:c r="I6978" s="0" t="s">
        <x:v>21</x:v>
      </x:c>
      <x:c r="K6978" s="0">
        <x:f>hyperlink("https://icd.who.int/dev11/l-ichi/en#/http%3A%2F%2Fid.who.int%2Ficd%2Fentity%2F2046418683","browser")</x:f>
      </x:c>
      <x:c r="L6978" s="0">
        <x:f>hyperlink("https://icat2.azurewebsites.net/icat/?ontology=ICD&amp;tab=ClassesTab&amp;id=http%3A%2F%2Fwho.int%2Ficd%2341914_512ebf36_bf6b_4d70_85da_cf2637062af4","iCat")</x:f>
      </x:c>
      <x:c r="M6978" s="0" t="s">
        <x:v>21</x:v>
      </x:c>
      <x:c r="N6978" s="0" t="s">
        <x:v>46</x:v>
      </x:c>
    </x:row>
    <x:row r="6979" spans="1:16">
      <x:c r="A6979" s="0" t="s">
        <x:v>27776</x:v>
      </x:c>
      <x:c r="B6979" s="0" t="s">
        <x:v>27777</x:v>
      </x:c>
      <x:c r="C6979" s="0" t="s">
        <x:v>27778</x:v>
      </x:c>
      <x:c r="E6979" s="0" t="s">
        <x:v>27779</x:v>
      </x:c>
      <x:c r="F6979" s="0" t="s">
        <x:v>45</x:v>
      </x:c>
      <x:c r="G6979" s="0" t="s">
        <x:v>19</x:v>
      </x:c>
      <x:c r="H6979" s="0" t="s">
        <x:v>20</x:v>
      </x:c>
      <x:c r="I6979" s="0" t="s">
        <x:v>21</x:v>
      </x:c>
      <x:c r="K6979" s="0">
        <x:f>hyperlink("https://icd.who.int/dev11/l-ichi/en#/http%3A%2F%2Fid.who.int%2Ficd%2Fentity%2F750135478","browser")</x:f>
      </x:c>
      <x:c r="L6979" s="0">
        <x:f>hyperlink("https://icat2.azurewebsites.net/icat/?ontology=ICD&amp;tab=ClassesTab&amp;id=http%3A%2F%2Fwho.int%2Ficd%2341921_512ebf36_bf6b_4d70_85da_cf2637062af4","iCat")</x:f>
      </x:c>
      <x:c r="M6979" s="0" t="s">
        <x:v>21</x:v>
      </x:c>
      <x:c r="N6979" s="0" t="s">
        <x:v>46</x:v>
      </x:c>
    </x:row>
    <x:row r="6980" spans="1:16">
      <x:c r="A6980" s="0" t="s">
        <x:v>27780</x:v>
      </x:c>
      <x:c r="B6980" s="0" t="s">
        <x:v>27781</x:v>
      </x:c>
      <x:c r="C6980" s="0" t="s">
        <x:v>27782</x:v>
      </x:c>
      <x:c r="E6980" s="0" t="s">
        <x:v>27783</x:v>
      </x:c>
      <x:c r="F6980" s="0" t="s">
        <x:v>45</x:v>
      </x:c>
      <x:c r="G6980" s="0" t="s">
        <x:v>19</x:v>
      </x:c>
      <x:c r="H6980" s="0" t="s">
        <x:v>20</x:v>
      </x:c>
      <x:c r="I6980" s="0" t="s">
        <x:v>21</x:v>
      </x:c>
      <x:c r="K6980" s="0">
        <x:f>hyperlink("https://icd.who.int/dev11/l-ichi/en#/http%3A%2F%2Fid.who.int%2Ficd%2Fentity%2F1120807901","browser")</x:f>
      </x:c>
      <x:c r="L6980" s="0">
        <x:f>hyperlink("https://icat2.azurewebsites.net/icat/?ontology=ICD&amp;tab=ClassesTab&amp;id=http%3A%2F%2Fwho.int%2Ficd%2341928_512ebf36_bf6b_4d70_85da_cf2637062af4","iCat")</x:f>
      </x:c>
      <x:c r="M6980" s="0" t="s">
        <x:v>21</x:v>
      </x:c>
      <x:c r="N6980" s="0" t="s">
        <x:v>46</x:v>
      </x:c>
    </x:row>
    <x:row r="6981" spans="1:16">
      <x:c r="A6981" s="0" t="s">
        <x:v>27784</x:v>
      </x:c>
      <x:c r="B6981" s="0" t="s">
        <x:v>27785</x:v>
      </x:c>
      <x:c r="C6981" s="0" t="s">
        <x:v>27786</x:v>
      </x:c>
      <x:c r="E6981" s="0" t="s">
        <x:v>27787</x:v>
      </x:c>
      <x:c r="F6981" s="0" t="s">
        <x:v>45</x:v>
      </x:c>
      <x:c r="G6981" s="0" t="s">
        <x:v>19</x:v>
      </x:c>
      <x:c r="H6981" s="0" t="s">
        <x:v>20</x:v>
      </x:c>
      <x:c r="I6981" s="0" t="s">
        <x:v>21</x:v>
      </x:c>
      <x:c r="K6981" s="0">
        <x:f>hyperlink("https://icd.who.int/dev11/l-ichi/en#/http%3A%2F%2Fid.who.int%2Ficd%2Fentity%2F1937013143","browser")</x:f>
      </x:c>
      <x:c r="L6981" s="0">
        <x:f>hyperlink("https://icat2.azurewebsites.net/icat/?ontology=ICD&amp;tab=ClassesTab&amp;id=http%3A%2F%2Fwho.int%2Ficd%2341935_512ebf36_bf6b_4d70_85da_cf2637062af4","iCat")</x:f>
      </x:c>
      <x:c r="M6981" s="0" t="s">
        <x:v>21</x:v>
      </x:c>
      <x:c r="N6981" s="0" t="s">
        <x:v>46</x:v>
      </x:c>
    </x:row>
    <x:row r="6982" spans="1:16">
      <x:c r="A6982" s="0" t="s">
        <x:v>27788</x:v>
      </x:c>
      <x:c r="B6982" s="0" t="s">
        <x:v>27789</x:v>
      </x:c>
      <x:c r="C6982" s="0" t="s">
        <x:v>27790</x:v>
      </x:c>
      <x:c r="E6982" s="0" t="s">
        <x:v>27791</x:v>
      </x:c>
      <x:c r="F6982" s="0" t="s">
        <x:v>45</x:v>
      </x:c>
      <x:c r="G6982" s="0" t="s">
        <x:v>19</x:v>
      </x:c>
      <x:c r="H6982" s="0" t="s">
        <x:v>20</x:v>
      </x:c>
      <x:c r="I6982" s="0" t="s">
        <x:v>21</x:v>
      </x:c>
      <x:c r="K6982" s="0">
        <x:f>hyperlink("https://icd.who.int/dev11/l-ichi/en#/http%3A%2F%2Fid.who.int%2Ficd%2Fentity%2F857784578","browser")</x:f>
      </x:c>
      <x:c r="L6982" s="0">
        <x:f>hyperlink("https://icat2.azurewebsites.net/icat/?ontology=ICD&amp;tab=ClassesTab&amp;id=http%3A%2F%2Fwho.int%2Ficd%2341942_512ebf36_bf6b_4d70_85da_cf2637062af4","iCat")</x:f>
      </x:c>
      <x:c r="M6982" s="0" t="s">
        <x:v>21</x:v>
      </x:c>
      <x:c r="N6982" s="0" t="s">
        <x:v>46</x:v>
      </x:c>
    </x:row>
    <x:row r="6983" spans="1:16">
      <x:c r="A6983" s="0" t="s">
        <x:v>27792</x:v>
      </x:c>
      <x:c r="B6983" s="0" t="s">
        <x:v>27793</x:v>
      </x:c>
      <x:c r="C6983" s="0" t="s">
        <x:v>27794</x:v>
      </x:c>
      <x:c r="E6983" s="0" t="s">
        <x:v>27795</x:v>
      </x:c>
      <x:c r="F6983" s="0" t="s">
        <x:v>45</x:v>
      </x:c>
      <x:c r="G6983" s="0" t="s">
        <x:v>19</x:v>
      </x:c>
      <x:c r="H6983" s="0" t="s">
        <x:v>20</x:v>
      </x:c>
      <x:c r="I6983" s="0" t="s">
        <x:v>21</x:v>
      </x:c>
      <x:c r="K6983" s="0">
        <x:f>hyperlink("https://icd.who.int/dev11/l-ichi/en#/http%3A%2F%2Fid.who.int%2Ficd%2Fentity%2F941940652","browser")</x:f>
      </x:c>
      <x:c r="L6983" s="0">
        <x:f>hyperlink("https://icat2.azurewebsites.net/icat/?ontology=ICD&amp;tab=ClassesTab&amp;id=http%3A%2F%2Fwho.int%2Ficd%2341949_512ebf36_bf6b_4d70_85da_cf2637062af4","iCat")</x:f>
      </x:c>
      <x:c r="M6983" s="0" t="s">
        <x:v>21</x:v>
      </x:c>
      <x:c r="N6983" s="0" t="s">
        <x:v>46</x:v>
      </x:c>
    </x:row>
    <x:row r="6984" spans="1:16">
      <x:c r="A6984" s="0" t="s">
        <x:v>27796</x:v>
      </x:c>
      <x:c r="B6984" s="0" t="s">
        <x:v>27797</x:v>
      </x:c>
      <x:c r="C6984" s="0" t="s">
        <x:v>27798</x:v>
      </x:c>
      <x:c r="E6984" s="0" t="s">
        <x:v>27799</x:v>
      </x:c>
      <x:c r="F6984" s="0" t="s">
        <x:v>45</x:v>
      </x:c>
      <x:c r="G6984" s="0" t="s">
        <x:v>19</x:v>
      </x:c>
      <x:c r="H6984" s="0" t="s">
        <x:v>20</x:v>
      </x:c>
      <x:c r="I6984" s="0" t="s">
        <x:v>21</x:v>
      </x:c>
      <x:c r="K6984" s="0">
        <x:f>hyperlink("https://icd.who.int/dev11/l-ichi/en#/http%3A%2F%2Fid.who.int%2Ficd%2Fentity%2F1826787363","browser")</x:f>
      </x:c>
      <x:c r="L6984" s="0">
        <x:f>hyperlink("https://icat2.azurewebsites.net/icat/?ontology=ICD&amp;tab=ClassesTab&amp;id=http%3A%2F%2Fwho.int%2Ficd%2341956_512ebf36_bf6b_4d70_85da_cf2637062af4","iCat")</x:f>
      </x:c>
      <x:c r="M6984" s="0" t="s">
        <x:v>21</x:v>
      </x:c>
      <x:c r="N6984" s="0" t="s">
        <x:v>46</x:v>
      </x:c>
    </x:row>
    <x:row r="6985" spans="1:16">
      <x:c r="A6985" s="0" t="s">
        <x:v>27800</x:v>
      </x:c>
      <x:c r="B6985" s="0" t="s">
        <x:v>27801</x:v>
      </x:c>
      <x:c r="C6985" s="0" t="s">
        <x:v>27802</x:v>
      </x:c>
      <x:c r="E6985" s="0" t="s">
        <x:v>27803</x:v>
      </x:c>
      <x:c r="F6985" s="0" t="s">
        <x:v>45</x:v>
      </x:c>
      <x:c r="G6985" s="0" t="s">
        <x:v>19</x:v>
      </x:c>
      <x:c r="H6985" s="0" t="s">
        <x:v>20</x:v>
      </x:c>
      <x:c r="I6985" s="0" t="s">
        <x:v>21</x:v>
      </x:c>
      <x:c r="K6985" s="0">
        <x:f>hyperlink("https://icd.who.int/dev11/l-ichi/en#/http%3A%2F%2Fid.who.int%2Ficd%2Fentity%2F967665262","browser")</x:f>
      </x:c>
      <x:c r="L6985" s="0">
        <x:f>hyperlink("https://icat2.azurewebsites.net/icat/?ontology=ICD&amp;tab=ClassesTab&amp;id=http%3A%2F%2Fwho.int%2Ficd%2341963_512ebf36_bf6b_4d70_85da_cf2637062af4","iCat")</x:f>
      </x:c>
      <x:c r="M6985" s="0" t="s">
        <x:v>21</x:v>
      </x:c>
      <x:c r="N6985" s="0" t="s">
        <x:v>46</x:v>
      </x:c>
    </x:row>
    <x:row r="6986" spans="1:16">
      <x:c r="A6986" s="0" t="s">
        <x:v>27804</x:v>
      </x:c>
      <x:c r="B6986" s="0" t="s">
        <x:v>27805</x:v>
      </x:c>
      <x:c r="C6986" s="0" t="s">
        <x:v>27806</x:v>
      </x:c>
      <x:c r="E6986" s="0" t="s">
        <x:v>27807</x:v>
      </x:c>
      <x:c r="F6986" s="0" t="s">
        <x:v>45</x:v>
      </x:c>
      <x:c r="G6986" s="0" t="s">
        <x:v>19</x:v>
      </x:c>
      <x:c r="H6986" s="0" t="s">
        <x:v>20</x:v>
      </x:c>
      <x:c r="I6986" s="0" t="s">
        <x:v>21</x:v>
      </x:c>
      <x:c r="K6986" s="0">
        <x:f>hyperlink("https://icd.who.int/dev11/l-ichi/en#/http%3A%2F%2Fid.who.int%2Ficd%2Fentity%2F1483533719","browser")</x:f>
      </x:c>
      <x:c r="L6986" s="0">
        <x:f>hyperlink("https://icat2.azurewebsites.net/icat/?ontology=ICD&amp;tab=ClassesTab&amp;id=http%3A%2F%2Fwho.int%2Ficd%2341978_512ebf36_bf6b_4d70_85da_cf2637062af4","iCat")</x:f>
      </x:c>
      <x:c r="M6986" s="0" t="s">
        <x:v>21</x:v>
      </x:c>
      <x:c r="N6986" s="0" t="s">
        <x:v>46</x:v>
      </x:c>
    </x:row>
    <x:row r="6987" spans="1:16">
      <x:c r="A6987" s="0" t="s">
        <x:v>27808</x:v>
      </x:c>
      <x:c r="B6987" s="0" t="s">
        <x:v>27809</x:v>
      </x:c>
      <x:c r="C6987" s="0" t="s">
        <x:v>27810</x:v>
      </x:c>
      <x:c r="E6987" s="0" t="s">
        <x:v>27811</x:v>
      </x:c>
      <x:c r="F6987" s="0" t="s">
        <x:v>45</x:v>
      </x:c>
      <x:c r="G6987" s="0" t="s">
        <x:v>19</x:v>
      </x:c>
      <x:c r="H6987" s="0" t="s">
        <x:v>20</x:v>
      </x:c>
      <x:c r="I6987" s="0" t="s">
        <x:v>21</x:v>
      </x:c>
      <x:c r="K6987" s="0">
        <x:f>hyperlink("https://icd.who.int/dev11/l-ichi/en#/http%3A%2F%2Fid.who.int%2Ficd%2Fentity%2F754212948","browser")</x:f>
      </x:c>
      <x:c r="L6987" s="0">
        <x:f>hyperlink("https://icat2.azurewebsites.net/icat/?ontology=ICD&amp;tab=ClassesTab&amp;id=http%3A%2F%2Fwho.int%2Ficd%2341985_512ebf36_bf6b_4d70_85da_cf2637062af4","iCat")</x:f>
      </x:c>
      <x:c r="M6987" s="0" t="s">
        <x:v>21</x:v>
      </x:c>
      <x:c r="N6987" s="0" t="s">
        <x:v>46</x:v>
      </x:c>
    </x:row>
    <x:row r="6988" spans="1:16">
      <x:c r="A6988" s="0" t="s">
        <x:v>27812</x:v>
      </x:c>
      <x:c r="B6988" s="0" t="s">
        <x:v>27813</x:v>
      </x:c>
      <x:c r="C6988" s="0" t="s">
        <x:v>27814</x:v>
      </x:c>
      <x:c r="E6988" s="0" t="s">
        <x:v>27815</x:v>
      </x:c>
      <x:c r="F6988" s="0" t="s">
        <x:v>45</x:v>
      </x:c>
      <x:c r="G6988" s="0" t="s">
        <x:v>19</x:v>
      </x:c>
      <x:c r="H6988" s="0" t="s">
        <x:v>20</x:v>
      </x:c>
      <x:c r="I6988" s="0" t="s">
        <x:v>21</x:v>
      </x:c>
      <x:c r="K6988" s="0">
        <x:f>hyperlink("https://icd.who.int/dev11/l-ichi/en#/http%3A%2F%2Fid.who.int%2Ficd%2Fentity%2F917724814","browser")</x:f>
      </x:c>
      <x:c r="L6988" s="0">
        <x:f>hyperlink("https://icat2.azurewebsites.net/icat/?ontology=ICD&amp;tab=ClassesTab&amp;id=http%3A%2F%2Fwho.int%2Ficd%2341992_512ebf36_bf6b_4d70_85da_cf2637062af4","iCat")</x:f>
      </x:c>
      <x:c r="M6988" s="0" t="s">
        <x:v>21</x:v>
      </x:c>
      <x:c r="N6988" s="0" t="s">
        <x:v>46</x:v>
      </x:c>
    </x:row>
    <x:row r="6989" spans="1:16">
      <x:c r="A6989" s="0" t="s">
        <x:v>27816</x:v>
      </x:c>
      <x:c r="B6989" s="0" t="s">
        <x:v>27817</x:v>
      </x:c>
      <x:c r="C6989" s="0" t="s">
        <x:v>27818</x:v>
      </x:c>
      <x:c r="E6989" s="0" t="s">
        <x:v>27819</x:v>
      </x:c>
      <x:c r="F6989" s="0" t="s">
        <x:v>45</x:v>
      </x:c>
      <x:c r="G6989" s="0" t="s">
        <x:v>19</x:v>
      </x:c>
      <x:c r="H6989" s="0" t="s">
        <x:v>20</x:v>
      </x:c>
      <x:c r="I6989" s="0" t="s">
        <x:v>21</x:v>
      </x:c>
      <x:c r="K6989" s="0">
        <x:f>hyperlink("https://icd.who.int/dev11/l-ichi/en#/http%3A%2F%2Fid.who.int%2Ficd%2Fentity%2F1035419684","browser")</x:f>
      </x:c>
      <x:c r="L6989" s="0">
        <x:f>hyperlink("https://icat2.azurewebsites.net/icat/?ontology=ICD&amp;tab=ClassesTab&amp;id=http%3A%2F%2Fwho.int%2Ficd%2341999_512ebf36_bf6b_4d70_85da_cf2637062af4","iCat")</x:f>
      </x:c>
      <x:c r="M6989" s="0" t="s">
        <x:v>21</x:v>
      </x:c>
      <x:c r="N6989" s="0" t="s">
        <x:v>46</x:v>
      </x:c>
    </x:row>
    <x:row r="6990" spans="1:16">
      <x:c r="A6990" s="0" t="s">
        <x:v>27820</x:v>
      </x:c>
      <x:c r="B6990" s="0" t="s">
        <x:v>27821</x:v>
      </x:c>
      <x:c r="C6990" s="0" t="s">
        <x:v>27822</x:v>
      </x:c>
      <x:c r="E6990" s="0" t="s">
        <x:v>27823</x:v>
      </x:c>
      <x:c r="F6990" s="0" t="s">
        <x:v>45</x:v>
      </x:c>
      <x:c r="G6990" s="0" t="s">
        <x:v>19</x:v>
      </x:c>
      <x:c r="H6990" s="0" t="s">
        <x:v>20</x:v>
      </x:c>
      <x:c r="I6990" s="0" t="s">
        <x:v>21</x:v>
      </x:c>
      <x:c r="K6990" s="0">
        <x:f>hyperlink("https://icd.who.int/dev11/l-ichi/en#/http%3A%2F%2Fid.who.int%2Ficd%2Fentity%2F428573704","browser")</x:f>
      </x:c>
      <x:c r="L6990" s="0">
        <x:f>hyperlink("https://icat2.azurewebsites.net/icat/?ontology=ICD&amp;tab=ClassesTab&amp;id=http%3A%2F%2Fwho.int%2Ficd%2342006_512ebf36_bf6b_4d70_85da_cf2637062af4","iCat")</x:f>
      </x:c>
      <x:c r="M6990" s="0" t="s">
        <x:v>21</x:v>
      </x:c>
      <x:c r="N6990" s="0" t="s">
        <x:v>46</x:v>
      </x:c>
    </x:row>
    <x:row r="6991" spans="1:16">
      <x:c r="A6991" s="0" t="s">
        <x:v>27824</x:v>
      </x:c>
      <x:c r="B6991" s="0" t="s">
        <x:v>27825</x:v>
      </x:c>
      <x:c r="C6991" s="0" t="s">
        <x:v>27826</x:v>
      </x:c>
      <x:c r="E6991" s="0" t="s">
        <x:v>27827</x:v>
      </x:c>
      <x:c r="F6991" s="0" t="s">
        <x:v>45</x:v>
      </x:c>
      <x:c r="G6991" s="0" t="s">
        <x:v>19</x:v>
      </x:c>
      <x:c r="H6991" s="0" t="s">
        <x:v>20</x:v>
      </x:c>
      <x:c r="I6991" s="0" t="s">
        <x:v>21</x:v>
      </x:c>
      <x:c r="K6991" s="0">
        <x:f>hyperlink("https://icd.who.int/dev11/l-ichi/en#/http%3A%2F%2Fid.who.int%2Ficd%2Fentity%2F55252933","browser")</x:f>
      </x:c>
      <x:c r="L6991" s="0">
        <x:f>hyperlink("https://icat2.azurewebsites.net/icat/?ontology=ICD&amp;tab=ClassesTab&amp;id=http%3A%2F%2Fwho.int%2Ficd%23796_2458c621_13a9_4018_84d7_a04ee4f7aacc","iCat")</x:f>
      </x:c>
      <x:c r="M6991" s="0" t="s">
        <x:v>21</x:v>
      </x:c>
      <x:c r="N6991" s="0" t="s">
        <x:v>46</x:v>
      </x:c>
    </x:row>
    <x:row r="6992" spans="1:16">
      <x:c r="A6992" s="0" t="s">
        <x:v>27828</x:v>
      </x:c>
      <x:c r="B6992" s="0" t="s">
        <x:v>27829</x:v>
      </x:c>
      <x:c r="C6992" s="0" t="s">
        <x:v>27830</x:v>
      </x:c>
      <x:c r="E6992" s="0" t="s">
        <x:v>27831</x:v>
      </x:c>
      <x:c r="F6992" s="0" t="s">
        <x:v>45</x:v>
      </x:c>
      <x:c r="G6992" s="0" t="s">
        <x:v>19</x:v>
      </x:c>
      <x:c r="H6992" s="0" t="s">
        <x:v>20</x:v>
      </x:c>
      <x:c r="I6992" s="0" t="s">
        <x:v>21</x:v>
      </x:c>
      <x:c r="K6992" s="0">
        <x:f>hyperlink("https://icd.who.int/dev11/l-ichi/en#/http%3A%2F%2Fid.who.int%2Ficd%2Fentity%2F1934496095","browser")</x:f>
      </x:c>
      <x:c r="L6992" s="0">
        <x:f>hyperlink("https://icat2.azurewebsites.net/icat/?ontology=ICD&amp;tab=ClassesTab&amp;id=http%3A%2F%2Fwho.int%2Ficd%2342016_512ebf36_bf6b_4d70_85da_cf2637062af4","iCat")</x:f>
      </x:c>
      <x:c r="M6992" s="0" t="s">
        <x:v>21</x:v>
      </x:c>
      <x:c r="N6992" s="0" t="s">
        <x:v>46</x:v>
      </x:c>
    </x:row>
    <x:row r="6993" spans="1:16">
      <x:c r="A6993" s="0" t="s">
        <x:v>27832</x:v>
      </x:c>
      <x:c r="B6993" s="0" t="s">
        <x:v>27833</x:v>
      </x:c>
      <x:c r="C6993" s="0" t="s">
        <x:v>27834</x:v>
      </x:c>
      <x:c r="E6993" s="0" t="s">
        <x:v>27835</x:v>
      </x:c>
      <x:c r="F6993" s="0" t="s">
        <x:v>45</x:v>
      </x:c>
      <x:c r="G6993" s="0" t="s">
        <x:v>19</x:v>
      </x:c>
      <x:c r="H6993" s="0" t="s">
        <x:v>20</x:v>
      </x:c>
      <x:c r="I6993" s="0" t="s">
        <x:v>21</x:v>
      </x:c>
      <x:c r="K6993" s="0">
        <x:f>hyperlink("https://icd.who.int/dev11/l-ichi/en#/http%3A%2F%2Fid.who.int%2Ficd%2Fentity%2F1987722913","browser")</x:f>
      </x:c>
      <x:c r="L6993" s="0">
        <x:f>hyperlink("https://icat2.azurewebsites.net/icat/?ontology=ICD&amp;tab=ClassesTab&amp;id=http%3A%2F%2Fwho.int%2Ficd%2342025_512ebf36_bf6b_4d70_85da_cf2637062af4","iCat")</x:f>
      </x:c>
      <x:c r="M6993" s="0" t="s">
        <x:v>21</x:v>
      </x:c>
      <x:c r="N6993" s="0" t="s">
        <x:v>46</x:v>
      </x:c>
    </x:row>
    <x:row r="6994" spans="1:16">
      <x:c r="A6994" s="0" t="s">
        <x:v>27836</x:v>
      </x:c>
      <x:c r="B6994" s="0" t="s">
        <x:v>27837</x:v>
      </x:c>
      <x:c r="C6994" s="0" t="s">
        <x:v>27838</x:v>
      </x:c>
      <x:c r="E6994" s="0" t="s">
        <x:v>27839</x:v>
      </x:c>
      <x:c r="F6994" s="0" t="s">
        <x:v>45</x:v>
      </x:c>
      <x:c r="G6994" s="0" t="s">
        <x:v>19</x:v>
      </x:c>
      <x:c r="H6994" s="0" t="s">
        <x:v>20</x:v>
      </x:c>
      <x:c r="I6994" s="0" t="s">
        <x:v>21</x:v>
      </x:c>
      <x:c r="K6994" s="0">
        <x:f>hyperlink("https://icd.who.int/dev11/l-ichi/en#/http%3A%2F%2Fid.who.int%2Ficd%2Fentity%2F482323446","browser")</x:f>
      </x:c>
      <x:c r="L6994" s="0">
        <x:f>hyperlink("https://icat2.azurewebsites.net/icat/?ontology=ICD&amp;tab=ClassesTab&amp;id=http%3A%2F%2Fwho.int%2Ficd%2342035_512ebf36_bf6b_4d70_85da_cf2637062af4","iCat")</x:f>
      </x:c>
      <x:c r="M6994" s="0" t="s">
        <x:v>21</x:v>
      </x:c>
      <x:c r="N6994" s="0" t="s">
        <x:v>46</x:v>
      </x:c>
    </x:row>
    <x:row r="6995" spans="1:16">
      <x:c r="A6995" s="0" t="s">
        <x:v>27840</x:v>
      </x:c>
      <x:c r="B6995" s="0" t="s">
        <x:v>27841</x:v>
      </x:c>
      <x:c r="C6995" s="0" t="s">
        <x:v>27842</x:v>
      </x:c>
      <x:c r="E6995" s="0" t="s">
        <x:v>27843</x:v>
      </x:c>
      <x:c r="F6995" s="0" t="s">
        <x:v>45</x:v>
      </x:c>
      <x:c r="G6995" s="0" t="s">
        <x:v>19</x:v>
      </x:c>
      <x:c r="H6995" s="0" t="s">
        <x:v>20</x:v>
      </x:c>
      <x:c r="I6995" s="0" t="s">
        <x:v>21</x:v>
      </x:c>
      <x:c r="K6995" s="0">
        <x:f>hyperlink("https://icd.who.int/dev11/l-ichi/en#/http%3A%2F%2Fid.who.int%2Ficd%2Fentity%2F1558909793","browser")</x:f>
      </x:c>
      <x:c r="L6995" s="0">
        <x:f>hyperlink("https://icat2.azurewebsites.net/icat/?ontology=ICD&amp;tab=ClassesTab&amp;id=http%3A%2F%2Fwho.int%2Ficd%2342042_512ebf36_bf6b_4d70_85da_cf2637062af4","iCat")</x:f>
      </x:c>
      <x:c r="M6995" s="0" t="s">
        <x:v>21</x:v>
      </x:c>
      <x:c r="N6995" s="0" t="s">
        <x:v>46</x:v>
      </x:c>
    </x:row>
    <x:row r="6996" spans="1:16">
      <x:c r="A6996" s="0" t="s">
        <x:v>27844</x:v>
      </x:c>
      <x:c r="B6996" s="0" t="s">
        <x:v>27845</x:v>
      </x:c>
      <x:c r="C6996" s="0" t="s">
        <x:v>27846</x:v>
      </x:c>
      <x:c r="E6996" s="0" t="s">
        <x:v>27847</x:v>
      </x:c>
      <x:c r="F6996" s="0" t="s">
        <x:v>45</x:v>
      </x:c>
      <x:c r="G6996" s="0" t="s">
        <x:v>19</x:v>
      </x:c>
      <x:c r="H6996" s="0" t="s">
        <x:v>20</x:v>
      </x:c>
      <x:c r="I6996" s="0" t="s">
        <x:v>21</x:v>
      </x:c>
      <x:c r="K6996" s="0">
        <x:f>hyperlink("https://icd.who.int/dev11/l-ichi/en#/http%3A%2F%2Fid.who.int%2Ficd%2Fentity%2F1475284429","browser")</x:f>
      </x:c>
      <x:c r="L6996" s="0">
        <x:f>hyperlink("https://icat2.azurewebsites.net/icat/?ontology=ICD&amp;tab=ClassesTab&amp;id=http%3A%2F%2Fwho.int%2Ficd%2342049_512ebf36_bf6b_4d70_85da_cf2637062af4","iCat")</x:f>
      </x:c>
      <x:c r="M6996" s="0" t="s">
        <x:v>21</x:v>
      </x:c>
      <x:c r="N6996" s="0" t="s">
        <x:v>46</x:v>
      </x:c>
    </x:row>
    <x:row r="6997" spans="1:16">
      <x:c r="A6997" s="0" t="s">
        <x:v>27848</x:v>
      </x:c>
      <x:c r="B6997" s="0" t="s">
        <x:v>27849</x:v>
      </x:c>
      <x:c r="C6997" s="0" t="s">
        <x:v>27850</x:v>
      </x:c>
      <x:c r="E6997" s="0" t="s">
        <x:v>27851</x:v>
      </x:c>
      <x:c r="F6997" s="0" t="s">
        <x:v>45</x:v>
      </x:c>
      <x:c r="G6997" s="0" t="s">
        <x:v>19</x:v>
      </x:c>
      <x:c r="H6997" s="0" t="s">
        <x:v>20</x:v>
      </x:c>
      <x:c r="I6997" s="0" t="s">
        <x:v>21</x:v>
      </x:c>
      <x:c r="K6997" s="0">
        <x:f>hyperlink("https://icd.who.int/dev11/l-ichi/en#/http%3A%2F%2Fid.who.int%2Ficd%2Fentity%2F53035586","browser")</x:f>
      </x:c>
      <x:c r="L6997" s="0">
        <x:f>hyperlink("https://icat2.azurewebsites.net/icat/?ontology=ICD&amp;tab=ClassesTab&amp;id=http%3A%2F%2Fwho.int%2Ficd%2342056_512ebf36_bf6b_4d70_85da_cf2637062af4","iCat")</x:f>
      </x:c>
      <x:c r="M6997" s="0" t="s">
        <x:v>21</x:v>
      </x:c>
      <x:c r="N6997" s="0" t="s">
        <x:v>46</x:v>
      </x:c>
    </x:row>
    <x:row r="6998" spans="1:16">
      <x:c r="A6998" s="0" t="s">
        <x:v>27852</x:v>
      </x:c>
      <x:c r="B6998" s="0" t="s">
        <x:v>27853</x:v>
      </x:c>
      <x:c r="C6998" s="0" t="s">
        <x:v>27854</x:v>
      </x:c>
      <x:c r="E6998" s="0" t="s">
        <x:v>27855</x:v>
      </x:c>
      <x:c r="F6998" s="0" t="s">
        <x:v>45</x:v>
      </x:c>
      <x:c r="G6998" s="0" t="s">
        <x:v>19</x:v>
      </x:c>
      <x:c r="H6998" s="0" t="s">
        <x:v>20</x:v>
      </x:c>
      <x:c r="I6998" s="0" t="s">
        <x:v>21</x:v>
      </x:c>
      <x:c r="K6998" s="0">
        <x:f>hyperlink("https://icd.who.int/dev11/l-ichi/en#/http%3A%2F%2Fid.who.int%2Ficd%2Fentity%2F1134035525","browser")</x:f>
      </x:c>
      <x:c r="L6998" s="0">
        <x:f>hyperlink("https://icat2.azurewebsites.net/icat/?ontology=ICD&amp;tab=ClassesTab&amp;id=http%3A%2F%2Fwho.int%2Ficd%2342066_512ebf36_bf6b_4d70_85da_cf2637062af4","iCat")</x:f>
      </x:c>
      <x:c r="M6998" s="0" t="s">
        <x:v>21</x:v>
      </x:c>
      <x:c r="N6998" s="0" t="s">
        <x:v>46</x:v>
      </x:c>
    </x:row>
    <x:row r="6999" spans="1:16">
      <x:c r="A6999" s="0" t="s">
        <x:v>27856</x:v>
      </x:c>
      <x:c r="B6999" s="0" t="s">
        <x:v>27857</x:v>
      </x:c>
      <x:c r="C6999" s="0" t="s">
        <x:v>27858</x:v>
      </x:c>
      <x:c r="E6999" s="0" t="s">
        <x:v>27859</x:v>
      </x:c>
      <x:c r="F6999" s="0" t="s">
        <x:v>45</x:v>
      </x:c>
      <x:c r="G6999" s="0" t="s">
        <x:v>19</x:v>
      </x:c>
      <x:c r="H6999" s="0" t="s">
        <x:v>20</x:v>
      </x:c>
      <x:c r="I6999" s="0" t="s">
        <x:v>21</x:v>
      </x:c>
      <x:c r="K6999" s="0">
        <x:f>hyperlink("https://icd.who.int/dev11/l-ichi/en#/http%3A%2F%2Fid.who.int%2Ficd%2Fentity%2F1017323868","browser")</x:f>
      </x:c>
      <x:c r="L6999" s="0">
        <x:f>hyperlink("https://icat2.azurewebsites.net/icat/?ontology=ICD&amp;tab=ClassesTab&amp;id=http%3A%2F%2Fwho.int%2Ficd%2342073_512ebf36_bf6b_4d70_85da_cf2637062af4","iCat")</x:f>
      </x:c>
      <x:c r="M6999" s="0" t="s">
        <x:v>21</x:v>
      </x:c>
      <x:c r="N6999" s="0" t="s">
        <x:v>46</x:v>
      </x:c>
    </x:row>
    <x:row r="7000" spans="1:16">
      <x:c r="A7000" s="0" t="s">
        <x:v>27860</x:v>
      </x:c>
      <x:c r="B7000" s="0" t="s">
        <x:v>27861</x:v>
      </x:c>
      <x:c r="D7000" s="0" t="s">
        <x:v>27862</x:v>
      </x:c>
      <x:c r="E7000" s="0" t="s">
        <x:v>27863</x:v>
      </x:c>
      <x:c r="F7000" s="0" t="s">
        <x:v>26</x:v>
      </x:c>
      <x:c r="G7000" s="0" t="s">
        <x:v>35</x:v>
      </x:c>
      <x:c r="H7000" s="0" t="s">
        <x:v>20</x:v>
      </x:c>
      <x:c r="I7000" s="0" t="s">
        <x:v>21</x:v>
      </x:c>
      <x:c r="K7000" s="0">
        <x:f>hyperlink("https://icd.who.int/dev11/l-ichi/en#/http%3A%2F%2Fid.who.int%2Ficd%2Fentity%2F1983411777","browser")</x:f>
      </x:c>
      <x:c r="L7000" s="0">
        <x:f>hyperlink("https://icat2.azurewebsites.net/icat/?ontology=ICD&amp;tab=ClassesTab&amp;id=http%3A%2F%2Fwho.int%2Ficd%2342081_512ebf36_bf6b_4d70_85da_cf2637062af4","iCat")</x:f>
      </x:c>
      <x:c r="M7000" s="0" t="s">
        <x:v>20</x:v>
      </x:c>
      <x:c r="N7000" s="0" t="s">
        <x:v>27864</x:v>
      </x:c>
    </x:row>
    <x:row r="7001" spans="1:16">
      <x:c r="A7001" s="0" t="s">
        <x:v>27865</x:v>
      </x:c>
      <x:c r="B7001" s="0" t="s">
        <x:v>27866</x:v>
      </x:c>
      <x:c r="C7001" s="0" t="s">
        <x:v>27867</x:v>
      </x:c>
      <x:c r="E7001" s="0" t="s">
        <x:v>27868</x:v>
      </x:c>
      <x:c r="F7001" s="0" t="s">
        <x:v>45</x:v>
      </x:c>
      <x:c r="G7001" s="0" t="s">
        <x:v>19</x:v>
      </x:c>
      <x:c r="H7001" s="0" t="s">
        <x:v>20</x:v>
      </x:c>
      <x:c r="I7001" s="0" t="s">
        <x:v>21</x:v>
      </x:c>
      <x:c r="K7001" s="0">
        <x:f>hyperlink("https://icd.who.int/dev11/l-ichi/en#/http%3A%2F%2Fid.who.int%2Ficd%2Fentity%2F1455490173","browser")</x:f>
      </x:c>
      <x:c r="L7001" s="0">
        <x:f>hyperlink("https://icat2.azurewebsites.net/icat/?ontology=ICD&amp;tab=ClassesTab&amp;id=http%3A%2F%2Fwho.int%2Ficd%2342080_512ebf36_bf6b_4d70_85da_cf2637062af4","iCat")</x:f>
      </x:c>
      <x:c r="M7001" s="0" t="s">
        <x:v>21</x:v>
      </x:c>
      <x:c r="N7001" s="0" t="s">
        <x:v>46</x:v>
      </x:c>
    </x:row>
    <x:row r="7002" spans="1:16">
      <x:c r="A7002" s="0" t="s">
        <x:v>27869</x:v>
      </x:c>
      <x:c r="B7002" s="0" t="s">
        <x:v>27870</x:v>
      </x:c>
      <x:c r="C7002" s="0" t="s">
        <x:v>27871</x:v>
      </x:c>
      <x:c r="E7002" s="0" t="s">
        <x:v>27872</x:v>
      </x:c>
      <x:c r="F7002" s="0" t="s">
        <x:v>45</x:v>
      </x:c>
      <x:c r="G7002" s="0" t="s">
        <x:v>19</x:v>
      </x:c>
      <x:c r="H7002" s="0" t="s">
        <x:v>20</x:v>
      </x:c>
      <x:c r="I7002" s="0" t="s">
        <x:v>21</x:v>
      </x:c>
      <x:c r="K7002" s="0">
        <x:f>hyperlink("https://icd.who.int/dev11/l-ichi/en#/http%3A%2F%2Fid.who.int%2Ficd%2Fentity%2F2038562515","browser")</x:f>
      </x:c>
      <x:c r="L7002" s="0">
        <x:f>hyperlink("https://icat2.azurewebsites.net/icat/?ontology=ICD&amp;tab=ClassesTab&amp;id=http%3A%2F%2Fwho.int%2Ficd%2342093_512ebf36_bf6b_4d70_85da_cf2637062af4","iCat")</x:f>
      </x:c>
      <x:c r="M7002" s="0" t="s">
        <x:v>21</x:v>
      </x:c>
      <x:c r="N7002" s="0" t="s">
        <x:v>46</x:v>
      </x:c>
    </x:row>
    <x:row r="7003" spans="1:16">
      <x:c r="A7003" s="0" t="s">
        <x:v>27873</x:v>
      </x:c>
      <x:c r="B7003" s="0" t="s">
        <x:v>27874</x:v>
      </x:c>
      <x:c r="C7003" s="0" t="s">
        <x:v>27875</x:v>
      </x:c>
      <x:c r="E7003" s="0" t="s">
        <x:v>27876</x:v>
      </x:c>
      <x:c r="F7003" s="0" t="s">
        <x:v>45</x:v>
      </x:c>
      <x:c r="G7003" s="0" t="s">
        <x:v>19</x:v>
      </x:c>
      <x:c r="H7003" s="0" t="s">
        <x:v>20</x:v>
      </x:c>
      <x:c r="I7003" s="0" t="s">
        <x:v>21</x:v>
      </x:c>
      <x:c r="K7003" s="0">
        <x:f>hyperlink("https://icd.who.int/dev11/l-ichi/en#/http%3A%2F%2Fid.who.int%2Ficd%2Fentity%2F1013947174","browser")</x:f>
      </x:c>
      <x:c r="L7003" s="0">
        <x:f>hyperlink("https://icat2.azurewebsites.net/icat/?ontology=ICD&amp;tab=ClassesTab&amp;id=http%3A%2F%2Fwho.int%2Ficd%2342100_512ebf36_bf6b_4d70_85da_cf2637062af4","iCat")</x:f>
      </x:c>
      <x:c r="M7003" s="0" t="s">
        <x:v>21</x:v>
      </x:c>
      <x:c r="N7003" s="0" t="s">
        <x:v>46</x:v>
      </x:c>
    </x:row>
    <x:row r="7004" spans="1:16">
      <x:c r="A7004" s="0" t="s">
        <x:v>27877</x:v>
      </x:c>
      <x:c r="B7004" s="0" t="s">
        <x:v>27878</x:v>
      </x:c>
      <x:c r="C7004" s="0" t="s">
        <x:v>27879</x:v>
      </x:c>
      <x:c r="E7004" s="0" t="s">
        <x:v>27880</x:v>
      </x:c>
      <x:c r="F7004" s="0" t="s">
        <x:v>45</x:v>
      </x:c>
      <x:c r="G7004" s="0" t="s">
        <x:v>19</x:v>
      </x:c>
      <x:c r="H7004" s="0" t="s">
        <x:v>20</x:v>
      </x:c>
      <x:c r="I7004" s="0" t="s">
        <x:v>21</x:v>
      </x:c>
      <x:c r="K7004" s="0">
        <x:f>hyperlink("https://icd.who.int/dev11/l-ichi/en#/http%3A%2F%2Fid.who.int%2Ficd%2Fentity%2F1290612905","browser")</x:f>
      </x:c>
      <x:c r="L7004" s="0">
        <x:f>hyperlink("https://icat2.azurewebsites.net/icat/?ontology=ICD&amp;tab=ClassesTab&amp;id=http%3A%2F%2Fwho.int%2Ficd%2342107_512ebf36_bf6b_4d70_85da_cf2637062af4","iCat")</x:f>
      </x:c>
      <x:c r="M7004" s="0" t="s">
        <x:v>21</x:v>
      </x:c>
      <x:c r="N7004" s="0" t="s">
        <x:v>46</x:v>
      </x:c>
    </x:row>
    <x:row r="7005" spans="1:16">
      <x:c r="A7005" s="0" t="s">
        <x:v>27881</x:v>
      </x:c>
      <x:c r="B7005" s="0" t="s">
        <x:v>27882</x:v>
      </x:c>
      <x:c r="C7005" s="0" t="s">
        <x:v>27883</x:v>
      </x:c>
      <x:c r="E7005" s="0" t="s">
        <x:v>27884</x:v>
      </x:c>
      <x:c r="F7005" s="0" t="s">
        <x:v>45</x:v>
      </x:c>
      <x:c r="G7005" s="0" t="s">
        <x:v>19</x:v>
      </x:c>
      <x:c r="H7005" s="0" t="s">
        <x:v>20</x:v>
      </x:c>
      <x:c r="I7005" s="0" t="s">
        <x:v>21</x:v>
      </x:c>
      <x:c r="K7005" s="0">
        <x:f>hyperlink("https://icd.who.int/dev11/l-ichi/en#/http%3A%2F%2Fid.who.int%2Ficd%2Fentity%2F1672333831","browser")</x:f>
      </x:c>
      <x:c r="L7005" s="0">
        <x:f>hyperlink("https://icat2.azurewebsites.net/icat/?ontology=ICD&amp;tab=ClassesTab&amp;id=http%3A%2F%2Fwho.int%2Ficd%2342114_512ebf36_bf6b_4d70_85da_cf2637062af4","iCat")</x:f>
      </x:c>
      <x:c r="M7005" s="0" t="s">
        <x:v>21</x:v>
      </x:c>
      <x:c r="N7005" s="0" t="s">
        <x:v>46</x:v>
      </x:c>
    </x:row>
    <x:row r="7006" spans="1:16">
      <x:c r="A7006" s="0" t="s">
        <x:v>27885</x:v>
      </x:c>
      <x:c r="B7006" s="0" t="s">
        <x:v>27886</x:v>
      </x:c>
      <x:c r="C7006" s="0" t="s">
        <x:v>27887</x:v>
      </x:c>
      <x:c r="E7006" s="0" t="s">
        <x:v>27888</x:v>
      </x:c>
      <x:c r="F7006" s="0" t="s">
        <x:v>45</x:v>
      </x:c>
      <x:c r="G7006" s="0" t="s">
        <x:v>19</x:v>
      </x:c>
      <x:c r="H7006" s="0" t="s">
        <x:v>20</x:v>
      </x:c>
      <x:c r="I7006" s="0" t="s">
        <x:v>21</x:v>
      </x:c>
      <x:c r="K7006" s="0">
        <x:f>hyperlink("https://icd.who.int/dev11/l-ichi/en#/http%3A%2F%2Fid.who.int%2Ficd%2Fentity%2F920796234","browser")</x:f>
      </x:c>
      <x:c r="L7006" s="0">
        <x:f>hyperlink("https://icat2.azurewebsites.net/icat/?ontology=ICD&amp;tab=ClassesTab&amp;id=http%3A%2F%2Fwho.int%2Ficd%2342121_512ebf36_bf6b_4d70_85da_cf2637062af4","iCat")</x:f>
      </x:c>
      <x:c r="M7006" s="0" t="s">
        <x:v>21</x:v>
      </x:c>
      <x:c r="N7006" s="0" t="s">
        <x:v>46</x:v>
      </x:c>
    </x:row>
    <x:row r="7007" spans="1:16">
      <x:c r="A7007" s="0" t="s">
        <x:v>27889</x:v>
      </x:c>
      <x:c r="B7007" s="0" t="s">
        <x:v>27890</x:v>
      </x:c>
      <x:c r="C7007" s="0" t="s">
        <x:v>27891</x:v>
      </x:c>
      <x:c r="E7007" s="0" t="s">
        <x:v>27892</x:v>
      </x:c>
      <x:c r="F7007" s="0" t="s">
        <x:v>45</x:v>
      </x:c>
      <x:c r="G7007" s="0" t="s">
        <x:v>19</x:v>
      </x:c>
      <x:c r="H7007" s="0" t="s">
        <x:v>20</x:v>
      </x:c>
      <x:c r="I7007" s="0" t="s">
        <x:v>21</x:v>
      </x:c>
      <x:c r="K7007" s="0">
        <x:f>hyperlink("https://icd.who.int/dev11/l-ichi/en#/http%3A%2F%2Fid.who.int%2Ficd%2Fentity%2F1486503713","browser")</x:f>
      </x:c>
      <x:c r="L7007" s="0">
        <x:f>hyperlink("https://icat2.azurewebsites.net/icat/?ontology=ICD&amp;tab=ClassesTab&amp;id=http%3A%2F%2Fwho.int%2Ficd%2342128_512ebf36_bf6b_4d70_85da_cf2637062af4","iCat")</x:f>
      </x:c>
      <x:c r="M7007" s="0" t="s">
        <x:v>21</x:v>
      </x:c>
      <x:c r="N7007" s="0" t="s">
        <x:v>46</x:v>
      </x:c>
    </x:row>
    <x:row r="7008" spans="1:16">
      <x:c r="A7008" s="0" t="s">
        <x:v>27893</x:v>
      </x:c>
      <x:c r="B7008" s="0" t="s">
        <x:v>27894</x:v>
      </x:c>
      <x:c r="C7008" s="0" t="s">
        <x:v>27895</x:v>
      </x:c>
      <x:c r="E7008" s="0" t="s">
        <x:v>27896</x:v>
      </x:c>
      <x:c r="F7008" s="0" t="s">
        <x:v>45</x:v>
      </x:c>
      <x:c r="G7008" s="0" t="s">
        <x:v>19</x:v>
      </x:c>
      <x:c r="H7008" s="0" t="s">
        <x:v>20</x:v>
      </x:c>
      <x:c r="I7008" s="0" t="s">
        <x:v>21</x:v>
      </x:c>
      <x:c r="K7008" s="0">
        <x:f>hyperlink("https://icd.who.int/dev11/l-ichi/en#/http%3A%2F%2Fid.who.int%2Ficd%2Fentity%2F1763732843","browser")</x:f>
      </x:c>
      <x:c r="L7008" s="0">
        <x:f>hyperlink("https://icat2.azurewebsites.net/icat/?ontology=ICD&amp;tab=ClassesTab&amp;id=http%3A%2F%2Fwho.int%2Ficd%2342135_512ebf36_bf6b_4d70_85da_cf2637062af4","iCat")</x:f>
      </x:c>
      <x:c r="M7008" s="0" t="s">
        <x:v>21</x:v>
      </x:c>
      <x:c r="N7008" s="0" t="s">
        <x:v>46</x:v>
      </x:c>
    </x:row>
    <x:row r="7009" spans="1:16">
      <x:c r="A7009" s="0" t="s">
        <x:v>27897</x:v>
      </x:c>
      <x:c r="B7009" s="0" t="s">
        <x:v>27898</x:v>
      </x:c>
      <x:c r="C7009" s="0" t="s">
        <x:v>27899</x:v>
      </x:c>
      <x:c r="E7009" s="0" t="s">
        <x:v>27900</x:v>
      </x:c>
      <x:c r="F7009" s="0" t="s">
        <x:v>45</x:v>
      </x:c>
      <x:c r="G7009" s="0" t="s">
        <x:v>19</x:v>
      </x:c>
      <x:c r="H7009" s="0" t="s">
        <x:v>20</x:v>
      </x:c>
      <x:c r="I7009" s="0" t="s">
        <x:v>21</x:v>
      </x:c>
      <x:c r="K7009" s="0">
        <x:f>hyperlink("https://icd.who.int/dev11/l-ichi/en#/http%3A%2F%2Fid.who.int%2Ficd%2Fentity%2F695522814","browser")</x:f>
      </x:c>
      <x:c r="L7009" s="0">
        <x:f>hyperlink("https://icat2.azurewebsites.net/icat/?ontology=ICD&amp;tab=ClassesTab&amp;id=http%3A%2F%2Fwho.int%2Ficd%2342142_512ebf36_bf6b_4d70_85da_cf2637062af4","iCat")</x:f>
      </x:c>
      <x:c r="M7009" s="0" t="s">
        <x:v>21</x:v>
      </x:c>
      <x:c r="N7009" s="0" t="s">
        <x:v>46</x:v>
      </x:c>
    </x:row>
    <x:row r="7010" spans="1:16">
      <x:c r="A7010" s="0" t="s">
        <x:v>27901</x:v>
      </x:c>
      <x:c r="B7010" s="0" t="s">
        <x:v>27902</x:v>
      </x:c>
      <x:c r="C7010" s="0" t="s">
        <x:v>27903</x:v>
      </x:c>
      <x:c r="E7010" s="0" t="s">
        <x:v>27904</x:v>
      </x:c>
      <x:c r="F7010" s="0" t="s">
        <x:v>45</x:v>
      </x:c>
      <x:c r="G7010" s="0" t="s">
        <x:v>19</x:v>
      </x:c>
      <x:c r="H7010" s="0" t="s">
        <x:v>20</x:v>
      </x:c>
      <x:c r="I7010" s="0" t="s">
        <x:v>21</x:v>
      </x:c>
      <x:c r="K7010" s="0">
        <x:f>hyperlink("https://icd.who.int/dev11/l-ichi/en#/http%3A%2F%2Fid.who.int%2Ficd%2Fentity%2F577817424","browser")</x:f>
      </x:c>
      <x:c r="L7010" s="0">
        <x:f>hyperlink("https://icat2.azurewebsites.net/icat/?ontology=ICD&amp;tab=ClassesTab&amp;id=http%3A%2F%2Fwho.int%2Ficd%2342149_512ebf36_bf6b_4d70_85da_cf2637062af4","iCat")</x:f>
      </x:c>
      <x:c r="M7010" s="0" t="s">
        <x:v>21</x:v>
      </x:c>
      <x:c r="N7010" s="0" t="s">
        <x:v>46</x:v>
      </x:c>
    </x:row>
    <x:row r="7011" spans="1:16">
      <x:c r="A7011" s="0" t="s">
        <x:v>27905</x:v>
      </x:c>
      <x:c r="B7011" s="0" t="s">
        <x:v>27906</x:v>
      </x:c>
      <x:c r="C7011" s="0" t="s">
        <x:v>27907</x:v>
      </x:c>
      <x:c r="E7011" s="0" t="s">
        <x:v>27908</x:v>
      </x:c>
      <x:c r="F7011" s="0" t="s">
        <x:v>45</x:v>
      </x:c>
      <x:c r="G7011" s="0" t="s">
        <x:v>19</x:v>
      </x:c>
      <x:c r="H7011" s="0" t="s">
        <x:v>20</x:v>
      </x:c>
      <x:c r="I7011" s="0" t="s">
        <x:v>21</x:v>
      </x:c>
      <x:c r="K7011" s="0">
        <x:f>hyperlink("https://icd.who.int/dev11/l-ichi/en#/http%3A%2F%2Fid.who.int%2Ficd%2Fentity%2F1991673055","browser")</x:f>
      </x:c>
      <x:c r="L7011" s="0">
        <x:f>hyperlink("https://icat2.azurewebsites.net/icat/?ontology=ICD&amp;tab=ClassesTab&amp;id=http%3A%2F%2Fwho.int%2Ficd%2342156_512ebf36_bf6b_4d70_85da_cf2637062af4","iCat")</x:f>
      </x:c>
      <x:c r="M7011" s="0" t="s">
        <x:v>21</x:v>
      </x:c>
      <x:c r="N7011" s="0" t="s">
        <x:v>46</x:v>
      </x:c>
    </x:row>
    <x:row r="7012" spans="1:16">
      <x:c r="A7012" s="0" t="s">
        <x:v>27909</x:v>
      </x:c>
      <x:c r="B7012" s="0" t="s">
        <x:v>27910</x:v>
      </x:c>
      <x:c r="C7012" s="0" t="s">
        <x:v>27911</x:v>
      </x:c>
      <x:c r="E7012" s="0" t="s">
        <x:v>27912</x:v>
      </x:c>
      <x:c r="F7012" s="0" t="s">
        <x:v>45</x:v>
      </x:c>
      <x:c r="G7012" s="0" t="s">
        <x:v>19</x:v>
      </x:c>
      <x:c r="H7012" s="0" t="s">
        <x:v>20</x:v>
      </x:c>
      <x:c r="I7012" s="0" t="s">
        <x:v>21</x:v>
      </x:c>
      <x:c r="K7012" s="0">
        <x:f>hyperlink("https://icd.who.int/dev11/l-ichi/en#/http%3A%2F%2Fid.who.int%2Ficd%2Fentity%2F603550354","browser")</x:f>
      </x:c>
      <x:c r="L7012" s="0">
        <x:f>hyperlink("https://icat2.azurewebsites.net/icat/?ontology=ICD&amp;tab=ClassesTab&amp;id=http%3A%2F%2Fwho.int%2Ficd%2342163_512ebf36_bf6b_4d70_85da_cf2637062af4","iCat")</x:f>
      </x:c>
      <x:c r="M7012" s="0" t="s">
        <x:v>21</x:v>
      </x:c>
      <x:c r="N7012" s="0" t="s">
        <x:v>46</x:v>
      </x:c>
    </x:row>
    <x:row r="7013" spans="1:16">
      <x:c r="A7013" s="0" t="s">
        <x:v>27913</x:v>
      </x:c>
      <x:c r="B7013" s="0" t="s">
        <x:v>27914</x:v>
      </x:c>
      <x:c r="C7013" s="0" t="s">
        <x:v>27915</x:v>
      </x:c>
      <x:c r="E7013" s="0" t="s">
        <x:v>27916</x:v>
      </x:c>
      <x:c r="F7013" s="0" t="s">
        <x:v>45</x:v>
      </x:c>
      <x:c r="G7013" s="0" t="s">
        <x:v>19</x:v>
      </x:c>
      <x:c r="H7013" s="0" t="s">
        <x:v>20</x:v>
      </x:c>
      <x:c r="I7013" s="0" t="s">
        <x:v>21</x:v>
      </x:c>
      <x:c r="K7013" s="0">
        <x:f>hyperlink("https://icd.who.int/dev11/l-ichi/en#/http%3A%2F%2Fid.who.int%2Ficd%2Fentity%2F213485630","browser")</x:f>
      </x:c>
      <x:c r="L7013" s="0">
        <x:f>hyperlink("https://icat2.azurewebsites.net/icat/?ontology=ICD&amp;tab=ClassesTab&amp;id=http%3A%2F%2Fwho.int%2Ficd%2342170_512ebf36_bf6b_4d70_85da_cf2637062af4","iCat")</x:f>
      </x:c>
      <x:c r="M7013" s="0" t="s">
        <x:v>21</x:v>
      </x:c>
      <x:c r="N7013" s="0" t="s">
        <x:v>46</x:v>
      </x:c>
    </x:row>
    <x:row r="7014" spans="1:16">
      <x:c r="A7014" s="0" t="s">
        <x:v>27917</x:v>
      </x:c>
      <x:c r="B7014" s="0" t="s">
        <x:v>27918</x:v>
      </x:c>
      <x:c r="C7014" s="0" t="s">
        <x:v>27919</x:v>
      </x:c>
      <x:c r="E7014" s="0" t="s">
        <x:v>27920</x:v>
      </x:c>
      <x:c r="F7014" s="0" t="s">
        <x:v>45</x:v>
      </x:c>
      <x:c r="G7014" s="0" t="s">
        <x:v>19</x:v>
      </x:c>
      <x:c r="H7014" s="0" t="s">
        <x:v>20</x:v>
      </x:c>
      <x:c r="I7014" s="0" t="s">
        <x:v>21</x:v>
      </x:c>
      <x:c r="K7014" s="0">
        <x:f>hyperlink("https://icd.who.int/dev11/l-ichi/en#/http%3A%2F%2Fid.who.int%2Ficd%2Fentity%2F2084250547","browser")</x:f>
      </x:c>
      <x:c r="L7014" s="0">
        <x:f>hyperlink("https://icat2.azurewebsites.net/icat/?ontology=ICD&amp;tab=ClassesTab&amp;id=http%3A%2F%2Fwho.int%2Ficd%2342177_512ebf36_bf6b_4d70_85da_cf2637062af4","iCat")</x:f>
      </x:c>
      <x:c r="M7014" s="0" t="s">
        <x:v>21</x:v>
      </x:c>
      <x:c r="N7014" s="0" t="s">
        <x:v>46</x:v>
      </x:c>
    </x:row>
    <x:row r="7015" spans="1:16">
      <x:c r="A7015" s="0" t="s">
        <x:v>27921</x:v>
      </x:c>
      <x:c r="B7015" s="0" t="s">
        <x:v>27922</x:v>
      </x:c>
      <x:c r="C7015" s="0" t="s">
        <x:v>27923</x:v>
      </x:c>
      <x:c r="E7015" s="0" t="s">
        <x:v>27924</x:v>
      </x:c>
      <x:c r="F7015" s="0" t="s">
        <x:v>45</x:v>
      </x:c>
      <x:c r="G7015" s="0" t="s">
        <x:v>19</x:v>
      </x:c>
      <x:c r="H7015" s="0" t="s">
        <x:v>20</x:v>
      </x:c>
      <x:c r="I7015" s="0" t="s">
        <x:v>21</x:v>
      </x:c>
      <x:c r="K7015" s="0">
        <x:f>hyperlink("https://icd.who.int/dev11/l-ichi/en#/http%3A%2F%2Fid.who.int%2Ficd%2Fentity%2F374933142","browser")</x:f>
      </x:c>
      <x:c r="L7015" s="0">
        <x:f>hyperlink("https://icat2.azurewebsites.net/icat/?ontology=ICD&amp;tab=ClassesTab&amp;id=http%3A%2F%2Fwho.int%2Ficd%2342184_512ebf36_bf6b_4d70_85da_cf2637062af4","iCat")</x:f>
      </x:c>
      <x:c r="M7015" s="0" t="s">
        <x:v>21</x:v>
      </x:c>
      <x:c r="N7015" s="0" t="s">
        <x:v>46</x:v>
      </x:c>
    </x:row>
    <x:row r="7016" spans="1:16">
      <x:c r="A7016" s="0" t="s">
        <x:v>27925</x:v>
      </x:c>
      <x:c r="B7016" s="0" t="s">
        <x:v>27926</x:v>
      </x:c>
      <x:c r="C7016" s="0" t="s">
        <x:v>27927</x:v>
      </x:c>
      <x:c r="E7016" s="0" t="s">
        <x:v>27928</x:v>
      </x:c>
      <x:c r="F7016" s="0" t="s">
        <x:v>45</x:v>
      </x:c>
      <x:c r="G7016" s="0" t="s">
        <x:v>19</x:v>
      </x:c>
      <x:c r="H7016" s="0" t="s">
        <x:v>20</x:v>
      </x:c>
      <x:c r="I7016" s="0" t="s">
        <x:v>21</x:v>
      </x:c>
      <x:c r="K7016" s="0">
        <x:f>hyperlink("https://icd.who.int/dev11/l-ichi/en#/http%3A%2F%2Fid.who.int%2Ficd%2Fentity%2F1768039819","browser")</x:f>
      </x:c>
      <x:c r="L7016" s="0">
        <x:f>hyperlink("https://icat2.azurewebsites.net/icat/?ontology=ICD&amp;tab=ClassesTab&amp;id=http%3A%2F%2Fwho.int%2Ficd%2342191_512ebf36_bf6b_4d70_85da_cf2637062af4","iCat")</x:f>
      </x:c>
      <x:c r="M7016" s="0" t="s">
        <x:v>21</x:v>
      </x:c>
      <x:c r="N7016" s="0" t="s">
        <x:v>46</x:v>
      </x:c>
    </x:row>
    <x:row r="7017" spans="1:16">
      <x:c r="A7017" s="0" t="s">
        <x:v>27929</x:v>
      </x:c>
      <x:c r="B7017" s="0" t="s">
        <x:v>27930</x:v>
      </x:c>
      <x:c r="C7017" s="0" t="s">
        <x:v>27931</x:v>
      </x:c>
      <x:c r="E7017" s="0" t="s">
        <x:v>27932</x:v>
      </x:c>
      <x:c r="F7017" s="0" t="s">
        <x:v>45</x:v>
      </x:c>
      <x:c r="G7017" s="0" t="s">
        <x:v>19</x:v>
      </x:c>
      <x:c r="H7017" s="0" t="s">
        <x:v>20</x:v>
      </x:c>
      <x:c r="I7017" s="0" t="s">
        <x:v>21</x:v>
      </x:c>
      <x:c r="K7017" s="0">
        <x:f>hyperlink("https://icd.who.int/dev11/l-ichi/en#/http%3A%2F%2Fid.who.int%2Ficd%2Fentity%2F119154402","browser")</x:f>
      </x:c>
      <x:c r="L7017" s="0">
        <x:f>hyperlink("https://icat2.azurewebsites.net/icat/?ontology=ICD&amp;tab=ClassesTab&amp;id=http%3A%2F%2Fwho.int%2Ficd%2342198_512ebf36_bf6b_4d70_85da_cf2637062af4","iCat")</x:f>
      </x:c>
      <x:c r="M7017" s="0" t="s">
        <x:v>21</x:v>
      </x:c>
      <x:c r="N7017" s="0" t="s">
        <x:v>46</x:v>
      </x:c>
    </x:row>
    <x:row r="7018" spans="1:16">
      <x:c r="A7018" s="0" t="s">
        <x:v>27933</x:v>
      </x:c>
      <x:c r="B7018" s="0" t="s">
        <x:v>27934</x:v>
      </x:c>
      <x:c r="C7018" s="0" t="s">
        <x:v>27935</x:v>
      </x:c>
      <x:c r="E7018" s="0" t="s">
        <x:v>27936</x:v>
      </x:c>
      <x:c r="F7018" s="0" t="s">
        <x:v>45</x:v>
      </x:c>
      <x:c r="G7018" s="0" t="s">
        <x:v>19</x:v>
      </x:c>
      <x:c r="H7018" s="0" t="s">
        <x:v>20</x:v>
      </x:c>
      <x:c r="I7018" s="0" t="s">
        <x:v>21</x:v>
      </x:c>
      <x:c r="K7018" s="0">
        <x:f>hyperlink("https://icd.who.int/dev11/l-ichi/en#/http%3A%2F%2Fid.who.int%2Ficd%2Fentity%2F1221499189","browser")</x:f>
      </x:c>
      <x:c r="L7018" s="0">
        <x:f>hyperlink("https://icat2.azurewebsites.net/icat/?ontology=ICD&amp;tab=ClassesTab&amp;id=http%3A%2F%2Fwho.int%2Ficd%2342205_512ebf36_bf6b_4d70_85da_cf2637062af4","iCat")</x:f>
      </x:c>
      <x:c r="M7018" s="0" t="s">
        <x:v>21</x:v>
      </x:c>
      <x:c r="N7018" s="0" t="s">
        <x:v>46</x:v>
      </x:c>
    </x:row>
    <x:row r="7019" spans="1:16">
      <x:c r="A7019" s="0" t="s">
        <x:v>27937</x:v>
      </x:c>
      <x:c r="B7019" s="0" t="s">
        <x:v>27938</x:v>
      </x:c>
      <x:c r="C7019" s="0" t="s">
        <x:v>27939</x:v>
      </x:c>
      <x:c r="E7019" s="0" t="s">
        <x:v>27940</x:v>
      </x:c>
      <x:c r="F7019" s="0" t="s">
        <x:v>45</x:v>
      </x:c>
      <x:c r="G7019" s="0" t="s">
        <x:v>19</x:v>
      </x:c>
      <x:c r="H7019" s="0" t="s">
        <x:v>20</x:v>
      </x:c>
      <x:c r="I7019" s="0" t="s">
        <x:v>21</x:v>
      </x:c>
      <x:c r="K7019" s="0">
        <x:f>hyperlink("https://icd.who.int/dev11/l-ichi/en#/http%3A%2F%2Fid.who.int%2Ficd%2Fentity%2F1384753135","browser")</x:f>
      </x:c>
      <x:c r="L7019" s="0">
        <x:f>hyperlink("https://icat2.azurewebsites.net/icat/?ontology=ICD&amp;tab=ClassesTab&amp;id=http%3A%2F%2Fwho.int%2Ficd%2342212_512ebf36_bf6b_4d70_85da_cf2637062af4","iCat")</x:f>
      </x:c>
      <x:c r="M7019" s="0" t="s">
        <x:v>21</x:v>
      </x:c>
      <x:c r="N7019" s="0" t="s">
        <x:v>46</x:v>
      </x:c>
    </x:row>
    <x:row r="7020" spans="1:16">
      <x:c r="A7020" s="0" t="s">
        <x:v>27941</x:v>
      </x:c>
      <x:c r="B7020" s="0" t="s">
        <x:v>27942</x:v>
      </x:c>
      <x:c r="C7020" s="0" t="s">
        <x:v>27943</x:v>
      </x:c>
      <x:c r="E7020" s="0" t="s">
        <x:v>27944</x:v>
      </x:c>
      <x:c r="F7020" s="0" t="s">
        <x:v>45</x:v>
      </x:c>
      <x:c r="G7020" s="0" t="s">
        <x:v>19</x:v>
      </x:c>
      <x:c r="H7020" s="0" t="s">
        <x:v>20</x:v>
      </x:c>
      <x:c r="I7020" s="0" t="s">
        <x:v>21</x:v>
      </x:c>
      <x:c r="K7020" s="0">
        <x:f>hyperlink("https://icd.who.int/dev11/l-ichi/en#/http%3A%2F%2Fid.who.int%2Ficd%2Fentity%2F1502460227","browser")</x:f>
      </x:c>
      <x:c r="L7020" s="0">
        <x:f>hyperlink("https://icat2.azurewebsites.net/icat/?ontology=ICD&amp;tab=ClassesTab&amp;id=http%3A%2F%2Fwho.int%2Ficd%2342219_512ebf36_bf6b_4d70_85da_cf2637062af4","iCat")</x:f>
      </x:c>
      <x:c r="M7020" s="0" t="s">
        <x:v>21</x:v>
      </x:c>
      <x:c r="N7020" s="0" t="s">
        <x:v>46</x:v>
      </x:c>
    </x:row>
    <x:row r="7021" spans="1:16">
      <x:c r="A7021" s="0" t="s">
        <x:v>27945</x:v>
      </x:c>
      <x:c r="B7021" s="0" t="s">
        <x:v>27946</x:v>
      </x:c>
      <x:c r="C7021" s="0" t="s">
        <x:v>27947</x:v>
      </x:c>
      <x:c r="E7021" s="0" t="s">
        <x:v>27948</x:v>
      </x:c>
      <x:c r="F7021" s="0" t="s">
        <x:v>45</x:v>
      </x:c>
      <x:c r="G7021" s="0" t="s">
        <x:v>19</x:v>
      </x:c>
      <x:c r="H7021" s="0" t="s">
        <x:v>20</x:v>
      </x:c>
      <x:c r="I7021" s="0" t="s">
        <x:v>21</x:v>
      </x:c>
      <x:c r="K7021" s="0">
        <x:f>hyperlink("https://icd.who.int/dev11/l-ichi/en#/http%3A%2F%2Fid.who.int%2Ficd%2Fentity%2F423426372","browser")</x:f>
      </x:c>
      <x:c r="L7021" s="0">
        <x:f>hyperlink("https://icat2.azurewebsites.net/icat/?ontology=ICD&amp;tab=ClassesTab&amp;id=http%3A%2F%2Fwho.int%2Ficd%2342229_512ebf36_bf6b_4d70_85da_cf2637062af4","iCat")</x:f>
      </x:c>
      <x:c r="M7021" s="0" t="s">
        <x:v>21</x:v>
      </x:c>
      <x:c r="N7021" s="0" t="s">
        <x:v>46</x:v>
      </x:c>
    </x:row>
    <x:row r="7022" spans="1:16">
      <x:c r="A7022" s="0" t="s">
        <x:v>27949</x:v>
      </x:c>
      <x:c r="B7022" s="0" t="s">
        <x:v>27950</x:v>
      </x:c>
      <x:c r="C7022" s="0" t="s">
        <x:v>27951</x:v>
      </x:c>
      <x:c r="E7022" s="0" t="s">
        <x:v>27952</x:v>
      </x:c>
      <x:c r="F7022" s="0" t="s">
        <x:v>45</x:v>
      </x:c>
      <x:c r="G7022" s="0" t="s">
        <x:v>19</x:v>
      </x:c>
      <x:c r="H7022" s="0" t="s">
        <x:v>20</x:v>
      </x:c>
      <x:c r="I7022" s="0" t="s">
        <x:v>21</x:v>
      </x:c>
      <x:c r="K7022" s="0">
        <x:f>hyperlink("https://icd.who.int/dev11/l-ichi/en#/http%3A%2F%2Fid.who.int%2Ficd%2Fentity%2F1308276427","browser")</x:f>
      </x:c>
      <x:c r="L7022" s="0">
        <x:f>hyperlink("https://icat2.azurewebsites.net/icat/?ontology=ICD&amp;tab=ClassesTab&amp;id=http%3A%2F%2Fwho.int%2Ficd%2342236_512ebf36_bf6b_4d70_85da_cf2637062af4","iCat")</x:f>
      </x:c>
      <x:c r="M7022" s="0" t="s">
        <x:v>21</x:v>
      </x:c>
      <x:c r="N7022" s="0" t="s">
        <x:v>46</x:v>
      </x:c>
    </x:row>
    <x:row r="7023" spans="1:16">
      <x:c r="A7023" s="0" t="s">
        <x:v>27953</x:v>
      </x:c>
      <x:c r="B7023" s="0" t="s">
        <x:v>27954</x:v>
      </x:c>
      <x:c r="C7023" s="0" t="s">
        <x:v>27955</x:v>
      </x:c>
      <x:c r="E7023" s="0" t="s">
        <x:v>27956</x:v>
      </x:c>
      <x:c r="F7023" s="0" t="s">
        <x:v>45</x:v>
      </x:c>
      <x:c r="G7023" s="0" t="s">
        <x:v>19</x:v>
      </x:c>
      <x:c r="H7023" s="0" t="s">
        <x:v>20</x:v>
      </x:c>
      <x:c r="I7023" s="0" t="s">
        <x:v>21</x:v>
      </x:c>
      <x:c r="K7023" s="0">
        <x:f>hyperlink("https://icd.who.int/dev11/l-ichi/en#/http%3A%2F%2Fid.who.int%2Ficd%2Fentity%2F407943190","browser")</x:f>
      </x:c>
      <x:c r="L7023" s="0">
        <x:f>hyperlink("https://icat2.azurewebsites.net/icat/?ontology=ICD&amp;tab=ClassesTab&amp;id=http%3A%2F%2Fwho.int%2Ficd%2342244_512ebf36_bf6b_4d70_85da_cf2637062af4","iCat")</x:f>
      </x:c>
      <x:c r="M7023" s="0" t="s">
        <x:v>21</x:v>
      </x:c>
      <x:c r="N7023" s="0" t="s">
        <x:v>46</x:v>
      </x:c>
    </x:row>
    <x:row r="7024" spans="1:16">
      <x:c r="A7024" s="0" t="s">
        <x:v>27957</x:v>
      </x:c>
      <x:c r="B7024" s="0" t="s">
        <x:v>27958</x:v>
      </x:c>
      <x:c r="C7024" s="0" t="s">
        <x:v>27959</x:v>
      </x:c>
      <x:c r="E7024" s="0" t="s">
        <x:v>27960</x:v>
      </x:c>
      <x:c r="F7024" s="0" t="s">
        <x:v>45</x:v>
      </x:c>
      <x:c r="G7024" s="0" t="s">
        <x:v>19</x:v>
      </x:c>
      <x:c r="H7024" s="0" t="s">
        <x:v>20</x:v>
      </x:c>
      <x:c r="I7024" s="0" t="s">
        <x:v>21</x:v>
      </x:c>
      <x:c r="K7024" s="0">
        <x:f>hyperlink("https://icd.who.int/dev11/l-ichi/en#/http%3A%2F%2Fid.who.int%2Ficd%2Fentity%2F1735105291","browser")</x:f>
      </x:c>
      <x:c r="L7024" s="0">
        <x:f>hyperlink("https://icat2.azurewebsites.net/icat/?ontology=ICD&amp;tab=ClassesTab&amp;id=http%3A%2F%2Fwho.int%2Ficd%2342251_512ebf36_bf6b_4d70_85da_cf2637062af4","iCat")</x:f>
      </x:c>
      <x:c r="M7024" s="0" t="s">
        <x:v>21</x:v>
      </x:c>
      <x:c r="N7024" s="0" t="s">
        <x:v>46</x:v>
      </x:c>
    </x:row>
    <x:row r="7025" spans="1:16">
      <x:c r="A7025" s="0" t="s">
        <x:v>27961</x:v>
      </x:c>
      <x:c r="B7025" s="0" t="s">
        <x:v>27962</x:v>
      </x:c>
      <x:c r="C7025" s="0" t="s">
        <x:v>27963</x:v>
      </x:c>
      <x:c r="E7025" s="0" t="s">
        <x:v>27964</x:v>
      </x:c>
      <x:c r="F7025" s="0" t="s">
        <x:v>45</x:v>
      </x:c>
      <x:c r="G7025" s="0" t="s">
        <x:v>19</x:v>
      </x:c>
      <x:c r="H7025" s="0" t="s">
        <x:v>20</x:v>
      </x:c>
      <x:c r="I7025" s="0" t="s">
        <x:v>21</x:v>
      </x:c>
      <x:c r="K7025" s="0">
        <x:f>hyperlink("https://icd.who.int/dev11/l-ichi/en#/http%3A%2F%2Fid.who.int%2Ficd%2Fentity%2F152279138","browser")</x:f>
      </x:c>
      <x:c r="L7025" s="0">
        <x:f>hyperlink("https://icat2.azurewebsites.net/icat/?ontology=ICD&amp;tab=ClassesTab&amp;id=http%3A%2F%2Fwho.int%2Ficd%2342258_512ebf36_bf6b_4d70_85da_cf2637062af4","iCat")</x:f>
      </x:c>
      <x:c r="M7025" s="0" t="s">
        <x:v>21</x:v>
      </x:c>
      <x:c r="N7025" s="0" t="s">
        <x:v>46</x:v>
      </x:c>
    </x:row>
    <x:row r="7026" spans="1:16">
      <x:c r="A7026" s="0" t="s">
        <x:v>27965</x:v>
      </x:c>
      <x:c r="B7026" s="0" t="s">
        <x:v>27966</x:v>
      </x:c>
      <x:c r="C7026" s="0" t="s">
        <x:v>27967</x:v>
      </x:c>
      <x:c r="E7026" s="0" t="s">
        <x:v>27968</x:v>
      </x:c>
      <x:c r="F7026" s="0" t="s">
        <x:v>45</x:v>
      </x:c>
      <x:c r="G7026" s="0" t="s">
        <x:v>19</x:v>
      </x:c>
      <x:c r="H7026" s="0" t="s">
        <x:v>20</x:v>
      </x:c>
      <x:c r="I7026" s="0" t="s">
        <x:v>21</x:v>
      </x:c>
      <x:c r="K7026" s="0">
        <x:f>hyperlink("https://icd.who.int/dev11/l-ichi/en#/http%3A%2F%2Fid.who.int%2Ficd%2Fentity%2F1465413761","browser")</x:f>
      </x:c>
      <x:c r="L7026" s="0">
        <x:f>hyperlink("https://icat2.azurewebsites.net/icat/?ontology=ICD&amp;tab=ClassesTab&amp;id=http%3A%2F%2Fwho.int%2Ficd%2342266_512ebf36_bf6b_4d70_85da_cf2637062af4","iCat")</x:f>
      </x:c>
      <x:c r="M7026" s="0" t="s">
        <x:v>21</x:v>
      </x:c>
      <x:c r="N7026" s="0" t="s">
        <x:v>46</x:v>
      </x:c>
    </x:row>
    <x:row r="7027" spans="1:16">
      <x:c r="A7027" s="0" t="s">
        <x:v>27969</x:v>
      </x:c>
      <x:c r="B7027" s="0" t="s">
        <x:v>27970</x:v>
      </x:c>
      <x:c r="C7027" s="0" t="s">
        <x:v>27971</x:v>
      </x:c>
      <x:c r="E7027" s="0" t="s">
        <x:v>27972</x:v>
      </x:c>
      <x:c r="F7027" s="0" t="s">
        <x:v>45</x:v>
      </x:c>
      <x:c r="G7027" s="0" t="s">
        <x:v>19</x:v>
      </x:c>
      <x:c r="H7027" s="0" t="s">
        <x:v>20</x:v>
      </x:c>
      <x:c r="I7027" s="0" t="s">
        <x:v>21</x:v>
      </x:c>
      <x:c r="K7027" s="0">
        <x:f>hyperlink("https://icd.who.int/dev11/l-ichi/en#/http%3A%2F%2Fid.who.int%2Ficd%2Fentity%2F677598110","browser")</x:f>
      </x:c>
      <x:c r="L7027" s="0">
        <x:f>hyperlink("https://icat2.azurewebsites.net/icat/?ontology=ICD&amp;tab=ClassesTab&amp;id=http%3A%2F%2Fwho.int%2Ficd%2342273_512ebf36_bf6b_4d70_85da_cf2637062af4","iCat")</x:f>
      </x:c>
      <x:c r="M7027" s="0" t="s">
        <x:v>21</x:v>
      </x:c>
      <x:c r="N7027" s="0" t="s">
        <x:v>46</x:v>
      </x:c>
    </x:row>
    <x:row r="7028" spans="1:16">
      <x:c r="A7028" s="0" t="s">
        <x:v>27973</x:v>
      </x:c>
      <x:c r="B7028" s="0" t="s">
        <x:v>27974</x:v>
      </x:c>
      <x:c r="C7028" s="0" t="s">
        <x:v>27975</x:v>
      </x:c>
      <x:c r="E7028" s="0" t="s">
        <x:v>27976</x:v>
      </x:c>
      <x:c r="F7028" s="0" t="s">
        <x:v>45</x:v>
      </x:c>
      <x:c r="G7028" s="0" t="s">
        <x:v>19</x:v>
      </x:c>
      <x:c r="H7028" s="0" t="s">
        <x:v>20</x:v>
      </x:c>
      <x:c r="I7028" s="0" t="s">
        <x:v>21</x:v>
      </x:c>
      <x:c r="K7028" s="0">
        <x:f>hyperlink("https://icd.who.int/dev11/l-ichi/en#/http%3A%2F%2Fid.who.int%2Ficd%2Fentity%2F1107392185","browser")</x:f>
      </x:c>
      <x:c r="L7028" s="0">
        <x:f>hyperlink("https://icat2.azurewebsites.net/icat/?ontology=ICD&amp;tab=ClassesTab&amp;id=http%3A%2F%2Fwho.int%2Ficd%2342280_512ebf36_bf6b_4d70_85da_cf2637062af4","iCat")</x:f>
      </x:c>
      <x:c r="M7028" s="0" t="s">
        <x:v>21</x:v>
      </x:c>
      <x:c r="N7028" s="0" t="s">
        <x:v>46</x:v>
      </x:c>
    </x:row>
    <x:row r="7029" spans="1:16">
      <x:c r="A7029" s="0" t="s">
        <x:v>27977</x:v>
      </x:c>
      <x:c r="B7029" s="0" t="s">
        <x:v>27978</x:v>
      </x:c>
      <x:c r="C7029" s="0" t="s">
        <x:v>27979</x:v>
      </x:c>
      <x:c r="E7029" s="0" t="s">
        <x:v>27980</x:v>
      </x:c>
      <x:c r="F7029" s="0" t="s">
        <x:v>45</x:v>
      </x:c>
      <x:c r="G7029" s="0" t="s">
        <x:v>19</x:v>
      </x:c>
      <x:c r="H7029" s="0" t="s">
        <x:v>20</x:v>
      </x:c>
      <x:c r="I7029" s="0" t="s">
        <x:v>21</x:v>
      </x:c>
      <x:c r="K7029" s="0">
        <x:f>hyperlink("https://icd.who.int/dev11/l-ichi/en#/http%3A%2F%2Fid.who.int%2Ficd%2Fentity%2F847502646","browser")</x:f>
      </x:c>
      <x:c r="L7029" s="0">
        <x:f>hyperlink("https://icat2.azurewebsites.net/icat/?ontology=ICD&amp;tab=ClassesTab&amp;id=http%3A%2F%2Fwho.int%2Ficd%2342287_512ebf36_bf6b_4d70_85da_cf2637062af4","iCat")</x:f>
      </x:c>
      <x:c r="M7029" s="0" t="s">
        <x:v>21</x:v>
      </x:c>
      <x:c r="N7029" s="0" t="s">
        <x:v>46</x:v>
      </x:c>
    </x:row>
    <x:row r="7030" spans="1:16">
      <x:c r="A7030" s="0" t="s">
        <x:v>27981</x:v>
      </x:c>
      <x:c r="B7030" s="0" t="s">
        <x:v>27982</x:v>
      </x:c>
      <x:c r="C7030" s="0" t="s">
        <x:v>27983</x:v>
      </x:c>
      <x:c r="E7030" s="0" t="s">
        <x:v>27984</x:v>
      </x:c>
      <x:c r="F7030" s="0" t="s">
        <x:v>45</x:v>
      </x:c>
      <x:c r="G7030" s="0" t="s">
        <x:v>19</x:v>
      </x:c>
      <x:c r="H7030" s="0" t="s">
        <x:v>20</x:v>
      </x:c>
      <x:c r="I7030" s="0" t="s">
        <x:v>21</x:v>
      </x:c>
      <x:c r="K7030" s="0">
        <x:f>hyperlink("https://icd.who.int/dev11/l-ichi/en#/http%3A%2F%2Fid.who.int%2Ficd%2Fentity%2F1027233192","browser")</x:f>
      </x:c>
      <x:c r="L7030" s="0">
        <x:f>hyperlink("https://icat2.azurewebsites.net/icat/?ontology=ICD&amp;tab=ClassesTab&amp;id=http%3A%2F%2Fwho.int%2Ficd%2342295_512ebf36_bf6b_4d70_85da_cf2637062af4","iCat")</x:f>
      </x:c>
      <x:c r="M7030" s="0" t="s">
        <x:v>21</x:v>
      </x:c>
      <x:c r="N7030" s="0" t="s">
        <x:v>46</x:v>
      </x:c>
    </x:row>
    <x:row r="7031" spans="1:16">
      <x:c r="A7031" s="0" t="s">
        <x:v>27985</x:v>
      </x:c>
      <x:c r="B7031" s="0" t="s">
        <x:v>27986</x:v>
      </x:c>
      <x:c r="C7031" s="0" t="s">
        <x:v>27987</x:v>
      </x:c>
      <x:c r="E7031" s="0" t="s">
        <x:v>27988</x:v>
      </x:c>
      <x:c r="F7031" s="0" t="s">
        <x:v>45</x:v>
      </x:c>
      <x:c r="G7031" s="0" t="s">
        <x:v>19</x:v>
      </x:c>
      <x:c r="H7031" s="0" t="s">
        <x:v>20</x:v>
      </x:c>
      <x:c r="I7031" s="0" t="s">
        <x:v>21</x:v>
      </x:c>
      <x:c r="K7031" s="0">
        <x:f>hyperlink("https://icd.who.int/dev11/l-ichi/en#/http%3A%2F%2Fid.who.int%2Ficd%2Fentity%2F1479361133","browser")</x:f>
      </x:c>
      <x:c r="L7031" s="0">
        <x:f>hyperlink("https://icat2.azurewebsites.net/icat/?ontology=ICD&amp;tab=ClassesTab&amp;id=http%3A%2F%2Fwho.int%2Ficd%2342307_512ebf36_bf6b_4d70_85da_cf2637062af4","iCat")</x:f>
      </x:c>
      <x:c r="M7031" s="0" t="s">
        <x:v>21</x:v>
      </x:c>
      <x:c r="N7031" s="0" t="s">
        <x:v>46</x:v>
      </x:c>
    </x:row>
    <x:row r="7032" spans="1:16">
      <x:c r="A7032" s="0" t="s">
        <x:v>27989</x:v>
      </x:c>
      <x:c r="B7032" s="0" t="s">
        <x:v>27990</x:v>
      </x:c>
      <x:c r="C7032" s="0" t="s">
        <x:v>27991</x:v>
      </x:c>
      <x:c r="E7032" s="0" t="s">
        <x:v>27992</x:v>
      </x:c>
      <x:c r="F7032" s="0" t="s">
        <x:v>45</x:v>
      </x:c>
      <x:c r="G7032" s="0" t="s">
        <x:v>19</x:v>
      </x:c>
      <x:c r="H7032" s="0" t="s">
        <x:v>20</x:v>
      </x:c>
      <x:c r="I7032" s="0" t="s">
        <x:v>21</x:v>
      </x:c>
      <x:c r="K7032" s="0">
        <x:f>hyperlink("https://icd.who.int/dev11/l-ichi/en#/http%3A%2F%2Fid.who.int%2Ficd%2Fentity%2F2003679427","browser")</x:f>
      </x:c>
      <x:c r="L7032" s="0">
        <x:f>hyperlink("https://icat2.azurewebsites.net/icat/?ontology=ICD&amp;tab=ClassesTab&amp;id=http%3A%2F%2Fwho.int%2Ficd%2342314_512ebf36_bf6b_4d70_85da_cf2637062af4","iCat")</x:f>
      </x:c>
      <x:c r="M7032" s="0" t="s">
        <x:v>21</x:v>
      </x:c>
      <x:c r="N7032" s="0" t="s">
        <x:v>46</x:v>
      </x:c>
    </x:row>
    <x:row r="7033" spans="1:16">
      <x:c r="A7033" s="0" t="s">
        <x:v>27993</x:v>
      </x:c>
      <x:c r="B7033" s="0" t="s">
        <x:v>27994</x:v>
      </x:c>
      <x:c r="C7033" s="0" t="s">
        <x:v>27995</x:v>
      </x:c>
      <x:c r="E7033" s="0" t="s">
        <x:v>27996</x:v>
      </x:c>
      <x:c r="F7033" s="0" t="s">
        <x:v>45</x:v>
      </x:c>
      <x:c r="G7033" s="0" t="s">
        <x:v>19</x:v>
      </x:c>
      <x:c r="H7033" s="0" t="s">
        <x:v>20</x:v>
      </x:c>
      <x:c r="I7033" s="0" t="s">
        <x:v>21</x:v>
      </x:c>
      <x:c r="K7033" s="0">
        <x:f>hyperlink("https://icd.who.int/dev11/l-ichi/en#/http%3A%2F%2Fid.who.int%2Ficd%2Fentity%2F572673676","browser")</x:f>
      </x:c>
      <x:c r="L7033" s="0">
        <x:f>hyperlink("https://icat2.azurewebsites.net/icat/?ontology=ICD&amp;tab=ClassesTab&amp;id=http%3A%2F%2Fwho.int%2Ficd%2342321_512ebf36_bf6b_4d70_85da_cf2637062af4","iCat")</x:f>
      </x:c>
      <x:c r="M7033" s="0" t="s">
        <x:v>21</x:v>
      </x:c>
      <x:c r="N7033" s="0" t="s">
        <x:v>46</x:v>
      </x:c>
    </x:row>
    <x:row r="7034" spans="1:16">
      <x:c r="A7034" s="0" t="s">
        <x:v>27997</x:v>
      </x:c>
      <x:c r="B7034" s="0" t="s">
        <x:v>27998</x:v>
      </x:c>
      <x:c r="C7034" s="0" t="s">
        <x:v>27999</x:v>
      </x:c>
      <x:c r="E7034" s="0" t="s">
        <x:v>28000</x:v>
      </x:c>
      <x:c r="F7034" s="0" t="s">
        <x:v>45</x:v>
      </x:c>
      <x:c r="G7034" s="0" t="s">
        <x:v>19</x:v>
      </x:c>
      <x:c r="H7034" s="0" t="s">
        <x:v>20</x:v>
      </x:c>
      <x:c r="I7034" s="0" t="s">
        <x:v>21</x:v>
      </x:c>
      <x:c r="K7034" s="0">
        <x:f>hyperlink("https://icd.who.int/dev11/l-ichi/en#/http%3A%2F%2Fid.who.int%2Ficd%2Fentity%2F1280986597","browser")</x:f>
      </x:c>
      <x:c r="L7034" s="0">
        <x:f>hyperlink("https://icat2.azurewebsites.net/icat/?ontology=ICD&amp;tab=ClassesTab&amp;id=http%3A%2F%2Fwho.int%2Ficd%2342328_512ebf36_bf6b_4d70_85da_cf2637062af4","iCat")</x:f>
      </x:c>
      <x:c r="M7034" s="0" t="s">
        <x:v>21</x:v>
      </x:c>
      <x:c r="N7034" s="0" t="s">
        <x:v>46</x:v>
      </x:c>
    </x:row>
    <x:row r="7035" spans="1:16">
      <x:c r="A7035" s="0" t="s">
        <x:v>28001</x:v>
      </x:c>
      <x:c r="B7035" s="0" t="s">
        <x:v>28002</x:v>
      </x:c>
      <x:c r="C7035" s="0" t="s">
        <x:v>28003</x:v>
      </x:c>
      <x:c r="E7035" s="0" t="s">
        <x:v>28004</x:v>
      </x:c>
      <x:c r="F7035" s="0" t="s">
        <x:v>45</x:v>
      </x:c>
      <x:c r="G7035" s="0" t="s">
        <x:v>19</x:v>
      </x:c>
      <x:c r="H7035" s="0" t="s">
        <x:v>20</x:v>
      </x:c>
      <x:c r="I7035" s="0" t="s">
        <x:v>21</x:v>
      </x:c>
      <x:c r="K7035" s="0">
        <x:f>hyperlink("https://icd.who.int/dev11/l-ichi/en#/http%3A%2F%2Fid.who.int%2Ficd%2Fentity%2F946171990","browser")</x:f>
      </x:c>
      <x:c r="L7035" s="0">
        <x:f>hyperlink("https://icat2.azurewebsites.net/icat/?ontology=ICD&amp;tab=ClassesTab&amp;id=http%3A%2F%2Fwho.int%2Ficd%2342336_512ebf36_bf6b_4d70_85da_cf2637062af4","iCat")</x:f>
      </x:c>
      <x:c r="M7035" s="0" t="s">
        <x:v>21</x:v>
      </x:c>
      <x:c r="N7035" s="0" t="s">
        <x:v>46</x:v>
      </x:c>
    </x:row>
    <x:row r="7036" spans="1:16">
      <x:c r="A7036" s="0" t="s">
        <x:v>28005</x:v>
      </x:c>
      <x:c r="B7036" s="0" t="s">
        <x:v>28006</x:v>
      </x:c>
      <x:c r="C7036" s="0" t="s">
        <x:v>28007</x:v>
      </x:c>
      <x:c r="E7036" s="0" t="s">
        <x:v>28008</x:v>
      </x:c>
      <x:c r="F7036" s="0" t="s">
        <x:v>45</x:v>
      </x:c>
      <x:c r="G7036" s="0" t="s">
        <x:v>19</x:v>
      </x:c>
      <x:c r="H7036" s="0" t="s">
        <x:v>20</x:v>
      </x:c>
      <x:c r="I7036" s="0" t="s">
        <x:v>21</x:v>
      </x:c>
      <x:c r="K7036" s="0">
        <x:f>hyperlink("https://icd.who.int/dev11/l-ichi/en#/http%3A%2F%2Fid.who.int%2Ficd%2Fentity%2F491640070","browser")</x:f>
      </x:c>
      <x:c r="L7036" s="0">
        <x:f>hyperlink("https://icat2.azurewebsites.net/icat/?ontology=ICD&amp;tab=ClassesTab&amp;id=http%3A%2F%2Fwho.int%2Ficd%2342343_512ebf36_bf6b_4d70_85da_cf2637062af4","iCat")</x:f>
      </x:c>
      <x:c r="M7036" s="0" t="s">
        <x:v>21</x:v>
      </x:c>
      <x:c r="N7036" s="0" t="s">
        <x:v>46</x:v>
      </x:c>
    </x:row>
    <x:row r="7037" spans="1:16">
      <x:c r="A7037" s="0" t="s">
        <x:v>28009</x:v>
      </x:c>
      <x:c r="B7037" s="0" t="s">
        <x:v>28010</x:v>
      </x:c>
      <x:c r="C7037" s="0" t="s">
        <x:v>28011</x:v>
      </x:c>
      <x:c r="E7037" s="0" t="s">
        <x:v>28012</x:v>
      </x:c>
      <x:c r="F7037" s="0" t="s">
        <x:v>45</x:v>
      </x:c>
      <x:c r="G7037" s="0" t="s">
        <x:v>19</x:v>
      </x:c>
      <x:c r="H7037" s="0" t="s">
        <x:v>20</x:v>
      </x:c>
      <x:c r="I7037" s="0" t="s">
        <x:v>21</x:v>
      </x:c>
      <x:c r="K7037" s="0">
        <x:f>hyperlink("https://icd.who.int/dev11/l-ichi/en#/http%3A%2F%2Fid.who.int%2Ficd%2Fentity%2F318004632","browser")</x:f>
      </x:c>
      <x:c r="L7037" s="0">
        <x:f>hyperlink("https://icat2.azurewebsites.net/icat/?ontology=ICD&amp;tab=ClassesTab&amp;id=http%3A%2F%2Fwho.int%2Ficd%2342351_512ebf36_bf6b_4d70_85da_cf2637062af4","iCat")</x:f>
      </x:c>
      <x:c r="M7037" s="0" t="s">
        <x:v>21</x:v>
      </x:c>
      <x:c r="N7037" s="0" t="s">
        <x:v>46</x:v>
      </x:c>
    </x:row>
    <x:row r="7038" spans="1:16">
      <x:c r="A7038" s="0" t="s">
        <x:v>28013</x:v>
      </x:c>
      <x:c r="B7038" s="0" t="s">
        <x:v>28014</x:v>
      </x:c>
      <x:c r="C7038" s="0" t="s">
        <x:v>28015</x:v>
      </x:c>
      <x:c r="E7038" s="0" t="s">
        <x:v>28016</x:v>
      </x:c>
      <x:c r="F7038" s="0" t="s">
        <x:v>45</x:v>
      </x:c>
      <x:c r="G7038" s="0" t="s">
        <x:v>19</x:v>
      </x:c>
      <x:c r="H7038" s="0" t="s">
        <x:v>20</x:v>
      </x:c>
      <x:c r="I7038" s="0" t="s">
        <x:v>21</x:v>
      </x:c>
      <x:c r="K7038" s="0">
        <x:f>hyperlink("https://icd.who.int/dev11/l-ichi/en#/http%3A%2F%2Fid.who.int%2Ficd%2Fentity%2F2089574143","browser")</x:f>
      </x:c>
      <x:c r="L7038" s="0">
        <x:f>hyperlink("https://icat2.azurewebsites.net/icat/?ontology=ICD&amp;tab=ClassesTab&amp;id=http%3A%2F%2Fwho.int%2Ficd%2342358_512ebf36_bf6b_4d70_85da_cf2637062af4","iCat")</x:f>
      </x:c>
      <x:c r="M7038" s="0" t="s">
        <x:v>21</x:v>
      </x:c>
      <x:c r="N7038" s="0" t="s">
        <x:v>46</x:v>
      </x:c>
    </x:row>
    <x:row r="7039" spans="1:16">
      <x:c r="A7039" s="0" t="s">
        <x:v>28017</x:v>
      </x:c>
      <x:c r="B7039" s="0" t="s">
        <x:v>28018</x:v>
      </x:c>
      <x:c r="C7039" s="0" t="s">
        <x:v>28019</x:v>
      </x:c>
      <x:c r="E7039" s="0" t="s">
        <x:v>28020</x:v>
      </x:c>
      <x:c r="F7039" s="0" t="s">
        <x:v>45</x:v>
      </x:c>
      <x:c r="G7039" s="0" t="s">
        <x:v>19</x:v>
      </x:c>
      <x:c r="H7039" s="0" t="s">
        <x:v>20</x:v>
      </x:c>
      <x:c r="I7039" s="0" t="s">
        <x:v>21</x:v>
      </x:c>
      <x:c r="K7039" s="0">
        <x:f>hyperlink("https://icd.who.int/dev11/l-ichi/en#/http%3A%2F%2Fid.who.int%2Ficd%2Fentity%2F1732434405","browser")</x:f>
      </x:c>
      <x:c r="L7039" s="0">
        <x:f>hyperlink("https://icat2.azurewebsites.net/icat/?ontology=ICD&amp;tab=ClassesTab&amp;id=http%3A%2F%2Fwho.int%2Ficd%2342365_512ebf36_bf6b_4d70_85da_cf2637062af4","iCat")</x:f>
      </x:c>
      <x:c r="M7039" s="0" t="s">
        <x:v>21</x:v>
      </x:c>
      <x:c r="N7039" s="0" t="s">
        <x:v>46</x:v>
      </x:c>
    </x:row>
    <x:row r="7040" spans="1:16">
      <x:c r="A7040" s="0" t="s">
        <x:v>28021</x:v>
      </x:c>
      <x:c r="B7040" s="0" t="s">
        <x:v>28022</x:v>
      </x:c>
      <x:c r="C7040" s="0" t="s">
        <x:v>28023</x:v>
      </x:c>
      <x:c r="E7040" s="0" t="s">
        <x:v>28024</x:v>
      </x:c>
      <x:c r="F7040" s="0" t="s">
        <x:v>45</x:v>
      </x:c>
      <x:c r="G7040" s="0" t="s">
        <x:v>19</x:v>
      </x:c>
      <x:c r="H7040" s="0" t="s">
        <x:v>20</x:v>
      </x:c>
      <x:c r="I7040" s="0" t="s">
        <x:v>21</x:v>
      </x:c>
      <x:c r="K7040" s="0">
        <x:f>hyperlink("https://icd.who.int/dev11/l-ichi/en#/http%3A%2F%2Fid.who.int%2Ficd%2Fentity%2F2097538879","browser")</x:f>
      </x:c>
      <x:c r="L7040" s="0">
        <x:f>hyperlink("https://icat2.azurewebsites.net/icat/?ontology=ICD&amp;tab=ClassesTab&amp;id=http%3A%2F%2Fwho.int%2Ficd%2342372_512ebf36_bf6b_4d70_85da_cf2637062af4","iCat")</x:f>
      </x:c>
      <x:c r="M7040" s="0" t="s">
        <x:v>21</x:v>
      </x:c>
      <x:c r="N7040" s="0" t="s">
        <x:v>46</x:v>
      </x:c>
    </x:row>
    <x:row r="7041" spans="1:16">
      <x:c r="A7041" s="0" t="s">
        <x:v>28025</x:v>
      </x:c>
      <x:c r="B7041" s="0" t="s">
        <x:v>28026</x:v>
      </x:c>
      <x:c r="C7041" s="0" t="s">
        <x:v>28027</x:v>
      </x:c>
      <x:c r="E7041" s="0" t="s">
        <x:v>28028</x:v>
      </x:c>
      <x:c r="F7041" s="0" t="s">
        <x:v>45</x:v>
      </x:c>
      <x:c r="G7041" s="0" t="s">
        <x:v>19</x:v>
      </x:c>
      <x:c r="H7041" s="0" t="s">
        <x:v>20</x:v>
      </x:c>
      <x:c r="I7041" s="0" t="s">
        <x:v>21</x:v>
      </x:c>
      <x:c r="K7041" s="0">
        <x:f>hyperlink("https://icd.who.int/dev11/l-ichi/en#/http%3A%2F%2Fid.who.int%2Ficd%2Fentity%2F1979840915","browser")</x:f>
      </x:c>
      <x:c r="L7041" s="0">
        <x:f>hyperlink("https://icat2.azurewebsites.net/icat/?ontology=ICD&amp;tab=ClassesTab&amp;id=http%3A%2F%2Fwho.int%2Ficd%2342379_512ebf36_bf6b_4d70_85da_cf2637062af4","iCat")</x:f>
      </x:c>
      <x:c r="M7041" s="0" t="s">
        <x:v>21</x:v>
      </x:c>
      <x:c r="N7041" s="0" t="s">
        <x:v>46</x:v>
      </x:c>
    </x:row>
    <x:row r="7042" spans="1:16">
      <x:c r="A7042" s="0" t="s">
        <x:v>28029</x:v>
      </x:c>
      <x:c r="B7042" s="0" t="s">
        <x:v>28030</x:v>
      </x:c>
      <x:c r="C7042" s="0" t="s">
        <x:v>28031</x:v>
      </x:c>
      <x:c r="E7042" s="0" t="s">
        <x:v>28032</x:v>
      </x:c>
      <x:c r="F7042" s="0" t="s">
        <x:v>45</x:v>
      </x:c>
      <x:c r="G7042" s="0" t="s">
        <x:v>19</x:v>
      </x:c>
      <x:c r="H7042" s="0" t="s">
        <x:v>20</x:v>
      </x:c>
      <x:c r="I7042" s="0" t="s">
        <x:v>21</x:v>
      </x:c>
      <x:c r="K7042" s="0">
        <x:f>hyperlink("https://icd.who.int/dev11/l-ichi/en#/http%3A%2F%2Fid.who.int%2Ficd%2Fentity%2F1743088021","browser")</x:f>
      </x:c>
      <x:c r="L7042" s="0">
        <x:f>hyperlink("https://icat2.azurewebsites.net/icat/?ontology=ICD&amp;tab=ClassesTab&amp;id=http%3A%2F%2Fwho.int%2Ficd%2342386_512ebf36_bf6b_4d70_85da_cf2637062af4","iCat")</x:f>
      </x:c>
      <x:c r="M7042" s="0" t="s">
        <x:v>21</x:v>
      </x:c>
      <x:c r="N7042" s="0" t="s">
        <x:v>46</x:v>
      </x:c>
    </x:row>
    <x:row r="7043" spans="1:16">
      <x:c r="A7043" s="0" t="s">
        <x:v>28033</x:v>
      </x:c>
      <x:c r="B7043" s="0" t="s">
        <x:v>28034</x:v>
      </x:c>
      <x:c r="C7043" s="0" t="s">
        <x:v>28035</x:v>
      </x:c>
      <x:c r="E7043" s="0" t="s">
        <x:v>28036</x:v>
      </x:c>
      <x:c r="F7043" s="0" t="s">
        <x:v>45</x:v>
      </x:c>
      <x:c r="G7043" s="0" t="s">
        <x:v>19</x:v>
      </x:c>
      <x:c r="H7043" s="0" t="s">
        <x:v>20</x:v>
      </x:c>
      <x:c r="I7043" s="0" t="s">
        <x:v>21</x:v>
      </x:c>
      <x:c r="K7043" s="0">
        <x:f>hyperlink("https://icd.who.int/dev11/l-ichi/en#/http%3A%2F%2Fid.who.int%2Ficd%2Fentity%2F417221258","browser")</x:f>
      </x:c>
      <x:c r="L7043" s="0">
        <x:f>hyperlink("https://icat2.azurewebsites.net/icat/?ontology=ICD&amp;tab=ClassesTab&amp;id=http%3A%2F%2Fwho.int%2Ficd%2342393_512ebf36_bf6b_4d70_85da_cf2637062af4","iCat")</x:f>
      </x:c>
      <x:c r="M7043" s="0" t="s">
        <x:v>21</x:v>
      </x:c>
      <x:c r="N7043" s="0" t="s">
        <x:v>46</x:v>
      </x:c>
    </x:row>
    <x:row r="7044" spans="1:16">
      <x:c r="A7044" s="0" t="s">
        <x:v>28037</x:v>
      </x:c>
      <x:c r="B7044" s="0" t="s">
        <x:v>28038</x:v>
      </x:c>
      <x:c r="C7044" s="0" t="s">
        <x:v>28039</x:v>
      </x:c>
      <x:c r="E7044" s="0" t="s">
        <x:v>28040</x:v>
      </x:c>
      <x:c r="F7044" s="0" t="s">
        <x:v>45</x:v>
      </x:c>
      <x:c r="G7044" s="0" t="s">
        <x:v>19</x:v>
      </x:c>
      <x:c r="H7044" s="0" t="s">
        <x:v>20</x:v>
      </x:c>
      <x:c r="I7044" s="0" t="s">
        <x:v>21</x:v>
      </x:c>
      <x:c r="K7044" s="0">
        <x:f>hyperlink("https://icd.who.int/dev11/l-ichi/en#/http%3A%2F%2Fid.who.int%2Ficd%2Fentity%2F1157513614","browser")</x:f>
      </x:c>
      <x:c r="L7044" s="0">
        <x:f>hyperlink("https://icat2.azurewebsites.net/icat/?ontology=ICD&amp;tab=ClassesTab&amp;id=http%3A%2F%2Fwho.int%2Ficd%2342400_512ebf36_bf6b_4d70_85da_cf2637062af4","iCat")</x:f>
      </x:c>
      <x:c r="M7044" s="0" t="s">
        <x:v>21</x:v>
      </x:c>
      <x:c r="N7044" s="0" t="s">
        <x:v>46</x:v>
      </x:c>
    </x:row>
    <x:row r="7045" spans="1:16">
      <x:c r="A7045" s="0" t="s">
        <x:v>28041</x:v>
      </x:c>
      <x:c r="B7045" s="0" t="s">
        <x:v>28042</x:v>
      </x:c>
      <x:c r="C7045" s="0" t="s">
        <x:v>28043</x:v>
      </x:c>
      <x:c r="E7045" s="0" t="s">
        <x:v>28044</x:v>
      </x:c>
      <x:c r="F7045" s="0" t="s">
        <x:v>45</x:v>
      </x:c>
      <x:c r="G7045" s="0" t="s">
        <x:v>19</x:v>
      </x:c>
      <x:c r="H7045" s="0" t="s">
        <x:v>20</x:v>
      </x:c>
      <x:c r="I7045" s="0" t="s">
        <x:v>21</x:v>
      </x:c>
      <x:c r="K7045" s="0">
        <x:f>hyperlink("https://icd.who.int/dev11/l-ichi/en#/http%3A%2F%2Fid.who.int%2Ficd%2Fentity%2F880601601","browser")</x:f>
      </x:c>
      <x:c r="L7045" s="0">
        <x:f>hyperlink("https://icat2.azurewebsites.net/icat/?ontology=ICD&amp;tab=ClassesTab&amp;id=http%3A%2F%2Fwho.int%2Ficd%2342407_512ebf36_bf6b_4d70_85da_cf2637062af4","iCat")</x:f>
      </x:c>
      <x:c r="M7045" s="0" t="s">
        <x:v>21</x:v>
      </x:c>
      <x:c r="N7045" s="0" t="s">
        <x:v>46</x:v>
      </x:c>
    </x:row>
    <x:row r="7046" spans="1:16">
      <x:c r="A7046" s="0" t="s">
        <x:v>28045</x:v>
      </x:c>
      <x:c r="B7046" s="0" t="s">
        <x:v>28046</x:v>
      </x:c>
      <x:c r="C7046" s="0" t="s">
        <x:v>28047</x:v>
      </x:c>
      <x:c r="E7046" s="0" t="s">
        <x:v>28048</x:v>
      </x:c>
      <x:c r="F7046" s="0" t="s">
        <x:v>45</x:v>
      </x:c>
      <x:c r="G7046" s="0" t="s">
        <x:v>19</x:v>
      </x:c>
      <x:c r="H7046" s="0" t="s">
        <x:v>20</x:v>
      </x:c>
      <x:c r="I7046" s="0" t="s">
        <x:v>21</x:v>
      </x:c>
      <x:c r="K7046" s="0">
        <x:f>hyperlink("https://icd.who.int/dev11/l-ichi/en#/http%3A%2F%2Fid.who.int%2Ficd%2Fentity%2F1589215064","browser")</x:f>
      </x:c>
      <x:c r="L7046" s="0">
        <x:f>hyperlink("https://icat2.azurewebsites.net/icat/?ontology=ICD&amp;tab=ClassesTab&amp;id=http%3A%2F%2Fwho.int%2Ficd%2342417_512ebf36_bf6b_4d70_85da_cf2637062af4","iCat")</x:f>
      </x:c>
      <x:c r="M7046" s="0" t="s">
        <x:v>21</x:v>
      </x:c>
      <x:c r="N7046" s="0" t="s">
        <x:v>46</x:v>
      </x:c>
    </x:row>
    <x:row r="7047" spans="1:16">
      <x:c r="A7047" s="0" t="s">
        <x:v>28049</x:v>
      </x:c>
      <x:c r="B7047" s="0" t="s">
        <x:v>28050</x:v>
      </x:c>
      <x:c r="C7047" s="0" t="s">
        <x:v>28051</x:v>
      </x:c>
      <x:c r="E7047" s="0" t="s">
        <x:v>28052</x:v>
      </x:c>
      <x:c r="F7047" s="0" t="s">
        <x:v>45</x:v>
      </x:c>
      <x:c r="G7047" s="0" t="s">
        <x:v>19</x:v>
      </x:c>
      <x:c r="H7047" s="0" t="s">
        <x:v>20</x:v>
      </x:c>
      <x:c r="I7047" s="0" t="s">
        <x:v>21</x:v>
      </x:c>
      <x:c r="K7047" s="0">
        <x:f>hyperlink("https://icd.who.int/dev11/l-ichi/en#/http%3A%2F%2Fid.who.int%2Ficd%2Fentity%2F1535987882","browser")</x:f>
      </x:c>
      <x:c r="L7047" s="0">
        <x:f>hyperlink("https://icat2.azurewebsites.net/icat/?ontology=ICD&amp;tab=ClassesTab&amp;id=http%3A%2F%2Fwho.int%2Ficd%2342424_512ebf36_bf6b_4d70_85da_cf2637062af4","iCat")</x:f>
      </x:c>
      <x:c r="M7047" s="0" t="s">
        <x:v>21</x:v>
      </x:c>
      <x:c r="N7047" s="0" t="s">
        <x:v>46</x:v>
      </x:c>
    </x:row>
    <x:row r="7048" spans="1:16">
      <x:c r="A7048" s="0" t="s">
        <x:v>28053</x:v>
      </x:c>
      <x:c r="B7048" s="0" t="s">
        <x:v>28054</x:v>
      </x:c>
      <x:c r="C7048" s="0" t="s">
        <x:v>28055</x:v>
      </x:c>
      <x:c r="E7048" s="0" t="s">
        <x:v>28056</x:v>
      </x:c>
      <x:c r="F7048" s="0" t="s">
        <x:v>45</x:v>
      </x:c>
      <x:c r="G7048" s="0" t="s">
        <x:v>19</x:v>
      </x:c>
      <x:c r="H7048" s="0" t="s">
        <x:v>20</x:v>
      </x:c>
      <x:c r="I7048" s="0" t="s">
        <x:v>21</x:v>
      </x:c>
      <x:c r="K7048" s="0">
        <x:f>hyperlink("https://icd.who.int/dev11/l-ichi/en#/http%3A%2F%2Fid.who.int%2Ficd%2Fentity%2F615936951","browser")</x:f>
      </x:c>
      <x:c r="L7048" s="0">
        <x:f>hyperlink("https://icat2.azurewebsites.net/icat/?ontology=ICD&amp;tab=ClassesTab&amp;id=http%3A%2F%2Fwho.int%2Ficd%2342431_512ebf36_bf6b_4d70_85da_cf2637062af4","iCat")</x:f>
      </x:c>
      <x:c r="M7048" s="0" t="s">
        <x:v>21</x:v>
      </x:c>
      <x:c r="N7048" s="0" t="s">
        <x:v>46</x:v>
      </x:c>
    </x:row>
    <x:row r="7049" spans="1:16">
      <x:c r="A7049" s="0" t="s">
        <x:v>28057</x:v>
      </x:c>
      <x:c r="B7049" s="0" t="s">
        <x:v>28058</x:v>
      </x:c>
      <x:c r="C7049" s="0" t="s">
        <x:v>28059</x:v>
      </x:c>
      <x:c r="E7049" s="0" t="s">
        <x:v>28060</x:v>
      </x:c>
      <x:c r="F7049" s="0" t="s">
        <x:v>45</x:v>
      </x:c>
      <x:c r="G7049" s="0" t="s">
        <x:v>19</x:v>
      </x:c>
      <x:c r="H7049" s="0" t="s">
        <x:v>20</x:v>
      </x:c>
      <x:c r="I7049" s="0" t="s">
        <x:v>21</x:v>
      </x:c>
      <x:c r="K7049" s="0">
        <x:f>hyperlink("https://icd.who.int/dev11/l-ichi/en#/http%3A%2F%2Fid.who.int%2Ficd%2Fentity%2F1255043294","browser")</x:f>
      </x:c>
      <x:c r="L7049" s="0">
        <x:f>hyperlink("https://icat2.azurewebsites.net/icat/?ontology=ICD&amp;tab=ClassesTab&amp;id=http%3A%2F%2Fwho.int%2Ficd%2342438_512ebf36_bf6b_4d70_85da_cf2637062af4","iCat")</x:f>
      </x:c>
      <x:c r="M7049" s="0" t="s">
        <x:v>21</x:v>
      </x:c>
      <x:c r="N7049" s="0" t="s">
        <x:v>46</x:v>
      </x:c>
    </x:row>
    <x:row r="7050" spans="1:16">
      <x:c r="A7050" s="0" t="s">
        <x:v>28061</x:v>
      </x:c>
      <x:c r="B7050" s="0" t="s">
        <x:v>28062</x:v>
      </x:c>
      <x:c r="C7050" s="0" t="s">
        <x:v>28063</x:v>
      </x:c>
      <x:c r="E7050" s="0" t="s">
        <x:v>28064</x:v>
      </x:c>
      <x:c r="F7050" s="0" t="s">
        <x:v>45</x:v>
      </x:c>
      <x:c r="G7050" s="0" t="s">
        <x:v>19</x:v>
      </x:c>
      <x:c r="H7050" s="0" t="s">
        <x:v>20</x:v>
      </x:c>
      <x:c r="I7050" s="0" t="s">
        <x:v>21</x:v>
      </x:c>
      <x:c r="K7050" s="0">
        <x:f>hyperlink("https://icd.who.int/dev11/l-ichi/en#/http%3A%2F%2Fid.who.int%2Ficd%2Fentity%2F560440537","browser")</x:f>
      </x:c>
      <x:c r="L7050" s="0">
        <x:f>hyperlink("https://icat2.azurewebsites.net/icat/?ontology=ICD&amp;tab=ClassesTab&amp;id=http%3A%2F%2Fwho.int%2Ficd%2342445_512ebf36_bf6b_4d70_85da_cf2637062af4","iCat")</x:f>
      </x:c>
      <x:c r="M7050" s="0" t="s">
        <x:v>21</x:v>
      </x:c>
      <x:c r="N7050" s="0" t="s">
        <x:v>46</x:v>
      </x:c>
    </x:row>
    <x:row r="7051" spans="1:16">
      <x:c r="A7051" s="0" t="s">
        <x:v>28065</x:v>
      </x:c>
      <x:c r="B7051" s="0" t="s">
        <x:v>28066</x:v>
      </x:c>
      <x:c r="C7051" s="0" t="s">
        <x:v>28067</x:v>
      </x:c>
      <x:c r="E7051" s="0" t="s">
        <x:v>28068</x:v>
      </x:c>
      <x:c r="F7051" s="0" t="s">
        <x:v>45</x:v>
      </x:c>
      <x:c r="G7051" s="0" t="s">
        <x:v>19</x:v>
      </x:c>
      <x:c r="H7051" s="0" t="s">
        <x:v>20</x:v>
      </x:c>
      <x:c r="I7051" s="0" t="s">
        <x:v>21</x:v>
      </x:c>
      <x:c r="K7051" s="0">
        <x:f>hyperlink("https://icd.who.int/dev11/l-ichi/en#/http%3A%2F%2Fid.who.int%2Ficd%2Fentity%2F1268920720","browser")</x:f>
      </x:c>
      <x:c r="L7051" s="0">
        <x:f>hyperlink("https://icat2.azurewebsites.net/icat/?ontology=ICD&amp;tab=ClassesTab&amp;id=http%3A%2F%2Fwho.int%2Ficd%2342455_512ebf36_bf6b_4d70_85da_cf2637062af4","iCat")</x:f>
      </x:c>
      <x:c r="M7051" s="0" t="s">
        <x:v>21</x:v>
      </x:c>
      <x:c r="N7051" s="0" t="s">
        <x:v>46</x:v>
      </x:c>
    </x:row>
    <x:row r="7052" spans="1:16">
      <x:c r="A7052" s="0" t="s">
        <x:v>28069</x:v>
      </x:c>
      <x:c r="B7052" s="0" t="s">
        <x:v>28070</x:v>
      </x:c>
      <x:c r="C7052" s="0" t="s">
        <x:v>28071</x:v>
      </x:c>
      <x:c r="E7052" s="0" t="s">
        <x:v>28072</x:v>
      </x:c>
      <x:c r="F7052" s="0" t="s">
        <x:v>45</x:v>
      </x:c>
      <x:c r="G7052" s="0" t="s">
        <x:v>19</x:v>
      </x:c>
      <x:c r="H7052" s="0" t="s">
        <x:v>20</x:v>
      </x:c>
      <x:c r="I7052" s="0" t="s">
        <x:v>21</x:v>
      </x:c>
      <x:c r="K7052" s="0">
        <x:f>hyperlink("https://icd.who.int/dev11/l-ichi/en#/http%3A%2F%2Fid.who.int%2Ficd%2Fentity%2F2073156100","browser")</x:f>
      </x:c>
      <x:c r="L7052" s="0">
        <x:f>hyperlink("https://icat2.azurewebsites.net/icat/?ontology=ICD&amp;tab=ClassesTab&amp;id=http%3A%2F%2Fwho.int%2Ficd%2342462_512ebf36_bf6b_4d70_85da_cf2637062af4","iCat")</x:f>
      </x:c>
      <x:c r="M7052" s="0" t="s">
        <x:v>21</x:v>
      </x:c>
      <x:c r="N7052" s="0" t="s">
        <x:v>46</x:v>
      </x:c>
    </x:row>
    <x:row r="7053" spans="1:16">
      <x:c r="A7053" s="0" t="s">
        <x:v>28073</x:v>
      </x:c>
      <x:c r="B7053" s="0" t="s">
        <x:v>28074</x:v>
      </x:c>
      <x:c r="C7053" s="0" t="s">
        <x:v>28075</x:v>
      </x:c>
      <x:c r="E7053" s="0" t="s">
        <x:v>28076</x:v>
      </x:c>
      <x:c r="F7053" s="0" t="s">
        <x:v>45</x:v>
      </x:c>
      <x:c r="G7053" s="0" t="s">
        <x:v>19</x:v>
      </x:c>
      <x:c r="H7053" s="0" t="s">
        <x:v>20</x:v>
      </x:c>
      <x:c r="I7053" s="0" t="s">
        <x:v>21</x:v>
      </x:c>
      <x:c r="K7053" s="0">
        <x:f>hyperlink("https://icd.who.int/dev11/l-ichi/en#/http%3A%2F%2Fid.who.int%2Ficd%2Fentity%2F1888863402","browser")</x:f>
      </x:c>
      <x:c r="L7053" s="0">
        <x:f>hyperlink("https://icat2.azurewebsites.net/icat/?ontology=ICD&amp;tab=ClassesTab&amp;id=http%3A%2F%2Fwho.int%2Ficd%2342469_512ebf36_bf6b_4d70_85da_cf2637062af4","iCat")</x:f>
      </x:c>
      <x:c r="M7053" s="0" t="s">
        <x:v>21</x:v>
      </x:c>
      <x:c r="N7053" s="0" t="s">
        <x:v>46</x:v>
      </x:c>
    </x:row>
    <x:row r="7054" spans="1:16">
      <x:c r="A7054" s="0" t="s">
        <x:v>28077</x:v>
      </x:c>
      <x:c r="B7054" s="0" t="s">
        <x:v>28078</x:v>
      </x:c>
      <x:c r="C7054" s="0" t="s">
        <x:v>28079</x:v>
      </x:c>
      <x:c r="E7054" s="0" t="s">
        <x:v>28080</x:v>
      </x:c>
      <x:c r="F7054" s="0" t="s">
        <x:v>45</x:v>
      </x:c>
      <x:c r="G7054" s="0" t="s">
        <x:v>19</x:v>
      </x:c>
      <x:c r="H7054" s="0" t="s">
        <x:v>20</x:v>
      </x:c>
      <x:c r="I7054" s="0" t="s">
        <x:v>21</x:v>
      </x:c>
      <x:c r="K7054" s="0">
        <x:f>hyperlink("https://icd.who.int/dev11/l-ichi/en#/http%3A%2F%2Fid.who.int%2Ficd%2Fentity%2F609454887","browser")</x:f>
      </x:c>
      <x:c r="L7054" s="0">
        <x:f>hyperlink("https://icat2.azurewebsites.net/icat/?ontology=ICD&amp;tab=ClassesTab&amp;id=http%3A%2F%2Fwho.int%2Ficd%2342476_512ebf36_bf6b_4d70_85da_cf2637062af4","iCat")</x:f>
      </x:c>
      <x:c r="M7054" s="0" t="s">
        <x:v>21</x:v>
      </x:c>
      <x:c r="N7054" s="0" t="s">
        <x:v>46</x:v>
      </x:c>
    </x:row>
    <x:row r="7055" spans="1:16">
      <x:c r="A7055" s="0" t="s">
        <x:v>28081</x:v>
      </x:c>
      <x:c r="B7055" s="0" t="s">
        <x:v>28082</x:v>
      </x:c>
      <x:c r="C7055" s="0" t="s">
        <x:v>28083</x:v>
      </x:c>
      <x:c r="E7055" s="0" t="s">
        <x:v>28084</x:v>
      </x:c>
      <x:c r="F7055" s="0" t="s">
        <x:v>45</x:v>
      </x:c>
      <x:c r="G7055" s="0" t="s">
        <x:v>19</x:v>
      </x:c>
      <x:c r="H7055" s="0" t="s">
        <x:v>20</x:v>
      </x:c>
      <x:c r="I7055" s="0" t="s">
        <x:v>21</x:v>
      </x:c>
      <x:c r="K7055" s="0">
        <x:f>hyperlink("https://icd.who.int/dev11/l-ichi/en#/http%3A%2F%2Fid.who.int%2Ficd%2Fentity%2F1858657342","browser")</x:f>
      </x:c>
      <x:c r="L7055" s="0">
        <x:f>hyperlink("https://icat2.azurewebsites.net/icat/?ontology=ICD&amp;tab=ClassesTab&amp;id=http%3A%2F%2Fwho.int%2Ficd%2342484_512ebf36_bf6b_4d70_85da_cf2637062af4","iCat")</x:f>
      </x:c>
      <x:c r="M7055" s="0" t="s">
        <x:v>21</x:v>
      </x:c>
      <x:c r="N7055" s="0" t="s">
        <x:v>46</x:v>
      </x:c>
    </x:row>
    <x:row r="7056" spans="1:16">
      <x:c r="A7056" s="0" t="s">
        <x:v>28085</x:v>
      </x:c>
      <x:c r="B7056" s="0" t="s">
        <x:v>28086</x:v>
      </x:c>
      <x:c r="C7056" s="0" t="s">
        <x:v>28087</x:v>
      </x:c>
      <x:c r="E7056" s="0" t="s">
        <x:v>28088</x:v>
      </x:c>
      <x:c r="F7056" s="0" t="s">
        <x:v>45</x:v>
      </x:c>
      <x:c r="G7056" s="0" t="s">
        <x:v>19</x:v>
      </x:c>
      <x:c r="H7056" s="0" t="s">
        <x:v>20</x:v>
      </x:c>
      <x:c r="I7056" s="0" t="s">
        <x:v>21</x:v>
      </x:c>
      <x:c r="K7056" s="0">
        <x:f>hyperlink("https://icd.who.int/dev11/l-ichi/en#/http%3A%2F%2Fid.who.int%2Ficd%2Fentity%2F301203235","browser")</x:f>
      </x:c>
      <x:c r="L7056" s="0">
        <x:f>hyperlink("https://icat2.azurewebsites.net/icat/?ontology=ICD&amp;tab=ClassesTab&amp;id=http%3A%2F%2Fwho.int%2Ficd%2342491_512ebf36_bf6b_4d70_85da_cf2637062af4","iCat")</x:f>
      </x:c>
      <x:c r="M7056" s="0" t="s">
        <x:v>21</x:v>
      </x:c>
      <x:c r="N7056" s="0" t="s">
        <x:v>46</x:v>
      </x:c>
    </x:row>
    <x:row r="7057" spans="1:16">
      <x:c r="A7057" s="0" t="s">
        <x:v>28089</x:v>
      </x:c>
      <x:c r="B7057" s="0" t="s">
        <x:v>28090</x:v>
      </x:c>
      <x:c r="C7057" s="0" t="s">
        <x:v>28091</x:v>
      </x:c>
      <x:c r="E7057" s="0" t="s">
        <x:v>28092</x:v>
      </x:c>
      <x:c r="F7057" s="0" t="s">
        <x:v>45</x:v>
      </x:c>
      <x:c r="G7057" s="0" t="s">
        <x:v>19</x:v>
      </x:c>
      <x:c r="H7057" s="0" t="s">
        <x:v>20</x:v>
      </x:c>
      <x:c r="I7057" s="0" t="s">
        <x:v>21</x:v>
      </x:c>
      <x:c r="K7057" s="0">
        <x:f>hyperlink("https://icd.who.int/dev11/l-ichi/en#/http%3A%2F%2Fid.who.int%2Ficd%2Fentity%2F2139880522","browser")</x:f>
      </x:c>
      <x:c r="L7057" s="0">
        <x:f>hyperlink("https://icat2.azurewebsites.net/icat/?ontology=ICD&amp;tab=ClassesTab&amp;id=http%3A%2F%2Fwho.int%2Ficd%2342498_512ebf36_bf6b_4d70_85da_cf2637062af4","iCat")</x:f>
      </x:c>
      <x:c r="M7057" s="0" t="s">
        <x:v>21</x:v>
      </x:c>
      <x:c r="N7057" s="0" t="s">
        <x:v>46</x:v>
      </x:c>
    </x:row>
    <x:row r="7058" spans="1:16">
      <x:c r="A7058" s="0" t="s">
        <x:v>28093</x:v>
      </x:c>
      <x:c r="B7058" s="0" t="s">
        <x:v>28094</x:v>
      </x:c>
      <x:c r="C7058" s="0" t="s">
        <x:v>28095</x:v>
      </x:c>
      <x:c r="E7058" s="0" t="s">
        <x:v>28096</x:v>
      </x:c>
      <x:c r="F7058" s="0" t="s">
        <x:v>45</x:v>
      </x:c>
      <x:c r="G7058" s="0" t="s">
        <x:v>19</x:v>
      </x:c>
      <x:c r="H7058" s="0" t="s">
        <x:v>20</x:v>
      </x:c>
      <x:c r="I7058" s="0" t="s">
        <x:v>21</x:v>
      </x:c>
      <x:c r="K7058" s="0">
        <x:f>hyperlink("https://icd.who.int/dev11/l-ichi/en#/http%3A%2F%2Fid.who.int%2Ficd%2Fentity%2F614412633","browser")</x:f>
      </x:c>
      <x:c r="L7058" s="0">
        <x:f>hyperlink("https://icat2.azurewebsites.net/icat/?ontology=ICD&amp;tab=ClassesTab&amp;id=http%3A%2F%2Fwho.int%2Ficd%2342505_512ebf36_bf6b_4d70_85da_cf2637062af4","iCat")</x:f>
      </x:c>
      <x:c r="M7058" s="0" t="s">
        <x:v>21</x:v>
      </x:c>
      <x:c r="N7058" s="0" t="s">
        <x:v>46</x:v>
      </x:c>
    </x:row>
    <x:row r="7059" spans="1:16">
      <x:c r="A7059" s="0" t="s">
        <x:v>28097</x:v>
      </x:c>
      <x:c r="B7059" s="0" t="s">
        <x:v>28098</x:v>
      </x:c>
      <x:c r="C7059" s="0" t="s">
        <x:v>28099</x:v>
      </x:c>
      <x:c r="E7059" s="0" t="s">
        <x:v>28100</x:v>
      </x:c>
      <x:c r="F7059" s="0" t="s">
        <x:v>45</x:v>
      </x:c>
      <x:c r="G7059" s="0" t="s">
        <x:v>19</x:v>
      </x:c>
      <x:c r="H7059" s="0" t="s">
        <x:v>20</x:v>
      </x:c>
      <x:c r="I7059" s="0" t="s">
        <x:v>21</x:v>
      </x:c>
      <x:c r="K7059" s="0">
        <x:f>hyperlink("https://icd.who.int/dev11/l-ichi/en#/http%3A%2F%2Fid.who.int%2Ficd%2Fentity%2F1054347139","browser")</x:f>
      </x:c>
      <x:c r="L7059" s="0">
        <x:f>hyperlink("https://icat2.azurewebsites.net/icat/?ontology=ICD&amp;tab=ClassesTab&amp;id=http%3A%2F%2Fwho.int%2Ficd%2342512_512ebf36_bf6b_4d70_85da_cf2637062af4","iCat")</x:f>
      </x:c>
      <x:c r="M7059" s="0" t="s">
        <x:v>21</x:v>
      </x:c>
      <x:c r="N7059" s="0" t="s">
        <x:v>46</x:v>
      </x:c>
    </x:row>
    <x:row r="7060" spans="1:16">
      <x:c r="A7060" s="0" t="s">
        <x:v>28101</x:v>
      </x:c>
      <x:c r="B7060" s="0" t="s">
        <x:v>28102</x:v>
      </x:c>
      <x:c r="C7060" s="0" t="s">
        <x:v>28103</x:v>
      </x:c>
      <x:c r="E7060" s="0" t="s">
        <x:v>28104</x:v>
      </x:c>
      <x:c r="F7060" s="0" t="s">
        <x:v>45</x:v>
      </x:c>
      <x:c r="G7060" s="0" t="s">
        <x:v>19</x:v>
      </x:c>
      <x:c r="H7060" s="0" t="s">
        <x:v>20</x:v>
      </x:c>
      <x:c r="I7060" s="0" t="s">
        <x:v>21</x:v>
      </x:c>
      <x:c r="K7060" s="0">
        <x:f>hyperlink("https://icd.who.int/dev11/l-ichi/en#/http%3A%2F%2Fid.who.int%2Ficd%2Fentity%2F454382145","browser")</x:f>
      </x:c>
      <x:c r="L7060" s="0">
        <x:f>hyperlink("https://icat2.azurewebsites.net/icat/?ontology=ICD&amp;tab=ClassesTab&amp;id=http%3A%2F%2Fwho.int%2Ficd%2342520_512ebf36_bf6b_4d70_85da_cf2637062af4","iCat")</x:f>
      </x:c>
      <x:c r="M7060" s="0" t="s">
        <x:v>21</x:v>
      </x:c>
      <x:c r="N7060" s="0" t="s">
        <x:v>46</x:v>
      </x:c>
    </x:row>
    <x:row r="7061" spans="1:16">
      <x:c r="A7061" s="0" t="s">
        <x:v>28105</x:v>
      </x:c>
      <x:c r="B7061" s="0" t="s">
        <x:v>28106</x:v>
      </x:c>
      <x:c r="C7061" s="0" t="s">
        <x:v>28107</x:v>
      </x:c>
      <x:c r="E7061" s="0" t="s">
        <x:v>28108</x:v>
      </x:c>
      <x:c r="F7061" s="0" t="s">
        <x:v>45</x:v>
      </x:c>
      <x:c r="G7061" s="0" t="s">
        <x:v>19</x:v>
      </x:c>
      <x:c r="H7061" s="0" t="s">
        <x:v>20</x:v>
      </x:c>
      <x:c r="I7061" s="0" t="s">
        <x:v>21</x:v>
      </x:c>
      <x:c r="K7061" s="0">
        <x:f>hyperlink("https://icd.who.int/dev11/l-ichi/en#/http%3A%2F%2Fid.who.int%2Ficd%2Fentity%2F1805121996","browser")</x:f>
      </x:c>
      <x:c r="L7061" s="0">
        <x:f>hyperlink("https://icat2.azurewebsites.net/icat/?ontology=ICD&amp;tab=ClassesTab&amp;id=http%3A%2F%2Fwho.int%2Ficd%2342527_512ebf36_bf6b_4d70_85da_cf2637062af4","iCat")</x:f>
      </x:c>
      <x:c r="M7061" s="0" t="s">
        <x:v>21</x:v>
      </x:c>
      <x:c r="N7061" s="0" t="s">
        <x:v>46</x:v>
      </x:c>
    </x:row>
    <x:row r="7062" spans="1:16">
      <x:c r="A7062" s="0" t="s">
        <x:v>28109</x:v>
      </x:c>
      <x:c r="B7062" s="0" t="s">
        <x:v>28110</x:v>
      </x:c>
      <x:c r="C7062" s="0" t="s">
        <x:v>28111</x:v>
      </x:c>
      <x:c r="E7062" s="0" t="s">
        <x:v>28112</x:v>
      </x:c>
      <x:c r="F7062" s="0" t="s">
        <x:v>45</x:v>
      </x:c>
      <x:c r="G7062" s="0" t="s">
        <x:v>19</x:v>
      </x:c>
      <x:c r="H7062" s="0" t="s">
        <x:v>20</x:v>
      </x:c>
      <x:c r="I7062" s="0" t="s">
        <x:v>21</x:v>
      </x:c>
      <x:c r="K7062" s="0">
        <x:f>hyperlink("https://icd.who.int/dev11/l-ichi/en#/http%3A%2F%2Fid.who.int%2Ficd%2Fentity%2F1154941796","browser")</x:f>
      </x:c>
      <x:c r="L7062" s="0">
        <x:f>hyperlink("https://icat2.azurewebsites.net/icat/?ontology=ICD&amp;tab=ClassesTab&amp;id=http%3A%2F%2Fwho.int%2Ficd%2342534_512ebf36_bf6b_4d70_85da_cf2637062af4","iCat")</x:f>
      </x:c>
      <x:c r="M7062" s="0" t="s">
        <x:v>21</x:v>
      </x:c>
      <x:c r="N7062" s="0" t="s">
        <x:v>46</x:v>
      </x:c>
    </x:row>
    <x:row r="7063" spans="1:16">
      <x:c r="A7063" s="0" t="s">
        <x:v>28113</x:v>
      </x:c>
      <x:c r="B7063" s="0" t="s">
        <x:v>28114</x:v>
      </x:c>
      <x:c r="C7063" s="0" t="s">
        <x:v>28115</x:v>
      </x:c>
      <x:c r="E7063" s="0" t="s">
        <x:v>28116</x:v>
      </x:c>
      <x:c r="F7063" s="0" t="s">
        <x:v>45</x:v>
      </x:c>
      <x:c r="G7063" s="0" t="s">
        <x:v>19</x:v>
      </x:c>
      <x:c r="H7063" s="0" t="s">
        <x:v>20</x:v>
      </x:c>
      <x:c r="I7063" s="0" t="s">
        <x:v>21</x:v>
      </x:c>
      <x:c r="K7063" s="0">
        <x:f>hyperlink("https://icd.who.int/dev11/l-ichi/en#/http%3A%2F%2Fid.who.int%2Ficd%2Fentity%2F1644144176","browser")</x:f>
      </x:c>
      <x:c r="L7063" s="0">
        <x:f>hyperlink("https://icat2.azurewebsites.net/icat/?ontology=ICD&amp;tab=ClassesTab&amp;id=http%3A%2F%2Fwho.int%2Ficd%2342541_512ebf36_bf6b_4d70_85da_cf2637062af4","iCat")</x:f>
      </x:c>
      <x:c r="M7063" s="0" t="s">
        <x:v>21</x:v>
      </x:c>
      <x:c r="N7063" s="0" t="s">
        <x:v>46</x:v>
      </x:c>
    </x:row>
    <x:row r="7064" spans="1:16">
      <x:c r="A7064" s="0" t="s">
        <x:v>28117</x:v>
      </x:c>
      <x:c r="B7064" s="0" t="s">
        <x:v>28118</x:v>
      </x:c>
      <x:c r="C7064" s="0" t="s">
        <x:v>28119</x:v>
      </x:c>
      <x:c r="E7064" s="0" t="s">
        <x:v>28120</x:v>
      </x:c>
      <x:c r="F7064" s="0" t="s">
        <x:v>45</x:v>
      </x:c>
      <x:c r="G7064" s="0" t="s">
        <x:v>19</x:v>
      </x:c>
      <x:c r="H7064" s="0" t="s">
        <x:v>20</x:v>
      </x:c>
      <x:c r="I7064" s="0" t="s">
        <x:v>21</x:v>
      </x:c>
      <x:c r="K7064" s="0">
        <x:f>hyperlink("https://icd.who.int/dev11/l-ichi/en#/http%3A%2F%2Fid.who.int%2Ficd%2Fentity%2F260547929","browser")</x:f>
      </x:c>
      <x:c r="L7064" s="0">
        <x:f>hyperlink("https://icat2.azurewebsites.net/icat/?ontology=ICD&amp;tab=ClassesTab&amp;id=http%3A%2F%2Fwho.int%2Ficd%2342548_512ebf36_bf6b_4d70_85da_cf2637062af4","iCat")</x:f>
      </x:c>
      <x:c r="M7064" s="0" t="s">
        <x:v>21</x:v>
      </x:c>
      <x:c r="N7064" s="0" t="s">
        <x:v>46</x:v>
      </x:c>
    </x:row>
    <x:row r="7065" spans="1:16">
      <x:c r="A7065" s="0" t="s">
        <x:v>28121</x:v>
      </x:c>
      <x:c r="B7065" s="0" t="s">
        <x:v>28122</x:v>
      </x:c>
      <x:c r="C7065" s="0" t="s">
        <x:v>28123</x:v>
      </x:c>
      <x:c r="E7065" s="0" t="s">
        <x:v>28124</x:v>
      </x:c>
      <x:c r="F7065" s="0" t="s">
        <x:v>45</x:v>
      </x:c>
      <x:c r="G7065" s="0" t="s">
        <x:v>19</x:v>
      </x:c>
      <x:c r="H7065" s="0" t="s">
        <x:v>20</x:v>
      </x:c>
      <x:c r="I7065" s="0" t="s">
        <x:v>21</x:v>
      </x:c>
      <x:c r="K7065" s="0">
        <x:f>hyperlink("https://icd.who.int/dev11/l-ichi/en#/http%3A%2F%2Fid.who.int%2Ficd%2Fentity%2F1531046616","browser")</x:f>
      </x:c>
      <x:c r="L7065" s="0">
        <x:f>hyperlink("https://icat2.azurewebsites.net/icat/?ontology=ICD&amp;tab=ClassesTab&amp;id=http%3A%2F%2Fwho.int%2Ficd%2342557_512ebf36_bf6b_4d70_85da_cf2637062af4","iCat")</x:f>
      </x:c>
      <x:c r="M7065" s="0" t="s">
        <x:v>21</x:v>
      </x:c>
      <x:c r="N7065" s="0" t="s">
        <x:v>46</x:v>
      </x:c>
    </x:row>
    <x:row r="7066" spans="1:16">
      <x:c r="A7066" s="0" t="s">
        <x:v>28125</x:v>
      </x:c>
      <x:c r="B7066" s="0" t="s">
        <x:v>28126</x:v>
      </x:c>
      <x:c r="C7066" s="0" t="s">
        <x:v>28127</x:v>
      </x:c>
      <x:c r="E7066" s="0" t="s">
        <x:v>28128</x:v>
      </x:c>
      <x:c r="F7066" s="0" t="s">
        <x:v>45</x:v>
      </x:c>
      <x:c r="G7066" s="0" t="s">
        <x:v>19</x:v>
      </x:c>
      <x:c r="H7066" s="0" t="s">
        <x:v>20</x:v>
      </x:c>
      <x:c r="I7066" s="0" t="s">
        <x:v>21</x:v>
      </x:c>
      <x:c r="K7066" s="0">
        <x:f>hyperlink("https://icd.who.int/dev11/l-ichi/en#/http%3A%2F%2Fid.who.int%2Ficd%2Fentity%2F1584776490","browser")</x:f>
      </x:c>
      <x:c r="L7066" s="0">
        <x:f>hyperlink("https://icat2.azurewebsites.net/icat/?ontology=ICD&amp;tab=ClassesTab&amp;id=http%3A%2F%2Fwho.int%2Ficd%2342564_512ebf36_bf6b_4d70_85da_cf2637062af4","iCat")</x:f>
      </x:c>
      <x:c r="M7066" s="0" t="s">
        <x:v>21</x:v>
      </x:c>
      <x:c r="N7066" s="0" t="s">
        <x:v>46</x:v>
      </x:c>
    </x:row>
    <x:row r="7067" spans="1:16">
      <x:c r="A7067" s="0" t="s">
        <x:v>28129</x:v>
      </x:c>
      <x:c r="B7067" s="0" t="s">
        <x:v>28130</x:v>
      </x:c>
      <x:c r="C7067" s="0" t="s">
        <x:v>28131</x:v>
      </x:c>
      <x:c r="E7067" s="0" t="s">
        <x:v>28132</x:v>
      </x:c>
      <x:c r="F7067" s="0" t="s">
        <x:v>45</x:v>
      </x:c>
      <x:c r="G7067" s="0" t="s">
        <x:v>19</x:v>
      </x:c>
      <x:c r="H7067" s="0" t="s">
        <x:v>20</x:v>
      </x:c>
      <x:c r="I7067" s="0" t="s">
        <x:v>21</x:v>
      </x:c>
      <x:c r="K7067" s="0">
        <x:f>hyperlink("https://icd.who.int/dev11/l-ichi/en#/http%3A%2F%2Fid.who.int%2Ficd%2Fentity%2F558818871","browser")</x:f>
      </x:c>
      <x:c r="L7067" s="0">
        <x:f>hyperlink("https://icat2.azurewebsites.net/icat/?ontology=ICD&amp;tab=ClassesTab&amp;id=http%3A%2F%2Fwho.int%2Ficd%2342571_512ebf36_bf6b_4d70_85da_cf2637062af4","iCat")</x:f>
      </x:c>
      <x:c r="M7067" s="0" t="s">
        <x:v>21</x:v>
      </x:c>
      <x:c r="N7067" s="0" t="s">
        <x:v>46</x:v>
      </x:c>
    </x:row>
    <x:row r="7068" spans="1:16">
      <x:c r="A7068" s="0" t="s">
        <x:v>28133</x:v>
      </x:c>
      <x:c r="B7068" s="0" t="s">
        <x:v>28134</x:v>
      </x:c>
      <x:c r="C7068" s="0" t="s">
        <x:v>28135</x:v>
      </x:c>
      <x:c r="E7068" s="0" t="s">
        <x:v>28136</x:v>
      </x:c>
      <x:c r="F7068" s="0" t="s">
        <x:v>45</x:v>
      </x:c>
      <x:c r="G7068" s="0" t="s">
        <x:v>19</x:v>
      </x:c>
      <x:c r="H7068" s="0" t="s">
        <x:v>20</x:v>
      </x:c>
      <x:c r="I7068" s="0" t="s">
        <x:v>21</x:v>
      </x:c>
      <x:c r="K7068" s="0">
        <x:f>hyperlink("https://icd.who.int/dev11/l-ichi/en#/http%3A%2F%2Fid.who.int%2Ficd%2Fentity%2F1328997726","browser")</x:f>
      </x:c>
      <x:c r="L7068" s="0">
        <x:f>hyperlink("https://icat2.azurewebsites.net/icat/?ontology=ICD&amp;tab=ClassesTab&amp;id=http%3A%2F%2Fwho.int%2Ficd%2342578_512ebf36_bf6b_4d70_85da_cf2637062af4","iCat")</x:f>
      </x:c>
      <x:c r="M7068" s="0" t="s">
        <x:v>21</x:v>
      </x:c>
      <x:c r="N7068" s="0" t="s">
        <x:v>46</x:v>
      </x:c>
    </x:row>
    <x:row r="7069" spans="1:16">
      <x:c r="A7069" s="0" t="s">
        <x:v>28137</x:v>
      </x:c>
      <x:c r="B7069" s="0" t="s">
        <x:v>28138</x:v>
      </x:c>
      <x:c r="C7069" s="0" t="s">
        <x:v>28139</x:v>
      </x:c>
      <x:c r="E7069" s="0" t="s">
        <x:v>28140</x:v>
      </x:c>
      <x:c r="F7069" s="0" t="s">
        <x:v>45</x:v>
      </x:c>
      <x:c r="G7069" s="0" t="s">
        <x:v>19</x:v>
      </x:c>
      <x:c r="H7069" s="0" t="s">
        <x:v>20</x:v>
      </x:c>
      <x:c r="I7069" s="0" t="s">
        <x:v>21</x:v>
      </x:c>
      <x:c r="K7069" s="0">
        <x:f>hyperlink("https://icd.who.int/dev11/l-ichi/en#/http%3A%2F%2Fid.who.int%2Ficd%2Fentity%2F1001285789","browser")</x:f>
      </x:c>
      <x:c r="L7069" s="0">
        <x:f>hyperlink("https://icat2.azurewebsites.net/icat/?ontology=ICD&amp;tab=ClassesTab&amp;id=http%3A%2F%2Fwho.int%2Ficd%2342585_512ebf36_bf6b_4d70_85da_cf2637062af4","iCat")</x:f>
      </x:c>
      <x:c r="M7069" s="0" t="s">
        <x:v>21</x:v>
      </x:c>
      <x:c r="N7069" s="0" t="s">
        <x:v>46</x:v>
      </x:c>
    </x:row>
    <x:row r="7070" spans="1:16">
      <x:c r="A7070" s="0" t="s">
        <x:v>28141</x:v>
      </x:c>
      <x:c r="B7070" s="0" t="s">
        <x:v>28142</x:v>
      </x:c>
      <x:c r="C7070" s="0" t="s">
        <x:v>28143</x:v>
      </x:c>
      <x:c r="E7070" s="0" t="s">
        <x:v>28144</x:v>
      </x:c>
      <x:c r="F7070" s="0" t="s">
        <x:v>45</x:v>
      </x:c>
      <x:c r="G7070" s="0" t="s">
        <x:v>19</x:v>
      </x:c>
      <x:c r="H7070" s="0" t="s">
        <x:v>20</x:v>
      </x:c>
      <x:c r="I7070" s="0" t="s">
        <x:v>21</x:v>
      </x:c>
      <x:c r="K7070" s="0">
        <x:f>hyperlink("https://icd.who.int/dev11/l-ichi/en#/http%3A%2F%2Fid.who.int%2Ficd%2Fentity%2F17835131","browser")</x:f>
      </x:c>
      <x:c r="L7070" s="0">
        <x:f>hyperlink("https://icat2.azurewebsites.net/icat/?ontology=ICD&amp;tab=ClassesTab&amp;id=http%3A%2F%2Fwho.int%2Ficd%2342593_512ebf36_bf6b_4d70_85da_cf2637062af4","iCat")</x:f>
      </x:c>
      <x:c r="M7070" s="0" t="s">
        <x:v>21</x:v>
      </x:c>
      <x:c r="N7070" s="0" t="s">
        <x:v>46</x:v>
      </x:c>
    </x:row>
    <x:row r="7071" spans="1:16">
      <x:c r="A7071" s="0" t="s">
        <x:v>28145</x:v>
      </x:c>
      <x:c r="B7071" s="0" t="s">
        <x:v>28146</x:v>
      </x:c>
      <x:c r="C7071" s="0" t="s">
        <x:v>28147</x:v>
      </x:c>
      <x:c r="E7071" s="0" t="s">
        <x:v>28148</x:v>
      </x:c>
      <x:c r="F7071" s="0" t="s">
        <x:v>45</x:v>
      </x:c>
      <x:c r="G7071" s="0" t="s">
        <x:v>19</x:v>
      </x:c>
      <x:c r="H7071" s="0" t="s">
        <x:v>20</x:v>
      </x:c>
      <x:c r="I7071" s="0" t="s">
        <x:v>21</x:v>
      </x:c>
      <x:c r="K7071" s="0">
        <x:f>hyperlink("https://icd.who.int/dev11/l-ichi/en#/http%3A%2F%2Fid.who.int%2Ficd%2Fentity%2F1346253640","browser")</x:f>
      </x:c>
      <x:c r="L7071" s="0">
        <x:f>hyperlink("https://icat2.azurewebsites.net/icat/?ontology=ICD&amp;tab=ClassesTab&amp;id=http%3A%2F%2Fwho.int%2Ficd%2342600_512ebf36_bf6b_4d70_85da_cf2637062af4","iCat")</x:f>
      </x:c>
      <x:c r="M7071" s="0" t="s">
        <x:v>21</x:v>
      </x:c>
      <x:c r="N7071" s="0" t="s">
        <x:v>46</x:v>
      </x:c>
    </x:row>
    <x:row r="7072" spans="1:16">
      <x:c r="A7072" s="0" t="s">
        <x:v>28149</x:v>
      </x:c>
      <x:c r="B7072" s="0" t="s">
        <x:v>28150</x:v>
      </x:c>
      <x:c r="C7072" s="0" t="s">
        <x:v>28151</x:v>
      </x:c>
      <x:c r="E7072" s="0" t="s">
        <x:v>28152</x:v>
      </x:c>
      <x:c r="F7072" s="0" t="s">
        <x:v>45</x:v>
      </x:c>
      <x:c r="G7072" s="0" t="s">
        <x:v>19</x:v>
      </x:c>
      <x:c r="H7072" s="0" t="s">
        <x:v>20</x:v>
      </x:c>
      <x:c r="I7072" s="0" t="s">
        <x:v>21</x:v>
      </x:c>
      <x:c r="K7072" s="0">
        <x:f>hyperlink("https://icd.who.int/dev11/l-ichi/en#/http%3A%2F%2Fid.who.int%2Ficd%2Fentity%2F549230789","browser")</x:f>
      </x:c>
      <x:c r="L7072" s="0">
        <x:f>hyperlink("https://icat2.azurewebsites.net/icat/?ontology=ICD&amp;tab=ClassesTab&amp;id=http%3A%2F%2Fwho.int%2Ficd%2342607_512ebf36_bf6b_4d70_85da_cf2637062af4","iCat")</x:f>
      </x:c>
      <x:c r="M7072" s="0" t="s">
        <x:v>21</x:v>
      </x:c>
      <x:c r="N7072" s="0" t="s">
        <x:v>46</x:v>
      </x:c>
    </x:row>
    <x:row r="7073" spans="1:16">
      <x:c r="A7073" s="0" t="s">
        <x:v>28153</x:v>
      </x:c>
      <x:c r="B7073" s="0" t="s">
        <x:v>28154</x:v>
      </x:c>
      <x:c r="C7073" s="0" t="s">
        <x:v>28155</x:v>
      </x:c>
      <x:c r="E7073" s="0" t="s">
        <x:v>28156</x:v>
      </x:c>
      <x:c r="F7073" s="0" t="s">
        <x:v>45</x:v>
      </x:c>
      <x:c r="G7073" s="0" t="s">
        <x:v>19</x:v>
      </x:c>
      <x:c r="H7073" s="0" t="s">
        <x:v>20</x:v>
      </x:c>
      <x:c r="I7073" s="0" t="s">
        <x:v>21</x:v>
      </x:c>
      <x:c r="K7073" s="0">
        <x:f>hyperlink("https://icd.who.int/dev11/l-ichi/en#/http%3A%2F%2Fid.who.int%2Ficd%2Fentity%2F788861015","browser")</x:f>
      </x:c>
      <x:c r="L7073" s="0">
        <x:f>hyperlink("https://icat2.azurewebsites.net/icat/?ontology=ICD&amp;tab=ClassesTab&amp;id=http%3A%2F%2Fwho.int%2Ficd%2342615_512ebf36_bf6b_4d70_85da_cf2637062af4","iCat")</x:f>
      </x:c>
      <x:c r="M7073" s="0" t="s">
        <x:v>21</x:v>
      </x:c>
      <x:c r="N7073" s="0" t="s">
        <x:v>46</x:v>
      </x:c>
    </x:row>
    <x:row r="7074" spans="1:16">
      <x:c r="A7074" s="0" t="s">
        <x:v>28157</x:v>
      </x:c>
      <x:c r="B7074" s="0" t="s">
        <x:v>28158</x:v>
      </x:c>
      <x:c r="C7074" s="0" t="s">
        <x:v>28159</x:v>
      </x:c>
      <x:c r="E7074" s="0" t="s">
        <x:v>28160</x:v>
      </x:c>
      <x:c r="F7074" s="0" t="s">
        <x:v>45</x:v>
      </x:c>
      <x:c r="G7074" s="0" t="s">
        <x:v>19</x:v>
      </x:c>
      <x:c r="H7074" s="0" t="s">
        <x:v>20</x:v>
      </x:c>
      <x:c r="I7074" s="0" t="s">
        <x:v>21</x:v>
      </x:c>
      <x:c r="K7074" s="0">
        <x:f>hyperlink("https://icd.who.int/dev11/l-ichi/en#/http%3A%2F%2Fid.who.int%2Ficd%2Fentity%2F523697117","browser")</x:f>
      </x:c>
      <x:c r="L7074" s="0">
        <x:f>hyperlink("https://icat2.azurewebsites.net/icat/?ontology=ICD&amp;tab=ClassesTab&amp;id=http%3A%2F%2Fwho.int%2Ficd%2342622_512ebf36_bf6b_4d70_85da_cf2637062af4","iCat")</x:f>
      </x:c>
      <x:c r="M7074" s="0" t="s">
        <x:v>21</x:v>
      </x:c>
      <x:c r="N7074" s="0" t="s">
        <x:v>46</x:v>
      </x:c>
    </x:row>
    <x:row r="7075" spans="1:16">
      <x:c r="A7075" s="0" t="s">
        <x:v>28161</x:v>
      </x:c>
      <x:c r="B7075" s="0" t="s">
        <x:v>28162</x:v>
      </x:c>
      <x:c r="C7075" s="0" t="s">
        <x:v>28163</x:v>
      </x:c>
      <x:c r="E7075" s="0" t="s">
        <x:v>28164</x:v>
      </x:c>
      <x:c r="F7075" s="0" t="s">
        <x:v>45</x:v>
      </x:c>
      <x:c r="G7075" s="0" t="s">
        <x:v>19</x:v>
      </x:c>
      <x:c r="H7075" s="0" t="s">
        <x:v>20</x:v>
      </x:c>
      <x:c r="I7075" s="0" t="s">
        <x:v>21</x:v>
      </x:c>
      <x:c r="K7075" s="0">
        <x:f>hyperlink("https://icd.who.int/dev11/l-ichi/en#/http%3A%2F%2Fid.who.int%2Ficd%2Fentity%2F277836623","browser")</x:f>
      </x:c>
      <x:c r="L7075" s="0">
        <x:f>hyperlink("https://icat2.azurewebsites.net/icat/?ontology=ICD&amp;tab=ClassesTab&amp;id=http%3A%2F%2Fwho.int%2Ficd%2342630_512ebf36_bf6b_4d70_85da_cf2637062af4","iCat")</x:f>
      </x:c>
      <x:c r="M7075" s="0" t="s">
        <x:v>21</x:v>
      </x:c>
      <x:c r="N7075" s="0" t="s">
        <x:v>46</x:v>
      </x:c>
    </x:row>
    <x:row r="7076" spans="1:16">
      <x:c r="A7076" s="0" t="s">
        <x:v>28165</x:v>
      </x:c>
      <x:c r="B7076" s="0" t="s">
        <x:v>28166</x:v>
      </x:c>
      <x:c r="C7076" s="0" t="s">
        <x:v>28167</x:v>
      </x:c>
      <x:c r="E7076" s="0" t="s">
        <x:v>28168</x:v>
      </x:c>
      <x:c r="F7076" s="0" t="s">
        <x:v>45</x:v>
      </x:c>
      <x:c r="G7076" s="0" t="s">
        <x:v>19</x:v>
      </x:c>
      <x:c r="H7076" s="0" t="s">
        <x:v>20</x:v>
      </x:c>
      <x:c r="I7076" s="0" t="s">
        <x:v>21</x:v>
      </x:c>
      <x:c r="K7076" s="0">
        <x:f>hyperlink("https://icd.who.int/dev11/l-ichi/en#/http%3A%2F%2Fid.who.int%2Ficd%2Fentity%2F1611520196","browser")</x:f>
      </x:c>
      <x:c r="L7076" s="0">
        <x:f>hyperlink("https://icat2.azurewebsites.net/icat/?ontology=ICD&amp;tab=ClassesTab&amp;id=http%3A%2F%2Fwho.int%2Ficd%2342637_512ebf36_bf6b_4d70_85da_cf2637062af4","iCat")</x:f>
      </x:c>
      <x:c r="M7076" s="0" t="s">
        <x:v>21</x:v>
      </x:c>
      <x:c r="N7076" s="0" t="s">
        <x:v>46</x:v>
      </x:c>
    </x:row>
    <x:row r="7077" spans="1:16">
      <x:c r="A7077" s="0" t="s">
        <x:v>28169</x:v>
      </x:c>
      <x:c r="B7077" s="0" t="s">
        <x:v>28170</x:v>
      </x:c>
      <x:c r="C7077" s="0" t="s">
        <x:v>28171</x:v>
      </x:c>
      <x:c r="E7077" s="0" t="s">
        <x:v>28172</x:v>
      </x:c>
      <x:c r="F7077" s="0" t="s">
        <x:v>45</x:v>
      </x:c>
      <x:c r="G7077" s="0" t="s">
        <x:v>19</x:v>
      </x:c>
      <x:c r="H7077" s="0" t="s">
        <x:v>20</x:v>
      </x:c>
      <x:c r="I7077" s="0" t="s">
        <x:v>21</x:v>
      </x:c>
      <x:c r="K7077" s="0">
        <x:f>hyperlink("https://icd.who.int/dev11/l-ichi/en#/http%3A%2F%2Fid.who.int%2Ficd%2Fentity%2F358523937","browser")</x:f>
      </x:c>
      <x:c r="L7077" s="0">
        <x:f>hyperlink("https://icat2.azurewebsites.net/icat/?ontology=ICD&amp;tab=ClassesTab&amp;id=http%3A%2F%2Fwho.int%2Ficd%2342644_512ebf36_bf6b_4d70_85da_cf2637062af4","iCat")</x:f>
      </x:c>
      <x:c r="M7077" s="0" t="s">
        <x:v>21</x:v>
      </x:c>
      <x:c r="N7077" s="0" t="s">
        <x:v>46</x:v>
      </x:c>
    </x:row>
    <x:row r="7078" spans="1:16">
      <x:c r="A7078" s="0" t="s">
        <x:v>28173</x:v>
      </x:c>
      <x:c r="B7078" s="0" t="s">
        <x:v>28174</x:v>
      </x:c>
      <x:c r="C7078" s="0" t="s">
        <x:v>28175</x:v>
      </x:c>
      <x:c r="E7078" s="0" t="s">
        <x:v>28176</x:v>
      </x:c>
      <x:c r="F7078" s="0" t="s">
        <x:v>45</x:v>
      </x:c>
      <x:c r="G7078" s="0" t="s">
        <x:v>19</x:v>
      </x:c>
      <x:c r="H7078" s="0" t="s">
        <x:v>20</x:v>
      </x:c>
      <x:c r="I7078" s="0" t="s">
        <x:v>21</x:v>
      </x:c>
      <x:c r="K7078" s="0">
        <x:f>hyperlink("https://icd.who.int/dev11/l-ichi/en#/http%3A%2F%2Fid.who.int%2Ficd%2Fentity%2F1785038656","browser")</x:f>
      </x:c>
      <x:c r="L7078" s="0">
        <x:f>hyperlink("https://icat2.azurewebsites.net/icat/?ontology=ICD&amp;tab=ClassesTab&amp;id=http%3A%2F%2Fwho.int%2Ficd%2342651_512ebf36_bf6b_4d70_85da_cf2637062af4","iCat")</x:f>
      </x:c>
      <x:c r="M7078" s="0" t="s">
        <x:v>21</x:v>
      </x:c>
      <x:c r="N7078" s="0" t="s">
        <x:v>46</x:v>
      </x:c>
    </x:row>
    <x:row r="7079" spans="1:16">
      <x:c r="A7079" s="0" t="s">
        <x:v>28177</x:v>
      </x:c>
      <x:c r="B7079" s="0" t="s">
        <x:v>28178</x:v>
      </x:c>
      <x:c r="C7079" s="0" t="s">
        <x:v>28179</x:v>
      </x:c>
      <x:c r="E7079" s="0" t="s">
        <x:v>28180</x:v>
      </x:c>
      <x:c r="F7079" s="0" t="s">
        <x:v>45</x:v>
      </x:c>
      <x:c r="G7079" s="0" t="s">
        <x:v>19</x:v>
      </x:c>
      <x:c r="H7079" s="0" t="s">
        <x:v>20</x:v>
      </x:c>
      <x:c r="I7079" s="0" t="s">
        <x:v>21</x:v>
      </x:c>
      <x:c r="K7079" s="0">
        <x:f>hyperlink("https://icd.who.int/dev11/l-ichi/en#/http%3A%2F%2Fid.who.int%2Ficd%2Fentity%2F69043287","browser")</x:f>
      </x:c>
      <x:c r="L7079" s="0">
        <x:f>hyperlink("https://icat2.azurewebsites.net/icat/?ontology=ICD&amp;tab=ClassesTab&amp;id=http%3A%2F%2Fwho.int%2Ficd%2342658_512ebf36_bf6b_4d70_85da_cf2637062af4","iCat")</x:f>
      </x:c>
      <x:c r="M7079" s="0" t="s">
        <x:v>21</x:v>
      </x:c>
      <x:c r="N7079" s="0" t="s">
        <x:v>46</x:v>
      </x:c>
    </x:row>
    <x:row r="7080" spans="1:16">
      <x:c r="A7080" s="0" t="s">
        <x:v>28181</x:v>
      </x:c>
      <x:c r="B7080" s="0" t="s">
        <x:v>28182</x:v>
      </x:c>
      <x:c r="C7080" s="0" t="s">
        <x:v>28183</x:v>
      </x:c>
      <x:c r="E7080" s="0" t="s">
        <x:v>28184</x:v>
      </x:c>
      <x:c r="F7080" s="0" t="s">
        <x:v>45</x:v>
      </x:c>
      <x:c r="G7080" s="0" t="s">
        <x:v>19</x:v>
      </x:c>
      <x:c r="H7080" s="0" t="s">
        <x:v>20</x:v>
      </x:c>
      <x:c r="I7080" s="0" t="s">
        <x:v>21</x:v>
      </x:c>
      <x:c r="K7080" s="0">
        <x:f>hyperlink("https://icd.who.int/dev11/l-ichi/en#/http%3A%2F%2Fid.who.int%2Ficd%2Fentity%2F533922637","browser")</x:f>
      </x:c>
      <x:c r="L7080" s="0">
        <x:f>hyperlink("https://icat2.azurewebsites.net/icat/?ontology=ICD&amp;tab=ClassesTab&amp;id=http%3A%2F%2Fwho.int%2Ficd%2342665_512ebf36_bf6b_4d70_85da_cf2637062af4","iCat")</x:f>
      </x:c>
      <x:c r="M7080" s="0" t="s">
        <x:v>21</x:v>
      </x:c>
      <x:c r="N7080" s="0" t="s">
        <x:v>46</x:v>
      </x:c>
    </x:row>
    <x:row r="7081" spans="1:16">
      <x:c r="A7081" s="0" t="s">
        <x:v>28185</x:v>
      </x:c>
      <x:c r="B7081" s="0" t="s">
        <x:v>28186</x:v>
      </x:c>
      <x:c r="C7081" s="0" t="s">
        <x:v>28187</x:v>
      </x:c>
      <x:c r="E7081" s="0" t="s">
        <x:v>28188</x:v>
      </x:c>
      <x:c r="F7081" s="0" t="s">
        <x:v>45</x:v>
      </x:c>
      <x:c r="G7081" s="0" t="s">
        <x:v>19</x:v>
      </x:c>
      <x:c r="H7081" s="0" t="s">
        <x:v>20</x:v>
      </x:c>
      <x:c r="I7081" s="0" t="s">
        <x:v>21</x:v>
      </x:c>
      <x:c r="K7081" s="0">
        <x:f>hyperlink("https://icd.who.int/dev11/l-ichi/en#/http%3A%2F%2Fid.who.int%2Ficd%2Fentity%2F1441784870","browser")</x:f>
      </x:c>
      <x:c r="L7081" s="0">
        <x:f>hyperlink("https://icat2.azurewebsites.net/icat/?ontology=ICD&amp;tab=ClassesTab&amp;id=http%3A%2F%2Fwho.int%2Ficd%2342674_512ebf36_bf6b_4d70_85da_cf2637062af4","iCat")</x:f>
      </x:c>
      <x:c r="M7081" s="0" t="s">
        <x:v>21</x:v>
      </x:c>
      <x:c r="N7081" s="0" t="s">
        <x:v>46</x:v>
      </x:c>
    </x:row>
    <x:row r="7082" spans="1:16">
      <x:c r="A7082" s="0" t="s">
        <x:v>28189</x:v>
      </x:c>
      <x:c r="B7082" s="0" t="s">
        <x:v>28190</x:v>
      </x:c>
      <x:c r="C7082" s="0" t="s">
        <x:v>28191</x:v>
      </x:c>
      <x:c r="E7082" s="0" t="s">
        <x:v>28192</x:v>
      </x:c>
      <x:c r="F7082" s="0" t="s">
        <x:v>45</x:v>
      </x:c>
      <x:c r="G7082" s="0" t="s">
        <x:v>19</x:v>
      </x:c>
      <x:c r="H7082" s="0" t="s">
        <x:v>20</x:v>
      </x:c>
      <x:c r="I7082" s="0" t="s">
        <x:v>21</x:v>
      </x:c>
      <x:c r="K7082" s="0">
        <x:f>hyperlink("https://icd.who.int/dev11/l-ichi/en#/http%3A%2F%2Fid.who.int%2Ficd%2Fentity%2F712210249","browser")</x:f>
      </x:c>
      <x:c r="L7082" s="0">
        <x:f>hyperlink("https://icat2.azurewebsites.net/icat/?ontology=ICD&amp;tab=ClassesTab&amp;id=http%3A%2F%2Fwho.int%2Ficd%2342682_512ebf36_bf6b_4d70_85da_cf2637062af4","iCat")</x:f>
      </x:c>
      <x:c r="M7082" s="0" t="s">
        <x:v>21</x:v>
      </x:c>
      <x:c r="N7082" s="0" t="s">
        <x:v>46</x:v>
      </x:c>
    </x:row>
    <x:row r="7083" spans="1:16">
      <x:c r="A7083" s="0" t="s">
        <x:v>28193</x:v>
      </x:c>
      <x:c r="B7083" s="0" t="s">
        <x:v>28194</x:v>
      </x:c>
      <x:c r="C7083" s="0" t="s">
        <x:v>28195</x:v>
      </x:c>
      <x:c r="E7083" s="0" t="s">
        <x:v>28196</x:v>
      </x:c>
      <x:c r="F7083" s="0" t="s">
        <x:v>45</x:v>
      </x:c>
      <x:c r="G7083" s="0" t="s">
        <x:v>19</x:v>
      </x:c>
      <x:c r="H7083" s="0" t="s">
        <x:v>20</x:v>
      </x:c>
      <x:c r="I7083" s="0" t="s">
        <x:v>21</x:v>
      </x:c>
      <x:c r="K7083" s="0">
        <x:f>hyperlink("https://icd.who.int/dev11/l-ichi/en#/http%3A%2F%2Fid.who.int%2Ficd%2Fentity%2F561474021","browser")</x:f>
      </x:c>
      <x:c r="L7083" s="0">
        <x:f>hyperlink("https://icat2.azurewebsites.net/icat/?ontology=ICD&amp;tab=ClassesTab&amp;id=http%3A%2F%2Fwho.int%2Ficd%2342689_512ebf36_bf6b_4d70_85da_cf2637062af4","iCat")</x:f>
      </x:c>
      <x:c r="M7083" s="0" t="s">
        <x:v>21</x:v>
      </x:c>
      <x:c r="N7083" s="0" t="s">
        <x:v>46</x:v>
      </x:c>
    </x:row>
    <x:row r="7084" spans="1:16">
      <x:c r="A7084" s="0" t="s">
        <x:v>28197</x:v>
      </x:c>
      <x:c r="B7084" s="0" t="s">
        <x:v>28198</x:v>
      </x:c>
      <x:c r="C7084" s="0" t="s">
        <x:v>28199</x:v>
      </x:c>
      <x:c r="E7084" s="0" t="s">
        <x:v>28200</x:v>
      </x:c>
      <x:c r="F7084" s="0" t="s">
        <x:v>45</x:v>
      </x:c>
      <x:c r="G7084" s="0" t="s">
        <x:v>19</x:v>
      </x:c>
      <x:c r="H7084" s="0" t="s">
        <x:v>20</x:v>
      </x:c>
      <x:c r="I7084" s="0" t="s">
        <x:v>21</x:v>
      </x:c>
      <x:c r="K7084" s="0">
        <x:f>hyperlink("https://icd.who.int/dev11/l-ichi/en#/http%3A%2F%2Fid.who.int%2Ficd%2Fentity%2F1974543978","browser")</x:f>
      </x:c>
      <x:c r="L7084" s="0">
        <x:f>hyperlink("https://icat2.azurewebsites.net/icat/?ontology=ICD&amp;tab=ClassesTab&amp;id=http%3A%2F%2Fwho.int%2Ficd%2342696_512ebf36_bf6b_4d70_85da_cf2637062af4","iCat")</x:f>
      </x:c>
      <x:c r="M7084" s="0" t="s">
        <x:v>21</x:v>
      </x:c>
      <x:c r="N7084" s="0" t="s">
        <x:v>46</x:v>
      </x:c>
    </x:row>
    <x:row r="7085" spans="1:16">
      <x:c r="A7085" s="0" t="s">
        <x:v>28201</x:v>
      </x:c>
      <x:c r="B7085" s="0" t="s">
        <x:v>28202</x:v>
      </x:c>
      <x:c r="C7085" s="0" t="s">
        <x:v>28203</x:v>
      </x:c>
      <x:c r="E7085" s="0" t="s">
        <x:v>28204</x:v>
      </x:c>
      <x:c r="F7085" s="0" t="s">
        <x:v>45</x:v>
      </x:c>
      <x:c r="G7085" s="0" t="s">
        <x:v>19</x:v>
      </x:c>
      <x:c r="H7085" s="0" t="s">
        <x:v>20</x:v>
      </x:c>
      <x:c r="I7085" s="0" t="s">
        <x:v>21</x:v>
      </x:c>
      <x:c r="K7085" s="0">
        <x:f>hyperlink("https://icd.who.int/dev11/l-ichi/en#/http%3A%2F%2Fid.who.int%2Ficd%2Fentity%2F1613011502","browser")</x:f>
      </x:c>
      <x:c r="L7085" s="0">
        <x:f>hyperlink("https://icat2.azurewebsites.net/icat/?ontology=ICD&amp;tab=ClassesTab&amp;id=http%3A%2F%2Fwho.int%2Ficd%2342703_512ebf36_bf6b_4d70_85da_cf2637062af4","iCat")</x:f>
      </x:c>
      <x:c r="M7085" s="0" t="s">
        <x:v>21</x:v>
      </x:c>
      <x:c r="N7085" s="0" t="s">
        <x:v>46</x:v>
      </x:c>
    </x:row>
    <x:row r="7086" spans="1:16">
      <x:c r="A7086" s="0" t="s">
        <x:v>28205</x:v>
      </x:c>
      <x:c r="B7086" s="0" t="s">
        <x:v>28206</x:v>
      </x:c>
      <x:c r="C7086" s="0" t="s">
        <x:v>28207</x:v>
      </x:c>
      <x:c r="E7086" s="0" t="s">
        <x:v>28208</x:v>
      </x:c>
      <x:c r="F7086" s="0" t="s">
        <x:v>45</x:v>
      </x:c>
      <x:c r="G7086" s="0" t="s">
        <x:v>19</x:v>
      </x:c>
      <x:c r="H7086" s="0" t="s">
        <x:v>20</x:v>
      </x:c>
      <x:c r="I7086" s="0" t="s">
        <x:v>21</x:v>
      </x:c>
      <x:c r="K7086" s="0">
        <x:f>hyperlink("https://icd.who.int/dev11/l-ichi/en#/http%3A%2F%2Fid.who.int%2Ficd%2Fentity%2F706248007","browser")</x:f>
      </x:c>
      <x:c r="L7086" s="0">
        <x:f>hyperlink("https://icat2.azurewebsites.net/icat/?ontology=ICD&amp;tab=ClassesTab&amp;id=http%3A%2F%2Fwho.int%2Ficd%2342712_512ebf36_bf6b_4d70_85da_cf2637062af4","iCat")</x:f>
      </x:c>
      <x:c r="M7086" s="0" t="s">
        <x:v>21</x:v>
      </x:c>
      <x:c r="N7086" s="0" t="s">
        <x:v>46</x:v>
      </x:c>
    </x:row>
    <x:row r="7087" spans="1:16">
      <x:c r="A7087" s="0" t="s">
        <x:v>28209</x:v>
      </x:c>
      <x:c r="B7087" s="0" t="s">
        <x:v>28210</x:v>
      </x:c>
      <x:c r="C7087" s="0" t="s">
        <x:v>28211</x:v>
      </x:c>
      <x:c r="E7087" s="0" t="s">
        <x:v>28212</x:v>
      </x:c>
      <x:c r="F7087" s="0" t="s">
        <x:v>45</x:v>
      </x:c>
      <x:c r="G7087" s="0" t="s">
        <x:v>19</x:v>
      </x:c>
      <x:c r="H7087" s="0" t="s">
        <x:v>20</x:v>
      </x:c>
      <x:c r="I7087" s="0" t="s">
        <x:v>21</x:v>
      </x:c>
      <x:c r="K7087" s="0">
        <x:f>hyperlink("https://icd.who.int/dev11/l-ichi/en#/http%3A%2F%2Fid.who.int%2Ficd%2Fentity%2F905285412","browser")</x:f>
      </x:c>
      <x:c r="L7087" s="0">
        <x:f>hyperlink("https://icat2.azurewebsites.net/icat/?ontology=ICD&amp;tab=ClassesTab&amp;id=http%3A%2F%2Fwho.int%2Ficd%23802_2458c621_13a9_4018_84d7_a04ee4f7aacc","iCat")</x:f>
      </x:c>
      <x:c r="M7087" s="0" t="s">
        <x:v>21</x:v>
      </x:c>
      <x:c r="N7087" s="0" t="s">
        <x:v>46</x:v>
      </x:c>
    </x:row>
    <x:row r="7088" spans="1:16">
      <x:c r="A7088" s="0" t="s">
        <x:v>28213</x:v>
      </x:c>
      <x:c r="B7088" s="0" t="s">
        <x:v>28214</x:v>
      </x:c>
      <x:c r="D7088" s="0" t="s">
        <x:v>28215</x:v>
      </x:c>
      <x:c r="E7088" s="0" t="s">
        <x:v>28216</x:v>
      </x:c>
      <x:c r="F7088" s="0" t="s">
        <x:v>26</x:v>
      </x:c>
      <x:c r="G7088" s="0" t="s">
        <x:v>35</x:v>
      </x:c>
      <x:c r="H7088" s="0" t="s">
        <x:v>20</x:v>
      </x:c>
      <x:c r="I7088" s="0" t="s">
        <x:v>21</x:v>
      </x:c>
      <x:c r="K7088" s="0">
        <x:f>hyperlink("https://icd.who.int/dev11/l-ichi/en#/http%3A%2F%2Fid.who.int%2Ficd%2Fentity%2F265625733","browser")</x:f>
      </x:c>
      <x:c r="L7088" s="0">
        <x:f>hyperlink("https://icat2.azurewebsites.net/icat/?ontology=ICD&amp;tab=ClassesTab&amp;id=http%3A%2F%2Fwho.int%2Ficd%2342720_512ebf36_bf6b_4d70_85da_cf2637062af4","iCat")</x:f>
      </x:c>
      <x:c r="M7088" s="0" t="s">
        <x:v>20</x:v>
      </x:c>
      <x:c r="N7088" s="0" t="s">
        <x:v>35</x:v>
      </x:c>
    </x:row>
    <x:row r="7089" spans="1:16">
      <x:c r="A7089" s="0" t="s">
        <x:v>28217</x:v>
      </x:c>
      <x:c r="B7089" s="0" t="s">
        <x:v>28218</x:v>
      </x:c>
      <x:c r="D7089" s="0" t="s">
        <x:v>28219</x:v>
      </x:c>
      <x:c r="E7089" s="0" t="s">
        <x:v>28220</x:v>
      </x:c>
      <x:c r="F7089" s="0" t="s">
        <x:v>26</x:v>
      </x:c>
      <x:c r="G7089" s="0" t="s">
        <x:v>22</x:v>
      </x:c>
      <x:c r="H7089" s="0" t="s">
        <x:v>20</x:v>
      </x:c>
      <x:c r="I7089" s="0" t="s">
        <x:v>21</x:v>
      </x:c>
      <x:c r="K7089" s="0">
        <x:f>hyperlink("https://icd.who.int/dev11/l-ichi/en#/http%3A%2F%2Fid.who.int%2Ficd%2Fentity%2F1605302580","browser")</x:f>
      </x:c>
      <x:c r="L7089" s="0">
        <x:f>hyperlink("https://icat2.azurewebsites.net/icat/?ontology=ICD&amp;tab=ClassesTab&amp;id=http%3A%2F%2Fwho.int%2Ficd%2342726_512ebf36_bf6b_4d70_85da_cf2637062af4","iCat")</x:f>
      </x:c>
      <x:c r="M7089" s="0" t="s">
        <x:v>20</x:v>
      </x:c>
      <x:c r="N7089" s="0" t="s">
        <x:v>16648</x:v>
      </x:c>
    </x:row>
    <x:row r="7090" spans="1:16">
      <x:c r="A7090" s="0" t="s">
        <x:v>28221</x:v>
      </x:c>
      <x:c r="B7090" s="0" t="s">
        <x:v>28222</x:v>
      </x:c>
      <x:c r="C7090" s="0" t="s">
        <x:v>28223</x:v>
      </x:c>
      <x:c r="E7090" s="0" t="s">
        <x:v>28224</x:v>
      </x:c>
      <x:c r="F7090" s="0" t="s">
        <x:v>45</x:v>
      </x:c>
      <x:c r="G7090" s="0" t="s">
        <x:v>19</x:v>
      </x:c>
      <x:c r="H7090" s="0" t="s">
        <x:v>20</x:v>
      </x:c>
      <x:c r="I7090" s="0" t="s">
        <x:v>21</x:v>
      </x:c>
      <x:c r="K7090" s="0">
        <x:f>hyperlink("https://icd.who.int/dev11/l-ichi/en#/http%3A%2F%2Fid.who.int%2Ficd%2Fentity%2F555508715","browser")</x:f>
      </x:c>
      <x:c r="L7090" s="0">
        <x:f>hyperlink("https://icat2.azurewebsites.net/icat/?ontology=ICD&amp;tab=ClassesTab&amp;id=http%3A%2F%2Fwho.int%2Ficd%2342719_512ebf36_bf6b_4d70_85da_cf2637062af4","iCat")</x:f>
      </x:c>
      <x:c r="M7090" s="0" t="s">
        <x:v>21</x:v>
      </x:c>
      <x:c r="N7090" s="0" t="s">
        <x:v>46</x:v>
      </x:c>
    </x:row>
    <x:row r="7091" spans="1:16">
      <x:c r="A7091" s="0" t="s">
        <x:v>28225</x:v>
      </x:c>
      <x:c r="B7091" s="0" t="s">
        <x:v>28226</x:v>
      </x:c>
      <x:c r="C7091" s="0" t="s">
        <x:v>28227</x:v>
      </x:c>
      <x:c r="E7091" s="0" t="s">
        <x:v>28228</x:v>
      </x:c>
      <x:c r="F7091" s="0" t="s">
        <x:v>45</x:v>
      </x:c>
      <x:c r="G7091" s="0" t="s">
        <x:v>19</x:v>
      </x:c>
      <x:c r="H7091" s="0" t="s">
        <x:v>20</x:v>
      </x:c>
      <x:c r="I7091" s="0" t="s">
        <x:v>21</x:v>
      </x:c>
      <x:c r="K7091" s="0">
        <x:f>hyperlink("https://icd.who.int/dev11/l-ichi/en#/http%3A%2F%2Fid.who.int%2Ficd%2Fentity%2F96305017","browser")</x:f>
      </x:c>
      <x:c r="L7091" s="0">
        <x:f>hyperlink("https://icat2.azurewebsites.net/icat/?ontology=ICD&amp;tab=ClassesTab&amp;id=http%3A%2F%2Fwho.int%2Ficd%2342746_512ebf36_bf6b_4d70_85da_cf2637062af4","iCat")</x:f>
      </x:c>
      <x:c r="M7091" s="0" t="s">
        <x:v>21</x:v>
      </x:c>
      <x:c r="N7091" s="0" t="s">
        <x:v>46</x:v>
      </x:c>
    </x:row>
    <x:row r="7092" spans="1:16">
      <x:c r="A7092" s="0" t="s">
        <x:v>28229</x:v>
      </x:c>
      <x:c r="B7092" s="0" t="s">
        <x:v>28230</x:v>
      </x:c>
      <x:c r="C7092" s="0" t="s">
        <x:v>28231</x:v>
      </x:c>
      <x:c r="E7092" s="0" t="s">
        <x:v>28232</x:v>
      </x:c>
      <x:c r="F7092" s="0" t="s">
        <x:v>45</x:v>
      </x:c>
      <x:c r="G7092" s="0" t="s">
        <x:v>19</x:v>
      </x:c>
      <x:c r="H7092" s="0" t="s">
        <x:v>20</x:v>
      </x:c>
      <x:c r="I7092" s="0" t="s">
        <x:v>21</x:v>
      </x:c>
      <x:c r="K7092" s="0">
        <x:f>hyperlink("https://icd.who.int/dev11/l-ichi/en#/http%3A%2F%2Fid.who.int%2Ficd%2Fentity%2F2055625832","browser")</x:f>
      </x:c>
      <x:c r="L7092" s="0">
        <x:f>hyperlink("https://icat2.azurewebsites.net/icat/?ontology=ICD&amp;tab=ClassesTab&amp;id=http%3A%2F%2Fwho.int%2Ficd%2342753_512ebf36_bf6b_4d70_85da_cf2637062af4","iCat")</x:f>
      </x:c>
      <x:c r="M7092" s="0" t="s">
        <x:v>21</x:v>
      </x:c>
      <x:c r="N7092" s="0" t="s">
        <x:v>46</x:v>
      </x:c>
    </x:row>
    <x:row r="7093" spans="1:16">
      <x:c r="A7093" s="0" t="s">
        <x:v>28233</x:v>
      </x:c>
      <x:c r="B7093" s="0" t="s">
        <x:v>28234</x:v>
      </x:c>
      <x:c r="C7093" s="0" t="s">
        <x:v>28235</x:v>
      </x:c>
      <x:c r="E7093" s="0" t="s">
        <x:v>28236</x:v>
      </x:c>
      <x:c r="F7093" s="0" t="s">
        <x:v>45</x:v>
      </x:c>
      <x:c r="G7093" s="0" t="s">
        <x:v>19</x:v>
      </x:c>
      <x:c r="H7093" s="0" t="s">
        <x:v>20</x:v>
      </x:c>
      <x:c r="I7093" s="0" t="s">
        <x:v>21</x:v>
      </x:c>
      <x:c r="K7093" s="0">
        <x:f>hyperlink("https://icd.who.int/dev11/l-ichi/en#/http%3A%2F%2Fid.who.int%2Ficd%2Fentity%2F2142401434","browser")</x:f>
      </x:c>
      <x:c r="L7093" s="0">
        <x:f>hyperlink("https://icat2.azurewebsites.net/icat/?ontology=ICD&amp;tab=ClassesTab&amp;id=http%3A%2F%2Fwho.int%2Ficd%2342760_512ebf36_bf6b_4d70_85da_cf2637062af4","iCat")</x:f>
      </x:c>
      <x:c r="M7093" s="0" t="s">
        <x:v>21</x:v>
      </x:c>
      <x:c r="N7093" s="0" t="s">
        <x:v>46</x:v>
      </x:c>
    </x:row>
    <x:row r="7094" spans="1:16">
      <x:c r="A7094" s="0" t="s">
        <x:v>28237</x:v>
      </x:c>
      <x:c r="B7094" s="0" t="s">
        <x:v>28238</x:v>
      </x:c>
      <x:c r="C7094" s="0" t="s">
        <x:v>28239</x:v>
      </x:c>
      <x:c r="E7094" s="0" t="s">
        <x:v>28240</x:v>
      </x:c>
      <x:c r="F7094" s="0" t="s">
        <x:v>45</x:v>
      </x:c>
      <x:c r="G7094" s="0" t="s">
        <x:v>19</x:v>
      </x:c>
      <x:c r="H7094" s="0" t="s">
        <x:v>20</x:v>
      </x:c>
      <x:c r="I7094" s="0" t="s">
        <x:v>21</x:v>
      </x:c>
      <x:c r="K7094" s="0">
        <x:f>hyperlink("https://icd.who.int/dev11/l-ichi/en#/http%3A%2F%2Fid.who.int%2Ficd%2Fentity%2F254859285","browser")</x:f>
      </x:c>
      <x:c r="L7094" s="0">
        <x:f>hyperlink("https://icat2.azurewebsites.net/icat/?ontology=ICD&amp;tab=ClassesTab&amp;id=http%3A%2F%2Fwho.int%2Ficd%2342767_512ebf36_bf6b_4d70_85da_cf2637062af4","iCat")</x:f>
      </x:c>
      <x:c r="M7094" s="0" t="s">
        <x:v>21</x:v>
      </x:c>
      <x:c r="N7094" s="0" t="s">
        <x:v>46</x:v>
      </x:c>
    </x:row>
    <x:row r="7095" spans="1:16">
      <x:c r="A7095" s="0" t="s">
        <x:v>28241</x:v>
      </x:c>
      <x:c r="B7095" s="0" t="s">
        <x:v>28242</x:v>
      </x:c>
      <x:c r="C7095" s="0" t="s">
        <x:v>28243</x:v>
      </x:c>
      <x:c r="E7095" s="0" t="s">
        <x:v>28244</x:v>
      </x:c>
      <x:c r="F7095" s="0" t="s">
        <x:v>45</x:v>
      </x:c>
      <x:c r="G7095" s="0" t="s">
        <x:v>19</x:v>
      </x:c>
      <x:c r="H7095" s="0" t="s">
        <x:v>20</x:v>
      </x:c>
      <x:c r="I7095" s="0" t="s">
        <x:v>21</x:v>
      </x:c>
      <x:c r="K7095" s="0">
        <x:f>hyperlink("https://icd.who.int/dev11/l-ichi/en#/http%3A%2F%2Fid.who.int%2Ficd%2Fentity%2F544219835","browser")</x:f>
      </x:c>
      <x:c r="L7095" s="0">
        <x:f>hyperlink("https://icat2.azurewebsites.net/icat/?ontology=ICD&amp;tab=ClassesTab&amp;id=http%3A%2F%2Fwho.int%2Ficd%2342774_512ebf36_bf6b_4d70_85da_cf2637062af4","iCat")</x:f>
      </x:c>
      <x:c r="M7095" s="0" t="s">
        <x:v>21</x:v>
      </x:c>
      <x:c r="N7095" s="0" t="s">
        <x:v>46</x:v>
      </x:c>
    </x:row>
    <x:row r="7096" spans="1:16">
      <x:c r="A7096" s="0" t="s">
        <x:v>28245</x:v>
      </x:c>
      <x:c r="B7096" s="0" t="s">
        <x:v>28246</x:v>
      </x:c>
      <x:c r="C7096" s="0" t="s">
        <x:v>28247</x:v>
      </x:c>
      <x:c r="E7096" s="0" t="s">
        <x:v>28248</x:v>
      </x:c>
      <x:c r="F7096" s="0" t="s">
        <x:v>45</x:v>
      </x:c>
      <x:c r="G7096" s="0" t="s">
        <x:v>19</x:v>
      </x:c>
      <x:c r="H7096" s="0" t="s">
        <x:v>20</x:v>
      </x:c>
      <x:c r="I7096" s="0" t="s">
        <x:v>21</x:v>
      </x:c>
      <x:c r="K7096" s="0">
        <x:f>hyperlink("https://icd.who.int/dev11/l-ichi/en#/http%3A%2F%2Fid.who.int%2Ficd%2Fentity%2F443145773","browser")</x:f>
      </x:c>
      <x:c r="L7096" s="0">
        <x:f>hyperlink("https://icat2.azurewebsites.net/icat/?ontology=ICD&amp;tab=ClassesTab&amp;id=http%3A%2F%2Fwho.int%2Ficd%2342781_512ebf36_bf6b_4d70_85da_cf2637062af4","iCat")</x:f>
      </x:c>
      <x:c r="M7096" s="0" t="s">
        <x:v>21</x:v>
      </x:c>
      <x:c r="N7096" s="0" t="s">
        <x:v>46</x:v>
      </x:c>
    </x:row>
    <x:row r="7097" spans="1:16">
      <x:c r="A7097" s="0" t="s">
        <x:v>28249</x:v>
      </x:c>
      <x:c r="B7097" s="0" t="s">
        <x:v>28250</x:v>
      </x:c>
      <x:c r="C7097" s="0" t="s">
        <x:v>28251</x:v>
      </x:c>
      <x:c r="E7097" s="0" t="s">
        <x:v>28252</x:v>
      </x:c>
      <x:c r="F7097" s="0" t="s">
        <x:v>45</x:v>
      </x:c>
      <x:c r="G7097" s="0" t="s">
        <x:v>19</x:v>
      </x:c>
      <x:c r="H7097" s="0" t="s">
        <x:v>20</x:v>
      </x:c>
      <x:c r="I7097" s="0" t="s">
        <x:v>21</x:v>
      </x:c>
      <x:c r="K7097" s="0">
        <x:f>hyperlink("https://icd.who.int/dev11/l-ichi/en#/http%3A%2F%2Fid.who.int%2Ficd%2Fentity%2F1947327814","browser")</x:f>
      </x:c>
      <x:c r="L7097" s="0">
        <x:f>hyperlink("https://icat2.azurewebsites.net/icat/?ontology=ICD&amp;tab=ClassesTab&amp;id=http%3A%2F%2Fwho.int%2Ficd%2342788_512ebf36_bf6b_4d70_85da_cf2637062af4","iCat")</x:f>
      </x:c>
      <x:c r="M7097" s="0" t="s">
        <x:v>21</x:v>
      </x:c>
      <x:c r="N7097" s="0" t="s">
        <x:v>46</x:v>
      </x:c>
    </x:row>
    <x:row r="7098" spans="1:16">
      <x:c r="A7098" s="0" t="s">
        <x:v>28253</x:v>
      </x:c>
      <x:c r="B7098" s="0" t="s">
        <x:v>28254</x:v>
      </x:c>
      <x:c r="C7098" s="0" t="s">
        <x:v>28255</x:v>
      </x:c>
      <x:c r="E7098" s="0" t="s">
        <x:v>28256</x:v>
      </x:c>
      <x:c r="F7098" s="0" t="s">
        <x:v>45</x:v>
      </x:c>
      <x:c r="G7098" s="0" t="s">
        <x:v>19</x:v>
      </x:c>
      <x:c r="H7098" s="0" t="s">
        <x:v>20</x:v>
      </x:c>
      <x:c r="I7098" s="0" t="s">
        <x:v>21</x:v>
      </x:c>
      <x:c r="K7098" s="0">
        <x:f>hyperlink("https://icd.who.int/dev11/l-ichi/en#/http%3A%2F%2Fid.who.int%2Ficd%2Fentity%2F1168871184","browser")</x:f>
      </x:c>
      <x:c r="L7098" s="0">
        <x:f>hyperlink("https://icat2.azurewebsites.net/icat/?ontology=ICD&amp;tab=ClassesTab&amp;id=http%3A%2F%2Fwho.int%2Ficd%2342795_512ebf36_bf6b_4d70_85da_cf2637062af4","iCat")</x:f>
      </x:c>
      <x:c r="M7098" s="0" t="s">
        <x:v>21</x:v>
      </x:c>
      <x:c r="N7098" s="0" t="s">
        <x:v>46</x:v>
      </x:c>
    </x:row>
    <x:row r="7099" spans="1:16">
      <x:c r="A7099" s="0" t="s">
        <x:v>28257</x:v>
      </x:c>
      <x:c r="B7099" s="0" t="s">
        <x:v>28258</x:v>
      </x:c>
      <x:c r="C7099" s="0" t="s">
        <x:v>28259</x:v>
      </x:c>
      <x:c r="E7099" s="0" t="s">
        <x:v>28260</x:v>
      </x:c>
      <x:c r="F7099" s="0" t="s">
        <x:v>45</x:v>
      </x:c>
      <x:c r="G7099" s="0" t="s">
        <x:v>19</x:v>
      </x:c>
      <x:c r="H7099" s="0" t="s">
        <x:v>20</x:v>
      </x:c>
      <x:c r="I7099" s="0" t="s">
        <x:v>21</x:v>
      </x:c>
      <x:c r="K7099" s="0">
        <x:f>hyperlink("https://icd.who.int/dev11/l-ichi/en#/http%3A%2F%2Fid.who.int%2Ficd%2Fentity%2F915437592","browser")</x:f>
      </x:c>
      <x:c r="L7099" s="0">
        <x:f>hyperlink("https://icat2.azurewebsites.net/icat/?ontology=ICD&amp;tab=ClassesTab&amp;id=http%3A%2F%2Fwho.int%2Ficd%2342802_512ebf36_bf6b_4d70_85da_cf2637062af4","iCat")</x:f>
      </x:c>
      <x:c r="M7099" s="0" t="s">
        <x:v>21</x:v>
      </x:c>
      <x:c r="N7099" s="0" t="s">
        <x:v>46</x:v>
      </x:c>
    </x:row>
    <x:row r="7100" spans="1:16">
      <x:c r="A7100" s="0" t="s">
        <x:v>28261</x:v>
      </x:c>
      <x:c r="B7100" s="0" t="s">
        <x:v>28262</x:v>
      </x:c>
      <x:c r="C7100" s="0" t="s">
        <x:v>28263</x:v>
      </x:c>
      <x:c r="E7100" s="0" t="s">
        <x:v>28264</x:v>
      </x:c>
      <x:c r="F7100" s="0" t="s">
        <x:v>45</x:v>
      </x:c>
      <x:c r="G7100" s="0" t="s">
        <x:v>19</x:v>
      </x:c>
      <x:c r="H7100" s="0" t="s">
        <x:v>20</x:v>
      </x:c>
      <x:c r="I7100" s="0" t="s">
        <x:v>21</x:v>
      </x:c>
      <x:c r="K7100" s="0">
        <x:f>hyperlink("https://icd.who.int/dev11/l-ichi/en#/http%3A%2F%2Fid.who.int%2Ficd%2Fentity%2F1033135802","browser")</x:f>
      </x:c>
      <x:c r="L7100" s="0">
        <x:f>hyperlink("https://icat2.azurewebsites.net/icat/?ontology=ICD&amp;tab=ClassesTab&amp;id=http%3A%2F%2Fwho.int%2Ficd%2342809_512ebf36_bf6b_4d70_85da_cf2637062af4","iCat")</x:f>
      </x:c>
      <x:c r="M7100" s="0" t="s">
        <x:v>21</x:v>
      </x:c>
      <x:c r="N7100" s="0" t="s">
        <x:v>46</x:v>
      </x:c>
    </x:row>
    <x:row r="7101" spans="1:16">
      <x:c r="A7101" s="0" t="s">
        <x:v>28265</x:v>
      </x:c>
      <x:c r="B7101" s="0" t="s">
        <x:v>28266</x:v>
      </x:c>
      <x:c r="C7101" s="0" t="s">
        <x:v>28267</x:v>
      </x:c>
      <x:c r="E7101" s="0" t="s">
        <x:v>28268</x:v>
      </x:c>
      <x:c r="F7101" s="0" t="s">
        <x:v>45</x:v>
      </x:c>
      <x:c r="G7101" s="0" t="s">
        <x:v>19</x:v>
      </x:c>
      <x:c r="H7101" s="0" t="s">
        <x:v>20</x:v>
      </x:c>
      <x:c r="I7101" s="0" t="s">
        <x:v>21</x:v>
      </x:c>
      <x:c r="K7101" s="0">
        <x:f>hyperlink("https://icd.who.int/dev11/l-ichi/en#/http%3A%2F%2Fid.who.int%2Ficd%2Fentity%2F1766992181","browser")</x:f>
      </x:c>
      <x:c r="L7101" s="0">
        <x:f>hyperlink("https://icat2.azurewebsites.net/icat/?ontology=ICD&amp;tab=ClassesTab&amp;id=http%3A%2F%2Fwho.int%2Ficd%2342816_512ebf36_bf6b_4d70_85da_cf2637062af4","iCat")</x:f>
      </x:c>
      <x:c r="M7101" s="0" t="s">
        <x:v>21</x:v>
      </x:c>
      <x:c r="N7101" s="0" t="s">
        <x:v>46</x:v>
      </x:c>
    </x:row>
    <x:row r="7102" spans="1:16">
      <x:c r="A7102" s="0" t="s">
        <x:v>28269</x:v>
      </x:c>
      <x:c r="B7102" s="0" t="s">
        <x:v>28270</x:v>
      </x:c>
      <x:c r="C7102" s="0" t="s">
        <x:v>28271</x:v>
      </x:c>
      <x:c r="E7102" s="0" t="s">
        <x:v>28272</x:v>
      </x:c>
      <x:c r="F7102" s="0" t="s">
        <x:v>45</x:v>
      </x:c>
      <x:c r="G7102" s="0" t="s">
        <x:v>19</x:v>
      </x:c>
      <x:c r="H7102" s="0" t="s">
        <x:v>20</x:v>
      </x:c>
      <x:c r="I7102" s="0" t="s">
        <x:v>21</x:v>
      </x:c>
      <x:c r="K7102" s="0">
        <x:f>hyperlink("https://icd.who.int/dev11/l-ichi/en#/http%3A%2F%2Fid.who.int%2Ficd%2Fentity%2F1008590716","browser")</x:f>
      </x:c>
      <x:c r="L7102" s="0">
        <x:f>hyperlink("https://icat2.azurewebsites.net/icat/?ontology=ICD&amp;tab=ClassesTab&amp;id=http%3A%2F%2Fwho.int%2Ficd%2342823_512ebf36_bf6b_4d70_85da_cf2637062af4","iCat")</x:f>
      </x:c>
      <x:c r="M7102" s="0" t="s">
        <x:v>21</x:v>
      </x:c>
      <x:c r="N7102" s="0" t="s">
        <x:v>46</x:v>
      </x:c>
    </x:row>
    <x:row r="7103" spans="1:16">
      <x:c r="A7103" s="0" t="s">
        <x:v>28273</x:v>
      </x:c>
      <x:c r="B7103" s="0" t="s">
        <x:v>28274</x:v>
      </x:c>
      <x:c r="C7103" s="0" t="s">
        <x:v>28275</x:v>
      </x:c>
      <x:c r="E7103" s="0" t="s">
        <x:v>28276</x:v>
      </x:c>
      <x:c r="F7103" s="0" t="s">
        <x:v>45</x:v>
      </x:c>
      <x:c r="G7103" s="0" t="s">
        <x:v>19</x:v>
      </x:c>
      <x:c r="H7103" s="0" t="s">
        <x:v>20</x:v>
      </x:c>
      <x:c r="I7103" s="0" t="s">
        <x:v>21</x:v>
      </x:c>
      <x:c r="K7103" s="0">
        <x:f>hyperlink("https://icd.who.int/dev11/l-ichi/en#/http%3A%2F%2Fid.who.int%2Ficd%2Fentity%2F324871636","browser")</x:f>
      </x:c>
      <x:c r="L7103" s="0">
        <x:f>hyperlink("https://icat2.azurewebsites.net/icat/?ontology=ICD&amp;tab=ClassesTab&amp;id=http%3A%2F%2Fwho.int%2Ficd%2342830_512ebf36_bf6b_4d70_85da_cf2637062af4","iCat")</x:f>
      </x:c>
      <x:c r="M7103" s="0" t="s">
        <x:v>21</x:v>
      </x:c>
      <x:c r="N7103" s="0" t="s">
        <x:v>46</x:v>
      </x:c>
    </x:row>
    <x:row r="7104" spans="1:16">
      <x:c r="A7104" s="0" t="s">
        <x:v>28277</x:v>
      </x:c>
      <x:c r="B7104" s="0" t="s">
        <x:v>28278</x:v>
      </x:c>
      <x:c r="C7104" s="0" t="s">
        <x:v>28279</x:v>
      </x:c>
      <x:c r="E7104" s="0" t="s">
        <x:v>28280</x:v>
      </x:c>
      <x:c r="F7104" s="0" t="s">
        <x:v>45</x:v>
      </x:c>
      <x:c r="G7104" s="0" t="s">
        <x:v>19</x:v>
      </x:c>
      <x:c r="H7104" s="0" t="s">
        <x:v>20</x:v>
      </x:c>
      <x:c r="I7104" s="0" t="s">
        <x:v>21</x:v>
      </x:c>
      <x:c r="K7104" s="0">
        <x:f>hyperlink("https://icd.who.int/dev11/l-ichi/en#/http%3A%2F%2Fid.who.int%2Ficd%2Fentity%2F1675595353","browser")</x:f>
      </x:c>
      <x:c r="L7104" s="0">
        <x:f>hyperlink("https://icat2.azurewebsites.net/icat/?ontology=ICD&amp;tab=ClassesTab&amp;id=http%3A%2F%2Fwho.int%2Ficd%2342837_512ebf36_bf6b_4d70_85da_cf2637062af4","iCat")</x:f>
      </x:c>
      <x:c r="M7104" s="0" t="s">
        <x:v>21</x:v>
      </x:c>
      <x:c r="N7104" s="0" t="s">
        <x:v>46</x:v>
      </x:c>
    </x:row>
    <x:row r="7105" spans="1:16">
      <x:c r="A7105" s="0" t="s">
        <x:v>28281</x:v>
      </x:c>
      <x:c r="B7105" s="0" t="s">
        <x:v>28282</x:v>
      </x:c>
      <x:c r="C7105" s="0" t="s">
        <x:v>28283</x:v>
      </x:c>
      <x:c r="E7105" s="0" t="s">
        <x:v>28284</x:v>
      </x:c>
      <x:c r="F7105" s="0" t="s">
        <x:v>45</x:v>
      </x:c>
      <x:c r="G7105" s="0" t="s">
        <x:v>19</x:v>
      </x:c>
      <x:c r="H7105" s="0" t="s">
        <x:v>20</x:v>
      </x:c>
      <x:c r="I7105" s="0" t="s">
        <x:v>21</x:v>
      </x:c>
      <x:c r="K7105" s="0">
        <x:f>hyperlink("https://icd.who.int/dev11/l-ichi/en#/http%3A%2F%2Fid.who.int%2Ficd%2Fentity%2F378335930","browser")</x:f>
      </x:c>
      <x:c r="L7105" s="0">
        <x:f>hyperlink("https://icat2.azurewebsites.net/icat/?ontology=ICD&amp;tab=ClassesTab&amp;id=http%3A%2F%2Fwho.int%2Ficd%2342844_512ebf36_bf6b_4d70_85da_cf2637062af4","iCat")</x:f>
      </x:c>
      <x:c r="M7105" s="0" t="s">
        <x:v>21</x:v>
      </x:c>
      <x:c r="N7105" s="0" t="s">
        <x:v>46</x:v>
      </x:c>
    </x:row>
    <x:row r="7106" spans="1:16">
      <x:c r="A7106" s="0" t="s">
        <x:v>28285</x:v>
      </x:c>
      <x:c r="B7106" s="0" t="s">
        <x:v>28286</x:v>
      </x:c>
      <x:c r="C7106" s="0" t="s">
        <x:v>28287</x:v>
      </x:c>
      <x:c r="E7106" s="0" t="s">
        <x:v>28288</x:v>
      </x:c>
      <x:c r="F7106" s="0" t="s">
        <x:v>45</x:v>
      </x:c>
      <x:c r="G7106" s="0" t="s">
        <x:v>19</x:v>
      </x:c>
      <x:c r="H7106" s="0" t="s">
        <x:v>20</x:v>
      </x:c>
      <x:c r="I7106" s="0" t="s">
        <x:v>21</x:v>
      </x:c>
      <x:c r="K7106" s="0">
        <x:f>hyperlink("https://icd.who.int/dev11/l-ichi/en#/http%3A%2F%2Fid.who.int%2Ficd%2Fentity%2F1773654437","browser")</x:f>
      </x:c>
      <x:c r="L7106" s="0">
        <x:f>hyperlink("https://icat2.azurewebsites.net/icat/?ontology=ICD&amp;tab=ClassesTab&amp;id=http%3A%2F%2Fwho.int%2Ficd%2342851_512ebf36_bf6b_4d70_85da_cf2637062af4","iCat")</x:f>
      </x:c>
      <x:c r="M7106" s="0" t="s">
        <x:v>21</x:v>
      </x:c>
      <x:c r="N7106" s="0" t="s">
        <x:v>46</x:v>
      </x:c>
    </x:row>
    <x:row r="7107" spans="1:16">
      <x:c r="A7107" s="0" t="s">
        <x:v>28289</x:v>
      </x:c>
      <x:c r="B7107" s="0" t="s">
        <x:v>28290</x:v>
      </x:c>
      <x:c r="C7107" s="0" t="s">
        <x:v>28291</x:v>
      </x:c>
      <x:c r="E7107" s="0" t="s">
        <x:v>28292</x:v>
      </x:c>
      <x:c r="F7107" s="0" t="s">
        <x:v>45</x:v>
      </x:c>
      <x:c r="G7107" s="0" t="s">
        <x:v>19</x:v>
      </x:c>
      <x:c r="H7107" s="0" t="s">
        <x:v>20</x:v>
      </x:c>
      <x:c r="I7107" s="0" t="s">
        <x:v>21</x:v>
      </x:c>
      <x:c r="K7107" s="0">
        <x:f>hyperlink("https://icd.who.int/dev11/l-ichi/en#/http%3A%2F%2Fid.who.int%2Ficd%2Fentity%2F131060430","browser")</x:f>
      </x:c>
      <x:c r="L7107" s="0">
        <x:f>hyperlink("https://icat2.azurewebsites.net/icat/?ontology=ICD&amp;tab=ClassesTab&amp;id=http%3A%2F%2Fwho.int%2Ficd%2342858_512ebf36_bf6b_4d70_85da_cf2637062af4","iCat")</x:f>
      </x:c>
      <x:c r="M7107" s="0" t="s">
        <x:v>21</x:v>
      </x:c>
      <x:c r="N7107" s="0" t="s">
        <x:v>46</x:v>
      </x:c>
    </x:row>
    <x:row r="7108" spans="1:16">
      <x:c r="A7108" s="0" t="s">
        <x:v>28293</x:v>
      </x:c>
      <x:c r="B7108" s="0" t="s">
        <x:v>28294</x:v>
      </x:c>
      <x:c r="C7108" s="0" t="s">
        <x:v>28295</x:v>
      </x:c>
      <x:c r="E7108" s="0" t="s">
        <x:v>28296</x:v>
      </x:c>
      <x:c r="F7108" s="0" t="s">
        <x:v>45</x:v>
      </x:c>
      <x:c r="G7108" s="0" t="s">
        <x:v>19</x:v>
      </x:c>
      <x:c r="H7108" s="0" t="s">
        <x:v>20</x:v>
      </x:c>
      <x:c r="I7108" s="0" t="s">
        <x:v>21</x:v>
      </x:c>
      <x:c r="K7108" s="0">
        <x:f>hyperlink("https://icd.who.int/dev11/l-ichi/en#/http%3A%2F%2Fid.who.int%2Ficd%2Fentity%2F1199477451","browser")</x:f>
      </x:c>
      <x:c r="L7108" s="0">
        <x:f>hyperlink("https://icat2.azurewebsites.net/icat/?ontology=ICD&amp;tab=ClassesTab&amp;id=http%3A%2F%2Fwho.int%2Ficd%2342868_512ebf36_bf6b_4d70_85da_cf2637062af4","iCat")</x:f>
      </x:c>
      <x:c r="M7108" s="0" t="s">
        <x:v>21</x:v>
      </x:c>
      <x:c r="N7108" s="0" t="s">
        <x:v>46</x:v>
      </x:c>
    </x:row>
    <x:row r="7109" spans="1:16">
      <x:c r="A7109" s="0" t="s">
        <x:v>28297</x:v>
      </x:c>
      <x:c r="B7109" s="0" t="s">
        <x:v>28298</x:v>
      </x:c>
      <x:c r="C7109" s="0" t="s">
        <x:v>28299</x:v>
      </x:c>
      <x:c r="E7109" s="0" t="s">
        <x:v>28300</x:v>
      </x:c>
      <x:c r="F7109" s="0" t="s">
        <x:v>45</x:v>
      </x:c>
      <x:c r="G7109" s="0" t="s">
        <x:v>19</x:v>
      </x:c>
      <x:c r="H7109" s="0" t="s">
        <x:v>20</x:v>
      </x:c>
      <x:c r="I7109" s="0" t="s">
        <x:v>21</x:v>
      </x:c>
      <x:c r="K7109" s="0">
        <x:f>hyperlink("https://icd.who.int/dev11/l-ichi/en#/http%3A%2F%2Fid.who.int%2Ficd%2Fentity%2F1992605825","browser")</x:f>
      </x:c>
      <x:c r="L7109" s="0">
        <x:f>hyperlink("https://icat2.azurewebsites.net/icat/?ontology=ICD&amp;tab=ClassesTab&amp;id=http%3A%2F%2Fwho.int%2Ficd%2342875_512ebf36_bf6b_4d70_85da_cf2637062af4","iCat")</x:f>
      </x:c>
      <x:c r="M7109" s="0" t="s">
        <x:v>21</x:v>
      </x:c>
      <x:c r="N7109" s="0" t="s">
        <x:v>46</x:v>
      </x:c>
    </x:row>
    <x:row r="7110" spans="1:16">
      <x:c r="A7110" s="0" t="s">
        <x:v>28301</x:v>
      </x:c>
      <x:c r="B7110" s="0" t="s">
        <x:v>28302</x:v>
      </x:c>
      <x:c r="C7110" s="0" t="s">
        <x:v>28303</x:v>
      </x:c>
      <x:c r="E7110" s="0" t="s">
        <x:v>28304</x:v>
      </x:c>
      <x:c r="F7110" s="0" t="s">
        <x:v>45</x:v>
      </x:c>
      <x:c r="G7110" s="0" t="s">
        <x:v>19</x:v>
      </x:c>
      <x:c r="H7110" s="0" t="s">
        <x:v>20</x:v>
      </x:c>
      <x:c r="I7110" s="0" t="s">
        <x:v>21</x:v>
      </x:c>
      <x:c r="K7110" s="0">
        <x:f>hyperlink("https://icd.who.int/dev11/l-ichi/en#/http%3A%2F%2Fid.who.int%2Ficd%2Fentity%2F698425810","browser")</x:f>
      </x:c>
      <x:c r="L7110" s="0">
        <x:f>hyperlink("https://icat2.azurewebsites.net/icat/?ontology=ICD&amp;tab=ClassesTab&amp;id=http%3A%2F%2Fwho.int%2Ficd%2342882_512ebf36_bf6b_4d70_85da_cf2637062af4","iCat")</x:f>
      </x:c>
      <x:c r="M7110" s="0" t="s">
        <x:v>21</x:v>
      </x:c>
      <x:c r="N7110" s="0" t="s">
        <x:v>46</x:v>
      </x:c>
    </x:row>
    <x:row r="7111" spans="1:16">
      <x:c r="A7111" s="0" t="s">
        <x:v>28305</x:v>
      </x:c>
      <x:c r="B7111" s="0" t="s">
        <x:v>28306</x:v>
      </x:c>
      <x:c r="C7111" s="0" t="s">
        <x:v>28307</x:v>
      </x:c>
      <x:c r="E7111" s="0" t="s">
        <x:v>28308</x:v>
      </x:c>
      <x:c r="F7111" s="0" t="s">
        <x:v>45</x:v>
      </x:c>
      <x:c r="G7111" s="0" t="s">
        <x:v>19</x:v>
      </x:c>
      <x:c r="H7111" s="0" t="s">
        <x:v>20</x:v>
      </x:c>
      <x:c r="I7111" s="0" t="s">
        <x:v>21</x:v>
      </x:c>
      <x:c r="K7111" s="0">
        <x:f>hyperlink("https://icd.who.int/dev11/l-ichi/en#/http%3A%2F%2Fid.who.int%2Ficd%2Fentity%2F581255040","browser")</x:f>
      </x:c>
      <x:c r="L7111" s="0">
        <x:f>hyperlink("https://icat2.azurewebsites.net/icat/?ontology=ICD&amp;tab=ClassesTab&amp;id=http%3A%2F%2Fwho.int%2Ficd%2342889_512ebf36_bf6b_4d70_85da_cf2637062af4","iCat")</x:f>
      </x:c>
      <x:c r="M7111" s="0" t="s">
        <x:v>21</x:v>
      </x:c>
      <x:c r="N7111" s="0" t="s">
        <x:v>46</x:v>
      </x:c>
    </x:row>
    <x:row r="7112" spans="1:16">
      <x:c r="A7112" s="0" t="s">
        <x:v>28309</x:v>
      </x:c>
      <x:c r="B7112" s="0" t="s">
        <x:v>28310</x:v>
      </x:c>
      <x:c r="C7112" s="0" t="s">
        <x:v>28311</x:v>
      </x:c>
      <x:c r="E7112" s="0" t="s">
        <x:v>28312</x:v>
      </x:c>
      <x:c r="F7112" s="0" t="s">
        <x:v>45</x:v>
      </x:c>
      <x:c r="G7112" s="0" t="s">
        <x:v>19</x:v>
      </x:c>
      <x:c r="H7112" s="0" t="s">
        <x:v>20</x:v>
      </x:c>
      <x:c r="I7112" s="0" t="s">
        <x:v>21</x:v>
      </x:c>
      <x:c r="K7112" s="0">
        <x:f>hyperlink("https://icd.who.int/dev11/l-ichi/en#/http%3A%2F%2Fid.who.int%2Ficd%2Fentity%2F1986228465","browser")</x:f>
      </x:c>
      <x:c r="L7112" s="0">
        <x:f>hyperlink("https://icat2.azurewebsites.net/icat/?ontology=ICD&amp;tab=ClassesTab&amp;id=http%3A%2F%2Fwho.int%2Ficd%2342896_512ebf36_bf6b_4d70_85da_cf2637062af4","iCat")</x:f>
      </x:c>
      <x:c r="M7112" s="0" t="s">
        <x:v>21</x:v>
      </x:c>
      <x:c r="N7112" s="0" t="s">
        <x:v>46</x:v>
      </x:c>
    </x:row>
    <x:row r="7113" spans="1:16">
      <x:c r="A7113" s="0" t="s">
        <x:v>28313</x:v>
      </x:c>
      <x:c r="B7113" s="0" t="s">
        <x:v>28314</x:v>
      </x:c>
      <x:c r="C7113" s="0" t="s">
        <x:v>28315</x:v>
      </x:c>
      <x:c r="E7113" s="0" t="s">
        <x:v>28316</x:v>
      </x:c>
      <x:c r="F7113" s="0" t="s">
        <x:v>45</x:v>
      </x:c>
      <x:c r="G7113" s="0" t="s">
        <x:v>19</x:v>
      </x:c>
      <x:c r="H7113" s="0" t="s">
        <x:v>20</x:v>
      </x:c>
      <x:c r="I7113" s="0" t="s">
        <x:v>21</x:v>
      </x:c>
      <x:c r="K7113" s="0">
        <x:f>hyperlink("https://icd.who.int/dev11/l-ichi/en#/http%3A%2F%2Fid.who.int%2Ficd%2Fentity%2F1677118647","browser")</x:f>
      </x:c>
      <x:c r="L7113" s="0">
        <x:f>hyperlink("https://icat2.azurewebsites.net/icat/?ontology=ICD&amp;tab=ClassesTab&amp;id=http%3A%2F%2Fwho.int%2Ficd%2342903_512ebf36_bf6b_4d70_85da_cf2637062af4","iCat")</x:f>
      </x:c>
      <x:c r="M7113" s="0" t="s">
        <x:v>21</x:v>
      </x:c>
      <x:c r="N7113" s="0" t="s">
        <x:v>46</x:v>
      </x:c>
    </x:row>
    <x:row r="7114" spans="1:16">
      <x:c r="A7114" s="0" t="s">
        <x:v>28317</x:v>
      </x:c>
      <x:c r="B7114" s="0" t="s">
        <x:v>28318</x:v>
      </x:c>
      <x:c r="C7114" s="0" t="s">
        <x:v>28319</x:v>
      </x:c>
      <x:c r="E7114" s="0" t="s">
        <x:v>28320</x:v>
      </x:c>
      <x:c r="F7114" s="0" t="s">
        <x:v>45</x:v>
      </x:c>
      <x:c r="G7114" s="0" t="s">
        <x:v>19</x:v>
      </x:c>
      <x:c r="H7114" s="0" t="s">
        <x:v>20</x:v>
      </x:c>
      <x:c r="I7114" s="0" t="s">
        <x:v>21</x:v>
      </x:c>
      <x:c r="K7114" s="0">
        <x:f>hyperlink("https://icd.who.int/dev11/l-ichi/en#/http%3A%2F%2Fid.who.int%2Ficd%2Fentity%2F1287009817","browser")</x:f>
      </x:c>
      <x:c r="L7114" s="0">
        <x:f>hyperlink("https://icat2.azurewebsites.net/icat/?ontology=ICD&amp;tab=ClassesTab&amp;id=http%3A%2F%2Fwho.int%2Ficd%2342910_512ebf36_bf6b_4d70_85da_cf2637062af4","iCat")</x:f>
      </x:c>
      <x:c r="M7114" s="0" t="s">
        <x:v>21</x:v>
      </x:c>
      <x:c r="N7114" s="0" t="s">
        <x:v>46</x:v>
      </x:c>
    </x:row>
    <x:row r="7115" spans="1:16">
      <x:c r="A7115" s="0" t="s">
        <x:v>28321</x:v>
      </x:c>
      <x:c r="B7115" s="0" t="s">
        <x:v>28322</x:v>
      </x:c>
      <x:c r="C7115" s="0" t="s">
        <x:v>28323</x:v>
      </x:c>
      <x:c r="E7115" s="0" t="s">
        <x:v>28324</x:v>
      </x:c>
      <x:c r="F7115" s="0" t="s">
        <x:v>45</x:v>
      </x:c>
      <x:c r="G7115" s="0" t="s">
        <x:v>19</x:v>
      </x:c>
      <x:c r="H7115" s="0" t="s">
        <x:v>20</x:v>
      </x:c>
      <x:c r="I7115" s="0" t="s">
        <x:v>21</x:v>
      </x:c>
      <x:c r="K7115" s="0">
        <x:f>hyperlink("https://icd.who.int/dev11/l-ichi/en#/http%3A%2F%2Fid.who.int%2Ficd%2Fentity%2F1010081174","browser")</x:f>
      </x:c>
      <x:c r="L7115" s="0">
        <x:f>hyperlink("https://icat2.azurewebsites.net/icat/?ontology=ICD&amp;tab=ClassesTab&amp;id=http%3A%2F%2Fwho.int%2Ficd%2342917_512ebf36_bf6b_4d70_85da_cf2637062af4","iCat")</x:f>
      </x:c>
      <x:c r="M7115" s="0" t="s">
        <x:v>21</x:v>
      </x:c>
      <x:c r="N7115" s="0" t="s">
        <x:v>46</x:v>
      </x:c>
    </x:row>
    <x:row r="7116" spans="1:16">
      <x:c r="A7116" s="0" t="s">
        <x:v>28325</x:v>
      </x:c>
      <x:c r="B7116" s="0" t="s">
        <x:v>28326</x:v>
      </x:c>
      <x:c r="C7116" s="0" t="s">
        <x:v>28327</x:v>
      </x:c>
      <x:c r="E7116" s="0" t="s">
        <x:v>28328</x:v>
      </x:c>
      <x:c r="F7116" s="0" t="s">
        <x:v>45</x:v>
      </x:c>
      <x:c r="G7116" s="0" t="s">
        <x:v>19</x:v>
      </x:c>
      <x:c r="H7116" s="0" t="s">
        <x:v>20</x:v>
      </x:c>
      <x:c r="I7116" s="0" t="s">
        <x:v>21</x:v>
      </x:c>
      <x:c r="K7116" s="0">
        <x:f>hyperlink("https://icd.who.int/dev11/l-ichi/en#/http%3A%2F%2Fid.who.int%2Ficd%2Fentity%2F956346988","browser")</x:f>
      </x:c>
      <x:c r="L7116" s="0">
        <x:f>hyperlink("https://icat2.azurewebsites.net/icat/?ontology=ICD&amp;tab=ClassesTab&amp;id=http%3A%2F%2Fwho.int%2Ficd%2342924_512ebf36_bf6b_4d70_85da_cf2637062af4","iCat")</x:f>
      </x:c>
      <x:c r="M7116" s="0" t="s">
        <x:v>21</x:v>
      </x:c>
      <x:c r="N7116" s="0" t="s">
        <x:v>46</x:v>
      </x:c>
    </x:row>
    <x:row r="7117" spans="1:16">
      <x:c r="A7117" s="0" t="s">
        <x:v>28329</x:v>
      </x:c>
      <x:c r="B7117" s="0" t="s">
        <x:v>28330</x:v>
      </x:c>
      <x:c r="C7117" s="0" t="s">
        <x:v>28331</x:v>
      </x:c>
      <x:c r="E7117" s="0" t="s">
        <x:v>28332</x:v>
      </x:c>
      <x:c r="F7117" s="0" t="s">
        <x:v>45</x:v>
      </x:c>
      <x:c r="G7117" s="0" t="s">
        <x:v>19</x:v>
      </x:c>
      <x:c r="H7117" s="0" t="s">
        <x:v>20</x:v>
      </x:c>
      <x:c r="I7117" s="0" t="s">
        <x:v>21</x:v>
      </x:c>
      <x:c r="K7117" s="0">
        <x:f>hyperlink("https://icd.who.int/dev11/l-ichi/en#/http%3A%2F%2Fid.who.int%2Ficd%2Fentity%2F1933333761","browser")</x:f>
      </x:c>
      <x:c r="L7117" s="0">
        <x:f>hyperlink("https://icat2.azurewebsites.net/icat/?ontology=ICD&amp;tab=ClassesTab&amp;id=http%3A%2F%2Fwho.int%2Ficd%2342935_512ebf36_bf6b_4d70_85da_cf2637062af4","iCat")</x:f>
      </x:c>
      <x:c r="M7117" s="0" t="s">
        <x:v>21</x:v>
      </x:c>
      <x:c r="N7117" s="0" t="s">
        <x:v>46</x:v>
      </x:c>
    </x:row>
    <x:row r="7118" spans="1:16">
      <x:c r="A7118" s="0" t="s">
        <x:v>28333</x:v>
      </x:c>
      <x:c r="B7118" s="0" t="s">
        <x:v>28334</x:v>
      </x:c>
      <x:c r="C7118" s="0" t="s">
        <x:v>28335</x:v>
      </x:c>
      <x:c r="E7118" s="0" t="s">
        <x:v>28336</x:v>
      </x:c>
      <x:c r="F7118" s="0" t="s">
        <x:v>45</x:v>
      </x:c>
      <x:c r="G7118" s="0" t="s">
        <x:v>19</x:v>
      </x:c>
      <x:c r="H7118" s="0" t="s">
        <x:v>20</x:v>
      </x:c>
      <x:c r="I7118" s="0" t="s">
        <x:v>21</x:v>
      </x:c>
      <x:c r="K7118" s="0">
        <x:f>hyperlink("https://icd.who.int/dev11/l-ichi/en#/http%3A%2F%2Fid.who.int%2Ficd%2Fentity%2F862514584","browser")</x:f>
      </x:c>
      <x:c r="L7118" s="0">
        <x:f>hyperlink("https://icat2.azurewebsites.net/icat/?ontology=ICD&amp;tab=ClassesTab&amp;id=http%3A%2F%2Fwho.int%2Ficd%2342942_512ebf36_bf6b_4d70_85da_cf2637062af4","iCat")</x:f>
      </x:c>
      <x:c r="M7118" s="0" t="s">
        <x:v>21</x:v>
      </x:c>
      <x:c r="N7118" s="0" t="s">
        <x:v>46</x:v>
      </x:c>
    </x:row>
    <x:row r="7119" spans="1:16">
      <x:c r="A7119" s="0" t="s">
        <x:v>28337</x:v>
      </x:c>
      <x:c r="B7119" s="0" t="s">
        <x:v>28338</x:v>
      </x:c>
      <x:c r="C7119" s="0" t="s">
        <x:v>28339</x:v>
      </x:c>
      <x:c r="E7119" s="0" t="s">
        <x:v>28340</x:v>
      </x:c>
      <x:c r="F7119" s="0" t="s">
        <x:v>45</x:v>
      </x:c>
      <x:c r="G7119" s="0" t="s">
        <x:v>19</x:v>
      </x:c>
      <x:c r="H7119" s="0" t="s">
        <x:v>20</x:v>
      </x:c>
      <x:c r="I7119" s="0" t="s">
        <x:v>21</x:v>
      </x:c>
      <x:c r="K7119" s="0">
        <x:f>hyperlink("https://icd.who.int/dev11/l-ichi/en#/http%3A%2F%2Fid.who.int%2Ficd%2Fentity%2F946664250","browser")</x:f>
      </x:c>
      <x:c r="L7119" s="0">
        <x:f>hyperlink("https://icat2.azurewebsites.net/icat/?ontology=ICD&amp;tab=ClassesTab&amp;id=http%3A%2F%2Fwho.int%2Ficd%2342949_512ebf36_bf6b_4d70_85da_cf2637062af4","iCat")</x:f>
      </x:c>
      <x:c r="M7119" s="0" t="s">
        <x:v>21</x:v>
      </x:c>
      <x:c r="N7119" s="0" t="s">
        <x:v>46</x:v>
      </x:c>
    </x:row>
    <x:row r="7120" spans="1:16">
      <x:c r="A7120" s="0" t="s">
        <x:v>28341</x:v>
      </x:c>
      <x:c r="B7120" s="0" t="s">
        <x:v>28342</x:v>
      </x:c>
      <x:c r="C7120" s="0" t="s">
        <x:v>28343</x:v>
      </x:c>
      <x:c r="E7120" s="0" t="s">
        <x:v>28344</x:v>
      </x:c>
      <x:c r="F7120" s="0" t="s">
        <x:v>45</x:v>
      </x:c>
      <x:c r="G7120" s="0" t="s">
        <x:v>19</x:v>
      </x:c>
      <x:c r="H7120" s="0" t="s">
        <x:v>20</x:v>
      </x:c>
      <x:c r="I7120" s="0" t="s">
        <x:v>21</x:v>
      </x:c>
      <x:c r="K7120" s="0">
        <x:f>hyperlink("https://icd.who.int/dev11/l-ichi/en#/http%3A%2F%2Fid.who.int%2Ficd%2Fentity%2F1823128757","browser")</x:f>
      </x:c>
      <x:c r="L7120" s="0">
        <x:f>hyperlink("https://icat2.azurewebsites.net/icat/?ontology=ICD&amp;tab=ClassesTab&amp;id=http%3A%2F%2Fwho.int%2Ficd%2342956_512ebf36_bf6b_4d70_85da_cf2637062af4","iCat")</x:f>
      </x:c>
      <x:c r="M7120" s="0" t="s">
        <x:v>21</x:v>
      </x:c>
      <x:c r="N7120" s="0" t="s">
        <x:v>46</x:v>
      </x:c>
    </x:row>
    <x:row r="7121" spans="1:16">
      <x:c r="A7121" s="0" t="s">
        <x:v>28345</x:v>
      </x:c>
      <x:c r="B7121" s="0" t="s">
        <x:v>28346</x:v>
      </x:c>
      <x:c r="C7121" s="0" t="s">
        <x:v>28347</x:v>
      </x:c>
      <x:c r="E7121" s="0" t="s">
        <x:v>28348</x:v>
      </x:c>
      <x:c r="F7121" s="0" t="s">
        <x:v>45</x:v>
      </x:c>
      <x:c r="G7121" s="0" t="s">
        <x:v>19</x:v>
      </x:c>
      <x:c r="H7121" s="0" t="s">
        <x:v>20</x:v>
      </x:c>
      <x:c r="I7121" s="0" t="s">
        <x:v>21</x:v>
      </x:c>
      <x:c r="K7121" s="0">
        <x:f>hyperlink("https://icd.who.int/dev11/l-ichi/en#/http%3A%2F%2Fid.who.int%2Ficd%2Fentity%2F971328252","browser")</x:f>
      </x:c>
      <x:c r="L7121" s="0">
        <x:f>hyperlink("https://icat2.azurewebsites.net/icat/?ontology=ICD&amp;tab=ClassesTab&amp;id=http%3A%2F%2Fwho.int%2Ficd%2342963_512ebf36_bf6b_4d70_85da_cf2637062af4","iCat")</x:f>
      </x:c>
      <x:c r="M7121" s="0" t="s">
        <x:v>21</x:v>
      </x:c>
      <x:c r="N7121" s="0" t="s">
        <x:v>46</x:v>
      </x:c>
    </x:row>
    <x:row r="7122" spans="1:16">
      <x:c r="A7122" s="0" t="s">
        <x:v>28349</x:v>
      </x:c>
      <x:c r="B7122" s="0" t="s">
        <x:v>28350</x:v>
      </x:c>
      <x:c r="C7122" s="0" t="s">
        <x:v>28351</x:v>
      </x:c>
      <x:c r="E7122" s="0" t="s">
        <x:v>28352</x:v>
      </x:c>
      <x:c r="F7122" s="0" t="s">
        <x:v>45</x:v>
      </x:c>
      <x:c r="G7122" s="0" t="s">
        <x:v>19</x:v>
      </x:c>
      <x:c r="H7122" s="0" t="s">
        <x:v>20</x:v>
      </x:c>
      <x:c r="I7122" s="0" t="s">
        <x:v>21</x:v>
      </x:c>
      <x:c r="K7122" s="0">
        <x:f>hyperlink("https://icd.who.int/dev11/l-ichi/en#/http%3A%2F%2Fid.who.int%2Ficd%2Fentity%2F379957332","browser")</x:f>
      </x:c>
      <x:c r="L7122" s="0">
        <x:f>hyperlink("https://icat2.azurewebsites.net/icat/?ontology=ICD&amp;tab=ClassesTab&amp;id=http%3A%2F%2Fwho.int%2Ficd%2342970_512ebf36_bf6b_4d70_85da_cf2637062af4","iCat")</x:f>
      </x:c>
      <x:c r="M7122" s="0" t="s">
        <x:v>21</x:v>
      </x:c>
      <x:c r="N7122" s="0" t="s">
        <x:v>46</x:v>
      </x:c>
    </x:row>
    <x:row r="7123" spans="1:16">
      <x:c r="A7123" s="0" t="s">
        <x:v>28353</x:v>
      </x:c>
      <x:c r="B7123" s="0" t="s">
        <x:v>28354</x:v>
      </x:c>
      <x:c r="C7123" s="0" t="s">
        <x:v>28355</x:v>
      </x:c>
      <x:c r="E7123" s="0" t="s">
        <x:v>28356</x:v>
      </x:c>
      <x:c r="F7123" s="0" t="s">
        <x:v>45</x:v>
      </x:c>
      <x:c r="G7123" s="0" t="s">
        <x:v>19</x:v>
      </x:c>
      <x:c r="H7123" s="0" t="s">
        <x:v>20</x:v>
      </x:c>
      <x:c r="I7123" s="0" t="s">
        <x:v>21</x:v>
      </x:c>
      <x:c r="K7123" s="0">
        <x:f>hyperlink("https://icd.who.int/dev11/l-ichi/en#/http%3A%2F%2Fid.who.int%2Ficd%2Fentity%2F960690826","browser")</x:f>
      </x:c>
      <x:c r="L7123" s="0">
        <x:f>hyperlink("https://icat2.azurewebsites.net/icat/?ontology=ICD&amp;tab=ClassesTab&amp;id=http%3A%2F%2Fwho.int%2Ficd%2342980_512ebf36_bf6b_4d70_85da_cf2637062af4","iCat")</x:f>
      </x:c>
      <x:c r="M7123" s="0" t="s">
        <x:v>21</x:v>
      </x:c>
      <x:c r="N7123" s="0" t="s">
        <x:v>46</x:v>
      </x:c>
    </x:row>
    <x:row r="7124" spans="1:16">
      <x:c r="A7124" s="0" t="s">
        <x:v>28357</x:v>
      </x:c>
      <x:c r="B7124" s="0" t="s">
        <x:v>28358</x:v>
      </x:c>
      <x:c r="C7124" s="0" t="s">
        <x:v>28359</x:v>
      </x:c>
      <x:c r="E7124" s="0" t="s">
        <x:v>28360</x:v>
      </x:c>
      <x:c r="F7124" s="0" t="s">
        <x:v>45</x:v>
      </x:c>
      <x:c r="G7124" s="0" t="s">
        <x:v>19</x:v>
      </x:c>
      <x:c r="H7124" s="0" t="s">
        <x:v>20</x:v>
      </x:c>
      <x:c r="I7124" s="0" t="s">
        <x:v>21</x:v>
      </x:c>
      <x:c r="K7124" s="0">
        <x:f>hyperlink("https://icd.who.int/dev11/l-ichi/en#/http%3A%2F%2Fid.who.int%2Ficd%2Fentity%2F1237340423","browser")</x:f>
      </x:c>
      <x:c r="L7124" s="0">
        <x:f>hyperlink("https://icat2.azurewebsites.net/icat/?ontology=ICD&amp;tab=ClassesTab&amp;id=http%3A%2F%2Fwho.int%2Ficd%2342987_512ebf36_bf6b_4d70_85da_cf2637062af4","iCat")</x:f>
      </x:c>
      <x:c r="M7124" s="0" t="s">
        <x:v>21</x:v>
      </x:c>
      <x:c r="N7124" s="0" t="s">
        <x:v>46</x:v>
      </x:c>
    </x:row>
    <x:row r="7125" spans="1:16">
      <x:c r="A7125" s="0" t="s">
        <x:v>28361</x:v>
      </x:c>
      <x:c r="B7125" s="0" t="s">
        <x:v>28362</x:v>
      </x:c>
      <x:c r="C7125" s="0" t="s">
        <x:v>28363</x:v>
      </x:c>
      <x:c r="E7125" s="0" t="s">
        <x:v>28364</x:v>
      </x:c>
      <x:c r="F7125" s="0" t="s">
        <x:v>45</x:v>
      </x:c>
      <x:c r="G7125" s="0" t="s">
        <x:v>19</x:v>
      </x:c>
      <x:c r="H7125" s="0" t="s">
        <x:v>20</x:v>
      </x:c>
      <x:c r="I7125" s="0" t="s">
        <x:v>21</x:v>
      </x:c>
      <x:c r="K7125" s="0">
        <x:f>hyperlink("https://icd.who.int/dev11/l-ichi/en#/http%3A%2F%2Fid.who.int%2Ficd%2Fentity%2F1719708585","browser")</x:f>
      </x:c>
      <x:c r="L7125" s="0">
        <x:f>hyperlink("https://icat2.azurewebsites.net/icat/?ontology=ICD&amp;tab=ClassesTab&amp;id=http%3A%2F%2Fwho.int%2Ficd%2342994_512ebf36_bf6b_4d70_85da_cf2637062af4","iCat")</x:f>
      </x:c>
      <x:c r="M7125" s="0" t="s">
        <x:v>21</x:v>
      </x:c>
      <x:c r="N7125" s="0" t="s">
        <x:v>46</x:v>
      </x:c>
    </x:row>
    <x:row r="7126" spans="1:16">
      <x:c r="A7126" s="0" t="s">
        <x:v>28365</x:v>
      </x:c>
      <x:c r="B7126" s="0" t="s">
        <x:v>28366</x:v>
      </x:c>
      <x:c r="C7126" s="0" t="s">
        <x:v>28367</x:v>
      </x:c>
      <x:c r="E7126" s="0" t="s">
        <x:v>28368</x:v>
      </x:c>
      <x:c r="F7126" s="0" t="s">
        <x:v>45</x:v>
      </x:c>
      <x:c r="G7126" s="0" t="s">
        <x:v>19</x:v>
      </x:c>
      <x:c r="H7126" s="0" t="s">
        <x:v>20</x:v>
      </x:c>
      <x:c r="I7126" s="0" t="s">
        <x:v>21</x:v>
      </x:c>
      <x:c r="K7126" s="0">
        <x:f>hyperlink("https://icd.who.int/dev11/l-ichi/en#/http%3A%2F%2Fid.who.int%2Ficd%2Fentity%2F538850872","browser")</x:f>
      </x:c>
      <x:c r="L7126" s="0">
        <x:f>hyperlink("https://icat2.azurewebsites.net/icat/?ontology=ICD&amp;tab=ClassesTab&amp;id=http%3A%2F%2Fwho.int%2Ficd%2343001_512ebf36_bf6b_4d70_85da_cf2637062af4","iCat")</x:f>
      </x:c>
      <x:c r="M7126" s="0" t="s">
        <x:v>21</x:v>
      </x:c>
      <x:c r="N7126" s="0" t="s">
        <x:v>46</x:v>
      </x:c>
    </x:row>
    <x:row r="7127" spans="1:16">
      <x:c r="A7127" s="0" t="s">
        <x:v>28369</x:v>
      </x:c>
      <x:c r="B7127" s="0" t="s">
        <x:v>28370</x:v>
      </x:c>
      <x:c r="C7127" s="0" t="s">
        <x:v>28371</x:v>
      </x:c>
      <x:c r="E7127" s="0" t="s">
        <x:v>28372</x:v>
      </x:c>
      <x:c r="F7127" s="0" t="s">
        <x:v>45</x:v>
      </x:c>
      <x:c r="G7127" s="0" t="s">
        <x:v>19</x:v>
      </x:c>
      <x:c r="H7127" s="0" t="s">
        <x:v>20</x:v>
      </x:c>
      <x:c r="I7127" s="0" t="s">
        <x:v>21</x:v>
      </x:c>
      <x:c r="K7127" s="0">
        <x:f>hyperlink("https://icd.who.int/dev11/l-ichi/en#/http%3A%2F%2Fid.who.int%2Ficd%2Fentity%2F1315321183","browser")</x:f>
      </x:c>
      <x:c r="L7127" s="0">
        <x:f>hyperlink("https://icat2.azurewebsites.net/icat/?ontology=ICD&amp;tab=ClassesTab&amp;id=http%3A%2F%2Fwho.int%2Ficd%2343008_512ebf36_bf6b_4d70_85da_cf2637062af4","iCat")</x:f>
      </x:c>
      <x:c r="M7127" s="0" t="s">
        <x:v>21</x:v>
      </x:c>
      <x:c r="N7127" s="0" t="s">
        <x:v>46</x:v>
      </x:c>
    </x:row>
    <x:row r="7128" spans="1:16">
      <x:c r="A7128" s="0" t="s">
        <x:v>28373</x:v>
      </x:c>
      <x:c r="B7128" s="0" t="s">
        <x:v>28374</x:v>
      </x:c>
      <x:c r="C7128" s="0" t="s">
        <x:v>28375</x:v>
      </x:c>
      <x:c r="E7128" s="0" t="s">
        <x:v>28376</x:v>
      </x:c>
      <x:c r="F7128" s="0" t="s">
        <x:v>45</x:v>
      </x:c>
      <x:c r="G7128" s="0" t="s">
        <x:v>19</x:v>
      </x:c>
      <x:c r="H7128" s="0" t="s">
        <x:v>20</x:v>
      </x:c>
      <x:c r="I7128" s="0" t="s">
        <x:v>21</x:v>
      </x:c>
      <x:c r="K7128" s="0">
        <x:f>hyperlink("https://icd.who.int/dev11/l-ichi/en#/http%3A%2F%2Fid.who.int%2Ficd%2Fentity%2F2145150741","browser")</x:f>
      </x:c>
      <x:c r="L7128" s="0">
        <x:f>hyperlink("https://icat2.azurewebsites.net/icat/?ontology=ICD&amp;tab=ClassesTab&amp;id=http%3A%2F%2Fwho.int%2Ficd%2343015_512ebf36_bf6b_4d70_85da_cf2637062af4","iCat")</x:f>
      </x:c>
      <x:c r="M7128" s="0" t="s">
        <x:v>21</x:v>
      </x:c>
      <x:c r="N7128" s="0" t="s">
        <x:v>46</x:v>
      </x:c>
    </x:row>
    <x:row r="7129" spans="1:16">
      <x:c r="A7129" s="0" t="s">
        <x:v>28377</x:v>
      </x:c>
      <x:c r="B7129" s="0" t="s">
        <x:v>28378</x:v>
      </x:c>
      <x:c r="C7129" s="0" t="s">
        <x:v>28379</x:v>
      </x:c>
      <x:c r="E7129" s="0" t="s">
        <x:v>28380</x:v>
      </x:c>
      <x:c r="F7129" s="0" t="s">
        <x:v>45</x:v>
      </x:c>
      <x:c r="G7129" s="0" t="s">
        <x:v>19</x:v>
      </x:c>
      <x:c r="H7129" s="0" t="s">
        <x:v>20</x:v>
      </x:c>
      <x:c r="I7129" s="0" t="s">
        <x:v>21</x:v>
      </x:c>
      <x:c r="K7129" s="0">
        <x:f>hyperlink("https://icd.who.int/dev11/l-ichi/en#/http%3A%2F%2Fid.who.int%2Ficd%2Fentity%2F1341099167","browser")</x:f>
      </x:c>
      <x:c r="L7129" s="0">
        <x:f>hyperlink("https://icat2.azurewebsites.net/icat/?ontology=ICD&amp;tab=ClassesTab&amp;id=http%3A%2F%2Fwho.int%2Ficd%2343022_512ebf36_bf6b_4d70_85da_cf2637062af4","iCat")</x:f>
      </x:c>
      <x:c r="M7129" s="0" t="s">
        <x:v>21</x:v>
      </x:c>
      <x:c r="N7129" s="0" t="s">
        <x:v>46</x:v>
      </x:c>
    </x:row>
    <x:row r="7130" spans="1:16">
      <x:c r="A7130" s="0" t="s">
        <x:v>28381</x:v>
      </x:c>
      <x:c r="B7130" s="0" t="s">
        <x:v>28382</x:v>
      </x:c>
      <x:c r="C7130" s="0" t="s">
        <x:v>28383</x:v>
      </x:c>
      <x:c r="E7130" s="0" t="s">
        <x:v>28384</x:v>
      </x:c>
      <x:c r="F7130" s="0" t="s">
        <x:v>45</x:v>
      </x:c>
      <x:c r="G7130" s="0" t="s">
        <x:v>19</x:v>
      </x:c>
      <x:c r="H7130" s="0" t="s">
        <x:v>20</x:v>
      </x:c>
      <x:c r="I7130" s="0" t="s">
        <x:v>21</x:v>
      </x:c>
      <x:c r="K7130" s="0">
        <x:f>hyperlink("https://icd.who.int/dev11/l-ichi/en#/http%3A%2F%2Fid.who.int%2Ficd%2Fentity%2F1156289075","browser")</x:f>
      </x:c>
      <x:c r="L7130" s="0">
        <x:f>hyperlink("https://icat2.azurewebsites.net/icat/?ontology=ICD&amp;tab=ClassesTab&amp;id=http%3A%2F%2Fwho.int%2Ficd%2343029_512ebf36_bf6b_4d70_85da_cf2637062af4","iCat")</x:f>
      </x:c>
      <x:c r="M7130" s="0" t="s">
        <x:v>21</x:v>
      </x:c>
      <x:c r="N7130" s="0" t="s">
        <x:v>46</x:v>
      </x:c>
    </x:row>
    <x:row r="7131" spans="1:16">
      <x:c r="A7131" s="0" t="s">
        <x:v>28385</x:v>
      </x:c>
      <x:c r="B7131" s="0" t="s">
        <x:v>28386</x:v>
      </x:c>
      <x:c r="C7131" s="0" t="s">
        <x:v>28387</x:v>
      </x:c>
      <x:c r="E7131" s="0" t="s">
        <x:v>28388</x:v>
      </x:c>
      <x:c r="F7131" s="0" t="s">
        <x:v>45</x:v>
      </x:c>
      <x:c r="G7131" s="0" t="s">
        <x:v>19</x:v>
      </x:c>
      <x:c r="H7131" s="0" t="s">
        <x:v>20</x:v>
      </x:c>
      <x:c r="I7131" s="0" t="s">
        <x:v>21</x:v>
      </x:c>
      <x:c r="K7131" s="0">
        <x:f>hyperlink("https://icd.who.int/dev11/l-ichi/en#/http%3A%2F%2Fid.who.int%2Ficd%2Fentity%2F271441340","browser")</x:f>
      </x:c>
      <x:c r="L7131" s="0">
        <x:f>hyperlink("https://icat2.azurewebsites.net/icat/?ontology=ICD&amp;tab=ClassesTab&amp;id=http%3A%2F%2Fwho.int%2Ficd%2343036_512ebf36_bf6b_4d70_85da_cf2637062af4","iCat")</x:f>
      </x:c>
      <x:c r="M7131" s="0" t="s">
        <x:v>21</x:v>
      </x:c>
      <x:c r="N7131" s="0" t="s">
        <x:v>46</x:v>
      </x:c>
    </x:row>
    <x:row r="7132" spans="1:16">
      <x:c r="A7132" s="0" t="s">
        <x:v>28389</x:v>
      </x:c>
      <x:c r="B7132" s="0" t="s">
        <x:v>28390</x:v>
      </x:c>
      <x:c r="D7132" s="0" t="s">
        <x:v>28391</x:v>
      </x:c>
      <x:c r="E7132" s="0" t="s">
        <x:v>28392</x:v>
      </x:c>
      <x:c r="F7132" s="0" t="s">
        <x:v>26</x:v>
      </x:c>
      <x:c r="G7132" s="0" t="s">
        <x:v>22</x:v>
      </x:c>
      <x:c r="H7132" s="0" t="s">
        <x:v>20</x:v>
      </x:c>
      <x:c r="I7132" s="0" t="s">
        <x:v>21</x:v>
      </x:c>
      <x:c r="K7132" s="0">
        <x:f>hyperlink("https://icd.who.int/dev11/l-ichi/en#/http%3A%2F%2Fid.who.int%2Ficd%2Fentity%2F1166529379","browser")</x:f>
      </x:c>
      <x:c r="L7132" s="0">
        <x:f>hyperlink("https://icat2.azurewebsites.net/icat/?ontology=ICD&amp;tab=ClassesTab&amp;id=http%3A%2F%2Fwho.int%2Ficd%2343044_512ebf36_bf6b_4d70_85da_cf2637062af4","iCat")</x:f>
      </x:c>
      <x:c r="M7132" s="0" t="s">
        <x:v>20</x:v>
      </x:c>
      <x:c r="N7132" s="0" t="s">
        <x:v>6362</x:v>
      </x:c>
    </x:row>
    <x:row r="7133" spans="1:16">
      <x:c r="A7133" s="0" t="s">
        <x:v>28393</x:v>
      </x:c>
      <x:c r="B7133" s="0" t="s">
        <x:v>28394</x:v>
      </x:c>
      <x:c r="C7133" s="0" t="s">
        <x:v>28395</x:v>
      </x:c>
      <x:c r="E7133" s="0" t="s">
        <x:v>28396</x:v>
      </x:c>
      <x:c r="F7133" s="0" t="s">
        <x:v>45</x:v>
      </x:c>
      <x:c r="G7133" s="0" t="s">
        <x:v>19</x:v>
      </x:c>
      <x:c r="H7133" s="0" t="s">
        <x:v>20</x:v>
      </x:c>
      <x:c r="I7133" s="0" t="s">
        <x:v>21</x:v>
      </x:c>
      <x:c r="K7133" s="0">
        <x:f>hyperlink("https://icd.who.int/dev11/l-ichi/en#/http%3A%2F%2Fid.who.int%2Ficd%2Fentity%2F889551088","browser")</x:f>
      </x:c>
      <x:c r="L7133" s="0">
        <x:f>hyperlink("https://icat2.azurewebsites.net/icat/?ontology=ICD&amp;tab=ClassesTab&amp;id=http%3A%2F%2Fwho.int%2Ficd%2343043_512ebf36_bf6b_4d70_85da_cf2637062af4","iCat")</x:f>
      </x:c>
      <x:c r="M7133" s="0" t="s">
        <x:v>21</x:v>
      </x:c>
      <x:c r="N7133" s="0" t="s">
        <x:v>46</x:v>
      </x:c>
    </x:row>
    <x:row r="7134" spans="1:16">
      <x:c r="A7134" s="0" t="s">
        <x:v>28397</x:v>
      </x:c>
      <x:c r="B7134" s="0" t="s">
        <x:v>28398</x:v>
      </x:c>
      <x:c r="C7134" s="0" t="s">
        <x:v>28399</x:v>
      </x:c>
      <x:c r="E7134" s="0" t="s">
        <x:v>28400</x:v>
      </x:c>
      <x:c r="F7134" s="0" t="s">
        <x:v>45</x:v>
      </x:c>
      <x:c r="G7134" s="0" t="s">
        <x:v>19</x:v>
      </x:c>
      <x:c r="H7134" s="0" t="s">
        <x:v>20</x:v>
      </x:c>
      <x:c r="I7134" s="0" t="s">
        <x:v>21</x:v>
      </x:c>
      <x:c r="K7134" s="0">
        <x:f>hyperlink("https://icd.who.int/dev11/l-ichi/en#/http%3A%2F%2Fid.who.int%2Ficd%2Fentity%2F1245600753","browser")</x:f>
      </x:c>
      <x:c r="L7134" s="0">
        <x:f>hyperlink("https://icat2.azurewebsites.net/icat/?ontology=ICD&amp;tab=ClassesTab&amp;id=http%3A%2F%2Fwho.int%2Ficd%2343056_512ebf36_bf6b_4d70_85da_cf2637062af4","iCat")</x:f>
      </x:c>
      <x:c r="M7134" s="0" t="s">
        <x:v>21</x:v>
      </x:c>
      <x:c r="N7134" s="0" t="s">
        <x:v>46</x:v>
      </x:c>
    </x:row>
    <x:row r="7135" spans="1:16">
      <x:c r="A7135" s="0" t="s">
        <x:v>28401</x:v>
      </x:c>
      <x:c r="B7135" s="0" t="s">
        <x:v>28402</x:v>
      </x:c>
      <x:c r="C7135" s="0" t="s">
        <x:v>28403</x:v>
      </x:c>
      <x:c r="E7135" s="0" t="s">
        <x:v>28404</x:v>
      </x:c>
      <x:c r="F7135" s="0" t="s">
        <x:v>45</x:v>
      </x:c>
      <x:c r="G7135" s="0" t="s">
        <x:v>19</x:v>
      </x:c>
      <x:c r="H7135" s="0" t="s">
        <x:v>20</x:v>
      </x:c>
      <x:c r="I7135" s="0" t="s">
        <x:v>21</x:v>
      </x:c>
      <x:c r="K7135" s="0">
        <x:f>hyperlink("https://icd.who.int/dev11/l-ichi/en#/http%3A%2F%2Fid.who.int%2Ficd%2Fentity%2F527543742","browser")</x:f>
      </x:c>
      <x:c r="L7135" s="0">
        <x:f>hyperlink("https://icat2.azurewebsites.net/icat/?ontology=ICD&amp;tab=ClassesTab&amp;id=http%3A%2F%2Fwho.int%2Ficd%2343063_512ebf36_bf6b_4d70_85da_cf2637062af4","iCat")</x:f>
      </x:c>
      <x:c r="M7135" s="0" t="s">
        <x:v>21</x:v>
      </x:c>
      <x:c r="N7135" s="0" t="s">
        <x:v>46</x:v>
      </x:c>
    </x:row>
    <x:row r="7136" spans="1:16">
      <x:c r="A7136" s="0" t="s">
        <x:v>28405</x:v>
      </x:c>
      <x:c r="B7136" s="0" t="s">
        <x:v>28406</x:v>
      </x:c>
      <x:c r="C7136" s="0" t="s">
        <x:v>28407</x:v>
      </x:c>
      <x:c r="E7136" s="0" t="s">
        <x:v>28408</x:v>
      </x:c>
      <x:c r="F7136" s="0" t="s">
        <x:v>45</x:v>
      </x:c>
      <x:c r="G7136" s="0" t="s">
        <x:v>19</x:v>
      </x:c>
      <x:c r="H7136" s="0" t="s">
        <x:v>20</x:v>
      </x:c>
      <x:c r="I7136" s="0" t="s">
        <x:v>21</x:v>
      </x:c>
      <x:c r="K7136" s="0">
        <x:f>hyperlink("https://icd.who.int/dev11/l-ichi/en#/http%3A%2F%2Fid.who.int%2Ficd%2Fentity%2F808539922","browser")</x:f>
      </x:c>
      <x:c r="L7136" s="0">
        <x:f>hyperlink("https://icat2.azurewebsites.net/icat/?ontology=ICD&amp;tab=ClassesTab&amp;id=http%3A%2F%2Fwho.int%2Ficd%2343070_512ebf36_bf6b_4d70_85da_cf2637062af4","iCat")</x:f>
      </x:c>
      <x:c r="M7136" s="0" t="s">
        <x:v>21</x:v>
      </x:c>
      <x:c r="N7136" s="0" t="s">
        <x:v>46</x:v>
      </x:c>
    </x:row>
    <x:row r="7137" spans="1:16">
      <x:c r="A7137" s="0" t="s">
        <x:v>28409</x:v>
      </x:c>
      <x:c r="B7137" s="0" t="s">
        <x:v>28410</x:v>
      </x:c>
      <x:c r="C7137" s="0" t="s">
        <x:v>28411</x:v>
      </x:c>
      <x:c r="E7137" s="0" t="s">
        <x:v>28412</x:v>
      </x:c>
      <x:c r="F7137" s="0" t="s">
        <x:v>45</x:v>
      </x:c>
      <x:c r="G7137" s="0" t="s">
        <x:v>19</x:v>
      </x:c>
      <x:c r="H7137" s="0" t="s">
        <x:v>20</x:v>
      </x:c>
      <x:c r="I7137" s="0" t="s">
        <x:v>21</x:v>
      </x:c>
      <x:c r="K7137" s="0">
        <x:f>hyperlink("https://icd.who.int/dev11/l-ichi/en#/http%3A%2F%2Fid.who.int%2Ficd%2Fentity%2F1085537437","browser")</x:f>
      </x:c>
      <x:c r="L7137" s="0">
        <x:f>hyperlink("https://icat2.azurewebsites.net/icat/?ontology=ICD&amp;tab=ClassesTab&amp;id=http%3A%2F%2Fwho.int%2Ficd%2343077_512ebf36_bf6b_4d70_85da_cf2637062af4","iCat")</x:f>
      </x:c>
      <x:c r="M7137" s="0" t="s">
        <x:v>21</x:v>
      </x:c>
      <x:c r="N7137" s="0" t="s">
        <x:v>46</x:v>
      </x:c>
    </x:row>
    <x:row r="7138" spans="1:16">
      <x:c r="A7138" s="0" t="s">
        <x:v>28413</x:v>
      </x:c>
      <x:c r="B7138" s="0" t="s">
        <x:v>28414</x:v>
      </x:c>
      <x:c r="C7138" s="0" t="s">
        <x:v>28415</x:v>
      </x:c>
      <x:c r="E7138" s="0" t="s">
        <x:v>28416</x:v>
      </x:c>
      <x:c r="F7138" s="0" t="s">
        <x:v>45</x:v>
      </x:c>
      <x:c r="G7138" s="0" t="s">
        <x:v>19</x:v>
      </x:c>
      <x:c r="H7138" s="0" t="s">
        <x:v>20</x:v>
      </x:c>
      <x:c r="I7138" s="0" t="s">
        <x:v>21</x:v>
      </x:c>
      <x:c r="K7138" s="0">
        <x:f>hyperlink("https://icd.who.int/dev11/l-ichi/en#/http%3A%2F%2Fid.who.int%2Ficd%2Fentity%2F718395834","browser")</x:f>
      </x:c>
      <x:c r="L7138" s="0">
        <x:f>hyperlink("https://icat2.azurewebsites.net/icat/?ontology=ICD&amp;tab=ClassesTab&amp;id=http%3A%2F%2Fwho.int%2Ficd%2343084_512ebf36_bf6b_4d70_85da_cf2637062af4","iCat")</x:f>
      </x:c>
      <x:c r="M7138" s="0" t="s">
        <x:v>21</x:v>
      </x:c>
      <x:c r="N7138" s="0" t="s">
        <x:v>46</x:v>
      </x:c>
    </x:row>
    <x:row r="7139" spans="1:16">
      <x:c r="A7139" s="0" t="s">
        <x:v>28417</x:v>
      </x:c>
      <x:c r="B7139" s="0" t="s">
        <x:v>28418</x:v>
      </x:c>
      <x:c r="C7139" s="0" t="s">
        <x:v>28419</x:v>
      </x:c>
      <x:c r="E7139" s="0" t="s">
        <x:v>28420</x:v>
      </x:c>
      <x:c r="F7139" s="0" t="s">
        <x:v>45</x:v>
      </x:c>
      <x:c r="G7139" s="0" t="s">
        <x:v>19</x:v>
      </x:c>
      <x:c r="H7139" s="0" t="s">
        <x:v>20</x:v>
      </x:c>
      <x:c r="I7139" s="0" t="s">
        <x:v>21</x:v>
      </x:c>
      <x:c r="K7139" s="0">
        <x:f>hyperlink("https://icd.who.int/dev11/l-ichi/en#/http%3A%2F%2Fid.who.int%2Ficd%2Fentity%2F1441462949","browser")</x:f>
      </x:c>
      <x:c r="L7139" s="0">
        <x:f>hyperlink("https://icat2.azurewebsites.net/icat/?ontology=ICD&amp;tab=ClassesTab&amp;id=http%3A%2F%2Fwho.int%2Ficd%2343091_512ebf36_bf6b_4d70_85da_cf2637062af4","iCat")</x:f>
      </x:c>
      <x:c r="M7139" s="0" t="s">
        <x:v>21</x:v>
      </x:c>
      <x:c r="N7139" s="0" t="s">
        <x:v>46</x:v>
      </x:c>
    </x:row>
    <x:row r="7140" spans="1:16">
      <x:c r="A7140" s="0" t="s">
        <x:v>28421</x:v>
      </x:c>
      <x:c r="B7140" s="0" t="s">
        <x:v>28422</x:v>
      </x:c>
      <x:c r="C7140" s="0" t="s">
        <x:v>28423</x:v>
      </x:c>
      <x:c r="E7140" s="0" t="s">
        <x:v>28424</x:v>
      </x:c>
      <x:c r="F7140" s="0" t="s">
        <x:v>45</x:v>
      </x:c>
      <x:c r="G7140" s="0" t="s">
        <x:v>19</x:v>
      </x:c>
      <x:c r="H7140" s="0" t="s">
        <x:v>20</x:v>
      </x:c>
      <x:c r="I7140" s="0" t="s">
        <x:v>21</x:v>
      </x:c>
      <x:c r="K7140" s="0">
        <x:f>hyperlink("https://icd.who.int/dev11/l-ichi/en#/http%3A%2F%2Fid.who.int%2Ficd%2Fentity%2F999487950","browser")</x:f>
      </x:c>
      <x:c r="L7140" s="0">
        <x:f>hyperlink("https://icat2.azurewebsites.net/icat/?ontology=ICD&amp;tab=ClassesTab&amp;id=http%3A%2F%2Fwho.int%2Ficd%2343098_512ebf36_bf6b_4d70_85da_cf2637062af4","iCat")</x:f>
      </x:c>
      <x:c r="M7140" s="0" t="s">
        <x:v>21</x:v>
      </x:c>
      <x:c r="N7140" s="0" t="s">
        <x:v>46</x:v>
      </x:c>
    </x:row>
    <x:row r="7141" spans="1:16">
      <x:c r="A7141" s="0" t="s">
        <x:v>28425</x:v>
      </x:c>
      <x:c r="B7141" s="0" t="s">
        <x:v>28426</x:v>
      </x:c>
      <x:c r="C7141" s="0" t="s">
        <x:v>28427</x:v>
      </x:c>
      <x:c r="E7141" s="0" t="s">
        <x:v>28428</x:v>
      </x:c>
      <x:c r="F7141" s="0" t="s">
        <x:v>45</x:v>
      </x:c>
      <x:c r="G7141" s="0" t="s">
        <x:v>19</x:v>
      </x:c>
      <x:c r="H7141" s="0" t="s">
        <x:v>20</x:v>
      </x:c>
      <x:c r="I7141" s="0" t="s">
        <x:v>21</x:v>
      </x:c>
      <x:c r="K7141" s="0">
        <x:f>hyperlink("https://icd.who.int/dev11/l-ichi/en#/http%3A%2F%2Fid.who.int%2Ficd%2Fentity%2F1619408095","browser")</x:f>
      </x:c>
      <x:c r="L7141" s="0">
        <x:f>hyperlink("https://icat2.azurewebsites.net/icat/?ontology=ICD&amp;tab=ClassesTab&amp;id=http%3A%2F%2Fwho.int%2Ficd%2343105_512ebf36_bf6b_4d70_85da_cf2637062af4","iCat")</x:f>
      </x:c>
      <x:c r="M7141" s="0" t="s">
        <x:v>21</x:v>
      </x:c>
      <x:c r="N7141" s="0" t="s">
        <x:v>46</x:v>
      </x:c>
    </x:row>
    <x:row r="7142" spans="1:16">
      <x:c r="A7142" s="0" t="s">
        <x:v>28429</x:v>
      </x:c>
      <x:c r="B7142" s="0" t="s">
        <x:v>28430</x:v>
      </x:c>
      <x:c r="C7142" s="0" t="s">
        <x:v>28431</x:v>
      </x:c>
      <x:c r="E7142" s="0" t="s">
        <x:v>28432</x:v>
      </x:c>
      <x:c r="F7142" s="0" t="s">
        <x:v>45</x:v>
      </x:c>
      <x:c r="G7142" s="0" t="s">
        <x:v>19</x:v>
      </x:c>
      <x:c r="H7142" s="0" t="s">
        <x:v>20</x:v>
      </x:c>
      <x:c r="I7142" s="0" t="s">
        <x:v>21</x:v>
      </x:c>
      <x:c r="K7142" s="0">
        <x:f>hyperlink("https://icd.who.int/dev11/l-ichi/en#/http%3A%2F%2Fid.who.int%2Ficd%2Fentity%2F1513650233","browser")</x:f>
      </x:c>
      <x:c r="L7142" s="0">
        <x:f>hyperlink("https://icat2.azurewebsites.net/icat/?ontology=ICD&amp;tab=ClassesTab&amp;id=http%3A%2F%2Fwho.int%2Ficd%2343113_512ebf36_bf6b_4d70_85da_cf2637062af4","iCat")</x:f>
      </x:c>
      <x:c r="M7142" s="0" t="s">
        <x:v>21</x:v>
      </x:c>
      <x:c r="N7142" s="0" t="s">
        <x:v>46</x:v>
      </x:c>
    </x:row>
    <x:row r="7143" spans="1:16">
      <x:c r="A7143" s="0" t="s">
        <x:v>28433</x:v>
      </x:c>
      <x:c r="B7143" s="0" t="s">
        <x:v>28434</x:v>
      </x:c>
      <x:c r="C7143" s="0" t="s">
        <x:v>28435</x:v>
      </x:c>
      <x:c r="E7143" s="0" t="s">
        <x:v>28436</x:v>
      </x:c>
      <x:c r="F7143" s="0" t="s">
        <x:v>45</x:v>
      </x:c>
      <x:c r="G7143" s="0" t="s">
        <x:v>19</x:v>
      </x:c>
      <x:c r="H7143" s="0" t="s">
        <x:v>20</x:v>
      </x:c>
      <x:c r="I7143" s="0" t="s">
        <x:v>21</x:v>
      </x:c>
      <x:c r="K7143" s="0">
        <x:f>hyperlink("https://icd.who.int/dev11/l-ichi/en#/http%3A%2F%2Fid.who.int%2Ficd%2Fentity%2F1594644423","browser")</x:f>
      </x:c>
      <x:c r="L7143" s="0">
        <x:f>hyperlink("https://icat2.azurewebsites.net/icat/?ontology=ICD&amp;tab=ClassesTab&amp;id=http%3A%2F%2Fwho.int%2Ficd%2343120_512ebf36_bf6b_4d70_85da_cf2637062af4","iCat")</x:f>
      </x:c>
      <x:c r="M7143" s="0" t="s">
        <x:v>21</x:v>
      </x:c>
      <x:c r="N7143" s="0" t="s">
        <x:v>46</x:v>
      </x:c>
    </x:row>
    <x:row r="7144" spans="1:16">
      <x:c r="A7144" s="0" t="s">
        <x:v>28437</x:v>
      </x:c>
      <x:c r="B7144" s="0" t="s">
        <x:v>28438</x:v>
      </x:c>
      <x:c r="C7144" s="0" t="s">
        <x:v>28439</x:v>
      </x:c>
      <x:c r="E7144" s="0" t="s">
        <x:v>28440</x:v>
      </x:c>
      <x:c r="F7144" s="0" t="s">
        <x:v>45</x:v>
      </x:c>
      <x:c r="G7144" s="0" t="s">
        <x:v>19</x:v>
      </x:c>
      <x:c r="H7144" s="0" t="s">
        <x:v>20</x:v>
      </x:c>
      <x:c r="I7144" s="0" t="s">
        <x:v>21</x:v>
      </x:c>
      <x:c r="K7144" s="0">
        <x:f>hyperlink("https://icd.who.int/dev11/l-ichi/en#/http%3A%2F%2Fid.who.int%2Ficd%2Fentity%2F797899852","browser")</x:f>
      </x:c>
      <x:c r="L7144" s="0">
        <x:f>hyperlink("https://icat2.azurewebsites.net/icat/?ontology=ICD&amp;tab=ClassesTab&amp;id=http%3A%2F%2Fwho.int%2Ficd%2343127_512ebf36_bf6b_4d70_85da_cf2637062af4","iCat")</x:f>
      </x:c>
      <x:c r="M7144" s="0" t="s">
        <x:v>21</x:v>
      </x:c>
      <x:c r="N7144" s="0" t="s">
        <x:v>46</x:v>
      </x:c>
    </x:row>
    <x:row r="7145" spans="1:16">
      <x:c r="A7145" s="0" t="s">
        <x:v>28441</x:v>
      </x:c>
      <x:c r="B7145" s="0" t="s">
        <x:v>28442</x:v>
      </x:c>
      <x:c r="C7145" s="0" t="s">
        <x:v>28443</x:v>
      </x:c>
      <x:c r="E7145" s="0" t="s">
        <x:v>28444</x:v>
      </x:c>
      <x:c r="F7145" s="0" t="s">
        <x:v>45</x:v>
      </x:c>
      <x:c r="G7145" s="0" t="s">
        <x:v>19</x:v>
      </x:c>
      <x:c r="H7145" s="0" t="s">
        <x:v>20</x:v>
      </x:c>
      <x:c r="I7145" s="0" t="s">
        <x:v>21</x:v>
      </x:c>
      <x:c r="K7145" s="0">
        <x:f>hyperlink("https://icd.who.int/dev11/l-ichi/en#/http%3A%2F%2Fid.who.int%2Ficd%2Fentity%2F13502180","browser")</x:f>
      </x:c>
      <x:c r="L7145" s="0">
        <x:f>hyperlink("https://icat2.azurewebsites.net/icat/?ontology=ICD&amp;tab=ClassesTab&amp;id=http%3A%2F%2Fwho.int%2Ficd%2343134_512ebf36_bf6b_4d70_85da_cf2637062af4","iCat")</x:f>
      </x:c>
      <x:c r="M7145" s="0" t="s">
        <x:v>21</x:v>
      </x:c>
      <x:c r="N7145" s="0" t="s">
        <x:v>46</x:v>
      </x:c>
    </x:row>
    <x:row r="7146" spans="1:16">
      <x:c r="A7146" s="0" t="s">
        <x:v>28445</x:v>
      </x:c>
      <x:c r="B7146" s="0" t="s">
        <x:v>28446</x:v>
      </x:c>
      <x:c r="C7146" s="0" t="s">
        <x:v>28447</x:v>
      </x:c>
      <x:c r="E7146" s="0" t="s">
        <x:v>28448</x:v>
      </x:c>
      <x:c r="F7146" s="0" t="s">
        <x:v>45</x:v>
      </x:c>
      <x:c r="G7146" s="0" t="s">
        <x:v>19</x:v>
      </x:c>
      <x:c r="H7146" s="0" t="s">
        <x:v>20</x:v>
      </x:c>
      <x:c r="I7146" s="0" t="s">
        <x:v>21</x:v>
      </x:c>
      <x:c r="K7146" s="0">
        <x:f>hyperlink("https://icd.who.int/dev11/l-ichi/en#/http%3A%2F%2Fid.who.int%2Ficd%2Fentity%2F635872184","browser")</x:f>
      </x:c>
      <x:c r="L7146" s="0">
        <x:f>hyperlink("https://icat2.azurewebsites.net/icat/?ontology=ICD&amp;tab=ClassesTab&amp;id=http%3A%2F%2Fwho.int%2Ficd%2343141_512ebf36_bf6b_4d70_85da_cf2637062af4","iCat")</x:f>
      </x:c>
      <x:c r="M7146" s="0" t="s">
        <x:v>21</x:v>
      </x:c>
      <x:c r="N7146" s="0" t="s">
        <x:v>46</x:v>
      </x:c>
    </x:row>
    <x:row r="7147" spans="1:16">
      <x:c r="A7147" s="0" t="s">
        <x:v>28449</x:v>
      </x:c>
      <x:c r="B7147" s="0" t="s">
        <x:v>28450</x:v>
      </x:c>
      <x:c r="C7147" s="0" t="s">
        <x:v>28451</x:v>
      </x:c>
      <x:c r="E7147" s="0" t="s">
        <x:v>28452</x:v>
      </x:c>
      <x:c r="F7147" s="0" t="s">
        <x:v>45</x:v>
      </x:c>
      <x:c r="G7147" s="0" t="s">
        <x:v>19</x:v>
      </x:c>
      <x:c r="H7147" s="0" t="s">
        <x:v>20</x:v>
      </x:c>
      <x:c r="I7147" s="0" t="s">
        <x:v>21</x:v>
      </x:c>
      <x:c r="K7147" s="0">
        <x:f>hyperlink("https://icd.who.int/dev11/l-ichi/en#/http%3A%2F%2Fid.who.int%2Ficd%2Fentity%2F1268687071","browser")</x:f>
      </x:c>
      <x:c r="L7147" s="0">
        <x:f>hyperlink("https://icat2.azurewebsites.net/icat/?ontology=ICD&amp;tab=ClassesTab&amp;id=http%3A%2F%2Fwho.int%2Ficd%2343148_512ebf36_bf6b_4d70_85da_cf2637062af4","iCat")</x:f>
      </x:c>
      <x:c r="M7147" s="0" t="s">
        <x:v>21</x:v>
      </x:c>
      <x:c r="N7147" s="0" t="s">
        <x:v>46</x:v>
      </x:c>
    </x:row>
    <x:row r="7148" spans="1:16">
      <x:c r="A7148" s="0" t="s">
        <x:v>28453</x:v>
      </x:c>
      <x:c r="B7148" s="0" t="s">
        <x:v>28454</x:v>
      </x:c>
      <x:c r="C7148" s="0" t="s">
        <x:v>28455</x:v>
      </x:c>
      <x:c r="E7148" s="0" t="s">
        <x:v>28456</x:v>
      </x:c>
      <x:c r="F7148" s="0" t="s">
        <x:v>45</x:v>
      </x:c>
      <x:c r="G7148" s="0" t="s">
        <x:v>19</x:v>
      </x:c>
      <x:c r="H7148" s="0" t="s">
        <x:v>20</x:v>
      </x:c>
      <x:c r="I7148" s="0" t="s">
        <x:v>21</x:v>
      </x:c>
      <x:c r="K7148" s="0">
        <x:f>hyperlink("https://icd.who.int/dev11/l-ichi/en#/http%3A%2F%2Fid.who.int%2Ficd%2Fentity%2F2049241749","browser")</x:f>
      </x:c>
      <x:c r="L7148" s="0">
        <x:f>hyperlink("https://icat2.azurewebsites.net/icat/?ontology=ICD&amp;tab=ClassesTab&amp;id=http%3A%2F%2Fwho.int%2Ficd%2343155_512ebf36_bf6b_4d70_85da_cf2637062af4","iCat")</x:f>
      </x:c>
      <x:c r="M7148" s="0" t="s">
        <x:v>21</x:v>
      </x:c>
      <x:c r="N7148" s="0" t="s">
        <x:v>46</x:v>
      </x:c>
    </x:row>
    <x:row r="7149" spans="1:16">
      <x:c r="A7149" s="0" t="s">
        <x:v>28457</x:v>
      </x:c>
      <x:c r="B7149" s="0" t="s">
        <x:v>28458</x:v>
      </x:c>
      <x:c r="C7149" s="0" t="s">
        <x:v>28459</x:v>
      </x:c>
      <x:c r="E7149" s="0" t="s">
        <x:v>28460</x:v>
      </x:c>
      <x:c r="F7149" s="0" t="s">
        <x:v>45</x:v>
      </x:c>
      <x:c r="G7149" s="0" t="s">
        <x:v>19</x:v>
      </x:c>
      <x:c r="H7149" s="0" t="s">
        <x:v>20</x:v>
      </x:c>
      <x:c r="I7149" s="0" t="s">
        <x:v>21</x:v>
      </x:c>
      <x:c r="K7149" s="0">
        <x:f>hyperlink("https://icd.who.int/dev11/l-ichi/en#/http%3A%2F%2Fid.who.int%2Ficd%2Fentity%2F1243027743","browser")</x:f>
      </x:c>
      <x:c r="L7149" s="0">
        <x:f>hyperlink("https://icat2.azurewebsites.net/icat/?ontology=ICD&amp;tab=ClassesTab&amp;id=http%3A%2F%2Fwho.int%2Ficd%2343162_512ebf36_bf6b_4d70_85da_cf2637062af4","iCat")</x:f>
      </x:c>
      <x:c r="M7149" s="0" t="s">
        <x:v>21</x:v>
      </x:c>
      <x:c r="N7149" s="0" t="s">
        <x:v>46</x:v>
      </x:c>
    </x:row>
    <x:row r="7150" spans="1:16">
      <x:c r="A7150" s="0" t="s">
        <x:v>28461</x:v>
      </x:c>
      <x:c r="B7150" s="0" t="s">
        <x:v>28462</x:v>
      </x:c>
      <x:c r="C7150" s="0" t="s">
        <x:v>28463</x:v>
      </x:c>
      <x:c r="E7150" s="0" t="s">
        <x:v>28464</x:v>
      </x:c>
      <x:c r="F7150" s="0" t="s">
        <x:v>45</x:v>
      </x:c>
      <x:c r="G7150" s="0" t="s">
        <x:v>19</x:v>
      </x:c>
      <x:c r="H7150" s="0" t="s">
        <x:v>20</x:v>
      </x:c>
      <x:c r="I7150" s="0" t="s">
        <x:v>21</x:v>
      </x:c>
      <x:c r="K7150" s="0">
        <x:f>hyperlink("https://icd.who.int/dev11/l-ichi/en#/http%3A%2F%2Fid.who.int%2Ficd%2Fentity%2F1091766195","browser")</x:f>
      </x:c>
      <x:c r="L7150" s="0">
        <x:f>hyperlink("https://icat2.azurewebsites.net/icat/?ontology=ICD&amp;tab=ClassesTab&amp;id=http%3A%2F%2Fwho.int%2Ficd%2343169_512ebf36_bf6b_4d70_85da_cf2637062af4","iCat")</x:f>
      </x:c>
      <x:c r="M7150" s="0" t="s">
        <x:v>21</x:v>
      </x:c>
      <x:c r="N7150" s="0" t="s">
        <x:v>46</x:v>
      </x:c>
    </x:row>
    <x:row r="7151" spans="1:16">
      <x:c r="A7151" s="0" t="s">
        <x:v>28465</x:v>
      </x:c>
      <x:c r="B7151" s="0" t="s">
        <x:v>28466</x:v>
      </x:c>
      <x:c r="C7151" s="0" t="s">
        <x:v>28467</x:v>
      </x:c>
      <x:c r="E7151" s="0" t="s">
        <x:v>28468</x:v>
      </x:c>
      <x:c r="F7151" s="0" t="s">
        <x:v>45</x:v>
      </x:c>
      <x:c r="G7151" s="0" t="s">
        <x:v>19</x:v>
      </x:c>
      <x:c r="H7151" s="0" t="s">
        <x:v>20</x:v>
      </x:c>
      <x:c r="I7151" s="0" t="s">
        <x:v>21</x:v>
      </x:c>
      <x:c r="K7151" s="0">
        <x:f>hyperlink("https://icd.who.int/dev11/l-ichi/en#/http%3A%2F%2Fid.who.int%2Ficd%2Fentity%2F366299196","browser")</x:f>
      </x:c>
      <x:c r="L7151" s="0">
        <x:f>hyperlink("https://icat2.azurewebsites.net/icat/?ontology=ICD&amp;tab=ClassesTab&amp;id=http%3A%2F%2Fwho.int%2Ficd%2343176_512ebf36_bf6b_4d70_85da_cf2637062af4","iCat")</x:f>
      </x:c>
      <x:c r="M7151" s="0" t="s">
        <x:v>21</x:v>
      </x:c>
      <x:c r="N7151" s="0" t="s">
        <x:v>46</x:v>
      </x:c>
    </x:row>
    <x:row r="7152" spans="1:16">
      <x:c r="A7152" s="0" t="s">
        <x:v>28469</x:v>
      </x:c>
      <x:c r="B7152" s="0" t="s">
        <x:v>28470</x:v>
      </x:c>
      <x:c r="C7152" s="0" t="s">
        <x:v>28471</x:v>
      </x:c>
      <x:c r="E7152" s="0" t="s">
        <x:v>2475</x:v>
      </x:c>
      <x:c r="F7152" s="0" t="s">
        <x:v>45</x:v>
      </x:c>
      <x:c r="G7152" s="0" t="s">
        <x:v>19</x:v>
      </x:c>
      <x:c r="H7152" s="0" t="s">
        <x:v>20</x:v>
      </x:c>
      <x:c r="I7152" s="0" t="s">
        <x:v>21</x:v>
      </x:c>
      <x:c r="K7152" s="0">
        <x:f>hyperlink("https://icd.who.int/dev11/l-ichi/en#/http%3A%2F%2Fid.who.int%2Ficd%2Fentity%2F801944746","browser")</x:f>
      </x:c>
      <x:c r="L7152" s="0">
        <x:f>hyperlink("https://icat2.azurewebsites.net/icat/?ontology=ICD&amp;tab=ClassesTab&amp;id=http%3A%2F%2Fwho.int%2Ficd%2343183_512ebf36_bf6b_4d70_85da_cf2637062af4","iCat")</x:f>
      </x:c>
      <x:c r="M7152" s="0" t="s">
        <x:v>21</x:v>
      </x:c>
      <x:c r="N7152" s="0" t="s">
        <x:v>46</x:v>
      </x:c>
    </x:row>
    <x:row r="7153" spans="1:16">
      <x:c r="A7153" s="0" t="s">
        <x:v>28472</x:v>
      </x:c>
      <x:c r="B7153" s="0" t="s">
        <x:v>28473</x:v>
      </x:c>
      <x:c r="C7153" s="0" t="s">
        <x:v>28474</x:v>
      </x:c>
      <x:c r="E7153" s="0" t="s">
        <x:v>28475</x:v>
      </x:c>
      <x:c r="F7153" s="0" t="s">
        <x:v>45</x:v>
      </x:c>
      <x:c r="G7153" s="0" t="s">
        <x:v>19</x:v>
      </x:c>
      <x:c r="H7153" s="0" t="s">
        <x:v>20</x:v>
      </x:c>
      <x:c r="I7153" s="0" t="s">
        <x:v>21</x:v>
      </x:c>
      <x:c r="K7153" s="0">
        <x:f>hyperlink("https://icd.who.int/dev11/l-ichi/en#/http%3A%2F%2Fid.who.int%2Ficd%2Fentity%2F544554040","browser")</x:f>
      </x:c>
      <x:c r="L7153" s="0">
        <x:f>hyperlink("https://icat2.azurewebsites.net/icat/?ontology=ICD&amp;tab=ClassesTab&amp;id=http%3A%2F%2Fwho.int%2Ficd%2343191_512ebf36_bf6b_4d70_85da_cf2637062af4","iCat")</x:f>
      </x:c>
      <x:c r="M7153" s="0" t="s">
        <x:v>21</x:v>
      </x:c>
      <x:c r="N7153" s="0" t="s">
        <x:v>46</x:v>
      </x:c>
    </x:row>
    <x:row r="7154" spans="1:16">
      <x:c r="A7154" s="0" t="s">
        <x:v>28476</x:v>
      </x:c>
      <x:c r="B7154" s="0" t="s">
        <x:v>28477</x:v>
      </x:c>
      <x:c r="C7154" s="0" t="s">
        <x:v>28478</x:v>
      </x:c>
      <x:c r="E7154" s="0" t="s">
        <x:v>28479</x:v>
      </x:c>
      <x:c r="F7154" s="0" t="s">
        <x:v>45</x:v>
      </x:c>
      <x:c r="G7154" s="0" t="s">
        <x:v>19</x:v>
      </x:c>
      <x:c r="H7154" s="0" t="s">
        <x:v>20</x:v>
      </x:c>
      <x:c r="I7154" s="0" t="s">
        <x:v>21</x:v>
      </x:c>
      <x:c r="K7154" s="0">
        <x:f>hyperlink("https://icd.who.int/dev11/l-ichi/en#/http%3A%2F%2Fid.who.int%2Ficd%2Fentity%2F338114256","browser")</x:f>
      </x:c>
      <x:c r="L7154" s="0">
        <x:f>hyperlink("https://icat2.azurewebsites.net/icat/?ontology=ICD&amp;tab=ClassesTab&amp;id=http%3A%2F%2Fwho.int%2Ficd%2343200_512ebf36_bf6b_4d70_85da_cf2637062af4","iCat")</x:f>
      </x:c>
      <x:c r="M7154" s="0" t="s">
        <x:v>21</x:v>
      </x:c>
      <x:c r="N7154" s="0" t="s">
        <x:v>46</x:v>
      </x:c>
    </x:row>
    <x:row r="7155" spans="1:16">
      <x:c r="A7155" s="0" t="s">
        <x:v>28480</x:v>
      </x:c>
      <x:c r="B7155" s="0" t="s">
        <x:v>28481</x:v>
      </x:c>
      <x:c r="C7155" s="0" t="s">
        <x:v>28482</x:v>
      </x:c>
      <x:c r="E7155" s="0" t="s">
        <x:v>28483</x:v>
      </x:c>
      <x:c r="F7155" s="0" t="s">
        <x:v>45</x:v>
      </x:c>
      <x:c r="G7155" s="0" t="s">
        <x:v>19</x:v>
      </x:c>
      <x:c r="H7155" s="0" t="s">
        <x:v>20</x:v>
      </x:c>
      <x:c r="I7155" s="0" t="s">
        <x:v>21</x:v>
      </x:c>
      <x:c r="K7155" s="0">
        <x:f>hyperlink("https://icd.who.int/dev11/l-ichi/en#/http%3A%2F%2Fid.who.int%2Ficd%2Fentity%2F1688575299","browser")</x:f>
      </x:c>
      <x:c r="L7155" s="0">
        <x:f>hyperlink("https://icat2.azurewebsites.net/icat/?ontology=ICD&amp;tab=ClassesTab&amp;id=http%3A%2F%2Fwho.int%2Ficd%2343207_512ebf36_bf6b_4d70_85da_cf2637062af4","iCat")</x:f>
      </x:c>
      <x:c r="M7155" s="0" t="s">
        <x:v>21</x:v>
      </x:c>
      <x:c r="N7155" s="0" t="s">
        <x:v>46</x:v>
      </x:c>
    </x:row>
    <x:row r="7156" spans="1:16">
      <x:c r="A7156" s="0" t="s">
        <x:v>28484</x:v>
      </x:c>
      <x:c r="B7156" s="0" t="s">
        <x:v>28485</x:v>
      </x:c>
      <x:c r="C7156" s="0" t="s">
        <x:v>28486</x:v>
      </x:c>
      <x:c r="E7156" s="0" t="s">
        <x:v>28487</x:v>
      </x:c>
      <x:c r="F7156" s="0" t="s">
        <x:v>45</x:v>
      </x:c>
      <x:c r="G7156" s="0" t="s">
        <x:v>19</x:v>
      </x:c>
      <x:c r="H7156" s="0" t="s">
        <x:v>20</x:v>
      </x:c>
      <x:c r="I7156" s="0" t="s">
        <x:v>21</x:v>
      </x:c>
      <x:c r="K7156" s="0">
        <x:f>hyperlink("https://icd.who.int/dev11/l-ichi/en#/http%3A%2F%2Fid.who.int%2Ficd%2Fentity%2F1273325549","browser")</x:f>
      </x:c>
      <x:c r="L7156" s="0">
        <x:f>hyperlink("https://icat2.azurewebsites.net/icat/?ontology=ICD&amp;tab=ClassesTab&amp;id=http%3A%2F%2Fwho.int%2Ficd%2343214_512ebf36_bf6b_4d70_85da_cf2637062af4","iCat")</x:f>
      </x:c>
      <x:c r="M7156" s="0" t="s">
        <x:v>21</x:v>
      </x:c>
      <x:c r="N7156" s="0" t="s">
        <x:v>46</x:v>
      </x:c>
    </x:row>
    <x:row r="7157" spans="1:16">
      <x:c r="A7157" s="0" t="s">
        <x:v>28488</x:v>
      </x:c>
      <x:c r="B7157" s="0" t="s">
        <x:v>28489</x:v>
      </x:c>
      <x:c r="C7157" s="0" t="s">
        <x:v>28490</x:v>
      </x:c>
      <x:c r="E7157" s="0" t="s">
        <x:v>28491</x:v>
      </x:c>
      <x:c r="F7157" s="0" t="s">
        <x:v>45</x:v>
      </x:c>
      <x:c r="G7157" s="0" t="s">
        <x:v>19</x:v>
      </x:c>
      <x:c r="H7157" s="0" t="s">
        <x:v>20</x:v>
      </x:c>
      <x:c r="I7157" s="0" t="s">
        <x:v>21</x:v>
      </x:c>
      <x:c r="K7157" s="0">
        <x:f>hyperlink("https://icd.who.int/dev11/l-ichi/en#/http%3A%2F%2Fid.who.int%2Ficd%2Fentity%2F514494884","browser")</x:f>
      </x:c>
      <x:c r="L7157" s="0">
        <x:f>hyperlink("https://icat2.azurewebsites.net/icat/?ontology=ICD&amp;tab=ClassesTab&amp;id=http%3A%2F%2Fwho.int%2Ficd%2343221_512ebf36_bf6b_4d70_85da_cf2637062af4","iCat")</x:f>
      </x:c>
      <x:c r="M7157" s="0" t="s">
        <x:v>21</x:v>
      </x:c>
      <x:c r="N7157" s="0" t="s">
        <x:v>46</x:v>
      </x:c>
    </x:row>
    <x:row r="7158" spans="1:16">
      <x:c r="A7158" s="0" t="s">
        <x:v>28492</x:v>
      </x:c>
      <x:c r="B7158" s="0" t="s">
        <x:v>28493</x:v>
      </x:c>
      <x:c r="C7158" s="0" t="s">
        <x:v>28494</x:v>
      </x:c>
      <x:c r="E7158" s="0" t="s">
        <x:v>28495</x:v>
      </x:c>
      <x:c r="F7158" s="0" t="s">
        <x:v>45</x:v>
      </x:c>
      <x:c r="G7158" s="0" t="s">
        <x:v>19</x:v>
      </x:c>
      <x:c r="H7158" s="0" t="s">
        <x:v>20</x:v>
      </x:c>
      <x:c r="I7158" s="0" t="s">
        <x:v>21</x:v>
      </x:c>
      <x:c r="K7158" s="0">
        <x:f>hyperlink("https://icd.who.int/dev11/l-ichi/en#/http%3A%2F%2Fid.who.int%2Ficd%2Fentity%2F1892848331","browser")</x:f>
      </x:c>
      <x:c r="L7158" s="0">
        <x:f>hyperlink("https://icat2.azurewebsites.net/icat/?ontology=ICD&amp;tab=ClassesTab&amp;id=http%3A%2F%2Fwho.int%2Ficd%2343228_512ebf36_bf6b_4d70_85da_cf2637062af4","iCat")</x:f>
      </x:c>
      <x:c r="M7158" s="0" t="s">
        <x:v>21</x:v>
      </x:c>
      <x:c r="N7158" s="0" t="s">
        <x:v>46</x:v>
      </x:c>
    </x:row>
    <x:row r="7159" spans="1:16">
      <x:c r="A7159" s="0" t="s">
        <x:v>28496</x:v>
      </x:c>
      <x:c r="B7159" s="0" t="s">
        <x:v>28497</x:v>
      </x:c>
      <x:c r="C7159" s="0" t="s">
        <x:v>28498</x:v>
      </x:c>
      <x:c r="E7159" s="0" t="s">
        <x:v>28499</x:v>
      </x:c>
      <x:c r="F7159" s="0" t="s">
        <x:v>45</x:v>
      </x:c>
      <x:c r="G7159" s="0" t="s">
        <x:v>19</x:v>
      </x:c>
      <x:c r="H7159" s="0" t="s">
        <x:v>20</x:v>
      </x:c>
      <x:c r="I7159" s="0" t="s">
        <x:v>21</x:v>
      </x:c>
      <x:c r="K7159" s="0">
        <x:f>hyperlink("https://icd.who.int/dev11/l-ichi/en#/http%3A%2F%2Fid.who.int%2Ficd%2Fentity%2F1097384065","browser")</x:f>
      </x:c>
      <x:c r="L7159" s="0">
        <x:f>hyperlink("https://icat2.azurewebsites.net/icat/?ontology=ICD&amp;tab=ClassesTab&amp;id=http%3A%2F%2Fwho.int%2Ficd%2343235_512ebf36_bf6b_4d70_85da_cf2637062af4","iCat")</x:f>
      </x:c>
      <x:c r="M7159" s="0" t="s">
        <x:v>21</x:v>
      </x:c>
      <x:c r="N7159" s="0" t="s">
        <x:v>46</x:v>
      </x:c>
    </x:row>
    <x:row r="7160" spans="1:16">
      <x:c r="A7160" s="0" t="s">
        <x:v>28500</x:v>
      </x:c>
      <x:c r="B7160" s="0" t="s">
        <x:v>28501</x:v>
      </x:c>
      <x:c r="C7160" s="0" t="s">
        <x:v>28502</x:v>
      </x:c>
      <x:c r="E7160" s="0" t="s">
        <x:v>28503</x:v>
      </x:c>
      <x:c r="F7160" s="0" t="s">
        <x:v>45</x:v>
      </x:c>
      <x:c r="G7160" s="0" t="s">
        <x:v>19</x:v>
      </x:c>
      <x:c r="H7160" s="0" t="s">
        <x:v>20</x:v>
      </x:c>
      <x:c r="I7160" s="0" t="s">
        <x:v>21</x:v>
      </x:c>
      <x:c r="K7160" s="0">
        <x:f>hyperlink("https://icd.who.int/dev11/l-ichi/en#/http%3A%2F%2Fid.who.int%2Ficd%2Fentity%2F20740120","browser")</x:f>
      </x:c>
      <x:c r="L7160" s="0">
        <x:f>hyperlink("https://icat2.azurewebsites.net/icat/?ontology=ICD&amp;tab=ClassesTab&amp;id=http%3A%2F%2Fwho.int%2Ficd%2343242_512ebf36_bf6b_4d70_85da_cf2637062af4","iCat")</x:f>
      </x:c>
      <x:c r="M7160" s="0" t="s">
        <x:v>21</x:v>
      </x:c>
      <x:c r="N7160" s="0" t="s">
        <x:v>46</x:v>
      </x:c>
    </x:row>
    <x:row r="7161" spans="1:16">
      <x:c r="A7161" s="0" t="s">
        <x:v>28504</x:v>
      </x:c>
      <x:c r="B7161" s="0" t="s">
        <x:v>28505</x:v>
      </x:c>
      <x:c r="C7161" s="0" t="s">
        <x:v>28506</x:v>
      </x:c>
      <x:c r="E7161" s="0" t="s">
        <x:v>28507</x:v>
      </x:c>
      <x:c r="F7161" s="0" t="s">
        <x:v>45</x:v>
      </x:c>
      <x:c r="G7161" s="0" t="s">
        <x:v>19</x:v>
      </x:c>
      <x:c r="H7161" s="0" t="s">
        <x:v>20</x:v>
      </x:c>
      <x:c r="I7161" s="0" t="s">
        <x:v>21</x:v>
      </x:c>
      <x:c r="K7161" s="0">
        <x:f>hyperlink("https://icd.who.int/dev11/l-ichi/en#/http%3A%2F%2Fid.who.int%2Ficd%2Fentity%2F171468474","browser")</x:f>
      </x:c>
      <x:c r="L7161" s="0">
        <x:f>hyperlink("https://icat2.azurewebsites.net/icat/?ontology=ICD&amp;tab=ClassesTab&amp;id=http%3A%2F%2Fwho.int%2Ficd%2343249_512ebf36_bf6b_4d70_85da_cf2637062af4","iCat")</x:f>
      </x:c>
      <x:c r="M7161" s="0" t="s">
        <x:v>21</x:v>
      </x:c>
      <x:c r="N7161" s="0" t="s">
        <x:v>46</x:v>
      </x:c>
    </x:row>
    <x:row r="7162" spans="1:16">
      <x:c r="A7162" s="0" t="s">
        <x:v>28508</x:v>
      </x:c>
      <x:c r="B7162" s="0" t="s">
        <x:v>28509</x:v>
      </x:c>
      <x:c r="C7162" s="0" t="s">
        <x:v>28510</x:v>
      </x:c>
      <x:c r="E7162" s="0" t="s">
        <x:v>28511</x:v>
      </x:c>
      <x:c r="F7162" s="0" t="s">
        <x:v>45</x:v>
      </x:c>
      <x:c r="G7162" s="0" t="s">
        <x:v>19</x:v>
      </x:c>
      <x:c r="H7162" s="0" t="s">
        <x:v>20</x:v>
      </x:c>
      <x:c r="I7162" s="0" t="s">
        <x:v>21</x:v>
      </x:c>
      <x:c r="K7162" s="0">
        <x:f>hyperlink("https://icd.who.int/dev11/l-ichi/en#/http%3A%2F%2Fid.who.int%2Ficd%2Fentity%2F1593714997","browser")</x:f>
      </x:c>
      <x:c r="L7162" s="0">
        <x:f>hyperlink("https://icat2.azurewebsites.net/icat/?ontology=ICD&amp;tab=ClassesTab&amp;id=http%3A%2F%2Fwho.int%2Ficd%2343256_512ebf36_bf6b_4d70_85da_cf2637062af4","iCat")</x:f>
      </x:c>
      <x:c r="M7162" s="0" t="s">
        <x:v>21</x:v>
      </x:c>
      <x:c r="N7162" s="0" t="s">
        <x:v>46</x:v>
      </x:c>
    </x:row>
    <x:row r="7163" spans="1:16">
      <x:c r="A7163" s="0" t="s">
        <x:v>28512</x:v>
      </x:c>
      <x:c r="B7163" s="0" t="s">
        <x:v>28513</x:v>
      </x:c>
      <x:c r="C7163" s="0" t="s">
        <x:v>28514</x:v>
      </x:c>
      <x:c r="E7163" s="0" t="s">
        <x:v>28515</x:v>
      </x:c>
      <x:c r="F7163" s="0" t="s">
        <x:v>45</x:v>
      </x:c>
      <x:c r="G7163" s="0" t="s">
        <x:v>19</x:v>
      </x:c>
      <x:c r="H7163" s="0" t="s">
        <x:v>20</x:v>
      </x:c>
      <x:c r="I7163" s="0" t="s">
        <x:v>21</x:v>
      </x:c>
      <x:c r="K7163" s="0">
        <x:f>hyperlink("https://icd.who.int/dev11/l-ichi/en#/http%3A%2F%2Fid.who.int%2Ficd%2Fentity%2F2066969847","browser")</x:f>
      </x:c>
      <x:c r="L7163" s="0">
        <x:f>hyperlink("https://icat2.azurewebsites.net/icat/?ontology=ICD&amp;tab=ClassesTab&amp;id=http%3A%2F%2Fwho.int%2Ficd%2343264_512ebf36_bf6b_4d70_85da_cf2637062af4","iCat")</x:f>
      </x:c>
      <x:c r="M7163" s="0" t="s">
        <x:v>21</x:v>
      </x:c>
      <x:c r="N7163" s="0" t="s">
        <x:v>46</x:v>
      </x:c>
    </x:row>
    <x:row r="7164" spans="1:16">
      <x:c r="A7164" s="0" t="s">
        <x:v>28516</x:v>
      </x:c>
      <x:c r="B7164" s="0" t="s">
        <x:v>28517</x:v>
      </x:c>
      <x:c r="C7164" s="0" t="s">
        <x:v>28518</x:v>
      </x:c>
      <x:c r="E7164" s="0" t="s">
        <x:v>28519</x:v>
      </x:c>
      <x:c r="F7164" s="0" t="s">
        <x:v>45</x:v>
      </x:c>
      <x:c r="G7164" s="0" t="s">
        <x:v>19</x:v>
      </x:c>
      <x:c r="H7164" s="0" t="s">
        <x:v>20</x:v>
      </x:c>
      <x:c r="I7164" s="0" t="s">
        <x:v>21</x:v>
      </x:c>
      <x:c r="K7164" s="0">
        <x:f>hyperlink("https://icd.who.int/dev11/l-ichi/en#/http%3A%2F%2Fid.who.int%2Ficd%2Fentity%2F67655658","browser")</x:f>
      </x:c>
      <x:c r="L7164" s="0">
        <x:f>hyperlink("https://icat2.azurewebsites.net/icat/?ontology=ICD&amp;tab=ClassesTab&amp;id=http%3A%2F%2Fwho.int%2Ficd%2343271_512ebf36_bf6b_4d70_85da_cf2637062af4","iCat")</x:f>
      </x:c>
      <x:c r="M7164" s="0" t="s">
        <x:v>21</x:v>
      </x:c>
      <x:c r="N7164" s="0" t="s">
        <x:v>46</x:v>
      </x:c>
    </x:row>
    <x:row r="7165" spans="1:16">
      <x:c r="A7165" s="0" t="s">
        <x:v>28520</x:v>
      </x:c>
      <x:c r="B7165" s="0" t="s">
        <x:v>28521</x:v>
      </x:c>
      <x:c r="D7165" s="0" t="s">
        <x:v>28522</x:v>
      </x:c>
      <x:c r="E7165" s="0" t="s">
        <x:v>28523</x:v>
      </x:c>
      <x:c r="F7165" s="0" t="s">
        <x:v>26</x:v>
      </x:c>
      <x:c r="G7165" s="0" t="s">
        <x:v>22</x:v>
      </x:c>
      <x:c r="H7165" s="0" t="s">
        <x:v>20</x:v>
      </x:c>
      <x:c r="I7165" s="0" t="s">
        <x:v>21</x:v>
      </x:c>
      <x:c r="K7165" s="0">
        <x:f>hyperlink("https://icd.who.int/dev11/l-ichi/en#/http%3A%2F%2Fid.who.int%2Ficd%2Fentity%2F1250502333","browser")</x:f>
      </x:c>
      <x:c r="L7165" s="0">
        <x:f>hyperlink("https://icat2.azurewebsites.net/icat/?ontology=ICD&amp;tab=ClassesTab&amp;id=http%3A%2F%2Fwho.int%2Ficd%2343279_512ebf36_bf6b_4d70_85da_cf2637062af4","iCat")</x:f>
      </x:c>
      <x:c r="M7165" s="0" t="s">
        <x:v>20</x:v>
      </x:c>
      <x:c r="N7165" s="0" t="s">
        <x:v>6718</x:v>
      </x:c>
    </x:row>
    <x:row r="7166" spans="1:16">
      <x:c r="A7166" s="0" t="s">
        <x:v>28524</x:v>
      </x:c>
      <x:c r="B7166" s="0" t="s">
        <x:v>28525</x:v>
      </x:c>
      <x:c r="C7166" s="0" t="s">
        <x:v>28526</x:v>
      </x:c>
      <x:c r="E7166" s="0" t="s">
        <x:v>28527</x:v>
      </x:c>
      <x:c r="F7166" s="0" t="s">
        <x:v>45</x:v>
      </x:c>
      <x:c r="G7166" s="0" t="s">
        <x:v>19</x:v>
      </x:c>
      <x:c r="H7166" s="0" t="s">
        <x:v>20</x:v>
      </x:c>
      <x:c r="I7166" s="0" t="s">
        <x:v>21</x:v>
      </x:c>
      <x:c r="K7166" s="0">
        <x:f>hyperlink("https://icd.who.int/dev11/l-ichi/en#/http%3A%2F%2Fid.who.int%2Ficd%2Fentity%2F1785746561","browser")</x:f>
      </x:c>
      <x:c r="L7166" s="0">
        <x:f>hyperlink("https://icat2.azurewebsites.net/icat/?ontology=ICD&amp;tab=ClassesTab&amp;id=http%3A%2F%2Fwho.int%2Ficd%2343278_512ebf36_bf6b_4d70_85da_cf2637062af4","iCat")</x:f>
      </x:c>
      <x:c r="M7166" s="0" t="s">
        <x:v>21</x:v>
      </x:c>
      <x:c r="N7166" s="0" t="s">
        <x:v>46</x:v>
      </x:c>
    </x:row>
    <x:row r="7167" spans="1:16">
      <x:c r="A7167" s="0" t="s">
        <x:v>28528</x:v>
      </x:c>
      <x:c r="B7167" s="0" t="s">
        <x:v>28529</x:v>
      </x:c>
      <x:c r="C7167" s="0" t="s">
        <x:v>28530</x:v>
      </x:c>
      <x:c r="E7167" s="0" t="s">
        <x:v>28531</x:v>
      </x:c>
      <x:c r="F7167" s="0" t="s">
        <x:v>45</x:v>
      </x:c>
      <x:c r="G7167" s="0" t="s">
        <x:v>19</x:v>
      </x:c>
      <x:c r="H7167" s="0" t="s">
        <x:v>20</x:v>
      </x:c>
      <x:c r="I7167" s="0" t="s">
        <x:v>21</x:v>
      </x:c>
      <x:c r="K7167" s="0">
        <x:f>hyperlink("https://icd.who.int/dev11/l-ichi/en#/http%3A%2F%2Fid.who.int%2Ficd%2Fentity%2F290542032","browser")</x:f>
      </x:c>
      <x:c r="L7167" s="0">
        <x:f>hyperlink("https://icat2.azurewebsites.net/icat/?ontology=ICD&amp;tab=ClassesTab&amp;id=http%3A%2F%2Fwho.int%2Ficd%2343297_512ebf36_bf6b_4d70_85da_cf2637062af4","iCat")</x:f>
      </x:c>
      <x:c r="M7167" s="0" t="s">
        <x:v>21</x:v>
      </x:c>
      <x:c r="N7167" s="0" t="s">
        <x:v>46</x:v>
      </x:c>
    </x:row>
    <x:row r="7168" spans="1:16">
      <x:c r="A7168" s="0" t="s">
        <x:v>28532</x:v>
      </x:c>
      <x:c r="B7168" s="0" t="s">
        <x:v>28533</x:v>
      </x:c>
      <x:c r="C7168" s="0" t="s">
        <x:v>28534</x:v>
      </x:c>
      <x:c r="E7168" s="0" t="s">
        <x:v>28535</x:v>
      </x:c>
      <x:c r="F7168" s="0" t="s">
        <x:v>45</x:v>
      </x:c>
      <x:c r="G7168" s="0" t="s">
        <x:v>19</x:v>
      </x:c>
      <x:c r="H7168" s="0" t="s">
        <x:v>20</x:v>
      </x:c>
      <x:c r="I7168" s="0" t="s">
        <x:v>21</x:v>
      </x:c>
      <x:c r="K7168" s="0">
        <x:f>hyperlink("https://icd.who.int/dev11/l-ichi/en#/http%3A%2F%2Fid.who.int%2Ficd%2Fentity%2F1421816871","browser")</x:f>
      </x:c>
      <x:c r="L7168" s="0">
        <x:f>hyperlink("https://icat2.azurewebsites.net/icat/?ontology=ICD&amp;tab=ClassesTab&amp;id=http%3A%2F%2Fwho.int%2Ficd%2343304_512ebf36_bf6b_4d70_85da_cf2637062af4","iCat")</x:f>
      </x:c>
      <x:c r="M7168" s="0" t="s">
        <x:v>21</x:v>
      </x:c>
      <x:c r="N7168" s="0" t="s">
        <x:v>46</x:v>
      </x:c>
    </x:row>
    <x:row r="7169" spans="1:16">
      <x:c r="A7169" s="0" t="s">
        <x:v>28536</x:v>
      </x:c>
      <x:c r="B7169" s="0" t="s">
        <x:v>28537</x:v>
      </x:c>
      <x:c r="C7169" s="0" t="s">
        <x:v>28538</x:v>
      </x:c>
      <x:c r="E7169" s="0" t="s">
        <x:v>28539</x:v>
      </x:c>
      <x:c r="F7169" s="0" t="s">
        <x:v>45</x:v>
      </x:c>
      <x:c r="G7169" s="0" t="s">
        <x:v>19</x:v>
      </x:c>
      <x:c r="H7169" s="0" t="s">
        <x:v>20</x:v>
      </x:c>
      <x:c r="I7169" s="0" t="s">
        <x:v>21</x:v>
      </x:c>
      <x:c r="K7169" s="0">
        <x:f>hyperlink("https://icd.who.int/dev11/l-ichi/en#/http%3A%2F%2Fid.who.int%2Ficd%2Fentity%2F730076984","browser")</x:f>
      </x:c>
      <x:c r="L7169" s="0">
        <x:f>hyperlink("https://icat2.azurewebsites.net/icat/?ontology=ICD&amp;tab=ClassesTab&amp;id=http%3A%2F%2Fwho.int%2Ficd%2343311_512ebf36_bf6b_4d70_85da_cf2637062af4","iCat")</x:f>
      </x:c>
      <x:c r="M7169" s="0" t="s">
        <x:v>21</x:v>
      </x:c>
      <x:c r="N7169" s="0" t="s">
        <x:v>46</x:v>
      </x:c>
    </x:row>
    <x:row r="7170" spans="1:16">
      <x:c r="A7170" s="0" t="s">
        <x:v>28540</x:v>
      </x:c>
      <x:c r="B7170" s="0" t="s">
        <x:v>28541</x:v>
      </x:c>
      <x:c r="C7170" s="0" t="s">
        <x:v>28542</x:v>
      </x:c>
      <x:c r="E7170" s="0" t="s">
        <x:v>28543</x:v>
      </x:c>
      <x:c r="F7170" s="0" t="s">
        <x:v>45</x:v>
      </x:c>
      <x:c r="G7170" s="0" t="s">
        <x:v>19</x:v>
      </x:c>
      <x:c r="H7170" s="0" t="s">
        <x:v>20</x:v>
      </x:c>
      <x:c r="I7170" s="0" t="s">
        <x:v>21</x:v>
      </x:c>
      <x:c r="K7170" s="0">
        <x:f>hyperlink("https://icd.who.int/dev11/l-ichi/en#/http%3A%2F%2Fid.who.int%2Ficd%2Fentity%2F1174148177","browser")</x:f>
      </x:c>
      <x:c r="L7170" s="0">
        <x:f>hyperlink("https://icat2.azurewebsites.net/icat/?ontology=ICD&amp;tab=ClassesTab&amp;id=http%3A%2F%2Fwho.int%2Ficd%2343318_512ebf36_bf6b_4d70_85da_cf2637062af4","iCat")</x:f>
      </x:c>
      <x:c r="M7170" s="0" t="s">
        <x:v>21</x:v>
      </x:c>
      <x:c r="N7170" s="0" t="s">
        <x:v>46</x:v>
      </x:c>
    </x:row>
    <x:row r="7171" spans="1:16">
      <x:c r="A7171" s="0" t="s">
        <x:v>28544</x:v>
      </x:c>
      <x:c r="B7171" s="0" t="s">
        <x:v>28545</x:v>
      </x:c>
      <x:c r="C7171" s="0" t="s">
        <x:v>28546</x:v>
      </x:c>
      <x:c r="E7171" s="0" t="s">
        <x:v>28547</x:v>
      </x:c>
      <x:c r="F7171" s="0" t="s">
        <x:v>45</x:v>
      </x:c>
      <x:c r="G7171" s="0" t="s">
        <x:v>19</x:v>
      </x:c>
      <x:c r="H7171" s="0" t="s">
        <x:v>20</x:v>
      </x:c>
      <x:c r="I7171" s="0" t="s">
        <x:v>21</x:v>
      </x:c>
      <x:c r="K7171" s="0">
        <x:f>hyperlink("https://icd.who.int/dev11/l-ichi/en#/http%3A%2F%2Fid.who.int%2Ficd%2Fentity%2F1580372811","browser")</x:f>
      </x:c>
      <x:c r="L7171" s="0">
        <x:f>hyperlink("https://icat2.azurewebsites.net/icat/?ontology=ICD&amp;tab=ClassesTab&amp;id=http%3A%2F%2Fwho.int%2Ficd%2343325_512ebf36_bf6b_4d70_85da_cf2637062af4","iCat")</x:f>
      </x:c>
      <x:c r="M7171" s="0" t="s">
        <x:v>21</x:v>
      </x:c>
      <x:c r="N7171" s="0" t="s">
        <x:v>46</x:v>
      </x:c>
    </x:row>
    <x:row r="7172" spans="1:16">
      <x:c r="A7172" s="0" t="s">
        <x:v>28548</x:v>
      </x:c>
      <x:c r="B7172" s="0" t="s">
        <x:v>28549</x:v>
      </x:c>
      <x:c r="C7172" s="0" t="s">
        <x:v>28550</x:v>
      </x:c>
      <x:c r="E7172" s="0" t="s">
        <x:v>28551</x:v>
      </x:c>
      <x:c r="F7172" s="0" t="s">
        <x:v>45</x:v>
      </x:c>
      <x:c r="G7172" s="0" t="s">
        <x:v>19</x:v>
      </x:c>
      <x:c r="H7172" s="0" t="s">
        <x:v>20</x:v>
      </x:c>
      <x:c r="I7172" s="0" t="s">
        <x:v>21</x:v>
      </x:c>
      <x:c r="K7172" s="0">
        <x:f>hyperlink("https://icd.who.int/dev11/l-ichi/en#/http%3A%2F%2Fid.who.int%2Ficd%2Fentity%2F1148562833","browser")</x:f>
      </x:c>
      <x:c r="L7172" s="0">
        <x:f>hyperlink("https://icat2.azurewebsites.net/icat/?ontology=ICD&amp;tab=ClassesTab&amp;id=http%3A%2F%2Fwho.int%2Ficd%2343332_512ebf36_bf6b_4d70_85da_cf2637062af4","iCat")</x:f>
      </x:c>
      <x:c r="M7172" s="0" t="s">
        <x:v>21</x:v>
      </x:c>
      <x:c r="N7172" s="0" t="s">
        <x:v>46</x:v>
      </x:c>
    </x:row>
    <x:row r="7173" spans="1:16">
      <x:c r="A7173" s="0" t="s">
        <x:v>28552</x:v>
      </x:c>
      <x:c r="B7173" s="0" t="s">
        <x:v>28553</x:v>
      </x:c>
      <x:c r="C7173" s="0" t="s">
        <x:v>28554</x:v>
      </x:c>
      <x:c r="E7173" s="0" t="s">
        <x:v>28555</x:v>
      </x:c>
      <x:c r="F7173" s="0" t="s">
        <x:v>45</x:v>
      </x:c>
      <x:c r="G7173" s="0" t="s">
        <x:v>19</x:v>
      </x:c>
      <x:c r="H7173" s="0" t="s">
        <x:v>20</x:v>
      </x:c>
      <x:c r="I7173" s="0" t="s">
        <x:v>21</x:v>
      </x:c>
      <x:c r="K7173" s="0">
        <x:f>hyperlink("https://icd.who.int/dev11/l-ichi/en#/http%3A%2F%2Fid.who.int%2Ficd%2Fentity%2F1332851517","browser")</x:f>
      </x:c>
      <x:c r="L7173" s="0">
        <x:f>hyperlink("https://icat2.azurewebsites.net/icat/?ontology=ICD&amp;tab=ClassesTab&amp;id=http%3A%2F%2Fwho.int%2Ficd%2343339_512ebf36_bf6b_4d70_85da_cf2637062af4","iCat")</x:f>
      </x:c>
      <x:c r="M7173" s="0" t="s">
        <x:v>21</x:v>
      </x:c>
      <x:c r="N7173" s="0" t="s">
        <x:v>46</x:v>
      </x:c>
    </x:row>
    <x:row r="7174" spans="1:16">
      <x:c r="A7174" s="0" t="s">
        <x:v>28556</x:v>
      </x:c>
      <x:c r="B7174" s="0" t="s">
        <x:v>28557</x:v>
      </x:c>
      <x:c r="C7174" s="0" t="s">
        <x:v>28558</x:v>
      </x:c>
      <x:c r="E7174" s="0" t="s">
        <x:v>28559</x:v>
      </x:c>
      <x:c r="F7174" s="0" t="s">
        <x:v>45</x:v>
      </x:c>
      <x:c r="G7174" s="0" t="s">
        <x:v>19</x:v>
      </x:c>
      <x:c r="H7174" s="0" t="s">
        <x:v>20</x:v>
      </x:c>
      <x:c r="I7174" s="0" t="s">
        <x:v>21</x:v>
      </x:c>
      <x:c r="K7174" s="0">
        <x:f>hyperlink("https://icd.who.int/dev11/l-ichi/en#/http%3A%2F%2Fid.who.int%2Ficd%2Fentity%2F1101298431","browser")</x:f>
      </x:c>
      <x:c r="L7174" s="0">
        <x:f>hyperlink("https://icat2.azurewebsites.net/icat/?ontology=ICD&amp;tab=ClassesTab&amp;id=http%3A%2F%2Fwho.int%2Ficd%2343346_512ebf36_bf6b_4d70_85da_cf2637062af4","iCat")</x:f>
      </x:c>
      <x:c r="M7174" s="0" t="s">
        <x:v>21</x:v>
      </x:c>
      <x:c r="N7174" s="0" t="s">
        <x:v>46</x:v>
      </x:c>
    </x:row>
    <x:row r="7175" spans="1:16">
      <x:c r="A7175" s="0" t="s">
        <x:v>28560</x:v>
      </x:c>
      <x:c r="B7175" s="0" t="s">
        <x:v>28561</x:v>
      </x:c>
      <x:c r="C7175" s="0" t="s">
        <x:v>28562</x:v>
      </x:c>
      <x:c r="E7175" s="0" t="s">
        <x:v>28563</x:v>
      </x:c>
      <x:c r="F7175" s="0" t="s">
        <x:v>45</x:v>
      </x:c>
      <x:c r="G7175" s="0" t="s">
        <x:v>19</x:v>
      </x:c>
      <x:c r="H7175" s="0" t="s">
        <x:v>20</x:v>
      </x:c>
      <x:c r="I7175" s="0" t="s">
        <x:v>21</x:v>
      </x:c>
      <x:c r="K7175" s="0">
        <x:f>hyperlink("https://icd.who.int/dev11/l-ichi/en#/http%3A%2F%2Fid.who.int%2Ficd%2Fentity%2F1050630624","browser")</x:f>
      </x:c>
      <x:c r="L7175" s="0">
        <x:f>hyperlink("https://icat2.azurewebsites.net/icat/?ontology=ICD&amp;tab=ClassesTab&amp;id=http%3A%2F%2Fwho.int%2Ficd%2343353_512ebf36_bf6b_4d70_85da_cf2637062af4","iCat")</x:f>
      </x:c>
      <x:c r="M7175" s="0" t="s">
        <x:v>21</x:v>
      </x:c>
      <x:c r="N7175" s="0" t="s">
        <x:v>46</x:v>
      </x:c>
    </x:row>
    <x:row r="7176" spans="1:16">
      <x:c r="A7176" s="0" t="s">
        <x:v>28564</x:v>
      </x:c>
      <x:c r="B7176" s="0" t="s">
        <x:v>28565</x:v>
      </x:c>
      <x:c r="C7176" s="0" t="s">
        <x:v>28566</x:v>
      </x:c>
      <x:c r="E7176" s="0" t="s">
        <x:v>28567</x:v>
      </x:c>
      <x:c r="F7176" s="0" t="s">
        <x:v>45</x:v>
      </x:c>
      <x:c r="G7176" s="0" t="s">
        <x:v>19</x:v>
      </x:c>
      <x:c r="H7176" s="0" t="s">
        <x:v>20</x:v>
      </x:c>
      <x:c r="I7176" s="0" t="s">
        <x:v>21</x:v>
      </x:c>
      <x:c r="K7176" s="0">
        <x:f>hyperlink("https://icd.who.int/dev11/l-ichi/en#/http%3A%2F%2Fid.who.int%2Ficd%2Fentity%2F1001092638","browser")</x:f>
      </x:c>
      <x:c r="L7176" s="0">
        <x:f>hyperlink("https://icat2.azurewebsites.net/icat/?ontology=ICD&amp;tab=ClassesTab&amp;id=http%3A%2F%2Fwho.int%2Ficd%2343360_512ebf36_bf6b_4d70_85da_cf2637062af4","iCat")</x:f>
      </x:c>
      <x:c r="M7176" s="0" t="s">
        <x:v>21</x:v>
      </x:c>
      <x:c r="N7176" s="0" t="s">
        <x:v>46</x:v>
      </x:c>
    </x:row>
    <x:row r="7177" spans="1:16">
      <x:c r="A7177" s="0" t="s">
        <x:v>28568</x:v>
      </x:c>
      <x:c r="B7177" s="0" t="s">
        <x:v>28569</x:v>
      </x:c>
      <x:c r="C7177" s="0" t="s">
        <x:v>28570</x:v>
      </x:c>
      <x:c r="E7177" s="0" t="s">
        <x:v>28571</x:v>
      </x:c>
      <x:c r="F7177" s="0" t="s">
        <x:v>45</x:v>
      </x:c>
      <x:c r="G7177" s="0" t="s">
        <x:v>19</x:v>
      </x:c>
      <x:c r="H7177" s="0" t="s">
        <x:v>20</x:v>
      </x:c>
      <x:c r="I7177" s="0" t="s">
        <x:v>21</x:v>
      </x:c>
      <x:c r="K7177" s="0">
        <x:f>hyperlink("https://icd.who.int/dev11/l-ichi/en#/http%3A%2F%2Fid.who.int%2Ficd%2Fentity%2F1261034899","browser")</x:f>
      </x:c>
      <x:c r="L7177" s="0">
        <x:f>hyperlink("https://icat2.azurewebsites.net/icat/?ontology=ICD&amp;tab=ClassesTab&amp;id=http%3A%2F%2Fwho.int%2Ficd%2343367_512ebf36_bf6b_4d70_85da_cf2637062af4","iCat")</x:f>
      </x:c>
      <x:c r="M7177" s="0" t="s">
        <x:v>21</x:v>
      </x:c>
      <x:c r="N7177" s="0" t="s">
        <x:v>46</x:v>
      </x:c>
    </x:row>
    <x:row r="7178" spans="1:16">
      <x:c r="A7178" s="0" t="s">
        <x:v>28572</x:v>
      </x:c>
      <x:c r="B7178" s="0" t="s">
        <x:v>28573</x:v>
      </x:c>
      <x:c r="C7178" s="0" t="s">
        <x:v>28574</x:v>
      </x:c>
      <x:c r="E7178" s="0" t="s">
        <x:v>28575</x:v>
      </x:c>
      <x:c r="F7178" s="0" t="s">
        <x:v>45</x:v>
      </x:c>
      <x:c r="G7178" s="0" t="s">
        <x:v>19</x:v>
      </x:c>
      <x:c r="H7178" s="0" t="s">
        <x:v>20</x:v>
      </x:c>
      <x:c r="I7178" s="0" t="s">
        <x:v>21</x:v>
      </x:c>
      <x:c r="K7178" s="0">
        <x:f>hyperlink("https://icd.who.int/dev11/l-ichi/en#/http%3A%2F%2Fid.who.int%2Ficd%2Fentity%2F1684612925","browser")</x:f>
      </x:c>
      <x:c r="L7178" s="0">
        <x:f>hyperlink("https://icat2.azurewebsites.net/icat/?ontology=ICD&amp;tab=ClassesTab&amp;id=http%3A%2F%2Fwho.int%2Ficd%2343374_512ebf36_bf6b_4d70_85da_cf2637062af4","iCat")</x:f>
      </x:c>
      <x:c r="M7178" s="0" t="s">
        <x:v>21</x:v>
      </x:c>
      <x:c r="N7178" s="0" t="s">
        <x:v>46</x:v>
      </x:c>
    </x:row>
    <x:row r="7179" spans="1:16">
      <x:c r="A7179" s="0" t="s">
        <x:v>28576</x:v>
      </x:c>
      <x:c r="B7179" s="0" t="s">
        <x:v>28577</x:v>
      </x:c>
      <x:c r="C7179" s="0" t="s">
        <x:v>28578</x:v>
      </x:c>
      <x:c r="E7179" s="0" t="s">
        <x:v>28579</x:v>
      </x:c>
      <x:c r="F7179" s="0" t="s">
        <x:v>45</x:v>
      </x:c>
      <x:c r="G7179" s="0" t="s">
        <x:v>19</x:v>
      </x:c>
      <x:c r="H7179" s="0" t="s">
        <x:v>20</x:v>
      </x:c>
      <x:c r="I7179" s="0" t="s">
        <x:v>21</x:v>
      </x:c>
      <x:c r="K7179" s="0">
        <x:f>hyperlink("https://icd.who.int/dev11/l-ichi/en#/http%3A%2F%2Fid.who.int%2Ficd%2Fentity%2F1584454571","browser")</x:f>
      </x:c>
      <x:c r="L7179" s="0">
        <x:f>hyperlink("https://icat2.azurewebsites.net/icat/?ontology=ICD&amp;tab=ClassesTab&amp;id=http%3A%2F%2Fwho.int%2Ficd%2343381_512ebf36_bf6b_4d70_85da_cf2637062af4","iCat")</x:f>
      </x:c>
      <x:c r="M7179" s="0" t="s">
        <x:v>21</x:v>
      </x:c>
      <x:c r="N7179" s="0" t="s">
        <x:v>46</x:v>
      </x:c>
    </x:row>
    <x:row r="7180" spans="1:16">
      <x:c r="A7180" s="0" t="s">
        <x:v>28580</x:v>
      </x:c>
      <x:c r="B7180" s="0" t="s">
        <x:v>28581</x:v>
      </x:c>
      <x:c r="C7180" s="0" t="s">
        <x:v>28582</x:v>
      </x:c>
      <x:c r="E7180" s="0" t="s">
        <x:v>28583</x:v>
      </x:c>
      <x:c r="F7180" s="0" t="s">
        <x:v>45</x:v>
      </x:c>
      <x:c r="G7180" s="0" t="s">
        <x:v>19</x:v>
      </x:c>
      <x:c r="H7180" s="0" t="s">
        <x:v>20</x:v>
      </x:c>
      <x:c r="I7180" s="0" t="s">
        <x:v>21</x:v>
      </x:c>
      <x:c r="K7180" s="0">
        <x:f>hyperlink("https://icd.who.int/dev11/l-ichi/en#/http%3A%2F%2Fid.who.int%2Ficd%2Fentity%2F805886146","browser")</x:f>
      </x:c>
      <x:c r="L7180" s="0">
        <x:f>hyperlink("https://icat2.azurewebsites.net/icat/?ontology=ICD&amp;tab=ClassesTab&amp;id=http%3A%2F%2Fwho.int%2Ficd%2343388_512ebf36_bf6b_4d70_85da_cf2637062af4","iCat")</x:f>
      </x:c>
      <x:c r="M7180" s="0" t="s">
        <x:v>21</x:v>
      </x:c>
      <x:c r="N7180" s="0" t="s">
        <x:v>46</x:v>
      </x:c>
    </x:row>
    <x:row r="7181" spans="1:16">
      <x:c r="A7181" s="0" t="s">
        <x:v>28584</x:v>
      </x:c>
      <x:c r="B7181" s="0" t="s">
        <x:v>28585</x:v>
      </x:c>
      <x:c r="C7181" s="0" t="s">
        <x:v>28586</x:v>
      </x:c>
      <x:c r="E7181" s="0" t="s">
        <x:v>28587</x:v>
      </x:c>
      <x:c r="F7181" s="0" t="s">
        <x:v>45</x:v>
      </x:c>
      <x:c r="G7181" s="0" t="s">
        <x:v>19</x:v>
      </x:c>
      <x:c r="H7181" s="0" t="s">
        <x:v>20</x:v>
      </x:c>
      <x:c r="I7181" s="0" t="s">
        <x:v>21</x:v>
      </x:c>
      <x:c r="K7181" s="0">
        <x:f>hyperlink("https://icd.who.int/dev11/l-ichi/en#/http%3A%2F%2Fid.who.int%2Ficd%2Fentity%2F1691260749","browser")</x:f>
      </x:c>
      <x:c r="L7181" s="0">
        <x:f>hyperlink("https://icat2.azurewebsites.net/icat/?ontology=ICD&amp;tab=ClassesTab&amp;id=http%3A%2F%2Fwho.int%2Ficd%2343397_512ebf36_bf6b_4d70_85da_cf2637062af4","iCat")</x:f>
      </x:c>
      <x:c r="M7181" s="0" t="s">
        <x:v>21</x:v>
      </x:c>
      <x:c r="N7181" s="0" t="s">
        <x:v>46</x:v>
      </x:c>
    </x:row>
    <x:row r="7182" spans="1:16">
      <x:c r="A7182" s="0" t="s">
        <x:v>28588</x:v>
      </x:c>
      <x:c r="B7182" s="0" t="s">
        <x:v>28589</x:v>
      </x:c>
      <x:c r="C7182" s="0" t="s">
        <x:v>28590</x:v>
      </x:c>
      <x:c r="E7182" s="0" t="s">
        <x:v>28591</x:v>
      </x:c>
      <x:c r="F7182" s="0" t="s">
        <x:v>45</x:v>
      </x:c>
      <x:c r="G7182" s="0" t="s">
        <x:v>19</x:v>
      </x:c>
      <x:c r="H7182" s="0" t="s">
        <x:v>20</x:v>
      </x:c>
      <x:c r="I7182" s="0" t="s">
        <x:v>21</x:v>
      </x:c>
      <x:c r="K7182" s="0">
        <x:f>hyperlink("https://icd.who.int/dev11/l-ichi/en#/http%3A%2F%2Fid.who.int%2Ficd%2Fentity%2F955161675","browser")</x:f>
      </x:c>
      <x:c r="L7182" s="0">
        <x:f>hyperlink("https://icat2.azurewebsites.net/icat/?ontology=ICD&amp;tab=ClassesTab&amp;id=http%3A%2F%2Fwho.int%2Ficd%2343404_512ebf36_bf6b_4d70_85da_cf2637062af4","iCat")</x:f>
      </x:c>
      <x:c r="M7182" s="0" t="s">
        <x:v>21</x:v>
      </x:c>
      <x:c r="N7182" s="0" t="s">
        <x:v>46</x:v>
      </x:c>
    </x:row>
    <x:row r="7183" spans="1:16">
      <x:c r="A7183" s="0" t="s">
        <x:v>28592</x:v>
      </x:c>
      <x:c r="B7183" s="0" t="s">
        <x:v>28593</x:v>
      </x:c>
      <x:c r="C7183" s="0" t="s">
        <x:v>28594</x:v>
      </x:c>
      <x:c r="E7183" s="0" t="s">
        <x:v>2490</x:v>
      </x:c>
      <x:c r="F7183" s="0" t="s">
        <x:v>45</x:v>
      </x:c>
      <x:c r="G7183" s="0" t="s">
        <x:v>19</x:v>
      </x:c>
      <x:c r="H7183" s="0" t="s">
        <x:v>20</x:v>
      </x:c>
      <x:c r="I7183" s="0" t="s">
        <x:v>21</x:v>
      </x:c>
      <x:c r="K7183" s="0">
        <x:f>hyperlink("https://icd.who.int/dev11/l-ichi/en#/http%3A%2F%2Fid.who.int%2Ficd%2Fentity%2F1205190486","browser")</x:f>
      </x:c>
      <x:c r="L7183" s="0">
        <x:f>hyperlink("https://icat2.azurewebsites.net/icat/?ontology=ICD&amp;tab=ClassesTab&amp;id=http%3A%2F%2Fwho.int%2Ficd%2343411_512ebf36_bf6b_4d70_85da_cf2637062af4","iCat")</x:f>
      </x:c>
      <x:c r="M7183" s="0" t="s">
        <x:v>21</x:v>
      </x:c>
      <x:c r="N7183" s="0" t="s">
        <x:v>46</x:v>
      </x:c>
    </x:row>
    <x:row r="7184" spans="1:16">
      <x:c r="A7184" s="0" t="s">
        <x:v>28595</x:v>
      </x:c>
      <x:c r="B7184" s="0" t="s">
        <x:v>28596</x:v>
      </x:c>
      <x:c r="C7184" s="0" t="s">
        <x:v>28597</x:v>
      </x:c>
      <x:c r="E7184" s="0" t="s">
        <x:v>28598</x:v>
      </x:c>
      <x:c r="F7184" s="0" t="s">
        <x:v>45</x:v>
      </x:c>
      <x:c r="G7184" s="0" t="s">
        <x:v>19</x:v>
      </x:c>
      <x:c r="H7184" s="0" t="s">
        <x:v>20</x:v>
      </x:c>
      <x:c r="I7184" s="0" t="s">
        <x:v>21</x:v>
      </x:c>
      <x:c r="K7184" s="0">
        <x:f>hyperlink("https://icd.who.int/dev11/l-ichi/en#/http%3A%2F%2Fid.who.int%2Ficd%2Fentity%2F664636783","browser")</x:f>
      </x:c>
      <x:c r="L7184" s="0">
        <x:f>hyperlink("https://icat2.azurewebsites.net/icat/?ontology=ICD&amp;tab=ClassesTab&amp;id=http%3A%2F%2Fwho.int%2Ficd%2343420_512ebf36_bf6b_4d70_85da_cf2637062af4","iCat")</x:f>
      </x:c>
      <x:c r="M7184" s="0" t="s">
        <x:v>21</x:v>
      </x:c>
      <x:c r="N7184" s="0" t="s">
        <x:v>46</x:v>
      </x:c>
    </x:row>
    <x:row r="7185" spans="1:16">
      <x:c r="A7185" s="0" t="s">
        <x:v>28599</x:v>
      </x:c>
      <x:c r="B7185" s="0" t="s">
        <x:v>28600</x:v>
      </x:c>
      <x:c r="C7185" s="0" t="s">
        <x:v>28601</x:v>
      </x:c>
      <x:c r="E7185" s="0" t="s">
        <x:v>28602</x:v>
      </x:c>
      <x:c r="F7185" s="0" t="s">
        <x:v>45</x:v>
      </x:c>
      <x:c r="G7185" s="0" t="s">
        <x:v>19</x:v>
      </x:c>
      <x:c r="H7185" s="0" t="s">
        <x:v>20</x:v>
      </x:c>
      <x:c r="I7185" s="0" t="s">
        <x:v>21</x:v>
      </x:c>
      <x:c r="K7185" s="0">
        <x:f>hyperlink("https://icd.who.int/dev11/l-ichi/en#/http%3A%2F%2Fid.who.int%2Ficd%2Fentity%2F1461659364","browser")</x:f>
      </x:c>
      <x:c r="L7185" s="0">
        <x:f>hyperlink("https://icat2.azurewebsites.net/icat/?ontology=ICD&amp;tab=ClassesTab&amp;id=http%3A%2F%2Fwho.int%2Ficd%2343427_512ebf36_bf6b_4d70_85da_cf2637062af4","iCat")</x:f>
      </x:c>
      <x:c r="M7185" s="0" t="s">
        <x:v>21</x:v>
      </x:c>
      <x:c r="N7185" s="0" t="s">
        <x:v>46</x:v>
      </x:c>
    </x:row>
    <x:row r="7186" spans="1:16">
      <x:c r="A7186" s="0" t="s">
        <x:v>28603</x:v>
      </x:c>
      <x:c r="B7186" s="0" t="s">
        <x:v>28604</x:v>
      </x:c>
      <x:c r="C7186" s="0" t="s">
        <x:v>28605</x:v>
      </x:c>
      <x:c r="E7186" s="0" t="s">
        <x:v>28606</x:v>
      </x:c>
      <x:c r="F7186" s="0" t="s">
        <x:v>45</x:v>
      </x:c>
      <x:c r="G7186" s="0" t="s">
        <x:v>19</x:v>
      </x:c>
      <x:c r="H7186" s="0" t="s">
        <x:v>20</x:v>
      </x:c>
      <x:c r="I7186" s="0" t="s">
        <x:v>21</x:v>
      </x:c>
      <x:c r="K7186" s="0">
        <x:f>hyperlink("https://icd.who.int/dev11/l-ichi/en#/http%3A%2F%2Fid.who.int%2Ficd%2Fentity%2F2019548236","browser")</x:f>
      </x:c>
      <x:c r="L7186" s="0">
        <x:f>hyperlink("https://icat2.azurewebsites.net/icat/?ontology=ICD&amp;tab=ClassesTab&amp;id=http%3A%2F%2Fwho.int%2Ficd%2343434_512ebf36_bf6b_4d70_85da_cf2637062af4","iCat")</x:f>
      </x:c>
      <x:c r="M7186" s="0" t="s">
        <x:v>21</x:v>
      </x:c>
      <x:c r="N7186" s="0" t="s">
        <x:v>46</x:v>
      </x:c>
    </x:row>
    <x:row r="7187" spans="1:16">
      <x:c r="A7187" s="0" t="s">
        <x:v>28607</x:v>
      </x:c>
      <x:c r="B7187" s="0" t="s">
        <x:v>28608</x:v>
      </x:c>
      <x:c r="C7187" s="0" t="s">
        <x:v>28609</x:v>
      </x:c>
      <x:c r="E7187" s="0" t="s">
        <x:v>28610</x:v>
      </x:c>
      <x:c r="F7187" s="0" t="s">
        <x:v>45</x:v>
      </x:c>
      <x:c r="G7187" s="0" t="s">
        <x:v>19</x:v>
      </x:c>
      <x:c r="H7187" s="0" t="s">
        <x:v>20</x:v>
      </x:c>
      <x:c r="I7187" s="0" t="s">
        <x:v>21</x:v>
      </x:c>
      <x:c r="K7187" s="0">
        <x:f>hyperlink("https://icd.who.int/dev11/l-ichi/en#/http%3A%2F%2Fid.who.int%2Ficd%2Fentity%2F1568110880","browser")</x:f>
      </x:c>
      <x:c r="L7187" s="0">
        <x:f>hyperlink("https://icat2.azurewebsites.net/icat/?ontology=ICD&amp;tab=ClassesTab&amp;id=http%3A%2F%2Fwho.int%2Ficd%2343441_512ebf36_bf6b_4d70_85da_cf2637062af4","iCat")</x:f>
      </x:c>
      <x:c r="M7187" s="0" t="s">
        <x:v>21</x:v>
      </x:c>
      <x:c r="N7187" s="0" t="s">
        <x:v>46</x:v>
      </x:c>
    </x:row>
    <x:row r="7188" spans="1:16">
      <x:c r="A7188" s="0" t="s">
        <x:v>28611</x:v>
      </x:c>
      <x:c r="B7188" s="0" t="s">
        <x:v>28612</x:v>
      </x:c>
      <x:c r="C7188" s="0" t="s">
        <x:v>28613</x:v>
      </x:c>
      <x:c r="E7188" s="0" t="s">
        <x:v>28614</x:v>
      </x:c>
      <x:c r="F7188" s="0" t="s">
        <x:v>45</x:v>
      </x:c>
      <x:c r="G7188" s="0" t="s">
        <x:v>19</x:v>
      </x:c>
      <x:c r="H7188" s="0" t="s">
        <x:v>20</x:v>
      </x:c>
      <x:c r="I7188" s="0" t="s">
        <x:v>21</x:v>
      </x:c>
      <x:c r="K7188" s="0">
        <x:f>hyperlink("https://icd.who.int/dev11/l-ichi/en#/http%3A%2F%2Fid.who.int%2Ficd%2Fentity%2F856652407","browser")</x:f>
      </x:c>
      <x:c r="L7188" s="0">
        <x:f>hyperlink("https://icat2.azurewebsites.net/icat/?ontology=ICD&amp;tab=ClassesTab&amp;id=http%3A%2F%2Fwho.int%2Ficd%2343448_512ebf36_bf6b_4d70_85da_cf2637062af4","iCat")</x:f>
      </x:c>
      <x:c r="M7188" s="0" t="s">
        <x:v>21</x:v>
      </x:c>
      <x:c r="N7188" s="0" t="s">
        <x:v>46</x:v>
      </x:c>
    </x:row>
    <x:row r="7189" spans="1:16">
      <x:c r="A7189" s="0" t="s">
        <x:v>28615</x:v>
      </x:c>
      <x:c r="B7189" s="0" t="s">
        <x:v>28616</x:v>
      </x:c>
      <x:c r="C7189" s="0" t="s">
        <x:v>28617</x:v>
      </x:c>
      <x:c r="E7189" s="0" t="s">
        <x:v>28618</x:v>
      </x:c>
      <x:c r="F7189" s="0" t="s">
        <x:v>45</x:v>
      </x:c>
      <x:c r="G7189" s="0" t="s">
        <x:v>19</x:v>
      </x:c>
      <x:c r="H7189" s="0" t="s">
        <x:v>20</x:v>
      </x:c>
      <x:c r="I7189" s="0" t="s">
        <x:v>21</x:v>
      </x:c>
      <x:c r="K7189" s="0">
        <x:f>hyperlink("https://icd.who.int/dev11/l-ichi/en#/http%3A%2F%2Fid.who.int%2Ficd%2Fentity%2F45426749","browser")</x:f>
      </x:c>
      <x:c r="L7189" s="0">
        <x:f>hyperlink("https://icat2.azurewebsites.net/icat/?ontology=ICD&amp;tab=ClassesTab&amp;id=http%3A%2F%2Fwho.int%2Ficd%2343455_512ebf36_bf6b_4d70_85da_cf2637062af4","iCat")</x:f>
      </x:c>
      <x:c r="M7189" s="0" t="s">
        <x:v>21</x:v>
      </x:c>
      <x:c r="N7189" s="0" t="s">
        <x:v>46</x:v>
      </x:c>
    </x:row>
    <x:row r="7190" spans="1:16">
      <x:c r="A7190" s="0" t="s">
        <x:v>28619</x:v>
      </x:c>
      <x:c r="B7190" s="0" t="s">
        <x:v>28620</x:v>
      </x:c>
      <x:c r="C7190" s="0" t="s">
        <x:v>28621</x:v>
      </x:c>
      <x:c r="E7190" s="0" t="s">
        <x:v>28622</x:v>
      </x:c>
      <x:c r="F7190" s="0" t="s">
        <x:v>45</x:v>
      </x:c>
      <x:c r="G7190" s="0" t="s">
        <x:v>19</x:v>
      </x:c>
      <x:c r="H7190" s="0" t="s">
        <x:v>20</x:v>
      </x:c>
      <x:c r="I7190" s="0" t="s">
        <x:v>21</x:v>
      </x:c>
      <x:c r="K7190" s="0">
        <x:f>hyperlink("https://icd.who.int/dev11/l-ichi/en#/http%3A%2F%2Fid.who.int%2Ficd%2Fentity%2F847692727","browser")</x:f>
      </x:c>
      <x:c r="L7190" s="0">
        <x:f>hyperlink("https://icat2.azurewebsites.net/icat/?ontology=ICD&amp;tab=ClassesTab&amp;id=http%3A%2F%2Fwho.int%2Ficd%2343462_512ebf36_bf6b_4d70_85da_cf2637062af4","iCat")</x:f>
      </x:c>
      <x:c r="M7190" s="0" t="s">
        <x:v>21</x:v>
      </x:c>
      <x:c r="N7190" s="0" t="s">
        <x:v>46</x:v>
      </x:c>
    </x:row>
    <x:row r="7191" spans="1:16">
      <x:c r="A7191" s="0" t="s">
        <x:v>28623</x:v>
      </x:c>
      <x:c r="B7191" s="0" t="s">
        <x:v>28624</x:v>
      </x:c>
      <x:c r="C7191" s="0" t="s">
        <x:v>28625</x:v>
      </x:c>
      <x:c r="E7191" s="0" t="s">
        <x:v>28626</x:v>
      </x:c>
      <x:c r="F7191" s="0" t="s">
        <x:v>45</x:v>
      </x:c>
      <x:c r="G7191" s="0" t="s">
        <x:v>19</x:v>
      </x:c>
      <x:c r="H7191" s="0" t="s">
        <x:v>20</x:v>
      </x:c>
      <x:c r="I7191" s="0" t="s">
        <x:v>21</x:v>
      </x:c>
      <x:c r="K7191" s="0">
        <x:f>hyperlink("https://icd.who.int/dev11/l-ichi/en#/http%3A%2F%2Fid.who.int%2Ficd%2Fentity%2F964877595","browser")</x:f>
      </x:c>
      <x:c r="L7191" s="0">
        <x:f>hyperlink("https://icat2.azurewebsites.net/icat/?ontology=ICD&amp;tab=ClassesTab&amp;id=http%3A%2F%2Fwho.int%2Ficd%2343469_512ebf36_bf6b_4d70_85da_cf2637062af4","iCat")</x:f>
      </x:c>
      <x:c r="M7191" s="0" t="s">
        <x:v>21</x:v>
      </x:c>
      <x:c r="N7191" s="0" t="s">
        <x:v>46</x:v>
      </x:c>
    </x:row>
    <x:row r="7192" spans="1:16">
      <x:c r="A7192" s="0" t="s">
        <x:v>28627</x:v>
      </x:c>
      <x:c r="B7192" s="0" t="s">
        <x:v>28628</x:v>
      </x:c>
      <x:c r="C7192" s="0" t="s">
        <x:v>28629</x:v>
      </x:c>
      <x:c r="E7192" s="0" t="s">
        <x:v>28630</x:v>
      </x:c>
      <x:c r="F7192" s="0" t="s">
        <x:v>45</x:v>
      </x:c>
      <x:c r="G7192" s="0" t="s">
        <x:v>19</x:v>
      </x:c>
      <x:c r="H7192" s="0" t="s">
        <x:v>20</x:v>
      </x:c>
      <x:c r="I7192" s="0" t="s">
        <x:v>21</x:v>
      </x:c>
      <x:c r="K7192" s="0">
        <x:f>hyperlink("https://icd.who.int/dev11/l-ichi/en#/http%3A%2F%2Fid.who.int%2Ficd%2Fentity%2F1833210516","browser")</x:f>
      </x:c>
      <x:c r="L7192" s="0">
        <x:f>hyperlink("https://icat2.azurewebsites.net/icat/?ontology=ICD&amp;tab=ClassesTab&amp;id=http%3A%2F%2Fwho.int%2Ficd%2343476_512ebf36_bf6b_4d70_85da_cf2637062af4","iCat")</x:f>
      </x:c>
      <x:c r="M7192" s="0" t="s">
        <x:v>21</x:v>
      </x:c>
      <x:c r="N7192" s="0" t="s">
        <x:v>46</x:v>
      </x:c>
    </x:row>
    <x:row r="7193" spans="1:16">
      <x:c r="A7193" s="0" t="s">
        <x:v>28631</x:v>
      </x:c>
      <x:c r="B7193" s="0" t="s">
        <x:v>28632</x:v>
      </x:c>
      <x:c r="C7193" s="0" t="s">
        <x:v>28633</x:v>
      </x:c>
      <x:c r="E7193" s="0" t="s">
        <x:v>28634</x:v>
      </x:c>
      <x:c r="F7193" s="0" t="s">
        <x:v>45</x:v>
      </x:c>
      <x:c r="G7193" s="0" t="s">
        <x:v>19</x:v>
      </x:c>
      <x:c r="H7193" s="0" t="s">
        <x:v>20</x:v>
      </x:c>
      <x:c r="I7193" s="0" t="s">
        <x:v>21</x:v>
      </x:c>
      <x:c r="K7193" s="0">
        <x:f>hyperlink("https://icd.who.int/dev11/l-ichi/en#/http%3A%2F%2Fid.who.int%2Ficd%2Fentity%2F1465740802","browser")</x:f>
      </x:c>
      <x:c r="L7193" s="0">
        <x:f>hyperlink("https://icat2.azurewebsites.net/icat/?ontology=ICD&amp;tab=ClassesTab&amp;id=http%3A%2F%2Fwho.int%2Ficd%2343483_512ebf36_bf6b_4d70_85da_cf2637062af4","iCat")</x:f>
      </x:c>
      <x:c r="M7193" s="0" t="s">
        <x:v>21</x:v>
      </x:c>
      <x:c r="N7193" s="0" t="s">
        <x:v>46</x:v>
      </x:c>
    </x:row>
    <x:row r="7194" spans="1:16">
      <x:c r="A7194" s="0" t="s">
        <x:v>28635</x:v>
      </x:c>
      <x:c r="B7194" s="0" t="s">
        <x:v>28636</x:v>
      </x:c>
      <x:c r="C7194" s="0" t="s">
        <x:v>28637</x:v>
      </x:c>
      <x:c r="E7194" s="0" t="s">
        <x:v>28638</x:v>
      </x:c>
      <x:c r="F7194" s="0" t="s">
        <x:v>45</x:v>
      </x:c>
      <x:c r="G7194" s="0" t="s">
        <x:v>19</x:v>
      </x:c>
      <x:c r="H7194" s="0" t="s">
        <x:v>20</x:v>
      </x:c>
      <x:c r="I7194" s="0" t="s">
        <x:v>21</x:v>
      </x:c>
      <x:c r="K7194" s="0">
        <x:f>hyperlink("https://icd.who.int/dev11/l-ichi/en#/http%3A%2F%2Fid.who.int%2Ficd%2Fentity%2F1491396240","browser")</x:f>
      </x:c>
      <x:c r="L7194" s="0">
        <x:f>hyperlink("https://icat2.azurewebsites.net/icat/?ontology=ICD&amp;tab=ClassesTab&amp;id=http%3A%2F%2Fwho.int%2Ficd%2343491_512ebf36_bf6b_4d70_85da_cf2637062af4","iCat")</x:f>
      </x:c>
      <x:c r="M7194" s="0" t="s">
        <x:v>21</x:v>
      </x:c>
      <x:c r="N7194" s="0" t="s">
        <x:v>46</x:v>
      </x:c>
    </x:row>
    <x:row r="7195" spans="1:16">
      <x:c r="A7195" s="0" t="s">
        <x:v>28639</x:v>
      </x:c>
      <x:c r="B7195" s="0" t="s">
        <x:v>28640</x:v>
      </x:c>
      <x:c r="C7195" s="0" t="s">
        <x:v>28641</x:v>
      </x:c>
      <x:c r="E7195" s="0" t="s">
        <x:v>28642</x:v>
      </x:c>
      <x:c r="F7195" s="0" t="s">
        <x:v>45</x:v>
      </x:c>
      <x:c r="G7195" s="0" t="s">
        <x:v>19</x:v>
      </x:c>
      <x:c r="H7195" s="0" t="s">
        <x:v>20</x:v>
      </x:c>
      <x:c r="I7195" s="0" t="s">
        <x:v>21</x:v>
      </x:c>
      <x:c r="K7195" s="0">
        <x:f>hyperlink("https://icd.who.int/dev11/l-ichi/en#/http%3A%2F%2Fid.who.int%2Ficd%2Fentity%2F375756741","browser")</x:f>
      </x:c>
      <x:c r="L7195" s="0">
        <x:f>hyperlink("https://icat2.azurewebsites.net/icat/?ontology=ICD&amp;tab=ClassesTab&amp;id=http%3A%2F%2Fwho.int%2Ficd%2343499_512ebf36_bf6b_4d70_85da_cf2637062af4","iCat")</x:f>
      </x:c>
      <x:c r="M7195" s="0" t="s">
        <x:v>21</x:v>
      </x:c>
      <x:c r="N7195" s="0" t="s">
        <x:v>46</x:v>
      </x:c>
    </x:row>
    <x:row r="7196" spans="1:16">
      <x:c r="A7196" s="0" t="s">
        <x:v>28643</x:v>
      </x:c>
      <x:c r="B7196" s="0" t="s">
        <x:v>28644</x:v>
      </x:c>
      <x:c r="D7196" s="0" t="s">
        <x:v>28645</x:v>
      </x:c>
      <x:c r="E7196" s="0" t="s">
        <x:v>28646</x:v>
      </x:c>
      <x:c r="F7196" s="0" t="s">
        <x:v>26</x:v>
      </x:c>
      <x:c r="G7196" s="0" t="s">
        <x:v>35</x:v>
      </x:c>
      <x:c r="H7196" s="0" t="s">
        <x:v>20</x:v>
      </x:c>
      <x:c r="I7196" s="0" t="s">
        <x:v>21</x:v>
      </x:c>
      <x:c r="K7196" s="0">
        <x:f>hyperlink("https://icd.who.int/dev11/l-ichi/en#/http%3A%2F%2Fid.who.int%2Ficd%2Fentity%2F150222127","browser")</x:f>
      </x:c>
      <x:c r="L7196" s="0">
        <x:f>hyperlink("https://icat2.azurewebsites.net/icat/?ontology=ICD&amp;tab=ClassesTab&amp;id=http%3A%2F%2Fwho.int%2Ficd%2343507_512ebf36_bf6b_4d70_85da_cf2637062af4","iCat")</x:f>
      </x:c>
      <x:c r="M7196" s="0" t="s">
        <x:v>20</x:v>
      </x:c>
      <x:c r="N7196" s="0" t="s">
        <x:v>30</x:v>
      </x:c>
    </x:row>
    <x:row r="7197" spans="1:16">
      <x:c r="A7197" s="0" t="s">
        <x:v>28647</x:v>
      </x:c>
      <x:c r="B7197" s="0" t="s">
        <x:v>28648</x:v>
      </x:c>
      <x:c r="D7197" s="0" t="s">
        <x:v>28649</x:v>
      </x:c>
      <x:c r="E7197" s="0" t="s">
        <x:v>28650</x:v>
      </x:c>
      <x:c r="F7197" s="0" t="s">
        <x:v>26</x:v>
      </x:c>
      <x:c r="G7197" s="0" t="s">
        <x:v>22</x:v>
      </x:c>
      <x:c r="H7197" s="0" t="s">
        <x:v>20</x:v>
      </x:c>
      <x:c r="I7197" s="0" t="s">
        <x:v>21</x:v>
      </x:c>
      <x:c r="K7197" s="0">
        <x:f>hyperlink("https://icd.who.int/dev11/l-ichi/en#/http%3A%2F%2Fid.who.int%2Ficd%2Fentity%2F1463182350","browser")</x:f>
      </x:c>
      <x:c r="L7197" s="0">
        <x:f>hyperlink("https://icat2.azurewebsites.net/icat/?ontology=ICD&amp;tab=ClassesTab&amp;id=http%3A%2F%2Fwho.int%2Ficd%2343513_512ebf36_bf6b_4d70_85da_cf2637062af4","iCat")</x:f>
      </x:c>
      <x:c r="M7197" s="0" t="s">
        <x:v>20</x:v>
      </x:c>
      <x:c r="N7197" s="0" t="s">
        <x:v>28651</x:v>
      </x:c>
    </x:row>
    <x:row r="7198" spans="1:16">
      <x:c r="A7198" s="0" t="s">
        <x:v>28652</x:v>
      </x:c>
      <x:c r="B7198" s="0" t="s">
        <x:v>28653</x:v>
      </x:c>
      <x:c r="C7198" s="0" t="s">
        <x:v>28654</x:v>
      </x:c>
      <x:c r="E7198" s="0" t="s">
        <x:v>28655</x:v>
      </x:c>
      <x:c r="F7198" s="0" t="s">
        <x:v>45</x:v>
      </x:c>
      <x:c r="G7198" s="0" t="s">
        <x:v>19</x:v>
      </x:c>
      <x:c r="H7198" s="0" t="s">
        <x:v>20</x:v>
      </x:c>
      <x:c r="I7198" s="0" t="s">
        <x:v>21</x:v>
      </x:c>
      <x:c r="K7198" s="0">
        <x:f>hyperlink("https://icd.who.int/dev11/l-ichi/en#/http%3A%2F%2Fid.who.int%2Ficd%2Fentity%2F671958803","browser")</x:f>
      </x:c>
      <x:c r="L7198" s="0">
        <x:f>hyperlink("https://icat2.azurewebsites.net/icat/?ontology=ICD&amp;tab=ClassesTab&amp;id=http%3A%2F%2Fwho.int%2Ficd%2343506_512ebf36_bf6b_4d70_85da_cf2637062af4","iCat")</x:f>
      </x:c>
      <x:c r="M7198" s="0" t="s">
        <x:v>21</x:v>
      </x:c>
      <x:c r="N7198" s="0" t="s">
        <x:v>46</x:v>
      </x:c>
    </x:row>
    <x:row r="7199" spans="1:16">
      <x:c r="A7199" s="0" t="s">
        <x:v>28656</x:v>
      </x:c>
      <x:c r="B7199" s="0" t="s">
        <x:v>28657</x:v>
      </x:c>
      <x:c r="C7199" s="0" t="s">
        <x:v>28658</x:v>
      </x:c>
      <x:c r="E7199" s="0" t="s">
        <x:v>28659</x:v>
      </x:c>
      <x:c r="F7199" s="0" t="s">
        <x:v>45</x:v>
      </x:c>
      <x:c r="G7199" s="0" t="s">
        <x:v>19</x:v>
      </x:c>
      <x:c r="H7199" s="0" t="s">
        <x:v>20</x:v>
      </x:c>
      <x:c r="I7199" s="0" t="s">
        <x:v>21</x:v>
      </x:c>
      <x:c r="K7199" s="0">
        <x:f>hyperlink("https://icd.who.int/dev11/l-ichi/en#/http%3A%2F%2Fid.who.int%2Ficd%2Fentity%2F1207762364","browser")</x:f>
      </x:c>
      <x:c r="L7199" s="0">
        <x:f>hyperlink("https://icat2.azurewebsites.net/icat/?ontology=ICD&amp;tab=ClassesTab&amp;id=http%3A%2F%2Fwho.int%2Ficd%2343525_512ebf36_bf6b_4d70_85da_cf2637062af4","iCat")</x:f>
      </x:c>
      <x:c r="M7199" s="0" t="s">
        <x:v>21</x:v>
      </x:c>
      <x:c r="N7199" s="0" t="s">
        <x:v>46</x:v>
      </x:c>
    </x:row>
    <x:row r="7200" spans="1:16">
      <x:c r="A7200" s="0" t="s">
        <x:v>28660</x:v>
      </x:c>
      <x:c r="B7200" s="0" t="s">
        <x:v>28661</x:v>
      </x:c>
      <x:c r="C7200" s="0" t="s">
        <x:v>28662</x:v>
      </x:c>
      <x:c r="E7200" s="0" t="s">
        <x:v>28663</x:v>
      </x:c>
      <x:c r="F7200" s="0" t="s">
        <x:v>45</x:v>
      </x:c>
      <x:c r="G7200" s="0" t="s">
        <x:v>19</x:v>
      </x:c>
      <x:c r="H7200" s="0" t="s">
        <x:v>20</x:v>
      </x:c>
      <x:c r="I7200" s="0" t="s">
        <x:v>21</x:v>
      </x:c>
      <x:c r="K7200" s="0">
        <x:f>hyperlink("https://icd.who.int/dev11/l-ichi/en#/http%3A%2F%2Fid.who.int%2Ficd%2Fentity%2F1572586338","browser")</x:f>
      </x:c>
      <x:c r="L7200" s="0">
        <x:f>hyperlink("https://icat2.azurewebsites.net/icat/?ontology=ICD&amp;tab=ClassesTab&amp;id=http%3A%2F%2Fwho.int%2Ficd%2343532_512ebf36_bf6b_4d70_85da_cf2637062af4","iCat")</x:f>
      </x:c>
      <x:c r="M7200" s="0" t="s">
        <x:v>21</x:v>
      </x:c>
      <x:c r="N7200" s="0" t="s">
        <x:v>46</x:v>
      </x:c>
    </x:row>
    <x:row r="7201" spans="1:16">
      <x:c r="A7201" s="0" t="s">
        <x:v>28664</x:v>
      </x:c>
      <x:c r="B7201" s="0" t="s">
        <x:v>28665</x:v>
      </x:c>
      <x:c r="C7201" s="0" t="s">
        <x:v>28666</x:v>
      </x:c>
      <x:c r="E7201" s="0" t="s">
        <x:v>28667</x:v>
      </x:c>
      <x:c r="F7201" s="0" t="s">
        <x:v>45</x:v>
      </x:c>
      <x:c r="G7201" s="0" t="s">
        <x:v>19</x:v>
      </x:c>
      <x:c r="H7201" s="0" t="s">
        <x:v>20</x:v>
      </x:c>
      <x:c r="I7201" s="0" t="s">
        <x:v>21</x:v>
      </x:c>
      <x:c r="K7201" s="0">
        <x:f>hyperlink("https://icd.who.int/dev11/l-ichi/en#/http%3A%2F%2Fid.who.int%2Ficd%2Fentity%2F1455414732","browser")</x:f>
      </x:c>
      <x:c r="L7201" s="0">
        <x:f>hyperlink("https://icat2.azurewebsites.net/icat/?ontology=ICD&amp;tab=ClassesTab&amp;id=http%3A%2F%2Fwho.int%2Ficd%2343539_512ebf36_bf6b_4d70_85da_cf2637062af4","iCat")</x:f>
      </x:c>
      <x:c r="M7201" s="0" t="s">
        <x:v>21</x:v>
      </x:c>
      <x:c r="N7201" s="0" t="s">
        <x:v>46</x:v>
      </x:c>
    </x:row>
    <x:row r="7202" spans="1:16">
      <x:c r="A7202" s="0" t="s">
        <x:v>28668</x:v>
      </x:c>
      <x:c r="B7202" s="0" t="s">
        <x:v>28669</x:v>
      </x:c>
      <x:c r="C7202" s="0" t="s">
        <x:v>28670</x:v>
      </x:c>
      <x:c r="E7202" s="0" t="s">
        <x:v>28671</x:v>
      </x:c>
      <x:c r="F7202" s="0" t="s">
        <x:v>45</x:v>
      </x:c>
      <x:c r="G7202" s="0" t="s">
        <x:v>19</x:v>
      </x:c>
      <x:c r="H7202" s="0" t="s">
        <x:v>20</x:v>
      </x:c>
      <x:c r="I7202" s="0" t="s">
        <x:v>21</x:v>
      </x:c>
      <x:c r="K7202" s="0">
        <x:f>hyperlink("https://icd.who.int/dev11/l-ichi/en#/http%3A%2F%2Fid.who.int%2Ficd%2Fentity%2F1483346960","browser")</x:f>
      </x:c>
      <x:c r="L7202" s="0">
        <x:f>hyperlink("https://icat2.azurewebsites.net/icat/?ontology=ICD&amp;tab=ClassesTab&amp;id=http%3A%2F%2Fwho.int%2Ficd%2343546_512ebf36_bf6b_4d70_85da_cf2637062af4","iCat")</x:f>
      </x:c>
      <x:c r="M7202" s="0" t="s">
        <x:v>21</x:v>
      </x:c>
      <x:c r="N7202" s="0" t="s">
        <x:v>46</x:v>
      </x:c>
    </x:row>
    <x:row r="7203" spans="1:16">
      <x:c r="A7203" s="0" t="s">
        <x:v>28672</x:v>
      </x:c>
      <x:c r="B7203" s="0" t="s">
        <x:v>28673</x:v>
      </x:c>
      <x:c r="C7203" s="0" t="s">
        <x:v>28674</x:v>
      </x:c>
      <x:c r="E7203" s="0" t="s">
        <x:v>28675</x:v>
      </x:c>
      <x:c r="F7203" s="0" t="s">
        <x:v>45</x:v>
      </x:c>
      <x:c r="G7203" s="0" t="s">
        <x:v>19</x:v>
      </x:c>
      <x:c r="H7203" s="0" t="s">
        <x:v>20</x:v>
      </x:c>
      <x:c r="I7203" s="0" t="s">
        <x:v>21</x:v>
      </x:c>
      <x:c r="K7203" s="0">
        <x:f>hyperlink("https://icd.who.int/dev11/l-ichi/en#/http%3A%2F%2Fid.who.int%2Ficd%2Fentity%2F659633937","browser")</x:f>
      </x:c>
      <x:c r="L7203" s="0">
        <x:f>hyperlink("https://icat2.azurewebsites.net/icat/?ontology=ICD&amp;tab=ClassesTab&amp;id=http%3A%2F%2Fwho.int%2Ficd%2343553_512ebf36_bf6b_4d70_85da_cf2637062af4","iCat")</x:f>
      </x:c>
      <x:c r="M7203" s="0" t="s">
        <x:v>21</x:v>
      </x:c>
      <x:c r="N7203" s="0" t="s">
        <x:v>46</x:v>
      </x:c>
    </x:row>
    <x:row r="7204" spans="1:16">
      <x:c r="A7204" s="0" t="s">
        <x:v>28676</x:v>
      </x:c>
      <x:c r="B7204" s="0" t="s">
        <x:v>28677</x:v>
      </x:c>
      <x:c r="C7204" s="0" t="s">
        <x:v>28678</x:v>
      </x:c>
      <x:c r="E7204" s="0" t="s">
        <x:v>28679</x:v>
      </x:c>
      <x:c r="F7204" s="0" t="s">
        <x:v>45</x:v>
      </x:c>
      <x:c r="G7204" s="0" t="s">
        <x:v>19</x:v>
      </x:c>
      <x:c r="H7204" s="0" t="s">
        <x:v>20</x:v>
      </x:c>
      <x:c r="I7204" s="0" t="s">
        <x:v>21</x:v>
      </x:c>
      <x:c r="K7204" s="0">
        <x:f>hyperlink("https://icd.who.int/dev11/l-ichi/en#/http%3A%2F%2Fid.who.int%2Ficd%2Fentity%2F577050863","browser")</x:f>
      </x:c>
      <x:c r="L7204" s="0">
        <x:f>hyperlink("https://icat2.azurewebsites.net/icat/?ontology=ICD&amp;tab=ClassesTab&amp;id=http%3A%2F%2Fwho.int%2Ficd%2343560_512ebf36_bf6b_4d70_85da_cf2637062af4","iCat")</x:f>
      </x:c>
      <x:c r="M7204" s="0" t="s">
        <x:v>21</x:v>
      </x:c>
      <x:c r="N7204" s="0" t="s">
        <x:v>46</x:v>
      </x:c>
    </x:row>
    <x:row r="7205" spans="1:16">
      <x:c r="A7205" s="0" t="s">
        <x:v>28680</x:v>
      </x:c>
      <x:c r="B7205" s="0" t="s">
        <x:v>28681</x:v>
      </x:c>
      <x:c r="C7205" s="0" t="s">
        <x:v>28682</x:v>
      </x:c>
      <x:c r="E7205" s="0" t="s">
        <x:v>28683</x:v>
      </x:c>
      <x:c r="F7205" s="0" t="s">
        <x:v>45</x:v>
      </x:c>
      <x:c r="G7205" s="0" t="s">
        <x:v>19</x:v>
      </x:c>
      <x:c r="H7205" s="0" t="s">
        <x:v>20</x:v>
      </x:c>
      <x:c r="I7205" s="0" t="s">
        <x:v>21</x:v>
      </x:c>
      <x:c r="K7205" s="0">
        <x:f>hyperlink("https://icd.who.int/dev11/l-ichi/en#/http%3A%2F%2Fid.who.int%2Ficd%2Fentity%2F1390916452","browser")</x:f>
      </x:c>
      <x:c r="L7205" s="0">
        <x:f>hyperlink("https://icat2.azurewebsites.net/icat/?ontology=ICD&amp;tab=ClassesTab&amp;id=http%3A%2F%2Fwho.int%2Ficd%2343567_512ebf36_bf6b_4d70_85da_cf2637062af4","iCat")</x:f>
      </x:c>
      <x:c r="M7205" s="0" t="s">
        <x:v>21</x:v>
      </x:c>
      <x:c r="N7205" s="0" t="s">
        <x:v>46</x:v>
      </x:c>
    </x:row>
    <x:row r="7206" spans="1:16">
      <x:c r="A7206" s="0" t="s">
        <x:v>28684</x:v>
      </x:c>
      <x:c r="B7206" s="0" t="s">
        <x:v>28685</x:v>
      </x:c>
      <x:c r="C7206" s="0" t="s">
        <x:v>28686</x:v>
      </x:c>
      <x:c r="E7206" s="0" t="s">
        <x:v>28687</x:v>
      </x:c>
      <x:c r="F7206" s="0" t="s">
        <x:v>45</x:v>
      </x:c>
      <x:c r="G7206" s="0" t="s">
        <x:v>19</x:v>
      </x:c>
      <x:c r="H7206" s="0" t="s">
        <x:v>20</x:v>
      </x:c>
      <x:c r="I7206" s="0" t="s">
        <x:v>21</x:v>
      </x:c>
      <x:c r="K7206" s="0">
        <x:f>hyperlink("https://icd.who.int/dev11/l-ichi/en#/http%3A%2F%2Fid.who.int%2Ficd%2Fentity%2F2108115404","browser")</x:f>
      </x:c>
      <x:c r="L7206" s="0">
        <x:f>hyperlink("https://icat2.azurewebsites.net/icat/?ontology=ICD&amp;tab=ClassesTab&amp;id=http%3A%2F%2Fwho.int%2Ficd%2343574_512ebf36_bf6b_4d70_85da_cf2637062af4","iCat")</x:f>
      </x:c>
      <x:c r="M7206" s="0" t="s">
        <x:v>21</x:v>
      </x:c>
      <x:c r="N7206" s="0" t="s">
        <x:v>46</x:v>
      </x:c>
    </x:row>
    <x:row r="7207" spans="1:16">
      <x:c r="A7207" s="0" t="s">
        <x:v>28688</x:v>
      </x:c>
      <x:c r="B7207" s="0" t="s">
        <x:v>28689</x:v>
      </x:c>
      <x:c r="C7207" s="0" t="s">
        <x:v>28690</x:v>
      </x:c>
      <x:c r="E7207" s="0" t="s">
        <x:v>28691</x:v>
      </x:c>
      <x:c r="F7207" s="0" t="s">
        <x:v>45</x:v>
      </x:c>
      <x:c r="G7207" s="0" t="s">
        <x:v>19</x:v>
      </x:c>
      <x:c r="H7207" s="0" t="s">
        <x:v>20</x:v>
      </x:c>
      <x:c r="I7207" s="0" t="s">
        <x:v>21</x:v>
      </x:c>
      <x:c r="K7207" s="0">
        <x:f>hyperlink("https://icd.who.int/dev11/l-ichi/en#/http%3A%2F%2Fid.who.int%2Ficd%2Fentity%2F1203680602","browser")</x:f>
      </x:c>
      <x:c r="L7207" s="0">
        <x:f>hyperlink("https://icat2.azurewebsites.net/icat/?ontology=ICD&amp;tab=ClassesTab&amp;id=http%3A%2F%2Fwho.int%2Ficd%2343581_512ebf36_bf6b_4d70_85da_cf2637062af4","iCat")</x:f>
      </x:c>
      <x:c r="M7207" s="0" t="s">
        <x:v>21</x:v>
      </x:c>
      <x:c r="N7207" s="0" t="s">
        <x:v>46</x:v>
      </x:c>
    </x:row>
    <x:row r="7208" spans="1:16">
      <x:c r="A7208" s="0" t="s">
        <x:v>28692</x:v>
      </x:c>
      <x:c r="B7208" s="0" t="s">
        <x:v>28693</x:v>
      </x:c>
      <x:c r="C7208" s="0" t="s">
        <x:v>28694</x:v>
      </x:c>
      <x:c r="E7208" s="0" t="s">
        <x:v>28695</x:v>
      </x:c>
      <x:c r="F7208" s="0" t="s">
        <x:v>45</x:v>
      </x:c>
      <x:c r="G7208" s="0" t="s">
        <x:v>19</x:v>
      </x:c>
      <x:c r="H7208" s="0" t="s">
        <x:v>20</x:v>
      </x:c>
      <x:c r="I7208" s="0" t="s">
        <x:v>21</x:v>
      </x:c>
      <x:c r="K7208" s="0">
        <x:f>hyperlink("https://icd.who.int/dev11/l-ichi/en#/http%3A%2F%2Fid.who.int%2Ficd%2Fentity%2F700888627","browser")</x:f>
      </x:c>
      <x:c r="L7208" s="0">
        <x:f>hyperlink("https://icat2.azurewebsites.net/icat/?ontology=ICD&amp;tab=ClassesTab&amp;id=http%3A%2F%2Fwho.int%2Ficd%2343588_512ebf36_bf6b_4d70_85da_cf2637062af4","iCat")</x:f>
      </x:c>
      <x:c r="M7208" s="0" t="s">
        <x:v>21</x:v>
      </x:c>
      <x:c r="N7208" s="0" t="s">
        <x:v>46</x:v>
      </x:c>
    </x:row>
    <x:row r="7209" spans="1:16">
      <x:c r="A7209" s="0" t="s">
        <x:v>28696</x:v>
      </x:c>
      <x:c r="B7209" s="0" t="s">
        <x:v>28697</x:v>
      </x:c>
      <x:c r="C7209" s="0" t="s">
        <x:v>28698</x:v>
      </x:c>
      <x:c r="E7209" s="0" t="s">
        <x:v>28699</x:v>
      </x:c>
      <x:c r="F7209" s="0" t="s">
        <x:v>45</x:v>
      </x:c>
      <x:c r="G7209" s="0" t="s">
        <x:v>19</x:v>
      </x:c>
      <x:c r="H7209" s="0" t="s">
        <x:v>20</x:v>
      </x:c>
      <x:c r="I7209" s="0" t="s">
        <x:v>21</x:v>
      </x:c>
      <x:c r="K7209" s="0">
        <x:f>hyperlink("https://icd.who.int/dev11/l-ichi/en#/http%3A%2F%2Fid.who.int%2Ficd%2Fentity%2F410838137","browser")</x:f>
      </x:c>
      <x:c r="L7209" s="0">
        <x:f>hyperlink("https://icat2.azurewebsites.net/icat/?ontology=ICD&amp;tab=ClassesTab&amp;id=http%3A%2F%2Fwho.int%2Ficd%2343595_512ebf36_bf6b_4d70_85da_cf2637062af4","iCat")</x:f>
      </x:c>
      <x:c r="M7209" s="0" t="s">
        <x:v>21</x:v>
      </x:c>
      <x:c r="N7209" s="0" t="s">
        <x:v>46</x:v>
      </x:c>
    </x:row>
    <x:row r="7210" spans="1:16">
      <x:c r="A7210" s="0" t="s">
        <x:v>28700</x:v>
      </x:c>
      <x:c r="B7210" s="0" t="s">
        <x:v>28701</x:v>
      </x:c>
      <x:c r="C7210" s="0" t="s">
        <x:v>28702</x:v>
      </x:c>
      <x:c r="E7210" s="0" t="s">
        <x:v>28703</x:v>
      </x:c>
      <x:c r="F7210" s="0" t="s">
        <x:v>45</x:v>
      </x:c>
      <x:c r="G7210" s="0" t="s">
        <x:v>19</x:v>
      </x:c>
      <x:c r="H7210" s="0" t="s">
        <x:v>20</x:v>
      </x:c>
      <x:c r="I7210" s="0" t="s">
        <x:v>21</x:v>
      </x:c>
      <x:c r="K7210" s="0">
        <x:f>hyperlink("https://icd.who.int/dev11/l-ichi/en#/http%3A%2F%2Fid.who.int%2Ficd%2Fentity%2F2085959488","browser")</x:f>
      </x:c>
      <x:c r="L7210" s="0">
        <x:f>hyperlink("https://icat2.azurewebsites.net/icat/?ontology=ICD&amp;tab=ClassesTab&amp;id=http%3A%2F%2Fwho.int%2Ficd%2343602_512ebf36_bf6b_4d70_85da_cf2637062af4","iCat")</x:f>
      </x:c>
      <x:c r="M7210" s="0" t="s">
        <x:v>21</x:v>
      </x:c>
      <x:c r="N7210" s="0" t="s">
        <x:v>46</x:v>
      </x:c>
    </x:row>
    <x:row r="7211" spans="1:16">
      <x:c r="A7211" s="0" t="s">
        <x:v>28704</x:v>
      </x:c>
      <x:c r="B7211" s="0" t="s">
        <x:v>28705</x:v>
      </x:c>
      <x:c r="C7211" s="0" t="s">
        <x:v>28706</x:v>
      </x:c>
      <x:c r="E7211" s="0" t="s">
        <x:v>28707</x:v>
      </x:c>
      <x:c r="F7211" s="0" t="s">
        <x:v>45</x:v>
      </x:c>
      <x:c r="G7211" s="0" t="s">
        <x:v>19</x:v>
      </x:c>
      <x:c r="H7211" s="0" t="s">
        <x:v>20</x:v>
      </x:c>
      <x:c r="I7211" s="0" t="s">
        <x:v>21</x:v>
      </x:c>
      <x:c r="K7211" s="0">
        <x:f>hyperlink("https://icd.who.int/dev11/l-ichi/en#/http%3A%2F%2Fid.who.int%2Ficd%2Fentity%2F1944895406","browser")</x:f>
      </x:c>
      <x:c r="L7211" s="0">
        <x:f>hyperlink("https://icat2.azurewebsites.net/icat/?ontology=ICD&amp;tab=ClassesTab&amp;id=http%3A%2F%2Fwho.int%2Ficd%2343610_512ebf36_bf6b_4d70_85da_cf2637062af4","iCat")</x:f>
      </x:c>
      <x:c r="M7211" s="0" t="s">
        <x:v>21</x:v>
      </x:c>
      <x:c r="N7211" s="0" t="s">
        <x:v>46</x:v>
      </x:c>
    </x:row>
    <x:row r="7212" spans="1:16">
      <x:c r="A7212" s="0" t="s">
        <x:v>28708</x:v>
      </x:c>
      <x:c r="B7212" s="0" t="s">
        <x:v>28709</x:v>
      </x:c>
      <x:c r="C7212" s="0" t="s">
        <x:v>28710</x:v>
      </x:c>
      <x:c r="E7212" s="0" t="s">
        <x:v>28711</x:v>
      </x:c>
      <x:c r="F7212" s="0" t="s">
        <x:v>45</x:v>
      </x:c>
      <x:c r="G7212" s="0" t="s">
        <x:v>19</x:v>
      </x:c>
      <x:c r="H7212" s="0" t="s">
        <x:v>20</x:v>
      </x:c>
      <x:c r="I7212" s="0" t="s">
        <x:v>21</x:v>
      </x:c>
      <x:c r="K7212" s="0">
        <x:f>hyperlink("https://icd.who.int/dev11/l-ichi/en#/http%3A%2F%2Fid.who.int%2Ficd%2Fentity%2F57545761","browser")</x:f>
      </x:c>
      <x:c r="L7212" s="0">
        <x:f>hyperlink("https://icat2.azurewebsites.net/icat/?ontology=ICD&amp;tab=ClassesTab&amp;id=http%3A%2F%2Fwho.int%2Ficd%2343617_512ebf36_bf6b_4d70_85da_cf2637062af4","iCat")</x:f>
      </x:c>
      <x:c r="M7212" s="0" t="s">
        <x:v>21</x:v>
      </x:c>
      <x:c r="N7212" s="0" t="s">
        <x:v>46</x:v>
      </x:c>
    </x:row>
    <x:row r="7213" spans="1:16">
      <x:c r="A7213" s="0" t="s">
        <x:v>28712</x:v>
      </x:c>
      <x:c r="B7213" s="0" t="s">
        <x:v>28713</x:v>
      </x:c>
      <x:c r="C7213" s="0" t="s">
        <x:v>28714</x:v>
      </x:c>
      <x:c r="E7213" s="0" t="s">
        <x:v>28715</x:v>
      </x:c>
      <x:c r="F7213" s="0" t="s">
        <x:v>45</x:v>
      </x:c>
      <x:c r="G7213" s="0" t="s">
        <x:v>19</x:v>
      </x:c>
      <x:c r="H7213" s="0" t="s">
        <x:v>20</x:v>
      </x:c>
      <x:c r="I7213" s="0" t="s">
        <x:v>21</x:v>
      </x:c>
      <x:c r="K7213" s="0">
        <x:f>hyperlink("https://icd.who.int/dev11/l-ichi/en#/http%3A%2F%2Fid.who.int%2Ficd%2Fentity%2F648235491","browser")</x:f>
      </x:c>
      <x:c r="L7213" s="0">
        <x:f>hyperlink("https://icat2.azurewebsites.net/icat/?ontology=ICD&amp;tab=ClassesTab&amp;id=http%3A%2F%2Fwho.int%2Ficd%2343625_512ebf36_bf6b_4d70_85da_cf2637062af4","iCat")</x:f>
      </x:c>
      <x:c r="M7213" s="0" t="s">
        <x:v>21</x:v>
      </x:c>
      <x:c r="N7213" s="0" t="s">
        <x:v>46</x:v>
      </x:c>
    </x:row>
    <x:row r="7214" spans="1:16">
      <x:c r="A7214" s="0" t="s">
        <x:v>28716</x:v>
      </x:c>
      <x:c r="B7214" s="0" t="s">
        <x:v>28717</x:v>
      </x:c>
      <x:c r="C7214" s="0" t="s">
        <x:v>28718</x:v>
      </x:c>
      <x:c r="E7214" s="0" t="s">
        <x:v>28719</x:v>
      </x:c>
      <x:c r="F7214" s="0" t="s">
        <x:v>45</x:v>
      </x:c>
      <x:c r="G7214" s="0" t="s">
        <x:v>19</x:v>
      </x:c>
      <x:c r="H7214" s="0" t="s">
        <x:v>20</x:v>
      </x:c>
      <x:c r="I7214" s="0" t="s">
        <x:v>21</x:v>
      </x:c>
      <x:c r="K7214" s="0">
        <x:f>hyperlink("https://icd.who.int/dev11/l-ichi/en#/http%3A%2F%2Fid.who.int%2Ficd%2Fentity%2F1021605689","browser")</x:f>
      </x:c>
      <x:c r="L7214" s="0">
        <x:f>hyperlink("https://icat2.azurewebsites.net/icat/?ontology=ICD&amp;tab=ClassesTab&amp;id=http%3A%2F%2Fwho.int%2Ficd%2343632_512ebf36_bf6b_4d70_85da_cf2637062af4","iCat")</x:f>
      </x:c>
      <x:c r="M7214" s="0" t="s">
        <x:v>21</x:v>
      </x:c>
      <x:c r="N7214" s="0" t="s">
        <x:v>46</x:v>
      </x:c>
    </x:row>
    <x:row r="7215" spans="1:16">
      <x:c r="A7215" s="0" t="s">
        <x:v>28720</x:v>
      </x:c>
      <x:c r="B7215" s="0" t="s">
        <x:v>28721</x:v>
      </x:c>
      <x:c r="C7215" s="0" t="s">
        <x:v>28722</x:v>
      </x:c>
      <x:c r="E7215" s="0" t="s">
        <x:v>28723</x:v>
      </x:c>
      <x:c r="F7215" s="0" t="s">
        <x:v>45</x:v>
      </x:c>
      <x:c r="G7215" s="0" t="s">
        <x:v>19</x:v>
      </x:c>
      <x:c r="H7215" s="0" t="s">
        <x:v>20</x:v>
      </x:c>
      <x:c r="I7215" s="0" t="s">
        <x:v>21</x:v>
      </x:c>
      <x:c r="K7215" s="0">
        <x:f>hyperlink("https://icd.who.int/dev11/l-ichi/en#/http%3A%2F%2Fid.who.int%2Ficd%2Fentity%2F937453973","browser")</x:f>
      </x:c>
      <x:c r="L7215" s="0">
        <x:f>hyperlink("https://icat2.azurewebsites.net/icat/?ontology=ICD&amp;tab=ClassesTab&amp;id=http%3A%2F%2Fwho.int%2Ficd%2343639_512ebf36_bf6b_4d70_85da_cf2637062af4","iCat")</x:f>
      </x:c>
      <x:c r="M7215" s="0" t="s">
        <x:v>21</x:v>
      </x:c>
      <x:c r="N7215" s="0" t="s">
        <x:v>46</x:v>
      </x:c>
    </x:row>
    <x:row r="7216" spans="1:16">
      <x:c r="A7216" s="0" t="s">
        <x:v>28724</x:v>
      </x:c>
      <x:c r="B7216" s="0" t="s">
        <x:v>28725</x:v>
      </x:c>
      <x:c r="C7216" s="0" t="s">
        <x:v>28726</x:v>
      </x:c>
      <x:c r="E7216" s="0" t="s">
        <x:v>28727</x:v>
      </x:c>
      <x:c r="F7216" s="0" t="s">
        <x:v>45</x:v>
      </x:c>
      <x:c r="G7216" s="0" t="s">
        <x:v>19</x:v>
      </x:c>
      <x:c r="H7216" s="0" t="s">
        <x:v>20</x:v>
      </x:c>
      <x:c r="I7216" s="0" t="s">
        <x:v>21</x:v>
      </x:c>
      <x:c r="K7216" s="0">
        <x:f>hyperlink("https://icd.who.int/dev11/l-ichi/en#/http%3A%2F%2Fid.who.int%2Ficd%2Fentity%2F959815767","browser")</x:f>
      </x:c>
      <x:c r="L7216" s="0">
        <x:f>hyperlink("https://icat2.azurewebsites.net/icat/?ontology=ICD&amp;tab=ClassesTab&amp;id=http%3A%2F%2Fwho.int%2Ficd%2343646_512ebf36_bf6b_4d70_85da_cf2637062af4","iCat")</x:f>
      </x:c>
      <x:c r="M7216" s="0" t="s">
        <x:v>21</x:v>
      </x:c>
      <x:c r="N7216" s="0" t="s">
        <x:v>46</x:v>
      </x:c>
    </x:row>
    <x:row r="7217" spans="1:16">
      <x:c r="A7217" s="0" t="s">
        <x:v>28728</x:v>
      </x:c>
      <x:c r="B7217" s="0" t="s">
        <x:v>28729</x:v>
      </x:c>
      <x:c r="C7217" s="0" t="s">
        <x:v>28730</x:v>
      </x:c>
      <x:c r="E7217" s="0" t="s">
        <x:v>28731</x:v>
      </x:c>
      <x:c r="F7217" s="0" t="s">
        <x:v>45</x:v>
      </x:c>
      <x:c r="G7217" s="0" t="s">
        <x:v>19</x:v>
      </x:c>
      <x:c r="H7217" s="0" t="s">
        <x:v>20</x:v>
      </x:c>
      <x:c r="I7217" s="0" t="s">
        <x:v>21</x:v>
      </x:c>
      <x:c r="K7217" s="0">
        <x:f>hyperlink("https://icd.who.int/dev11/l-ichi/en#/http%3A%2F%2Fid.who.int%2Ficd%2Fentity%2F1175356232","browser")</x:f>
      </x:c>
      <x:c r="L7217" s="0">
        <x:f>hyperlink("https://icat2.azurewebsites.net/icat/?ontology=ICD&amp;tab=ClassesTab&amp;id=http%3A%2F%2Fwho.int%2Ficd%2343653_512ebf36_bf6b_4d70_85da_cf2637062af4","iCat")</x:f>
      </x:c>
      <x:c r="M7217" s="0" t="s">
        <x:v>21</x:v>
      </x:c>
      <x:c r="N7217" s="0" t="s">
        <x:v>46</x:v>
      </x:c>
    </x:row>
    <x:row r="7218" spans="1:16">
      <x:c r="A7218" s="0" t="s">
        <x:v>28732</x:v>
      </x:c>
      <x:c r="B7218" s="0" t="s">
        <x:v>28733</x:v>
      </x:c>
      <x:c r="C7218" s="0" t="s">
        <x:v>28734</x:v>
      </x:c>
      <x:c r="E7218" s="0" t="s">
        <x:v>28735</x:v>
      </x:c>
      <x:c r="F7218" s="0" t="s">
        <x:v>45</x:v>
      </x:c>
      <x:c r="G7218" s="0" t="s">
        <x:v>19</x:v>
      </x:c>
      <x:c r="H7218" s="0" t="s">
        <x:v>20</x:v>
      </x:c>
      <x:c r="I7218" s="0" t="s">
        <x:v>21</x:v>
      </x:c>
      <x:c r="K7218" s="0">
        <x:f>hyperlink("https://icd.who.int/dev11/l-ichi/en#/http%3A%2F%2Fid.who.int%2Ficd%2Fentity%2F1127918774","browser")</x:f>
      </x:c>
      <x:c r="L7218" s="0">
        <x:f>hyperlink("https://icat2.azurewebsites.net/icat/?ontology=ICD&amp;tab=ClassesTab&amp;id=http%3A%2F%2Fwho.int%2Ficd%2343660_512ebf36_bf6b_4d70_85da_cf2637062af4","iCat")</x:f>
      </x:c>
      <x:c r="M7218" s="0" t="s">
        <x:v>21</x:v>
      </x:c>
      <x:c r="N7218" s="0" t="s">
        <x:v>46</x:v>
      </x:c>
    </x:row>
    <x:row r="7219" spans="1:16">
      <x:c r="A7219" s="0" t="s">
        <x:v>28736</x:v>
      </x:c>
      <x:c r="B7219" s="0" t="s">
        <x:v>28737</x:v>
      </x:c>
      <x:c r="C7219" s="0" t="s">
        <x:v>28738</x:v>
      </x:c>
      <x:c r="E7219" s="0" t="s">
        <x:v>28739</x:v>
      </x:c>
      <x:c r="F7219" s="0" t="s">
        <x:v>45</x:v>
      </x:c>
      <x:c r="G7219" s="0" t="s">
        <x:v>19</x:v>
      </x:c>
      <x:c r="H7219" s="0" t="s">
        <x:v>20</x:v>
      </x:c>
      <x:c r="I7219" s="0" t="s">
        <x:v>21</x:v>
      </x:c>
      <x:c r="K7219" s="0">
        <x:f>hyperlink("https://icd.who.int/dev11/l-ichi/en#/http%3A%2F%2Fid.who.int%2Ficd%2Fentity%2F867698491","browser")</x:f>
      </x:c>
      <x:c r="L7219" s="0">
        <x:f>hyperlink("https://icat2.azurewebsites.net/icat/?ontology=ICD&amp;tab=ClassesTab&amp;id=http%3A%2F%2Fwho.int%2Ficd%2343667_512ebf36_bf6b_4d70_85da_cf2637062af4","iCat")</x:f>
      </x:c>
      <x:c r="M7219" s="0" t="s">
        <x:v>21</x:v>
      </x:c>
      <x:c r="N7219" s="0" t="s">
        <x:v>46</x:v>
      </x:c>
    </x:row>
    <x:row r="7220" spans="1:16">
      <x:c r="A7220" s="0" t="s">
        <x:v>28740</x:v>
      </x:c>
      <x:c r="B7220" s="0" t="s">
        <x:v>28741</x:v>
      </x:c>
      <x:c r="C7220" s="0" t="s">
        <x:v>28742</x:v>
      </x:c>
      <x:c r="E7220" s="0" t="s">
        <x:v>28743</x:v>
      </x:c>
      <x:c r="F7220" s="0" t="s">
        <x:v>45</x:v>
      </x:c>
      <x:c r="G7220" s="0" t="s">
        <x:v>19</x:v>
      </x:c>
      <x:c r="H7220" s="0" t="s">
        <x:v>20</x:v>
      </x:c>
      <x:c r="I7220" s="0" t="s">
        <x:v>21</x:v>
      </x:c>
      <x:c r="K7220" s="0">
        <x:f>hyperlink("https://icd.who.int/dev11/l-ichi/en#/http%3A%2F%2Fid.who.int%2Ficd%2Fentity%2F486079893","browser")</x:f>
      </x:c>
      <x:c r="L7220" s="0">
        <x:f>hyperlink("https://icat2.azurewebsites.net/icat/?ontology=ICD&amp;tab=ClassesTab&amp;id=http%3A%2F%2Fwho.int%2Ficd%2343674_512ebf36_bf6b_4d70_85da_cf2637062af4","iCat")</x:f>
      </x:c>
      <x:c r="M7220" s="0" t="s">
        <x:v>21</x:v>
      </x:c>
      <x:c r="N7220" s="0" t="s">
        <x:v>46</x:v>
      </x:c>
    </x:row>
    <x:row r="7221" spans="1:16">
      <x:c r="A7221" s="0" t="s">
        <x:v>28744</x:v>
      </x:c>
      <x:c r="B7221" s="0" t="s">
        <x:v>28745</x:v>
      </x:c>
      <x:c r="C7221" s="0" t="s">
        <x:v>28746</x:v>
      </x:c>
      <x:c r="E7221" s="0" t="s">
        <x:v>28747</x:v>
      </x:c>
      <x:c r="F7221" s="0" t="s">
        <x:v>45</x:v>
      </x:c>
      <x:c r="G7221" s="0" t="s">
        <x:v>19</x:v>
      </x:c>
      <x:c r="H7221" s="0" t="s">
        <x:v>20</x:v>
      </x:c>
      <x:c r="I7221" s="0" t="s">
        <x:v>21</x:v>
      </x:c>
      <x:c r="K7221" s="0">
        <x:f>hyperlink("https://icd.who.int/dev11/l-ichi/en#/http%3A%2F%2Fid.who.int%2Ficd%2Fentity%2F652280067","browser")</x:f>
      </x:c>
      <x:c r="L7221" s="0">
        <x:f>hyperlink("https://icat2.azurewebsites.net/icat/?ontology=ICD&amp;tab=ClassesTab&amp;id=http%3A%2F%2Fwho.int%2Ficd%2343681_512ebf36_bf6b_4d70_85da_cf2637062af4","iCat")</x:f>
      </x:c>
      <x:c r="M7221" s="0" t="s">
        <x:v>21</x:v>
      </x:c>
      <x:c r="N7221" s="0" t="s">
        <x:v>46</x:v>
      </x:c>
    </x:row>
    <x:row r="7222" spans="1:16">
      <x:c r="A7222" s="0" t="s">
        <x:v>28748</x:v>
      </x:c>
      <x:c r="B7222" s="0" t="s">
        <x:v>28749</x:v>
      </x:c>
      <x:c r="C7222" s="0" t="s">
        <x:v>28750</x:v>
      </x:c>
      <x:c r="E7222" s="0" t="s">
        <x:v>28751</x:v>
      </x:c>
      <x:c r="F7222" s="0" t="s">
        <x:v>45</x:v>
      </x:c>
      <x:c r="G7222" s="0" t="s">
        <x:v>19</x:v>
      </x:c>
      <x:c r="H7222" s="0" t="s">
        <x:v>20</x:v>
      </x:c>
      <x:c r="I7222" s="0" t="s">
        <x:v>21</x:v>
      </x:c>
      <x:c r="K7222" s="0">
        <x:f>hyperlink("https://icd.who.int/dev11/l-ichi/en#/http%3A%2F%2Fid.who.int%2Ficd%2Fentity%2F2032357408","browser")</x:f>
      </x:c>
      <x:c r="L7222" s="0">
        <x:f>hyperlink("https://icat2.azurewebsites.net/icat/?ontology=ICD&amp;tab=ClassesTab&amp;id=http%3A%2F%2Fwho.int%2Ficd%2343695_512ebf36_bf6b_4d70_85da_cf2637062af4","iCat")</x:f>
      </x:c>
      <x:c r="M7222" s="0" t="s">
        <x:v>21</x:v>
      </x:c>
      <x:c r="N7222" s="0" t="s">
        <x:v>46</x:v>
      </x:c>
    </x:row>
    <x:row r="7223" spans="1:16">
      <x:c r="A7223" s="0" t="s">
        <x:v>28752</x:v>
      </x:c>
      <x:c r="B7223" s="0" t="s">
        <x:v>28753</x:v>
      </x:c>
      <x:c r="C7223" s="0" t="s">
        <x:v>28754</x:v>
      </x:c>
      <x:c r="E7223" s="0" t="s">
        <x:v>28755</x:v>
      </x:c>
      <x:c r="F7223" s="0" t="s">
        <x:v>45</x:v>
      </x:c>
      <x:c r="G7223" s="0" t="s">
        <x:v>19</x:v>
      </x:c>
      <x:c r="H7223" s="0" t="s">
        <x:v>20</x:v>
      </x:c>
      <x:c r="I7223" s="0" t="s">
        <x:v>21</x:v>
      </x:c>
      <x:c r="K7223" s="0">
        <x:f>hyperlink("https://icd.who.int/dev11/l-ichi/en#/http%3A%2F%2Fid.who.int%2Ficd%2Fentity%2F164295075","browser")</x:f>
      </x:c>
      <x:c r="L7223" s="0">
        <x:f>hyperlink("https://icat2.azurewebsites.net/icat/?ontology=ICD&amp;tab=ClassesTab&amp;id=http%3A%2F%2Fwho.int%2Ficd%2343702_512ebf36_bf6b_4d70_85da_cf2637062af4","iCat")</x:f>
      </x:c>
      <x:c r="M7223" s="0" t="s">
        <x:v>21</x:v>
      </x:c>
      <x:c r="N7223" s="0" t="s">
        <x:v>46</x:v>
      </x:c>
    </x:row>
    <x:row r="7224" spans="1:16">
      <x:c r="A7224" s="0" t="s">
        <x:v>28756</x:v>
      </x:c>
      <x:c r="B7224" s="0" t="s">
        <x:v>28757</x:v>
      </x:c>
      <x:c r="C7224" s="0" t="s">
        <x:v>28758</x:v>
      </x:c>
      <x:c r="E7224" s="0" t="s">
        <x:v>28759</x:v>
      </x:c>
      <x:c r="F7224" s="0" t="s">
        <x:v>45</x:v>
      </x:c>
      <x:c r="G7224" s="0" t="s">
        <x:v>19</x:v>
      </x:c>
      <x:c r="H7224" s="0" t="s">
        <x:v>20</x:v>
      </x:c>
      <x:c r="I7224" s="0" t="s">
        <x:v>21</x:v>
      </x:c>
      <x:c r="K7224" s="0">
        <x:f>hyperlink("https://icd.who.int/dev11/l-ichi/en#/http%3A%2F%2Fid.who.int%2Ficd%2Fentity%2F47116047","browser")</x:f>
      </x:c>
      <x:c r="L7224" s="0">
        <x:f>hyperlink("https://icat2.azurewebsites.net/icat/?ontology=ICD&amp;tab=ClassesTab&amp;id=http%3A%2F%2Fwho.int%2Ficd%2343709_512ebf36_bf6b_4d70_85da_cf2637062af4","iCat")</x:f>
      </x:c>
      <x:c r="M7224" s="0" t="s">
        <x:v>21</x:v>
      </x:c>
      <x:c r="N7224" s="0" t="s">
        <x:v>46</x:v>
      </x:c>
    </x:row>
    <x:row r="7225" spans="1:16">
      <x:c r="A7225" s="0" t="s">
        <x:v>28760</x:v>
      </x:c>
      <x:c r="B7225" s="0" t="s">
        <x:v>28761</x:v>
      </x:c>
      <x:c r="C7225" s="0" t="s">
        <x:v>28762</x:v>
      </x:c>
      <x:c r="E7225" s="0" t="s">
        <x:v>28763</x:v>
      </x:c>
      <x:c r="F7225" s="0" t="s">
        <x:v>45</x:v>
      </x:c>
      <x:c r="G7225" s="0" t="s">
        <x:v>19</x:v>
      </x:c>
      <x:c r="H7225" s="0" t="s">
        <x:v>20</x:v>
      </x:c>
      <x:c r="I7225" s="0" t="s">
        <x:v>21</x:v>
      </x:c>
      <x:c r="K7225" s="0">
        <x:f>hyperlink("https://icd.who.int/dev11/l-ichi/en#/http%3A%2F%2Fid.who.int%2Ficd%2Fentity%2F1443405952","browser")</x:f>
      </x:c>
      <x:c r="L7225" s="0">
        <x:f>hyperlink("https://icat2.azurewebsites.net/icat/?ontology=ICD&amp;tab=ClassesTab&amp;id=http%3A%2F%2Fwho.int%2Ficd%2343716_512ebf36_bf6b_4d70_85da_cf2637062af4","iCat")</x:f>
      </x:c>
      <x:c r="M7225" s="0" t="s">
        <x:v>21</x:v>
      </x:c>
      <x:c r="N7225" s="0" t="s">
        <x:v>46</x:v>
      </x:c>
    </x:row>
    <x:row r="7226" spans="1:16">
      <x:c r="A7226" s="0" t="s">
        <x:v>28764</x:v>
      </x:c>
      <x:c r="B7226" s="0" t="s">
        <x:v>28765</x:v>
      </x:c>
      <x:c r="C7226" s="0" t="s">
        <x:v>28766</x:v>
      </x:c>
      <x:c r="E7226" s="0" t="s">
        <x:v>28767</x:v>
      </x:c>
      <x:c r="F7226" s="0" t="s">
        <x:v>45</x:v>
      </x:c>
      <x:c r="G7226" s="0" t="s">
        <x:v>19</x:v>
      </x:c>
      <x:c r="H7226" s="0" t="s">
        <x:v>20</x:v>
      </x:c>
      <x:c r="I7226" s="0" t="s">
        <x:v>21</x:v>
      </x:c>
      <x:c r="K7226" s="0">
        <x:f>hyperlink("https://icd.who.int/dev11/l-ichi/en#/http%3A%2F%2Fid.who.int%2Ficd%2Fentity%2F55006927","browser")</x:f>
      </x:c>
      <x:c r="L7226" s="0">
        <x:f>hyperlink("https://icat2.azurewebsites.net/icat/?ontology=ICD&amp;tab=ClassesTab&amp;id=http%3A%2F%2Fwho.int%2Ficd%2343723_512ebf36_bf6b_4d70_85da_cf2637062af4","iCat")</x:f>
      </x:c>
      <x:c r="M7226" s="0" t="s">
        <x:v>21</x:v>
      </x:c>
      <x:c r="N7226" s="0" t="s">
        <x:v>46</x:v>
      </x:c>
    </x:row>
    <x:row r="7227" spans="1:16">
      <x:c r="A7227" s="0" t="s">
        <x:v>28768</x:v>
      </x:c>
      <x:c r="B7227" s="0" t="s">
        <x:v>28769</x:v>
      </x:c>
      <x:c r="C7227" s="0" t="s">
        <x:v>28770</x:v>
      </x:c>
      <x:c r="E7227" s="0" t="s">
        <x:v>28771</x:v>
      </x:c>
      <x:c r="F7227" s="0" t="s">
        <x:v>45</x:v>
      </x:c>
      <x:c r="G7227" s="0" t="s">
        <x:v>19</x:v>
      </x:c>
      <x:c r="H7227" s="0" t="s">
        <x:v>20</x:v>
      </x:c>
      <x:c r="I7227" s="0" t="s">
        <x:v>21</x:v>
      </x:c>
      <x:c r="K7227" s="0">
        <x:f>hyperlink("https://icd.who.int/dev11/l-ichi/en#/http%3A%2F%2Fid.who.int%2Ficd%2Fentity%2F738700385","browser")</x:f>
      </x:c>
      <x:c r="L7227" s="0">
        <x:f>hyperlink("https://icat2.azurewebsites.net/icat/?ontology=ICD&amp;tab=ClassesTab&amp;id=http%3A%2F%2Fwho.int%2Ficd%2343730_512ebf36_bf6b_4d70_85da_cf2637062af4","iCat")</x:f>
      </x:c>
      <x:c r="M7227" s="0" t="s">
        <x:v>21</x:v>
      </x:c>
      <x:c r="N7227" s="0" t="s">
        <x:v>46</x:v>
      </x:c>
    </x:row>
    <x:row r="7228" spans="1:16">
      <x:c r="A7228" s="0" t="s">
        <x:v>28772</x:v>
      </x:c>
      <x:c r="B7228" s="0" t="s">
        <x:v>28773</x:v>
      </x:c>
      <x:c r="C7228" s="0" t="s">
        <x:v>28774</x:v>
      </x:c>
      <x:c r="E7228" s="0" t="s">
        <x:v>28775</x:v>
      </x:c>
      <x:c r="F7228" s="0" t="s">
        <x:v>45</x:v>
      </x:c>
      <x:c r="G7228" s="0" t="s">
        <x:v>19</x:v>
      </x:c>
      <x:c r="H7228" s="0" t="s">
        <x:v>20</x:v>
      </x:c>
      <x:c r="I7228" s="0" t="s">
        <x:v>21</x:v>
      </x:c>
      <x:c r="K7228" s="0">
        <x:f>hyperlink("https://icd.who.int/dev11/l-ichi/en#/http%3A%2F%2Fid.who.int%2Ficd%2Fentity%2F1552222188","browser")</x:f>
      </x:c>
      <x:c r="L7228" s="0">
        <x:f>hyperlink("https://icat2.azurewebsites.net/icat/?ontology=ICD&amp;tab=ClassesTab&amp;id=http%3A%2F%2Fwho.int%2Ficd%2343737_512ebf36_bf6b_4d70_85da_cf2637062af4","iCat")</x:f>
      </x:c>
      <x:c r="M7228" s="0" t="s">
        <x:v>21</x:v>
      </x:c>
      <x:c r="N7228" s="0" t="s">
        <x:v>46</x:v>
      </x:c>
    </x:row>
    <x:row r="7229" spans="1:16">
      <x:c r="A7229" s="0" t="s">
        <x:v>28776</x:v>
      </x:c>
      <x:c r="B7229" s="0" t="s">
        <x:v>28777</x:v>
      </x:c>
      <x:c r="C7229" s="0" t="s">
        <x:v>28778</x:v>
      </x:c>
      <x:c r="E7229" s="0" t="s">
        <x:v>28779</x:v>
      </x:c>
      <x:c r="F7229" s="0" t="s">
        <x:v>45</x:v>
      </x:c>
      <x:c r="G7229" s="0" t="s">
        <x:v>19</x:v>
      </x:c>
      <x:c r="H7229" s="0" t="s">
        <x:v>20</x:v>
      </x:c>
      <x:c r="I7229" s="0" t="s">
        <x:v>21</x:v>
      </x:c>
      <x:c r="K7229" s="0">
        <x:f>hyperlink("https://icd.who.int/dev11/l-ichi/en#/http%3A%2F%2Fid.who.int%2Ficd%2Fentity%2F701922063","browser")</x:f>
      </x:c>
      <x:c r="L7229" s="0">
        <x:f>hyperlink("https://icat2.azurewebsites.net/icat/?ontology=ICD&amp;tab=ClassesTab&amp;id=http%3A%2F%2Fwho.int%2Ficd%2343744_512ebf36_bf6b_4d70_85da_cf2637062af4","iCat")</x:f>
      </x:c>
      <x:c r="M7229" s="0" t="s">
        <x:v>21</x:v>
      </x:c>
      <x:c r="N7229" s="0" t="s">
        <x:v>46</x:v>
      </x:c>
    </x:row>
    <x:row r="7230" spans="1:16">
      <x:c r="A7230" s="0" t="s">
        <x:v>28780</x:v>
      </x:c>
      <x:c r="B7230" s="0" t="s">
        <x:v>28781</x:v>
      </x:c>
      <x:c r="C7230" s="0" t="s">
        <x:v>28782</x:v>
      </x:c>
      <x:c r="E7230" s="0" t="s">
        <x:v>28783</x:v>
      </x:c>
      <x:c r="F7230" s="0" t="s">
        <x:v>45</x:v>
      </x:c>
      <x:c r="G7230" s="0" t="s">
        <x:v>19</x:v>
      </x:c>
      <x:c r="H7230" s="0" t="s">
        <x:v>20</x:v>
      </x:c>
      <x:c r="I7230" s="0" t="s">
        <x:v>21</x:v>
      </x:c>
      <x:c r="K7230" s="0">
        <x:f>hyperlink("https://icd.who.int/dev11/l-ichi/en#/http%3A%2F%2Fid.who.int%2Ficd%2Fentity%2F1458395152","browser")</x:f>
      </x:c>
      <x:c r="L7230" s="0">
        <x:f>hyperlink("https://icat2.azurewebsites.net/icat/?ontology=ICD&amp;tab=ClassesTab&amp;id=http%3A%2F%2Fwho.int%2Ficd%2343751_512ebf36_bf6b_4d70_85da_cf2637062af4","iCat")</x:f>
      </x:c>
      <x:c r="M7230" s="0" t="s">
        <x:v>21</x:v>
      </x:c>
      <x:c r="N7230" s="0" t="s">
        <x:v>46</x:v>
      </x:c>
    </x:row>
    <x:row r="7231" spans="1:16">
      <x:c r="A7231" s="0" t="s">
        <x:v>28784</x:v>
      </x:c>
      <x:c r="B7231" s="0" t="s">
        <x:v>28785</x:v>
      </x:c>
      <x:c r="C7231" s="0" t="s">
        <x:v>28786</x:v>
      </x:c>
      <x:c r="E7231" s="0" t="s">
        <x:v>28787</x:v>
      </x:c>
      <x:c r="F7231" s="0" t="s">
        <x:v>45</x:v>
      </x:c>
      <x:c r="G7231" s="0" t="s">
        <x:v>19</x:v>
      </x:c>
      <x:c r="H7231" s="0" t="s">
        <x:v>20</x:v>
      </x:c>
      <x:c r="I7231" s="0" t="s">
        <x:v>21</x:v>
      </x:c>
      <x:c r="K7231" s="0">
        <x:f>hyperlink("https://icd.who.int/dev11/l-ichi/en#/http%3A%2F%2Fid.who.int%2Ficd%2Fentity%2F949312377","browser")</x:f>
      </x:c>
      <x:c r="L7231" s="0">
        <x:f>hyperlink("https://icat2.azurewebsites.net/icat/?ontology=ICD&amp;tab=ClassesTab&amp;id=http%3A%2F%2Fwho.int%2Ficd%2343758_512ebf36_bf6b_4d70_85da_cf2637062af4","iCat")</x:f>
      </x:c>
      <x:c r="M7231" s="0" t="s">
        <x:v>21</x:v>
      </x:c>
      <x:c r="N7231" s="0" t="s">
        <x:v>46</x:v>
      </x:c>
    </x:row>
    <x:row r="7232" spans="1:16">
      <x:c r="A7232" s="0" t="s">
        <x:v>28788</x:v>
      </x:c>
      <x:c r="B7232" s="0" t="s">
        <x:v>28789</x:v>
      </x:c>
      <x:c r="C7232" s="0" t="s">
        <x:v>28790</x:v>
      </x:c>
      <x:c r="E7232" s="0" t="s">
        <x:v>28791</x:v>
      </x:c>
      <x:c r="F7232" s="0" t="s">
        <x:v>45</x:v>
      </x:c>
      <x:c r="G7232" s="0" t="s">
        <x:v>19</x:v>
      </x:c>
      <x:c r="H7232" s="0" t="s">
        <x:v>20</x:v>
      </x:c>
      <x:c r="I7232" s="0" t="s">
        <x:v>21</x:v>
      </x:c>
      <x:c r="K7232" s="0">
        <x:f>hyperlink("https://icd.who.int/dev11/l-ichi/en#/http%3A%2F%2Fid.who.int%2Ficd%2Fentity%2F593222755","browser")</x:f>
      </x:c>
      <x:c r="L7232" s="0">
        <x:f>hyperlink("https://icat2.azurewebsites.net/icat/?ontology=ICD&amp;tab=ClassesTab&amp;id=http%3A%2F%2Fwho.int%2Ficd%2343765_512ebf36_bf6b_4d70_85da_cf2637062af4","iCat")</x:f>
      </x:c>
      <x:c r="M7232" s="0" t="s">
        <x:v>21</x:v>
      </x:c>
      <x:c r="N7232" s="0" t="s">
        <x:v>46</x:v>
      </x:c>
    </x:row>
    <x:row r="7233" spans="1:16">
      <x:c r="A7233" s="0" t="s">
        <x:v>28792</x:v>
      </x:c>
      <x:c r="B7233" s="0" t="s">
        <x:v>28793</x:v>
      </x:c>
      <x:c r="C7233" s="0" t="s">
        <x:v>28794</x:v>
      </x:c>
      <x:c r="E7233" s="0" t="s">
        <x:v>28795</x:v>
      </x:c>
      <x:c r="F7233" s="0" t="s">
        <x:v>45</x:v>
      </x:c>
      <x:c r="G7233" s="0" t="s">
        <x:v>19</x:v>
      </x:c>
      <x:c r="H7233" s="0" t="s">
        <x:v>20</x:v>
      </x:c>
      <x:c r="I7233" s="0" t="s">
        <x:v>21</x:v>
      </x:c>
      <x:c r="K7233" s="0">
        <x:f>hyperlink("https://icd.who.int/dev11/l-ichi/en#/http%3A%2F%2Fid.who.int%2Ficd%2Fentity%2F958194361","browser")</x:f>
      </x:c>
      <x:c r="L7233" s="0">
        <x:f>hyperlink("https://icat2.azurewebsites.net/icat/?ontology=ICD&amp;tab=ClassesTab&amp;id=http%3A%2F%2Fwho.int%2Ficd%2343772_512ebf36_bf6b_4d70_85da_cf2637062af4","iCat")</x:f>
      </x:c>
      <x:c r="M7233" s="0" t="s">
        <x:v>21</x:v>
      </x:c>
      <x:c r="N7233" s="0" t="s">
        <x:v>46</x:v>
      </x:c>
    </x:row>
    <x:row r="7234" spans="1:16">
      <x:c r="A7234" s="0" t="s">
        <x:v>28796</x:v>
      </x:c>
      <x:c r="B7234" s="0" t="s">
        <x:v>28797</x:v>
      </x:c>
      <x:c r="C7234" s="0" t="s">
        <x:v>28798</x:v>
      </x:c>
      <x:c r="E7234" s="0" t="s">
        <x:v>28799</x:v>
      </x:c>
      <x:c r="F7234" s="0" t="s">
        <x:v>45</x:v>
      </x:c>
      <x:c r="G7234" s="0" t="s">
        <x:v>19</x:v>
      </x:c>
      <x:c r="H7234" s="0" t="s">
        <x:v>20</x:v>
      </x:c>
      <x:c r="I7234" s="0" t="s">
        <x:v>21</x:v>
      </x:c>
      <x:c r="K7234" s="0">
        <x:f>hyperlink("https://icd.who.int/dev11/l-ichi/en#/http%3A%2F%2Fid.who.int%2Ficd%2Fentity%2F840498197","browser")</x:f>
      </x:c>
      <x:c r="L7234" s="0">
        <x:f>hyperlink("https://icat2.azurewebsites.net/icat/?ontology=ICD&amp;tab=ClassesTab&amp;id=http%3A%2F%2Fwho.int%2Ficd%2343779_512ebf36_bf6b_4d70_85da_cf2637062af4","iCat")</x:f>
      </x:c>
      <x:c r="M7234" s="0" t="s">
        <x:v>21</x:v>
      </x:c>
      <x:c r="N7234" s="0" t="s">
        <x:v>46</x:v>
      </x:c>
    </x:row>
    <x:row r="7235" spans="1:16">
      <x:c r="A7235" s="0" t="s">
        <x:v>28800</x:v>
      </x:c>
      <x:c r="B7235" s="0" t="s">
        <x:v>28801</x:v>
      </x:c>
      <x:c r="C7235" s="0" t="s">
        <x:v>28802</x:v>
      </x:c>
      <x:c r="E7235" s="0" t="s">
        <x:v>28803</x:v>
      </x:c>
      <x:c r="F7235" s="0" t="s">
        <x:v>45</x:v>
      </x:c>
      <x:c r="G7235" s="0" t="s">
        <x:v>19</x:v>
      </x:c>
      <x:c r="H7235" s="0" t="s">
        <x:v>20</x:v>
      </x:c>
      <x:c r="I7235" s="0" t="s">
        <x:v>21</x:v>
      </x:c>
      <x:c r="K7235" s="0">
        <x:f>hyperlink("https://icd.who.int/dev11/l-ichi/en#/http%3A%2F%2Fid.who.int%2Ficd%2Fentity%2F603745299","browser")</x:f>
      </x:c>
      <x:c r="L7235" s="0">
        <x:f>hyperlink("https://icat2.azurewebsites.net/icat/?ontology=ICD&amp;tab=ClassesTab&amp;id=http%3A%2F%2Fwho.int%2Ficd%2343786_512ebf36_bf6b_4d70_85da_cf2637062af4","iCat")</x:f>
      </x:c>
      <x:c r="M7235" s="0" t="s">
        <x:v>21</x:v>
      </x:c>
      <x:c r="N7235" s="0" t="s">
        <x:v>46</x:v>
      </x:c>
    </x:row>
    <x:row r="7236" spans="1:16">
      <x:c r="A7236" s="0" t="s">
        <x:v>28804</x:v>
      </x:c>
      <x:c r="B7236" s="0" t="s">
        <x:v>28805</x:v>
      </x:c>
      <x:c r="C7236" s="0" t="s">
        <x:v>28806</x:v>
      </x:c>
      <x:c r="E7236" s="0" t="s">
        <x:v>28807</x:v>
      </x:c>
      <x:c r="F7236" s="0" t="s">
        <x:v>45</x:v>
      </x:c>
      <x:c r="G7236" s="0" t="s">
        <x:v>19</x:v>
      </x:c>
      <x:c r="H7236" s="0" t="s">
        <x:v>20</x:v>
      </x:c>
      <x:c r="I7236" s="0" t="s">
        <x:v>21</x:v>
      </x:c>
      <x:c r="K7236" s="0">
        <x:f>hyperlink("https://icd.who.int/dev11/l-ichi/en#/http%3A%2F%2Fid.who.int%2Ficd%2Fentity%2F1556565774","browser")</x:f>
      </x:c>
      <x:c r="L7236" s="0">
        <x:f>hyperlink("https://icat2.azurewebsites.net/icat/?ontology=ICD&amp;tab=ClassesTab&amp;id=http%3A%2F%2Fwho.int%2Ficd%2343793_512ebf36_bf6b_4d70_85da_cf2637062af4","iCat")</x:f>
      </x:c>
      <x:c r="M7236" s="0" t="s">
        <x:v>21</x:v>
      </x:c>
      <x:c r="N7236" s="0" t="s">
        <x:v>46</x:v>
      </x:c>
    </x:row>
    <x:row r="7237" spans="1:16">
      <x:c r="A7237" s="0" t="s">
        <x:v>28808</x:v>
      </x:c>
      <x:c r="B7237" s="0" t="s">
        <x:v>28809</x:v>
      </x:c>
      <x:c r="C7237" s="0" t="s">
        <x:v>28810</x:v>
      </x:c>
      <x:c r="E7237" s="0" t="s">
        <x:v>28811</x:v>
      </x:c>
      <x:c r="F7237" s="0" t="s">
        <x:v>45</x:v>
      </x:c>
      <x:c r="G7237" s="0" t="s">
        <x:v>19</x:v>
      </x:c>
      <x:c r="H7237" s="0" t="s">
        <x:v>20</x:v>
      </x:c>
      <x:c r="I7237" s="0" t="s">
        <x:v>21</x:v>
      </x:c>
      <x:c r="K7237" s="0">
        <x:f>hyperlink("https://icd.who.int/dev11/l-ichi/en#/http%3A%2F%2Fid.who.int%2Ficd%2Fentity%2F452688992","browser")</x:f>
      </x:c>
      <x:c r="L7237" s="0">
        <x:f>hyperlink("https://icat2.azurewebsites.net/icat/?ontology=ICD&amp;tab=ClassesTab&amp;id=http%3A%2F%2Fwho.int%2Ficd%2343800_512ebf36_bf6b_4d70_85da_cf2637062af4","iCat")</x:f>
      </x:c>
      <x:c r="M7237" s="0" t="s">
        <x:v>21</x:v>
      </x:c>
      <x:c r="N7237" s="0" t="s">
        <x:v>46</x:v>
      </x:c>
    </x:row>
    <x:row r="7238" spans="1:16">
      <x:c r="A7238" s="0" t="s">
        <x:v>28812</x:v>
      </x:c>
      <x:c r="B7238" s="0" t="s">
        <x:v>28813</x:v>
      </x:c>
      <x:c r="C7238" s="0" t="s">
        <x:v>28814</x:v>
      </x:c>
      <x:c r="E7238" s="0" t="s">
        <x:v>28815</x:v>
      </x:c>
      <x:c r="F7238" s="0" t="s">
        <x:v>45</x:v>
      </x:c>
      <x:c r="G7238" s="0" t="s">
        <x:v>19</x:v>
      </x:c>
      <x:c r="H7238" s="0" t="s">
        <x:v>20</x:v>
      </x:c>
      <x:c r="I7238" s="0" t="s">
        <x:v>21</x:v>
      </x:c>
      <x:c r="K7238" s="0">
        <x:f>hyperlink("https://icd.who.int/dev11/l-ichi/en#/http%3A%2F%2Fid.who.int%2Ficd%2Fentity%2F1786370029","browser")</x:f>
      </x:c>
      <x:c r="L7238" s="0">
        <x:f>hyperlink("https://icat2.azurewebsites.net/icat/?ontology=ICD&amp;tab=ClassesTab&amp;id=http%3A%2F%2Fwho.int%2Ficd%2343807_512ebf36_bf6b_4d70_85da_cf2637062af4","iCat")</x:f>
      </x:c>
      <x:c r="M7238" s="0" t="s">
        <x:v>21</x:v>
      </x:c>
      <x:c r="N7238" s="0" t="s">
        <x:v>46</x:v>
      </x:c>
    </x:row>
    <x:row r="7239" spans="1:16">
      <x:c r="A7239" s="0" t="s">
        <x:v>28816</x:v>
      </x:c>
      <x:c r="B7239" s="0" t="s">
        <x:v>28817</x:v>
      </x:c>
      <x:c r="D7239" s="0" t="s">
        <x:v>28818</x:v>
      </x:c>
      <x:c r="E7239" s="0" t="s">
        <x:v>28819</x:v>
      </x:c>
      <x:c r="F7239" s="0" t="s">
        <x:v>26</x:v>
      </x:c>
      <x:c r="G7239" s="0" t="s">
        <x:v>22</x:v>
      </x:c>
      <x:c r="H7239" s="0" t="s">
        <x:v>20</x:v>
      </x:c>
      <x:c r="I7239" s="0" t="s">
        <x:v>21</x:v>
      </x:c>
      <x:c r="K7239" s="0">
        <x:f>hyperlink("https://icd.who.int/dev11/l-ichi/en#/http%3A%2F%2Fid.who.int%2Ficd%2Fentity%2F1707106175","browser")</x:f>
      </x:c>
      <x:c r="L7239" s="0">
        <x:f>hyperlink("https://icat2.azurewebsites.net/icat/?ontology=ICD&amp;tab=ClassesTab&amp;id=http%3A%2F%2Fwho.int%2Ficd%2343815_512ebf36_bf6b_4d70_85da_cf2637062af4","iCat")</x:f>
      </x:c>
      <x:c r="M7239" s="0" t="s">
        <x:v>20</x:v>
      </x:c>
      <x:c r="N7239" s="0" t="s">
        <x:v>28820</x:v>
      </x:c>
    </x:row>
    <x:row r="7240" spans="1:16">
      <x:c r="A7240" s="0" t="s">
        <x:v>28821</x:v>
      </x:c>
      <x:c r="B7240" s="0" t="s">
        <x:v>28822</x:v>
      </x:c>
      <x:c r="C7240" s="0" t="s">
        <x:v>28823</x:v>
      </x:c>
      <x:c r="E7240" s="0" t="s">
        <x:v>28824</x:v>
      </x:c>
      <x:c r="F7240" s="0" t="s">
        <x:v>45</x:v>
      </x:c>
      <x:c r="G7240" s="0" t="s">
        <x:v>19</x:v>
      </x:c>
      <x:c r="H7240" s="0" t="s">
        <x:v>20</x:v>
      </x:c>
      <x:c r="I7240" s="0" t="s">
        <x:v>21</x:v>
      </x:c>
      <x:c r="K7240" s="0">
        <x:f>hyperlink("https://icd.who.int/dev11/l-ichi/en#/http%3A%2F%2Fid.who.int%2Ficd%2Fentity%2F1161375043","browser")</x:f>
      </x:c>
      <x:c r="L7240" s="0">
        <x:f>hyperlink("https://icat2.azurewebsites.net/icat/?ontology=ICD&amp;tab=ClassesTab&amp;id=http%3A%2F%2Fwho.int%2Ficd%2343814_512ebf36_bf6b_4d70_85da_cf2637062af4","iCat")</x:f>
      </x:c>
      <x:c r="M7240" s="0" t="s">
        <x:v>21</x:v>
      </x:c>
      <x:c r="N7240" s="0" t="s">
        <x:v>46</x:v>
      </x:c>
    </x:row>
    <x:row r="7241" spans="1:16">
      <x:c r="A7241" s="0" t="s">
        <x:v>28825</x:v>
      </x:c>
      <x:c r="B7241" s="0" t="s">
        <x:v>28826</x:v>
      </x:c>
      <x:c r="C7241" s="0" t="s">
        <x:v>28827</x:v>
      </x:c>
      <x:c r="E7241" s="0" t="s">
        <x:v>28828</x:v>
      </x:c>
      <x:c r="F7241" s="0" t="s">
        <x:v>45</x:v>
      </x:c>
      <x:c r="G7241" s="0" t="s">
        <x:v>19</x:v>
      </x:c>
      <x:c r="H7241" s="0" t="s">
        <x:v>20</x:v>
      </x:c>
      <x:c r="I7241" s="0" t="s">
        <x:v>21</x:v>
      </x:c>
      <x:c r="K7241" s="0">
        <x:f>hyperlink("https://icd.who.int/dev11/l-ichi/en#/http%3A%2F%2Fid.who.int%2Ficd%2Fentity%2F1074594493","browser")</x:f>
      </x:c>
      <x:c r="L7241" s="0">
        <x:f>hyperlink("https://icat2.azurewebsites.net/icat/?ontology=ICD&amp;tab=ClassesTab&amp;id=http%3A%2F%2Fwho.int%2Ficd%2343827_512ebf36_bf6b_4d70_85da_cf2637062af4","iCat")</x:f>
      </x:c>
      <x:c r="M7241" s="0" t="s">
        <x:v>21</x:v>
      </x:c>
      <x:c r="N7241" s="0" t="s">
        <x:v>46</x:v>
      </x:c>
    </x:row>
    <x:row r="7242" spans="1:16">
      <x:c r="A7242" s="0" t="s">
        <x:v>28829</x:v>
      </x:c>
      <x:c r="B7242" s="0" t="s">
        <x:v>28830</x:v>
      </x:c>
      <x:c r="C7242" s="0" t="s">
        <x:v>28831</x:v>
      </x:c>
      <x:c r="E7242" s="0" t="s">
        <x:v>28832</x:v>
      </x:c>
      <x:c r="F7242" s="0" t="s">
        <x:v>45</x:v>
      </x:c>
      <x:c r="G7242" s="0" t="s">
        <x:v>19</x:v>
      </x:c>
      <x:c r="H7242" s="0" t="s">
        <x:v>20</x:v>
      </x:c>
      <x:c r="I7242" s="0" t="s">
        <x:v>21</x:v>
      </x:c>
      <x:c r="K7242" s="0">
        <x:f>hyperlink("https://icd.who.int/dev11/l-ichi/en#/http%3A%2F%2Fid.who.int%2Ficd%2Fentity%2F1867380755","browser")</x:f>
      </x:c>
      <x:c r="L7242" s="0">
        <x:f>hyperlink("https://icat2.azurewebsites.net/icat/?ontology=ICD&amp;tab=ClassesTab&amp;id=http%3A%2F%2Fwho.int%2Ficd%2343834_512ebf36_bf6b_4d70_85da_cf2637062af4","iCat")</x:f>
      </x:c>
      <x:c r="M7242" s="0" t="s">
        <x:v>21</x:v>
      </x:c>
      <x:c r="N7242" s="0" t="s">
        <x:v>46</x:v>
      </x:c>
    </x:row>
    <x:row r="7243" spans="1:16">
      <x:c r="A7243" s="0" t="s">
        <x:v>28833</x:v>
      </x:c>
      <x:c r="B7243" s="0" t="s">
        <x:v>28834</x:v>
      </x:c>
      <x:c r="C7243" s="0" t="s">
        <x:v>28835</x:v>
      </x:c>
      <x:c r="E7243" s="0" t="s">
        <x:v>28836</x:v>
      </x:c>
      <x:c r="F7243" s="0" t="s">
        <x:v>45</x:v>
      </x:c>
      <x:c r="G7243" s="0" t="s">
        <x:v>19</x:v>
      </x:c>
      <x:c r="H7243" s="0" t="s">
        <x:v>20</x:v>
      </x:c>
      <x:c r="I7243" s="0" t="s">
        <x:v>21</x:v>
      </x:c>
      <x:c r="K7243" s="0">
        <x:f>hyperlink("https://icd.who.int/dev11/l-ichi/en#/http%3A%2F%2Fid.who.int%2Ficd%2Fentity%2F1248156993","browser")</x:f>
      </x:c>
      <x:c r="L7243" s="0">
        <x:f>hyperlink("https://icat2.azurewebsites.net/icat/?ontology=ICD&amp;tab=ClassesTab&amp;id=http%3A%2F%2Fwho.int%2Ficd%2343841_512ebf36_bf6b_4d70_85da_cf2637062af4","iCat")</x:f>
      </x:c>
      <x:c r="M7243" s="0" t="s">
        <x:v>21</x:v>
      </x:c>
      <x:c r="N7243" s="0" t="s">
        <x:v>46</x:v>
      </x:c>
    </x:row>
    <x:row r="7244" spans="1:16">
      <x:c r="A7244" s="0" t="s">
        <x:v>28837</x:v>
      </x:c>
      <x:c r="B7244" s="0" t="s">
        <x:v>28838</x:v>
      </x:c>
      <x:c r="C7244" s="0" t="s">
        <x:v>28839</x:v>
      </x:c>
      <x:c r="E7244" s="0" t="s">
        <x:v>28840</x:v>
      </x:c>
      <x:c r="F7244" s="0" t="s">
        <x:v>45</x:v>
      </x:c>
      <x:c r="G7244" s="0" t="s">
        <x:v>19</x:v>
      </x:c>
      <x:c r="H7244" s="0" t="s">
        <x:v>20</x:v>
      </x:c>
      <x:c r="I7244" s="0" t="s">
        <x:v>21</x:v>
      </x:c>
      <x:c r="K7244" s="0">
        <x:f>hyperlink("https://icd.who.int/dev11/l-ichi/en#/http%3A%2F%2Fid.who.int%2Ficd%2Fentity%2F605904424","browser")</x:f>
      </x:c>
      <x:c r="L7244" s="0">
        <x:f>hyperlink("https://icat2.azurewebsites.net/icat/?ontology=ICD&amp;tab=ClassesTab&amp;id=http%3A%2F%2Fwho.int%2Ficd%2343848_512ebf36_bf6b_4d70_85da_cf2637062af4","iCat")</x:f>
      </x:c>
      <x:c r="M7244" s="0" t="s">
        <x:v>21</x:v>
      </x:c>
      <x:c r="N7244" s="0" t="s">
        <x:v>46</x:v>
      </x:c>
    </x:row>
    <x:row r="7245" spans="1:16">
      <x:c r="A7245" s="0" t="s">
        <x:v>28841</x:v>
      </x:c>
      <x:c r="B7245" s="0" t="s">
        <x:v>28842</x:v>
      </x:c>
      <x:c r="C7245" s="0" t="s">
        <x:v>28843</x:v>
      </x:c>
      <x:c r="E7245" s="0" t="s">
        <x:v>28844</x:v>
      </x:c>
      <x:c r="F7245" s="0" t="s">
        <x:v>45</x:v>
      </x:c>
      <x:c r="G7245" s="0" t="s">
        <x:v>19</x:v>
      </x:c>
      <x:c r="H7245" s="0" t="s">
        <x:v>20</x:v>
      </x:c>
      <x:c r="I7245" s="0" t="s">
        <x:v>21</x:v>
      </x:c>
      <x:c r="K7245" s="0">
        <x:f>hyperlink("https://icd.who.int/dev11/l-ichi/en#/http%3A%2F%2Fid.who.int%2Ficd%2Fentity%2F363269218","browser")</x:f>
      </x:c>
      <x:c r="L7245" s="0">
        <x:f>hyperlink("https://icat2.azurewebsites.net/icat/?ontology=ICD&amp;tab=ClassesTab&amp;id=http%3A%2F%2Fwho.int%2Ficd%2343855_512ebf36_bf6b_4d70_85da_cf2637062af4","iCat")</x:f>
      </x:c>
      <x:c r="M7245" s="0" t="s">
        <x:v>21</x:v>
      </x:c>
      <x:c r="N7245" s="0" t="s">
        <x:v>46</x:v>
      </x:c>
    </x:row>
    <x:row r="7246" spans="1:16">
      <x:c r="A7246" s="0" t="s">
        <x:v>28845</x:v>
      </x:c>
      <x:c r="B7246" s="0" t="s">
        <x:v>28846</x:v>
      </x:c>
      <x:c r="C7246" s="0" t="s">
        <x:v>28847</x:v>
      </x:c>
      <x:c r="E7246" s="0" t="s">
        <x:v>28848</x:v>
      </x:c>
      <x:c r="F7246" s="0" t="s">
        <x:v>45</x:v>
      </x:c>
      <x:c r="G7246" s="0" t="s">
        <x:v>19</x:v>
      </x:c>
      <x:c r="H7246" s="0" t="s">
        <x:v>20</x:v>
      </x:c>
      <x:c r="I7246" s="0" t="s">
        <x:v>21</x:v>
      </x:c>
      <x:c r="K7246" s="0">
        <x:f>hyperlink("https://icd.who.int/dev11/l-ichi/en#/http%3A%2F%2Fid.who.int%2Ficd%2Fentity%2F630515690","browser")</x:f>
      </x:c>
      <x:c r="L7246" s="0">
        <x:f>hyperlink("https://icat2.azurewebsites.net/icat/?ontology=ICD&amp;tab=ClassesTab&amp;id=http%3A%2F%2Fwho.int%2Ficd%2343862_512ebf36_bf6b_4d70_85da_cf2637062af4","iCat")</x:f>
      </x:c>
      <x:c r="M7246" s="0" t="s">
        <x:v>21</x:v>
      </x:c>
      <x:c r="N7246" s="0" t="s">
        <x:v>46</x:v>
      </x:c>
    </x:row>
    <x:row r="7247" spans="1:16">
      <x:c r="A7247" s="0" t="s">
        <x:v>28849</x:v>
      </x:c>
      <x:c r="B7247" s="0" t="s">
        <x:v>28850</x:v>
      </x:c>
      <x:c r="C7247" s="0" t="s">
        <x:v>28851</x:v>
      </x:c>
      <x:c r="E7247" s="0" t="s">
        <x:v>28852</x:v>
      </x:c>
      <x:c r="F7247" s="0" t="s">
        <x:v>45</x:v>
      </x:c>
      <x:c r="G7247" s="0" t="s">
        <x:v>19</x:v>
      </x:c>
      <x:c r="H7247" s="0" t="s">
        <x:v>20</x:v>
      </x:c>
      <x:c r="I7247" s="0" t="s">
        <x:v>21</x:v>
      </x:c>
      <x:c r="K7247" s="0">
        <x:f>hyperlink("https://icd.who.int/dev11/l-ichi/en#/http%3A%2F%2Fid.who.int%2Ficd%2Fentity%2F781252932","browser")</x:f>
      </x:c>
      <x:c r="L7247" s="0">
        <x:f>hyperlink("https://icat2.azurewebsites.net/icat/?ontology=ICD&amp;tab=ClassesTab&amp;id=http%3A%2F%2Fwho.int%2Ficd%2343869_512ebf36_bf6b_4d70_85da_cf2637062af4","iCat")</x:f>
      </x:c>
      <x:c r="M7247" s="0" t="s">
        <x:v>21</x:v>
      </x:c>
      <x:c r="N7247" s="0" t="s">
        <x:v>46</x:v>
      </x:c>
    </x:row>
    <x:row r="7248" spans="1:16">
      <x:c r="A7248" s="0" t="s">
        <x:v>28853</x:v>
      </x:c>
      <x:c r="B7248" s="0" t="s">
        <x:v>28854</x:v>
      </x:c>
      <x:c r="C7248" s="0" t="s">
        <x:v>28855</x:v>
      </x:c>
      <x:c r="E7248" s="0" t="s">
        <x:v>28856</x:v>
      </x:c>
      <x:c r="F7248" s="0" t="s">
        <x:v>45</x:v>
      </x:c>
      <x:c r="G7248" s="0" t="s">
        <x:v>19</x:v>
      </x:c>
      <x:c r="H7248" s="0" t="s">
        <x:v>20</x:v>
      </x:c>
      <x:c r="I7248" s="0" t="s">
        <x:v>21</x:v>
      </x:c>
      <x:c r="K7248" s="0">
        <x:f>hyperlink("https://icd.who.int/dev11/l-ichi/en#/http%3A%2F%2Fid.who.int%2Ficd%2Fentity%2F2052503243","browser")</x:f>
      </x:c>
      <x:c r="L7248" s="0">
        <x:f>hyperlink("https://icat2.azurewebsites.net/icat/?ontology=ICD&amp;tab=ClassesTab&amp;id=http%3A%2F%2Fwho.int%2Ficd%2343876_512ebf36_bf6b_4d70_85da_cf2637062af4","iCat")</x:f>
      </x:c>
      <x:c r="M7248" s="0" t="s">
        <x:v>21</x:v>
      </x:c>
      <x:c r="N7248" s="0" t="s">
        <x:v>46</x:v>
      </x:c>
    </x:row>
    <x:row r="7249" spans="1:16">
      <x:c r="A7249" s="0" t="s">
        <x:v>28857</x:v>
      </x:c>
      <x:c r="B7249" s="0" t="s">
        <x:v>28858</x:v>
      </x:c>
      <x:c r="C7249" s="0" t="s">
        <x:v>28859</x:v>
      </x:c>
      <x:c r="E7249" s="0" t="s">
        <x:v>28860</x:v>
      </x:c>
      <x:c r="F7249" s="0" t="s">
        <x:v>45</x:v>
      </x:c>
      <x:c r="G7249" s="0" t="s">
        <x:v>19</x:v>
      </x:c>
      <x:c r="H7249" s="0" t="s">
        <x:v>20</x:v>
      </x:c>
      <x:c r="I7249" s="0" t="s">
        <x:v>21</x:v>
      </x:c>
      <x:c r="K7249" s="0">
        <x:f>hyperlink("https://icd.who.int/dev11/l-ichi/en#/http%3A%2F%2Fid.who.int%2Ficd%2Fentity%2F1078938205","browser")</x:f>
      </x:c>
      <x:c r="L7249" s="0">
        <x:f>hyperlink("https://icat2.azurewebsites.net/icat/?ontology=ICD&amp;tab=ClassesTab&amp;id=http%3A%2F%2Fwho.int%2Ficd%2343883_512ebf36_bf6b_4d70_85da_cf2637062af4","iCat")</x:f>
      </x:c>
      <x:c r="M7249" s="0" t="s">
        <x:v>21</x:v>
      </x:c>
      <x:c r="N7249" s="0" t="s">
        <x:v>46</x:v>
      </x:c>
    </x:row>
    <x:row r="7250" spans="1:16">
      <x:c r="A7250" s="0" t="s">
        <x:v>28861</x:v>
      </x:c>
      <x:c r="B7250" s="0" t="s">
        <x:v>28862</x:v>
      </x:c>
      <x:c r="C7250" s="0" t="s">
        <x:v>28863</x:v>
      </x:c>
      <x:c r="E7250" s="0" t="s">
        <x:v>28864</x:v>
      </x:c>
      <x:c r="F7250" s="0" t="s">
        <x:v>45</x:v>
      </x:c>
      <x:c r="G7250" s="0" t="s">
        <x:v>19</x:v>
      </x:c>
      <x:c r="H7250" s="0" t="s">
        <x:v>20</x:v>
      </x:c>
      <x:c r="I7250" s="0" t="s">
        <x:v>21</x:v>
      </x:c>
      <x:c r="K7250" s="0">
        <x:f>hyperlink("https://icd.who.int/dev11/l-ichi/en#/http%3A%2F%2Fid.who.int%2Ficd%2Fentity%2F1863299315","browser")</x:f>
      </x:c>
      <x:c r="L7250" s="0">
        <x:f>hyperlink("https://icat2.azurewebsites.net/icat/?ontology=ICD&amp;tab=ClassesTab&amp;id=http%3A%2F%2Fwho.int%2Ficd%2343890_512ebf36_bf6b_4d70_85da_cf2637062af4","iCat")</x:f>
      </x:c>
      <x:c r="M7250" s="0" t="s">
        <x:v>21</x:v>
      </x:c>
      <x:c r="N7250" s="0" t="s">
        <x:v>46</x:v>
      </x:c>
    </x:row>
    <x:row r="7251" spans="1:16">
      <x:c r="A7251" s="0" t="s">
        <x:v>28865</x:v>
      </x:c>
      <x:c r="B7251" s="0" t="s">
        <x:v>28866</x:v>
      </x:c>
      <x:c r="C7251" s="0" t="s">
        <x:v>28867</x:v>
      </x:c>
      <x:c r="E7251" s="0" t="s">
        <x:v>28868</x:v>
      </x:c>
      <x:c r="F7251" s="0" t="s">
        <x:v>45</x:v>
      </x:c>
      <x:c r="G7251" s="0" t="s">
        <x:v>19</x:v>
      </x:c>
      <x:c r="H7251" s="0" t="s">
        <x:v>20</x:v>
      </x:c>
      <x:c r="I7251" s="0" t="s">
        <x:v>21</x:v>
      </x:c>
      <x:c r="K7251" s="0">
        <x:f>hyperlink("https://icd.who.int/dev11/l-ichi/en#/http%3A%2F%2Fid.who.int%2Ficd%2Fentity%2F529341312","browser")</x:f>
      </x:c>
      <x:c r="L7251" s="0">
        <x:f>hyperlink("https://icat2.azurewebsites.net/icat/?ontology=ICD&amp;tab=ClassesTab&amp;id=http%3A%2F%2Fwho.int%2Ficd%2343897_512ebf36_bf6b_4d70_85da_cf2637062af4","iCat")</x:f>
      </x:c>
      <x:c r="M7251" s="0" t="s">
        <x:v>21</x:v>
      </x:c>
      <x:c r="N7251" s="0" t="s">
        <x:v>46</x:v>
      </x:c>
    </x:row>
    <x:row r="7252" spans="1:16">
      <x:c r="A7252" s="0" t="s">
        <x:v>28869</x:v>
      </x:c>
      <x:c r="B7252" s="0" t="s">
        <x:v>28870</x:v>
      </x:c>
      <x:c r="C7252" s="0" t="s">
        <x:v>28871</x:v>
      </x:c>
      <x:c r="E7252" s="0" t="s">
        <x:v>28872</x:v>
      </x:c>
      <x:c r="F7252" s="0" t="s">
        <x:v>45</x:v>
      </x:c>
      <x:c r="G7252" s="0" t="s">
        <x:v>19</x:v>
      </x:c>
      <x:c r="H7252" s="0" t="s">
        <x:v>20</x:v>
      </x:c>
      <x:c r="I7252" s="0" t="s">
        <x:v>21</x:v>
      </x:c>
      <x:c r="K7252" s="0">
        <x:f>hyperlink("https://icd.who.int/dev11/l-ichi/en#/http%3A%2F%2Fid.who.int%2Ficd%2Fentity%2F1516469897","browser")</x:f>
      </x:c>
      <x:c r="L7252" s="0">
        <x:f>hyperlink("https://icat2.azurewebsites.net/icat/?ontology=ICD&amp;tab=ClassesTab&amp;id=http%3A%2F%2Fwho.int%2Ficd%2343904_512ebf36_bf6b_4d70_85da_cf2637062af4","iCat")</x:f>
      </x:c>
      <x:c r="M7252" s="0" t="s">
        <x:v>21</x:v>
      </x:c>
      <x:c r="N7252" s="0" t="s">
        <x:v>46</x:v>
      </x:c>
    </x:row>
    <x:row r="7253" spans="1:16">
      <x:c r="A7253" s="0" t="s">
        <x:v>28873</x:v>
      </x:c>
      <x:c r="B7253" s="0" t="s">
        <x:v>28874</x:v>
      </x:c>
      <x:c r="C7253" s="0" t="s">
        <x:v>28875</x:v>
      </x:c>
      <x:c r="E7253" s="0" t="s">
        <x:v>28876</x:v>
      </x:c>
      <x:c r="F7253" s="0" t="s">
        <x:v>45</x:v>
      </x:c>
      <x:c r="G7253" s="0" t="s">
        <x:v>19</x:v>
      </x:c>
      <x:c r="H7253" s="0" t="s">
        <x:v>20</x:v>
      </x:c>
      <x:c r="I7253" s="0" t="s">
        <x:v>21</x:v>
      </x:c>
      <x:c r="K7253" s="0">
        <x:f>hyperlink("https://icd.who.int/dev11/l-ichi/en#/http%3A%2F%2Fid.who.int%2Ficd%2Fentity%2F626548120","browser")</x:f>
      </x:c>
      <x:c r="L7253" s="0">
        <x:f>hyperlink("https://icat2.azurewebsites.net/icat/?ontology=ICD&amp;tab=ClassesTab&amp;id=http%3A%2F%2Fwho.int%2Ficd%2343911_512ebf36_bf6b_4d70_85da_cf2637062af4","iCat")</x:f>
      </x:c>
      <x:c r="M7253" s="0" t="s">
        <x:v>21</x:v>
      </x:c>
      <x:c r="N7253" s="0" t="s">
        <x:v>46</x:v>
      </x:c>
    </x:row>
    <x:row r="7254" spans="1:16">
      <x:c r="A7254" s="0" t="s">
        <x:v>28877</x:v>
      </x:c>
      <x:c r="B7254" s="0" t="s">
        <x:v>28878</x:v>
      </x:c>
      <x:c r="C7254" s="0" t="s">
        <x:v>28879</x:v>
      </x:c>
      <x:c r="E7254" s="0" t="s">
        <x:v>28880</x:v>
      </x:c>
      <x:c r="F7254" s="0" t="s">
        <x:v>45</x:v>
      </x:c>
      <x:c r="G7254" s="0" t="s">
        <x:v>19</x:v>
      </x:c>
      <x:c r="H7254" s="0" t="s">
        <x:v>20</x:v>
      </x:c>
      <x:c r="I7254" s="0" t="s">
        <x:v>21</x:v>
      </x:c>
      <x:c r="K7254" s="0">
        <x:f>hyperlink("https://icd.who.int/dev11/l-ichi/en#/http%3A%2F%2Fid.who.int%2Ficd%2Fentity%2F1260412671","browser")</x:f>
      </x:c>
      <x:c r="L7254" s="0">
        <x:f>hyperlink("https://icat2.azurewebsites.net/icat/?ontology=ICD&amp;tab=ClassesTab&amp;id=http%3A%2F%2Fwho.int%2Ficd%2343918_512ebf36_bf6b_4d70_85da_cf2637062af4","iCat")</x:f>
      </x:c>
      <x:c r="M7254" s="0" t="s">
        <x:v>21</x:v>
      </x:c>
      <x:c r="N7254" s="0" t="s">
        <x:v>46</x:v>
      </x:c>
    </x:row>
    <x:row r="7255" spans="1:16">
      <x:c r="A7255" s="0" t="s">
        <x:v>28881</x:v>
      </x:c>
      <x:c r="B7255" s="0" t="s">
        <x:v>28882</x:v>
      </x:c>
      <x:c r="C7255" s="0" t="s">
        <x:v>28883</x:v>
      </x:c>
      <x:c r="E7255" s="0" t="s">
        <x:v>28884</x:v>
      </x:c>
      <x:c r="F7255" s="0" t="s">
        <x:v>45</x:v>
      </x:c>
      <x:c r="G7255" s="0" t="s">
        <x:v>19</x:v>
      </x:c>
      <x:c r="H7255" s="0" t="s">
        <x:v>20</x:v>
      </x:c>
      <x:c r="I7255" s="0" t="s">
        <x:v>21</x:v>
      </x:c>
      <x:c r="K7255" s="0">
        <x:f>hyperlink("https://icd.who.int/dev11/l-ichi/en#/http%3A%2F%2Fid.who.int%2Ficd%2Fentity%2F1357830629","browser")</x:f>
      </x:c>
      <x:c r="L7255" s="0">
        <x:f>hyperlink("https://icat2.azurewebsites.net/icat/?ontology=ICD&amp;tab=ClassesTab&amp;id=http%3A%2F%2Fwho.int%2Ficd%2343925_512ebf36_bf6b_4d70_85da_cf2637062af4","iCat")</x:f>
      </x:c>
      <x:c r="M7255" s="0" t="s">
        <x:v>21</x:v>
      </x:c>
      <x:c r="N7255" s="0" t="s">
        <x:v>46</x:v>
      </x:c>
    </x:row>
    <x:row r="7256" spans="1:16">
      <x:c r="A7256" s="0" t="s">
        <x:v>28885</x:v>
      </x:c>
      <x:c r="B7256" s="0" t="s">
        <x:v>28886</x:v>
      </x:c>
      <x:c r="C7256" s="0" t="s">
        <x:v>28887</x:v>
      </x:c>
      <x:c r="E7256" s="0" t="s">
        <x:v>28888</x:v>
      </x:c>
      <x:c r="F7256" s="0" t="s">
        <x:v>45</x:v>
      </x:c>
      <x:c r="G7256" s="0" t="s">
        <x:v>19</x:v>
      </x:c>
      <x:c r="H7256" s="0" t="s">
        <x:v>20</x:v>
      </x:c>
      <x:c r="I7256" s="0" t="s">
        <x:v>21</x:v>
      </x:c>
      <x:c r="K7256" s="0">
        <x:f>hyperlink("https://icd.who.int/dev11/l-ichi/en#/http%3A%2F%2Fid.who.int%2Ficd%2Fentity%2F1252648767","browser")</x:f>
      </x:c>
      <x:c r="L7256" s="0">
        <x:f>hyperlink("https://icat2.azurewebsites.net/icat/?ontology=ICD&amp;tab=ClassesTab&amp;id=http%3A%2F%2Fwho.int%2Ficd%2343932_512ebf36_bf6b_4d70_85da_cf2637062af4","iCat")</x:f>
      </x:c>
      <x:c r="M7256" s="0" t="s">
        <x:v>21</x:v>
      </x:c>
      <x:c r="N7256" s="0" t="s">
        <x:v>46</x:v>
      </x:c>
    </x:row>
    <x:row r="7257" spans="1:16">
      <x:c r="A7257" s="0" t="s">
        <x:v>28889</x:v>
      </x:c>
      <x:c r="B7257" s="0" t="s">
        <x:v>28890</x:v>
      </x:c>
      <x:c r="C7257" s="0" t="s">
        <x:v>28891</x:v>
      </x:c>
      <x:c r="E7257" s="0" t="s">
        <x:v>28892</x:v>
      </x:c>
      <x:c r="F7257" s="0" t="s">
        <x:v>45</x:v>
      </x:c>
      <x:c r="G7257" s="0" t="s">
        <x:v>19</x:v>
      </x:c>
      <x:c r="H7257" s="0" t="s">
        <x:v>20</x:v>
      </x:c>
      <x:c r="I7257" s="0" t="s">
        <x:v>21</x:v>
      </x:c>
      <x:c r="K7257" s="0">
        <x:f>hyperlink("https://icd.who.int/dev11/l-ichi/en#/http%3A%2F%2Fid.who.int%2Ficd%2Fentity%2F1101920659","browser")</x:f>
      </x:c>
      <x:c r="L7257" s="0">
        <x:f>hyperlink("https://icat2.azurewebsites.net/icat/?ontology=ICD&amp;tab=ClassesTab&amp;id=http%3A%2F%2Fwho.int%2Ficd%2343939_512ebf36_bf6b_4d70_85da_cf2637062af4","iCat")</x:f>
      </x:c>
      <x:c r="M7257" s="0" t="s">
        <x:v>21</x:v>
      </x:c>
      <x:c r="N7257" s="0" t="s">
        <x:v>46</x:v>
      </x:c>
    </x:row>
    <x:row r="7258" spans="1:16">
      <x:c r="A7258" s="0" t="s">
        <x:v>28893</x:v>
      </x:c>
      <x:c r="B7258" s="0" t="s">
        <x:v>28894</x:v>
      </x:c>
      <x:c r="C7258" s="0" t="s">
        <x:v>28895</x:v>
      </x:c>
      <x:c r="E7258" s="0" t="s">
        <x:v>28896</x:v>
      </x:c>
      <x:c r="F7258" s="0" t="s">
        <x:v>45</x:v>
      </x:c>
      <x:c r="G7258" s="0" t="s">
        <x:v>19</x:v>
      </x:c>
      <x:c r="H7258" s="0" t="s">
        <x:v>20</x:v>
      </x:c>
      <x:c r="I7258" s="0" t="s">
        <x:v>21</x:v>
      </x:c>
      <x:c r="K7258" s="0">
        <x:f>hyperlink("https://icd.who.int/dev11/l-ichi/en#/http%3A%2F%2Fid.who.int%2Ficd%2Fentity%2F1333276753","browser")</x:f>
      </x:c>
      <x:c r="L7258" s="0">
        <x:f>hyperlink("https://icat2.azurewebsites.net/icat/?ontology=ICD&amp;tab=ClassesTab&amp;id=http%3A%2F%2Fwho.int%2Ficd%2343946_512ebf36_bf6b_4d70_85da_cf2637062af4","iCat")</x:f>
      </x:c>
      <x:c r="M7258" s="0" t="s">
        <x:v>21</x:v>
      </x:c>
      <x:c r="N7258" s="0" t="s">
        <x:v>46</x:v>
      </x:c>
    </x:row>
    <x:row r="7259" spans="1:16">
      <x:c r="A7259" s="0" t="s">
        <x:v>28897</x:v>
      </x:c>
      <x:c r="B7259" s="0" t="s">
        <x:v>28898</x:v>
      </x:c>
      <x:c r="C7259" s="0" t="s">
        <x:v>28899</x:v>
      </x:c>
      <x:c r="E7259" s="0" t="s">
        <x:v>28900</x:v>
      </x:c>
      <x:c r="F7259" s="0" t="s">
        <x:v>45</x:v>
      </x:c>
      <x:c r="G7259" s="0" t="s">
        <x:v>19</x:v>
      </x:c>
      <x:c r="H7259" s="0" t="s">
        <x:v>20</x:v>
      </x:c>
      <x:c r="I7259" s="0" t="s">
        <x:v>21</x:v>
      </x:c>
      <x:c r="K7259" s="0">
        <x:f>hyperlink("https://icd.who.int/dev11/l-ichi/en#/http%3A%2F%2Fid.who.int%2Ficd%2Fentity%2F809702224","browser")</x:f>
      </x:c>
      <x:c r="L7259" s="0">
        <x:f>hyperlink("https://icat2.azurewebsites.net/icat/?ontology=ICD&amp;tab=ClassesTab&amp;id=http%3A%2F%2Fwho.int%2Ficd%2343953_512ebf36_bf6b_4d70_85da_cf2637062af4","iCat")</x:f>
      </x:c>
      <x:c r="M7259" s="0" t="s">
        <x:v>21</x:v>
      </x:c>
      <x:c r="N7259" s="0" t="s">
        <x:v>46</x:v>
      </x:c>
    </x:row>
    <x:row r="7260" spans="1:16">
      <x:c r="A7260" s="0" t="s">
        <x:v>28901</x:v>
      </x:c>
      <x:c r="B7260" s="0" t="s">
        <x:v>28902</x:v>
      </x:c>
      <x:c r="C7260" s="0" t="s">
        <x:v>28903</x:v>
      </x:c>
      <x:c r="E7260" s="0" t="s">
        <x:v>28904</x:v>
      </x:c>
      <x:c r="F7260" s="0" t="s">
        <x:v>45</x:v>
      </x:c>
      <x:c r="G7260" s="0" t="s">
        <x:v>19</x:v>
      </x:c>
      <x:c r="H7260" s="0" t="s">
        <x:v>20</x:v>
      </x:c>
      <x:c r="I7260" s="0" t="s">
        <x:v>21</x:v>
      </x:c>
      <x:c r="K7260" s="0">
        <x:f>hyperlink("https://icd.who.int/dev11/l-ichi/en#/http%3A%2F%2Fid.who.int%2Ficd%2Fentity%2F897006770","browser")</x:f>
      </x:c>
      <x:c r="L7260" s="0">
        <x:f>hyperlink("https://icat2.azurewebsites.net/icat/?ontology=ICD&amp;tab=ClassesTab&amp;id=http%3A%2F%2Fwho.int%2Ficd%2343960_512ebf36_bf6b_4d70_85da_cf2637062af4","iCat")</x:f>
      </x:c>
      <x:c r="M7260" s="0" t="s">
        <x:v>21</x:v>
      </x:c>
      <x:c r="N7260" s="0" t="s">
        <x:v>46</x:v>
      </x:c>
    </x:row>
    <x:row r="7261" spans="1:16">
      <x:c r="A7261" s="0" t="s">
        <x:v>28905</x:v>
      </x:c>
      <x:c r="B7261" s="0" t="s">
        <x:v>28906</x:v>
      </x:c>
      <x:c r="C7261" s="0" t="s">
        <x:v>28907</x:v>
      </x:c>
      <x:c r="E7261" s="0" t="s">
        <x:v>28908</x:v>
      </x:c>
      <x:c r="F7261" s="0" t="s">
        <x:v>45</x:v>
      </x:c>
      <x:c r="G7261" s="0" t="s">
        <x:v>19</x:v>
      </x:c>
      <x:c r="H7261" s="0" t="s">
        <x:v>20</x:v>
      </x:c>
      <x:c r="I7261" s="0" t="s">
        <x:v>21</x:v>
      </x:c>
      <x:c r="K7261" s="0">
        <x:f>hyperlink("https://icd.who.int/dev11/l-ichi/en#/http%3A%2F%2Fid.who.int%2Ficd%2Fentity%2F1173722941","browser")</x:f>
      </x:c>
      <x:c r="L7261" s="0">
        <x:f>hyperlink("https://icat2.azurewebsites.net/icat/?ontology=ICD&amp;tab=ClassesTab&amp;id=http%3A%2F%2Fwho.int%2Ficd%2343967_512ebf36_bf6b_4d70_85da_cf2637062af4","iCat")</x:f>
      </x:c>
      <x:c r="M7261" s="0" t="s">
        <x:v>21</x:v>
      </x:c>
      <x:c r="N7261" s="0" t="s">
        <x:v>46</x:v>
      </x:c>
    </x:row>
    <x:row r="7262" spans="1:16">
      <x:c r="A7262" s="0" t="s">
        <x:v>28909</x:v>
      </x:c>
      <x:c r="B7262" s="0" t="s">
        <x:v>28910</x:v>
      </x:c>
      <x:c r="C7262" s="0" t="s">
        <x:v>28911</x:v>
      </x:c>
      <x:c r="E7262" s="0" t="s">
        <x:v>28912</x:v>
      </x:c>
      <x:c r="F7262" s="0" t="s">
        <x:v>45</x:v>
      </x:c>
      <x:c r="G7262" s="0" t="s">
        <x:v>19</x:v>
      </x:c>
      <x:c r="H7262" s="0" t="s">
        <x:v>20</x:v>
      </x:c>
      <x:c r="I7262" s="0" t="s">
        <x:v>21</x:v>
      </x:c>
      <x:c r="K7262" s="0">
        <x:f>hyperlink("https://icd.who.int/dev11/l-ichi/en#/http%3A%2F%2Fid.who.int%2Ficd%2Fentity%2F1790274963","browser")</x:f>
      </x:c>
      <x:c r="L7262" s="0">
        <x:f>hyperlink("https://icat2.azurewebsites.net/icat/?ontology=ICD&amp;tab=ClassesTab&amp;id=http%3A%2F%2Fwho.int%2Ficd%2343974_512ebf36_bf6b_4d70_85da_cf2637062af4","iCat")</x:f>
      </x:c>
      <x:c r="M7262" s="0" t="s">
        <x:v>21</x:v>
      </x:c>
      <x:c r="N7262" s="0" t="s">
        <x:v>46</x:v>
      </x:c>
    </x:row>
    <x:row r="7263" spans="1:16">
      <x:c r="A7263" s="0" t="s">
        <x:v>28913</x:v>
      </x:c>
      <x:c r="B7263" s="0" t="s">
        <x:v>28914</x:v>
      </x:c>
      <x:c r="C7263" s="0" t="s">
        <x:v>28915</x:v>
      </x:c>
      <x:c r="E7263" s="0" t="s">
        <x:v>28916</x:v>
      </x:c>
      <x:c r="F7263" s="0" t="s">
        <x:v>45</x:v>
      </x:c>
      <x:c r="G7263" s="0" t="s">
        <x:v>19</x:v>
      </x:c>
      <x:c r="H7263" s="0" t="s">
        <x:v>20</x:v>
      </x:c>
      <x:c r="I7263" s="0" t="s">
        <x:v>21</x:v>
      </x:c>
      <x:c r="K7263" s="0">
        <x:f>hyperlink("https://icd.who.int/dev11/l-ichi/en#/http%3A%2F%2Fid.who.int%2Ficd%2Fentity%2F1353486597","browser")</x:f>
      </x:c>
      <x:c r="L7263" s="0">
        <x:f>hyperlink("https://icat2.azurewebsites.net/icat/?ontology=ICD&amp;tab=ClassesTab&amp;id=http%3A%2F%2Fwho.int%2Ficd%2343981_512ebf36_bf6b_4d70_85da_cf2637062af4","iCat")</x:f>
      </x:c>
      <x:c r="M7263" s="0" t="s">
        <x:v>21</x:v>
      </x:c>
      <x:c r="N7263" s="0" t="s">
        <x:v>46</x:v>
      </x:c>
    </x:row>
    <x:row r="7264" spans="1:16">
      <x:c r="A7264" s="0" t="s">
        <x:v>28917</x:v>
      </x:c>
      <x:c r="B7264" s="0" t="s">
        <x:v>28918</x:v>
      </x:c>
      <x:c r="C7264" s="0" t="s">
        <x:v>28919</x:v>
      </x:c>
      <x:c r="E7264" s="0" t="s">
        <x:v>28920</x:v>
      </x:c>
      <x:c r="F7264" s="0" t="s">
        <x:v>45</x:v>
      </x:c>
      <x:c r="G7264" s="0" t="s">
        <x:v>19</x:v>
      </x:c>
      <x:c r="H7264" s="0" t="s">
        <x:v>20</x:v>
      </x:c>
      <x:c r="I7264" s="0" t="s">
        <x:v>21</x:v>
      </x:c>
      <x:c r="K7264" s="0">
        <x:f>hyperlink("https://icd.who.int/dev11/l-ichi/en#/http%3A%2F%2Fid.who.int%2Ficd%2Fentity%2F1054118510","browser")</x:f>
      </x:c>
      <x:c r="L7264" s="0">
        <x:f>hyperlink("https://icat2.azurewebsites.net/icat/?ontology=ICD&amp;tab=ClassesTab&amp;id=http%3A%2F%2Fwho.int%2Ficd%2343988_512ebf36_bf6b_4d70_85da_cf2637062af4","iCat")</x:f>
      </x:c>
      <x:c r="M7264" s="0" t="s">
        <x:v>21</x:v>
      </x:c>
      <x:c r="N7264" s="0" t="s">
        <x:v>46</x:v>
      </x:c>
    </x:row>
    <x:row r="7265" spans="1:16">
      <x:c r="A7265" s="0" t="s">
        <x:v>28921</x:v>
      </x:c>
      <x:c r="B7265" s="0" t="s">
        <x:v>28922</x:v>
      </x:c>
      <x:c r="C7265" s="0" t="s">
        <x:v>28923</x:v>
      </x:c>
      <x:c r="E7265" s="0" t="s">
        <x:v>28924</x:v>
      </x:c>
      <x:c r="F7265" s="0" t="s">
        <x:v>45</x:v>
      </x:c>
      <x:c r="G7265" s="0" t="s">
        <x:v>19</x:v>
      </x:c>
      <x:c r="H7265" s="0" t="s">
        <x:v>20</x:v>
      </x:c>
      <x:c r="I7265" s="0" t="s">
        <x:v>21</x:v>
      </x:c>
      <x:c r="K7265" s="0">
        <x:f>hyperlink("https://icd.who.int/dev11/l-ichi/en#/http%3A%2F%2Fid.who.int%2Ficd%2Fentity%2F258916392","browser")</x:f>
      </x:c>
      <x:c r="L7265" s="0">
        <x:f>hyperlink("https://icat2.azurewebsites.net/icat/?ontology=ICD&amp;tab=ClassesTab&amp;id=http%3A%2F%2Fwho.int%2Ficd%2343995_512ebf36_bf6b_4d70_85da_cf2637062af4","iCat")</x:f>
      </x:c>
      <x:c r="M7265" s="0" t="s">
        <x:v>21</x:v>
      </x:c>
      <x:c r="N7265" s="0" t="s">
        <x:v>46</x:v>
      </x:c>
    </x:row>
    <x:row r="7266" spans="1:16">
      <x:c r="A7266" s="0" t="s">
        <x:v>28925</x:v>
      </x:c>
      <x:c r="B7266" s="0" t="s">
        <x:v>28926</x:v>
      </x:c>
      <x:c r="C7266" s="0" t="s">
        <x:v>28927</x:v>
      </x:c>
      <x:c r="E7266" s="0" t="s">
        <x:v>28928</x:v>
      </x:c>
      <x:c r="F7266" s="0" t="s">
        <x:v>45</x:v>
      </x:c>
      <x:c r="G7266" s="0" t="s">
        <x:v>19</x:v>
      </x:c>
      <x:c r="H7266" s="0" t="s">
        <x:v>20</x:v>
      </x:c>
      <x:c r="I7266" s="0" t="s">
        <x:v>21</x:v>
      </x:c>
      <x:c r="K7266" s="0">
        <x:f>hyperlink("https://icd.who.int/dev11/l-ichi/en#/http%3A%2F%2Fid.who.int%2Ficd%2Fentity%2F740038994","browser")</x:f>
      </x:c>
      <x:c r="L7266" s="0">
        <x:f>hyperlink("https://icat2.azurewebsites.net/icat/?ontology=ICD&amp;tab=ClassesTab&amp;id=http%3A%2F%2Fwho.int%2Ficd%2344002_512ebf36_bf6b_4d70_85da_cf2637062af4","iCat")</x:f>
      </x:c>
      <x:c r="M7266" s="0" t="s">
        <x:v>21</x:v>
      </x:c>
      <x:c r="N7266" s="0" t="s">
        <x:v>46</x:v>
      </x:c>
    </x:row>
    <x:row r="7267" spans="1:16">
      <x:c r="A7267" s="0" t="s">
        <x:v>28929</x:v>
      </x:c>
      <x:c r="B7267" s="0" t="s">
        <x:v>28930</x:v>
      </x:c>
      <x:c r="C7267" s="0" t="s">
        <x:v>28931</x:v>
      </x:c>
      <x:c r="E7267" s="0" t="s">
        <x:v>28932</x:v>
      </x:c>
      <x:c r="F7267" s="0" t="s">
        <x:v>45</x:v>
      </x:c>
      <x:c r="G7267" s="0" t="s">
        <x:v>19</x:v>
      </x:c>
      <x:c r="H7267" s="0" t="s">
        <x:v>20</x:v>
      </x:c>
      <x:c r="I7267" s="0" t="s">
        <x:v>21</x:v>
      </x:c>
      <x:c r="K7267" s="0">
        <x:f>hyperlink("https://icd.who.int/dev11/l-ichi/en#/http%3A%2F%2Fid.who.int%2Ficd%2Fentity%2F655886332","browser")</x:f>
      </x:c>
      <x:c r="L7267" s="0">
        <x:f>hyperlink("https://icat2.azurewebsites.net/icat/?ontology=ICD&amp;tab=ClassesTab&amp;id=http%3A%2F%2Fwho.int%2Ficd%2344009_512ebf36_bf6b_4d70_85da_cf2637062af4","iCat")</x:f>
      </x:c>
      <x:c r="M7267" s="0" t="s">
        <x:v>21</x:v>
      </x:c>
      <x:c r="N7267" s="0" t="s">
        <x:v>46</x:v>
      </x:c>
    </x:row>
    <x:row r="7268" spans="1:16">
      <x:c r="A7268" s="0" t="s">
        <x:v>28933</x:v>
      </x:c>
      <x:c r="B7268" s="0" t="s">
        <x:v>28934</x:v>
      </x:c>
      <x:c r="C7268" s="0" t="s">
        <x:v>28935</x:v>
      </x:c>
      <x:c r="E7268" s="0" t="s">
        <x:v>28936</x:v>
      </x:c>
      <x:c r="F7268" s="0" t="s">
        <x:v>45</x:v>
      </x:c>
      <x:c r="G7268" s="0" t="s">
        <x:v>19</x:v>
      </x:c>
      <x:c r="H7268" s="0" t="s">
        <x:v>20</x:v>
      </x:c>
      <x:c r="I7268" s="0" t="s">
        <x:v>21</x:v>
      </x:c>
      <x:c r="K7268" s="0">
        <x:f>hyperlink("https://icd.who.int/dev11/l-ichi/en#/http%3A%2F%2Fid.who.int%2Ficd%2Fentity%2F1943947379","browser")</x:f>
      </x:c>
      <x:c r="L7268" s="0">
        <x:f>hyperlink("https://icat2.azurewebsites.net/icat/?ontology=ICD&amp;tab=ClassesTab&amp;id=http%3A%2F%2Fwho.int%2Ficd%2344016_512ebf36_bf6b_4d70_85da_cf2637062af4","iCat")</x:f>
      </x:c>
      <x:c r="M7268" s="0" t="s">
        <x:v>21</x:v>
      </x:c>
      <x:c r="N7268" s="0" t="s">
        <x:v>46</x:v>
      </x:c>
    </x:row>
    <x:row r="7269" spans="1:16">
      <x:c r="A7269" s="0" t="s">
        <x:v>28937</x:v>
      </x:c>
      <x:c r="B7269" s="0" t="s">
        <x:v>28938</x:v>
      </x:c>
      <x:c r="C7269" s="0" t="s">
        <x:v>28939</x:v>
      </x:c>
      <x:c r="E7269" s="0" t="s">
        <x:v>28940</x:v>
      </x:c>
      <x:c r="F7269" s="0" t="s">
        <x:v>45</x:v>
      </x:c>
      <x:c r="G7269" s="0" t="s">
        <x:v>19</x:v>
      </x:c>
      <x:c r="H7269" s="0" t="s">
        <x:v>20</x:v>
      </x:c>
      <x:c r="I7269" s="0" t="s">
        <x:v>21</x:v>
      </x:c>
      <x:c r="K7269" s="0">
        <x:f>hyperlink("https://icd.who.int/dev11/l-ichi/en#/http%3A%2F%2Fid.who.int%2Ficd%2Fentity%2F647085630","browser")</x:f>
      </x:c>
      <x:c r="L7269" s="0">
        <x:f>hyperlink("https://icat2.azurewebsites.net/icat/?ontology=ICD&amp;tab=ClassesTab&amp;id=http%3A%2F%2Fwho.int%2Ficd%2344023_512ebf36_bf6b_4d70_85da_cf2637062af4","iCat")</x:f>
      </x:c>
      <x:c r="M7269" s="0" t="s">
        <x:v>21</x:v>
      </x:c>
      <x:c r="N7269" s="0" t="s">
        <x:v>46</x:v>
      </x:c>
    </x:row>
    <x:row r="7270" spans="1:16">
      <x:c r="A7270" s="0" t="s">
        <x:v>28941</x:v>
      </x:c>
      <x:c r="B7270" s="0" t="s">
        <x:v>28942</x:v>
      </x:c>
      <x:c r="C7270" s="0" t="s">
        <x:v>28943</x:v>
      </x:c>
      <x:c r="E7270" s="0" t="s">
        <x:v>28944</x:v>
      </x:c>
      <x:c r="F7270" s="0" t="s">
        <x:v>45</x:v>
      </x:c>
      <x:c r="G7270" s="0" t="s">
        <x:v>19</x:v>
      </x:c>
      <x:c r="H7270" s="0" t="s">
        <x:v>20</x:v>
      </x:c>
      <x:c r="I7270" s="0" t="s">
        <x:v>21</x:v>
      </x:c>
      <x:c r="K7270" s="0">
        <x:f>hyperlink("https://icd.who.int/dev11/l-ichi/en#/http%3A%2F%2Fid.who.int%2Ficd%2Fentity%2F164709522","browser")</x:f>
      </x:c>
      <x:c r="L7270" s="0">
        <x:f>hyperlink("https://icat2.azurewebsites.net/icat/?ontology=ICD&amp;tab=ClassesTab&amp;id=http%3A%2F%2Fwho.int%2Ficd%2344030_512ebf36_bf6b_4d70_85da_cf2637062af4","iCat")</x:f>
      </x:c>
      <x:c r="M7270" s="0" t="s">
        <x:v>21</x:v>
      </x:c>
      <x:c r="N7270" s="0" t="s">
        <x:v>46</x:v>
      </x:c>
    </x:row>
    <x:row r="7271" spans="1:16">
      <x:c r="A7271" s="0" t="s">
        <x:v>28945</x:v>
      </x:c>
      <x:c r="B7271" s="0" t="s">
        <x:v>28946</x:v>
      </x:c>
      <x:c r="C7271" s="0" t="s">
        <x:v>28947</x:v>
      </x:c>
      <x:c r="E7271" s="0" t="s">
        <x:v>28948</x:v>
      </x:c>
      <x:c r="F7271" s="0" t="s">
        <x:v>45</x:v>
      </x:c>
      <x:c r="G7271" s="0" t="s">
        <x:v>19</x:v>
      </x:c>
      <x:c r="H7271" s="0" t="s">
        <x:v>20</x:v>
      </x:c>
      <x:c r="I7271" s="0" t="s">
        <x:v>21</x:v>
      </x:c>
      <x:c r="K7271" s="0">
        <x:f>hyperlink("https://icd.who.int/dev11/l-ichi/en#/http%3A%2F%2Fid.who.int%2Ficd%2Fentity%2F2035543839","browser")</x:f>
      </x:c>
      <x:c r="L7271" s="0">
        <x:f>hyperlink("https://icat2.azurewebsites.net/icat/?ontology=ICD&amp;tab=ClassesTab&amp;id=http%3A%2F%2Fwho.int%2Ficd%2344037_512ebf36_bf6b_4d70_85da_cf2637062af4","iCat")</x:f>
      </x:c>
      <x:c r="M7271" s="0" t="s">
        <x:v>21</x:v>
      </x:c>
      <x:c r="N7271" s="0" t="s">
        <x:v>46</x:v>
      </x:c>
    </x:row>
    <x:row r="7272" spans="1:16">
      <x:c r="A7272" s="0" t="s">
        <x:v>28949</x:v>
      </x:c>
      <x:c r="B7272" s="0" t="s">
        <x:v>28950</x:v>
      </x:c>
      <x:c r="C7272" s="0" t="s">
        <x:v>28951</x:v>
      </x:c>
      <x:c r="E7272" s="0" t="s">
        <x:v>28952</x:v>
      </x:c>
      <x:c r="F7272" s="0" t="s">
        <x:v>45</x:v>
      </x:c>
      <x:c r="G7272" s="0" t="s">
        <x:v>19</x:v>
      </x:c>
      <x:c r="H7272" s="0" t="s">
        <x:v>20</x:v>
      </x:c>
      <x:c r="I7272" s="0" t="s">
        <x:v>21</x:v>
      </x:c>
      <x:c r="K7272" s="0">
        <x:f>hyperlink("https://icd.who.int/dev11/l-ichi/en#/http%3A%2F%2Fid.who.int%2Ficd%2Fentity%2F201364476","browser")</x:f>
      </x:c>
      <x:c r="L7272" s="0">
        <x:f>hyperlink("https://icat2.azurewebsites.net/icat/?ontology=ICD&amp;tab=ClassesTab&amp;id=http%3A%2F%2Fwho.int%2Ficd%2344044_512ebf36_bf6b_4d70_85da_cf2637062af4","iCat")</x:f>
      </x:c>
      <x:c r="M7272" s="0" t="s">
        <x:v>21</x:v>
      </x:c>
      <x:c r="N7272" s="0" t="s">
        <x:v>46</x:v>
      </x:c>
    </x:row>
    <x:row r="7273" spans="1:16">
      <x:c r="A7273" s="0" t="s">
        <x:v>28953</x:v>
      </x:c>
      <x:c r="B7273" s="0" t="s">
        <x:v>28954</x:v>
      </x:c>
      <x:c r="C7273" s="0" t="s">
        <x:v>28955</x:v>
      </x:c>
      <x:c r="E7273" s="0" t="s">
        <x:v>28956</x:v>
      </x:c>
      <x:c r="F7273" s="0" t="s">
        <x:v>45</x:v>
      </x:c>
      <x:c r="G7273" s="0" t="s">
        <x:v>19</x:v>
      </x:c>
      <x:c r="H7273" s="0" t="s">
        <x:v>20</x:v>
      </x:c>
      <x:c r="I7273" s="0" t="s">
        <x:v>21</x:v>
      </x:c>
      <x:c r="K7273" s="0">
        <x:f>hyperlink("https://icd.who.int/dev11/l-ichi/en#/http%3A%2F%2Fid.who.int%2Ficd%2Fentity%2F1933291747","browser")</x:f>
      </x:c>
      <x:c r="L7273" s="0">
        <x:f>hyperlink("https://icat2.azurewebsites.net/icat/?ontology=ICD&amp;tab=ClassesTab&amp;id=http%3A%2F%2Fwho.int%2Ficd%2344051_512ebf36_bf6b_4d70_85da_cf2637062af4","iCat")</x:f>
      </x:c>
      <x:c r="M7273" s="0" t="s">
        <x:v>21</x:v>
      </x:c>
      <x:c r="N7273" s="0" t="s">
        <x:v>46</x:v>
      </x:c>
    </x:row>
    <x:row r="7274" spans="1:16">
      <x:c r="A7274" s="0" t="s">
        <x:v>28957</x:v>
      </x:c>
      <x:c r="B7274" s="0" t="s">
        <x:v>28958</x:v>
      </x:c>
      <x:c r="C7274" s="0" t="s">
        <x:v>28959</x:v>
      </x:c>
      <x:c r="E7274" s="0" t="s">
        <x:v>28960</x:v>
      </x:c>
      <x:c r="F7274" s="0" t="s">
        <x:v>45</x:v>
      </x:c>
      <x:c r="G7274" s="0" t="s">
        <x:v>19</x:v>
      </x:c>
      <x:c r="H7274" s="0" t="s">
        <x:v>20</x:v>
      </x:c>
      <x:c r="I7274" s="0" t="s">
        <x:v>21</x:v>
      </x:c>
      <x:c r="K7274" s="0">
        <x:f>hyperlink("https://icd.who.int/dev11/l-ichi/en#/http%3A%2F%2Fid.who.int%2Ficd%2Fentity%2F490976140","browser")</x:f>
      </x:c>
      <x:c r="L7274" s="0">
        <x:f>hyperlink("https://icat2.azurewebsites.net/icat/?ontology=ICD&amp;tab=ClassesTab&amp;id=http%3A%2F%2Fwho.int%2Ficd%2344058_512ebf36_bf6b_4d70_85da_cf2637062af4","iCat")</x:f>
      </x:c>
      <x:c r="M7274" s="0" t="s">
        <x:v>21</x:v>
      </x:c>
      <x:c r="N7274" s="0" t="s">
        <x:v>46</x:v>
      </x:c>
    </x:row>
    <x:row r="7275" spans="1:16">
      <x:c r="A7275" s="0" t="s">
        <x:v>28961</x:v>
      </x:c>
      <x:c r="B7275" s="0" t="s">
        <x:v>28962</x:v>
      </x:c>
      <x:c r="C7275" s="0" t="s">
        <x:v>28963</x:v>
      </x:c>
      <x:c r="E7275" s="0" t="s">
        <x:v>28964</x:v>
      </x:c>
      <x:c r="F7275" s="0" t="s">
        <x:v>45</x:v>
      </x:c>
      <x:c r="G7275" s="0" t="s">
        <x:v>19</x:v>
      </x:c>
      <x:c r="H7275" s="0" t="s">
        <x:v>20</x:v>
      </x:c>
      <x:c r="I7275" s="0" t="s">
        <x:v>21</x:v>
      </x:c>
      <x:c r="K7275" s="0">
        <x:f>hyperlink("https://icd.who.int/dev11/l-ichi/en#/http%3A%2F%2Fid.who.int%2Ficd%2Fentity%2F109917328","browser")</x:f>
      </x:c>
      <x:c r="L7275" s="0">
        <x:f>hyperlink("https://icat2.azurewebsites.net/icat/?ontology=ICD&amp;tab=ClassesTab&amp;id=http%3A%2F%2Fwho.int%2Ficd%2344065_512ebf36_bf6b_4d70_85da_cf2637062af4","iCat")</x:f>
      </x:c>
      <x:c r="M7275" s="0" t="s">
        <x:v>21</x:v>
      </x:c>
      <x:c r="N7275" s="0" t="s">
        <x:v>46</x:v>
      </x:c>
    </x:row>
    <x:row r="7276" spans="1:16">
      <x:c r="A7276" s="0" t="s">
        <x:v>28965</x:v>
      </x:c>
      <x:c r="B7276" s="0" t="s">
        <x:v>28966</x:v>
      </x:c>
      <x:c r="C7276" s="0" t="s">
        <x:v>28967</x:v>
      </x:c>
      <x:c r="E7276" s="0" t="s">
        <x:v>28968</x:v>
      </x:c>
      <x:c r="F7276" s="0" t="s">
        <x:v>45</x:v>
      </x:c>
      <x:c r="G7276" s="0" t="s">
        <x:v>19</x:v>
      </x:c>
      <x:c r="H7276" s="0" t="s">
        <x:v>20</x:v>
      </x:c>
      <x:c r="I7276" s="0" t="s">
        <x:v>21</x:v>
      </x:c>
      <x:c r="K7276" s="0">
        <x:f>hyperlink("https://icd.who.int/dev11/l-ichi/en#/http%3A%2F%2Fid.who.int%2Ficd%2Fentity%2F483002954","browser")</x:f>
      </x:c>
      <x:c r="L7276" s="0">
        <x:f>hyperlink("https://icat2.azurewebsites.net/icat/?ontology=ICD&amp;tab=ClassesTab&amp;id=http%3A%2F%2Fwho.int%2Ficd%2344072_512ebf36_bf6b_4d70_85da_cf2637062af4","iCat")</x:f>
      </x:c>
      <x:c r="M7276" s="0" t="s">
        <x:v>21</x:v>
      </x:c>
      <x:c r="N7276" s="0" t="s">
        <x:v>46</x:v>
      </x:c>
    </x:row>
    <x:row r="7277" spans="1:16">
      <x:c r="A7277" s="0" t="s">
        <x:v>28969</x:v>
      </x:c>
      <x:c r="B7277" s="0" t="s">
        <x:v>28970</x:v>
      </x:c>
      <x:c r="C7277" s="0" t="s">
        <x:v>28971</x:v>
      </x:c>
      <x:c r="E7277" s="0" t="s">
        <x:v>28972</x:v>
      </x:c>
      <x:c r="F7277" s="0" t="s">
        <x:v>45</x:v>
      </x:c>
      <x:c r="G7277" s="0" t="s">
        <x:v>19</x:v>
      </x:c>
      <x:c r="H7277" s="0" t="s">
        <x:v>20</x:v>
      </x:c>
      <x:c r="I7277" s="0" t="s">
        <x:v>21</x:v>
      </x:c>
      <x:c r="K7277" s="0">
        <x:f>hyperlink("https://icd.who.int/dev11/l-ichi/en#/http%3A%2F%2Fid.who.int%2Ficd%2Fentity%2F399381736","browser")</x:f>
      </x:c>
      <x:c r="L7277" s="0">
        <x:f>hyperlink("https://icat2.azurewebsites.net/icat/?ontology=ICD&amp;tab=ClassesTab&amp;id=http%3A%2F%2Fwho.int%2Ficd%2344079_512ebf36_bf6b_4d70_85da_cf2637062af4","iCat")</x:f>
      </x:c>
      <x:c r="M7277" s="0" t="s">
        <x:v>21</x:v>
      </x:c>
      <x:c r="N7277" s="0" t="s">
        <x:v>46</x:v>
      </x:c>
    </x:row>
    <x:row r="7278" spans="1:16">
      <x:c r="A7278" s="0" t="s">
        <x:v>28973</x:v>
      </x:c>
      <x:c r="B7278" s="0" t="s">
        <x:v>28974</x:v>
      </x:c>
      <x:c r="C7278" s="0" t="s">
        <x:v>28975</x:v>
      </x:c>
      <x:c r="E7278" s="0" t="s">
        <x:v>28976</x:v>
      </x:c>
      <x:c r="F7278" s="0" t="s">
        <x:v>45</x:v>
      </x:c>
      <x:c r="G7278" s="0" t="s">
        <x:v>19</x:v>
      </x:c>
      <x:c r="H7278" s="0" t="s">
        <x:v>20</x:v>
      </x:c>
      <x:c r="I7278" s="0" t="s">
        <x:v>21</x:v>
      </x:c>
      <x:c r="K7278" s="0">
        <x:f>hyperlink("https://icd.who.int/dev11/l-ichi/en#/http%3A%2F%2Fid.who.int%2Ficd%2Fentity%2F103449826","browser")</x:f>
      </x:c>
      <x:c r="L7278" s="0">
        <x:f>hyperlink("https://icat2.azurewebsites.net/icat/?ontology=ICD&amp;tab=ClassesTab&amp;id=http%3A%2F%2Fwho.int%2Ficd%2344086_512ebf36_bf6b_4d70_85da_cf2637062af4","iCat")</x:f>
      </x:c>
      <x:c r="M7278" s="0" t="s">
        <x:v>21</x:v>
      </x:c>
      <x:c r="N7278" s="0" t="s">
        <x:v>46</x:v>
      </x:c>
    </x:row>
    <x:row r="7279" spans="1:16">
      <x:c r="A7279" s="0" t="s">
        <x:v>28977</x:v>
      </x:c>
      <x:c r="B7279" s="0" t="s">
        <x:v>28978</x:v>
      </x:c>
      <x:c r="C7279" s="0" t="s">
        <x:v>28979</x:v>
      </x:c>
      <x:c r="E7279" s="0" t="s">
        <x:v>28980</x:v>
      </x:c>
      <x:c r="F7279" s="0" t="s">
        <x:v>45</x:v>
      </x:c>
      <x:c r="G7279" s="0" t="s">
        <x:v>19</x:v>
      </x:c>
      <x:c r="H7279" s="0" t="s">
        <x:v>20</x:v>
      </x:c>
      <x:c r="I7279" s="0" t="s">
        <x:v>21</x:v>
      </x:c>
      <x:c r="K7279" s="0">
        <x:f>hyperlink("https://icd.who.int/dev11/l-ichi/en#/http%3A%2F%2Fid.who.int%2Ficd%2Fentity%2F2031200255","browser")</x:f>
      </x:c>
      <x:c r="L7279" s="0">
        <x:f>hyperlink("https://icat2.azurewebsites.net/icat/?ontology=ICD&amp;tab=ClassesTab&amp;id=http%3A%2F%2Fwho.int%2Ficd%2344093_512ebf36_bf6b_4d70_85da_cf2637062af4","iCat")</x:f>
      </x:c>
      <x:c r="M7279" s="0" t="s">
        <x:v>21</x:v>
      </x:c>
      <x:c r="N7279" s="0" t="s">
        <x:v>46</x:v>
      </x:c>
    </x:row>
    <x:row r="7280" spans="1:16">
      <x:c r="A7280" s="0" t="s">
        <x:v>28981</x:v>
      </x:c>
      <x:c r="B7280" s="0" t="s">
        <x:v>28982</x:v>
      </x:c>
      <x:c r="C7280" s="0" t="s">
        <x:v>28983</x:v>
      </x:c>
      <x:c r="E7280" s="0" t="s">
        <x:v>28984</x:v>
      </x:c>
      <x:c r="F7280" s="0" t="s">
        <x:v>45</x:v>
      </x:c>
      <x:c r="G7280" s="0" t="s">
        <x:v>19</x:v>
      </x:c>
      <x:c r="H7280" s="0" t="s">
        <x:v>20</x:v>
      </x:c>
      <x:c r="I7280" s="0" t="s">
        <x:v>21</x:v>
      </x:c>
      <x:c r="K7280" s="0">
        <x:f>hyperlink("https://icd.who.int/dev11/l-ichi/en#/http%3A%2F%2Fid.who.int%2Ficd%2Fentity%2F1023394314","browser")</x:f>
      </x:c>
      <x:c r="L7280" s="0">
        <x:f>hyperlink("https://icat2.azurewebsites.net/icat/?ontology=ICD&amp;tab=ClassesTab&amp;id=http%3A%2F%2Fwho.int%2Ficd%2344100_512ebf36_bf6b_4d70_85da_cf2637062af4","iCat")</x:f>
      </x:c>
      <x:c r="M7280" s="0" t="s">
        <x:v>21</x:v>
      </x:c>
      <x:c r="N7280" s="0" t="s">
        <x:v>46</x:v>
      </x:c>
    </x:row>
    <x:row r="7281" spans="1:16">
      <x:c r="A7281" s="0" t="s">
        <x:v>28985</x:v>
      </x:c>
      <x:c r="B7281" s="0" t="s">
        <x:v>28986</x:v>
      </x:c>
      <x:c r="C7281" s="0" t="s">
        <x:v>28987</x:v>
      </x:c>
      <x:c r="E7281" s="0" t="s">
        <x:v>28988</x:v>
      </x:c>
      <x:c r="F7281" s="0" t="s">
        <x:v>45</x:v>
      </x:c>
      <x:c r="G7281" s="0" t="s">
        <x:v>19</x:v>
      </x:c>
      <x:c r="H7281" s="0" t="s">
        <x:v>20</x:v>
      </x:c>
      <x:c r="I7281" s="0" t="s">
        <x:v>21</x:v>
      </x:c>
      <x:c r="K7281" s="0">
        <x:f>hyperlink("https://icd.who.int/dev11/l-ichi/en#/http%3A%2F%2Fid.who.int%2Ficd%2Fentity%2F1992500579","browser")</x:f>
      </x:c>
      <x:c r="L7281" s="0">
        <x:f>hyperlink("https://icat2.azurewebsites.net/icat/?ontology=ICD&amp;tab=ClassesTab&amp;id=http%3A%2F%2Fwho.int%2Ficd%2344111_512ebf36_bf6b_4d70_85da_cf2637062af4","iCat")</x:f>
      </x:c>
      <x:c r="M7281" s="0" t="s">
        <x:v>21</x:v>
      </x:c>
      <x:c r="N7281" s="0" t="s">
        <x:v>46</x:v>
      </x:c>
    </x:row>
    <x:row r="7282" spans="1:16">
      <x:c r="A7282" s="0" t="s">
        <x:v>28989</x:v>
      </x:c>
      <x:c r="B7282" s="0" t="s">
        <x:v>28990</x:v>
      </x:c>
      <x:c r="C7282" s="0" t="s">
        <x:v>28991</x:v>
      </x:c>
      <x:c r="E7282" s="0" t="s">
        <x:v>28992</x:v>
      </x:c>
      <x:c r="F7282" s="0" t="s">
        <x:v>45</x:v>
      </x:c>
      <x:c r="G7282" s="0" t="s">
        <x:v>19</x:v>
      </x:c>
      <x:c r="H7282" s="0" t="s">
        <x:v>20</x:v>
      </x:c>
      <x:c r="I7282" s="0" t="s">
        <x:v>21</x:v>
      </x:c>
      <x:c r="K7282" s="0">
        <x:f>hyperlink("https://icd.who.int/dev11/l-ichi/en#/http%3A%2F%2Fid.who.int%2Ficd%2Fentity%2F414918156","browser")</x:f>
      </x:c>
      <x:c r="L7282" s="0">
        <x:f>hyperlink("https://icat2.azurewebsites.net/icat/?ontology=ICD&amp;tab=ClassesTab&amp;id=http%3A%2F%2Fwho.int%2Ficd%2344118_512ebf36_bf6b_4d70_85da_cf2637062af4","iCat")</x:f>
      </x:c>
      <x:c r="M7282" s="0" t="s">
        <x:v>21</x:v>
      </x:c>
      <x:c r="N7282" s="0" t="s">
        <x:v>46</x:v>
      </x:c>
    </x:row>
    <x:row r="7283" spans="1:16">
      <x:c r="A7283" s="0" t="s">
        <x:v>28993</x:v>
      </x:c>
      <x:c r="B7283" s="0" t="s">
        <x:v>28994</x:v>
      </x:c>
      <x:c r="C7283" s="0" t="s">
        <x:v>28995</x:v>
      </x:c>
      <x:c r="E7283" s="0" t="s">
        <x:v>28996</x:v>
      </x:c>
      <x:c r="F7283" s="0" t="s">
        <x:v>45</x:v>
      </x:c>
      <x:c r="G7283" s="0" t="s">
        <x:v>19</x:v>
      </x:c>
      <x:c r="H7283" s="0" t="s">
        <x:v>20</x:v>
      </x:c>
      <x:c r="I7283" s="0" t="s">
        <x:v>21</x:v>
      </x:c>
      <x:c r="K7283" s="0">
        <x:f>hyperlink("https://icd.who.int/dev11/l-ichi/en#/http%3A%2F%2Fid.who.int%2Ficd%2Fentity%2F58040592","browser")</x:f>
      </x:c>
      <x:c r="L7283" s="0">
        <x:f>hyperlink("https://icat2.azurewebsites.net/icat/?ontology=ICD&amp;tab=ClassesTab&amp;id=http%3A%2F%2Fwho.int%2Ficd%2344125_512ebf36_bf6b_4d70_85da_cf2637062af4","iCat")</x:f>
      </x:c>
      <x:c r="M7283" s="0" t="s">
        <x:v>21</x:v>
      </x:c>
      <x:c r="N7283" s="0" t="s">
        <x:v>46</x:v>
      </x:c>
    </x:row>
    <x:row r="7284" spans="1:16">
      <x:c r="A7284" s="0" t="s">
        <x:v>28997</x:v>
      </x:c>
      <x:c r="B7284" s="0" t="s">
        <x:v>28998</x:v>
      </x:c>
      <x:c r="C7284" s="0" t="s">
        <x:v>28999</x:v>
      </x:c>
      <x:c r="E7284" s="0" t="s">
        <x:v>29000</x:v>
      </x:c>
      <x:c r="F7284" s="0" t="s">
        <x:v>45</x:v>
      </x:c>
      <x:c r="G7284" s="0" t="s">
        <x:v>19</x:v>
      </x:c>
      <x:c r="H7284" s="0" t="s">
        <x:v>20</x:v>
      </x:c>
      <x:c r="I7284" s="0" t="s">
        <x:v>21</x:v>
      </x:c>
      <x:c r="K7284" s="0">
        <x:f>hyperlink("https://icd.who.int/dev11/l-ichi/en#/http%3A%2F%2Fid.who.int%2Ficd%2Fentity%2F969666040","browser")</x:f>
      </x:c>
      <x:c r="L7284" s="0">
        <x:f>hyperlink("https://icat2.azurewebsites.net/icat/?ontology=ICD&amp;tab=ClassesTab&amp;id=http%3A%2F%2Fwho.int%2Ficd%2344133_512ebf36_bf6b_4d70_85da_cf2637062af4","iCat")</x:f>
      </x:c>
      <x:c r="M7284" s="0" t="s">
        <x:v>21</x:v>
      </x:c>
      <x:c r="N7284" s="0" t="s">
        <x:v>46</x:v>
      </x:c>
    </x:row>
    <x:row r="7285" spans="1:16">
      <x:c r="A7285" s="0" t="s">
        <x:v>29001</x:v>
      </x:c>
      <x:c r="B7285" s="0" t="s">
        <x:v>29002</x:v>
      </x:c>
      <x:c r="C7285" s="0" t="s">
        <x:v>29003</x:v>
      </x:c>
      <x:c r="E7285" s="0" t="s">
        <x:v>29004</x:v>
      </x:c>
      <x:c r="F7285" s="0" t="s">
        <x:v>45</x:v>
      </x:c>
      <x:c r="G7285" s="0" t="s">
        <x:v>19</x:v>
      </x:c>
      <x:c r="H7285" s="0" t="s">
        <x:v>20</x:v>
      </x:c>
      <x:c r="I7285" s="0" t="s">
        <x:v>21</x:v>
      </x:c>
      <x:c r="K7285" s="0">
        <x:f>hyperlink("https://icd.who.int/dev11/l-ichi/en#/http%3A%2F%2Fid.who.int%2Ficd%2Fentity%2F1285067029","browser")</x:f>
      </x:c>
      <x:c r="L7285" s="0">
        <x:f>hyperlink("https://icat2.azurewebsites.net/icat/?ontology=ICD&amp;tab=ClassesTab&amp;id=http%3A%2F%2Fwho.int%2Ficd%2344140_512ebf36_bf6b_4d70_85da_cf2637062af4","iCat")</x:f>
      </x:c>
      <x:c r="M7285" s="0" t="s">
        <x:v>21</x:v>
      </x:c>
      <x:c r="N7285" s="0" t="s">
        <x:v>46</x:v>
      </x:c>
    </x:row>
    <x:row r="7286" spans="1:16">
      <x:c r="A7286" s="0" t="s">
        <x:v>29005</x:v>
      </x:c>
      <x:c r="B7286" s="0" t="s">
        <x:v>29006</x:v>
      </x:c>
      <x:c r="C7286" s="0" t="s">
        <x:v>29007</x:v>
      </x:c>
      <x:c r="E7286" s="0" t="s">
        <x:v>29008</x:v>
      </x:c>
      <x:c r="F7286" s="0" t="s">
        <x:v>45</x:v>
      </x:c>
      <x:c r="G7286" s="0" t="s">
        <x:v>19</x:v>
      </x:c>
      <x:c r="H7286" s="0" t="s">
        <x:v>20</x:v>
      </x:c>
      <x:c r="I7286" s="0" t="s">
        <x:v>21</x:v>
      </x:c>
      <x:c r="K7286" s="0">
        <x:f>hyperlink("https://icd.who.int/dev11/l-ichi/en#/http%3A%2F%2Fid.who.int%2Ficd%2Fentity%2F1008351898","browser")</x:f>
      </x:c>
      <x:c r="L7286" s="0">
        <x:f>hyperlink("https://icat2.azurewebsites.net/icat/?ontology=ICD&amp;tab=ClassesTab&amp;id=http%3A%2F%2Fwho.int%2Ficd%2344147_512ebf36_bf6b_4d70_85da_cf2637062af4","iCat")</x:f>
      </x:c>
      <x:c r="M7286" s="0" t="s">
        <x:v>21</x:v>
      </x:c>
      <x:c r="N7286" s="0" t="s">
        <x:v>46</x:v>
      </x:c>
    </x:row>
    <x:row r="7287" spans="1:16">
      <x:c r="A7287" s="0" t="s">
        <x:v>29009</x:v>
      </x:c>
      <x:c r="B7287" s="0" t="s">
        <x:v>29010</x:v>
      </x:c>
      <x:c r="C7287" s="0" t="s">
        <x:v>29011</x:v>
      </x:c>
      <x:c r="E7287" s="0" t="s">
        <x:v>29012</x:v>
      </x:c>
      <x:c r="F7287" s="0" t="s">
        <x:v>45</x:v>
      </x:c>
      <x:c r="G7287" s="0" t="s">
        <x:v>19</x:v>
      </x:c>
      <x:c r="H7287" s="0" t="s">
        <x:v>20</x:v>
      </x:c>
      <x:c r="I7287" s="0" t="s">
        <x:v>21</x:v>
      </x:c>
      <x:c r="K7287" s="0">
        <x:f>hyperlink("https://icd.who.int/dev11/l-ichi/en#/http%3A%2F%2Fid.who.int%2Ficd%2Fentity%2F866365964","browser")</x:f>
      </x:c>
      <x:c r="L7287" s="0">
        <x:f>hyperlink("https://icat2.azurewebsites.net/icat/?ontology=ICD&amp;tab=ClassesTab&amp;id=http%3A%2F%2Fwho.int%2Ficd%2344155_512ebf36_bf6b_4d70_85da_cf2637062af4","iCat")</x:f>
      </x:c>
      <x:c r="M7287" s="0" t="s">
        <x:v>21</x:v>
      </x:c>
      <x:c r="N7287" s="0" t="s">
        <x:v>46</x:v>
      </x:c>
    </x:row>
    <x:row r="7288" spans="1:16">
      <x:c r="A7288" s="0" t="s">
        <x:v>29013</x:v>
      </x:c>
      <x:c r="B7288" s="0" t="s">
        <x:v>29014</x:v>
      </x:c>
      <x:c r="C7288" s="0" t="s">
        <x:v>29015</x:v>
      </x:c>
      <x:c r="E7288" s="0" t="s">
        <x:v>29016</x:v>
      </x:c>
      <x:c r="F7288" s="0" t="s">
        <x:v>45</x:v>
      </x:c>
      <x:c r="G7288" s="0" t="s">
        <x:v>19</x:v>
      </x:c>
      <x:c r="H7288" s="0" t="s">
        <x:v>20</x:v>
      </x:c>
      <x:c r="I7288" s="0" t="s">
        <x:v>21</x:v>
      </x:c>
      <x:c r="K7288" s="0">
        <x:f>hyperlink("https://icd.who.int/dev11/l-ichi/en#/http%3A%2F%2Fid.who.int%2Ficd%2Fentity%2F59791744","browser")</x:f>
      </x:c>
      <x:c r="L7288" s="0">
        <x:f>hyperlink("https://icat2.azurewebsites.net/icat/?ontology=ICD&amp;tab=ClassesTab&amp;id=http%3A%2F%2Fwho.int%2Ficd%2344162_512ebf36_bf6b_4d70_85da_cf2637062af4","iCat")</x:f>
      </x:c>
      <x:c r="M7288" s="0" t="s">
        <x:v>21</x:v>
      </x:c>
      <x:c r="N7288" s="0" t="s">
        <x:v>46</x:v>
      </x:c>
    </x:row>
    <x:row r="7289" spans="1:16">
      <x:c r="A7289" s="0" t="s">
        <x:v>29017</x:v>
      </x:c>
      <x:c r="B7289" s="0" t="s">
        <x:v>29018</x:v>
      </x:c>
      <x:c r="C7289" s="0" t="s">
        <x:v>29019</x:v>
      </x:c>
      <x:c r="E7289" s="0" t="s">
        <x:v>29020</x:v>
      </x:c>
      <x:c r="F7289" s="0" t="s">
        <x:v>45</x:v>
      </x:c>
      <x:c r="G7289" s="0" t="s">
        <x:v>19</x:v>
      </x:c>
      <x:c r="H7289" s="0" t="s">
        <x:v>20</x:v>
      </x:c>
      <x:c r="I7289" s="0" t="s">
        <x:v>21</x:v>
      </x:c>
      <x:c r="K7289" s="0">
        <x:f>hyperlink("https://icd.who.int/dev11/l-ichi/en#/http%3A%2F%2Fid.who.int%2Ficd%2Fentity%2F751870768","browser")</x:f>
      </x:c>
      <x:c r="L7289" s="0">
        <x:f>hyperlink("https://icat2.azurewebsites.net/icat/?ontology=ICD&amp;tab=ClassesTab&amp;id=http%3A%2F%2Fwho.int%2Ficd%2344171_512ebf36_bf6b_4d70_85da_cf2637062af4","iCat")</x:f>
      </x:c>
      <x:c r="M7289" s="0" t="s">
        <x:v>21</x:v>
      </x:c>
      <x:c r="N7289" s="0" t="s">
        <x:v>46</x:v>
      </x:c>
    </x:row>
    <x:row r="7290" spans="1:16">
      <x:c r="A7290" s="0" t="s">
        <x:v>29021</x:v>
      </x:c>
      <x:c r="B7290" s="0" t="s">
        <x:v>29022</x:v>
      </x:c>
      <x:c r="C7290" s="0" t="s">
        <x:v>29023</x:v>
      </x:c>
      <x:c r="E7290" s="0" t="s">
        <x:v>29024</x:v>
      </x:c>
      <x:c r="F7290" s="0" t="s">
        <x:v>45</x:v>
      </x:c>
      <x:c r="G7290" s="0" t="s">
        <x:v>19</x:v>
      </x:c>
      <x:c r="H7290" s="0" t="s">
        <x:v>20</x:v>
      </x:c>
      <x:c r="I7290" s="0" t="s">
        <x:v>21</x:v>
      </x:c>
      <x:c r="K7290" s="0">
        <x:f>hyperlink("https://icd.who.int/dev11/l-ichi/en#/http%3A%2F%2Fid.who.int%2Ficd%2Fentity%2F1186104841","browser")</x:f>
      </x:c>
      <x:c r="L7290" s="0">
        <x:f>hyperlink("https://icat2.azurewebsites.net/icat/?ontology=ICD&amp;tab=ClassesTab&amp;id=http%3A%2F%2Fwho.int%2Ficd%2344182_512ebf36_bf6b_4d70_85da_cf2637062af4","iCat")</x:f>
      </x:c>
      <x:c r="M7290" s="0" t="s">
        <x:v>21</x:v>
      </x:c>
      <x:c r="N7290" s="0" t="s">
        <x:v>46</x:v>
      </x:c>
    </x:row>
    <x:row r="7291" spans="1:16">
      <x:c r="A7291" s="0" t="s">
        <x:v>29025</x:v>
      </x:c>
      <x:c r="B7291" s="0" t="s">
        <x:v>29026</x:v>
      </x:c>
      <x:c r="C7291" s="0" t="s">
        <x:v>29027</x:v>
      </x:c>
      <x:c r="E7291" s="0" t="s">
        <x:v>29028</x:v>
      </x:c>
      <x:c r="F7291" s="0" t="s">
        <x:v>45</x:v>
      </x:c>
      <x:c r="G7291" s="0" t="s">
        <x:v>19</x:v>
      </x:c>
      <x:c r="H7291" s="0" t="s">
        <x:v>20</x:v>
      </x:c>
      <x:c r="I7291" s="0" t="s">
        <x:v>21</x:v>
      </x:c>
      <x:c r="K7291" s="0">
        <x:f>hyperlink("https://icd.who.int/dev11/l-ichi/en#/http%3A%2F%2Fid.who.int%2Ficd%2Fentity%2F1303812261","browser")</x:f>
      </x:c>
      <x:c r="L7291" s="0">
        <x:f>hyperlink("https://icat2.azurewebsites.net/icat/?ontology=ICD&amp;tab=ClassesTab&amp;id=http%3A%2F%2Fwho.int%2Ficd%2344189_512ebf36_bf6b_4d70_85da_cf2637062af4","iCat")</x:f>
      </x:c>
      <x:c r="M7291" s="0" t="s">
        <x:v>21</x:v>
      </x:c>
      <x:c r="N7291" s="0" t="s">
        <x:v>46</x:v>
      </x:c>
    </x:row>
    <x:row r="7292" spans="1:16">
      <x:c r="A7292" s="0" t="s">
        <x:v>29029</x:v>
      </x:c>
      <x:c r="B7292" s="0" t="s">
        <x:v>29030</x:v>
      </x:c>
      <x:c r="C7292" s="0" t="s">
        <x:v>29031</x:v>
      </x:c>
      <x:c r="E7292" s="0" t="s">
        <x:v>29032</x:v>
      </x:c>
      <x:c r="F7292" s="0" t="s">
        <x:v>45</x:v>
      </x:c>
      <x:c r="G7292" s="0" t="s">
        <x:v>19</x:v>
      </x:c>
      <x:c r="H7292" s="0" t="s">
        <x:v>20</x:v>
      </x:c>
      <x:c r="I7292" s="0" t="s">
        <x:v>21</x:v>
      </x:c>
      <x:c r="K7292" s="0">
        <x:f>hyperlink("https://icd.who.int/dev11/l-ichi/en#/http%3A%2F%2Fid.who.int%2Ficd%2Fentity%2F426825516","browser")</x:f>
      </x:c>
      <x:c r="L7292" s="0">
        <x:f>hyperlink("https://icat2.azurewebsites.net/icat/?ontology=ICD&amp;tab=ClassesTab&amp;id=http%3A%2F%2Fwho.int%2Ficd%2344196_512ebf36_bf6b_4d70_85da_cf2637062af4","iCat")</x:f>
      </x:c>
      <x:c r="M7292" s="0" t="s">
        <x:v>21</x:v>
      </x:c>
      <x:c r="N7292" s="0" t="s">
        <x:v>46</x:v>
      </x:c>
    </x:row>
    <x:row r="7293" spans="1:16">
      <x:c r="A7293" s="0" t="s">
        <x:v>29033</x:v>
      </x:c>
      <x:c r="B7293" s="0" t="s">
        <x:v>29034</x:v>
      </x:c>
      <x:c r="C7293" s="0" t="s">
        <x:v>29035</x:v>
      </x:c>
      <x:c r="E7293" s="0" t="s">
        <x:v>29036</x:v>
      </x:c>
      <x:c r="F7293" s="0" t="s">
        <x:v>45</x:v>
      </x:c>
      <x:c r="G7293" s="0" t="s">
        <x:v>19</x:v>
      </x:c>
      <x:c r="H7293" s="0" t="s">
        <x:v>20</x:v>
      </x:c>
      <x:c r="I7293" s="0" t="s">
        <x:v>21</x:v>
      </x:c>
      <x:c r="K7293" s="0">
        <x:f>hyperlink("https://icd.who.int/dev11/l-ichi/en#/http%3A%2F%2Fid.who.int%2Ficd%2Fentity%2F232501218","browser")</x:f>
      </x:c>
      <x:c r="L7293" s="0">
        <x:f>hyperlink("https://icat2.azurewebsites.net/icat/?ontology=ICD&amp;tab=ClassesTab&amp;id=http%3A%2F%2Fwho.int%2Ficd%2344206_512ebf36_bf6b_4d70_85da_cf2637062af4","iCat")</x:f>
      </x:c>
      <x:c r="M7293" s="0" t="s">
        <x:v>21</x:v>
      </x:c>
      <x:c r="N7293" s="0" t="s">
        <x:v>46</x:v>
      </x:c>
    </x:row>
    <x:row r="7294" spans="1:16">
      <x:c r="A7294" s="0" t="s">
        <x:v>29037</x:v>
      </x:c>
      <x:c r="B7294" s="0" t="s">
        <x:v>29038</x:v>
      </x:c>
      <x:c r="C7294" s="0" t="s">
        <x:v>29039</x:v>
      </x:c>
      <x:c r="E7294" s="0" t="s">
        <x:v>29040</x:v>
      </x:c>
      <x:c r="F7294" s="0" t="s">
        <x:v>45</x:v>
      </x:c>
      <x:c r="G7294" s="0" t="s">
        <x:v>19</x:v>
      </x:c>
      <x:c r="H7294" s="0" t="s">
        <x:v>20</x:v>
      </x:c>
      <x:c r="I7294" s="0" t="s">
        <x:v>21</x:v>
      </x:c>
      <x:c r="K7294" s="0">
        <x:f>hyperlink("https://icd.who.int/dev11/l-ichi/en#/http%3A%2F%2Fid.who.int%2Ficd%2Fentity%2F39987060","browser")</x:f>
      </x:c>
      <x:c r="L7294" s="0">
        <x:f>hyperlink("https://icat2.azurewebsites.net/icat/?ontology=ICD&amp;tab=ClassesTab&amp;id=http%3A%2F%2Fwho.int%2Ficd%2344214_512ebf36_bf6b_4d70_85da_cf2637062af4","iCat")</x:f>
      </x:c>
      <x:c r="M7294" s="0" t="s">
        <x:v>21</x:v>
      </x:c>
      <x:c r="N7294" s="0" t="s">
        <x:v>46</x:v>
      </x:c>
    </x:row>
    <x:row r="7295" spans="1:16">
      <x:c r="A7295" s="0" t="s">
        <x:v>29041</x:v>
      </x:c>
      <x:c r="B7295" s="0" t="s">
        <x:v>29042</x:v>
      </x:c>
      <x:c r="C7295" s="0" t="s">
        <x:v>29043</x:v>
      </x:c>
      <x:c r="E7295" s="0" t="s">
        <x:v>29044</x:v>
      </x:c>
      <x:c r="F7295" s="0" t="s">
        <x:v>45</x:v>
      </x:c>
      <x:c r="G7295" s="0" t="s">
        <x:v>19</x:v>
      </x:c>
      <x:c r="H7295" s="0" t="s">
        <x:v>20</x:v>
      </x:c>
      <x:c r="I7295" s="0" t="s">
        <x:v>21</x:v>
      </x:c>
      <x:c r="K7295" s="0">
        <x:f>hyperlink("https://icd.who.int/dev11/l-ichi/en#/http%3A%2F%2Fid.who.int%2Ficd%2Fentity%2F1462620477","browser")</x:f>
      </x:c>
      <x:c r="L7295" s="0">
        <x:f>hyperlink("https://icat2.azurewebsites.net/icat/?ontology=ICD&amp;tab=ClassesTab&amp;id=http%3A%2F%2Fwho.int%2Ficd%2344221_512ebf36_bf6b_4d70_85da_cf2637062af4","iCat")</x:f>
      </x:c>
      <x:c r="M7295" s="0" t="s">
        <x:v>21</x:v>
      </x:c>
      <x:c r="N7295" s="0" t="s">
        <x:v>46</x:v>
      </x:c>
    </x:row>
    <x:row r="7296" spans="1:16">
      <x:c r="A7296" s="0" t="s">
        <x:v>29045</x:v>
      </x:c>
      <x:c r="B7296" s="0" t="s">
        <x:v>29046</x:v>
      </x:c>
      <x:c r="C7296" s="0" t="s">
        <x:v>29047</x:v>
      </x:c>
      <x:c r="E7296" s="0" t="s">
        <x:v>29048</x:v>
      </x:c>
      <x:c r="F7296" s="0" t="s">
        <x:v>45</x:v>
      </x:c>
      <x:c r="G7296" s="0" t="s">
        <x:v>19</x:v>
      </x:c>
      <x:c r="H7296" s="0" t="s">
        <x:v>20</x:v>
      </x:c>
      <x:c r="I7296" s="0" t="s">
        <x:v>21</x:v>
      </x:c>
      <x:c r="K7296" s="0">
        <x:f>hyperlink("https://icd.who.int/dev11/l-ichi/en#/http%3A%2F%2Fid.who.int%2Ficd%2Fentity%2F430743656","browser")</x:f>
      </x:c>
      <x:c r="L7296" s="0">
        <x:f>hyperlink("https://icat2.azurewebsites.net/icat/?ontology=ICD&amp;tab=ClassesTab&amp;id=http%3A%2F%2Fwho.int%2Ficd%2344229_512ebf36_bf6b_4d70_85da_cf2637062af4","iCat")</x:f>
      </x:c>
      <x:c r="M7296" s="0" t="s">
        <x:v>21</x:v>
      </x:c>
      <x:c r="N7296" s="0" t="s">
        <x:v>46</x:v>
      </x:c>
    </x:row>
    <x:row r="7297" spans="1:16">
      <x:c r="A7297" s="0" t="s">
        <x:v>29049</x:v>
      </x:c>
      <x:c r="B7297" s="0" t="s">
        <x:v>29050</x:v>
      </x:c>
      <x:c r="C7297" s="0" t="s">
        <x:v>29051</x:v>
      </x:c>
      <x:c r="E7297" s="0" t="s">
        <x:v>29052</x:v>
      </x:c>
      <x:c r="F7297" s="0" t="s">
        <x:v>45</x:v>
      </x:c>
      <x:c r="G7297" s="0" t="s">
        <x:v>19</x:v>
      </x:c>
      <x:c r="H7297" s="0" t="s">
        <x:v>20</x:v>
      </x:c>
      <x:c r="I7297" s="0" t="s">
        <x:v>21</x:v>
      </x:c>
      <x:c r="K7297" s="0">
        <x:f>hyperlink("https://icd.who.int/dev11/l-ichi/en#/http%3A%2F%2Fid.who.int%2Ficd%2Fentity%2F1298853863","browser")</x:f>
      </x:c>
      <x:c r="L7297" s="0">
        <x:f>hyperlink("https://icat2.azurewebsites.net/icat/?ontology=ICD&amp;tab=ClassesTab&amp;id=http%3A%2F%2Fwho.int%2Ficd%2344236_512ebf36_bf6b_4d70_85da_cf2637062af4","iCat")</x:f>
      </x:c>
      <x:c r="M7297" s="0" t="s">
        <x:v>21</x:v>
      </x:c>
      <x:c r="N7297" s="0" t="s">
        <x:v>46</x:v>
      </x:c>
    </x:row>
    <x:row r="7298" spans="1:16">
      <x:c r="A7298" s="0" t="s">
        <x:v>29053</x:v>
      </x:c>
      <x:c r="B7298" s="0" t="s">
        <x:v>29054</x:v>
      </x:c>
      <x:c r="D7298" s="0" t="s">
        <x:v>29055</x:v>
      </x:c>
      <x:c r="E7298" s="0" t="s">
        <x:v>29056</x:v>
      </x:c>
      <x:c r="F7298" s="0" t="s">
        <x:v>26</x:v>
      </x:c>
      <x:c r="G7298" s="0" t="s">
        <x:v>35</x:v>
      </x:c>
      <x:c r="H7298" s="0" t="s">
        <x:v>20</x:v>
      </x:c>
      <x:c r="I7298" s="0" t="s">
        <x:v>21</x:v>
      </x:c>
      <x:c r="K7298" s="0">
        <x:f>hyperlink("https://icd.who.int/dev11/l-ichi/en#/http%3A%2F%2Fid.who.int%2Ficd%2Fentity%2F415293754","browser")</x:f>
      </x:c>
      <x:c r="L7298" s="0">
        <x:f>hyperlink("https://icat2.azurewebsites.net/icat/?ontology=ICD&amp;tab=ClassesTab&amp;id=http%3A%2F%2Fwho.int%2Ficd%2344244_512ebf36_bf6b_4d70_85da_cf2637062af4","iCat")</x:f>
      </x:c>
      <x:c r="M7298" s="0" t="s">
        <x:v>20</x:v>
      </x:c>
      <x:c r="N7298" s="0" t="s">
        <x:v>35</x:v>
      </x:c>
    </x:row>
    <x:row r="7299" spans="1:16">
      <x:c r="A7299" s="0" t="s">
        <x:v>29057</x:v>
      </x:c>
      <x:c r="B7299" s="0" t="s">
        <x:v>29058</x:v>
      </x:c>
      <x:c r="D7299" s="0" t="s">
        <x:v>29059</x:v>
      </x:c>
      <x:c r="E7299" s="0" t="s">
        <x:v>29060</x:v>
      </x:c>
      <x:c r="F7299" s="0" t="s">
        <x:v>26</x:v>
      </x:c>
      <x:c r="G7299" s="0" t="s">
        <x:v>22</x:v>
      </x:c>
      <x:c r="H7299" s="0" t="s">
        <x:v>20</x:v>
      </x:c>
      <x:c r="I7299" s="0" t="s">
        <x:v>21</x:v>
      </x:c>
      <x:c r="K7299" s="0">
        <x:f>hyperlink("https://icd.who.int/dev11/l-ichi/en#/http%3A%2F%2Fid.who.int%2Ficd%2Fentity%2F1191358491","browser")</x:f>
      </x:c>
      <x:c r="L7299" s="0">
        <x:f>hyperlink("https://icat2.azurewebsites.net/icat/?ontology=ICD&amp;tab=ClassesTab&amp;id=http%3A%2F%2Fwho.int%2Ficd%2344250_512ebf36_bf6b_4d70_85da_cf2637062af4","iCat")</x:f>
      </x:c>
      <x:c r="M7299" s="0" t="s">
        <x:v>20</x:v>
      </x:c>
      <x:c r="N7299" s="0" t="s">
        <x:v>29061</x:v>
      </x:c>
    </x:row>
    <x:row r="7300" spans="1:16">
      <x:c r="A7300" s="0" t="s">
        <x:v>29062</x:v>
      </x:c>
      <x:c r="B7300" s="0" t="s">
        <x:v>29063</x:v>
      </x:c>
      <x:c r="C7300" s="0" t="s">
        <x:v>29064</x:v>
      </x:c>
      <x:c r="E7300" s="0" t="s">
        <x:v>29065</x:v>
      </x:c>
      <x:c r="F7300" s="0" t="s">
        <x:v>45</x:v>
      </x:c>
      <x:c r="G7300" s="0" t="s">
        <x:v>19</x:v>
      </x:c>
      <x:c r="H7300" s="0" t="s">
        <x:v>20</x:v>
      </x:c>
      <x:c r="I7300" s="0" t="s">
        <x:v>21</x:v>
      </x:c>
      <x:c r="K7300" s="0">
        <x:f>hyperlink("https://icd.who.int/dev11/l-ichi/en#/http%3A%2F%2Fid.who.int%2Ficd%2Fentity%2F1749174965","browser")</x:f>
      </x:c>
      <x:c r="L7300" s="0">
        <x:f>hyperlink("https://icat2.azurewebsites.net/icat/?ontology=ICD&amp;tab=ClassesTab&amp;id=http%3A%2F%2Fwho.int%2Ficd%2344243_512ebf36_bf6b_4d70_85da_cf2637062af4","iCat")</x:f>
      </x:c>
      <x:c r="M7300" s="0" t="s">
        <x:v>21</x:v>
      </x:c>
      <x:c r="N7300" s="0" t="s">
        <x:v>46</x:v>
      </x:c>
    </x:row>
    <x:row r="7301" spans="1:16">
      <x:c r="A7301" s="0" t="s">
        <x:v>29066</x:v>
      </x:c>
      <x:c r="B7301" s="0" t="s">
        <x:v>29067</x:v>
      </x:c>
      <x:c r="C7301" s="0" t="s">
        <x:v>29068</x:v>
      </x:c>
      <x:c r="E7301" s="0" t="s">
        <x:v>29069</x:v>
      </x:c>
      <x:c r="F7301" s="0" t="s">
        <x:v>45</x:v>
      </x:c>
      <x:c r="G7301" s="0" t="s">
        <x:v>19</x:v>
      </x:c>
      <x:c r="H7301" s="0" t="s">
        <x:v>20</x:v>
      </x:c>
      <x:c r="I7301" s="0" t="s">
        <x:v>21</x:v>
      </x:c>
      <x:c r="K7301" s="0">
        <x:f>hyperlink("https://icd.who.int/dev11/l-ichi/en#/http%3A%2F%2Fid.who.int%2Ficd%2Fentity%2F1472735661","browser")</x:f>
      </x:c>
      <x:c r="L7301" s="0">
        <x:f>hyperlink("https://icat2.azurewebsites.net/icat/?ontology=ICD&amp;tab=ClassesTab&amp;id=http%3A%2F%2Fwho.int%2Ficd%2344266_512ebf36_bf6b_4d70_85da_cf2637062af4","iCat")</x:f>
      </x:c>
      <x:c r="M7301" s="0" t="s">
        <x:v>21</x:v>
      </x:c>
      <x:c r="N7301" s="0" t="s">
        <x:v>46</x:v>
      </x:c>
    </x:row>
    <x:row r="7302" spans="1:16">
      <x:c r="A7302" s="0" t="s">
        <x:v>29070</x:v>
      </x:c>
      <x:c r="B7302" s="0" t="s">
        <x:v>29071</x:v>
      </x:c>
      <x:c r="C7302" s="0" t="s">
        <x:v>29072</x:v>
      </x:c>
      <x:c r="E7302" s="0" t="s">
        <x:v>29073</x:v>
      </x:c>
      <x:c r="F7302" s="0" t="s">
        <x:v>45</x:v>
      </x:c>
      <x:c r="G7302" s="0" t="s">
        <x:v>19</x:v>
      </x:c>
      <x:c r="H7302" s="0" t="s">
        <x:v>20</x:v>
      </x:c>
      <x:c r="I7302" s="0" t="s">
        <x:v>21</x:v>
      </x:c>
      <x:c r="K7302" s="0">
        <x:f>hyperlink("https://icd.who.int/dev11/l-ichi/en#/http%3A%2F%2Fid.who.int%2Ficd%2Fentity%2F687016626","browser")</x:f>
      </x:c>
      <x:c r="L7302" s="0">
        <x:f>hyperlink("https://icat2.azurewebsites.net/icat/?ontology=ICD&amp;tab=ClassesTab&amp;id=http%3A%2F%2Fwho.int%2Ficd%2344273_512ebf36_bf6b_4d70_85da_cf2637062af4","iCat")</x:f>
      </x:c>
      <x:c r="M7302" s="0" t="s">
        <x:v>21</x:v>
      </x:c>
      <x:c r="N7302" s="0" t="s">
        <x:v>46</x:v>
      </x:c>
    </x:row>
    <x:row r="7303" spans="1:16">
      <x:c r="A7303" s="0" t="s">
        <x:v>29074</x:v>
      </x:c>
      <x:c r="B7303" s="0" t="s">
        <x:v>29075</x:v>
      </x:c>
      <x:c r="C7303" s="0" t="s">
        <x:v>29076</x:v>
      </x:c>
      <x:c r="E7303" s="0" t="s">
        <x:v>29077</x:v>
      </x:c>
      <x:c r="F7303" s="0" t="s">
        <x:v>45</x:v>
      </x:c>
      <x:c r="G7303" s="0" t="s">
        <x:v>19</x:v>
      </x:c>
      <x:c r="H7303" s="0" t="s">
        <x:v>20</x:v>
      </x:c>
      <x:c r="I7303" s="0" t="s">
        <x:v>21</x:v>
      </x:c>
      <x:c r="K7303" s="0">
        <x:f>hyperlink("https://icd.who.int/dev11/l-ichi/en#/http%3A%2F%2Fid.who.int%2Ficd%2Fentity%2F2006379489","browser")</x:f>
      </x:c>
      <x:c r="L7303" s="0">
        <x:f>hyperlink("https://icat2.azurewebsites.net/icat/?ontology=ICD&amp;tab=ClassesTab&amp;id=http%3A%2F%2Fwho.int%2Ficd%2344284_512ebf36_bf6b_4d70_85da_cf2637062af4","iCat")</x:f>
      </x:c>
      <x:c r="M7303" s="0" t="s">
        <x:v>21</x:v>
      </x:c>
      <x:c r="N7303" s="0" t="s">
        <x:v>46</x:v>
      </x:c>
    </x:row>
    <x:row r="7304" spans="1:16">
      <x:c r="A7304" s="0" t="s">
        <x:v>29078</x:v>
      </x:c>
      <x:c r="B7304" s="0" t="s">
        <x:v>29079</x:v>
      </x:c>
      <x:c r="C7304" s="0" t="s">
        <x:v>29080</x:v>
      </x:c>
      <x:c r="E7304" s="0" t="s">
        <x:v>29081</x:v>
      </x:c>
      <x:c r="F7304" s="0" t="s">
        <x:v>45</x:v>
      </x:c>
      <x:c r="G7304" s="0" t="s">
        <x:v>19</x:v>
      </x:c>
      <x:c r="H7304" s="0" t="s">
        <x:v>20</x:v>
      </x:c>
      <x:c r="I7304" s="0" t="s">
        <x:v>21</x:v>
      </x:c>
      <x:c r="K7304" s="0">
        <x:f>hyperlink("https://icd.who.int/dev11/l-ichi/en#/http%3A%2F%2Fid.who.int%2Ficd%2Fentity%2F1034554508","browser")</x:f>
      </x:c>
      <x:c r="L7304" s="0">
        <x:f>hyperlink("https://icat2.azurewebsites.net/icat/?ontology=ICD&amp;tab=ClassesTab&amp;id=http%3A%2F%2Fwho.int%2Ficd%2344295_512ebf36_bf6b_4d70_85da_cf2637062af4","iCat")</x:f>
      </x:c>
      <x:c r="M7304" s="0" t="s">
        <x:v>21</x:v>
      </x:c>
      <x:c r="N7304" s="0" t="s">
        <x:v>46</x:v>
      </x:c>
    </x:row>
    <x:row r="7305" spans="1:16">
      <x:c r="A7305" s="0" t="s">
        <x:v>29082</x:v>
      </x:c>
      <x:c r="B7305" s="0" t="s">
        <x:v>29083</x:v>
      </x:c>
      <x:c r="C7305" s="0" t="s">
        <x:v>29084</x:v>
      </x:c>
      <x:c r="E7305" s="0" t="s">
        <x:v>29085</x:v>
      </x:c>
      <x:c r="F7305" s="0" t="s">
        <x:v>45</x:v>
      </x:c>
      <x:c r="G7305" s="0" t="s">
        <x:v>19</x:v>
      </x:c>
      <x:c r="H7305" s="0" t="s">
        <x:v>20</x:v>
      </x:c>
      <x:c r="I7305" s="0" t="s">
        <x:v>21</x:v>
      </x:c>
      <x:c r="K7305" s="0">
        <x:f>hyperlink("https://icd.who.int/dev11/l-ichi/en#/http%3A%2F%2Fid.who.int%2Ficd%2Fentity%2F2017749373","browser")</x:f>
      </x:c>
      <x:c r="L7305" s="0">
        <x:f>hyperlink("https://icat2.azurewebsites.net/icat/?ontology=ICD&amp;tab=ClassesTab&amp;id=http%3A%2F%2Fwho.int%2Ficd%2344306_512ebf36_bf6b_4d70_85da_cf2637062af4","iCat")</x:f>
      </x:c>
      <x:c r="M7305" s="0" t="s">
        <x:v>21</x:v>
      </x:c>
      <x:c r="N7305" s="0" t="s">
        <x:v>46</x:v>
      </x:c>
    </x:row>
    <x:row r="7306" spans="1:16">
      <x:c r="A7306" s="0" t="s">
        <x:v>29086</x:v>
      </x:c>
      <x:c r="B7306" s="0" t="s">
        <x:v>29087</x:v>
      </x:c>
      <x:c r="C7306" s="0" t="s">
        <x:v>29088</x:v>
      </x:c>
      <x:c r="E7306" s="0" t="s">
        <x:v>29089</x:v>
      </x:c>
      <x:c r="F7306" s="0" t="s">
        <x:v>45</x:v>
      </x:c>
      <x:c r="G7306" s="0" t="s">
        <x:v>19</x:v>
      </x:c>
      <x:c r="H7306" s="0" t="s">
        <x:v>20</x:v>
      </x:c>
      <x:c r="I7306" s="0" t="s">
        <x:v>21</x:v>
      </x:c>
      <x:c r="K7306" s="0">
        <x:f>hyperlink("https://icd.who.int/dev11/l-ichi/en#/http%3A%2F%2Fid.who.int%2Ficd%2Fentity%2F846761494","browser")</x:f>
      </x:c>
      <x:c r="L7306" s="0">
        <x:f>hyperlink("https://icat2.azurewebsites.net/icat/?ontology=ICD&amp;tab=ClassesTab&amp;id=http%3A%2F%2Fwho.int%2Ficd%2344317_512ebf36_bf6b_4d70_85da_cf2637062af4","iCat")</x:f>
      </x:c>
      <x:c r="M7306" s="0" t="s">
        <x:v>21</x:v>
      </x:c>
      <x:c r="N7306" s="0" t="s">
        <x:v>46</x:v>
      </x:c>
    </x:row>
    <x:row r="7307" spans="1:16">
      <x:c r="A7307" s="0" t="s">
        <x:v>29090</x:v>
      </x:c>
      <x:c r="B7307" s="0" t="s">
        <x:v>29091</x:v>
      </x:c>
      <x:c r="C7307" s="0" t="s">
        <x:v>29092</x:v>
      </x:c>
      <x:c r="E7307" s="0" t="s">
        <x:v>29093</x:v>
      </x:c>
      <x:c r="F7307" s="0" t="s">
        <x:v>45</x:v>
      </x:c>
      <x:c r="G7307" s="0" t="s">
        <x:v>19</x:v>
      </x:c>
      <x:c r="H7307" s="0" t="s">
        <x:v>20</x:v>
      </x:c>
      <x:c r="I7307" s="0" t="s">
        <x:v>21</x:v>
      </x:c>
      <x:c r="K7307" s="0">
        <x:f>hyperlink("https://icd.who.int/dev11/l-ichi/en#/http%3A%2F%2Fid.who.int%2Ficd%2Fentity%2F1288312009","browser")</x:f>
      </x:c>
      <x:c r="L7307" s="0">
        <x:f>hyperlink("https://icat2.azurewebsites.net/icat/?ontology=ICD&amp;tab=ClassesTab&amp;id=http%3A%2F%2Fwho.int%2Ficd%2344328_512ebf36_bf6b_4d70_85da_cf2637062af4","iCat")</x:f>
      </x:c>
      <x:c r="M7307" s="0" t="s">
        <x:v>21</x:v>
      </x:c>
      <x:c r="N7307" s="0" t="s">
        <x:v>46</x:v>
      </x:c>
    </x:row>
    <x:row r="7308" spans="1:16">
      <x:c r="A7308" s="0" t="s">
        <x:v>29094</x:v>
      </x:c>
      <x:c r="B7308" s="0" t="s">
        <x:v>29095</x:v>
      </x:c>
      <x:c r="C7308" s="0" t="s">
        <x:v>29096</x:v>
      </x:c>
      <x:c r="E7308" s="0" t="s">
        <x:v>29097</x:v>
      </x:c>
      <x:c r="F7308" s="0" t="s">
        <x:v>45</x:v>
      </x:c>
      <x:c r="G7308" s="0" t="s">
        <x:v>19</x:v>
      </x:c>
      <x:c r="H7308" s="0" t="s">
        <x:v>20</x:v>
      </x:c>
      <x:c r="I7308" s="0" t="s">
        <x:v>21</x:v>
      </x:c>
      <x:c r="K7308" s="0">
        <x:f>hyperlink("https://icd.who.int/dev11/l-ichi/en#/http%3A%2F%2Fid.who.int%2Ficd%2Fentity%2F2104510083","browser")</x:f>
      </x:c>
      <x:c r="L7308" s="0">
        <x:f>hyperlink("https://icat2.azurewebsites.net/icat/?ontology=ICD&amp;tab=ClassesTab&amp;id=http%3A%2F%2Fwho.int%2Ficd%2344335_512ebf36_bf6b_4d70_85da_cf2637062af4","iCat")</x:f>
      </x:c>
      <x:c r="M7308" s="0" t="s">
        <x:v>21</x:v>
      </x:c>
      <x:c r="N7308" s="0" t="s">
        <x:v>46</x:v>
      </x:c>
    </x:row>
    <x:row r="7309" spans="1:16">
      <x:c r="A7309" s="0" t="s">
        <x:v>29098</x:v>
      </x:c>
      <x:c r="B7309" s="0" t="s">
        <x:v>29099</x:v>
      </x:c>
      <x:c r="C7309" s="0" t="s">
        <x:v>29100</x:v>
      </x:c>
      <x:c r="E7309" s="0" t="s">
        <x:v>29101</x:v>
      </x:c>
      <x:c r="F7309" s="0" t="s">
        <x:v>45</x:v>
      </x:c>
      <x:c r="G7309" s="0" t="s">
        <x:v>19</x:v>
      </x:c>
      <x:c r="H7309" s="0" t="s">
        <x:v>20</x:v>
      </x:c>
      <x:c r="I7309" s="0" t="s">
        <x:v>21</x:v>
      </x:c>
      <x:c r="K7309" s="0">
        <x:f>hyperlink("https://icd.who.int/dev11/l-ichi/en#/http%3A%2F%2Fid.who.int%2Ficd%2Fentity%2F136526434","browser")</x:f>
      </x:c>
      <x:c r="L7309" s="0">
        <x:f>hyperlink("https://icat2.azurewebsites.net/icat/?ontology=ICD&amp;tab=ClassesTab&amp;id=http%3A%2F%2Fwho.int%2Ficd%2344346_512ebf36_bf6b_4d70_85da_cf2637062af4","iCat")</x:f>
      </x:c>
      <x:c r="M7309" s="0" t="s">
        <x:v>21</x:v>
      </x:c>
      <x:c r="N7309" s="0" t="s">
        <x:v>46</x:v>
      </x:c>
    </x:row>
    <x:row r="7310" spans="1:16">
      <x:c r="A7310" s="0" t="s">
        <x:v>29102</x:v>
      </x:c>
      <x:c r="B7310" s="0" t="s">
        <x:v>29103</x:v>
      </x:c>
      <x:c r="C7310" s="0" t="s">
        <x:v>29104</x:v>
      </x:c>
      <x:c r="E7310" s="0" t="s">
        <x:v>29105</x:v>
      </x:c>
      <x:c r="F7310" s="0" t="s">
        <x:v>45</x:v>
      </x:c>
      <x:c r="G7310" s="0" t="s">
        <x:v>19</x:v>
      </x:c>
      <x:c r="H7310" s="0" t="s">
        <x:v>20</x:v>
      </x:c>
      <x:c r="I7310" s="0" t="s">
        <x:v>21</x:v>
      </x:c>
      <x:c r="K7310" s="0">
        <x:f>hyperlink("https://icd.who.int/dev11/l-ichi/en#/http%3A%2F%2Fid.who.int%2Ficd%2Fentity%2F1109384459","browser")</x:f>
      </x:c>
      <x:c r="L7310" s="0">
        <x:f>hyperlink("https://icat2.azurewebsites.net/icat/?ontology=ICD&amp;tab=ClassesTab&amp;id=http%3A%2F%2Fwho.int%2Ficd%2344357_512ebf36_bf6b_4d70_85da_cf2637062af4","iCat")</x:f>
      </x:c>
      <x:c r="M7310" s="0" t="s">
        <x:v>21</x:v>
      </x:c>
      <x:c r="N7310" s="0" t="s">
        <x:v>46</x:v>
      </x:c>
    </x:row>
    <x:row r="7311" spans="1:16">
      <x:c r="A7311" s="0" t="s">
        <x:v>29106</x:v>
      </x:c>
      <x:c r="B7311" s="0" t="s">
        <x:v>29107</x:v>
      </x:c>
      <x:c r="C7311" s="0" t="s">
        <x:v>29108</x:v>
      </x:c>
      <x:c r="E7311" s="0" t="s">
        <x:v>29109</x:v>
      </x:c>
      <x:c r="F7311" s="0" t="s">
        <x:v>45</x:v>
      </x:c>
      <x:c r="G7311" s="0" t="s">
        <x:v>19</x:v>
      </x:c>
      <x:c r="H7311" s="0" t="s">
        <x:v>20</x:v>
      </x:c>
      <x:c r="I7311" s="0" t="s">
        <x:v>21</x:v>
      </x:c>
      <x:c r="K7311" s="0">
        <x:f>hyperlink("https://icd.who.int/dev11/l-ichi/en#/http%3A%2F%2Fid.who.int%2Ficd%2Fentity%2F1194062581","browser")</x:f>
      </x:c>
      <x:c r="L7311" s="0">
        <x:f>hyperlink("https://icat2.azurewebsites.net/icat/?ontology=ICD&amp;tab=ClassesTab&amp;id=http%3A%2F%2Fwho.int%2Ficd%2344364_512ebf36_bf6b_4d70_85da_cf2637062af4","iCat")</x:f>
      </x:c>
      <x:c r="M7311" s="0" t="s">
        <x:v>21</x:v>
      </x:c>
      <x:c r="N7311" s="0" t="s">
        <x:v>46</x:v>
      </x:c>
    </x:row>
    <x:row r="7312" spans="1:16">
      <x:c r="A7312" s="0" t="s">
        <x:v>29110</x:v>
      </x:c>
      <x:c r="B7312" s="0" t="s">
        <x:v>29111</x:v>
      </x:c>
      <x:c r="C7312" s="0" t="s">
        <x:v>29112</x:v>
      </x:c>
      <x:c r="E7312" s="0" t="s">
        <x:v>29113</x:v>
      </x:c>
      <x:c r="F7312" s="0" t="s">
        <x:v>45</x:v>
      </x:c>
      <x:c r="G7312" s="0" t="s">
        <x:v>19</x:v>
      </x:c>
      <x:c r="H7312" s="0" t="s">
        <x:v>20</x:v>
      </x:c>
      <x:c r="I7312" s="0" t="s">
        <x:v>21</x:v>
      </x:c>
      <x:c r="K7312" s="0">
        <x:f>hyperlink("https://icd.who.int/dev11/l-ichi/en#/http%3A%2F%2Fid.who.int%2Ficd%2Fentity%2F940626410","browser")</x:f>
      </x:c>
      <x:c r="L7312" s="0">
        <x:f>hyperlink("https://icat2.azurewebsites.net/icat/?ontology=ICD&amp;tab=ClassesTab&amp;id=http%3A%2F%2Fwho.int%2Ficd%2344371_512ebf36_bf6b_4d70_85da_cf2637062af4","iCat")</x:f>
      </x:c>
      <x:c r="M7312" s="0" t="s">
        <x:v>21</x:v>
      </x:c>
      <x:c r="N7312" s="0" t="s">
        <x:v>46</x:v>
      </x:c>
    </x:row>
    <x:row r="7313" spans="1:16">
      <x:c r="A7313" s="0" t="s">
        <x:v>29114</x:v>
      </x:c>
      <x:c r="B7313" s="0" t="s">
        <x:v>29115</x:v>
      </x:c>
      <x:c r="C7313" s="0" t="s">
        <x:v>29116</x:v>
      </x:c>
      <x:c r="E7313" s="0" t="s">
        <x:v>29117</x:v>
      </x:c>
      <x:c r="F7313" s="0" t="s">
        <x:v>45</x:v>
      </x:c>
      <x:c r="G7313" s="0" t="s">
        <x:v>19</x:v>
      </x:c>
      <x:c r="H7313" s="0" t="s">
        <x:v>20</x:v>
      </x:c>
      <x:c r="I7313" s="0" t="s">
        <x:v>21</x:v>
      </x:c>
      <x:c r="K7313" s="0">
        <x:f>hyperlink("https://icd.who.int/dev11/l-ichi/en#/http%3A%2F%2Fid.who.int%2Ficd%2Fentity%2F1449710211","browser")</x:f>
      </x:c>
      <x:c r="L7313" s="0">
        <x:f>hyperlink("https://icat2.azurewebsites.net/icat/?ontology=ICD&amp;tab=ClassesTab&amp;id=http%3A%2F%2Fwho.int%2Ficd%2344378_512ebf36_bf6b_4d70_85da_cf2637062af4","iCat")</x:f>
      </x:c>
      <x:c r="M7313" s="0" t="s">
        <x:v>21</x:v>
      </x:c>
      <x:c r="N7313" s="0" t="s">
        <x:v>46</x:v>
      </x:c>
    </x:row>
    <x:row r="7314" spans="1:16">
      <x:c r="A7314" s="0" t="s">
        <x:v>29118</x:v>
      </x:c>
      <x:c r="B7314" s="0" t="s">
        <x:v>29119</x:v>
      </x:c>
      <x:c r="C7314" s="0" t="s">
        <x:v>29120</x:v>
      </x:c>
      <x:c r="E7314" s="0" t="s">
        <x:v>29121</x:v>
      </x:c>
      <x:c r="F7314" s="0" t="s">
        <x:v>45</x:v>
      </x:c>
      <x:c r="G7314" s="0" t="s">
        <x:v>19</x:v>
      </x:c>
      <x:c r="H7314" s="0" t="s">
        <x:v>20</x:v>
      </x:c>
      <x:c r="I7314" s="0" t="s">
        <x:v>21</x:v>
      </x:c>
      <x:c r="K7314" s="0">
        <x:f>hyperlink("https://icd.who.int/dev11/l-ichi/en#/http%3A%2F%2Fid.who.int%2Ficd%2Fentity%2F1500965473","browser")</x:f>
      </x:c>
      <x:c r="L7314" s="0">
        <x:f>hyperlink("https://icat2.azurewebsites.net/icat/?ontology=ICD&amp;tab=ClassesTab&amp;id=http%3A%2F%2Fwho.int%2Ficd%2344389_512ebf36_bf6b_4d70_85da_cf2637062af4","iCat")</x:f>
      </x:c>
      <x:c r="M7314" s="0" t="s">
        <x:v>21</x:v>
      </x:c>
      <x:c r="N7314" s="0" t="s">
        <x:v>46</x:v>
      </x:c>
    </x:row>
    <x:row r="7315" spans="1:16">
      <x:c r="A7315" s="0" t="s">
        <x:v>29122</x:v>
      </x:c>
      <x:c r="B7315" s="0" t="s">
        <x:v>29123</x:v>
      </x:c>
      <x:c r="C7315" s="0" t="s">
        <x:v>29124</x:v>
      </x:c>
      <x:c r="E7315" s="0" t="s">
        <x:v>29125</x:v>
      </x:c>
      <x:c r="F7315" s="0" t="s">
        <x:v>45</x:v>
      </x:c>
      <x:c r="G7315" s="0" t="s">
        <x:v>19</x:v>
      </x:c>
      <x:c r="H7315" s="0" t="s">
        <x:v>20</x:v>
      </x:c>
      <x:c r="I7315" s="0" t="s">
        <x:v>21</x:v>
      </x:c>
      <x:c r="K7315" s="0">
        <x:f>hyperlink("https://icd.who.int/dev11/l-ichi/en#/http%3A%2F%2Fid.who.int%2Ficd%2Fentity%2F229680622","browser")</x:f>
      </x:c>
      <x:c r="L7315" s="0">
        <x:f>hyperlink("https://icat2.azurewebsites.net/icat/?ontology=ICD&amp;tab=ClassesTab&amp;id=http%3A%2F%2Fwho.int%2Ficd%2344396_512ebf36_bf6b_4d70_85da_cf2637062af4","iCat")</x:f>
      </x:c>
      <x:c r="M7315" s="0" t="s">
        <x:v>21</x:v>
      </x:c>
      <x:c r="N7315" s="0" t="s">
        <x:v>46</x:v>
      </x:c>
    </x:row>
    <x:row r="7316" spans="1:16">
      <x:c r="A7316" s="0" t="s">
        <x:v>29126</x:v>
      </x:c>
      <x:c r="B7316" s="0" t="s">
        <x:v>29127</x:v>
      </x:c>
      <x:c r="C7316" s="0" t="s">
        <x:v>29128</x:v>
      </x:c>
      <x:c r="E7316" s="0" t="s">
        <x:v>29129</x:v>
      </x:c>
      <x:c r="F7316" s="0" t="s">
        <x:v>45</x:v>
      </x:c>
      <x:c r="G7316" s="0" t="s">
        <x:v>19</x:v>
      </x:c>
      <x:c r="H7316" s="0" t="s">
        <x:v>20</x:v>
      </x:c>
      <x:c r="I7316" s="0" t="s">
        <x:v>21</x:v>
      </x:c>
      <x:c r="K7316" s="0">
        <x:f>hyperlink("https://icd.who.int/dev11/l-ichi/en#/http%3A%2F%2Fid.who.int%2Ficd%2Fentity%2F32208729","browser")</x:f>
      </x:c>
      <x:c r="L7316" s="0">
        <x:f>hyperlink("https://icat2.azurewebsites.net/icat/?ontology=ICD&amp;tab=ClassesTab&amp;id=http%3A%2F%2Fwho.int%2Ficd%2344403_512ebf36_bf6b_4d70_85da_cf2637062af4","iCat")</x:f>
      </x:c>
      <x:c r="M7316" s="0" t="s">
        <x:v>21</x:v>
      </x:c>
      <x:c r="N7316" s="0" t="s">
        <x:v>46</x:v>
      </x:c>
    </x:row>
    <x:row r="7317" spans="1:16">
      <x:c r="A7317" s="0" t="s">
        <x:v>29130</x:v>
      </x:c>
      <x:c r="B7317" s="0" t="s">
        <x:v>29131</x:v>
      </x:c>
      <x:c r="C7317" s="0" t="s">
        <x:v>29132</x:v>
      </x:c>
      <x:c r="E7317" s="0" t="s">
        <x:v>29133</x:v>
      </x:c>
      <x:c r="F7317" s="0" t="s">
        <x:v>45</x:v>
      </x:c>
      <x:c r="G7317" s="0" t="s">
        <x:v>19</x:v>
      </x:c>
      <x:c r="H7317" s="0" t="s">
        <x:v>20</x:v>
      </x:c>
      <x:c r="I7317" s="0" t="s">
        <x:v>21</x:v>
      </x:c>
      <x:c r="K7317" s="0">
        <x:f>hyperlink("https://icd.who.int/dev11/l-ichi/en#/http%3A%2F%2Fid.who.int%2Ficd%2Fentity%2F782994935","browser")</x:f>
      </x:c>
      <x:c r="L7317" s="0">
        <x:f>hyperlink("https://icat2.azurewebsites.net/icat/?ontology=ICD&amp;tab=ClassesTab&amp;id=http%3A%2F%2Fwho.int%2Ficd%2344410_512ebf36_bf6b_4d70_85da_cf2637062af4","iCat")</x:f>
      </x:c>
      <x:c r="M7317" s="0" t="s">
        <x:v>21</x:v>
      </x:c>
      <x:c r="N7317" s="0" t="s">
        <x:v>46</x:v>
      </x:c>
    </x:row>
    <x:row r="7318" spans="1:16">
      <x:c r="A7318" s="0" t="s">
        <x:v>29134</x:v>
      </x:c>
      <x:c r="B7318" s="0" t="s">
        <x:v>29135</x:v>
      </x:c>
      <x:c r="C7318" s="0" t="s">
        <x:v>29136</x:v>
      </x:c>
      <x:c r="E7318" s="0" t="s">
        <x:v>29137</x:v>
      </x:c>
      <x:c r="F7318" s="0" t="s">
        <x:v>45</x:v>
      </x:c>
      <x:c r="G7318" s="0" t="s">
        <x:v>19</x:v>
      </x:c>
      <x:c r="H7318" s="0" t="s">
        <x:v>20</x:v>
      </x:c>
      <x:c r="I7318" s="0" t="s">
        <x:v>21</x:v>
      </x:c>
      <x:c r="K7318" s="0">
        <x:f>hyperlink("https://icd.who.int/dev11/l-ichi/en#/http%3A%2F%2Fid.who.int%2Ficd%2Fentity%2F1579755132","browser")</x:f>
      </x:c>
      <x:c r="L7318" s="0">
        <x:f>hyperlink("https://icat2.azurewebsites.net/icat/?ontology=ICD&amp;tab=ClassesTab&amp;id=http%3A%2F%2Fwho.int%2Ficd%2344417_512ebf36_bf6b_4d70_85da_cf2637062af4","iCat")</x:f>
      </x:c>
      <x:c r="M7318" s="0" t="s">
        <x:v>21</x:v>
      </x:c>
      <x:c r="N7318" s="0" t="s">
        <x:v>46</x:v>
      </x:c>
    </x:row>
    <x:row r="7319" spans="1:16">
      <x:c r="A7319" s="0" t="s">
        <x:v>29138</x:v>
      </x:c>
      <x:c r="B7319" s="0" t="s">
        <x:v>29139</x:v>
      </x:c>
      <x:c r="C7319" s="0" t="s">
        <x:v>29140</x:v>
      </x:c>
      <x:c r="E7319" s="0" t="s">
        <x:v>29141</x:v>
      </x:c>
      <x:c r="F7319" s="0" t="s">
        <x:v>45</x:v>
      </x:c>
      <x:c r="G7319" s="0" t="s">
        <x:v>19</x:v>
      </x:c>
      <x:c r="H7319" s="0" t="s">
        <x:v>20</x:v>
      </x:c>
      <x:c r="I7319" s="0" t="s">
        <x:v>21</x:v>
      </x:c>
      <x:c r="K7319" s="0">
        <x:f>hyperlink("https://icd.who.int/dev11/l-ichi/en#/http%3A%2F%2Fid.who.int%2Ficd%2Fentity%2F513304189","browser")</x:f>
      </x:c>
      <x:c r="L7319" s="0">
        <x:f>hyperlink("https://icat2.azurewebsites.net/icat/?ontology=ICD&amp;tab=ClassesTab&amp;id=http%3A%2F%2Fwho.int%2Ficd%2344427_512ebf36_bf6b_4d70_85da_cf2637062af4","iCat")</x:f>
      </x:c>
      <x:c r="M7319" s="0" t="s">
        <x:v>21</x:v>
      </x:c>
      <x:c r="N7319" s="0" t="s">
        <x:v>46</x:v>
      </x:c>
    </x:row>
    <x:row r="7320" spans="1:16">
      <x:c r="A7320" s="0" t="s">
        <x:v>29142</x:v>
      </x:c>
      <x:c r="B7320" s="0" t="s">
        <x:v>29143</x:v>
      </x:c>
      <x:c r="C7320" s="0" t="s">
        <x:v>29144</x:v>
      </x:c>
      <x:c r="E7320" s="0" t="s">
        <x:v>29145</x:v>
      </x:c>
      <x:c r="F7320" s="0" t="s">
        <x:v>45</x:v>
      </x:c>
      <x:c r="G7320" s="0" t="s">
        <x:v>19</x:v>
      </x:c>
      <x:c r="H7320" s="0" t="s">
        <x:v>20</x:v>
      </x:c>
      <x:c r="I7320" s="0" t="s">
        <x:v>21</x:v>
      </x:c>
      <x:c r="K7320" s="0">
        <x:f>hyperlink("https://icd.who.int/dev11/l-ichi/en#/http%3A%2F%2Fid.who.int%2Ficd%2Fentity%2F1420067096","browser")</x:f>
      </x:c>
      <x:c r="L7320" s="0">
        <x:f>hyperlink("https://icat2.azurewebsites.net/icat/?ontology=ICD&amp;tab=ClassesTab&amp;id=http%3A%2F%2Fwho.int%2Ficd%2344436_512ebf36_bf6b_4d70_85da_cf2637062af4","iCat")</x:f>
      </x:c>
      <x:c r="M7320" s="0" t="s">
        <x:v>21</x:v>
      </x:c>
      <x:c r="N7320" s="0" t="s">
        <x:v>46</x:v>
      </x:c>
    </x:row>
    <x:row r="7321" spans="1:16">
      <x:c r="A7321" s="0" t="s">
        <x:v>29146</x:v>
      </x:c>
      <x:c r="B7321" s="0" t="s">
        <x:v>29147</x:v>
      </x:c>
      <x:c r="C7321" s="0" t="s">
        <x:v>29148</x:v>
      </x:c>
      <x:c r="E7321" s="0" t="s">
        <x:v>29149</x:v>
      </x:c>
      <x:c r="F7321" s="0" t="s">
        <x:v>45</x:v>
      </x:c>
      <x:c r="G7321" s="0" t="s">
        <x:v>19</x:v>
      </x:c>
      <x:c r="H7321" s="0" t="s">
        <x:v>20</x:v>
      </x:c>
      <x:c r="I7321" s="0" t="s">
        <x:v>21</x:v>
      </x:c>
      <x:c r="K7321" s="0">
        <x:f>hyperlink("https://icd.who.int/dev11/l-ichi/en#/http%3A%2F%2Fid.who.int%2Ficd%2Fentity%2F1905009732","browser")</x:f>
      </x:c>
      <x:c r="L7321" s="0">
        <x:f>hyperlink("https://icat2.azurewebsites.net/icat/?ontology=ICD&amp;tab=ClassesTab&amp;id=http%3A%2F%2Fwho.int%2Ficd%2344443_512ebf36_bf6b_4d70_85da_cf2637062af4","iCat")</x:f>
      </x:c>
      <x:c r="M7321" s="0" t="s">
        <x:v>21</x:v>
      </x:c>
      <x:c r="N7321" s="0" t="s">
        <x:v>46</x:v>
      </x:c>
    </x:row>
    <x:row r="7322" spans="1:16">
      <x:c r="A7322" s="0" t="s">
        <x:v>29150</x:v>
      </x:c>
      <x:c r="B7322" s="0" t="s">
        <x:v>29151</x:v>
      </x:c>
      <x:c r="C7322" s="0" t="s">
        <x:v>29152</x:v>
      </x:c>
      <x:c r="E7322" s="0" t="s">
        <x:v>29153</x:v>
      </x:c>
      <x:c r="F7322" s="0" t="s">
        <x:v>45</x:v>
      </x:c>
      <x:c r="G7322" s="0" t="s">
        <x:v>19</x:v>
      </x:c>
      <x:c r="H7322" s="0" t="s">
        <x:v>20</x:v>
      </x:c>
      <x:c r="I7322" s="0" t="s">
        <x:v>21</x:v>
      </x:c>
      <x:c r="K7322" s="0">
        <x:f>hyperlink("https://icd.who.int/dev11/l-ichi/en#/http%3A%2F%2Fid.who.int%2Ficd%2Fentity%2F2117446870","browser")</x:f>
      </x:c>
      <x:c r="L7322" s="0">
        <x:f>hyperlink("https://icat2.azurewebsites.net/icat/?ontology=ICD&amp;tab=ClassesTab&amp;id=http%3A%2F%2Fwho.int%2Ficd%2344451_512ebf36_bf6b_4d70_85da_cf2637062af4","iCat")</x:f>
      </x:c>
      <x:c r="M7322" s="0" t="s">
        <x:v>21</x:v>
      </x:c>
      <x:c r="N7322" s="0" t="s">
        <x:v>46</x:v>
      </x:c>
    </x:row>
    <x:row r="7323" spans="1:16">
      <x:c r="A7323" s="0" t="s">
        <x:v>29154</x:v>
      </x:c>
      <x:c r="B7323" s="0" t="s">
        <x:v>29155</x:v>
      </x:c>
      <x:c r="C7323" s="0" t="s">
        <x:v>29156</x:v>
      </x:c>
      <x:c r="E7323" s="0" t="s">
        <x:v>29157</x:v>
      </x:c>
      <x:c r="F7323" s="0" t="s">
        <x:v>45</x:v>
      </x:c>
      <x:c r="G7323" s="0" t="s">
        <x:v>19</x:v>
      </x:c>
      <x:c r="H7323" s="0" t="s">
        <x:v>20</x:v>
      </x:c>
      <x:c r="I7323" s="0" t="s">
        <x:v>21</x:v>
      </x:c>
      <x:c r="K7323" s="0">
        <x:f>hyperlink("https://icd.who.int/dev11/l-ichi/en#/http%3A%2F%2Fid.who.int%2Ficd%2Fentity%2F1630233182","browser")</x:f>
      </x:c>
      <x:c r="L7323" s="0">
        <x:f>hyperlink("https://icat2.azurewebsites.net/icat/?ontology=ICD&amp;tab=ClassesTab&amp;id=http%3A%2F%2Fwho.int%2Ficd%23109_dd4d4347_e398_43b9_84dd_c9611ca6abfa","iCat")</x:f>
      </x:c>
      <x:c r="M7323" s="0" t="s">
        <x:v>21</x:v>
      </x:c>
      <x:c r="N7323" s="0" t="s">
        <x:v>46</x:v>
      </x:c>
    </x:row>
    <x:row r="7324" spans="1:16">
      <x:c r="A7324" s="0" t="s">
        <x:v>29158</x:v>
      </x:c>
      <x:c r="B7324" s="0" t="s">
        <x:v>29159</x:v>
      </x:c>
      <x:c r="C7324" s="0" t="s">
        <x:v>29160</x:v>
      </x:c>
      <x:c r="E7324" s="0" t="s">
        <x:v>29161</x:v>
      </x:c>
      <x:c r="F7324" s="0" t="s">
        <x:v>45</x:v>
      </x:c>
      <x:c r="G7324" s="0" t="s">
        <x:v>19</x:v>
      </x:c>
      <x:c r="H7324" s="0" t="s">
        <x:v>20</x:v>
      </x:c>
      <x:c r="I7324" s="0" t="s">
        <x:v>21</x:v>
      </x:c>
      <x:c r="K7324" s="0">
        <x:f>hyperlink("https://icd.who.int/dev11/l-ichi/en#/http%3A%2F%2Fid.who.int%2Ficd%2Fentity%2F273526719","browser")</x:f>
      </x:c>
      <x:c r="L7324" s="0">
        <x:f>hyperlink("https://icat2.azurewebsites.net/icat/?ontology=ICD&amp;tab=ClassesTab&amp;id=http%3A%2F%2Fwho.int%2Ficd%2344458_512ebf36_bf6b_4d70_85da_cf2637062af4","iCat")</x:f>
      </x:c>
      <x:c r="M7324" s="0" t="s">
        <x:v>21</x:v>
      </x:c>
      <x:c r="N7324" s="0" t="s">
        <x:v>46</x:v>
      </x:c>
    </x:row>
    <x:row r="7325" spans="1:16">
      <x:c r="A7325" s="0" t="s">
        <x:v>29162</x:v>
      </x:c>
      <x:c r="B7325" s="0" t="s">
        <x:v>29163</x:v>
      </x:c>
      <x:c r="C7325" s="0" t="s">
        <x:v>29164</x:v>
      </x:c>
      <x:c r="E7325" s="0" t="s">
        <x:v>29165</x:v>
      </x:c>
      <x:c r="F7325" s="0" t="s">
        <x:v>45</x:v>
      </x:c>
      <x:c r="G7325" s="0" t="s">
        <x:v>19</x:v>
      </x:c>
      <x:c r="H7325" s="0" t="s">
        <x:v>20</x:v>
      </x:c>
      <x:c r="I7325" s="0" t="s">
        <x:v>21</x:v>
      </x:c>
      <x:c r="K7325" s="0">
        <x:f>hyperlink("https://icd.who.int/dev11/l-ichi/en#/http%3A%2F%2Fid.who.int%2Ficd%2Fentity%2F193144997","browser")</x:f>
      </x:c>
      <x:c r="L7325" s="0">
        <x:f>hyperlink("https://icat2.azurewebsites.net/icat/?ontology=ICD&amp;tab=ClassesTab&amp;id=http%3A%2F%2Fwho.int%2Ficd%2344465_512ebf36_bf6b_4d70_85da_cf2637062af4","iCat")</x:f>
      </x:c>
      <x:c r="M7325" s="0" t="s">
        <x:v>21</x:v>
      </x:c>
      <x:c r="N7325" s="0" t="s">
        <x:v>46</x:v>
      </x:c>
    </x:row>
    <x:row r="7326" spans="1:16">
      <x:c r="A7326" s="0" t="s">
        <x:v>29166</x:v>
      </x:c>
      <x:c r="B7326" s="0" t="s">
        <x:v>29167</x:v>
      </x:c>
      <x:c r="C7326" s="0" t="s">
        <x:v>29168</x:v>
      </x:c>
      <x:c r="E7326" s="0" t="s">
        <x:v>29169</x:v>
      </x:c>
      <x:c r="F7326" s="0" t="s">
        <x:v>45</x:v>
      </x:c>
      <x:c r="G7326" s="0" t="s">
        <x:v>19</x:v>
      </x:c>
      <x:c r="H7326" s="0" t="s">
        <x:v>20</x:v>
      </x:c>
      <x:c r="I7326" s="0" t="s">
        <x:v>21</x:v>
      </x:c>
      <x:c r="K7326" s="0">
        <x:f>hyperlink("https://icd.who.int/dev11/l-ichi/en#/http%3A%2F%2Fid.who.int%2Ficd%2Fentity%2F1632026098","browser")</x:f>
      </x:c>
      <x:c r="L7326" s="0">
        <x:f>hyperlink("https://icat2.azurewebsites.net/icat/?ontology=ICD&amp;tab=ClassesTab&amp;id=http%3A%2F%2Fwho.int%2Ficd%2344475_512ebf36_bf6b_4d70_85da_cf2637062af4","iCat")</x:f>
      </x:c>
      <x:c r="M7326" s="0" t="s">
        <x:v>21</x:v>
      </x:c>
      <x:c r="N7326" s="0" t="s">
        <x:v>46</x:v>
      </x:c>
    </x:row>
    <x:row r="7327" spans="1:16">
      <x:c r="A7327" s="0" t="s">
        <x:v>29170</x:v>
      </x:c>
      <x:c r="B7327" s="0" t="s">
        <x:v>29171</x:v>
      </x:c>
      <x:c r="C7327" s="0" t="s">
        <x:v>29172</x:v>
      </x:c>
      <x:c r="E7327" s="0" t="s">
        <x:v>29173</x:v>
      </x:c>
      <x:c r="F7327" s="0" t="s">
        <x:v>45</x:v>
      </x:c>
      <x:c r="G7327" s="0" t="s">
        <x:v>19</x:v>
      </x:c>
      <x:c r="H7327" s="0" t="s">
        <x:v>20</x:v>
      </x:c>
      <x:c r="I7327" s="0" t="s">
        <x:v>21</x:v>
      </x:c>
      <x:c r="K7327" s="0">
        <x:f>hyperlink("https://icd.who.int/dev11/l-ichi/en#/http%3A%2F%2Fid.who.int%2Ficd%2Fentity%2F1042504865","browser")</x:f>
      </x:c>
      <x:c r="L7327" s="0">
        <x:f>hyperlink("https://icat2.azurewebsites.net/icat/?ontology=ICD&amp;tab=ClassesTab&amp;id=http%3A%2F%2Fwho.int%2Ficd%2344482_512ebf36_bf6b_4d70_85da_cf2637062af4","iCat")</x:f>
      </x:c>
      <x:c r="M7327" s="0" t="s">
        <x:v>21</x:v>
      </x:c>
      <x:c r="N7327" s="0" t="s">
        <x:v>46</x:v>
      </x:c>
    </x:row>
    <x:row r="7328" spans="1:16">
      <x:c r="A7328" s="0" t="s">
        <x:v>29174</x:v>
      </x:c>
      <x:c r="B7328" s="0" t="s">
        <x:v>29175</x:v>
      </x:c>
      <x:c r="C7328" s="0" t="s">
        <x:v>29176</x:v>
      </x:c>
      <x:c r="E7328" s="0" t="s">
        <x:v>29177</x:v>
      </x:c>
      <x:c r="F7328" s="0" t="s">
        <x:v>45</x:v>
      </x:c>
      <x:c r="G7328" s="0" t="s">
        <x:v>19</x:v>
      </x:c>
      <x:c r="H7328" s="0" t="s">
        <x:v>20</x:v>
      </x:c>
      <x:c r="I7328" s="0" t="s">
        <x:v>21</x:v>
      </x:c>
      <x:c r="K7328" s="0">
        <x:f>hyperlink("https://icd.who.int/dev11/l-ichi/en#/http%3A%2F%2Fid.who.int%2Ficd%2Fentity%2F291743247","browser")</x:f>
      </x:c>
      <x:c r="L7328" s="0">
        <x:f>hyperlink("https://icat2.azurewebsites.net/icat/?ontology=ICD&amp;tab=ClassesTab&amp;id=http%3A%2F%2Fwho.int%2Ficd%2344491_512ebf36_bf6b_4d70_85da_cf2637062af4","iCat")</x:f>
      </x:c>
      <x:c r="M7328" s="0" t="s">
        <x:v>21</x:v>
      </x:c>
      <x:c r="N7328" s="0" t="s">
        <x:v>46</x:v>
      </x:c>
    </x:row>
    <x:row r="7329" spans="1:16">
      <x:c r="A7329" s="0" t="s">
        <x:v>29178</x:v>
      </x:c>
      <x:c r="B7329" s="0" t="s">
        <x:v>29179</x:v>
      </x:c>
      <x:c r="C7329" s="0" t="s">
        <x:v>29180</x:v>
      </x:c>
      <x:c r="E7329" s="0" t="s">
        <x:v>29181</x:v>
      </x:c>
      <x:c r="F7329" s="0" t="s">
        <x:v>45</x:v>
      </x:c>
      <x:c r="G7329" s="0" t="s">
        <x:v>19</x:v>
      </x:c>
      <x:c r="H7329" s="0" t="s">
        <x:v>20</x:v>
      </x:c>
      <x:c r="I7329" s="0" t="s">
        <x:v>21</x:v>
      </x:c>
      <x:c r="K7329" s="0">
        <x:f>hyperlink("https://icd.who.int/dev11/l-ichi/en#/http%3A%2F%2Fid.who.int%2Ficd%2Fentity%2F2132518246","browser")</x:f>
      </x:c>
      <x:c r="L7329" s="0">
        <x:f>hyperlink("https://icat2.azurewebsites.net/icat/?ontology=ICD&amp;tab=ClassesTab&amp;id=http%3A%2F%2Fwho.int%2Ficd%2344498_512ebf36_bf6b_4d70_85da_cf2637062af4","iCat")</x:f>
      </x:c>
      <x:c r="M7329" s="0" t="s">
        <x:v>21</x:v>
      </x:c>
      <x:c r="N7329" s="0" t="s">
        <x:v>46</x:v>
      </x:c>
    </x:row>
    <x:row r="7330" spans="1:16">
      <x:c r="A7330" s="0" t="s">
        <x:v>29182</x:v>
      </x:c>
      <x:c r="B7330" s="0" t="s">
        <x:v>29183</x:v>
      </x:c>
      <x:c r="C7330" s="0" t="s">
        <x:v>29184</x:v>
      </x:c>
      <x:c r="E7330" s="0" t="s">
        <x:v>29185</x:v>
      </x:c>
      <x:c r="F7330" s="0" t="s">
        <x:v>45</x:v>
      </x:c>
      <x:c r="G7330" s="0" t="s">
        <x:v>19</x:v>
      </x:c>
      <x:c r="H7330" s="0" t="s">
        <x:v>20</x:v>
      </x:c>
      <x:c r="I7330" s="0" t="s">
        <x:v>21</x:v>
      </x:c>
      <x:c r="K7330" s="0">
        <x:f>hyperlink("https://icd.who.int/dev11/l-ichi/en#/http%3A%2F%2Fid.who.int%2Ficd%2Fentity%2F604989557","browser")</x:f>
      </x:c>
      <x:c r="L7330" s="0">
        <x:f>hyperlink("https://icat2.azurewebsites.net/icat/?ontology=ICD&amp;tab=ClassesTab&amp;id=http%3A%2F%2Fwho.int%2Ficd%2344505_512ebf36_bf6b_4d70_85da_cf2637062af4","iCat")</x:f>
      </x:c>
      <x:c r="M7330" s="0" t="s">
        <x:v>21</x:v>
      </x:c>
      <x:c r="N7330" s="0" t="s">
        <x:v>46</x:v>
      </x:c>
    </x:row>
    <x:row r="7331" spans="1:16">
      <x:c r="A7331" s="0" t="s">
        <x:v>29186</x:v>
      </x:c>
      <x:c r="B7331" s="0" t="s">
        <x:v>29187</x:v>
      </x:c>
      <x:c r="C7331" s="0" t="s">
        <x:v>29188</x:v>
      </x:c>
      <x:c r="E7331" s="0" t="s">
        <x:v>29189</x:v>
      </x:c>
      <x:c r="F7331" s="0" t="s">
        <x:v>45</x:v>
      </x:c>
      <x:c r="G7331" s="0" t="s">
        <x:v>19</x:v>
      </x:c>
      <x:c r="H7331" s="0" t="s">
        <x:v>20</x:v>
      </x:c>
      <x:c r="I7331" s="0" t="s">
        <x:v>21</x:v>
      </x:c>
      <x:c r="K7331" s="0">
        <x:f>hyperlink("https://icd.who.int/dev11/l-ichi/en#/http%3A%2F%2Fid.who.int%2Ficd%2Fentity%2F680428381","browser")</x:f>
      </x:c>
      <x:c r="L7331" s="0">
        <x:f>hyperlink("https://icat2.azurewebsites.net/icat/?ontology=ICD&amp;tab=ClassesTab&amp;id=http%3A%2F%2Fwho.int%2Ficd%231738_4869915e_217e_423d_acb3_33c0f920ef4b","iCat")</x:f>
      </x:c>
      <x:c r="M7331" s="0" t="s">
        <x:v>21</x:v>
      </x:c>
      <x:c r="N7331" s="0" t="s">
        <x:v>46</x:v>
      </x:c>
    </x:row>
    <x:row r="7332" spans="1:16">
      <x:c r="A7332" s="0" t="s">
        <x:v>29190</x:v>
      </x:c>
      <x:c r="B7332" s="0" t="s">
        <x:v>29191</x:v>
      </x:c>
      <x:c r="C7332" s="0" t="s">
        <x:v>29192</x:v>
      </x:c>
      <x:c r="E7332" s="0" t="s">
        <x:v>29193</x:v>
      </x:c>
      <x:c r="F7332" s="0" t="s">
        <x:v>45</x:v>
      </x:c>
      <x:c r="G7332" s="0" t="s">
        <x:v>19</x:v>
      </x:c>
      <x:c r="H7332" s="0" t="s">
        <x:v>20</x:v>
      </x:c>
      <x:c r="I7332" s="0" t="s">
        <x:v>21</x:v>
      </x:c>
      <x:c r="K7332" s="0">
        <x:f>hyperlink("https://icd.who.int/dev11/l-ichi/en#/http%3A%2F%2Fid.who.int%2Ficd%2Fentity%2F1126651738","browser")</x:f>
      </x:c>
      <x:c r="L7332" s="0">
        <x:f>hyperlink("https://icat2.azurewebsites.net/icat/?ontology=ICD&amp;tab=ClassesTab&amp;id=http%3A%2F%2Fwho.int%2Ficd%231745_4869915e_217e_423d_acb3_33c0f920ef4b","iCat")</x:f>
      </x:c>
      <x:c r="M7332" s="0" t="s">
        <x:v>21</x:v>
      </x:c>
      <x:c r="N7332" s="0" t="s">
        <x:v>46</x:v>
      </x:c>
    </x:row>
    <x:row r="7333" spans="1:16">
      <x:c r="A7333" s="0" t="s">
        <x:v>29194</x:v>
      </x:c>
      <x:c r="B7333" s="0" t="s">
        <x:v>29195</x:v>
      </x:c>
      <x:c r="C7333" s="0" t="s">
        <x:v>29196</x:v>
      </x:c>
      <x:c r="E7333" s="0" t="s">
        <x:v>29197</x:v>
      </x:c>
      <x:c r="F7333" s="0" t="s">
        <x:v>45</x:v>
      </x:c>
      <x:c r="G7333" s="0" t="s">
        <x:v>19</x:v>
      </x:c>
      <x:c r="H7333" s="0" t="s">
        <x:v>20</x:v>
      </x:c>
      <x:c r="I7333" s="0" t="s">
        <x:v>21</x:v>
      </x:c>
      <x:c r="K7333" s="0">
        <x:f>hyperlink("https://icd.who.int/dev11/l-ichi/en#/http%3A%2F%2Fid.who.int%2Ficd%2Fentity%2F1499490688","browser")</x:f>
      </x:c>
      <x:c r="L7333" s="0">
        <x:f>hyperlink("https://icat2.azurewebsites.net/icat/?ontology=ICD&amp;tab=ClassesTab&amp;id=http%3A%2F%2Fwho.int%2Ficd%231752_4869915e_217e_423d_acb3_33c0f920ef4b","iCat")</x:f>
      </x:c>
      <x:c r="M7333" s="0" t="s">
        <x:v>21</x:v>
      </x:c>
      <x:c r="N7333" s="0" t="s">
        <x:v>46</x:v>
      </x:c>
    </x:row>
    <x:row r="7334" spans="1:16">
      <x:c r="A7334" s="0" t="s">
        <x:v>29198</x:v>
      </x:c>
      <x:c r="B7334" s="0" t="s">
        <x:v>29199</x:v>
      </x:c>
      <x:c r="C7334" s="0" t="s">
        <x:v>29200</x:v>
      </x:c>
      <x:c r="E7334" s="0" t="s">
        <x:v>29201</x:v>
      </x:c>
      <x:c r="F7334" s="0" t="s">
        <x:v>45</x:v>
      </x:c>
      <x:c r="G7334" s="0" t="s">
        <x:v>19</x:v>
      </x:c>
      <x:c r="H7334" s="0" t="s">
        <x:v>20</x:v>
      </x:c>
      <x:c r="I7334" s="0" t="s">
        <x:v>21</x:v>
      </x:c>
      <x:c r="K7334" s="0">
        <x:f>hyperlink("https://icd.who.int/dev11/l-ichi/en#/http%3A%2F%2Fid.who.int%2Ficd%2Fentity%2F2091725892","browser")</x:f>
      </x:c>
      <x:c r="L7334" s="0">
        <x:f>hyperlink("https://icat2.azurewebsites.net/icat/?ontology=ICD&amp;tab=ClassesTab&amp;id=http%3A%2F%2Fwho.int%2Ficd%231760_4869915e_217e_423d_acb3_33c0f920ef4b","iCat")</x:f>
      </x:c>
      <x:c r="M7334" s="0" t="s">
        <x:v>21</x:v>
      </x:c>
      <x:c r="N7334" s="0" t="s">
        <x:v>46</x:v>
      </x:c>
    </x:row>
    <x:row r="7335" spans="1:16">
      <x:c r="A7335" s="0" t="s">
        <x:v>29202</x:v>
      </x:c>
      <x:c r="B7335" s="0" t="s">
        <x:v>29203</x:v>
      </x:c>
      <x:c r="C7335" s="0" t="s">
        <x:v>29204</x:v>
      </x:c>
      <x:c r="E7335" s="0" t="s">
        <x:v>29205</x:v>
      </x:c>
      <x:c r="F7335" s="0" t="s">
        <x:v>45</x:v>
      </x:c>
      <x:c r="G7335" s="0" t="s">
        <x:v>19</x:v>
      </x:c>
      <x:c r="H7335" s="0" t="s">
        <x:v>20</x:v>
      </x:c>
      <x:c r="I7335" s="0" t="s">
        <x:v>21</x:v>
      </x:c>
      <x:c r="K7335" s="0">
        <x:f>hyperlink("https://icd.who.int/dev11/l-ichi/en#/http%3A%2F%2Fid.who.int%2Ficd%2Fentity%2F204447695","browser")</x:f>
      </x:c>
      <x:c r="L7335" s="0">
        <x:f>hyperlink("https://icat2.azurewebsites.net/icat/?ontology=ICD&amp;tab=ClassesTab&amp;id=http%3A%2F%2Fwho.int%2Ficd%231767_4869915e_217e_423d_acb3_33c0f920ef4b","iCat")</x:f>
      </x:c>
      <x:c r="M7335" s="0" t="s">
        <x:v>21</x:v>
      </x:c>
      <x:c r="N7335" s="0" t="s">
        <x:v>46</x:v>
      </x:c>
    </x:row>
    <x:row r="7336" spans="1:16">
      <x:c r="A7336" s="0" t="s">
        <x:v>29206</x:v>
      </x:c>
      <x:c r="B7336" s="0" t="s">
        <x:v>29207</x:v>
      </x:c>
      <x:c r="C7336" s="0" t="s">
        <x:v>29208</x:v>
      </x:c>
      <x:c r="E7336" s="0" t="s">
        <x:v>29209</x:v>
      </x:c>
      <x:c r="F7336" s="0" t="s">
        <x:v>45</x:v>
      </x:c>
      <x:c r="G7336" s="0" t="s">
        <x:v>19</x:v>
      </x:c>
      <x:c r="H7336" s="0" t="s">
        <x:v>20</x:v>
      </x:c>
      <x:c r="I7336" s="0" t="s">
        <x:v>21</x:v>
      </x:c>
      <x:c r="K7336" s="0">
        <x:f>hyperlink("https://icd.who.int/dev11/l-ichi/en#/http%3A%2F%2Fid.who.int%2Ficd%2Fentity%2F60168029","browser")</x:f>
      </x:c>
      <x:c r="L7336" s="0">
        <x:f>hyperlink("https://icat2.azurewebsites.net/icat/?ontology=ICD&amp;tab=ClassesTab&amp;id=http%3A%2F%2Fwho.int%2Ficd%231775_4869915e_217e_423d_acb3_33c0f920ef4b","iCat")</x:f>
      </x:c>
      <x:c r="M7336" s="0" t="s">
        <x:v>21</x:v>
      </x:c>
      <x:c r="N7336" s="0" t="s">
        <x:v>46</x:v>
      </x:c>
    </x:row>
    <x:row r="7337" spans="1:16">
      <x:c r="A7337" s="0" t="s">
        <x:v>29210</x:v>
      </x:c>
      <x:c r="B7337" s="0" t="s">
        <x:v>29211</x:v>
      </x:c>
      <x:c r="C7337" s="0" t="s">
        <x:v>29212</x:v>
      </x:c>
      <x:c r="E7337" s="0" t="s">
        <x:v>29213</x:v>
      </x:c>
      <x:c r="F7337" s="0" t="s">
        <x:v>45</x:v>
      </x:c>
      <x:c r="G7337" s="0" t="s">
        <x:v>19</x:v>
      </x:c>
      <x:c r="H7337" s="0" t="s">
        <x:v>20</x:v>
      </x:c>
      <x:c r="I7337" s="0" t="s">
        <x:v>21</x:v>
      </x:c>
      <x:c r="K7337" s="0">
        <x:f>hyperlink("https://icd.who.int/dev11/l-ichi/en#/http%3A%2F%2Fid.who.int%2Ficd%2Fentity%2F1559492112","browser")</x:f>
      </x:c>
      <x:c r="L7337" s="0">
        <x:f>hyperlink("https://icat2.azurewebsites.net/icat/?ontology=ICD&amp;tab=ClassesTab&amp;id=http%3A%2F%2Fwho.int%2Ficd%231782_4869915e_217e_423d_acb3_33c0f920ef4b","iCat")</x:f>
      </x:c>
      <x:c r="M7337" s="0" t="s">
        <x:v>21</x:v>
      </x:c>
      <x:c r="N7337" s="0" t="s">
        <x:v>46</x:v>
      </x:c>
    </x:row>
    <x:row r="7338" spans="1:16">
      <x:c r="A7338" s="0" t="s">
        <x:v>29214</x:v>
      </x:c>
      <x:c r="B7338" s="0" t="s">
        <x:v>29215</x:v>
      </x:c>
      <x:c r="C7338" s="0" t="s">
        <x:v>29216</x:v>
      </x:c>
      <x:c r="E7338" s="0" t="s">
        <x:v>29217</x:v>
      </x:c>
      <x:c r="F7338" s="0" t="s">
        <x:v>45</x:v>
      </x:c>
      <x:c r="G7338" s="0" t="s">
        <x:v>19</x:v>
      </x:c>
      <x:c r="H7338" s="0" t="s">
        <x:v>20</x:v>
      </x:c>
      <x:c r="I7338" s="0" t="s">
        <x:v>21</x:v>
      </x:c>
      <x:c r="K7338" s="0">
        <x:f>hyperlink("https://icd.who.int/dev11/l-ichi/en#/http%3A%2F%2Fid.who.int%2Ficd%2Fentity%2F1475864738","browser")</x:f>
      </x:c>
      <x:c r="L7338" s="0">
        <x:f>hyperlink("https://icat2.azurewebsites.net/icat/?ontology=ICD&amp;tab=ClassesTab&amp;id=http%3A%2F%2Fwho.int%2Ficd%231789_4869915e_217e_423d_acb3_33c0f920ef4b","iCat")</x:f>
      </x:c>
      <x:c r="M7338" s="0" t="s">
        <x:v>21</x:v>
      </x:c>
      <x:c r="N7338" s="0" t="s">
        <x:v>46</x:v>
      </x:c>
    </x:row>
    <x:row r="7339" spans="1:16">
      <x:c r="A7339" s="0" t="s">
        <x:v>29218</x:v>
      </x:c>
      <x:c r="B7339" s="0" t="s">
        <x:v>29219</x:v>
      </x:c>
      <x:c r="C7339" s="0" t="s">
        <x:v>29220</x:v>
      </x:c>
      <x:c r="E7339" s="0" t="s">
        <x:v>29221</x:v>
      </x:c>
      <x:c r="F7339" s="0" t="s">
        <x:v>45</x:v>
      </x:c>
      <x:c r="G7339" s="0" t="s">
        <x:v>19</x:v>
      </x:c>
      <x:c r="H7339" s="0" t="s">
        <x:v>20</x:v>
      </x:c>
      <x:c r="I7339" s="0" t="s">
        <x:v>21</x:v>
      </x:c>
      <x:c r="K7339" s="0">
        <x:f>hyperlink("https://icd.who.int/dev11/l-ichi/en#/http%3A%2F%2Fid.who.int%2Ficd%2Fentity%2F53585709","browser")</x:f>
      </x:c>
      <x:c r="L7339" s="0">
        <x:f>hyperlink("https://icat2.azurewebsites.net/icat/?ontology=ICD&amp;tab=ClassesTab&amp;id=http%3A%2F%2Fwho.int%2Ficd%231796_4869915e_217e_423d_acb3_33c0f920ef4b","iCat")</x:f>
      </x:c>
      <x:c r="M7339" s="0" t="s">
        <x:v>21</x:v>
      </x:c>
      <x:c r="N7339" s="0" t="s">
        <x:v>46</x:v>
      </x:c>
    </x:row>
    <x:row r="7340" spans="1:16">
      <x:c r="A7340" s="0" t="s">
        <x:v>29222</x:v>
      </x:c>
      <x:c r="B7340" s="0" t="s">
        <x:v>29223</x:v>
      </x:c>
      <x:c r="C7340" s="0" t="s">
        <x:v>29224</x:v>
      </x:c>
      <x:c r="E7340" s="0" t="s">
        <x:v>29225</x:v>
      </x:c>
      <x:c r="F7340" s="0" t="s">
        <x:v>45</x:v>
      </x:c>
      <x:c r="G7340" s="0" t="s">
        <x:v>19</x:v>
      </x:c>
      <x:c r="H7340" s="0" t="s">
        <x:v>20</x:v>
      </x:c>
      <x:c r="I7340" s="0" t="s">
        <x:v>21</x:v>
      </x:c>
      <x:c r="K7340" s="0">
        <x:f>hyperlink("https://icd.who.int/dev11/l-ichi/en#/http%3A%2F%2Fid.who.int%2Ficd%2Fentity%2F360074736","browser")</x:f>
      </x:c>
      <x:c r="L7340" s="0">
        <x:f>hyperlink("https://icat2.azurewebsites.net/icat/?ontology=ICD&amp;tab=ClassesTab&amp;id=http%3A%2F%2Fwho.int%2Ficd%231803_4869915e_217e_423d_acb3_33c0f920ef4b","iCat")</x:f>
      </x:c>
      <x:c r="M7340" s="0" t="s">
        <x:v>21</x:v>
      </x:c>
      <x:c r="N7340" s="0" t="s">
        <x:v>46</x:v>
      </x:c>
    </x:row>
    <x:row r="7341" spans="1:16">
      <x:c r="A7341" s="0" t="s">
        <x:v>29226</x:v>
      </x:c>
      <x:c r="B7341" s="0" t="s">
        <x:v>29227</x:v>
      </x:c>
      <x:c r="C7341" s="0" t="s">
        <x:v>29228</x:v>
      </x:c>
      <x:c r="E7341" s="0" t="s">
        <x:v>29229</x:v>
      </x:c>
      <x:c r="F7341" s="0" t="s">
        <x:v>45</x:v>
      </x:c>
      <x:c r="G7341" s="0" t="s">
        <x:v>19</x:v>
      </x:c>
      <x:c r="H7341" s="0" t="s">
        <x:v>20</x:v>
      </x:c>
      <x:c r="I7341" s="0" t="s">
        <x:v>21</x:v>
      </x:c>
      <x:c r="K7341" s="0">
        <x:f>hyperlink("https://icd.who.int/dev11/l-ichi/en#/http%3A%2F%2Fid.who.int%2Ficd%2Fentity%2F976664416","browser")</x:f>
      </x:c>
      <x:c r="L7341" s="0">
        <x:f>hyperlink("https://icat2.azurewebsites.net/icat/?ontology=ICD&amp;tab=ClassesTab&amp;id=http%3A%2F%2Fwho.int%2Ficd%231810_4869915e_217e_423d_acb3_33c0f920ef4b","iCat")</x:f>
      </x:c>
      <x:c r="M7341" s="0" t="s">
        <x:v>21</x:v>
      </x:c>
      <x:c r="N7341" s="0" t="s">
        <x:v>46</x:v>
      </x:c>
    </x:row>
    <x:row r="7342" spans="1:16">
      <x:c r="A7342" s="0" t="s">
        <x:v>29230</x:v>
      </x:c>
      <x:c r="B7342" s="0" t="s">
        <x:v>29231</x:v>
      </x:c>
      <x:c r="C7342" s="0" t="s">
        <x:v>29232</x:v>
      </x:c>
      <x:c r="E7342" s="0" t="s">
        <x:v>29233</x:v>
      </x:c>
      <x:c r="F7342" s="0" t="s">
        <x:v>45</x:v>
      </x:c>
      <x:c r="G7342" s="0" t="s">
        <x:v>19</x:v>
      </x:c>
      <x:c r="H7342" s="0" t="s">
        <x:v>20</x:v>
      </x:c>
      <x:c r="I7342" s="0" t="s">
        <x:v>21</x:v>
      </x:c>
      <x:c r="K7342" s="0">
        <x:f>hyperlink("https://icd.who.int/dev11/l-ichi/en#/http%3A%2F%2Fid.who.int%2Ficd%2Fentity%2F1253317843","browser")</x:f>
      </x:c>
      <x:c r="L7342" s="0">
        <x:f>hyperlink("https://icat2.azurewebsites.net/icat/?ontology=ICD&amp;tab=ClassesTab&amp;id=http%3A%2F%2Fwho.int%2Ficd%231817_4869915e_217e_423d_acb3_33c0f920ef4b","iCat")</x:f>
      </x:c>
      <x:c r="M7342" s="0" t="s">
        <x:v>21</x:v>
      </x:c>
      <x:c r="N7342" s="0" t="s">
        <x:v>46</x:v>
      </x:c>
    </x:row>
    <x:row r="7343" spans="1:16">
      <x:c r="A7343" s="0" t="s">
        <x:v>29234</x:v>
      </x:c>
      <x:c r="B7343" s="0" t="s">
        <x:v>29235</x:v>
      </x:c>
      <x:c r="C7343" s="0" t="s">
        <x:v>29236</x:v>
      </x:c>
      <x:c r="E7343" s="0" t="s">
        <x:v>29237</x:v>
      </x:c>
      <x:c r="F7343" s="0" t="s">
        <x:v>45</x:v>
      </x:c>
      <x:c r="G7343" s="0" t="s">
        <x:v>19</x:v>
      </x:c>
      <x:c r="H7343" s="0" t="s">
        <x:v>20</x:v>
      </x:c>
      <x:c r="I7343" s="0" t="s">
        <x:v>21</x:v>
      </x:c>
      <x:c r="K7343" s="0">
        <x:f>hyperlink("https://icd.who.int/dev11/l-ichi/en#/http%3A%2F%2Fid.who.int%2Ficd%2Fentity%2F1333801773","browser")</x:f>
      </x:c>
      <x:c r="L7343" s="0">
        <x:f>hyperlink("https://icat2.azurewebsites.net/icat/?ontology=ICD&amp;tab=ClassesTab&amp;id=http%3A%2F%2Fwho.int%2Ficd%231824_4869915e_217e_423d_acb3_33c0f920ef4b","iCat")</x:f>
      </x:c>
      <x:c r="M7343" s="0" t="s">
        <x:v>21</x:v>
      </x:c>
      <x:c r="N7343" s="0" t="s">
        <x:v>46</x:v>
      </x:c>
    </x:row>
    <x:row r="7344" spans="1:16">
      <x:c r="A7344" s="0" t="s">
        <x:v>29238</x:v>
      </x:c>
      <x:c r="B7344" s="0" t="s">
        <x:v>29239</x:v>
      </x:c>
      <x:c r="C7344" s="0" t="s">
        <x:v>29240</x:v>
      </x:c>
      <x:c r="E7344" s="0" t="s">
        <x:v>29241</x:v>
      </x:c>
      <x:c r="F7344" s="0" t="s">
        <x:v>45</x:v>
      </x:c>
      <x:c r="G7344" s="0" t="s">
        <x:v>19</x:v>
      </x:c>
      <x:c r="H7344" s="0" t="s">
        <x:v>20</x:v>
      </x:c>
      <x:c r="I7344" s="0" t="s">
        <x:v>21</x:v>
      </x:c>
      <x:c r="K7344" s="0">
        <x:f>hyperlink("https://icd.who.int/dev11/l-ichi/en#/http%3A%2F%2Fid.who.int%2Ficd%2Fentity%2F817565748","browser")</x:f>
      </x:c>
      <x:c r="L7344" s="0">
        <x:f>hyperlink("https://icat2.azurewebsites.net/icat/?ontology=ICD&amp;tab=ClassesTab&amp;id=http%3A%2F%2Fwho.int%2Ficd%231831_4869915e_217e_423d_acb3_33c0f920ef4b","iCat")</x:f>
      </x:c>
      <x:c r="M7344" s="0" t="s">
        <x:v>21</x:v>
      </x:c>
      <x:c r="N7344" s="0" t="s">
        <x:v>46</x:v>
      </x:c>
    </x:row>
    <x:row r="7345" spans="1:16">
      <x:c r="A7345" s="0" t="s">
        <x:v>29242</x:v>
      </x:c>
      <x:c r="B7345" s="0" t="s">
        <x:v>29243</x:v>
      </x:c>
      <x:c r="C7345" s="0" t="s">
        <x:v>29244</x:v>
      </x:c>
      <x:c r="E7345" s="0" t="s">
        <x:v>29245</x:v>
      </x:c>
      <x:c r="F7345" s="0" t="s">
        <x:v>45</x:v>
      </x:c>
      <x:c r="G7345" s="0" t="s">
        <x:v>19</x:v>
      </x:c>
      <x:c r="H7345" s="0" t="s">
        <x:v>20</x:v>
      </x:c>
      <x:c r="I7345" s="0" t="s">
        <x:v>21</x:v>
      </x:c>
      <x:c r="K7345" s="0">
        <x:f>hyperlink("https://icd.who.int/dev11/l-ichi/en#/http%3A%2F%2Fid.who.int%2Ficd%2Fentity%2F1589842779","browser")</x:f>
      </x:c>
      <x:c r="L7345" s="0">
        <x:f>hyperlink("https://icat2.azurewebsites.net/icat/?ontology=ICD&amp;tab=ClassesTab&amp;id=http%3A%2F%2Fwho.int%2Ficd%231838_4869915e_217e_423d_acb3_33c0f920ef4b","iCat")</x:f>
      </x:c>
      <x:c r="M7345" s="0" t="s">
        <x:v>21</x:v>
      </x:c>
      <x:c r="N7345" s="0" t="s">
        <x:v>46</x:v>
      </x:c>
    </x:row>
    <x:row r="7346" spans="1:16">
      <x:c r="A7346" s="0" t="s">
        <x:v>29246</x:v>
      </x:c>
      <x:c r="B7346" s="0" t="s">
        <x:v>29247</x:v>
      </x:c>
      <x:c r="C7346" s="0" t="s">
        <x:v>29248</x:v>
      </x:c>
      <x:c r="E7346" s="0" t="s">
        <x:v>29249</x:v>
      </x:c>
      <x:c r="F7346" s="0" t="s">
        <x:v>45</x:v>
      </x:c>
      <x:c r="G7346" s="0" t="s">
        <x:v>19</x:v>
      </x:c>
      <x:c r="H7346" s="0" t="s">
        <x:v>20</x:v>
      </x:c>
      <x:c r="I7346" s="0" t="s">
        <x:v>21</x:v>
      </x:c>
      <x:c r="K7346" s="0">
        <x:f>hyperlink("https://icd.who.int/dev11/l-ichi/en#/http%3A%2F%2Fid.who.int%2Ficd%2Fentity%2F896190302","browser")</x:f>
      </x:c>
      <x:c r="L7346" s="0">
        <x:f>hyperlink("https://icat2.azurewebsites.net/icat/?ontology=ICD&amp;tab=ClassesTab&amp;id=http%3A%2F%2Fwho.int%2Ficd%231845_4869915e_217e_423d_acb3_33c0f920ef4b","iCat")</x:f>
      </x:c>
      <x:c r="M7346" s="0" t="s">
        <x:v>21</x:v>
      </x:c>
      <x:c r="N7346" s="0" t="s">
        <x:v>46</x:v>
      </x:c>
    </x:row>
    <x:row r="7347" spans="1:16">
      <x:c r="A7347" s="0" t="s">
        <x:v>29250</x:v>
      </x:c>
      <x:c r="B7347" s="0" t="s">
        <x:v>29251</x:v>
      </x:c>
      <x:c r="C7347" s="0" t="s">
        <x:v>29252</x:v>
      </x:c>
      <x:c r="E7347" s="0" t="s">
        <x:v>29253</x:v>
      </x:c>
      <x:c r="F7347" s="0" t="s">
        <x:v>45</x:v>
      </x:c>
      <x:c r="G7347" s="0" t="s">
        <x:v>19</x:v>
      </x:c>
      <x:c r="H7347" s="0" t="s">
        <x:v>20</x:v>
      </x:c>
      <x:c r="I7347" s="0" t="s">
        <x:v>21</x:v>
      </x:c>
      <x:c r="K7347" s="0">
        <x:f>hyperlink("https://icd.who.int/dev11/l-ichi/en#/http%3A%2F%2Fid.who.int%2Ficd%2Fentity%2F791542152","browser")</x:f>
      </x:c>
      <x:c r="L7347" s="0">
        <x:f>hyperlink("https://icat2.azurewebsites.net/icat/?ontology=ICD&amp;tab=ClassesTab&amp;id=http%3A%2F%2Fwho.int%2Ficd%231852_4869915e_217e_423d_acb3_33c0f920ef4b","iCat")</x:f>
      </x:c>
      <x:c r="M7347" s="0" t="s">
        <x:v>21</x:v>
      </x:c>
      <x:c r="N7347" s="0" t="s">
        <x:v>46</x:v>
      </x:c>
    </x:row>
    <x:row r="7348" spans="1:16">
      <x:c r="A7348" s="0" t="s">
        <x:v>29254</x:v>
      </x:c>
      <x:c r="B7348" s="0" t="s">
        <x:v>29255</x:v>
      </x:c>
      <x:c r="C7348" s="0" t="s">
        <x:v>29256</x:v>
      </x:c>
      <x:c r="E7348" s="0" t="s">
        <x:v>29257</x:v>
      </x:c>
      <x:c r="F7348" s="0" t="s">
        <x:v>45</x:v>
      </x:c>
      <x:c r="G7348" s="0" t="s">
        <x:v>19</x:v>
      </x:c>
      <x:c r="H7348" s="0" t="s">
        <x:v>20</x:v>
      </x:c>
      <x:c r="I7348" s="0" t="s">
        <x:v>21</x:v>
      </x:c>
      <x:c r="K7348" s="0">
        <x:f>hyperlink("https://icd.who.int/dev11/l-ichi/en#/http%3A%2F%2Fid.who.int%2Ficd%2Fentity%2F606725930","browser")</x:f>
      </x:c>
      <x:c r="L7348" s="0">
        <x:f>hyperlink("https://icat2.azurewebsites.net/icat/?ontology=ICD&amp;tab=ClassesTab&amp;id=http%3A%2F%2Fwho.int%2Ficd%231859_4869915e_217e_423d_acb3_33c0f920ef4b","iCat")</x:f>
      </x:c>
      <x:c r="M7348" s="0" t="s">
        <x:v>21</x:v>
      </x:c>
      <x:c r="N7348" s="0" t="s">
        <x:v>46</x:v>
      </x:c>
    </x:row>
    <x:row r="7349" spans="1:16">
      <x:c r="A7349" s="0" t="s">
        <x:v>29258</x:v>
      </x:c>
      <x:c r="B7349" s="0" t="s">
        <x:v>29259</x:v>
      </x:c>
      <x:c r="C7349" s="0" t="s">
        <x:v>29260</x:v>
      </x:c>
      <x:c r="E7349" s="0" t="s">
        <x:v>29261</x:v>
      </x:c>
      <x:c r="F7349" s="0" t="s">
        <x:v>45</x:v>
      </x:c>
      <x:c r="G7349" s="0" t="s">
        <x:v>19</x:v>
      </x:c>
      <x:c r="H7349" s="0" t="s">
        <x:v>20</x:v>
      </x:c>
      <x:c r="I7349" s="0" t="s">
        <x:v>21</x:v>
      </x:c>
      <x:c r="K7349" s="0">
        <x:f>hyperlink("https://icd.who.int/dev11/l-ichi/en#/http%3A%2F%2Fid.who.int%2Ficd%2Fentity%2F1520139765","browser")</x:f>
      </x:c>
      <x:c r="L7349" s="0">
        <x:f>hyperlink("https://icat2.azurewebsites.net/icat/?ontology=ICD&amp;tab=ClassesTab&amp;id=http%3A%2F%2Fwho.int%2Ficd%231866_4869915e_217e_423d_acb3_33c0f920ef4b","iCat")</x:f>
      </x:c>
      <x:c r="M7349" s="0" t="s">
        <x:v>21</x:v>
      </x:c>
      <x:c r="N7349" s="0" t="s">
        <x:v>46</x:v>
      </x:c>
    </x:row>
    <x:row r="7350" spans="1:16">
      <x:c r="A7350" s="0" t="s">
        <x:v>29262</x:v>
      </x:c>
      <x:c r="B7350" s="0" t="s">
        <x:v>29263</x:v>
      </x:c>
      <x:c r="C7350" s="0" t="s">
        <x:v>29264</x:v>
      </x:c>
      <x:c r="E7350" s="0" t="s">
        <x:v>29265</x:v>
      </x:c>
      <x:c r="F7350" s="0" t="s">
        <x:v>45</x:v>
      </x:c>
      <x:c r="G7350" s="0" t="s">
        <x:v>19</x:v>
      </x:c>
      <x:c r="H7350" s="0" t="s">
        <x:v>20</x:v>
      </x:c>
      <x:c r="I7350" s="0" t="s">
        <x:v>21</x:v>
      </x:c>
      <x:c r="K7350" s="0">
        <x:f>hyperlink("https://icd.who.int/dev11/l-ichi/en#/http%3A%2F%2Fid.who.int%2Ficd%2Fentity%2F631267052","browser")</x:f>
      </x:c>
      <x:c r="L7350" s="0">
        <x:f>hyperlink("https://icat2.azurewebsites.net/icat/?ontology=ICD&amp;tab=ClassesTab&amp;id=http%3A%2F%2Fwho.int%2Ficd%231873_4869915e_217e_423d_acb3_33c0f920ef4b","iCat")</x:f>
      </x:c>
      <x:c r="M7350" s="0" t="s">
        <x:v>21</x:v>
      </x:c>
      <x:c r="N7350" s="0" t="s">
        <x:v>46</x:v>
      </x:c>
    </x:row>
    <x:row r="7351" spans="1:16">
      <x:c r="A7351" s="0" t="s">
        <x:v>29266</x:v>
      </x:c>
      <x:c r="B7351" s="0" t="s">
        <x:v>29267</x:v>
      </x:c>
      <x:c r="C7351" s="0" t="s">
        <x:v>29268</x:v>
      </x:c>
      <x:c r="E7351" s="0" t="s">
        <x:v>29269</x:v>
      </x:c>
      <x:c r="F7351" s="0" t="s">
        <x:v>45</x:v>
      </x:c>
      <x:c r="G7351" s="0" t="s">
        <x:v>19</x:v>
      </x:c>
      <x:c r="H7351" s="0" t="s">
        <x:v>20</x:v>
      </x:c>
      <x:c r="I7351" s="0" t="s">
        <x:v>21</x:v>
      </x:c>
      <x:c r="K7351" s="0">
        <x:f>hyperlink("https://icd.who.int/dev11/l-ichi/en#/http%3A%2F%2Fid.who.int%2Ficd%2Fentity%2F1338145741","browser")</x:f>
      </x:c>
      <x:c r="L7351" s="0">
        <x:f>hyperlink("https://icat2.azurewebsites.net/icat/?ontology=ICD&amp;tab=ClassesTab&amp;id=http%3A%2F%2Fwho.int%2Ficd%231880_4869915e_217e_423d_acb3_33c0f920ef4b","iCat")</x:f>
      </x:c>
      <x:c r="M7351" s="0" t="s">
        <x:v>21</x:v>
      </x:c>
      <x:c r="N7351" s="0" t="s">
        <x:v>46</x:v>
      </x:c>
    </x:row>
    <x:row r="7352" spans="1:16">
      <x:c r="A7352" s="0" t="s">
        <x:v>29270</x:v>
      </x:c>
      <x:c r="B7352" s="0" t="s">
        <x:v>29271</x:v>
      </x:c>
      <x:c r="C7352" s="0" t="s">
        <x:v>29272</x:v>
      </x:c>
      <x:c r="E7352" s="0" t="s">
        <x:v>29273</x:v>
      </x:c>
      <x:c r="F7352" s="0" t="s">
        <x:v>45</x:v>
      </x:c>
      <x:c r="G7352" s="0" t="s">
        <x:v>19</x:v>
      </x:c>
      <x:c r="H7352" s="0" t="s">
        <x:v>20</x:v>
      </x:c>
      <x:c r="I7352" s="0" t="s">
        <x:v>21</x:v>
      </x:c>
      <x:c r="K7352" s="0">
        <x:f>hyperlink("https://icd.who.int/dev11/l-ichi/en#/http%3A%2F%2Fid.who.int%2Ficd%2Fentity%2F1061212224","browser")</x:f>
      </x:c>
      <x:c r="L7352" s="0">
        <x:f>hyperlink("https://icat2.azurewebsites.net/icat/?ontology=ICD&amp;tab=ClassesTab&amp;id=http%3A%2F%2Fwho.int%2Ficd%231887_4869915e_217e_423d_acb3_33c0f920ef4b","iCat")</x:f>
      </x:c>
      <x:c r="M7352" s="0" t="s">
        <x:v>21</x:v>
      </x:c>
      <x:c r="N7352" s="0" t="s">
        <x:v>46</x:v>
      </x:c>
    </x:row>
    <x:row r="7353" spans="1:16">
      <x:c r="A7353" s="0" t="s">
        <x:v>29274</x:v>
      </x:c>
      <x:c r="B7353" s="0" t="s">
        <x:v>29275</x:v>
      </x:c>
      <x:c r="C7353" s="0" t="s">
        <x:v>29276</x:v>
      </x:c>
      <x:c r="E7353" s="0" t="s">
        <x:v>29277</x:v>
      </x:c>
      <x:c r="F7353" s="0" t="s">
        <x:v>45</x:v>
      </x:c>
      <x:c r="G7353" s="0" t="s">
        <x:v>19</x:v>
      </x:c>
      <x:c r="H7353" s="0" t="s">
        <x:v>20</x:v>
      </x:c>
      <x:c r="I7353" s="0" t="s">
        <x:v>21</x:v>
      </x:c>
      <x:c r="K7353" s="0">
        <x:f>hyperlink("https://icd.who.int/dev11/l-ichi/en#/http%3A%2F%2Fid.who.int%2Ficd%2Fentity%2F268446448","browser")</x:f>
      </x:c>
      <x:c r="L7353" s="0">
        <x:f>hyperlink("https://icat2.azurewebsites.net/icat/?ontology=ICD&amp;tab=ClassesTab&amp;id=http%3A%2F%2Fwho.int%2Ficd%231894_4869915e_217e_423d_acb3_33c0f920ef4b","iCat")</x:f>
      </x:c>
      <x:c r="M7353" s="0" t="s">
        <x:v>21</x:v>
      </x:c>
      <x:c r="N7353" s="0" t="s">
        <x:v>46</x:v>
      </x:c>
    </x:row>
    <x:row r="7354" spans="1:16">
      <x:c r="A7354" s="0" t="s">
        <x:v>29278</x:v>
      </x:c>
      <x:c r="B7354" s="0" t="s">
        <x:v>29279</x:v>
      </x:c>
      <x:c r="C7354" s="0" t="s">
        <x:v>29280</x:v>
      </x:c>
      <x:c r="E7354" s="0" t="s">
        <x:v>29281</x:v>
      </x:c>
      <x:c r="F7354" s="0" t="s">
        <x:v>45</x:v>
      </x:c>
      <x:c r="G7354" s="0" t="s">
        <x:v>19</x:v>
      </x:c>
      <x:c r="H7354" s="0" t="s">
        <x:v>20</x:v>
      </x:c>
      <x:c r="I7354" s="0" t="s">
        <x:v>21</x:v>
      </x:c>
      <x:c r="K7354" s="0">
        <x:f>hyperlink("https://icd.who.int/dev11/l-ichi/en#/http%3A%2F%2Fid.who.int%2Ficd%2Fentity%2F93689512","browser")</x:f>
      </x:c>
      <x:c r="L7354" s="0">
        <x:f>hyperlink("https://icat2.azurewebsites.net/icat/?ontology=ICD&amp;tab=ClassesTab&amp;id=http%3A%2F%2Fwho.int%2Ficd%231901_4869915e_217e_423d_acb3_33c0f920ef4b","iCat")</x:f>
      </x:c>
      <x:c r="M7354" s="0" t="s">
        <x:v>21</x:v>
      </x:c>
      <x:c r="N7354" s="0" t="s">
        <x:v>46</x:v>
      </x:c>
    </x:row>
    <x:row r="7355" spans="1:16">
      <x:c r="A7355" s="0" t="s">
        <x:v>29282</x:v>
      </x:c>
      <x:c r="B7355" s="0" t="s">
        <x:v>29283</x:v>
      </x:c>
      <x:c r="C7355" s="0" t="s">
        <x:v>29284</x:v>
      </x:c>
      <x:c r="E7355" s="0" t="s">
        <x:v>29285</x:v>
      </x:c>
      <x:c r="F7355" s="0" t="s">
        <x:v>45</x:v>
      </x:c>
      <x:c r="G7355" s="0" t="s">
        <x:v>19</x:v>
      </x:c>
      <x:c r="H7355" s="0" t="s">
        <x:v>20</x:v>
      </x:c>
      <x:c r="I7355" s="0" t="s">
        <x:v>21</x:v>
      </x:c>
      <x:c r="K7355" s="0">
        <x:f>hyperlink("https://icd.who.int/dev11/l-ichi/en#/http%3A%2F%2Fid.who.int%2Ficd%2Fentity%2F1810732481","browser")</x:f>
      </x:c>
      <x:c r="L7355" s="0">
        <x:f>hyperlink("https://icat2.azurewebsites.net/icat/?ontology=ICD&amp;tab=ClassesTab&amp;id=http%3A%2F%2Fwho.int%2Ficd%231908_4869915e_217e_423d_acb3_33c0f920ef4b","iCat")</x:f>
      </x:c>
      <x:c r="M7355" s="0" t="s">
        <x:v>21</x:v>
      </x:c>
      <x:c r="N7355" s="0" t="s">
        <x:v>46</x:v>
      </x:c>
    </x:row>
    <x:row r="7356" spans="1:16">
      <x:c r="A7356" s="0" t="s">
        <x:v>29286</x:v>
      </x:c>
      <x:c r="B7356" s="0" t="s">
        <x:v>29287</x:v>
      </x:c>
      <x:c r="C7356" s="0" t="s">
        <x:v>29288</x:v>
      </x:c>
      <x:c r="E7356" s="0" t="s">
        <x:v>29289</x:v>
      </x:c>
      <x:c r="F7356" s="0" t="s">
        <x:v>45</x:v>
      </x:c>
      <x:c r="G7356" s="0" t="s">
        <x:v>19</x:v>
      </x:c>
      <x:c r="H7356" s="0" t="s">
        <x:v>20</x:v>
      </x:c>
      <x:c r="I7356" s="0" t="s">
        <x:v>21</x:v>
      </x:c>
      <x:c r="K7356" s="0">
        <x:f>hyperlink("https://icd.who.int/dev11/l-ichi/en#/http%3A%2F%2Fid.who.int%2Ficd%2Fentity%2F1515702155","browser")</x:f>
      </x:c>
      <x:c r="L7356" s="0">
        <x:f>hyperlink("https://icat2.azurewebsites.net/icat/?ontology=ICD&amp;tab=ClassesTab&amp;id=http%3A%2F%2Fwho.int%2Ficd%231915_4869915e_217e_423d_acb3_33c0f920ef4b","iCat")</x:f>
      </x:c>
      <x:c r="M7356" s="0" t="s">
        <x:v>21</x:v>
      </x:c>
      <x:c r="N7356" s="0" t="s">
        <x:v>46</x:v>
      </x:c>
    </x:row>
    <x:row r="7357" spans="1:16">
      <x:c r="A7357" s="0" t="s">
        <x:v>29290</x:v>
      </x:c>
      <x:c r="B7357" s="0" t="s">
        <x:v>29291</x:v>
      </x:c>
      <x:c r="C7357" s="0" t="s">
        <x:v>29292</x:v>
      </x:c>
      <x:c r="E7357" s="0" t="s">
        <x:v>29293</x:v>
      </x:c>
      <x:c r="F7357" s="0" t="s">
        <x:v>45</x:v>
      </x:c>
      <x:c r="G7357" s="0" t="s">
        <x:v>19</x:v>
      </x:c>
      <x:c r="H7357" s="0" t="s">
        <x:v>20</x:v>
      </x:c>
      <x:c r="I7357" s="0" t="s">
        <x:v>21</x:v>
      </x:c>
      <x:c r="K7357" s="0">
        <x:f>hyperlink("https://icd.who.int/dev11/l-ichi/en#/http%3A%2F%2Fid.who.int%2Ficd%2Fentity%2F1784949761","browser")</x:f>
      </x:c>
      <x:c r="L7357" s="0">
        <x:f>hyperlink("https://icat2.azurewebsites.net/icat/?ontology=ICD&amp;tab=ClassesTab&amp;id=http%3A%2F%2Fwho.int%2Ficd%231922_4869915e_217e_423d_acb3_33c0f920ef4b","iCat")</x:f>
      </x:c>
      <x:c r="M7357" s="0" t="s">
        <x:v>21</x:v>
      </x:c>
      <x:c r="N7357" s="0" t="s">
        <x:v>46</x:v>
      </x:c>
    </x:row>
    <x:row r="7358" spans="1:16">
      <x:c r="A7358" s="0" t="s">
        <x:v>29294</x:v>
      </x:c>
      <x:c r="B7358" s="0" t="s">
        <x:v>29295</x:v>
      </x:c>
      <x:c r="C7358" s="0" t="s">
        <x:v>29296</x:v>
      </x:c>
      <x:c r="E7358" s="0" t="s">
        <x:v>29297</x:v>
      </x:c>
      <x:c r="F7358" s="0" t="s">
        <x:v>45</x:v>
      </x:c>
      <x:c r="G7358" s="0" t="s">
        <x:v>19</x:v>
      </x:c>
      <x:c r="H7358" s="0" t="s">
        <x:v>20</x:v>
      </x:c>
      <x:c r="I7358" s="0" t="s">
        <x:v>21</x:v>
      </x:c>
      <x:c r="K7358" s="0">
        <x:f>hyperlink("https://icd.who.int/dev11/l-ichi/en#/http%3A%2F%2Fid.who.int%2Ficd%2Fentity%2F1100562577","browser")</x:f>
      </x:c>
      <x:c r="L7358" s="0">
        <x:f>hyperlink("https://icat2.azurewebsites.net/icat/?ontology=ICD&amp;tab=ClassesTab&amp;id=http%3A%2F%2Fwho.int%2Ficd%231928_4869915e_217e_423d_acb3_33c0f920ef4b","iCat")</x:f>
      </x:c>
      <x:c r="M7358" s="0" t="s">
        <x:v>21</x:v>
      </x:c>
      <x:c r="N7358" s="0" t="s">
        <x:v>46</x:v>
      </x:c>
    </x:row>
    <x:row r="7359" spans="1:16">
      <x:c r="A7359" s="0" t="s">
        <x:v>29298</x:v>
      </x:c>
      <x:c r="B7359" s="0" t="s">
        <x:v>29299</x:v>
      </x:c>
      <x:c r="C7359" s="0" t="s">
        <x:v>29300</x:v>
      </x:c>
      <x:c r="E7359" s="0" t="s">
        <x:v>29301</x:v>
      </x:c>
      <x:c r="F7359" s="0" t="s">
        <x:v>45</x:v>
      </x:c>
      <x:c r="G7359" s="0" t="s">
        <x:v>19</x:v>
      </x:c>
      <x:c r="H7359" s="0" t="s">
        <x:v>20</x:v>
      </x:c>
      <x:c r="I7359" s="0" t="s">
        <x:v>21</x:v>
      </x:c>
      <x:c r="K7359" s="0">
        <x:f>hyperlink("https://icd.who.int/dev11/l-ichi/en#/http%3A%2F%2Fid.who.int%2Ficd%2Fentity%2F900103460","browser")</x:f>
      </x:c>
      <x:c r="L7359" s="0">
        <x:f>hyperlink("https://icat2.azurewebsites.net/icat/?ontology=ICD&amp;tab=ClassesTab&amp;id=http%3A%2F%2Fwho.int%2Ficd%231936_4869915e_217e_423d_acb3_33c0f920ef4b","iCat")</x:f>
      </x:c>
      <x:c r="M7359" s="0" t="s">
        <x:v>21</x:v>
      </x:c>
      <x:c r="N7359" s="0" t="s">
        <x:v>46</x:v>
      </x:c>
    </x:row>
    <x:row r="7360" spans="1:16">
      <x:c r="A7360" s="0" t="s">
        <x:v>29302</x:v>
      </x:c>
      <x:c r="B7360" s="0" t="s">
        <x:v>29303</x:v>
      </x:c>
      <x:c r="C7360" s="0" t="s">
        <x:v>29304</x:v>
      </x:c>
      <x:c r="E7360" s="0" t="s">
        <x:v>29305</x:v>
      </x:c>
      <x:c r="F7360" s="0" t="s">
        <x:v>45</x:v>
      </x:c>
      <x:c r="G7360" s="0" t="s">
        <x:v>19</x:v>
      </x:c>
      <x:c r="H7360" s="0" t="s">
        <x:v>20</x:v>
      </x:c>
      <x:c r="I7360" s="0" t="s">
        <x:v>21</x:v>
      </x:c>
      <x:c r="K7360" s="0">
        <x:f>hyperlink("https://icd.who.int/dev11/l-ichi/en#/http%3A%2F%2Fid.who.int%2Ficd%2Fentity%2F277796976","browser")</x:f>
      </x:c>
      <x:c r="L7360" s="0">
        <x:f>hyperlink("https://icat2.azurewebsites.net/icat/?ontology=ICD&amp;tab=ClassesTab&amp;id=http%3A%2F%2Fwho.int%2Ficd%231943_4869915e_217e_423d_acb3_33c0f920ef4b","iCat")</x:f>
      </x:c>
      <x:c r="M7360" s="0" t="s">
        <x:v>21</x:v>
      </x:c>
      <x:c r="N7360" s="0" t="s">
        <x:v>46</x:v>
      </x:c>
    </x:row>
    <x:row r="7361" spans="1:16">
      <x:c r="A7361" s="0" t="s">
        <x:v>29306</x:v>
      </x:c>
      <x:c r="B7361" s="0" t="s">
        <x:v>29307</x:v>
      </x:c>
      <x:c r="C7361" s="0" t="s">
        <x:v>29308</x:v>
      </x:c>
      <x:c r="E7361" s="0" t="s">
        <x:v>29309</x:v>
      </x:c>
      <x:c r="F7361" s="0" t="s">
        <x:v>45</x:v>
      </x:c>
      <x:c r="G7361" s="0" t="s">
        <x:v>19</x:v>
      </x:c>
      <x:c r="H7361" s="0" t="s">
        <x:v>20</x:v>
      </x:c>
      <x:c r="I7361" s="0" t="s">
        <x:v>21</x:v>
      </x:c>
      <x:c r="K7361" s="0">
        <x:f>hyperlink("https://icd.who.int/dev11/l-ichi/en#/http%3A%2F%2Fid.who.int%2Ficd%2Fentity%2F523718882","browser")</x:f>
      </x:c>
      <x:c r="L7361" s="0">
        <x:f>hyperlink("https://icat2.azurewebsites.net/icat/?ontology=ICD&amp;tab=ClassesTab&amp;id=http%3A%2F%2Fwho.int%2Ficd%231951_4869915e_217e_423d_acb3_33c0f920ef4b","iCat")</x:f>
      </x:c>
      <x:c r="M7361" s="0" t="s">
        <x:v>21</x:v>
      </x:c>
      <x:c r="N7361" s="0" t="s">
        <x:v>46</x:v>
      </x:c>
    </x:row>
    <x:row r="7362" spans="1:16">
      <x:c r="A7362" s="0" t="s">
        <x:v>29310</x:v>
      </x:c>
      <x:c r="B7362" s="0" t="s">
        <x:v>29311</x:v>
      </x:c>
      <x:c r="C7362" s="0" t="s">
        <x:v>29312</x:v>
      </x:c>
      <x:c r="E7362" s="0" t="s">
        <x:v>29313</x:v>
      </x:c>
      <x:c r="F7362" s="0" t="s">
        <x:v>45</x:v>
      </x:c>
      <x:c r="G7362" s="0" t="s">
        <x:v>19</x:v>
      </x:c>
      <x:c r="H7362" s="0" t="s">
        <x:v>20</x:v>
      </x:c>
      <x:c r="I7362" s="0" t="s">
        <x:v>21</x:v>
      </x:c>
      <x:c r="K7362" s="0">
        <x:f>hyperlink("https://icd.who.int/dev11/l-ichi/en#/http%3A%2F%2Fid.who.int%2Ficd%2Fentity%2F1901024139","browser")</x:f>
      </x:c>
      <x:c r="L7362" s="0">
        <x:f>hyperlink("https://icat2.azurewebsites.net/icat/?ontology=ICD&amp;tab=ClassesTab&amp;id=http%3A%2F%2Fwho.int%2Ficd%231958_4869915e_217e_423d_acb3_33c0f920ef4b","iCat")</x:f>
      </x:c>
      <x:c r="M7362" s="0" t="s">
        <x:v>21</x:v>
      </x:c>
      <x:c r="N7362" s="0" t="s">
        <x:v>46</x:v>
      </x:c>
    </x:row>
    <x:row r="7363" spans="1:16">
      <x:c r="A7363" s="0" t="s">
        <x:v>29314</x:v>
      </x:c>
      <x:c r="B7363" s="0" t="s">
        <x:v>29315</x:v>
      </x:c>
      <x:c r="C7363" s="0" t="s">
        <x:v>29316</x:v>
      </x:c>
      <x:c r="E7363" s="0" t="s">
        <x:v>29317</x:v>
      </x:c>
      <x:c r="F7363" s="0" t="s">
        <x:v>45</x:v>
      </x:c>
      <x:c r="G7363" s="0" t="s">
        <x:v>19</x:v>
      </x:c>
      <x:c r="H7363" s="0" t="s">
        <x:v>20</x:v>
      </x:c>
      <x:c r="I7363" s="0" t="s">
        <x:v>21</x:v>
      </x:c>
      <x:c r="K7363" s="0">
        <x:f>hyperlink("https://icd.who.int/dev11/l-ichi/en#/http%3A%2F%2Fid.who.int%2Ficd%2Fentity%2F1786893457","browser")</x:f>
      </x:c>
      <x:c r="L7363" s="0">
        <x:f>hyperlink("https://icat2.azurewebsites.net/icat/?ontology=ICD&amp;tab=ClassesTab&amp;id=http%3A%2F%2Fwho.int%2Ficd%231965_4869915e_217e_423d_acb3_33c0f920ef4b","iCat")</x:f>
      </x:c>
      <x:c r="M7363" s="0" t="s">
        <x:v>21</x:v>
      </x:c>
      <x:c r="N7363" s="0" t="s">
        <x:v>46</x:v>
      </x:c>
    </x:row>
    <x:row r="7364" spans="1:16">
      <x:c r="A7364" s="0" t="s">
        <x:v>29318</x:v>
      </x:c>
      <x:c r="B7364" s="0" t="s">
        <x:v>29319</x:v>
      </x:c>
      <x:c r="C7364" s="0" t="s">
        <x:v>29320</x:v>
      </x:c>
      <x:c r="E7364" s="0" t="s">
        <x:v>29321</x:v>
      </x:c>
      <x:c r="F7364" s="0" t="s">
        <x:v>45</x:v>
      </x:c>
      <x:c r="G7364" s="0" t="s">
        <x:v>19</x:v>
      </x:c>
      <x:c r="H7364" s="0" t="s">
        <x:v>20</x:v>
      </x:c>
      <x:c r="I7364" s="0" t="s">
        <x:v>21</x:v>
      </x:c>
      <x:c r="K7364" s="0">
        <x:f>hyperlink("https://icd.who.int/dev11/l-ichi/en#/http%3A%2F%2Fid.who.int%2Ficd%2Fentity%2F893617588","browser")</x:f>
      </x:c>
      <x:c r="L7364" s="0">
        <x:f>hyperlink("https://icat2.azurewebsites.net/icat/?ontology=ICD&amp;tab=ClassesTab&amp;id=http%3A%2F%2Fwho.int%2Ficd%231971_4869915e_217e_423d_acb3_33c0f920ef4b","iCat")</x:f>
      </x:c>
      <x:c r="M7364" s="0" t="s">
        <x:v>21</x:v>
      </x:c>
      <x:c r="N7364" s="0" t="s">
        <x:v>46</x:v>
      </x:c>
    </x:row>
    <x:row r="7365" spans="1:16">
      <x:c r="A7365" s="0" t="s">
        <x:v>29322</x:v>
      </x:c>
      <x:c r="B7365" s="0" t="s">
        <x:v>29323</x:v>
      </x:c>
      <x:c r="C7365" s="0" t="s">
        <x:v>29324</x:v>
      </x:c>
      <x:c r="E7365" s="0" t="s">
        <x:v>29325</x:v>
      </x:c>
      <x:c r="F7365" s="0" t="s">
        <x:v>45</x:v>
      </x:c>
      <x:c r="G7365" s="0" t="s">
        <x:v>19</x:v>
      </x:c>
      <x:c r="H7365" s="0" t="s">
        <x:v>20</x:v>
      </x:c>
      <x:c r="I7365" s="0" t="s">
        <x:v>21</x:v>
      </x:c>
      <x:c r="K7365" s="0">
        <x:f>hyperlink("https://icd.who.int/dev11/l-ichi/en#/http%3A%2F%2Fid.who.int%2Ficd%2Fentity%2F1698192387","browser")</x:f>
      </x:c>
      <x:c r="L7365" s="0">
        <x:f>hyperlink("https://icat2.azurewebsites.net/icat/?ontology=ICD&amp;tab=ClassesTab&amp;id=http%3A%2F%2Fwho.int%2Ficd%231977_4869915e_217e_423d_acb3_33c0f920ef4b","iCat")</x:f>
      </x:c>
      <x:c r="M7365" s="0" t="s">
        <x:v>21</x:v>
      </x:c>
      <x:c r="N7365" s="0" t="s">
        <x:v>46</x:v>
      </x:c>
    </x:row>
    <x:row r="7366" spans="1:16">
      <x:c r="A7366" s="0" t="s">
        <x:v>29326</x:v>
      </x:c>
      <x:c r="B7366" s="0" t="s">
        <x:v>29327</x:v>
      </x:c>
      <x:c r="D7366" s="0" t="s">
        <x:v>29328</x:v>
      </x:c>
      <x:c r="E7366" s="0" t="s">
        <x:v>29329</x:v>
      </x:c>
      <x:c r="F7366" s="0" t="s">
        <x:v>26</x:v>
      </x:c>
      <x:c r="G7366" s="0" t="s">
        <x:v>22</x:v>
      </x:c>
      <x:c r="H7366" s="0" t="s">
        <x:v>20</x:v>
      </x:c>
      <x:c r="I7366" s="0" t="s">
        <x:v>21</x:v>
      </x:c>
      <x:c r="K7366" s="0">
        <x:f>hyperlink("https://icd.who.int/dev11/l-ichi/en#/http%3A%2F%2Fid.who.int%2Ficd%2Fentity%2F514925715","browser")</x:f>
      </x:c>
      <x:c r="L7366" s="0">
        <x:f>hyperlink("https://icat2.azurewebsites.net/icat/?ontology=ICD&amp;tab=ClassesTab&amp;id=http%3A%2F%2Fwho.int%2Ficd%2344513_512ebf36_bf6b_4d70_85da_cf2637062af4","iCat")</x:f>
      </x:c>
      <x:c r="M7366" s="0" t="s">
        <x:v>20</x:v>
      </x:c>
      <x:c r="N7366" s="0" t="s">
        <x:v>8549</x:v>
      </x:c>
    </x:row>
    <x:row r="7367" spans="1:16">
      <x:c r="A7367" s="0" t="s">
        <x:v>29330</x:v>
      </x:c>
      <x:c r="B7367" s="0" t="s">
        <x:v>29331</x:v>
      </x:c>
      <x:c r="C7367" s="0" t="s">
        <x:v>29332</x:v>
      </x:c>
      <x:c r="E7367" s="0" t="s">
        <x:v>29333</x:v>
      </x:c>
      <x:c r="F7367" s="0" t="s">
        <x:v>45</x:v>
      </x:c>
      <x:c r="G7367" s="0" t="s">
        <x:v>19</x:v>
      </x:c>
      <x:c r="H7367" s="0" t="s">
        <x:v>20</x:v>
      </x:c>
      <x:c r="I7367" s="0" t="s">
        <x:v>21</x:v>
      </x:c>
      <x:c r="K7367" s="0">
        <x:f>hyperlink("https://icd.who.int/dev11/l-ichi/en#/http%3A%2F%2Fid.who.int%2Ficd%2Fentity%2F1044928175","browser")</x:f>
      </x:c>
      <x:c r="L7367" s="0">
        <x:f>hyperlink("https://icat2.azurewebsites.net/icat/?ontology=ICD&amp;tab=ClassesTab&amp;id=http%3A%2F%2Fwho.int%2Ficd%2344512_512ebf36_bf6b_4d70_85da_cf2637062af4","iCat")</x:f>
      </x:c>
      <x:c r="M7367" s="0" t="s">
        <x:v>21</x:v>
      </x:c>
      <x:c r="N7367" s="0" t="s">
        <x:v>46</x:v>
      </x:c>
    </x:row>
    <x:row r="7368" spans="1:16">
      <x:c r="A7368" s="0" t="s">
        <x:v>29334</x:v>
      </x:c>
      <x:c r="B7368" s="0" t="s">
        <x:v>29335</x:v>
      </x:c>
      <x:c r="C7368" s="0" t="s">
        <x:v>29336</x:v>
      </x:c>
      <x:c r="E7368" s="0" t="s">
        <x:v>29337</x:v>
      </x:c>
      <x:c r="F7368" s="0" t="s">
        <x:v>45</x:v>
      </x:c>
      <x:c r="G7368" s="0" t="s">
        <x:v>19</x:v>
      </x:c>
      <x:c r="H7368" s="0" t="s">
        <x:v>20</x:v>
      </x:c>
      <x:c r="I7368" s="0" t="s">
        <x:v>21</x:v>
      </x:c>
      <x:c r="K7368" s="0">
        <x:f>hyperlink("https://icd.who.int/dev11/l-ichi/en#/http%3A%2F%2Fid.who.int%2Ficd%2Fentity%2F1371139080","browser")</x:f>
      </x:c>
      <x:c r="L7368" s="0">
        <x:f>hyperlink("https://icat2.azurewebsites.net/icat/?ontology=ICD&amp;tab=ClassesTab&amp;id=http%3A%2F%2Fwho.int%2Ficd%2344531_512ebf36_bf6b_4d70_85da_cf2637062af4","iCat")</x:f>
      </x:c>
      <x:c r="M7368" s="0" t="s">
        <x:v>21</x:v>
      </x:c>
      <x:c r="N7368" s="0" t="s">
        <x:v>46</x:v>
      </x:c>
    </x:row>
    <x:row r="7369" spans="1:16">
      <x:c r="A7369" s="0" t="s">
        <x:v>29338</x:v>
      </x:c>
      <x:c r="B7369" s="0" t="s">
        <x:v>29339</x:v>
      </x:c>
      <x:c r="C7369" s="0" t="s">
        <x:v>29340</x:v>
      </x:c>
      <x:c r="E7369" s="0" t="s">
        <x:v>29341</x:v>
      </x:c>
      <x:c r="F7369" s="0" t="s">
        <x:v>45</x:v>
      </x:c>
      <x:c r="G7369" s="0" t="s">
        <x:v>19</x:v>
      </x:c>
      <x:c r="H7369" s="0" t="s">
        <x:v>20</x:v>
      </x:c>
      <x:c r="I7369" s="0" t="s">
        <x:v>21</x:v>
      </x:c>
      <x:c r="K7369" s="0">
        <x:f>hyperlink("https://icd.who.int/dev11/l-ichi/en#/http%3A%2F%2Fid.who.int%2Ficd%2Fentity%2F1069674351","browser")</x:f>
      </x:c>
      <x:c r="L7369" s="0">
        <x:f>hyperlink("https://icat2.azurewebsites.net/icat/?ontology=ICD&amp;tab=ClassesTab&amp;id=http%3A%2F%2Fwho.int%2Ficd%2344538_512ebf36_bf6b_4d70_85da_cf2637062af4","iCat")</x:f>
      </x:c>
      <x:c r="M7369" s="0" t="s">
        <x:v>21</x:v>
      </x:c>
      <x:c r="N7369" s="0" t="s">
        <x:v>46</x:v>
      </x:c>
    </x:row>
    <x:row r="7370" spans="1:16">
      <x:c r="A7370" s="0" t="s">
        <x:v>29342</x:v>
      </x:c>
      <x:c r="B7370" s="0" t="s">
        <x:v>29343</x:v>
      </x:c>
      <x:c r="C7370" s="0" t="s">
        <x:v>29344</x:v>
      </x:c>
      <x:c r="E7370" s="0" t="s">
        <x:v>29345</x:v>
      </x:c>
      <x:c r="F7370" s="0" t="s">
        <x:v>45</x:v>
      </x:c>
      <x:c r="G7370" s="0" t="s">
        <x:v>19</x:v>
      </x:c>
      <x:c r="H7370" s="0" t="s">
        <x:v>20</x:v>
      </x:c>
      <x:c r="I7370" s="0" t="s">
        <x:v>21</x:v>
      </x:c>
      <x:c r="K7370" s="0">
        <x:f>hyperlink("https://icd.who.int/dev11/l-ichi/en#/http%3A%2F%2Fid.who.int%2Ficd%2Fentity%2F1416117098","browser")</x:f>
      </x:c>
      <x:c r="L7370" s="0">
        <x:f>hyperlink("https://icat2.azurewebsites.net/icat/?ontology=ICD&amp;tab=ClassesTab&amp;id=http%3A%2F%2Fwho.int%2Ficd%2344545_512ebf36_bf6b_4d70_85da_cf2637062af4","iCat")</x:f>
      </x:c>
      <x:c r="M7370" s="0" t="s">
        <x:v>21</x:v>
      </x:c>
      <x:c r="N7370" s="0" t="s">
        <x:v>46</x:v>
      </x:c>
    </x:row>
    <x:row r="7371" spans="1:16">
      <x:c r="A7371" s="0" t="s">
        <x:v>29346</x:v>
      </x:c>
      <x:c r="B7371" s="0" t="s">
        <x:v>29347</x:v>
      </x:c>
      <x:c r="C7371" s="0" t="s">
        <x:v>29348</x:v>
      </x:c>
      <x:c r="E7371" s="0" t="s">
        <x:v>29349</x:v>
      </x:c>
      <x:c r="F7371" s="0" t="s">
        <x:v>45</x:v>
      </x:c>
      <x:c r="G7371" s="0" t="s">
        <x:v>19</x:v>
      </x:c>
      <x:c r="H7371" s="0" t="s">
        <x:v>20</x:v>
      </x:c>
      <x:c r="I7371" s="0" t="s">
        <x:v>21</x:v>
      </x:c>
      <x:c r="K7371" s="0">
        <x:f>hyperlink("https://icd.who.int/dev11/l-ichi/en#/http%3A%2F%2Fid.who.int%2Ficd%2Fentity%2F1311704500","browser")</x:f>
      </x:c>
      <x:c r="L7371" s="0">
        <x:f>hyperlink("https://icat2.azurewebsites.net/icat/?ontology=ICD&amp;tab=ClassesTab&amp;id=http%3A%2F%2Fwho.int%2Ficd%2344552_512ebf36_bf6b_4d70_85da_cf2637062af4","iCat")</x:f>
      </x:c>
      <x:c r="M7371" s="0" t="s">
        <x:v>21</x:v>
      </x:c>
      <x:c r="N7371" s="0" t="s">
        <x:v>46</x:v>
      </x:c>
    </x:row>
    <x:row r="7372" spans="1:16">
      <x:c r="A7372" s="0" t="s">
        <x:v>29350</x:v>
      </x:c>
      <x:c r="B7372" s="0" t="s">
        <x:v>29351</x:v>
      </x:c>
      <x:c r="C7372" s="0" t="s">
        <x:v>29352</x:v>
      </x:c>
      <x:c r="E7372" s="0" t="s">
        <x:v>29353</x:v>
      </x:c>
      <x:c r="F7372" s="0" t="s">
        <x:v>45</x:v>
      </x:c>
      <x:c r="G7372" s="0" t="s">
        <x:v>19</x:v>
      </x:c>
      <x:c r="H7372" s="0" t="s">
        <x:v>20</x:v>
      </x:c>
      <x:c r="I7372" s="0" t="s">
        <x:v>21</x:v>
      </x:c>
      <x:c r="K7372" s="0">
        <x:f>hyperlink("https://icd.who.int/dev11/l-ichi/en#/http%3A%2F%2Fid.who.int%2Ficd%2Fentity%2F1160452894","browser")</x:f>
      </x:c>
      <x:c r="L7372" s="0">
        <x:f>hyperlink("https://icat2.azurewebsites.net/icat/?ontology=ICD&amp;tab=ClassesTab&amp;id=http%3A%2F%2Fwho.int%2Ficd%2344559_512ebf36_bf6b_4d70_85da_cf2637062af4","iCat")</x:f>
      </x:c>
      <x:c r="M7372" s="0" t="s">
        <x:v>21</x:v>
      </x:c>
      <x:c r="N7372" s="0" t="s">
        <x:v>46</x:v>
      </x:c>
    </x:row>
    <x:row r="7373" spans="1:16">
      <x:c r="A7373" s="0" t="s">
        <x:v>29354</x:v>
      </x:c>
      <x:c r="B7373" s="0" t="s">
        <x:v>29355</x:v>
      </x:c>
      <x:c r="C7373" s="0" t="s">
        <x:v>29356</x:v>
      </x:c>
      <x:c r="E7373" s="0" t="s">
        <x:v>29357</x:v>
      </x:c>
      <x:c r="F7373" s="0" t="s">
        <x:v>45</x:v>
      </x:c>
      <x:c r="G7373" s="0" t="s">
        <x:v>19</x:v>
      </x:c>
      <x:c r="H7373" s="0" t="s">
        <x:v>20</x:v>
      </x:c>
      <x:c r="I7373" s="0" t="s">
        <x:v>21</x:v>
      </x:c>
      <x:c r="K7373" s="0">
        <x:f>hyperlink("https://icd.who.int/dev11/l-ichi/en#/http%3A%2F%2Fid.who.int%2Ficd%2Fentity%2F999915969","browser")</x:f>
      </x:c>
      <x:c r="L7373" s="0">
        <x:f>hyperlink("https://icat2.azurewebsites.net/icat/?ontology=ICD&amp;tab=ClassesTab&amp;id=http%3A%2F%2Fwho.int%2Ficd%2344566_512ebf36_bf6b_4d70_85da_cf2637062af4","iCat")</x:f>
      </x:c>
      <x:c r="M7373" s="0" t="s">
        <x:v>21</x:v>
      </x:c>
      <x:c r="N7373" s="0" t="s">
        <x:v>46</x:v>
      </x:c>
    </x:row>
    <x:row r="7374" spans="1:16">
      <x:c r="A7374" s="0" t="s">
        <x:v>29358</x:v>
      </x:c>
      <x:c r="B7374" s="0" t="s">
        <x:v>29359</x:v>
      </x:c>
      <x:c r="C7374" s="0" t="s">
        <x:v>29360</x:v>
      </x:c>
      <x:c r="E7374" s="0" t="s">
        <x:v>29361</x:v>
      </x:c>
      <x:c r="F7374" s="0" t="s">
        <x:v>45</x:v>
      </x:c>
      <x:c r="G7374" s="0" t="s">
        <x:v>19</x:v>
      </x:c>
      <x:c r="H7374" s="0" t="s">
        <x:v>20</x:v>
      </x:c>
      <x:c r="I7374" s="0" t="s">
        <x:v>21</x:v>
      </x:c>
      <x:c r="K7374" s="0">
        <x:f>hyperlink("https://icd.who.int/dev11/l-ichi/en#/http%3A%2F%2Fid.who.int%2Ficd%2Fentity%2F1364989080","browser")</x:f>
      </x:c>
      <x:c r="L7374" s="0">
        <x:f>hyperlink("https://icat2.azurewebsites.net/icat/?ontology=ICD&amp;tab=ClassesTab&amp;id=http%3A%2F%2Fwho.int%2Ficd%2344576_512ebf36_bf6b_4d70_85da_cf2637062af4","iCat")</x:f>
      </x:c>
      <x:c r="M7374" s="0" t="s">
        <x:v>21</x:v>
      </x:c>
      <x:c r="N7374" s="0" t="s">
        <x:v>46</x:v>
      </x:c>
    </x:row>
    <x:row r="7375" spans="1:16">
      <x:c r="A7375" s="0" t="s">
        <x:v>29362</x:v>
      </x:c>
      <x:c r="B7375" s="0" t="s">
        <x:v>29363</x:v>
      </x:c>
      <x:c r="C7375" s="0" t="s">
        <x:v>29364</x:v>
      </x:c>
      <x:c r="E7375" s="0" t="s">
        <x:v>29365</x:v>
      </x:c>
      <x:c r="F7375" s="0" t="s">
        <x:v>45</x:v>
      </x:c>
      <x:c r="G7375" s="0" t="s">
        <x:v>19</x:v>
      </x:c>
      <x:c r="H7375" s="0" t="s">
        <x:v>20</x:v>
      </x:c>
      <x:c r="I7375" s="0" t="s">
        <x:v>21</x:v>
      </x:c>
      <x:c r="K7375" s="0">
        <x:f>hyperlink("https://icd.who.int/dev11/l-ichi/en#/http%3A%2F%2Fid.who.int%2Ficd%2Fentity%2F1799743490","browser")</x:f>
      </x:c>
      <x:c r="L7375" s="0">
        <x:f>hyperlink("https://icat2.azurewebsites.net/icat/?ontology=ICD&amp;tab=ClassesTab&amp;id=http%3A%2F%2Fwho.int%2Ficd%2344583_512ebf36_bf6b_4d70_85da_cf2637062af4","iCat")</x:f>
      </x:c>
      <x:c r="M7375" s="0" t="s">
        <x:v>21</x:v>
      </x:c>
      <x:c r="N7375" s="0" t="s">
        <x:v>46</x:v>
      </x:c>
    </x:row>
    <x:row r="7376" spans="1:16">
      <x:c r="A7376" s="0" t="s">
        <x:v>29366</x:v>
      </x:c>
      <x:c r="B7376" s="0" t="s">
        <x:v>29367</x:v>
      </x:c>
      <x:c r="C7376" s="0" t="s">
        <x:v>29368</x:v>
      </x:c>
      <x:c r="E7376" s="0" t="s">
        <x:v>29369</x:v>
      </x:c>
      <x:c r="F7376" s="0" t="s">
        <x:v>45</x:v>
      </x:c>
      <x:c r="G7376" s="0" t="s">
        <x:v>19</x:v>
      </x:c>
      <x:c r="H7376" s="0" t="s">
        <x:v>20</x:v>
      </x:c>
      <x:c r="I7376" s="0" t="s">
        <x:v>21</x:v>
      </x:c>
      <x:c r="K7376" s="0">
        <x:f>hyperlink("https://icd.who.int/dev11/l-ichi/en#/http%3A%2F%2Fid.who.int%2Ficd%2Fentity%2F1141183150","browser")</x:f>
      </x:c>
      <x:c r="L7376" s="0">
        <x:f>hyperlink("https://icat2.azurewebsites.net/icat/?ontology=ICD&amp;tab=ClassesTab&amp;id=http%3A%2F%2Fwho.int%2Ficd%2344590_512ebf36_bf6b_4d70_85da_cf2637062af4","iCat")</x:f>
      </x:c>
      <x:c r="M7376" s="0" t="s">
        <x:v>21</x:v>
      </x:c>
      <x:c r="N7376" s="0" t="s">
        <x:v>46</x:v>
      </x:c>
    </x:row>
    <x:row r="7377" spans="1:16">
      <x:c r="A7377" s="0" t="s">
        <x:v>29370</x:v>
      </x:c>
      <x:c r="B7377" s="0" t="s">
        <x:v>29371</x:v>
      </x:c>
      <x:c r="C7377" s="0" t="s">
        <x:v>29372</x:v>
      </x:c>
      <x:c r="E7377" s="0" t="s">
        <x:v>29373</x:v>
      </x:c>
      <x:c r="F7377" s="0" t="s">
        <x:v>45</x:v>
      </x:c>
      <x:c r="G7377" s="0" t="s">
        <x:v>19</x:v>
      </x:c>
      <x:c r="H7377" s="0" t="s">
        <x:v>20</x:v>
      </x:c>
      <x:c r="I7377" s="0" t="s">
        <x:v>21</x:v>
      </x:c>
      <x:c r="K7377" s="0">
        <x:f>hyperlink("https://icd.who.int/dev11/l-ichi/en#/http%3A%2F%2Fid.who.int%2Ficd%2Fentity%2F881309987","browser")</x:f>
      </x:c>
      <x:c r="L7377" s="0">
        <x:f>hyperlink("https://icat2.azurewebsites.net/icat/?ontology=ICD&amp;tab=ClassesTab&amp;id=http%3A%2F%2Fwho.int%2Ficd%2344597_512ebf36_bf6b_4d70_85da_cf2637062af4","iCat")</x:f>
      </x:c>
      <x:c r="M7377" s="0" t="s">
        <x:v>21</x:v>
      </x:c>
      <x:c r="N7377" s="0" t="s">
        <x:v>46</x:v>
      </x:c>
    </x:row>
    <x:row r="7378" spans="1:16">
      <x:c r="A7378" s="0" t="s">
        <x:v>29374</x:v>
      </x:c>
      <x:c r="B7378" s="0" t="s">
        <x:v>29375</x:v>
      </x:c>
      <x:c r="C7378" s="0" t="s">
        <x:v>29376</x:v>
      </x:c>
      <x:c r="E7378" s="0" t="s">
        <x:v>29377</x:v>
      </x:c>
      <x:c r="F7378" s="0" t="s">
        <x:v>45</x:v>
      </x:c>
      <x:c r="G7378" s="0" t="s">
        <x:v>19</x:v>
      </x:c>
      <x:c r="H7378" s="0" t="s">
        <x:v>20</x:v>
      </x:c>
      <x:c r="I7378" s="0" t="s">
        <x:v>21</x:v>
      </x:c>
      <x:c r="K7378" s="0">
        <x:f>hyperlink("https://icd.who.int/dev11/l-ichi/en#/http%3A%2F%2Fid.who.int%2Ficd%2Fentity%2F1885880874","browser")</x:f>
      </x:c>
      <x:c r="L7378" s="0">
        <x:f>hyperlink("https://icat2.azurewebsites.net/icat/?ontology=ICD&amp;tab=ClassesTab&amp;id=http%3A%2F%2Fwho.int%2Ficd%23115_dd4d4347_e398_43b9_84dd_c9611ca6abfa","iCat")</x:f>
      </x:c>
      <x:c r="M7378" s="0" t="s">
        <x:v>21</x:v>
      </x:c>
      <x:c r="N7378" s="0" t="s">
        <x:v>46</x:v>
      </x:c>
    </x:row>
    <x:row r="7379" spans="1:16">
      <x:c r="A7379" s="0" t="s">
        <x:v>29378</x:v>
      </x:c>
      <x:c r="B7379" s="0" t="s">
        <x:v>29379</x:v>
      </x:c>
      <x:c r="C7379" s="0" t="s">
        <x:v>29380</x:v>
      </x:c>
      <x:c r="E7379" s="0" t="s">
        <x:v>29381</x:v>
      </x:c>
      <x:c r="F7379" s="0" t="s">
        <x:v>45</x:v>
      </x:c>
      <x:c r="G7379" s="0" t="s">
        <x:v>19</x:v>
      </x:c>
      <x:c r="H7379" s="0" t="s">
        <x:v>20</x:v>
      </x:c>
      <x:c r="I7379" s="0" t="s">
        <x:v>21</x:v>
      </x:c>
      <x:c r="K7379" s="0">
        <x:f>hyperlink("https://icd.who.int/dev11/l-ichi/en#/http%3A%2F%2Fid.who.int%2Ficd%2Fentity%2F1705618962","browser")</x:f>
      </x:c>
      <x:c r="L7379" s="0">
        <x:f>hyperlink("https://icat2.azurewebsites.net/icat/?ontology=ICD&amp;tab=ClassesTab&amp;id=http%3A%2F%2Fwho.int%2Ficd%2344604_512ebf36_bf6b_4d70_85da_cf2637062af4","iCat")</x:f>
      </x:c>
      <x:c r="M7379" s="0" t="s">
        <x:v>21</x:v>
      </x:c>
      <x:c r="N7379" s="0" t="s">
        <x:v>46</x:v>
      </x:c>
    </x:row>
    <x:row r="7380" spans="1:16">
      <x:c r="A7380" s="0" t="s">
        <x:v>29382</x:v>
      </x:c>
      <x:c r="B7380" s="0" t="s">
        <x:v>29383</x:v>
      </x:c>
      <x:c r="C7380" s="0" t="s">
        <x:v>29384</x:v>
      </x:c>
      <x:c r="E7380" s="0" t="s">
        <x:v>29385</x:v>
      </x:c>
      <x:c r="F7380" s="0" t="s">
        <x:v>45</x:v>
      </x:c>
      <x:c r="G7380" s="0" t="s">
        <x:v>19</x:v>
      </x:c>
      <x:c r="H7380" s="0" t="s">
        <x:v>20</x:v>
      </x:c>
      <x:c r="I7380" s="0" t="s">
        <x:v>21</x:v>
      </x:c>
      <x:c r="K7380" s="0">
        <x:f>hyperlink("https://icd.who.int/dev11/l-ichi/en#/http%3A%2F%2Fid.who.int%2Ficd%2Fentity%2F1780901089","browser")</x:f>
      </x:c>
      <x:c r="L7380" s="0">
        <x:f>hyperlink("https://icat2.azurewebsites.net/icat/?ontology=ICD&amp;tab=ClassesTab&amp;id=http%3A%2F%2Fwho.int%2Ficd%231986_4869915e_217e_423d_acb3_33c0f920ef4b","iCat")</x:f>
      </x:c>
      <x:c r="M7380" s="0" t="s">
        <x:v>21</x:v>
      </x:c>
      <x:c r="N7380" s="0" t="s">
        <x:v>46</x:v>
      </x:c>
    </x:row>
    <x:row r="7381" spans="1:16">
      <x:c r="A7381" s="0" t="s">
        <x:v>29386</x:v>
      </x:c>
      <x:c r="B7381" s="0" t="s">
        <x:v>29387</x:v>
      </x:c>
      <x:c r="C7381" s="0" t="s">
        <x:v>29388</x:v>
      </x:c>
      <x:c r="E7381" s="0" t="s">
        <x:v>29389</x:v>
      </x:c>
      <x:c r="F7381" s="0" t="s">
        <x:v>45</x:v>
      </x:c>
      <x:c r="G7381" s="0" t="s">
        <x:v>19</x:v>
      </x:c>
      <x:c r="H7381" s="0" t="s">
        <x:v>20</x:v>
      </x:c>
      <x:c r="I7381" s="0" t="s">
        <x:v>21</x:v>
      </x:c>
      <x:c r="K7381" s="0">
        <x:f>hyperlink("https://icd.who.int/dev11/l-ichi/en#/http%3A%2F%2Fid.who.int%2Ficd%2Fentity%2F904148418","browser")</x:f>
      </x:c>
      <x:c r="L7381" s="0">
        <x:f>hyperlink("https://icat2.azurewebsites.net/icat/?ontology=ICD&amp;tab=ClassesTab&amp;id=http%3A%2F%2Fwho.int%2Ficd%231992_4869915e_217e_423d_acb3_33c0f920ef4b","iCat")</x:f>
      </x:c>
      <x:c r="M7381" s="0" t="s">
        <x:v>21</x:v>
      </x:c>
      <x:c r="N7381" s="0" t="s">
        <x:v>46</x:v>
      </x:c>
    </x:row>
    <x:row r="7382" spans="1:16">
      <x:c r="A7382" s="0" t="s">
        <x:v>29390</x:v>
      </x:c>
      <x:c r="B7382" s="0" t="s">
        <x:v>29391</x:v>
      </x:c>
      <x:c r="C7382" s="0" t="s">
        <x:v>29392</x:v>
      </x:c>
      <x:c r="E7382" s="0" t="s">
        <x:v>29393</x:v>
      </x:c>
      <x:c r="F7382" s="0" t="s">
        <x:v>45</x:v>
      </x:c>
      <x:c r="G7382" s="0" t="s">
        <x:v>19</x:v>
      </x:c>
      <x:c r="H7382" s="0" t="s">
        <x:v>20</x:v>
      </x:c>
      <x:c r="I7382" s="0" t="s">
        <x:v>21</x:v>
      </x:c>
      <x:c r="K7382" s="0">
        <x:f>hyperlink("https://icd.who.int/dev11/l-ichi/en#/http%3A%2F%2Fid.who.int%2Ficd%2Fentity%2F504977746","browser")</x:f>
      </x:c>
      <x:c r="L7382" s="0">
        <x:f>hyperlink("https://icat2.azurewebsites.net/icat/?ontology=ICD&amp;tab=ClassesTab&amp;id=http%3A%2F%2Fwho.int%2Ficd%231998_4869915e_217e_423d_acb3_33c0f920ef4b","iCat")</x:f>
      </x:c>
      <x:c r="M7382" s="0" t="s">
        <x:v>21</x:v>
      </x:c>
      <x:c r="N7382" s="0" t="s">
        <x:v>46</x:v>
      </x:c>
    </x:row>
    <x:row r="7383" spans="1:16">
      <x:c r="A7383" s="0" t="s">
        <x:v>29394</x:v>
      </x:c>
      <x:c r="B7383" s="0" t="s">
        <x:v>29395</x:v>
      </x:c>
      <x:c r="C7383" s="0" t="s">
        <x:v>29396</x:v>
      </x:c>
      <x:c r="E7383" s="0" t="s">
        <x:v>29397</x:v>
      </x:c>
      <x:c r="F7383" s="0" t="s">
        <x:v>45</x:v>
      </x:c>
      <x:c r="G7383" s="0" t="s">
        <x:v>19</x:v>
      </x:c>
      <x:c r="H7383" s="0" t="s">
        <x:v>20</x:v>
      </x:c>
      <x:c r="I7383" s="0" t="s">
        <x:v>21</x:v>
      </x:c>
      <x:c r="K7383" s="0">
        <x:f>hyperlink("https://icd.who.int/dev11/l-ichi/en#/http%3A%2F%2Fid.who.int%2Ficd%2Fentity%2F2141254273","browser")</x:f>
      </x:c>
      <x:c r="L7383" s="0">
        <x:f>hyperlink("https://icat2.azurewebsites.net/icat/?ontology=ICD&amp;tab=ClassesTab&amp;id=http%3A%2F%2Fwho.int%2Ficd%232004_4869915e_217e_423d_acb3_33c0f920ef4b","iCat")</x:f>
      </x:c>
      <x:c r="M7383" s="0" t="s">
        <x:v>21</x:v>
      </x:c>
      <x:c r="N7383" s="0" t="s">
        <x:v>46</x:v>
      </x:c>
    </x:row>
    <x:row r="7384" spans="1:16">
      <x:c r="A7384" s="0" t="s">
        <x:v>29398</x:v>
      </x:c>
      <x:c r="B7384" s="0" t="s">
        <x:v>29399</x:v>
      </x:c>
      <x:c r="C7384" s="0" t="s">
        <x:v>29400</x:v>
      </x:c>
      <x:c r="E7384" s="0" t="s">
        <x:v>29401</x:v>
      </x:c>
      <x:c r="F7384" s="0" t="s">
        <x:v>45</x:v>
      </x:c>
      <x:c r="G7384" s="0" t="s">
        <x:v>19</x:v>
      </x:c>
      <x:c r="H7384" s="0" t="s">
        <x:v>20</x:v>
      </x:c>
      <x:c r="I7384" s="0" t="s">
        <x:v>21</x:v>
      </x:c>
      <x:c r="K7384" s="0">
        <x:f>hyperlink("https://icd.who.int/dev11/l-ichi/en#/http%3A%2F%2Fid.who.int%2Ficd%2Fentity%2F445811983","browser")</x:f>
      </x:c>
      <x:c r="L7384" s="0">
        <x:f>hyperlink("https://icat2.azurewebsites.net/icat/?ontology=ICD&amp;tab=ClassesTab&amp;id=http%3A%2F%2Fwho.int%2Ficd%2344611_512ebf36_bf6b_4d70_85da_cf2637062af4","iCat")</x:f>
      </x:c>
      <x:c r="M7384" s="0" t="s">
        <x:v>21</x:v>
      </x:c>
      <x:c r="N7384" s="0" t="s">
        <x:v>46</x:v>
      </x:c>
    </x:row>
    <x:row r="7385" spans="1:16">
      <x:c r="A7385" s="0" t="s">
        <x:v>29402</x:v>
      </x:c>
      <x:c r="B7385" s="0" t="s">
        <x:v>29403</x:v>
      </x:c>
      <x:c r="C7385" s="0" t="s">
        <x:v>29404</x:v>
      </x:c>
      <x:c r="E7385" s="0" t="s">
        <x:v>29405</x:v>
      </x:c>
      <x:c r="F7385" s="0" t="s">
        <x:v>45</x:v>
      </x:c>
      <x:c r="G7385" s="0" t="s">
        <x:v>19</x:v>
      </x:c>
      <x:c r="H7385" s="0" t="s">
        <x:v>20</x:v>
      </x:c>
      <x:c r="I7385" s="0" t="s">
        <x:v>21</x:v>
      </x:c>
      <x:c r="K7385" s="0">
        <x:f>hyperlink("https://icd.who.int/dev11/l-ichi/en#/http%3A%2F%2Fid.who.int%2Ficd%2Fentity%2F1410595932","browser")</x:f>
      </x:c>
      <x:c r="L7385" s="0">
        <x:f>hyperlink("https://icat2.azurewebsites.net/icat/?ontology=ICD&amp;tab=ClassesTab&amp;id=http%3A%2F%2Fwho.int%2Ficd%2344619_512ebf36_bf6b_4d70_85da_cf2637062af4","iCat")</x:f>
      </x:c>
      <x:c r="M7385" s="0" t="s">
        <x:v>21</x:v>
      </x:c>
      <x:c r="N7385" s="0" t="s">
        <x:v>46</x:v>
      </x:c>
    </x:row>
    <x:row r="7386" spans="1:16">
      <x:c r="A7386" s="0" t="s">
        <x:v>29406</x:v>
      </x:c>
      <x:c r="B7386" s="0" t="s">
        <x:v>29407</x:v>
      </x:c>
      <x:c r="C7386" s="0" t="s">
        <x:v>29408</x:v>
      </x:c>
      <x:c r="E7386" s="0" t="s">
        <x:v>29409</x:v>
      </x:c>
      <x:c r="F7386" s="0" t="s">
        <x:v>45</x:v>
      </x:c>
      <x:c r="G7386" s="0" t="s">
        <x:v>19</x:v>
      </x:c>
      <x:c r="H7386" s="0" t="s">
        <x:v>20</x:v>
      </x:c>
      <x:c r="I7386" s="0" t="s">
        <x:v>21</x:v>
      </x:c>
      <x:c r="K7386" s="0">
        <x:f>hyperlink("https://icd.who.int/dev11/l-ichi/en#/http%3A%2F%2Fid.who.int%2Ficd%2Fentity%2F173544633","browser")</x:f>
      </x:c>
      <x:c r="L7386" s="0">
        <x:f>hyperlink("https://icat2.azurewebsites.net/icat/?ontology=ICD&amp;tab=ClassesTab&amp;id=http%3A%2F%2Fwho.int%2Ficd%2344627_512ebf36_bf6b_4d70_85da_cf2637062af4","iCat")</x:f>
      </x:c>
      <x:c r="M7386" s="0" t="s">
        <x:v>21</x:v>
      </x:c>
      <x:c r="N7386" s="0" t="s">
        <x:v>46</x:v>
      </x:c>
    </x:row>
    <x:row r="7387" spans="1:16">
      <x:c r="A7387" s="0" t="s">
        <x:v>29410</x:v>
      </x:c>
      <x:c r="B7387" s="0" t="s">
        <x:v>29411</x:v>
      </x:c>
      <x:c r="C7387" s="0" t="s">
        <x:v>29412</x:v>
      </x:c>
      <x:c r="E7387" s="0" t="s">
        <x:v>29413</x:v>
      </x:c>
      <x:c r="F7387" s="0" t="s">
        <x:v>45</x:v>
      </x:c>
      <x:c r="G7387" s="0" t="s">
        <x:v>19</x:v>
      </x:c>
      <x:c r="H7387" s="0" t="s">
        <x:v>20</x:v>
      </x:c>
      <x:c r="I7387" s="0" t="s">
        <x:v>21</x:v>
      </x:c>
      <x:c r="K7387" s="0">
        <x:f>hyperlink("https://icd.who.int/dev11/l-ichi/en#/http%3A%2F%2Fid.who.int%2Ficd%2Fentity%2F98671659","browser")</x:f>
      </x:c>
      <x:c r="L7387" s="0">
        <x:f>hyperlink("https://icat2.azurewebsites.net/icat/?ontology=ICD&amp;tab=ClassesTab&amp;id=http%3A%2F%2Fwho.int%2Ficd%2344635_512ebf36_bf6b_4d70_85da_cf2637062af4","iCat")</x:f>
      </x:c>
      <x:c r="M7387" s="0" t="s">
        <x:v>21</x:v>
      </x:c>
      <x:c r="N7387" s="0" t="s">
        <x:v>46</x:v>
      </x:c>
    </x:row>
    <x:row r="7388" spans="1:16">
      <x:c r="A7388" s="0" t="s">
        <x:v>29414</x:v>
      </x:c>
      <x:c r="B7388" s="0" t="s">
        <x:v>29415</x:v>
      </x:c>
      <x:c r="C7388" s="0" t="s">
        <x:v>29416</x:v>
      </x:c>
      <x:c r="E7388" s="0" t="s">
        <x:v>29417</x:v>
      </x:c>
      <x:c r="F7388" s="0" t="s">
        <x:v>45</x:v>
      </x:c>
      <x:c r="G7388" s="0" t="s">
        <x:v>19</x:v>
      </x:c>
      <x:c r="H7388" s="0" t="s">
        <x:v>20</x:v>
      </x:c>
      <x:c r="I7388" s="0" t="s">
        <x:v>21</x:v>
      </x:c>
      <x:c r="K7388" s="0">
        <x:f>hyperlink("https://icd.who.int/dev11/l-ichi/en#/http%3A%2F%2Fid.who.int%2Ficd%2Fentity%2F358967254","browser")</x:f>
      </x:c>
      <x:c r="L7388" s="0">
        <x:f>hyperlink("https://icat2.azurewebsites.net/icat/?ontology=ICD&amp;tab=ClassesTab&amp;id=http%3A%2F%2Fwho.int%2Ficd%232014_4869915e_217e_423d_acb3_33c0f920ef4b","iCat")</x:f>
      </x:c>
      <x:c r="M7388" s="0" t="s">
        <x:v>21</x:v>
      </x:c>
      <x:c r="N7388" s="0" t="s">
        <x:v>46</x:v>
      </x:c>
    </x:row>
    <x:row r="7389" spans="1:16">
      <x:c r="A7389" s="0" t="s">
        <x:v>29418</x:v>
      </x:c>
      <x:c r="B7389" s="0" t="s">
        <x:v>29419</x:v>
      </x:c>
      <x:c r="C7389" s="0" t="s">
        <x:v>29420</x:v>
      </x:c>
      <x:c r="E7389" s="0" t="s">
        <x:v>29421</x:v>
      </x:c>
      <x:c r="F7389" s="0" t="s">
        <x:v>45</x:v>
      </x:c>
      <x:c r="G7389" s="0" t="s">
        <x:v>19</x:v>
      </x:c>
      <x:c r="H7389" s="0" t="s">
        <x:v>20</x:v>
      </x:c>
      <x:c r="I7389" s="0" t="s">
        <x:v>21</x:v>
      </x:c>
      <x:c r="K7389" s="0">
        <x:f>hyperlink("https://icd.who.int/dev11/l-ichi/en#/http%3A%2F%2Fid.who.int%2Ficd%2Fentity%2F1624499109","browser")</x:f>
      </x:c>
      <x:c r="L7389" s="0">
        <x:f>hyperlink("https://icat2.azurewebsites.net/icat/?ontology=ICD&amp;tab=ClassesTab&amp;id=http%3A%2F%2Fwho.int%2Ficd%232020_4869915e_217e_423d_acb3_33c0f920ef4b","iCat")</x:f>
      </x:c>
      <x:c r="M7389" s="0" t="s">
        <x:v>21</x:v>
      </x:c>
      <x:c r="N7389" s="0" t="s">
        <x:v>46</x:v>
      </x:c>
    </x:row>
    <x:row r="7390" spans="1:16">
      <x:c r="A7390" s="0" t="s">
        <x:v>29422</x:v>
      </x:c>
      <x:c r="B7390" s="0" t="s">
        <x:v>29423</x:v>
      </x:c>
      <x:c r="C7390" s="0" t="s">
        <x:v>29424</x:v>
      </x:c>
      <x:c r="E7390" s="0" t="s">
        <x:v>29425</x:v>
      </x:c>
      <x:c r="F7390" s="0" t="s">
        <x:v>45</x:v>
      </x:c>
      <x:c r="G7390" s="0" t="s">
        <x:v>19</x:v>
      </x:c>
      <x:c r="H7390" s="0" t="s">
        <x:v>20</x:v>
      </x:c>
      <x:c r="I7390" s="0" t="s">
        <x:v>21</x:v>
      </x:c>
      <x:c r="K7390" s="0">
        <x:f>hyperlink("https://icd.who.int/dev11/l-ichi/en#/http%3A%2F%2Fid.who.int%2Ficd%2Fentity%2F1518884819","browser")</x:f>
      </x:c>
      <x:c r="L7390" s="0">
        <x:f>hyperlink("https://icat2.azurewebsites.net/icat/?ontology=ICD&amp;tab=ClassesTab&amp;id=http%3A%2F%2Fwho.int%2Ficd%232071_4869915e_217e_423d_acb3_33c0f920ef4b","iCat")</x:f>
      </x:c>
      <x:c r="M7390" s="0" t="s">
        <x:v>21</x:v>
      </x:c>
      <x:c r="N7390" s="0" t="s">
        <x:v>46</x:v>
      </x:c>
    </x:row>
    <x:row r="7391" spans="1:16">
      <x:c r="A7391" s="0" t="s">
        <x:v>29426</x:v>
      </x:c>
      <x:c r="B7391" s="0" t="s">
        <x:v>29427</x:v>
      </x:c>
      <x:c r="C7391" s="0" t="s">
        <x:v>29428</x:v>
      </x:c>
      <x:c r="E7391" s="0" t="s">
        <x:v>29429</x:v>
      </x:c>
      <x:c r="F7391" s="0" t="s">
        <x:v>45</x:v>
      </x:c>
      <x:c r="G7391" s="0" t="s">
        <x:v>19</x:v>
      </x:c>
      <x:c r="H7391" s="0" t="s">
        <x:v>20</x:v>
      </x:c>
      <x:c r="I7391" s="0" t="s">
        <x:v>21</x:v>
      </x:c>
      <x:c r="K7391" s="0">
        <x:f>hyperlink("https://icd.who.int/dev11/l-ichi/en#/http%3A%2F%2Fid.who.int%2Ficd%2Fentity%2F541843790","browser")</x:f>
      </x:c>
      <x:c r="L7391" s="0">
        <x:f>hyperlink("https://icat2.azurewebsites.net/icat/?ontology=ICD&amp;tab=ClassesTab&amp;id=http%3A%2F%2Fwho.int%2Ficd%232124_4869915e_217e_423d_acb3_33c0f920ef4b","iCat")</x:f>
      </x:c>
      <x:c r="M7391" s="0" t="s">
        <x:v>21</x:v>
      </x:c>
      <x:c r="N7391" s="0" t="s">
        <x:v>46</x:v>
      </x:c>
    </x:row>
    <x:row r="7392" spans="1:16">
      <x:c r="A7392" s="0" t="s">
        <x:v>29430</x:v>
      </x:c>
      <x:c r="B7392" s="0" t="s">
        <x:v>29431</x:v>
      </x:c>
      <x:c r="C7392" s="0" t="s">
        <x:v>29432</x:v>
      </x:c>
      <x:c r="E7392" s="0" t="s">
        <x:v>29433</x:v>
      </x:c>
      <x:c r="F7392" s="0" t="s">
        <x:v>45</x:v>
      </x:c>
      <x:c r="G7392" s="0" t="s">
        <x:v>19</x:v>
      </x:c>
      <x:c r="H7392" s="0" t="s">
        <x:v>20</x:v>
      </x:c>
      <x:c r="I7392" s="0" t="s">
        <x:v>21</x:v>
      </x:c>
      <x:c r="K7392" s="0">
        <x:f>hyperlink("https://icd.who.int/dev11/l-ichi/en#/http%3A%2F%2Fid.who.int%2Ficd%2Fentity%2F90391582","browser")</x:f>
      </x:c>
      <x:c r="L7392" s="0">
        <x:f>hyperlink("https://icat2.azurewebsites.net/icat/?ontology=ICD&amp;tab=ClassesTab&amp;id=http%3A%2F%2Fwho.int%2Ficd%232151_4869915e_217e_423d_acb3_33c0f920ef4b","iCat")</x:f>
      </x:c>
      <x:c r="M7392" s="0" t="s">
        <x:v>21</x:v>
      </x:c>
      <x:c r="N7392" s="0" t="s">
        <x:v>46</x:v>
      </x:c>
    </x:row>
    <x:row r="7393" spans="1:16">
      <x:c r="A7393" s="0" t="s">
        <x:v>29434</x:v>
      </x:c>
      <x:c r="B7393" s="0" t="s">
        <x:v>29435</x:v>
      </x:c>
      <x:c r="C7393" s="0" t="s">
        <x:v>29436</x:v>
      </x:c>
      <x:c r="E7393" s="0" t="s">
        <x:v>29437</x:v>
      </x:c>
      <x:c r="F7393" s="0" t="s">
        <x:v>45</x:v>
      </x:c>
      <x:c r="G7393" s="0" t="s">
        <x:v>19</x:v>
      </x:c>
      <x:c r="H7393" s="0" t="s">
        <x:v>20</x:v>
      </x:c>
      <x:c r="I7393" s="0" t="s">
        <x:v>21</x:v>
      </x:c>
      <x:c r="K7393" s="0">
        <x:f>hyperlink("https://icd.who.int/dev11/l-ichi/en#/http%3A%2F%2Fid.who.int%2Ficd%2Fentity%2F1097830951","browser")</x:f>
      </x:c>
      <x:c r="L7393" s="0">
        <x:f>hyperlink("https://icat2.azurewebsites.net/icat/?ontology=ICD&amp;tab=ClassesTab&amp;id=http%3A%2F%2Fwho.int%2Ficd%232178_4869915e_217e_423d_acb3_33c0f920ef4b","iCat")</x:f>
      </x:c>
      <x:c r="M7393" s="0" t="s">
        <x:v>21</x:v>
      </x:c>
      <x:c r="N7393" s="0" t="s">
        <x:v>46</x:v>
      </x:c>
    </x:row>
    <x:row r="7394" spans="1:16">
      <x:c r="A7394" s="0" t="s">
        <x:v>29438</x:v>
      </x:c>
      <x:c r="B7394" s="0" t="s">
        <x:v>29439</x:v>
      </x:c>
      <x:c r="C7394" s="0" t="s">
        <x:v>29440</x:v>
      </x:c>
      <x:c r="E7394" s="0" t="s">
        <x:v>29441</x:v>
      </x:c>
      <x:c r="F7394" s="0" t="s">
        <x:v>45</x:v>
      </x:c>
      <x:c r="G7394" s="0" t="s">
        <x:v>19</x:v>
      </x:c>
      <x:c r="H7394" s="0" t="s">
        <x:v>20</x:v>
      </x:c>
      <x:c r="I7394" s="0" t="s">
        <x:v>21</x:v>
      </x:c>
      <x:c r="K7394" s="0">
        <x:f>hyperlink("https://icd.who.int/dev11/l-ichi/en#/http%3A%2F%2Fid.who.int%2Ficd%2Fentity%2F1373555875","browser")</x:f>
      </x:c>
      <x:c r="L7394" s="0">
        <x:f>hyperlink("https://icat2.azurewebsites.net/icat/?ontology=ICD&amp;tab=ClassesTab&amp;id=http%3A%2F%2Fwho.int%2Ficd%232212_4869915e_217e_423d_acb3_33c0f920ef4b","iCat")</x:f>
      </x:c>
      <x:c r="M7394" s="0" t="s">
        <x:v>21</x:v>
      </x:c>
      <x:c r="N7394" s="0" t="s">
        <x:v>46</x:v>
      </x:c>
    </x:row>
    <x:row r="7395" spans="1:16">
      <x:c r="A7395" s="0" t="s">
        <x:v>29442</x:v>
      </x:c>
      <x:c r="B7395" s="0" t="s">
        <x:v>29443</x:v>
      </x:c>
      <x:c r="C7395" s="0" t="s">
        <x:v>29444</x:v>
      </x:c>
      <x:c r="E7395" s="0" t="s">
        <x:v>29445</x:v>
      </x:c>
      <x:c r="F7395" s="0" t="s">
        <x:v>45</x:v>
      </x:c>
      <x:c r="G7395" s="0" t="s">
        <x:v>19</x:v>
      </x:c>
      <x:c r="H7395" s="0" t="s">
        <x:v>20</x:v>
      </x:c>
      <x:c r="I7395" s="0" t="s">
        <x:v>21</x:v>
      </x:c>
      <x:c r="K7395" s="0">
        <x:f>hyperlink("https://icd.who.int/dev11/l-ichi/en#/http%3A%2F%2Fid.who.int%2Ficd%2Fentity%2F2049155123","browser")</x:f>
      </x:c>
      <x:c r="L7395" s="0">
        <x:f>hyperlink("https://icat2.azurewebsites.net/icat/?ontology=ICD&amp;tab=ClassesTab&amp;id=http%3A%2F%2Fwho.int%2Ficd%232218_4869915e_217e_423d_acb3_33c0f920ef4b","iCat")</x:f>
      </x:c>
      <x:c r="M7395" s="0" t="s">
        <x:v>21</x:v>
      </x:c>
      <x:c r="N7395" s="0" t="s">
        <x:v>46</x:v>
      </x:c>
    </x:row>
    <x:row r="7396" spans="1:16">
      <x:c r="A7396" s="0" t="s">
        <x:v>29446</x:v>
      </x:c>
      <x:c r="B7396" s="0" t="s">
        <x:v>29447</x:v>
      </x:c>
      <x:c r="C7396" s="0" t="s">
        <x:v>29448</x:v>
      </x:c>
      <x:c r="E7396" s="0" t="s">
        <x:v>29449</x:v>
      </x:c>
      <x:c r="F7396" s="0" t="s">
        <x:v>45</x:v>
      </x:c>
      <x:c r="G7396" s="0" t="s">
        <x:v>19</x:v>
      </x:c>
      <x:c r="H7396" s="0" t="s">
        <x:v>20</x:v>
      </x:c>
      <x:c r="I7396" s="0" t="s">
        <x:v>21</x:v>
      </x:c>
      <x:c r="K7396" s="0">
        <x:f>hyperlink("https://icd.who.int/dev11/l-ichi/en#/http%3A%2F%2Fid.who.int%2Ficd%2Fentity%2F1091851541","browser")</x:f>
      </x:c>
      <x:c r="L7396" s="0">
        <x:f>hyperlink("https://icat2.azurewebsites.net/icat/?ontology=ICD&amp;tab=ClassesTab&amp;id=http%3A%2F%2Fwho.int%2Ficd%232224_4869915e_217e_423d_acb3_33c0f920ef4b","iCat")</x:f>
      </x:c>
      <x:c r="M7396" s="0" t="s">
        <x:v>21</x:v>
      </x:c>
      <x:c r="N7396" s="0" t="s">
        <x:v>46</x:v>
      </x:c>
    </x:row>
    <x:row r="7397" spans="1:16">
      <x:c r="A7397" s="0" t="s">
        <x:v>29450</x:v>
      </x:c>
      <x:c r="B7397" s="0" t="s">
        <x:v>29451</x:v>
      </x:c>
      <x:c r="C7397" s="0" t="s">
        <x:v>29452</x:v>
      </x:c>
      <x:c r="E7397" s="0" t="s">
        <x:v>29453</x:v>
      </x:c>
      <x:c r="F7397" s="0" t="s">
        <x:v>45</x:v>
      </x:c>
      <x:c r="G7397" s="0" t="s">
        <x:v>19</x:v>
      </x:c>
      <x:c r="H7397" s="0" t="s">
        <x:v>20</x:v>
      </x:c>
      <x:c r="I7397" s="0" t="s">
        <x:v>21</x:v>
      </x:c>
      <x:c r="K7397" s="0">
        <x:f>hyperlink("https://icd.who.int/dev11/l-ichi/en#/http%3A%2F%2Fid.who.int%2Ficd%2Fentity%2F1951521153","browser")</x:f>
      </x:c>
      <x:c r="L7397" s="0">
        <x:f>hyperlink("https://icat2.azurewebsites.net/icat/?ontology=ICD&amp;tab=ClassesTab&amp;id=http%3A%2F%2Fwho.int%2Ficd%232284_4869915e_217e_423d_acb3_33c0f920ef4b","iCat")</x:f>
      </x:c>
      <x:c r="M7397" s="0" t="s">
        <x:v>21</x:v>
      </x:c>
      <x:c r="N7397" s="0" t="s">
        <x:v>46</x:v>
      </x:c>
    </x:row>
    <x:row r="7398" spans="1:16">
      <x:c r="A7398" s="0" t="s">
        <x:v>29454</x:v>
      </x:c>
      <x:c r="B7398" s="0" t="s">
        <x:v>29455</x:v>
      </x:c>
      <x:c r="C7398" s="0" t="s">
        <x:v>29456</x:v>
      </x:c>
      <x:c r="E7398" s="0" t="s">
        <x:v>29457</x:v>
      </x:c>
      <x:c r="F7398" s="0" t="s">
        <x:v>45</x:v>
      </x:c>
      <x:c r="G7398" s="0" t="s">
        <x:v>19</x:v>
      </x:c>
      <x:c r="H7398" s="0" t="s">
        <x:v>20</x:v>
      </x:c>
      <x:c r="I7398" s="0" t="s">
        <x:v>21</x:v>
      </x:c>
      <x:c r="K7398" s="0">
        <x:f>hyperlink("https://icd.who.int/dev11/l-ichi/en#/http%3A%2F%2Fid.who.int%2Ficd%2Fentity%2F1640261063","browser")</x:f>
      </x:c>
      <x:c r="L7398" s="0">
        <x:f>hyperlink("https://icat2.azurewebsites.net/icat/?ontology=ICD&amp;tab=ClassesTab&amp;id=http%3A%2F%2Fwho.int%2Ficd%232311_4869915e_217e_423d_acb3_33c0f920ef4b","iCat")</x:f>
      </x:c>
      <x:c r="M7398" s="0" t="s">
        <x:v>21</x:v>
      </x:c>
      <x:c r="N7398" s="0" t="s">
        <x:v>46</x:v>
      </x:c>
    </x:row>
    <x:row r="7399" spans="1:16">
      <x:c r="A7399" s="0" t="s">
        <x:v>29458</x:v>
      </x:c>
      <x:c r="B7399" s="0" t="s">
        <x:v>29459</x:v>
      </x:c>
      <x:c r="C7399" s="0" t="s">
        <x:v>29460</x:v>
      </x:c>
      <x:c r="E7399" s="0" t="s">
        <x:v>29461</x:v>
      </x:c>
      <x:c r="F7399" s="0" t="s">
        <x:v>45</x:v>
      </x:c>
      <x:c r="G7399" s="0" t="s">
        <x:v>19</x:v>
      </x:c>
      <x:c r="H7399" s="0" t="s">
        <x:v>20</x:v>
      </x:c>
      <x:c r="I7399" s="0" t="s">
        <x:v>21</x:v>
      </x:c>
      <x:c r="K7399" s="0">
        <x:f>hyperlink("https://icd.who.int/dev11/l-ichi/en#/http%3A%2F%2Fid.who.int%2Ficd%2Fentity%2F633910272","browser")</x:f>
      </x:c>
      <x:c r="L7399" s="0">
        <x:f>hyperlink("https://icat2.azurewebsites.net/icat/?ontology=ICD&amp;tab=ClassesTab&amp;id=http%3A%2F%2Fwho.int%2Ficd%232338_4869915e_217e_423d_acb3_33c0f920ef4b","iCat")</x:f>
      </x:c>
      <x:c r="M7399" s="0" t="s">
        <x:v>21</x:v>
      </x:c>
      <x:c r="N7399" s="0" t="s">
        <x:v>46</x:v>
      </x:c>
    </x:row>
    <x:row r="7400" spans="1:16">
      <x:c r="A7400" s="0" t="s">
        <x:v>29462</x:v>
      </x:c>
      <x:c r="B7400" s="0" t="s">
        <x:v>29463</x:v>
      </x:c>
      <x:c r="C7400" s="0" t="s">
        <x:v>29464</x:v>
      </x:c>
      <x:c r="E7400" s="0" t="s">
        <x:v>29465</x:v>
      </x:c>
      <x:c r="F7400" s="0" t="s">
        <x:v>45</x:v>
      </x:c>
      <x:c r="G7400" s="0" t="s">
        <x:v>19</x:v>
      </x:c>
      <x:c r="H7400" s="0" t="s">
        <x:v>20</x:v>
      </x:c>
      <x:c r="I7400" s="0" t="s">
        <x:v>21</x:v>
      </x:c>
      <x:c r="K7400" s="0">
        <x:f>hyperlink("https://icd.who.int/dev11/l-ichi/en#/http%3A%2F%2Fid.who.int%2Ficd%2Fentity%2F1679143593","browser")</x:f>
      </x:c>
      <x:c r="L7400" s="0">
        <x:f>hyperlink("https://icat2.azurewebsites.net/icat/?ontology=ICD&amp;tab=ClassesTab&amp;id=http%3A%2F%2Fwho.int%2Ficd%232365_4869915e_217e_423d_acb3_33c0f920ef4b","iCat")</x:f>
      </x:c>
      <x:c r="M7400" s="0" t="s">
        <x:v>21</x:v>
      </x:c>
      <x:c r="N7400" s="0" t="s">
        <x:v>46</x:v>
      </x:c>
    </x:row>
    <x:row r="7401" spans="1:16">
      <x:c r="A7401" s="0" t="s">
        <x:v>29466</x:v>
      </x:c>
      <x:c r="B7401" s="0" t="s">
        <x:v>29467</x:v>
      </x:c>
      <x:c r="C7401" s="0" t="s">
        <x:v>29468</x:v>
      </x:c>
      <x:c r="E7401" s="0" t="s">
        <x:v>29469</x:v>
      </x:c>
      <x:c r="F7401" s="0" t="s">
        <x:v>45</x:v>
      </x:c>
      <x:c r="G7401" s="0" t="s">
        <x:v>19</x:v>
      </x:c>
      <x:c r="H7401" s="0" t="s">
        <x:v>20</x:v>
      </x:c>
      <x:c r="I7401" s="0" t="s">
        <x:v>21</x:v>
      </x:c>
      <x:c r="K7401" s="0">
        <x:f>hyperlink("https://icd.who.int/dev11/l-ichi/en#/http%3A%2F%2Fid.who.int%2Ficd%2Fentity%2F997217276","browser")</x:f>
      </x:c>
      <x:c r="L7401" s="0">
        <x:f>hyperlink("https://icat2.azurewebsites.net/icat/?ontology=ICD&amp;tab=ClassesTab&amp;id=http%3A%2F%2Fwho.int%2Ficd%232392_4869915e_217e_423d_acb3_33c0f920ef4b","iCat")</x:f>
      </x:c>
      <x:c r="M7401" s="0" t="s">
        <x:v>21</x:v>
      </x:c>
      <x:c r="N7401" s="0" t="s">
        <x:v>46</x:v>
      </x:c>
    </x:row>
    <x:row r="7402" spans="1:16">
      <x:c r="A7402" s="0" t="s">
        <x:v>29470</x:v>
      </x:c>
      <x:c r="B7402" s="0" t="s">
        <x:v>29471</x:v>
      </x:c>
      <x:c r="C7402" s="0" t="s">
        <x:v>29472</x:v>
      </x:c>
      <x:c r="E7402" s="0" t="s">
        <x:v>29473</x:v>
      </x:c>
      <x:c r="F7402" s="0" t="s">
        <x:v>45</x:v>
      </x:c>
      <x:c r="G7402" s="0" t="s">
        <x:v>19</x:v>
      </x:c>
      <x:c r="H7402" s="0" t="s">
        <x:v>20</x:v>
      </x:c>
      <x:c r="I7402" s="0" t="s">
        <x:v>21</x:v>
      </x:c>
      <x:c r="K7402" s="0">
        <x:f>hyperlink("https://icd.who.int/dev11/l-ichi/en#/http%3A%2F%2Fid.who.int%2Ficd%2Fentity%2F277692268","browser")</x:f>
      </x:c>
      <x:c r="L7402" s="0">
        <x:f>hyperlink("https://icat2.azurewebsites.net/icat/?ontology=ICD&amp;tab=ClassesTab&amp;id=http%3A%2F%2Fwho.int%2Ficd%232398_4869915e_217e_423d_acb3_33c0f920ef4b","iCat")</x:f>
      </x:c>
      <x:c r="M7402" s="0" t="s">
        <x:v>21</x:v>
      </x:c>
      <x:c r="N7402" s="0" t="s">
        <x:v>46</x:v>
      </x:c>
    </x:row>
    <x:row r="7403" spans="1:16">
      <x:c r="A7403" s="0" t="s">
        <x:v>29474</x:v>
      </x:c>
      <x:c r="B7403" s="0" t="s">
        <x:v>29475</x:v>
      </x:c>
      <x:c r="C7403" s="0" t="s">
        <x:v>29476</x:v>
      </x:c>
      <x:c r="E7403" s="0" t="s">
        <x:v>29477</x:v>
      </x:c>
      <x:c r="F7403" s="0" t="s">
        <x:v>45</x:v>
      </x:c>
      <x:c r="G7403" s="0" t="s">
        <x:v>19</x:v>
      </x:c>
      <x:c r="H7403" s="0" t="s">
        <x:v>20</x:v>
      </x:c>
      <x:c r="I7403" s="0" t="s">
        <x:v>21</x:v>
      </x:c>
      <x:c r="K7403" s="0">
        <x:f>hyperlink("https://icd.who.int/dev11/l-ichi/en#/http%3A%2F%2Fid.who.int%2Ficd%2Fentity%2F1924066996","browser")</x:f>
      </x:c>
      <x:c r="L7403" s="0">
        <x:f>hyperlink("https://icat2.azurewebsites.net/icat/?ontology=ICD&amp;tab=ClassesTab&amp;id=http%3A%2F%2Fwho.int%2Ficd%232404_4869915e_217e_423d_acb3_33c0f920ef4b","iCat")</x:f>
      </x:c>
      <x:c r="M7403" s="0" t="s">
        <x:v>21</x:v>
      </x:c>
      <x:c r="N7403" s="0" t="s">
        <x:v>46</x:v>
      </x:c>
    </x:row>
    <x:row r="7404" spans="1:16">
      <x:c r="A7404" s="0" t="s">
        <x:v>29478</x:v>
      </x:c>
      <x:c r="B7404" s="0" t="s">
        <x:v>29479</x:v>
      </x:c>
      <x:c r="D7404" s="0" t="s">
        <x:v>29480</x:v>
      </x:c>
      <x:c r="E7404" s="0" t="s">
        <x:v>29481</x:v>
      </x:c>
      <x:c r="F7404" s="0" t="s">
        <x:v>26</x:v>
      </x:c>
      <x:c r="G7404" s="0" t="s">
        <x:v>22</x:v>
      </x:c>
      <x:c r="H7404" s="0" t="s">
        <x:v>20</x:v>
      </x:c>
      <x:c r="I7404" s="0" t="s">
        <x:v>21</x:v>
      </x:c>
      <x:c r="K7404" s="0">
        <x:f>hyperlink("https://icd.who.int/dev11/l-ichi/en#/http%3A%2F%2Fid.who.int%2Ficd%2Fentity%2F365886733","browser")</x:f>
      </x:c>
      <x:c r="L7404" s="0">
        <x:f>hyperlink("https://icat2.azurewebsites.net/icat/?ontology=ICD&amp;tab=ClassesTab&amp;id=http%3A%2F%2Fwho.int%2Ficd%2344644_512ebf36_bf6b_4d70_85da_cf2637062af4","iCat")</x:f>
      </x:c>
      <x:c r="M7404" s="0" t="s">
        <x:v>20</x:v>
      </x:c>
      <x:c r="N7404" s="0" t="s">
        <x:v>7996</x:v>
      </x:c>
    </x:row>
    <x:row r="7405" spans="1:16">
      <x:c r="A7405" s="0" t="s">
        <x:v>29482</x:v>
      </x:c>
      <x:c r="B7405" s="0" t="s">
        <x:v>29483</x:v>
      </x:c>
      <x:c r="C7405" s="0" t="s">
        <x:v>29484</x:v>
      </x:c>
      <x:c r="E7405" s="0" t="s">
        <x:v>29485</x:v>
      </x:c>
      <x:c r="F7405" s="0" t="s">
        <x:v>45</x:v>
      </x:c>
      <x:c r="G7405" s="0" t="s">
        <x:v>19</x:v>
      </x:c>
      <x:c r="H7405" s="0" t="s">
        <x:v>20</x:v>
      </x:c>
      <x:c r="I7405" s="0" t="s">
        <x:v>21</x:v>
      </x:c>
      <x:c r="K7405" s="0">
        <x:f>hyperlink("https://icd.who.int/dev11/l-ichi/en#/http%3A%2F%2Fid.who.int%2Ficd%2Fentity%2F1699501698","browser")</x:f>
      </x:c>
      <x:c r="L7405" s="0">
        <x:f>hyperlink("https://icat2.azurewebsites.net/icat/?ontology=ICD&amp;tab=ClassesTab&amp;id=http%3A%2F%2Fwho.int%2Ficd%2344643_512ebf36_bf6b_4d70_85da_cf2637062af4","iCat")</x:f>
      </x:c>
      <x:c r="M7405" s="0" t="s">
        <x:v>21</x:v>
      </x:c>
      <x:c r="N7405" s="0" t="s">
        <x:v>46</x:v>
      </x:c>
    </x:row>
    <x:row r="7406" spans="1:16">
      <x:c r="A7406" s="0" t="s">
        <x:v>29486</x:v>
      </x:c>
      <x:c r="B7406" s="0" t="s">
        <x:v>29487</x:v>
      </x:c>
      <x:c r="C7406" s="0" t="s">
        <x:v>29488</x:v>
      </x:c>
      <x:c r="E7406" s="0" t="s">
        <x:v>29489</x:v>
      </x:c>
      <x:c r="F7406" s="0" t="s">
        <x:v>45</x:v>
      </x:c>
      <x:c r="G7406" s="0" t="s">
        <x:v>19</x:v>
      </x:c>
      <x:c r="H7406" s="0" t="s">
        <x:v>20</x:v>
      </x:c>
      <x:c r="I7406" s="0" t="s">
        <x:v>21</x:v>
      </x:c>
      <x:c r="K7406" s="0">
        <x:f>hyperlink("https://icd.who.int/dev11/l-ichi/en#/http%3A%2F%2Fid.who.int%2Ficd%2Fentity%2F444036511","browser")</x:f>
      </x:c>
      <x:c r="L7406" s="0">
        <x:f>hyperlink("https://icat2.azurewebsites.net/icat/?ontology=ICD&amp;tab=ClassesTab&amp;id=http%3A%2F%2Fwho.int%2Ficd%2344656_512ebf36_bf6b_4d70_85da_cf2637062af4","iCat")</x:f>
      </x:c>
      <x:c r="M7406" s="0" t="s">
        <x:v>21</x:v>
      </x:c>
      <x:c r="N7406" s="0" t="s">
        <x:v>46</x:v>
      </x:c>
    </x:row>
    <x:row r="7407" spans="1:16">
      <x:c r="A7407" s="0" t="s">
        <x:v>29490</x:v>
      </x:c>
      <x:c r="B7407" s="0" t="s">
        <x:v>29491</x:v>
      </x:c>
      <x:c r="C7407" s="0" t="s">
        <x:v>29492</x:v>
      </x:c>
      <x:c r="E7407" s="0" t="s">
        <x:v>29493</x:v>
      </x:c>
      <x:c r="F7407" s="0" t="s">
        <x:v>45</x:v>
      </x:c>
      <x:c r="G7407" s="0" t="s">
        <x:v>19</x:v>
      </x:c>
      <x:c r="H7407" s="0" t="s">
        <x:v>20</x:v>
      </x:c>
      <x:c r="I7407" s="0" t="s">
        <x:v>21</x:v>
      </x:c>
      <x:c r="K7407" s="0">
        <x:f>hyperlink("https://icd.who.int/dev11/l-ichi/en#/http%3A%2F%2Fid.who.int%2Ficd%2Fentity%2F1329103824","browser")</x:f>
      </x:c>
      <x:c r="L7407" s="0">
        <x:f>hyperlink("https://icat2.azurewebsites.net/icat/?ontology=ICD&amp;tab=ClassesTab&amp;id=http%3A%2F%2Fwho.int%2Ficd%2344663_512ebf36_bf6b_4d70_85da_cf2637062af4","iCat")</x:f>
      </x:c>
      <x:c r="M7407" s="0" t="s">
        <x:v>21</x:v>
      </x:c>
      <x:c r="N7407" s="0" t="s">
        <x:v>46</x:v>
      </x:c>
    </x:row>
    <x:row r="7408" spans="1:16">
      <x:c r="A7408" s="0" t="s">
        <x:v>29494</x:v>
      </x:c>
      <x:c r="B7408" s="0" t="s">
        <x:v>29495</x:v>
      </x:c>
      <x:c r="C7408" s="0" t="s">
        <x:v>29496</x:v>
      </x:c>
      <x:c r="E7408" s="0" t="s">
        <x:v>29497</x:v>
      </x:c>
      <x:c r="F7408" s="0" t="s">
        <x:v>45</x:v>
      </x:c>
      <x:c r="G7408" s="0" t="s">
        <x:v>19</x:v>
      </x:c>
      <x:c r="H7408" s="0" t="s">
        <x:v>20</x:v>
      </x:c>
      <x:c r="I7408" s="0" t="s">
        <x:v>21</x:v>
      </x:c>
      <x:c r="K7408" s="0">
        <x:f>hyperlink("https://icd.who.int/dev11/l-ichi/en#/http%3A%2F%2Fid.who.int%2Ficd%2Fentity%2F1618508160","browser")</x:f>
      </x:c>
      <x:c r="L7408" s="0">
        <x:f>hyperlink("https://icat2.azurewebsites.net/icat/?ontology=ICD&amp;tab=ClassesTab&amp;id=http%3A%2F%2Fwho.int%2Ficd%2344670_512ebf36_bf6b_4d70_85da_cf2637062af4","iCat")</x:f>
      </x:c>
      <x:c r="M7408" s="0" t="s">
        <x:v>21</x:v>
      </x:c>
      <x:c r="N7408" s="0" t="s">
        <x:v>46</x:v>
      </x:c>
    </x:row>
    <x:row r="7409" spans="1:16">
      <x:c r="A7409" s="0" t="s">
        <x:v>29498</x:v>
      </x:c>
      <x:c r="B7409" s="0" t="s">
        <x:v>29499</x:v>
      </x:c>
      <x:c r="C7409" s="0" t="s">
        <x:v>29500</x:v>
      </x:c>
      <x:c r="E7409" s="0" t="s">
        <x:v>29501</x:v>
      </x:c>
      <x:c r="F7409" s="0" t="s">
        <x:v>45</x:v>
      </x:c>
      <x:c r="G7409" s="0" t="s">
        <x:v>19</x:v>
      </x:c>
      <x:c r="H7409" s="0" t="s">
        <x:v>20</x:v>
      </x:c>
      <x:c r="I7409" s="0" t="s">
        <x:v>21</x:v>
      </x:c>
      <x:c r="K7409" s="0">
        <x:f>hyperlink("https://icd.who.int/dev11/l-ichi/en#/http%3A%2F%2Fid.who.int%2Ficd%2Fentity%2F284873459","browser")</x:f>
      </x:c>
      <x:c r="L7409" s="0">
        <x:f>hyperlink("https://icat2.azurewebsites.net/icat/?ontology=ICD&amp;tab=ClassesTab&amp;id=http%3A%2F%2Fwho.int%2Ficd%2344677_512ebf36_bf6b_4d70_85da_cf2637062af4","iCat")</x:f>
      </x:c>
      <x:c r="M7409" s="0" t="s">
        <x:v>21</x:v>
      </x:c>
      <x:c r="N7409" s="0" t="s">
        <x:v>46</x:v>
      </x:c>
    </x:row>
    <x:row r="7410" spans="1:16">
      <x:c r="A7410" s="0" t="s">
        <x:v>29502</x:v>
      </x:c>
      <x:c r="B7410" s="0" t="s">
        <x:v>29503</x:v>
      </x:c>
      <x:c r="C7410" s="0" t="s">
        <x:v>29504</x:v>
      </x:c>
      <x:c r="E7410" s="0" t="s">
        <x:v>29505</x:v>
      </x:c>
      <x:c r="F7410" s="0" t="s">
        <x:v>45</x:v>
      </x:c>
      <x:c r="G7410" s="0" t="s">
        <x:v>19</x:v>
      </x:c>
      <x:c r="H7410" s="0" t="s">
        <x:v>20</x:v>
      </x:c>
      <x:c r="I7410" s="0" t="s">
        <x:v>21</x:v>
      </x:c>
      <x:c r="K7410" s="0">
        <x:f>hyperlink("https://icd.who.int/dev11/l-ichi/en#/http%3A%2F%2Fid.who.int%2Ficd%2Fentity%2F1516340714","browser")</x:f>
      </x:c>
      <x:c r="L7410" s="0">
        <x:f>hyperlink("https://icat2.azurewebsites.net/icat/?ontology=ICD&amp;tab=ClassesTab&amp;id=http%3A%2F%2Fwho.int%2Ficd%2344685_512ebf36_bf6b_4d70_85da_cf2637062af4","iCat")</x:f>
      </x:c>
      <x:c r="M7410" s="0" t="s">
        <x:v>21</x:v>
      </x:c>
      <x:c r="N7410" s="0" t="s">
        <x:v>46</x:v>
      </x:c>
    </x:row>
    <x:row r="7411" spans="1:16">
      <x:c r="A7411" s="0" t="s">
        <x:v>29506</x:v>
      </x:c>
      <x:c r="B7411" s="0" t="s">
        <x:v>29507</x:v>
      </x:c>
      <x:c r="C7411" s="0" t="s">
        <x:v>29508</x:v>
      </x:c>
      <x:c r="E7411" s="0" t="s">
        <x:v>29509</x:v>
      </x:c>
      <x:c r="F7411" s="0" t="s">
        <x:v>45</x:v>
      </x:c>
      <x:c r="G7411" s="0" t="s">
        <x:v>19</x:v>
      </x:c>
      <x:c r="H7411" s="0" t="s">
        <x:v>20</x:v>
      </x:c>
      <x:c r="I7411" s="0" t="s">
        <x:v>21</x:v>
      </x:c>
      <x:c r="K7411" s="0">
        <x:f>hyperlink("https://icd.who.int/dev11/l-ichi/en#/http%3A%2F%2Fid.who.int%2Ficd%2Fentity%2F1260561822","browser")</x:f>
      </x:c>
      <x:c r="L7411" s="0">
        <x:f>hyperlink("https://icat2.azurewebsites.net/icat/?ontology=ICD&amp;tab=ClassesTab&amp;id=http%3A%2F%2Fwho.int%2Ficd%2344699_512ebf36_bf6b_4d70_85da_cf2637062af4","iCat")</x:f>
      </x:c>
      <x:c r="M7411" s="0" t="s">
        <x:v>21</x:v>
      </x:c>
      <x:c r="N7411" s="0" t="s">
        <x:v>46</x:v>
      </x:c>
    </x:row>
    <x:row r="7412" spans="1:16">
      <x:c r="A7412" s="0" t="s">
        <x:v>29510</x:v>
      </x:c>
      <x:c r="B7412" s="0" t="s">
        <x:v>29511</x:v>
      </x:c>
      <x:c r="C7412" s="0" t="s">
        <x:v>29512</x:v>
      </x:c>
      <x:c r="E7412" s="0" t="s">
        <x:v>29513</x:v>
      </x:c>
      <x:c r="F7412" s="0" t="s">
        <x:v>45</x:v>
      </x:c>
      <x:c r="G7412" s="0" t="s">
        <x:v>19</x:v>
      </x:c>
      <x:c r="H7412" s="0" t="s">
        <x:v>20</x:v>
      </x:c>
      <x:c r="I7412" s="0" t="s">
        <x:v>21</x:v>
      </x:c>
      <x:c r="K7412" s="0">
        <x:f>hyperlink("https://icd.who.int/dev11/l-ichi/en#/http%3A%2F%2Fid.who.int%2Ficd%2Fentity%2F1967813962","browser")</x:f>
      </x:c>
      <x:c r="L7412" s="0">
        <x:f>hyperlink("https://icat2.azurewebsites.net/icat/?ontology=ICD&amp;tab=ClassesTab&amp;id=http%3A%2F%2Fwho.int%2Ficd%2344706_512ebf36_bf6b_4d70_85da_cf2637062af4","iCat")</x:f>
      </x:c>
      <x:c r="M7412" s="0" t="s">
        <x:v>21</x:v>
      </x:c>
      <x:c r="N7412" s="0" t="s">
        <x:v>46</x:v>
      </x:c>
    </x:row>
    <x:row r="7413" spans="1:16">
      <x:c r="A7413" s="0" t="s">
        <x:v>29514</x:v>
      </x:c>
      <x:c r="B7413" s="0" t="s">
        <x:v>29515</x:v>
      </x:c>
      <x:c r="C7413" s="0" t="s">
        <x:v>29516</x:v>
      </x:c>
      <x:c r="E7413" s="0" t="s">
        <x:v>29517</x:v>
      </x:c>
      <x:c r="F7413" s="0" t="s">
        <x:v>45</x:v>
      </x:c>
      <x:c r="G7413" s="0" t="s">
        <x:v>19</x:v>
      </x:c>
      <x:c r="H7413" s="0" t="s">
        <x:v>20</x:v>
      </x:c>
      <x:c r="I7413" s="0" t="s">
        <x:v>21</x:v>
      </x:c>
      <x:c r="K7413" s="0">
        <x:f>hyperlink("https://icd.who.int/dev11/l-ichi/en#/http%3A%2F%2Fid.who.int%2Ficd%2Fentity%2F175199831","browser")</x:f>
      </x:c>
      <x:c r="L7413" s="0">
        <x:f>hyperlink("https://icat2.azurewebsites.net/icat/?ontology=ICD&amp;tab=ClassesTab&amp;id=http%3A%2F%2Fwho.int%2Ficd%2344713_512ebf36_bf6b_4d70_85da_cf2637062af4","iCat")</x:f>
      </x:c>
      <x:c r="M7413" s="0" t="s">
        <x:v>21</x:v>
      </x:c>
      <x:c r="N7413" s="0" t="s">
        <x:v>46</x:v>
      </x:c>
    </x:row>
    <x:row r="7414" spans="1:16">
      <x:c r="A7414" s="0" t="s">
        <x:v>29518</x:v>
      </x:c>
      <x:c r="B7414" s="0" t="s">
        <x:v>29519</x:v>
      </x:c>
      <x:c r="C7414" s="0" t="s">
        <x:v>29520</x:v>
      </x:c>
      <x:c r="E7414" s="0" t="s">
        <x:v>29521</x:v>
      </x:c>
      <x:c r="F7414" s="0" t="s">
        <x:v>45</x:v>
      </x:c>
      <x:c r="G7414" s="0" t="s">
        <x:v>19</x:v>
      </x:c>
      <x:c r="H7414" s="0" t="s">
        <x:v>20</x:v>
      </x:c>
      <x:c r="I7414" s="0" t="s">
        <x:v>21</x:v>
      </x:c>
      <x:c r="K7414" s="0">
        <x:f>hyperlink("https://icd.who.int/dev11/l-ichi/en#/http%3A%2F%2Fid.who.int%2Ficd%2Fentity%2F256211369","browser")</x:f>
      </x:c>
      <x:c r="L7414" s="0">
        <x:f>hyperlink("https://icat2.azurewebsites.net/icat/?ontology=ICD&amp;tab=ClassesTab&amp;id=http%3A%2F%2Fwho.int%2Ficd%2344720_512ebf36_bf6b_4d70_85da_cf2637062af4","iCat")</x:f>
      </x:c>
      <x:c r="M7414" s="0" t="s">
        <x:v>21</x:v>
      </x:c>
      <x:c r="N7414" s="0" t="s">
        <x:v>46</x:v>
      </x:c>
    </x:row>
    <x:row r="7415" spans="1:16">
      <x:c r="A7415" s="0" t="s">
        <x:v>29522</x:v>
      </x:c>
      <x:c r="B7415" s="0" t="s">
        <x:v>29523</x:v>
      </x:c>
      <x:c r="C7415" s="0" t="s">
        <x:v>29524</x:v>
      </x:c>
      <x:c r="E7415" s="0" t="s">
        <x:v>29525</x:v>
      </x:c>
      <x:c r="F7415" s="0" t="s">
        <x:v>45</x:v>
      </x:c>
      <x:c r="G7415" s="0" t="s">
        <x:v>19</x:v>
      </x:c>
      <x:c r="H7415" s="0" t="s">
        <x:v>20</x:v>
      </x:c>
      <x:c r="I7415" s="0" t="s">
        <x:v>21</x:v>
      </x:c>
      <x:c r="K7415" s="0">
        <x:f>hyperlink("https://icd.who.int/dev11/l-ichi/en#/http%3A%2F%2Fid.who.int%2Ficd%2Fentity%2F2143801894","browser")</x:f>
      </x:c>
      <x:c r="L7415" s="0">
        <x:f>hyperlink("https://icat2.azurewebsites.net/icat/?ontology=ICD&amp;tab=ClassesTab&amp;id=http%3A%2F%2Fwho.int%2Ficd%2344727_512ebf36_bf6b_4d70_85da_cf2637062af4","iCat")</x:f>
      </x:c>
      <x:c r="M7415" s="0" t="s">
        <x:v>21</x:v>
      </x:c>
      <x:c r="N7415" s="0" t="s">
        <x:v>46</x:v>
      </x:c>
    </x:row>
    <x:row r="7416" spans="1:16">
      <x:c r="A7416" s="0" t="s">
        <x:v>29526</x:v>
      </x:c>
      <x:c r="B7416" s="0" t="s">
        <x:v>29527</x:v>
      </x:c>
      <x:c r="C7416" s="0" t="s">
        <x:v>29528</x:v>
      </x:c>
      <x:c r="E7416" s="0" t="s">
        <x:v>29529</x:v>
      </x:c>
      <x:c r="F7416" s="0" t="s">
        <x:v>45</x:v>
      </x:c>
      <x:c r="G7416" s="0" t="s">
        <x:v>19</x:v>
      </x:c>
      <x:c r="H7416" s="0" t="s">
        <x:v>20</x:v>
      </x:c>
      <x:c r="I7416" s="0" t="s">
        <x:v>21</x:v>
      </x:c>
      <x:c r="K7416" s="0">
        <x:f>hyperlink("https://icd.who.int/dev11/l-ichi/en#/http%3A%2F%2Fid.who.int%2Ficd%2Fentity%2F98485849","browser")</x:f>
      </x:c>
      <x:c r="L7416" s="0">
        <x:f>hyperlink("https://icat2.azurewebsites.net/icat/?ontology=ICD&amp;tab=ClassesTab&amp;id=http%3A%2F%2Fwho.int%2Ficd%23121_dd4d4347_e398_43b9_84dd_c9611ca6abfa","iCat")</x:f>
      </x:c>
      <x:c r="M7416" s="0" t="s">
        <x:v>21</x:v>
      </x:c>
      <x:c r="N7416" s="0" t="s">
        <x:v>46</x:v>
      </x:c>
    </x:row>
    <x:row r="7417" spans="1:16">
      <x:c r="A7417" s="0" t="s">
        <x:v>29530</x:v>
      </x:c>
      <x:c r="B7417" s="0" t="s">
        <x:v>29531</x:v>
      </x:c>
      <x:c r="C7417" s="0" t="s">
        <x:v>29532</x:v>
      </x:c>
      <x:c r="E7417" s="0" t="s">
        <x:v>29533</x:v>
      </x:c>
      <x:c r="F7417" s="0" t="s">
        <x:v>45</x:v>
      </x:c>
      <x:c r="G7417" s="0" t="s">
        <x:v>19</x:v>
      </x:c>
      <x:c r="H7417" s="0" t="s">
        <x:v>20</x:v>
      </x:c>
      <x:c r="I7417" s="0" t="s">
        <x:v>21</x:v>
      </x:c>
      <x:c r="K7417" s="0">
        <x:f>hyperlink("https://icd.who.int/dev11/l-ichi/en#/http%3A%2F%2Fid.who.int%2Ficd%2Fentity%2F1351035018","browser")</x:f>
      </x:c>
      <x:c r="L7417" s="0">
        <x:f>hyperlink("https://icat2.azurewebsites.net/icat/?ontology=ICD&amp;tab=ClassesTab&amp;id=http%3A%2F%2Fwho.int%2Ficd%2344734_512ebf36_bf6b_4d70_85da_cf2637062af4","iCat")</x:f>
      </x:c>
      <x:c r="M7417" s="0" t="s">
        <x:v>21</x:v>
      </x:c>
      <x:c r="N7417" s="0" t="s">
        <x:v>46</x:v>
      </x:c>
    </x:row>
    <x:row r="7418" spans="1:16">
      <x:c r="A7418" s="0" t="s">
        <x:v>29534</x:v>
      </x:c>
      <x:c r="B7418" s="0" t="s">
        <x:v>29535</x:v>
      </x:c>
      <x:c r="C7418" s="0" t="s">
        <x:v>29536</x:v>
      </x:c>
      <x:c r="E7418" s="0" t="s">
        <x:v>29537</x:v>
      </x:c>
      <x:c r="F7418" s="0" t="s">
        <x:v>45</x:v>
      </x:c>
      <x:c r="G7418" s="0" t="s">
        <x:v>19</x:v>
      </x:c>
      <x:c r="H7418" s="0" t="s">
        <x:v>20</x:v>
      </x:c>
      <x:c r="I7418" s="0" t="s">
        <x:v>21</x:v>
      </x:c>
      <x:c r="K7418" s="0">
        <x:f>hyperlink("https://icd.who.int/dev11/l-ichi/en#/http%3A%2F%2Fid.who.int%2Ficd%2Fentity%2F1974439386","browser")</x:f>
      </x:c>
      <x:c r="L7418" s="0">
        <x:f>hyperlink("https://icat2.azurewebsites.net/icat/?ontology=ICD&amp;tab=ClassesTab&amp;id=http%3A%2F%2Fwho.int%2Ficd%2344741_512ebf36_bf6b_4d70_85da_cf2637062af4","iCat")</x:f>
      </x:c>
      <x:c r="M7418" s="0" t="s">
        <x:v>21</x:v>
      </x:c>
      <x:c r="N7418" s="0" t="s">
        <x:v>46</x:v>
      </x:c>
    </x:row>
    <x:row r="7419" spans="1:16">
      <x:c r="A7419" s="0" t="s">
        <x:v>29538</x:v>
      </x:c>
      <x:c r="B7419" s="0" t="s">
        <x:v>29539</x:v>
      </x:c>
      <x:c r="C7419" s="0" t="s">
        <x:v>29540</x:v>
      </x:c>
      <x:c r="E7419" s="0" t="s">
        <x:v>29541</x:v>
      </x:c>
      <x:c r="F7419" s="0" t="s">
        <x:v>45</x:v>
      </x:c>
      <x:c r="G7419" s="0" t="s">
        <x:v>19</x:v>
      </x:c>
      <x:c r="H7419" s="0" t="s">
        <x:v>20</x:v>
      </x:c>
      <x:c r="I7419" s="0" t="s">
        <x:v>21</x:v>
      </x:c>
      <x:c r="K7419" s="0">
        <x:f>hyperlink("https://icd.who.int/dev11/l-ichi/en#/http%3A%2F%2Fid.who.int%2Ficd%2Fentity%2F527046799","browser")</x:f>
      </x:c>
      <x:c r="L7419" s="0">
        <x:f>hyperlink("https://icat2.azurewebsites.net/icat/?ontology=ICD&amp;tab=ClassesTab&amp;id=http%3A%2F%2Fwho.int%2Ficd%2344751_512ebf36_bf6b_4d70_85da_cf2637062af4","iCat")</x:f>
      </x:c>
      <x:c r="M7419" s="0" t="s">
        <x:v>21</x:v>
      </x:c>
      <x:c r="N7419" s="0" t="s">
        <x:v>46</x:v>
      </x:c>
    </x:row>
    <x:row r="7420" spans="1:16">
      <x:c r="A7420" s="0" t="s">
        <x:v>29542</x:v>
      </x:c>
      <x:c r="B7420" s="0" t="s">
        <x:v>29543</x:v>
      </x:c>
      <x:c r="C7420" s="0" t="s">
        <x:v>29544</x:v>
      </x:c>
      <x:c r="E7420" s="0" t="s">
        <x:v>29545</x:v>
      </x:c>
      <x:c r="F7420" s="0" t="s">
        <x:v>45</x:v>
      </x:c>
      <x:c r="G7420" s="0" t="s">
        <x:v>19</x:v>
      </x:c>
      <x:c r="H7420" s="0" t="s">
        <x:v>20</x:v>
      </x:c>
      <x:c r="I7420" s="0" t="s">
        <x:v>21</x:v>
      </x:c>
      <x:c r="K7420" s="0">
        <x:f>hyperlink("https://icd.who.int/dev11/l-ichi/en#/http%3A%2F%2Fid.who.int%2Ficd%2Fentity%2F1897012198","browser")</x:f>
      </x:c>
      <x:c r="L7420" s="0">
        <x:f>hyperlink("https://icat2.azurewebsites.net/icat/?ontology=ICD&amp;tab=ClassesTab&amp;id=http%3A%2F%2Fwho.int%2Ficd%2344758_512ebf36_bf6b_4d70_85da_cf2637062af4","iCat")</x:f>
      </x:c>
      <x:c r="M7420" s="0" t="s">
        <x:v>21</x:v>
      </x:c>
      <x:c r="N7420" s="0" t="s">
        <x:v>46</x:v>
      </x:c>
    </x:row>
    <x:row r="7421" spans="1:16">
      <x:c r="A7421" s="0" t="s">
        <x:v>29546</x:v>
      </x:c>
      <x:c r="B7421" s="0" t="s">
        <x:v>29547</x:v>
      </x:c>
      <x:c r="C7421" s="0" t="s">
        <x:v>29548</x:v>
      </x:c>
      <x:c r="E7421" s="0" t="s">
        <x:v>29549</x:v>
      </x:c>
      <x:c r="F7421" s="0" t="s">
        <x:v>45</x:v>
      </x:c>
      <x:c r="G7421" s="0" t="s">
        <x:v>19</x:v>
      </x:c>
      <x:c r="H7421" s="0" t="s">
        <x:v>20</x:v>
      </x:c>
      <x:c r="I7421" s="0" t="s">
        <x:v>21</x:v>
      </x:c>
      <x:c r="K7421" s="0">
        <x:f>hyperlink("https://icd.who.int/dev11/l-ichi/en#/http%3A%2F%2Fid.who.int%2Ficd%2Fentity%2F1792843006","browser")</x:f>
      </x:c>
      <x:c r="L7421" s="0">
        <x:f>hyperlink("https://icat2.azurewebsites.net/icat/?ontology=ICD&amp;tab=ClassesTab&amp;id=http%3A%2F%2Fwho.int%2Ficd%2344765_512ebf36_bf6b_4d70_85da_cf2637062af4","iCat")</x:f>
      </x:c>
      <x:c r="M7421" s="0" t="s">
        <x:v>21</x:v>
      </x:c>
      <x:c r="N7421" s="0" t="s">
        <x:v>46</x:v>
      </x:c>
    </x:row>
    <x:row r="7422" spans="1:16">
      <x:c r="A7422" s="0" t="s">
        <x:v>29550</x:v>
      </x:c>
      <x:c r="B7422" s="0" t="s">
        <x:v>29551</x:v>
      </x:c>
      <x:c r="C7422" s="0" t="s">
        <x:v>29552</x:v>
      </x:c>
      <x:c r="E7422" s="0" t="s">
        <x:v>29553</x:v>
      </x:c>
      <x:c r="F7422" s="0" t="s">
        <x:v>45</x:v>
      </x:c>
      <x:c r="G7422" s="0" t="s">
        <x:v>19</x:v>
      </x:c>
      <x:c r="H7422" s="0" t="s">
        <x:v>20</x:v>
      </x:c>
      <x:c r="I7422" s="0" t="s">
        <x:v>21</x:v>
      </x:c>
      <x:c r="K7422" s="0">
        <x:f>hyperlink("https://icd.who.int/dev11/l-ichi/en#/http%3A%2F%2Fid.who.int%2Ficd%2Fentity%2F1889247784","browser")</x:f>
      </x:c>
      <x:c r="L7422" s="0">
        <x:f>hyperlink("https://icat2.azurewebsites.net/icat/?ontology=ICD&amp;tab=ClassesTab&amp;id=http%3A%2F%2Fwho.int%2Ficd%2344772_512ebf36_bf6b_4d70_85da_cf2637062af4","iCat")</x:f>
      </x:c>
      <x:c r="M7422" s="0" t="s">
        <x:v>21</x:v>
      </x:c>
      <x:c r="N7422" s="0" t="s">
        <x:v>46</x:v>
      </x:c>
    </x:row>
    <x:row r="7423" spans="1:16">
      <x:c r="A7423" s="0" t="s">
        <x:v>29554</x:v>
      </x:c>
      <x:c r="B7423" s="0" t="s">
        <x:v>29555</x:v>
      </x:c>
      <x:c r="C7423" s="0" t="s">
        <x:v>29556</x:v>
      </x:c>
      <x:c r="E7423" s="0" t="s">
        <x:v>29557</x:v>
      </x:c>
      <x:c r="F7423" s="0" t="s">
        <x:v>45</x:v>
      </x:c>
      <x:c r="G7423" s="0" t="s">
        <x:v>19</x:v>
      </x:c>
      <x:c r="H7423" s="0" t="s">
        <x:v>20</x:v>
      </x:c>
      <x:c r="I7423" s="0" t="s">
        <x:v>21</x:v>
      </x:c>
      <x:c r="K7423" s="0">
        <x:f>hyperlink("https://icd.who.int/dev11/l-ichi/en#/http%3A%2F%2Fid.who.int%2Ficd%2Fentity%2F1602021626","browser")</x:f>
      </x:c>
      <x:c r="L7423" s="0">
        <x:f>hyperlink("https://icat2.azurewebsites.net/icat/?ontology=ICD&amp;tab=ClassesTab&amp;id=http%3A%2F%2Fwho.int%2Ficd%2344782_512ebf36_bf6b_4d70_85da_cf2637062af4","iCat")</x:f>
      </x:c>
      <x:c r="M7423" s="0" t="s">
        <x:v>21</x:v>
      </x:c>
      <x:c r="N7423" s="0" t="s">
        <x:v>46</x:v>
      </x:c>
    </x:row>
    <x:row r="7424" spans="1:16">
      <x:c r="A7424" s="0" t="s">
        <x:v>29558</x:v>
      </x:c>
      <x:c r="B7424" s="0" t="s">
        <x:v>29559</x:v>
      </x:c>
      <x:c r="C7424" s="0" t="s">
        <x:v>29560</x:v>
      </x:c>
      <x:c r="E7424" s="0" t="s">
        <x:v>29561</x:v>
      </x:c>
      <x:c r="F7424" s="0" t="s">
        <x:v>45</x:v>
      </x:c>
      <x:c r="G7424" s="0" t="s">
        <x:v>19</x:v>
      </x:c>
      <x:c r="H7424" s="0" t="s">
        <x:v>20</x:v>
      </x:c>
      <x:c r="I7424" s="0" t="s">
        <x:v>21</x:v>
      </x:c>
      <x:c r="K7424" s="0">
        <x:f>hyperlink("https://icd.who.int/dev11/l-ichi/en#/http%3A%2F%2Fid.who.int%2Ficd%2Fentity%2F1417213524","browser")</x:f>
      </x:c>
      <x:c r="L7424" s="0">
        <x:f>hyperlink("https://icat2.azurewebsites.net/icat/?ontology=ICD&amp;tab=ClassesTab&amp;id=http%3A%2F%2Fwho.int%2Ficd%2344789_512ebf36_bf6b_4d70_85da_cf2637062af4","iCat")</x:f>
      </x:c>
      <x:c r="M7424" s="0" t="s">
        <x:v>21</x:v>
      </x:c>
      <x:c r="N7424" s="0" t="s">
        <x:v>46</x:v>
      </x:c>
    </x:row>
    <x:row r="7425" spans="1:16">
      <x:c r="A7425" s="0" t="s">
        <x:v>29562</x:v>
      </x:c>
      <x:c r="B7425" s="0" t="s">
        <x:v>29563</x:v>
      </x:c>
      <x:c r="C7425" s="0" t="s">
        <x:v>29564</x:v>
      </x:c>
      <x:c r="E7425" s="0" t="s">
        <x:v>29565</x:v>
      </x:c>
      <x:c r="F7425" s="0" t="s">
        <x:v>45</x:v>
      </x:c>
      <x:c r="G7425" s="0" t="s">
        <x:v>19</x:v>
      </x:c>
      <x:c r="H7425" s="0" t="s">
        <x:v>20</x:v>
      </x:c>
      <x:c r="I7425" s="0" t="s">
        <x:v>21</x:v>
      </x:c>
      <x:c r="K7425" s="0">
        <x:f>hyperlink("https://icd.who.int/dev11/l-ichi/en#/http%3A%2F%2Fid.who.int%2Ficd%2Fentity%2F12499419","browser")</x:f>
      </x:c>
      <x:c r="L7425" s="0">
        <x:f>hyperlink("https://icat2.azurewebsites.net/icat/?ontology=ICD&amp;tab=ClassesTab&amp;id=http%3A%2F%2Fwho.int%2Ficd%2344796_512ebf36_bf6b_4d70_85da_cf2637062af4","iCat")</x:f>
      </x:c>
      <x:c r="M7425" s="0" t="s">
        <x:v>21</x:v>
      </x:c>
      <x:c r="N7425" s="0" t="s">
        <x:v>46</x:v>
      </x:c>
    </x:row>
    <x:row r="7426" spans="1:16">
      <x:c r="A7426" s="0" t="s">
        <x:v>29566</x:v>
      </x:c>
      <x:c r="B7426" s="0" t="s">
        <x:v>29567</x:v>
      </x:c>
      <x:c r="C7426" s="0" t="s">
        <x:v>29568</x:v>
      </x:c>
      <x:c r="E7426" s="0" t="s">
        <x:v>29569</x:v>
      </x:c>
      <x:c r="F7426" s="0" t="s">
        <x:v>45</x:v>
      </x:c>
      <x:c r="G7426" s="0" t="s">
        <x:v>19</x:v>
      </x:c>
      <x:c r="H7426" s="0" t="s">
        <x:v>20</x:v>
      </x:c>
      <x:c r="I7426" s="0" t="s">
        <x:v>21</x:v>
      </x:c>
      <x:c r="K7426" s="0">
        <x:f>hyperlink("https://icd.who.int/dev11/l-ichi/en#/http%3A%2F%2Fid.who.int%2Ficd%2Fentity%2F1719400587","browser")</x:f>
      </x:c>
      <x:c r="L7426" s="0">
        <x:f>hyperlink("https://icat2.azurewebsites.net/icat/?ontology=ICD&amp;tab=ClassesTab&amp;id=http%3A%2F%2Fwho.int%2Ficd%2344804_512ebf36_bf6b_4d70_85da_cf2637062af4","iCat")</x:f>
      </x:c>
      <x:c r="M7426" s="0" t="s">
        <x:v>21</x:v>
      </x:c>
      <x:c r="N7426" s="0" t="s">
        <x:v>46</x:v>
      </x:c>
    </x:row>
    <x:row r="7427" spans="1:16">
      <x:c r="A7427" s="0" t="s">
        <x:v>29570</x:v>
      </x:c>
      <x:c r="B7427" s="0" t="s">
        <x:v>29571</x:v>
      </x:c>
      <x:c r="C7427" s="0" t="s">
        <x:v>29572</x:v>
      </x:c>
      <x:c r="E7427" s="0" t="s">
        <x:v>29573</x:v>
      </x:c>
      <x:c r="F7427" s="0" t="s">
        <x:v>45</x:v>
      </x:c>
      <x:c r="G7427" s="0" t="s">
        <x:v>19</x:v>
      </x:c>
      <x:c r="H7427" s="0" t="s">
        <x:v>20</x:v>
      </x:c>
      <x:c r="I7427" s="0" t="s">
        <x:v>21</x:v>
      </x:c>
      <x:c r="K7427" s="0">
        <x:f>hyperlink("https://icd.who.int/dev11/l-ichi/en#/http%3A%2F%2Fid.who.int%2Ficd%2Fentity%2F423680916","browser")</x:f>
      </x:c>
      <x:c r="L7427" s="0">
        <x:f>hyperlink("https://icat2.azurewebsites.net/icat/?ontology=ICD&amp;tab=ClassesTab&amp;id=http%3A%2F%2Fwho.int%2Ficd%2344811_512ebf36_bf6b_4d70_85da_cf2637062af4","iCat")</x:f>
      </x:c>
      <x:c r="M7427" s="0" t="s">
        <x:v>21</x:v>
      </x:c>
      <x:c r="N7427" s="0" t="s">
        <x:v>46</x:v>
      </x:c>
    </x:row>
    <x:row r="7428" spans="1:16">
      <x:c r="A7428" s="0" t="s">
        <x:v>29574</x:v>
      </x:c>
      <x:c r="B7428" s="0" t="s">
        <x:v>29575</x:v>
      </x:c>
      <x:c r="C7428" s="0" t="s">
        <x:v>29576</x:v>
      </x:c>
      <x:c r="E7428" s="0" t="s">
        <x:v>29577</x:v>
      </x:c>
      <x:c r="F7428" s="0" t="s">
        <x:v>45</x:v>
      </x:c>
      <x:c r="G7428" s="0" t="s">
        <x:v>19</x:v>
      </x:c>
      <x:c r="H7428" s="0" t="s">
        <x:v>20</x:v>
      </x:c>
      <x:c r="I7428" s="0" t="s">
        <x:v>21</x:v>
      </x:c>
      <x:c r="K7428" s="0">
        <x:f>hyperlink("https://icd.who.int/dev11/l-ichi/en#/http%3A%2F%2Fid.who.int%2Ficd%2Fentity%2F2000214269","browser")</x:f>
      </x:c>
      <x:c r="L7428" s="0">
        <x:f>hyperlink("https://icat2.azurewebsites.net/icat/?ontology=ICD&amp;tab=ClassesTab&amp;id=http%3A%2F%2Fwho.int%2Ficd%2344818_512ebf36_bf6b_4d70_85da_cf2637062af4","iCat")</x:f>
      </x:c>
      <x:c r="M7428" s="0" t="s">
        <x:v>21</x:v>
      </x:c>
      <x:c r="N7428" s="0" t="s">
        <x:v>46</x:v>
      </x:c>
    </x:row>
    <x:row r="7429" spans="1:16">
      <x:c r="A7429" s="0" t="s">
        <x:v>29578</x:v>
      </x:c>
      <x:c r="B7429" s="0" t="s">
        <x:v>29579</x:v>
      </x:c>
      <x:c r="C7429" s="0" t="s">
        <x:v>29580</x:v>
      </x:c>
      <x:c r="E7429" s="0" t="s">
        <x:v>29581</x:v>
      </x:c>
      <x:c r="F7429" s="0" t="s">
        <x:v>45</x:v>
      </x:c>
      <x:c r="G7429" s="0" t="s">
        <x:v>19</x:v>
      </x:c>
      <x:c r="H7429" s="0" t="s">
        <x:v>20</x:v>
      </x:c>
      <x:c r="I7429" s="0" t="s">
        <x:v>21</x:v>
      </x:c>
      <x:c r="K7429" s="0">
        <x:f>hyperlink("https://icd.who.int/dev11/l-ichi/en#/http%3A%2F%2Fid.who.int%2Ficd%2Fentity%2F1828085735","browser")</x:f>
      </x:c>
      <x:c r="L7429" s="0">
        <x:f>hyperlink("https://icat2.azurewebsites.net/icat/?ontology=ICD&amp;tab=ClassesTab&amp;id=http%3A%2F%2Fwho.int%2Ficd%2344825_512ebf36_bf6b_4d70_85da_cf2637062af4","iCat")</x:f>
      </x:c>
      <x:c r="M7429" s="0" t="s">
        <x:v>21</x:v>
      </x:c>
      <x:c r="N7429" s="0" t="s">
        <x:v>46</x:v>
      </x:c>
    </x:row>
    <x:row r="7430" spans="1:16">
      <x:c r="A7430" s="0" t="s">
        <x:v>29582</x:v>
      </x:c>
      <x:c r="B7430" s="0" t="s">
        <x:v>29583</x:v>
      </x:c>
      <x:c r="C7430" s="0" t="s">
        <x:v>29584</x:v>
      </x:c>
      <x:c r="E7430" s="0" t="s">
        <x:v>29585</x:v>
      </x:c>
      <x:c r="F7430" s="0" t="s">
        <x:v>45</x:v>
      </x:c>
      <x:c r="G7430" s="0" t="s">
        <x:v>19</x:v>
      </x:c>
      <x:c r="H7430" s="0" t="s">
        <x:v>20</x:v>
      </x:c>
      <x:c r="I7430" s="0" t="s">
        <x:v>21</x:v>
      </x:c>
      <x:c r="K7430" s="0">
        <x:f>hyperlink("https://icd.who.int/dev11/l-ichi/en#/http%3A%2F%2Fid.who.int%2Ficd%2Fentity%2F1991336253","browser")</x:f>
      </x:c>
      <x:c r="L7430" s="0">
        <x:f>hyperlink("https://icat2.azurewebsites.net/icat/?ontology=ICD&amp;tab=ClassesTab&amp;id=http%3A%2F%2Fwho.int%2Ficd%2344832_512ebf36_bf6b_4d70_85da_cf2637062af4","iCat")</x:f>
      </x:c>
      <x:c r="M7430" s="0" t="s">
        <x:v>21</x:v>
      </x:c>
      <x:c r="N7430" s="0" t="s">
        <x:v>46</x:v>
      </x:c>
    </x:row>
    <x:row r="7431" spans="1:16">
      <x:c r="A7431" s="0" t="s">
        <x:v>29586</x:v>
      </x:c>
      <x:c r="B7431" s="0" t="s">
        <x:v>29587</x:v>
      </x:c>
      <x:c r="C7431" s="0" t="s">
        <x:v>29588</x:v>
      </x:c>
      <x:c r="E7431" s="0" t="s">
        <x:v>29589</x:v>
      </x:c>
      <x:c r="F7431" s="0" t="s">
        <x:v>45</x:v>
      </x:c>
      <x:c r="G7431" s="0" t="s">
        <x:v>19</x:v>
      </x:c>
      <x:c r="H7431" s="0" t="s">
        <x:v>20</x:v>
      </x:c>
      <x:c r="I7431" s="0" t="s">
        <x:v>21</x:v>
      </x:c>
      <x:c r="K7431" s="0">
        <x:f>hyperlink("https://icd.who.int/dev11/l-ichi/en#/http%3A%2F%2Fid.who.int%2Ficd%2Fentity%2F2109046673","browser")</x:f>
      </x:c>
      <x:c r="L7431" s="0">
        <x:f>hyperlink("https://icat2.azurewebsites.net/icat/?ontology=ICD&amp;tab=ClassesTab&amp;id=http%3A%2F%2Fwho.int%2Ficd%2344839_512ebf36_bf6b_4d70_85da_cf2637062af4","iCat")</x:f>
      </x:c>
      <x:c r="M7431" s="0" t="s">
        <x:v>21</x:v>
      </x:c>
      <x:c r="N7431" s="0" t="s">
        <x:v>46</x:v>
      </x:c>
    </x:row>
    <x:row r="7432" spans="1:16">
      <x:c r="A7432" s="0" t="s">
        <x:v>29590</x:v>
      </x:c>
      <x:c r="B7432" s="0" t="s">
        <x:v>29591</x:v>
      </x:c>
      <x:c r="C7432" s="0" t="s">
        <x:v>29592</x:v>
      </x:c>
      <x:c r="E7432" s="0" t="s">
        <x:v>29593</x:v>
      </x:c>
      <x:c r="F7432" s="0" t="s">
        <x:v>45</x:v>
      </x:c>
      <x:c r="G7432" s="0" t="s">
        <x:v>19</x:v>
      </x:c>
      <x:c r="H7432" s="0" t="s">
        <x:v>20</x:v>
      </x:c>
      <x:c r="I7432" s="0" t="s">
        <x:v>21</x:v>
      </x:c>
      <x:c r="K7432" s="0">
        <x:f>hyperlink("https://icd.who.int/dev11/l-ichi/en#/http%3A%2F%2Fid.who.int%2Ficd%2Fentity%2F1935717971","browser")</x:f>
      </x:c>
      <x:c r="L7432" s="0">
        <x:f>hyperlink("https://icat2.azurewebsites.net/icat/?ontology=ICD&amp;tab=ClassesTab&amp;id=http%3A%2F%2Fwho.int%2Ficd%2344846_512ebf36_bf6b_4d70_85da_cf2637062af4","iCat")</x:f>
      </x:c>
      <x:c r="M7432" s="0" t="s">
        <x:v>21</x:v>
      </x:c>
      <x:c r="N7432" s="0" t="s">
        <x:v>46</x:v>
      </x:c>
    </x:row>
    <x:row r="7433" spans="1:16">
      <x:c r="A7433" s="0" t="s">
        <x:v>29594</x:v>
      </x:c>
      <x:c r="B7433" s="0" t="s">
        <x:v>29595</x:v>
      </x:c>
      <x:c r="C7433" s="0" t="s">
        <x:v>29596</x:v>
      </x:c>
      <x:c r="E7433" s="0" t="s">
        <x:v>29597</x:v>
      </x:c>
      <x:c r="F7433" s="0" t="s">
        <x:v>45</x:v>
      </x:c>
      <x:c r="G7433" s="0" t="s">
        <x:v>19</x:v>
      </x:c>
      <x:c r="H7433" s="0" t="s">
        <x:v>20</x:v>
      </x:c>
      <x:c r="I7433" s="0" t="s">
        <x:v>21</x:v>
      </x:c>
      <x:c r="K7433" s="0">
        <x:f>hyperlink("https://icd.who.int/dev11/l-ichi/en#/http%3A%2F%2Fid.who.int%2Ficd%2Fentity%2F207328588","browser")</x:f>
      </x:c>
      <x:c r="L7433" s="0">
        <x:f>hyperlink("https://icat2.azurewebsites.net/icat/?ontology=ICD&amp;tab=ClassesTab&amp;id=http%3A%2F%2Fwho.int%2Ficd%2344853_512ebf36_bf6b_4d70_85da_cf2637062af4","iCat")</x:f>
      </x:c>
      <x:c r="M7433" s="0" t="s">
        <x:v>21</x:v>
      </x:c>
      <x:c r="N7433" s="0" t="s">
        <x:v>46</x:v>
      </x:c>
    </x:row>
    <x:row r="7434" spans="1:16">
      <x:c r="A7434" s="0" t="s">
        <x:v>29598</x:v>
      </x:c>
      <x:c r="B7434" s="0" t="s">
        <x:v>29599</x:v>
      </x:c>
      <x:c r="D7434" s="0" t="s">
        <x:v>29600</x:v>
      </x:c>
      <x:c r="E7434" s="0" t="s">
        <x:v>29601</x:v>
      </x:c>
      <x:c r="F7434" s="0" t="s">
        <x:v>26</x:v>
      </x:c>
      <x:c r="G7434" s="0" t="s">
        <x:v>35</x:v>
      </x:c>
      <x:c r="H7434" s="0" t="s">
        <x:v>20</x:v>
      </x:c>
      <x:c r="I7434" s="0" t="s">
        <x:v>21</x:v>
      </x:c>
      <x:c r="K7434" s="0">
        <x:f>hyperlink("https://icd.who.int/dev11/l-ichi/en#/http%3A%2F%2Fid.who.int%2Ficd%2Fentity%2F697747600","browser")</x:f>
      </x:c>
      <x:c r="L7434" s="0">
        <x:f>hyperlink("https://icat2.azurewebsites.net/icat/?ontology=ICD&amp;tab=ClassesTab&amp;id=http%3A%2F%2Fwho.int%2Ficd%2344861_512ebf36_bf6b_4d70_85da_cf2637062af4","iCat")</x:f>
      </x:c>
      <x:c r="M7434" s="0" t="s">
        <x:v>20</x:v>
      </x:c>
      <x:c r="N7434" s="0" t="s">
        <x:v>26267</x:v>
      </x:c>
    </x:row>
    <x:row r="7435" spans="1:16">
      <x:c r="A7435" s="0" t="s">
        <x:v>29602</x:v>
      </x:c>
      <x:c r="B7435" s="0" t="s">
        <x:v>29603</x:v>
      </x:c>
      <x:c r="C7435" s="0" t="s">
        <x:v>29604</x:v>
      </x:c>
      <x:c r="E7435" s="0" t="s">
        <x:v>29605</x:v>
      </x:c>
      <x:c r="F7435" s="0" t="s">
        <x:v>45</x:v>
      </x:c>
      <x:c r="G7435" s="0" t="s">
        <x:v>19</x:v>
      </x:c>
      <x:c r="H7435" s="0" t="s">
        <x:v>20</x:v>
      </x:c>
      <x:c r="I7435" s="0" t="s">
        <x:v>21</x:v>
      </x:c>
      <x:c r="K7435" s="0">
        <x:f>hyperlink("https://icd.who.int/dev11/l-ichi/en#/http%3A%2F%2Fid.who.int%2Ficd%2Fentity%2F158317234","browser")</x:f>
      </x:c>
      <x:c r="L7435" s="0">
        <x:f>hyperlink("https://icat2.azurewebsites.net/icat/?ontology=ICD&amp;tab=ClassesTab&amp;id=http%3A%2F%2Fwho.int%2Ficd%2344860_512ebf36_bf6b_4d70_85da_cf2637062af4","iCat")</x:f>
      </x:c>
      <x:c r="M7435" s="0" t="s">
        <x:v>21</x:v>
      </x:c>
      <x:c r="N7435" s="0" t="s">
        <x:v>46</x:v>
      </x:c>
    </x:row>
    <x:row r="7436" spans="1:16">
      <x:c r="A7436" s="0" t="s">
        <x:v>29606</x:v>
      </x:c>
      <x:c r="B7436" s="0" t="s">
        <x:v>29607</x:v>
      </x:c>
      <x:c r="C7436" s="0" t="s">
        <x:v>29608</x:v>
      </x:c>
      <x:c r="E7436" s="0" t="s">
        <x:v>29609</x:v>
      </x:c>
      <x:c r="F7436" s="0" t="s">
        <x:v>45</x:v>
      </x:c>
      <x:c r="G7436" s="0" t="s">
        <x:v>19</x:v>
      </x:c>
      <x:c r="H7436" s="0" t="s">
        <x:v>20</x:v>
      </x:c>
      <x:c r="I7436" s="0" t="s">
        <x:v>21</x:v>
      </x:c>
      <x:c r="K7436" s="0">
        <x:f>hyperlink("https://icd.who.int/dev11/l-ichi/en#/http%3A%2F%2Fid.who.int%2Ficd%2Fentity%2F640630814","browser")</x:f>
      </x:c>
      <x:c r="L7436" s="0">
        <x:f>hyperlink("https://icat2.azurewebsites.net/icat/?ontology=ICD&amp;tab=ClassesTab&amp;id=http%3A%2F%2Fwho.int%2Ficd%2344873_512ebf36_bf6b_4d70_85da_cf2637062af4","iCat")</x:f>
      </x:c>
      <x:c r="M7436" s="0" t="s">
        <x:v>21</x:v>
      </x:c>
      <x:c r="N7436" s="0" t="s">
        <x:v>46</x:v>
      </x:c>
    </x:row>
    <x:row r="7437" spans="1:16">
      <x:c r="A7437" s="0" t="s">
        <x:v>29610</x:v>
      </x:c>
      <x:c r="B7437" s="0" t="s">
        <x:v>29611</x:v>
      </x:c>
      <x:c r="C7437" s="0" t="s">
        <x:v>29612</x:v>
      </x:c>
      <x:c r="E7437" s="0" t="s">
        <x:v>29613</x:v>
      </x:c>
      <x:c r="F7437" s="0" t="s">
        <x:v>45</x:v>
      </x:c>
      <x:c r="G7437" s="0" t="s">
        <x:v>19</x:v>
      </x:c>
      <x:c r="H7437" s="0" t="s">
        <x:v>20</x:v>
      </x:c>
      <x:c r="I7437" s="0" t="s">
        <x:v>21</x:v>
      </x:c>
      <x:c r="K7437" s="0">
        <x:f>hyperlink("https://icd.who.int/dev11/l-ichi/en#/http%3A%2F%2Fid.who.int%2Ficd%2Fentity%2F1280140603","browser")</x:f>
      </x:c>
      <x:c r="L7437" s="0">
        <x:f>hyperlink("https://icat2.azurewebsites.net/icat/?ontology=ICD&amp;tab=ClassesTab&amp;id=http%3A%2F%2Fwho.int%2Ficd%2344880_512ebf36_bf6b_4d70_85da_cf2637062af4","iCat")</x:f>
      </x:c>
      <x:c r="M7437" s="0" t="s">
        <x:v>21</x:v>
      </x:c>
      <x:c r="N7437" s="0" t="s">
        <x:v>46</x:v>
      </x:c>
    </x:row>
    <x:row r="7438" spans="1:16">
      <x:c r="A7438" s="0" t="s">
        <x:v>29614</x:v>
      </x:c>
      <x:c r="B7438" s="0" t="s">
        <x:v>29615</x:v>
      </x:c>
      <x:c r="C7438" s="0" t="s">
        <x:v>29616</x:v>
      </x:c>
      <x:c r="E7438" s="0" t="s">
        <x:v>29617</x:v>
      </x:c>
      <x:c r="F7438" s="0" t="s">
        <x:v>45</x:v>
      </x:c>
      <x:c r="G7438" s="0" t="s">
        <x:v>19</x:v>
      </x:c>
      <x:c r="H7438" s="0" t="s">
        <x:v>20</x:v>
      </x:c>
      <x:c r="I7438" s="0" t="s">
        <x:v>21</x:v>
      </x:c>
      <x:c r="K7438" s="0">
        <x:f>hyperlink("https://icd.who.int/dev11/l-ichi/en#/http%3A%2F%2Fid.who.int%2Ficd%2Fentity%2F1020251830","browser")</x:f>
      </x:c>
      <x:c r="L7438" s="0">
        <x:f>hyperlink("https://icat2.azurewebsites.net/icat/?ontology=ICD&amp;tab=ClassesTab&amp;id=http%3A%2F%2Fwho.int%2Ficd%2344887_512ebf36_bf6b_4d70_85da_cf2637062af4","iCat")</x:f>
      </x:c>
      <x:c r="M7438" s="0" t="s">
        <x:v>21</x:v>
      </x:c>
      <x:c r="N7438" s="0" t="s">
        <x:v>46</x:v>
      </x:c>
    </x:row>
    <x:row r="7439" spans="1:16">
      <x:c r="A7439" s="0" t="s">
        <x:v>29618</x:v>
      </x:c>
      <x:c r="B7439" s="0" t="s">
        <x:v>29619</x:v>
      </x:c>
      <x:c r="C7439" s="0" t="s">
        <x:v>29620</x:v>
      </x:c>
      <x:c r="E7439" s="0" t="s">
        <x:v>29621</x:v>
      </x:c>
      <x:c r="F7439" s="0" t="s">
        <x:v>45</x:v>
      </x:c>
      <x:c r="G7439" s="0" t="s">
        <x:v>19</x:v>
      </x:c>
      <x:c r="H7439" s="0" t="s">
        <x:v>20</x:v>
      </x:c>
      <x:c r="I7439" s="0" t="s">
        <x:v>21</x:v>
      </x:c>
      <x:c r="K7439" s="0">
        <x:f>hyperlink("https://icd.who.int/dev11/l-ichi/en#/http%3A%2F%2Fid.who.int%2Ficd%2Fentity%2F328152090","browser")</x:f>
      </x:c>
      <x:c r="L7439" s="0">
        <x:f>hyperlink("https://icat2.azurewebsites.net/icat/?ontology=ICD&amp;tab=ClassesTab&amp;id=http%3A%2F%2Fwho.int%2Ficd%2344894_512ebf36_bf6b_4d70_85da_cf2637062af4","iCat")</x:f>
      </x:c>
      <x:c r="M7439" s="0" t="s">
        <x:v>21</x:v>
      </x:c>
      <x:c r="N7439" s="0" t="s">
        <x:v>46</x:v>
      </x:c>
    </x:row>
    <x:row r="7440" spans="1:16">
      <x:c r="A7440" s="0" t="s">
        <x:v>29622</x:v>
      </x:c>
      <x:c r="B7440" s="0" t="s">
        <x:v>29623</x:v>
      </x:c>
      <x:c r="C7440" s="0" t="s">
        <x:v>29624</x:v>
      </x:c>
      <x:c r="E7440" s="0" t="s">
        <x:v>29625</x:v>
      </x:c>
      <x:c r="F7440" s="0" t="s">
        <x:v>45</x:v>
      </x:c>
      <x:c r="G7440" s="0" t="s">
        <x:v>19</x:v>
      </x:c>
      <x:c r="H7440" s="0" t="s">
        <x:v>20</x:v>
      </x:c>
      <x:c r="I7440" s="0" t="s">
        <x:v>21</x:v>
      </x:c>
      <x:c r="K7440" s="0">
        <x:f>hyperlink("https://icd.who.int/dev11/l-ichi/en#/http%3A%2F%2Fid.who.int%2Ficd%2Fentity%2F102402142","browser")</x:f>
      </x:c>
      <x:c r="L7440" s="0">
        <x:f>hyperlink("https://icat2.azurewebsites.net/icat/?ontology=ICD&amp;tab=ClassesTab&amp;id=http%3A%2F%2Fwho.int%2Ficd%2344901_512ebf36_bf6b_4d70_85da_cf2637062af4","iCat")</x:f>
      </x:c>
      <x:c r="M7440" s="0" t="s">
        <x:v>21</x:v>
      </x:c>
      <x:c r="N7440" s="0" t="s">
        <x:v>46</x:v>
      </x:c>
    </x:row>
    <x:row r="7441" spans="1:16">
      <x:c r="A7441" s="0" t="s">
        <x:v>29626</x:v>
      </x:c>
      <x:c r="B7441" s="0" t="s">
        <x:v>29627</x:v>
      </x:c>
      <x:c r="C7441" s="0" t="s">
        <x:v>29628</x:v>
      </x:c>
      <x:c r="E7441" s="0" t="s">
        <x:v>29629</x:v>
      </x:c>
      <x:c r="F7441" s="0" t="s">
        <x:v>45</x:v>
      </x:c>
      <x:c r="G7441" s="0" t="s">
        <x:v>19</x:v>
      </x:c>
      <x:c r="H7441" s="0" t="s">
        <x:v>20</x:v>
      </x:c>
      <x:c r="I7441" s="0" t="s">
        <x:v>21</x:v>
      </x:c>
      <x:c r="K7441" s="0">
        <x:f>hyperlink("https://icd.who.int/dev11/l-ichi/en#/http%3A%2F%2Fid.who.int%2Ficd%2Fentity%2F1751288631","browser")</x:f>
      </x:c>
      <x:c r="L7441" s="0">
        <x:f>hyperlink("https://icat2.azurewebsites.net/icat/?ontology=ICD&amp;tab=ClassesTab&amp;id=http%3A%2F%2Fwho.int%2Ficd%2344908_512ebf36_bf6b_4d70_85da_cf2637062af4","iCat")</x:f>
      </x:c>
      <x:c r="M7441" s="0" t="s">
        <x:v>21</x:v>
      </x:c>
      <x:c r="N7441" s="0" t="s">
        <x:v>46</x:v>
      </x:c>
    </x:row>
    <x:row r="7442" spans="1:16">
      <x:c r="A7442" s="0" t="s">
        <x:v>29630</x:v>
      </x:c>
      <x:c r="B7442" s="0" t="s">
        <x:v>29631</x:v>
      </x:c>
      <x:c r="C7442" s="0" t="s">
        <x:v>29632</x:v>
      </x:c>
      <x:c r="E7442" s="0" t="s">
        <x:v>29633</x:v>
      </x:c>
      <x:c r="F7442" s="0" t="s">
        <x:v>45</x:v>
      </x:c>
      <x:c r="G7442" s="0" t="s">
        <x:v>19</x:v>
      </x:c>
      <x:c r="H7442" s="0" t="s">
        <x:v>20</x:v>
      </x:c>
      <x:c r="I7442" s="0" t="s">
        <x:v>21</x:v>
      </x:c>
      <x:c r="K7442" s="0">
        <x:f>hyperlink("https://icd.who.int/dev11/l-ichi/en#/http%3A%2F%2Fid.who.int%2Ficd%2Fentity%2F1507383677","browser")</x:f>
      </x:c>
      <x:c r="L7442" s="0">
        <x:f>hyperlink("https://icat2.azurewebsites.net/icat/?ontology=ICD&amp;tab=ClassesTab&amp;id=http%3A%2F%2Fwho.int%2Ficd%2344915_512ebf36_bf6b_4d70_85da_cf2637062af4","iCat")</x:f>
      </x:c>
      <x:c r="M7442" s="0" t="s">
        <x:v>21</x:v>
      </x:c>
      <x:c r="N7442" s="0" t="s">
        <x:v>46</x:v>
      </x:c>
    </x:row>
    <x:row r="7443" spans="1:16">
      <x:c r="A7443" s="0" t="s">
        <x:v>29634</x:v>
      </x:c>
      <x:c r="B7443" s="0" t="s">
        <x:v>29635</x:v>
      </x:c>
      <x:c r="C7443" s="0" t="s">
        <x:v>29636</x:v>
      </x:c>
      <x:c r="E7443" s="0" t="s">
        <x:v>29637</x:v>
      </x:c>
      <x:c r="F7443" s="0" t="s">
        <x:v>45</x:v>
      </x:c>
      <x:c r="G7443" s="0" t="s">
        <x:v>19</x:v>
      </x:c>
      <x:c r="H7443" s="0" t="s">
        <x:v>20</x:v>
      </x:c>
      <x:c r="I7443" s="0" t="s">
        <x:v>21</x:v>
      </x:c>
      <x:c r="K7443" s="0">
        <x:f>hyperlink("https://icd.who.int/dev11/l-ichi/en#/http%3A%2F%2Fid.who.int%2Ficd%2Fentity%2F1777021687","browser")</x:f>
      </x:c>
      <x:c r="L7443" s="0">
        <x:f>hyperlink("https://icat2.azurewebsites.net/icat/?ontology=ICD&amp;tab=ClassesTab&amp;id=http%3A%2F%2Fwho.int%2Ficd%2344922_512ebf36_bf6b_4d70_85da_cf2637062af4","iCat")</x:f>
      </x:c>
      <x:c r="M7443" s="0" t="s">
        <x:v>21</x:v>
      </x:c>
      <x:c r="N7443" s="0" t="s">
        <x:v>46</x:v>
      </x:c>
    </x:row>
    <x:row r="7444" spans="1:16">
      <x:c r="A7444" s="0" t="s">
        <x:v>29638</x:v>
      </x:c>
      <x:c r="B7444" s="0" t="s">
        <x:v>29639</x:v>
      </x:c>
      <x:c r="C7444" s="0" t="s">
        <x:v>29640</x:v>
      </x:c>
      <x:c r="E7444" s="0" t="s">
        <x:v>29641</x:v>
      </x:c>
      <x:c r="F7444" s="0" t="s">
        <x:v>45</x:v>
      </x:c>
      <x:c r="G7444" s="0" t="s">
        <x:v>19</x:v>
      </x:c>
      <x:c r="H7444" s="0" t="s">
        <x:v>20</x:v>
      </x:c>
      <x:c r="I7444" s="0" t="s">
        <x:v>21</x:v>
      </x:c>
      <x:c r="K7444" s="0">
        <x:f>hyperlink("https://icd.who.int/dev11/l-ichi/en#/http%3A%2F%2Fid.who.int%2Ficd%2Fentity%2F1659841627","browser")</x:f>
      </x:c>
      <x:c r="L7444" s="0">
        <x:f>hyperlink("https://icat2.azurewebsites.net/icat/?ontology=ICD&amp;tab=ClassesTab&amp;id=http%3A%2F%2Fwho.int%2Ficd%2344929_512ebf36_bf6b_4d70_85da_cf2637062af4","iCat")</x:f>
      </x:c>
      <x:c r="M7444" s="0" t="s">
        <x:v>21</x:v>
      </x:c>
      <x:c r="N7444" s="0" t="s">
        <x:v>46</x:v>
      </x:c>
    </x:row>
    <x:row r="7445" spans="1:16">
      <x:c r="A7445" s="0" t="s">
        <x:v>29642</x:v>
      </x:c>
      <x:c r="B7445" s="0" t="s">
        <x:v>29643</x:v>
      </x:c>
      <x:c r="C7445" s="0" t="s">
        <x:v>29644</x:v>
      </x:c>
      <x:c r="E7445" s="0" t="s">
        <x:v>29645</x:v>
      </x:c>
      <x:c r="F7445" s="0" t="s">
        <x:v>45</x:v>
      </x:c>
      <x:c r="G7445" s="0" t="s">
        <x:v>19</x:v>
      </x:c>
      <x:c r="H7445" s="0" t="s">
        <x:v>20</x:v>
      </x:c>
      <x:c r="I7445" s="0" t="s">
        <x:v>21</x:v>
      </x:c>
      <x:c r="K7445" s="0">
        <x:f>hyperlink("https://icd.who.int/dev11/l-ichi/en#/http%3A%2F%2Fid.who.int%2Ficd%2Fentity%2F908682198","browser")</x:f>
      </x:c>
      <x:c r="L7445" s="0">
        <x:f>hyperlink("https://icat2.azurewebsites.net/icat/?ontology=ICD&amp;tab=ClassesTab&amp;id=http%3A%2F%2Fwho.int%2Ficd%2344936_512ebf36_bf6b_4d70_85da_cf2637062af4","iCat")</x:f>
      </x:c>
      <x:c r="M7445" s="0" t="s">
        <x:v>21</x:v>
      </x:c>
      <x:c r="N7445" s="0" t="s">
        <x:v>46</x:v>
      </x:c>
    </x:row>
    <x:row r="7446" spans="1:16">
      <x:c r="A7446" s="0" t="s">
        <x:v>29646</x:v>
      </x:c>
      <x:c r="B7446" s="0" t="s">
        <x:v>29647</x:v>
      </x:c>
      <x:c r="C7446" s="0" t="s">
        <x:v>29648</x:v>
      </x:c>
      <x:c r="E7446" s="0" t="s">
        <x:v>29649</x:v>
      </x:c>
      <x:c r="F7446" s="0" t="s">
        <x:v>45</x:v>
      </x:c>
      <x:c r="G7446" s="0" t="s">
        <x:v>19</x:v>
      </x:c>
      <x:c r="H7446" s="0" t="s">
        <x:v>20</x:v>
      </x:c>
      <x:c r="I7446" s="0" t="s">
        <x:v>21</x:v>
      </x:c>
      <x:c r="K7446" s="0">
        <x:f>hyperlink("https://icd.who.int/dev11/l-ichi/en#/http%3A%2F%2Fid.who.int%2Ficd%2Fentity%2F318883462","browser")</x:f>
      </x:c>
      <x:c r="L7446" s="0">
        <x:f>hyperlink("https://icat2.azurewebsites.net/icat/?ontology=ICD&amp;tab=ClassesTab&amp;id=http%3A%2F%2Fwho.int%2Ficd%2344943_512ebf36_bf6b_4d70_85da_cf2637062af4","iCat")</x:f>
      </x:c>
      <x:c r="M7446" s="0" t="s">
        <x:v>21</x:v>
      </x:c>
      <x:c r="N7446" s="0" t="s">
        <x:v>46</x:v>
      </x:c>
    </x:row>
    <x:row r="7447" spans="1:16">
      <x:c r="A7447" s="0" t="s">
        <x:v>29650</x:v>
      </x:c>
      <x:c r="B7447" s="0" t="s">
        <x:v>29651</x:v>
      </x:c>
      <x:c r="C7447" s="0" t="s">
        <x:v>29652</x:v>
      </x:c>
      <x:c r="E7447" s="0" t="s">
        <x:v>29653</x:v>
      </x:c>
      <x:c r="F7447" s="0" t="s">
        <x:v>45</x:v>
      </x:c>
      <x:c r="G7447" s="0" t="s">
        <x:v>19</x:v>
      </x:c>
      <x:c r="H7447" s="0" t="s">
        <x:v>20</x:v>
      </x:c>
      <x:c r="I7447" s="0" t="s">
        <x:v>21</x:v>
      </x:c>
      <x:c r="K7447" s="0">
        <x:f>hyperlink("https://icd.who.int/dev11/l-ichi/en#/http%3A%2F%2Fid.who.int%2Ficd%2Fentity%2F660979977","browser")</x:f>
      </x:c>
      <x:c r="L7447" s="0">
        <x:f>hyperlink("https://icat2.azurewebsites.net/icat/?ontology=ICD&amp;tab=ClassesTab&amp;id=http%3A%2F%2Fwho.int%2Ficd%23520_e87d5413_a3ef_41e3_b1c4_bdb20d4d591d","iCat")</x:f>
      </x:c>
      <x:c r="M7447" s="0" t="s">
        <x:v>21</x:v>
      </x:c>
      <x:c r="N7447" s="0" t="s">
        <x:v>46</x:v>
      </x:c>
    </x:row>
    <x:row r="7448" spans="1:16">
      <x:c r="A7448" s="0" t="s">
        <x:v>29654</x:v>
      </x:c>
      <x:c r="B7448" s="0" t="s">
        <x:v>29655</x:v>
      </x:c>
      <x:c r="C7448" s="0" t="s">
        <x:v>29656</x:v>
      </x:c>
      <x:c r="E7448" s="0" t="s">
        <x:v>29657</x:v>
      </x:c>
      <x:c r="F7448" s="0" t="s">
        <x:v>45</x:v>
      </x:c>
      <x:c r="G7448" s="0" t="s">
        <x:v>19</x:v>
      </x:c>
      <x:c r="H7448" s="0" t="s">
        <x:v>20</x:v>
      </x:c>
      <x:c r="I7448" s="0" t="s">
        <x:v>21</x:v>
      </x:c>
      <x:c r="K7448" s="0">
        <x:f>hyperlink("https://icd.who.int/dev11/l-ichi/en#/http%3A%2F%2Fid.who.int%2Ficd%2Fentity%2F1010908202","browser")</x:f>
      </x:c>
      <x:c r="L7448" s="0">
        <x:f>hyperlink("https://icat2.azurewebsites.net/icat/?ontology=ICD&amp;tab=ClassesTab&amp;id=http%3A%2F%2Fwho.int%2Ficd%2344950_512ebf36_bf6b_4d70_85da_cf2637062af4","iCat")</x:f>
      </x:c>
      <x:c r="M7448" s="0" t="s">
        <x:v>21</x:v>
      </x:c>
      <x:c r="N7448" s="0" t="s">
        <x:v>46</x:v>
      </x:c>
    </x:row>
    <x:row r="7449" spans="1:16">
      <x:c r="A7449" s="0" t="s">
        <x:v>29658</x:v>
      </x:c>
      <x:c r="B7449" s="0" t="s">
        <x:v>29659</x:v>
      </x:c>
      <x:c r="C7449" s="0" t="s">
        <x:v>29660</x:v>
      </x:c>
      <x:c r="E7449" s="0" t="s">
        <x:v>29661</x:v>
      </x:c>
      <x:c r="F7449" s="0" t="s">
        <x:v>45</x:v>
      </x:c>
      <x:c r="G7449" s="0" t="s">
        <x:v>19</x:v>
      </x:c>
      <x:c r="H7449" s="0" t="s">
        <x:v>20</x:v>
      </x:c>
      <x:c r="I7449" s="0" t="s">
        <x:v>21</x:v>
      </x:c>
      <x:c r="K7449" s="0">
        <x:f>hyperlink("https://icd.who.int/dev11/l-ichi/en#/http%3A%2F%2Fid.who.int%2Ficd%2Fentity%2F1287886757","browser")</x:f>
      </x:c>
      <x:c r="L7449" s="0">
        <x:f>hyperlink("https://icat2.azurewebsites.net/icat/?ontology=ICD&amp;tab=ClassesTab&amp;id=http%3A%2F%2Fwho.int%2Ficd%2344957_512ebf36_bf6b_4d70_85da_cf2637062af4","iCat")</x:f>
      </x:c>
      <x:c r="M7449" s="0" t="s">
        <x:v>21</x:v>
      </x:c>
      <x:c r="N7449" s="0" t="s">
        <x:v>46</x:v>
      </x:c>
    </x:row>
    <x:row r="7450" spans="1:16">
      <x:c r="A7450" s="0" t="s">
        <x:v>29662</x:v>
      </x:c>
      <x:c r="B7450" s="0" t="s">
        <x:v>29663</x:v>
      </x:c>
      <x:c r="C7450" s="0" t="s">
        <x:v>29664</x:v>
      </x:c>
      <x:c r="E7450" s="0" t="s">
        <x:v>29665</x:v>
      </x:c>
      <x:c r="F7450" s="0" t="s">
        <x:v>45</x:v>
      </x:c>
      <x:c r="G7450" s="0" t="s">
        <x:v>19</x:v>
      </x:c>
      <x:c r="H7450" s="0" t="s">
        <x:v>20</x:v>
      </x:c>
      <x:c r="I7450" s="0" t="s">
        <x:v>21</x:v>
      </x:c>
      <x:c r="K7450" s="0">
        <x:f>hyperlink("https://icd.who.int/dev11/l-ichi/en#/http%3A%2F%2Fid.who.int%2Ficd%2Fentity%2F208852898","browser")</x:f>
      </x:c>
      <x:c r="L7450" s="0">
        <x:f>hyperlink("https://icat2.azurewebsites.net/icat/?ontology=ICD&amp;tab=ClassesTab&amp;id=http%3A%2F%2Fwho.int%2Ficd%2344967_512ebf36_bf6b_4d70_85da_cf2637062af4","iCat")</x:f>
      </x:c>
      <x:c r="M7450" s="0" t="s">
        <x:v>21</x:v>
      </x:c>
      <x:c r="N7450" s="0" t="s">
        <x:v>46</x:v>
      </x:c>
    </x:row>
    <x:row r="7451" spans="1:16">
      <x:c r="A7451" s="0" t="s">
        <x:v>29666</x:v>
      </x:c>
      <x:c r="B7451" s="0" t="s">
        <x:v>29667</x:v>
      </x:c>
      <x:c r="C7451" s="0" t="s">
        <x:v>29668</x:v>
      </x:c>
      <x:c r="E7451" s="0" t="s">
        <x:v>29669</x:v>
      </x:c>
      <x:c r="F7451" s="0" t="s">
        <x:v>45</x:v>
      </x:c>
      <x:c r="G7451" s="0" t="s">
        <x:v>19</x:v>
      </x:c>
      <x:c r="H7451" s="0" t="s">
        <x:v>20</x:v>
      </x:c>
      <x:c r="I7451" s="0" t="s">
        <x:v>21</x:v>
      </x:c>
      <x:c r="K7451" s="0">
        <x:f>hyperlink("https://icd.who.int/dev11/l-ichi/en#/http%3A%2F%2Fid.who.int%2Ficd%2Fentity%2F590490894","browser")</x:f>
      </x:c>
      <x:c r="L7451" s="0">
        <x:f>hyperlink("https://icat2.azurewebsites.net/icat/?ontology=ICD&amp;tab=ClassesTab&amp;id=http%3A%2F%2Fwho.int%2Ficd%2344974_512ebf36_bf6b_4d70_85da_cf2637062af4","iCat")</x:f>
      </x:c>
      <x:c r="M7451" s="0" t="s">
        <x:v>21</x:v>
      </x:c>
      <x:c r="N7451" s="0" t="s">
        <x:v>46</x:v>
      </x:c>
    </x:row>
    <x:row r="7452" spans="1:16">
      <x:c r="A7452" s="0" t="s">
        <x:v>29670</x:v>
      </x:c>
      <x:c r="B7452" s="0" t="s">
        <x:v>29671</x:v>
      </x:c>
      <x:c r="C7452" s="0" t="s">
        <x:v>29672</x:v>
      </x:c>
      <x:c r="E7452" s="0" t="s">
        <x:v>29673</x:v>
      </x:c>
      <x:c r="F7452" s="0" t="s">
        <x:v>45</x:v>
      </x:c>
      <x:c r="G7452" s="0" t="s">
        <x:v>19</x:v>
      </x:c>
      <x:c r="H7452" s="0" t="s">
        <x:v>20</x:v>
      </x:c>
      <x:c r="I7452" s="0" t="s">
        <x:v>21</x:v>
      </x:c>
      <x:c r="K7452" s="0">
        <x:f>hyperlink("https://icd.who.int/dev11/l-ichi/en#/http%3A%2F%2Fid.who.int%2Ficd%2Fentity%2F422302108","browser")</x:f>
      </x:c>
      <x:c r="L7452" s="0">
        <x:f>hyperlink("https://icat2.azurewebsites.net/icat/?ontology=ICD&amp;tab=ClassesTab&amp;id=http%3A%2F%2Fwho.int%2Ficd%2344981_512ebf36_bf6b_4d70_85da_cf2637062af4","iCat")</x:f>
      </x:c>
      <x:c r="M7452" s="0" t="s">
        <x:v>21</x:v>
      </x:c>
      <x:c r="N7452" s="0" t="s">
        <x:v>46</x:v>
      </x:c>
    </x:row>
    <x:row r="7453" spans="1:16">
      <x:c r="A7453" s="0" t="s">
        <x:v>29674</x:v>
      </x:c>
      <x:c r="B7453" s="0" t="s">
        <x:v>29675</x:v>
      </x:c>
      <x:c r="C7453" s="0" t="s">
        <x:v>29676</x:v>
      </x:c>
      <x:c r="E7453" s="0" t="s">
        <x:v>29677</x:v>
      </x:c>
      <x:c r="F7453" s="0" t="s">
        <x:v>45</x:v>
      </x:c>
      <x:c r="G7453" s="0" t="s">
        <x:v>19</x:v>
      </x:c>
      <x:c r="H7453" s="0" t="s">
        <x:v>20</x:v>
      </x:c>
      <x:c r="I7453" s="0" t="s">
        <x:v>21</x:v>
      </x:c>
      <x:c r="K7453" s="0">
        <x:f>hyperlink("https://icd.who.int/dev11/l-ichi/en#/http%3A%2F%2Fid.who.int%2Ficd%2Fentity%2F2001982195","browser")</x:f>
      </x:c>
      <x:c r="L7453" s="0">
        <x:f>hyperlink("https://icat2.azurewebsites.net/icat/?ontology=ICD&amp;tab=ClassesTab&amp;id=http%3A%2F%2Fwho.int%2Ficd%2344988_512ebf36_bf6b_4d70_85da_cf2637062af4","iCat")</x:f>
      </x:c>
      <x:c r="M7453" s="0" t="s">
        <x:v>21</x:v>
      </x:c>
      <x:c r="N7453" s="0" t="s">
        <x:v>46</x:v>
      </x:c>
    </x:row>
    <x:row r="7454" spans="1:16">
      <x:c r="A7454" s="0" t="s">
        <x:v>29678</x:v>
      </x:c>
      <x:c r="B7454" s="0" t="s">
        <x:v>29679</x:v>
      </x:c>
      <x:c r="C7454" s="0" t="s">
        <x:v>29680</x:v>
      </x:c>
      <x:c r="E7454" s="0" t="s">
        <x:v>29681</x:v>
      </x:c>
      <x:c r="F7454" s="0" t="s">
        <x:v>45</x:v>
      </x:c>
      <x:c r="G7454" s="0" t="s">
        <x:v>19</x:v>
      </x:c>
      <x:c r="H7454" s="0" t="s">
        <x:v>20</x:v>
      </x:c>
      <x:c r="I7454" s="0" t="s">
        <x:v>21</x:v>
      </x:c>
      <x:c r="K7454" s="0">
        <x:f>hyperlink("https://icd.who.int/dev11/l-ichi/en#/http%3A%2F%2Fid.who.int%2Ficd%2Fentity%2F1189707961","browser")</x:f>
      </x:c>
      <x:c r="L7454" s="0">
        <x:f>hyperlink("https://icat2.azurewebsites.net/icat/?ontology=ICD&amp;tab=ClassesTab&amp;id=http%3A%2F%2Fwho.int%2Ficd%2344995_512ebf36_bf6b_4d70_85da_cf2637062af4","iCat")</x:f>
      </x:c>
      <x:c r="M7454" s="0" t="s">
        <x:v>21</x:v>
      </x:c>
      <x:c r="N7454" s="0" t="s">
        <x:v>46</x:v>
      </x:c>
    </x:row>
    <x:row r="7455" spans="1:16">
      <x:c r="A7455" s="0" t="s">
        <x:v>29682</x:v>
      </x:c>
      <x:c r="B7455" s="0" t="s">
        <x:v>29683</x:v>
      </x:c>
      <x:c r="C7455" s="0" t="s">
        <x:v>29684</x:v>
      </x:c>
      <x:c r="E7455" s="0" t="s">
        <x:v>29685</x:v>
      </x:c>
      <x:c r="F7455" s="0" t="s">
        <x:v>45</x:v>
      </x:c>
      <x:c r="G7455" s="0" t="s">
        <x:v>19</x:v>
      </x:c>
      <x:c r="H7455" s="0" t="s">
        <x:v>20</x:v>
      </x:c>
      <x:c r="I7455" s="0" t="s">
        <x:v>21</x:v>
      </x:c>
      <x:c r="K7455" s="0">
        <x:f>hyperlink("https://icd.who.int/dev11/l-ichi/en#/http%3A%2F%2Fid.who.int%2Ficd%2Fentity%2F1173517023","browser")</x:f>
      </x:c>
      <x:c r="L7455" s="0">
        <x:f>hyperlink("https://icat2.azurewebsites.net/icat/?ontology=ICD&amp;tab=ClassesTab&amp;id=http%3A%2F%2Fwho.int%2Ficd%2345003_512ebf36_bf6b_4d70_85da_cf2637062af4","iCat")</x:f>
      </x:c>
      <x:c r="M7455" s="0" t="s">
        <x:v>21</x:v>
      </x:c>
      <x:c r="N7455" s="0" t="s">
        <x:v>46</x:v>
      </x:c>
    </x:row>
    <x:row r="7456" spans="1:16">
      <x:c r="A7456" s="0" t="s">
        <x:v>29686</x:v>
      </x:c>
      <x:c r="B7456" s="0" t="s">
        <x:v>29687</x:v>
      </x:c>
      <x:c r="C7456" s="0" t="s">
        <x:v>29688</x:v>
      </x:c>
      <x:c r="E7456" s="0" t="s">
        <x:v>29689</x:v>
      </x:c>
      <x:c r="F7456" s="0" t="s">
        <x:v>45</x:v>
      </x:c>
      <x:c r="G7456" s="0" t="s">
        <x:v>19</x:v>
      </x:c>
      <x:c r="H7456" s="0" t="s">
        <x:v>20</x:v>
      </x:c>
      <x:c r="I7456" s="0" t="s">
        <x:v>21</x:v>
      </x:c>
      <x:c r="K7456" s="0">
        <x:f>hyperlink("https://icd.who.int/dev11/l-ichi/en#/http%3A%2F%2Fid.who.int%2Ficd%2Fentity%2F1790085233","browser")</x:f>
      </x:c>
      <x:c r="L7456" s="0">
        <x:f>hyperlink("https://icat2.azurewebsites.net/icat/?ontology=ICD&amp;tab=ClassesTab&amp;id=http%3A%2F%2Fwho.int%2Ficd%2345010_512ebf36_bf6b_4d70_85da_cf2637062af4","iCat")</x:f>
      </x:c>
      <x:c r="M7456" s="0" t="s">
        <x:v>21</x:v>
      </x:c>
      <x:c r="N7456" s="0" t="s">
        <x:v>46</x:v>
      </x:c>
    </x:row>
    <x:row r="7457" spans="1:16">
      <x:c r="A7457" s="0" t="s">
        <x:v>29690</x:v>
      </x:c>
      <x:c r="B7457" s="0" t="s">
        <x:v>29691</x:v>
      </x:c>
      <x:c r="C7457" s="0" t="s">
        <x:v>29692</x:v>
      </x:c>
      <x:c r="E7457" s="0" t="s">
        <x:v>29693</x:v>
      </x:c>
      <x:c r="F7457" s="0" t="s">
        <x:v>45</x:v>
      </x:c>
      <x:c r="G7457" s="0" t="s">
        <x:v>19</x:v>
      </x:c>
      <x:c r="H7457" s="0" t="s">
        <x:v>20</x:v>
      </x:c>
      <x:c r="I7457" s="0" t="s">
        <x:v>21</x:v>
      </x:c>
      <x:c r="K7457" s="0">
        <x:f>hyperlink("https://icd.who.int/dev11/l-ichi/en#/http%3A%2F%2Fid.who.int%2Ficd%2Fentity%2F439362556","browser")</x:f>
      </x:c>
      <x:c r="L7457" s="0">
        <x:f>hyperlink("https://icat2.azurewebsites.net/icat/?ontology=ICD&amp;tab=ClassesTab&amp;id=http%3A%2F%2Fwho.int%2Ficd%2345017_512ebf36_bf6b_4d70_85da_cf2637062af4","iCat")</x:f>
      </x:c>
      <x:c r="M7457" s="0" t="s">
        <x:v>21</x:v>
      </x:c>
      <x:c r="N7457" s="0" t="s">
        <x:v>46</x:v>
      </x:c>
    </x:row>
    <x:row r="7458" spans="1:16">
      <x:c r="A7458" s="0" t="s">
        <x:v>29694</x:v>
      </x:c>
      <x:c r="B7458" s="0" t="s">
        <x:v>29695</x:v>
      </x:c>
      <x:c r="C7458" s="0" t="s">
        <x:v>29696</x:v>
      </x:c>
      <x:c r="E7458" s="0" t="s">
        <x:v>29697</x:v>
      </x:c>
      <x:c r="F7458" s="0" t="s">
        <x:v>45</x:v>
      </x:c>
      <x:c r="G7458" s="0" t="s">
        <x:v>19</x:v>
      </x:c>
      <x:c r="H7458" s="0" t="s">
        <x:v>20</x:v>
      </x:c>
      <x:c r="I7458" s="0" t="s">
        <x:v>21</x:v>
      </x:c>
      <x:c r="K7458" s="0">
        <x:f>hyperlink("https://icd.who.int/dev11/l-ichi/en#/http%3A%2F%2Fid.who.int%2Ficd%2Fentity%2F1073577536","browser")</x:f>
      </x:c>
      <x:c r="L7458" s="0">
        <x:f>hyperlink("https://icat2.azurewebsites.net/icat/?ontology=ICD&amp;tab=ClassesTab&amp;id=http%3A%2F%2Fwho.int%2Ficd%2345025_512ebf36_bf6b_4d70_85da_cf2637062af4","iCat")</x:f>
      </x:c>
      <x:c r="M7458" s="0" t="s">
        <x:v>21</x:v>
      </x:c>
      <x:c r="N7458" s="0" t="s">
        <x:v>46</x:v>
      </x:c>
    </x:row>
    <x:row r="7459" spans="1:16">
      <x:c r="A7459" s="0" t="s">
        <x:v>29698</x:v>
      </x:c>
      <x:c r="B7459" s="0" t="s">
        <x:v>29699</x:v>
      </x:c>
      <x:c r="C7459" s="0" t="s">
        <x:v>29700</x:v>
      </x:c>
      <x:c r="E7459" s="0" t="s">
        <x:v>29701</x:v>
      </x:c>
      <x:c r="F7459" s="0" t="s">
        <x:v>45</x:v>
      </x:c>
      <x:c r="G7459" s="0" t="s">
        <x:v>19</x:v>
      </x:c>
      <x:c r="H7459" s="0" t="s">
        <x:v>20</x:v>
      </x:c>
      <x:c r="I7459" s="0" t="s">
        <x:v>21</x:v>
      </x:c>
      <x:c r="K7459" s="0">
        <x:f>hyperlink("https://icd.who.int/dev11/l-ichi/en#/http%3A%2F%2Fid.who.int%2Ficd%2Fentity%2F632963302","browser")</x:f>
      </x:c>
      <x:c r="L7459" s="0">
        <x:f>hyperlink("https://icat2.azurewebsites.net/icat/?ontology=ICD&amp;tab=ClassesTab&amp;id=http%3A%2F%2Fwho.int%2Ficd%2345032_512ebf36_bf6b_4d70_85da_cf2637062af4","iCat")</x:f>
      </x:c>
      <x:c r="M7459" s="0" t="s">
        <x:v>21</x:v>
      </x:c>
      <x:c r="N7459" s="0" t="s">
        <x:v>46</x:v>
      </x:c>
    </x:row>
    <x:row r="7460" spans="1:16">
      <x:c r="A7460" s="0" t="s">
        <x:v>29702</x:v>
      </x:c>
      <x:c r="B7460" s="0" t="s">
        <x:v>29703</x:v>
      </x:c>
      <x:c r="C7460" s="0" t="s">
        <x:v>29704</x:v>
      </x:c>
      <x:c r="E7460" s="0" t="s">
        <x:v>29705</x:v>
      </x:c>
      <x:c r="F7460" s="0" t="s">
        <x:v>45</x:v>
      </x:c>
      <x:c r="G7460" s="0" t="s">
        <x:v>19</x:v>
      </x:c>
      <x:c r="H7460" s="0" t="s">
        <x:v>20</x:v>
      </x:c>
      <x:c r="I7460" s="0" t="s">
        <x:v>21</x:v>
      </x:c>
      <x:c r="K7460" s="0">
        <x:f>hyperlink("https://icd.who.int/dev11/l-ichi/en#/http%3A%2F%2Fid.who.int%2Ficd%2Fentity%2F784227912","browser")</x:f>
      </x:c>
      <x:c r="L7460" s="0">
        <x:f>hyperlink("https://icat2.azurewebsites.net/icat/?ontology=ICD&amp;tab=ClassesTab&amp;id=http%3A%2F%2Fwho.int%2Ficd%2345039_512ebf36_bf6b_4d70_85da_cf2637062af4","iCat")</x:f>
      </x:c>
      <x:c r="M7460" s="0" t="s">
        <x:v>21</x:v>
      </x:c>
      <x:c r="N7460" s="0" t="s">
        <x:v>46</x:v>
      </x:c>
    </x:row>
    <x:row r="7461" spans="1:16">
      <x:c r="A7461" s="0" t="s">
        <x:v>29706</x:v>
      </x:c>
      <x:c r="B7461" s="0" t="s">
        <x:v>29707</x:v>
      </x:c>
      <x:c r="C7461" s="0" t="s">
        <x:v>29708</x:v>
      </x:c>
      <x:c r="E7461" s="0" t="s">
        <x:v>29709</x:v>
      </x:c>
      <x:c r="F7461" s="0" t="s">
        <x:v>45</x:v>
      </x:c>
      <x:c r="G7461" s="0" t="s">
        <x:v>19</x:v>
      </x:c>
      <x:c r="H7461" s="0" t="s">
        <x:v>20</x:v>
      </x:c>
      <x:c r="I7461" s="0" t="s">
        <x:v>21</x:v>
      </x:c>
      <x:c r="K7461" s="0">
        <x:f>hyperlink("https://icd.who.int/dev11/l-ichi/en#/http%3A%2F%2Fid.who.int%2Ficd%2Fentity%2F254504228","browser")</x:f>
      </x:c>
      <x:c r="L7461" s="0">
        <x:f>hyperlink("https://icat2.azurewebsites.net/icat/?ontology=ICD&amp;tab=ClassesTab&amp;id=http%3A%2F%2Fwho.int%2Ficd%2345055_512ebf36_bf6b_4d70_85da_cf2637062af4","iCat")</x:f>
      </x:c>
      <x:c r="M7461" s="0" t="s">
        <x:v>21</x:v>
      </x:c>
      <x:c r="N7461" s="0" t="s">
        <x:v>46</x:v>
      </x:c>
    </x:row>
    <x:row r="7462" spans="1:16">
      <x:c r="A7462" s="0" t="s">
        <x:v>29710</x:v>
      </x:c>
      <x:c r="B7462" s="0" t="s">
        <x:v>29711</x:v>
      </x:c>
      <x:c r="C7462" s="0" t="s">
        <x:v>29712</x:v>
      </x:c>
      <x:c r="E7462" s="0" t="s">
        <x:v>29713</x:v>
      </x:c>
      <x:c r="F7462" s="0" t="s">
        <x:v>45</x:v>
      </x:c>
      <x:c r="G7462" s="0" t="s">
        <x:v>19</x:v>
      </x:c>
      <x:c r="H7462" s="0" t="s">
        <x:v>20</x:v>
      </x:c>
      <x:c r="I7462" s="0" t="s">
        <x:v>21</x:v>
      </x:c>
      <x:c r="K7462" s="0">
        <x:f>hyperlink("https://icd.who.int/dev11/l-ichi/en#/http%3A%2F%2Fid.who.int%2Ficd%2Fentity%2F1058571952","browser")</x:f>
      </x:c>
      <x:c r="L7462" s="0">
        <x:f>hyperlink("https://icat2.azurewebsites.net/icat/?ontology=ICD&amp;tab=ClassesTab&amp;id=http%3A%2F%2Fwho.int%2Ficd%2345062_512ebf36_bf6b_4d70_85da_cf2637062af4","iCat")</x:f>
      </x:c>
      <x:c r="M7462" s="0" t="s">
        <x:v>21</x:v>
      </x:c>
      <x:c r="N7462" s="0" t="s">
        <x:v>46</x:v>
      </x:c>
    </x:row>
    <x:row r="7463" spans="1:16">
      <x:c r="A7463" s="0" t="s">
        <x:v>29714</x:v>
      </x:c>
      <x:c r="B7463" s="0" t="s">
        <x:v>29715</x:v>
      </x:c>
      <x:c r="C7463" s="0" t="s">
        <x:v>29716</x:v>
      </x:c>
      <x:c r="E7463" s="0" t="s">
        <x:v>29717</x:v>
      </x:c>
      <x:c r="F7463" s="0" t="s">
        <x:v>45</x:v>
      </x:c>
      <x:c r="G7463" s="0" t="s">
        <x:v>19</x:v>
      </x:c>
      <x:c r="H7463" s="0" t="s">
        <x:v>20</x:v>
      </x:c>
      <x:c r="I7463" s="0" t="s">
        <x:v>21</x:v>
      </x:c>
      <x:c r="K7463" s="0">
        <x:f>hyperlink("https://icd.who.int/dev11/l-ichi/en#/http%3A%2F%2Fid.who.int%2Ficd%2Fentity%2F874289154","browser")</x:f>
      </x:c>
      <x:c r="L7463" s="0">
        <x:f>hyperlink("https://icat2.azurewebsites.net/icat/?ontology=ICD&amp;tab=ClassesTab&amp;id=http%3A%2F%2Fwho.int%2Ficd%2345069_512ebf36_bf6b_4d70_85da_cf2637062af4","iCat")</x:f>
      </x:c>
      <x:c r="M7463" s="0" t="s">
        <x:v>21</x:v>
      </x:c>
      <x:c r="N7463" s="0" t="s">
        <x:v>46</x:v>
      </x:c>
    </x:row>
    <x:row r="7464" spans="1:16">
      <x:c r="A7464" s="0" t="s">
        <x:v>29718</x:v>
      </x:c>
      <x:c r="B7464" s="0" t="s">
        <x:v>29719</x:v>
      </x:c>
      <x:c r="C7464" s="0" t="s">
        <x:v>29720</x:v>
      </x:c>
      <x:c r="E7464" s="0" t="s">
        <x:v>29721</x:v>
      </x:c>
      <x:c r="F7464" s="0" t="s">
        <x:v>45</x:v>
      </x:c>
      <x:c r="G7464" s="0" t="s">
        <x:v>19</x:v>
      </x:c>
      <x:c r="H7464" s="0" t="s">
        <x:v>20</x:v>
      </x:c>
      <x:c r="I7464" s="0" t="s">
        <x:v>21</x:v>
      </x:c>
      <x:c r="K7464" s="0">
        <x:f>hyperlink("https://icd.who.int/dev11/l-ichi/en#/http%3A%2F%2Fid.who.int%2Ficd%2Fentity%2F1076078001","browser")</x:f>
      </x:c>
      <x:c r="L7464" s="0">
        <x:f>hyperlink("https://icat2.azurewebsites.net/icat/?ontology=ICD&amp;tab=ClassesTab&amp;id=http%3A%2F%2Fwho.int%2Ficd%2345077_512ebf36_bf6b_4d70_85da_cf2637062af4","iCat")</x:f>
      </x:c>
      <x:c r="M7464" s="0" t="s">
        <x:v>21</x:v>
      </x:c>
      <x:c r="N7464" s="0" t="s">
        <x:v>46</x:v>
      </x:c>
    </x:row>
    <x:row r="7465" spans="1:16">
      <x:c r="A7465" s="0" t="s">
        <x:v>29722</x:v>
      </x:c>
      <x:c r="B7465" s="0" t="s">
        <x:v>29723</x:v>
      </x:c>
      <x:c r="C7465" s="0" t="s">
        <x:v>29724</x:v>
      </x:c>
      <x:c r="E7465" s="0" t="s">
        <x:v>29725</x:v>
      </x:c>
      <x:c r="F7465" s="0" t="s">
        <x:v>45</x:v>
      </x:c>
      <x:c r="G7465" s="0" t="s">
        <x:v>19</x:v>
      </x:c>
      <x:c r="H7465" s="0" t="s">
        <x:v>20</x:v>
      </x:c>
      <x:c r="I7465" s="0" t="s">
        <x:v>21</x:v>
      </x:c>
      <x:c r="K7465" s="0">
        <x:f>hyperlink("https://icd.who.int/dev11/l-ichi/en#/http%3A%2F%2Fid.who.int%2Ficd%2Fentity%2F708935830","browser")</x:f>
      </x:c>
      <x:c r="L7465" s="0">
        <x:f>hyperlink("https://icat2.azurewebsites.net/icat/?ontology=ICD&amp;tab=ClassesTab&amp;id=http%3A%2F%2Fwho.int%2Ficd%2345084_512ebf36_bf6b_4d70_85da_cf2637062af4","iCat")</x:f>
      </x:c>
      <x:c r="M7465" s="0" t="s">
        <x:v>21</x:v>
      </x:c>
      <x:c r="N7465" s="0" t="s">
        <x:v>46</x:v>
      </x:c>
    </x:row>
    <x:row r="7466" spans="1:16">
      <x:c r="A7466" s="0" t="s">
        <x:v>29726</x:v>
      </x:c>
      <x:c r="B7466" s="0" t="s">
        <x:v>29727</x:v>
      </x:c>
      <x:c r="C7466" s="0" t="s">
        <x:v>29728</x:v>
      </x:c>
      <x:c r="E7466" s="0" t="s">
        <x:v>29729</x:v>
      </x:c>
      <x:c r="F7466" s="0" t="s">
        <x:v>45</x:v>
      </x:c>
      <x:c r="G7466" s="0" t="s">
        <x:v>19</x:v>
      </x:c>
      <x:c r="H7466" s="0" t="s">
        <x:v>20</x:v>
      </x:c>
      <x:c r="I7466" s="0" t="s">
        <x:v>21</x:v>
      </x:c>
      <x:c r="K7466" s="0">
        <x:f>hyperlink("https://icd.who.int/dev11/l-ichi/en#/http%3A%2F%2Fid.who.int%2Ficd%2Fentity%2F1434100617","browser")</x:f>
      </x:c>
      <x:c r="L7466" s="0">
        <x:f>hyperlink("https://icat2.azurewebsites.net/icat/?ontology=ICD&amp;tab=ClassesTab&amp;id=http%3A%2F%2Fwho.int%2Ficd%2345091_512ebf36_bf6b_4d70_85da_cf2637062af4","iCat")</x:f>
      </x:c>
      <x:c r="M7466" s="0" t="s">
        <x:v>21</x:v>
      </x:c>
      <x:c r="N7466" s="0" t="s">
        <x:v>46</x:v>
      </x:c>
    </x:row>
    <x:row r="7467" spans="1:16">
      <x:c r="A7467" s="0" t="s">
        <x:v>29730</x:v>
      </x:c>
      <x:c r="B7467" s="0" t="s">
        <x:v>29731</x:v>
      </x:c>
      <x:c r="C7467" s="0" t="s">
        <x:v>29732</x:v>
      </x:c>
      <x:c r="E7467" s="0" t="s">
        <x:v>29733</x:v>
      </x:c>
      <x:c r="F7467" s="0" t="s">
        <x:v>45</x:v>
      </x:c>
      <x:c r="G7467" s="0" t="s">
        <x:v>19</x:v>
      </x:c>
      <x:c r="H7467" s="0" t="s">
        <x:v>20</x:v>
      </x:c>
      <x:c r="I7467" s="0" t="s">
        <x:v>21</x:v>
      </x:c>
      <x:c r="K7467" s="0">
        <x:f>hyperlink("https://icd.who.int/dev11/l-ichi/en#/http%3A%2F%2Fid.who.int%2Ficd%2Fentity%2F990028002","browser")</x:f>
      </x:c>
      <x:c r="L7467" s="0">
        <x:f>hyperlink("https://icat2.azurewebsites.net/icat/?ontology=ICD&amp;tab=ClassesTab&amp;id=http%3A%2F%2Fwho.int%2Ficd%2345098_512ebf36_bf6b_4d70_85da_cf2637062af4","iCat")</x:f>
      </x:c>
      <x:c r="M7467" s="0" t="s">
        <x:v>21</x:v>
      </x:c>
      <x:c r="N7467" s="0" t="s">
        <x:v>46</x:v>
      </x:c>
    </x:row>
    <x:row r="7468" spans="1:16">
      <x:c r="A7468" s="0" t="s">
        <x:v>29734</x:v>
      </x:c>
      <x:c r="B7468" s="0" t="s">
        <x:v>29735</x:v>
      </x:c>
      <x:c r="C7468" s="0" t="s">
        <x:v>29736</x:v>
      </x:c>
      <x:c r="E7468" s="0" t="s">
        <x:v>29737</x:v>
      </x:c>
      <x:c r="F7468" s="0" t="s">
        <x:v>45</x:v>
      </x:c>
      <x:c r="G7468" s="0" t="s">
        <x:v>19</x:v>
      </x:c>
      <x:c r="H7468" s="0" t="s">
        <x:v>20</x:v>
      </x:c>
      <x:c r="I7468" s="0" t="s">
        <x:v>21</x:v>
      </x:c>
      <x:c r="K7468" s="0">
        <x:f>hyperlink("https://icd.who.int/dev11/l-ichi/en#/http%3A%2F%2Fid.who.int%2Ficd%2Fentity%2F1612082675","browser")</x:f>
      </x:c>
      <x:c r="L7468" s="0">
        <x:f>hyperlink("https://icat2.azurewebsites.net/icat/?ontology=ICD&amp;tab=ClassesTab&amp;id=http%3A%2F%2Fwho.int%2Ficd%2345105_512ebf36_bf6b_4d70_85da_cf2637062af4","iCat")</x:f>
      </x:c>
      <x:c r="M7468" s="0" t="s">
        <x:v>21</x:v>
      </x:c>
      <x:c r="N7468" s="0" t="s">
        <x:v>46</x:v>
      </x:c>
    </x:row>
    <x:row r="7469" spans="1:16">
      <x:c r="A7469" s="0" t="s">
        <x:v>29738</x:v>
      </x:c>
      <x:c r="B7469" s="0" t="s">
        <x:v>29739</x:v>
      </x:c>
      <x:c r="C7469" s="0" t="s">
        <x:v>29740</x:v>
      </x:c>
      <x:c r="E7469" s="0" t="s">
        <x:v>29741</x:v>
      </x:c>
      <x:c r="F7469" s="0" t="s">
        <x:v>45</x:v>
      </x:c>
      <x:c r="G7469" s="0" t="s">
        <x:v>19</x:v>
      </x:c>
      <x:c r="H7469" s="0" t="s">
        <x:v>20</x:v>
      </x:c>
      <x:c r="I7469" s="0" t="s">
        <x:v>21</x:v>
      </x:c>
      <x:c r="K7469" s="0">
        <x:f>hyperlink("https://icd.who.int/dev11/l-ichi/en#/http%3A%2F%2Fid.who.int%2Ficd%2Fentity%2F2061886790","browser")</x:f>
      </x:c>
      <x:c r="L7469" s="0">
        <x:f>hyperlink("https://icat2.azurewebsites.net/icat/?ontology=ICD&amp;tab=ClassesTab&amp;id=http%3A%2F%2Fwho.int%2Ficd%23134_dd4d4347_e398_43b9_84dd_c9611ca6abfa","iCat")</x:f>
      </x:c>
      <x:c r="M7469" s="0" t="s">
        <x:v>21</x:v>
      </x:c>
      <x:c r="N7469" s="0" t="s">
        <x:v>46</x:v>
      </x:c>
    </x:row>
    <x:row r="7470" spans="1:16">
      <x:c r="A7470" s="0" t="s">
        <x:v>29742</x:v>
      </x:c>
      <x:c r="B7470" s="0" t="s">
        <x:v>29743</x:v>
      </x:c>
      <x:c r="C7470" s="0" t="s">
        <x:v>29744</x:v>
      </x:c>
      <x:c r="E7470" s="0" t="s">
        <x:v>29745</x:v>
      </x:c>
      <x:c r="F7470" s="0" t="s">
        <x:v>45</x:v>
      </x:c>
      <x:c r="G7470" s="0" t="s">
        <x:v>19</x:v>
      </x:c>
      <x:c r="H7470" s="0" t="s">
        <x:v>20</x:v>
      </x:c>
      <x:c r="I7470" s="0" t="s">
        <x:v>21</x:v>
      </x:c>
      <x:c r="K7470" s="0">
        <x:f>hyperlink("https://icd.who.int/dev11/l-ichi/en#/http%3A%2F%2Fid.who.int%2Ficd%2Fentity%2F2052150057","browser")</x:f>
      </x:c>
      <x:c r="L7470" s="0">
        <x:f>hyperlink("https://icat2.azurewebsites.net/icat/?ontology=ICD&amp;tab=ClassesTab&amp;id=http%3A%2F%2Fwho.int%2Ficd%2345112_512ebf36_bf6b_4d70_85da_cf2637062af4","iCat")</x:f>
      </x:c>
      <x:c r="M7470" s="0" t="s">
        <x:v>21</x:v>
      </x:c>
      <x:c r="N7470" s="0" t="s">
        <x:v>46</x:v>
      </x:c>
    </x:row>
    <x:row r="7471" spans="1:16">
      <x:c r="A7471" s="0" t="s">
        <x:v>29746</x:v>
      </x:c>
      <x:c r="B7471" s="0" t="s">
        <x:v>29747</x:v>
      </x:c>
      <x:c r="C7471" s="0" t="s">
        <x:v>29748</x:v>
      </x:c>
      <x:c r="E7471" s="0" t="s">
        <x:v>29749</x:v>
      </x:c>
      <x:c r="F7471" s="0" t="s">
        <x:v>45</x:v>
      </x:c>
      <x:c r="G7471" s="0" t="s">
        <x:v>19</x:v>
      </x:c>
      <x:c r="H7471" s="0" t="s">
        <x:v>20</x:v>
      </x:c>
      <x:c r="I7471" s="0" t="s">
        <x:v>21</x:v>
      </x:c>
      <x:c r="K7471" s="0">
        <x:f>hyperlink("https://icd.who.int/dev11/l-ichi/en#/http%3A%2F%2Fid.who.int%2Ficd%2Fentity%2F1901415813","browser")</x:f>
      </x:c>
      <x:c r="L7471" s="0">
        <x:f>hyperlink("https://icat2.azurewebsites.net/icat/?ontology=ICD&amp;tab=ClassesTab&amp;id=http%3A%2F%2Fwho.int%2Ficd%2345119_512ebf36_bf6b_4d70_85da_cf2637062af4","iCat")</x:f>
      </x:c>
      <x:c r="M7471" s="0" t="s">
        <x:v>21</x:v>
      </x:c>
      <x:c r="N7471" s="0" t="s">
        <x:v>46</x:v>
      </x:c>
    </x:row>
    <x:row r="7472" spans="1:16">
      <x:c r="A7472" s="0" t="s">
        <x:v>29750</x:v>
      </x:c>
      <x:c r="B7472" s="0" t="s">
        <x:v>29751</x:v>
      </x:c>
      <x:c r="C7472" s="0" t="s">
        <x:v>29752</x:v>
      </x:c>
      <x:c r="E7472" s="0" t="s">
        <x:v>29753</x:v>
      </x:c>
      <x:c r="F7472" s="0" t="s">
        <x:v>45</x:v>
      </x:c>
      <x:c r="G7472" s="0" t="s">
        <x:v>19</x:v>
      </x:c>
      <x:c r="H7472" s="0" t="s">
        <x:v>20</x:v>
      </x:c>
      <x:c r="I7472" s="0" t="s">
        <x:v>21</x:v>
      </x:c>
      <x:c r="K7472" s="0">
        <x:f>hyperlink("https://icd.who.int/dev11/l-ichi/en#/http%3A%2F%2Fid.who.int%2Ficd%2Fentity%2F266852186","browser")</x:f>
      </x:c>
      <x:c r="L7472" s="0">
        <x:f>hyperlink("https://icat2.azurewebsites.net/icat/?ontology=ICD&amp;tab=ClassesTab&amp;id=http%3A%2F%2Fwho.int%2Ficd%2345126_512ebf36_bf6b_4d70_85da_cf2637062af4","iCat")</x:f>
      </x:c>
      <x:c r="M7472" s="0" t="s">
        <x:v>21</x:v>
      </x:c>
      <x:c r="N7472" s="0" t="s">
        <x:v>46</x:v>
      </x:c>
    </x:row>
    <x:row r="7473" spans="1:16">
      <x:c r="A7473" s="0" t="s">
        <x:v>29754</x:v>
      </x:c>
      <x:c r="B7473" s="0" t="s">
        <x:v>29755</x:v>
      </x:c>
      <x:c r="C7473" s="0" t="s">
        <x:v>29756</x:v>
      </x:c>
      <x:c r="E7473" s="0" t="s">
        <x:v>29757</x:v>
      </x:c>
      <x:c r="F7473" s="0" t="s">
        <x:v>45</x:v>
      </x:c>
      <x:c r="G7473" s="0" t="s">
        <x:v>19</x:v>
      </x:c>
      <x:c r="H7473" s="0" t="s">
        <x:v>20</x:v>
      </x:c>
      <x:c r="I7473" s="0" t="s">
        <x:v>21</x:v>
      </x:c>
      <x:c r="K7473" s="0">
        <x:f>hyperlink("https://icd.who.int/dev11/l-ichi/en#/http%3A%2F%2Fid.who.int%2Ficd%2Fentity%2F1893528645","browser")</x:f>
      </x:c>
      <x:c r="L7473" s="0">
        <x:f>hyperlink("https://icat2.azurewebsites.net/icat/?ontology=ICD&amp;tab=ClassesTab&amp;id=http%3A%2F%2Fwho.int%2Ficd%2345133_512ebf36_bf6b_4d70_85da_cf2637062af4","iCat")</x:f>
      </x:c>
      <x:c r="M7473" s="0" t="s">
        <x:v>21</x:v>
      </x:c>
      <x:c r="N7473" s="0" t="s">
        <x:v>46</x:v>
      </x:c>
    </x:row>
    <x:row r="7474" spans="1:16">
      <x:c r="A7474" s="0" t="s">
        <x:v>29758</x:v>
      </x:c>
      <x:c r="B7474" s="0" t="s">
        <x:v>29759</x:v>
      </x:c>
      <x:c r="C7474" s="0" t="s">
        <x:v>29760</x:v>
      </x:c>
      <x:c r="E7474" s="0" t="s">
        <x:v>29761</x:v>
      </x:c>
      <x:c r="F7474" s="0" t="s">
        <x:v>45</x:v>
      </x:c>
      <x:c r="G7474" s="0" t="s">
        <x:v>19</x:v>
      </x:c>
      <x:c r="H7474" s="0" t="s">
        <x:v>20</x:v>
      </x:c>
      <x:c r="I7474" s="0" t="s">
        <x:v>21</x:v>
      </x:c>
      <x:c r="K7474" s="0">
        <x:f>hyperlink("https://icd.who.int/dev11/l-ichi/en#/http%3A%2F%2Fid.who.int%2Ficd%2Fentity%2F93292710","browser")</x:f>
      </x:c>
      <x:c r="L7474" s="0">
        <x:f>hyperlink("https://icat2.azurewebsites.net/icat/?ontology=ICD&amp;tab=ClassesTab&amp;id=http%3A%2F%2Fwho.int%2Ficd%2345140_512ebf36_bf6b_4d70_85da_cf2637062af4","iCat")</x:f>
      </x:c>
      <x:c r="M7474" s="0" t="s">
        <x:v>21</x:v>
      </x:c>
      <x:c r="N7474" s="0" t="s">
        <x:v>46</x:v>
      </x:c>
    </x:row>
    <x:row r="7475" spans="1:16">
      <x:c r="A7475" s="0" t="s">
        <x:v>29762</x:v>
      </x:c>
      <x:c r="B7475" s="0" t="s">
        <x:v>29763</x:v>
      </x:c>
      <x:c r="C7475" s="0" t="s">
        <x:v>29764</x:v>
      </x:c>
      <x:c r="E7475" s="0" t="s">
        <x:v>29765</x:v>
      </x:c>
      <x:c r="F7475" s="0" t="s">
        <x:v>45</x:v>
      </x:c>
      <x:c r="G7475" s="0" t="s">
        <x:v>19</x:v>
      </x:c>
      <x:c r="H7475" s="0" t="s">
        <x:v>20</x:v>
      </x:c>
      <x:c r="I7475" s="0" t="s">
        <x:v>21</x:v>
      </x:c>
      <x:c r="K7475" s="0">
        <x:f>hyperlink("https://icd.who.int/dev11/l-ichi/en#/http%3A%2F%2Fid.who.int%2Ficd%2Fentity%2F1963795243","browser")</x:f>
      </x:c>
      <x:c r="L7475" s="0">
        <x:f>hyperlink("https://icat2.azurewebsites.net/icat/?ontology=ICD&amp;tab=ClassesTab&amp;id=http%3A%2F%2Fwho.int%2Ficd%2345147_512ebf36_bf6b_4d70_85da_cf2637062af4","iCat")</x:f>
      </x:c>
      <x:c r="M7475" s="0" t="s">
        <x:v>21</x:v>
      </x:c>
      <x:c r="N7475" s="0" t="s">
        <x:v>46</x:v>
      </x:c>
    </x:row>
    <x:row r="7476" spans="1:16">
      <x:c r="A7476" s="0" t="s">
        <x:v>29766</x:v>
      </x:c>
      <x:c r="B7476" s="0" t="s">
        <x:v>29767</x:v>
      </x:c>
      <x:c r="C7476" s="0" t="s">
        <x:v>29768</x:v>
      </x:c>
      <x:c r="E7476" s="0" t="s">
        <x:v>29769</x:v>
      </x:c>
      <x:c r="F7476" s="0" t="s">
        <x:v>45</x:v>
      </x:c>
      <x:c r="G7476" s="0" t="s">
        <x:v>19</x:v>
      </x:c>
      <x:c r="H7476" s="0" t="s">
        <x:v>20</x:v>
      </x:c>
      <x:c r="I7476" s="0" t="s">
        <x:v>21</x:v>
      </x:c>
      <x:c r="K7476" s="0">
        <x:f>hyperlink("https://icd.who.int/dev11/l-ichi/en#/http%3A%2F%2Fid.who.int%2Ficd%2Fentity%2F1515051397","browser")</x:f>
      </x:c>
      <x:c r="L7476" s="0">
        <x:f>hyperlink("https://icat2.azurewebsites.net/icat/?ontology=ICD&amp;tab=ClassesTab&amp;id=http%3A%2F%2Fwho.int%2Ficd%2345154_512ebf36_bf6b_4d70_85da_cf2637062af4","iCat")</x:f>
      </x:c>
      <x:c r="M7476" s="0" t="s">
        <x:v>21</x:v>
      </x:c>
      <x:c r="N7476" s="0" t="s">
        <x:v>46</x:v>
      </x:c>
    </x:row>
    <x:row r="7477" spans="1:16">
      <x:c r="A7477" s="0" t="s">
        <x:v>29770</x:v>
      </x:c>
      <x:c r="B7477" s="0" t="s">
        <x:v>29771</x:v>
      </x:c>
      <x:c r="C7477" s="0" t="s">
        <x:v>29772</x:v>
      </x:c>
      <x:c r="E7477" s="0" t="s">
        <x:v>29773</x:v>
      </x:c>
      <x:c r="F7477" s="0" t="s">
        <x:v>45</x:v>
      </x:c>
      <x:c r="G7477" s="0" t="s">
        <x:v>19</x:v>
      </x:c>
      <x:c r="H7477" s="0" t="s">
        <x:v>20</x:v>
      </x:c>
      <x:c r="I7477" s="0" t="s">
        <x:v>21</x:v>
      </x:c>
      <x:c r="K7477" s="0">
        <x:f>hyperlink("https://icd.who.int/dev11/l-ichi/en#/http%3A%2F%2Fid.who.int%2Ficd%2Fentity%2F251801546","browser")</x:f>
      </x:c>
      <x:c r="L7477" s="0">
        <x:f>hyperlink("https://icat2.azurewebsites.net/icat/?ontology=ICD&amp;tab=ClassesTab&amp;id=http%3A%2F%2Fwho.int%2Ficd%2345161_512ebf36_bf6b_4d70_85da_cf2637062af4","iCat")</x:f>
      </x:c>
      <x:c r="M7477" s="0" t="s">
        <x:v>21</x:v>
      </x:c>
      <x:c r="N7477" s="0" t="s">
        <x:v>46</x:v>
      </x:c>
    </x:row>
    <x:row r="7478" spans="1:16">
      <x:c r="A7478" s="0" t="s">
        <x:v>29774</x:v>
      </x:c>
      <x:c r="B7478" s="0" t="s">
        <x:v>29775</x:v>
      </x:c>
      <x:c r="C7478" s="0" t="s">
        <x:v>29776</x:v>
      </x:c>
      <x:c r="E7478" s="0" t="s">
        <x:v>29777</x:v>
      </x:c>
      <x:c r="F7478" s="0" t="s">
        <x:v>45</x:v>
      </x:c>
      <x:c r="G7478" s="0" t="s">
        <x:v>19</x:v>
      </x:c>
      <x:c r="H7478" s="0" t="s">
        <x:v>20</x:v>
      </x:c>
      <x:c r="I7478" s="0" t="s">
        <x:v>21</x:v>
      </x:c>
      <x:c r="K7478" s="0">
        <x:f>hyperlink("https://icd.who.int/dev11/l-ichi/en#/http%3A%2F%2Fid.who.int%2Ficd%2Fentity%2F1707588253","browser")</x:f>
      </x:c>
      <x:c r="L7478" s="0">
        <x:f>hyperlink("https://icat2.azurewebsites.net/icat/?ontology=ICD&amp;tab=ClassesTab&amp;id=http%3A%2F%2Fwho.int%2Ficd%2345171_512ebf36_bf6b_4d70_85da_cf2637062af4","iCat")</x:f>
      </x:c>
      <x:c r="M7478" s="0" t="s">
        <x:v>21</x:v>
      </x:c>
      <x:c r="N7478" s="0" t="s">
        <x:v>46</x:v>
      </x:c>
    </x:row>
    <x:row r="7479" spans="1:16">
      <x:c r="A7479" s="0" t="s">
        <x:v>29778</x:v>
      </x:c>
      <x:c r="B7479" s="0" t="s">
        <x:v>29779</x:v>
      </x:c>
      <x:c r="C7479" s="0" t="s">
        <x:v>29780</x:v>
      </x:c>
      <x:c r="E7479" s="0" t="s">
        <x:v>29781</x:v>
      </x:c>
      <x:c r="F7479" s="0" t="s">
        <x:v>45</x:v>
      </x:c>
      <x:c r="G7479" s="0" t="s">
        <x:v>19</x:v>
      </x:c>
      <x:c r="H7479" s="0" t="s">
        <x:v>20</x:v>
      </x:c>
      <x:c r="I7479" s="0" t="s">
        <x:v>21</x:v>
      </x:c>
      <x:c r="K7479" s="0">
        <x:f>hyperlink("https://icd.who.int/dev11/l-ichi/en#/http%3A%2F%2Fid.who.int%2Ficd%2Fentity%2F197114358","browser")</x:f>
      </x:c>
      <x:c r="L7479" s="0">
        <x:f>hyperlink("https://icat2.azurewebsites.net/icat/?ontology=ICD&amp;tab=ClassesTab&amp;id=http%3A%2F%2Fwho.int%2Ficd%2345178_512ebf36_bf6b_4d70_85da_cf2637062af4","iCat")</x:f>
      </x:c>
      <x:c r="M7479" s="0" t="s">
        <x:v>21</x:v>
      </x:c>
      <x:c r="N7479" s="0" t="s">
        <x:v>46</x:v>
      </x:c>
    </x:row>
    <x:row r="7480" spans="1:16">
      <x:c r="A7480" s="0" t="s">
        <x:v>29782</x:v>
      </x:c>
      <x:c r="B7480" s="0" t="s">
        <x:v>29783</x:v>
      </x:c>
      <x:c r="C7480" s="0" t="s">
        <x:v>29784</x:v>
      </x:c>
      <x:c r="E7480" s="0" t="s">
        <x:v>29785</x:v>
      </x:c>
      <x:c r="F7480" s="0" t="s">
        <x:v>45</x:v>
      </x:c>
      <x:c r="G7480" s="0" t="s">
        <x:v>19</x:v>
      </x:c>
      <x:c r="H7480" s="0" t="s">
        <x:v>20</x:v>
      </x:c>
      <x:c r="I7480" s="0" t="s">
        <x:v>21</x:v>
      </x:c>
      <x:c r="K7480" s="0">
        <x:f>hyperlink("https://icd.who.int/dev11/l-ichi/en#/http%3A%2F%2Fid.who.int%2Ficd%2Fentity%2F2133275703","browser")</x:f>
      </x:c>
      <x:c r="L7480" s="0">
        <x:f>hyperlink("https://icat2.azurewebsites.net/icat/?ontology=ICD&amp;tab=ClassesTab&amp;id=http%3A%2F%2Fwho.int%2Ficd%2345185_512ebf36_bf6b_4d70_85da_cf2637062af4","iCat")</x:f>
      </x:c>
      <x:c r="M7480" s="0" t="s">
        <x:v>21</x:v>
      </x:c>
      <x:c r="N7480" s="0" t="s">
        <x:v>46</x:v>
      </x:c>
    </x:row>
    <x:row r="7481" spans="1:16">
      <x:c r="A7481" s="0" t="s">
        <x:v>29786</x:v>
      </x:c>
      <x:c r="B7481" s="0" t="s">
        <x:v>29787</x:v>
      </x:c>
      <x:c r="C7481" s="0" t="s">
        <x:v>29788</x:v>
      </x:c>
      <x:c r="E7481" s="0" t="s">
        <x:v>29789</x:v>
      </x:c>
      <x:c r="F7481" s="0" t="s">
        <x:v>45</x:v>
      </x:c>
      <x:c r="G7481" s="0" t="s">
        <x:v>19</x:v>
      </x:c>
      <x:c r="H7481" s="0" t="s">
        <x:v>20</x:v>
      </x:c>
      <x:c r="I7481" s="0" t="s">
        <x:v>21</x:v>
      </x:c>
      <x:c r="K7481" s="0">
        <x:f>hyperlink("https://icd.who.int/dev11/l-ichi/en#/http%3A%2F%2Fid.who.int%2Ficd%2Fentity%2F1700793069","browser")</x:f>
      </x:c>
      <x:c r="L7481" s="0">
        <x:f>hyperlink("https://icat2.azurewebsites.net/icat/?ontology=ICD&amp;tab=ClassesTab&amp;id=http%3A%2F%2Fwho.int%2Ficd%2345192_512ebf36_bf6b_4d70_85da_cf2637062af4","iCat")</x:f>
      </x:c>
      <x:c r="M7481" s="0" t="s">
        <x:v>21</x:v>
      </x:c>
      <x:c r="N7481" s="0" t="s">
        <x:v>46</x:v>
      </x:c>
    </x:row>
    <x:row r="7482" spans="1:16">
      <x:c r="A7482" s="0" t="s">
        <x:v>29790</x:v>
      </x:c>
      <x:c r="B7482" s="0" t="s">
        <x:v>29791</x:v>
      </x:c>
      <x:c r="C7482" s="0" t="s">
        <x:v>29792</x:v>
      </x:c>
      <x:c r="E7482" s="0" t="s">
        <x:v>29793</x:v>
      </x:c>
      <x:c r="F7482" s="0" t="s">
        <x:v>45</x:v>
      </x:c>
      <x:c r="G7482" s="0" t="s">
        <x:v>19</x:v>
      </x:c>
      <x:c r="H7482" s="0" t="s">
        <x:v>20</x:v>
      </x:c>
      <x:c r="I7482" s="0" t="s">
        <x:v>21</x:v>
      </x:c>
      <x:c r="K7482" s="0">
        <x:f>hyperlink("https://icd.who.int/dev11/l-ichi/en#/http%3A%2F%2Fid.who.int%2Ficd%2Fentity%2F347566052","browser")</x:f>
      </x:c>
      <x:c r="L7482" s="0">
        <x:f>hyperlink("https://icat2.azurewebsites.net/icat/?ontology=ICD&amp;tab=ClassesTab&amp;id=http%3A%2F%2Fwho.int%2Ficd%2345200_512ebf36_bf6b_4d70_85da_cf2637062af4","iCat")</x:f>
      </x:c>
      <x:c r="M7482" s="0" t="s">
        <x:v>21</x:v>
      </x:c>
      <x:c r="N7482" s="0" t="s">
        <x:v>46</x:v>
      </x:c>
    </x:row>
    <x:row r="7483" spans="1:16">
      <x:c r="A7483" s="0" t="s">
        <x:v>29794</x:v>
      </x:c>
      <x:c r="B7483" s="0" t="s">
        <x:v>29795</x:v>
      </x:c>
      <x:c r="C7483" s="0" t="s">
        <x:v>29796</x:v>
      </x:c>
      <x:c r="E7483" s="0" t="s">
        <x:v>29797</x:v>
      </x:c>
      <x:c r="F7483" s="0" t="s">
        <x:v>45</x:v>
      </x:c>
      <x:c r="G7483" s="0" t="s">
        <x:v>19</x:v>
      </x:c>
      <x:c r="H7483" s="0" t="s">
        <x:v>20</x:v>
      </x:c>
      <x:c r="I7483" s="0" t="s">
        <x:v>21</x:v>
      </x:c>
      <x:c r="K7483" s="0">
        <x:f>hyperlink("https://icd.who.int/dev11/l-ichi/en#/http%3A%2F%2Fid.who.int%2Ficd%2Fentity%2F1681245295","browser")</x:f>
      </x:c>
      <x:c r="L7483" s="0">
        <x:f>hyperlink("https://icat2.azurewebsites.net/icat/?ontology=ICD&amp;tab=ClassesTab&amp;id=http%3A%2F%2Fwho.int%2Ficd%2345207_512ebf36_bf6b_4d70_85da_cf2637062af4","iCat")</x:f>
      </x:c>
      <x:c r="M7483" s="0" t="s">
        <x:v>21</x:v>
      </x:c>
      <x:c r="N7483" s="0" t="s">
        <x:v>46</x:v>
      </x:c>
    </x:row>
    <x:row r="7484" spans="1:16">
      <x:c r="A7484" s="0" t="s">
        <x:v>29798</x:v>
      </x:c>
      <x:c r="B7484" s="0" t="s">
        <x:v>29799</x:v>
      </x:c>
      <x:c r="C7484" s="0" t="s">
        <x:v>29800</x:v>
      </x:c>
      <x:c r="E7484" s="0" t="s">
        <x:v>29801</x:v>
      </x:c>
      <x:c r="F7484" s="0" t="s">
        <x:v>45</x:v>
      </x:c>
      <x:c r="G7484" s="0" t="s">
        <x:v>19</x:v>
      </x:c>
      <x:c r="H7484" s="0" t="s">
        <x:v>20</x:v>
      </x:c>
      <x:c r="I7484" s="0" t="s">
        <x:v>21</x:v>
      </x:c>
      <x:c r="K7484" s="0">
        <x:f>hyperlink("https://icd.who.int/dev11/l-ichi/en#/http%3A%2F%2Fid.who.int%2Ficd%2Fentity%2F1265974977","browser")</x:f>
      </x:c>
      <x:c r="L7484" s="0">
        <x:f>hyperlink("https://icat2.azurewebsites.net/icat/?ontology=ICD&amp;tab=ClassesTab&amp;id=http%3A%2F%2Fwho.int%2Ficd%2345214_512ebf36_bf6b_4d70_85da_cf2637062af4","iCat")</x:f>
      </x:c>
      <x:c r="M7484" s="0" t="s">
        <x:v>21</x:v>
      </x:c>
      <x:c r="N7484" s="0" t="s">
        <x:v>46</x:v>
      </x:c>
    </x:row>
    <x:row r="7485" spans="1:16">
      <x:c r="A7485" s="0" t="s">
        <x:v>29802</x:v>
      </x:c>
      <x:c r="B7485" s="0" t="s">
        <x:v>29803</x:v>
      </x:c>
      <x:c r="C7485" s="0" t="s">
        <x:v>29804</x:v>
      </x:c>
      <x:c r="E7485" s="0" t="s">
        <x:v>29805</x:v>
      </x:c>
      <x:c r="F7485" s="0" t="s">
        <x:v>45</x:v>
      </x:c>
      <x:c r="G7485" s="0" t="s">
        <x:v>19</x:v>
      </x:c>
      <x:c r="H7485" s="0" t="s">
        <x:v>20</x:v>
      </x:c>
      <x:c r="I7485" s="0" t="s">
        <x:v>21</x:v>
      </x:c>
      <x:c r="K7485" s="0">
        <x:f>hyperlink("https://icd.who.int/dev11/l-ichi/en#/http%3A%2F%2Fid.who.int%2Ficd%2Fentity%2F507168912","browser")</x:f>
      </x:c>
      <x:c r="L7485" s="0">
        <x:f>hyperlink("https://icat2.azurewebsites.net/icat/?ontology=ICD&amp;tab=ClassesTab&amp;id=http%3A%2F%2Fwho.int%2Ficd%2345221_512ebf36_bf6b_4d70_85da_cf2637062af4","iCat")</x:f>
      </x:c>
      <x:c r="M7485" s="0" t="s">
        <x:v>21</x:v>
      </x:c>
      <x:c r="N7485" s="0" t="s">
        <x:v>46</x:v>
      </x:c>
    </x:row>
    <x:row r="7486" spans="1:16">
      <x:c r="A7486" s="0" t="s">
        <x:v>29806</x:v>
      </x:c>
      <x:c r="B7486" s="0" t="s">
        <x:v>29807</x:v>
      </x:c>
      <x:c r="C7486" s="0" t="s">
        <x:v>29808</x:v>
      </x:c>
      <x:c r="E7486" s="0" t="s">
        <x:v>29809</x:v>
      </x:c>
      <x:c r="F7486" s="0" t="s">
        <x:v>45</x:v>
      </x:c>
      <x:c r="G7486" s="0" t="s">
        <x:v>19</x:v>
      </x:c>
      <x:c r="H7486" s="0" t="s">
        <x:v>20</x:v>
      </x:c>
      <x:c r="I7486" s="0" t="s">
        <x:v>21</x:v>
      </x:c>
      <x:c r="K7486" s="0">
        <x:f>hyperlink("https://icd.who.int/dev11/l-ichi/en#/http%3A%2F%2Fid.who.int%2Ficd%2Fentity%2F1354480091","browser")</x:f>
      </x:c>
      <x:c r="L7486" s="0">
        <x:f>hyperlink("https://icat2.azurewebsites.net/icat/?ontology=ICD&amp;tab=ClassesTab&amp;id=http%3A%2F%2Fwho.int%2Ficd%2345229_512ebf36_bf6b_4d70_85da_cf2637062af4","iCat")</x:f>
      </x:c>
      <x:c r="M7486" s="0" t="s">
        <x:v>21</x:v>
      </x:c>
      <x:c r="N7486" s="0" t="s">
        <x:v>46</x:v>
      </x:c>
    </x:row>
    <x:row r="7487" spans="1:16">
      <x:c r="A7487" s="0" t="s">
        <x:v>29810</x:v>
      </x:c>
      <x:c r="B7487" s="0" t="s">
        <x:v>29811</x:v>
      </x:c>
      <x:c r="C7487" s="0" t="s">
        <x:v>29812</x:v>
      </x:c>
      <x:c r="E7487" s="0" t="s">
        <x:v>29813</x:v>
      </x:c>
      <x:c r="F7487" s="0" t="s">
        <x:v>45</x:v>
      </x:c>
      <x:c r="G7487" s="0" t="s">
        <x:v>19</x:v>
      </x:c>
      <x:c r="H7487" s="0" t="s">
        <x:v>20</x:v>
      </x:c>
      <x:c r="I7487" s="0" t="s">
        <x:v>21</x:v>
      </x:c>
      <x:c r="K7487" s="0">
        <x:f>hyperlink("https://icd.who.int/dev11/l-ichi/en#/http%3A%2F%2Fid.who.int%2Ficd%2Fentity%2F75363926","browser")</x:f>
      </x:c>
      <x:c r="L7487" s="0">
        <x:f>hyperlink("https://icat2.azurewebsites.net/icat/?ontology=ICD&amp;tab=ClassesTab&amp;id=http%3A%2F%2Fwho.int%2Ficd%2345236_512ebf36_bf6b_4d70_85da_cf2637062af4","iCat")</x:f>
      </x:c>
      <x:c r="M7487" s="0" t="s">
        <x:v>21</x:v>
      </x:c>
      <x:c r="N7487" s="0" t="s">
        <x:v>46</x:v>
      </x:c>
    </x:row>
    <x:row r="7488" spans="1:16">
      <x:c r="A7488" s="0" t="s">
        <x:v>29814</x:v>
      </x:c>
      <x:c r="B7488" s="0" t="s">
        <x:v>29815</x:v>
      </x:c>
      <x:c r="C7488" s="0" t="s">
        <x:v>29816</x:v>
      </x:c>
      <x:c r="E7488" s="0" t="s">
        <x:v>29817</x:v>
      </x:c>
      <x:c r="F7488" s="0" t="s">
        <x:v>45</x:v>
      </x:c>
      <x:c r="G7488" s="0" t="s">
        <x:v>19</x:v>
      </x:c>
      <x:c r="H7488" s="0" t="s">
        <x:v>20</x:v>
      </x:c>
      <x:c r="I7488" s="0" t="s">
        <x:v>21</x:v>
      </x:c>
      <x:c r="K7488" s="0">
        <x:f>hyperlink("https://icd.who.int/dev11/l-ichi/en#/http%3A%2F%2Fid.who.int%2Ficd%2Fentity%2F559239942","browser")</x:f>
      </x:c>
      <x:c r="L7488" s="0">
        <x:f>hyperlink("https://icat2.azurewebsites.net/icat/?ontology=ICD&amp;tab=ClassesTab&amp;id=http%3A%2F%2Fwho.int%2Ficd%2345243_512ebf36_bf6b_4d70_85da_cf2637062af4","iCat")</x:f>
      </x:c>
      <x:c r="M7488" s="0" t="s">
        <x:v>21</x:v>
      </x:c>
      <x:c r="N7488" s="0" t="s">
        <x:v>46</x:v>
      </x:c>
    </x:row>
    <x:row r="7489" spans="1:16">
      <x:c r="A7489" s="0" t="s">
        <x:v>29818</x:v>
      </x:c>
      <x:c r="B7489" s="0" t="s">
        <x:v>29819</x:v>
      </x:c>
      <x:c r="C7489" s="0" t="s">
        <x:v>29820</x:v>
      </x:c>
      <x:c r="E7489" s="0" t="s">
        <x:v>29821</x:v>
      </x:c>
      <x:c r="F7489" s="0" t="s">
        <x:v>45</x:v>
      </x:c>
      <x:c r="G7489" s="0" t="s">
        <x:v>19</x:v>
      </x:c>
      <x:c r="H7489" s="0" t="s">
        <x:v>20</x:v>
      </x:c>
      <x:c r="I7489" s="0" t="s">
        <x:v>21</x:v>
      </x:c>
      <x:c r="K7489" s="0">
        <x:f>hyperlink("https://icd.who.int/dev11/l-ichi/en#/http%3A%2F%2Fid.who.int%2Ficd%2Fentity%2F236300714","browser")</x:f>
      </x:c>
      <x:c r="L7489" s="0">
        <x:f>hyperlink("https://icat2.azurewebsites.net/icat/?ontology=ICD&amp;tab=ClassesTab&amp;id=http%3A%2F%2Fwho.int%2Ficd%2345250_512ebf36_bf6b_4d70_85da_cf2637062af4","iCat")</x:f>
      </x:c>
      <x:c r="M7489" s="0" t="s">
        <x:v>21</x:v>
      </x:c>
      <x:c r="N7489" s="0" t="s">
        <x:v>46</x:v>
      </x:c>
    </x:row>
    <x:row r="7490" spans="1:16">
      <x:c r="A7490" s="0" t="s">
        <x:v>29822</x:v>
      </x:c>
      <x:c r="B7490" s="0" t="s">
        <x:v>29823</x:v>
      </x:c>
      <x:c r="C7490" s="0" t="s">
        <x:v>29824</x:v>
      </x:c>
      <x:c r="E7490" s="0" t="s">
        <x:v>29825</x:v>
      </x:c>
      <x:c r="F7490" s="0" t="s">
        <x:v>45</x:v>
      </x:c>
      <x:c r="G7490" s="0" t="s">
        <x:v>19</x:v>
      </x:c>
      <x:c r="H7490" s="0" t="s">
        <x:v>20</x:v>
      </x:c>
      <x:c r="I7490" s="0" t="s">
        <x:v>21</x:v>
      </x:c>
      <x:c r="K7490" s="0">
        <x:f>hyperlink("https://icd.who.int/dev11/l-ichi/en#/http%3A%2F%2Fid.who.int%2Ficd%2Fentity%2F2123825701","browser")</x:f>
      </x:c>
      <x:c r="L7490" s="0">
        <x:f>hyperlink("https://icat2.azurewebsites.net/icat/?ontology=ICD&amp;tab=ClassesTab&amp;id=http%3A%2F%2Fwho.int%2Ficd%2345257_512ebf36_bf6b_4d70_85da_cf2637062af4","iCat")</x:f>
      </x:c>
      <x:c r="M7490" s="0" t="s">
        <x:v>21</x:v>
      </x:c>
      <x:c r="N7490" s="0" t="s">
        <x:v>46</x:v>
      </x:c>
    </x:row>
    <x:row r="7491" spans="1:16">
      <x:c r="A7491" s="0" t="s">
        <x:v>29826</x:v>
      </x:c>
      <x:c r="B7491" s="0" t="s">
        <x:v>29827</x:v>
      </x:c>
      <x:c r="C7491" s="0" t="s">
        <x:v>29828</x:v>
      </x:c>
      <x:c r="E7491" s="0" t="s">
        <x:v>29829</x:v>
      </x:c>
      <x:c r="F7491" s="0" t="s">
        <x:v>45</x:v>
      </x:c>
      <x:c r="G7491" s="0" t="s">
        <x:v>19</x:v>
      </x:c>
      <x:c r="H7491" s="0" t="s">
        <x:v>20</x:v>
      </x:c>
      <x:c r="I7491" s="0" t="s">
        <x:v>21</x:v>
      </x:c>
      <x:c r="K7491" s="0">
        <x:f>hyperlink("https://icd.who.int/dev11/l-ichi/en#/http%3A%2F%2Fid.who.int%2Ficd%2Fentity%2F2463994","browser")</x:f>
      </x:c>
      <x:c r="L7491" s="0">
        <x:f>hyperlink("https://icat2.azurewebsites.net/icat/?ontology=ICD&amp;tab=ClassesTab&amp;id=http%3A%2F%2Fwho.int%2Ficd%2345268_512ebf36_bf6b_4d70_85da_cf2637062af4","iCat")</x:f>
      </x:c>
      <x:c r="M7491" s="0" t="s">
        <x:v>21</x:v>
      </x:c>
      <x:c r="N7491" s="0" t="s">
        <x:v>46</x:v>
      </x:c>
    </x:row>
    <x:row r="7492" spans="1:16">
      <x:c r="A7492" s="0" t="s">
        <x:v>29830</x:v>
      </x:c>
      <x:c r="B7492" s="0" t="s">
        <x:v>29831</x:v>
      </x:c>
      <x:c r="C7492" s="0" t="s">
        <x:v>29832</x:v>
      </x:c>
      <x:c r="E7492" s="0" t="s">
        <x:v>29833</x:v>
      </x:c>
      <x:c r="F7492" s="0" t="s">
        <x:v>45</x:v>
      </x:c>
      <x:c r="G7492" s="0" t="s">
        <x:v>19</x:v>
      </x:c>
      <x:c r="H7492" s="0" t="s">
        <x:v>20</x:v>
      </x:c>
      <x:c r="I7492" s="0" t="s">
        <x:v>21</x:v>
      </x:c>
      <x:c r="K7492" s="0">
        <x:f>hyperlink("https://icd.who.int/dev11/l-ichi/en#/http%3A%2F%2Fid.who.int%2Ficd%2Fentity%2F832555696","browser")</x:f>
      </x:c>
      <x:c r="L7492" s="0">
        <x:f>hyperlink("https://icat2.azurewebsites.net/icat/?ontology=ICD&amp;tab=ClassesTab&amp;id=http%3A%2F%2Fwho.int%2Ficd%2345275_512ebf36_bf6b_4d70_85da_cf2637062af4","iCat")</x:f>
      </x:c>
      <x:c r="M7492" s="0" t="s">
        <x:v>21</x:v>
      </x:c>
      <x:c r="N7492" s="0" t="s">
        <x:v>46</x:v>
      </x:c>
    </x:row>
    <x:row r="7493" spans="1:16">
      <x:c r="A7493" s="0" t="s">
        <x:v>29834</x:v>
      </x:c>
      <x:c r="B7493" s="0" t="s">
        <x:v>29835</x:v>
      </x:c>
      <x:c r="C7493" s="0" t="s">
        <x:v>29836</x:v>
      </x:c>
      <x:c r="E7493" s="0" t="s">
        <x:v>29837</x:v>
      </x:c>
      <x:c r="F7493" s="0" t="s">
        <x:v>45</x:v>
      </x:c>
      <x:c r="G7493" s="0" t="s">
        <x:v>19</x:v>
      </x:c>
      <x:c r="H7493" s="0" t="s">
        <x:v>20</x:v>
      </x:c>
      <x:c r="I7493" s="0" t="s">
        <x:v>21</x:v>
      </x:c>
      <x:c r="K7493" s="0">
        <x:f>hyperlink("https://icd.who.int/dev11/l-ichi/en#/http%3A%2F%2Fid.who.int%2Ficd%2Fentity%2F1861888995","browser")</x:f>
      </x:c>
      <x:c r="L7493" s="0">
        <x:f>hyperlink("https://icat2.azurewebsites.net/icat/?ontology=ICD&amp;tab=ClassesTab&amp;id=http%3A%2F%2Fwho.int%2Ficd%2345282_512ebf36_bf6b_4d70_85da_cf2637062af4","iCat")</x:f>
      </x:c>
      <x:c r="M7493" s="0" t="s">
        <x:v>21</x:v>
      </x:c>
      <x:c r="N7493" s="0" t="s">
        <x:v>46</x:v>
      </x:c>
    </x:row>
    <x:row r="7494" spans="1:16">
      <x:c r="A7494" s="0" t="s">
        <x:v>29838</x:v>
      </x:c>
      <x:c r="B7494" s="0" t="s">
        <x:v>29839</x:v>
      </x:c>
      <x:c r="C7494" s="0" t="s">
        <x:v>29840</x:v>
      </x:c>
      <x:c r="E7494" s="0" t="s">
        <x:v>29841</x:v>
      </x:c>
      <x:c r="F7494" s="0" t="s">
        <x:v>45</x:v>
      </x:c>
      <x:c r="G7494" s="0" t="s">
        <x:v>19</x:v>
      </x:c>
      <x:c r="H7494" s="0" t="s">
        <x:v>20</x:v>
      </x:c>
      <x:c r="I7494" s="0" t="s">
        <x:v>21</x:v>
      </x:c>
      <x:c r="K7494" s="0">
        <x:f>hyperlink("https://icd.who.int/dev11/l-ichi/en#/http%3A%2F%2Fid.who.int%2Ficd%2Fentity%2F1631822705","browser")</x:f>
      </x:c>
      <x:c r="L7494" s="0">
        <x:f>hyperlink("https://icat2.azurewebsites.net/icat/?ontology=ICD&amp;tab=ClassesTab&amp;id=http%3A%2F%2Fwho.int%2Ficd%2345290_512ebf36_bf6b_4d70_85da_cf2637062af4","iCat")</x:f>
      </x:c>
      <x:c r="M7494" s="0" t="s">
        <x:v>21</x:v>
      </x:c>
      <x:c r="N7494" s="0" t="s">
        <x:v>46</x:v>
      </x:c>
    </x:row>
    <x:row r="7495" spans="1:16">
      <x:c r="A7495" s="0" t="s">
        <x:v>29842</x:v>
      </x:c>
      <x:c r="B7495" s="0" t="s">
        <x:v>29843</x:v>
      </x:c>
      <x:c r="C7495" s="0" t="s">
        <x:v>29844</x:v>
      </x:c>
      <x:c r="E7495" s="0" t="s">
        <x:v>29845</x:v>
      </x:c>
      <x:c r="F7495" s="0" t="s">
        <x:v>45</x:v>
      </x:c>
      <x:c r="G7495" s="0" t="s">
        <x:v>19</x:v>
      </x:c>
      <x:c r="H7495" s="0" t="s">
        <x:v>20</x:v>
      </x:c>
      <x:c r="I7495" s="0" t="s">
        <x:v>21</x:v>
      </x:c>
      <x:c r="K7495" s="0">
        <x:f>hyperlink("https://icd.who.int/dev11/l-ichi/en#/http%3A%2F%2Fid.who.int%2Ficd%2Fentity%2F297863420","browser")</x:f>
      </x:c>
      <x:c r="L7495" s="0">
        <x:f>hyperlink("https://icat2.azurewebsites.net/icat/?ontology=ICD&amp;tab=ClassesTab&amp;id=http%3A%2F%2Fwho.int%2Ficd%2345297_512ebf36_bf6b_4d70_85da_cf2637062af4","iCat")</x:f>
      </x:c>
      <x:c r="M7495" s="0" t="s">
        <x:v>21</x:v>
      </x:c>
      <x:c r="N7495" s="0" t="s">
        <x:v>46</x:v>
      </x:c>
    </x:row>
    <x:row r="7496" spans="1:16">
      <x:c r="B7496" s="0" t="s">
        <x:v>29846</x:v>
      </x:c>
      <x:c r="C7496" s="0" t="s">
        <x:v>29847</x:v>
      </x:c>
      <x:c r="E7496" s="0" t="s">
        <x:v>29848</x:v>
      </x:c>
      <x:c r="F7496" s="0" t="s">
        <x:v>45</x:v>
      </x:c>
      <x:c r="G7496" s="0" t="s">
        <x:v>19</x:v>
      </x:c>
      <x:c r="H7496" s="0" t="s">
        <x:v>21</x:v>
      </x:c>
      <x:c r="I7496" s="0" t="s">
        <x:v>21</x:v>
      </x:c>
      <x:c r="K7496" s="0">
        <x:f>hyperlink("https://icd.who.int/dev11/l-ichi/en#/http%3A%2F%2Fid.who.int%2Ficd%2Fentity%2F183622695%2Fichi%2Fother","browser")</x:f>
      </x:c>
      <x:c r="L7496" s="0">
        <x:f>hyperlink("","iCat")</x:f>
      </x:c>
      <x:c r="M7496" s="0" t="s">
        <x:v>21</x:v>
      </x:c>
      <x:c r="N7496" s="0" t="s">
        <x:v>46</x:v>
      </x:c>
    </x:row>
    <x:row r="7497" spans="1:16">
      <x:c r="B7497" s="0" t="s">
        <x:v>29849</x:v>
      </x:c>
      <x:c r="C7497" s="0" t="s">
        <x:v>29850</x:v>
      </x:c>
      <x:c r="E7497" s="0" t="s">
        <x:v>29851</x:v>
      </x:c>
      <x:c r="F7497" s="0" t="s">
        <x:v>45</x:v>
      </x:c>
      <x:c r="G7497" s="0" t="s">
        <x:v>19</x:v>
      </x:c>
      <x:c r="H7497" s="0" t="s">
        <x:v>21</x:v>
      </x:c>
      <x:c r="I7497" s="0" t="s">
        <x:v>21</x:v>
      </x:c>
      <x:c r="K7497" s="0">
        <x:f>hyperlink("https://icd.who.int/dev11/l-ichi/en#/http%3A%2F%2Fid.who.int%2Ficd%2Fentity%2F183622695%2Fichi%2Funspecified","browser")</x:f>
      </x:c>
      <x:c r="L7497" s="0">
        <x:f>hyperlink("","iCat")</x:f>
      </x:c>
      <x:c r="M7497" s="0" t="s">
        <x:v>21</x:v>
      </x:c>
      <x:c r="N7497" s="0" t="s">
        <x:v>46</x:v>
      </x:c>
    </x:row>
    <x:row r="7498" spans="1:16">
      <x:c r="A7498" s="0" t="s">
        <x:v>29852</x:v>
      </x:c>
      <x:c r="B7498" s="0" t="s">
        <x:v>29853</x:v>
      </x:c>
      <x:c r="D7498" s="0" t="s">
        <x:v>29854</x:v>
      </x:c>
      <x:c r="E7498" s="0" t="s">
        <x:v>29855</x:v>
      </x:c>
      <x:c r="F7498" s="0" t="s">
        <x:v>26</x:v>
      </x:c>
      <x:c r="G7498" s="0" t="s">
        <x:v>30</x:v>
      </x:c>
      <x:c r="H7498" s="0" t="s">
        <x:v>20</x:v>
      </x:c>
      <x:c r="I7498" s="0" t="s">
        <x:v>21</x:v>
      </x:c>
      <x:c r="K7498" s="0">
        <x:f>hyperlink("https://icd.who.int/dev11/l-ichi/en#/http%3A%2F%2Fid.who.int%2Ficd%2Fentity%2F827551950","browser")</x:f>
      </x:c>
      <x:c r="L7498" s="0">
        <x:f>hyperlink("https://icat2.azurewebsites.net/icat/?ontology=ICD&amp;tab=ClassesTab&amp;id=http%3A%2F%2Fwho.int%2Ficd%2345306_512ebf36_bf6b_4d70_85da_cf2637062af4","iCat")</x:f>
      </x:c>
      <x:c r="M7498" s="0" t="s">
        <x:v>20</x:v>
      </x:c>
      <x:c r="N7498" s="0" t="s">
        <x:v>206</x:v>
      </x:c>
    </x:row>
    <x:row r="7499" spans="1:16">
      <x:c r="A7499" s="0" t="s">
        <x:v>29856</x:v>
      </x:c>
      <x:c r="B7499" s="0" t="s">
        <x:v>29857</x:v>
      </x:c>
      <x:c r="D7499" s="0" t="s">
        <x:v>29858</x:v>
      </x:c>
      <x:c r="E7499" s="0" t="s">
        <x:v>29859</x:v>
      </x:c>
      <x:c r="F7499" s="0" t="s">
        <x:v>26</x:v>
      </x:c>
      <x:c r="G7499" s="0" t="s">
        <x:v>35</x:v>
      </x:c>
      <x:c r="H7499" s="0" t="s">
        <x:v>20</x:v>
      </x:c>
      <x:c r="I7499" s="0" t="s">
        <x:v>21</x:v>
      </x:c>
      <x:c r="K7499" s="0">
        <x:f>hyperlink("https://icd.who.int/dev11/l-ichi/en#/http%3A%2F%2Fid.who.int%2Ficd%2Fentity%2F1855005165","browser")</x:f>
      </x:c>
      <x:c r="L7499" s="0">
        <x:f>hyperlink("https://icat2.azurewebsites.net/icat/?ontology=ICD&amp;tab=ClassesTab&amp;id=http%3A%2F%2Fwho.int%2Ficd%2345312_512ebf36_bf6b_4d70_85da_cf2637062af4","iCat")</x:f>
      </x:c>
      <x:c r="M7499" s="0" t="s">
        <x:v>20</x:v>
      </x:c>
      <x:c r="N7499" s="0" t="s">
        <x:v>29860</x:v>
      </x:c>
    </x:row>
    <x:row r="7500" spans="1:16">
      <x:c r="A7500" s="0" t="s">
        <x:v>29861</x:v>
      </x:c>
      <x:c r="B7500" s="0" t="s">
        <x:v>29862</x:v>
      </x:c>
      <x:c r="C7500" s="0" t="s">
        <x:v>29863</x:v>
      </x:c>
      <x:c r="E7500" s="0" t="s">
        <x:v>29864</x:v>
      </x:c>
      <x:c r="F7500" s="0" t="s">
        <x:v>45</x:v>
      </x:c>
      <x:c r="G7500" s="0" t="s">
        <x:v>19</x:v>
      </x:c>
      <x:c r="H7500" s="0" t="s">
        <x:v>20</x:v>
      </x:c>
      <x:c r="I7500" s="0" t="s">
        <x:v>21</x:v>
      </x:c>
      <x:c r="K7500" s="0">
        <x:f>hyperlink("https://icd.who.int/dev11/l-ichi/en#/http%3A%2F%2Fid.who.int%2Ficd%2Fentity%2F1960189751","browser")</x:f>
      </x:c>
      <x:c r="L7500" s="0">
        <x:f>hyperlink("https://icat2.azurewebsites.net/icat/?ontology=ICD&amp;tab=ClassesTab&amp;id=http%3A%2F%2Fwho.int%2Ficd%2345305_512ebf36_bf6b_4d70_85da_cf2637062af4","iCat")</x:f>
      </x:c>
      <x:c r="M7500" s="0" t="s">
        <x:v>21</x:v>
      </x:c>
      <x:c r="N7500" s="0" t="s">
        <x:v>46</x:v>
      </x:c>
    </x:row>
    <x:row r="7501" spans="1:16">
      <x:c r="A7501" s="0" t="s">
        <x:v>29865</x:v>
      </x:c>
      <x:c r="B7501" s="0" t="s">
        <x:v>29866</x:v>
      </x:c>
      <x:c r="C7501" s="0" t="s">
        <x:v>29867</x:v>
      </x:c>
      <x:c r="E7501" s="0" t="s">
        <x:v>29868</x:v>
      </x:c>
      <x:c r="F7501" s="0" t="s">
        <x:v>45</x:v>
      </x:c>
      <x:c r="G7501" s="0" t="s">
        <x:v>19</x:v>
      </x:c>
      <x:c r="H7501" s="0" t="s">
        <x:v>20</x:v>
      </x:c>
      <x:c r="I7501" s="0" t="s">
        <x:v>21</x:v>
      </x:c>
      <x:c r="K7501" s="0">
        <x:f>hyperlink("https://icd.who.int/dev11/l-ichi/en#/http%3A%2F%2Fid.who.int%2Ficd%2Fentity%2F455583136","browser")</x:f>
      </x:c>
      <x:c r="L7501" s="0">
        <x:f>hyperlink("https://icat2.azurewebsites.net/icat/?ontology=ICD&amp;tab=ClassesTab&amp;id=http%3A%2F%2Fwho.int%2Ficd%2345326_512ebf36_bf6b_4d70_85da_cf2637062af4","iCat")</x:f>
      </x:c>
      <x:c r="M7501" s="0" t="s">
        <x:v>21</x:v>
      </x:c>
      <x:c r="N7501" s="0" t="s">
        <x:v>46</x:v>
      </x:c>
    </x:row>
    <x:row r="7502" spans="1:16">
      <x:c r="A7502" s="0" t="s">
        <x:v>29869</x:v>
      </x:c>
      <x:c r="B7502" s="0" t="s">
        <x:v>29870</x:v>
      </x:c>
      <x:c r="C7502" s="0" t="s">
        <x:v>29871</x:v>
      </x:c>
      <x:c r="E7502" s="0" t="s">
        <x:v>29872</x:v>
      </x:c>
      <x:c r="F7502" s="0" t="s">
        <x:v>45</x:v>
      </x:c>
      <x:c r="G7502" s="0" t="s">
        <x:v>19</x:v>
      </x:c>
      <x:c r="H7502" s="0" t="s">
        <x:v>20</x:v>
      </x:c>
      <x:c r="I7502" s="0" t="s">
        <x:v>21</x:v>
      </x:c>
      <x:c r="K7502" s="0">
        <x:f>hyperlink("https://icd.who.int/dev11/l-ichi/en#/http%3A%2F%2Fid.who.int%2Ficd%2Fentity%2F1679591041","browser")</x:f>
      </x:c>
      <x:c r="L7502" s="0">
        <x:f>hyperlink("https://icat2.azurewebsites.net/icat/?ontology=ICD&amp;tab=ClassesTab&amp;id=http%3A%2F%2Fwho.int%2Ficd%2345333_512ebf36_bf6b_4d70_85da_cf2637062af4","iCat")</x:f>
      </x:c>
      <x:c r="M7502" s="0" t="s">
        <x:v>21</x:v>
      </x:c>
      <x:c r="N7502" s="0" t="s">
        <x:v>46</x:v>
      </x:c>
    </x:row>
    <x:row r="7503" spans="1:16">
      <x:c r="A7503" s="0" t="s">
        <x:v>29873</x:v>
      </x:c>
      <x:c r="B7503" s="0" t="s">
        <x:v>29874</x:v>
      </x:c>
      <x:c r="C7503" s="0" t="s">
        <x:v>29875</x:v>
      </x:c>
      <x:c r="E7503" s="0" t="s">
        <x:v>29876</x:v>
      </x:c>
      <x:c r="F7503" s="0" t="s">
        <x:v>45</x:v>
      </x:c>
      <x:c r="G7503" s="0" t="s">
        <x:v>19</x:v>
      </x:c>
      <x:c r="H7503" s="0" t="s">
        <x:v>20</x:v>
      </x:c>
      <x:c r="I7503" s="0" t="s">
        <x:v>21</x:v>
      </x:c>
      <x:c r="K7503" s="0">
        <x:f>hyperlink("https://icd.who.int/dev11/l-ichi/en#/http%3A%2F%2Fid.who.int%2Ficd%2Fentity%2F290454116","browser")</x:f>
      </x:c>
      <x:c r="L7503" s="0">
        <x:f>hyperlink("https://icat2.azurewebsites.net/icat/?ontology=ICD&amp;tab=ClassesTab&amp;id=http%3A%2F%2Fwho.int%2Ficd%2345340_512ebf36_bf6b_4d70_85da_cf2637062af4","iCat")</x:f>
      </x:c>
      <x:c r="M7503" s="0" t="s">
        <x:v>21</x:v>
      </x:c>
      <x:c r="N7503" s="0" t="s">
        <x:v>46</x:v>
      </x:c>
    </x:row>
    <x:row r="7504" spans="1:16">
      <x:c r="A7504" s="0" t="s">
        <x:v>29877</x:v>
      </x:c>
      <x:c r="B7504" s="0" t="s">
        <x:v>29878</x:v>
      </x:c>
      <x:c r="C7504" s="0" t="s">
        <x:v>29879</x:v>
      </x:c>
      <x:c r="E7504" s="0" t="s">
        <x:v>29880</x:v>
      </x:c>
      <x:c r="F7504" s="0" t="s">
        <x:v>45</x:v>
      </x:c>
      <x:c r="G7504" s="0" t="s">
        <x:v>19</x:v>
      </x:c>
      <x:c r="H7504" s="0" t="s">
        <x:v>20</x:v>
      </x:c>
      <x:c r="I7504" s="0" t="s">
        <x:v>21</x:v>
      </x:c>
      <x:c r="K7504" s="0">
        <x:f>hyperlink("https://icd.who.int/dev11/l-ichi/en#/http%3A%2F%2Fid.who.int%2Ficd%2Fentity%2F1640845807","browser")</x:f>
      </x:c>
      <x:c r="L7504" s="0">
        <x:f>hyperlink("https://icat2.azurewebsites.net/icat/?ontology=ICD&amp;tab=ClassesTab&amp;id=http%3A%2F%2Fwho.int%2Ficd%2345347_512ebf36_bf6b_4d70_85da_cf2637062af4","iCat")</x:f>
      </x:c>
      <x:c r="M7504" s="0" t="s">
        <x:v>21</x:v>
      </x:c>
      <x:c r="N7504" s="0" t="s">
        <x:v>46</x:v>
      </x:c>
    </x:row>
    <x:row r="7505" spans="1:16">
      <x:c r="A7505" s="0" t="s">
        <x:v>29881</x:v>
      </x:c>
      <x:c r="B7505" s="0" t="s">
        <x:v>29882</x:v>
      </x:c>
      <x:c r="C7505" s="0" t="s">
        <x:v>29883</x:v>
      </x:c>
      <x:c r="E7505" s="0" t="s">
        <x:v>29884</x:v>
      </x:c>
      <x:c r="F7505" s="0" t="s">
        <x:v>45</x:v>
      </x:c>
      <x:c r="G7505" s="0" t="s">
        <x:v>19</x:v>
      </x:c>
      <x:c r="H7505" s="0" t="s">
        <x:v>20</x:v>
      </x:c>
      <x:c r="I7505" s="0" t="s">
        <x:v>21</x:v>
      </x:c>
      <x:c r="K7505" s="0">
        <x:f>hyperlink("https://icd.who.int/dev11/l-ichi/en#/http%3A%2F%2Fid.who.int%2Ficd%2Fentity%2F1317907265","browser")</x:f>
      </x:c>
      <x:c r="L7505" s="0">
        <x:f>hyperlink("https://icat2.azurewebsites.net/icat/?ontology=ICD&amp;tab=ClassesTab&amp;id=http%3A%2F%2Fwho.int%2Ficd%2345354_512ebf36_bf6b_4d70_85da_cf2637062af4","iCat")</x:f>
      </x:c>
      <x:c r="M7505" s="0" t="s">
        <x:v>21</x:v>
      </x:c>
      <x:c r="N7505" s="0" t="s">
        <x:v>46</x:v>
      </x:c>
    </x:row>
    <x:row r="7506" spans="1:16">
      <x:c r="A7506" s="0" t="s">
        <x:v>29885</x:v>
      </x:c>
      <x:c r="B7506" s="0" t="s">
        <x:v>29886</x:v>
      </x:c>
      <x:c r="C7506" s="0" t="s">
        <x:v>29887</x:v>
      </x:c>
      <x:c r="E7506" s="0" t="s">
        <x:v>29888</x:v>
      </x:c>
      <x:c r="F7506" s="0" t="s">
        <x:v>45</x:v>
      </x:c>
      <x:c r="G7506" s="0" t="s">
        <x:v>19</x:v>
      </x:c>
      <x:c r="H7506" s="0" t="s">
        <x:v>20</x:v>
      </x:c>
      <x:c r="I7506" s="0" t="s">
        <x:v>21</x:v>
      </x:c>
      <x:c r="K7506" s="0">
        <x:f>hyperlink("https://icd.who.int/dev11/l-ichi/en#/http%3A%2F%2Fid.who.int%2Ficd%2Fentity%2F784701818","browser")</x:f>
      </x:c>
      <x:c r="L7506" s="0">
        <x:f>hyperlink("https://icat2.azurewebsites.net/icat/?ontology=ICD&amp;tab=ClassesTab&amp;id=http%3A%2F%2Fwho.int%2Ficd%2345365_512ebf36_bf6b_4d70_85da_cf2637062af4","iCat")</x:f>
      </x:c>
      <x:c r="M7506" s="0" t="s">
        <x:v>21</x:v>
      </x:c>
      <x:c r="N7506" s="0" t="s">
        <x:v>46</x:v>
      </x:c>
    </x:row>
    <x:row r="7507" spans="1:16">
      <x:c r="A7507" s="0" t="s">
        <x:v>29889</x:v>
      </x:c>
      <x:c r="B7507" s="0" t="s">
        <x:v>29890</x:v>
      </x:c>
      <x:c r="C7507" s="0" t="s">
        <x:v>29891</x:v>
      </x:c>
      <x:c r="E7507" s="0" t="s">
        <x:v>29892</x:v>
      </x:c>
      <x:c r="F7507" s="0" t="s">
        <x:v>45</x:v>
      </x:c>
      <x:c r="G7507" s="0" t="s">
        <x:v>19</x:v>
      </x:c>
      <x:c r="H7507" s="0" t="s">
        <x:v>20</x:v>
      </x:c>
      <x:c r="I7507" s="0" t="s">
        <x:v>21</x:v>
      </x:c>
      <x:c r="K7507" s="0">
        <x:f>hyperlink("https://icd.who.int/dev11/l-ichi/en#/http%3A%2F%2Fid.who.int%2Ficd%2Fentity%2F880977824","browser")</x:f>
      </x:c>
      <x:c r="L7507" s="0">
        <x:f>hyperlink("https://icat2.azurewebsites.net/icat/?ontology=ICD&amp;tab=ClassesTab&amp;id=http%3A%2F%2Fwho.int%2Ficd%2345372_512ebf36_bf6b_4d70_85da_cf2637062af4","iCat")</x:f>
      </x:c>
      <x:c r="M7507" s="0" t="s">
        <x:v>21</x:v>
      </x:c>
      <x:c r="N7507" s="0" t="s">
        <x:v>46</x:v>
      </x:c>
    </x:row>
    <x:row r="7508" spans="1:16">
      <x:c r="A7508" s="0" t="s">
        <x:v>29893</x:v>
      </x:c>
      <x:c r="B7508" s="0" t="s">
        <x:v>29894</x:v>
      </x:c>
      <x:c r="C7508" s="0" t="s">
        <x:v>29895</x:v>
      </x:c>
      <x:c r="E7508" s="0" t="s">
        <x:v>29896</x:v>
      </x:c>
      <x:c r="F7508" s="0" t="s">
        <x:v>45</x:v>
      </x:c>
      <x:c r="G7508" s="0" t="s">
        <x:v>19</x:v>
      </x:c>
      <x:c r="H7508" s="0" t="s">
        <x:v>20</x:v>
      </x:c>
      <x:c r="I7508" s="0" t="s">
        <x:v>21</x:v>
      </x:c>
      <x:c r="K7508" s="0">
        <x:f>hyperlink("https://icd.who.int/dev11/l-ichi/en#/http%3A%2F%2Fid.who.int%2Ficd%2Fentity%2F1065793806","browser")</x:f>
      </x:c>
      <x:c r="L7508" s="0">
        <x:f>hyperlink("https://icat2.azurewebsites.net/icat/?ontology=ICD&amp;tab=ClassesTab&amp;id=http%3A%2F%2Fwho.int%2Ficd%2345379_512ebf36_bf6b_4d70_85da_cf2637062af4","iCat")</x:f>
      </x:c>
      <x:c r="M7508" s="0" t="s">
        <x:v>21</x:v>
      </x:c>
      <x:c r="N7508" s="0" t="s">
        <x:v>46</x:v>
      </x:c>
    </x:row>
    <x:row r="7509" spans="1:16">
      <x:c r="A7509" s="0" t="s">
        <x:v>29897</x:v>
      </x:c>
      <x:c r="B7509" s="0" t="s">
        <x:v>29898</x:v>
      </x:c>
      <x:c r="C7509" s="0" t="s">
        <x:v>29899</x:v>
      </x:c>
      <x:c r="E7509" s="0" t="s">
        <x:v>29900</x:v>
      </x:c>
      <x:c r="F7509" s="0" t="s">
        <x:v>45</x:v>
      </x:c>
      <x:c r="G7509" s="0" t="s">
        <x:v>19</x:v>
      </x:c>
      <x:c r="H7509" s="0" t="s">
        <x:v>20</x:v>
      </x:c>
      <x:c r="I7509" s="0" t="s">
        <x:v>21</x:v>
      </x:c>
      <x:c r="K7509" s="0">
        <x:f>hyperlink("https://icd.who.int/dev11/l-ichi/en#/http%3A%2F%2Fid.who.int%2Ficd%2Fentity%2F778184972","browser")</x:f>
      </x:c>
      <x:c r="L7509" s="0">
        <x:f>hyperlink("https://icat2.azurewebsites.net/icat/?ontology=ICD&amp;tab=ClassesTab&amp;id=http%3A%2F%2Fwho.int%2Ficd%2345386_512ebf36_bf6b_4d70_85da_cf2637062af4","iCat")</x:f>
      </x:c>
      <x:c r="M7509" s="0" t="s">
        <x:v>21</x:v>
      </x:c>
      <x:c r="N7509" s="0" t="s">
        <x:v>46</x:v>
      </x:c>
    </x:row>
    <x:row r="7510" spans="1:16">
      <x:c r="A7510" s="0" t="s">
        <x:v>29901</x:v>
      </x:c>
      <x:c r="B7510" s="0" t="s">
        <x:v>29902</x:v>
      </x:c>
      <x:c r="C7510" s="0" t="s">
        <x:v>29903</x:v>
      </x:c>
      <x:c r="E7510" s="0" t="s">
        <x:v>29904</x:v>
      </x:c>
      <x:c r="F7510" s="0" t="s">
        <x:v>45</x:v>
      </x:c>
      <x:c r="G7510" s="0" t="s">
        <x:v>19</x:v>
      </x:c>
      <x:c r="H7510" s="0" t="s">
        <x:v>20</x:v>
      </x:c>
      <x:c r="I7510" s="0" t="s">
        <x:v>21</x:v>
      </x:c>
      <x:c r="K7510" s="0">
        <x:f>hyperlink("https://icd.who.int/dev11/l-ichi/en#/http%3A%2F%2Fid.who.int%2Ficd%2Fentity%2F1364789781","browser")</x:f>
      </x:c>
      <x:c r="L7510" s="0">
        <x:f>hyperlink("https://icat2.azurewebsites.net/icat/?ontology=ICD&amp;tab=ClassesTab&amp;id=http%3A%2F%2Fwho.int%2Ficd%2345393_512ebf36_bf6b_4d70_85da_cf2637062af4","iCat")</x:f>
      </x:c>
      <x:c r="M7510" s="0" t="s">
        <x:v>21</x:v>
      </x:c>
      <x:c r="N7510" s="0" t="s">
        <x:v>46</x:v>
      </x:c>
    </x:row>
    <x:row r="7511" spans="1:16">
      <x:c r="A7511" s="0" t="s">
        <x:v>29905</x:v>
      </x:c>
      <x:c r="B7511" s="0" t="s">
        <x:v>29906</x:v>
      </x:c>
      <x:c r="C7511" s="0" t="s">
        <x:v>29907</x:v>
      </x:c>
      <x:c r="E7511" s="0" t="s">
        <x:v>29908</x:v>
      </x:c>
      <x:c r="F7511" s="0" t="s">
        <x:v>45</x:v>
      </x:c>
      <x:c r="G7511" s="0" t="s">
        <x:v>19</x:v>
      </x:c>
      <x:c r="H7511" s="0" t="s">
        <x:v>20</x:v>
      </x:c>
      <x:c r="I7511" s="0" t="s">
        <x:v>21</x:v>
      </x:c>
      <x:c r="K7511" s="0">
        <x:f>hyperlink("https://icd.who.int/dev11/l-ichi/en#/http%3A%2F%2Fid.who.int%2Ficd%2Fentity%2F763392815","browser")</x:f>
      </x:c>
      <x:c r="L7511" s="0">
        <x:f>hyperlink("https://icat2.azurewebsites.net/icat/?ontology=ICD&amp;tab=ClassesTab&amp;id=http%3A%2F%2Fwho.int%2Ficd%2345401_512ebf36_bf6b_4d70_85da_cf2637062af4","iCat")</x:f>
      </x:c>
      <x:c r="M7511" s="0" t="s">
        <x:v>21</x:v>
      </x:c>
      <x:c r="N7511" s="0" t="s">
        <x:v>46</x:v>
      </x:c>
    </x:row>
    <x:row r="7512" spans="1:16">
      <x:c r="A7512" s="0" t="s">
        <x:v>29909</x:v>
      </x:c>
      <x:c r="B7512" s="0" t="s">
        <x:v>29910</x:v>
      </x:c>
      <x:c r="C7512" s="0" t="s">
        <x:v>29911</x:v>
      </x:c>
      <x:c r="E7512" s="0" t="s">
        <x:v>29912</x:v>
      </x:c>
      <x:c r="F7512" s="0" t="s">
        <x:v>45</x:v>
      </x:c>
      <x:c r="G7512" s="0" t="s">
        <x:v>19</x:v>
      </x:c>
      <x:c r="H7512" s="0" t="s">
        <x:v>20</x:v>
      </x:c>
      <x:c r="I7512" s="0" t="s">
        <x:v>21</x:v>
      </x:c>
      <x:c r="K7512" s="0">
        <x:f>hyperlink("https://icd.who.int/dev11/l-ichi/en#/http%3A%2F%2Fid.who.int%2Ficd%2Fentity%2F1661010556","browser")</x:f>
      </x:c>
      <x:c r="L7512" s="0">
        <x:f>hyperlink("https://icat2.azurewebsites.net/icat/?ontology=ICD&amp;tab=ClassesTab&amp;id=http%3A%2F%2Fwho.int%2Ficd%2345409_512ebf36_bf6b_4d70_85da_cf2637062af4","iCat")</x:f>
      </x:c>
      <x:c r="M7512" s="0" t="s">
        <x:v>21</x:v>
      </x:c>
      <x:c r="N7512" s="0" t="s">
        <x:v>46</x:v>
      </x:c>
    </x:row>
    <x:row r="7513" spans="1:16">
      <x:c r="A7513" s="0" t="s">
        <x:v>29913</x:v>
      </x:c>
      <x:c r="B7513" s="0" t="s">
        <x:v>29914</x:v>
      </x:c>
      <x:c r="C7513" s="0" t="s">
        <x:v>29915</x:v>
      </x:c>
      <x:c r="E7513" s="0" t="s">
        <x:v>29916</x:v>
      </x:c>
      <x:c r="F7513" s="0" t="s">
        <x:v>45</x:v>
      </x:c>
      <x:c r="G7513" s="0" t="s">
        <x:v>19</x:v>
      </x:c>
      <x:c r="H7513" s="0" t="s">
        <x:v>20</x:v>
      </x:c>
      <x:c r="I7513" s="0" t="s">
        <x:v>21</x:v>
      </x:c>
      <x:c r="K7513" s="0">
        <x:f>hyperlink("https://icd.who.int/dev11/l-ichi/en#/http%3A%2F%2Fid.who.int%2Ficd%2Fentity%2F935808501","browser")</x:f>
      </x:c>
      <x:c r="L7513" s="0">
        <x:f>hyperlink("https://icat2.azurewebsites.net/icat/?ontology=ICD&amp;tab=ClassesTab&amp;id=http%3A%2F%2Fwho.int%2Ficd%2345416_512ebf36_bf6b_4d70_85da_cf2637062af4","iCat")</x:f>
      </x:c>
      <x:c r="M7513" s="0" t="s">
        <x:v>21</x:v>
      </x:c>
      <x:c r="N7513" s="0" t="s">
        <x:v>46</x:v>
      </x:c>
    </x:row>
    <x:row r="7514" spans="1:16">
      <x:c r="A7514" s="0" t="s">
        <x:v>29917</x:v>
      </x:c>
      <x:c r="B7514" s="0" t="s">
        <x:v>29918</x:v>
      </x:c>
      <x:c r="C7514" s="0" t="s">
        <x:v>29919</x:v>
      </x:c>
      <x:c r="E7514" s="0" t="s">
        <x:v>29920</x:v>
      </x:c>
      <x:c r="F7514" s="0" t="s">
        <x:v>45</x:v>
      </x:c>
      <x:c r="G7514" s="0" t="s">
        <x:v>19</x:v>
      </x:c>
      <x:c r="H7514" s="0" t="s">
        <x:v>20</x:v>
      </x:c>
      <x:c r="I7514" s="0" t="s">
        <x:v>21</x:v>
      </x:c>
      <x:c r="K7514" s="0">
        <x:f>hyperlink("https://icd.who.int/dev11/l-ichi/en#/http%3A%2F%2Fid.who.int%2Ficd%2Fentity%2F302649399","browser")</x:f>
      </x:c>
      <x:c r="L7514" s="0">
        <x:f>hyperlink("https://icat2.azurewebsites.net/icat/?ontology=ICD&amp;tab=ClassesTab&amp;id=http%3A%2F%2Fwho.int%2Ficd%2345424_512ebf36_bf6b_4d70_85da_cf2637062af4","iCat")</x:f>
      </x:c>
      <x:c r="M7514" s="0" t="s">
        <x:v>21</x:v>
      </x:c>
      <x:c r="N7514" s="0" t="s">
        <x:v>46</x:v>
      </x:c>
    </x:row>
    <x:row r="7515" spans="1:16">
      <x:c r="A7515" s="0" t="s">
        <x:v>29921</x:v>
      </x:c>
      <x:c r="B7515" s="0" t="s">
        <x:v>29922</x:v>
      </x:c>
      <x:c r="C7515" s="0" t="s">
        <x:v>29923</x:v>
      </x:c>
      <x:c r="E7515" s="0" t="s">
        <x:v>29924</x:v>
      </x:c>
      <x:c r="F7515" s="0" t="s">
        <x:v>45</x:v>
      </x:c>
      <x:c r="G7515" s="0" t="s">
        <x:v>19</x:v>
      </x:c>
      <x:c r="H7515" s="0" t="s">
        <x:v>20</x:v>
      </x:c>
      <x:c r="I7515" s="0" t="s">
        <x:v>21</x:v>
      </x:c>
      <x:c r="K7515" s="0">
        <x:f>hyperlink("https://icd.who.int/dev11/l-ichi/en#/http%3A%2F%2Fid.who.int%2Ficd%2Fentity%2F1831940904","browser")</x:f>
      </x:c>
      <x:c r="L7515" s="0">
        <x:f>hyperlink("https://icat2.azurewebsites.net/icat/?ontology=ICD&amp;tab=ClassesTab&amp;id=http%3A%2F%2Fwho.int%2Ficd%2345431_512ebf36_bf6b_4d70_85da_cf2637062af4","iCat")</x:f>
      </x:c>
      <x:c r="M7515" s="0" t="s">
        <x:v>21</x:v>
      </x:c>
      <x:c r="N7515" s="0" t="s">
        <x:v>46</x:v>
      </x:c>
    </x:row>
    <x:row r="7516" spans="1:16">
      <x:c r="A7516" s="0" t="s">
        <x:v>29925</x:v>
      </x:c>
      <x:c r="B7516" s="0" t="s">
        <x:v>29926</x:v>
      </x:c>
      <x:c r="C7516" s="0" t="s">
        <x:v>29927</x:v>
      </x:c>
      <x:c r="E7516" s="0" t="s">
        <x:v>29928</x:v>
      </x:c>
      <x:c r="F7516" s="0" t="s">
        <x:v>45</x:v>
      </x:c>
      <x:c r="G7516" s="0" t="s">
        <x:v>19</x:v>
      </x:c>
      <x:c r="H7516" s="0" t="s">
        <x:v>20</x:v>
      </x:c>
      <x:c r="I7516" s="0" t="s">
        <x:v>21</x:v>
      </x:c>
      <x:c r="K7516" s="0">
        <x:f>hyperlink("https://icd.who.int/dev11/l-ichi/en#/http%3A%2F%2Fid.who.int%2Ficd%2Fentity%2F55128129","browser")</x:f>
      </x:c>
      <x:c r="L7516" s="0">
        <x:f>hyperlink("https://icat2.azurewebsites.net/icat/?ontology=ICD&amp;tab=ClassesTab&amp;id=http%3A%2F%2Fwho.int%2Ficd%2345438_512ebf36_bf6b_4d70_85da_cf2637062af4","iCat")</x:f>
      </x:c>
      <x:c r="M7516" s="0" t="s">
        <x:v>21</x:v>
      </x:c>
      <x:c r="N7516" s="0" t="s">
        <x:v>46</x:v>
      </x:c>
    </x:row>
    <x:row r="7517" spans="1:16">
      <x:c r="A7517" s="0" t="s">
        <x:v>29929</x:v>
      </x:c>
      <x:c r="B7517" s="0" t="s">
        <x:v>29930</x:v>
      </x:c>
      <x:c r="C7517" s="0" t="s">
        <x:v>29931</x:v>
      </x:c>
      <x:c r="E7517" s="0" t="s">
        <x:v>29932</x:v>
      </x:c>
      <x:c r="F7517" s="0" t="s">
        <x:v>45</x:v>
      </x:c>
      <x:c r="G7517" s="0" t="s">
        <x:v>19</x:v>
      </x:c>
      <x:c r="H7517" s="0" t="s">
        <x:v>20</x:v>
      </x:c>
      <x:c r="I7517" s="0" t="s">
        <x:v>21</x:v>
      </x:c>
      <x:c r="K7517" s="0">
        <x:f>hyperlink("https://icd.who.int/dev11/l-ichi/en#/http%3A%2F%2Fid.who.int%2Ficd%2Fentity%2F761629631","browser")</x:f>
      </x:c>
      <x:c r="L7517" s="0">
        <x:f>hyperlink("https://icat2.azurewebsites.net/icat/?ontology=ICD&amp;tab=ClassesTab&amp;id=http%3A%2F%2Fwho.int%2Ficd%2345446_512ebf36_bf6b_4d70_85da_cf2637062af4","iCat")</x:f>
      </x:c>
      <x:c r="M7517" s="0" t="s">
        <x:v>21</x:v>
      </x:c>
      <x:c r="N7517" s="0" t="s">
        <x:v>46</x:v>
      </x:c>
    </x:row>
    <x:row r="7518" spans="1:16">
      <x:c r="A7518" s="0" t="s">
        <x:v>29933</x:v>
      </x:c>
      <x:c r="B7518" s="0" t="s">
        <x:v>29934</x:v>
      </x:c>
      <x:c r="C7518" s="0" t="s">
        <x:v>29935</x:v>
      </x:c>
      <x:c r="E7518" s="0" t="s">
        <x:v>29936</x:v>
      </x:c>
      <x:c r="F7518" s="0" t="s">
        <x:v>45</x:v>
      </x:c>
      <x:c r="G7518" s="0" t="s">
        <x:v>19</x:v>
      </x:c>
      <x:c r="H7518" s="0" t="s">
        <x:v>20</x:v>
      </x:c>
      <x:c r="I7518" s="0" t="s">
        <x:v>21</x:v>
      </x:c>
      <x:c r="K7518" s="0">
        <x:f>hyperlink("https://icd.who.int/dev11/l-ichi/en#/http%3A%2F%2Fid.who.int%2Ficd%2Fentity%2F1201676010","browser")</x:f>
      </x:c>
      <x:c r="L7518" s="0">
        <x:f>hyperlink("https://icat2.azurewebsites.net/icat/?ontology=ICD&amp;tab=ClassesTab&amp;id=http%3A%2F%2Fwho.int%2Ficd%2345456_512ebf36_bf6b_4d70_85da_cf2637062af4","iCat")</x:f>
      </x:c>
      <x:c r="M7518" s="0" t="s">
        <x:v>21</x:v>
      </x:c>
      <x:c r="N7518" s="0" t="s">
        <x:v>46</x:v>
      </x:c>
    </x:row>
    <x:row r="7519" spans="1:16">
      <x:c r="A7519" s="0" t="s">
        <x:v>29937</x:v>
      </x:c>
      <x:c r="B7519" s="0" t="s">
        <x:v>29938</x:v>
      </x:c>
      <x:c r="C7519" s="0" t="s">
        <x:v>29939</x:v>
      </x:c>
      <x:c r="E7519" s="0" t="s">
        <x:v>29940</x:v>
      </x:c>
      <x:c r="F7519" s="0" t="s">
        <x:v>45</x:v>
      </x:c>
      <x:c r="G7519" s="0" t="s">
        <x:v>19</x:v>
      </x:c>
      <x:c r="H7519" s="0" t="s">
        <x:v>20</x:v>
      </x:c>
      <x:c r="I7519" s="0" t="s">
        <x:v>21</x:v>
      </x:c>
      <x:c r="K7519" s="0">
        <x:f>hyperlink("https://icd.who.int/dev11/l-ichi/en#/http%3A%2F%2Fid.who.int%2Ficd%2Fentity%2F118578927","browser")</x:f>
      </x:c>
      <x:c r="L7519" s="0">
        <x:f>hyperlink("https://icat2.azurewebsites.net/icat/?ontology=ICD&amp;tab=ClassesTab&amp;id=http%3A%2F%2Fwho.int%2Ficd%2345466_512ebf36_bf6b_4d70_85da_cf2637062af4","iCat")</x:f>
      </x:c>
      <x:c r="M7519" s="0" t="s">
        <x:v>21</x:v>
      </x:c>
      <x:c r="N7519" s="0" t="s">
        <x:v>46</x:v>
      </x:c>
    </x:row>
    <x:row r="7520" spans="1:16">
      <x:c r="A7520" s="0" t="s">
        <x:v>29941</x:v>
      </x:c>
      <x:c r="B7520" s="0" t="s">
        <x:v>29942</x:v>
      </x:c>
      <x:c r="C7520" s="0" t="s">
        <x:v>29943</x:v>
      </x:c>
      <x:c r="E7520" s="0" t="s">
        <x:v>29944</x:v>
      </x:c>
      <x:c r="F7520" s="0" t="s">
        <x:v>45</x:v>
      </x:c>
      <x:c r="G7520" s="0" t="s">
        <x:v>19</x:v>
      </x:c>
      <x:c r="H7520" s="0" t="s">
        <x:v>20</x:v>
      </x:c>
      <x:c r="I7520" s="0" t="s">
        <x:v>21</x:v>
      </x:c>
      <x:c r="K7520" s="0">
        <x:f>hyperlink("https://icd.who.int/dev11/l-ichi/en#/http%3A%2F%2Fid.who.int%2Ficd%2Fentity%2F1842662328","browser")</x:f>
      </x:c>
      <x:c r="L7520" s="0">
        <x:f>hyperlink("https://icat2.azurewebsites.net/icat/?ontology=ICD&amp;tab=ClassesTab&amp;id=http%3A%2F%2Fwho.int%2Ficd%2345476_512ebf36_bf6b_4d70_85da_cf2637062af4","iCat")</x:f>
      </x:c>
      <x:c r="M7520" s="0" t="s">
        <x:v>21</x:v>
      </x:c>
      <x:c r="N7520" s="0" t="s">
        <x:v>46</x:v>
      </x:c>
    </x:row>
    <x:row r="7521" spans="1:16">
      <x:c r="A7521" s="0" t="s">
        <x:v>29945</x:v>
      </x:c>
      <x:c r="B7521" s="0" t="s">
        <x:v>29946</x:v>
      </x:c>
      <x:c r="C7521" s="0" t="s">
        <x:v>29947</x:v>
      </x:c>
      <x:c r="E7521" s="0" t="s">
        <x:v>29948</x:v>
      </x:c>
      <x:c r="F7521" s="0" t="s">
        <x:v>45</x:v>
      </x:c>
      <x:c r="G7521" s="0" t="s">
        <x:v>19</x:v>
      </x:c>
      <x:c r="H7521" s="0" t="s">
        <x:v>20</x:v>
      </x:c>
      <x:c r="I7521" s="0" t="s">
        <x:v>21</x:v>
      </x:c>
      <x:c r="K7521" s="0">
        <x:f>hyperlink("https://icd.who.int/dev11/l-ichi/en#/http%3A%2F%2Fid.who.int%2Ficd%2Fentity%2F1473066798","browser")</x:f>
      </x:c>
      <x:c r="L7521" s="0">
        <x:f>hyperlink("https://icat2.azurewebsites.net/icat/?ontology=ICD&amp;tab=ClassesTab&amp;id=http%3A%2F%2Fwho.int%2Ficd%2345483_512ebf36_bf6b_4d70_85da_cf2637062af4","iCat")</x:f>
      </x:c>
      <x:c r="M7521" s="0" t="s">
        <x:v>21</x:v>
      </x:c>
      <x:c r="N7521" s="0" t="s">
        <x:v>46</x:v>
      </x:c>
    </x:row>
    <x:row r="7522" spans="1:16">
      <x:c r="A7522" s="0" t="s">
        <x:v>29949</x:v>
      </x:c>
      <x:c r="B7522" s="0" t="s">
        <x:v>29950</x:v>
      </x:c>
      <x:c r="C7522" s="0" t="s">
        <x:v>29951</x:v>
      </x:c>
      <x:c r="E7522" s="0" t="s">
        <x:v>29952</x:v>
      </x:c>
      <x:c r="F7522" s="0" t="s">
        <x:v>45</x:v>
      </x:c>
      <x:c r="G7522" s="0" t="s">
        <x:v>19</x:v>
      </x:c>
      <x:c r="H7522" s="0" t="s">
        <x:v>20</x:v>
      </x:c>
      <x:c r="I7522" s="0" t="s">
        <x:v>21</x:v>
      </x:c>
      <x:c r="K7522" s="0">
        <x:f>hyperlink("https://icd.who.int/dev11/l-ichi/en#/http%3A%2F%2Fid.who.int%2Ficd%2Fentity%2F2022559106","browser")</x:f>
      </x:c>
      <x:c r="L7522" s="0">
        <x:f>hyperlink("https://icat2.azurewebsites.net/icat/?ontology=ICD&amp;tab=ClassesTab&amp;id=http%3A%2F%2Fwho.int%2Ficd%2345490_512ebf36_bf6b_4d70_85da_cf2637062af4","iCat")</x:f>
      </x:c>
      <x:c r="M7522" s="0" t="s">
        <x:v>21</x:v>
      </x:c>
      <x:c r="N7522" s="0" t="s">
        <x:v>46</x:v>
      </x:c>
    </x:row>
    <x:row r="7523" spans="1:16">
      <x:c r="A7523" s="0" t="s">
        <x:v>29953</x:v>
      </x:c>
      <x:c r="B7523" s="0" t="s">
        <x:v>29954</x:v>
      </x:c>
      <x:c r="C7523" s="0" t="s">
        <x:v>29955</x:v>
      </x:c>
      <x:c r="E7523" s="0" t="s">
        <x:v>29956</x:v>
      </x:c>
      <x:c r="F7523" s="0" t="s">
        <x:v>45</x:v>
      </x:c>
      <x:c r="G7523" s="0" t="s">
        <x:v>19</x:v>
      </x:c>
      <x:c r="H7523" s="0" t="s">
        <x:v>20</x:v>
      </x:c>
      <x:c r="I7523" s="0" t="s">
        <x:v>21</x:v>
      </x:c>
      <x:c r="K7523" s="0">
        <x:f>hyperlink("https://icd.who.int/dev11/l-ichi/en#/http%3A%2F%2Fid.who.int%2Ficd%2Fentity%2F135226893","browser")</x:f>
      </x:c>
      <x:c r="L7523" s="0">
        <x:f>hyperlink("https://icat2.azurewebsites.net/icat/?ontology=ICD&amp;tab=ClassesTab&amp;id=http%3A%2F%2Fwho.int%2Ficd%2345497_512ebf36_bf6b_4d70_85da_cf2637062af4","iCat")</x:f>
      </x:c>
      <x:c r="M7523" s="0" t="s">
        <x:v>21</x:v>
      </x:c>
      <x:c r="N7523" s="0" t="s">
        <x:v>46</x:v>
      </x:c>
    </x:row>
    <x:row r="7524" spans="1:16">
      <x:c r="A7524" s="0" t="s">
        <x:v>29957</x:v>
      </x:c>
      <x:c r="B7524" s="0" t="s">
        <x:v>29958</x:v>
      </x:c>
      <x:c r="C7524" s="0" t="s">
        <x:v>29959</x:v>
      </x:c>
      <x:c r="E7524" s="0" t="s">
        <x:v>29960</x:v>
      </x:c>
      <x:c r="F7524" s="0" t="s">
        <x:v>45</x:v>
      </x:c>
      <x:c r="G7524" s="0" t="s">
        <x:v>19</x:v>
      </x:c>
      <x:c r="H7524" s="0" t="s">
        <x:v>20</x:v>
      </x:c>
      <x:c r="I7524" s="0" t="s">
        <x:v>21</x:v>
      </x:c>
      <x:c r="K7524" s="0">
        <x:f>hyperlink("https://icd.who.int/dev11/l-ichi/en#/http%3A%2F%2Fid.who.int%2Ficd%2Fentity%2F912766683","browser")</x:f>
      </x:c>
      <x:c r="L7524" s="0">
        <x:f>hyperlink("https://icat2.azurewebsites.net/icat/?ontology=ICD&amp;tab=ClassesTab&amp;id=http%3A%2F%2Fwho.int%2Ficd%2345508_512ebf36_bf6b_4d70_85da_cf2637062af4","iCat")</x:f>
      </x:c>
      <x:c r="M7524" s="0" t="s">
        <x:v>21</x:v>
      </x:c>
      <x:c r="N7524" s="0" t="s">
        <x:v>46</x:v>
      </x:c>
    </x:row>
    <x:row r="7525" spans="1:16">
      <x:c r="A7525" s="0" t="s">
        <x:v>29961</x:v>
      </x:c>
      <x:c r="B7525" s="0" t="s">
        <x:v>29962</x:v>
      </x:c>
      <x:c r="C7525" s="0" t="s">
        <x:v>29963</x:v>
      </x:c>
      <x:c r="E7525" s="0" t="s">
        <x:v>29964</x:v>
      </x:c>
      <x:c r="F7525" s="0" t="s">
        <x:v>45</x:v>
      </x:c>
      <x:c r="G7525" s="0" t="s">
        <x:v>19</x:v>
      </x:c>
      <x:c r="H7525" s="0" t="s">
        <x:v>20</x:v>
      </x:c>
      <x:c r="I7525" s="0" t="s">
        <x:v>21</x:v>
      </x:c>
      <x:c r="K7525" s="0">
        <x:f>hyperlink("https://icd.who.int/dev11/l-ichi/en#/http%3A%2F%2Fid.who.int%2Ficd%2Fentity%2F1049109900","browser")</x:f>
      </x:c>
      <x:c r="L7525" s="0">
        <x:f>hyperlink("https://icat2.azurewebsites.net/icat/?ontology=ICD&amp;tab=ClassesTab&amp;id=http%3A%2F%2Fwho.int%2Ficd%23197_3c64dd61_a787_4b69_a0aa_c26ee473e65a","iCat")</x:f>
      </x:c>
      <x:c r="M7525" s="0" t="s">
        <x:v>21</x:v>
      </x:c>
      <x:c r="N7525" s="0" t="s">
        <x:v>46</x:v>
      </x:c>
    </x:row>
    <x:row r="7526" spans="1:16">
      <x:c r="A7526" s="0" t="s">
        <x:v>29965</x:v>
      </x:c>
      <x:c r="B7526" s="0" t="s">
        <x:v>29966</x:v>
      </x:c>
      <x:c r="C7526" s="0" t="s">
        <x:v>29967</x:v>
      </x:c>
      <x:c r="E7526" s="0" t="s">
        <x:v>29968</x:v>
      </x:c>
      <x:c r="F7526" s="0" t="s">
        <x:v>45</x:v>
      </x:c>
      <x:c r="G7526" s="0" t="s">
        <x:v>19</x:v>
      </x:c>
      <x:c r="H7526" s="0" t="s">
        <x:v>20</x:v>
      </x:c>
      <x:c r="I7526" s="0" t="s">
        <x:v>21</x:v>
      </x:c>
      <x:c r="K7526" s="0">
        <x:f>hyperlink("https://icd.who.int/dev11/l-ichi/en#/http%3A%2F%2Fid.who.int%2Ficd%2Fentity%2F2086359474","browser")</x:f>
      </x:c>
      <x:c r="L7526" s="0">
        <x:f>hyperlink("https://icat2.azurewebsites.net/icat/?ontology=ICD&amp;tab=ClassesTab&amp;id=http%3A%2F%2Fwho.int%2Ficd%2345519_512ebf36_bf6b_4d70_85da_cf2637062af4","iCat")</x:f>
      </x:c>
      <x:c r="M7526" s="0" t="s">
        <x:v>21</x:v>
      </x:c>
      <x:c r="N7526" s="0" t="s">
        <x:v>46</x:v>
      </x:c>
    </x:row>
    <x:row r="7527" spans="1:16">
      <x:c r="A7527" s="0" t="s">
        <x:v>29969</x:v>
      </x:c>
      <x:c r="B7527" s="0" t="s">
        <x:v>29970</x:v>
      </x:c>
      <x:c r="C7527" s="0" t="s">
        <x:v>29971</x:v>
      </x:c>
      <x:c r="E7527" s="0" t="s">
        <x:v>29972</x:v>
      </x:c>
      <x:c r="F7527" s="0" t="s">
        <x:v>45</x:v>
      </x:c>
      <x:c r="G7527" s="0" t="s">
        <x:v>19</x:v>
      </x:c>
      <x:c r="H7527" s="0" t="s">
        <x:v>20</x:v>
      </x:c>
      <x:c r="I7527" s="0" t="s">
        <x:v>21</x:v>
      </x:c>
      <x:c r="K7527" s="0">
        <x:f>hyperlink("https://icd.who.int/dev11/l-ichi/en#/http%3A%2F%2Fid.who.int%2Ficd%2Fentity%2F1021972919","browser")</x:f>
      </x:c>
      <x:c r="L7527" s="0">
        <x:f>hyperlink("https://icat2.azurewebsites.net/icat/?ontology=ICD&amp;tab=ClassesTab&amp;id=http%3A%2F%2Fwho.int%2Ficd%2345529_512ebf36_bf6b_4d70_85da_cf2637062af4","iCat")</x:f>
      </x:c>
      <x:c r="M7527" s="0" t="s">
        <x:v>21</x:v>
      </x:c>
      <x:c r="N7527" s="0" t="s">
        <x:v>46</x:v>
      </x:c>
    </x:row>
    <x:row r="7528" spans="1:16">
      <x:c r="A7528" s="0" t="s">
        <x:v>29973</x:v>
      </x:c>
      <x:c r="B7528" s="0" t="s">
        <x:v>29974</x:v>
      </x:c>
      <x:c r="C7528" s="0" t="s">
        <x:v>29975</x:v>
      </x:c>
      <x:c r="E7528" s="0" t="s">
        <x:v>29976</x:v>
      </x:c>
      <x:c r="F7528" s="0" t="s">
        <x:v>45</x:v>
      </x:c>
      <x:c r="G7528" s="0" t="s">
        <x:v>19</x:v>
      </x:c>
      <x:c r="H7528" s="0" t="s">
        <x:v>20</x:v>
      </x:c>
      <x:c r="I7528" s="0" t="s">
        <x:v>21</x:v>
      </x:c>
      <x:c r="K7528" s="0">
        <x:f>hyperlink("https://icd.who.int/dev11/l-ichi/en#/http%3A%2F%2Fid.who.int%2Ficd%2Fentity%2F1445954784","browser")</x:f>
      </x:c>
      <x:c r="L7528" s="0">
        <x:f>hyperlink("https://icat2.azurewebsites.net/icat/?ontology=ICD&amp;tab=ClassesTab&amp;id=http%3A%2F%2Fwho.int%2Ficd%2345539_512ebf36_bf6b_4d70_85da_cf2637062af4","iCat")</x:f>
      </x:c>
      <x:c r="M7528" s="0" t="s">
        <x:v>21</x:v>
      </x:c>
      <x:c r="N7528" s="0" t="s">
        <x:v>46</x:v>
      </x:c>
    </x:row>
    <x:row r="7529" spans="1:16">
      <x:c r="A7529" s="0" t="s">
        <x:v>29977</x:v>
      </x:c>
      <x:c r="B7529" s="0" t="s">
        <x:v>29978</x:v>
      </x:c>
      <x:c r="C7529" s="0" t="s">
        <x:v>29979</x:v>
      </x:c>
      <x:c r="E7529" s="0" t="s">
        <x:v>29980</x:v>
      </x:c>
      <x:c r="F7529" s="0" t="s">
        <x:v>45</x:v>
      </x:c>
      <x:c r="G7529" s="0" t="s">
        <x:v>19</x:v>
      </x:c>
      <x:c r="H7529" s="0" t="s">
        <x:v>20</x:v>
      </x:c>
      <x:c r="I7529" s="0" t="s">
        <x:v>21</x:v>
      </x:c>
      <x:c r="K7529" s="0">
        <x:f>hyperlink("https://icd.who.int/dev11/l-ichi/en#/http%3A%2F%2Fid.who.int%2Ficd%2Fentity%2F1727633404","browser")</x:f>
      </x:c>
      <x:c r="L7529" s="0">
        <x:f>hyperlink("https://icat2.azurewebsites.net/icat/?ontology=ICD&amp;tab=ClassesTab&amp;id=http%3A%2F%2Fwho.int%2Ficd%2345549_512ebf36_bf6b_4d70_85da_cf2637062af4","iCat")</x:f>
      </x:c>
      <x:c r="M7529" s="0" t="s">
        <x:v>21</x:v>
      </x:c>
      <x:c r="N7529" s="0" t="s">
        <x:v>46</x:v>
      </x:c>
    </x:row>
    <x:row r="7530" spans="1:16">
      <x:c r="A7530" s="0" t="s">
        <x:v>29981</x:v>
      </x:c>
      <x:c r="B7530" s="0" t="s">
        <x:v>29982</x:v>
      </x:c>
      <x:c r="C7530" s="0" t="s">
        <x:v>29983</x:v>
      </x:c>
      <x:c r="E7530" s="0" t="s">
        <x:v>29984</x:v>
      </x:c>
      <x:c r="F7530" s="0" t="s">
        <x:v>45</x:v>
      </x:c>
      <x:c r="G7530" s="0" t="s">
        <x:v>19</x:v>
      </x:c>
      <x:c r="H7530" s="0" t="s">
        <x:v>20</x:v>
      </x:c>
      <x:c r="I7530" s="0" t="s">
        <x:v>21</x:v>
      </x:c>
      <x:c r="K7530" s="0">
        <x:f>hyperlink("https://icd.who.int/dev11/l-ichi/en#/http%3A%2F%2Fid.who.int%2Ficd%2Fentity%2F843044981","browser")</x:f>
      </x:c>
      <x:c r="L7530" s="0">
        <x:f>hyperlink("https://icat2.azurewebsites.net/icat/?ontology=ICD&amp;tab=ClassesTab&amp;id=http%3A%2F%2Fwho.int%2Ficd%2345556_512ebf36_bf6b_4d70_85da_cf2637062af4","iCat")</x:f>
      </x:c>
      <x:c r="M7530" s="0" t="s">
        <x:v>21</x:v>
      </x:c>
      <x:c r="N7530" s="0" t="s">
        <x:v>46</x:v>
      </x:c>
    </x:row>
    <x:row r="7531" spans="1:16">
      <x:c r="A7531" s="0" t="s">
        <x:v>29985</x:v>
      </x:c>
      <x:c r="B7531" s="0" t="s">
        <x:v>29986</x:v>
      </x:c>
      <x:c r="C7531" s="0" t="s">
        <x:v>29987</x:v>
      </x:c>
      <x:c r="E7531" s="0" t="s">
        <x:v>29988</x:v>
      </x:c>
      <x:c r="F7531" s="0" t="s">
        <x:v>45</x:v>
      </x:c>
      <x:c r="G7531" s="0" t="s">
        <x:v>19</x:v>
      </x:c>
      <x:c r="H7531" s="0" t="s">
        <x:v>20</x:v>
      </x:c>
      <x:c r="I7531" s="0" t="s">
        <x:v>21</x:v>
      </x:c>
      <x:c r="K7531" s="0">
        <x:f>hyperlink("https://icd.who.int/dev11/l-ichi/en#/http%3A%2F%2Fid.who.int%2Ficd%2Fentity%2F1947431569","browser")</x:f>
      </x:c>
      <x:c r="L7531" s="0">
        <x:f>hyperlink("https://icat2.azurewebsites.net/icat/?ontology=ICD&amp;tab=ClassesTab&amp;id=http%3A%2F%2Fwho.int%2Ficd%23165_3c64dd61_a787_4b69_a0aa_c26ee473e65a","iCat")</x:f>
      </x:c>
      <x:c r="M7531" s="0" t="s">
        <x:v>21</x:v>
      </x:c>
      <x:c r="N7531" s="0" t="s">
        <x:v>46</x:v>
      </x:c>
    </x:row>
    <x:row r="7532" spans="1:16">
      <x:c r="A7532" s="0" t="s">
        <x:v>29989</x:v>
      </x:c>
      <x:c r="B7532" s="0" t="s">
        <x:v>29990</x:v>
      </x:c>
      <x:c r="C7532" s="0" t="s">
        <x:v>29991</x:v>
      </x:c>
      <x:c r="E7532" s="0" t="s">
        <x:v>29992</x:v>
      </x:c>
      <x:c r="F7532" s="0" t="s">
        <x:v>45</x:v>
      </x:c>
      <x:c r="G7532" s="0" t="s">
        <x:v>19</x:v>
      </x:c>
      <x:c r="H7532" s="0" t="s">
        <x:v>20</x:v>
      </x:c>
      <x:c r="I7532" s="0" t="s">
        <x:v>21</x:v>
      </x:c>
      <x:c r="K7532" s="0">
        <x:f>hyperlink("https://icd.who.int/dev11/l-ichi/en#/http%3A%2F%2Fid.who.int%2Ficd%2Fentity%2F1735405114","browser")</x:f>
      </x:c>
      <x:c r="L7532" s="0">
        <x:f>hyperlink("https://icat2.azurewebsites.net/icat/?ontology=ICD&amp;tab=ClassesTab&amp;id=http%3A%2F%2Fwho.int%2Ficd%2345563_512ebf36_bf6b_4d70_85da_cf2637062af4","iCat")</x:f>
      </x:c>
      <x:c r="M7532" s="0" t="s">
        <x:v>21</x:v>
      </x:c>
      <x:c r="N7532" s="0" t="s">
        <x:v>46</x:v>
      </x:c>
    </x:row>
    <x:row r="7533" spans="1:16">
      <x:c r="A7533" s="0" t="s">
        <x:v>29993</x:v>
      </x:c>
      <x:c r="B7533" s="0" t="s">
        <x:v>29994</x:v>
      </x:c>
      <x:c r="C7533" s="0" t="s">
        <x:v>29995</x:v>
      </x:c>
      <x:c r="E7533" s="0" t="s">
        <x:v>29996</x:v>
      </x:c>
      <x:c r="F7533" s="0" t="s">
        <x:v>45</x:v>
      </x:c>
      <x:c r="G7533" s="0" t="s">
        <x:v>19</x:v>
      </x:c>
      <x:c r="H7533" s="0" t="s">
        <x:v>20</x:v>
      </x:c>
      <x:c r="I7533" s="0" t="s">
        <x:v>21</x:v>
      </x:c>
      <x:c r="K7533" s="0">
        <x:f>hyperlink("https://icd.who.int/dev11/l-ichi/en#/http%3A%2F%2Fid.who.int%2Ficd%2Fentity%2F1211159702","browser")</x:f>
      </x:c>
      <x:c r="L7533" s="0">
        <x:f>hyperlink("https://icat2.azurewebsites.net/icat/?ontology=ICD&amp;tab=ClassesTab&amp;id=http%3A%2F%2Fwho.int%2Ficd%2345570_512ebf36_bf6b_4d70_85da_cf2637062af4","iCat")</x:f>
      </x:c>
      <x:c r="M7533" s="0" t="s">
        <x:v>21</x:v>
      </x:c>
      <x:c r="N7533" s="0" t="s">
        <x:v>46</x:v>
      </x:c>
    </x:row>
    <x:row r="7534" spans="1:16">
      <x:c r="A7534" s="0" t="s">
        <x:v>29997</x:v>
      </x:c>
      <x:c r="B7534" s="0" t="s">
        <x:v>29998</x:v>
      </x:c>
      <x:c r="C7534" s="0" t="s">
        <x:v>29999</x:v>
      </x:c>
      <x:c r="E7534" s="0" t="s">
        <x:v>30000</x:v>
      </x:c>
      <x:c r="F7534" s="0" t="s">
        <x:v>45</x:v>
      </x:c>
      <x:c r="G7534" s="0" t="s">
        <x:v>19</x:v>
      </x:c>
      <x:c r="H7534" s="0" t="s">
        <x:v>20</x:v>
      </x:c>
      <x:c r="I7534" s="0" t="s">
        <x:v>21</x:v>
      </x:c>
      <x:c r="K7534" s="0">
        <x:f>hyperlink("https://icd.who.int/dev11/l-ichi/en#/http%3A%2F%2Fid.who.int%2Ficd%2Fentity%2F951222041","browser")</x:f>
      </x:c>
      <x:c r="L7534" s="0">
        <x:f>hyperlink("https://icat2.azurewebsites.net/icat/?ontology=ICD&amp;tab=ClassesTab&amp;id=http%3A%2F%2Fwho.int%2Ficd%2345577_512ebf36_bf6b_4d70_85da_cf2637062af4","iCat")</x:f>
      </x:c>
      <x:c r="M7534" s="0" t="s">
        <x:v>21</x:v>
      </x:c>
      <x:c r="N7534" s="0" t="s">
        <x:v>46</x:v>
      </x:c>
    </x:row>
    <x:row r="7535" spans="1:16">
      <x:c r="A7535" s="0" t="s">
        <x:v>30001</x:v>
      </x:c>
      <x:c r="B7535" s="0" t="s">
        <x:v>30002</x:v>
      </x:c>
      <x:c r="C7535" s="0" t="s">
        <x:v>30003</x:v>
      </x:c>
      <x:c r="E7535" s="0" t="s">
        <x:v>30004</x:v>
      </x:c>
      <x:c r="F7535" s="0" t="s">
        <x:v>45</x:v>
      </x:c>
      <x:c r="G7535" s="0" t="s">
        <x:v>19</x:v>
      </x:c>
      <x:c r="H7535" s="0" t="s">
        <x:v>20</x:v>
      </x:c>
      <x:c r="I7535" s="0" t="s">
        <x:v>21</x:v>
      </x:c>
      <x:c r="K7535" s="0">
        <x:f>hyperlink("https://icd.who.int/dev11/l-ichi/en#/http%3A%2F%2Fid.who.int%2Ficd%2Fentity%2F1389386302","browser")</x:f>
      </x:c>
      <x:c r="L7535" s="0">
        <x:f>hyperlink("https://icat2.azurewebsites.net/icat/?ontology=ICD&amp;tab=ClassesTab&amp;id=http%3A%2F%2Fwho.int%2Ficd%2345584_512ebf36_bf6b_4d70_85da_cf2637062af4","iCat")</x:f>
      </x:c>
      <x:c r="M7535" s="0" t="s">
        <x:v>21</x:v>
      </x:c>
      <x:c r="N7535" s="0" t="s">
        <x:v>46</x:v>
      </x:c>
    </x:row>
    <x:row r="7536" spans="1:16">
      <x:c r="A7536" s="0" t="s">
        <x:v>30005</x:v>
      </x:c>
      <x:c r="B7536" s="0" t="s">
        <x:v>30006</x:v>
      </x:c>
      <x:c r="C7536" s="0" t="s">
        <x:v>30007</x:v>
      </x:c>
      <x:c r="E7536" s="0" t="s">
        <x:v>30008</x:v>
      </x:c>
      <x:c r="F7536" s="0" t="s">
        <x:v>45</x:v>
      </x:c>
      <x:c r="G7536" s="0" t="s">
        <x:v>19</x:v>
      </x:c>
      <x:c r="H7536" s="0" t="s">
        <x:v>20</x:v>
      </x:c>
      <x:c r="I7536" s="0" t="s">
        <x:v>21</x:v>
      </x:c>
      <x:c r="K7536" s="0">
        <x:f>hyperlink("https://icd.who.int/dev11/l-ichi/en#/http%3A%2F%2Fid.who.int%2Ficd%2Fentity%2F770406689","browser")</x:f>
      </x:c>
      <x:c r="L7536" s="0">
        <x:f>hyperlink("https://icat2.azurewebsites.net/icat/?ontology=ICD&amp;tab=ClassesTab&amp;id=http%3A%2F%2Fwho.int%2Ficd%2345591_512ebf36_bf6b_4d70_85da_cf2637062af4","iCat")</x:f>
      </x:c>
      <x:c r="M7536" s="0" t="s">
        <x:v>21</x:v>
      </x:c>
      <x:c r="N7536" s="0" t="s">
        <x:v>46</x:v>
      </x:c>
    </x:row>
    <x:row r="7537" spans="1:16">
      <x:c r="A7537" s="0" t="s">
        <x:v>30009</x:v>
      </x:c>
      <x:c r="B7537" s="0" t="s">
        <x:v>30010</x:v>
      </x:c>
      <x:c r="C7537" s="0" t="s">
        <x:v>30011</x:v>
      </x:c>
      <x:c r="E7537" s="0" t="s">
        <x:v>30012</x:v>
      </x:c>
      <x:c r="F7537" s="0" t="s">
        <x:v>45</x:v>
      </x:c>
      <x:c r="G7537" s="0" t="s">
        <x:v>19</x:v>
      </x:c>
      <x:c r="H7537" s="0" t="s">
        <x:v>20</x:v>
      </x:c>
      <x:c r="I7537" s="0" t="s">
        <x:v>21</x:v>
      </x:c>
      <x:c r="K7537" s="0">
        <x:f>hyperlink("https://icd.who.int/dev11/l-ichi/en#/http%3A%2F%2Fid.who.int%2Ficd%2Fentity%2F735126450","browser")</x:f>
      </x:c>
      <x:c r="L7537" s="0">
        <x:f>hyperlink("https://icat2.azurewebsites.net/icat/?ontology=ICD&amp;tab=ClassesTab&amp;id=http%3A%2F%2Fwho.int%2Ficd%23171_3c64dd61_a787_4b69_a0aa_c26ee473e65a","iCat")</x:f>
      </x:c>
      <x:c r="M7537" s="0" t="s">
        <x:v>21</x:v>
      </x:c>
      <x:c r="N7537" s="0" t="s">
        <x:v>46</x:v>
      </x:c>
    </x:row>
    <x:row r="7538" spans="1:16">
      <x:c r="A7538" s="0" t="s">
        <x:v>30013</x:v>
      </x:c>
      <x:c r="B7538" s="0" t="s">
        <x:v>30014</x:v>
      </x:c>
      <x:c r="C7538" s="0" t="s">
        <x:v>30015</x:v>
      </x:c>
      <x:c r="E7538" s="0" t="s">
        <x:v>30016</x:v>
      </x:c>
      <x:c r="F7538" s="0" t="s">
        <x:v>45</x:v>
      </x:c>
      <x:c r="G7538" s="0" t="s">
        <x:v>19</x:v>
      </x:c>
      <x:c r="H7538" s="0" t="s">
        <x:v>20</x:v>
      </x:c>
      <x:c r="I7538" s="0" t="s">
        <x:v>21</x:v>
      </x:c>
      <x:c r="K7538" s="0">
        <x:f>hyperlink("https://icd.who.int/dev11/l-ichi/en#/http%3A%2F%2Fid.who.int%2Ficd%2Fentity%2F1133738570","browser")</x:f>
      </x:c>
      <x:c r="L7538" s="0">
        <x:f>hyperlink("https://icat2.azurewebsites.net/icat/?ontology=ICD&amp;tab=ClassesTab&amp;id=http%3A%2F%2Fwho.int%2Ficd%2345598_512ebf36_bf6b_4d70_85da_cf2637062af4","iCat")</x:f>
      </x:c>
      <x:c r="M7538" s="0" t="s">
        <x:v>21</x:v>
      </x:c>
      <x:c r="N7538" s="0" t="s">
        <x:v>46</x:v>
      </x:c>
    </x:row>
    <x:row r="7539" spans="1:16">
      <x:c r="A7539" s="0" t="s">
        <x:v>30017</x:v>
      </x:c>
      <x:c r="B7539" s="0" t="s">
        <x:v>30018</x:v>
      </x:c>
      <x:c r="C7539" s="0" t="s">
        <x:v>30019</x:v>
      </x:c>
      <x:c r="E7539" s="0" t="s">
        <x:v>30020</x:v>
      </x:c>
      <x:c r="F7539" s="0" t="s">
        <x:v>45</x:v>
      </x:c>
      <x:c r="G7539" s="0" t="s">
        <x:v>19</x:v>
      </x:c>
      <x:c r="H7539" s="0" t="s">
        <x:v>20</x:v>
      </x:c>
      <x:c r="I7539" s="0" t="s">
        <x:v>21</x:v>
      </x:c>
      <x:c r="K7539" s="0">
        <x:f>hyperlink("https://icd.who.int/dev11/l-ichi/en#/http%3A%2F%2Fid.who.int%2Ficd%2Fentity%2F206030239","browser")</x:f>
      </x:c>
      <x:c r="L7539" s="0">
        <x:f>hyperlink("https://icat2.azurewebsites.net/icat/?ontology=ICD&amp;tab=ClassesTab&amp;id=http%3A%2F%2Fwho.int%2Ficd%2345605_512ebf36_bf6b_4d70_85da_cf2637062af4","iCat")</x:f>
      </x:c>
      <x:c r="M7539" s="0" t="s">
        <x:v>21</x:v>
      </x:c>
      <x:c r="N7539" s="0" t="s">
        <x:v>46</x:v>
      </x:c>
    </x:row>
    <x:row r="7540" spans="1:16">
      <x:c r="A7540" s="0" t="s">
        <x:v>30021</x:v>
      </x:c>
      <x:c r="B7540" s="0" t="s">
        <x:v>30022</x:v>
      </x:c>
      <x:c r="C7540" s="0" t="s">
        <x:v>30023</x:v>
      </x:c>
      <x:c r="E7540" s="0" t="s">
        <x:v>30024</x:v>
      </x:c>
      <x:c r="F7540" s="0" t="s">
        <x:v>45</x:v>
      </x:c>
      <x:c r="G7540" s="0" t="s">
        <x:v>19</x:v>
      </x:c>
      <x:c r="H7540" s="0" t="s">
        <x:v>20</x:v>
      </x:c>
      <x:c r="I7540" s="0" t="s">
        <x:v>21</x:v>
      </x:c>
      <x:c r="K7540" s="0">
        <x:f>hyperlink("https://icd.who.int/dev11/l-ichi/en#/http%3A%2F%2Fid.who.int%2Ficd%2Fentity%2F369163077","browser")</x:f>
      </x:c>
      <x:c r="L7540" s="0">
        <x:f>hyperlink("https://icat2.azurewebsites.net/icat/?ontology=ICD&amp;tab=ClassesTab&amp;id=http%3A%2F%2Fwho.int%2Ficd%2345612_512ebf36_bf6b_4d70_85da_cf2637062af4","iCat")</x:f>
      </x:c>
      <x:c r="M7540" s="0" t="s">
        <x:v>21</x:v>
      </x:c>
      <x:c r="N7540" s="0" t="s">
        <x:v>46</x:v>
      </x:c>
    </x:row>
    <x:row r="7541" spans="1:16">
      <x:c r="A7541" s="0" t="s">
        <x:v>30025</x:v>
      </x:c>
      <x:c r="B7541" s="0" t="s">
        <x:v>30026</x:v>
      </x:c>
      <x:c r="C7541" s="0" t="s">
        <x:v>30027</x:v>
      </x:c>
      <x:c r="E7541" s="0" t="s">
        <x:v>30028</x:v>
      </x:c>
      <x:c r="F7541" s="0" t="s">
        <x:v>45</x:v>
      </x:c>
      <x:c r="G7541" s="0" t="s">
        <x:v>19</x:v>
      </x:c>
      <x:c r="H7541" s="0" t="s">
        <x:v>20</x:v>
      </x:c>
      <x:c r="I7541" s="0" t="s">
        <x:v>21</x:v>
      </x:c>
      <x:c r="K7541" s="0">
        <x:f>hyperlink("https://icd.who.int/dev11/l-ichi/en#/http%3A%2F%2Fid.who.int%2Ficd%2Fentity%2F486860265","browser")</x:f>
      </x:c>
      <x:c r="L7541" s="0">
        <x:f>hyperlink("https://icat2.azurewebsites.net/icat/?ontology=ICD&amp;tab=ClassesTab&amp;id=http%3A%2F%2Fwho.int%2Ficd%2345619_512ebf36_bf6b_4d70_85da_cf2637062af4","iCat")</x:f>
      </x:c>
      <x:c r="M7541" s="0" t="s">
        <x:v>21</x:v>
      </x:c>
      <x:c r="N7541" s="0" t="s">
        <x:v>46</x:v>
      </x:c>
    </x:row>
    <x:row r="7542" spans="1:16">
      <x:c r="A7542" s="0" t="s">
        <x:v>30029</x:v>
      </x:c>
      <x:c r="B7542" s="0" t="s">
        <x:v>30030</x:v>
      </x:c>
      <x:c r="C7542" s="0" t="s">
        <x:v>30031</x:v>
      </x:c>
      <x:c r="E7542" s="0" t="s">
        <x:v>30032</x:v>
      </x:c>
      <x:c r="F7542" s="0" t="s">
        <x:v>45</x:v>
      </x:c>
      <x:c r="G7542" s="0" t="s">
        <x:v>19</x:v>
      </x:c>
      <x:c r="H7542" s="0" t="s">
        <x:v>20</x:v>
      </x:c>
      <x:c r="I7542" s="0" t="s">
        <x:v>21</x:v>
      </x:c>
      <x:c r="K7542" s="0">
        <x:f>hyperlink("https://icd.who.int/dev11/l-ichi/en#/http%3A%2F%2Fid.who.int%2Ficd%2Fentity%2F1672904504","browser")</x:f>
      </x:c>
      <x:c r="L7542" s="0">
        <x:f>hyperlink("https://icat2.azurewebsites.net/icat/?ontology=ICD&amp;tab=ClassesTab&amp;id=http%3A%2F%2Fwho.int%2Ficd%2345626_512ebf36_bf6b_4d70_85da_cf2637062af4","iCat")</x:f>
      </x:c>
      <x:c r="M7542" s="0" t="s">
        <x:v>21</x:v>
      </x:c>
      <x:c r="N7542" s="0" t="s">
        <x:v>46</x:v>
      </x:c>
    </x:row>
    <x:row r="7543" spans="1:16">
      <x:c r="A7543" s="0" t="s">
        <x:v>30033</x:v>
      </x:c>
      <x:c r="B7543" s="0" t="s">
        <x:v>30034</x:v>
      </x:c>
      <x:c r="C7543" s="0" t="s">
        <x:v>30035</x:v>
      </x:c>
      <x:c r="E7543" s="0" t="s">
        <x:v>30036</x:v>
      </x:c>
      <x:c r="F7543" s="0" t="s">
        <x:v>45</x:v>
      </x:c>
      <x:c r="G7543" s="0" t="s">
        <x:v>19</x:v>
      </x:c>
      <x:c r="H7543" s="0" t="s">
        <x:v>20</x:v>
      </x:c>
      <x:c r="I7543" s="0" t="s">
        <x:v>21</x:v>
      </x:c>
      <x:c r="K7543" s="0">
        <x:f>hyperlink("https://icd.who.int/dev11/l-ichi/en#/http%3A%2F%2Fid.who.int%2Ficd%2Fentity%2F479026217","browser")</x:f>
      </x:c>
      <x:c r="L7543" s="0">
        <x:f>hyperlink("https://icat2.azurewebsites.net/icat/?ontology=ICD&amp;tab=ClassesTab&amp;id=http%3A%2F%2Fwho.int%2Ficd%2345633_512ebf36_bf6b_4d70_85da_cf2637062af4","iCat")</x:f>
      </x:c>
      <x:c r="M7543" s="0" t="s">
        <x:v>21</x:v>
      </x:c>
      <x:c r="N7543" s="0" t="s">
        <x:v>46</x:v>
      </x:c>
    </x:row>
    <x:row r="7544" spans="1:16">
      <x:c r="A7544" s="0" t="s">
        <x:v>30037</x:v>
      </x:c>
      <x:c r="B7544" s="0" t="s">
        <x:v>30038</x:v>
      </x:c>
      <x:c r="C7544" s="0" t="s">
        <x:v>30039</x:v>
      </x:c>
      <x:c r="E7544" s="0" t="s">
        <x:v>30040</x:v>
      </x:c>
      <x:c r="F7544" s="0" t="s">
        <x:v>45</x:v>
      </x:c>
      <x:c r="G7544" s="0" t="s">
        <x:v>19</x:v>
      </x:c>
      <x:c r="H7544" s="0" t="s">
        <x:v>20</x:v>
      </x:c>
      <x:c r="I7544" s="0" t="s">
        <x:v>21</x:v>
      </x:c>
      <x:c r="K7544" s="0">
        <x:f>hyperlink("https://icd.who.int/dev11/l-ichi/en#/http%3A%2F%2Fid.who.int%2Ficd%2Fentity%2F1776165068","browser")</x:f>
      </x:c>
      <x:c r="L7544" s="0">
        <x:f>hyperlink("https://icat2.azurewebsites.net/icat/?ontology=ICD&amp;tab=ClassesTab&amp;id=http%3A%2F%2Fwho.int%2Ficd%2345640_512ebf36_bf6b_4d70_85da_cf2637062af4","iCat")</x:f>
      </x:c>
      <x:c r="M7544" s="0" t="s">
        <x:v>21</x:v>
      </x:c>
      <x:c r="N7544" s="0" t="s">
        <x:v>46</x:v>
      </x:c>
    </x:row>
    <x:row r="7545" spans="1:16">
      <x:c r="A7545" s="0" t="s">
        <x:v>30041</x:v>
      </x:c>
      <x:c r="B7545" s="0" t="s">
        <x:v>30042</x:v>
      </x:c>
      <x:c r="C7545" s="0" t="s">
        <x:v>30043</x:v>
      </x:c>
      <x:c r="E7545" s="0" t="s">
        <x:v>30044</x:v>
      </x:c>
      <x:c r="F7545" s="0" t="s">
        <x:v>45</x:v>
      </x:c>
      <x:c r="G7545" s="0" t="s">
        <x:v>19</x:v>
      </x:c>
      <x:c r="H7545" s="0" t="s">
        <x:v>20</x:v>
      </x:c>
      <x:c r="I7545" s="0" t="s">
        <x:v>21</x:v>
      </x:c>
      <x:c r="K7545" s="0">
        <x:f>hyperlink("https://icd.who.int/dev11/l-ichi/en#/http%3A%2F%2Fid.who.int%2Ficd%2Fentity%2F425495367","browser")</x:f>
      </x:c>
      <x:c r="L7545" s="0">
        <x:f>hyperlink("https://icat2.azurewebsites.net/icat/?ontology=ICD&amp;tab=ClassesTab&amp;id=http%3A%2F%2Fwho.int%2Ficd%2345647_512ebf36_bf6b_4d70_85da_cf2637062af4","iCat")</x:f>
      </x:c>
      <x:c r="M7545" s="0" t="s">
        <x:v>21</x:v>
      </x:c>
      <x:c r="N7545" s="0" t="s">
        <x:v>46</x:v>
      </x:c>
    </x:row>
    <x:row r="7546" spans="1:16">
      <x:c r="A7546" s="0" t="s">
        <x:v>30045</x:v>
      </x:c>
      <x:c r="B7546" s="0" t="s">
        <x:v>30046</x:v>
      </x:c>
      <x:c r="C7546" s="0" t="s">
        <x:v>30047</x:v>
      </x:c>
      <x:c r="E7546" s="0" t="s">
        <x:v>30048</x:v>
      </x:c>
      <x:c r="F7546" s="0" t="s">
        <x:v>45</x:v>
      </x:c>
      <x:c r="G7546" s="0" t="s">
        <x:v>19</x:v>
      </x:c>
      <x:c r="H7546" s="0" t="s">
        <x:v>20</x:v>
      </x:c>
      <x:c r="I7546" s="0" t="s">
        <x:v>21</x:v>
      </x:c>
      <x:c r="K7546" s="0">
        <x:f>hyperlink("https://icd.who.int/dev11/l-ichi/en#/http%3A%2F%2Fid.who.int%2Ficd%2Fentity%2F1325914532","browser")</x:f>
      </x:c>
      <x:c r="L7546" s="0">
        <x:f>hyperlink("https://icat2.azurewebsites.net/icat/?ontology=ICD&amp;tab=ClassesTab&amp;id=http%3A%2F%2Fwho.int%2Ficd%23177_dd4d4347_e398_43b9_84dd_c9611ca6abfa","iCat")</x:f>
      </x:c>
      <x:c r="M7546" s="0" t="s">
        <x:v>21</x:v>
      </x:c>
      <x:c r="N7546" s="0" t="s">
        <x:v>46</x:v>
      </x:c>
    </x:row>
    <x:row r="7547" spans="1:16">
      <x:c r="A7547" s="0" t="s">
        <x:v>30049</x:v>
      </x:c>
      <x:c r="B7547" s="0" t="s">
        <x:v>30050</x:v>
      </x:c>
      <x:c r="C7547" s="0" t="s">
        <x:v>30051</x:v>
      </x:c>
      <x:c r="E7547" s="0" t="s">
        <x:v>30052</x:v>
      </x:c>
      <x:c r="F7547" s="0" t="s">
        <x:v>45</x:v>
      </x:c>
      <x:c r="G7547" s="0" t="s">
        <x:v>19</x:v>
      </x:c>
      <x:c r="H7547" s="0" t="s">
        <x:v>20</x:v>
      </x:c>
      <x:c r="I7547" s="0" t="s">
        <x:v>21</x:v>
      </x:c>
      <x:c r="K7547" s="0">
        <x:f>hyperlink("https://icd.who.int/dev11/l-ichi/en#/http%3A%2F%2Fid.who.int%2Ficd%2Fentity%2F384107477","browser")</x:f>
      </x:c>
      <x:c r="L7547" s="0">
        <x:f>hyperlink("https://icat2.azurewebsites.net/icat/?ontology=ICD&amp;tab=ClassesTab&amp;id=http%3A%2F%2Fwho.int%2Ficd%2345655_512ebf36_bf6b_4d70_85da_cf2637062af4","iCat")</x:f>
      </x:c>
      <x:c r="M7547" s="0" t="s">
        <x:v>21</x:v>
      </x:c>
      <x:c r="N7547" s="0" t="s">
        <x:v>46</x:v>
      </x:c>
    </x:row>
    <x:row r="7548" spans="1:16">
      <x:c r="A7548" s="0" t="s">
        <x:v>30053</x:v>
      </x:c>
      <x:c r="B7548" s="0" t="s">
        <x:v>30054</x:v>
      </x:c>
      <x:c r="C7548" s="0" t="s">
        <x:v>30055</x:v>
      </x:c>
      <x:c r="E7548" s="0" t="s">
        <x:v>30056</x:v>
      </x:c>
      <x:c r="F7548" s="0" t="s">
        <x:v>45</x:v>
      </x:c>
      <x:c r="G7548" s="0" t="s">
        <x:v>19</x:v>
      </x:c>
      <x:c r="H7548" s="0" t="s">
        <x:v>20</x:v>
      </x:c>
      <x:c r="I7548" s="0" t="s">
        <x:v>21</x:v>
      </x:c>
      <x:c r="K7548" s="0">
        <x:f>hyperlink("https://icd.who.int/dev11/l-ichi/en#/http%3A%2F%2Fid.who.int%2Ficd%2Fentity%2F103783011","browser")</x:f>
      </x:c>
      <x:c r="L7548" s="0">
        <x:f>hyperlink("https://icat2.azurewebsites.net/icat/?ontology=ICD&amp;tab=ClassesTab&amp;id=http%3A%2F%2Fwho.int%2Ficd%2345663_512ebf36_bf6b_4d70_85da_cf2637062af4","iCat")</x:f>
      </x:c>
      <x:c r="M7548" s="0" t="s">
        <x:v>21</x:v>
      </x:c>
      <x:c r="N7548" s="0" t="s">
        <x:v>46</x:v>
      </x:c>
    </x:row>
    <x:row r="7549" spans="1:16">
      <x:c r="A7549" s="0" t="s">
        <x:v>30057</x:v>
      </x:c>
      <x:c r="B7549" s="0" t="s">
        <x:v>30058</x:v>
      </x:c>
      <x:c r="C7549" s="0" t="s">
        <x:v>30059</x:v>
      </x:c>
      <x:c r="E7549" s="0" t="s">
        <x:v>30060</x:v>
      </x:c>
      <x:c r="F7549" s="0" t="s">
        <x:v>45</x:v>
      </x:c>
      <x:c r="G7549" s="0" t="s">
        <x:v>19</x:v>
      </x:c>
      <x:c r="H7549" s="0" t="s">
        <x:v>20</x:v>
      </x:c>
      <x:c r="I7549" s="0" t="s">
        <x:v>21</x:v>
      </x:c>
      <x:c r="K7549" s="0">
        <x:f>hyperlink("https://icd.who.int/dev11/l-ichi/en#/http%3A%2F%2Fid.who.int%2Ficd%2Fentity%2F1276345608","browser")</x:f>
      </x:c>
      <x:c r="L7549" s="0">
        <x:f>hyperlink("https://icat2.azurewebsites.net/icat/?ontology=ICD&amp;tab=ClassesTab&amp;id=http%3A%2F%2Fwho.int%2Ficd%2345672_512ebf36_bf6b_4d70_85da_cf2637062af4","iCat")</x:f>
      </x:c>
      <x:c r="M7549" s="0" t="s">
        <x:v>21</x:v>
      </x:c>
      <x:c r="N7549" s="0" t="s">
        <x:v>46</x:v>
      </x:c>
    </x:row>
    <x:row r="7550" spans="1:16">
      <x:c r="A7550" s="0" t="s">
        <x:v>30061</x:v>
      </x:c>
      <x:c r="B7550" s="0" t="s">
        <x:v>30062</x:v>
      </x:c>
      <x:c r="C7550" s="0" t="s">
        <x:v>30063</x:v>
      </x:c>
      <x:c r="E7550" s="0" t="s">
        <x:v>30064</x:v>
      </x:c>
      <x:c r="F7550" s="0" t="s">
        <x:v>45</x:v>
      </x:c>
      <x:c r="G7550" s="0" t="s">
        <x:v>19</x:v>
      </x:c>
      <x:c r="H7550" s="0" t="s">
        <x:v>20</x:v>
      </x:c>
      <x:c r="I7550" s="0" t="s">
        <x:v>21</x:v>
      </x:c>
      <x:c r="K7550" s="0">
        <x:f>hyperlink("https://icd.who.int/dev11/l-ichi/en#/http%3A%2F%2Fid.who.int%2Ficd%2Fentity%2F2134127144","browser")</x:f>
      </x:c>
      <x:c r="L7550" s="0">
        <x:f>hyperlink("https://icat2.azurewebsites.net/icat/?ontology=ICD&amp;tab=ClassesTab&amp;id=http%3A%2F%2Fwho.int%2Ficd%23140_dd4d4347_e398_43b9_84dd_c9611ca6abfa","iCat")</x:f>
      </x:c>
      <x:c r="M7550" s="0" t="s">
        <x:v>21</x:v>
      </x:c>
      <x:c r="N7550" s="0" t="s">
        <x:v>46</x:v>
      </x:c>
    </x:row>
    <x:row r="7551" spans="1:16">
      <x:c r="A7551" s="0" t="s">
        <x:v>30065</x:v>
      </x:c>
      <x:c r="B7551" s="0" t="s">
        <x:v>30066</x:v>
      </x:c>
      <x:c r="C7551" s="0" t="s">
        <x:v>30067</x:v>
      </x:c>
      <x:c r="E7551" s="0" t="s">
        <x:v>30068</x:v>
      </x:c>
      <x:c r="F7551" s="0" t="s">
        <x:v>45</x:v>
      </x:c>
      <x:c r="G7551" s="0" t="s">
        <x:v>19</x:v>
      </x:c>
      <x:c r="H7551" s="0" t="s">
        <x:v>20</x:v>
      </x:c>
      <x:c r="I7551" s="0" t="s">
        <x:v>21</x:v>
      </x:c>
      <x:c r="K7551" s="0">
        <x:f>hyperlink("https://icd.who.int/dev11/l-ichi/en#/http%3A%2F%2Fid.who.int%2Ficd%2Fentity%2F1192715174","browser")</x:f>
      </x:c>
      <x:c r="L7551" s="0">
        <x:f>hyperlink("https://icat2.azurewebsites.net/icat/?ontology=ICD&amp;tab=ClassesTab&amp;id=http%3A%2F%2Fwho.int%2Ficd%2345679_512ebf36_bf6b_4d70_85da_cf2637062af4","iCat")</x:f>
      </x:c>
      <x:c r="M7551" s="0" t="s">
        <x:v>21</x:v>
      </x:c>
      <x:c r="N7551" s="0" t="s">
        <x:v>46</x:v>
      </x:c>
    </x:row>
    <x:row r="7552" spans="1:16">
      <x:c r="A7552" s="0" t="s">
        <x:v>30069</x:v>
      </x:c>
      <x:c r="B7552" s="0" t="s">
        <x:v>30070</x:v>
      </x:c>
      <x:c r="C7552" s="0" t="s">
        <x:v>30071</x:v>
      </x:c>
      <x:c r="E7552" s="0" t="s">
        <x:v>30072</x:v>
      </x:c>
      <x:c r="F7552" s="0" t="s">
        <x:v>45</x:v>
      </x:c>
      <x:c r="G7552" s="0" t="s">
        <x:v>19</x:v>
      </x:c>
      <x:c r="H7552" s="0" t="s">
        <x:v>20</x:v>
      </x:c>
      <x:c r="I7552" s="0" t="s">
        <x:v>21</x:v>
      </x:c>
      <x:c r="K7552" s="0">
        <x:f>hyperlink("https://icd.who.int/dev11/l-ichi/en#/http%3A%2F%2Fid.who.int%2Ficd%2Fentity%2F1251635021","browser")</x:f>
      </x:c>
      <x:c r="L7552" s="0">
        <x:f>hyperlink("https://icat2.azurewebsites.net/icat/?ontology=ICD&amp;tab=ClassesTab&amp;id=http%3A%2F%2Fwho.int%2Ficd%23234_eccaa62c_8889_4dc1_a4d9_71762327d0fc","iCat")</x:f>
      </x:c>
      <x:c r="M7552" s="0" t="s">
        <x:v>21</x:v>
      </x:c>
      <x:c r="N7552" s="0" t="s">
        <x:v>46</x:v>
      </x:c>
    </x:row>
    <x:row r="7553" spans="1:16">
      <x:c r="A7553" s="0" t="s">
        <x:v>30073</x:v>
      </x:c>
      <x:c r="B7553" s="0" t="s">
        <x:v>30074</x:v>
      </x:c>
      <x:c r="C7553" s="0" t="s">
        <x:v>30075</x:v>
      </x:c>
      <x:c r="E7553" s="0" t="s">
        <x:v>30076</x:v>
      </x:c>
      <x:c r="F7553" s="0" t="s">
        <x:v>45</x:v>
      </x:c>
      <x:c r="G7553" s="0" t="s">
        <x:v>19</x:v>
      </x:c>
      <x:c r="H7553" s="0" t="s">
        <x:v>20</x:v>
      </x:c>
      <x:c r="I7553" s="0" t="s">
        <x:v>21</x:v>
      </x:c>
      <x:c r="K7553" s="0">
        <x:f>hyperlink("https://icd.who.int/dev11/l-ichi/en#/http%3A%2F%2Fid.who.int%2Ficd%2Fentity%2F1980400030","browser")</x:f>
      </x:c>
      <x:c r="L7553" s="0">
        <x:f>hyperlink("https://icat2.azurewebsites.net/icat/?ontology=ICD&amp;tab=ClassesTab&amp;id=http%3A%2F%2Fwho.int%2Ficd%2345687_512ebf36_bf6b_4d70_85da_cf2637062af4","iCat")</x:f>
      </x:c>
      <x:c r="M7553" s="0" t="s">
        <x:v>21</x:v>
      </x:c>
      <x:c r="N7553" s="0" t="s">
        <x:v>46</x:v>
      </x:c>
    </x:row>
    <x:row r="7554" spans="1:16">
      <x:c r="A7554" s="0" t="s">
        <x:v>30077</x:v>
      </x:c>
      <x:c r="B7554" s="0" t="s">
        <x:v>30078</x:v>
      </x:c>
      <x:c r="C7554" s="0" t="s">
        <x:v>30079</x:v>
      </x:c>
      <x:c r="E7554" s="0" t="s">
        <x:v>30080</x:v>
      </x:c>
      <x:c r="F7554" s="0" t="s">
        <x:v>45</x:v>
      </x:c>
      <x:c r="G7554" s="0" t="s">
        <x:v>19</x:v>
      </x:c>
      <x:c r="H7554" s="0" t="s">
        <x:v>20</x:v>
      </x:c>
      <x:c r="I7554" s="0" t="s">
        <x:v>21</x:v>
      </x:c>
      <x:c r="K7554" s="0">
        <x:f>hyperlink("https://icd.who.int/dev11/l-ichi/en#/http%3A%2F%2Fid.who.int%2Ficd%2Fentity%2F1498053426","browser")</x:f>
      </x:c>
      <x:c r="L7554" s="0">
        <x:f>hyperlink("https://icat2.azurewebsites.net/icat/?ontology=ICD&amp;tab=ClassesTab&amp;id=http%3A%2F%2Fwho.int%2Ficd%2345694_512ebf36_bf6b_4d70_85da_cf2637062af4","iCat")</x:f>
      </x:c>
      <x:c r="M7554" s="0" t="s">
        <x:v>21</x:v>
      </x:c>
      <x:c r="N7554" s="0" t="s">
        <x:v>46</x:v>
      </x:c>
    </x:row>
    <x:row r="7555" spans="1:16">
      <x:c r="A7555" s="0" t="s">
        <x:v>30081</x:v>
      </x:c>
      <x:c r="B7555" s="0" t="s">
        <x:v>30082</x:v>
      </x:c>
      <x:c r="C7555" s="0" t="s">
        <x:v>30083</x:v>
      </x:c>
      <x:c r="E7555" s="0" t="s">
        <x:v>30084</x:v>
      </x:c>
      <x:c r="F7555" s="0" t="s">
        <x:v>45</x:v>
      </x:c>
      <x:c r="G7555" s="0" t="s">
        <x:v>19</x:v>
      </x:c>
      <x:c r="H7555" s="0" t="s">
        <x:v>20</x:v>
      </x:c>
      <x:c r="I7555" s="0" t="s">
        <x:v>21</x:v>
      </x:c>
      <x:c r="K7555" s="0">
        <x:f>hyperlink("https://icd.who.int/dev11/l-ichi/en#/http%3A%2F%2Fid.who.int%2Ficd%2Fentity%2F1289734006","browser")</x:f>
      </x:c>
      <x:c r="L7555" s="0">
        <x:f>hyperlink("https://icat2.azurewebsites.net/icat/?ontology=ICD&amp;tab=ClassesTab&amp;id=http%3A%2F%2Fwho.int%2Ficd%2345701_512ebf36_bf6b_4d70_85da_cf2637062af4","iCat")</x:f>
      </x:c>
      <x:c r="M7555" s="0" t="s">
        <x:v>21</x:v>
      </x:c>
      <x:c r="N7555" s="0" t="s">
        <x:v>46</x:v>
      </x:c>
    </x:row>
    <x:row r="7556" spans="1:16">
      <x:c r="A7556" s="0" t="s">
        <x:v>30085</x:v>
      </x:c>
      <x:c r="B7556" s="0" t="s">
        <x:v>30086</x:v>
      </x:c>
      <x:c r="C7556" s="0" t="s">
        <x:v>30087</x:v>
      </x:c>
      <x:c r="E7556" s="0" t="s">
        <x:v>30088</x:v>
      </x:c>
      <x:c r="F7556" s="0" t="s">
        <x:v>45</x:v>
      </x:c>
      <x:c r="G7556" s="0" t="s">
        <x:v>19</x:v>
      </x:c>
      <x:c r="H7556" s="0" t="s">
        <x:v>20</x:v>
      </x:c>
      <x:c r="I7556" s="0" t="s">
        <x:v>21</x:v>
      </x:c>
      <x:c r="K7556" s="0">
        <x:f>hyperlink("https://icd.who.int/dev11/l-ichi/en#/http%3A%2F%2Fid.who.int%2Ficd%2Fentity%2F581420063","browser")</x:f>
      </x:c>
      <x:c r="L7556" s="0">
        <x:f>hyperlink("https://icat2.azurewebsites.net/icat/?ontology=ICD&amp;tab=ClassesTab&amp;id=http%3A%2F%2Fwho.int%2Ficd%2345708_512ebf36_bf6b_4d70_85da_cf2637062af4","iCat")</x:f>
      </x:c>
      <x:c r="M7556" s="0" t="s">
        <x:v>21</x:v>
      </x:c>
      <x:c r="N7556" s="0" t="s">
        <x:v>46</x:v>
      </x:c>
    </x:row>
    <x:row r="7557" spans="1:16">
      <x:c r="A7557" s="0" t="s">
        <x:v>30089</x:v>
      </x:c>
      <x:c r="B7557" s="0" t="s">
        <x:v>30090</x:v>
      </x:c>
      <x:c r="C7557" s="0" t="s">
        <x:v>30091</x:v>
      </x:c>
      <x:c r="E7557" s="0" t="s">
        <x:v>30092</x:v>
      </x:c>
      <x:c r="F7557" s="0" t="s">
        <x:v>45</x:v>
      </x:c>
      <x:c r="G7557" s="0" t="s">
        <x:v>19</x:v>
      </x:c>
      <x:c r="H7557" s="0" t="s">
        <x:v>20</x:v>
      </x:c>
      <x:c r="I7557" s="0" t="s">
        <x:v>21</x:v>
      </x:c>
      <x:c r="K7557" s="0">
        <x:f>hyperlink("https://icd.who.int/dev11/l-ichi/en#/http%3A%2F%2Fid.who.int%2Ficd%2Fentity%2F1986104210","browser")</x:f>
      </x:c>
      <x:c r="L7557" s="0">
        <x:f>hyperlink("https://icat2.azurewebsites.net/icat/?ontology=ICD&amp;tab=ClassesTab&amp;id=http%3A%2F%2Fwho.int%2Ficd%2345717_512ebf36_bf6b_4d70_85da_cf2637062af4","iCat")</x:f>
      </x:c>
      <x:c r="M7557" s="0" t="s">
        <x:v>21</x:v>
      </x:c>
      <x:c r="N7557" s="0" t="s">
        <x:v>46</x:v>
      </x:c>
    </x:row>
    <x:row r="7558" spans="1:16">
      <x:c r="A7558" s="0" t="s">
        <x:v>30093</x:v>
      </x:c>
      <x:c r="B7558" s="0" t="s">
        <x:v>30094</x:v>
      </x:c>
      <x:c r="C7558" s="0" t="s">
        <x:v>30095</x:v>
      </x:c>
      <x:c r="E7558" s="0" t="s">
        <x:v>30096</x:v>
      </x:c>
      <x:c r="F7558" s="0" t="s">
        <x:v>45</x:v>
      </x:c>
      <x:c r="G7558" s="0" t="s">
        <x:v>19</x:v>
      </x:c>
      <x:c r="H7558" s="0" t="s">
        <x:v>20</x:v>
      </x:c>
      <x:c r="I7558" s="0" t="s">
        <x:v>21</x:v>
      </x:c>
      <x:c r="K7558" s="0">
        <x:f>hyperlink("https://icd.who.int/dev11/l-ichi/en#/http%3A%2F%2Fid.who.int%2Ficd%2Fentity%2F1934992496","browser")</x:f>
      </x:c>
      <x:c r="L7558" s="0">
        <x:f>hyperlink("https://icat2.azurewebsites.net/icat/?ontology=ICD&amp;tab=ClassesTab&amp;id=http%3A%2F%2Fwho.int%2Ficd%2345724_512ebf36_bf6b_4d70_85da_cf2637062af4","iCat")</x:f>
      </x:c>
      <x:c r="M7558" s="0" t="s">
        <x:v>21</x:v>
      </x:c>
      <x:c r="N7558" s="0" t="s">
        <x:v>46</x:v>
      </x:c>
    </x:row>
    <x:row r="7559" spans="1:16">
      <x:c r="A7559" s="0" t="s">
        <x:v>30097</x:v>
      </x:c>
      <x:c r="B7559" s="0" t="s">
        <x:v>30098</x:v>
      </x:c>
      <x:c r="C7559" s="0" t="s">
        <x:v>30099</x:v>
      </x:c>
      <x:c r="E7559" s="0" t="s">
        <x:v>30100</x:v>
      </x:c>
      <x:c r="F7559" s="0" t="s">
        <x:v>45</x:v>
      </x:c>
      <x:c r="G7559" s="0" t="s">
        <x:v>19</x:v>
      </x:c>
      <x:c r="H7559" s="0" t="s">
        <x:v>20</x:v>
      </x:c>
      <x:c r="I7559" s="0" t="s">
        <x:v>21</x:v>
      </x:c>
      <x:c r="K7559" s="0">
        <x:f>hyperlink("https://icd.who.int/dev11/l-ichi/en#/http%3A%2F%2Fid.who.int%2Ficd%2Fentity%2F208570225","browser")</x:f>
      </x:c>
      <x:c r="L7559" s="0">
        <x:f>hyperlink("https://icat2.azurewebsites.net/icat/?ontology=ICD&amp;tab=ClassesTab&amp;id=http%3A%2F%2Fwho.int%2Ficd%2345731_512ebf36_bf6b_4d70_85da_cf2637062af4","iCat")</x:f>
      </x:c>
      <x:c r="M7559" s="0" t="s">
        <x:v>21</x:v>
      </x:c>
      <x:c r="N7559" s="0" t="s">
        <x:v>46</x:v>
      </x:c>
    </x:row>
    <x:row r="7560" spans="1:16">
      <x:c r="A7560" s="0" t="s">
        <x:v>30101</x:v>
      </x:c>
      <x:c r="B7560" s="0" t="s">
        <x:v>30102</x:v>
      </x:c>
      <x:c r="C7560" s="0" t="s">
        <x:v>30103</x:v>
      </x:c>
      <x:c r="E7560" s="0" t="s">
        <x:v>30104</x:v>
      </x:c>
      <x:c r="F7560" s="0" t="s">
        <x:v>45</x:v>
      </x:c>
      <x:c r="G7560" s="0" t="s">
        <x:v>19</x:v>
      </x:c>
      <x:c r="H7560" s="0" t="s">
        <x:v>20</x:v>
      </x:c>
      <x:c r="I7560" s="0" t="s">
        <x:v>21</x:v>
      </x:c>
      <x:c r="K7560" s="0">
        <x:f>hyperlink("https://icd.who.int/dev11/l-ichi/en#/http%3A%2F%2Fid.who.int%2Ficd%2Fentity%2F1645642776","browser")</x:f>
      </x:c>
      <x:c r="L7560" s="0">
        <x:f>hyperlink("https://icat2.azurewebsites.net/icat/?ontology=ICD&amp;tab=ClassesTab&amp;id=http%3A%2F%2Fwho.int%2Ficd%2345738_512ebf36_bf6b_4d70_85da_cf2637062af4","iCat")</x:f>
      </x:c>
      <x:c r="M7560" s="0" t="s">
        <x:v>21</x:v>
      </x:c>
      <x:c r="N7560" s="0" t="s">
        <x:v>46</x:v>
      </x:c>
    </x:row>
    <x:row r="7561" spans="1:16">
      <x:c r="A7561" s="0" t="s">
        <x:v>30105</x:v>
      </x:c>
      <x:c r="B7561" s="0" t="s">
        <x:v>30106</x:v>
      </x:c>
      <x:c r="C7561" s="0" t="s">
        <x:v>30107</x:v>
      </x:c>
      <x:c r="E7561" s="0" t="s">
        <x:v>30108</x:v>
      </x:c>
      <x:c r="F7561" s="0" t="s">
        <x:v>45</x:v>
      </x:c>
      <x:c r="G7561" s="0" t="s">
        <x:v>19</x:v>
      </x:c>
      <x:c r="H7561" s="0" t="s">
        <x:v>20</x:v>
      </x:c>
      <x:c r="I7561" s="0" t="s">
        <x:v>21</x:v>
      </x:c>
      <x:c r="K7561" s="0">
        <x:f>hyperlink("https://icd.who.int/dev11/l-ichi/en#/http%3A%2F%2Fid.who.int%2Ficd%2Fentity%2F161920912","browser")</x:f>
      </x:c>
      <x:c r="L7561" s="0">
        <x:f>hyperlink("https://icat2.azurewebsites.net/icat/?ontology=ICD&amp;tab=ClassesTab&amp;id=http%3A%2F%2Fwho.int%2Ficd%2312891_4869915e_217e_423d_acb3_33c0f920ef4b","iCat")</x:f>
      </x:c>
      <x:c r="M7561" s="0" t="s">
        <x:v>21</x:v>
      </x:c>
      <x:c r="N7561" s="0" t="s">
        <x:v>46</x:v>
      </x:c>
    </x:row>
    <x:row r="7562" spans="1:16">
      <x:c r="A7562" s="0" t="s">
        <x:v>30109</x:v>
      </x:c>
      <x:c r="B7562" s="0" t="s">
        <x:v>30110</x:v>
      </x:c>
      <x:c r="C7562" s="0" t="s">
        <x:v>30111</x:v>
      </x:c>
      <x:c r="E7562" s="0" t="s">
        <x:v>30112</x:v>
      </x:c>
      <x:c r="F7562" s="0" t="s">
        <x:v>45</x:v>
      </x:c>
      <x:c r="G7562" s="0" t="s">
        <x:v>19</x:v>
      </x:c>
      <x:c r="H7562" s="0" t="s">
        <x:v>20</x:v>
      </x:c>
      <x:c r="I7562" s="0" t="s">
        <x:v>21</x:v>
      </x:c>
      <x:c r="K7562" s="0">
        <x:f>hyperlink("https://icd.who.int/dev11/l-ichi/en#/http%3A%2F%2Fid.who.int%2Ficd%2Fentity%2F163532831","browser")</x:f>
      </x:c>
      <x:c r="L7562" s="0">
        <x:f>hyperlink("https://icat2.azurewebsites.net/icat/?ontology=ICD&amp;tab=ClassesTab&amp;id=http%3A%2F%2Fwho.int%2Ficd%2345745_512ebf36_bf6b_4d70_85da_cf2637062af4","iCat")</x:f>
      </x:c>
      <x:c r="M7562" s="0" t="s">
        <x:v>21</x:v>
      </x:c>
      <x:c r="N7562" s="0" t="s">
        <x:v>46</x:v>
      </x:c>
    </x:row>
    <x:row r="7563" spans="1:16">
      <x:c r="A7563" s="0" t="s">
        <x:v>30113</x:v>
      </x:c>
      <x:c r="B7563" s="0" t="s">
        <x:v>30114</x:v>
      </x:c>
      <x:c r="C7563" s="0" t="s">
        <x:v>30115</x:v>
      </x:c>
      <x:c r="E7563" s="0" t="s">
        <x:v>30116</x:v>
      </x:c>
      <x:c r="F7563" s="0" t="s">
        <x:v>45</x:v>
      </x:c>
      <x:c r="G7563" s="0" t="s">
        <x:v>19</x:v>
      </x:c>
      <x:c r="H7563" s="0" t="s">
        <x:v>20</x:v>
      </x:c>
      <x:c r="I7563" s="0" t="s">
        <x:v>21</x:v>
      </x:c>
      <x:c r="K7563" s="0">
        <x:f>hyperlink("https://icd.who.int/dev11/l-ichi/en#/http%3A%2F%2Fid.who.int%2Ficd%2Fentity%2F335048389","browser")</x:f>
      </x:c>
      <x:c r="L7563" s="0">
        <x:f>hyperlink("https://icat2.azurewebsites.net/icat/?ontology=ICD&amp;tab=ClassesTab&amp;id=http%3A%2F%2Fwho.int%2Ficd%2345752_512ebf36_bf6b_4d70_85da_cf2637062af4","iCat")</x:f>
      </x:c>
      <x:c r="M7563" s="0" t="s">
        <x:v>21</x:v>
      </x:c>
      <x:c r="N7563" s="0" t="s">
        <x:v>46</x:v>
      </x:c>
    </x:row>
    <x:row r="7564" spans="1:16">
      <x:c r="A7564" s="0" t="s">
        <x:v>30117</x:v>
      </x:c>
      <x:c r="B7564" s="0" t="s">
        <x:v>30118</x:v>
      </x:c>
      <x:c r="C7564" s="0" t="s">
        <x:v>30119</x:v>
      </x:c>
      <x:c r="E7564" s="0" t="s">
        <x:v>30120</x:v>
      </x:c>
      <x:c r="F7564" s="0" t="s">
        <x:v>45</x:v>
      </x:c>
      <x:c r="G7564" s="0" t="s">
        <x:v>19</x:v>
      </x:c>
      <x:c r="H7564" s="0" t="s">
        <x:v>20</x:v>
      </x:c>
      <x:c r="I7564" s="0" t="s">
        <x:v>21</x:v>
      </x:c>
      <x:c r="K7564" s="0">
        <x:f>hyperlink("https://icd.who.int/dev11/l-ichi/en#/http%3A%2F%2Fid.who.int%2Ficd%2Fentity%2F419197033","browser")</x:f>
      </x:c>
      <x:c r="L7564" s="0">
        <x:f>hyperlink("https://icat2.azurewebsites.net/icat/?ontology=ICD&amp;tab=ClassesTab&amp;id=http%3A%2F%2Fwho.int%2Ficd%2345759_512ebf36_bf6b_4d70_85da_cf2637062af4","iCat")</x:f>
      </x:c>
      <x:c r="M7564" s="0" t="s">
        <x:v>21</x:v>
      </x:c>
      <x:c r="N7564" s="0" t="s">
        <x:v>46</x:v>
      </x:c>
    </x:row>
    <x:row r="7565" spans="1:16">
      <x:c r="A7565" s="0" t="s">
        <x:v>30121</x:v>
      </x:c>
      <x:c r="B7565" s="0" t="s">
        <x:v>30122</x:v>
      </x:c>
      <x:c r="C7565" s="0" t="s">
        <x:v>30123</x:v>
      </x:c>
      <x:c r="E7565" s="0" t="s">
        <x:v>30124</x:v>
      </x:c>
      <x:c r="F7565" s="0" t="s">
        <x:v>45</x:v>
      </x:c>
      <x:c r="G7565" s="0" t="s">
        <x:v>19</x:v>
      </x:c>
      <x:c r="H7565" s="0" t="s">
        <x:v>20</x:v>
      </x:c>
      <x:c r="I7565" s="0" t="s">
        <x:v>21</x:v>
      </x:c>
      <x:c r="K7565" s="0">
        <x:f>hyperlink("https://icd.who.int/dev11/l-ichi/en#/http%3A%2F%2Fid.who.int%2Ficd%2Fentity%2F427149737","browser")</x:f>
      </x:c>
      <x:c r="L7565" s="0">
        <x:f>hyperlink("https://icat2.azurewebsites.net/icat/?ontology=ICD&amp;tab=ClassesTab&amp;id=http%3A%2F%2Fwho.int%2Ficd%2345773_512ebf36_bf6b_4d70_85da_cf2637062af4","iCat")</x:f>
      </x:c>
      <x:c r="M7565" s="0" t="s">
        <x:v>21</x:v>
      </x:c>
      <x:c r="N7565" s="0" t="s">
        <x:v>46</x:v>
      </x:c>
    </x:row>
    <x:row r="7566" spans="1:16">
      <x:c r="A7566" s="0" t="s">
        <x:v>30125</x:v>
      </x:c>
      <x:c r="B7566" s="0" t="s">
        <x:v>30126</x:v>
      </x:c>
      <x:c r="C7566" s="0" t="s">
        <x:v>30127</x:v>
      </x:c>
      <x:c r="E7566" s="0" t="s">
        <x:v>30128</x:v>
      </x:c>
      <x:c r="F7566" s="0" t="s">
        <x:v>45</x:v>
      </x:c>
      <x:c r="G7566" s="0" t="s">
        <x:v>19</x:v>
      </x:c>
      <x:c r="H7566" s="0" t="s">
        <x:v>20</x:v>
      </x:c>
      <x:c r="I7566" s="0" t="s">
        <x:v>21</x:v>
      </x:c>
      <x:c r="K7566" s="0">
        <x:f>hyperlink("https://icd.who.int/dev11/l-ichi/en#/http%3A%2F%2Fid.who.int%2Ficd%2Fentity%2F1528215700","browser")</x:f>
      </x:c>
      <x:c r="L7566" s="0">
        <x:f>hyperlink("https://icat2.azurewebsites.net/icat/?ontology=ICD&amp;tab=ClassesTab&amp;id=http%3A%2F%2Fwho.int%2Ficd%2379_dd4d4347_e398_43b9_84dd_c9611ca6abfa","iCat")</x:f>
      </x:c>
      <x:c r="M7566" s="0" t="s">
        <x:v>21</x:v>
      </x:c>
      <x:c r="N7566" s="0" t="s">
        <x:v>46</x:v>
      </x:c>
    </x:row>
    <x:row r="7567" spans="1:16">
      <x:c r="A7567" s="0" t="s">
        <x:v>30129</x:v>
      </x:c>
      <x:c r="B7567" s="0" t="s">
        <x:v>30130</x:v>
      </x:c>
      <x:c r="C7567" s="0" t="s">
        <x:v>30131</x:v>
      </x:c>
      <x:c r="E7567" s="0" t="s">
        <x:v>30132</x:v>
      </x:c>
      <x:c r="F7567" s="0" t="s">
        <x:v>45</x:v>
      </x:c>
      <x:c r="G7567" s="0" t="s">
        <x:v>19</x:v>
      </x:c>
      <x:c r="H7567" s="0" t="s">
        <x:v>20</x:v>
      </x:c>
      <x:c r="I7567" s="0" t="s">
        <x:v>21</x:v>
      </x:c>
      <x:c r="K7567" s="0">
        <x:f>hyperlink("https://icd.who.int/dev11/l-ichi/en#/http%3A%2F%2Fid.who.int%2Ficd%2Fentity%2F1408147124","browser")</x:f>
      </x:c>
      <x:c r="L7567" s="0">
        <x:f>hyperlink("https://icat2.azurewebsites.net/icat/?ontology=ICD&amp;tab=ClassesTab&amp;id=http%3A%2F%2Fwho.int%2Ficd%2345781_512ebf36_bf6b_4d70_85da_cf2637062af4","iCat")</x:f>
      </x:c>
      <x:c r="M7567" s="0" t="s">
        <x:v>21</x:v>
      </x:c>
      <x:c r="N7567" s="0" t="s">
        <x:v>46</x:v>
      </x:c>
    </x:row>
    <x:row r="7568" spans="1:16">
      <x:c r="A7568" s="0" t="s">
        <x:v>30133</x:v>
      </x:c>
      <x:c r="B7568" s="0" t="s">
        <x:v>30134</x:v>
      </x:c>
      <x:c r="C7568" s="0" t="s">
        <x:v>30135</x:v>
      </x:c>
      <x:c r="E7568" s="0" t="s">
        <x:v>30136</x:v>
      </x:c>
      <x:c r="F7568" s="0" t="s">
        <x:v>45</x:v>
      </x:c>
      <x:c r="G7568" s="0" t="s">
        <x:v>19</x:v>
      </x:c>
      <x:c r="H7568" s="0" t="s">
        <x:v>20</x:v>
      </x:c>
      <x:c r="I7568" s="0" t="s">
        <x:v>21</x:v>
      </x:c>
      <x:c r="K7568" s="0">
        <x:f>hyperlink("https://icd.who.int/dev11/l-ichi/en#/http%3A%2F%2Fid.who.int%2Ficd%2Fentity%2F493875175","browser")</x:f>
      </x:c>
      <x:c r="L7568" s="0">
        <x:f>hyperlink("https://icat2.azurewebsites.net/icat/?ontology=ICD&amp;tab=ClassesTab&amp;id=http%3A%2F%2Fwho.int%2Ficd%2345789_512ebf36_bf6b_4d70_85da_cf2637062af4","iCat")</x:f>
      </x:c>
      <x:c r="M7568" s="0" t="s">
        <x:v>21</x:v>
      </x:c>
      <x:c r="N7568" s="0" t="s">
        <x:v>46</x:v>
      </x:c>
    </x:row>
    <x:row r="7569" spans="1:16">
      <x:c r="A7569" s="0" t="s">
        <x:v>30137</x:v>
      </x:c>
      <x:c r="B7569" s="0" t="s">
        <x:v>30138</x:v>
      </x:c>
      <x:c r="C7569" s="0" t="s">
        <x:v>30139</x:v>
      </x:c>
      <x:c r="E7569" s="0" t="s">
        <x:v>30140</x:v>
      </x:c>
      <x:c r="F7569" s="0" t="s">
        <x:v>45</x:v>
      </x:c>
      <x:c r="G7569" s="0" t="s">
        <x:v>19</x:v>
      </x:c>
      <x:c r="H7569" s="0" t="s">
        <x:v>20</x:v>
      </x:c>
      <x:c r="I7569" s="0" t="s">
        <x:v>21</x:v>
      </x:c>
      <x:c r="K7569" s="0">
        <x:f>hyperlink("https://icd.who.int/dev11/l-ichi/en#/http%3A%2F%2Fid.who.int%2Ficd%2Fentity%2F1235853418","browser")</x:f>
      </x:c>
      <x:c r="L7569" s="0">
        <x:f>hyperlink("https://icat2.azurewebsites.net/icat/?ontology=ICD&amp;tab=ClassesTab&amp;id=http%3A%2F%2Fwho.int%2Ficd%2345796_512ebf36_bf6b_4d70_85da_cf2637062af4","iCat")</x:f>
      </x:c>
      <x:c r="M7569" s="0" t="s">
        <x:v>21</x:v>
      </x:c>
      <x:c r="N7569" s="0" t="s">
        <x:v>46</x:v>
      </x:c>
    </x:row>
    <x:row r="7570" spans="1:16">
      <x:c r="A7570" s="0" t="s">
        <x:v>30141</x:v>
      </x:c>
      <x:c r="B7570" s="0" t="s">
        <x:v>30142</x:v>
      </x:c>
      <x:c r="C7570" s="0" t="s">
        <x:v>30143</x:v>
      </x:c>
      <x:c r="E7570" s="0" t="s">
        <x:v>30144</x:v>
      </x:c>
      <x:c r="F7570" s="0" t="s">
        <x:v>45</x:v>
      </x:c>
      <x:c r="G7570" s="0" t="s">
        <x:v>19</x:v>
      </x:c>
      <x:c r="H7570" s="0" t="s">
        <x:v>20</x:v>
      </x:c>
      <x:c r="I7570" s="0" t="s">
        <x:v>21</x:v>
      </x:c>
      <x:c r="K7570" s="0">
        <x:f>hyperlink("https://icd.who.int/dev11/l-ichi/en#/http%3A%2F%2Fid.who.int%2Ficd%2Fentity%2F1609452213","browser")</x:f>
      </x:c>
      <x:c r="L7570" s="0">
        <x:f>hyperlink("https://icat2.azurewebsites.net/icat/?ontology=ICD&amp;tab=ClassesTab&amp;id=http%3A%2F%2Fwho.int%2Ficd%2345803_512ebf36_bf6b_4d70_85da_cf2637062af4","iCat")</x:f>
      </x:c>
      <x:c r="M7570" s="0" t="s">
        <x:v>21</x:v>
      </x:c>
      <x:c r="N7570" s="0" t="s">
        <x:v>46</x:v>
      </x:c>
    </x:row>
    <x:row r="7571" spans="1:16">
      <x:c r="A7571" s="0" t="s">
        <x:v>30145</x:v>
      </x:c>
      <x:c r="B7571" s="0" t="s">
        <x:v>30146</x:v>
      </x:c>
      <x:c r="C7571" s="0" t="s">
        <x:v>30147</x:v>
      </x:c>
      <x:c r="E7571" s="0" t="s">
        <x:v>30148</x:v>
      </x:c>
      <x:c r="F7571" s="0" t="s">
        <x:v>45</x:v>
      </x:c>
      <x:c r="G7571" s="0" t="s">
        <x:v>19</x:v>
      </x:c>
      <x:c r="H7571" s="0" t="s">
        <x:v>20</x:v>
      </x:c>
      <x:c r="I7571" s="0" t="s">
        <x:v>21</x:v>
      </x:c>
      <x:c r="K7571" s="0">
        <x:f>hyperlink("https://icd.who.int/dev11/l-ichi/en#/http%3A%2F%2Fid.who.int%2Ficd%2Fentity%2F1211752638","browser")</x:f>
      </x:c>
      <x:c r="L7571" s="0">
        <x:f>hyperlink("https://icat2.azurewebsites.net/icat/?ontology=ICD&amp;tab=ClassesTab&amp;id=http%3A%2F%2Fwho.int%2Ficd%232526_4869915e_217e_423d_acb3_33c0f920ef4b","iCat")</x:f>
      </x:c>
      <x:c r="M7571" s="0" t="s">
        <x:v>21</x:v>
      </x:c>
      <x:c r="N7571" s="0" t="s">
        <x:v>46</x:v>
      </x:c>
    </x:row>
    <x:row r="7572" spans="1:16">
      <x:c r="A7572" s="0" t="s">
        <x:v>30149</x:v>
      </x:c>
      <x:c r="B7572" s="0" t="s">
        <x:v>30150</x:v>
      </x:c>
      <x:c r="C7572" s="0" t="s">
        <x:v>30151</x:v>
      </x:c>
      <x:c r="E7572" s="0" t="s">
        <x:v>30152</x:v>
      </x:c>
      <x:c r="F7572" s="0" t="s">
        <x:v>45</x:v>
      </x:c>
      <x:c r="G7572" s="0" t="s">
        <x:v>19</x:v>
      </x:c>
      <x:c r="H7572" s="0" t="s">
        <x:v>20</x:v>
      </x:c>
      <x:c r="I7572" s="0" t="s">
        <x:v>21</x:v>
      </x:c>
      <x:c r="K7572" s="0">
        <x:f>hyperlink("https://icd.who.int/dev11/l-ichi/en#/http%3A%2F%2Fid.who.int%2Ficd%2Fentity%2F259475309","browser")</x:f>
      </x:c>
      <x:c r="L7572" s="0">
        <x:f>hyperlink("https://icat2.azurewebsites.net/icat/?ontology=ICD&amp;tab=ClassesTab&amp;id=http%3A%2F%2Fwho.int%2Ficd%2385_dd4d4347_e398_43b9_84dd_c9611ca6abfa","iCat")</x:f>
      </x:c>
      <x:c r="M7572" s="0" t="s">
        <x:v>21</x:v>
      </x:c>
      <x:c r="N7572" s="0" t="s">
        <x:v>46</x:v>
      </x:c>
    </x:row>
    <x:row r="7573" spans="1:16">
      <x:c r="A7573" s="0" t="s">
        <x:v>30153</x:v>
      </x:c>
      <x:c r="B7573" s="0" t="s">
        <x:v>30154</x:v>
      </x:c>
      <x:c r="C7573" s="0" t="s">
        <x:v>30155</x:v>
      </x:c>
      <x:c r="E7573" s="0" t="s">
        <x:v>30156</x:v>
      </x:c>
      <x:c r="F7573" s="0" t="s">
        <x:v>45</x:v>
      </x:c>
      <x:c r="G7573" s="0" t="s">
        <x:v>19</x:v>
      </x:c>
      <x:c r="H7573" s="0" t="s">
        <x:v>20</x:v>
      </x:c>
      <x:c r="I7573" s="0" t="s">
        <x:v>21</x:v>
      </x:c>
      <x:c r="K7573" s="0">
        <x:f>hyperlink("https://icd.who.int/dev11/l-ichi/en#/http%3A%2F%2Fid.who.int%2Ficd%2Fentity%2F1354045008","browser")</x:f>
      </x:c>
      <x:c r="L7573" s="0">
        <x:f>hyperlink("https://icat2.azurewebsites.net/icat/?ontology=ICD&amp;tab=ClassesTab&amp;id=http%3A%2F%2Fwho.int%2Ficd%2391_dd4d4347_e398_43b9_84dd_c9611ca6abfa","iCat")</x:f>
      </x:c>
      <x:c r="M7573" s="0" t="s">
        <x:v>21</x:v>
      </x:c>
      <x:c r="N7573" s="0" t="s">
        <x:v>46</x:v>
      </x:c>
    </x:row>
    <x:row r="7574" spans="1:16">
      <x:c r="A7574" s="0" t="s">
        <x:v>30157</x:v>
      </x:c>
      <x:c r="B7574" s="0" t="s">
        <x:v>30158</x:v>
      </x:c>
      <x:c r="C7574" s="0" t="s">
        <x:v>30159</x:v>
      </x:c>
      <x:c r="E7574" s="0" t="s">
        <x:v>30160</x:v>
      </x:c>
      <x:c r="F7574" s="0" t="s">
        <x:v>45</x:v>
      </x:c>
      <x:c r="G7574" s="0" t="s">
        <x:v>19</x:v>
      </x:c>
      <x:c r="H7574" s="0" t="s">
        <x:v>20</x:v>
      </x:c>
      <x:c r="I7574" s="0" t="s">
        <x:v>21</x:v>
      </x:c>
      <x:c r="K7574" s="0">
        <x:f>hyperlink("https://icd.who.int/dev11/l-ichi/en#/http%3A%2F%2Fid.who.int%2Ficd%2Fentity%2F13553663","browser")</x:f>
      </x:c>
      <x:c r="L7574" s="0">
        <x:f>hyperlink("https://icat2.azurewebsites.net/icat/?ontology=ICD&amp;tab=ClassesTab&amp;id=http%3A%2F%2Fwho.int%2Ficd%2397_dd4d4347_e398_43b9_84dd_c9611ca6abfa","iCat")</x:f>
      </x:c>
      <x:c r="M7574" s="0" t="s">
        <x:v>21</x:v>
      </x:c>
      <x:c r="N7574" s="0" t="s">
        <x:v>46</x:v>
      </x:c>
    </x:row>
    <x:row r="7575" spans="1:16">
      <x:c r="A7575" s="0" t="s">
        <x:v>30161</x:v>
      </x:c>
      <x:c r="B7575" s="0" t="s">
        <x:v>30162</x:v>
      </x:c>
      <x:c r="C7575" s="0" t="s">
        <x:v>30163</x:v>
      </x:c>
      <x:c r="E7575" s="0" t="s">
        <x:v>30164</x:v>
      </x:c>
      <x:c r="F7575" s="0" t="s">
        <x:v>45</x:v>
      </x:c>
      <x:c r="G7575" s="0" t="s">
        <x:v>19</x:v>
      </x:c>
      <x:c r="H7575" s="0" t="s">
        <x:v>20</x:v>
      </x:c>
      <x:c r="I7575" s="0" t="s">
        <x:v>21</x:v>
      </x:c>
      <x:c r="K7575" s="0">
        <x:f>hyperlink("https://icd.who.int/dev11/l-ichi/en#/http%3A%2F%2Fid.who.int%2Ficd%2Fentity%2F1255542478","browser")</x:f>
      </x:c>
      <x:c r="L7575" s="0">
        <x:f>hyperlink("https://icat2.azurewebsites.net/icat/?ontology=ICD&amp;tab=ClassesTab&amp;id=http%3A%2F%2Fwho.int%2Ficd%23103_dd4d4347_e398_43b9_84dd_c9611ca6abfa","iCat")</x:f>
      </x:c>
      <x:c r="M7575" s="0" t="s">
        <x:v>21</x:v>
      </x:c>
      <x:c r="N7575" s="0" t="s">
        <x:v>46</x:v>
      </x:c>
    </x:row>
    <x:row r="7576" spans="1:16">
      <x:c r="A7576" s="0" t="s">
        <x:v>30165</x:v>
      </x:c>
      <x:c r="B7576" s="0" t="s">
        <x:v>30166</x:v>
      </x:c>
      <x:c r="C7576" s="0" t="s">
        <x:v>30167</x:v>
      </x:c>
      <x:c r="E7576" s="0" t="s">
        <x:v>30168</x:v>
      </x:c>
      <x:c r="F7576" s="0" t="s">
        <x:v>45</x:v>
      </x:c>
      <x:c r="G7576" s="0" t="s">
        <x:v>19</x:v>
      </x:c>
      <x:c r="H7576" s="0" t="s">
        <x:v>20</x:v>
      </x:c>
      <x:c r="I7576" s="0" t="s">
        <x:v>21</x:v>
      </x:c>
      <x:c r="K7576" s="0">
        <x:f>hyperlink("https://icd.who.int/dev11/l-ichi/en#/http%3A%2F%2Fid.who.int%2Ficd%2Fentity%2F249405626","browser")</x:f>
      </x:c>
      <x:c r="L7576" s="0">
        <x:f>hyperlink("https://icat2.azurewebsites.net/icat/?ontology=ICD&amp;tab=ClassesTab&amp;id=http%3A%2F%2Fwho.int%2Ficd%2381_3c64dd61_a787_4b69_a0aa_c26ee473e65a","iCat")</x:f>
      </x:c>
      <x:c r="M7576" s="0" t="s">
        <x:v>21</x:v>
      </x:c>
      <x:c r="N7576" s="0" t="s">
        <x:v>46</x:v>
      </x:c>
    </x:row>
    <x:row r="7577" spans="1:16">
      <x:c r="A7577" s="0" t="s">
        <x:v>30169</x:v>
      </x:c>
      <x:c r="B7577" s="0" t="s">
        <x:v>30170</x:v>
      </x:c>
      <x:c r="C7577" s="0" t="s">
        <x:v>30171</x:v>
      </x:c>
      <x:c r="E7577" s="0" t="s">
        <x:v>30172</x:v>
      </x:c>
      <x:c r="F7577" s="0" t="s">
        <x:v>45</x:v>
      </x:c>
      <x:c r="G7577" s="0" t="s">
        <x:v>19</x:v>
      </x:c>
      <x:c r="H7577" s="0" t="s">
        <x:v>20</x:v>
      </x:c>
      <x:c r="I7577" s="0" t="s">
        <x:v>21</x:v>
      </x:c>
      <x:c r="K7577" s="0">
        <x:f>hyperlink("https://icd.who.int/dev11/l-ichi/en#/http%3A%2F%2Fid.who.int%2Ficd%2Fentity%2F1890496539","browser")</x:f>
      </x:c>
      <x:c r="L7577" s="0">
        <x:f>hyperlink("https://icat2.azurewebsites.net/icat/?ontology=ICD&amp;tab=ClassesTab&amp;id=http%3A%2F%2Fwho.int%2Ficd%2345810_512ebf36_bf6b_4d70_85da_cf2637062af4","iCat")</x:f>
      </x:c>
      <x:c r="M7577" s="0" t="s">
        <x:v>21</x:v>
      </x:c>
      <x:c r="N7577" s="0" t="s">
        <x:v>46</x:v>
      </x:c>
    </x:row>
    <x:row r="7578" spans="1:16">
      <x:c r="A7578" s="0" t="s">
        <x:v>30173</x:v>
      </x:c>
      <x:c r="B7578" s="0" t="s">
        <x:v>30174</x:v>
      </x:c>
      <x:c r="C7578" s="0" t="s">
        <x:v>30175</x:v>
      </x:c>
      <x:c r="E7578" s="0" t="s">
        <x:v>30176</x:v>
      </x:c>
      <x:c r="F7578" s="0" t="s">
        <x:v>45</x:v>
      </x:c>
      <x:c r="G7578" s="0" t="s">
        <x:v>19</x:v>
      </x:c>
      <x:c r="H7578" s="0" t="s">
        <x:v>20</x:v>
      </x:c>
      <x:c r="I7578" s="0" t="s">
        <x:v>21</x:v>
      </x:c>
      <x:c r="K7578" s="0">
        <x:f>hyperlink("https://icd.who.int/dev11/l-ichi/en#/http%3A%2F%2Fid.who.int%2Ficd%2Fentity%2F1043317070","browser")</x:f>
      </x:c>
      <x:c r="L7578" s="0">
        <x:f>hyperlink("https://icat2.azurewebsites.net/icat/?ontology=ICD&amp;tab=ClassesTab&amp;id=http%3A%2F%2Fwho.int%2Ficd%2345818_512ebf36_bf6b_4d70_85da_cf2637062af4","iCat")</x:f>
      </x:c>
      <x:c r="M7578" s="0" t="s">
        <x:v>21</x:v>
      </x:c>
      <x:c r="N7578" s="0" t="s">
        <x:v>46</x:v>
      </x:c>
    </x:row>
    <x:row r="7579" spans="1:16">
      <x:c r="A7579" s="0" t="s">
        <x:v>30177</x:v>
      </x:c>
      <x:c r="B7579" s="0" t="s">
        <x:v>30178</x:v>
      </x:c>
      <x:c r="C7579" s="0" t="s">
        <x:v>30179</x:v>
      </x:c>
      <x:c r="E7579" s="0" t="s">
        <x:v>30180</x:v>
      </x:c>
      <x:c r="F7579" s="0" t="s">
        <x:v>45</x:v>
      </x:c>
      <x:c r="G7579" s="0" t="s">
        <x:v>19</x:v>
      </x:c>
      <x:c r="H7579" s="0" t="s">
        <x:v>20</x:v>
      </x:c>
      <x:c r="I7579" s="0" t="s">
        <x:v>21</x:v>
      </x:c>
      <x:c r="K7579" s="0">
        <x:f>hyperlink("https://icd.who.int/dev11/l-ichi/en#/http%3A%2F%2Fid.who.int%2Ficd%2Fentity%2F1524262219","browser")</x:f>
      </x:c>
      <x:c r="L7579" s="0">
        <x:f>hyperlink("https://icat2.azurewebsites.net/icat/?ontology=ICD&amp;tab=ClassesTab&amp;id=http%3A%2F%2Fwho.int%2Ficd%2345830_512ebf36_bf6b_4d70_85da_cf2637062af4","iCat")</x:f>
      </x:c>
      <x:c r="M7579" s="0" t="s">
        <x:v>21</x:v>
      </x:c>
      <x:c r="N7579" s="0" t="s">
        <x:v>46</x:v>
      </x:c>
    </x:row>
    <x:row r="7580" spans="1:16">
      <x:c r="A7580" s="0" t="s">
        <x:v>30181</x:v>
      </x:c>
      <x:c r="B7580" s="0" t="s">
        <x:v>30182</x:v>
      </x:c>
      <x:c r="C7580" s="0" t="s">
        <x:v>30183</x:v>
      </x:c>
      <x:c r="E7580" s="0" t="s">
        <x:v>30184</x:v>
      </x:c>
      <x:c r="F7580" s="0" t="s">
        <x:v>45</x:v>
      </x:c>
      <x:c r="G7580" s="0" t="s">
        <x:v>19</x:v>
      </x:c>
      <x:c r="H7580" s="0" t="s">
        <x:v>20</x:v>
      </x:c>
      <x:c r="I7580" s="0" t="s">
        <x:v>21</x:v>
      </x:c>
      <x:c r="K7580" s="0">
        <x:f>hyperlink("https://icd.who.int/dev11/l-ichi/en#/http%3A%2F%2Fid.who.int%2Ficd%2Fentity%2F797514154","browser")</x:f>
      </x:c>
      <x:c r="L7580" s="0">
        <x:f>hyperlink("https://icat2.azurewebsites.net/icat/?ontology=ICD&amp;tab=ClassesTab&amp;id=http%3A%2F%2Fwho.int%2Ficd%2345843_512ebf36_bf6b_4d70_85da_cf2637062af4","iCat")</x:f>
      </x:c>
      <x:c r="M7580" s="0" t="s">
        <x:v>21</x:v>
      </x:c>
      <x:c r="N7580" s="0" t="s">
        <x:v>46</x:v>
      </x:c>
    </x:row>
    <x:row r="7581" spans="1:16">
      <x:c r="A7581" s="0" t="s">
        <x:v>30185</x:v>
      </x:c>
      <x:c r="B7581" s="0" t="s">
        <x:v>30186</x:v>
      </x:c>
      <x:c r="C7581" s="0" t="s">
        <x:v>30187</x:v>
      </x:c>
      <x:c r="E7581" s="0" t="s">
        <x:v>30188</x:v>
      </x:c>
      <x:c r="F7581" s="0" t="s">
        <x:v>45</x:v>
      </x:c>
      <x:c r="G7581" s="0" t="s">
        <x:v>19</x:v>
      </x:c>
      <x:c r="H7581" s="0" t="s">
        <x:v>20</x:v>
      </x:c>
      <x:c r="I7581" s="0" t="s">
        <x:v>21</x:v>
      </x:c>
      <x:c r="K7581" s="0">
        <x:f>hyperlink("https://icd.who.int/dev11/l-ichi/en#/http%3A%2F%2Fid.who.int%2Ficd%2Fentity%2F1353857719","browser")</x:f>
      </x:c>
      <x:c r="L7581" s="0">
        <x:f>hyperlink("https://icat2.azurewebsites.net/icat/?ontology=ICD&amp;tab=ClassesTab&amp;id=http%3A%2F%2Fwho.int%2Ficd%2345856_512ebf36_bf6b_4d70_85da_cf2637062af4","iCat")</x:f>
      </x:c>
      <x:c r="M7581" s="0" t="s">
        <x:v>21</x:v>
      </x:c>
      <x:c r="N7581" s="0" t="s">
        <x:v>46</x:v>
      </x:c>
    </x:row>
    <x:row r="7582" spans="1:16">
      <x:c r="A7582" s="0" t="s">
        <x:v>30189</x:v>
      </x:c>
      <x:c r="B7582" s="0" t="s">
        <x:v>30190</x:v>
      </x:c>
      <x:c r="C7582" s="0" t="s">
        <x:v>30191</x:v>
      </x:c>
      <x:c r="E7582" s="0" t="s">
        <x:v>30192</x:v>
      </x:c>
      <x:c r="F7582" s="0" t="s">
        <x:v>45</x:v>
      </x:c>
      <x:c r="G7582" s="0" t="s">
        <x:v>19</x:v>
      </x:c>
      <x:c r="H7582" s="0" t="s">
        <x:v>20</x:v>
      </x:c>
      <x:c r="I7582" s="0" t="s">
        <x:v>21</x:v>
      </x:c>
      <x:c r="K7582" s="0">
        <x:f>hyperlink("https://icd.who.int/dev11/l-ichi/en#/http%3A%2F%2Fid.who.int%2Ficd%2Fentity%2F251253334","browser")</x:f>
      </x:c>
      <x:c r="L7582" s="0">
        <x:f>hyperlink("https://icat2.azurewebsites.net/icat/?ontology=ICD&amp;tab=ClassesTab&amp;id=http%3A%2F%2Fwho.int%2Ficd%2345868_512ebf36_bf6b_4d70_85da_cf2637062af4","iCat")</x:f>
      </x:c>
      <x:c r="M7582" s="0" t="s">
        <x:v>21</x:v>
      </x:c>
      <x:c r="N7582" s="0" t="s">
        <x:v>46</x:v>
      </x:c>
    </x:row>
    <x:row r="7583" spans="1:16">
      <x:c r="A7583" s="0" t="s">
        <x:v>30193</x:v>
      </x:c>
      <x:c r="B7583" s="0" t="s">
        <x:v>30194</x:v>
      </x:c>
      <x:c r="C7583" s="0" t="s">
        <x:v>30195</x:v>
      </x:c>
      <x:c r="E7583" s="0" t="s">
        <x:v>30196</x:v>
      </x:c>
      <x:c r="F7583" s="0" t="s">
        <x:v>45</x:v>
      </x:c>
      <x:c r="G7583" s="0" t="s">
        <x:v>19</x:v>
      </x:c>
      <x:c r="H7583" s="0" t="s">
        <x:v>20</x:v>
      </x:c>
      <x:c r="I7583" s="0" t="s">
        <x:v>21</x:v>
      </x:c>
      <x:c r="K7583" s="0">
        <x:f>hyperlink("https://icd.who.int/dev11/l-ichi/en#/http%3A%2F%2Fid.who.int%2Ficd%2Fentity%2F1153774911","browser")</x:f>
      </x:c>
      <x:c r="L7583" s="0">
        <x:f>hyperlink("https://icat2.azurewebsites.net/icat/?ontology=ICD&amp;tab=ClassesTab&amp;id=http%3A%2F%2Fwho.int%2Ficd%2345879_512ebf36_bf6b_4d70_85da_cf2637062af4","iCat")</x:f>
      </x:c>
      <x:c r="M7583" s="0" t="s">
        <x:v>21</x:v>
      </x:c>
      <x:c r="N7583" s="0" t="s">
        <x:v>46</x:v>
      </x:c>
    </x:row>
    <x:row r="7584" spans="1:16">
      <x:c r="A7584" s="0" t="s">
        <x:v>30197</x:v>
      </x:c>
      <x:c r="B7584" s="0" t="s">
        <x:v>30198</x:v>
      </x:c>
      <x:c r="C7584" s="0" t="s">
        <x:v>30199</x:v>
      </x:c>
      <x:c r="E7584" s="0" t="s">
        <x:v>30200</x:v>
      </x:c>
      <x:c r="F7584" s="0" t="s">
        <x:v>45</x:v>
      </x:c>
      <x:c r="G7584" s="0" t="s">
        <x:v>19</x:v>
      </x:c>
      <x:c r="H7584" s="0" t="s">
        <x:v>20</x:v>
      </x:c>
      <x:c r="I7584" s="0" t="s">
        <x:v>21</x:v>
      </x:c>
      <x:c r="K7584" s="0">
        <x:f>hyperlink("https://icd.who.int/dev11/l-ichi/en#/http%3A%2F%2Fid.who.int%2Ficd%2Fentity%2F182711324","browser")</x:f>
      </x:c>
      <x:c r="L7584" s="0">
        <x:f>hyperlink("https://icat2.azurewebsites.net/icat/?ontology=ICD&amp;tab=ClassesTab&amp;id=http%3A%2F%2Fwho.int%2Ficd%2345892_512ebf36_bf6b_4d70_85da_cf2637062af4","iCat")</x:f>
      </x:c>
      <x:c r="M7584" s="0" t="s">
        <x:v>21</x:v>
      </x:c>
      <x:c r="N7584" s="0" t="s">
        <x:v>46</x:v>
      </x:c>
    </x:row>
    <x:row r="7585" spans="1:16">
      <x:c r="A7585" s="0" t="s">
        <x:v>30201</x:v>
      </x:c>
      <x:c r="B7585" s="0" t="s">
        <x:v>30202</x:v>
      </x:c>
      <x:c r="C7585" s="0" t="s">
        <x:v>30203</x:v>
      </x:c>
      <x:c r="E7585" s="0" t="s">
        <x:v>30204</x:v>
      </x:c>
      <x:c r="F7585" s="0" t="s">
        <x:v>45</x:v>
      </x:c>
      <x:c r="G7585" s="0" t="s">
        <x:v>19</x:v>
      </x:c>
      <x:c r="H7585" s="0" t="s">
        <x:v>20</x:v>
      </x:c>
      <x:c r="I7585" s="0" t="s">
        <x:v>21</x:v>
      </x:c>
      <x:c r="K7585" s="0">
        <x:f>hyperlink("https://icd.who.int/dev11/l-ichi/en#/http%3A%2F%2Fid.who.int%2Ficd%2Fentity%2F2047497625","browser")</x:f>
      </x:c>
      <x:c r="L7585" s="0">
        <x:f>hyperlink("https://icat2.azurewebsites.net/icat/?ontology=ICD&amp;tab=ClassesTab&amp;id=http%3A%2F%2Fwho.int%2Ficd%2345905_512ebf36_bf6b_4d70_85da_cf2637062af4","iCat")</x:f>
      </x:c>
      <x:c r="M7585" s="0" t="s">
        <x:v>21</x:v>
      </x:c>
      <x:c r="N7585" s="0" t="s">
        <x:v>46</x:v>
      </x:c>
    </x:row>
    <x:row r="7586" spans="1:16">
      <x:c r="A7586" s="0" t="s">
        <x:v>30205</x:v>
      </x:c>
      <x:c r="B7586" s="0" t="s">
        <x:v>30206</x:v>
      </x:c>
      <x:c r="C7586" s="0" t="s">
        <x:v>30207</x:v>
      </x:c>
      <x:c r="E7586" s="0" t="s">
        <x:v>30208</x:v>
      </x:c>
      <x:c r="F7586" s="0" t="s">
        <x:v>45</x:v>
      </x:c>
      <x:c r="G7586" s="0" t="s">
        <x:v>19</x:v>
      </x:c>
      <x:c r="H7586" s="0" t="s">
        <x:v>20</x:v>
      </x:c>
      <x:c r="I7586" s="0" t="s">
        <x:v>21</x:v>
      </x:c>
      <x:c r="K7586" s="0">
        <x:f>hyperlink("https://icd.who.int/dev11/l-ichi/en#/http%3A%2F%2Fid.who.int%2Ficd%2Fentity%2F1269827539","browser")</x:f>
      </x:c>
      <x:c r="L7586" s="0">
        <x:f>hyperlink("https://icat2.azurewebsites.net/icat/?ontology=ICD&amp;tab=ClassesTab&amp;id=http%3A%2F%2Fwho.int%2Ficd%2345918_512ebf36_bf6b_4d70_85da_cf2637062af4","iCat")</x:f>
      </x:c>
      <x:c r="M7586" s="0" t="s">
        <x:v>21</x:v>
      </x:c>
      <x:c r="N7586" s="0" t="s">
        <x:v>46</x:v>
      </x:c>
    </x:row>
    <x:row r="7587" spans="1:16">
      <x:c r="A7587" s="0" t="s">
        <x:v>30209</x:v>
      </x:c>
      <x:c r="B7587" s="0" t="s">
        <x:v>30210</x:v>
      </x:c>
      <x:c r="C7587" s="0" t="s">
        <x:v>30211</x:v>
      </x:c>
      <x:c r="E7587" s="0" t="s">
        <x:v>30212</x:v>
      </x:c>
      <x:c r="F7587" s="0" t="s">
        <x:v>45</x:v>
      </x:c>
      <x:c r="G7587" s="0" t="s">
        <x:v>19</x:v>
      </x:c>
      <x:c r="H7587" s="0" t="s">
        <x:v>20</x:v>
      </x:c>
      <x:c r="I7587" s="0" t="s">
        <x:v>21</x:v>
      </x:c>
      <x:c r="K7587" s="0">
        <x:f>hyperlink("https://icd.who.int/dev11/l-ichi/en#/http%3A%2F%2Fid.who.int%2Ficd%2Fentity%2F264032746","browser")</x:f>
      </x:c>
      <x:c r="L7587" s="0">
        <x:f>hyperlink("https://icat2.azurewebsites.net/icat/?ontology=ICD&amp;tab=ClassesTab&amp;id=http%3A%2F%2Fwho.int%2Ficd%2345931_512ebf36_bf6b_4d70_85da_cf2637062af4","iCat")</x:f>
      </x:c>
      <x:c r="M7587" s="0" t="s">
        <x:v>21</x:v>
      </x:c>
      <x:c r="N7587" s="0" t="s">
        <x:v>46</x:v>
      </x:c>
    </x:row>
    <x:row r="7588" spans="1:16">
      <x:c r="A7588" s="0" t="s">
        <x:v>30213</x:v>
      </x:c>
      <x:c r="B7588" s="0" t="s">
        <x:v>30214</x:v>
      </x:c>
      <x:c r="C7588" s="0" t="s">
        <x:v>30215</x:v>
      </x:c>
      <x:c r="E7588" s="0" t="s">
        <x:v>30216</x:v>
      </x:c>
      <x:c r="F7588" s="0" t="s">
        <x:v>45</x:v>
      </x:c>
      <x:c r="G7588" s="0" t="s">
        <x:v>19</x:v>
      </x:c>
      <x:c r="H7588" s="0" t="s">
        <x:v>20</x:v>
      </x:c>
      <x:c r="I7588" s="0" t="s">
        <x:v>21</x:v>
      </x:c>
      <x:c r="K7588" s="0">
        <x:f>hyperlink("https://icd.who.int/dev11/l-ichi/en#/http%3A%2F%2Fid.who.int%2Ficd%2Fentity%2F714372282","browser")</x:f>
      </x:c>
      <x:c r="L7588" s="0">
        <x:f>hyperlink("https://icat2.azurewebsites.net/icat/?ontology=ICD&amp;tab=ClassesTab&amp;id=http%3A%2F%2Fwho.int%2Ficd%2345944_512ebf36_bf6b_4d70_85da_cf2637062af4","iCat")</x:f>
      </x:c>
      <x:c r="M7588" s="0" t="s">
        <x:v>21</x:v>
      </x:c>
      <x:c r="N7588" s="0" t="s">
        <x:v>46</x:v>
      </x:c>
    </x:row>
    <x:row r="7589" spans="1:16">
      <x:c r="A7589" s="0" t="s">
        <x:v>30217</x:v>
      </x:c>
      <x:c r="B7589" s="0" t="s">
        <x:v>30218</x:v>
      </x:c>
      <x:c r="C7589" s="0" t="s">
        <x:v>30219</x:v>
      </x:c>
      <x:c r="E7589" s="0" t="s">
        <x:v>30220</x:v>
      </x:c>
      <x:c r="F7589" s="0" t="s">
        <x:v>45</x:v>
      </x:c>
      <x:c r="G7589" s="0" t="s">
        <x:v>19</x:v>
      </x:c>
      <x:c r="H7589" s="0" t="s">
        <x:v>20</x:v>
      </x:c>
      <x:c r="I7589" s="0" t="s">
        <x:v>21</x:v>
      </x:c>
      <x:c r="K7589" s="0">
        <x:f>hyperlink("https://icd.who.int/dev11/l-ichi/en#/http%3A%2F%2Fid.who.int%2Ficd%2Fentity%2F97816086","browser")</x:f>
      </x:c>
      <x:c r="L7589" s="0">
        <x:f>hyperlink("https://icat2.azurewebsites.net/icat/?ontology=ICD&amp;tab=ClassesTab&amp;id=http%3A%2F%2Fwho.int%2Ficd%2345957_512ebf36_bf6b_4d70_85da_cf2637062af4","iCat")</x:f>
      </x:c>
      <x:c r="M7589" s="0" t="s">
        <x:v>21</x:v>
      </x:c>
      <x:c r="N7589" s="0" t="s">
        <x:v>46</x:v>
      </x:c>
    </x:row>
    <x:row r="7590" spans="1:16">
      <x:c r="A7590" s="0" t="s">
        <x:v>30221</x:v>
      </x:c>
      <x:c r="B7590" s="0" t="s">
        <x:v>30222</x:v>
      </x:c>
      <x:c r="C7590" s="0" t="s">
        <x:v>30223</x:v>
      </x:c>
      <x:c r="E7590" s="0" t="s">
        <x:v>30224</x:v>
      </x:c>
      <x:c r="F7590" s="0" t="s">
        <x:v>45</x:v>
      </x:c>
      <x:c r="G7590" s="0" t="s">
        <x:v>19</x:v>
      </x:c>
      <x:c r="H7590" s="0" t="s">
        <x:v>20</x:v>
      </x:c>
      <x:c r="I7590" s="0" t="s">
        <x:v>21</x:v>
      </x:c>
      <x:c r="K7590" s="0">
        <x:f>hyperlink("https://icd.who.int/dev11/l-ichi/en#/http%3A%2F%2Fid.who.int%2Ficd%2Fentity%2F1537173237","browser")</x:f>
      </x:c>
      <x:c r="L7590" s="0">
        <x:f>hyperlink("https://icat2.azurewebsites.net/icat/?ontology=ICD&amp;tab=ClassesTab&amp;id=http%3A%2F%2Fwho.int%2Ficd%2345969_512ebf36_bf6b_4d70_85da_cf2637062af4","iCat")</x:f>
      </x:c>
      <x:c r="M7590" s="0" t="s">
        <x:v>21</x:v>
      </x:c>
      <x:c r="N7590" s="0" t="s">
        <x:v>46</x:v>
      </x:c>
    </x:row>
    <x:row r="7591" spans="1:16">
      <x:c r="A7591" s="0" t="s">
        <x:v>30225</x:v>
      </x:c>
      <x:c r="B7591" s="0" t="s">
        <x:v>30226</x:v>
      </x:c>
      <x:c r="C7591" s="0" t="s">
        <x:v>30227</x:v>
      </x:c>
      <x:c r="E7591" s="0" t="s">
        <x:v>30228</x:v>
      </x:c>
      <x:c r="F7591" s="0" t="s">
        <x:v>45</x:v>
      </x:c>
      <x:c r="G7591" s="0" t="s">
        <x:v>19</x:v>
      </x:c>
      <x:c r="H7591" s="0" t="s">
        <x:v>20</x:v>
      </x:c>
      <x:c r="I7591" s="0" t="s">
        <x:v>21</x:v>
      </x:c>
      <x:c r="K7591" s="0">
        <x:f>hyperlink("https://icd.who.int/dev11/l-ichi/en#/http%3A%2F%2Fid.who.int%2Ficd%2Fentity%2F364488658","browser")</x:f>
      </x:c>
      <x:c r="L7591" s="0">
        <x:f>hyperlink("https://icat2.azurewebsites.net/icat/?ontology=ICD&amp;tab=ClassesTab&amp;id=http%3A%2F%2Fwho.int%2Ficd%2345982_512ebf36_bf6b_4d70_85da_cf2637062af4","iCat")</x:f>
      </x:c>
      <x:c r="M7591" s="0" t="s">
        <x:v>21</x:v>
      </x:c>
      <x:c r="N7591" s="0" t="s">
        <x:v>46</x:v>
      </x:c>
    </x:row>
    <x:row r="7592" spans="1:16">
      <x:c r="A7592" s="0" t="s">
        <x:v>30229</x:v>
      </x:c>
      <x:c r="B7592" s="0" t="s">
        <x:v>30230</x:v>
      </x:c>
      <x:c r="C7592" s="0" t="s">
        <x:v>30231</x:v>
      </x:c>
      <x:c r="E7592" s="0" t="s">
        <x:v>30232</x:v>
      </x:c>
      <x:c r="F7592" s="0" t="s">
        <x:v>45</x:v>
      </x:c>
      <x:c r="G7592" s="0" t="s">
        <x:v>19</x:v>
      </x:c>
      <x:c r="H7592" s="0" t="s">
        <x:v>20</x:v>
      </x:c>
      <x:c r="I7592" s="0" t="s">
        <x:v>21</x:v>
      </x:c>
      <x:c r="K7592" s="0">
        <x:f>hyperlink("https://icd.who.int/dev11/l-ichi/en#/http%3A%2F%2Fid.who.int%2Ficd%2Fentity%2F436219716","browser")</x:f>
      </x:c>
      <x:c r="L7592" s="0">
        <x:f>hyperlink("https://icat2.azurewebsites.net/icat/?ontology=ICD&amp;tab=ClassesTab&amp;id=http%3A%2F%2Fwho.int%2Ficd%2345990_512ebf36_bf6b_4d70_85da_cf2637062af4","iCat")</x:f>
      </x:c>
      <x:c r="M7592" s="0" t="s">
        <x:v>21</x:v>
      </x:c>
      <x:c r="N7592" s="0" t="s">
        <x:v>46</x:v>
      </x:c>
    </x:row>
    <x:row r="7593" spans="1:16">
      <x:c r="A7593" s="0" t="s">
        <x:v>30233</x:v>
      </x:c>
      <x:c r="B7593" s="0" t="s">
        <x:v>30234</x:v>
      </x:c>
      <x:c r="C7593" s="0" t="s">
        <x:v>30235</x:v>
      </x:c>
      <x:c r="E7593" s="0" t="s">
        <x:v>30236</x:v>
      </x:c>
      <x:c r="F7593" s="0" t="s">
        <x:v>45</x:v>
      </x:c>
      <x:c r="G7593" s="0" t="s">
        <x:v>19</x:v>
      </x:c>
      <x:c r="H7593" s="0" t="s">
        <x:v>20</x:v>
      </x:c>
      <x:c r="I7593" s="0" t="s">
        <x:v>21</x:v>
      </x:c>
      <x:c r="K7593" s="0">
        <x:f>hyperlink("https://icd.who.int/dev11/l-ichi/en#/http%3A%2F%2Fid.who.int%2Ficd%2Fentity%2F1417764375","browser")</x:f>
      </x:c>
      <x:c r="L7593" s="0">
        <x:f>hyperlink("https://icat2.azurewebsites.net/icat/?ontology=ICD&amp;tab=ClassesTab&amp;id=http%3A%2F%2Fwho.int%2Ficd%2345998_512ebf36_bf6b_4d70_85da_cf2637062af4","iCat")</x:f>
      </x:c>
      <x:c r="M7593" s="0" t="s">
        <x:v>21</x:v>
      </x:c>
      <x:c r="N7593" s="0" t="s">
        <x:v>46</x:v>
      </x:c>
    </x:row>
    <x:row r="7594" spans="1:16">
      <x:c r="A7594" s="0" t="s">
        <x:v>30237</x:v>
      </x:c>
      <x:c r="B7594" s="0" t="s">
        <x:v>30238</x:v>
      </x:c>
      <x:c r="C7594" s="0" t="s">
        <x:v>30239</x:v>
      </x:c>
      <x:c r="E7594" s="0" t="s">
        <x:v>30240</x:v>
      </x:c>
      <x:c r="F7594" s="0" t="s">
        <x:v>45</x:v>
      </x:c>
      <x:c r="G7594" s="0" t="s">
        <x:v>19</x:v>
      </x:c>
      <x:c r="H7594" s="0" t="s">
        <x:v>20</x:v>
      </x:c>
      <x:c r="I7594" s="0" t="s">
        <x:v>21</x:v>
      </x:c>
      <x:c r="K7594" s="0">
        <x:f>hyperlink("https://icd.who.int/dev11/l-ichi/en#/http%3A%2F%2Fid.who.int%2Ficd%2Fentity%2F1346693121","browser")</x:f>
      </x:c>
      <x:c r="L7594" s="0">
        <x:f>hyperlink("https://icat2.azurewebsites.net/icat/?ontology=ICD&amp;tab=ClassesTab&amp;id=http%3A%2F%2Fwho.int%2Ficd%2346006_512ebf36_bf6b_4d70_85da_cf2637062af4","iCat")</x:f>
      </x:c>
      <x:c r="M7594" s="0" t="s">
        <x:v>21</x:v>
      </x:c>
      <x:c r="N7594" s="0" t="s">
        <x:v>46</x:v>
      </x:c>
    </x:row>
    <x:row r="7595" spans="1:16">
      <x:c r="A7595" s="0" t="s">
        <x:v>30241</x:v>
      </x:c>
      <x:c r="B7595" s="0" t="s">
        <x:v>30242</x:v>
      </x:c>
      <x:c r="C7595" s="0" t="s">
        <x:v>30243</x:v>
      </x:c>
      <x:c r="E7595" s="0" t="s">
        <x:v>30244</x:v>
      </x:c>
      <x:c r="F7595" s="0" t="s">
        <x:v>45</x:v>
      </x:c>
      <x:c r="G7595" s="0" t="s">
        <x:v>19</x:v>
      </x:c>
      <x:c r="H7595" s="0" t="s">
        <x:v>20</x:v>
      </x:c>
      <x:c r="I7595" s="0" t="s">
        <x:v>21</x:v>
      </x:c>
      <x:c r="K7595" s="0">
        <x:f>hyperlink("https://icd.who.int/dev11/l-ichi/en#/http%3A%2F%2Fid.who.int%2Ficd%2Fentity%2F1610440851","browser")</x:f>
      </x:c>
      <x:c r="L7595" s="0">
        <x:f>hyperlink("https://icat2.azurewebsites.net/icat/?ontology=ICD&amp;tab=ClassesTab&amp;id=http%3A%2F%2Fwho.int%2Ficd%2346014_512ebf36_bf6b_4d70_85da_cf2637062af4","iCat")</x:f>
      </x:c>
      <x:c r="M7595" s="0" t="s">
        <x:v>21</x:v>
      </x:c>
      <x:c r="N7595" s="0" t="s">
        <x:v>46</x:v>
      </x:c>
    </x:row>
    <x:row r="7596" spans="1:16">
      <x:c r="A7596" s="0" t="s">
        <x:v>30245</x:v>
      </x:c>
      <x:c r="B7596" s="0" t="s">
        <x:v>30246</x:v>
      </x:c>
      <x:c r="C7596" s="0" t="s">
        <x:v>30247</x:v>
      </x:c>
      <x:c r="E7596" s="0" t="s">
        <x:v>30248</x:v>
      </x:c>
      <x:c r="F7596" s="0" t="s">
        <x:v>45</x:v>
      </x:c>
      <x:c r="G7596" s="0" t="s">
        <x:v>19</x:v>
      </x:c>
      <x:c r="H7596" s="0" t="s">
        <x:v>20</x:v>
      </x:c>
      <x:c r="I7596" s="0" t="s">
        <x:v>21</x:v>
      </x:c>
      <x:c r="K7596" s="0">
        <x:f>hyperlink("https://icd.who.int/dev11/l-ichi/en#/http%3A%2F%2Fid.who.int%2Ficd%2Fentity%2F1329068325","browser")</x:f>
      </x:c>
      <x:c r="L7596" s="0">
        <x:f>hyperlink("https://icat2.azurewebsites.net/icat/?ontology=ICD&amp;tab=ClassesTab&amp;id=http%3A%2F%2Fwho.int%2Ficd%2346022_512ebf36_bf6b_4d70_85da_cf2637062af4","iCat")</x:f>
      </x:c>
      <x:c r="M7596" s="0" t="s">
        <x:v>21</x:v>
      </x:c>
      <x:c r="N7596" s="0" t="s">
        <x:v>46</x:v>
      </x:c>
    </x:row>
    <x:row r="7597" spans="1:16">
      <x:c r="A7597" s="0" t="s">
        <x:v>30249</x:v>
      </x:c>
      <x:c r="B7597" s="0" t="s">
        <x:v>30250</x:v>
      </x:c>
      <x:c r="C7597" s="0" t="s">
        <x:v>30251</x:v>
      </x:c>
      <x:c r="E7597" s="0" t="s">
        <x:v>30252</x:v>
      </x:c>
      <x:c r="F7597" s="0" t="s">
        <x:v>45</x:v>
      </x:c>
      <x:c r="G7597" s="0" t="s">
        <x:v>19</x:v>
      </x:c>
      <x:c r="H7597" s="0" t="s">
        <x:v>20</x:v>
      </x:c>
      <x:c r="I7597" s="0" t="s">
        <x:v>21</x:v>
      </x:c>
      <x:c r="K7597" s="0">
        <x:f>hyperlink("https://icd.who.int/dev11/l-ichi/en#/http%3A%2F%2Fid.who.int%2Ficd%2Fentity%2F1083077047","browser")</x:f>
      </x:c>
      <x:c r="L7597" s="0">
        <x:f>hyperlink("https://icat2.azurewebsites.net/icat/?ontology=ICD&amp;tab=ClassesTab&amp;id=http%3A%2F%2Fwho.int%2Ficd%2346030_512ebf36_bf6b_4d70_85da_cf2637062af4","iCat")</x:f>
      </x:c>
      <x:c r="M7597" s="0" t="s">
        <x:v>21</x:v>
      </x:c>
      <x:c r="N7597" s="0" t="s">
        <x:v>46</x:v>
      </x:c>
    </x:row>
    <x:row r="7598" spans="1:16">
      <x:c r="A7598" s="0" t="s">
        <x:v>30253</x:v>
      </x:c>
      <x:c r="B7598" s="0" t="s">
        <x:v>30254</x:v>
      </x:c>
      <x:c r="C7598" s="0" t="s">
        <x:v>30255</x:v>
      </x:c>
      <x:c r="E7598" s="0" t="s">
        <x:v>30256</x:v>
      </x:c>
      <x:c r="F7598" s="0" t="s">
        <x:v>45</x:v>
      </x:c>
      <x:c r="G7598" s="0" t="s">
        <x:v>19</x:v>
      </x:c>
      <x:c r="H7598" s="0" t="s">
        <x:v>20</x:v>
      </x:c>
      <x:c r="I7598" s="0" t="s">
        <x:v>21</x:v>
      </x:c>
      <x:c r="K7598" s="0">
        <x:f>hyperlink("https://icd.who.int/dev11/l-ichi/en#/http%3A%2F%2Fid.who.int%2Ficd%2Fentity%2F806148668","browser")</x:f>
      </x:c>
      <x:c r="L7598" s="0">
        <x:f>hyperlink("https://icat2.azurewebsites.net/icat/?ontology=ICD&amp;tab=ClassesTab&amp;id=http%3A%2F%2Fwho.int%2Ficd%2346037_512ebf36_bf6b_4d70_85da_cf2637062af4","iCat")</x:f>
      </x:c>
      <x:c r="M7598" s="0" t="s">
        <x:v>21</x:v>
      </x:c>
      <x:c r="N7598" s="0" t="s">
        <x:v>46</x:v>
      </x:c>
    </x:row>
    <x:row r="7599" spans="1:16">
      <x:c r="A7599" s="0" t="s">
        <x:v>30257</x:v>
      </x:c>
      <x:c r="B7599" s="0" t="s">
        <x:v>30258</x:v>
      </x:c>
      <x:c r="C7599" s="0" t="s">
        <x:v>30259</x:v>
      </x:c>
      <x:c r="E7599" s="0" t="s">
        <x:v>30260</x:v>
      </x:c>
      <x:c r="F7599" s="0" t="s">
        <x:v>45</x:v>
      </x:c>
      <x:c r="G7599" s="0" t="s">
        <x:v>19</x:v>
      </x:c>
      <x:c r="H7599" s="0" t="s">
        <x:v>20</x:v>
      </x:c>
      <x:c r="I7599" s="0" t="s">
        <x:v>21</x:v>
      </x:c>
      <x:c r="K7599" s="0">
        <x:f>hyperlink("https://icd.who.int/dev11/l-ichi/en#/http%3A%2F%2Fid.who.int%2Ficd%2Fentity%2F1163896537","browser")</x:f>
      </x:c>
      <x:c r="L7599" s="0">
        <x:f>hyperlink("https://icat2.azurewebsites.net/icat/?ontology=ICD&amp;tab=ClassesTab&amp;id=http%3A%2F%2Fwho.int%2Ficd%2346044_512ebf36_bf6b_4d70_85da_cf2637062af4","iCat")</x:f>
      </x:c>
      <x:c r="M7599" s="0" t="s">
        <x:v>21</x:v>
      </x:c>
      <x:c r="N7599" s="0" t="s">
        <x:v>46</x:v>
      </x:c>
    </x:row>
    <x:row r="7600" spans="1:16">
      <x:c r="A7600" s="0" t="s">
        <x:v>30261</x:v>
      </x:c>
      <x:c r="B7600" s="0" t="s">
        <x:v>30262</x:v>
      </x:c>
      <x:c r="C7600" s="0" t="s">
        <x:v>30263</x:v>
      </x:c>
      <x:c r="E7600" s="0" t="s">
        <x:v>30264</x:v>
      </x:c>
      <x:c r="F7600" s="0" t="s">
        <x:v>45</x:v>
      </x:c>
      <x:c r="G7600" s="0" t="s">
        <x:v>19</x:v>
      </x:c>
      <x:c r="H7600" s="0" t="s">
        <x:v>20</x:v>
      </x:c>
      <x:c r="I7600" s="0" t="s">
        <x:v>21</x:v>
      </x:c>
      <x:c r="K7600" s="0">
        <x:f>hyperlink("https://icd.who.int/dev11/l-ichi/en#/http%3A%2F%2Fid.who.int%2Ficd%2Fentity%2F1595447299","browser")</x:f>
      </x:c>
      <x:c r="L7600" s="0">
        <x:f>hyperlink("https://icat2.azurewebsites.net/icat/?ontology=ICD&amp;tab=ClassesTab&amp;id=http%3A%2F%2Fwho.int%2Ficd%2346053_512ebf36_bf6b_4d70_85da_cf2637062af4","iCat")</x:f>
      </x:c>
      <x:c r="M7600" s="0" t="s">
        <x:v>21</x:v>
      </x:c>
      <x:c r="N7600" s="0" t="s">
        <x:v>46</x:v>
      </x:c>
    </x:row>
    <x:row r="7601" spans="1:16">
      <x:c r="A7601" s="0" t="s">
        <x:v>30265</x:v>
      </x:c>
      <x:c r="B7601" s="0" t="s">
        <x:v>30266</x:v>
      </x:c>
      <x:c r="C7601" s="0" t="s">
        <x:v>30267</x:v>
      </x:c>
      <x:c r="E7601" s="0" t="s">
        <x:v>30268</x:v>
      </x:c>
      <x:c r="F7601" s="0" t="s">
        <x:v>45</x:v>
      </x:c>
      <x:c r="G7601" s="0" t="s">
        <x:v>19</x:v>
      </x:c>
      <x:c r="H7601" s="0" t="s">
        <x:v>20</x:v>
      </x:c>
      <x:c r="I7601" s="0" t="s">
        <x:v>21</x:v>
      </x:c>
      <x:c r="K7601" s="0">
        <x:f>hyperlink("https://icd.who.int/dev11/l-ichi/en#/http%3A%2F%2Fid.who.int%2Ficd%2Fentity%2F2060830145","browser")</x:f>
      </x:c>
      <x:c r="L7601" s="0">
        <x:f>hyperlink("https://icat2.azurewebsites.net/icat/?ontology=ICD&amp;tab=ClassesTab&amp;id=http%3A%2F%2Fwho.int%2Ficd%2346061_512ebf36_bf6b_4d70_85da_cf2637062af4","iCat")</x:f>
      </x:c>
      <x:c r="M7601" s="0" t="s">
        <x:v>21</x:v>
      </x:c>
      <x:c r="N7601" s="0" t="s">
        <x:v>46</x:v>
      </x:c>
    </x:row>
    <x:row r="7602" spans="1:16">
      <x:c r="A7602" s="0" t="s">
        <x:v>30269</x:v>
      </x:c>
      <x:c r="B7602" s="0" t="s">
        <x:v>30270</x:v>
      </x:c>
      <x:c r="C7602" s="0" t="s">
        <x:v>30271</x:v>
      </x:c>
      <x:c r="E7602" s="0" t="s">
        <x:v>30272</x:v>
      </x:c>
      <x:c r="F7602" s="0" t="s">
        <x:v>45</x:v>
      </x:c>
      <x:c r="G7602" s="0" t="s">
        <x:v>19</x:v>
      </x:c>
      <x:c r="H7602" s="0" t="s">
        <x:v>20</x:v>
      </x:c>
      <x:c r="I7602" s="0" t="s">
        <x:v>21</x:v>
      </x:c>
      <x:c r="K7602" s="0">
        <x:f>hyperlink("https://icd.who.int/dev11/l-ichi/en#/http%3A%2F%2Fid.who.int%2Ficd%2Fentity%2F877966484","browser")</x:f>
      </x:c>
      <x:c r="L7602" s="0">
        <x:f>hyperlink("https://icat2.azurewebsites.net/icat/?ontology=ICD&amp;tab=ClassesTab&amp;id=http%3A%2F%2Fwho.int%2Ficd%2346069_512ebf36_bf6b_4d70_85da_cf2637062af4","iCat")</x:f>
      </x:c>
      <x:c r="M7602" s="0" t="s">
        <x:v>21</x:v>
      </x:c>
      <x:c r="N7602" s="0" t="s">
        <x:v>46</x:v>
      </x:c>
    </x:row>
    <x:row r="7603" spans="1:16">
      <x:c r="A7603" s="0" t="s">
        <x:v>30273</x:v>
      </x:c>
      <x:c r="B7603" s="0" t="s">
        <x:v>30274</x:v>
      </x:c>
      <x:c r="C7603" s="0" t="s">
        <x:v>30275</x:v>
      </x:c>
      <x:c r="E7603" s="0" t="s">
        <x:v>30276</x:v>
      </x:c>
      <x:c r="F7603" s="0" t="s">
        <x:v>45</x:v>
      </x:c>
      <x:c r="G7603" s="0" t="s">
        <x:v>19</x:v>
      </x:c>
      <x:c r="H7603" s="0" t="s">
        <x:v>20</x:v>
      </x:c>
      <x:c r="I7603" s="0" t="s">
        <x:v>21</x:v>
      </x:c>
      <x:c r="K7603" s="0">
        <x:f>hyperlink("https://icd.who.int/dev11/l-ichi/en#/http%3A%2F%2Fid.who.int%2Ficd%2Fentity%2F1620245275","browser")</x:f>
      </x:c>
      <x:c r="L7603" s="0">
        <x:f>hyperlink("https://icat2.azurewebsites.net/icat/?ontology=ICD&amp;tab=ClassesTab&amp;id=http%3A%2F%2Fwho.int%2Ficd%2346076_512ebf36_bf6b_4d70_85da_cf2637062af4","iCat")</x:f>
      </x:c>
      <x:c r="M7603" s="0" t="s">
        <x:v>21</x:v>
      </x:c>
      <x:c r="N7603" s="0" t="s">
        <x:v>46</x:v>
      </x:c>
    </x:row>
    <x:row r="7604" spans="1:16">
      <x:c r="A7604" s="0" t="s">
        <x:v>30277</x:v>
      </x:c>
      <x:c r="B7604" s="0" t="s">
        <x:v>30278</x:v>
      </x:c>
      <x:c r="C7604" s="0" t="s">
        <x:v>30279</x:v>
      </x:c>
      <x:c r="E7604" s="0" t="s">
        <x:v>30280</x:v>
      </x:c>
      <x:c r="F7604" s="0" t="s">
        <x:v>45</x:v>
      </x:c>
      <x:c r="G7604" s="0" t="s">
        <x:v>19</x:v>
      </x:c>
      <x:c r="H7604" s="0" t="s">
        <x:v>20</x:v>
      </x:c>
      <x:c r="I7604" s="0" t="s">
        <x:v>21</x:v>
      </x:c>
      <x:c r="K7604" s="0">
        <x:f>hyperlink("https://icd.who.int/dev11/l-ichi/en#/http%3A%2F%2Fid.who.int%2Ficd%2Fentity%2F705276928","browser")</x:f>
      </x:c>
      <x:c r="L7604" s="0">
        <x:f>hyperlink("https://icat2.azurewebsites.net/icat/?ontology=ICD&amp;tab=ClassesTab&amp;id=http%3A%2F%2Fwho.int%2Ficd%2346084_512ebf36_bf6b_4d70_85da_cf2637062af4","iCat")</x:f>
      </x:c>
      <x:c r="M7604" s="0" t="s">
        <x:v>21</x:v>
      </x:c>
      <x:c r="N7604" s="0" t="s">
        <x:v>46</x:v>
      </x:c>
    </x:row>
    <x:row r="7605" spans="1:16">
      <x:c r="A7605" s="0" t="s">
        <x:v>30281</x:v>
      </x:c>
      <x:c r="B7605" s="0" t="s">
        <x:v>30282</x:v>
      </x:c>
      <x:c r="C7605" s="0" t="s">
        <x:v>30283</x:v>
      </x:c>
      <x:c r="E7605" s="0" t="s">
        <x:v>30284</x:v>
      </x:c>
      <x:c r="F7605" s="0" t="s">
        <x:v>45</x:v>
      </x:c>
      <x:c r="G7605" s="0" t="s">
        <x:v>19</x:v>
      </x:c>
      <x:c r="H7605" s="0" t="s">
        <x:v>20</x:v>
      </x:c>
      <x:c r="I7605" s="0" t="s">
        <x:v>21</x:v>
      </x:c>
      <x:c r="K7605" s="0">
        <x:f>hyperlink("https://icd.who.int/dev11/l-ichi/en#/http%3A%2F%2Fid.who.int%2Ficd%2Fentity%2F810455770","browser")</x:f>
      </x:c>
      <x:c r="L7605" s="0">
        <x:f>hyperlink("https://icat2.azurewebsites.net/icat/?ontology=ICD&amp;tab=ClassesTab&amp;id=http%3A%2F%2Fwho.int%2Ficd%2346093_512ebf36_bf6b_4d70_85da_cf2637062af4","iCat")</x:f>
      </x:c>
      <x:c r="M7605" s="0" t="s">
        <x:v>21</x:v>
      </x:c>
      <x:c r="N7605" s="0" t="s">
        <x:v>46</x:v>
      </x:c>
    </x:row>
    <x:row r="7606" spans="1:16">
      <x:c r="A7606" s="0" t="s">
        <x:v>30285</x:v>
      </x:c>
      <x:c r="B7606" s="0" t="s">
        <x:v>30286</x:v>
      </x:c>
      <x:c r="C7606" s="0" t="s">
        <x:v>30287</x:v>
      </x:c>
      <x:c r="E7606" s="0" t="s">
        <x:v>30288</x:v>
      </x:c>
      <x:c r="F7606" s="0" t="s">
        <x:v>45</x:v>
      </x:c>
      <x:c r="G7606" s="0" t="s">
        <x:v>19</x:v>
      </x:c>
      <x:c r="H7606" s="0" t="s">
        <x:v>20</x:v>
      </x:c>
      <x:c r="I7606" s="0" t="s">
        <x:v>21</x:v>
      </x:c>
      <x:c r="K7606" s="0">
        <x:f>hyperlink("https://icd.who.int/dev11/l-ichi/en#/http%3A%2F%2Fid.who.int%2Ficd%2Fentity%2F86138016","browser")</x:f>
      </x:c>
      <x:c r="L7606" s="0">
        <x:f>hyperlink("https://icat2.azurewebsites.net/icat/?ontology=ICD&amp;tab=ClassesTab&amp;id=http%3A%2F%2Fwho.int%2Ficd%2346107_512ebf36_bf6b_4d70_85da_cf2637062af4","iCat")</x:f>
      </x:c>
      <x:c r="M7606" s="0" t="s">
        <x:v>21</x:v>
      </x:c>
      <x:c r="N7606" s="0" t="s">
        <x:v>46</x:v>
      </x:c>
    </x:row>
    <x:row r="7607" spans="1:16">
      <x:c r="A7607" s="0" t="s">
        <x:v>30289</x:v>
      </x:c>
      <x:c r="B7607" s="0" t="s">
        <x:v>30290</x:v>
      </x:c>
      <x:c r="C7607" s="0" t="s">
        <x:v>30291</x:v>
      </x:c>
      <x:c r="E7607" s="0" t="s">
        <x:v>30292</x:v>
      </x:c>
      <x:c r="F7607" s="0" t="s">
        <x:v>45</x:v>
      </x:c>
      <x:c r="G7607" s="0" t="s">
        <x:v>19</x:v>
      </x:c>
      <x:c r="H7607" s="0" t="s">
        <x:v>20</x:v>
      </x:c>
      <x:c r="I7607" s="0" t="s">
        <x:v>21</x:v>
      </x:c>
      <x:c r="K7607" s="0">
        <x:f>hyperlink("https://icd.who.int/dev11/l-ichi/en#/http%3A%2F%2Fid.who.int%2Ficd%2Fentity%2F1327414219","browser")</x:f>
      </x:c>
      <x:c r="L7607" s="0">
        <x:f>hyperlink("https://icat2.azurewebsites.net/icat/?ontology=ICD&amp;tab=ClassesTab&amp;id=http%3A%2F%2Fwho.int%2Ficd%2346116_512ebf36_bf6b_4d70_85da_cf2637062af4","iCat")</x:f>
      </x:c>
      <x:c r="M7607" s="0" t="s">
        <x:v>21</x:v>
      </x:c>
      <x:c r="N7607" s="0" t="s">
        <x:v>46</x:v>
      </x:c>
    </x:row>
    <x:row r="7608" spans="1:16">
      <x:c r="A7608" s="0" t="s">
        <x:v>30293</x:v>
      </x:c>
      <x:c r="B7608" s="0" t="s">
        <x:v>30294</x:v>
      </x:c>
      <x:c r="C7608" s="0" t="s">
        <x:v>30295</x:v>
      </x:c>
      <x:c r="E7608" s="0" t="s">
        <x:v>30296</x:v>
      </x:c>
      <x:c r="F7608" s="0" t="s">
        <x:v>45</x:v>
      </x:c>
      <x:c r="G7608" s="0" t="s">
        <x:v>19</x:v>
      </x:c>
      <x:c r="H7608" s="0" t="s">
        <x:v>20</x:v>
      </x:c>
      <x:c r="I7608" s="0" t="s">
        <x:v>21</x:v>
      </x:c>
      <x:c r="K7608" s="0">
        <x:f>hyperlink("https://icd.who.int/dev11/l-ichi/en#/http%3A%2F%2Fid.who.int%2Ficd%2Fentity%2F1244304437","browser")</x:f>
      </x:c>
      <x:c r="L7608" s="0">
        <x:f>hyperlink("https://icat2.azurewebsites.net/icat/?ontology=ICD&amp;tab=ClassesTab&amp;id=http%3A%2F%2Fwho.int%2Ficd%2346125_512ebf36_bf6b_4d70_85da_cf2637062af4","iCat")</x:f>
      </x:c>
      <x:c r="M7608" s="0" t="s">
        <x:v>21</x:v>
      </x:c>
      <x:c r="N7608" s="0" t="s">
        <x:v>46</x:v>
      </x:c>
    </x:row>
    <x:row r="7609" spans="1:16">
      <x:c r="A7609" s="0" t="s">
        <x:v>30297</x:v>
      </x:c>
      <x:c r="B7609" s="0" t="s">
        <x:v>30298</x:v>
      </x:c>
      <x:c r="C7609" s="0" t="s">
        <x:v>30299</x:v>
      </x:c>
      <x:c r="E7609" s="0" t="s">
        <x:v>30300</x:v>
      </x:c>
      <x:c r="F7609" s="0" t="s">
        <x:v>45</x:v>
      </x:c>
      <x:c r="G7609" s="0" t="s">
        <x:v>19</x:v>
      </x:c>
      <x:c r="H7609" s="0" t="s">
        <x:v>20</x:v>
      </x:c>
      <x:c r="I7609" s="0" t="s">
        <x:v>21</x:v>
      </x:c>
      <x:c r="K7609" s="0">
        <x:f>hyperlink("https://icd.who.int/dev11/l-ichi/en#/http%3A%2F%2Fid.who.int%2Ficd%2Fentity%2F1471326","browser")</x:f>
      </x:c>
      <x:c r="L7609" s="0">
        <x:f>hyperlink("https://icat2.azurewebsites.net/icat/?ontology=ICD&amp;tab=ClassesTab&amp;id=http%3A%2F%2Fwho.int%2Ficd%2346134_512ebf36_bf6b_4d70_85da_cf2637062af4","iCat")</x:f>
      </x:c>
      <x:c r="M7609" s="0" t="s">
        <x:v>21</x:v>
      </x:c>
      <x:c r="N7609" s="0" t="s">
        <x:v>46</x:v>
      </x:c>
    </x:row>
    <x:row r="7610" spans="1:16">
      <x:c r="A7610" s="0" t="s">
        <x:v>30301</x:v>
      </x:c>
      <x:c r="B7610" s="0" t="s">
        <x:v>30302</x:v>
      </x:c>
      <x:c r="C7610" s="0" t="s">
        <x:v>30303</x:v>
      </x:c>
      <x:c r="E7610" s="0" t="s">
        <x:v>30304</x:v>
      </x:c>
      <x:c r="F7610" s="0" t="s">
        <x:v>45</x:v>
      </x:c>
      <x:c r="G7610" s="0" t="s">
        <x:v>19</x:v>
      </x:c>
      <x:c r="H7610" s="0" t="s">
        <x:v>20</x:v>
      </x:c>
      <x:c r="I7610" s="0" t="s">
        <x:v>21</x:v>
      </x:c>
      <x:c r="K7610" s="0">
        <x:f>hyperlink("https://icd.who.int/dev11/l-ichi/en#/http%3A%2F%2Fid.who.int%2Ficd%2Fentity%2F1078119369","browser")</x:f>
      </x:c>
      <x:c r="L7610" s="0">
        <x:f>hyperlink("https://icat2.azurewebsites.net/icat/?ontology=ICD&amp;tab=ClassesTab&amp;id=http%3A%2F%2Fwho.int%2Ficd%2346143_512ebf36_bf6b_4d70_85da_cf2637062af4","iCat")</x:f>
      </x:c>
      <x:c r="M7610" s="0" t="s">
        <x:v>21</x:v>
      </x:c>
      <x:c r="N7610" s="0" t="s">
        <x:v>46</x:v>
      </x:c>
    </x:row>
    <x:row r="7611" spans="1:16">
      <x:c r="A7611" s="0" t="s">
        <x:v>30305</x:v>
      </x:c>
      <x:c r="B7611" s="0" t="s">
        <x:v>30306</x:v>
      </x:c>
      <x:c r="C7611" s="0" t="s">
        <x:v>30307</x:v>
      </x:c>
      <x:c r="E7611" s="0" t="s">
        <x:v>30308</x:v>
      </x:c>
      <x:c r="F7611" s="0" t="s">
        <x:v>45</x:v>
      </x:c>
      <x:c r="G7611" s="0" t="s">
        <x:v>19</x:v>
      </x:c>
      <x:c r="H7611" s="0" t="s">
        <x:v>20</x:v>
      </x:c>
      <x:c r="I7611" s="0" t="s">
        <x:v>21</x:v>
      </x:c>
      <x:c r="K7611" s="0">
        <x:f>hyperlink("https://icd.who.int/dev11/l-ichi/en#/http%3A%2F%2Fid.who.int%2Ficd%2Fentity%2F176041122","browser")</x:f>
      </x:c>
      <x:c r="L7611" s="0">
        <x:f>hyperlink("https://icat2.azurewebsites.net/icat/?ontology=ICD&amp;tab=ClassesTab&amp;id=http%3A%2F%2Fwho.int%2Ficd%2346152_512ebf36_bf6b_4d70_85da_cf2637062af4","iCat")</x:f>
      </x:c>
      <x:c r="M7611" s="0" t="s">
        <x:v>21</x:v>
      </x:c>
      <x:c r="N7611" s="0" t="s">
        <x:v>46</x:v>
      </x:c>
    </x:row>
    <x:row r="7612" spans="1:16">
      <x:c r="A7612" s="0" t="s">
        <x:v>30309</x:v>
      </x:c>
      <x:c r="B7612" s="0" t="s">
        <x:v>30310</x:v>
      </x:c>
      <x:c r="C7612" s="0" t="s">
        <x:v>30311</x:v>
      </x:c>
      <x:c r="E7612" s="0" t="s">
        <x:v>30312</x:v>
      </x:c>
      <x:c r="F7612" s="0" t="s">
        <x:v>45</x:v>
      </x:c>
      <x:c r="G7612" s="0" t="s">
        <x:v>19</x:v>
      </x:c>
      <x:c r="H7612" s="0" t="s">
        <x:v>20</x:v>
      </x:c>
      <x:c r="I7612" s="0" t="s">
        <x:v>21</x:v>
      </x:c>
      <x:c r="K7612" s="0">
        <x:f>hyperlink("https://icd.who.int/dev11/l-ichi/en#/http%3A%2F%2Fid.who.int%2Ficd%2Fentity%2F256508764","browser")</x:f>
      </x:c>
      <x:c r="L7612" s="0">
        <x:f>hyperlink("https://icat2.azurewebsites.net/icat/?ontology=ICD&amp;tab=ClassesTab&amp;id=http%3A%2F%2Fwho.int%2Ficd%2346161_512ebf36_bf6b_4d70_85da_cf2637062af4","iCat")</x:f>
      </x:c>
      <x:c r="M7612" s="0" t="s">
        <x:v>21</x:v>
      </x:c>
      <x:c r="N7612" s="0" t="s">
        <x:v>46</x:v>
      </x:c>
    </x:row>
    <x:row r="7613" spans="1:16">
      <x:c r="A7613" s="0" t="s">
        <x:v>30313</x:v>
      </x:c>
      <x:c r="B7613" s="0" t="s">
        <x:v>30314</x:v>
      </x:c>
      <x:c r="C7613" s="0" t="s">
        <x:v>30315</x:v>
      </x:c>
      <x:c r="E7613" s="0" t="s">
        <x:v>30316</x:v>
      </x:c>
      <x:c r="F7613" s="0" t="s">
        <x:v>45</x:v>
      </x:c>
      <x:c r="G7613" s="0" t="s">
        <x:v>19</x:v>
      </x:c>
      <x:c r="H7613" s="0" t="s">
        <x:v>20</x:v>
      </x:c>
      <x:c r="I7613" s="0" t="s">
        <x:v>21</x:v>
      </x:c>
      <x:c r="K7613" s="0">
        <x:f>hyperlink("https://icd.who.int/dev11/l-ichi/en#/http%3A%2F%2Fid.who.int%2Ficd%2Fentity%2F1351111295","browser")</x:f>
      </x:c>
      <x:c r="L7613" s="0">
        <x:f>hyperlink("https://icat2.azurewebsites.net/icat/?ontology=ICD&amp;tab=ClassesTab&amp;id=http%3A%2F%2Fwho.int%2Ficd%2346175_512ebf36_bf6b_4d70_85da_cf2637062af4","iCat")</x:f>
      </x:c>
      <x:c r="M7613" s="0" t="s">
        <x:v>21</x:v>
      </x:c>
      <x:c r="N7613" s="0" t="s">
        <x:v>46</x:v>
      </x:c>
    </x:row>
    <x:row r="7614" spans="1:16">
      <x:c r="A7614" s="0" t="s">
        <x:v>30317</x:v>
      </x:c>
      <x:c r="B7614" s="0" t="s">
        <x:v>30318</x:v>
      </x:c>
      <x:c r="C7614" s="0" t="s">
        <x:v>30319</x:v>
      </x:c>
      <x:c r="E7614" s="0" t="s">
        <x:v>30320</x:v>
      </x:c>
      <x:c r="F7614" s="0" t="s">
        <x:v>45</x:v>
      </x:c>
      <x:c r="G7614" s="0" t="s">
        <x:v>19</x:v>
      </x:c>
      <x:c r="H7614" s="0" t="s">
        <x:v>20</x:v>
      </x:c>
      <x:c r="I7614" s="0" t="s">
        <x:v>21</x:v>
      </x:c>
      <x:c r="K7614" s="0">
        <x:f>hyperlink("https://icd.who.int/dev11/l-ichi/en#/http%3A%2F%2Fid.who.int%2Ficd%2Fentity%2F1603693213","browser")</x:f>
      </x:c>
      <x:c r="L7614" s="0">
        <x:f>hyperlink("https://icat2.azurewebsites.net/icat/?ontology=ICD&amp;tab=ClassesTab&amp;id=http%3A%2F%2Fwho.int%2Ficd%2346184_512ebf36_bf6b_4d70_85da_cf2637062af4","iCat")</x:f>
      </x:c>
      <x:c r="M7614" s="0" t="s">
        <x:v>21</x:v>
      </x:c>
      <x:c r="N7614" s="0" t="s">
        <x:v>46</x:v>
      </x:c>
    </x:row>
    <x:row r="7615" spans="1:16">
      <x:c r="A7615" s="0" t="s">
        <x:v>30321</x:v>
      </x:c>
      <x:c r="B7615" s="0" t="s">
        <x:v>30322</x:v>
      </x:c>
      <x:c r="C7615" s="0" t="s">
        <x:v>30323</x:v>
      </x:c>
      <x:c r="E7615" s="0" t="s">
        <x:v>30324</x:v>
      </x:c>
      <x:c r="F7615" s="0" t="s">
        <x:v>45</x:v>
      </x:c>
      <x:c r="G7615" s="0" t="s">
        <x:v>19</x:v>
      </x:c>
      <x:c r="H7615" s="0" t="s">
        <x:v>20</x:v>
      </x:c>
      <x:c r="I7615" s="0" t="s">
        <x:v>21</x:v>
      </x:c>
      <x:c r="K7615" s="0">
        <x:f>hyperlink("https://icd.who.int/dev11/l-ichi/en#/http%3A%2F%2Fid.who.int%2Ficd%2Fentity%2F1848391895","browser")</x:f>
      </x:c>
      <x:c r="L7615" s="0">
        <x:f>hyperlink("https://icat2.azurewebsites.net/icat/?ontology=ICD&amp;tab=ClassesTab&amp;id=http%3A%2F%2Fwho.int%2Ficd%2346199_512ebf36_bf6b_4d70_85da_cf2637062af4","iCat")</x:f>
      </x:c>
      <x:c r="M7615" s="0" t="s">
        <x:v>21</x:v>
      </x:c>
      <x:c r="N7615" s="0" t="s">
        <x:v>46</x:v>
      </x:c>
    </x:row>
    <x:row r="7616" spans="1:16">
      <x:c r="A7616" s="0" t="s">
        <x:v>30325</x:v>
      </x:c>
      <x:c r="B7616" s="0" t="s">
        <x:v>30326</x:v>
      </x:c>
      <x:c r="C7616" s="0" t="s">
        <x:v>30327</x:v>
      </x:c>
      <x:c r="E7616" s="0" t="s">
        <x:v>30328</x:v>
      </x:c>
      <x:c r="F7616" s="0" t="s">
        <x:v>45</x:v>
      </x:c>
      <x:c r="G7616" s="0" t="s">
        <x:v>19</x:v>
      </x:c>
      <x:c r="H7616" s="0" t="s">
        <x:v>20</x:v>
      </x:c>
      <x:c r="I7616" s="0" t="s">
        <x:v>21</x:v>
      </x:c>
      <x:c r="K7616" s="0">
        <x:f>hyperlink("https://icd.who.int/dev11/l-ichi/en#/http%3A%2F%2Fid.who.int%2Ficd%2Fentity%2F1518219809","browser")</x:f>
      </x:c>
      <x:c r="L7616" s="0">
        <x:f>hyperlink("https://icat2.azurewebsites.net/icat/?ontology=ICD&amp;tab=ClassesTab&amp;id=http%3A%2F%2Fwho.int%2Ficd%2346208_512ebf36_bf6b_4d70_85da_cf2637062af4","iCat")</x:f>
      </x:c>
      <x:c r="M7616" s="0" t="s">
        <x:v>21</x:v>
      </x:c>
      <x:c r="N7616" s="0" t="s">
        <x:v>46</x:v>
      </x:c>
    </x:row>
    <x:row r="7617" spans="1:16">
      <x:c r="A7617" s="0" t="s">
        <x:v>30329</x:v>
      </x:c>
      <x:c r="B7617" s="0" t="s">
        <x:v>30330</x:v>
      </x:c>
      <x:c r="C7617" s="0" t="s">
        <x:v>30331</x:v>
      </x:c>
      <x:c r="E7617" s="0" t="s">
        <x:v>30332</x:v>
      </x:c>
      <x:c r="F7617" s="0" t="s">
        <x:v>45</x:v>
      </x:c>
      <x:c r="G7617" s="0" t="s">
        <x:v>19</x:v>
      </x:c>
      <x:c r="H7617" s="0" t="s">
        <x:v>20</x:v>
      </x:c>
      <x:c r="I7617" s="0" t="s">
        <x:v>21</x:v>
      </x:c>
      <x:c r="K7617" s="0">
        <x:f>hyperlink("https://icd.who.int/dev11/l-ichi/en#/http%3A%2F%2Fid.who.int%2Ficd%2Fentity%2F246971824","browser")</x:f>
      </x:c>
      <x:c r="L7617" s="0">
        <x:f>hyperlink("https://icat2.azurewebsites.net/icat/?ontology=ICD&amp;tab=ClassesTab&amp;id=http%3A%2F%2Fwho.int%2Ficd%2346217_512ebf36_bf6b_4d70_85da_cf2637062af4","iCat")</x:f>
      </x:c>
      <x:c r="M7617" s="0" t="s">
        <x:v>21</x:v>
      </x:c>
      <x:c r="N7617" s="0" t="s">
        <x:v>46</x:v>
      </x:c>
    </x:row>
    <x:row r="7618" spans="1:16">
      <x:c r="A7618" s="0" t="s">
        <x:v>30333</x:v>
      </x:c>
      <x:c r="B7618" s="0" t="s">
        <x:v>30334</x:v>
      </x:c>
      <x:c r="C7618" s="0" t="s">
        <x:v>30335</x:v>
      </x:c>
      <x:c r="E7618" s="0" t="s">
        <x:v>30336</x:v>
      </x:c>
      <x:c r="F7618" s="0" t="s">
        <x:v>45</x:v>
      </x:c>
      <x:c r="G7618" s="0" t="s">
        <x:v>19</x:v>
      </x:c>
      <x:c r="H7618" s="0" t="s">
        <x:v>20</x:v>
      </x:c>
      <x:c r="I7618" s="0" t="s">
        <x:v>21</x:v>
      </x:c>
      <x:c r="K7618" s="0">
        <x:f>hyperlink("https://icd.who.int/dev11/l-ichi/en#/http%3A%2F%2Fid.who.int%2Ficd%2Fentity%2F729096300","browser")</x:f>
      </x:c>
      <x:c r="L7618" s="0">
        <x:f>hyperlink("https://icat2.azurewebsites.net/icat/?ontology=ICD&amp;tab=ClassesTab&amp;id=http%3A%2F%2Fwho.int%2Ficd%2346225_512ebf36_bf6b_4d70_85da_cf2637062af4","iCat")</x:f>
      </x:c>
      <x:c r="M7618" s="0" t="s">
        <x:v>21</x:v>
      </x:c>
      <x:c r="N7618" s="0" t="s">
        <x:v>46</x:v>
      </x:c>
    </x:row>
    <x:row r="7619" spans="1:16">
      <x:c r="A7619" s="0" t="s">
        <x:v>30337</x:v>
      </x:c>
      <x:c r="B7619" s="0" t="s">
        <x:v>30338</x:v>
      </x:c>
      <x:c r="C7619" s="0" t="s">
        <x:v>30339</x:v>
      </x:c>
      <x:c r="E7619" s="0" t="s">
        <x:v>30340</x:v>
      </x:c>
      <x:c r="F7619" s="0" t="s">
        <x:v>45</x:v>
      </x:c>
      <x:c r="G7619" s="0" t="s">
        <x:v>19</x:v>
      </x:c>
      <x:c r="H7619" s="0" t="s">
        <x:v>20</x:v>
      </x:c>
      <x:c r="I7619" s="0" t="s">
        <x:v>21</x:v>
      </x:c>
      <x:c r="K7619" s="0">
        <x:f>hyperlink("https://icd.who.int/dev11/l-ichi/en#/http%3A%2F%2Fid.who.int%2Ficd%2Fentity%2F298544268","browser")</x:f>
      </x:c>
      <x:c r="L7619" s="0">
        <x:f>hyperlink("https://icat2.azurewebsites.net/icat/?ontology=ICD&amp;tab=ClassesTab&amp;id=http%3A%2F%2Fwho.int%2Ficd%2346233_512ebf36_bf6b_4d70_85da_cf2637062af4","iCat")</x:f>
      </x:c>
      <x:c r="M7619" s="0" t="s">
        <x:v>21</x:v>
      </x:c>
      <x:c r="N7619" s="0" t="s">
        <x:v>46</x:v>
      </x:c>
    </x:row>
    <x:row r="7620" spans="1:16">
      <x:c r="A7620" s="0" t="s">
        <x:v>30341</x:v>
      </x:c>
      <x:c r="B7620" s="0" t="s">
        <x:v>30342</x:v>
      </x:c>
      <x:c r="C7620" s="0" t="s">
        <x:v>30343</x:v>
      </x:c>
      <x:c r="E7620" s="0" t="s">
        <x:v>30344</x:v>
      </x:c>
      <x:c r="F7620" s="0" t="s">
        <x:v>45</x:v>
      </x:c>
      <x:c r="G7620" s="0" t="s">
        <x:v>19</x:v>
      </x:c>
      <x:c r="H7620" s="0" t="s">
        <x:v>20</x:v>
      </x:c>
      <x:c r="I7620" s="0" t="s">
        <x:v>21</x:v>
      </x:c>
      <x:c r="K7620" s="0">
        <x:f>hyperlink("https://icd.who.int/dev11/l-ichi/en#/http%3A%2F%2Fid.who.int%2Ficd%2Fentity%2F1147232853","browser")</x:f>
      </x:c>
      <x:c r="L7620" s="0">
        <x:f>hyperlink("https://icat2.azurewebsites.net/icat/?ontology=ICD&amp;tab=ClassesTab&amp;id=http%3A%2F%2Fwho.int%2Ficd%2346241_512ebf36_bf6b_4d70_85da_cf2637062af4","iCat")</x:f>
      </x:c>
      <x:c r="M7620" s="0" t="s">
        <x:v>21</x:v>
      </x:c>
      <x:c r="N7620" s="0" t="s">
        <x:v>46</x:v>
      </x:c>
    </x:row>
    <x:row r="7621" spans="1:16">
      <x:c r="A7621" s="0" t="s">
        <x:v>30345</x:v>
      </x:c>
      <x:c r="B7621" s="0" t="s">
        <x:v>30346</x:v>
      </x:c>
      <x:c r="C7621" s="0" t="s">
        <x:v>30347</x:v>
      </x:c>
      <x:c r="E7621" s="0" t="s">
        <x:v>30348</x:v>
      </x:c>
      <x:c r="F7621" s="0" t="s">
        <x:v>45</x:v>
      </x:c>
      <x:c r="G7621" s="0" t="s">
        <x:v>19</x:v>
      </x:c>
      <x:c r="H7621" s="0" t="s">
        <x:v>20</x:v>
      </x:c>
      <x:c r="I7621" s="0" t="s">
        <x:v>21</x:v>
      </x:c>
      <x:c r="K7621" s="0">
        <x:f>hyperlink("https://icd.who.int/dev11/l-ichi/en#/http%3A%2F%2Fid.who.int%2Ficd%2Fentity%2F182457088","browser")</x:f>
      </x:c>
      <x:c r="L7621" s="0">
        <x:f>hyperlink("https://icat2.azurewebsites.net/icat/?ontology=ICD&amp;tab=ClassesTab&amp;id=http%3A%2F%2Fwho.int%2Ficd%2346249_512ebf36_bf6b_4d70_85da_cf2637062af4","iCat")</x:f>
      </x:c>
      <x:c r="M7621" s="0" t="s">
        <x:v>21</x:v>
      </x:c>
      <x:c r="N7621" s="0" t="s">
        <x:v>46</x:v>
      </x:c>
    </x:row>
    <x:row r="7622" spans="1:16">
      <x:c r="A7622" s="0" t="s">
        <x:v>30349</x:v>
      </x:c>
      <x:c r="B7622" s="0" t="s">
        <x:v>30350</x:v>
      </x:c>
      <x:c r="C7622" s="0" t="s">
        <x:v>30351</x:v>
      </x:c>
      <x:c r="E7622" s="0" t="s">
        <x:v>30352</x:v>
      </x:c>
      <x:c r="F7622" s="0" t="s">
        <x:v>45</x:v>
      </x:c>
      <x:c r="G7622" s="0" t="s">
        <x:v>19</x:v>
      </x:c>
      <x:c r="H7622" s="0" t="s">
        <x:v>20</x:v>
      </x:c>
      <x:c r="I7622" s="0" t="s">
        <x:v>21</x:v>
      </x:c>
      <x:c r="K7622" s="0">
        <x:f>hyperlink("https://icd.who.int/dev11/l-ichi/en#/http%3A%2F%2Fid.who.int%2Ficd%2Fentity%2F2128555699","browser")</x:f>
      </x:c>
      <x:c r="L7622" s="0">
        <x:f>hyperlink("https://icat2.azurewebsites.net/icat/?ontology=ICD&amp;tab=ClassesTab&amp;id=http%3A%2F%2Fwho.int%2Ficd%2346257_512ebf36_bf6b_4d70_85da_cf2637062af4","iCat")</x:f>
      </x:c>
      <x:c r="M7622" s="0" t="s">
        <x:v>21</x:v>
      </x:c>
      <x:c r="N7622" s="0" t="s">
        <x:v>46</x:v>
      </x:c>
    </x:row>
    <x:row r="7623" spans="1:16">
      <x:c r="A7623" s="0" t="s">
        <x:v>30353</x:v>
      </x:c>
      <x:c r="B7623" s="0" t="s">
        <x:v>30354</x:v>
      </x:c>
      <x:c r="C7623" s="0" t="s">
        <x:v>30355</x:v>
      </x:c>
      <x:c r="E7623" s="0" t="s">
        <x:v>30356</x:v>
      </x:c>
      <x:c r="F7623" s="0" t="s">
        <x:v>45</x:v>
      </x:c>
      <x:c r="G7623" s="0" t="s">
        <x:v>19</x:v>
      </x:c>
      <x:c r="H7623" s="0" t="s">
        <x:v>20</x:v>
      </x:c>
      <x:c r="I7623" s="0" t="s">
        <x:v>21</x:v>
      </x:c>
      <x:c r="K7623" s="0">
        <x:f>hyperlink("https://icd.who.int/dev11/l-ichi/en#/http%3A%2F%2Fid.who.int%2Ficd%2Fentity%2F1527935857","browser")</x:f>
      </x:c>
      <x:c r="L7623" s="0">
        <x:f>hyperlink("https://icat2.azurewebsites.net/icat/?ontology=ICD&amp;tab=ClassesTab&amp;id=http%3A%2F%2Fwho.int%2Ficd%2346265_512ebf36_bf6b_4d70_85da_cf2637062af4","iCat")</x:f>
      </x:c>
      <x:c r="M7623" s="0" t="s">
        <x:v>21</x:v>
      </x:c>
      <x:c r="N7623" s="0" t="s">
        <x:v>46</x:v>
      </x:c>
    </x:row>
    <x:row r="7624" spans="1:16">
      <x:c r="A7624" s="0" t="s">
        <x:v>30357</x:v>
      </x:c>
      <x:c r="B7624" s="0" t="s">
        <x:v>30358</x:v>
      </x:c>
      <x:c r="C7624" s="0" t="s">
        <x:v>30359</x:v>
      </x:c>
      <x:c r="E7624" s="0" t="s">
        <x:v>30360</x:v>
      </x:c>
      <x:c r="F7624" s="0" t="s">
        <x:v>45</x:v>
      </x:c>
      <x:c r="G7624" s="0" t="s">
        <x:v>19</x:v>
      </x:c>
      <x:c r="H7624" s="0" t="s">
        <x:v>20</x:v>
      </x:c>
      <x:c r="I7624" s="0" t="s">
        <x:v>21</x:v>
      </x:c>
      <x:c r="K7624" s="0">
        <x:f>hyperlink("https://icd.who.int/dev11/l-ichi/en#/http%3A%2F%2Fid.who.int%2Ficd%2Fentity%2F1638678423","browser")</x:f>
      </x:c>
      <x:c r="L7624" s="0">
        <x:f>hyperlink("https://icat2.azurewebsites.net/icat/?ontology=ICD&amp;tab=ClassesTab&amp;id=http%3A%2F%2Fwho.int%2Ficd%2346273_512ebf36_bf6b_4d70_85da_cf2637062af4","iCat")</x:f>
      </x:c>
      <x:c r="M7624" s="0" t="s">
        <x:v>21</x:v>
      </x:c>
      <x:c r="N7624" s="0" t="s">
        <x:v>46</x:v>
      </x:c>
    </x:row>
    <x:row r="7625" spans="1:16">
      <x:c r="A7625" s="0" t="s">
        <x:v>30361</x:v>
      </x:c>
      <x:c r="B7625" s="0" t="s">
        <x:v>30362</x:v>
      </x:c>
      <x:c r="C7625" s="0" t="s">
        <x:v>30363</x:v>
      </x:c>
      <x:c r="E7625" s="0" t="s">
        <x:v>30364</x:v>
      </x:c>
      <x:c r="F7625" s="0" t="s">
        <x:v>45</x:v>
      </x:c>
      <x:c r="G7625" s="0" t="s">
        <x:v>19</x:v>
      </x:c>
      <x:c r="H7625" s="0" t="s">
        <x:v>20</x:v>
      </x:c>
      <x:c r="I7625" s="0" t="s">
        <x:v>21</x:v>
      </x:c>
      <x:c r="K7625" s="0">
        <x:f>hyperlink("https://icd.who.int/dev11/l-ichi/en#/http%3A%2F%2Fid.who.int%2Ficd%2Fentity%2F198056624","browser")</x:f>
      </x:c>
      <x:c r="L7625" s="0">
        <x:f>hyperlink("https://icat2.azurewebsites.net/icat/?ontology=ICD&amp;tab=ClassesTab&amp;id=http%3A%2F%2Fwho.int%2Ficd%2346280_512ebf36_bf6b_4d70_85da_cf2637062af4","iCat")</x:f>
      </x:c>
      <x:c r="M7625" s="0" t="s">
        <x:v>21</x:v>
      </x:c>
      <x:c r="N7625" s="0" t="s">
        <x:v>46</x:v>
      </x:c>
    </x:row>
    <x:row r="7626" spans="1:16">
      <x:c r="A7626" s="0" t="s">
        <x:v>30365</x:v>
      </x:c>
      <x:c r="B7626" s="0" t="s">
        <x:v>30366</x:v>
      </x:c>
      <x:c r="C7626" s="0" t="s">
        <x:v>30367</x:v>
      </x:c>
      <x:c r="E7626" s="0" t="s">
        <x:v>30368</x:v>
      </x:c>
      <x:c r="F7626" s="0" t="s">
        <x:v>45</x:v>
      </x:c>
      <x:c r="G7626" s="0" t="s">
        <x:v>19</x:v>
      </x:c>
      <x:c r="H7626" s="0" t="s">
        <x:v>20</x:v>
      </x:c>
      <x:c r="I7626" s="0" t="s">
        <x:v>21</x:v>
      </x:c>
      <x:c r="K7626" s="0">
        <x:f>hyperlink("https://icd.who.int/dev11/l-ichi/en#/http%3A%2F%2Fid.who.int%2Ficd%2Fentity%2F1162832869","browser")</x:f>
      </x:c>
      <x:c r="L7626" s="0">
        <x:f>hyperlink("https://icat2.azurewebsites.net/icat/?ontology=ICD&amp;tab=ClassesTab&amp;id=http%3A%2F%2Fwho.int%2Ficd%2346288_512ebf36_bf6b_4d70_85da_cf2637062af4","iCat")</x:f>
      </x:c>
      <x:c r="M7626" s="0" t="s">
        <x:v>21</x:v>
      </x:c>
      <x:c r="N7626" s="0" t="s">
        <x:v>46</x:v>
      </x:c>
    </x:row>
    <x:row r="7627" spans="1:16">
      <x:c r="A7627" s="0" t="s">
        <x:v>30369</x:v>
      </x:c>
      <x:c r="B7627" s="0" t="s">
        <x:v>30370</x:v>
      </x:c>
      <x:c r="C7627" s="0" t="s">
        <x:v>30371</x:v>
      </x:c>
      <x:c r="E7627" s="0" t="s">
        <x:v>30372</x:v>
      </x:c>
      <x:c r="F7627" s="0" t="s">
        <x:v>45</x:v>
      </x:c>
      <x:c r="G7627" s="0" t="s">
        <x:v>19</x:v>
      </x:c>
      <x:c r="H7627" s="0" t="s">
        <x:v>20</x:v>
      </x:c>
      <x:c r="I7627" s="0" t="s">
        <x:v>21</x:v>
      </x:c>
      <x:c r="K7627" s="0">
        <x:f>hyperlink("https://icd.who.int/dev11/l-ichi/en#/http%3A%2F%2Fid.who.int%2Ficd%2Fentity%2F829445720","browser")</x:f>
      </x:c>
      <x:c r="L7627" s="0">
        <x:f>hyperlink("https://icat2.azurewebsites.net/icat/?ontology=ICD&amp;tab=ClassesTab&amp;id=http%3A%2F%2Fwho.int%2Ficd%2346296_512ebf36_bf6b_4d70_85da_cf2637062af4","iCat")</x:f>
      </x:c>
      <x:c r="M7627" s="0" t="s">
        <x:v>21</x:v>
      </x:c>
      <x:c r="N7627" s="0" t="s">
        <x:v>46</x:v>
      </x:c>
    </x:row>
    <x:row r="7628" spans="1:16">
      <x:c r="A7628" s="0" t="s">
        <x:v>30373</x:v>
      </x:c>
      <x:c r="B7628" s="0" t="s">
        <x:v>30374</x:v>
      </x:c>
      <x:c r="C7628" s="0" t="s">
        <x:v>30375</x:v>
      </x:c>
      <x:c r="E7628" s="0" t="s">
        <x:v>30376</x:v>
      </x:c>
      <x:c r="F7628" s="0" t="s">
        <x:v>45</x:v>
      </x:c>
      <x:c r="G7628" s="0" t="s">
        <x:v>19</x:v>
      </x:c>
      <x:c r="H7628" s="0" t="s">
        <x:v>20</x:v>
      </x:c>
      <x:c r="I7628" s="0" t="s">
        <x:v>21</x:v>
      </x:c>
      <x:c r="K7628" s="0">
        <x:f>hyperlink("https://icd.who.int/dev11/l-ichi/en#/http%3A%2F%2Fid.who.int%2Ficd%2Fentity%2F1416053149","browser")</x:f>
      </x:c>
      <x:c r="L7628" s="0">
        <x:f>hyperlink("https://icat2.azurewebsites.net/icat/?ontology=ICD&amp;tab=ClassesTab&amp;id=http%3A%2F%2Fwho.int%2Ficd%2346304_512ebf36_bf6b_4d70_85da_cf2637062af4","iCat")</x:f>
      </x:c>
      <x:c r="M7628" s="0" t="s">
        <x:v>21</x:v>
      </x:c>
      <x:c r="N7628" s="0" t="s">
        <x:v>46</x:v>
      </x:c>
    </x:row>
    <x:row r="7629" spans="1:16">
      <x:c r="A7629" s="0" t="s">
        <x:v>30377</x:v>
      </x:c>
      <x:c r="B7629" s="0" t="s">
        <x:v>30378</x:v>
      </x:c>
      <x:c r="C7629" s="0" t="s">
        <x:v>30379</x:v>
      </x:c>
      <x:c r="E7629" s="0" t="s">
        <x:v>30380</x:v>
      </x:c>
      <x:c r="F7629" s="0" t="s">
        <x:v>45</x:v>
      </x:c>
      <x:c r="G7629" s="0" t="s">
        <x:v>19</x:v>
      </x:c>
      <x:c r="H7629" s="0" t="s">
        <x:v>20</x:v>
      </x:c>
      <x:c r="I7629" s="0" t="s">
        <x:v>21</x:v>
      </x:c>
      <x:c r="K7629" s="0">
        <x:f>hyperlink("https://icd.who.int/dev11/l-ichi/en#/http%3A%2F%2Fid.who.int%2Ficd%2Fentity%2F727474818","browser")</x:f>
      </x:c>
      <x:c r="L7629" s="0">
        <x:f>hyperlink("https://icat2.azurewebsites.net/icat/?ontology=ICD&amp;tab=ClassesTab&amp;id=http%3A%2F%2Fwho.int%2Ficd%2346311_512ebf36_bf6b_4d70_85da_cf2637062af4","iCat")</x:f>
      </x:c>
      <x:c r="M7629" s="0" t="s">
        <x:v>21</x:v>
      </x:c>
      <x:c r="N7629" s="0" t="s">
        <x:v>46</x:v>
      </x:c>
    </x:row>
    <x:row r="7630" spans="1:16">
      <x:c r="A7630" s="0" t="s">
        <x:v>30381</x:v>
      </x:c>
      <x:c r="B7630" s="0" t="s">
        <x:v>30382</x:v>
      </x:c>
      <x:c r="C7630" s="0" t="s">
        <x:v>30383</x:v>
      </x:c>
      <x:c r="E7630" s="0" t="s">
        <x:v>30384</x:v>
      </x:c>
      <x:c r="F7630" s="0" t="s">
        <x:v>45</x:v>
      </x:c>
      <x:c r="G7630" s="0" t="s">
        <x:v>19</x:v>
      </x:c>
      <x:c r="H7630" s="0" t="s">
        <x:v>20</x:v>
      </x:c>
      <x:c r="I7630" s="0" t="s">
        <x:v>21</x:v>
      </x:c>
      <x:c r="K7630" s="0">
        <x:f>hyperlink("https://icd.who.int/dev11/l-ichi/en#/http%3A%2F%2Fid.who.int%2Ficd%2Fentity%2F1708987351","browser")</x:f>
      </x:c>
      <x:c r="L7630" s="0">
        <x:f>hyperlink("https://icat2.azurewebsites.net/icat/?ontology=ICD&amp;tab=ClassesTab&amp;id=http%3A%2F%2Fwho.int%2Ficd%2346319_512ebf36_bf6b_4d70_85da_cf2637062af4","iCat")</x:f>
      </x:c>
      <x:c r="M7630" s="0" t="s">
        <x:v>21</x:v>
      </x:c>
      <x:c r="N7630" s="0" t="s">
        <x:v>46</x:v>
      </x:c>
    </x:row>
    <x:row r="7631" spans="1:16">
      <x:c r="A7631" s="0" t="s">
        <x:v>30385</x:v>
      </x:c>
      <x:c r="B7631" s="0" t="s">
        <x:v>30386</x:v>
      </x:c>
      <x:c r="C7631" s="0" t="s">
        <x:v>30387</x:v>
      </x:c>
      <x:c r="E7631" s="0" t="s">
        <x:v>30388</x:v>
      </x:c>
      <x:c r="F7631" s="0" t="s">
        <x:v>45</x:v>
      </x:c>
      <x:c r="G7631" s="0" t="s">
        <x:v>19</x:v>
      </x:c>
      <x:c r="H7631" s="0" t="s">
        <x:v>20</x:v>
      </x:c>
      <x:c r="I7631" s="0" t="s">
        <x:v>21</x:v>
      </x:c>
      <x:c r="K7631" s="0">
        <x:f>hyperlink("https://icd.who.int/dev11/l-ichi/en#/http%3A%2F%2Fid.who.int%2Ficd%2Fentity%2F93659628","browser")</x:f>
      </x:c>
      <x:c r="L7631" s="0">
        <x:f>hyperlink("https://icat2.azurewebsites.net/icat/?ontology=ICD&amp;tab=ClassesTab&amp;id=http%3A%2F%2Fwho.int%2Ficd%2346328_512ebf36_bf6b_4d70_85da_cf2637062af4","iCat")</x:f>
      </x:c>
      <x:c r="M7631" s="0" t="s">
        <x:v>21</x:v>
      </x:c>
      <x:c r="N7631" s="0" t="s">
        <x:v>46</x:v>
      </x:c>
    </x:row>
    <x:row r="7632" spans="1:16">
      <x:c r="A7632" s="0" t="s">
        <x:v>30389</x:v>
      </x:c>
      <x:c r="B7632" s="0" t="s">
        <x:v>30390</x:v>
      </x:c>
      <x:c r="C7632" s="0" t="s">
        <x:v>30391</x:v>
      </x:c>
      <x:c r="E7632" s="0" t="s">
        <x:v>30392</x:v>
      </x:c>
      <x:c r="F7632" s="0" t="s">
        <x:v>45</x:v>
      </x:c>
      <x:c r="G7632" s="0" t="s">
        <x:v>19</x:v>
      </x:c>
      <x:c r="H7632" s="0" t="s">
        <x:v>20</x:v>
      </x:c>
      <x:c r="I7632" s="0" t="s">
        <x:v>21</x:v>
      </x:c>
      <x:c r="K7632" s="0">
        <x:f>hyperlink("https://icd.who.int/dev11/l-ichi/en#/http%3A%2F%2Fid.who.int%2Ficd%2Fentity%2F1906973791","browser")</x:f>
      </x:c>
      <x:c r="L7632" s="0">
        <x:f>hyperlink("https://icat2.azurewebsites.net/icat/?ontology=ICD&amp;tab=ClassesTab&amp;id=http%3A%2F%2Fwho.int%2Ficd%2346336_512ebf36_bf6b_4d70_85da_cf2637062af4","iCat")</x:f>
      </x:c>
      <x:c r="M7632" s="0" t="s">
        <x:v>21</x:v>
      </x:c>
      <x:c r="N7632" s="0" t="s">
        <x:v>46</x:v>
      </x:c>
    </x:row>
    <x:row r="7633" spans="1:16">
      <x:c r="A7633" s="0" t="s">
        <x:v>30393</x:v>
      </x:c>
      <x:c r="B7633" s="0" t="s">
        <x:v>30394</x:v>
      </x:c>
      <x:c r="C7633" s="0" t="s">
        <x:v>30395</x:v>
      </x:c>
      <x:c r="E7633" s="0" t="s">
        <x:v>30396</x:v>
      </x:c>
      <x:c r="F7633" s="0" t="s">
        <x:v>45</x:v>
      </x:c>
      <x:c r="G7633" s="0" t="s">
        <x:v>19</x:v>
      </x:c>
      <x:c r="H7633" s="0" t="s">
        <x:v>20</x:v>
      </x:c>
      <x:c r="I7633" s="0" t="s">
        <x:v>21</x:v>
      </x:c>
      <x:c r="K7633" s="0">
        <x:f>hyperlink("https://icd.who.int/dev11/l-ichi/en#/http%3A%2F%2Fid.who.int%2Ficd%2Fentity%2F603984512","browser")</x:f>
      </x:c>
      <x:c r="L7633" s="0">
        <x:f>hyperlink("https://icat2.azurewebsites.net/icat/?ontology=ICD&amp;tab=ClassesTab&amp;id=http%3A%2F%2Fwho.int%2Ficd%2346344_512ebf36_bf6b_4d70_85da_cf2637062af4","iCat")</x:f>
      </x:c>
      <x:c r="M7633" s="0" t="s">
        <x:v>21</x:v>
      </x:c>
      <x:c r="N7633" s="0" t="s">
        <x:v>46</x:v>
      </x:c>
    </x:row>
    <x:row r="7634" spans="1:16">
      <x:c r="A7634" s="0" t="s">
        <x:v>30397</x:v>
      </x:c>
      <x:c r="B7634" s="0" t="s">
        <x:v>30398</x:v>
      </x:c>
      <x:c r="C7634" s="0" t="s">
        <x:v>30399</x:v>
      </x:c>
      <x:c r="E7634" s="0" t="s">
        <x:v>30400</x:v>
      </x:c>
      <x:c r="F7634" s="0" t="s">
        <x:v>45</x:v>
      </x:c>
      <x:c r="G7634" s="0" t="s">
        <x:v>19</x:v>
      </x:c>
      <x:c r="H7634" s="0" t="s">
        <x:v>20</x:v>
      </x:c>
      <x:c r="I7634" s="0" t="s">
        <x:v>21</x:v>
      </x:c>
      <x:c r="K7634" s="0">
        <x:f>hyperlink("https://icd.who.int/dev11/l-ichi/en#/http%3A%2F%2Fid.who.int%2Ficd%2Fentity%2F515792488","browser")</x:f>
      </x:c>
      <x:c r="L7634" s="0">
        <x:f>hyperlink("https://icat2.azurewebsites.net/icat/?ontology=ICD&amp;tab=ClassesTab&amp;id=http%3A%2F%2Fwho.int%2Ficd%2346352_512ebf36_bf6b_4d70_85da_cf2637062af4","iCat")</x:f>
      </x:c>
      <x:c r="M7634" s="0" t="s">
        <x:v>21</x:v>
      </x:c>
      <x:c r="N7634" s="0" t="s">
        <x:v>46</x:v>
      </x:c>
    </x:row>
    <x:row r="7635" spans="1:16">
      <x:c r="A7635" s="0" t="s">
        <x:v>30401</x:v>
      </x:c>
      <x:c r="B7635" s="0" t="s">
        <x:v>30402</x:v>
      </x:c>
      <x:c r="C7635" s="0" t="s">
        <x:v>30403</x:v>
      </x:c>
      <x:c r="E7635" s="0" t="s">
        <x:v>30404</x:v>
      </x:c>
      <x:c r="F7635" s="0" t="s">
        <x:v>45</x:v>
      </x:c>
      <x:c r="G7635" s="0" t="s">
        <x:v>19</x:v>
      </x:c>
      <x:c r="H7635" s="0" t="s">
        <x:v>20</x:v>
      </x:c>
      <x:c r="I7635" s="0" t="s">
        <x:v>21</x:v>
      </x:c>
      <x:c r="K7635" s="0">
        <x:f>hyperlink("https://icd.who.int/dev11/l-ichi/en#/http%3A%2F%2Fid.who.int%2Ficd%2Fentity%2F997393316","browser")</x:f>
      </x:c>
      <x:c r="L7635" s="0">
        <x:f>hyperlink("https://icat2.azurewebsites.net/icat/?ontology=ICD&amp;tab=ClassesTab&amp;id=http%3A%2F%2Fwho.int%2Ficd%2346360_512ebf36_bf6b_4d70_85da_cf2637062af4","iCat")</x:f>
      </x:c>
      <x:c r="M7635" s="0" t="s">
        <x:v>21</x:v>
      </x:c>
      <x:c r="N7635" s="0" t="s">
        <x:v>46</x:v>
      </x:c>
    </x:row>
    <x:row r="7636" spans="1:16">
      <x:c r="A7636" s="0" t="s">
        <x:v>30405</x:v>
      </x:c>
      <x:c r="B7636" s="0" t="s">
        <x:v>30406</x:v>
      </x:c>
      <x:c r="C7636" s="0" t="s">
        <x:v>30407</x:v>
      </x:c>
      <x:c r="E7636" s="0" t="s">
        <x:v>30408</x:v>
      </x:c>
      <x:c r="F7636" s="0" t="s">
        <x:v>45</x:v>
      </x:c>
      <x:c r="G7636" s="0" t="s">
        <x:v>19</x:v>
      </x:c>
      <x:c r="H7636" s="0" t="s">
        <x:v>20</x:v>
      </x:c>
      <x:c r="I7636" s="0" t="s">
        <x:v>21</x:v>
      </x:c>
      <x:c r="K7636" s="0">
        <x:f>hyperlink("https://icd.who.int/dev11/l-ichi/en#/http%3A%2F%2Fid.who.int%2Ficd%2Fentity%2F1978823409","browser")</x:f>
      </x:c>
      <x:c r="L7636" s="0">
        <x:f>hyperlink("https://icat2.azurewebsites.net/icat/?ontology=ICD&amp;tab=ClassesTab&amp;id=http%3A%2F%2Fwho.int%2Ficd%2346368_512ebf36_bf6b_4d70_85da_cf2637062af4","iCat")</x:f>
      </x:c>
      <x:c r="M7636" s="0" t="s">
        <x:v>21</x:v>
      </x:c>
      <x:c r="N7636" s="0" t="s">
        <x:v>46</x:v>
      </x:c>
    </x:row>
    <x:row r="7637" spans="1:16">
      <x:c r="A7637" s="0" t="s">
        <x:v>30409</x:v>
      </x:c>
      <x:c r="B7637" s="0" t="s">
        <x:v>30410</x:v>
      </x:c>
      <x:c r="C7637" s="0" t="s">
        <x:v>30411</x:v>
      </x:c>
      <x:c r="E7637" s="0" t="s">
        <x:v>30412</x:v>
      </x:c>
      <x:c r="F7637" s="0" t="s">
        <x:v>45</x:v>
      </x:c>
      <x:c r="G7637" s="0" t="s">
        <x:v>19</x:v>
      </x:c>
      <x:c r="H7637" s="0" t="s">
        <x:v>20</x:v>
      </x:c>
      <x:c r="I7637" s="0" t="s">
        <x:v>21</x:v>
      </x:c>
      <x:c r="K7637" s="0">
        <x:f>hyperlink("https://icd.who.int/dev11/l-ichi/en#/http%3A%2F%2Fid.who.int%2Ficd%2Fentity%2F557071742","browser")</x:f>
      </x:c>
      <x:c r="L7637" s="0">
        <x:f>hyperlink("https://icat2.azurewebsites.net/icat/?ontology=ICD&amp;tab=ClassesTab&amp;id=http%3A%2F%2Fwho.int%2Ficd%2346377_512ebf36_bf6b_4d70_85da_cf2637062af4","iCat")</x:f>
      </x:c>
      <x:c r="M7637" s="0" t="s">
        <x:v>21</x:v>
      </x:c>
      <x:c r="N7637" s="0" t="s">
        <x:v>46</x:v>
      </x:c>
    </x:row>
    <x:row r="7638" spans="1:16">
      <x:c r="A7638" s="0" t="s">
        <x:v>30413</x:v>
      </x:c>
      <x:c r="B7638" s="0" t="s">
        <x:v>30414</x:v>
      </x:c>
      <x:c r="C7638" s="0" t="s">
        <x:v>30415</x:v>
      </x:c>
      <x:c r="E7638" s="0" t="s">
        <x:v>30416</x:v>
      </x:c>
      <x:c r="F7638" s="0" t="s">
        <x:v>45</x:v>
      </x:c>
      <x:c r="G7638" s="0" t="s">
        <x:v>19</x:v>
      </x:c>
      <x:c r="H7638" s="0" t="s">
        <x:v>20</x:v>
      </x:c>
      <x:c r="I7638" s="0" t="s">
        <x:v>21</x:v>
      </x:c>
      <x:c r="K7638" s="0">
        <x:f>hyperlink("https://icd.who.int/dev11/l-ichi/en#/http%3A%2F%2Fid.who.int%2Ficd%2Fentity%2F1263933529","browser")</x:f>
      </x:c>
      <x:c r="L7638" s="0">
        <x:f>hyperlink("https://icat2.azurewebsites.net/icat/?ontology=ICD&amp;tab=ClassesTab&amp;id=http%3A%2F%2Fwho.int%2Ficd%2346384_512ebf36_bf6b_4d70_85da_cf2637062af4","iCat")</x:f>
      </x:c>
      <x:c r="M7638" s="0" t="s">
        <x:v>21</x:v>
      </x:c>
      <x:c r="N7638" s="0" t="s">
        <x:v>46</x:v>
      </x:c>
    </x:row>
    <x:row r="7639" spans="1:16">
      <x:c r="A7639" s="0" t="s">
        <x:v>30417</x:v>
      </x:c>
      <x:c r="B7639" s="0" t="s">
        <x:v>30418</x:v>
      </x:c>
      <x:c r="C7639" s="0" t="s">
        <x:v>30419</x:v>
      </x:c>
      <x:c r="E7639" s="0" t="s">
        <x:v>30420</x:v>
      </x:c>
      <x:c r="F7639" s="0" t="s">
        <x:v>45</x:v>
      </x:c>
      <x:c r="G7639" s="0" t="s">
        <x:v>19</x:v>
      </x:c>
      <x:c r="H7639" s="0" t="s">
        <x:v>20</x:v>
      </x:c>
      <x:c r="I7639" s="0" t="s">
        <x:v>21</x:v>
      </x:c>
      <x:c r="K7639" s="0">
        <x:f>hyperlink("https://icd.who.int/dev11/l-ichi/en#/http%3A%2F%2Fid.who.int%2Ficd%2Fentity%2F1911051455","browser")</x:f>
      </x:c>
      <x:c r="L7639" s="0">
        <x:f>hyperlink("https://icat2.azurewebsites.net/icat/?ontology=ICD&amp;tab=ClassesTab&amp;id=http%3A%2F%2Fwho.int%2Ficd%2346392_512ebf36_bf6b_4d70_85da_cf2637062af4","iCat")</x:f>
      </x:c>
      <x:c r="M7639" s="0" t="s">
        <x:v>21</x:v>
      </x:c>
      <x:c r="N7639" s="0" t="s">
        <x:v>46</x:v>
      </x:c>
    </x:row>
    <x:row r="7640" spans="1:16">
      <x:c r="A7640" s="0" t="s">
        <x:v>30421</x:v>
      </x:c>
      <x:c r="B7640" s="0" t="s">
        <x:v>30422</x:v>
      </x:c>
      <x:c r="C7640" s="0" t="s">
        <x:v>30423</x:v>
      </x:c>
      <x:c r="E7640" s="0" t="s">
        <x:v>30424</x:v>
      </x:c>
      <x:c r="F7640" s="0" t="s">
        <x:v>45</x:v>
      </x:c>
      <x:c r="G7640" s="0" t="s">
        <x:v>19</x:v>
      </x:c>
      <x:c r="H7640" s="0" t="s">
        <x:v>20</x:v>
      </x:c>
      <x:c r="I7640" s="0" t="s">
        <x:v>21</x:v>
      </x:c>
      <x:c r="K7640" s="0">
        <x:f>hyperlink("https://icd.who.int/dev11/l-ichi/en#/http%3A%2F%2Fid.who.int%2Ficd%2Fentity%2F221326725","browser")</x:f>
      </x:c>
      <x:c r="L7640" s="0">
        <x:f>hyperlink("https://icat2.azurewebsites.net/icat/?ontology=ICD&amp;tab=ClassesTab&amp;id=http%3A%2F%2Fwho.int%2Ficd%2346400_512ebf36_bf6b_4d70_85da_cf2637062af4","iCat")</x:f>
      </x:c>
      <x:c r="M7640" s="0" t="s">
        <x:v>21</x:v>
      </x:c>
      <x:c r="N7640" s="0" t="s">
        <x:v>46</x:v>
      </x:c>
    </x:row>
    <x:row r="7641" spans="1:16">
      <x:c r="A7641" s="0" t="s">
        <x:v>30425</x:v>
      </x:c>
      <x:c r="B7641" s="0" t="s">
        <x:v>30426</x:v>
      </x:c>
      <x:c r="C7641" s="0" t="s">
        <x:v>30427</x:v>
      </x:c>
      <x:c r="E7641" s="0" t="s">
        <x:v>30428</x:v>
      </x:c>
      <x:c r="F7641" s="0" t="s">
        <x:v>45</x:v>
      </x:c>
      <x:c r="G7641" s="0" t="s">
        <x:v>19</x:v>
      </x:c>
      <x:c r="H7641" s="0" t="s">
        <x:v>20</x:v>
      </x:c>
      <x:c r="I7641" s="0" t="s">
        <x:v>21</x:v>
      </x:c>
      <x:c r="K7641" s="0">
        <x:f>hyperlink("https://icd.who.int/dev11/l-ichi/en#/http%3A%2F%2Fid.who.int%2Ficd%2Fentity%2F1665740526","browser")</x:f>
      </x:c>
      <x:c r="L7641" s="0">
        <x:f>hyperlink("https://icat2.azurewebsites.net/icat/?ontology=ICD&amp;tab=ClassesTab&amp;id=http%3A%2F%2Fwho.int%2Ficd%2346409_512ebf36_bf6b_4d70_85da_cf2637062af4","iCat")</x:f>
      </x:c>
      <x:c r="M7641" s="0" t="s">
        <x:v>21</x:v>
      </x:c>
      <x:c r="N7641" s="0" t="s">
        <x:v>46</x:v>
      </x:c>
    </x:row>
    <x:row r="7642" spans="1:16">
      <x:c r="A7642" s="0" t="s">
        <x:v>30429</x:v>
      </x:c>
      <x:c r="B7642" s="0" t="s">
        <x:v>30430</x:v>
      </x:c>
      <x:c r="C7642" s="0" t="s">
        <x:v>30431</x:v>
      </x:c>
      <x:c r="E7642" s="0" t="s">
        <x:v>30432</x:v>
      </x:c>
      <x:c r="F7642" s="0" t="s">
        <x:v>45</x:v>
      </x:c>
      <x:c r="G7642" s="0" t="s">
        <x:v>19</x:v>
      </x:c>
      <x:c r="H7642" s="0" t="s">
        <x:v>20</x:v>
      </x:c>
      <x:c r="I7642" s="0" t="s">
        <x:v>21</x:v>
      </x:c>
      <x:c r="K7642" s="0">
        <x:f>hyperlink("https://icd.who.int/dev11/l-ichi/en#/http%3A%2F%2Fid.who.int%2Ficd%2Fentity%2F932143459","browser")</x:f>
      </x:c>
      <x:c r="L7642" s="0">
        <x:f>hyperlink("https://icat2.azurewebsites.net/icat/?ontology=ICD&amp;tab=ClassesTab&amp;id=http%3A%2F%2Fwho.int%2Ficd%2346416_512ebf36_bf6b_4d70_85da_cf2637062af4","iCat")</x:f>
      </x:c>
      <x:c r="M7642" s="0" t="s">
        <x:v>21</x:v>
      </x:c>
      <x:c r="N7642" s="0" t="s">
        <x:v>46</x:v>
      </x:c>
    </x:row>
    <x:row r="7643" spans="1:16">
      <x:c r="A7643" s="0" t="s">
        <x:v>30433</x:v>
      </x:c>
      <x:c r="B7643" s="0" t="s">
        <x:v>30434</x:v>
      </x:c>
      <x:c r="C7643" s="0" t="s">
        <x:v>30435</x:v>
      </x:c>
      <x:c r="E7643" s="0" t="s">
        <x:v>30436</x:v>
      </x:c>
      <x:c r="F7643" s="0" t="s">
        <x:v>45</x:v>
      </x:c>
      <x:c r="G7643" s="0" t="s">
        <x:v>19</x:v>
      </x:c>
      <x:c r="H7643" s="0" t="s">
        <x:v>20</x:v>
      </x:c>
      <x:c r="I7643" s="0" t="s">
        <x:v>21</x:v>
      </x:c>
      <x:c r="K7643" s="0">
        <x:f>hyperlink("https://icd.who.int/dev11/l-ichi/en#/http%3A%2F%2Fid.who.int%2Ficd%2Fentity%2F306330785","browser")</x:f>
      </x:c>
      <x:c r="L7643" s="0">
        <x:f>hyperlink("https://icat2.azurewebsites.net/icat/?ontology=ICD&amp;tab=ClassesTab&amp;id=http%3A%2F%2Fwho.int%2Ficd%2346424_512ebf36_bf6b_4d70_85da_cf2637062af4","iCat")</x:f>
      </x:c>
      <x:c r="M7643" s="0" t="s">
        <x:v>21</x:v>
      </x:c>
      <x:c r="N7643" s="0" t="s">
        <x:v>46</x:v>
      </x:c>
    </x:row>
    <x:row r="7644" spans="1:16">
      <x:c r="A7644" s="0" t="s">
        <x:v>30437</x:v>
      </x:c>
      <x:c r="B7644" s="0" t="s">
        <x:v>30438</x:v>
      </x:c>
      <x:c r="C7644" s="0" t="s">
        <x:v>30439</x:v>
      </x:c>
      <x:c r="E7644" s="0" t="s">
        <x:v>30440</x:v>
      </x:c>
      <x:c r="F7644" s="0" t="s">
        <x:v>45</x:v>
      </x:c>
      <x:c r="G7644" s="0" t="s">
        <x:v>19</x:v>
      </x:c>
      <x:c r="H7644" s="0" t="s">
        <x:v>20</x:v>
      </x:c>
      <x:c r="I7644" s="0" t="s">
        <x:v>21</x:v>
      </x:c>
      <x:c r="K7644" s="0">
        <x:f>hyperlink("https://icd.who.int/dev11/l-ichi/en#/http%3A%2F%2Fid.who.int%2Ficd%2Fentity%2F687632455","browser")</x:f>
      </x:c>
      <x:c r="L7644" s="0">
        <x:f>hyperlink("https://icat2.azurewebsites.net/icat/?ontology=ICD&amp;tab=ClassesTab&amp;id=http%3A%2F%2Fwho.int%2Ficd%2346432_512ebf36_bf6b_4d70_85da_cf2637062af4","iCat")</x:f>
      </x:c>
      <x:c r="M7644" s="0" t="s">
        <x:v>21</x:v>
      </x:c>
      <x:c r="N7644" s="0" t="s">
        <x:v>46</x:v>
      </x:c>
    </x:row>
    <x:row r="7645" spans="1:16">
      <x:c r="A7645" s="0" t="s">
        <x:v>30441</x:v>
      </x:c>
      <x:c r="B7645" s="0" t="s">
        <x:v>30442</x:v>
      </x:c>
      <x:c r="C7645" s="0" t="s">
        <x:v>30443</x:v>
      </x:c>
      <x:c r="E7645" s="0" t="s">
        <x:v>30444</x:v>
      </x:c>
      <x:c r="F7645" s="0" t="s">
        <x:v>45</x:v>
      </x:c>
      <x:c r="G7645" s="0" t="s">
        <x:v>19</x:v>
      </x:c>
      <x:c r="H7645" s="0" t="s">
        <x:v>20</x:v>
      </x:c>
      <x:c r="I7645" s="0" t="s">
        <x:v>21</x:v>
      </x:c>
      <x:c r="K7645" s="0">
        <x:f>hyperlink("https://icd.who.int/dev11/l-ichi/en#/http%3A%2F%2Fid.who.int%2Ficd%2Fentity%2F2102820504","browser")</x:f>
      </x:c>
      <x:c r="L7645" s="0">
        <x:f>hyperlink("https://icat2.azurewebsites.net/icat/?ontology=ICD&amp;tab=ClassesTab&amp;id=http%3A%2F%2Fwho.int%2Ficd%2346440_512ebf36_bf6b_4d70_85da_cf2637062af4","iCat")</x:f>
      </x:c>
      <x:c r="M7645" s="0" t="s">
        <x:v>21</x:v>
      </x:c>
      <x:c r="N7645" s="0" t="s">
        <x:v>46</x:v>
      </x:c>
    </x:row>
    <x:row r="7646" spans="1:16">
      <x:c r="A7646" s="0" t="s">
        <x:v>30445</x:v>
      </x:c>
      <x:c r="B7646" s="0" t="s">
        <x:v>30446</x:v>
      </x:c>
      <x:c r="C7646" s="0" t="s">
        <x:v>30447</x:v>
      </x:c>
      <x:c r="E7646" s="0" t="s">
        <x:v>30448</x:v>
      </x:c>
      <x:c r="F7646" s="0" t="s">
        <x:v>45</x:v>
      </x:c>
      <x:c r="G7646" s="0" t="s">
        <x:v>19</x:v>
      </x:c>
      <x:c r="H7646" s="0" t="s">
        <x:v>20</x:v>
      </x:c>
      <x:c r="I7646" s="0" t="s">
        <x:v>21</x:v>
      </x:c>
      <x:c r="K7646" s="0">
        <x:f>hyperlink("https://icd.who.int/dev11/l-ichi/en#/http%3A%2F%2Fid.who.int%2Ficd%2Fentity%2F869732301","browser")</x:f>
      </x:c>
      <x:c r="L7646" s="0">
        <x:f>hyperlink("https://icat2.azurewebsites.net/icat/?ontology=ICD&amp;tab=ClassesTab&amp;id=http%3A%2F%2Fwho.int%2Ficd%2346448_512ebf36_bf6b_4d70_85da_cf2637062af4","iCat")</x:f>
      </x:c>
      <x:c r="M7646" s="0" t="s">
        <x:v>21</x:v>
      </x:c>
      <x:c r="N7646" s="0" t="s">
        <x:v>46</x:v>
      </x:c>
    </x:row>
    <x:row r="7647" spans="1:16">
      <x:c r="A7647" s="0" t="s">
        <x:v>30449</x:v>
      </x:c>
      <x:c r="B7647" s="0" t="s">
        <x:v>30450</x:v>
      </x:c>
      <x:c r="C7647" s="0" t="s">
        <x:v>30451</x:v>
      </x:c>
      <x:c r="E7647" s="0" t="s">
        <x:v>30452</x:v>
      </x:c>
      <x:c r="F7647" s="0" t="s">
        <x:v>45</x:v>
      </x:c>
      <x:c r="G7647" s="0" t="s">
        <x:v>19</x:v>
      </x:c>
      <x:c r="H7647" s="0" t="s">
        <x:v>20</x:v>
      </x:c>
      <x:c r="I7647" s="0" t="s">
        <x:v>21</x:v>
      </x:c>
      <x:c r="K7647" s="0">
        <x:f>hyperlink("https://icd.who.int/dev11/l-ichi/en#/http%3A%2F%2Fid.who.int%2Ficd%2Fentity%2F1206399616","browser")</x:f>
      </x:c>
      <x:c r="L7647" s="0">
        <x:f>hyperlink("https://icat2.azurewebsites.net/icat/?ontology=ICD&amp;tab=ClassesTab&amp;id=http%3A%2F%2Fwho.int%2Ficd%2346456_512ebf36_bf6b_4d70_85da_cf2637062af4","iCat")</x:f>
      </x:c>
      <x:c r="M7647" s="0" t="s">
        <x:v>21</x:v>
      </x:c>
      <x:c r="N7647" s="0" t="s">
        <x:v>46</x:v>
      </x:c>
    </x:row>
    <x:row r="7648" spans="1:16">
      <x:c r="A7648" s="0" t="s">
        <x:v>30453</x:v>
      </x:c>
      <x:c r="B7648" s="0" t="s">
        <x:v>30454</x:v>
      </x:c>
      <x:c r="C7648" s="0" t="s">
        <x:v>30455</x:v>
      </x:c>
      <x:c r="E7648" s="0" t="s">
        <x:v>30456</x:v>
      </x:c>
      <x:c r="F7648" s="0" t="s">
        <x:v>45</x:v>
      </x:c>
      <x:c r="G7648" s="0" t="s">
        <x:v>19</x:v>
      </x:c>
      <x:c r="H7648" s="0" t="s">
        <x:v>20</x:v>
      </x:c>
      <x:c r="I7648" s="0" t="s">
        <x:v>21</x:v>
      </x:c>
      <x:c r="K7648" s="0">
        <x:f>hyperlink("https://icd.who.int/dev11/l-ichi/en#/http%3A%2F%2Fid.who.int%2Ficd%2Fentity%2F1646620604","browser")</x:f>
      </x:c>
      <x:c r="L7648" s="0">
        <x:f>hyperlink("https://icat2.azurewebsites.net/icat/?ontology=ICD&amp;tab=ClassesTab&amp;id=http%3A%2F%2Fwho.int%2Ficd%2346464_512ebf36_bf6b_4d70_85da_cf2637062af4","iCat")</x:f>
      </x:c>
      <x:c r="M7648" s="0" t="s">
        <x:v>21</x:v>
      </x:c>
      <x:c r="N7648" s="0" t="s">
        <x:v>46</x:v>
      </x:c>
    </x:row>
    <x:row r="7649" spans="1:16">
      <x:c r="A7649" s="0" t="s">
        <x:v>30457</x:v>
      </x:c>
      <x:c r="B7649" s="0" t="s">
        <x:v>30458</x:v>
      </x:c>
      <x:c r="C7649" s="0" t="s">
        <x:v>30459</x:v>
      </x:c>
      <x:c r="E7649" s="0" t="s">
        <x:v>30460</x:v>
      </x:c>
      <x:c r="F7649" s="0" t="s">
        <x:v>45</x:v>
      </x:c>
      <x:c r="G7649" s="0" t="s">
        <x:v>19</x:v>
      </x:c>
      <x:c r="H7649" s="0" t="s">
        <x:v>20</x:v>
      </x:c>
      <x:c r="I7649" s="0" t="s">
        <x:v>21</x:v>
      </x:c>
      <x:c r="K7649" s="0">
        <x:f>hyperlink("https://icd.who.int/dev11/l-ichi/en#/http%3A%2F%2Fid.who.int%2Ficd%2Fentity%2F1486562140","browser")</x:f>
      </x:c>
      <x:c r="L7649" s="0">
        <x:f>hyperlink("https://icat2.azurewebsites.net/icat/?ontology=ICD&amp;tab=ClassesTab&amp;id=http%3A%2F%2Fwho.int%2Ficd%2346472_512ebf36_bf6b_4d70_85da_cf2637062af4","iCat")</x:f>
      </x:c>
      <x:c r="M7649" s="0" t="s">
        <x:v>21</x:v>
      </x:c>
      <x:c r="N7649" s="0" t="s">
        <x:v>46</x:v>
      </x:c>
    </x:row>
    <x:row r="7650" spans="1:16">
      <x:c r="A7650" s="0" t="s">
        <x:v>30461</x:v>
      </x:c>
      <x:c r="B7650" s="0" t="s">
        <x:v>30462</x:v>
      </x:c>
      <x:c r="C7650" s="0" t="s">
        <x:v>30463</x:v>
      </x:c>
      <x:c r="E7650" s="0" t="s">
        <x:v>30464</x:v>
      </x:c>
      <x:c r="F7650" s="0" t="s">
        <x:v>45</x:v>
      </x:c>
      <x:c r="G7650" s="0" t="s">
        <x:v>19</x:v>
      </x:c>
      <x:c r="H7650" s="0" t="s">
        <x:v>20</x:v>
      </x:c>
      <x:c r="I7650" s="0" t="s">
        <x:v>21</x:v>
      </x:c>
      <x:c r="K7650" s="0">
        <x:f>hyperlink("https://icd.who.int/dev11/l-ichi/en#/http%3A%2F%2Fid.who.int%2Ficd%2Fentity%2F302019649","browser")</x:f>
      </x:c>
      <x:c r="L7650" s="0">
        <x:f>hyperlink("https://icat2.azurewebsites.net/icat/?ontology=ICD&amp;tab=ClassesTab&amp;id=http%3A%2F%2Fwho.int%2Ficd%2346480_512ebf36_bf6b_4d70_85da_cf2637062af4","iCat")</x:f>
      </x:c>
      <x:c r="M7650" s="0" t="s">
        <x:v>21</x:v>
      </x:c>
      <x:c r="N7650" s="0" t="s">
        <x:v>46</x:v>
      </x:c>
    </x:row>
    <x:row r="7651" spans="1:16">
      <x:c r="A7651" s="0" t="s">
        <x:v>30465</x:v>
      </x:c>
      <x:c r="B7651" s="0" t="s">
        <x:v>30466</x:v>
      </x:c>
      <x:c r="C7651" s="0" t="s">
        <x:v>30467</x:v>
      </x:c>
      <x:c r="E7651" s="0" t="s">
        <x:v>30468</x:v>
      </x:c>
      <x:c r="F7651" s="0" t="s">
        <x:v>45</x:v>
      </x:c>
      <x:c r="G7651" s="0" t="s">
        <x:v>19</x:v>
      </x:c>
      <x:c r="H7651" s="0" t="s">
        <x:v>20</x:v>
      </x:c>
      <x:c r="I7651" s="0" t="s">
        <x:v>21</x:v>
      </x:c>
      <x:c r="K7651" s="0">
        <x:f>hyperlink("https://icd.who.int/dev11/l-ichi/en#/http%3A%2F%2Fid.who.int%2Ficd%2Fentity%2F1652744142","browser")</x:f>
      </x:c>
      <x:c r="L7651" s="0">
        <x:f>hyperlink("https://icat2.azurewebsites.net/icat/?ontology=ICD&amp;tab=ClassesTab&amp;id=http%3A%2F%2Fwho.int%2Ficd%2346487_512ebf36_bf6b_4d70_85da_cf2637062af4","iCat")</x:f>
      </x:c>
      <x:c r="M7651" s="0" t="s">
        <x:v>21</x:v>
      </x:c>
      <x:c r="N7651" s="0" t="s">
        <x:v>46</x:v>
      </x:c>
    </x:row>
    <x:row r="7652" spans="1:16">
      <x:c r="A7652" s="0" t="s">
        <x:v>30469</x:v>
      </x:c>
      <x:c r="B7652" s="0" t="s">
        <x:v>30470</x:v>
      </x:c>
      <x:c r="C7652" s="0" t="s">
        <x:v>30471</x:v>
      </x:c>
      <x:c r="E7652" s="0" t="s">
        <x:v>30472</x:v>
      </x:c>
      <x:c r="F7652" s="0" t="s">
        <x:v>45</x:v>
      </x:c>
      <x:c r="G7652" s="0" t="s">
        <x:v>19</x:v>
      </x:c>
      <x:c r="H7652" s="0" t="s">
        <x:v>20</x:v>
      </x:c>
      <x:c r="I7652" s="0" t="s">
        <x:v>21</x:v>
      </x:c>
      <x:c r="K7652" s="0">
        <x:f>hyperlink("https://icd.who.int/dev11/l-ichi/en#/http%3A%2F%2Fid.who.int%2Ficd%2Fentity%2F1832605536","browser")</x:f>
      </x:c>
      <x:c r="L7652" s="0">
        <x:f>hyperlink("https://icat2.azurewebsites.net/icat/?ontology=ICD&amp;tab=ClassesTab&amp;id=http%3A%2F%2Fwho.int%2Ficd%2346495_512ebf36_bf6b_4d70_85da_cf2637062af4","iCat")</x:f>
      </x:c>
      <x:c r="M7652" s="0" t="s">
        <x:v>21</x:v>
      </x:c>
      <x:c r="N7652" s="0" t="s">
        <x:v>46</x:v>
      </x:c>
    </x:row>
    <x:row r="7653" spans="1:16">
      <x:c r="A7653" s="0" t="s">
        <x:v>30473</x:v>
      </x:c>
      <x:c r="B7653" s="0" t="s">
        <x:v>30474</x:v>
      </x:c>
      <x:c r="C7653" s="0" t="s">
        <x:v>30475</x:v>
      </x:c>
      <x:c r="E7653" s="0" t="s">
        <x:v>30476</x:v>
      </x:c>
      <x:c r="F7653" s="0" t="s">
        <x:v>45</x:v>
      </x:c>
      <x:c r="G7653" s="0" t="s">
        <x:v>19</x:v>
      </x:c>
      <x:c r="H7653" s="0" t="s">
        <x:v>20</x:v>
      </x:c>
      <x:c r="I7653" s="0" t="s">
        <x:v>21</x:v>
      </x:c>
      <x:c r="K7653" s="0">
        <x:f>hyperlink("https://icd.who.int/dev11/l-ichi/en#/http%3A%2F%2Fid.who.int%2Ficd%2Fentity%2F1026262241","browser")</x:f>
      </x:c>
      <x:c r="L7653" s="0">
        <x:f>hyperlink("https://icat2.azurewebsites.net/icat/?ontology=ICD&amp;tab=ClassesTab&amp;id=http%3A%2F%2Fwho.int%2Ficd%2346503_512ebf36_bf6b_4d70_85da_cf2637062af4","iCat")</x:f>
      </x:c>
      <x:c r="M7653" s="0" t="s">
        <x:v>21</x:v>
      </x:c>
      <x:c r="N7653" s="0" t="s">
        <x:v>46</x:v>
      </x:c>
    </x:row>
    <x:row r="7654" spans="1:16">
      <x:c r="A7654" s="0" t="s">
        <x:v>30477</x:v>
      </x:c>
      <x:c r="B7654" s="0" t="s">
        <x:v>30478</x:v>
      </x:c>
      <x:c r="C7654" s="0" t="s">
        <x:v>30479</x:v>
      </x:c>
      <x:c r="E7654" s="0" t="s">
        <x:v>30480</x:v>
      </x:c>
      <x:c r="F7654" s="0" t="s">
        <x:v>45</x:v>
      </x:c>
      <x:c r="G7654" s="0" t="s">
        <x:v>19</x:v>
      </x:c>
      <x:c r="H7654" s="0" t="s">
        <x:v>20</x:v>
      </x:c>
      <x:c r="I7654" s="0" t="s">
        <x:v>21</x:v>
      </x:c>
      <x:c r="K7654" s="0">
        <x:f>hyperlink("https://icd.who.int/dev11/l-ichi/en#/http%3A%2F%2Fid.who.int%2Ficd%2Fentity%2F848432243","browser")</x:f>
      </x:c>
      <x:c r="L7654" s="0">
        <x:f>hyperlink("https://icat2.azurewebsites.net/icat/?ontology=ICD&amp;tab=ClassesTab&amp;id=http%3A%2F%2Fwho.int%2Ficd%2346511_512ebf36_bf6b_4d70_85da_cf2637062af4","iCat")</x:f>
      </x:c>
      <x:c r="M7654" s="0" t="s">
        <x:v>21</x:v>
      </x:c>
      <x:c r="N7654" s="0" t="s">
        <x:v>46</x:v>
      </x:c>
    </x:row>
    <x:row r="7655" spans="1:16">
      <x:c r="A7655" s="0" t="s">
        <x:v>30481</x:v>
      </x:c>
      <x:c r="B7655" s="0" t="s">
        <x:v>30482</x:v>
      </x:c>
      <x:c r="C7655" s="0" t="s">
        <x:v>30483</x:v>
      </x:c>
      <x:c r="E7655" s="0" t="s">
        <x:v>30484</x:v>
      </x:c>
      <x:c r="F7655" s="0" t="s">
        <x:v>45</x:v>
      </x:c>
      <x:c r="G7655" s="0" t="s">
        <x:v>19</x:v>
      </x:c>
      <x:c r="H7655" s="0" t="s">
        <x:v>20</x:v>
      </x:c>
      <x:c r="I7655" s="0" t="s">
        <x:v>21</x:v>
      </x:c>
      <x:c r="K7655" s="0">
        <x:f>hyperlink("https://icd.who.int/dev11/l-ichi/en#/http%3A%2F%2Fid.who.int%2Ficd%2Fentity%2F1558843162","browser")</x:f>
      </x:c>
      <x:c r="L7655" s="0">
        <x:f>hyperlink("https://icat2.azurewebsites.net/icat/?ontology=ICD&amp;tab=ClassesTab&amp;id=http%3A%2F%2Fwho.int%2Ficd%2346518_512ebf36_bf6b_4d70_85da_cf2637062af4","iCat")</x:f>
      </x:c>
      <x:c r="M7655" s="0" t="s">
        <x:v>21</x:v>
      </x:c>
      <x:c r="N7655" s="0" t="s">
        <x:v>46</x:v>
      </x:c>
    </x:row>
    <x:row r="7656" spans="1:16">
      <x:c r="A7656" s="0" t="s">
        <x:v>30485</x:v>
      </x:c>
      <x:c r="B7656" s="0" t="s">
        <x:v>30486</x:v>
      </x:c>
      <x:c r="C7656" s="0" t="s">
        <x:v>30487</x:v>
      </x:c>
      <x:c r="E7656" s="0" t="s">
        <x:v>30488</x:v>
      </x:c>
      <x:c r="F7656" s="0" t="s">
        <x:v>45</x:v>
      </x:c>
      <x:c r="G7656" s="0" t="s">
        <x:v>19</x:v>
      </x:c>
      <x:c r="H7656" s="0" t="s">
        <x:v>20</x:v>
      </x:c>
      <x:c r="I7656" s="0" t="s">
        <x:v>21</x:v>
      </x:c>
      <x:c r="K7656" s="0">
        <x:f>hyperlink("https://icd.who.int/dev11/l-ichi/en#/http%3A%2F%2Fid.who.int%2Ficd%2Fentity%2F1751976348","browser")</x:f>
      </x:c>
      <x:c r="L7656" s="0">
        <x:f>hyperlink("https://icat2.azurewebsites.net/icat/?ontology=ICD&amp;tab=ClassesTab&amp;id=http%3A%2F%2Fwho.int%2Ficd%23502_e87d5413_a3ef_41e3_b1c4_bdb20d4d591d","iCat")</x:f>
      </x:c>
      <x:c r="M7656" s="0" t="s">
        <x:v>21</x:v>
      </x:c>
      <x:c r="N7656" s="0" t="s">
        <x:v>46</x:v>
      </x:c>
    </x:row>
    <x:row r="7657" spans="1:16">
      <x:c r="A7657" s="0" t="s">
        <x:v>30489</x:v>
      </x:c>
      <x:c r="B7657" s="0" t="s">
        <x:v>30490</x:v>
      </x:c>
      <x:c r="C7657" s="0" t="s">
        <x:v>30491</x:v>
      </x:c>
      <x:c r="E7657" s="0" t="s">
        <x:v>30492</x:v>
      </x:c>
      <x:c r="F7657" s="0" t="s">
        <x:v>45</x:v>
      </x:c>
      <x:c r="G7657" s="0" t="s">
        <x:v>19</x:v>
      </x:c>
      <x:c r="H7657" s="0" t="s">
        <x:v>20</x:v>
      </x:c>
      <x:c r="I7657" s="0" t="s">
        <x:v>21</x:v>
      </x:c>
      <x:c r="K7657" s="0">
        <x:f>hyperlink("https://icd.who.int/dev11/l-ichi/en#/http%3A%2F%2Fid.who.int%2Ficd%2Fentity%2F1560397798","browser")</x:f>
      </x:c>
      <x:c r="L7657" s="0">
        <x:f>hyperlink("https://icat2.azurewebsites.net/icat/?ontology=ICD&amp;tab=ClassesTab&amp;id=http%3A%2F%2Fwho.int%2Ficd%23496_e87d5413_a3ef_41e3_b1c4_bdb20d4d591d","iCat")</x:f>
      </x:c>
      <x:c r="M7657" s="0" t="s">
        <x:v>21</x:v>
      </x:c>
      <x:c r="N7657" s="0" t="s">
        <x:v>46</x:v>
      </x:c>
    </x:row>
    <x:row r="7658" spans="1:16">
      <x:c r="A7658" s="0" t="s">
        <x:v>30493</x:v>
      </x:c>
      <x:c r="B7658" s="0" t="s">
        <x:v>30494</x:v>
      </x:c>
      <x:c r="C7658" s="0" t="s">
        <x:v>30495</x:v>
      </x:c>
      <x:c r="E7658" s="0" t="s">
        <x:v>30496</x:v>
      </x:c>
      <x:c r="F7658" s="0" t="s">
        <x:v>45</x:v>
      </x:c>
      <x:c r="G7658" s="0" t="s">
        <x:v>19</x:v>
      </x:c>
      <x:c r="H7658" s="0" t="s">
        <x:v>20</x:v>
      </x:c>
      <x:c r="I7658" s="0" t="s">
        <x:v>21</x:v>
      </x:c>
      <x:c r="K7658" s="0">
        <x:f>hyperlink("https://icd.who.int/dev11/l-ichi/en#/http%3A%2F%2Fid.who.int%2Ficd%2Fentity%2F226106967","browser")</x:f>
      </x:c>
      <x:c r="L7658" s="0">
        <x:f>hyperlink("https://icat2.azurewebsites.net/icat/?ontology=ICD&amp;tab=ClassesTab&amp;id=http%3A%2F%2Fwho.int%2Ficd%23490_e87d5413_a3ef_41e3_b1c4_bdb20d4d591d","iCat")</x:f>
      </x:c>
      <x:c r="M7658" s="0" t="s">
        <x:v>21</x:v>
      </x:c>
      <x:c r="N7658" s="0" t="s">
        <x:v>46</x:v>
      </x:c>
    </x:row>
    <x:row r="7659" spans="1:16">
      <x:c r="A7659" s="0" t="s">
        <x:v>30497</x:v>
      </x:c>
      <x:c r="B7659" s="0" t="s">
        <x:v>30498</x:v>
      </x:c>
      <x:c r="C7659" s="0" t="s">
        <x:v>30499</x:v>
      </x:c>
      <x:c r="E7659" s="0" t="s">
        <x:v>30500</x:v>
      </x:c>
      <x:c r="F7659" s="0" t="s">
        <x:v>45</x:v>
      </x:c>
      <x:c r="G7659" s="0" t="s">
        <x:v>19</x:v>
      </x:c>
      <x:c r="H7659" s="0" t="s">
        <x:v>20</x:v>
      </x:c>
      <x:c r="I7659" s="0" t="s">
        <x:v>21</x:v>
      </x:c>
      <x:c r="K7659" s="0">
        <x:f>hyperlink("https://icd.who.int/dev11/l-ichi/en#/http%3A%2F%2Fid.who.int%2Ficd%2Fentity%2F44165113","browser")</x:f>
      </x:c>
      <x:c r="L7659" s="0">
        <x:f>hyperlink("https://icat2.azurewebsites.net/icat/?ontology=ICD&amp;tab=ClassesTab&amp;id=http%3A%2F%2Fwho.int%2Ficd%2346526_512ebf36_bf6b_4d70_85da_cf2637062af4","iCat")</x:f>
      </x:c>
      <x:c r="M7659" s="0" t="s">
        <x:v>21</x:v>
      </x:c>
      <x:c r="N7659" s="0" t="s">
        <x:v>46</x:v>
      </x:c>
    </x:row>
    <x:row r="7660" spans="1:16">
      <x:c r="A7660" s="0" t="s">
        <x:v>30501</x:v>
      </x:c>
      <x:c r="B7660" s="0" t="s">
        <x:v>30502</x:v>
      </x:c>
      <x:c r="C7660" s="0" t="s">
        <x:v>30503</x:v>
      </x:c>
      <x:c r="E7660" s="0" t="s">
        <x:v>30504</x:v>
      </x:c>
      <x:c r="F7660" s="0" t="s">
        <x:v>45</x:v>
      </x:c>
      <x:c r="G7660" s="0" t="s">
        <x:v>19</x:v>
      </x:c>
      <x:c r="H7660" s="0" t="s">
        <x:v>20</x:v>
      </x:c>
      <x:c r="I7660" s="0" t="s">
        <x:v>21</x:v>
      </x:c>
      <x:c r="K7660" s="0">
        <x:f>hyperlink("https://icd.who.int/dev11/l-ichi/en#/http%3A%2F%2Fid.who.int%2Ficd%2Fentity%2F219705195","browser")</x:f>
      </x:c>
      <x:c r="L7660" s="0">
        <x:f>hyperlink("https://icat2.azurewebsites.net/icat/?ontology=ICD&amp;tab=ClassesTab&amp;id=http%3A%2F%2Fwho.int%2Ficd%2346534_512ebf36_bf6b_4d70_85da_cf2637062af4","iCat")</x:f>
      </x:c>
      <x:c r="M7660" s="0" t="s">
        <x:v>21</x:v>
      </x:c>
      <x:c r="N7660" s="0" t="s">
        <x:v>46</x:v>
      </x:c>
    </x:row>
    <x:row r="7661" spans="1:16">
      <x:c r="A7661" s="0" t="s">
        <x:v>30505</x:v>
      </x:c>
      <x:c r="B7661" s="0" t="s">
        <x:v>30506</x:v>
      </x:c>
      <x:c r="C7661" s="0" t="s">
        <x:v>30507</x:v>
      </x:c>
      <x:c r="E7661" s="0" t="s">
        <x:v>30508</x:v>
      </x:c>
      <x:c r="F7661" s="0" t="s">
        <x:v>45</x:v>
      </x:c>
      <x:c r="G7661" s="0" t="s">
        <x:v>19</x:v>
      </x:c>
      <x:c r="H7661" s="0" t="s">
        <x:v>20</x:v>
      </x:c>
      <x:c r="I7661" s="0" t="s">
        <x:v>21</x:v>
      </x:c>
      <x:c r="K7661" s="0">
        <x:f>hyperlink("https://icd.who.int/dev11/l-ichi/en#/http%3A%2F%2Fid.who.int%2Ficd%2Fentity%2F1840620992","browser")</x:f>
      </x:c>
      <x:c r="L7661" s="0">
        <x:f>hyperlink("https://icat2.azurewebsites.net/icat/?ontology=ICD&amp;tab=ClassesTab&amp;id=http%3A%2F%2Fwho.int%2Ficd%2346542_512ebf36_bf6b_4d70_85da_cf2637062af4","iCat")</x:f>
      </x:c>
      <x:c r="M7661" s="0" t="s">
        <x:v>21</x:v>
      </x:c>
      <x:c r="N7661" s="0" t="s">
        <x:v>46</x:v>
      </x:c>
    </x:row>
    <x:row r="7662" spans="1:16">
      <x:c r="A7662" s="0" t="s">
        <x:v>30509</x:v>
      </x:c>
      <x:c r="B7662" s="0" t="s">
        <x:v>30510</x:v>
      </x:c>
      <x:c r="C7662" s="0" t="s">
        <x:v>30511</x:v>
      </x:c>
      <x:c r="E7662" s="0" t="s">
        <x:v>30512</x:v>
      </x:c>
      <x:c r="F7662" s="0" t="s">
        <x:v>45</x:v>
      </x:c>
      <x:c r="G7662" s="0" t="s">
        <x:v>19</x:v>
      </x:c>
      <x:c r="H7662" s="0" t="s">
        <x:v>20</x:v>
      </x:c>
      <x:c r="I7662" s="0" t="s">
        <x:v>21</x:v>
      </x:c>
      <x:c r="K7662" s="0">
        <x:f>hyperlink("https://icd.who.int/dev11/l-ichi/en#/http%3A%2F%2Fid.who.int%2Ficd%2Fentity%2F1644965202","browser")</x:f>
      </x:c>
      <x:c r="L7662" s="0">
        <x:f>hyperlink("https://icat2.azurewebsites.net/icat/?ontology=ICD&amp;tab=ClassesTab&amp;id=http%3A%2F%2Fwho.int%2Ficd%2346550_512ebf36_bf6b_4d70_85da_cf2637062af4","iCat")</x:f>
      </x:c>
      <x:c r="M7662" s="0" t="s">
        <x:v>21</x:v>
      </x:c>
      <x:c r="N7662" s="0" t="s">
        <x:v>46</x:v>
      </x:c>
    </x:row>
    <x:row r="7663" spans="1:16">
      <x:c r="A7663" s="0" t="s">
        <x:v>30513</x:v>
      </x:c>
      <x:c r="B7663" s="0" t="s">
        <x:v>30514</x:v>
      </x:c>
      <x:c r="C7663" s="0" t="s">
        <x:v>30515</x:v>
      </x:c>
      <x:c r="E7663" s="0" t="s">
        <x:v>30516</x:v>
      </x:c>
      <x:c r="F7663" s="0" t="s">
        <x:v>45</x:v>
      </x:c>
      <x:c r="G7663" s="0" t="s">
        <x:v>19</x:v>
      </x:c>
      <x:c r="H7663" s="0" t="s">
        <x:v>20</x:v>
      </x:c>
      <x:c r="I7663" s="0" t="s">
        <x:v>21</x:v>
      </x:c>
      <x:c r="K7663" s="0">
        <x:f>hyperlink("https://icd.who.int/dev11/l-ichi/en#/http%3A%2F%2Fid.who.int%2Ficd%2Fentity%2F747461639","browser")</x:f>
      </x:c>
      <x:c r="L7663" s="0">
        <x:f>hyperlink("https://icat2.azurewebsites.net/icat/?ontology=ICD&amp;tab=ClassesTab&amp;id=http%3A%2F%2Fwho.int%2Ficd%2346558_512ebf36_bf6b_4d70_85da_cf2637062af4","iCat")</x:f>
      </x:c>
      <x:c r="M7663" s="0" t="s">
        <x:v>21</x:v>
      </x:c>
      <x:c r="N7663" s="0" t="s">
        <x:v>46</x:v>
      </x:c>
    </x:row>
    <x:row r="7664" spans="1:16">
      <x:c r="A7664" s="0" t="s">
        <x:v>30517</x:v>
      </x:c>
      <x:c r="B7664" s="0" t="s">
        <x:v>30518</x:v>
      </x:c>
      <x:c r="C7664" s="0" t="s">
        <x:v>30519</x:v>
      </x:c>
      <x:c r="E7664" s="0" t="s">
        <x:v>30520</x:v>
      </x:c>
      <x:c r="F7664" s="0" t="s">
        <x:v>45</x:v>
      </x:c>
      <x:c r="G7664" s="0" t="s">
        <x:v>19</x:v>
      </x:c>
      <x:c r="H7664" s="0" t="s">
        <x:v>20</x:v>
      </x:c>
      <x:c r="I7664" s="0" t="s">
        <x:v>21</x:v>
      </x:c>
      <x:c r="K7664" s="0">
        <x:f>hyperlink("https://icd.who.int/dev11/l-ichi/en#/http%3A%2F%2Fid.who.int%2Ficd%2Fentity%2F1925625060","browser")</x:f>
      </x:c>
      <x:c r="L7664" s="0">
        <x:f>hyperlink("https://icat2.azurewebsites.net/icat/?ontology=ICD&amp;tab=ClassesTab&amp;id=http%3A%2F%2Fwho.int%2Ficd%2346566_512ebf36_bf6b_4d70_85da_cf2637062af4","iCat")</x:f>
      </x:c>
      <x:c r="M7664" s="0" t="s">
        <x:v>21</x:v>
      </x:c>
      <x:c r="N7664" s="0" t="s">
        <x:v>46</x:v>
      </x:c>
    </x:row>
    <x:row r="7665" spans="1:16">
      <x:c r="A7665" s="0" t="s">
        <x:v>30521</x:v>
      </x:c>
      <x:c r="B7665" s="0" t="s">
        <x:v>30522</x:v>
      </x:c>
      <x:c r="C7665" s="0" t="s">
        <x:v>30523</x:v>
      </x:c>
      <x:c r="E7665" s="0" t="s">
        <x:v>30524</x:v>
      </x:c>
      <x:c r="F7665" s="0" t="s">
        <x:v>45</x:v>
      </x:c>
      <x:c r="G7665" s="0" t="s">
        <x:v>19</x:v>
      </x:c>
      <x:c r="H7665" s="0" t="s">
        <x:v>20</x:v>
      </x:c>
      <x:c r="I7665" s="0" t="s">
        <x:v>21</x:v>
      </x:c>
      <x:c r="K7665" s="0">
        <x:f>hyperlink("https://icd.who.int/dev11/l-ichi/en#/http%3A%2F%2Fid.who.int%2Ficd%2Fentity%2F2105490550","browser")</x:f>
      </x:c>
      <x:c r="L7665" s="0">
        <x:f>hyperlink("https://icat2.azurewebsites.net/icat/?ontology=ICD&amp;tab=ClassesTab&amp;id=http%3A%2F%2Fwho.int%2Ficd%2346574_512ebf36_bf6b_4d70_85da_cf2637062af4","iCat")</x:f>
      </x:c>
      <x:c r="M7665" s="0" t="s">
        <x:v>21</x:v>
      </x:c>
      <x:c r="N7665" s="0" t="s">
        <x:v>46</x:v>
      </x:c>
    </x:row>
    <x:row r="7666" spans="1:16">
      <x:c r="A7666" s="0" t="s">
        <x:v>30525</x:v>
      </x:c>
      <x:c r="B7666" s="0" t="s">
        <x:v>30526</x:v>
      </x:c>
      <x:c r="C7666" s="0" t="s">
        <x:v>30527</x:v>
      </x:c>
      <x:c r="E7666" s="0" t="s">
        <x:v>30528</x:v>
      </x:c>
      <x:c r="F7666" s="0" t="s">
        <x:v>45</x:v>
      </x:c>
      <x:c r="G7666" s="0" t="s">
        <x:v>19</x:v>
      </x:c>
      <x:c r="H7666" s="0" t="s">
        <x:v>20</x:v>
      </x:c>
      <x:c r="I7666" s="0" t="s">
        <x:v>21</x:v>
      </x:c>
      <x:c r="K7666" s="0">
        <x:f>hyperlink("https://icd.who.int/dev11/l-ichi/en#/http%3A%2F%2Fid.who.int%2Ficd%2Fentity%2F48475929","browser")</x:f>
      </x:c>
      <x:c r="L7666" s="0">
        <x:f>hyperlink("https://icat2.azurewebsites.net/icat/?ontology=ICD&amp;tab=ClassesTab&amp;id=http%3A%2F%2Fwho.int%2Ficd%2346582_512ebf36_bf6b_4d70_85da_cf2637062af4","iCat")</x:f>
      </x:c>
      <x:c r="M7666" s="0" t="s">
        <x:v>21</x:v>
      </x:c>
      <x:c r="N7666" s="0" t="s">
        <x:v>46</x:v>
      </x:c>
    </x:row>
    <x:row r="7667" spans="1:16">
      <x:c r="A7667" s="0" t="s">
        <x:v>30529</x:v>
      </x:c>
      <x:c r="B7667" s="0" t="s">
        <x:v>30530</x:v>
      </x:c>
      <x:c r="C7667" s="0" t="s">
        <x:v>30531</x:v>
      </x:c>
      <x:c r="E7667" s="0" t="s">
        <x:v>30532</x:v>
      </x:c>
      <x:c r="F7667" s="0" t="s">
        <x:v>45</x:v>
      </x:c>
      <x:c r="G7667" s="0" t="s">
        <x:v>19</x:v>
      </x:c>
      <x:c r="H7667" s="0" t="s">
        <x:v>20</x:v>
      </x:c>
      <x:c r="I7667" s="0" t="s">
        <x:v>21</x:v>
      </x:c>
      <x:c r="K7667" s="0">
        <x:f>hyperlink("https://icd.who.int/dev11/l-ichi/en#/http%3A%2F%2Fid.who.int%2Ficd%2Fentity%2F166179253","browser")</x:f>
      </x:c>
      <x:c r="L7667" s="0">
        <x:f>hyperlink("https://icat2.azurewebsites.net/icat/?ontology=ICD&amp;tab=ClassesTab&amp;id=http%3A%2F%2Fwho.int%2Ficd%2346589_512ebf36_bf6b_4d70_85da_cf2637062af4","iCat")</x:f>
      </x:c>
      <x:c r="M7667" s="0" t="s">
        <x:v>21</x:v>
      </x:c>
      <x:c r="N7667" s="0" t="s">
        <x:v>46</x:v>
      </x:c>
    </x:row>
    <x:row r="7668" spans="1:16">
      <x:c r="A7668" s="0" t="s">
        <x:v>30533</x:v>
      </x:c>
      <x:c r="B7668" s="0" t="s">
        <x:v>30534</x:v>
      </x:c>
      <x:c r="C7668" s="0" t="s">
        <x:v>30535</x:v>
      </x:c>
      <x:c r="E7668" s="0" t="s">
        <x:v>30536</x:v>
      </x:c>
      <x:c r="F7668" s="0" t="s">
        <x:v>45</x:v>
      </x:c>
      <x:c r="G7668" s="0" t="s">
        <x:v>19</x:v>
      </x:c>
      <x:c r="H7668" s="0" t="s">
        <x:v>20</x:v>
      </x:c>
      <x:c r="I7668" s="0" t="s">
        <x:v>21</x:v>
      </x:c>
      <x:c r="K7668" s="0">
        <x:f>hyperlink("https://icd.who.int/dev11/l-ichi/en#/http%3A%2F%2Fid.who.int%2Ficd%2Fentity%2F2111343624","browser")</x:f>
      </x:c>
      <x:c r="L7668" s="0">
        <x:f>hyperlink("https://icat2.azurewebsites.net/icat/?ontology=ICD&amp;tab=ClassesTab&amp;id=http%3A%2F%2Fwho.int%2Ficd%2346597_512ebf36_bf6b_4d70_85da_cf2637062af4","iCat")</x:f>
      </x:c>
      <x:c r="M7668" s="0" t="s">
        <x:v>21</x:v>
      </x:c>
      <x:c r="N7668" s="0" t="s">
        <x:v>46</x:v>
      </x:c>
    </x:row>
    <x:row r="7669" spans="1:16">
      <x:c r="A7669" s="0" t="s">
        <x:v>30537</x:v>
      </x:c>
      <x:c r="B7669" s="0" t="s">
        <x:v>30538</x:v>
      </x:c>
      <x:c r="C7669" s="0" t="s">
        <x:v>30539</x:v>
      </x:c>
      <x:c r="E7669" s="0" t="s">
        <x:v>30540</x:v>
      </x:c>
      <x:c r="F7669" s="0" t="s">
        <x:v>45</x:v>
      </x:c>
      <x:c r="G7669" s="0" t="s">
        <x:v>19</x:v>
      </x:c>
      <x:c r="H7669" s="0" t="s">
        <x:v>20</x:v>
      </x:c>
      <x:c r="I7669" s="0" t="s">
        <x:v>21</x:v>
      </x:c>
      <x:c r="K7669" s="0">
        <x:f>hyperlink("https://icd.who.int/dev11/l-ichi/en#/http%3A%2F%2Fid.who.int%2Ficd%2Fentity%2F202369289","browser")</x:f>
      </x:c>
      <x:c r="L7669" s="0">
        <x:f>hyperlink("https://icat2.azurewebsites.net/icat/?ontology=ICD&amp;tab=ClassesTab&amp;id=http%3A%2F%2Fwho.int%2Ficd%2346605_512ebf36_bf6b_4d70_85da_cf2637062af4","iCat")</x:f>
      </x:c>
      <x:c r="M7669" s="0" t="s">
        <x:v>21</x:v>
      </x:c>
      <x:c r="N7669" s="0" t="s">
        <x:v>46</x:v>
      </x:c>
    </x:row>
    <x:row r="7670" spans="1:16">
      <x:c r="A7670" s="0" t="s">
        <x:v>30541</x:v>
      </x:c>
      <x:c r="B7670" s="0" t="s">
        <x:v>30542</x:v>
      </x:c>
      <x:c r="C7670" s="0" t="s">
        <x:v>30543</x:v>
      </x:c>
      <x:c r="E7670" s="0" t="s">
        <x:v>30544</x:v>
      </x:c>
      <x:c r="F7670" s="0" t="s">
        <x:v>45</x:v>
      </x:c>
      <x:c r="G7670" s="0" t="s">
        <x:v>19</x:v>
      </x:c>
      <x:c r="H7670" s="0" t="s">
        <x:v>20</x:v>
      </x:c>
      <x:c r="I7670" s="0" t="s">
        <x:v>21</x:v>
      </x:c>
      <x:c r="K7670" s="0">
        <x:f>hyperlink("https://icd.who.int/dev11/l-ichi/en#/http%3A%2F%2Fid.who.int%2Ficd%2Fentity%2F917612015","browser")</x:f>
      </x:c>
      <x:c r="L7670" s="0">
        <x:f>hyperlink("https://icat2.azurewebsites.net/icat/?ontology=ICD&amp;tab=ClassesTab&amp;id=http%3A%2F%2Fwho.int%2Ficd%2346613_512ebf36_bf6b_4d70_85da_cf2637062af4","iCat")</x:f>
      </x:c>
      <x:c r="M7670" s="0" t="s">
        <x:v>21</x:v>
      </x:c>
      <x:c r="N7670" s="0" t="s">
        <x:v>46</x:v>
      </x:c>
    </x:row>
    <x:row r="7671" spans="1:16">
      <x:c r="A7671" s="0" t="s">
        <x:v>30545</x:v>
      </x:c>
      <x:c r="B7671" s="0" t="s">
        <x:v>30546</x:v>
      </x:c>
      <x:c r="C7671" s="0" t="s">
        <x:v>30547</x:v>
      </x:c>
      <x:c r="E7671" s="0" t="s">
        <x:v>30548</x:v>
      </x:c>
      <x:c r="F7671" s="0" t="s">
        <x:v>45</x:v>
      </x:c>
      <x:c r="G7671" s="0" t="s">
        <x:v>19</x:v>
      </x:c>
      <x:c r="H7671" s="0" t="s">
        <x:v>20</x:v>
      </x:c>
      <x:c r="I7671" s="0" t="s">
        <x:v>21</x:v>
      </x:c>
      <x:c r="K7671" s="0">
        <x:f>hyperlink("https://icd.who.int/dev11/l-ichi/en#/http%3A%2F%2Fid.who.int%2Ficd%2Fentity%2F864389649","browser")</x:f>
      </x:c>
      <x:c r="L7671" s="0">
        <x:f>hyperlink("https://icat2.azurewebsites.net/icat/?ontology=ICD&amp;tab=ClassesTab&amp;id=http%3A%2F%2Fwho.int%2Ficd%2346620_512ebf36_bf6b_4d70_85da_cf2637062af4","iCat")</x:f>
      </x:c>
      <x:c r="M7671" s="0" t="s">
        <x:v>21</x:v>
      </x:c>
      <x:c r="N7671" s="0" t="s">
        <x:v>46</x:v>
      </x:c>
    </x:row>
    <x:row r="7672" spans="1:16">
      <x:c r="A7672" s="0" t="s">
        <x:v>30549</x:v>
      </x:c>
      <x:c r="B7672" s="0" t="s">
        <x:v>30550</x:v>
      </x:c>
      <x:c r="C7672" s="0" t="s">
        <x:v>30551</x:v>
      </x:c>
      <x:c r="E7672" s="0" t="s">
        <x:v>30552</x:v>
      </x:c>
      <x:c r="F7672" s="0" t="s">
        <x:v>45</x:v>
      </x:c>
      <x:c r="G7672" s="0" t="s">
        <x:v>19</x:v>
      </x:c>
      <x:c r="H7672" s="0" t="s">
        <x:v>20</x:v>
      </x:c>
      <x:c r="I7672" s="0" t="s">
        <x:v>21</x:v>
      </x:c>
      <x:c r="K7672" s="0">
        <x:f>hyperlink("https://icd.who.int/dev11/l-ichi/en#/http%3A%2F%2Fid.who.int%2Ficd%2Fentity%2F2097478468","browser")</x:f>
      </x:c>
      <x:c r="L7672" s="0">
        <x:f>hyperlink("https://icat2.azurewebsites.net/icat/?ontology=ICD&amp;tab=ClassesTab&amp;id=http%3A%2F%2Fwho.int%2Ficd%2346628_512ebf36_bf6b_4d70_85da_cf2637062af4","iCat")</x:f>
      </x:c>
      <x:c r="M7672" s="0" t="s">
        <x:v>21</x:v>
      </x:c>
      <x:c r="N7672" s="0" t="s">
        <x:v>46</x:v>
      </x:c>
    </x:row>
    <x:row r="7673" spans="1:16">
      <x:c r="A7673" s="0" t="s">
        <x:v>30553</x:v>
      </x:c>
      <x:c r="B7673" s="0" t="s">
        <x:v>30554</x:v>
      </x:c>
      <x:c r="C7673" s="0" t="s">
        <x:v>30555</x:v>
      </x:c>
      <x:c r="E7673" s="0" t="s">
        <x:v>30556</x:v>
      </x:c>
      <x:c r="F7673" s="0" t="s">
        <x:v>45</x:v>
      </x:c>
      <x:c r="G7673" s="0" t="s">
        <x:v>19</x:v>
      </x:c>
      <x:c r="H7673" s="0" t="s">
        <x:v>20</x:v>
      </x:c>
      <x:c r="I7673" s="0" t="s">
        <x:v>21</x:v>
      </x:c>
      <x:c r="K7673" s="0">
        <x:f>hyperlink("https://icd.who.int/dev11/l-ichi/en#/http%3A%2F%2Fid.who.int%2Ficd%2Fentity%2F1287563534","browser")</x:f>
      </x:c>
      <x:c r="L7673" s="0">
        <x:f>hyperlink("https://icat2.azurewebsites.net/icat/?ontology=ICD&amp;tab=ClassesTab&amp;id=http%3A%2F%2Fwho.int%2Ficd%2346635_512ebf36_bf6b_4d70_85da_cf2637062af4","iCat")</x:f>
      </x:c>
      <x:c r="M7673" s="0" t="s">
        <x:v>21</x:v>
      </x:c>
      <x:c r="N7673" s="0" t="s">
        <x:v>46</x:v>
      </x:c>
    </x:row>
    <x:row r="7674" spans="1:16">
      <x:c r="A7674" s="0" t="s">
        <x:v>30557</x:v>
      </x:c>
      <x:c r="B7674" s="0" t="s">
        <x:v>30558</x:v>
      </x:c>
      <x:c r="C7674" s="0" t="s">
        <x:v>30559</x:v>
      </x:c>
      <x:c r="E7674" s="0" t="s">
        <x:v>30560</x:v>
      </x:c>
      <x:c r="F7674" s="0" t="s">
        <x:v>45</x:v>
      </x:c>
      <x:c r="G7674" s="0" t="s">
        <x:v>19</x:v>
      </x:c>
      <x:c r="H7674" s="0" t="s">
        <x:v>20</x:v>
      </x:c>
      <x:c r="I7674" s="0" t="s">
        <x:v>21</x:v>
      </x:c>
      <x:c r="K7674" s="0">
        <x:f>hyperlink("https://icd.who.int/dev11/l-ichi/en#/http%3A%2F%2Fid.who.int%2Ficd%2Fentity%2F216666521","browser")</x:f>
      </x:c>
      <x:c r="L7674" s="0">
        <x:f>hyperlink("https://icat2.azurewebsites.net/icat/?ontology=ICD&amp;tab=ClassesTab&amp;id=http%3A%2F%2Fwho.int%2Ficd%2346642_512ebf36_bf6b_4d70_85da_cf2637062af4","iCat")</x:f>
      </x:c>
      <x:c r="M7674" s="0" t="s">
        <x:v>21</x:v>
      </x:c>
      <x:c r="N7674" s="0" t="s">
        <x:v>46</x:v>
      </x:c>
    </x:row>
    <x:row r="7675" spans="1:16">
      <x:c r="A7675" s="0" t="s">
        <x:v>30561</x:v>
      </x:c>
      <x:c r="B7675" s="0" t="s">
        <x:v>30562</x:v>
      </x:c>
      <x:c r="C7675" s="0" t="s">
        <x:v>30563</x:v>
      </x:c>
      <x:c r="E7675" s="0" t="s">
        <x:v>30564</x:v>
      </x:c>
      <x:c r="F7675" s="0" t="s">
        <x:v>45</x:v>
      </x:c>
      <x:c r="G7675" s="0" t="s">
        <x:v>19</x:v>
      </x:c>
      <x:c r="H7675" s="0" t="s">
        <x:v>20</x:v>
      </x:c>
      <x:c r="I7675" s="0" t="s">
        <x:v>21</x:v>
      </x:c>
      <x:c r="K7675" s="0">
        <x:f>hyperlink("https://icd.who.int/dev11/l-ichi/en#/http%3A%2F%2Fid.who.int%2Ficd%2Fentity%2F717186062","browser")</x:f>
      </x:c>
      <x:c r="L7675" s="0">
        <x:f>hyperlink("https://icat2.azurewebsites.net/icat/?ontology=ICD&amp;tab=ClassesTab&amp;id=http%3A%2F%2Fwho.int%2Ficd%23323_bdd70b8e_8a2a_40a7_80ae_a6a41ed79fbc","iCat")</x:f>
      </x:c>
      <x:c r="M7675" s="0" t="s">
        <x:v>21</x:v>
      </x:c>
      <x:c r="N7675" s="0" t="s">
        <x:v>46</x:v>
      </x:c>
    </x:row>
    <x:row r="7676" spans="1:16">
      <x:c r="A7676" s="0" t="s">
        <x:v>30565</x:v>
      </x:c>
      <x:c r="B7676" s="0" t="s">
        <x:v>30566</x:v>
      </x:c>
      <x:c r="C7676" s="0" t="s">
        <x:v>30567</x:v>
      </x:c>
      <x:c r="E7676" s="0" t="s">
        <x:v>30568</x:v>
      </x:c>
      <x:c r="F7676" s="0" t="s">
        <x:v>45</x:v>
      </x:c>
      <x:c r="G7676" s="0" t="s">
        <x:v>19</x:v>
      </x:c>
      <x:c r="H7676" s="0" t="s">
        <x:v>20</x:v>
      </x:c>
      <x:c r="I7676" s="0" t="s">
        <x:v>21</x:v>
      </x:c>
      <x:c r="K7676" s="0">
        <x:f>hyperlink("https://icd.who.int/dev11/l-ichi/en#/http%3A%2F%2Fid.who.int%2Ficd%2Fentity%2F21104798","browser")</x:f>
      </x:c>
      <x:c r="L7676" s="0">
        <x:f>hyperlink("https://icat2.azurewebsites.net/icat/?ontology=ICD&amp;tab=ClassesTab&amp;id=http%3A%2F%2Fwho.int%2Ficd%23329_bdd70b8e_8a2a_40a7_80ae_a6a41ed79fbc","iCat")</x:f>
      </x:c>
      <x:c r="M7676" s="0" t="s">
        <x:v>21</x:v>
      </x:c>
      <x:c r="N7676" s="0" t="s">
        <x:v>46</x:v>
      </x:c>
    </x:row>
    <x:row r="7677" spans="1:16">
      <x:c r="A7677" s="0" t="s">
        <x:v>30569</x:v>
      </x:c>
      <x:c r="B7677" s="0" t="s">
        <x:v>30570</x:v>
      </x:c>
      <x:c r="C7677" s="0" t="s">
        <x:v>30571</x:v>
      </x:c>
      <x:c r="E7677" s="0" t="s">
        <x:v>30572</x:v>
      </x:c>
      <x:c r="F7677" s="0" t="s">
        <x:v>45</x:v>
      </x:c>
      <x:c r="G7677" s="0" t="s">
        <x:v>19</x:v>
      </x:c>
      <x:c r="H7677" s="0" t="s">
        <x:v>20</x:v>
      </x:c>
      <x:c r="I7677" s="0" t="s">
        <x:v>21</x:v>
      </x:c>
      <x:c r="K7677" s="0">
        <x:f>hyperlink("https://icd.who.int/dev11/l-ichi/en#/http%3A%2F%2Fid.who.int%2Ficd%2Fentity%2F133041973","browser")</x:f>
      </x:c>
      <x:c r="L7677" s="0">
        <x:f>hyperlink("https://icat2.azurewebsites.net/icat/?ontology=ICD&amp;tab=ClassesTab&amp;id=http%3A%2F%2Fwho.int%2Ficd%2346649_512ebf36_bf6b_4d70_85da_cf2637062af4","iCat")</x:f>
      </x:c>
      <x:c r="M7677" s="0" t="s">
        <x:v>21</x:v>
      </x:c>
      <x:c r="N7677" s="0" t="s">
        <x:v>46</x:v>
      </x:c>
    </x:row>
    <x:row r="7678" spans="1:16">
      <x:c r="A7678" s="0" t="s">
        <x:v>30573</x:v>
      </x:c>
      <x:c r="B7678" s="0" t="s">
        <x:v>30574</x:v>
      </x:c>
      <x:c r="C7678" s="0" t="s">
        <x:v>30575</x:v>
      </x:c>
      <x:c r="E7678" s="0" t="s">
        <x:v>30576</x:v>
      </x:c>
      <x:c r="F7678" s="0" t="s">
        <x:v>45</x:v>
      </x:c>
      <x:c r="G7678" s="0" t="s">
        <x:v>19</x:v>
      </x:c>
      <x:c r="H7678" s="0" t="s">
        <x:v>20</x:v>
      </x:c>
      <x:c r="I7678" s="0" t="s">
        <x:v>21</x:v>
      </x:c>
      <x:c r="K7678" s="0">
        <x:f>hyperlink("https://icd.who.int/dev11/l-ichi/en#/http%3A%2F%2Fid.who.int%2Ficd%2Fentity%2F268511466","browser")</x:f>
      </x:c>
      <x:c r="L7678" s="0">
        <x:f>hyperlink("https://icat2.azurewebsites.net/icat/?ontology=ICD&amp;tab=ClassesTab&amp;id=http%3A%2F%2Fwho.int%2Ficd%23335_bdd70b8e_8a2a_40a7_80ae_a6a41ed79fbc","iCat")</x:f>
      </x:c>
      <x:c r="M7678" s="0" t="s">
        <x:v>21</x:v>
      </x:c>
      <x:c r="N7678" s="0" t="s">
        <x:v>46</x:v>
      </x:c>
    </x:row>
    <x:row r="7679" spans="1:16">
      <x:c r="A7679" s="0" t="s">
        <x:v>30577</x:v>
      </x:c>
      <x:c r="B7679" s="0" t="s">
        <x:v>30578</x:v>
      </x:c>
      <x:c r="C7679" s="0" t="s">
        <x:v>30579</x:v>
      </x:c>
      <x:c r="E7679" s="0" t="s">
        <x:v>30580</x:v>
      </x:c>
      <x:c r="F7679" s="0" t="s">
        <x:v>45</x:v>
      </x:c>
      <x:c r="G7679" s="0" t="s">
        <x:v>19</x:v>
      </x:c>
      <x:c r="H7679" s="0" t="s">
        <x:v>20</x:v>
      </x:c>
      <x:c r="I7679" s="0" t="s">
        <x:v>21</x:v>
      </x:c>
      <x:c r="K7679" s="0">
        <x:f>hyperlink("https://icd.who.int/dev11/l-ichi/en#/http%3A%2F%2Fid.who.int%2Ficd%2Fentity%2F366018440","browser")</x:f>
      </x:c>
      <x:c r="L7679" s="0">
        <x:f>hyperlink("https://icat2.azurewebsites.net/icat/?ontology=ICD&amp;tab=ClassesTab&amp;id=http%3A%2F%2Fwho.int%2Ficd%23341_bdd70b8e_8a2a_40a7_80ae_a6a41ed79fbc","iCat")</x:f>
      </x:c>
      <x:c r="M7679" s="0" t="s">
        <x:v>21</x:v>
      </x:c>
      <x:c r="N7679" s="0" t="s">
        <x:v>46</x:v>
      </x:c>
    </x:row>
    <x:row r="7680" spans="1:16">
      <x:c r="A7680" s="0" t="s">
        <x:v>30581</x:v>
      </x:c>
      <x:c r="B7680" s="0" t="s">
        <x:v>30582</x:v>
      </x:c>
      <x:c r="C7680" s="0" t="s">
        <x:v>30583</x:v>
      </x:c>
      <x:c r="E7680" s="0" t="s">
        <x:v>30584</x:v>
      </x:c>
      <x:c r="F7680" s="0" t="s">
        <x:v>45</x:v>
      </x:c>
      <x:c r="G7680" s="0" t="s">
        <x:v>19</x:v>
      </x:c>
      <x:c r="H7680" s="0" t="s">
        <x:v>20</x:v>
      </x:c>
      <x:c r="I7680" s="0" t="s">
        <x:v>21</x:v>
      </x:c>
      <x:c r="K7680" s="0">
        <x:f>hyperlink("https://icd.who.int/dev11/l-ichi/en#/http%3A%2F%2Fid.who.int%2Ficd%2Fentity%2F1168844343","browser")</x:f>
      </x:c>
      <x:c r="L7680" s="0">
        <x:f>hyperlink("https://icat2.azurewebsites.net/icat/?ontology=ICD&amp;tab=ClassesTab&amp;id=http%3A%2F%2Fwho.int%2Ficd%23347_bdd70b8e_8a2a_40a7_80ae_a6a41ed79fbc","iCat")</x:f>
      </x:c>
      <x:c r="M7680" s="0" t="s">
        <x:v>21</x:v>
      </x:c>
      <x:c r="N7680" s="0" t="s">
        <x:v>46</x:v>
      </x:c>
    </x:row>
    <x:row r="7681" spans="1:16">
      <x:c r="A7681" s="0" t="s">
        <x:v>30585</x:v>
      </x:c>
      <x:c r="B7681" s="0" t="s">
        <x:v>30586</x:v>
      </x:c>
      <x:c r="C7681" s="0" t="s">
        <x:v>30587</x:v>
      </x:c>
      <x:c r="E7681" s="0" t="s">
        <x:v>30588</x:v>
      </x:c>
      <x:c r="F7681" s="0" t="s">
        <x:v>45</x:v>
      </x:c>
      <x:c r="G7681" s="0" t="s">
        <x:v>19</x:v>
      </x:c>
      <x:c r="H7681" s="0" t="s">
        <x:v>20</x:v>
      </x:c>
      <x:c r="I7681" s="0" t="s">
        <x:v>21</x:v>
      </x:c>
      <x:c r="K7681" s="0">
        <x:f>hyperlink("https://icd.who.int/dev11/l-ichi/en#/http%3A%2F%2Fid.who.int%2Ficd%2Fentity%2F443119382","browser")</x:f>
      </x:c>
      <x:c r="L7681" s="0">
        <x:f>hyperlink("https://icat2.azurewebsites.net/icat/?ontology=ICD&amp;tab=ClassesTab&amp;id=http%3A%2F%2Fwho.int%2Ficd%23353_bdd70b8e_8a2a_40a7_80ae_a6a41ed79fbc","iCat")</x:f>
      </x:c>
      <x:c r="M7681" s="0" t="s">
        <x:v>21</x:v>
      </x:c>
      <x:c r="N7681" s="0" t="s">
        <x:v>46</x:v>
      </x:c>
    </x:row>
    <x:row r="7682" spans="1:16">
      <x:c r="A7682" s="0" t="s">
        <x:v>30589</x:v>
      </x:c>
      <x:c r="B7682" s="0" t="s">
        <x:v>30590</x:v>
      </x:c>
      <x:c r="C7682" s="0" t="s">
        <x:v>30591</x:v>
      </x:c>
      <x:c r="E7682" s="0" t="s">
        <x:v>30592</x:v>
      </x:c>
      <x:c r="F7682" s="0" t="s">
        <x:v>45</x:v>
      </x:c>
      <x:c r="G7682" s="0" t="s">
        <x:v>19</x:v>
      </x:c>
      <x:c r="H7682" s="0" t="s">
        <x:v>20</x:v>
      </x:c>
      <x:c r="I7682" s="0" t="s">
        <x:v>21</x:v>
      </x:c>
      <x:c r="K7682" s="0">
        <x:f>hyperlink("https://icd.who.int/dev11/l-ichi/en#/http%3A%2F%2Fid.who.int%2Ficd%2Fentity%2F831789958","browser")</x:f>
      </x:c>
      <x:c r="L7682" s="0">
        <x:f>hyperlink("https://icat2.azurewebsites.net/icat/?ontology=ICD&amp;tab=ClassesTab&amp;id=http%3A%2F%2Fwho.int%2Ficd%23359_bdd70b8e_8a2a_40a7_80ae_a6a41ed79fbc","iCat")</x:f>
      </x:c>
      <x:c r="M7682" s="0" t="s">
        <x:v>21</x:v>
      </x:c>
      <x:c r="N7682" s="0" t="s">
        <x:v>46</x:v>
      </x:c>
    </x:row>
    <x:row r="7683" spans="1:16">
      <x:c r="A7683" s="0" t="s">
        <x:v>30593</x:v>
      </x:c>
      <x:c r="B7683" s="0" t="s">
        <x:v>30594</x:v>
      </x:c>
      <x:c r="C7683" s="0" t="s">
        <x:v>30595</x:v>
      </x:c>
      <x:c r="E7683" s="0" t="s">
        <x:v>30596</x:v>
      </x:c>
      <x:c r="F7683" s="0" t="s">
        <x:v>45</x:v>
      </x:c>
      <x:c r="G7683" s="0" t="s">
        <x:v>19</x:v>
      </x:c>
      <x:c r="H7683" s="0" t="s">
        <x:v>20</x:v>
      </x:c>
      <x:c r="I7683" s="0" t="s">
        <x:v>21</x:v>
      </x:c>
      <x:c r="K7683" s="0">
        <x:f>hyperlink("https://icd.who.int/dev11/l-ichi/en#/http%3A%2F%2Fid.who.int%2Ficd%2Fentity%2F178515620","browser")</x:f>
      </x:c>
      <x:c r="L7683" s="0">
        <x:f>hyperlink("https://icat2.azurewebsites.net/icat/?ontology=ICD&amp;tab=ClassesTab&amp;id=http%3A%2F%2Fwho.int%2Ficd%23365_bdd70b8e_8a2a_40a7_80ae_a6a41ed79fbc","iCat")</x:f>
      </x:c>
      <x:c r="M7683" s="0" t="s">
        <x:v>21</x:v>
      </x:c>
      <x:c r="N7683" s="0" t="s">
        <x:v>46</x:v>
      </x:c>
    </x:row>
    <x:row r="7684" spans="1:16">
      <x:c r="A7684" s="0" t="s">
        <x:v>30597</x:v>
      </x:c>
      <x:c r="B7684" s="0" t="s">
        <x:v>30598</x:v>
      </x:c>
      <x:c r="C7684" s="0" t="s">
        <x:v>30599</x:v>
      </x:c>
      <x:c r="E7684" s="0" t="s">
        <x:v>30600</x:v>
      </x:c>
      <x:c r="F7684" s="0" t="s">
        <x:v>45</x:v>
      </x:c>
      <x:c r="G7684" s="0" t="s">
        <x:v>19</x:v>
      </x:c>
      <x:c r="H7684" s="0" t="s">
        <x:v>20</x:v>
      </x:c>
      <x:c r="I7684" s="0" t="s">
        <x:v>21</x:v>
      </x:c>
      <x:c r="K7684" s="0">
        <x:f>hyperlink("https://icd.who.int/dev11/l-ichi/en#/http%3A%2F%2Fid.who.int%2Ficd%2Fentity%2F1395146938","browser")</x:f>
      </x:c>
      <x:c r="L7684" s="0">
        <x:f>hyperlink("https://icat2.azurewebsites.net/icat/?ontology=ICD&amp;tab=ClassesTab&amp;id=http%3A%2F%2Fwho.int%2Ficd%2346656_512ebf36_bf6b_4d70_85da_cf2637062af4","iCat")</x:f>
      </x:c>
      <x:c r="M7684" s="0" t="s">
        <x:v>21</x:v>
      </x:c>
      <x:c r="N7684" s="0" t="s">
        <x:v>46</x:v>
      </x:c>
    </x:row>
    <x:row r="7685" spans="1:16">
      <x:c r="A7685" s="0" t="s">
        <x:v>30601</x:v>
      </x:c>
      <x:c r="B7685" s="0" t="s">
        <x:v>30602</x:v>
      </x:c>
      <x:c r="C7685" s="0" t="s">
        <x:v>30603</x:v>
      </x:c>
      <x:c r="E7685" s="0" t="s">
        <x:v>30604</x:v>
      </x:c>
      <x:c r="F7685" s="0" t="s">
        <x:v>45</x:v>
      </x:c>
      <x:c r="G7685" s="0" t="s">
        <x:v>19</x:v>
      </x:c>
      <x:c r="H7685" s="0" t="s">
        <x:v>20</x:v>
      </x:c>
      <x:c r="I7685" s="0" t="s">
        <x:v>21</x:v>
      </x:c>
      <x:c r="K7685" s="0">
        <x:f>hyperlink("https://icd.who.int/dev11/l-ichi/en#/http%3A%2F%2Fid.who.int%2Ficd%2Fentity%2F107460341","browser")</x:f>
      </x:c>
      <x:c r="L7685" s="0">
        <x:f>hyperlink("https://icat2.azurewebsites.net/icat/?ontology=ICD&amp;tab=ClassesTab&amp;id=http%3A%2F%2Fwho.int%2Ficd%2346663_512ebf36_bf6b_4d70_85da_cf2637062af4","iCat")</x:f>
      </x:c>
      <x:c r="M7685" s="0" t="s">
        <x:v>21</x:v>
      </x:c>
      <x:c r="N7685" s="0" t="s">
        <x:v>46</x:v>
      </x:c>
    </x:row>
    <x:row r="7686" spans="1:16">
      <x:c r="A7686" s="0" t="s">
        <x:v>30605</x:v>
      </x:c>
      <x:c r="B7686" s="0" t="s">
        <x:v>30606</x:v>
      </x:c>
      <x:c r="C7686" s="0" t="s">
        <x:v>30607</x:v>
      </x:c>
      <x:c r="E7686" s="0" t="s">
        <x:v>30608</x:v>
      </x:c>
      <x:c r="F7686" s="0" t="s">
        <x:v>45</x:v>
      </x:c>
      <x:c r="G7686" s="0" t="s">
        <x:v>19</x:v>
      </x:c>
      <x:c r="H7686" s="0" t="s">
        <x:v>20</x:v>
      </x:c>
      <x:c r="I7686" s="0" t="s">
        <x:v>21</x:v>
      </x:c>
      <x:c r="K7686" s="0">
        <x:f>hyperlink("https://icd.who.int/dev11/l-ichi/en#/http%3A%2F%2Fid.who.int%2Ficd%2Fentity%2F690441307","browser")</x:f>
      </x:c>
      <x:c r="L7686" s="0">
        <x:f>hyperlink("https://icat2.azurewebsites.net/icat/?ontology=ICD&amp;tab=ClassesTab&amp;id=http%3A%2F%2Fwho.int%2Ficd%2346670_512ebf36_bf6b_4d70_85da_cf2637062af4","iCat")</x:f>
      </x:c>
      <x:c r="M7686" s="0" t="s">
        <x:v>21</x:v>
      </x:c>
      <x:c r="N7686" s="0" t="s">
        <x:v>46</x:v>
      </x:c>
    </x:row>
    <x:row r="7687" spans="1:16">
      <x:c r="A7687" s="0" t="s">
        <x:v>30609</x:v>
      </x:c>
      <x:c r="B7687" s="0" t="s">
        <x:v>30610</x:v>
      </x:c>
      <x:c r="C7687" s="0" t="s">
        <x:v>30611</x:v>
      </x:c>
      <x:c r="E7687" s="0" t="s">
        <x:v>30612</x:v>
      </x:c>
      <x:c r="F7687" s="0" t="s">
        <x:v>45</x:v>
      </x:c>
      <x:c r="G7687" s="0" t="s">
        <x:v>19</x:v>
      </x:c>
      <x:c r="H7687" s="0" t="s">
        <x:v>20</x:v>
      </x:c>
      <x:c r="I7687" s="0" t="s">
        <x:v>21</x:v>
      </x:c>
      <x:c r="K7687" s="0">
        <x:f>hyperlink("https://icd.who.int/dev11/l-ichi/en#/http%3A%2F%2Fid.who.int%2Ficd%2Fentity%2F1998461112","browser")</x:f>
      </x:c>
      <x:c r="L7687" s="0">
        <x:f>hyperlink("https://icat2.azurewebsites.net/icat/?ontology=ICD&amp;tab=ClassesTab&amp;id=http%3A%2F%2Fwho.int%2Ficd%23526_e87d5413_a3ef_41e3_b1c4_bdb20d4d591d","iCat")</x:f>
      </x:c>
      <x:c r="M7687" s="0" t="s">
        <x:v>21</x:v>
      </x:c>
      <x:c r="N7687" s="0" t="s">
        <x:v>46</x:v>
      </x:c>
    </x:row>
    <x:row r="7688" spans="1:16">
      <x:c r="A7688" s="0" t="s">
        <x:v>30613</x:v>
      </x:c>
      <x:c r="B7688" s="0" t="s">
        <x:v>30614</x:v>
      </x:c>
      <x:c r="C7688" s="0" t="s">
        <x:v>30615</x:v>
      </x:c>
      <x:c r="E7688" s="0" t="s">
        <x:v>30616</x:v>
      </x:c>
      <x:c r="F7688" s="0" t="s">
        <x:v>45</x:v>
      </x:c>
      <x:c r="G7688" s="0" t="s">
        <x:v>19</x:v>
      </x:c>
      <x:c r="H7688" s="0" t="s">
        <x:v>20</x:v>
      </x:c>
      <x:c r="I7688" s="0" t="s">
        <x:v>21</x:v>
      </x:c>
      <x:c r="K7688" s="0">
        <x:f>hyperlink("https://icd.who.int/dev11/l-ichi/en#/http%3A%2F%2Fid.who.int%2Ficd%2Fentity%2F685525403","browser")</x:f>
      </x:c>
      <x:c r="L7688" s="0">
        <x:f>hyperlink("https://icat2.azurewebsites.net/icat/?ontology=ICD&amp;tab=ClassesTab&amp;id=http%3A%2F%2Fwho.int%2Ficd%23532_e87d5413_a3ef_41e3_b1c4_bdb20d4d591d","iCat")</x:f>
      </x:c>
      <x:c r="M7688" s="0" t="s">
        <x:v>21</x:v>
      </x:c>
      <x:c r="N7688" s="0" t="s">
        <x:v>46</x:v>
      </x:c>
    </x:row>
    <x:row r="7689" spans="1:16">
      <x:c r="A7689" s="0" t="s">
        <x:v>30617</x:v>
      </x:c>
      <x:c r="B7689" s="0" t="s">
        <x:v>30618</x:v>
      </x:c>
      <x:c r="C7689" s="0" t="s">
        <x:v>30619</x:v>
      </x:c>
      <x:c r="E7689" s="0" t="s">
        <x:v>30620</x:v>
      </x:c>
      <x:c r="F7689" s="0" t="s">
        <x:v>45</x:v>
      </x:c>
      <x:c r="G7689" s="0" t="s">
        <x:v>19</x:v>
      </x:c>
      <x:c r="H7689" s="0" t="s">
        <x:v>20</x:v>
      </x:c>
      <x:c r="I7689" s="0" t="s">
        <x:v>21</x:v>
      </x:c>
      <x:c r="K7689" s="0">
        <x:f>hyperlink("https://icd.who.int/dev11/l-ichi/en#/http%3A%2F%2Fid.who.int%2Ficd%2Fentity%2F1504045014","browser")</x:f>
      </x:c>
      <x:c r="L7689" s="0">
        <x:f>hyperlink("https://icat2.azurewebsites.net/icat/?ontology=ICD&amp;tab=ClassesTab&amp;id=http%3A%2F%2Fwho.int%2Ficd%2346677_512ebf36_bf6b_4d70_85da_cf2637062af4","iCat")</x:f>
      </x:c>
      <x:c r="M7689" s="0" t="s">
        <x:v>21</x:v>
      </x:c>
      <x:c r="N7689" s="0" t="s">
        <x:v>46</x:v>
      </x:c>
    </x:row>
    <x:row r="7690" spans="1:16">
      <x:c r="A7690" s="0" t="s">
        <x:v>30621</x:v>
      </x:c>
      <x:c r="B7690" s="0" t="s">
        <x:v>30622</x:v>
      </x:c>
      <x:c r="C7690" s="0" t="s">
        <x:v>30623</x:v>
      </x:c>
      <x:c r="E7690" s="0" t="s">
        <x:v>30624</x:v>
      </x:c>
      <x:c r="F7690" s="0" t="s">
        <x:v>45</x:v>
      </x:c>
      <x:c r="G7690" s="0" t="s">
        <x:v>19</x:v>
      </x:c>
      <x:c r="H7690" s="0" t="s">
        <x:v>20</x:v>
      </x:c>
      <x:c r="I7690" s="0" t="s">
        <x:v>21</x:v>
      </x:c>
      <x:c r="K7690" s="0">
        <x:f>hyperlink("https://icd.who.int/dev11/l-ichi/en#/http%3A%2F%2Fid.who.int%2Ficd%2Fentity%2F1731295646","browser")</x:f>
      </x:c>
      <x:c r="L7690" s="0">
        <x:f>hyperlink("https://icat2.azurewebsites.net/icat/?ontology=ICD&amp;tab=ClassesTab&amp;id=http%3A%2F%2Fwho.int%2Ficd%23557_e87d5413_a3ef_41e3_b1c4_bdb20d4d591d","iCat")</x:f>
      </x:c>
      <x:c r="M7690" s="0" t="s">
        <x:v>21</x:v>
      </x:c>
      <x:c r="N7690" s="0" t="s">
        <x:v>46</x:v>
      </x:c>
    </x:row>
    <x:row r="7691" spans="1:16">
      <x:c r="A7691" s="0" t="s">
        <x:v>30625</x:v>
      </x:c>
      <x:c r="B7691" s="0" t="s">
        <x:v>30626</x:v>
      </x:c>
      <x:c r="C7691" s="0" t="s">
        <x:v>30627</x:v>
      </x:c>
      <x:c r="E7691" s="0" t="s">
        <x:v>30628</x:v>
      </x:c>
      <x:c r="F7691" s="0" t="s">
        <x:v>45</x:v>
      </x:c>
      <x:c r="G7691" s="0" t="s">
        <x:v>19</x:v>
      </x:c>
      <x:c r="H7691" s="0" t="s">
        <x:v>20</x:v>
      </x:c>
      <x:c r="I7691" s="0" t="s">
        <x:v>21</x:v>
      </x:c>
      <x:c r="K7691" s="0">
        <x:f>hyperlink("https://icd.who.int/dev11/l-ichi/en#/http%3A%2F%2Fid.who.int%2Ficd%2Fentity%2F895683372","browser")</x:f>
      </x:c>
      <x:c r="L7691" s="0">
        <x:f>hyperlink("https://icat2.azurewebsites.net/icat/?ontology=ICD&amp;tab=ClassesTab&amp;id=http%3A%2F%2Fwho.int%2Ficd%23258_e87d5413_a3ef_41e3_b1c4_bdb20d4d591d","iCat")</x:f>
      </x:c>
      <x:c r="M7691" s="0" t="s">
        <x:v>21</x:v>
      </x:c>
      <x:c r="N7691" s="0" t="s">
        <x:v>46</x:v>
      </x:c>
    </x:row>
    <x:row r="7692" spans="1:16">
      <x:c r="A7692" s="0" t="s">
        <x:v>30629</x:v>
      </x:c>
      <x:c r="B7692" s="0" t="s">
        <x:v>30630</x:v>
      </x:c>
      <x:c r="C7692" s="0" t="s">
        <x:v>30631</x:v>
      </x:c>
      <x:c r="E7692" s="0" t="s">
        <x:v>30632</x:v>
      </x:c>
      <x:c r="F7692" s="0" t="s">
        <x:v>45</x:v>
      </x:c>
      <x:c r="G7692" s="0" t="s">
        <x:v>19</x:v>
      </x:c>
      <x:c r="H7692" s="0" t="s">
        <x:v>20</x:v>
      </x:c>
      <x:c r="I7692" s="0" t="s">
        <x:v>21</x:v>
      </x:c>
      <x:c r="K7692" s="0">
        <x:f>hyperlink("https://icd.who.int/dev11/l-ichi/en#/http%3A%2F%2Fid.who.int%2Ficd%2Fentity%2F1133536524","browser")</x:f>
      </x:c>
      <x:c r="L7692" s="0">
        <x:f>hyperlink("https://icat2.azurewebsites.net/icat/?ontology=ICD&amp;tab=ClassesTab&amp;id=http%3A%2F%2Fwho.int%2Ficd%23508_e87d5413_a3ef_41e3_b1c4_bdb20d4d591d","iCat")</x:f>
      </x:c>
      <x:c r="M7692" s="0" t="s">
        <x:v>21</x:v>
      </x:c>
      <x:c r="N7692" s="0" t="s">
        <x:v>46</x:v>
      </x:c>
    </x:row>
    <x:row r="7693" spans="1:16">
      <x:c r="A7693" s="0" t="s">
        <x:v>30633</x:v>
      </x:c>
      <x:c r="B7693" s="0" t="s">
        <x:v>30634</x:v>
      </x:c>
      <x:c r="C7693" s="0" t="s">
        <x:v>30635</x:v>
      </x:c>
      <x:c r="E7693" s="0" t="s">
        <x:v>30636</x:v>
      </x:c>
      <x:c r="F7693" s="0" t="s">
        <x:v>45</x:v>
      </x:c>
      <x:c r="G7693" s="0" t="s">
        <x:v>19</x:v>
      </x:c>
      <x:c r="H7693" s="0" t="s">
        <x:v>20</x:v>
      </x:c>
      <x:c r="I7693" s="0" t="s">
        <x:v>21</x:v>
      </x:c>
      <x:c r="K7693" s="0">
        <x:f>hyperlink("https://icd.who.int/dev11/l-ichi/en#/http%3A%2F%2Fid.who.int%2Ficd%2Fentity%2F397660691","browser")</x:f>
      </x:c>
      <x:c r="L7693" s="0">
        <x:f>hyperlink("https://icat2.azurewebsites.net/icat/?ontology=ICD&amp;tab=ClassesTab&amp;id=http%3A%2F%2Fwho.int%2Ficd%23550_e87d5413_a3ef_41e3_b1c4_bdb20d4d591d","iCat")</x:f>
      </x:c>
      <x:c r="M7693" s="0" t="s">
        <x:v>21</x:v>
      </x:c>
      <x:c r="N7693" s="0" t="s">
        <x:v>46</x:v>
      </x:c>
    </x:row>
    <x:row r="7694" spans="1:16">
      <x:c r="A7694" s="0" t="s">
        <x:v>30637</x:v>
      </x:c>
      <x:c r="B7694" s="0" t="s">
        <x:v>30638</x:v>
      </x:c>
      <x:c r="C7694" s="0" t="s">
        <x:v>30639</x:v>
      </x:c>
      <x:c r="E7694" s="0" t="s">
        <x:v>30640</x:v>
      </x:c>
      <x:c r="F7694" s="0" t="s">
        <x:v>45</x:v>
      </x:c>
      <x:c r="G7694" s="0" t="s">
        <x:v>19</x:v>
      </x:c>
      <x:c r="H7694" s="0" t="s">
        <x:v>20</x:v>
      </x:c>
      <x:c r="I7694" s="0" t="s">
        <x:v>21</x:v>
      </x:c>
      <x:c r="K7694" s="0">
        <x:f>hyperlink("https://icd.who.int/dev11/l-ichi/en#/http%3A%2F%2Fid.who.int%2Ficd%2Fentity%2F52503819","browser")</x:f>
      </x:c>
      <x:c r="L7694" s="0">
        <x:f>hyperlink("https://icat2.azurewebsites.net/icat/?ontology=ICD&amp;tab=ClassesTab&amp;id=http%3A%2F%2Fwho.int%2Ficd%23538_e87d5413_a3ef_41e3_b1c4_bdb20d4d591d","iCat")</x:f>
      </x:c>
      <x:c r="M7694" s="0" t="s">
        <x:v>21</x:v>
      </x:c>
      <x:c r="N7694" s="0" t="s">
        <x:v>46</x:v>
      </x:c>
    </x:row>
    <x:row r="7695" spans="1:16">
      <x:c r="A7695" s="0" t="s">
        <x:v>30641</x:v>
      </x:c>
      <x:c r="B7695" s="0" t="s">
        <x:v>30642</x:v>
      </x:c>
      <x:c r="C7695" s="0" t="s">
        <x:v>30643</x:v>
      </x:c>
      <x:c r="E7695" s="0" t="s">
        <x:v>30644</x:v>
      </x:c>
      <x:c r="F7695" s="0" t="s">
        <x:v>45</x:v>
      </x:c>
      <x:c r="G7695" s="0" t="s">
        <x:v>19</x:v>
      </x:c>
      <x:c r="H7695" s="0" t="s">
        <x:v>20</x:v>
      </x:c>
      <x:c r="I7695" s="0" t="s">
        <x:v>21</x:v>
      </x:c>
      <x:c r="K7695" s="0">
        <x:f>hyperlink("https://icd.who.int/dev11/l-ichi/en#/http%3A%2F%2Fid.who.int%2Ficd%2Fentity%2F287829802","browser")</x:f>
      </x:c>
      <x:c r="L7695" s="0">
        <x:f>hyperlink("https://icat2.azurewebsites.net/icat/?ontology=ICD&amp;tab=ClassesTab&amp;id=http%3A%2F%2Fwho.int%2Ficd%23240_e87d5413_a3ef_41e3_b1c4_bdb20d4d591d","iCat")</x:f>
      </x:c>
      <x:c r="M7695" s="0" t="s">
        <x:v>21</x:v>
      </x:c>
      <x:c r="N7695" s="0" t="s">
        <x:v>46</x:v>
      </x:c>
    </x:row>
    <x:row r="7696" spans="1:16">
      <x:c r="A7696" s="0" t="s">
        <x:v>30645</x:v>
      </x:c>
      <x:c r="B7696" s="0" t="s">
        <x:v>30646</x:v>
      </x:c>
      <x:c r="C7696" s="0" t="s">
        <x:v>30647</x:v>
      </x:c>
      <x:c r="E7696" s="0" t="s">
        <x:v>30648</x:v>
      </x:c>
      <x:c r="F7696" s="0" t="s">
        <x:v>45</x:v>
      </x:c>
      <x:c r="G7696" s="0" t="s">
        <x:v>19</x:v>
      </x:c>
      <x:c r="H7696" s="0" t="s">
        <x:v>20</x:v>
      </x:c>
      <x:c r="I7696" s="0" t="s">
        <x:v>21</x:v>
      </x:c>
      <x:c r="K7696" s="0">
        <x:f>hyperlink("https://icd.who.int/dev11/l-ichi/en#/http%3A%2F%2Fid.who.int%2Ficd%2Fentity%2F351680584","browser")</x:f>
      </x:c>
      <x:c r="L7696" s="0">
        <x:f>hyperlink("https://icat2.azurewebsites.net/icat/?ontology=ICD&amp;tab=ClassesTab&amp;id=http%3A%2F%2Fwho.int%2Ficd%23234_e87d5413_a3ef_41e3_b1c4_bdb20d4d591d","iCat")</x:f>
      </x:c>
      <x:c r="M7696" s="0" t="s">
        <x:v>21</x:v>
      </x:c>
      <x:c r="N7696" s="0" t="s">
        <x:v>46</x:v>
      </x:c>
    </x:row>
    <x:row r="7697" spans="1:16">
      <x:c r="A7697" s="0" t="s">
        <x:v>30649</x:v>
      </x:c>
      <x:c r="B7697" s="0" t="s">
        <x:v>30650</x:v>
      </x:c>
      <x:c r="C7697" s="0" t="s">
        <x:v>30651</x:v>
      </x:c>
      <x:c r="E7697" s="0" t="s">
        <x:v>30652</x:v>
      </x:c>
      <x:c r="F7697" s="0" t="s">
        <x:v>45</x:v>
      </x:c>
      <x:c r="G7697" s="0" t="s">
        <x:v>19</x:v>
      </x:c>
      <x:c r="H7697" s="0" t="s">
        <x:v>20</x:v>
      </x:c>
      <x:c r="I7697" s="0" t="s">
        <x:v>21</x:v>
      </x:c>
      <x:c r="K7697" s="0">
        <x:f>hyperlink("https://icd.who.int/dev11/l-ichi/en#/http%3A%2F%2Fid.who.int%2Ficd%2Fentity%2F868729585","browser")</x:f>
      </x:c>
      <x:c r="L7697" s="0">
        <x:f>hyperlink("https://icat2.azurewebsites.net/icat/?ontology=ICD&amp;tab=ClassesTab&amp;id=http%3A%2F%2Fwho.int%2Ficd%2346684_512ebf36_bf6b_4d70_85da_cf2637062af4","iCat")</x:f>
      </x:c>
      <x:c r="M7697" s="0" t="s">
        <x:v>21</x:v>
      </x:c>
      <x:c r="N7697" s="0" t="s">
        <x:v>46</x:v>
      </x:c>
    </x:row>
    <x:row r="7698" spans="1:16">
      <x:c r="A7698" s="0" t="s">
        <x:v>30653</x:v>
      </x:c>
      <x:c r="B7698" s="0" t="s">
        <x:v>30654</x:v>
      </x:c>
      <x:c r="C7698" s="0" t="s">
        <x:v>30655</x:v>
      </x:c>
      <x:c r="E7698" s="0" t="s">
        <x:v>30656</x:v>
      </x:c>
      <x:c r="F7698" s="0" t="s">
        <x:v>45</x:v>
      </x:c>
      <x:c r="G7698" s="0" t="s">
        <x:v>19</x:v>
      </x:c>
      <x:c r="H7698" s="0" t="s">
        <x:v>20</x:v>
      </x:c>
      <x:c r="I7698" s="0" t="s">
        <x:v>21</x:v>
      </x:c>
      <x:c r="K7698" s="0">
        <x:f>hyperlink("https://icd.who.int/dev11/l-ichi/en#/http%3A%2F%2Fid.who.int%2Ficd%2Fentity%2F1291641328","browser")</x:f>
      </x:c>
      <x:c r="L7698" s="0">
        <x:f>hyperlink("https://icat2.azurewebsites.net/icat/?ontology=ICD&amp;tab=ClassesTab&amp;id=http%3A%2F%2Fwho.int%2Ficd%2346691_512ebf36_bf6b_4d70_85da_cf2637062af4","iCat")</x:f>
      </x:c>
      <x:c r="M7698" s="0" t="s">
        <x:v>21</x:v>
      </x:c>
      <x:c r="N7698" s="0" t="s">
        <x:v>46</x:v>
      </x:c>
    </x:row>
    <x:row r="7699" spans="1:16">
      <x:c r="A7699" s="0" t="s">
        <x:v>30657</x:v>
      </x:c>
      <x:c r="B7699" s="0" t="s">
        <x:v>30658</x:v>
      </x:c>
      <x:c r="C7699" s="0" t="s">
        <x:v>30659</x:v>
      </x:c>
      <x:c r="E7699" s="0" t="s">
        <x:v>30660</x:v>
      </x:c>
      <x:c r="F7699" s="0" t="s">
        <x:v>45</x:v>
      </x:c>
      <x:c r="G7699" s="0" t="s">
        <x:v>19</x:v>
      </x:c>
      <x:c r="H7699" s="0" t="s">
        <x:v>20</x:v>
      </x:c>
      <x:c r="I7699" s="0" t="s">
        <x:v>21</x:v>
      </x:c>
      <x:c r="K7699" s="0">
        <x:f>hyperlink("https://icd.who.int/dev11/l-ichi/en#/http%3A%2F%2Fid.who.int%2Ficd%2Fentity%2F579134087","browser")</x:f>
      </x:c>
      <x:c r="L7699" s="0">
        <x:f>hyperlink("https://icat2.azurewebsites.net/icat/?ontology=ICD&amp;tab=ClassesTab&amp;id=http%3A%2F%2Fwho.int%2Ficd%2346698_512ebf36_bf6b_4d70_85da_cf2637062af4","iCat")</x:f>
      </x:c>
      <x:c r="M7699" s="0" t="s">
        <x:v>21</x:v>
      </x:c>
      <x:c r="N7699" s="0" t="s">
        <x:v>46</x:v>
      </x:c>
    </x:row>
    <x:row r="7700" spans="1:16">
      <x:c r="A7700" s="0" t="s">
        <x:v>30661</x:v>
      </x:c>
      <x:c r="B7700" s="0" t="s">
        <x:v>30662</x:v>
      </x:c>
      <x:c r="C7700" s="0" t="s">
        <x:v>30663</x:v>
      </x:c>
      <x:c r="E7700" s="0" t="s">
        <x:v>30664</x:v>
      </x:c>
      <x:c r="F7700" s="0" t="s">
        <x:v>45</x:v>
      </x:c>
      <x:c r="G7700" s="0" t="s">
        <x:v>19</x:v>
      </x:c>
      <x:c r="H7700" s="0" t="s">
        <x:v>20</x:v>
      </x:c>
      <x:c r="I7700" s="0" t="s">
        <x:v>21</x:v>
      </x:c>
      <x:c r="K7700" s="0">
        <x:f>hyperlink("https://icd.who.int/dev11/l-ichi/en#/http%3A%2F%2Fid.who.int%2Ficd%2Fentity%2F2039492502","browser")</x:f>
      </x:c>
      <x:c r="L7700" s="0">
        <x:f>hyperlink("https://icat2.azurewebsites.net/icat/?ontology=ICD&amp;tab=ClassesTab&amp;id=http%3A%2F%2Fwho.int%2Ficd%2346705_512ebf36_bf6b_4d70_85da_cf2637062af4","iCat")</x:f>
      </x:c>
      <x:c r="M7700" s="0" t="s">
        <x:v>21</x:v>
      </x:c>
      <x:c r="N7700" s="0" t="s">
        <x:v>46</x:v>
      </x:c>
    </x:row>
    <x:row r="7701" spans="1:16">
      <x:c r="A7701" s="0" t="s">
        <x:v>30665</x:v>
      </x:c>
      <x:c r="B7701" s="0" t="s">
        <x:v>30666</x:v>
      </x:c>
      <x:c r="C7701" s="0" t="s">
        <x:v>30667</x:v>
      </x:c>
      <x:c r="E7701" s="0" t="s">
        <x:v>30668</x:v>
      </x:c>
      <x:c r="F7701" s="0" t="s">
        <x:v>45</x:v>
      </x:c>
      <x:c r="G7701" s="0" t="s">
        <x:v>19</x:v>
      </x:c>
      <x:c r="H7701" s="0" t="s">
        <x:v>20</x:v>
      </x:c>
      <x:c r="I7701" s="0" t="s">
        <x:v>21</x:v>
      </x:c>
      <x:c r="K7701" s="0">
        <x:f>hyperlink("https://icd.who.int/dev11/l-ichi/en#/http%3A%2F%2Fid.who.int%2Ficd%2Fentity%2F1675039056","browser")</x:f>
      </x:c>
      <x:c r="L7701" s="0">
        <x:f>hyperlink("https://icat2.azurewebsites.net/icat/?ontology=ICD&amp;tab=ClassesTab&amp;id=http%3A%2F%2Fwho.int%2Ficd%2346712_512ebf36_bf6b_4d70_85da_cf2637062af4","iCat")</x:f>
      </x:c>
      <x:c r="M7701" s="0" t="s">
        <x:v>21</x:v>
      </x:c>
      <x:c r="N7701" s="0" t="s">
        <x:v>46</x:v>
      </x:c>
    </x:row>
    <x:row r="7702" spans="1:16">
      <x:c r="A7702" s="0" t="s">
        <x:v>30669</x:v>
      </x:c>
      <x:c r="B7702" s="0" t="s">
        <x:v>30670</x:v>
      </x:c>
      <x:c r="C7702" s="0" t="s">
        <x:v>30671</x:v>
      </x:c>
      <x:c r="E7702" s="0" t="s">
        <x:v>30672</x:v>
      </x:c>
      <x:c r="F7702" s="0" t="s">
        <x:v>45</x:v>
      </x:c>
      <x:c r="G7702" s="0" t="s">
        <x:v>19</x:v>
      </x:c>
      <x:c r="H7702" s="0" t="s">
        <x:v>20</x:v>
      </x:c>
      <x:c r="I7702" s="0" t="s">
        <x:v>21</x:v>
      </x:c>
      <x:c r="K7702" s="0">
        <x:f>hyperlink("https://icd.who.int/dev11/l-ichi/en#/http%3A%2F%2Fid.who.int%2Ficd%2Fentity%2F1758662626","browser")</x:f>
      </x:c>
      <x:c r="L7702" s="0">
        <x:f>hyperlink("https://icat2.azurewebsites.net/icat/?ontology=ICD&amp;tab=ClassesTab&amp;id=http%3A%2F%2Fwho.int%2Ficd%2346719_512ebf36_bf6b_4d70_85da_cf2637062af4","iCat")</x:f>
      </x:c>
      <x:c r="M7702" s="0" t="s">
        <x:v>21</x:v>
      </x:c>
      <x:c r="N7702" s="0" t="s">
        <x:v>46</x:v>
      </x:c>
    </x:row>
    <x:row r="7703" spans="1:16">
      <x:c r="A7703" s="0" t="s">
        <x:v>30673</x:v>
      </x:c>
      <x:c r="B7703" s="0" t="s">
        <x:v>30674</x:v>
      </x:c>
      <x:c r="C7703" s="0" t="s">
        <x:v>30675</x:v>
      </x:c>
      <x:c r="E7703" s="0" t="s">
        <x:v>30676</x:v>
      </x:c>
      <x:c r="F7703" s="0" t="s">
        <x:v>45</x:v>
      </x:c>
      <x:c r="G7703" s="0" t="s">
        <x:v>19</x:v>
      </x:c>
      <x:c r="H7703" s="0" t="s">
        <x:v>20</x:v>
      </x:c>
      <x:c r="I7703" s="0" t="s">
        <x:v>21</x:v>
      </x:c>
      <x:c r="K7703" s="0">
        <x:f>hyperlink("https://icd.who.int/dev11/l-ichi/en#/http%3A%2F%2Fid.who.int%2Ficd%2Fentity%2F375493949","browser")</x:f>
      </x:c>
      <x:c r="L7703" s="0">
        <x:f>hyperlink("https://icat2.azurewebsites.net/icat/?ontology=ICD&amp;tab=ClassesTab&amp;id=http%3A%2F%2Fwho.int%2Ficd%2346726_512ebf36_bf6b_4d70_85da_cf2637062af4","iCat")</x:f>
      </x:c>
      <x:c r="M7703" s="0" t="s">
        <x:v>21</x:v>
      </x:c>
      <x:c r="N7703" s="0" t="s">
        <x:v>46</x:v>
      </x:c>
    </x:row>
    <x:row r="7704" spans="1:16">
      <x:c r="A7704" s="0" t="s">
        <x:v>30677</x:v>
      </x:c>
      <x:c r="B7704" s="0" t="s">
        <x:v>30678</x:v>
      </x:c>
      <x:c r="C7704" s="0" t="s">
        <x:v>30679</x:v>
      </x:c>
      <x:c r="E7704" s="0" t="s">
        <x:v>30680</x:v>
      </x:c>
      <x:c r="F7704" s="0" t="s">
        <x:v>45</x:v>
      </x:c>
      <x:c r="G7704" s="0" t="s">
        <x:v>19</x:v>
      </x:c>
      <x:c r="H7704" s="0" t="s">
        <x:v>20</x:v>
      </x:c>
      <x:c r="I7704" s="0" t="s">
        <x:v>21</x:v>
      </x:c>
      <x:c r="K7704" s="0">
        <x:f>hyperlink("https://icd.who.int/dev11/l-ichi/en#/http%3A%2F%2Fid.who.int%2Ficd%2Fentity%2F1767552548","browser")</x:f>
      </x:c>
      <x:c r="L7704" s="0">
        <x:f>hyperlink("https://icat2.azurewebsites.net/icat/?ontology=ICD&amp;tab=ClassesTab&amp;id=http%3A%2F%2Fwho.int%2Ficd%2346733_512ebf36_bf6b_4d70_85da_cf2637062af4","iCat")</x:f>
      </x:c>
      <x:c r="M7704" s="0" t="s">
        <x:v>21</x:v>
      </x:c>
      <x:c r="N7704" s="0" t="s">
        <x:v>46</x:v>
      </x:c>
    </x:row>
    <x:row r="7705" spans="1:16">
      <x:c r="A7705" s="0" t="s">
        <x:v>30681</x:v>
      </x:c>
      <x:c r="B7705" s="0" t="s">
        <x:v>30682</x:v>
      </x:c>
      <x:c r="C7705" s="0" t="s">
        <x:v>30683</x:v>
      </x:c>
      <x:c r="E7705" s="0" t="s">
        <x:v>30684</x:v>
      </x:c>
      <x:c r="F7705" s="0" t="s">
        <x:v>45</x:v>
      </x:c>
      <x:c r="G7705" s="0" t="s">
        <x:v>19</x:v>
      </x:c>
      <x:c r="H7705" s="0" t="s">
        <x:v>20</x:v>
      </x:c>
      <x:c r="I7705" s="0" t="s">
        <x:v>21</x:v>
      </x:c>
      <x:c r="K7705" s="0">
        <x:f>hyperlink("https://icd.who.int/dev11/l-ichi/en#/http%3A%2F%2Fid.who.int%2Ficd%2Fentity%2F470403777","browser")</x:f>
      </x:c>
      <x:c r="L7705" s="0">
        <x:f>hyperlink("https://icat2.azurewebsites.net/icat/?ontology=ICD&amp;tab=ClassesTab&amp;id=http%3A%2F%2Fwho.int%2Ficd%2346740_512ebf36_bf6b_4d70_85da_cf2637062af4","iCat")</x:f>
      </x:c>
      <x:c r="M7705" s="0" t="s">
        <x:v>21</x:v>
      </x:c>
      <x:c r="N7705" s="0" t="s">
        <x:v>46</x:v>
      </x:c>
    </x:row>
    <x:row r="7706" spans="1:16">
      <x:c r="A7706" s="0" t="s">
        <x:v>30685</x:v>
      </x:c>
      <x:c r="B7706" s="0" t="s">
        <x:v>30686</x:v>
      </x:c>
      <x:c r="C7706" s="0" t="s">
        <x:v>30687</x:v>
      </x:c>
      <x:c r="E7706" s="0" t="s">
        <x:v>30688</x:v>
      </x:c>
      <x:c r="F7706" s="0" t="s">
        <x:v>45</x:v>
      </x:c>
      <x:c r="G7706" s="0" t="s">
        <x:v>19</x:v>
      </x:c>
      <x:c r="H7706" s="0" t="s">
        <x:v>20</x:v>
      </x:c>
      <x:c r="I7706" s="0" t="s">
        <x:v>21</x:v>
      </x:c>
      <x:c r="K7706" s="0">
        <x:f>hyperlink("https://icd.who.int/dev11/l-ichi/en#/http%3A%2F%2Fid.who.int%2Ficd%2Fentity%2F629636184","browser")</x:f>
      </x:c>
      <x:c r="L7706" s="0">
        <x:f>hyperlink("https://icat2.azurewebsites.net/icat/?ontology=ICD&amp;tab=ClassesTab&amp;id=http%3A%2F%2Fwho.int%2Ficd%2368_3c64dd61_a787_4b69_a0aa_c26ee473e65a","iCat")</x:f>
      </x:c>
      <x:c r="M7706" s="0" t="s">
        <x:v>21</x:v>
      </x:c>
      <x:c r="N7706" s="0" t="s">
        <x:v>46</x:v>
      </x:c>
    </x:row>
    <x:row r="7707" spans="1:16">
      <x:c r="A7707" s="0" t="s">
        <x:v>30689</x:v>
      </x:c>
      <x:c r="B7707" s="0" t="s">
        <x:v>30690</x:v>
      </x:c>
      <x:c r="C7707" s="0" t="s">
        <x:v>30691</x:v>
      </x:c>
      <x:c r="E7707" s="0" t="s">
        <x:v>30692</x:v>
      </x:c>
      <x:c r="F7707" s="0" t="s">
        <x:v>45</x:v>
      </x:c>
      <x:c r="G7707" s="0" t="s">
        <x:v>19</x:v>
      </x:c>
      <x:c r="H7707" s="0" t="s">
        <x:v>20</x:v>
      </x:c>
      <x:c r="I7707" s="0" t="s">
        <x:v>21</x:v>
      </x:c>
      <x:c r="K7707" s="0">
        <x:f>hyperlink("https://icd.who.int/dev11/l-ichi/en#/http%3A%2F%2Fid.who.int%2Ficd%2Fentity%2F1821073742","browser")</x:f>
      </x:c>
      <x:c r="L7707" s="0">
        <x:f>hyperlink("https://icat2.azurewebsites.net/icat/?ontology=ICD&amp;tab=ClassesTab&amp;id=http%3A%2F%2Fwho.int%2Ficd%2346747_512ebf36_bf6b_4d70_85da_cf2637062af4","iCat")</x:f>
      </x:c>
      <x:c r="M7707" s="0" t="s">
        <x:v>21</x:v>
      </x:c>
      <x:c r="N7707" s="0" t="s">
        <x:v>46</x:v>
      </x:c>
    </x:row>
    <x:row r="7708" spans="1:16">
      <x:c r="A7708" s="0" t="s">
        <x:v>30693</x:v>
      </x:c>
      <x:c r="B7708" s="0" t="s">
        <x:v>30694</x:v>
      </x:c>
      <x:c r="C7708" s="0" t="s">
        <x:v>30695</x:v>
      </x:c>
      <x:c r="E7708" s="0" t="s">
        <x:v>30696</x:v>
      </x:c>
      <x:c r="F7708" s="0" t="s">
        <x:v>45</x:v>
      </x:c>
      <x:c r="G7708" s="0" t="s">
        <x:v>19</x:v>
      </x:c>
      <x:c r="H7708" s="0" t="s">
        <x:v>20</x:v>
      </x:c>
      <x:c r="I7708" s="0" t="s">
        <x:v>21</x:v>
      </x:c>
      <x:c r="K7708" s="0">
        <x:f>hyperlink("https://icd.who.int/dev11/l-ichi/en#/http%3A%2F%2Fid.who.int%2Ficd%2Fentity%2F1813415748","browser")</x:f>
      </x:c>
      <x:c r="L7708" s="0">
        <x:f>hyperlink("https://icat2.azurewebsites.net/icat/?ontology=ICD&amp;tab=ClassesTab&amp;id=http%3A%2F%2Fwho.int%2Ficd%230_e87d5413_a3ef_41e3_b1c4_bdb20d4d591d","iCat")</x:f>
      </x:c>
      <x:c r="M7708" s="0" t="s">
        <x:v>21</x:v>
      </x:c>
      <x:c r="N7708" s="0" t="s">
        <x:v>46</x:v>
      </x:c>
    </x:row>
    <x:row r="7709" spans="1:16">
      <x:c r="A7709" s="0" t="s">
        <x:v>30697</x:v>
      </x:c>
      <x:c r="B7709" s="0" t="s">
        <x:v>30698</x:v>
      </x:c>
      <x:c r="C7709" s="0" t="s">
        <x:v>30699</x:v>
      </x:c>
      <x:c r="E7709" s="0" t="s">
        <x:v>30700</x:v>
      </x:c>
      <x:c r="F7709" s="0" t="s">
        <x:v>45</x:v>
      </x:c>
      <x:c r="G7709" s="0" t="s">
        <x:v>19</x:v>
      </x:c>
      <x:c r="H7709" s="0" t="s">
        <x:v>20</x:v>
      </x:c>
      <x:c r="I7709" s="0" t="s">
        <x:v>21</x:v>
      </x:c>
      <x:c r="K7709" s="0">
        <x:f>hyperlink("https://icd.who.int/dev11/l-ichi/en#/http%3A%2F%2Fid.who.int%2Ficd%2Fentity%2F1013800693","browser")</x:f>
      </x:c>
      <x:c r="L7709" s="0">
        <x:f>hyperlink("https://icat2.azurewebsites.net/icat/?ontology=ICD&amp;tab=ClassesTab&amp;id=http%3A%2F%2Fwho.int%2Ficd%236_e87d5413_a3ef_41e3_b1c4_bdb20d4d591d","iCat")</x:f>
      </x:c>
      <x:c r="M7709" s="0" t="s">
        <x:v>21</x:v>
      </x:c>
      <x:c r="N7709" s="0" t="s">
        <x:v>46</x:v>
      </x:c>
    </x:row>
    <x:row r="7710" spans="1:16">
      <x:c r="A7710" s="0" t="s">
        <x:v>30701</x:v>
      </x:c>
      <x:c r="B7710" s="0" t="s">
        <x:v>30702</x:v>
      </x:c>
      <x:c r="C7710" s="0" t="s">
        <x:v>30703</x:v>
      </x:c>
      <x:c r="E7710" s="0" t="s">
        <x:v>30704</x:v>
      </x:c>
      <x:c r="F7710" s="0" t="s">
        <x:v>45</x:v>
      </x:c>
      <x:c r="G7710" s="0" t="s">
        <x:v>19</x:v>
      </x:c>
      <x:c r="H7710" s="0" t="s">
        <x:v>20</x:v>
      </x:c>
      <x:c r="I7710" s="0" t="s">
        <x:v>21</x:v>
      </x:c>
      <x:c r="K7710" s="0">
        <x:f>hyperlink("https://icd.who.int/dev11/l-ichi/en#/http%3A%2F%2Fid.who.int%2Ficd%2Fentity%2F88951084","browser")</x:f>
      </x:c>
      <x:c r="L7710" s="0">
        <x:f>hyperlink("https://icat2.azurewebsites.net/icat/?ontology=ICD&amp;tab=ClassesTab&amp;id=http%3A%2F%2Fwho.int%2Ficd%2312_e87d5413_a3ef_41e3_b1c4_bdb20d4d591d","iCat")</x:f>
      </x:c>
      <x:c r="M7710" s="0" t="s">
        <x:v>21</x:v>
      </x:c>
      <x:c r="N7710" s="0" t="s">
        <x:v>46</x:v>
      </x:c>
    </x:row>
    <x:row r="7711" spans="1:16">
      <x:c r="A7711" s="0" t="s">
        <x:v>30705</x:v>
      </x:c>
      <x:c r="B7711" s="0" t="s">
        <x:v>30706</x:v>
      </x:c>
      <x:c r="C7711" s="0" t="s">
        <x:v>30707</x:v>
      </x:c>
      <x:c r="E7711" s="0" t="s">
        <x:v>30708</x:v>
      </x:c>
      <x:c r="F7711" s="0" t="s">
        <x:v>45</x:v>
      </x:c>
      <x:c r="G7711" s="0" t="s">
        <x:v>19</x:v>
      </x:c>
      <x:c r="H7711" s="0" t="s">
        <x:v>20</x:v>
      </x:c>
      <x:c r="I7711" s="0" t="s">
        <x:v>21</x:v>
      </x:c>
      <x:c r="K7711" s="0">
        <x:f>hyperlink("https://icd.who.int/dev11/l-ichi/en#/http%3A%2F%2Fid.who.int%2Ficd%2Fentity%2F783295932","browser")</x:f>
      </x:c>
      <x:c r="L7711" s="0">
        <x:f>hyperlink("https://icat2.azurewebsites.net/icat/?ontology=ICD&amp;tab=ClassesTab&amp;id=http%3A%2F%2Fwho.int%2Ficd%2318_e87d5413_a3ef_41e3_b1c4_bdb20d4d591d","iCat")</x:f>
      </x:c>
      <x:c r="M7711" s="0" t="s">
        <x:v>21</x:v>
      </x:c>
      <x:c r="N7711" s="0" t="s">
        <x:v>46</x:v>
      </x:c>
    </x:row>
    <x:row r="7712" spans="1:16">
      <x:c r="A7712" s="0" t="s">
        <x:v>30709</x:v>
      </x:c>
      <x:c r="B7712" s="0" t="s">
        <x:v>30710</x:v>
      </x:c>
      <x:c r="C7712" s="0" t="s">
        <x:v>30711</x:v>
      </x:c>
      <x:c r="E7712" s="0" t="s">
        <x:v>30712</x:v>
      </x:c>
      <x:c r="F7712" s="0" t="s">
        <x:v>45</x:v>
      </x:c>
      <x:c r="G7712" s="0" t="s">
        <x:v>19</x:v>
      </x:c>
      <x:c r="H7712" s="0" t="s">
        <x:v>20</x:v>
      </x:c>
      <x:c r="I7712" s="0" t="s">
        <x:v>21</x:v>
      </x:c>
      <x:c r="K7712" s="0">
        <x:f>hyperlink("https://icd.who.int/dev11/l-ichi/en#/http%3A%2F%2Fid.who.int%2Ficd%2Fentity%2F361222302","browser")</x:f>
      </x:c>
      <x:c r="L7712" s="0">
        <x:f>hyperlink("https://icat2.azurewebsites.net/icat/?ontology=ICD&amp;tab=ClassesTab&amp;id=http%3A%2F%2Fwho.int%2Ficd%2324_e87d5413_a3ef_41e3_b1c4_bdb20d4d591d","iCat")</x:f>
      </x:c>
      <x:c r="M7712" s="0" t="s">
        <x:v>21</x:v>
      </x:c>
      <x:c r="N7712" s="0" t="s">
        <x:v>46</x:v>
      </x:c>
    </x:row>
    <x:row r="7713" spans="1:16">
      <x:c r="A7713" s="0" t="s">
        <x:v>30713</x:v>
      </x:c>
      <x:c r="B7713" s="0" t="s">
        <x:v>30714</x:v>
      </x:c>
      <x:c r="C7713" s="0" t="s">
        <x:v>30715</x:v>
      </x:c>
      <x:c r="E7713" s="0" t="s">
        <x:v>30716</x:v>
      </x:c>
      <x:c r="F7713" s="0" t="s">
        <x:v>45</x:v>
      </x:c>
      <x:c r="G7713" s="0" t="s">
        <x:v>19</x:v>
      </x:c>
      <x:c r="H7713" s="0" t="s">
        <x:v>20</x:v>
      </x:c>
      <x:c r="I7713" s="0" t="s">
        <x:v>21</x:v>
      </x:c>
      <x:c r="K7713" s="0">
        <x:f>hyperlink("https://icd.who.int/dev11/l-ichi/en#/http%3A%2F%2Fid.who.int%2Ficd%2Fentity%2F1246069183","browser")</x:f>
      </x:c>
      <x:c r="L7713" s="0">
        <x:f>hyperlink("https://icat2.azurewebsites.net/icat/?ontology=ICD&amp;tab=ClassesTab&amp;id=http%3A%2F%2Fwho.int%2Ficd%2330_e87d5413_a3ef_41e3_b1c4_bdb20d4d591d","iCat")</x:f>
      </x:c>
      <x:c r="M7713" s="0" t="s">
        <x:v>21</x:v>
      </x:c>
      <x:c r="N7713" s="0" t="s">
        <x:v>46</x:v>
      </x:c>
    </x:row>
    <x:row r="7714" spans="1:16">
      <x:c r="A7714" s="0" t="s">
        <x:v>30717</x:v>
      </x:c>
      <x:c r="B7714" s="0" t="s">
        <x:v>30718</x:v>
      </x:c>
      <x:c r="C7714" s="0" t="s">
        <x:v>30719</x:v>
      </x:c>
      <x:c r="E7714" s="0" t="s">
        <x:v>30720</x:v>
      </x:c>
      <x:c r="F7714" s="0" t="s">
        <x:v>45</x:v>
      </x:c>
      <x:c r="G7714" s="0" t="s">
        <x:v>19</x:v>
      </x:c>
      <x:c r="H7714" s="0" t="s">
        <x:v>20</x:v>
      </x:c>
      <x:c r="I7714" s="0" t="s">
        <x:v>21</x:v>
      </x:c>
      <x:c r="K7714" s="0">
        <x:f>hyperlink("https://icd.who.int/dev11/l-ichi/en#/http%3A%2F%2Fid.who.int%2Ficd%2Fentity%2F440293392","browser")</x:f>
      </x:c>
      <x:c r="L7714" s="0">
        <x:f>hyperlink("https://icat2.azurewebsites.net/icat/?ontology=ICD&amp;tab=ClassesTab&amp;id=http%3A%2F%2Fwho.int%2Ficd%2336_e87d5413_a3ef_41e3_b1c4_bdb20d4d591d","iCat")</x:f>
      </x:c>
      <x:c r="M7714" s="0" t="s">
        <x:v>21</x:v>
      </x:c>
      <x:c r="N7714" s="0" t="s">
        <x:v>46</x:v>
      </x:c>
    </x:row>
    <x:row r="7715" spans="1:16">
      <x:c r="A7715" s="0" t="s">
        <x:v>30721</x:v>
      </x:c>
      <x:c r="B7715" s="0" t="s">
        <x:v>30722</x:v>
      </x:c>
      <x:c r="C7715" s="0" t="s">
        <x:v>30723</x:v>
      </x:c>
      <x:c r="E7715" s="0" t="s">
        <x:v>30724</x:v>
      </x:c>
      <x:c r="F7715" s="0" t="s">
        <x:v>45</x:v>
      </x:c>
      <x:c r="G7715" s="0" t="s">
        <x:v>19</x:v>
      </x:c>
      <x:c r="H7715" s="0" t="s">
        <x:v>20</x:v>
      </x:c>
      <x:c r="I7715" s="0" t="s">
        <x:v>21</x:v>
      </x:c>
      <x:c r="K7715" s="0">
        <x:f>hyperlink("https://icd.who.int/dev11/l-ichi/en#/http%3A%2F%2Fid.who.int%2Ficd%2Fentity%2F535793506","browser")</x:f>
      </x:c>
      <x:c r="L7715" s="0">
        <x:f>hyperlink("https://icat2.azurewebsites.net/icat/?ontology=ICD&amp;tab=ClassesTab&amp;id=http%3A%2F%2Fwho.int%2Ficd%2342_e87d5413_a3ef_41e3_b1c4_bdb20d4d591d","iCat")</x:f>
      </x:c>
      <x:c r="M7715" s="0" t="s">
        <x:v>21</x:v>
      </x:c>
      <x:c r="N7715" s="0" t="s">
        <x:v>46</x:v>
      </x:c>
    </x:row>
    <x:row r="7716" spans="1:16">
      <x:c r="A7716" s="0" t="s">
        <x:v>30725</x:v>
      </x:c>
      <x:c r="B7716" s="0" t="s">
        <x:v>30726</x:v>
      </x:c>
      <x:c r="C7716" s="0" t="s">
        <x:v>30727</x:v>
      </x:c>
      <x:c r="E7716" s="0" t="s">
        <x:v>30728</x:v>
      </x:c>
      <x:c r="F7716" s="0" t="s">
        <x:v>45</x:v>
      </x:c>
      <x:c r="G7716" s="0" t="s">
        <x:v>19</x:v>
      </x:c>
      <x:c r="H7716" s="0" t="s">
        <x:v>20</x:v>
      </x:c>
      <x:c r="I7716" s="0" t="s">
        <x:v>21</x:v>
      </x:c>
      <x:c r="K7716" s="0">
        <x:f>hyperlink("https://icd.who.int/dev11/l-ichi/en#/http%3A%2F%2Fid.who.int%2Ficd%2Fentity%2F873653234","browser")</x:f>
      </x:c>
      <x:c r="L7716" s="0">
        <x:f>hyperlink("https://icat2.azurewebsites.net/icat/?ontology=ICD&amp;tab=ClassesTab&amp;id=http%3A%2F%2Fwho.int%2Ficd%2348_e87d5413_a3ef_41e3_b1c4_bdb20d4d591d","iCat")</x:f>
      </x:c>
      <x:c r="M7716" s="0" t="s">
        <x:v>21</x:v>
      </x:c>
      <x:c r="N7716" s="0" t="s">
        <x:v>46</x:v>
      </x:c>
    </x:row>
    <x:row r="7717" spans="1:16">
      <x:c r="A7717" s="0" t="s">
        <x:v>30729</x:v>
      </x:c>
      <x:c r="B7717" s="0" t="s">
        <x:v>30730</x:v>
      </x:c>
      <x:c r="C7717" s="0" t="s">
        <x:v>30731</x:v>
      </x:c>
      <x:c r="E7717" s="0" t="s">
        <x:v>30732</x:v>
      </x:c>
      <x:c r="F7717" s="0" t="s">
        <x:v>45</x:v>
      </x:c>
      <x:c r="G7717" s="0" t="s">
        <x:v>19</x:v>
      </x:c>
      <x:c r="H7717" s="0" t="s">
        <x:v>20</x:v>
      </x:c>
      <x:c r="I7717" s="0" t="s">
        <x:v>21</x:v>
      </x:c>
      <x:c r="K7717" s="0">
        <x:f>hyperlink("https://icd.who.int/dev11/l-ichi/en#/http%3A%2F%2Fid.who.int%2Ficd%2Fentity%2F626115462","browser")</x:f>
      </x:c>
      <x:c r="L7717" s="0">
        <x:f>hyperlink("https://icat2.azurewebsites.net/icat/?ontology=ICD&amp;tab=ClassesTab&amp;id=http%3A%2F%2Fwho.int%2Ficd%2354_e87d5413_a3ef_41e3_b1c4_bdb20d4d591d","iCat")</x:f>
      </x:c>
      <x:c r="M7717" s="0" t="s">
        <x:v>21</x:v>
      </x:c>
      <x:c r="N7717" s="0" t="s">
        <x:v>46</x:v>
      </x:c>
    </x:row>
    <x:row r="7718" spans="1:16">
      <x:c r="A7718" s="0" t="s">
        <x:v>30733</x:v>
      </x:c>
      <x:c r="B7718" s="0" t="s">
        <x:v>30734</x:v>
      </x:c>
      <x:c r="C7718" s="0" t="s">
        <x:v>30735</x:v>
      </x:c>
      <x:c r="E7718" s="0" t="s">
        <x:v>30736</x:v>
      </x:c>
      <x:c r="F7718" s="0" t="s">
        <x:v>45</x:v>
      </x:c>
      <x:c r="G7718" s="0" t="s">
        <x:v>19</x:v>
      </x:c>
      <x:c r="H7718" s="0" t="s">
        <x:v>20</x:v>
      </x:c>
      <x:c r="I7718" s="0" t="s">
        <x:v>21</x:v>
      </x:c>
      <x:c r="K7718" s="0">
        <x:f>hyperlink("https://icd.who.int/dev11/l-ichi/en#/http%3A%2F%2Fid.who.int%2Ficd%2Fentity%2F1357334517","browser")</x:f>
      </x:c>
      <x:c r="L7718" s="0">
        <x:f>hyperlink("https://icat2.azurewebsites.net/icat/?ontology=ICD&amp;tab=ClassesTab&amp;id=http%3A%2F%2Fwho.int%2Ficd%2360_e87d5413_a3ef_41e3_b1c4_bdb20d4d591d","iCat")</x:f>
      </x:c>
      <x:c r="M7718" s="0" t="s">
        <x:v>21</x:v>
      </x:c>
      <x:c r="N7718" s="0" t="s">
        <x:v>46</x:v>
      </x:c>
    </x:row>
    <x:row r="7719" spans="1:16">
      <x:c r="A7719" s="0" t="s">
        <x:v>30737</x:v>
      </x:c>
      <x:c r="B7719" s="0" t="s">
        <x:v>30738</x:v>
      </x:c>
      <x:c r="C7719" s="0" t="s">
        <x:v>30739</x:v>
      </x:c>
      <x:c r="E7719" s="0" t="s">
        <x:v>30740</x:v>
      </x:c>
      <x:c r="F7719" s="0" t="s">
        <x:v>45</x:v>
      </x:c>
      <x:c r="G7719" s="0" t="s">
        <x:v>19</x:v>
      </x:c>
      <x:c r="H7719" s="0" t="s">
        <x:v>20</x:v>
      </x:c>
      <x:c r="I7719" s="0" t="s">
        <x:v>21</x:v>
      </x:c>
      <x:c r="K7719" s="0">
        <x:f>hyperlink("https://icd.who.int/dev11/l-ichi/en#/http%3A%2F%2Fid.who.int%2Ficd%2Fentity%2F10264134","browser")</x:f>
      </x:c>
      <x:c r="L7719" s="0">
        <x:f>hyperlink("https://icat2.azurewebsites.net/icat/?ontology=ICD&amp;tab=ClassesTab&amp;id=http%3A%2F%2Fwho.int%2Ficd%2366_e87d5413_a3ef_41e3_b1c4_bdb20d4d591d","iCat")</x:f>
      </x:c>
      <x:c r="M7719" s="0" t="s">
        <x:v>21</x:v>
      </x:c>
      <x:c r="N7719" s="0" t="s">
        <x:v>46</x:v>
      </x:c>
    </x:row>
    <x:row r="7720" spans="1:16">
      <x:c r="A7720" s="0" t="s">
        <x:v>30741</x:v>
      </x:c>
      <x:c r="B7720" s="0" t="s">
        <x:v>30742</x:v>
      </x:c>
      <x:c r="C7720" s="0" t="s">
        <x:v>30743</x:v>
      </x:c>
      <x:c r="E7720" s="0" t="s">
        <x:v>30744</x:v>
      </x:c>
      <x:c r="F7720" s="0" t="s">
        <x:v>45</x:v>
      </x:c>
      <x:c r="G7720" s="0" t="s">
        <x:v>19</x:v>
      </x:c>
      <x:c r="H7720" s="0" t="s">
        <x:v>20</x:v>
      </x:c>
      <x:c r="I7720" s="0" t="s">
        <x:v>21</x:v>
      </x:c>
      <x:c r="K7720" s="0">
        <x:f>hyperlink("https://icd.who.int/dev11/l-ichi/en#/http%3A%2F%2Fid.who.int%2Ficd%2Fentity%2F1437927091","browser")</x:f>
      </x:c>
      <x:c r="L7720" s="0">
        <x:f>hyperlink("https://icat2.azurewebsites.net/icat/?ontology=ICD&amp;tab=ClassesTab&amp;id=http%3A%2F%2Fwho.int%2Ficd%23172_e87d5413_a3ef_41e3_b1c4_bdb20d4d591d","iCat")</x:f>
      </x:c>
      <x:c r="M7720" s="0" t="s">
        <x:v>21</x:v>
      </x:c>
      <x:c r="N7720" s="0" t="s">
        <x:v>46</x:v>
      </x:c>
    </x:row>
    <x:row r="7721" spans="1:16">
      <x:c r="A7721" s="0" t="s">
        <x:v>30745</x:v>
      </x:c>
      <x:c r="B7721" s="0" t="s">
        <x:v>30746</x:v>
      </x:c>
      <x:c r="C7721" s="0" t="s">
        <x:v>30747</x:v>
      </x:c>
      <x:c r="E7721" s="0" t="s">
        <x:v>30748</x:v>
      </x:c>
      <x:c r="F7721" s="0" t="s">
        <x:v>45</x:v>
      </x:c>
      <x:c r="G7721" s="0" t="s">
        <x:v>19</x:v>
      </x:c>
      <x:c r="H7721" s="0" t="s">
        <x:v>20</x:v>
      </x:c>
      <x:c r="I7721" s="0" t="s">
        <x:v>21</x:v>
      </x:c>
      <x:c r="K7721" s="0">
        <x:f>hyperlink("https://icd.who.int/dev11/l-ichi/en#/http%3A%2F%2Fid.who.int%2Ficd%2Fentity%2F1600048999","browser")</x:f>
      </x:c>
      <x:c r="L7721" s="0">
        <x:f>hyperlink("https://icat2.azurewebsites.net/icat/?ontology=ICD&amp;tab=ClassesTab&amp;id=http%3A%2F%2Fwho.int%2Ficd%2372_e87d5413_a3ef_41e3_b1c4_bdb20d4d591d","iCat")</x:f>
      </x:c>
      <x:c r="M7721" s="0" t="s">
        <x:v>21</x:v>
      </x:c>
      <x:c r="N7721" s="0" t="s">
        <x:v>46</x:v>
      </x:c>
    </x:row>
    <x:row r="7722" spans="1:16">
      <x:c r="A7722" s="0" t="s">
        <x:v>30749</x:v>
      </x:c>
      <x:c r="B7722" s="0" t="s">
        <x:v>30750</x:v>
      </x:c>
      <x:c r="C7722" s="0" t="s">
        <x:v>30751</x:v>
      </x:c>
      <x:c r="E7722" s="0" t="s">
        <x:v>30752</x:v>
      </x:c>
      <x:c r="F7722" s="0" t="s">
        <x:v>45</x:v>
      </x:c>
      <x:c r="G7722" s="0" t="s">
        <x:v>19</x:v>
      </x:c>
      <x:c r="H7722" s="0" t="s">
        <x:v>20</x:v>
      </x:c>
      <x:c r="I7722" s="0" t="s">
        <x:v>21</x:v>
      </x:c>
      <x:c r="K7722" s="0">
        <x:f>hyperlink("https://icd.who.int/dev11/l-ichi/en#/http%3A%2F%2Fid.who.int%2Ficd%2Fentity%2F2118674979","browser")</x:f>
      </x:c>
      <x:c r="L7722" s="0">
        <x:f>hyperlink("https://icat2.azurewebsites.net/icat/?ontology=ICD&amp;tab=ClassesTab&amp;id=http%3A%2F%2Fwho.int%2Ficd%23178_e87d5413_a3ef_41e3_b1c4_bdb20d4d591d","iCat")</x:f>
      </x:c>
      <x:c r="M7722" s="0" t="s">
        <x:v>21</x:v>
      </x:c>
      <x:c r="N7722" s="0" t="s">
        <x:v>46</x:v>
      </x:c>
    </x:row>
    <x:row r="7723" spans="1:16">
      <x:c r="A7723" s="0" t="s">
        <x:v>30753</x:v>
      </x:c>
      <x:c r="B7723" s="0" t="s">
        <x:v>30754</x:v>
      </x:c>
      <x:c r="C7723" s="0" t="s">
        <x:v>30755</x:v>
      </x:c>
      <x:c r="E7723" s="0" t="s">
        <x:v>30756</x:v>
      </x:c>
      <x:c r="F7723" s="0" t="s">
        <x:v>45</x:v>
      </x:c>
      <x:c r="G7723" s="0" t="s">
        <x:v>19</x:v>
      </x:c>
      <x:c r="H7723" s="0" t="s">
        <x:v>20</x:v>
      </x:c>
      <x:c r="I7723" s="0" t="s">
        <x:v>21</x:v>
      </x:c>
      <x:c r="K7723" s="0">
        <x:f>hyperlink("https://icd.who.int/dev11/l-ichi/en#/http%3A%2F%2Fid.who.int%2Ficd%2Fentity%2F707368412","browser")</x:f>
      </x:c>
      <x:c r="L7723" s="0">
        <x:f>hyperlink("https://icat2.azurewebsites.net/icat/?ontology=ICD&amp;tab=ClassesTab&amp;id=http%3A%2F%2Fwho.int%2Ficd%23184_e87d5413_a3ef_41e3_b1c4_bdb20d4d591d","iCat")</x:f>
      </x:c>
      <x:c r="M7723" s="0" t="s">
        <x:v>21</x:v>
      </x:c>
      <x:c r="N7723" s="0" t="s">
        <x:v>46</x:v>
      </x:c>
    </x:row>
    <x:row r="7724" spans="1:16">
      <x:c r="A7724" s="0" t="s">
        <x:v>30757</x:v>
      </x:c>
      <x:c r="B7724" s="0" t="s">
        <x:v>30758</x:v>
      </x:c>
      <x:c r="C7724" s="0" t="s">
        <x:v>30759</x:v>
      </x:c>
      <x:c r="E7724" s="0" t="s">
        <x:v>30760</x:v>
      </x:c>
      <x:c r="F7724" s="0" t="s">
        <x:v>45</x:v>
      </x:c>
      <x:c r="G7724" s="0" t="s">
        <x:v>19</x:v>
      </x:c>
      <x:c r="H7724" s="0" t="s">
        <x:v>20</x:v>
      </x:c>
      <x:c r="I7724" s="0" t="s">
        <x:v>21</x:v>
      </x:c>
      <x:c r="K7724" s="0">
        <x:f>hyperlink("https://icd.who.int/dev11/l-ichi/en#/http%3A%2F%2Fid.who.int%2Ficd%2Fentity%2F1978385663","browser")</x:f>
      </x:c>
      <x:c r="L7724" s="0">
        <x:f>hyperlink("https://icat2.azurewebsites.net/icat/?ontology=ICD&amp;tab=ClassesTab&amp;id=http%3A%2F%2Fwho.int%2Ficd%23190_e87d5413_a3ef_41e3_b1c4_bdb20d4d591d","iCat")</x:f>
      </x:c>
      <x:c r="M7724" s="0" t="s">
        <x:v>21</x:v>
      </x:c>
      <x:c r="N7724" s="0" t="s">
        <x:v>46</x:v>
      </x:c>
    </x:row>
    <x:row r="7725" spans="1:16">
      <x:c r="A7725" s="0" t="s">
        <x:v>30761</x:v>
      </x:c>
      <x:c r="B7725" s="0" t="s">
        <x:v>30762</x:v>
      </x:c>
      <x:c r="C7725" s="0" t="s">
        <x:v>30763</x:v>
      </x:c>
      <x:c r="E7725" s="0" t="s">
        <x:v>30764</x:v>
      </x:c>
      <x:c r="F7725" s="0" t="s">
        <x:v>45</x:v>
      </x:c>
      <x:c r="G7725" s="0" t="s">
        <x:v>19</x:v>
      </x:c>
      <x:c r="H7725" s="0" t="s">
        <x:v>20</x:v>
      </x:c>
      <x:c r="I7725" s="0" t="s">
        <x:v>21</x:v>
      </x:c>
      <x:c r="K7725" s="0">
        <x:f>hyperlink("https://icd.who.int/dev11/l-ichi/en#/http%3A%2F%2Fid.who.int%2Ficd%2Fentity%2F1956881399","browser")</x:f>
      </x:c>
      <x:c r="L7725" s="0">
        <x:f>hyperlink("https://icat2.azurewebsites.net/icat/?ontology=ICD&amp;tab=ClassesTab&amp;id=http%3A%2F%2Fwho.int%2Ficd%2378_e87d5413_a3ef_41e3_b1c4_bdb20d4d591d","iCat")</x:f>
      </x:c>
      <x:c r="M7725" s="0" t="s">
        <x:v>21</x:v>
      </x:c>
      <x:c r="N7725" s="0" t="s">
        <x:v>46</x:v>
      </x:c>
    </x:row>
    <x:row r="7726" spans="1:16">
      <x:c r="A7726" s="0" t="s">
        <x:v>30765</x:v>
      </x:c>
      <x:c r="B7726" s="0" t="s">
        <x:v>30766</x:v>
      </x:c>
      <x:c r="C7726" s="0" t="s">
        <x:v>30767</x:v>
      </x:c>
      <x:c r="E7726" s="0" t="s">
        <x:v>30768</x:v>
      </x:c>
      <x:c r="F7726" s="0" t="s">
        <x:v>45</x:v>
      </x:c>
      <x:c r="G7726" s="0" t="s">
        <x:v>19</x:v>
      </x:c>
      <x:c r="H7726" s="0" t="s">
        <x:v>20</x:v>
      </x:c>
      <x:c r="I7726" s="0" t="s">
        <x:v>21</x:v>
      </x:c>
      <x:c r="K7726" s="0">
        <x:f>hyperlink("https://icd.who.int/dev11/l-ichi/en#/http%3A%2F%2Fid.who.int%2Ficd%2Fentity%2F549608458","browser")</x:f>
      </x:c>
      <x:c r="L7726" s="0">
        <x:f>hyperlink("https://icat2.azurewebsites.net/icat/?ontology=ICD&amp;tab=ClassesTab&amp;id=http%3A%2F%2Fwho.int%2Ficd%2384_e87d5413_a3ef_41e3_b1c4_bdb20d4d591d","iCat")</x:f>
      </x:c>
      <x:c r="M7726" s="0" t="s">
        <x:v>21</x:v>
      </x:c>
      <x:c r="N7726" s="0" t="s">
        <x:v>46</x:v>
      </x:c>
    </x:row>
    <x:row r="7727" spans="1:16">
      <x:c r="A7727" s="0" t="s">
        <x:v>30769</x:v>
      </x:c>
      <x:c r="B7727" s="0" t="s">
        <x:v>30770</x:v>
      </x:c>
      <x:c r="C7727" s="0" t="s">
        <x:v>30771</x:v>
      </x:c>
      <x:c r="E7727" s="0" t="s">
        <x:v>30772</x:v>
      </x:c>
      <x:c r="F7727" s="0" t="s">
        <x:v>45</x:v>
      </x:c>
      <x:c r="G7727" s="0" t="s">
        <x:v>19</x:v>
      </x:c>
      <x:c r="H7727" s="0" t="s">
        <x:v>20</x:v>
      </x:c>
      <x:c r="I7727" s="0" t="s">
        <x:v>21</x:v>
      </x:c>
      <x:c r="K7727" s="0">
        <x:f>hyperlink("https://icd.who.int/dev11/l-ichi/en#/http%3A%2F%2Fid.who.int%2Ficd%2Fentity%2F2130709803","browser")</x:f>
      </x:c>
      <x:c r="L7727" s="0">
        <x:f>hyperlink("https://icat2.azurewebsites.net/icat/?ontology=ICD&amp;tab=ClassesTab&amp;id=http%3A%2F%2Fwho.int%2Ficd%2390_e87d5413_a3ef_41e3_b1c4_bdb20d4d591d","iCat")</x:f>
      </x:c>
      <x:c r="M7727" s="0" t="s">
        <x:v>21</x:v>
      </x:c>
      <x:c r="N7727" s="0" t="s">
        <x:v>46</x:v>
      </x:c>
    </x:row>
    <x:row r="7728" spans="1:16">
      <x:c r="A7728" s="0" t="s">
        <x:v>30773</x:v>
      </x:c>
      <x:c r="B7728" s="0" t="s">
        <x:v>30774</x:v>
      </x:c>
      <x:c r="C7728" s="0" t="s">
        <x:v>30775</x:v>
      </x:c>
      <x:c r="E7728" s="0" t="s">
        <x:v>30776</x:v>
      </x:c>
      <x:c r="F7728" s="0" t="s">
        <x:v>45</x:v>
      </x:c>
      <x:c r="G7728" s="0" t="s">
        <x:v>19</x:v>
      </x:c>
      <x:c r="H7728" s="0" t="s">
        <x:v>20</x:v>
      </x:c>
      <x:c r="I7728" s="0" t="s">
        <x:v>21</x:v>
      </x:c>
      <x:c r="K7728" s="0">
        <x:f>hyperlink("https://icd.who.int/dev11/l-ichi/en#/http%3A%2F%2Fid.who.int%2Ficd%2Fentity%2F796644508","browser")</x:f>
      </x:c>
      <x:c r="L7728" s="0">
        <x:f>hyperlink("https://icat2.azurewebsites.net/icat/?ontology=ICD&amp;tab=ClassesTab&amp;id=http%3A%2F%2Fwho.int%2Ficd%2396_e87d5413_a3ef_41e3_b1c4_bdb20d4d591d","iCat")</x:f>
      </x:c>
      <x:c r="M7728" s="0" t="s">
        <x:v>21</x:v>
      </x:c>
      <x:c r="N7728" s="0" t="s">
        <x:v>46</x:v>
      </x:c>
    </x:row>
    <x:row r="7729" spans="1:16">
      <x:c r="A7729" s="0" t="s">
        <x:v>30777</x:v>
      </x:c>
      <x:c r="B7729" s="0" t="s">
        <x:v>30778</x:v>
      </x:c>
      <x:c r="C7729" s="0" t="s">
        <x:v>30779</x:v>
      </x:c>
      <x:c r="E7729" s="0" t="s">
        <x:v>30780</x:v>
      </x:c>
      <x:c r="F7729" s="0" t="s">
        <x:v>45</x:v>
      </x:c>
      <x:c r="G7729" s="0" t="s">
        <x:v>19</x:v>
      </x:c>
      <x:c r="H7729" s="0" t="s">
        <x:v>20</x:v>
      </x:c>
      <x:c r="I7729" s="0" t="s">
        <x:v>21</x:v>
      </x:c>
      <x:c r="K7729" s="0">
        <x:f>hyperlink("https://icd.who.int/dev11/l-ichi/en#/http%3A%2F%2Fid.who.int%2Ficd%2Fentity%2F1700992425","browser")</x:f>
      </x:c>
      <x:c r="L7729" s="0">
        <x:f>hyperlink("https://icat2.azurewebsites.net/icat/?ontology=ICD&amp;tab=ClassesTab&amp;id=http%3A%2F%2Fwho.int%2Ficd%23102_e87d5413_a3ef_41e3_b1c4_bdb20d4d591d","iCat")</x:f>
      </x:c>
      <x:c r="M7729" s="0" t="s">
        <x:v>21</x:v>
      </x:c>
      <x:c r="N7729" s="0" t="s">
        <x:v>46</x:v>
      </x:c>
    </x:row>
    <x:row r="7730" spans="1:16">
      <x:c r="A7730" s="0" t="s">
        <x:v>30781</x:v>
      </x:c>
      <x:c r="B7730" s="0" t="s">
        <x:v>30782</x:v>
      </x:c>
      <x:c r="C7730" s="0" t="s">
        <x:v>30783</x:v>
      </x:c>
      <x:c r="E7730" s="0" t="s">
        <x:v>30784</x:v>
      </x:c>
      <x:c r="F7730" s="0" t="s">
        <x:v>45</x:v>
      </x:c>
      <x:c r="G7730" s="0" t="s">
        <x:v>19</x:v>
      </x:c>
      <x:c r="H7730" s="0" t="s">
        <x:v>20</x:v>
      </x:c>
      <x:c r="I7730" s="0" t="s">
        <x:v>21</x:v>
      </x:c>
      <x:c r="K7730" s="0">
        <x:f>hyperlink("https://icd.who.int/dev11/l-ichi/en#/http%3A%2F%2Fid.who.int%2Ficd%2Fentity%2F1319008569","browser")</x:f>
      </x:c>
      <x:c r="L7730" s="0">
        <x:f>hyperlink("https://icat2.azurewebsites.net/icat/?ontology=ICD&amp;tab=ClassesTab&amp;id=http%3A%2F%2Fwho.int%2Ficd%23108_e87d5413_a3ef_41e3_b1c4_bdb20d4d591d","iCat")</x:f>
      </x:c>
      <x:c r="M7730" s="0" t="s">
        <x:v>21</x:v>
      </x:c>
      <x:c r="N7730" s="0" t="s">
        <x:v>46</x:v>
      </x:c>
    </x:row>
    <x:row r="7731" spans="1:16">
      <x:c r="A7731" s="0" t="s">
        <x:v>30785</x:v>
      </x:c>
      <x:c r="B7731" s="0" t="s">
        <x:v>30786</x:v>
      </x:c>
      <x:c r="C7731" s="0" t="s">
        <x:v>30787</x:v>
      </x:c>
      <x:c r="E7731" s="0" t="s">
        <x:v>30788</x:v>
      </x:c>
      <x:c r="F7731" s="0" t="s">
        <x:v>45</x:v>
      </x:c>
      <x:c r="G7731" s="0" t="s">
        <x:v>19</x:v>
      </x:c>
      <x:c r="H7731" s="0" t="s">
        <x:v>20</x:v>
      </x:c>
      <x:c r="I7731" s="0" t="s">
        <x:v>21</x:v>
      </x:c>
      <x:c r="K7731" s="0">
        <x:f>hyperlink("https://icd.who.int/dev11/l-ichi/en#/http%3A%2F%2Fid.who.int%2Ficd%2Fentity%2F1608341839","browser")</x:f>
      </x:c>
      <x:c r="L7731" s="0">
        <x:f>hyperlink("https://icat2.azurewebsites.net/icat/?ontology=ICD&amp;tab=ClassesTab&amp;id=http%3A%2F%2Fwho.int%2Ficd%23114_e87d5413_a3ef_41e3_b1c4_bdb20d4d591d","iCat")</x:f>
      </x:c>
      <x:c r="M7731" s="0" t="s">
        <x:v>21</x:v>
      </x:c>
      <x:c r="N7731" s="0" t="s">
        <x:v>46</x:v>
      </x:c>
    </x:row>
    <x:row r="7732" spans="1:16">
      <x:c r="A7732" s="0" t="s">
        <x:v>30789</x:v>
      </x:c>
      <x:c r="B7732" s="0" t="s">
        <x:v>30790</x:v>
      </x:c>
      <x:c r="C7732" s="0" t="s">
        <x:v>30791</x:v>
      </x:c>
      <x:c r="E7732" s="0" t="s">
        <x:v>30792</x:v>
      </x:c>
      <x:c r="F7732" s="0" t="s">
        <x:v>45</x:v>
      </x:c>
      <x:c r="G7732" s="0" t="s">
        <x:v>19</x:v>
      </x:c>
      <x:c r="H7732" s="0" t="s">
        <x:v>20</x:v>
      </x:c>
      <x:c r="I7732" s="0" t="s">
        <x:v>21</x:v>
      </x:c>
      <x:c r="K7732" s="0">
        <x:f>hyperlink("https://icd.who.int/dev11/l-ichi/en#/http%3A%2F%2Fid.who.int%2Ficd%2Fentity%2F711712062","browser")</x:f>
      </x:c>
      <x:c r="L7732" s="0">
        <x:f>hyperlink("https://icat2.azurewebsites.net/icat/?ontology=ICD&amp;tab=ClassesTab&amp;id=http%3A%2F%2Fwho.int%2Ficd%23120_e87d5413_a3ef_41e3_b1c4_bdb20d4d591d","iCat")</x:f>
      </x:c>
      <x:c r="M7732" s="0" t="s">
        <x:v>21</x:v>
      </x:c>
      <x:c r="N7732" s="0" t="s">
        <x:v>46</x:v>
      </x:c>
    </x:row>
    <x:row r="7733" spans="1:16">
      <x:c r="A7733" s="0" t="s">
        <x:v>30793</x:v>
      </x:c>
      <x:c r="B7733" s="0" t="s">
        <x:v>30794</x:v>
      </x:c>
      <x:c r="C7733" s="0" t="s">
        <x:v>30795</x:v>
      </x:c>
      <x:c r="E7733" s="0" t="s">
        <x:v>30796</x:v>
      </x:c>
      <x:c r="F7733" s="0" t="s">
        <x:v>45</x:v>
      </x:c>
      <x:c r="G7733" s="0" t="s">
        <x:v>19</x:v>
      </x:c>
      <x:c r="H7733" s="0" t="s">
        <x:v>20</x:v>
      </x:c>
      <x:c r="I7733" s="0" t="s">
        <x:v>21</x:v>
      </x:c>
      <x:c r="K7733" s="0">
        <x:f>hyperlink("https://icd.who.int/dev11/l-ichi/en#/http%3A%2F%2Fid.who.int%2Ficd%2Fentity%2F2047870093","browser")</x:f>
      </x:c>
      <x:c r="L7733" s="0">
        <x:f>hyperlink("https://icat2.azurewebsites.net/icat/?ontology=ICD&amp;tab=ClassesTab&amp;id=http%3A%2F%2Fwho.int%2Ficd%23126_e87d5413_a3ef_41e3_b1c4_bdb20d4d591d","iCat")</x:f>
      </x:c>
      <x:c r="M7733" s="0" t="s">
        <x:v>21</x:v>
      </x:c>
      <x:c r="N7733" s="0" t="s">
        <x:v>46</x:v>
      </x:c>
    </x:row>
    <x:row r="7734" spans="1:16">
      <x:c r="A7734" s="0" t="s">
        <x:v>30797</x:v>
      </x:c>
      <x:c r="B7734" s="0" t="s">
        <x:v>30798</x:v>
      </x:c>
      <x:c r="C7734" s="0" t="s">
        <x:v>30799</x:v>
      </x:c>
      <x:c r="E7734" s="0" t="s">
        <x:v>30800</x:v>
      </x:c>
      <x:c r="F7734" s="0" t="s">
        <x:v>45</x:v>
      </x:c>
      <x:c r="G7734" s="0" t="s">
        <x:v>19</x:v>
      </x:c>
      <x:c r="H7734" s="0" t="s">
        <x:v>20</x:v>
      </x:c>
      <x:c r="I7734" s="0" t="s">
        <x:v>21</x:v>
      </x:c>
      <x:c r="K7734" s="0">
        <x:f>hyperlink("https://icd.who.int/dev11/l-ichi/en#/http%3A%2F%2Fid.who.int%2Ficd%2Fentity%2F634541488","browser")</x:f>
      </x:c>
      <x:c r="L7734" s="0">
        <x:f>hyperlink("https://icat2.azurewebsites.net/icat/?ontology=ICD&amp;tab=ClassesTab&amp;id=http%3A%2F%2Fwho.int%2Ficd%23132_e87d5413_a3ef_41e3_b1c4_bdb20d4d591d","iCat")</x:f>
      </x:c>
      <x:c r="M7734" s="0" t="s">
        <x:v>21</x:v>
      </x:c>
      <x:c r="N7734" s="0" t="s">
        <x:v>46</x:v>
      </x:c>
    </x:row>
    <x:row r="7735" spans="1:16">
      <x:c r="A7735" s="0" t="s">
        <x:v>30801</x:v>
      </x:c>
      <x:c r="B7735" s="0" t="s">
        <x:v>30802</x:v>
      </x:c>
      <x:c r="C7735" s="0" t="s">
        <x:v>30803</x:v>
      </x:c>
      <x:c r="E7735" s="0" t="s">
        <x:v>30804</x:v>
      </x:c>
      <x:c r="F7735" s="0" t="s">
        <x:v>45</x:v>
      </x:c>
      <x:c r="G7735" s="0" t="s">
        <x:v>19</x:v>
      </x:c>
      <x:c r="H7735" s="0" t="s">
        <x:v>20</x:v>
      </x:c>
      <x:c r="I7735" s="0" t="s">
        <x:v>21</x:v>
      </x:c>
      <x:c r="K7735" s="0">
        <x:f>hyperlink("https://icd.who.int/dev11/l-ichi/en#/http%3A%2F%2Fid.who.int%2Ficd%2Fentity%2F237975872","browser")</x:f>
      </x:c>
      <x:c r="L7735" s="0">
        <x:f>hyperlink("https://icat2.azurewebsites.net/icat/?ontology=ICD&amp;tab=ClassesTab&amp;id=http%3A%2F%2Fwho.int%2Ficd%23138_e87d5413_a3ef_41e3_b1c4_bdb20d4d591d","iCat")</x:f>
      </x:c>
      <x:c r="M7735" s="0" t="s">
        <x:v>21</x:v>
      </x:c>
      <x:c r="N7735" s="0" t="s">
        <x:v>46</x:v>
      </x:c>
    </x:row>
    <x:row r="7736" spans="1:16">
      <x:c r="A7736" s="0" t="s">
        <x:v>30805</x:v>
      </x:c>
      <x:c r="B7736" s="0" t="s">
        <x:v>30806</x:v>
      </x:c>
      <x:c r="C7736" s="0" t="s">
        <x:v>30807</x:v>
      </x:c>
      <x:c r="E7736" s="0" t="s">
        <x:v>30808</x:v>
      </x:c>
      <x:c r="F7736" s="0" t="s">
        <x:v>45</x:v>
      </x:c>
      <x:c r="G7736" s="0" t="s">
        <x:v>19</x:v>
      </x:c>
      <x:c r="H7736" s="0" t="s">
        <x:v>20</x:v>
      </x:c>
      <x:c r="I7736" s="0" t="s">
        <x:v>21</x:v>
      </x:c>
      <x:c r="K7736" s="0">
        <x:f>hyperlink("https://icd.who.int/dev11/l-ichi/en#/http%3A%2F%2Fid.who.int%2Ficd%2Fentity%2F1165991685","browser")</x:f>
      </x:c>
      <x:c r="L7736" s="0">
        <x:f>hyperlink("https://icat2.azurewebsites.net/icat/?ontology=ICD&amp;tab=ClassesTab&amp;id=http%3A%2F%2Fwho.int%2Ficd%23144_e87d5413_a3ef_41e3_b1c4_bdb20d4d591d","iCat")</x:f>
      </x:c>
      <x:c r="M7736" s="0" t="s">
        <x:v>21</x:v>
      </x:c>
      <x:c r="N7736" s="0" t="s">
        <x:v>46</x:v>
      </x:c>
    </x:row>
    <x:row r="7737" spans="1:16">
      <x:c r="A7737" s="0" t="s">
        <x:v>30809</x:v>
      </x:c>
      <x:c r="B7737" s="0" t="s">
        <x:v>30810</x:v>
      </x:c>
      <x:c r="C7737" s="0" t="s">
        <x:v>30811</x:v>
      </x:c>
      <x:c r="E7737" s="0" t="s">
        <x:v>30812</x:v>
      </x:c>
      <x:c r="F7737" s="0" t="s">
        <x:v>45</x:v>
      </x:c>
      <x:c r="G7737" s="0" t="s">
        <x:v>19</x:v>
      </x:c>
      <x:c r="H7737" s="0" t="s">
        <x:v>20</x:v>
      </x:c>
      <x:c r="I7737" s="0" t="s">
        <x:v>21</x:v>
      </x:c>
      <x:c r="K7737" s="0">
        <x:f>hyperlink("https://icd.who.int/dev11/l-ichi/en#/http%3A%2F%2Fid.who.int%2Ficd%2Fentity%2F448646694","browser")</x:f>
      </x:c>
      <x:c r="L7737" s="0">
        <x:f>hyperlink("https://icat2.azurewebsites.net/icat/?ontology=ICD&amp;tab=ClassesTab&amp;id=http%3A%2F%2Fwho.int%2Ficd%23150_e87d5413_a3ef_41e3_b1c4_bdb20d4d591d","iCat")</x:f>
      </x:c>
      <x:c r="M7737" s="0" t="s">
        <x:v>21</x:v>
      </x:c>
      <x:c r="N7737" s="0" t="s">
        <x:v>46</x:v>
      </x:c>
    </x:row>
    <x:row r="7738" spans="1:16">
      <x:c r="A7738" s="0" t="s">
        <x:v>30813</x:v>
      </x:c>
      <x:c r="B7738" s="0" t="s">
        <x:v>30814</x:v>
      </x:c>
      <x:c r="C7738" s="0" t="s">
        <x:v>30815</x:v>
      </x:c>
      <x:c r="E7738" s="0" t="s">
        <x:v>30816</x:v>
      </x:c>
      <x:c r="F7738" s="0" t="s">
        <x:v>45</x:v>
      </x:c>
      <x:c r="G7738" s="0" t="s">
        <x:v>19</x:v>
      </x:c>
      <x:c r="H7738" s="0" t="s">
        <x:v>20</x:v>
      </x:c>
      <x:c r="I7738" s="0" t="s">
        <x:v>21</x:v>
      </x:c>
      <x:c r="K7738" s="0">
        <x:f>hyperlink("https://icd.who.int/dev11/l-ichi/en#/http%3A%2F%2Fid.who.int%2Ficd%2Fentity%2F1254496151","browser")</x:f>
      </x:c>
      <x:c r="L7738" s="0">
        <x:f>hyperlink("https://icat2.azurewebsites.net/icat/?ontology=ICD&amp;tab=ClassesTab&amp;id=http%3A%2F%2Fwho.int%2Ficd%23156_e87d5413_a3ef_41e3_b1c4_bdb20d4d591d","iCat")</x:f>
      </x:c>
      <x:c r="M7738" s="0" t="s">
        <x:v>21</x:v>
      </x:c>
      <x:c r="N7738" s="0" t="s">
        <x:v>46</x:v>
      </x:c>
    </x:row>
    <x:row r="7739" spans="1:16">
      <x:c r="A7739" s="0" t="s">
        <x:v>30817</x:v>
      </x:c>
      <x:c r="B7739" s="0" t="s">
        <x:v>30818</x:v>
      </x:c>
      <x:c r="C7739" s="0" t="s">
        <x:v>30819</x:v>
      </x:c>
      <x:c r="E7739" s="0" t="s">
        <x:v>30820</x:v>
      </x:c>
      <x:c r="F7739" s="0" t="s">
        <x:v>45</x:v>
      </x:c>
      <x:c r="G7739" s="0" t="s">
        <x:v>19</x:v>
      </x:c>
      <x:c r="H7739" s="0" t="s">
        <x:v>20</x:v>
      </x:c>
      <x:c r="I7739" s="0" t="s">
        <x:v>21</x:v>
      </x:c>
      <x:c r="K7739" s="0">
        <x:f>hyperlink("https://icd.who.int/dev11/l-ichi/en#/http%3A%2F%2Fid.who.int%2Ficd%2Fentity%2F377777581","browser")</x:f>
      </x:c>
      <x:c r="L7739" s="0">
        <x:f>hyperlink("https://icat2.azurewebsites.net/icat/?ontology=ICD&amp;tab=ClassesTab&amp;id=http%3A%2F%2Fwho.int%2Ficd%2346761_512ebf36_bf6b_4d70_85da_cf2637062af4","iCat")</x:f>
      </x:c>
      <x:c r="M7739" s="0" t="s">
        <x:v>21</x:v>
      </x:c>
      <x:c r="N7739" s="0" t="s">
        <x:v>46</x:v>
      </x:c>
    </x:row>
    <x:row r="7740" spans="1:16">
      <x:c r="A7740" s="0" t="s">
        <x:v>30821</x:v>
      </x:c>
      <x:c r="B7740" s="0" t="s">
        <x:v>30822</x:v>
      </x:c>
      <x:c r="C7740" s="0" t="s">
        <x:v>30823</x:v>
      </x:c>
      <x:c r="E7740" s="0" t="s">
        <x:v>30824</x:v>
      </x:c>
      <x:c r="F7740" s="0" t="s">
        <x:v>45</x:v>
      </x:c>
      <x:c r="G7740" s="0" t="s">
        <x:v>19</x:v>
      </x:c>
      <x:c r="H7740" s="0" t="s">
        <x:v>20</x:v>
      </x:c>
      <x:c r="I7740" s="0" t="s">
        <x:v>21</x:v>
      </x:c>
      <x:c r="K7740" s="0">
        <x:f>hyperlink("https://icd.who.int/dev11/l-ichi/en#/http%3A%2F%2Fid.who.int%2Ficd%2Fentity%2F220236162","browser")</x:f>
      </x:c>
      <x:c r="L7740" s="0">
        <x:f>hyperlink("https://icat2.azurewebsites.net/icat/?ontology=ICD&amp;tab=ClassesTab&amp;id=http%3A%2F%2Fwho.int%2Ficd%231001_9cb148af_e986_4d06_87bf_7927c7f3fec1","iCat")</x:f>
      </x:c>
      <x:c r="M7740" s="0" t="s">
        <x:v>21</x:v>
      </x:c>
      <x:c r="N7740" s="0" t="s">
        <x:v>46</x:v>
      </x:c>
    </x:row>
    <x:row r="7741" spans="1:16">
      <x:c r="A7741" s="0" t="s">
        <x:v>30825</x:v>
      </x:c>
      <x:c r="B7741" s="0" t="s">
        <x:v>30826</x:v>
      </x:c>
      <x:c r="C7741" s="0" t="s">
        <x:v>30827</x:v>
      </x:c>
      <x:c r="E7741" s="0" t="s">
        <x:v>30828</x:v>
      </x:c>
      <x:c r="F7741" s="0" t="s">
        <x:v>45</x:v>
      </x:c>
      <x:c r="G7741" s="0" t="s">
        <x:v>19</x:v>
      </x:c>
      <x:c r="H7741" s="0" t="s">
        <x:v>20</x:v>
      </x:c>
      <x:c r="I7741" s="0" t="s">
        <x:v>21</x:v>
      </x:c>
      <x:c r="K7741" s="0">
        <x:f>hyperlink("https://icd.who.int/dev11/l-ichi/en#/http%3A%2F%2Fid.who.int%2Ficd%2Fentity%2F2029809348","browser")</x:f>
      </x:c>
      <x:c r="L7741" s="0">
        <x:f>hyperlink("https://icat2.azurewebsites.net/icat/?ontology=ICD&amp;tab=ClassesTab&amp;id=http%3A%2F%2Fwho.int%2Ficd%2346768_512ebf36_bf6b_4d70_85da_cf2637062af4","iCat")</x:f>
      </x:c>
      <x:c r="M7741" s="0" t="s">
        <x:v>21</x:v>
      </x:c>
      <x:c r="N7741" s="0" t="s">
        <x:v>46</x:v>
      </x:c>
    </x:row>
    <x:row r="7742" spans="1:16">
      <x:c r="A7742" s="0" t="s">
        <x:v>30829</x:v>
      </x:c>
      <x:c r="B7742" s="0" t="s">
        <x:v>30830</x:v>
      </x:c>
      <x:c r="C7742" s="0" t="s">
        <x:v>30831</x:v>
      </x:c>
      <x:c r="E7742" s="0" t="s">
        <x:v>30832</x:v>
      </x:c>
      <x:c r="F7742" s="0" t="s">
        <x:v>45</x:v>
      </x:c>
      <x:c r="G7742" s="0" t="s">
        <x:v>19</x:v>
      </x:c>
      <x:c r="H7742" s="0" t="s">
        <x:v>20</x:v>
      </x:c>
      <x:c r="I7742" s="0" t="s">
        <x:v>21</x:v>
      </x:c>
      <x:c r="K7742" s="0">
        <x:f>hyperlink("https://icd.who.int/dev11/l-ichi/en#/http%3A%2F%2Fid.who.int%2Ficd%2Fentity%2F1229339790","browser")</x:f>
      </x:c>
      <x:c r="L7742" s="0">
        <x:f>hyperlink("https://icat2.azurewebsites.net/icat/?ontology=ICD&amp;tab=ClassesTab&amp;id=http%3A%2F%2Fwho.int%2Ficd%2346775_512ebf36_bf6b_4d70_85da_cf2637062af4","iCat")</x:f>
      </x:c>
      <x:c r="M7742" s="0" t="s">
        <x:v>21</x:v>
      </x:c>
      <x:c r="N7742" s="0" t="s">
        <x:v>46</x:v>
      </x:c>
    </x:row>
    <x:row r="7743" spans="1:16">
      <x:c r="A7743" s="0" t="s">
        <x:v>30833</x:v>
      </x:c>
      <x:c r="B7743" s="0" t="s">
        <x:v>30834</x:v>
      </x:c>
      <x:c r="C7743" s="0" t="s">
        <x:v>30835</x:v>
      </x:c>
      <x:c r="E7743" s="0" t="s">
        <x:v>30836</x:v>
      </x:c>
      <x:c r="F7743" s="0" t="s">
        <x:v>45</x:v>
      </x:c>
      <x:c r="G7743" s="0" t="s">
        <x:v>19</x:v>
      </x:c>
      <x:c r="H7743" s="0" t="s">
        <x:v>20</x:v>
      </x:c>
      <x:c r="I7743" s="0" t="s">
        <x:v>21</x:v>
      </x:c>
      <x:c r="K7743" s="0">
        <x:f>hyperlink("https://icd.who.int/dev11/l-ichi/en#/http%3A%2F%2Fid.who.int%2Ficd%2Fentity%2F1566265393","browser")</x:f>
      </x:c>
      <x:c r="L7743" s="0">
        <x:f>hyperlink("https://icat2.azurewebsites.net/icat/?ontology=ICD&amp;tab=ClassesTab&amp;id=http%3A%2F%2Fwho.int%2Ficd%231007_9cb148af_e986_4d06_87bf_7927c7f3fec1","iCat")</x:f>
      </x:c>
      <x:c r="M7743" s="0" t="s">
        <x:v>21</x:v>
      </x:c>
      <x:c r="N7743" s="0" t="s">
        <x:v>46</x:v>
      </x:c>
    </x:row>
    <x:row r="7744" spans="1:16">
      <x:c r="A7744" s="0" t="s">
        <x:v>30837</x:v>
      </x:c>
      <x:c r="B7744" s="0" t="s">
        <x:v>30838</x:v>
      </x:c>
      <x:c r="C7744" s="0" t="s">
        <x:v>30839</x:v>
      </x:c>
      <x:c r="E7744" s="0" t="s">
        <x:v>30840</x:v>
      </x:c>
      <x:c r="F7744" s="0" t="s">
        <x:v>45</x:v>
      </x:c>
      <x:c r="G7744" s="0" t="s">
        <x:v>19</x:v>
      </x:c>
      <x:c r="H7744" s="0" t="s">
        <x:v>20</x:v>
      </x:c>
      <x:c r="I7744" s="0" t="s">
        <x:v>21</x:v>
      </x:c>
      <x:c r="K7744" s="0">
        <x:f>hyperlink("https://icd.who.int/dev11/l-ichi/en#/http%3A%2F%2Fid.who.int%2Ficd%2Fentity%2F43581716","browser")</x:f>
      </x:c>
      <x:c r="L7744" s="0">
        <x:f>hyperlink("https://icat2.azurewebsites.net/icat/?ontology=ICD&amp;tab=ClassesTab&amp;id=http%3A%2F%2Fwho.int%2Ficd%231013_9cb148af_e986_4d06_87bf_7927c7f3fec1","iCat")</x:f>
      </x:c>
      <x:c r="M7744" s="0" t="s">
        <x:v>21</x:v>
      </x:c>
      <x:c r="N7744" s="0" t="s">
        <x:v>46</x:v>
      </x:c>
    </x:row>
    <x:row r="7745" spans="1:16">
      <x:c r="A7745" s="0" t="s">
        <x:v>30841</x:v>
      </x:c>
      <x:c r="B7745" s="0" t="s">
        <x:v>30842</x:v>
      </x:c>
      <x:c r="D7745" s="0" t="s">
        <x:v>30843</x:v>
      </x:c>
      <x:c r="E7745" s="0" t="s">
        <x:v>30844</x:v>
      </x:c>
      <x:c r="F7745" s="0" t="s">
        <x:v>26</x:v>
      </x:c>
      <x:c r="G7745" s="0" t="s">
        <x:v>35</x:v>
      </x:c>
      <x:c r="H7745" s="0" t="s">
        <x:v>20</x:v>
      </x:c>
      <x:c r="I7745" s="0" t="s">
        <x:v>21</x:v>
      </x:c>
      <x:c r="K7745" s="0">
        <x:f>hyperlink("https://icd.who.int/dev11/l-ichi/en#/http%3A%2F%2Fid.who.int%2Ficd%2Fentity%2F920301537","browser")</x:f>
      </x:c>
      <x:c r="L7745" s="0">
        <x:f>hyperlink("https://icat2.azurewebsites.net/icat/?ontology=ICD&amp;tab=ClassesTab&amp;id=http%3A%2F%2Fwho.int%2Ficd%2346783_512ebf36_bf6b_4d70_85da_cf2637062af4","iCat")</x:f>
      </x:c>
      <x:c r="M7745" s="0" t="s">
        <x:v>20</x:v>
      </x:c>
      <x:c r="N7745" s="0" t="s">
        <x:v>30845</x:v>
      </x:c>
    </x:row>
    <x:row r="7746" spans="1:16">
      <x:c r="A7746" s="0" t="s">
        <x:v>30846</x:v>
      </x:c>
      <x:c r="B7746" s="0" t="s">
        <x:v>30847</x:v>
      </x:c>
      <x:c r="C7746" s="0" t="s">
        <x:v>30848</x:v>
      </x:c>
      <x:c r="E7746" s="0" t="s">
        <x:v>30849</x:v>
      </x:c>
      <x:c r="F7746" s="0" t="s">
        <x:v>45</x:v>
      </x:c>
      <x:c r="G7746" s="0" t="s">
        <x:v>19</x:v>
      </x:c>
      <x:c r="H7746" s="0" t="s">
        <x:v>20</x:v>
      </x:c>
      <x:c r="I7746" s="0" t="s">
        <x:v>21</x:v>
      </x:c>
      <x:c r="K7746" s="0">
        <x:f>hyperlink("https://icd.who.int/dev11/l-ichi/en#/http%3A%2F%2Fid.who.int%2Ficd%2Fentity%2F371449309","browser")</x:f>
      </x:c>
      <x:c r="L7746" s="0">
        <x:f>hyperlink("https://icat2.azurewebsites.net/icat/?ontology=ICD&amp;tab=ClassesTab&amp;id=http%3A%2F%2Fwho.int%2Ficd%2346782_512ebf36_bf6b_4d70_85da_cf2637062af4","iCat")</x:f>
      </x:c>
      <x:c r="M7746" s="0" t="s">
        <x:v>21</x:v>
      </x:c>
      <x:c r="N7746" s="0" t="s">
        <x:v>46</x:v>
      </x:c>
    </x:row>
    <x:row r="7747" spans="1:16">
      <x:c r="A7747" s="0" t="s">
        <x:v>30850</x:v>
      </x:c>
      <x:c r="B7747" s="0" t="s">
        <x:v>30851</x:v>
      </x:c>
      <x:c r="C7747" s="0" t="s">
        <x:v>30852</x:v>
      </x:c>
      <x:c r="E7747" s="0" t="s">
        <x:v>30853</x:v>
      </x:c>
      <x:c r="F7747" s="0" t="s">
        <x:v>45</x:v>
      </x:c>
      <x:c r="G7747" s="0" t="s">
        <x:v>19</x:v>
      </x:c>
      <x:c r="H7747" s="0" t="s">
        <x:v>20</x:v>
      </x:c>
      <x:c r="I7747" s="0" t="s">
        <x:v>21</x:v>
      </x:c>
      <x:c r="K7747" s="0">
        <x:f>hyperlink("https://icd.who.int/dev11/l-ichi/en#/http%3A%2F%2Fid.who.int%2Ficd%2Fentity%2F207938311","browser")</x:f>
      </x:c>
      <x:c r="L7747" s="0">
        <x:f>hyperlink("https://icat2.azurewebsites.net/icat/?ontology=ICD&amp;tab=ClassesTab&amp;id=http%3A%2F%2Fwho.int%2Ficd%2346795_512ebf36_bf6b_4d70_85da_cf2637062af4","iCat")</x:f>
      </x:c>
      <x:c r="M7747" s="0" t="s">
        <x:v>21</x:v>
      </x:c>
      <x:c r="N7747" s="0" t="s">
        <x:v>46</x:v>
      </x:c>
    </x:row>
    <x:row r="7748" spans="1:16">
      <x:c r="A7748" s="0" t="s">
        <x:v>30854</x:v>
      </x:c>
      <x:c r="B7748" s="0" t="s">
        <x:v>30855</x:v>
      </x:c>
      <x:c r="C7748" s="0" t="s">
        <x:v>30856</x:v>
      </x:c>
      <x:c r="E7748" s="0" t="s">
        <x:v>30857</x:v>
      </x:c>
      <x:c r="F7748" s="0" t="s">
        <x:v>45</x:v>
      </x:c>
      <x:c r="G7748" s="0" t="s">
        <x:v>19</x:v>
      </x:c>
      <x:c r="H7748" s="0" t="s">
        <x:v>20</x:v>
      </x:c>
      <x:c r="I7748" s="0" t="s">
        <x:v>21</x:v>
      </x:c>
      <x:c r="K7748" s="0">
        <x:f>hyperlink("https://icd.who.int/dev11/l-ichi/en#/http%3A%2F%2Fid.who.int%2Ficd%2Fentity%2F2136937503","browser")</x:f>
      </x:c>
      <x:c r="L7748" s="0">
        <x:f>hyperlink("https://icat2.azurewebsites.net/icat/?ontology=ICD&amp;tab=ClassesTab&amp;id=http%3A%2F%2Fwho.int%2Ficd%2346802_512ebf36_bf6b_4d70_85da_cf2637062af4","iCat")</x:f>
      </x:c>
      <x:c r="M7748" s="0" t="s">
        <x:v>21</x:v>
      </x:c>
      <x:c r="N7748" s="0" t="s">
        <x:v>46</x:v>
      </x:c>
    </x:row>
    <x:row r="7749" spans="1:16">
      <x:c r="A7749" s="0" t="s">
        <x:v>30858</x:v>
      </x:c>
      <x:c r="B7749" s="0" t="s">
        <x:v>30859</x:v>
      </x:c>
      <x:c r="C7749" s="0" t="s">
        <x:v>30860</x:v>
      </x:c>
      <x:c r="E7749" s="0" t="s">
        <x:v>30861</x:v>
      </x:c>
      <x:c r="F7749" s="0" t="s">
        <x:v>45</x:v>
      </x:c>
      <x:c r="G7749" s="0" t="s">
        <x:v>19</x:v>
      </x:c>
      <x:c r="H7749" s="0" t="s">
        <x:v>20</x:v>
      </x:c>
      <x:c r="I7749" s="0" t="s">
        <x:v>21</x:v>
      </x:c>
      <x:c r="K7749" s="0">
        <x:f>hyperlink("https://icd.who.int/dev11/l-ichi/en#/http%3A%2F%2Fid.who.int%2Ficd%2Fentity%2F1952123571","browser")</x:f>
      </x:c>
      <x:c r="L7749" s="0">
        <x:f>hyperlink("https://icat2.azurewebsites.net/icat/?ontology=ICD&amp;tab=ClassesTab&amp;id=http%3A%2F%2Fwho.int%2Ficd%2346809_512ebf36_bf6b_4d70_85da_cf2637062af4","iCat")</x:f>
      </x:c>
      <x:c r="M7749" s="0" t="s">
        <x:v>21</x:v>
      </x:c>
      <x:c r="N7749" s="0" t="s">
        <x:v>46</x:v>
      </x:c>
    </x:row>
    <x:row r="7750" spans="1:16">
      <x:c r="A7750" s="0" t="s">
        <x:v>30862</x:v>
      </x:c>
      <x:c r="B7750" s="0" t="s">
        <x:v>30863</x:v>
      </x:c>
      <x:c r="C7750" s="0" t="s">
        <x:v>30864</x:v>
      </x:c>
      <x:c r="E7750" s="0" t="s">
        <x:v>30865</x:v>
      </x:c>
      <x:c r="F7750" s="0" t="s">
        <x:v>45</x:v>
      </x:c>
      <x:c r="G7750" s="0" t="s">
        <x:v>19</x:v>
      </x:c>
      <x:c r="H7750" s="0" t="s">
        <x:v>20</x:v>
      </x:c>
      <x:c r="I7750" s="0" t="s">
        <x:v>21</x:v>
      </x:c>
      <x:c r="K7750" s="0">
        <x:f>hyperlink("https://icd.who.int/dev11/l-ichi/en#/http%3A%2F%2Fid.who.int%2Ficd%2Fentity%2F547177790","browser")</x:f>
      </x:c>
      <x:c r="L7750" s="0">
        <x:f>hyperlink("https://icat2.azurewebsites.net/icat/?ontology=ICD&amp;tab=ClassesTab&amp;id=http%3A%2F%2Fwho.int%2Ficd%2346816_512ebf36_bf6b_4d70_85da_cf2637062af4","iCat")</x:f>
      </x:c>
      <x:c r="M7750" s="0" t="s">
        <x:v>21</x:v>
      </x:c>
      <x:c r="N7750" s="0" t="s">
        <x:v>46</x:v>
      </x:c>
    </x:row>
    <x:row r="7751" spans="1:16">
      <x:c r="A7751" s="0" t="s">
        <x:v>30866</x:v>
      </x:c>
      <x:c r="B7751" s="0" t="s">
        <x:v>30867</x:v>
      </x:c>
      <x:c r="C7751" s="0" t="s">
        <x:v>30868</x:v>
      </x:c>
      <x:c r="E7751" s="0" t="s">
        <x:v>30869</x:v>
      </x:c>
      <x:c r="F7751" s="0" t="s">
        <x:v>45</x:v>
      </x:c>
      <x:c r="G7751" s="0" t="s">
        <x:v>19</x:v>
      </x:c>
      <x:c r="H7751" s="0" t="s">
        <x:v>20</x:v>
      </x:c>
      <x:c r="I7751" s="0" t="s">
        <x:v>21</x:v>
      </x:c>
      <x:c r="K7751" s="0">
        <x:f>hyperlink("https://icd.who.int/dev11/l-ichi/en#/http%3A%2F%2Fid.who.int%2Ficd%2Fentity%2F1976742771","browser")</x:f>
      </x:c>
      <x:c r="L7751" s="0">
        <x:f>hyperlink("https://icat2.azurewebsites.net/icat/?ontology=ICD&amp;tab=ClassesTab&amp;id=http%3A%2F%2Fwho.int%2Ficd%2346823_512ebf36_bf6b_4d70_85da_cf2637062af4","iCat")</x:f>
      </x:c>
      <x:c r="M7751" s="0" t="s">
        <x:v>21</x:v>
      </x:c>
      <x:c r="N7751" s="0" t="s">
        <x:v>46</x:v>
      </x:c>
    </x:row>
    <x:row r="7752" spans="1:16">
      <x:c r="A7752" s="0" t="s">
        <x:v>30870</x:v>
      </x:c>
      <x:c r="B7752" s="0" t="s">
        <x:v>30871</x:v>
      </x:c>
      <x:c r="C7752" s="0" t="s">
        <x:v>30872</x:v>
      </x:c>
      <x:c r="E7752" s="0" t="s">
        <x:v>30873</x:v>
      </x:c>
      <x:c r="F7752" s="0" t="s">
        <x:v>45</x:v>
      </x:c>
      <x:c r="G7752" s="0" t="s">
        <x:v>19</x:v>
      </x:c>
      <x:c r="H7752" s="0" t="s">
        <x:v>20</x:v>
      </x:c>
      <x:c r="I7752" s="0" t="s">
        <x:v>21</x:v>
      </x:c>
      <x:c r="K7752" s="0">
        <x:f>hyperlink("https://icd.who.int/dev11/l-ichi/en#/http%3A%2F%2Fid.who.int%2Ficd%2Fentity%2F1519536605","browser")</x:f>
      </x:c>
      <x:c r="L7752" s="0">
        <x:f>hyperlink("https://icat2.azurewebsites.net/icat/?ontology=ICD&amp;tab=ClassesTab&amp;id=http%3A%2F%2Fwho.int%2Ficd%2346830_512ebf36_bf6b_4d70_85da_cf2637062af4","iCat")</x:f>
      </x:c>
      <x:c r="M7752" s="0" t="s">
        <x:v>21</x:v>
      </x:c>
      <x:c r="N7752" s="0" t="s">
        <x:v>46</x:v>
      </x:c>
    </x:row>
    <x:row r="7753" spans="1:16">
      <x:c r="A7753" s="0" t="s">
        <x:v>30874</x:v>
      </x:c>
      <x:c r="B7753" s="0" t="s">
        <x:v>30875</x:v>
      </x:c>
      <x:c r="C7753" s="0" t="s">
        <x:v>30876</x:v>
      </x:c>
      <x:c r="E7753" s="0" t="s">
        <x:v>30877</x:v>
      </x:c>
      <x:c r="F7753" s="0" t="s">
        <x:v>45</x:v>
      </x:c>
      <x:c r="G7753" s="0" t="s">
        <x:v>19</x:v>
      </x:c>
      <x:c r="H7753" s="0" t="s">
        <x:v>20</x:v>
      </x:c>
      <x:c r="I7753" s="0" t="s">
        <x:v>21</x:v>
      </x:c>
      <x:c r="K7753" s="0">
        <x:f>hyperlink("https://icd.who.int/dev11/l-ichi/en#/http%3A%2F%2Fid.who.int%2Ficd%2Fentity%2F705749586","browser")</x:f>
      </x:c>
      <x:c r="L7753" s="0">
        <x:f>hyperlink("https://icat2.azurewebsites.net/icat/?ontology=ICD&amp;tab=ClassesTab&amp;id=http%3A%2F%2Fwho.int%2Ficd%2346837_512ebf36_bf6b_4d70_85da_cf2637062af4","iCat")</x:f>
      </x:c>
      <x:c r="M7753" s="0" t="s">
        <x:v>21</x:v>
      </x:c>
      <x:c r="N7753" s="0" t="s">
        <x:v>46</x:v>
      </x:c>
    </x:row>
    <x:row r="7754" spans="1:16">
      <x:c r="A7754" s="0" t="s">
        <x:v>30878</x:v>
      </x:c>
      <x:c r="B7754" s="0" t="s">
        <x:v>30879</x:v>
      </x:c>
      <x:c r="C7754" s="0" t="s">
        <x:v>30880</x:v>
      </x:c>
      <x:c r="E7754" s="0" t="s">
        <x:v>30881</x:v>
      </x:c>
      <x:c r="F7754" s="0" t="s">
        <x:v>45</x:v>
      </x:c>
      <x:c r="G7754" s="0" t="s">
        <x:v>19</x:v>
      </x:c>
      <x:c r="H7754" s="0" t="s">
        <x:v>20</x:v>
      </x:c>
      <x:c r="I7754" s="0" t="s">
        <x:v>21</x:v>
      </x:c>
      <x:c r="K7754" s="0">
        <x:f>hyperlink("https://icd.who.int/dev11/l-ichi/en#/http%3A%2F%2Fid.who.int%2Ficd%2Fentity%2F1598267059","browser")</x:f>
      </x:c>
      <x:c r="L7754" s="0">
        <x:f>hyperlink("https://icat2.azurewebsites.net/icat/?ontology=ICD&amp;tab=ClassesTab&amp;id=http%3A%2F%2Fwho.int%2Ficd%2346844_512ebf36_bf6b_4d70_85da_cf2637062af4","iCat")</x:f>
      </x:c>
      <x:c r="M7754" s="0" t="s">
        <x:v>21</x:v>
      </x:c>
      <x:c r="N7754" s="0" t="s">
        <x:v>46</x:v>
      </x:c>
    </x:row>
    <x:row r="7755" spans="1:16">
      <x:c r="A7755" s="0" t="s">
        <x:v>30882</x:v>
      </x:c>
      <x:c r="B7755" s="0" t="s">
        <x:v>30883</x:v>
      </x:c>
      <x:c r="C7755" s="0" t="s">
        <x:v>30884</x:v>
      </x:c>
      <x:c r="E7755" s="0" t="s">
        <x:v>30885</x:v>
      </x:c>
      <x:c r="F7755" s="0" t="s">
        <x:v>45</x:v>
      </x:c>
      <x:c r="G7755" s="0" t="s">
        <x:v>19</x:v>
      </x:c>
      <x:c r="H7755" s="0" t="s">
        <x:v>20</x:v>
      </x:c>
      <x:c r="I7755" s="0" t="s">
        <x:v>21</x:v>
      </x:c>
      <x:c r="K7755" s="0">
        <x:f>hyperlink("https://icd.who.int/dev11/l-ichi/en#/http%3A%2F%2Fid.who.int%2Ficd%2Fentity%2F544783790","browser")</x:f>
      </x:c>
      <x:c r="L7755" s="0">
        <x:f>hyperlink("https://icat2.azurewebsites.net/icat/?ontology=ICD&amp;tab=ClassesTab&amp;id=http%3A%2F%2Fwho.int%2Ficd%2346851_512ebf36_bf6b_4d70_85da_cf2637062af4","iCat")</x:f>
      </x:c>
      <x:c r="M7755" s="0" t="s">
        <x:v>21</x:v>
      </x:c>
      <x:c r="N7755" s="0" t="s">
        <x:v>46</x:v>
      </x:c>
    </x:row>
    <x:row r="7756" spans="1:16">
      <x:c r="A7756" s="0" t="s">
        <x:v>30886</x:v>
      </x:c>
      <x:c r="B7756" s="0" t="s">
        <x:v>30887</x:v>
      </x:c>
      <x:c r="C7756" s="0" t="s">
        <x:v>30888</x:v>
      </x:c>
      <x:c r="E7756" s="0" t="s">
        <x:v>30889</x:v>
      </x:c>
      <x:c r="F7756" s="0" t="s">
        <x:v>45</x:v>
      </x:c>
      <x:c r="G7756" s="0" t="s">
        <x:v>19</x:v>
      </x:c>
      <x:c r="H7756" s="0" t="s">
        <x:v>20</x:v>
      </x:c>
      <x:c r="I7756" s="0" t="s">
        <x:v>21</x:v>
      </x:c>
      <x:c r="K7756" s="0">
        <x:f>hyperlink("https://icd.who.int/dev11/l-ichi/en#/http%3A%2F%2Fid.who.int%2Ficd%2Fentity%2F1861864697","browser")</x:f>
      </x:c>
      <x:c r="L7756" s="0">
        <x:f>hyperlink("https://icat2.azurewebsites.net/icat/?ontology=ICD&amp;tab=ClassesTab&amp;id=http%3A%2F%2Fwho.int%2Ficd%2346859_512ebf36_bf6b_4d70_85da_cf2637062af4","iCat")</x:f>
      </x:c>
      <x:c r="M7756" s="0" t="s">
        <x:v>21</x:v>
      </x:c>
      <x:c r="N7756" s="0" t="s">
        <x:v>46</x:v>
      </x:c>
    </x:row>
    <x:row r="7757" spans="1:16">
      <x:c r="A7757" s="0" t="s">
        <x:v>30890</x:v>
      </x:c>
      <x:c r="B7757" s="0" t="s">
        <x:v>30891</x:v>
      </x:c>
      <x:c r="C7757" s="0" t="s">
        <x:v>30892</x:v>
      </x:c>
      <x:c r="E7757" s="0" t="s">
        <x:v>30893</x:v>
      </x:c>
      <x:c r="F7757" s="0" t="s">
        <x:v>45</x:v>
      </x:c>
      <x:c r="G7757" s="0" t="s">
        <x:v>19</x:v>
      </x:c>
      <x:c r="H7757" s="0" t="s">
        <x:v>20</x:v>
      </x:c>
      <x:c r="I7757" s="0" t="s">
        <x:v>21</x:v>
      </x:c>
      <x:c r="K7757" s="0">
        <x:f>hyperlink("https://icd.who.int/dev11/l-ichi/en#/http%3A%2F%2Fid.who.int%2Ficd%2Fentity%2F273372710","browser")</x:f>
      </x:c>
      <x:c r="L7757" s="0">
        <x:f>hyperlink("https://icat2.azurewebsites.net/icat/?ontology=ICD&amp;tab=ClassesTab&amp;id=http%3A%2F%2Fwho.int%2Ficd%2346866_512ebf36_bf6b_4d70_85da_cf2637062af4","iCat")</x:f>
      </x:c>
      <x:c r="M7757" s="0" t="s">
        <x:v>21</x:v>
      </x:c>
      <x:c r="N7757" s="0" t="s">
        <x:v>46</x:v>
      </x:c>
    </x:row>
    <x:row r="7758" spans="1:16">
      <x:c r="A7758" s="0" t="s">
        <x:v>30894</x:v>
      </x:c>
      <x:c r="B7758" s="0" t="s">
        <x:v>30895</x:v>
      </x:c>
      <x:c r="C7758" s="0" t="s">
        <x:v>30896</x:v>
      </x:c>
      <x:c r="E7758" s="0" t="s">
        <x:v>30897</x:v>
      </x:c>
      <x:c r="F7758" s="0" t="s">
        <x:v>45</x:v>
      </x:c>
      <x:c r="G7758" s="0" t="s">
        <x:v>19</x:v>
      </x:c>
      <x:c r="H7758" s="0" t="s">
        <x:v>20</x:v>
      </x:c>
      <x:c r="I7758" s="0" t="s">
        <x:v>21</x:v>
      </x:c>
      <x:c r="K7758" s="0">
        <x:f>hyperlink("https://icd.who.int/dev11/l-ichi/en#/http%3A%2F%2Fid.who.int%2Ficd%2Fentity%2F1869641017","browser")</x:f>
      </x:c>
      <x:c r="L7758" s="0">
        <x:f>hyperlink("https://icat2.azurewebsites.net/icat/?ontology=ICD&amp;tab=ClassesTab&amp;id=http%3A%2F%2Fwho.int%2Ficd%2346873_512ebf36_bf6b_4d70_85da_cf2637062af4","iCat")</x:f>
      </x:c>
      <x:c r="M7758" s="0" t="s">
        <x:v>21</x:v>
      </x:c>
      <x:c r="N7758" s="0" t="s">
        <x:v>46</x:v>
      </x:c>
    </x:row>
    <x:row r="7759" spans="1:16">
      <x:c r="A7759" s="0" t="s">
        <x:v>30898</x:v>
      </x:c>
      <x:c r="B7759" s="0" t="s">
        <x:v>30899</x:v>
      </x:c>
      <x:c r="C7759" s="0" t="s">
        <x:v>30900</x:v>
      </x:c>
      <x:c r="E7759" s="0" t="s">
        <x:v>30901</x:v>
      </x:c>
      <x:c r="F7759" s="0" t="s">
        <x:v>45</x:v>
      </x:c>
      <x:c r="G7759" s="0" t="s">
        <x:v>19</x:v>
      </x:c>
      <x:c r="H7759" s="0" t="s">
        <x:v>20</x:v>
      </x:c>
      <x:c r="I7759" s="0" t="s">
        <x:v>21</x:v>
      </x:c>
      <x:c r="K7759" s="0">
        <x:f>hyperlink("https://icd.who.int/dev11/l-ichi/en#/http%3A%2F%2Fid.who.int%2Ficd%2Fentity%2F85086240","browser")</x:f>
      </x:c>
      <x:c r="L7759" s="0">
        <x:f>hyperlink("https://icat2.azurewebsites.net/icat/?ontology=ICD&amp;tab=ClassesTab&amp;id=http%3A%2F%2Fwho.int%2Ficd%2346880_512ebf36_bf6b_4d70_85da_cf2637062af4","iCat")</x:f>
      </x:c>
      <x:c r="M7759" s="0" t="s">
        <x:v>21</x:v>
      </x:c>
      <x:c r="N7759" s="0" t="s">
        <x:v>46</x:v>
      </x:c>
    </x:row>
    <x:row r="7760" spans="1:16">
      <x:c r="A7760" s="0" t="s">
        <x:v>30902</x:v>
      </x:c>
      <x:c r="B7760" s="0" t="s">
        <x:v>30903</x:v>
      </x:c>
      <x:c r="C7760" s="0" t="s">
        <x:v>30904</x:v>
      </x:c>
      <x:c r="E7760" s="0" t="s">
        <x:v>30905</x:v>
      </x:c>
      <x:c r="F7760" s="0" t="s">
        <x:v>45</x:v>
      </x:c>
      <x:c r="G7760" s="0" t="s">
        <x:v>19</x:v>
      </x:c>
      <x:c r="H7760" s="0" t="s">
        <x:v>20</x:v>
      </x:c>
      <x:c r="I7760" s="0" t="s">
        <x:v>21</x:v>
      </x:c>
      <x:c r="K7760" s="0">
        <x:f>hyperlink("https://icd.who.int/dev11/l-ichi/en#/http%3A%2F%2Fid.who.int%2Ficd%2Fentity%2F1972435859","browser")</x:f>
      </x:c>
      <x:c r="L7760" s="0">
        <x:f>hyperlink("https://icat2.azurewebsites.net/icat/?ontology=ICD&amp;tab=ClassesTab&amp;id=http%3A%2F%2Fwho.int%2Ficd%2346887_512ebf36_bf6b_4d70_85da_cf2637062af4","iCat")</x:f>
      </x:c>
      <x:c r="M7760" s="0" t="s">
        <x:v>21</x:v>
      </x:c>
      <x:c r="N7760" s="0" t="s">
        <x:v>46</x:v>
      </x:c>
    </x:row>
    <x:row r="7761" spans="1:16">
      <x:c r="A7761" s="0" t="s">
        <x:v>30906</x:v>
      </x:c>
      <x:c r="B7761" s="0" t="s">
        <x:v>30907</x:v>
      </x:c>
      <x:c r="C7761" s="0" t="s">
        <x:v>30908</x:v>
      </x:c>
      <x:c r="E7761" s="0" t="s">
        <x:v>30909</x:v>
      </x:c>
      <x:c r="F7761" s="0" t="s">
        <x:v>45</x:v>
      </x:c>
      <x:c r="G7761" s="0" t="s">
        <x:v>19</x:v>
      </x:c>
      <x:c r="H7761" s="0" t="s">
        <x:v>20</x:v>
      </x:c>
      <x:c r="I7761" s="0" t="s">
        <x:v>21</x:v>
      </x:c>
      <x:c r="K7761" s="0">
        <x:f>hyperlink("https://icd.who.int/dev11/l-ichi/en#/http%3A%2F%2Fid.who.int%2Ficd%2Fentity%2F2049536769","browser")</x:f>
      </x:c>
      <x:c r="L7761" s="0">
        <x:f>hyperlink("https://icat2.azurewebsites.net/icat/?ontology=ICD&amp;tab=ClassesTab&amp;id=http%3A%2F%2Fwho.int%2Ficd%2346895_512ebf36_bf6b_4d70_85da_cf2637062af4","iCat")</x:f>
      </x:c>
      <x:c r="M7761" s="0" t="s">
        <x:v>21</x:v>
      </x:c>
      <x:c r="N7761" s="0" t="s">
        <x:v>46</x:v>
      </x:c>
    </x:row>
    <x:row r="7762" spans="1:16">
      <x:c r="A7762" s="0" t="s">
        <x:v>30910</x:v>
      </x:c>
      <x:c r="B7762" s="0" t="s">
        <x:v>30911</x:v>
      </x:c>
      <x:c r="C7762" s="0" t="s">
        <x:v>30912</x:v>
      </x:c>
      <x:c r="E7762" s="0" t="s">
        <x:v>30913</x:v>
      </x:c>
      <x:c r="F7762" s="0" t="s">
        <x:v>45</x:v>
      </x:c>
      <x:c r="G7762" s="0" t="s">
        <x:v>19</x:v>
      </x:c>
      <x:c r="H7762" s="0" t="s">
        <x:v>20</x:v>
      </x:c>
      <x:c r="I7762" s="0" t="s">
        <x:v>21</x:v>
      </x:c>
      <x:c r="K7762" s="0">
        <x:f>hyperlink("https://icd.who.int/dev11/l-ichi/en#/http%3A%2F%2Fid.who.int%2Ficd%2Fentity%2F180408962","browser")</x:f>
      </x:c>
      <x:c r="L7762" s="0">
        <x:f>hyperlink("https://icat2.azurewebsites.net/icat/?ontology=ICD&amp;tab=ClassesTab&amp;id=http%3A%2F%2Fwho.int%2Ficd%2346902_512ebf36_bf6b_4d70_85da_cf2637062af4","iCat")</x:f>
      </x:c>
      <x:c r="M7762" s="0" t="s">
        <x:v>21</x:v>
      </x:c>
      <x:c r="N7762" s="0" t="s">
        <x:v>46</x:v>
      </x:c>
    </x:row>
    <x:row r="7763" spans="1:16">
      <x:c r="A7763" s="0" t="s">
        <x:v>30914</x:v>
      </x:c>
      <x:c r="B7763" s="0" t="s">
        <x:v>30915</x:v>
      </x:c>
      <x:c r="C7763" s="0" t="s">
        <x:v>30916</x:v>
      </x:c>
      <x:c r="E7763" s="0" t="s">
        <x:v>30917</x:v>
      </x:c>
      <x:c r="F7763" s="0" t="s">
        <x:v>45</x:v>
      </x:c>
      <x:c r="G7763" s="0" t="s">
        <x:v>19</x:v>
      </x:c>
      <x:c r="H7763" s="0" t="s">
        <x:v>20</x:v>
      </x:c>
      <x:c r="I7763" s="0" t="s">
        <x:v>21</x:v>
      </x:c>
      <x:c r="K7763" s="0">
        <x:f>hyperlink("https://icd.who.int/dev11/l-ichi/en#/http%3A%2F%2Fid.who.int%2Ficd%2Fentity%2F893739696","browser")</x:f>
      </x:c>
      <x:c r="L7763" s="0">
        <x:f>hyperlink("https://icat2.azurewebsites.net/icat/?ontology=ICD&amp;tab=ClassesTab&amp;id=http%3A%2F%2Fwho.int%2Ficd%2313801_4869915e_217e_423d_acb3_33c0f920ef4b","iCat")</x:f>
      </x:c>
      <x:c r="M7763" s="0" t="s">
        <x:v>21</x:v>
      </x:c>
      <x:c r="N7763" s="0" t="s">
        <x:v>46</x:v>
      </x:c>
    </x:row>
    <x:row r="7764" spans="1:16">
      <x:c r="A7764" s="0" t="s">
        <x:v>30918</x:v>
      </x:c>
      <x:c r="B7764" s="0" t="s">
        <x:v>30919</x:v>
      </x:c>
      <x:c r="C7764" s="0" t="s">
        <x:v>30920</x:v>
      </x:c>
      <x:c r="E7764" s="0" t="s">
        <x:v>30921</x:v>
      </x:c>
      <x:c r="F7764" s="0" t="s">
        <x:v>45</x:v>
      </x:c>
      <x:c r="G7764" s="0" t="s">
        <x:v>19</x:v>
      </x:c>
      <x:c r="H7764" s="0" t="s">
        <x:v>20</x:v>
      </x:c>
      <x:c r="I7764" s="0" t="s">
        <x:v>21</x:v>
      </x:c>
      <x:c r="K7764" s="0">
        <x:f>hyperlink("https://icd.who.int/dev11/l-ichi/en#/http%3A%2F%2Fid.who.int%2Ficd%2Fentity%2F1071118323","browser")</x:f>
      </x:c>
      <x:c r="L7764" s="0">
        <x:f>hyperlink("https://icat2.azurewebsites.net/icat/?ontology=ICD&amp;tab=ClassesTab&amp;id=http%3A%2F%2Fwho.int%2Ficd%23318_dd4d4347_e398_43b9_84dd_c9611ca6abfa","iCat")</x:f>
      </x:c>
      <x:c r="M7764" s="0" t="s">
        <x:v>21</x:v>
      </x:c>
      <x:c r="N7764" s="0" t="s">
        <x:v>46</x:v>
      </x:c>
    </x:row>
    <x:row r="7765" spans="1:16">
      <x:c r="A7765" s="0" t="s">
        <x:v>30922</x:v>
      </x:c>
      <x:c r="B7765" s="0" t="s">
        <x:v>30923</x:v>
      </x:c>
      <x:c r="C7765" s="0" t="s">
        <x:v>30924</x:v>
      </x:c>
      <x:c r="E7765" s="0" t="s">
        <x:v>30925</x:v>
      </x:c>
      <x:c r="F7765" s="0" t="s">
        <x:v>45</x:v>
      </x:c>
      <x:c r="G7765" s="0" t="s">
        <x:v>19</x:v>
      </x:c>
      <x:c r="H7765" s="0" t="s">
        <x:v>20</x:v>
      </x:c>
      <x:c r="I7765" s="0" t="s">
        <x:v>21</x:v>
      </x:c>
      <x:c r="K7765" s="0">
        <x:f>hyperlink("https://icd.who.int/dev11/l-ichi/en#/http%3A%2F%2Fid.who.int%2Ficd%2Fentity%2F1698609951","browser")</x:f>
      </x:c>
      <x:c r="L7765" s="0">
        <x:f>hyperlink("https://icat2.azurewebsites.net/icat/?ontology=ICD&amp;tab=ClassesTab&amp;id=http%3A%2F%2Fwho.int%2Ficd%2313807_4869915e_217e_423d_acb3_33c0f920ef4b","iCat")</x:f>
      </x:c>
      <x:c r="M7765" s="0" t="s">
        <x:v>21</x:v>
      </x:c>
      <x:c r="N7765" s="0" t="s">
        <x:v>46</x:v>
      </x:c>
    </x:row>
    <x:row r="7766" spans="1:16">
      <x:c r="A7766" s="0" t="s">
        <x:v>30926</x:v>
      </x:c>
      <x:c r="B7766" s="0" t="s">
        <x:v>30927</x:v>
      </x:c>
      <x:c r="C7766" s="0" t="s">
        <x:v>30928</x:v>
      </x:c>
      <x:c r="E7766" s="0" t="s">
        <x:v>30929</x:v>
      </x:c>
      <x:c r="F7766" s="0" t="s">
        <x:v>45</x:v>
      </x:c>
      <x:c r="G7766" s="0" t="s">
        <x:v>19</x:v>
      </x:c>
      <x:c r="H7766" s="0" t="s">
        <x:v>20</x:v>
      </x:c>
      <x:c r="I7766" s="0" t="s">
        <x:v>21</x:v>
      </x:c>
      <x:c r="K7766" s="0">
        <x:f>hyperlink("https://icd.who.int/dev11/l-ichi/en#/http%3A%2F%2Fid.who.int%2Ficd%2Fentity%2F989653566","browser")</x:f>
      </x:c>
      <x:c r="L7766" s="0">
        <x:f>hyperlink("https://icat2.azurewebsites.net/icat/?ontology=ICD&amp;tab=ClassesTab&amp;id=http%3A%2F%2Fwho.int%2Ficd%2313813_4869915e_217e_423d_acb3_33c0f920ef4b","iCat")</x:f>
      </x:c>
      <x:c r="M7766" s="0" t="s">
        <x:v>21</x:v>
      </x:c>
      <x:c r="N7766" s="0" t="s">
        <x:v>46</x:v>
      </x:c>
    </x:row>
    <x:row r="7767" spans="1:16">
      <x:c r="A7767" s="0" t="s">
        <x:v>30930</x:v>
      </x:c>
      <x:c r="B7767" s="0" t="s">
        <x:v>30931</x:v>
      </x:c>
      <x:c r="C7767" s="0" t="s">
        <x:v>30932</x:v>
      </x:c>
      <x:c r="E7767" s="0" t="s">
        <x:v>30933</x:v>
      </x:c>
      <x:c r="F7767" s="0" t="s">
        <x:v>45</x:v>
      </x:c>
      <x:c r="G7767" s="0" t="s">
        <x:v>19</x:v>
      </x:c>
      <x:c r="H7767" s="0" t="s">
        <x:v>20</x:v>
      </x:c>
      <x:c r="I7767" s="0" t="s">
        <x:v>21</x:v>
      </x:c>
      <x:c r="K7767" s="0">
        <x:f>hyperlink("https://icd.who.int/dev11/l-ichi/en#/http%3A%2F%2Fid.who.int%2Ficd%2Fentity%2F81789653","browser")</x:f>
      </x:c>
      <x:c r="L7767" s="0">
        <x:f>hyperlink("https://icat2.azurewebsites.net/icat/?ontology=ICD&amp;tab=ClassesTab&amp;id=http%3A%2F%2Fwho.int%2Ficd%23324_dd4d4347_e398_43b9_84dd_c9611ca6abfa","iCat")</x:f>
      </x:c>
      <x:c r="M7767" s="0" t="s">
        <x:v>21</x:v>
      </x:c>
      <x:c r="N7767" s="0" t="s">
        <x:v>46</x:v>
      </x:c>
    </x:row>
    <x:row r="7768" spans="1:16">
      <x:c r="A7768" s="0" t="s">
        <x:v>30934</x:v>
      </x:c>
      <x:c r="B7768" s="0" t="s">
        <x:v>30935</x:v>
      </x:c>
      <x:c r="C7768" s="0" t="s">
        <x:v>30936</x:v>
      </x:c>
      <x:c r="E7768" s="0" t="s">
        <x:v>30937</x:v>
      </x:c>
      <x:c r="F7768" s="0" t="s">
        <x:v>45</x:v>
      </x:c>
      <x:c r="G7768" s="0" t="s">
        <x:v>19</x:v>
      </x:c>
      <x:c r="H7768" s="0" t="s">
        <x:v>20</x:v>
      </x:c>
      <x:c r="I7768" s="0" t="s">
        <x:v>21</x:v>
      </x:c>
      <x:c r="K7768" s="0">
        <x:f>hyperlink("https://icd.who.int/dev11/l-ichi/en#/http%3A%2F%2Fid.who.int%2Ficd%2Fentity%2F1528976374","browser")</x:f>
      </x:c>
      <x:c r="L7768" s="0">
        <x:f>hyperlink("https://icat2.azurewebsites.net/icat/?ontology=ICD&amp;tab=ClassesTab&amp;id=http%3A%2F%2Fwho.int%2Ficd%23330_dd4d4347_e398_43b9_84dd_c9611ca6abfa","iCat")</x:f>
      </x:c>
      <x:c r="M7768" s="0" t="s">
        <x:v>21</x:v>
      </x:c>
      <x:c r="N7768" s="0" t="s">
        <x:v>46</x:v>
      </x:c>
    </x:row>
    <x:row r="7769" spans="1:16">
      <x:c r="A7769" s="0" t="s">
        <x:v>30938</x:v>
      </x:c>
      <x:c r="B7769" s="0" t="s">
        <x:v>30939</x:v>
      </x:c>
      <x:c r="C7769" s="0" t="s">
        <x:v>30940</x:v>
      </x:c>
      <x:c r="E7769" s="0" t="s">
        <x:v>30941</x:v>
      </x:c>
      <x:c r="F7769" s="0" t="s">
        <x:v>45</x:v>
      </x:c>
      <x:c r="G7769" s="0" t="s">
        <x:v>19</x:v>
      </x:c>
      <x:c r="H7769" s="0" t="s">
        <x:v>20</x:v>
      </x:c>
      <x:c r="I7769" s="0" t="s">
        <x:v>21</x:v>
      </x:c>
      <x:c r="K7769" s="0">
        <x:f>hyperlink("https://icd.who.int/dev11/l-ichi/en#/http%3A%2F%2Fid.who.int%2Ficd%2Fentity%2F190417479","browser")</x:f>
      </x:c>
      <x:c r="L7769" s="0">
        <x:f>hyperlink("https://icat2.azurewebsites.net/icat/?ontology=ICD&amp;tab=ClassesTab&amp;id=http%3A%2F%2Fwho.int%2Ficd%23336_dd4d4347_e398_43b9_84dd_c9611ca6abfa","iCat")</x:f>
      </x:c>
      <x:c r="M7769" s="0" t="s">
        <x:v>21</x:v>
      </x:c>
      <x:c r="N7769" s="0" t="s">
        <x:v>46</x:v>
      </x:c>
    </x:row>
    <x:row r="7770" spans="1:16">
      <x:c r="A7770" s="0" t="s">
        <x:v>30942</x:v>
      </x:c>
      <x:c r="B7770" s="0" t="s">
        <x:v>30943</x:v>
      </x:c>
      <x:c r="C7770" s="0" t="s">
        <x:v>30944</x:v>
      </x:c>
      <x:c r="E7770" s="0" t="s">
        <x:v>30945</x:v>
      </x:c>
      <x:c r="F7770" s="0" t="s">
        <x:v>45</x:v>
      </x:c>
      <x:c r="G7770" s="0" t="s">
        <x:v>19</x:v>
      </x:c>
      <x:c r="H7770" s="0" t="s">
        <x:v>20</x:v>
      </x:c>
      <x:c r="I7770" s="0" t="s">
        <x:v>21</x:v>
      </x:c>
      <x:c r="K7770" s="0">
        <x:f>hyperlink("https://icd.who.int/dev11/l-ichi/en#/http%3A%2F%2Fid.who.int%2Ficd%2Fentity%2F243817769","browser")</x:f>
      </x:c>
      <x:c r="L7770" s="0">
        <x:f>hyperlink("https://icat2.azurewebsites.net/icat/?ontology=ICD&amp;tab=ClassesTab&amp;id=http%3A%2F%2Fwho.int%2Ficd%23342_dd4d4347_e398_43b9_84dd_c9611ca6abfa","iCat")</x:f>
      </x:c>
      <x:c r="M7770" s="0" t="s">
        <x:v>21</x:v>
      </x:c>
      <x:c r="N7770" s="0" t="s">
        <x:v>46</x:v>
      </x:c>
    </x:row>
    <x:row r="7771" spans="1:16">
      <x:c r="A7771" s="0" t="s">
        <x:v>30946</x:v>
      </x:c>
      <x:c r="B7771" s="0" t="s">
        <x:v>30947</x:v>
      </x:c>
      <x:c r="C7771" s="0" t="s">
        <x:v>30948</x:v>
      </x:c>
      <x:c r="E7771" s="0" t="s">
        <x:v>30949</x:v>
      </x:c>
      <x:c r="F7771" s="0" t="s">
        <x:v>45</x:v>
      </x:c>
      <x:c r="G7771" s="0" t="s">
        <x:v>19</x:v>
      </x:c>
      <x:c r="H7771" s="0" t="s">
        <x:v>20</x:v>
      </x:c>
      <x:c r="I7771" s="0" t="s">
        <x:v>21</x:v>
      </x:c>
      <x:c r="K7771" s="0">
        <x:f>hyperlink("https://icd.who.int/dev11/l-ichi/en#/http%3A%2F%2Fid.who.int%2Ficd%2Fentity%2F628437433","browser")</x:f>
      </x:c>
      <x:c r="L7771" s="0">
        <x:f>hyperlink("https://icat2.azurewebsites.net/icat/?ontology=ICD&amp;tab=ClassesTab&amp;id=http%3A%2F%2Fwho.int%2Ficd%23348_dd4d4347_e398_43b9_84dd_c9611ca6abfa","iCat")</x:f>
      </x:c>
      <x:c r="M7771" s="0" t="s">
        <x:v>21</x:v>
      </x:c>
      <x:c r="N7771" s="0" t="s">
        <x:v>46</x:v>
      </x:c>
    </x:row>
    <x:row r="7772" spans="1:16">
      <x:c r="A7772" s="0" t="s">
        <x:v>30950</x:v>
      </x:c>
      <x:c r="B7772" s="0" t="s">
        <x:v>30951</x:v>
      </x:c>
      <x:c r="C7772" s="0" t="s">
        <x:v>30952</x:v>
      </x:c>
      <x:c r="E7772" s="0" t="s">
        <x:v>30953</x:v>
      </x:c>
      <x:c r="F7772" s="0" t="s">
        <x:v>45</x:v>
      </x:c>
      <x:c r="G7772" s="0" t="s">
        <x:v>19</x:v>
      </x:c>
      <x:c r="H7772" s="0" t="s">
        <x:v>20</x:v>
      </x:c>
      <x:c r="I7772" s="0" t="s">
        <x:v>21</x:v>
      </x:c>
      <x:c r="K7772" s="0">
        <x:f>hyperlink("https://icd.who.int/dev11/l-ichi/en#/http%3A%2F%2Fid.who.int%2Ficd%2Fentity%2F875958735","browser")</x:f>
      </x:c>
      <x:c r="L7772" s="0">
        <x:f>hyperlink("https://icat2.azurewebsites.net/icat/?ontology=ICD&amp;tab=ClassesTab&amp;id=http%3A%2F%2Fwho.int%2Ficd%23354_dd4d4347_e398_43b9_84dd_c9611ca6abfa","iCat")</x:f>
      </x:c>
      <x:c r="M7772" s="0" t="s">
        <x:v>21</x:v>
      </x:c>
      <x:c r="N7772" s="0" t="s">
        <x:v>46</x:v>
      </x:c>
    </x:row>
    <x:row r="7773" spans="1:16">
      <x:c r="A7773" s="0" t="s">
        <x:v>30954</x:v>
      </x:c>
      <x:c r="B7773" s="0" t="s">
        <x:v>30955</x:v>
      </x:c>
      <x:c r="C7773" s="0" t="s">
        <x:v>30956</x:v>
      </x:c>
      <x:c r="E7773" s="0" t="s">
        <x:v>30957</x:v>
      </x:c>
      <x:c r="F7773" s="0" t="s">
        <x:v>45</x:v>
      </x:c>
      <x:c r="G7773" s="0" t="s">
        <x:v>19</x:v>
      </x:c>
      <x:c r="H7773" s="0" t="s">
        <x:v>20</x:v>
      </x:c>
      <x:c r="I7773" s="0" t="s">
        <x:v>21</x:v>
      </x:c>
      <x:c r="K7773" s="0">
        <x:f>hyperlink("https://icd.who.int/dev11/l-ichi/en#/http%3A%2F%2Fid.who.int%2Ficd%2Fentity%2F1098945980","browser")</x:f>
      </x:c>
      <x:c r="L7773" s="0">
        <x:f>hyperlink("https://icat2.azurewebsites.net/icat/?ontology=ICD&amp;tab=ClassesTab&amp;id=http%3A%2F%2Fwho.int%2Ficd%23360_dd4d4347_e398_43b9_84dd_c9611ca6abfa","iCat")</x:f>
      </x:c>
      <x:c r="M7773" s="0" t="s">
        <x:v>21</x:v>
      </x:c>
      <x:c r="N7773" s="0" t="s">
        <x:v>46</x:v>
      </x:c>
    </x:row>
    <x:row r="7774" spans="1:16">
      <x:c r="A7774" s="0" t="s">
        <x:v>30958</x:v>
      </x:c>
      <x:c r="B7774" s="0" t="s">
        <x:v>30959</x:v>
      </x:c>
      <x:c r="C7774" s="0" t="s">
        <x:v>30960</x:v>
      </x:c>
      <x:c r="E7774" s="0" t="s">
        <x:v>30961</x:v>
      </x:c>
      <x:c r="F7774" s="0" t="s">
        <x:v>45</x:v>
      </x:c>
      <x:c r="G7774" s="0" t="s">
        <x:v>19</x:v>
      </x:c>
      <x:c r="H7774" s="0" t="s">
        <x:v>20</x:v>
      </x:c>
      <x:c r="I7774" s="0" t="s">
        <x:v>21</x:v>
      </x:c>
      <x:c r="K7774" s="0">
        <x:f>hyperlink("https://icd.who.int/dev11/l-ichi/en#/http%3A%2F%2Fid.who.int%2Ficd%2Fentity%2F301681677","browser")</x:f>
      </x:c>
      <x:c r="L7774" s="0">
        <x:f>hyperlink("https://icat2.azurewebsites.net/icat/?ontology=ICD&amp;tab=ClassesTab&amp;id=http%3A%2F%2Fwho.int%2Ficd%23366_dd4d4347_e398_43b9_84dd_c9611ca6abfa","iCat")</x:f>
      </x:c>
      <x:c r="M7774" s="0" t="s">
        <x:v>21</x:v>
      </x:c>
      <x:c r="N7774" s="0" t="s">
        <x:v>46</x:v>
      </x:c>
    </x:row>
    <x:row r="7775" spans="1:16">
      <x:c r="A7775" s="0" t="s">
        <x:v>30962</x:v>
      </x:c>
      <x:c r="B7775" s="0" t="s">
        <x:v>30963</x:v>
      </x:c>
      <x:c r="C7775" s="0" t="s">
        <x:v>30964</x:v>
      </x:c>
      <x:c r="E7775" s="0" t="s">
        <x:v>30965</x:v>
      </x:c>
      <x:c r="F7775" s="0" t="s">
        <x:v>45</x:v>
      </x:c>
      <x:c r="G7775" s="0" t="s">
        <x:v>19</x:v>
      </x:c>
      <x:c r="H7775" s="0" t="s">
        <x:v>20</x:v>
      </x:c>
      <x:c r="I7775" s="0" t="s">
        <x:v>21</x:v>
      </x:c>
      <x:c r="K7775" s="0">
        <x:f>hyperlink("https://icd.who.int/dev11/l-ichi/en#/http%3A%2F%2Fid.who.int%2Ficd%2Fentity%2F1312365870","browser")</x:f>
      </x:c>
      <x:c r="L7775" s="0">
        <x:f>hyperlink("https://icat2.azurewebsites.net/icat/?ontology=ICD&amp;tab=ClassesTab&amp;id=http%3A%2F%2Fwho.int%2Ficd%23372_dd4d4347_e398_43b9_84dd_c9611ca6abfa","iCat")</x:f>
      </x:c>
      <x:c r="M7775" s="0" t="s">
        <x:v>21</x:v>
      </x:c>
      <x:c r="N7775" s="0" t="s">
        <x:v>46</x:v>
      </x:c>
    </x:row>
    <x:row r="7776" spans="1:16">
      <x:c r="A7776" s="0" t="s">
        <x:v>30966</x:v>
      </x:c>
      <x:c r="B7776" s="0" t="s">
        <x:v>30967</x:v>
      </x:c>
      <x:c r="C7776" s="0" t="s">
        <x:v>30968</x:v>
      </x:c>
      <x:c r="E7776" s="0" t="s">
        <x:v>30969</x:v>
      </x:c>
      <x:c r="F7776" s="0" t="s">
        <x:v>45</x:v>
      </x:c>
      <x:c r="G7776" s="0" t="s">
        <x:v>19</x:v>
      </x:c>
      <x:c r="H7776" s="0" t="s">
        <x:v>20</x:v>
      </x:c>
      <x:c r="I7776" s="0" t="s">
        <x:v>21</x:v>
      </x:c>
      <x:c r="K7776" s="0">
        <x:f>hyperlink("https://icd.who.int/dev11/l-ichi/en#/http%3A%2F%2Fid.who.int%2Ficd%2Fentity%2F1707372990","browser")</x:f>
      </x:c>
      <x:c r="L7776" s="0">
        <x:f>hyperlink("https://icat2.azurewebsites.net/icat/?ontology=ICD&amp;tab=ClassesTab&amp;id=http%3A%2F%2Fwho.int%2Ficd%23378_dd4d4347_e398_43b9_84dd_c9611ca6abfa","iCat")</x:f>
      </x:c>
      <x:c r="M7776" s="0" t="s">
        <x:v>21</x:v>
      </x:c>
      <x:c r="N7776" s="0" t="s">
        <x:v>46</x:v>
      </x:c>
    </x:row>
    <x:row r="7777" spans="1:16">
      <x:c r="A7777" s="0" t="s">
        <x:v>30970</x:v>
      </x:c>
      <x:c r="B7777" s="0" t="s">
        <x:v>30971</x:v>
      </x:c>
      <x:c r="C7777" s="0" t="s">
        <x:v>30972</x:v>
      </x:c>
      <x:c r="E7777" s="0" t="s">
        <x:v>30973</x:v>
      </x:c>
      <x:c r="F7777" s="0" t="s">
        <x:v>45</x:v>
      </x:c>
      <x:c r="G7777" s="0" t="s">
        <x:v>19</x:v>
      </x:c>
      <x:c r="H7777" s="0" t="s">
        <x:v>20</x:v>
      </x:c>
      <x:c r="I7777" s="0" t="s">
        <x:v>21</x:v>
      </x:c>
      <x:c r="K7777" s="0">
        <x:f>hyperlink("https://icd.who.int/dev11/l-ichi/en#/http%3A%2F%2Fid.who.int%2Ficd%2Fentity%2F832933441","browser")</x:f>
      </x:c>
      <x:c r="L7777" s="0">
        <x:f>hyperlink("https://icat2.azurewebsites.net/icat/?ontology=ICD&amp;tab=ClassesTab&amp;id=http%3A%2F%2Fwho.int%2Ficd%23384_dd4d4347_e398_43b9_84dd_c9611ca6abfa","iCat")</x:f>
      </x:c>
      <x:c r="M7777" s="0" t="s">
        <x:v>21</x:v>
      </x:c>
      <x:c r="N7777" s="0" t="s">
        <x:v>46</x:v>
      </x:c>
    </x:row>
    <x:row r="7778" spans="1:16">
      <x:c r="A7778" s="0" t="s">
        <x:v>30974</x:v>
      </x:c>
      <x:c r="B7778" s="0" t="s">
        <x:v>30975</x:v>
      </x:c>
      <x:c r="C7778" s="0" t="s">
        <x:v>30976</x:v>
      </x:c>
      <x:c r="E7778" s="0" t="s">
        <x:v>30977</x:v>
      </x:c>
      <x:c r="F7778" s="0" t="s">
        <x:v>45</x:v>
      </x:c>
      <x:c r="G7778" s="0" t="s">
        <x:v>19</x:v>
      </x:c>
      <x:c r="H7778" s="0" t="s">
        <x:v>20</x:v>
      </x:c>
      <x:c r="I7778" s="0" t="s">
        <x:v>21</x:v>
      </x:c>
      <x:c r="K7778" s="0">
        <x:f>hyperlink("https://icd.who.int/dev11/l-ichi/en#/http%3A%2F%2Fid.who.int%2Ficd%2Fentity%2F957810849","browser")</x:f>
      </x:c>
      <x:c r="L7778" s="0">
        <x:f>hyperlink("https://icat2.azurewebsites.net/icat/?ontology=ICD&amp;tab=ClassesTab&amp;id=http%3A%2F%2Fwho.int%2Ficd%230_60b821c4_cabc_4b81_9563_cb99d74167d5","iCat")</x:f>
      </x:c>
      <x:c r="M7778" s="0" t="s">
        <x:v>21</x:v>
      </x:c>
      <x:c r="N7778" s="0" t="s">
        <x:v>46</x:v>
      </x:c>
    </x:row>
    <x:row r="7779" spans="1:16">
      <x:c r="A7779" s="0" t="s">
        <x:v>30978</x:v>
      </x:c>
      <x:c r="B7779" s="0" t="s">
        <x:v>30979</x:v>
      </x:c>
      <x:c r="C7779" s="0" t="s">
        <x:v>30980</x:v>
      </x:c>
      <x:c r="E7779" s="0" t="s">
        <x:v>30981</x:v>
      </x:c>
      <x:c r="F7779" s="0" t="s">
        <x:v>45</x:v>
      </x:c>
      <x:c r="G7779" s="0" t="s">
        <x:v>19</x:v>
      </x:c>
      <x:c r="H7779" s="0" t="s">
        <x:v>20</x:v>
      </x:c>
      <x:c r="I7779" s="0" t="s">
        <x:v>21</x:v>
      </x:c>
      <x:c r="K7779" s="0">
        <x:f>hyperlink("https://icd.who.int/dev11/l-ichi/en#/http%3A%2F%2Fid.who.int%2Ficd%2Fentity%2F1852301154","browser")</x:f>
      </x:c>
      <x:c r="L7779" s="0">
        <x:f>hyperlink("https://icat2.azurewebsites.net/icat/?ontology=ICD&amp;tab=ClassesTab&amp;id=http%3A%2F%2Fwho.int%2Ficd%23390_dd4d4347_e398_43b9_84dd_c9611ca6abfa","iCat")</x:f>
      </x:c>
      <x:c r="M7779" s="0" t="s">
        <x:v>21</x:v>
      </x:c>
      <x:c r="N7779" s="0" t="s">
        <x:v>46</x:v>
      </x:c>
    </x:row>
    <x:row r="7780" spans="1:16">
      <x:c r="A7780" s="0" t="s">
        <x:v>30982</x:v>
      </x:c>
      <x:c r="B7780" s="0" t="s">
        <x:v>30983</x:v>
      </x:c>
      <x:c r="C7780" s="0" t="s">
        <x:v>30984</x:v>
      </x:c>
      <x:c r="E7780" s="0" t="s">
        <x:v>30985</x:v>
      </x:c>
      <x:c r="F7780" s="0" t="s">
        <x:v>45</x:v>
      </x:c>
      <x:c r="G7780" s="0" t="s">
        <x:v>19</x:v>
      </x:c>
      <x:c r="H7780" s="0" t="s">
        <x:v>20</x:v>
      </x:c>
      <x:c r="I7780" s="0" t="s">
        <x:v>21</x:v>
      </x:c>
      <x:c r="K7780" s="0">
        <x:f>hyperlink("https://icd.who.int/dev11/l-ichi/en#/http%3A%2F%2Fid.who.int%2Ficd%2Fentity%2F1042024147","browser")</x:f>
      </x:c>
      <x:c r="L7780" s="0">
        <x:f>hyperlink("https://icat2.azurewebsites.net/icat/?ontology=ICD&amp;tab=ClassesTab&amp;id=http%3A%2F%2Fwho.int%2Ficd%23396_dd4d4347_e398_43b9_84dd_c9611ca6abfa","iCat")</x:f>
      </x:c>
      <x:c r="M7780" s="0" t="s">
        <x:v>21</x:v>
      </x:c>
      <x:c r="N7780" s="0" t="s">
        <x:v>46</x:v>
      </x:c>
    </x:row>
    <x:row r="7781" spans="1:16">
      <x:c r="A7781" s="0" t="s">
        <x:v>30986</x:v>
      </x:c>
      <x:c r="B7781" s="0" t="s">
        <x:v>30987</x:v>
      </x:c>
      <x:c r="C7781" s="0" t="s">
        <x:v>30988</x:v>
      </x:c>
      <x:c r="E7781" s="0" t="s">
        <x:v>30989</x:v>
      </x:c>
      <x:c r="F7781" s="0" t="s">
        <x:v>45</x:v>
      </x:c>
      <x:c r="G7781" s="0" t="s">
        <x:v>19</x:v>
      </x:c>
      <x:c r="H7781" s="0" t="s">
        <x:v>20</x:v>
      </x:c>
      <x:c r="I7781" s="0" t="s">
        <x:v>21</x:v>
      </x:c>
      <x:c r="K7781" s="0">
        <x:f>hyperlink("https://icd.who.int/dev11/l-ichi/en#/http%3A%2F%2Fid.who.int%2Ficd%2Fentity%2F314484312","browser")</x:f>
      </x:c>
      <x:c r="L7781" s="0">
        <x:f>hyperlink("https://icat2.azurewebsites.net/icat/?ontology=ICD&amp;tab=ClassesTab&amp;id=http%3A%2F%2Fwho.int%2Ficd%23402_dd4d4347_e398_43b9_84dd_c9611ca6abfa","iCat")</x:f>
      </x:c>
      <x:c r="M7781" s="0" t="s">
        <x:v>21</x:v>
      </x:c>
      <x:c r="N7781" s="0" t="s">
        <x:v>46</x:v>
      </x:c>
    </x:row>
    <x:row r="7782" spans="1:16">
      <x:c r="A7782" s="0" t="s">
        <x:v>30990</x:v>
      </x:c>
      <x:c r="B7782" s="0" t="s">
        <x:v>30991</x:v>
      </x:c>
      <x:c r="C7782" s="0" t="s">
        <x:v>30992</x:v>
      </x:c>
      <x:c r="E7782" s="0" t="s">
        <x:v>30993</x:v>
      </x:c>
      <x:c r="F7782" s="0" t="s">
        <x:v>45</x:v>
      </x:c>
      <x:c r="G7782" s="0" t="s">
        <x:v>19</x:v>
      </x:c>
      <x:c r="H7782" s="0" t="s">
        <x:v>20</x:v>
      </x:c>
      <x:c r="I7782" s="0" t="s">
        <x:v>21</x:v>
      </x:c>
      <x:c r="K7782" s="0">
        <x:f>hyperlink("https://icd.who.int/dev11/l-ichi/en#/http%3A%2F%2Fid.who.int%2Ficd%2Fentity%2F960744136","browser")</x:f>
      </x:c>
      <x:c r="L7782" s="0">
        <x:f>hyperlink("https://icat2.azurewebsites.net/icat/?ontology=ICD&amp;tab=ClassesTab&amp;id=http%3A%2F%2Fwho.int%2Ficd%23408_dd4d4347_e398_43b9_84dd_c9611ca6abfa","iCat")</x:f>
      </x:c>
      <x:c r="M7782" s="0" t="s">
        <x:v>21</x:v>
      </x:c>
      <x:c r="N7782" s="0" t="s">
        <x:v>46</x:v>
      </x:c>
    </x:row>
    <x:row r="7783" spans="1:16">
      <x:c r="A7783" s="0" t="s">
        <x:v>30994</x:v>
      </x:c>
      <x:c r="B7783" s="0" t="s">
        <x:v>30995</x:v>
      </x:c>
      <x:c r="C7783" s="0" t="s">
        <x:v>30996</x:v>
      </x:c>
      <x:c r="E7783" s="0" t="s">
        <x:v>30997</x:v>
      </x:c>
      <x:c r="F7783" s="0" t="s">
        <x:v>45</x:v>
      </x:c>
      <x:c r="G7783" s="0" t="s">
        <x:v>19</x:v>
      </x:c>
      <x:c r="H7783" s="0" t="s">
        <x:v>20</x:v>
      </x:c>
      <x:c r="I7783" s="0" t="s">
        <x:v>21</x:v>
      </x:c>
      <x:c r="K7783" s="0">
        <x:f>hyperlink("https://icd.who.int/dev11/l-ichi/en#/http%3A%2F%2Fid.who.int%2Ficd%2Fentity%2F671148736","browser")</x:f>
      </x:c>
      <x:c r="L7783" s="0">
        <x:f>hyperlink("https://icat2.azurewebsites.net/icat/?ontology=ICD&amp;tab=ClassesTab&amp;id=http%3A%2F%2Fwho.int%2Ficd%23414_dd4d4347_e398_43b9_84dd_c9611ca6abfa","iCat")</x:f>
      </x:c>
      <x:c r="M7783" s="0" t="s">
        <x:v>21</x:v>
      </x:c>
      <x:c r="N7783" s="0" t="s">
        <x:v>46</x:v>
      </x:c>
    </x:row>
    <x:row r="7784" spans="1:16">
      <x:c r="A7784" s="0" t="s">
        <x:v>30998</x:v>
      </x:c>
      <x:c r="B7784" s="0" t="s">
        <x:v>30999</x:v>
      </x:c>
      <x:c r="C7784" s="0" t="s">
        <x:v>31000</x:v>
      </x:c>
      <x:c r="E7784" s="0" t="s">
        <x:v>31001</x:v>
      </x:c>
      <x:c r="F7784" s="0" t="s">
        <x:v>45</x:v>
      </x:c>
      <x:c r="G7784" s="0" t="s">
        <x:v>19</x:v>
      </x:c>
      <x:c r="H7784" s="0" t="s">
        <x:v>20</x:v>
      </x:c>
      <x:c r="I7784" s="0" t="s">
        <x:v>21</x:v>
      </x:c>
      <x:c r="K7784" s="0">
        <x:f>hyperlink("https://icd.who.int/dev11/l-ichi/en#/http%3A%2F%2Fid.who.int%2Ficd%2Fentity%2F1572237005","browser")</x:f>
      </x:c>
      <x:c r="L7784" s="0">
        <x:f>hyperlink("https://icat2.azurewebsites.net/icat/?ontology=ICD&amp;tab=ClassesTab&amp;id=http%3A%2F%2Fwho.int%2Ficd%23420_dd4d4347_e398_43b9_84dd_c9611ca6abfa","iCat")</x:f>
      </x:c>
      <x:c r="M7784" s="0" t="s">
        <x:v>21</x:v>
      </x:c>
      <x:c r="N7784" s="0" t="s">
        <x:v>46</x:v>
      </x:c>
    </x:row>
    <x:row r="7785" spans="1:16">
      <x:c r="A7785" s="0" t="s">
        <x:v>31002</x:v>
      </x:c>
      <x:c r="B7785" s="0" t="s">
        <x:v>31003</x:v>
      </x:c>
      <x:c r="C7785" s="0" t="s">
        <x:v>31004</x:v>
      </x:c>
      <x:c r="E7785" s="0" t="s">
        <x:v>31005</x:v>
      </x:c>
      <x:c r="F7785" s="0" t="s">
        <x:v>45</x:v>
      </x:c>
      <x:c r="G7785" s="0" t="s">
        <x:v>19</x:v>
      </x:c>
      <x:c r="H7785" s="0" t="s">
        <x:v>20</x:v>
      </x:c>
      <x:c r="I7785" s="0" t="s">
        <x:v>21</x:v>
      </x:c>
      <x:c r="K7785" s="0">
        <x:f>hyperlink("https://icd.who.int/dev11/l-ichi/en#/http%3A%2F%2Fid.who.int%2Ficd%2Fentity%2F231585660","browser")</x:f>
      </x:c>
      <x:c r="L7785" s="0">
        <x:f>hyperlink("https://icat2.azurewebsites.net/icat/?ontology=ICD&amp;tab=ClassesTab&amp;id=http%3A%2F%2Fwho.int%2Ficd%23426_dd4d4347_e398_43b9_84dd_c9611ca6abfa","iCat")</x:f>
      </x:c>
      <x:c r="M7785" s="0" t="s">
        <x:v>21</x:v>
      </x:c>
      <x:c r="N7785" s="0" t="s">
        <x:v>46</x:v>
      </x:c>
    </x:row>
    <x:row r="7786" spans="1:16">
      <x:c r="A7786" s="0" t="s">
        <x:v>31006</x:v>
      </x:c>
      <x:c r="B7786" s="0" t="s">
        <x:v>31007</x:v>
      </x:c>
      <x:c r="C7786" s="0" t="s">
        <x:v>31008</x:v>
      </x:c>
      <x:c r="E7786" s="0" t="s">
        <x:v>31009</x:v>
      </x:c>
      <x:c r="F7786" s="0" t="s">
        <x:v>45</x:v>
      </x:c>
      <x:c r="G7786" s="0" t="s">
        <x:v>19</x:v>
      </x:c>
      <x:c r="H7786" s="0" t="s">
        <x:v>20</x:v>
      </x:c>
      <x:c r="I7786" s="0" t="s">
        <x:v>21</x:v>
      </x:c>
      <x:c r="K7786" s="0">
        <x:f>hyperlink("https://icd.who.int/dev11/l-ichi/en#/http%3A%2F%2Fid.who.int%2Ficd%2Fentity%2F1376773727","browser")</x:f>
      </x:c>
      <x:c r="L7786" s="0">
        <x:f>hyperlink("https://icat2.azurewebsites.net/icat/?ontology=ICD&amp;tab=ClassesTab&amp;id=http%3A%2F%2Fwho.int%2Ficd%23432_dd4d4347_e398_43b9_84dd_c9611ca6abfa","iCat")</x:f>
      </x:c>
      <x:c r="M7786" s="0" t="s">
        <x:v>21</x:v>
      </x:c>
      <x:c r="N7786" s="0" t="s">
        <x:v>46</x:v>
      </x:c>
    </x:row>
    <x:row r="7787" spans="1:16">
      <x:c r="A7787" s="0" t="s">
        <x:v>31010</x:v>
      </x:c>
      <x:c r="B7787" s="0" t="s">
        <x:v>31011</x:v>
      </x:c>
      <x:c r="C7787" s="0" t="s">
        <x:v>31012</x:v>
      </x:c>
      <x:c r="E7787" s="0" t="s">
        <x:v>31013</x:v>
      </x:c>
      <x:c r="F7787" s="0" t="s">
        <x:v>45</x:v>
      </x:c>
      <x:c r="G7787" s="0" t="s">
        <x:v>19</x:v>
      </x:c>
      <x:c r="H7787" s="0" t="s">
        <x:v>20</x:v>
      </x:c>
      <x:c r="I7787" s="0" t="s">
        <x:v>21</x:v>
      </x:c>
      <x:c r="K7787" s="0">
        <x:f>hyperlink("https://icd.who.int/dev11/l-ichi/en#/http%3A%2F%2Fid.who.int%2Ficd%2Fentity%2F2045938383","browser")</x:f>
      </x:c>
      <x:c r="L7787" s="0">
        <x:f>hyperlink("https://icat2.azurewebsites.net/icat/?ontology=ICD&amp;tab=ClassesTab&amp;id=http%3A%2F%2Fwho.int%2Ficd%23438_dd4d4347_e398_43b9_84dd_c9611ca6abfa","iCat")</x:f>
      </x:c>
      <x:c r="M7787" s="0" t="s">
        <x:v>21</x:v>
      </x:c>
      <x:c r="N7787" s="0" t="s">
        <x:v>46</x:v>
      </x:c>
    </x:row>
    <x:row r="7788" spans="1:16">
      <x:c r="A7788" s="0" t="s">
        <x:v>31014</x:v>
      </x:c>
      <x:c r="B7788" s="0" t="s">
        <x:v>31015</x:v>
      </x:c>
      <x:c r="C7788" s="0" t="s">
        <x:v>31016</x:v>
      </x:c>
      <x:c r="E7788" s="0" t="s">
        <x:v>31017</x:v>
      </x:c>
      <x:c r="F7788" s="0" t="s">
        <x:v>45</x:v>
      </x:c>
      <x:c r="G7788" s="0" t="s">
        <x:v>19</x:v>
      </x:c>
      <x:c r="H7788" s="0" t="s">
        <x:v>20</x:v>
      </x:c>
      <x:c r="I7788" s="0" t="s">
        <x:v>21</x:v>
      </x:c>
      <x:c r="K7788" s="0">
        <x:f>hyperlink("https://icd.who.int/dev11/l-ichi/en#/http%3A%2F%2Fid.who.int%2Ficd%2Fentity%2F849489142","browser")</x:f>
      </x:c>
      <x:c r="L7788" s="0">
        <x:f>hyperlink("https://icat2.azurewebsites.net/icat/?ontology=ICD&amp;tab=ClassesTab&amp;id=http%3A%2F%2Fwho.int%2Ficd%23444_dd4d4347_e398_43b9_84dd_c9611ca6abfa","iCat")</x:f>
      </x:c>
      <x:c r="M7788" s="0" t="s">
        <x:v>21</x:v>
      </x:c>
      <x:c r="N7788" s="0" t="s">
        <x:v>46</x:v>
      </x:c>
    </x:row>
    <x:row r="7789" spans="1:16">
      <x:c r="A7789" s="0" t="s">
        <x:v>31018</x:v>
      </x:c>
      <x:c r="B7789" s="0" t="s">
        <x:v>31019</x:v>
      </x:c>
      <x:c r="C7789" s="0" t="s">
        <x:v>31020</x:v>
      </x:c>
      <x:c r="E7789" s="0" t="s">
        <x:v>31021</x:v>
      </x:c>
      <x:c r="F7789" s="0" t="s">
        <x:v>45</x:v>
      </x:c>
      <x:c r="G7789" s="0" t="s">
        <x:v>19</x:v>
      </x:c>
      <x:c r="H7789" s="0" t="s">
        <x:v>20</x:v>
      </x:c>
      <x:c r="I7789" s="0" t="s">
        <x:v>21</x:v>
      </x:c>
      <x:c r="K7789" s="0">
        <x:f>hyperlink("https://icd.who.int/dev11/l-ichi/en#/http%3A%2F%2Fid.who.int%2Ficd%2Fentity%2F1835040215","browser")</x:f>
      </x:c>
      <x:c r="L7789" s="0">
        <x:f>hyperlink("https://icat2.azurewebsites.net/icat/?ontology=ICD&amp;tab=ClassesTab&amp;id=http%3A%2F%2Fwho.int%2Ficd%23450_dd4d4347_e398_43b9_84dd_c9611ca6abfa","iCat")</x:f>
      </x:c>
      <x:c r="M7789" s="0" t="s">
        <x:v>21</x:v>
      </x:c>
      <x:c r="N7789" s="0" t="s">
        <x:v>46</x:v>
      </x:c>
    </x:row>
    <x:row r="7790" spans="1:16">
      <x:c r="A7790" s="0" t="s">
        <x:v>31022</x:v>
      </x:c>
      <x:c r="B7790" s="0" t="s">
        <x:v>31023</x:v>
      </x:c>
      <x:c r="C7790" s="0" t="s">
        <x:v>31024</x:v>
      </x:c>
      <x:c r="E7790" s="0" t="s">
        <x:v>31025</x:v>
      </x:c>
      <x:c r="F7790" s="0" t="s">
        <x:v>45</x:v>
      </x:c>
      <x:c r="G7790" s="0" t="s">
        <x:v>19</x:v>
      </x:c>
      <x:c r="H7790" s="0" t="s">
        <x:v>20</x:v>
      </x:c>
      <x:c r="I7790" s="0" t="s">
        <x:v>21</x:v>
      </x:c>
      <x:c r="K7790" s="0">
        <x:f>hyperlink("https://icd.who.int/dev11/l-ichi/en#/http%3A%2F%2Fid.who.int%2Ficd%2Fentity%2F1025221736","browser")</x:f>
      </x:c>
      <x:c r="L7790" s="0">
        <x:f>hyperlink("https://icat2.azurewebsites.net/icat/?ontology=ICD&amp;tab=ClassesTab&amp;id=http%3A%2F%2Fwho.int%2Ficd%23456_dd4d4347_e398_43b9_84dd_c9611ca6abfa","iCat")</x:f>
      </x:c>
      <x:c r="M7790" s="0" t="s">
        <x:v>21</x:v>
      </x:c>
      <x:c r="N7790" s="0" t="s">
        <x:v>46</x:v>
      </x:c>
    </x:row>
    <x:row r="7791" spans="1:16">
      <x:c r="A7791" s="0" t="s">
        <x:v>31026</x:v>
      </x:c>
      <x:c r="B7791" s="0" t="s">
        <x:v>31027</x:v>
      </x:c>
      <x:c r="C7791" s="0" t="s">
        <x:v>31028</x:v>
      </x:c>
      <x:c r="E7791" s="0" t="s">
        <x:v>31029</x:v>
      </x:c>
      <x:c r="F7791" s="0" t="s">
        <x:v>45</x:v>
      </x:c>
      <x:c r="G7791" s="0" t="s">
        <x:v>19</x:v>
      </x:c>
      <x:c r="H7791" s="0" t="s">
        <x:v>20</x:v>
      </x:c>
      <x:c r="I7791" s="0" t="s">
        <x:v>21</x:v>
      </x:c>
      <x:c r="K7791" s="0">
        <x:f>hyperlink("https://icd.who.int/dev11/l-ichi/en#/http%3A%2F%2Fid.who.int%2Ficd%2Fentity%2F1219305493","browser")</x:f>
      </x:c>
      <x:c r="L7791" s="0">
        <x:f>hyperlink("https://icat2.azurewebsites.net/icat/?ontology=ICD&amp;tab=ClassesTab&amp;id=http%3A%2F%2Fwho.int%2Ficd%23462_dd4d4347_e398_43b9_84dd_c9611ca6abfa","iCat")</x:f>
      </x:c>
      <x:c r="M7791" s="0" t="s">
        <x:v>21</x:v>
      </x:c>
      <x:c r="N7791" s="0" t="s">
        <x:v>46</x:v>
      </x:c>
    </x:row>
    <x:row r="7792" spans="1:16">
      <x:c r="A7792" s="0" t="s">
        <x:v>31030</x:v>
      </x:c>
      <x:c r="B7792" s="0" t="s">
        <x:v>31031</x:v>
      </x:c>
      <x:c r="C7792" s="0" t="s">
        <x:v>31032</x:v>
      </x:c>
      <x:c r="E7792" s="0" t="s">
        <x:v>31033</x:v>
      </x:c>
      <x:c r="F7792" s="0" t="s">
        <x:v>45</x:v>
      </x:c>
      <x:c r="G7792" s="0" t="s">
        <x:v>19</x:v>
      </x:c>
      <x:c r="H7792" s="0" t="s">
        <x:v>20</x:v>
      </x:c>
      <x:c r="I7792" s="0" t="s">
        <x:v>21</x:v>
      </x:c>
      <x:c r="K7792" s="0">
        <x:f>hyperlink("https://icd.who.int/dev11/l-ichi/en#/http%3A%2F%2Fid.who.int%2Ficd%2Fentity%2F1666206853","browser")</x:f>
      </x:c>
      <x:c r="L7792" s="0">
        <x:f>hyperlink("https://icat2.azurewebsites.net/icat/?ontology=ICD&amp;tab=ClassesTab&amp;id=http%3A%2F%2Fwho.int%2Ficd%23468_dd4d4347_e398_43b9_84dd_c9611ca6abfa","iCat")</x:f>
      </x:c>
      <x:c r="M7792" s="0" t="s">
        <x:v>21</x:v>
      </x:c>
      <x:c r="N7792" s="0" t="s">
        <x:v>46</x:v>
      </x:c>
    </x:row>
    <x:row r="7793" spans="1:16">
      <x:c r="A7793" s="0" t="s">
        <x:v>31034</x:v>
      </x:c>
      <x:c r="B7793" s="0" t="s">
        <x:v>31035</x:v>
      </x:c>
      <x:c r="C7793" s="0" t="s">
        <x:v>31036</x:v>
      </x:c>
      <x:c r="E7793" s="0" t="s">
        <x:v>31037</x:v>
      </x:c>
      <x:c r="F7793" s="0" t="s">
        <x:v>45</x:v>
      </x:c>
      <x:c r="G7793" s="0" t="s">
        <x:v>19</x:v>
      </x:c>
      <x:c r="H7793" s="0" t="s">
        <x:v>20</x:v>
      </x:c>
      <x:c r="I7793" s="0" t="s">
        <x:v>21</x:v>
      </x:c>
      <x:c r="K7793" s="0">
        <x:f>hyperlink("https://icd.who.int/dev11/l-ichi/en#/http%3A%2F%2Fid.who.int%2Ficd%2Fentity%2F1913875699","browser")</x:f>
      </x:c>
      <x:c r="L7793" s="0">
        <x:f>hyperlink("https://icat2.azurewebsites.net/icat/?ontology=ICD&amp;tab=ClassesTab&amp;id=http%3A%2F%2Fwho.int%2Ficd%23474_dd4d4347_e398_43b9_84dd_c9611ca6abfa","iCat")</x:f>
      </x:c>
      <x:c r="M7793" s="0" t="s">
        <x:v>21</x:v>
      </x:c>
      <x:c r="N7793" s="0" t="s">
        <x:v>46</x:v>
      </x:c>
    </x:row>
    <x:row r="7794" spans="1:16">
      <x:c r="A7794" s="0" t="s">
        <x:v>31038</x:v>
      </x:c>
      <x:c r="B7794" s="0" t="s">
        <x:v>31039</x:v>
      </x:c>
      <x:c r="C7794" s="0" t="s">
        <x:v>31040</x:v>
      </x:c>
      <x:c r="E7794" s="0" t="s">
        <x:v>31041</x:v>
      </x:c>
      <x:c r="F7794" s="0" t="s">
        <x:v>45</x:v>
      </x:c>
      <x:c r="G7794" s="0" t="s">
        <x:v>19</x:v>
      </x:c>
      <x:c r="H7794" s="0" t="s">
        <x:v>20</x:v>
      </x:c>
      <x:c r="I7794" s="0" t="s">
        <x:v>21</x:v>
      </x:c>
      <x:c r="K7794" s="0">
        <x:f>hyperlink("https://icd.who.int/dev11/l-ichi/en#/http%3A%2F%2Fid.who.int%2Ficd%2Fentity%2F29674544","browser")</x:f>
      </x:c>
      <x:c r="L7794" s="0">
        <x:f>hyperlink("https://icat2.azurewebsites.net/icat/?ontology=ICD&amp;tab=ClassesTab&amp;id=http%3A%2F%2Fwho.int%2Ficd%2346909_512ebf36_bf6b_4d70_85da_cf2637062af4","iCat")</x:f>
      </x:c>
      <x:c r="M7794" s="0" t="s">
        <x:v>21</x:v>
      </x:c>
      <x:c r="N7794" s="0" t="s">
        <x:v>46</x:v>
      </x:c>
    </x:row>
    <x:row r="7795" spans="1:16">
      <x:c r="A7795" s="0" t="s">
        <x:v>31042</x:v>
      </x:c>
      <x:c r="B7795" s="0" t="s">
        <x:v>31043</x:v>
      </x:c>
      <x:c r="C7795" s="0" t="s">
        <x:v>31044</x:v>
      </x:c>
      <x:c r="E7795" s="0" t="s">
        <x:v>31045</x:v>
      </x:c>
      <x:c r="F7795" s="0" t="s">
        <x:v>45</x:v>
      </x:c>
      <x:c r="G7795" s="0" t="s">
        <x:v>19</x:v>
      </x:c>
      <x:c r="H7795" s="0" t="s">
        <x:v>20</x:v>
      </x:c>
      <x:c r="I7795" s="0" t="s">
        <x:v>21</x:v>
      </x:c>
      <x:c r="K7795" s="0">
        <x:f>hyperlink("https://icd.who.int/dev11/l-ichi/en#/http%3A%2F%2Fid.who.int%2Ficd%2Fentity%2F1758096779","browser")</x:f>
      </x:c>
      <x:c r="L7795" s="0">
        <x:f>hyperlink("https://icat2.azurewebsites.net/icat/?ontology=ICD&amp;tab=ClassesTab&amp;id=http%3A%2F%2Fwho.int%2Ficd%23778_dd4d4347_e398_43b9_84dd_c9611ca6abfa","iCat")</x:f>
      </x:c>
      <x:c r="M7795" s="0" t="s">
        <x:v>21</x:v>
      </x:c>
      <x:c r="N7795" s="0" t="s">
        <x:v>46</x:v>
      </x:c>
    </x:row>
    <x:row r="7796" spans="1:16">
      <x:c r="A7796" s="0" t="s">
        <x:v>31046</x:v>
      </x:c>
      <x:c r="B7796" s="0" t="s">
        <x:v>31047</x:v>
      </x:c>
      <x:c r="C7796" s="0" t="s">
        <x:v>31048</x:v>
      </x:c>
      <x:c r="E7796" s="0" t="s">
        <x:v>31049</x:v>
      </x:c>
      <x:c r="F7796" s="0" t="s">
        <x:v>45</x:v>
      </x:c>
      <x:c r="G7796" s="0" t="s">
        <x:v>19</x:v>
      </x:c>
      <x:c r="H7796" s="0" t="s">
        <x:v>20</x:v>
      </x:c>
      <x:c r="I7796" s="0" t="s">
        <x:v>21</x:v>
      </x:c>
      <x:c r="K7796" s="0">
        <x:f>hyperlink("https://icd.who.int/dev11/l-ichi/en#/http%3A%2F%2Fid.who.int%2Ficd%2Fentity%2F1426228129","browser")</x:f>
      </x:c>
      <x:c r="L7796" s="0">
        <x:f>hyperlink("https://icat2.azurewebsites.net/icat/?ontology=ICD&amp;tab=ClassesTab&amp;id=http%3A%2F%2Fwho.int%2Ficd%2346916_512ebf36_bf6b_4d70_85da_cf2637062af4","iCat")</x:f>
      </x:c>
      <x:c r="M7796" s="0" t="s">
        <x:v>21</x:v>
      </x:c>
      <x:c r="N7796" s="0" t="s">
        <x:v>46</x:v>
      </x:c>
    </x:row>
    <x:row r="7797" spans="1:16">
      <x:c r="A7797" s="0" t="s">
        <x:v>31050</x:v>
      </x:c>
      <x:c r="B7797" s="0" t="s">
        <x:v>31051</x:v>
      </x:c>
      <x:c r="C7797" s="0" t="s">
        <x:v>31052</x:v>
      </x:c>
      <x:c r="E7797" s="0" t="s">
        <x:v>31053</x:v>
      </x:c>
      <x:c r="F7797" s="0" t="s">
        <x:v>45</x:v>
      </x:c>
      <x:c r="G7797" s="0" t="s">
        <x:v>19</x:v>
      </x:c>
      <x:c r="H7797" s="0" t="s">
        <x:v>20</x:v>
      </x:c>
      <x:c r="I7797" s="0" t="s">
        <x:v>21</x:v>
      </x:c>
      <x:c r="K7797" s="0">
        <x:f>hyperlink("https://icd.who.int/dev11/l-ichi/en#/http%3A%2F%2Fid.who.int%2Ficd%2Fentity%2F5076462","browser")</x:f>
      </x:c>
      <x:c r="L7797" s="0">
        <x:f>hyperlink("https://icat2.azurewebsites.net/icat/?ontology=ICD&amp;tab=ClassesTab&amp;id=http%3A%2F%2Fwho.int%2Ficd%2346923_512ebf36_bf6b_4d70_85da_cf2637062af4","iCat")</x:f>
      </x:c>
      <x:c r="M7797" s="0" t="s">
        <x:v>21</x:v>
      </x:c>
      <x:c r="N7797" s="0" t="s">
        <x:v>46</x:v>
      </x:c>
    </x:row>
    <x:row r="7798" spans="1:16">
      <x:c r="A7798" s="0" t="s">
        <x:v>31054</x:v>
      </x:c>
      <x:c r="B7798" s="0" t="s">
        <x:v>31055</x:v>
      </x:c>
      <x:c r="C7798" s="0" t="s">
        <x:v>31056</x:v>
      </x:c>
      <x:c r="E7798" s="0" t="s">
        <x:v>31057</x:v>
      </x:c>
      <x:c r="F7798" s="0" t="s">
        <x:v>45</x:v>
      </x:c>
      <x:c r="G7798" s="0" t="s">
        <x:v>19</x:v>
      </x:c>
      <x:c r="H7798" s="0" t="s">
        <x:v>20</x:v>
      </x:c>
      <x:c r="I7798" s="0" t="s">
        <x:v>21</x:v>
      </x:c>
      <x:c r="K7798" s="0">
        <x:f>hyperlink("https://icd.who.int/dev11/l-ichi/en#/http%3A%2F%2Fid.who.int%2Ficd%2Fentity%2F1667875671","browser")</x:f>
      </x:c>
      <x:c r="L7798" s="0">
        <x:f>hyperlink("https://icat2.azurewebsites.net/icat/?ontology=ICD&amp;tab=ClassesTab&amp;id=http%3A%2F%2Fwho.int%2Ficd%23790_dd4d4347_e398_43b9_84dd_c9611ca6abfa","iCat")</x:f>
      </x:c>
      <x:c r="M7798" s="0" t="s">
        <x:v>21</x:v>
      </x:c>
      <x:c r="N7798" s="0" t="s">
        <x:v>46</x:v>
      </x:c>
    </x:row>
    <x:row r="7799" spans="1:16">
      <x:c r="A7799" s="0" t="s">
        <x:v>31058</x:v>
      </x:c>
      <x:c r="B7799" s="0" t="s">
        <x:v>31059</x:v>
      </x:c>
      <x:c r="C7799" s="0" t="s">
        <x:v>31060</x:v>
      </x:c>
      <x:c r="E7799" s="0" t="s">
        <x:v>31061</x:v>
      </x:c>
      <x:c r="F7799" s="0" t="s">
        <x:v>45</x:v>
      </x:c>
      <x:c r="G7799" s="0" t="s">
        <x:v>19</x:v>
      </x:c>
      <x:c r="H7799" s="0" t="s">
        <x:v>20</x:v>
      </x:c>
      <x:c r="I7799" s="0" t="s">
        <x:v>21</x:v>
      </x:c>
      <x:c r="K7799" s="0">
        <x:f>hyperlink("https://icd.who.int/dev11/l-ichi/en#/http%3A%2F%2Fid.who.int%2Ficd%2Fentity%2F856824552","browser")</x:f>
      </x:c>
      <x:c r="L7799" s="0">
        <x:f>hyperlink("https://icat2.azurewebsites.net/icat/?ontology=ICD&amp;tab=ClassesTab&amp;id=http%3A%2F%2Fwho.int%2Ficd%23796_dd4d4347_e398_43b9_84dd_c9611ca6abfa","iCat")</x:f>
      </x:c>
      <x:c r="M7799" s="0" t="s">
        <x:v>21</x:v>
      </x:c>
      <x:c r="N7799" s="0" t="s">
        <x:v>46</x:v>
      </x:c>
    </x:row>
    <x:row r="7800" spans="1:16">
      <x:c r="A7800" s="0" t="s">
        <x:v>31062</x:v>
      </x:c>
      <x:c r="B7800" s="0" t="s">
        <x:v>31063</x:v>
      </x:c>
      <x:c r="C7800" s="0" t="s">
        <x:v>31064</x:v>
      </x:c>
      <x:c r="E7800" s="0" t="s">
        <x:v>31065</x:v>
      </x:c>
      <x:c r="F7800" s="0" t="s">
        <x:v>45</x:v>
      </x:c>
      <x:c r="G7800" s="0" t="s">
        <x:v>19</x:v>
      </x:c>
      <x:c r="H7800" s="0" t="s">
        <x:v>20</x:v>
      </x:c>
      <x:c r="I7800" s="0" t="s">
        <x:v>21</x:v>
      </x:c>
      <x:c r="K7800" s="0">
        <x:f>hyperlink("https://icd.who.int/dev11/l-ichi/en#/http%3A%2F%2Fid.who.int%2Ficd%2Fentity%2F95191559","browser")</x:f>
      </x:c>
      <x:c r="L7800" s="0">
        <x:f>hyperlink("https://icat2.azurewebsites.net/icat/?ontology=ICD&amp;tab=ClassesTab&amp;id=http%3A%2F%2Fwho.int%2Ficd%23802_dd4d4347_e398_43b9_84dd_c9611ca6abfa","iCat")</x:f>
      </x:c>
      <x:c r="M7800" s="0" t="s">
        <x:v>21</x:v>
      </x:c>
      <x:c r="N7800" s="0" t="s">
        <x:v>46</x:v>
      </x:c>
    </x:row>
    <x:row r="7801" spans="1:16">
      <x:c r="A7801" s="0" t="s">
        <x:v>31066</x:v>
      </x:c>
      <x:c r="B7801" s="0" t="s">
        <x:v>31067</x:v>
      </x:c>
      <x:c r="C7801" s="0" t="s">
        <x:v>31068</x:v>
      </x:c>
      <x:c r="E7801" s="0" t="s">
        <x:v>31069</x:v>
      </x:c>
      <x:c r="F7801" s="0" t="s">
        <x:v>45</x:v>
      </x:c>
      <x:c r="G7801" s="0" t="s">
        <x:v>19</x:v>
      </x:c>
      <x:c r="H7801" s="0" t="s">
        <x:v>20</x:v>
      </x:c>
      <x:c r="I7801" s="0" t="s">
        <x:v>21</x:v>
      </x:c>
      <x:c r="K7801" s="0">
        <x:f>hyperlink("https://icd.who.int/dev11/l-ichi/en#/http%3A%2F%2Fid.who.int%2Ficd%2Fentity%2F777121431","browser")</x:f>
      </x:c>
      <x:c r="L7801" s="0">
        <x:f>hyperlink("https://icat2.azurewebsites.net/icat/?ontology=ICD&amp;tab=ClassesTab&amp;id=http%3A%2F%2Fwho.int%2Ficd%23808_dd4d4347_e398_43b9_84dd_c9611ca6abfa","iCat")</x:f>
      </x:c>
      <x:c r="M7801" s="0" t="s">
        <x:v>21</x:v>
      </x:c>
      <x:c r="N7801" s="0" t="s">
        <x:v>46</x:v>
      </x:c>
    </x:row>
    <x:row r="7802" spans="1:16">
      <x:c r="A7802" s="0" t="s">
        <x:v>31070</x:v>
      </x:c>
      <x:c r="B7802" s="0" t="s">
        <x:v>31071</x:v>
      </x:c>
      <x:c r="C7802" s="0" t="s">
        <x:v>31072</x:v>
      </x:c>
      <x:c r="E7802" s="0" t="s">
        <x:v>31073</x:v>
      </x:c>
      <x:c r="F7802" s="0" t="s">
        <x:v>45</x:v>
      </x:c>
      <x:c r="G7802" s="0" t="s">
        <x:v>19</x:v>
      </x:c>
      <x:c r="H7802" s="0" t="s">
        <x:v>20</x:v>
      </x:c>
      <x:c r="I7802" s="0" t="s">
        <x:v>21</x:v>
      </x:c>
      <x:c r="K7802" s="0">
        <x:f>hyperlink("https://icd.who.int/dev11/l-ichi/en#/http%3A%2F%2Fid.who.int%2Ficd%2Fentity%2F1058197217","browser")</x:f>
      </x:c>
      <x:c r="L7802" s="0">
        <x:f>hyperlink("https://icat2.azurewebsites.net/icat/?ontology=ICD&amp;tab=ClassesTab&amp;id=http%3A%2F%2Fwho.int%2Ficd%23814_dd4d4347_e398_43b9_84dd_c9611ca6abfa","iCat")</x:f>
      </x:c>
      <x:c r="M7802" s="0" t="s">
        <x:v>21</x:v>
      </x:c>
      <x:c r="N7802" s="0" t="s">
        <x:v>46</x:v>
      </x:c>
    </x:row>
    <x:row r="7803" spans="1:16">
      <x:c r="A7803" s="0" t="s">
        <x:v>31074</x:v>
      </x:c>
      <x:c r="B7803" s="0" t="s">
        <x:v>31075</x:v>
      </x:c>
      <x:c r="C7803" s="0" t="s">
        <x:v>31076</x:v>
      </x:c>
      <x:c r="E7803" s="0" t="s">
        <x:v>31077</x:v>
      </x:c>
      <x:c r="F7803" s="0" t="s">
        <x:v>45</x:v>
      </x:c>
      <x:c r="G7803" s="0" t="s">
        <x:v>19</x:v>
      </x:c>
      <x:c r="H7803" s="0" t="s">
        <x:v>20</x:v>
      </x:c>
      <x:c r="I7803" s="0" t="s">
        <x:v>21</x:v>
      </x:c>
      <x:c r="K7803" s="0">
        <x:f>hyperlink("https://icd.who.int/dev11/l-ichi/en#/http%3A%2F%2Fid.who.int%2Ficd%2Fentity%2F1252280980","browser")</x:f>
      </x:c>
      <x:c r="L7803" s="0">
        <x:f>hyperlink("https://icat2.azurewebsites.net/icat/?ontology=ICD&amp;tab=ClassesTab&amp;id=http%3A%2F%2Fwho.int%2Ficd%23820_dd4d4347_e398_43b9_84dd_c9611ca6abfa","iCat")</x:f>
      </x:c>
      <x:c r="M7803" s="0" t="s">
        <x:v>21</x:v>
      </x:c>
      <x:c r="N7803" s="0" t="s">
        <x:v>46</x:v>
      </x:c>
    </x:row>
    <x:row r="7804" spans="1:16">
      <x:c r="A7804" s="0" t="s">
        <x:v>31078</x:v>
      </x:c>
      <x:c r="B7804" s="0" t="s">
        <x:v>31079</x:v>
      </x:c>
      <x:c r="C7804" s="0" t="s">
        <x:v>31080</x:v>
      </x:c>
      <x:c r="E7804" s="0" t="s">
        <x:v>31081</x:v>
      </x:c>
      <x:c r="F7804" s="0" t="s">
        <x:v>45</x:v>
      </x:c>
      <x:c r="G7804" s="0" t="s">
        <x:v>19</x:v>
      </x:c>
      <x:c r="H7804" s="0" t="s">
        <x:v>20</x:v>
      </x:c>
      <x:c r="I7804" s="0" t="s">
        <x:v>21</x:v>
      </x:c>
      <x:c r="K7804" s="0">
        <x:f>hyperlink("https://icd.who.int/dev11/l-ichi/en#/http%3A%2F%2Fid.who.int%2Ficd%2Fentity%2F450859811","browser")</x:f>
      </x:c>
      <x:c r="L7804" s="0">
        <x:f>hyperlink("https://icat2.azurewebsites.net/icat/?ontology=ICD&amp;tab=ClassesTab&amp;id=http%3A%2F%2Fwho.int%2Ficd%23826_dd4d4347_e398_43b9_84dd_c9611ca6abfa","iCat")</x:f>
      </x:c>
      <x:c r="M7804" s="0" t="s">
        <x:v>21</x:v>
      </x:c>
      <x:c r="N7804" s="0" t="s">
        <x:v>46</x:v>
      </x:c>
    </x:row>
    <x:row r="7805" spans="1:16">
      <x:c r="A7805" s="0" t="s">
        <x:v>31082</x:v>
      </x:c>
      <x:c r="B7805" s="0" t="s">
        <x:v>31083</x:v>
      </x:c>
      <x:c r="C7805" s="0" t="s">
        <x:v>31084</x:v>
      </x:c>
      <x:c r="E7805" s="0" t="s">
        <x:v>31085</x:v>
      </x:c>
      <x:c r="F7805" s="0" t="s">
        <x:v>45</x:v>
      </x:c>
      <x:c r="G7805" s="0" t="s">
        <x:v>19</x:v>
      </x:c>
      <x:c r="H7805" s="0" t="s">
        <x:v>20</x:v>
      </x:c>
      <x:c r="I7805" s="0" t="s">
        <x:v>21</x:v>
      </x:c>
      <x:c r="K7805" s="0">
        <x:f>hyperlink("https://icd.who.int/dev11/l-ichi/en#/http%3A%2F%2Fid.who.int%2Ficd%2Fentity%2F1159578114","browser")</x:f>
      </x:c>
      <x:c r="L7805" s="0">
        <x:f>hyperlink("https://icat2.azurewebsites.net/icat/?ontology=ICD&amp;tab=ClassesTab&amp;id=http%3A%2F%2Fwho.int%2Ficd%23832_dd4d4347_e398_43b9_84dd_c9611ca6abfa","iCat")</x:f>
      </x:c>
      <x:c r="M7805" s="0" t="s">
        <x:v>21</x:v>
      </x:c>
      <x:c r="N7805" s="0" t="s">
        <x:v>46</x:v>
      </x:c>
    </x:row>
    <x:row r="7806" spans="1:16">
      <x:c r="A7806" s="0" t="s">
        <x:v>31086</x:v>
      </x:c>
      <x:c r="B7806" s="0" t="s">
        <x:v>31087</x:v>
      </x:c>
      <x:c r="C7806" s="0" t="s">
        <x:v>31088</x:v>
      </x:c>
      <x:c r="E7806" s="0" t="s">
        <x:v>31089</x:v>
      </x:c>
      <x:c r="F7806" s="0" t="s">
        <x:v>45</x:v>
      </x:c>
      <x:c r="G7806" s="0" t="s">
        <x:v>19</x:v>
      </x:c>
      <x:c r="H7806" s="0" t="s">
        <x:v>20</x:v>
      </x:c>
      <x:c r="I7806" s="0" t="s">
        <x:v>21</x:v>
      </x:c>
      <x:c r="K7806" s="0">
        <x:f>hyperlink("https://icd.who.int/dev11/l-ichi/en#/http%3A%2F%2Fid.who.int%2Ficd%2Fentity%2F1860218514","browser")</x:f>
      </x:c>
      <x:c r="L7806" s="0">
        <x:f>hyperlink("https://icat2.azurewebsites.net/icat/?ontology=ICD&amp;tab=ClassesTab&amp;id=http%3A%2F%2Fwho.int%2Ficd%23838_dd4d4347_e398_43b9_84dd_c9611ca6abfa","iCat")</x:f>
      </x:c>
      <x:c r="M7806" s="0" t="s">
        <x:v>21</x:v>
      </x:c>
      <x:c r="N7806" s="0" t="s">
        <x:v>46</x:v>
      </x:c>
    </x:row>
    <x:row r="7807" spans="1:16">
      <x:c r="A7807" s="0" t="s">
        <x:v>31090</x:v>
      </x:c>
      <x:c r="B7807" s="0" t="s">
        <x:v>31091</x:v>
      </x:c>
      <x:c r="C7807" s="0" t="s">
        <x:v>31092</x:v>
      </x:c>
      <x:c r="E7807" s="0" t="s">
        <x:v>31093</x:v>
      </x:c>
      <x:c r="F7807" s="0" t="s">
        <x:v>45</x:v>
      </x:c>
      <x:c r="G7807" s="0" t="s">
        <x:v>19</x:v>
      </x:c>
      <x:c r="H7807" s="0" t="s">
        <x:v>20</x:v>
      </x:c>
      <x:c r="I7807" s="0" t="s">
        <x:v>21</x:v>
      </x:c>
      <x:c r="K7807" s="0">
        <x:f>hyperlink("https://icd.who.int/dev11/l-ichi/en#/http%3A%2F%2Fid.who.int%2Ficd%2Fentity%2F632293547","browser")</x:f>
      </x:c>
      <x:c r="L7807" s="0">
        <x:f>hyperlink("https://icat2.azurewebsites.net/icat/?ontology=ICD&amp;tab=ClassesTab&amp;id=http%3A%2F%2Fwho.int%2Ficd%23844_dd4d4347_e398_43b9_84dd_c9611ca6abfa","iCat")</x:f>
      </x:c>
      <x:c r="M7807" s="0" t="s">
        <x:v>21</x:v>
      </x:c>
      <x:c r="N7807" s="0" t="s">
        <x:v>46</x:v>
      </x:c>
    </x:row>
    <x:row r="7808" spans="1:16">
      <x:c r="A7808" s="0" t="s">
        <x:v>31094</x:v>
      </x:c>
      <x:c r="B7808" s="0" t="s">
        <x:v>31095</x:v>
      </x:c>
      <x:c r="C7808" s="0" t="s">
        <x:v>31096</x:v>
      </x:c>
      <x:c r="E7808" s="0" t="s">
        <x:v>31097</x:v>
      </x:c>
      <x:c r="F7808" s="0" t="s">
        <x:v>45</x:v>
      </x:c>
      <x:c r="G7808" s="0" t="s">
        <x:v>19</x:v>
      </x:c>
      <x:c r="H7808" s="0" t="s">
        <x:v>20</x:v>
      </x:c>
      <x:c r="I7808" s="0" t="s">
        <x:v>21</x:v>
      </x:c>
      <x:c r="K7808" s="0">
        <x:f>hyperlink("https://icd.who.int/dev11/l-ichi/en#/http%3A%2F%2Fid.who.int%2Ficd%2Fentity%2F2054314376","browser")</x:f>
      </x:c>
      <x:c r="L7808" s="0">
        <x:f>hyperlink("https://icat2.azurewebsites.net/icat/?ontology=ICD&amp;tab=ClassesTab&amp;id=http%3A%2F%2Fwho.int%2Ficd%23850_dd4d4347_e398_43b9_84dd_c9611ca6abfa","iCat")</x:f>
      </x:c>
      <x:c r="M7808" s="0" t="s">
        <x:v>21</x:v>
      </x:c>
      <x:c r="N7808" s="0" t="s">
        <x:v>46</x:v>
      </x:c>
    </x:row>
    <x:row r="7809" spans="1:16">
      <x:c r="A7809" s="0" t="s">
        <x:v>31098</x:v>
      </x:c>
      <x:c r="B7809" s="0" t="s">
        <x:v>31099</x:v>
      </x:c>
      <x:c r="C7809" s="0" t="s">
        <x:v>31100</x:v>
      </x:c>
      <x:c r="E7809" s="0" t="s">
        <x:v>31101</x:v>
      </x:c>
      <x:c r="F7809" s="0" t="s">
        <x:v>45</x:v>
      </x:c>
      <x:c r="G7809" s="0" t="s">
        <x:v>19</x:v>
      </x:c>
      <x:c r="H7809" s="0" t="s">
        <x:v>20</x:v>
      </x:c>
      <x:c r="I7809" s="0" t="s">
        <x:v>21</x:v>
      </x:c>
      <x:c r="K7809" s="0">
        <x:f>hyperlink("https://icd.who.int/dev11/l-ichi/en#/http%3A%2F%2Fid.who.int%2Ficd%2Fentity%2F1768739088","browser")</x:f>
      </x:c>
      <x:c r="L7809" s="0">
        <x:f>hyperlink("https://icat2.azurewebsites.net/icat/?ontology=ICD&amp;tab=ClassesTab&amp;id=http%3A%2F%2Fwho.int%2Ficd%236_60b821c4_cabc_4b81_9563_cb99d74167d5","iCat")</x:f>
      </x:c>
      <x:c r="M7809" s="0" t="s">
        <x:v>21</x:v>
      </x:c>
      <x:c r="N7809" s="0" t="s">
        <x:v>46</x:v>
      </x:c>
    </x:row>
    <x:row r="7810" spans="1:16">
      <x:c r="A7810" s="0" t="s">
        <x:v>31102</x:v>
      </x:c>
      <x:c r="B7810" s="0" t="s">
        <x:v>31103</x:v>
      </x:c>
      <x:c r="C7810" s="0" t="s">
        <x:v>31104</x:v>
      </x:c>
      <x:c r="E7810" s="0" t="s">
        <x:v>31105</x:v>
      </x:c>
      <x:c r="F7810" s="0" t="s">
        <x:v>45</x:v>
      </x:c>
      <x:c r="G7810" s="0" t="s">
        <x:v>19</x:v>
      </x:c>
      <x:c r="H7810" s="0" t="s">
        <x:v>20</x:v>
      </x:c>
      <x:c r="I7810" s="0" t="s">
        <x:v>21</x:v>
      </x:c>
      <x:c r="K7810" s="0">
        <x:f>hyperlink("https://icd.who.int/dev11/l-ichi/en#/http%3A%2F%2Fid.who.int%2Ficd%2Fentity%2F705265721","browser")</x:f>
      </x:c>
      <x:c r="L7810" s="0">
        <x:f>hyperlink("https://icat2.azurewebsites.net/icat/?ontology=ICD&amp;tab=ClassesTab&amp;id=http%3A%2F%2Fwho.int%2Ficd%23856_dd4d4347_e398_43b9_84dd_c9611ca6abfa","iCat")</x:f>
      </x:c>
      <x:c r="M7810" s="0" t="s">
        <x:v>21</x:v>
      </x:c>
      <x:c r="N7810" s="0" t="s">
        <x:v>46</x:v>
      </x:c>
    </x:row>
    <x:row r="7811" spans="1:16">
      <x:c r="A7811" s="0" t="s">
        <x:v>31106</x:v>
      </x:c>
      <x:c r="B7811" s="0" t="s">
        <x:v>31107</x:v>
      </x:c>
      <x:c r="C7811" s="0" t="s">
        <x:v>31108</x:v>
      </x:c>
      <x:c r="E7811" s="0" t="s">
        <x:v>31109</x:v>
      </x:c>
      <x:c r="F7811" s="0" t="s">
        <x:v>45</x:v>
      </x:c>
      <x:c r="G7811" s="0" t="s">
        <x:v>19</x:v>
      </x:c>
      <x:c r="H7811" s="0" t="s">
        <x:v>20</x:v>
      </x:c>
      <x:c r="I7811" s="0" t="s">
        <x:v>21</x:v>
      </x:c>
      <x:c r="K7811" s="0">
        <x:f>hyperlink("https://icd.who.int/dev11/l-ichi/en#/http%3A%2F%2Fid.who.int%2Ficd%2Fentity%2F1606353996","browser")</x:f>
      </x:c>
      <x:c r="L7811" s="0">
        <x:f>hyperlink("https://icat2.azurewebsites.net/icat/?ontology=ICD&amp;tab=ClassesTab&amp;id=http%3A%2F%2Fwho.int%2Ficd%23862_dd4d4347_e398_43b9_84dd_c9611ca6abfa","iCat")</x:f>
      </x:c>
      <x:c r="M7811" s="0" t="s">
        <x:v>21</x:v>
      </x:c>
      <x:c r="N7811" s="0" t="s">
        <x:v>46</x:v>
      </x:c>
    </x:row>
    <x:row r="7812" spans="1:16">
      <x:c r="A7812" s="0" t="s">
        <x:v>31110</x:v>
      </x:c>
      <x:c r="B7812" s="0" t="s">
        <x:v>31111</x:v>
      </x:c>
      <x:c r="C7812" s="0" t="s">
        <x:v>31112</x:v>
      </x:c>
      <x:c r="E7812" s="0" t="s">
        <x:v>31113</x:v>
      </x:c>
      <x:c r="F7812" s="0" t="s">
        <x:v>45</x:v>
      </x:c>
      <x:c r="G7812" s="0" t="s">
        <x:v>19</x:v>
      </x:c>
      <x:c r="H7812" s="0" t="s">
        <x:v>20</x:v>
      </x:c>
      <x:c r="I7812" s="0" t="s">
        <x:v>21</x:v>
      </x:c>
      <x:c r="K7812" s="0">
        <x:f>hyperlink("https://icd.who.int/dev11/l-ichi/en#/http%3A%2F%2Fid.who.int%2Ficd%2Fentity%2F1950509276","browser")</x:f>
      </x:c>
      <x:c r="L7812" s="0">
        <x:f>hyperlink("https://icat2.azurewebsites.net/icat/?ontology=ICD&amp;tab=ClassesTab&amp;id=http%3A%2F%2Fwho.int%2Ficd%23868_dd4d4347_e398_43b9_84dd_c9611ca6abfa","iCat")</x:f>
      </x:c>
      <x:c r="M7812" s="0" t="s">
        <x:v>21</x:v>
      </x:c>
      <x:c r="N7812" s="0" t="s">
        <x:v>46</x:v>
      </x:c>
    </x:row>
    <x:row r="7813" spans="1:16">
      <x:c r="A7813" s="0" t="s">
        <x:v>31114</x:v>
      </x:c>
      <x:c r="B7813" s="0" t="s">
        <x:v>31115</x:v>
      </x:c>
      <x:c r="C7813" s="0" t="s">
        <x:v>31116</x:v>
      </x:c>
      <x:c r="E7813" s="0" t="s">
        <x:v>31117</x:v>
      </x:c>
      <x:c r="F7813" s="0" t="s">
        <x:v>45</x:v>
      </x:c>
      <x:c r="G7813" s="0" t="s">
        <x:v>19</x:v>
      </x:c>
      <x:c r="H7813" s="0" t="s">
        <x:v>20</x:v>
      </x:c>
      <x:c r="I7813" s="0" t="s">
        <x:v>21</x:v>
      </x:c>
      <x:c r="K7813" s="0">
        <x:f>hyperlink("https://icd.who.int/dev11/l-ichi/en#/http%3A%2F%2Fid.who.int%2Ficd%2Fentity%2F1694582956","browser")</x:f>
      </x:c>
      <x:c r="L7813" s="0">
        <x:f>hyperlink("https://icat2.azurewebsites.net/icat/?ontology=ICD&amp;tab=ClassesTab&amp;id=http%3A%2F%2Fwho.int%2Ficd%23874_dd4d4347_e398_43b9_84dd_c9611ca6abfa","iCat")</x:f>
      </x:c>
      <x:c r="M7813" s="0" t="s">
        <x:v>21</x:v>
      </x:c>
      <x:c r="N7813" s="0" t="s">
        <x:v>46</x:v>
      </x:c>
    </x:row>
    <x:row r="7814" spans="1:16">
      <x:c r="A7814" s="0" t="s">
        <x:v>31118</x:v>
      </x:c>
      <x:c r="B7814" s="0" t="s">
        <x:v>31119</x:v>
      </x:c>
      <x:c r="C7814" s="0" t="s">
        <x:v>31120</x:v>
      </x:c>
      <x:c r="E7814" s="0" t="s">
        <x:v>31121</x:v>
      </x:c>
      <x:c r="F7814" s="0" t="s">
        <x:v>45</x:v>
      </x:c>
      <x:c r="G7814" s="0" t="s">
        <x:v>19</x:v>
      </x:c>
      <x:c r="H7814" s="0" t="s">
        <x:v>20</x:v>
      </x:c>
      <x:c r="I7814" s="0" t="s">
        <x:v>21</x:v>
      </x:c>
      <x:c r="K7814" s="0">
        <x:f>hyperlink("https://icd.who.int/dev11/l-ichi/en#/http%3A%2F%2Fid.who.int%2Ficd%2Fentity%2F2145502728","browser")</x:f>
      </x:c>
      <x:c r="L7814" s="0">
        <x:f>hyperlink("https://icat2.azurewebsites.net/icat/?ontology=ICD&amp;tab=ClassesTab&amp;id=http%3A%2F%2Fwho.int%2Ficd%23880_dd4d4347_e398_43b9_84dd_c9611ca6abfa","iCat")</x:f>
      </x:c>
      <x:c r="M7814" s="0" t="s">
        <x:v>21</x:v>
      </x:c>
      <x:c r="N7814" s="0" t="s">
        <x:v>46</x:v>
      </x:c>
    </x:row>
    <x:row r="7815" spans="1:16">
      <x:c r="A7815" s="0" t="s">
        <x:v>31122</x:v>
      </x:c>
      <x:c r="B7815" s="0" t="s">
        <x:v>31123</x:v>
      </x:c>
      <x:c r="C7815" s="0" t="s">
        <x:v>31124</x:v>
      </x:c>
      <x:c r="E7815" s="0" t="s">
        <x:v>31125</x:v>
      </x:c>
      <x:c r="F7815" s="0" t="s">
        <x:v>45</x:v>
      </x:c>
      <x:c r="G7815" s="0" t="s">
        <x:v>19</x:v>
      </x:c>
      <x:c r="H7815" s="0" t="s">
        <x:v>20</x:v>
      </x:c>
      <x:c r="I7815" s="0" t="s">
        <x:v>21</x:v>
      </x:c>
      <x:c r="K7815" s="0">
        <x:f>hyperlink("https://icd.who.int/dev11/l-ichi/en#/http%3A%2F%2Fid.who.int%2Ficd%2Fentity%2F798629815","browser")</x:f>
      </x:c>
      <x:c r="L7815" s="0">
        <x:f>hyperlink("https://icat2.azurewebsites.net/icat/?ontology=ICD&amp;tab=ClassesTab&amp;id=http%3A%2F%2Fwho.int%2Ficd%23886_dd4d4347_e398_43b9_84dd_c9611ca6abfa","iCat")</x:f>
      </x:c>
      <x:c r="M7815" s="0" t="s">
        <x:v>21</x:v>
      </x:c>
      <x:c r="N7815" s="0" t="s">
        <x:v>46</x:v>
      </x:c>
    </x:row>
    <x:row r="7816" spans="1:16">
      <x:c r="A7816" s="0" t="s">
        <x:v>31126</x:v>
      </x:c>
      <x:c r="B7816" s="0" t="s">
        <x:v>31127</x:v>
      </x:c>
      <x:c r="C7816" s="0" t="s">
        <x:v>31128</x:v>
      </x:c>
      <x:c r="E7816" s="0" t="s">
        <x:v>31129</x:v>
      </x:c>
      <x:c r="F7816" s="0" t="s">
        <x:v>45</x:v>
      </x:c>
      <x:c r="G7816" s="0" t="s">
        <x:v>19</x:v>
      </x:c>
      <x:c r="H7816" s="0" t="s">
        <x:v>20</x:v>
      </x:c>
      <x:c r="I7816" s="0" t="s">
        <x:v>21</x:v>
      </x:c>
      <x:c r="K7816" s="0">
        <x:f>hyperlink("https://icd.who.int/dev11/l-ichi/en#/http%3A%2F%2Fid.who.int%2Ficd%2Fentity%2F1884835478","browser")</x:f>
      </x:c>
      <x:c r="L7816" s="0">
        <x:f>hyperlink("https://icat2.azurewebsites.net/icat/?ontology=ICD&amp;tab=ClassesTab&amp;id=http%3A%2F%2Fwho.int%2Ficd%23892_dd4d4347_e398_43b9_84dd_c9611ca6abfa","iCat")</x:f>
      </x:c>
      <x:c r="M7816" s="0" t="s">
        <x:v>21</x:v>
      </x:c>
      <x:c r="N7816" s="0" t="s">
        <x:v>46</x:v>
      </x:c>
    </x:row>
    <x:row r="7817" spans="1:16">
      <x:c r="A7817" s="0" t="s">
        <x:v>31130</x:v>
      </x:c>
      <x:c r="B7817" s="0" t="s">
        <x:v>31131</x:v>
      </x:c>
      <x:c r="C7817" s="0" t="s">
        <x:v>31132</x:v>
      </x:c>
      <x:c r="E7817" s="0" t="s">
        <x:v>31133</x:v>
      </x:c>
      <x:c r="F7817" s="0" t="s">
        <x:v>45</x:v>
      </x:c>
      <x:c r="G7817" s="0" t="s">
        <x:v>19</x:v>
      </x:c>
      <x:c r="H7817" s="0" t="s">
        <x:v>20</x:v>
      </x:c>
      <x:c r="I7817" s="0" t="s">
        <x:v>21</x:v>
      </x:c>
      <x:c r="K7817" s="0">
        <x:f>hyperlink("https://icd.who.int/dev11/l-ichi/en#/http%3A%2F%2Fid.who.int%2Ficd%2Fentity%2F1537548806","browser")</x:f>
      </x:c>
      <x:c r="L7817" s="0">
        <x:f>hyperlink("https://icat2.azurewebsites.net/icat/?ontology=ICD&amp;tab=ClassesTab&amp;id=http%3A%2F%2Fwho.int%2Ficd%23898_dd4d4347_e398_43b9_84dd_c9611ca6abfa","iCat")</x:f>
      </x:c>
      <x:c r="M7817" s="0" t="s">
        <x:v>21</x:v>
      </x:c>
      <x:c r="N7817" s="0" t="s">
        <x:v>46</x:v>
      </x:c>
    </x:row>
    <x:row r="7818" spans="1:16">
      <x:c r="A7818" s="0" t="s">
        <x:v>31134</x:v>
      </x:c>
      <x:c r="B7818" s="0" t="s">
        <x:v>31135</x:v>
      </x:c>
      <x:c r="C7818" s="0" t="s">
        <x:v>31136</x:v>
      </x:c>
      <x:c r="E7818" s="0" t="s">
        <x:v>31137</x:v>
      </x:c>
      <x:c r="F7818" s="0" t="s">
        <x:v>45</x:v>
      </x:c>
      <x:c r="G7818" s="0" t="s">
        <x:v>19</x:v>
      </x:c>
      <x:c r="H7818" s="0" t="s">
        <x:v>20</x:v>
      </x:c>
      <x:c r="I7818" s="0" t="s">
        <x:v>21</x:v>
      </x:c>
      <x:c r="K7818" s="0">
        <x:f>hyperlink("https://icd.who.int/dev11/l-ichi/en#/http%3A%2F%2Fid.who.int%2Ficd%2Fentity%2F541629739","browser")</x:f>
      </x:c>
      <x:c r="L7818" s="0">
        <x:f>hyperlink("https://icat2.azurewebsites.net/icat/?ontology=ICD&amp;tab=ClassesTab&amp;id=http%3A%2F%2Fwho.int%2Ficd%23904_dd4d4347_e398_43b9_84dd_c9611ca6abfa","iCat")</x:f>
      </x:c>
      <x:c r="M7818" s="0" t="s">
        <x:v>21</x:v>
      </x:c>
      <x:c r="N7818" s="0" t="s">
        <x:v>46</x:v>
      </x:c>
    </x:row>
    <x:row r="7819" spans="1:16">
      <x:c r="A7819" s="0" t="s">
        <x:v>31138</x:v>
      </x:c>
      <x:c r="B7819" s="0" t="s">
        <x:v>31139</x:v>
      </x:c>
      <x:c r="C7819" s="0" t="s">
        <x:v>31140</x:v>
      </x:c>
      <x:c r="E7819" s="0" t="s">
        <x:v>31141</x:v>
      </x:c>
      <x:c r="F7819" s="0" t="s">
        <x:v>45</x:v>
      </x:c>
      <x:c r="G7819" s="0" t="s">
        <x:v>19</x:v>
      </x:c>
      <x:c r="H7819" s="0" t="s">
        <x:v>20</x:v>
      </x:c>
      <x:c r="I7819" s="0" t="s">
        <x:v>21</x:v>
      </x:c>
      <x:c r="K7819" s="0">
        <x:f>hyperlink("https://icd.who.int/dev11/l-ichi/en#/http%3A%2F%2Fid.who.int%2Ficd%2Fentity%2F2139802632","browser")</x:f>
      </x:c>
      <x:c r="L7819" s="0">
        <x:f>hyperlink("https://icat2.azurewebsites.net/icat/?ontology=ICD&amp;tab=ClassesTab&amp;id=http%3A%2F%2Fwho.int%2Ficd%23910_dd4d4347_e398_43b9_84dd_c9611ca6abfa","iCat")</x:f>
      </x:c>
      <x:c r="M7819" s="0" t="s">
        <x:v>21</x:v>
      </x:c>
      <x:c r="N7819" s="0" t="s">
        <x:v>46</x:v>
      </x:c>
    </x:row>
    <x:row r="7820" spans="1:16">
      <x:c r="A7820" s="0" t="s">
        <x:v>31142</x:v>
      </x:c>
      <x:c r="B7820" s="0" t="s">
        <x:v>31143</x:v>
      </x:c>
      <x:c r="C7820" s="0" t="s">
        <x:v>31144</x:v>
      </x:c>
      <x:c r="E7820" s="0" t="s">
        <x:v>31145</x:v>
      </x:c>
      <x:c r="F7820" s="0" t="s">
        <x:v>45</x:v>
      </x:c>
      <x:c r="G7820" s="0" t="s">
        <x:v>19</x:v>
      </x:c>
      <x:c r="H7820" s="0" t="s">
        <x:v>20</x:v>
      </x:c>
      <x:c r="I7820" s="0" t="s">
        <x:v>21</x:v>
      </x:c>
      <x:c r="K7820" s="0">
        <x:f>hyperlink("https://icd.who.int/dev11/l-ichi/en#/http%3A%2F%2Fid.who.int%2Ficd%2Fentity%2F804328889","browser")</x:f>
      </x:c>
      <x:c r="L7820" s="0">
        <x:f>hyperlink("https://icat2.azurewebsites.net/icat/?ontology=ICD&amp;tab=ClassesTab&amp;id=http%3A%2F%2Fwho.int%2Ficd%23916_dd4d4347_e398_43b9_84dd_c9611ca6abfa","iCat")</x:f>
      </x:c>
      <x:c r="M7820" s="0" t="s">
        <x:v>21</x:v>
      </x:c>
      <x:c r="N7820" s="0" t="s">
        <x:v>46</x:v>
      </x:c>
    </x:row>
    <x:row r="7821" spans="1:16">
      <x:c r="A7821" s="0" t="s">
        <x:v>31146</x:v>
      </x:c>
      <x:c r="B7821" s="0" t="s">
        <x:v>31147</x:v>
      </x:c>
      <x:c r="C7821" s="0" t="s">
        <x:v>31148</x:v>
      </x:c>
      <x:c r="E7821" s="0" t="s">
        <x:v>31149</x:v>
      </x:c>
      <x:c r="F7821" s="0" t="s">
        <x:v>45</x:v>
      </x:c>
      <x:c r="G7821" s="0" t="s">
        <x:v>19</x:v>
      </x:c>
      <x:c r="H7821" s="0" t="s">
        <x:v>20</x:v>
      </x:c>
      <x:c r="I7821" s="0" t="s">
        <x:v>21</x:v>
      </x:c>
      <x:c r="K7821" s="0">
        <x:f>hyperlink("https://icd.who.int/dev11/l-ichi/en#/http%3A%2F%2Fid.who.int%2Ficd%2Fentity%2F1514639820","browser")</x:f>
      </x:c>
      <x:c r="L7821" s="0">
        <x:f>hyperlink("https://icat2.azurewebsites.net/icat/?ontology=ICD&amp;tab=ClassesTab&amp;id=http%3A%2F%2Fwho.int%2Ficd%23922_dd4d4347_e398_43b9_84dd_c9611ca6abfa","iCat")</x:f>
      </x:c>
      <x:c r="M7821" s="0" t="s">
        <x:v>21</x:v>
      </x:c>
      <x:c r="N7821" s="0" t="s">
        <x:v>46</x:v>
      </x:c>
    </x:row>
    <x:row r="7822" spans="1:16">
      <x:c r="A7822" s="0" t="s">
        <x:v>31150</x:v>
      </x:c>
      <x:c r="B7822" s="0" t="s">
        <x:v>31151</x:v>
      </x:c>
      <x:c r="C7822" s="0" t="s">
        <x:v>31152</x:v>
      </x:c>
      <x:c r="E7822" s="0" t="s">
        <x:v>31153</x:v>
      </x:c>
      <x:c r="F7822" s="0" t="s">
        <x:v>45</x:v>
      </x:c>
      <x:c r="G7822" s="0" t="s">
        <x:v>19</x:v>
      </x:c>
      <x:c r="H7822" s="0" t="s">
        <x:v>20</x:v>
      </x:c>
      <x:c r="I7822" s="0" t="s">
        <x:v>21</x:v>
      </x:c>
      <x:c r="K7822" s="0">
        <x:f>hyperlink("https://icd.who.int/dev11/l-ichi/en#/http%3A%2F%2Fid.who.int%2Ficd%2Fentity%2F1908079964","browser")</x:f>
      </x:c>
      <x:c r="L7822" s="0">
        <x:f>hyperlink("https://icat2.azurewebsites.net/icat/?ontology=ICD&amp;tab=ClassesTab&amp;id=http%3A%2F%2Fwho.int%2Ficd%23928_dd4d4347_e398_43b9_84dd_c9611ca6abfa","iCat")</x:f>
      </x:c>
      <x:c r="M7822" s="0" t="s">
        <x:v>21</x:v>
      </x:c>
      <x:c r="N7822" s="0" t="s">
        <x:v>46</x:v>
      </x:c>
    </x:row>
    <x:row r="7823" spans="1:16">
      <x:c r="A7823" s="0" t="s">
        <x:v>31154</x:v>
      </x:c>
      <x:c r="B7823" s="0" t="s">
        <x:v>31155</x:v>
      </x:c>
      <x:c r="C7823" s="0" t="s">
        <x:v>31156</x:v>
      </x:c>
      <x:c r="E7823" s="0" t="s">
        <x:v>31157</x:v>
      </x:c>
      <x:c r="F7823" s="0" t="s">
        <x:v>45</x:v>
      </x:c>
      <x:c r="G7823" s="0" t="s">
        <x:v>19</x:v>
      </x:c>
      <x:c r="H7823" s="0" t="s">
        <x:v>20</x:v>
      </x:c>
      <x:c r="I7823" s="0" t="s">
        <x:v>21</x:v>
      </x:c>
      <x:c r="K7823" s="0">
        <x:f>hyperlink("https://icd.who.int/dev11/l-ichi/en#/http%3A%2F%2Fid.who.int%2Ficd%2Fentity%2F1626987820","browser")</x:f>
      </x:c>
      <x:c r="L7823" s="0">
        <x:f>hyperlink("https://icat2.azurewebsites.net/icat/?ontology=ICD&amp;tab=ClassesTab&amp;id=http%3A%2F%2Fwho.int%2Ficd%23934_dd4d4347_e398_43b9_84dd_c9611ca6abfa","iCat")</x:f>
      </x:c>
      <x:c r="M7823" s="0" t="s">
        <x:v>21</x:v>
      </x:c>
      <x:c r="N7823" s="0" t="s">
        <x:v>46</x:v>
      </x:c>
    </x:row>
    <x:row r="7824" spans="1:16">
      <x:c r="A7824" s="0" t="s">
        <x:v>31158</x:v>
      </x:c>
      <x:c r="B7824" s="0" t="s">
        <x:v>31159</x:v>
      </x:c>
      <x:c r="C7824" s="0" t="s">
        <x:v>31160</x:v>
      </x:c>
      <x:c r="E7824" s="0" t="s">
        <x:v>31161</x:v>
      </x:c>
      <x:c r="F7824" s="0" t="s">
        <x:v>45</x:v>
      </x:c>
      <x:c r="G7824" s="0" t="s">
        <x:v>19</x:v>
      </x:c>
      <x:c r="H7824" s="0" t="s">
        <x:v>20</x:v>
      </x:c>
      <x:c r="I7824" s="0" t="s">
        <x:v>21</x:v>
      </x:c>
      <x:c r="K7824" s="0">
        <x:f>hyperlink("https://icd.who.int/dev11/l-ichi/en#/http%3A%2F%2Fid.who.int%2Ficd%2Fentity%2F1697122882","browser")</x:f>
      </x:c>
      <x:c r="L7824" s="0">
        <x:f>hyperlink("https://icat2.azurewebsites.net/icat/?ontology=ICD&amp;tab=ClassesTab&amp;id=http%3A%2F%2Fwho.int%2Ficd%23940_dd4d4347_e398_43b9_84dd_c9611ca6abfa","iCat")</x:f>
      </x:c>
      <x:c r="M7824" s="0" t="s">
        <x:v>21</x:v>
      </x:c>
      <x:c r="N7824" s="0" t="s">
        <x:v>46</x:v>
      </x:c>
    </x:row>
    <x:row r="7825" spans="1:16">
      <x:c r="A7825" s="0" t="s">
        <x:v>31162</x:v>
      </x:c>
      <x:c r="B7825" s="0" t="s">
        <x:v>31163</x:v>
      </x:c>
      <x:c r="C7825" s="0" t="s">
        <x:v>31164</x:v>
      </x:c>
      <x:c r="E7825" s="0" t="s">
        <x:v>31165</x:v>
      </x:c>
      <x:c r="F7825" s="0" t="s">
        <x:v>45</x:v>
      </x:c>
      <x:c r="G7825" s="0" t="s">
        <x:v>19</x:v>
      </x:c>
      <x:c r="H7825" s="0" t="s">
        <x:v>20</x:v>
      </x:c>
      <x:c r="I7825" s="0" t="s">
        <x:v>21</x:v>
      </x:c>
      <x:c r="K7825" s="0">
        <x:f>hyperlink("https://icd.who.int/dev11/l-ichi/en#/http%3A%2F%2Fid.who.int%2Ficd%2Fentity%2F1363408610","browser")</x:f>
      </x:c>
      <x:c r="L7825" s="0">
        <x:f>hyperlink("https://icat2.azurewebsites.net/icat/?ontology=ICD&amp;tab=ClassesTab&amp;id=http%3A%2F%2Fwho.int%2Ficd%231305_dd4d4347_e398_43b9_84dd_c9611ca6abfa","iCat")</x:f>
      </x:c>
      <x:c r="M7825" s="0" t="s">
        <x:v>21</x:v>
      </x:c>
      <x:c r="N7825" s="0" t="s">
        <x:v>46</x:v>
      </x:c>
    </x:row>
    <x:row r="7826" spans="1:16">
      <x:c r="A7826" s="0" t="s">
        <x:v>31166</x:v>
      </x:c>
      <x:c r="B7826" s="0" t="s">
        <x:v>31167</x:v>
      </x:c>
      <x:c r="C7826" s="0" t="s">
        <x:v>31168</x:v>
      </x:c>
      <x:c r="E7826" s="0" t="s">
        <x:v>31169</x:v>
      </x:c>
      <x:c r="F7826" s="0" t="s">
        <x:v>45</x:v>
      </x:c>
      <x:c r="G7826" s="0" t="s">
        <x:v>19</x:v>
      </x:c>
      <x:c r="H7826" s="0" t="s">
        <x:v>20</x:v>
      </x:c>
      <x:c r="I7826" s="0" t="s">
        <x:v>21</x:v>
      </x:c>
      <x:c r="K7826" s="0">
        <x:f>hyperlink("https://icd.who.int/dev11/l-ichi/en#/http%3A%2F%2Fid.who.int%2Ficd%2Fentity%2F243378113","browser")</x:f>
      </x:c>
      <x:c r="L7826" s="0">
        <x:f>hyperlink("https://icat2.azurewebsites.net/icat/?ontology=ICD&amp;tab=ClassesTab&amp;id=http%3A%2F%2Fwho.int%2Ficd%231311_dd4d4347_e398_43b9_84dd_c9611ca6abfa","iCat")</x:f>
      </x:c>
      <x:c r="M7826" s="0" t="s">
        <x:v>21</x:v>
      </x:c>
      <x:c r="N7826" s="0" t="s">
        <x:v>46</x:v>
      </x:c>
    </x:row>
    <x:row r="7827" spans="1:16">
      <x:c r="A7827" s="0" t="s">
        <x:v>31170</x:v>
      </x:c>
      <x:c r="B7827" s="0" t="s">
        <x:v>31171</x:v>
      </x:c>
      <x:c r="C7827" s="0" t="s">
        <x:v>31172</x:v>
      </x:c>
      <x:c r="E7827" s="0" t="s">
        <x:v>31173</x:v>
      </x:c>
      <x:c r="F7827" s="0" t="s">
        <x:v>45</x:v>
      </x:c>
      <x:c r="G7827" s="0" t="s">
        <x:v>19</x:v>
      </x:c>
      <x:c r="H7827" s="0" t="s">
        <x:v>20</x:v>
      </x:c>
      <x:c r="I7827" s="0" t="s">
        <x:v>21</x:v>
      </x:c>
      <x:c r="K7827" s="0">
        <x:f>hyperlink("https://icd.who.int/dev11/l-ichi/en#/http%3A%2F%2Fid.who.int%2Ficd%2Fentity%2F1593474672","browser")</x:f>
      </x:c>
      <x:c r="L7827" s="0">
        <x:f>hyperlink("https://icat2.azurewebsites.net/icat/?ontology=ICD&amp;tab=ClassesTab&amp;id=http%3A%2F%2Fwho.int%2Ficd%231317_dd4d4347_e398_43b9_84dd_c9611ca6abfa","iCat")</x:f>
      </x:c>
      <x:c r="M7827" s="0" t="s">
        <x:v>21</x:v>
      </x:c>
      <x:c r="N7827" s="0" t="s">
        <x:v>46</x:v>
      </x:c>
    </x:row>
    <x:row r="7828" spans="1:16">
      <x:c r="A7828" s="0" t="s">
        <x:v>31174</x:v>
      </x:c>
      <x:c r="B7828" s="0" t="s">
        <x:v>31175</x:v>
      </x:c>
      <x:c r="C7828" s="0" t="s">
        <x:v>31176</x:v>
      </x:c>
      <x:c r="E7828" s="0" t="s">
        <x:v>31177</x:v>
      </x:c>
      <x:c r="F7828" s="0" t="s">
        <x:v>45</x:v>
      </x:c>
      <x:c r="G7828" s="0" t="s">
        <x:v>19</x:v>
      </x:c>
      <x:c r="H7828" s="0" t="s">
        <x:v>20</x:v>
      </x:c>
      <x:c r="I7828" s="0" t="s">
        <x:v>21</x:v>
      </x:c>
      <x:c r="K7828" s="0">
        <x:f>hyperlink("https://icd.who.int/dev11/l-ichi/en#/http%3A%2F%2Fid.who.int%2Ficd%2Fentity%2F726465027","browser")</x:f>
      </x:c>
      <x:c r="L7828" s="0">
        <x:f>hyperlink("https://icat2.azurewebsites.net/icat/?ontology=ICD&amp;tab=ClassesTab&amp;id=http%3A%2F%2Fwho.int%2Ficd%231323_dd4d4347_e398_43b9_84dd_c9611ca6abfa","iCat")</x:f>
      </x:c>
      <x:c r="M7828" s="0" t="s">
        <x:v>21</x:v>
      </x:c>
      <x:c r="N7828" s="0" t="s">
        <x:v>46</x:v>
      </x:c>
    </x:row>
    <x:row r="7829" spans="1:16">
      <x:c r="A7829" s="0" t="s">
        <x:v>31178</x:v>
      </x:c>
      <x:c r="B7829" s="0" t="s">
        <x:v>31179</x:v>
      </x:c>
      <x:c r="C7829" s="0" t="s">
        <x:v>31180</x:v>
      </x:c>
      <x:c r="E7829" s="0" t="s">
        <x:v>31181</x:v>
      </x:c>
      <x:c r="F7829" s="0" t="s">
        <x:v>45</x:v>
      </x:c>
      <x:c r="G7829" s="0" t="s">
        <x:v>19</x:v>
      </x:c>
      <x:c r="H7829" s="0" t="s">
        <x:v>20</x:v>
      </x:c>
      <x:c r="I7829" s="0" t="s">
        <x:v>21</x:v>
      </x:c>
      <x:c r="K7829" s="0">
        <x:f>hyperlink("https://icd.who.int/dev11/l-ichi/en#/http%3A%2F%2Fid.who.int%2Ficd%2Fentity%2F11638419","browser")</x:f>
      </x:c>
      <x:c r="L7829" s="0">
        <x:f>hyperlink("https://icat2.azurewebsites.net/icat/?ontology=ICD&amp;tab=ClassesTab&amp;id=http%3A%2F%2Fwho.int%2Ficd%231329_dd4d4347_e398_43b9_84dd_c9611ca6abfa","iCat")</x:f>
      </x:c>
      <x:c r="M7829" s="0" t="s">
        <x:v>21</x:v>
      </x:c>
      <x:c r="N7829" s="0" t="s">
        <x:v>46</x:v>
      </x:c>
    </x:row>
    <x:row r="7830" spans="1:16">
      <x:c r="A7830" s="0" t="s">
        <x:v>31182</x:v>
      </x:c>
      <x:c r="B7830" s="0" t="s">
        <x:v>31183</x:v>
      </x:c>
      <x:c r="C7830" s="0" t="s">
        <x:v>31184</x:v>
      </x:c>
      <x:c r="E7830" s="0" t="s">
        <x:v>31185</x:v>
      </x:c>
      <x:c r="F7830" s="0" t="s">
        <x:v>45</x:v>
      </x:c>
      <x:c r="G7830" s="0" t="s">
        <x:v>19</x:v>
      </x:c>
      <x:c r="H7830" s="0" t="s">
        <x:v>20</x:v>
      </x:c>
      <x:c r="I7830" s="0" t="s">
        <x:v>21</x:v>
      </x:c>
      <x:c r="K7830" s="0">
        <x:f>hyperlink("https://icd.who.int/dev11/l-ichi/en#/http%3A%2F%2Fid.who.int%2Ficd%2Fentity%2F301119205","browser")</x:f>
      </x:c>
      <x:c r="L7830" s="0">
        <x:f>hyperlink("https://icat2.azurewebsites.net/icat/?ontology=ICD&amp;tab=ClassesTab&amp;id=http%3A%2F%2Fwho.int%2Ficd%231335_dd4d4347_e398_43b9_84dd_c9611ca6abfa","iCat")</x:f>
      </x:c>
      <x:c r="M7830" s="0" t="s">
        <x:v>21</x:v>
      </x:c>
      <x:c r="N7830" s="0" t="s">
        <x:v>46</x:v>
      </x:c>
    </x:row>
    <x:row r="7831" spans="1:16">
      <x:c r="A7831" s="0" t="s">
        <x:v>31186</x:v>
      </x:c>
      <x:c r="B7831" s="0" t="s">
        <x:v>31187</x:v>
      </x:c>
      <x:c r="C7831" s="0" t="s">
        <x:v>31188</x:v>
      </x:c>
      <x:c r="E7831" s="0" t="s">
        <x:v>31189</x:v>
      </x:c>
      <x:c r="F7831" s="0" t="s">
        <x:v>45</x:v>
      </x:c>
      <x:c r="G7831" s="0" t="s">
        <x:v>19</x:v>
      </x:c>
      <x:c r="H7831" s="0" t="s">
        <x:v>20</x:v>
      </x:c>
      <x:c r="I7831" s="0" t="s">
        <x:v>21</x:v>
      </x:c>
      <x:c r="K7831" s="0">
        <x:f>hyperlink("https://icd.who.int/dev11/l-ichi/en#/http%3A%2F%2Fid.who.int%2Ficd%2Fentity%2F337863051","browser")</x:f>
      </x:c>
      <x:c r="L7831" s="0">
        <x:f>hyperlink("https://icat2.azurewebsites.net/icat/?ontology=ICD&amp;tab=ClassesTab&amp;id=http%3A%2F%2Fwho.int%2Ficd%231341_dd4d4347_e398_43b9_84dd_c9611ca6abfa","iCat")</x:f>
      </x:c>
      <x:c r="M7831" s="0" t="s">
        <x:v>21</x:v>
      </x:c>
      <x:c r="N7831" s="0" t="s">
        <x:v>46</x:v>
      </x:c>
    </x:row>
    <x:row r="7832" spans="1:16">
      <x:c r="A7832" s="0" t="s">
        <x:v>31190</x:v>
      </x:c>
      <x:c r="B7832" s="0" t="s">
        <x:v>31191</x:v>
      </x:c>
      <x:c r="C7832" s="0" t="s">
        <x:v>31192</x:v>
      </x:c>
      <x:c r="E7832" s="0" t="s">
        <x:v>31193</x:v>
      </x:c>
      <x:c r="F7832" s="0" t="s">
        <x:v>45</x:v>
      </x:c>
      <x:c r="G7832" s="0" t="s">
        <x:v>19</x:v>
      </x:c>
      <x:c r="H7832" s="0" t="s">
        <x:v>20</x:v>
      </x:c>
      <x:c r="I7832" s="0" t="s">
        <x:v>21</x:v>
      </x:c>
      <x:c r="K7832" s="0">
        <x:f>hyperlink("https://icd.who.int/dev11/l-ichi/en#/http%3A%2F%2Fid.who.int%2Ficd%2Fentity%2F1146665018","browser")</x:f>
      </x:c>
      <x:c r="L7832" s="0">
        <x:f>hyperlink("https://icat2.azurewebsites.net/icat/?ontology=ICD&amp;tab=ClassesTab&amp;id=http%3A%2F%2Fwho.int%2Ficd%231347_dd4d4347_e398_43b9_84dd_c9611ca6abfa","iCat")</x:f>
      </x:c>
      <x:c r="M7832" s="0" t="s">
        <x:v>21</x:v>
      </x:c>
      <x:c r="N7832" s="0" t="s">
        <x:v>46</x:v>
      </x:c>
    </x:row>
    <x:row r="7833" spans="1:16">
      <x:c r="A7833" s="0" t="s">
        <x:v>31194</x:v>
      </x:c>
      <x:c r="B7833" s="0" t="s">
        <x:v>31195</x:v>
      </x:c>
      <x:c r="C7833" s="0" t="s">
        <x:v>31196</x:v>
      </x:c>
      <x:c r="E7833" s="0" t="s">
        <x:v>31197</x:v>
      </x:c>
      <x:c r="F7833" s="0" t="s">
        <x:v>45</x:v>
      </x:c>
      <x:c r="G7833" s="0" t="s">
        <x:v>19</x:v>
      </x:c>
      <x:c r="H7833" s="0" t="s">
        <x:v>20</x:v>
      </x:c>
      <x:c r="I7833" s="0" t="s">
        <x:v>21</x:v>
      </x:c>
      <x:c r="K7833" s="0">
        <x:f>hyperlink("https://icd.who.int/dev11/l-ichi/en#/http%3A%2F%2Fid.who.int%2Ficd%2Fentity%2F463137049","browser")</x:f>
      </x:c>
      <x:c r="L7833" s="0">
        <x:f>hyperlink("https://icat2.azurewebsites.net/icat/?ontology=ICD&amp;tab=ClassesTab&amp;id=http%3A%2F%2Fwho.int%2Ficd%231353_dd4d4347_e398_43b9_84dd_c9611ca6abfa","iCat")</x:f>
      </x:c>
      <x:c r="M7833" s="0" t="s">
        <x:v>21</x:v>
      </x:c>
      <x:c r="N7833" s="0" t="s">
        <x:v>46</x:v>
      </x:c>
    </x:row>
    <x:row r="7834" spans="1:16">
      <x:c r="A7834" s="0" t="s">
        <x:v>31198</x:v>
      </x:c>
      <x:c r="B7834" s="0" t="s">
        <x:v>31199</x:v>
      </x:c>
      <x:c r="C7834" s="0" t="s">
        <x:v>31200</x:v>
      </x:c>
      <x:c r="E7834" s="0" t="s">
        <x:v>31201</x:v>
      </x:c>
      <x:c r="F7834" s="0" t="s">
        <x:v>45</x:v>
      </x:c>
      <x:c r="G7834" s="0" t="s">
        <x:v>19</x:v>
      </x:c>
      <x:c r="H7834" s="0" t="s">
        <x:v>20</x:v>
      </x:c>
      <x:c r="I7834" s="0" t="s">
        <x:v>21</x:v>
      </x:c>
      <x:c r="K7834" s="0">
        <x:f>hyperlink("https://icd.who.int/dev11/l-ichi/en#/http%3A%2F%2Fid.who.int%2Ficd%2Fentity%2F812090761","browser")</x:f>
      </x:c>
      <x:c r="L7834" s="0">
        <x:f>hyperlink("https://icat2.azurewebsites.net/icat/?ontology=ICD&amp;tab=ClassesTab&amp;id=http%3A%2F%2Fwho.int%2Ficd%231359_dd4d4347_e398_43b9_84dd_c9611ca6abfa","iCat")</x:f>
      </x:c>
      <x:c r="M7834" s="0" t="s">
        <x:v>21</x:v>
      </x:c>
      <x:c r="N7834" s="0" t="s">
        <x:v>46</x:v>
      </x:c>
    </x:row>
    <x:row r="7835" spans="1:16">
      <x:c r="A7835" s="0" t="s">
        <x:v>31202</x:v>
      </x:c>
      <x:c r="B7835" s="0" t="s">
        <x:v>31203</x:v>
      </x:c>
      <x:c r="C7835" s="0" t="s">
        <x:v>31204</x:v>
      </x:c>
      <x:c r="E7835" s="0" t="s">
        <x:v>31205</x:v>
      </x:c>
      <x:c r="F7835" s="0" t="s">
        <x:v>45</x:v>
      </x:c>
      <x:c r="G7835" s="0" t="s">
        <x:v>19</x:v>
      </x:c>
      <x:c r="H7835" s="0" t="s">
        <x:v>20</x:v>
      </x:c>
      <x:c r="I7835" s="0" t="s">
        <x:v>21</x:v>
      </x:c>
      <x:c r="K7835" s="0">
        <x:f>hyperlink("https://icd.who.int/dev11/l-ichi/en#/http%3A%2F%2Fid.who.int%2Ficd%2Fentity%2F189821103","browser")</x:f>
      </x:c>
      <x:c r="L7835" s="0">
        <x:f>hyperlink("https://icat2.azurewebsites.net/icat/?ontology=ICD&amp;tab=ClassesTab&amp;id=http%3A%2F%2Fwho.int%2Ficd%231365_dd4d4347_e398_43b9_84dd_c9611ca6abfa","iCat")</x:f>
      </x:c>
      <x:c r="M7835" s="0" t="s">
        <x:v>21</x:v>
      </x:c>
      <x:c r="N7835" s="0" t="s">
        <x:v>46</x:v>
      </x:c>
    </x:row>
    <x:row r="7836" spans="1:16">
      <x:c r="A7836" s="0" t="s">
        <x:v>31206</x:v>
      </x:c>
      <x:c r="B7836" s="0" t="s">
        <x:v>31207</x:v>
      </x:c>
      <x:c r="C7836" s="0" t="s">
        <x:v>31208</x:v>
      </x:c>
      <x:c r="E7836" s="0" t="s">
        <x:v>31209</x:v>
      </x:c>
      <x:c r="F7836" s="0" t="s">
        <x:v>45</x:v>
      </x:c>
      <x:c r="G7836" s="0" t="s">
        <x:v>19</x:v>
      </x:c>
      <x:c r="H7836" s="0" t="s">
        <x:v>20</x:v>
      </x:c>
      <x:c r="I7836" s="0" t="s">
        <x:v>21</x:v>
      </x:c>
      <x:c r="K7836" s="0">
        <x:f>hyperlink("https://icd.who.int/dev11/l-ichi/en#/http%3A%2F%2Fid.who.int%2Ficd%2Fentity%2F1418862988","browser")</x:f>
      </x:c>
      <x:c r="L7836" s="0">
        <x:f>hyperlink("https://icat2.azurewebsites.net/icat/?ontology=ICD&amp;tab=ClassesTab&amp;id=http%3A%2F%2Fwho.int%2Ficd%231371_dd4d4347_e398_43b9_84dd_c9611ca6abfa","iCat")</x:f>
      </x:c>
      <x:c r="M7836" s="0" t="s">
        <x:v>21</x:v>
      </x:c>
      <x:c r="N7836" s="0" t="s">
        <x:v>46</x:v>
      </x:c>
    </x:row>
    <x:row r="7837" spans="1:16">
      <x:c r="A7837" s="0" t="s">
        <x:v>31210</x:v>
      </x:c>
      <x:c r="B7837" s="0" t="s">
        <x:v>31211</x:v>
      </x:c>
      <x:c r="C7837" s="0" t="s">
        <x:v>31212</x:v>
      </x:c>
      <x:c r="E7837" s="0" t="s">
        <x:v>31213</x:v>
      </x:c>
      <x:c r="F7837" s="0" t="s">
        <x:v>45</x:v>
      </x:c>
      <x:c r="G7837" s="0" t="s">
        <x:v>19</x:v>
      </x:c>
      <x:c r="H7837" s="0" t="s">
        <x:v>20</x:v>
      </x:c>
      <x:c r="I7837" s="0" t="s">
        <x:v>21</x:v>
      </x:c>
      <x:c r="K7837" s="0">
        <x:f>hyperlink("https://icd.who.int/dev11/l-ichi/en#/http%3A%2F%2Fid.who.int%2Ficd%2Fentity%2F789417794","browser")</x:f>
      </x:c>
      <x:c r="L7837" s="0">
        <x:f>hyperlink("https://icat2.azurewebsites.net/icat/?ontology=ICD&amp;tab=ClassesTab&amp;id=http%3A%2F%2Fwho.int%2Ficd%2346930_512ebf36_bf6b_4d70_85da_cf2637062af4","iCat")</x:f>
      </x:c>
      <x:c r="M7837" s="0" t="s">
        <x:v>21</x:v>
      </x:c>
      <x:c r="N7837" s="0" t="s">
        <x:v>46</x:v>
      </x:c>
    </x:row>
    <x:row r="7838" spans="1:16">
      <x:c r="A7838" s="0" t="s">
        <x:v>31214</x:v>
      </x:c>
      <x:c r="B7838" s="0" t="s">
        <x:v>31215</x:v>
      </x:c>
      <x:c r="C7838" s="0" t="s">
        <x:v>31216</x:v>
      </x:c>
      <x:c r="E7838" s="0" t="s">
        <x:v>31217</x:v>
      </x:c>
      <x:c r="F7838" s="0" t="s">
        <x:v>45</x:v>
      </x:c>
      <x:c r="G7838" s="0" t="s">
        <x:v>19</x:v>
      </x:c>
      <x:c r="H7838" s="0" t="s">
        <x:v>20</x:v>
      </x:c>
      <x:c r="I7838" s="0" t="s">
        <x:v>21</x:v>
      </x:c>
      <x:c r="K7838" s="0">
        <x:f>hyperlink("https://icd.who.int/dev11/l-ichi/en#/http%3A%2F%2Fid.who.int%2Ficd%2Fentity%2F503936663","browser")</x:f>
      </x:c>
      <x:c r="L7838" s="0">
        <x:f>hyperlink("https://icat2.azurewebsites.net/icat/?ontology=ICD&amp;tab=ClassesTab&amp;id=http%3A%2F%2Fwho.int%2Ficd%231383_dd4d4347_e398_43b9_84dd_c9611ca6abfa","iCat")</x:f>
      </x:c>
      <x:c r="M7838" s="0" t="s">
        <x:v>21</x:v>
      </x:c>
      <x:c r="N7838" s="0" t="s">
        <x:v>46</x:v>
      </x:c>
    </x:row>
    <x:row r="7839" spans="1:16">
      <x:c r="A7839" s="0" t="s">
        <x:v>31218</x:v>
      </x:c>
      <x:c r="B7839" s="0" t="s">
        <x:v>31219</x:v>
      </x:c>
      <x:c r="C7839" s="0" t="s">
        <x:v>31220</x:v>
      </x:c>
      <x:c r="E7839" s="0" t="s">
        <x:v>31221</x:v>
      </x:c>
      <x:c r="F7839" s="0" t="s">
        <x:v>45</x:v>
      </x:c>
      <x:c r="G7839" s="0" t="s">
        <x:v>19</x:v>
      </x:c>
      <x:c r="H7839" s="0" t="s">
        <x:v>20</x:v>
      </x:c>
      <x:c r="I7839" s="0" t="s">
        <x:v>21</x:v>
      </x:c>
      <x:c r="K7839" s="0">
        <x:f>hyperlink("https://icd.who.int/dev11/l-ichi/en#/http%3A%2F%2Fid.who.int%2Ficd%2Fentity%2F1636630037","browser")</x:f>
      </x:c>
      <x:c r="L7839" s="0">
        <x:f>hyperlink("https://icat2.azurewebsites.net/icat/?ontology=ICD&amp;tab=ClassesTab&amp;id=http%3A%2F%2Fwho.int%2Ficd%2346938_512ebf36_bf6b_4d70_85da_cf2637062af4","iCat")</x:f>
      </x:c>
      <x:c r="M7839" s="0" t="s">
        <x:v>21</x:v>
      </x:c>
      <x:c r="N7839" s="0" t="s">
        <x:v>46</x:v>
      </x:c>
    </x:row>
    <x:row r="7840" spans="1:16">
      <x:c r="A7840" s="0" t="s">
        <x:v>31222</x:v>
      </x:c>
      <x:c r="B7840" s="0" t="s">
        <x:v>31223</x:v>
      </x:c>
      <x:c r="C7840" s="0" t="s">
        <x:v>31224</x:v>
      </x:c>
      <x:c r="E7840" s="0" t="s">
        <x:v>31225</x:v>
      </x:c>
      <x:c r="F7840" s="0" t="s">
        <x:v>45</x:v>
      </x:c>
      <x:c r="G7840" s="0" t="s">
        <x:v>19</x:v>
      </x:c>
      <x:c r="H7840" s="0" t="s">
        <x:v>20</x:v>
      </x:c>
      <x:c r="I7840" s="0" t="s">
        <x:v>21</x:v>
      </x:c>
      <x:c r="K7840" s="0">
        <x:f>hyperlink("https://icd.who.int/dev11/l-ichi/en#/http%3A%2F%2Fid.who.int%2Ficd%2Fentity%2F170207762","browser")</x:f>
      </x:c>
      <x:c r="L7840" s="0">
        <x:f>hyperlink("https://icat2.azurewebsites.net/icat/?ontology=ICD&amp;tab=ClassesTab&amp;id=http%3A%2F%2Fwho.int%2Ficd%2346945_512ebf36_bf6b_4d70_85da_cf2637062af4","iCat")</x:f>
      </x:c>
      <x:c r="M7840" s="0" t="s">
        <x:v>21</x:v>
      </x:c>
      <x:c r="N7840" s="0" t="s">
        <x:v>46</x:v>
      </x:c>
    </x:row>
    <x:row r="7841" spans="1:16">
      <x:c r="A7841" s="0" t="s">
        <x:v>31226</x:v>
      </x:c>
      <x:c r="B7841" s="0" t="s">
        <x:v>31227</x:v>
      </x:c>
      <x:c r="C7841" s="0" t="s">
        <x:v>31228</x:v>
      </x:c>
      <x:c r="E7841" s="0" t="s">
        <x:v>31229</x:v>
      </x:c>
      <x:c r="F7841" s="0" t="s">
        <x:v>45</x:v>
      </x:c>
      <x:c r="G7841" s="0" t="s">
        <x:v>19</x:v>
      </x:c>
      <x:c r="H7841" s="0" t="s">
        <x:v>20</x:v>
      </x:c>
      <x:c r="I7841" s="0" t="s">
        <x:v>21</x:v>
      </x:c>
      <x:c r="K7841" s="0">
        <x:f>hyperlink("https://icd.who.int/dev11/l-ichi/en#/http%3A%2F%2Fid.who.int%2Ficd%2Fentity%2F815490806","browser")</x:f>
      </x:c>
      <x:c r="L7841" s="0">
        <x:f>hyperlink("https://icat2.azurewebsites.net/icat/?ontology=ICD&amp;tab=ClassesTab&amp;id=http%3A%2F%2Fwho.int%2Ficd%2346953_512ebf36_bf6b_4d70_85da_cf2637062af4","iCat")</x:f>
      </x:c>
      <x:c r="M7841" s="0" t="s">
        <x:v>21</x:v>
      </x:c>
      <x:c r="N7841" s="0" t="s">
        <x:v>46</x:v>
      </x:c>
    </x:row>
    <x:row r="7842" spans="1:16">
      <x:c r="A7842" s="0" t="s">
        <x:v>31230</x:v>
      </x:c>
      <x:c r="B7842" s="0" t="s">
        <x:v>31231</x:v>
      </x:c>
      <x:c r="C7842" s="0" t="s">
        <x:v>31232</x:v>
      </x:c>
      <x:c r="E7842" s="0" t="s">
        <x:v>31233</x:v>
      </x:c>
      <x:c r="F7842" s="0" t="s">
        <x:v>45</x:v>
      </x:c>
      <x:c r="G7842" s="0" t="s">
        <x:v>19</x:v>
      </x:c>
      <x:c r="H7842" s="0" t="s">
        <x:v>20</x:v>
      </x:c>
      <x:c r="I7842" s="0" t="s">
        <x:v>21</x:v>
      </x:c>
      <x:c r="K7842" s="0">
        <x:f>hyperlink("https://icd.who.int/dev11/l-ichi/en#/http%3A%2F%2Fid.who.int%2Ficd%2Fentity%2F905189895","browser")</x:f>
      </x:c>
      <x:c r="L7842" s="0">
        <x:f>hyperlink("https://icat2.azurewebsites.net/icat/?ontology=ICD&amp;tab=ClassesTab&amp;id=http%3A%2F%2Fwho.int%2Ficd%231389_dd4d4347_e398_43b9_84dd_c9611ca6abfa","iCat")</x:f>
      </x:c>
      <x:c r="M7842" s="0" t="s">
        <x:v>21</x:v>
      </x:c>
      <x:c r="N7842" s="0" t="s">
        <x:v>46</x:v>
      </x:c>
    </x:row>
    <x:row r="7843" spans="1:16">
      <x:c r="A7843" s="0" t="s">
        <x:v>31234</x:v>
      </x:c>
      <x:c r="B7843" s="0" t="s">
        <x:v>31235</x:v>
      </x:c>
      <x:c r="C7843" s="0" t="s">
        <x:v>31236</x:v>
      </x:c>
      <x:c r="E7843" s="0" t="s">
        <x:v>31237</x:v>
      </x:c>
      <x:c r="F7843" s="0" t="s">
        <x:v>45</x:v>
      </x:c>
      <x:c r="G7843" s="0" t="s">
        <x:v>19</x:v>
      </x:c>
      <x:c r="H7843" s="0" t="s">
        <x:v>20</x:v>
      </x:c>
      <x:c r="I7843" s="0" t="s">
        <x:v>21</x:v>
      </x:c>
      <x:c r="K7843" s="0">
        <x:f>hyperlink("https://icd.who.int/dev11/l-ichi/en#/http%3A%2F%2Fid.who.int%2Ficd%2Fentity%2F615987825","browser")</x:f>
      </x:c>
      <x:c r="L7843" s="0">
        <x:f>hyperlink("https://icat2.azurewebsites.net/icat/?ontology=ICD&amp;tab=ClassesTab&amp;id=http%3A%2F%2Fwho.int%2Ficd%231395_dd4d4347_e398_43b9_84dd_c9611ca6abfa","iCat")</x:f>
      </x:c>
      <x:c r="M7843" s="0" t="s">
        <x:v>21</x:v>
      </x:c>
      <x:c r="N7843" s="0" t="s">
        <x:v>46</x:v>
      </x:c>
    </x:row>
    <x:row r="7844" spans="1:16">
      <x:c r="A7844" s="0" t="s">
        <x:v>31238</x:v>
      </x:c>
      <x:c r="B7844" s="0" t="s">
        <x:v>31239</x:v>
      </x:c>
      <x:c r="C7844" s="0" t="s">
        <x:v>31240</x:v>
      </x:c>
      <x:c r="E7844" s="0" t="s">
        <x:v>31241</x:v>
      </x:c>
      <x:c r="F7844" s="0" t="s">
        <x:v>45</x:v>
      </x:c>
      <x:c r="G7844" s="0" t="s">
        <x:v>19</x:v>
      </x:c>
      <x:c r="H7844" s="0" t="s">
        <x:v>20</x:v>
      </x:c>
      <x:c r="I7844" s="0" t="s">
        <x:v>21</x:v>
      </x:c>
      <x:c r="K7844" s="0">
        <x:f>hyperlink("https://icd.who.int/dev11/l-ichi/en#/http%3A%2F%2Fid.who.int%2Ficd%2Fentity%2F135633658","browser")</x:f>
      </x:c>
      <x:c r="L7844" s="0">
        <x:f>hyperlink("https://icat2.azurewebsites.net/icat/?ontology=ICD&amp;tab=ClassesTab&amp;id=http%3A%2F%2Fwho.int%2Ficd%231401_dd4d4347_e398_43b9_84dd_c9611ca6abfa","iCat")</x:f>
      </x:c>
      <x:c r="M7844" s="0" t="s">
        <x:v>21</x:v>
      </x:c>
      <x:c r="N7844" s="0" t="s">
        <x:v>46</x:v>
      </x:c>
    </x:row>
    <x:row r="7845" spans="1:16">
      <x:c r="A7845" s="0" t="s">
        <x:v>31242</x:v>
      </x:c>
      <x:c r="B7845" s="0" t="s">
        <x:v>31243</x:v>
      </x:c>
      <x:c r="C7845" s="0" t="s">
        <x:v>31244</x:v>
      </x:c>
      <x:c r="E7845" s="0" t="s">
        <x:v>31245</x:v>
      </x:c>
      <x:c r="F7845" s="0" t="s">
        <x:v>45</x:v>
      </x:c>
      <x:c r="G7845" s="0" t="s">
        <x:v>19</x:v>
      </x:c>
      <x:c r="H7845" s="0" t="s">
        <x:v>20</x:v>
      </x:c>
      <x:c r="I7845" s="0" t="s">
        <x:v>21</x:v>
      </x:c>
      <x:c r="K7845" s="0">
        <x:f>hyperlink("https://icd.who.int/dev11/l-ichi/en#/http%3A%2F%2Fid.who.int%2Ficd%2Fentity%2F1483621195","browser")</x:f>
      </x:c>
      <x:c r="L7845" s="0">
        <x:f>hyperlink("https://icat2.azurewebsites.net/icat/?ontology=ICD&amp;tab=ClassesTab&amp;id=http%3A%2F%2Fwho.int%2Ficd%231407_dd4d4347_e398_43b9_84dd_c9611ca6abfa","iCat")</x:f>
      </x:c>
      <x:c r="M7845" s="0" t="s">
        <x:v>21</x:v>
      </x:c>
      <x:c r="N7845" s="0" t="s">
        <x:v>46</x:v>
      </x:c>
    </x:row>
    <x:row r="7846" spans="1:16">
      <x:c r="A7846" s="0" t="s">
        <x:v>31246</x:v>
      </x:c>
      <x:c r="B7846" s="0" t="s">
        <x:v>31247</x:v>
      </x:c>
      <x:c r="C7846" s="0" t="s">
        <x:v>31248</x:v>
      </x:c>
      <x:c r="E7846" s="0" t="s">
        <x:v>31249</x:v>
      </x:c>
      <x:c r="F7846" s="0" t="s">
        <x:v>45</x:v>
      </x:c>
      <x:c r="G7846" s="0" t="s">
        <x:v>19</x:v>
      </x:c>
      <x:c r="H7846" s="0" t="s">
        <x:v>20</x:v>
      </x:c>
      <x:c r="I7846" s="0" t="s">
        <x:v>21</x:v>
      </x:c>
      <x:c r="K7846" s="0">
        <x:f>hyperlink("https://icd.who.int/dev11/l-ichi/en#/http%3A%2F%2Fid.who.int%2Ficd%2Fentity%2F128717416","browser")</x:f>
      </x:c>
      <x:c r="L7846" s="0">
        <x:f>hyperlink("https://icat2.azurewebsites.net/icat/?ontology=ICD&amp;tab=ClassesTab&amp;id=http%3A%2F%2Fwho.int%2Ficd%231413_dd4d4347_e398_43b9_84dd_c9611ca6abfa","iCat")</x:f>
      </x:c>
      <x:c r="M7846" s="0" t="s">
        <x:v>21</x:v>
      </x:c>
      <x:c r="N7846" s="0" t="s">
        <x:v>46</x:v>
      </x:c>
    </x:row>
    <x:row r="7847" spans="1:16">
      <x:c r="A7847" s="0" t="s">
        <x:v>31250</x:v>
      </x:c>
      <x:c r="B7847" s="0" t="s">
        <x:v>31251</x:v>
      </x:c>
      <x:c r="C7847" s="0" t="s">
        <x:v>31252</x:v>
      </x:c>
      <x:c r="E7847" s="0" t="s">
        <x:v>31253</x:v>
      </x:c>
      <x:c r="F7847" s="0" t="s">
        <x:v>45</x:v>
      </x:c>
      <x:c r="G7847" s="0" t="s">
        <x:v>19</x:v>
      </x:c>
      <x:c r="H7847" s="0" t="s">
        <x:v>20</x:v>
      </x:c>
      <x:c r="I7847" s="0" t="s">
        <x:v>21</x:v>
      </x:c>
      <x:c r="K7847" s="0">
        <x:f>hyperlink("https://icd.who.int/dev11/l-ichi/en#/http%3A%2F%2Fid.who.int%2Ficd%2Fentity%2F900679948","browser")</x:f>
      </x:c>
      <x:c r="L7847" s="0">
        <x:f>hyperlink("https://icat2.azurewebsites.net/icat/?ontology=ICD&amp;tab=ClassesTab&amp;id=http%3A%2F%2Fwho.int%2Ficd%2346960_512ebf36_bf6b_4d70_85da_cf2637062af4","iCat")</x:f>
      </x:c>
      <x:c r="M7847" s="0" t="s">
        <x:v>21</x:v>
      </x:c>
      <x:c r="N7847" s="0" t="s">
        <x:v>46</x:v>
      </x:c>
    </x:row>
    <x:row r="7848" spans="1:16">
      <x:c r="A7848" s="0" t="s">
        <x:v>31254</x:v>
      </x:c>
      <x:c r="B7848" s="0" t="s">
        <x:v>31255</x:v>
      </x:c>
      <x:c r="C7848" s="0" t="s">
        <x:v>31256</x:v>
      </x:c>
      <x:c r="E7848" s="0" t="s">
        <x:v>31257</x:v>
      </x:c>
      <x:c r="F7848" s="0" t="s">
        <x:v>45</x:v>
      </x:c>
      <x:c r="G7848" s="0" t="s">
        <x:v>19</x:v>
      </x:c>
      <x:c r="H7848" s="0" t="s">
        <x:v>20</x:v>
      </x:c>
      <x:c r="I7848" s="0" t="s">
        <x:v>21</x:v>
      </x:c>
      <x:c r="K7848" s="0">
        <x:f>hyperlink("https://icd.who.int/dev11/l-ichi/en#/http%3A%2F%2Fid.who.int%2Ficd%2Fentity%2F743538424","browser")</x:f>
      </x:c>
      <x:c r="L7848" s="0">
        <x:f>hyperlink("https://icat2.azurewebsites.net/icat/?ontology=ICD&amp;tab=ClassesTab&amp;id=http%3A%2F%2Fwho.int%2Ficd%231419_dd4d4347_e398_43b9_84dd_c9611ca6abfa","iCat")</x:f>
      </x:c>
      <x:c r="M7848" s="0" t="s">
        <x:v>21</x:v>
      </x:c>
      <x:c r="N7848" s="0" t="s">
        <x:v>46</x:v>
      </x:c>
    </x:row>
    <x:row r="7849" spans="1:16">
      <x:c r="A7849" s="0" t="s">
        <x:v>31258</x:v>
      </x:c>
      <x:c r="B7849" s="0" t="s">
        <x:v>31259</x:v>
      </x:c>
      <x:c r="C7849" s="0" t="s">
        <x:v>31260</x:v>
      </x:c>
      <x:c r="E7849" s="0" t="s">
        <x:v>31261</x:v>
      </x:c>
      <x:c r="F7849" s="0" t="s">
        <x:v>45</x:v>
      </x:c>
      <x:c r="G7849" s="0" t="s">
        <x:v>19</x:v>
      </x:c>
      <x:c r="H7849" s="0" t="s">
        <x:v>20</x:v>
      </x:c>
      <x:c r="I7849" s="0" t="s">
        <x:v>21</x:v>
      </x:c>
      <x:c r="K7849" s="0">
        <x:f>hyperlink("https://icd.who.int/dev11/l-ichi/en#/http%3A%2F%2Fid.who.int%2Ficd%2Fentity%2F392596446","browser")</x:f>
      </x:c>
      <x:c r="L7849" s="0">
        <x:f>hyperlink("https://icat2.azurewebsites.net/icat/?ontology=ICD&amp;tab=ClassesTab&amp;id=http%3A%2F%2Fwho.int%2Ficd%231425_dd4d4347_e398_43b9_84dd_c9611ca6abfa","iCat")</x:f>
      </x:c>
      <x:c r="M7849" s="0" t="s">
        <x:v>21</x:v>
      </x:c>
      <x:c r="N7849" s="0" t="s">
        <x:v>46</x:v>
      </x:c>
    </x:row>
    <x:row r="7850" spans="1:16">
      <x:c r="A7850" s="0" t="s">
        <x:v>31262</x:v>
      </x:c>
      <x:c r="B7850" s="0" t="s">
        <x:v>31263</x:v>
      </x:c>
      <x:c r="C7850" s="0" t="s">
        <x:v>31264</x:v>
      </x:c>
      <x:c r="E7850" s="0" t="s">
        <x:v>31265</x:v>
      </x:c>
      <x:c r="F7850" s="0" t="s">
        <x:v>45</x:v>
      </x:c>
      <x:c r="G7850" s="0" t="s">
        <x:v>19</x:v>
      </x:c>
      <x:c r="H7850" s="0" t="s">
        <x:v>20</x:v>
      </x:c>
      <x:c r="I7850" s="0" t="s">
        <x:v>21</x:v>
      </x:c>
      <x:c r="K7850" s="0">
        <x:f>hyperlink("https://icd.who.int/dev11/l-ichi/en#/http%3A%2F%2Fid.who.int%2Ficd%2Fentity%2F1218763517","browser")</x:f>
      </x:c>
      <x:c r="L7850" s="0">
        <x:f>hyperlink("https://icat2.azurewebsites.net/icat/?ontology=ICD&amp;tab=ClassesTab&amp;id=http%3A%2F%2Fwho.int%2Ficd%231431_dd4d4347_e398_43b9_84dd_c9611ca6abfa","iCat")</x:f>
      </x:c>
      <x:c r="M7850" s="0" t="s">
        <x:v>21</x:v>
      </x:c>
      <x:c r="N7850" s="0" t="s">
        <x:v>46</x:v>
      </x:c>
    </x:row>
    <x:row r="7851" spans="1:16">
      <x:c r="A7851" s="0" t="s">
        <x:v>31266</x:v>
      </x:c>
      <x:c r="B7851" s="0" t="s">
        <x:v>31267</x:v>
      </x:c>
      <x:c r="C7851" s="0" t="s">
        <x:v>31268</x:v>
      </x:c>
      <x:c r="E7851" s="0" t="s">
        <x:v>31269</x:v>
      </x:c>
      <x:c r="F7851" s="0" t="s">
        <x:v>45</x:v>
      </x:c>
      <x:c r="G7851" s="0" t="s">
        <x:v>19</x:v>
      </x:c>
      <x:c r="H7851" s="0" t="s">
        <x:v>20</x:v>
      </x:c>
      <x:c r="I7851" s="0" t="s">
        <x:v>21</x:v>
      </x:c>
      <x:c r="K7851" s="0">
        <x:f>hyperlink("https://icd.who.int/dev11/l-ichi/en#/http%3A%2F%2Fid.who.int%2Ficd%2Fentity%2F417268556","browser")</x:f>
      </x:c>
      <x:c r="L7851" s="0">
        <x:f>hyperlink("https://icat2.azurewebsites.net/icat/?ontology=ICD&amp;tab=ClassesTab&amp;id=http%3A%2F%2Fwho.int%2Ficd%231437_dd4d4347_e398_43b9_84dd_c9611ca6abfa","iCat")</x:f>
      </x:c>
      <x:c r="M7851" s="0" t="s">
        <x:v>21</x:v>
      </x:c>
      <x:c r="N7851" s="0" t="s">
        <x:v>46</x:v>
      </x:c>
    </x:row>
    <x:row r="7852" spans="1:16">
      <x:c r="A7852" s="0" t="s">
        <x:v>31270</x:v>
      </x:c>
      <x:c r="B7852" s="0" t="s">
        <x:v>31271</x:v>
      </x:c>
      <x:c r="C7852" s="0" t="s">
        <x:v>31272</x:v>
      </x:c>
      <x:c r="E7852" s="0" t="s">
        <x:v>31273</x:v>
      </x:c>
      <x:c r="F7852" s="0" t="s">
        <x:v>45</x:v>
      </x:c>
      <x:c r="G7852" s="0" t="s">
        <x:v>19</x:v>
      </x:c>
      <x:c r="H7852" s="0" t="s">
        <x:v>20</x:v>
      </x:c>
      <x:c r="I7852" s="0" t="s">
        <x:v>21</x:v>
      </x:c>
      <x:c r="K7852" s="0">
        <x:f>hyperlink("https://icd.who.int/dev11/l-ichi/en#/http%3A%2F%2Fid.who.int%2Ficd%2Fentity%2F487511074","browser")</x:f>
      </x:c>
      <x:c r="L7852" s="0">
        <x:f>hyperlink("https://icat2.azurewebsites.net/icat/?ontology=ICD&amp;tab=ClassesTab&amp;id=http%3A%2F%2Fwho.int%2Ficd%231443_dd4d4347_e398_43b9_84dd_c9611ca6abfa","iCat")</x:f>
      </x:c>
      <x:c r="M7852" s="0" t="s">
        <x:v>21</x:v>
      </x:c>
      <x:c r="N7852" s="0" t="s">
        <x:v>46</x:v>
      </x:c>
    </x:row>
    <x:row r="7853" spans="1:16">
      <x:c r="A7853" s="0" t="s">
        <x:v>31274</x:v>
      </x:c>
      <x:c r="B7853" s="0" t="s">
        <x:v>31275</x:v>
      </x:c>
      <x:c r="C7853" s="0" t="s">
        <x:v>31276</x:v>
      </x:c>
      <x:c r="E7853" s="0" t="s">
        <x:v>31277</x:v>
      </x:c>
      <x:c r="F7853" s="0" t="s">
        <x:v>45</x:v>
      </x:c>
      <x:c r="G7853" s="0" t="s">
        <x:v>19</x:v>
      </x:c>
      <x:c r="H7853" s="0" t="s">
        <x:v>20</x:v>
      </x:c>
      <x:c r="I7853" s="0" t="s">
        <x:v>21</x:v>
      </x:c>
      <x:c r="K7853" s="0">
        <x:f>hyperlink("https://icd.who.int/dev11/l-ichi/en#/http%3A%2F%2Fid.who.int%2Ficd%2Fentity%2F921942194","browser")</x:f>
      </x:c>
      <x:c r="L7853" s="0">
        <x:f>hyperlink("https://icat2.azurewebsites.net/icat/?ontology=ICD&amp;tab=ClassesTab&amp;id=http%3A%2F%2Fwho.int%2Ficd%231449_dd4d4347_e398_43b9_84dd_c9611ca6abfa","iCat")</x:f>
      </x:c>
      <x:c r="M7853" s="0" t="s">
        <x:v>21</x:v>
      </x:c>
      <x:c r="N7853" s="0" t="s">
        <x:v>46</x:v>
      </x:c>
    </x:row>
    <x:row r="7854" spans="1:16">
      <x:c r="A7854" s="0" t="s">
        <x:v>31278</x:v>
      </x:c>
      <x:c r="B7854" s="0" t="s">
        <x:v>31279</x:v>
      </x:c>
      <x:c r="C7854" s="0" t="s">
        <x:v>31280</x:v>
      </x:c>
      <x:c r="E7854" s="0" t="s">
        <x:v>31281</x:v>
      </x:c>
      <x:c r="F7854" s="0" t="s">
        <x:v>45</x:v>
      </x:c>
      <x:c r="G7854" s="0" t="s">
        <x:v>19</x:v>
      </x:c>
      <x:c r="H7854" s="0" t="s">
        <x:v>20</x:v>
      </x:c>
      <x:c r="I7854" s="0" t="s">
        <x:v>21</x:v>
      </x:c>
      <x:c r="K7854" s="0">
        <x:f>hyperlink("https://icd.who.int/dev11/l-ichi/en#/http%3A%2F%2Fid.who.int%2Ficd%2Fentity%2F733433100","browser")</x:f>
      </x:c>
      <x:c r="L7854" s="0">
        <x:f>hyperlink("https://icat2.azurewebsites.net/icat/?ontology=ICD&amp;tab=ClassesTab&amp;id=http%3A%2F%2Fwho.int%2Ficd%2350_3c64dd61_a787_4b69_a0aa_c26ee473e65a","iCat")</x:f>
      </x:c>
      <x:c r="M7854" s="0" t="s">
        <x:v>21</x:v>
      </x:c>
      <x:c r="N7854" s="0" t="s">
        <x:v>46</x:v>
      </x:c>
    </x:row>
    <x:row r="7855" spans="1:16">
      <x:c r="A7855" s="0" t="s">
        <x:v>31282</x:v>
      </x:c>
      <x:c r="B7855" s="0" t="s">
        <x:v>31283</x:v>
      </x:c>
      <x:c r="C7855" s="0" t="s">
        <x:v>31280</x:v>
      </x:c>
      <x:c r="E7855" s="0" t="s">
        <x:v>31284</x:v>
      </x:c>
      <x:c r="F7855" s="0" t="s">
        <x:v>45</x:v>
      </x:c>
      <x:c r="G7855" s="0" t="s">
        <x:v>19</x:v>
      </x:c>
      <x:c r="H7855" s="0" t="s">
        <x:v>20</x:v>
      </x:c>
      <x:c r="I7855" s="0" t="s">
        <x:v>21</x:v>
      </x:c>
      <x:c r="K7855" s="0">
        <x:f>hyperlink("https://icd.who.int/dev11/l-ichi/en#/http%3A%2F%2Fid.who.int%2Ficd%2Fentity%2F665884870","browser")</x:f>
      </x:c>
      <x:c r="L7855" s="0">
        <x:f>hyperlink("https://icat2.azurewebsites.net/icat/?ontology=ICD&amp;tab=ClassesTab&amp;id=http%3A%2F%2Fwho.int%2Ficd%231455_dd4d4347_e398_43b9_84dd_c9611ca6abfa","iCat")</x:f>
      </x:c>
      <x:c r="M7855" s="0" t="s">
        <x:v>21</x:v>
      </x:c>
      <x:c r="N7855" s="0" t="s">
        <x:v>46</x:v>
      </x:c>
    </x:row>
    <x:row r="7856" spans="1:16">
      <x:c r="A7856" s="0" t="s">
        <x:v>31285</x:v>
      </x:c>
      <x:c r="B7856" s="0" t="s">
        <x:v>31286</x:v>
      </x:c>
      <x:c r="C7856" s="0" t="s">
        <x:v>31287</x:v>
      </x:c>
      <x:c r="E7856" s="0" t="s">
        <x:v>31288</x:v>
      </x:c>
      <x:c r="F7856" s="0" t="s">
        <x:v>45</x:v>
      </x:c>
      <x:c r="G7856" s="0" t="s">
        <x:v>19</x:v>
      </x:c>
      <x:c r="H7856" s="0" t="s">
        <x:v>20</x:v>
      </x:c>
      <x:c r="I7856" s="0" t="s">
        <x:v>21</x:v>
      </x:c>
      <x:c r="K7856" s="0">
        <x:f>hyperlink("https://icd.who.int/dev11/l-ichi/en#/http%3A%2F%2Fid.who.int%2Ficd%2Fentity%2F1376132279","browser")</x:f>
      </x:c>
      <x:c r="L7856" s="0">
        <x:f>hyperlink("https://icat2.azurewebsites.net/icat/?ontology=ICD&amp;tab=ClassesTab&amp;id=http%3A%2F%2Fwho.int%2Ficd%231461_dd4d4347_e398_43b9_84dd_c9611ca6abfa","iCat")</x:f>
      </x:c>
      <x:c r="M7856" s="0" t="s">
        <x:v>21</x:v>
      </x:c>
      <x:c r="N7856" s="0" t="s">
        <x:v>46</x:v>
      </x:c>
    </x:row>
    <x:row r="7857" spans="1:16">
      <x:c r="A7857" s="0" t="s">
        <x:v>31289</x:v>
      </x:c>
      <x:c r="B7857" s="0" t="s">
        <x:v>31290</x:v>
      </x:c>
      <x:c r="C7857" s="0" t="s">
        <x:v>31291</x:v>
      </x:c>
      <x:c r="E7857" s="0" t="s">
        <x:v>31292</x:v>
      </x:c>
      <x:c r="F7857" s="0" t="s">
        <x:v>45</x:v>
      </x:c>
      <x:c r="G7857" s="0" t="s">
        <x:v>19</x:v>
      </x:c>
      <x:c r="H7857" s="0" t="s">
        <x:v>20</x:v>
      </x:c>
      <x:c r="I7857" s="0" t="s">
        <x:v>21</x:v>
      </x:c>
      <x:c r="K7857" s="0">
        <x:f>hyperlink("https://icd.who.int/dev11/l-ichi/en#/http%3A%2F%2Fid.who.int%2Ficd%2Fentity%2F41796870","browser")</x:f>
      </x:c>
      <x:c r="L7857" s="0">
        <x:f>hyperlink("https://icat2.azurewebsites.net/icat/?ontology=ICD&amp;tab=ClassesTab&amp;id=http%3A%2F%2Fwho.int%2Ficd%231467_dd4d4347_e398_43b9_84dd_c9611ca6abfa","iCat")</x:f>
      </x:c>
      <x:c r="M7857" s="0" t="s">
        <x:v>21</x:v>
      </x:c>
      <x:c r="N7857" s="0" t="s">
        <x:v>46</x:v>
      </x:c>
    </x:row>
    <x:row r="7858" spans="1:16">
      <x:c r="A7858" s="0" t="s">
        <x:v>31293</x:v>
      </x:c>
      <x:c r="B7858" s="0" t="s">
        <x:v>31294</x:v>
      </x:c>
      <x:c r="C7858" s="0" t="s">
        <x:v>31295</x:v>
      </x:c>
      <x:c r="E7858" s="0" t="s">
        <x:v>31296</x:v>
      </x:c>
      <x:c r="F7858" s="0" t="s">
        <x:v>45</x:v>
      </x:c>
      <x:c r="G7858" s="0" t="s">
        <x:v>19</x:v>
      </x:c>
      <x:c r="H7858" s="0" t="s">
        <x:v>20</x:v>
      </x:c>
      <x:c r="I7858" s="0" t="s">
        <x:v>21</x:v>
      </x:c>
      <x:c r="K7858" s="0">
        <x:f>hyperlink("https://icd.who.int/dev11/l-ichi/en#/http%3A%2F%2Fid.who.int%2Ficd%2Fentity%2F2066626655","browser")</x:f>
      </x:c>
      <x:c r="L7858" s="0">
        <x:f>hyperlink("https://icat2.azurewebsites.net/icat/?ontology=ICD&amp;tab=ClassesTab&amp;id=http%3A%2F%2Fwho.int%2Ficd%2346968_512ebf36_bf6b_4d70_85da_cf2637062af4","iCat")</x:f>
      </x:c>
      <x:c r="M7858" s="0" t="s">
        <x:v>21</x:v>
      </x:c>
      <x:c r="N7858" s="0" t="s">
        <x:v>46</x:v>
      </x:c>
    </x:row>
    <x:row r="7859" spans="1:16">
      <x:c r="A7859" s="0" t="s">
        <x:v>31297</x:v>
      </x:c>
      <x:c r="B7859" s="0" t="s">
        <x:v>31298</x:v>
      </x:c>
      <x:c r="C7859" s="0" t="s">
        <x:v>31299</x:v>
      </x:c>
      <x:c r="E7859" s="0" t="s">
        <x:v>31300</x:v>
      </x:c>
      <x:c r="F7859" s="0" t="s">
        <x:v>45</x:v>
      </x:c>
      <x:c r="G7859" s="0" t="s">
        <x:v>19</x:v>
      </x:c>
      <x:c r="H7859" s="0" t="s">
        <x:v>20</x:v>
      </x:c>
      <x:c r="I7859" s="0" t="s">
        <x:v>21</x:v>
      </x:c>
      <x:c r="K7859" s="0">
        <x:f>hyperlink("https://icd.who.int/dev11/l-ichi/en#/http%3A%2F%2Fid.who.int%2Ficd%2Fentity%2F1212228205","browser")</x:f>
      </x:c>
      <x:c r="L7859" s="0">
        <x:f>hyperlink("https://icat2.azurewebsites.net/icat/?ontology=ICD&amp;tab=ClassesTab&amp;id=http%3A%2F%2Fwho.int%2Ficd%231476_dd4d4347_e398_43b9_84dd_c9611ca6abfa","iCat")</x:f>
      </x:c>
      <x:c r="M7859" s="0" t="s">
        <x:v>21</x:v>
      </x:c>
      <x:c r="N7859" s="0" t="s">
        <x:v>46</x:v>
      </x:c>
    </x:row>
    <x:row r="7860" spans="1:16">
      <x:c r="A7860" s="0" t="s">
        <x:v>31301</x:v>
      </x:c>
      <x:c r="B7860" s="0" t="s">
        <x:v>31302</x:v>
      </x:c>
      <x:c r="C7860" s="0" t="s">
        <x:v>31303</x:v>
      </x:c>
      <x:c r="E7860" s="0" t="s">
        <x:v>31304</x:v>
      </x:c>
      <x:c r="F7860" s="0" t="s">
        <x:v>45</x:v>
      </x:c>
      <x:c r="G7860" s="0" t="s">
        <x:v>19</x:v>
      </x:c>
      <x:c r="H7860" s="0" t="s">
        <x:v>20</x:v>
      </x:c>
      <x:c r="I7860" s="0" t="s">
        <x:v>21</x:v>
      </x:c>
      <x:c r="K7860" s="0">
        <x:f>hyperlink("https://icd.who.int/dev11/l-ichi/en#/http%3A%2F%2Fid.who.int%2Ficd%2Fentity%2F1251240469","browser")</x:f>
      </x:c>
      <x:c r="L7860" s="0">
        <x:f>hyperlink("https://icat2.azurewebsites.net/icat/?ontology=ICD&amp;tab=ClassesTab&amp;id=http%3A%2F%2Fwho.int%2Ficd%2346975_512ebf36_bf6b_4d70_85da_cf2637062af4","iCat")</x:f>
      </x:c>
      <x:c r="M7860" s="0" t="s">
        <x:v>21</x:v>
      </x:c>
      <x:c r="N7860" s="0" t="s">
        <x:v>46</x:v>
      </x:c>
    </x:row>
    <x:row r="7861" spans="1:16">
      <x:c r="A7861" s="0" t="s">
        <x:v>31305</x:v>
      </x:c>
      <x:c r="B7861" s="0" t="s">
        <x:v>31306</x:v>
      </x:c>
      <x:c r="C7861" s="0" t="s">
        <x:v>31307</x:v>
      </x:c>
      <x:c r="E7861" s="0" t="s">
        <x:v>31308</x:v>
      </x:c>
      <x:c r="F7861" s="0" t="s">
        <x:v>45</x:v>
      </x:c>
      <x:c r="G7861" s="0" t="s">
        <x:v>19</x:v>
      </x:c>
      <x:c r="H7861" s="0" t="s">
        <x:v>20</x:v>
      </x:c>
      <x:c r="I7861" s="0" t="s">
        <x:v>21</x:v>
      </x:c>
      <x:c r="K7861" s="0">
        <x:f>hyperlink("https://icd.who.int/dev11/l-ichi/en#/http%3A%2F%2Fid.who.int%2Ficd%2Fentity%2F368151368","browser")</x:f>
      </x:c>
      <x:c r="L7861" s="0">
        <x:f>hyperlink("https://icat2.azurewebsites.net/icat/?ontology=ICD&amp;tab=ClassesTab&amp;id=http%3A%2F%2Fwho.int%2Ficd%2346982_512ebf36_bf6b_4d70_85da_cf2637062af4","iCat")</x:f>
      </x:c>
      <x:c r="M7861" s="0" t="s">
        <x:v>21</x:v>
      </x:c>
      <x:c r="N7861" s="0" t="s">
        <x:v>46</x:v>
      </x:c>
    </x:row>
    <x:row r="7862" spans="1:16">
      <x:c r="A7862" s="0" t="s">
        <x:v>31309</x:v>
      </x:c>
      <x:c r="B7862" s="0" t="s">
        <x:v>31310</x:v>
      </x:c>
      <x:c r="C7862" s="0" t="s">
        <x:v>31311</x:v>
      </x:c>
      <x:c r="E7862" s="0" t="s">
        <x:v>31312</x:v>
      </x:c>
      <x:c r="F7862" s="0" t="s">
        <x:v>45</x:v>
      </x:c>
      <x:c r="G7862" s="0" t="s">
        <x:v>19</x:v>
      </x:c>
      <x:c r="H7862" s="0" t="s">
        <x:v>20</x:v>
      </x:c>
      <x:c r="I7862" s="0" t="s">
        <x:v>21</x:v>
      </x:c>
      <x:c r="K7862" s="0">
        <x:f>hyperlink("https://icd.who.int/dev11/l-ichi/en#/http%3A%2F%2Fid.who.int%2Ficd%2Fentity%2F1386327239","browser")</x:f>
      </x:c>
      <x:c r="L7862" s="0">
        <x:f>hyperlink("https://icat2.azurewebsites.net/icat/?ontology=ICD&amp;tab=ClassesTab&amp;id=http%3A%2F%2Fwho.int%2Ficd%231482_dd4d4347_e398_43b9_84dd_c9611ca6abfa","iCat")</x:f>
      </x:c>
      <x:c r="M7862" s="0" t="s">
        <x:v>21</x:v>
      </x:c>
      <x:c r="N7862" s="0" t="s">
        <x:v>46</x:v>
      </x:c>
    </x:row>
    <x:row r="7863" spans="1:16">
      <x:c r="A7863" s="0" t="s">
        <x:v>31313</x:v>
      </x:c>
      <x:c r="B7863" s="0" t="s">
        <x:v>31314</x:v>
      </x:c>
      <x:c r="C7863" s="0" t="s">
        <x:v>31315</x:v>
      </x:c>
      <x:c r="E7863" s="0" t="s">
        <x:v>31316</x:v>
      </x:c>
      <x:c r="F7863" s="0" t="s">
        <x:v>45</x:v>
      </x:c>
      <x:c r="G7863" s="0" t="s">
        <x:v>19</x:v>
      </x:c>
      <x:c r="H7863" s="0" t="s">
        <x:v>20</x:v>
      </x:c>
      <x:c r="I7863" s="0" t="s">
        <x:v>21</x:v>
      </x:c>
      <x:c r="K7863" s="0">
        <x:f>hyperlink("https://icd.who.int/dev11/l-ichi/en#/http%3A%2F%2Fid.who.int%2Ficd%2Fentity%2F2036121687","browser")</x:f>
      </x:c>
      <x:c r="L7863" s="0">
        <x:f>hyperlink("https://icat2.azurewebsites.net/icat/?ontology=ICD&amp;tab=ClassesTab&amp;id=http%3A%2F%2Fwho.int%2Ficd%231488_dd4d4347_e398_43b9_84dd_c9611ca6abfa","iCat")</x:f>
      </x:c>
      <x:c r="M7863" s="0" t="s">
        <x:v>21</x:v>
      </x:c>
      <x:c r="N7863" s="0" t="s">
        <x:v>46</x:v>
      </x:c>
    </x:row>
    <x:row r="7864" spans="1:16">
      <x:c r="A7864" s="0" t="s">
        <x:v>31317</x:v>
      </x:c>
      <x:c r="B7864" s="0" t="s">
        <x:v>31318</x:v>
      </x:c>
      <x:c r="C7864" s="0" t="s">
        <x:v>31319</x:v>
      </x:c>
      <x:c r="E7864" s="0" t="s">
        <x:v>31320</x:v>
      </x:c>
      <x:c r="F7864" s="0" t="s">
        <x:v>45</x:v>
      </x:c>
      <x:c r="G7864" s="0" t="s">
        <x:v>19</x:v>
      </x:c>
      <x:c r="H7864" s="0" t="s">
        <x:v>20</x:v>
      </x:c>
      <x:c r="I7864" s="0" t="s">
        <x:v>21</x:v>
      </x:c>
      <x:c r="K7864" s="0">
        <x:f>hyperlink("https://icd.who.int/dev11/l-ichi/en#/http%3A%2F%2Fid.who.int%2Ficd%2Fentity%2F1746919457","browser")</x:f>
      </x:c>
      <x:c r="L7864" s="0">
        <x:f>hyperlink("https://icat2.azurewebsites.net/icat/?ontology=ICD&amp;tab=ClassesTab&amp;id=http%3A%2F%2Fwho.int%2Ficd%231494_dd4d4347_e398_43b9_84dd_c9611ca6abfa","iCat")</x:f>
      </x:c>
      <x:c r="M7864" s="0" t="s">
        <x:v>21</x:v>
      </x:c>
      <x:c r="N7864" s="0" t="s">
        <x:v>46</x:v>
      </x:c>
    </x:row>
    <x:row r="7865" spans="1:16">
      <x:c r="A7865" s="0" t="s">
        <x:v>31321</x:v>
      </x:c>
      <x:c r="B7865" s="0" t="s">
        <x:v>31322</x:v>
      </x:c>
      <x:c r="C7865" s="0" t="s">
        <x:v>31323</x:v>
      </x:c>
      <x:c r="E7865" s="0" t="s">
        <x:v>31324</x:v>
      </x:c>
      <x:c r="F7865" s="0" t="s">
        <x:v>45</x:v>
      </x:c>
      <x:c r="G7865" s="0" t="s">
        <x:v>19</x:v>
      </x:c>
      <x:c r="H7865" s="0" t="s">
        <x:v>20</x:v>
      </x:c>
      <x:c r="I7865" s="0" t="s">
        <x:v>21</x:v>
      </x:c>
      <x:c r="K7865" s="0">
        <x:f>hyperlink("https://icd.who.int/dev11/l-ichi/en#/http%3A%2F%2Fid.who.int%2Ficd%2Fentity%2F1567829595","browser")</x:f>
      </x:c>
      <x:c r="L7865" s="0">
        <x:f>hyperlink("https://icat2.azurewebsites.net/icat/?ontology=ICD&amp;tab=ClassesTab&amp;id=http%3A%2F%2Fwho.int%2Ficd%231500_dd4d4347_e398_43b9_84dd_c9611ca6abfa","iCat")</x:f>
      </x:c>
      <x:c r="M7865" s="0" t="s">
        <x:v>21</x:v>
      </x:c>
      <x:c r="N7865" s="0" t="s">
        <x:v>46</x:v>
      </x:c>
    </x:row>
    <x:row r="7866" spans="1:16">
      <x:c r="A7866" s="0" t="s">
        <x:v>31325</x:v>
      </x:c>
      <x:c r="B7866" s="0" t="s">
        <x:v>31326</x:v>
      </x:c>
      <x:c r="C7866" s="0" t="s">
        <x:v>31327</x:v>
      </x:c>
      <x:c r="E7866" s="0" t="s">
        <x:v>31328</x:v>
      </x:c>
      <x:c r="F7866" s="0" t="s">
        <x:v>45</x:v>
      </x:c>
      <x:c r="G7866" s="0" t="s">
        <x:v>19</x:v>
      </x:c>
      <x:c r="H7866" s="0" t="s">
        <x:v>20</x:v>
      </x:c>
      <x:c r="I7866" s="0" t="s">
        <x:v>21</x:v>
      </x:c>
      <x:c r="K7866" s="0">
        <x:f>hyperlink("https://icd.who.int/dev11/l-ichi/en#/http%3A%2F%2Fid.who.int%2Ficd%2Fentity%2F218691562","browser")</x:f>
      </x:c>
      <x:c r="L7866" s="0">
        <x:f>hyperlink("https://icat2.azurewebsites.net/icat/?ontology=ICD&amp;tab=ClassesTab&amp;id=http%3A%2F%2Fwho.int%2Ficd%231506_dd4d4347_e398_43b9_84dd_c9611ca6abfa","iCat")</x:f>
      </x:c>
      <x:c r="M7866" s="0" t="s">
        <x:v>21</x:v>
      </x:c>
      <x:c r="N7866" s="0" t="s">
        <x:v>46</x:v>
      </x:c>
    </x:row>
    <x:row r="7867" spans="1:16">
      <x:c r="A7867" s="0" t="s">
        <x:v>31329</x:v>
      </x:c>
      <x:c r="B7867" s="0" t="s">
        <x:v>31330</x:v>
      </x:c>
      <x:c r="C7867" s="0" t="s">
        <x:v>31331</x:v>
      </x:c>
      <x:c r="E7867" s="0" t="s">
        <x:v>31332</x:v>
      </x:c>
      <x:c r="F7867" s="0" t="s">
        <x:v>45</x:v>
      </x:c>
      <x:c r="G7867" s="0" t="s">
        <x:v>19</x:v>
      </x:c>
      <x:c r="H7867" s="0" t="s">
        <x:v>20</x:v>
      </x:c>
      <x:c r="I7867" s="0" t="s">
        <x:v>21</x:v>
      </x:c>
      <x:c r="K7867" s="0">
        <x:f>hyperlink("https://icd.who.int/dev11/l-ichi/en#/http%3A%2F%2Fid.who.int%2Ficd%2Fentity%2F1389012681","browser")</x:f>
      </x:c>
      <x:c r="L7867" s="0">
        <x:f>hyperlink("https://icat2.azurewebsites.net/icat/?ontology=ICD&amp;tab=ClassesTab&amp;id=http%3A%2F%2Fwho.int%2Ficd%231512_dd4d4347_e398_43b9_84dd_c9611ca6abfa","iCat")</x:f>
      </x:c>
      <x:c r="M7867" s="0" t="s">
        <x:v>21</x:v>
      </x:c>
      <x:c r="N7867" s="0" t="s">
        <x:v>46</x:v>
      </x:c>
    </x:row>
    <x:row r="7868" spans="1:16">
      <x:c r="A7868" s="0" t="s">
        <x:v>31333</x:v>
      </x:c>
      <x:c r="B7868" s="0" t="s">
        <x:v>31334</x:v>
      </x:c>
      <x:c r="C7868" s="0" t="s">
        <x:v>31335</x:v>
      </x:c>
      <x:c r="E7868" s="0" t="s">
        <x:v>31336</x:v>
      </x:c>
      <x:c r="F7868" s="0" t="s">
        <x:v>45</x:v>
      </x:c>
      <x:c r="G7868" s="0" t="s">
        <x:v>19</x:v>
      </x:c>
      <x:c r="H7868" s="0" t="s">
        <x:v>20</x:v>
      </x:c>
      <x:c r="I7868" s="0" t="s">
        <x:v>21</x:v>
      </x:c>
      <x:c r="K7868" s="0">
        <x:f>hyperlink("https://icd.who.int/dev11/l-ichi/en#/http%3A%2F%2Fid.who.int%2Ficd%2Fentity%2F2033699417","browser")</x:f>
      </x:c>
      <x:c r="L7868" s="0">
        <x:f>hyperlink("https://icat2.azurewebsites.net/icat/?ontology=ICD&amp;tab=ClassesTab&amp;id=http%3A%2F%2Fwho.int%2Ficd%231518_dd4d4347_e398_43b9_84dd_c9611ca6abfa","iCat")</x:f>
      </x:c>
      <x:c r="M7868" s="0" t="s">
        <x:v>21</x:v>
      </x:c>
      <x:c r="N7868" s="0" t="s">
        <x:v>46</x:v>
      </x:c>
    </x:row>
    <x:row r="7869" spans="1:16">
      <x:c r="A7869" s="0" t="s">
        <x:v>31337</x:v>
      </x:c>
      <x:c r="B7869" s="0" t="s">
        <x:v>31338</x:v>
      </x:c>
      <x:c r="C7869" s="0" t="s">
        <x:v>31339</x:v>
      </x:c>
      <x:c r="E7869" s="0" t="s">
        <x:v>31340</x:v>
      </x:c>
      <x:c r="F7869" s="0" t="s">
        <x:v>45</x:v>
      </x:c>
      <x:c r="G7869" s="0" t="s">
        <x:v>19</x:v>
      </x:c>
      <x:c r="H7869" s="0" t="s">
        <x:v>20</x:v>
      </x:c>
      <x:c r="I7869" s="0" t="s">
        <x:v>21</x:v>
      </x:c>
      <x:c r="K7869" s="0">
        <x:f>hyperlink("https://icd.who.int/dev11/l-ichi/en#/http%3A%2F%2Fid.who.int%2Ficd%2Fentity%2F1107312511","browser")</x:f>
      </x:c>
      <x:c r="L7869" s="0">
        <x:f>hyperlink("https://icat2.azurewebsites.net/icat/?ontology=ICD&amp;tab=ClassesTab&amp;id=http%3A%2F%2Fwho.int%2Ficd%231524_dd4d4347_e398_43b9_84dd_c9611ca6abfa","iCat")</x:f>
      </x:c>
      <x:c r="M7869" s="0" t="s">
        <x:v>21</x:v>
      </x:c>
      <x:c r="N7869" s="0" t="s">
        <x:v>46</x:v>
      </x:c>
    </x:row>
    <x:row r="7870" spans="1:16">
      <x:c r="A7870" s="0" t="s">
        <x:v>31341</x:v>
      </x:c>
      <x:c r="B7870" s="0" t="s">
        <x:v>31342</x:v>
      </x:c>
      <x:c r="C7870" s="0" t="s">
        <x:v>31343</x:v>
      </x:c>
      <x:c r="E7870" s="0" t="s">
        <x:v>31344</x:v>
      </x:c>
      <x:c r="F7870" s="0" t="s">
        <x:v>45</x:v>
      </x:c>
      <x:c r="G7870" s="0" t="s">
        <x:v>19</x:v>
      </x:c>
      <x:c r="H7870" s="0" t="s">
        <x:v>20</x:v>
      </x:c>
      <x:c r="I7870" s="0" t="s">
        <x:v>21</x:v>
      </x:c>
      <x:c r="K7870" s="0">
        <x:f>hyperlink("https://icd.who.int/dev11/l-ichi/en#/http%3A%2F%2Fid.who.int%2Ficd%2Fentity%2F499281500","browser")</x:f>
      </x:c>
      <x:c r="L7870" s="0">
        <x:f>hyperlink("https://icat2.azurewebsites.net/icat/?ontology=ICD&amp;tab=ClassesTab&amp;id=http%3A%2F%2Fwho.int%2Ficd%231530_dd4d4347_e398_43b9_84dd_c9611ca6abfa","iCat")</x:f>
      </x:c>
      <x:c r="M7870" s="0" t="s">
        <x:v>21</x:v>
      </x:c>
      <x:c r="N7870" s="0" t="s">
        <x:v>46</x:v>
      </x:c>
    </x:row>
    <x:row r="7871" spans="1:16">
      <x:c r="A7871" s="0" t="s">
        <x:v>31345</x:v>
      </x:c>
      <x:c r="B7871" s="0" t="s">
        <x:v>31346</x:v>
      </x:c>
      <x:c r="C7871" s="0" t="s">
        <x:v>31347</x:v>
      </x:c>
      <x:c r="E7871" s="0" t="s">
        <x:v>31348</x:v>
      </x:c>
      <x:c r="F7871" s="0" t="s">
        <x:v>45</x:v>
      </x:c>
      <x:c r="G7871" s="0" t="s">
        <x:v>19</x:v>
      </x:c>
      <x:c r="H7871" s="0" t="s">
        <x:v>20</x:v>
      </x:c>
      <x:c r="I7871" s="0" t="s">
        <x:v>21</x:v>
      </x:c>
      <x:c r="K7871" s="0">
        <x:f>hyperlink("https://icd.who.int/dev11/l-ichi/en#/http%3A%2F%2Fid.who.int%2Ficd%2Fentity%2F1304016877","browser")</x:f>
      </x:c>
      <x:c r="L7871" s="0">
        <x:f>hyperlink("https://icat2.azurewebsites.net/icat/?ontology=ICD&amp;tab=ClassesTab&amp;id=http%3A%2F%2Fwho.int%2Ficd%231536_dd4d4347_e398_43b9_84dd_c9611ca6abfa","iCat")</x:f>
      </x:c>
      <x:c r="M7871" s="0" t="s">
        <x:v>21</x:v>
      </x:c>
      <x:c r="N7871" s="0" t="s">
        <x:v>46</x:v>
      </x:c>
    </x:row>
    <x:row r="7872" spans="1:16">
      <x:c r="A7872" s="0" t="s">
        <x:v>31349</x:v>
      </x:c>
      <x:c r="B7872" s="0" t="s">
        <x:v>31350</x:v>
      </x:c>
      <x:c r="C7872" s="0" t="s">
        <x:v>31351</x:v>
      </x:c>
      <x:c r="E7872" s="0" t="s">
        <x:v>31352</x:v>
      </x:c>
      <x:c r="F7872" s="0" t="s">
        <x:v>45</x:v>
      </x:c>
      <x:c r="G7872" s="0" t="s">
        <x:v>19</x:v>
      </x:c>
      <x:c r="H7872" s="0" t="s">
        <x:v>20</x:v>
      </x:c>
      <x:c r="I7872" s="0" t="s">
        <x:v>21</x:v>
      </x:c>
      <x:c r="K7872" s="0">
        <x:f>hyperlink("https://icd.who.int/dev11/l-ichi/en#/http%3A%2F%2Fid.who.int%2Ficd%2Fentity%2F1214800003","browser")</x:f>
      </x:c>
      <x:c r="L7872" s="0">
        <x:f>hyperlink("https://icat2.azurewebsites.net/icat/?ontology=ICD&amp;tab=ClassesTab&amp;id=http%3A%2F%2Fwho.int%2Ficd%231542_dd4d4347_e398_43b9_84dd_c9611ca6abfa","iCat")</x:f>
      </x:c>
      <x:c r="M7872" s="0" t="s">
        <x:v>21</x:v>
      </x:c>
      <x:c r="N7872" s="0" t="s">
        <x:v>46</x:v>
      </x:c>
    </x:row>
    <x:row r="7873" spans="1:16">
      <x:c r="A7873" s="0" t="s">
        <x:v>31353</x:v>
      </x:c>
      <x:c r="B7873" s="0" t="s">
        <x:v>31354</x:v>
      </x:c>
      <x:c r="C7873" s="0" t="s">
        <x:v>31355</x:v>
      </x:c>
      <x:c r="E7873" s="0" t="s">
        <x:v>31356</x:v>
      </x:c>
      <x:c r="F7873" s="0" t="s">
        <x:v>45</x:v>
      </x:c>
      <x:c r="G7873" s="0" t="s">
        <x:v>19</x:v>
      </x:c>
      <x:c r="H7873" s="0" t="s">
        <x:v>20</x:v>
      </x:c>
      <x:c r="I7873" s="0" t="s">
        <x:v>21</x:v>
      </x:c>
      <x:c r="K7873" s="0">
        <x:f>hyperlink("https://icd.who.int/dev11/l-ichi/en#/http%3A%2F%2Fid.who.int%2Ficd%2Fentity%2F1531500643","browser")</x:f>
      </x:c>
      <x:c r="L7873" s="0">
        <x:f>hyperlink("https://icat2.azurewebsites.net/icat/?ontology=ICD&amp;tab=ClassesTab&amp;id=http%3A%2F%2Fwho.int%2Ficd%2319_60b821c4_cabc_4b81_9563_cb99d74167d5","iCat")</x:f>
      </x:c>
      <x:c r="M7873" s="0" t="s">
        <x:v>21</x:v>
      </x:c>
      <x:c r="N7873" s="0" t="s">
        <x:v>46</x:v>
      </x:c>
    </x:row>
    <x:row r="7874" spans="1:16">
      <x:c r="A7874" s="0" t="s">
        <x:v>31357</x:v>
      </x:c>
      <x:c r="B7874" s="0" t="s">
        <x:v>31358</x:v>
      </x:c>
      <x:c r="C7874" s="0" t="s">
        <x:v>31359</x:v>
      </x:c>
      <x:c r="E7874" s="0" t="s">
        <x:v>31360</x:v>
      </x:c>
      <x:c r="F7874" s="0" t="s">
        <x:v>45</x:v>
      </x:c>
      <x:c r="G7874" s="0" t="s">
        <x:v>19</x:v>
      </x:c>
      <x:c r="H7874" s="0" t="s">
        <x:v>20</x:v>
      </x:c>
      <x:c r="I7874" s="0" t="s">
        <x:v>21</x:v>
      </x:c>
      <x:c r="K7874" s="0">
        <x:f>hyperlink("https://icd.who.int/dev11/l-ichi/en#/http%3A%2F%2Fid.who.int%2Ficd%2Fentity%2F1670712339","browser")</x:f>
      </x:c>
      <x:c r="L7874" s="0">
        <x:f>hyperlink("https://icat2.azurewebsites.net/icat/?ontology=ICD&amp;tab=ClassesTab&amp;id=http%3A%2F%2Fwho.int%2Ficd%231548_dd4d4347_e398_43b9_84dd_c9611ca6abfa","iCat")</x:f>
      </x:c>
      <x:c r="M7874" s="0" t="s">
        <x:v>21</x:v>
      </x:c>
      <x:c r="N7874" s="0" t="s">
        <x:v>46</x:v>
      </x:c>
    </x:row>
    <x:row r="7875" spans="1:16">
      <x:c r="A7875" s="0" t="s">
        <x:v>31361</x:v>
      </x:c>
      <x:c r="B7875" s="0" t="s">
        <x:v>31362</x:v>
      </x:c>
      <x:c r="C7875" s="0" t="s">
        <x:v>31363</x:v>
      </x:c>
      <x:c r="E7875" s="0" t="s">
        <x:v>31364</x:v>
      </x:c>
      <x:c r="F7875" s="0" t="s">
        <x:v>45</x:v>
      </x:c>
      <x:c r="G7875" s="0" t="s">
        <x:v>19</x:v>
      </x:c>
      <x:c r="H7875" s="0" t="s">
        <x:v>20</x:v>
      </x:c>
      <x:c r="I7875" s="0" t="s">
        <x:v>21</x:v>
      </x:c>
      <x:c r="K7875" s="0">
        <x:f>hyperlink("https://icd.who.int/dev11/l-ichi/en#/http%3A%2F%2Fid.who.int%2Ficd%2Fentity%2F1926638693","browser")</x:f>
      </x:c>
      <x:c r="L7875" s="0">
        <x:f>hyperlink("https://icat2.azurewebsites.net/icat/?ontology=ICD&amp;tab=ClassesTab&amp;id=http%3A%2F%2Fwho.int%2Ficd%231554_dd4d4347_e398_43b9_84dd_c9611ca6abfa","iCat")</x:f>
      </x:c>
      <x:c r="M7875" s="0" t="s">
        <x:v>21</x:v>
      </x:c>
      <x:c r="N7875" s="0" t="s">
        <x:v>46</x:v>
      </x:c>
    </x:row>
    <x:row r="7876" spans="1:16">
      <x:c r="A7876" s="0" t="s">
        <x:v>31365</x:v>
      </x:c>
      <x:c r="B7876" s="0" t="s">
        <x:v>31366</x:v>
      </x:c>
      <x:c r="C7876" s="0" t="s">
        <x:v>31367</x:v>
      </x:c>
      <x:c r="E7876" s="0" t="s">
        <x:v>31368</x:v>
      </x:c>
      <x:c r="F7876" s="0" t="s">
        <x:v>45</x:v>
      </x:c>
      <x:c r="G7876" s="0" t="s">
        <x:v>19</x:v>
      </x:c>
      <x:c r="H7876" s="0" t="s">
        <x:v>20</x:v>
      </x:c>
      <x:c r="I7876" s="0" t="s">
        <x:v>21</x:v>
      </x:c>
      <x:c r="K7876" s="0">
        <x:f>hyperlink("https://icd.who.int/dev11/l-ichi/en#/http%3A%2F%2Fid.who.int%2Ficd%2Fentity%2F123774998","browser")</x:f>
      </x:c>
      <x:c r="L7876" s="0">
        <x:f>hyperlink("https://icat2.azurewebsites.net/icat/?ontology=ICD&amp;tab=ClassesTab&amp;id=http%3A%2F%2Fwho.int%2Ficd%231560_dd4d4347_e398_43b9_84dd_c9611ca6abfa","iCat")</x:f>
      </x:c>
      <x:c r="M7876" s="0" t="s">
        <x:v>21</x:v>
      </x:c>
      <x:c r="N7876" s="0" t="s">
        <x:v>46</x:v>
      </x:c>
    </x:row>
    <x:row r="7877" spans="1:16">
      <x:c r="A7877" s="0" t="s">
        <x:v>31369</x:v>
      </x:c>
      <x:c r="B7877" s="0" t="s">
        <x:v>31370</x:v>
      </x:c>
      <x:c r="C7877" s="0" t="s">
        <x:v>31371</x:v>
      </x:c>
      <x:c r="E7877" s="0" t="s">
        <x:v>31372</x:v>
      </x:c>
      <x:c r="F7877" s="0" t="s">
        <x:v>45</x:v>
      </x:c>
      <x:c r="G7877" s="0" t="s">
        <x:v>19</x:v>
      </x:c>
      <x:c r="H7877" s="0" t="s">
        <x:v>20</x:v>
      </x:c>
      <x:c r="I7877" s="0" t="s">
        <x:v>21</x:v>
      </x:c>
      <x:c r="K7877" s="0">
        <x:f>hyperlink("https://icd.who.int/dev11/l-ichi/en#/http%3A%2F%2Fid.who.int%2Ficd%2Fentity%2F1461416359","browser")</x:f>
      </x:c>
      <x:c r="L7877" s="0">
        <x:f>hyperlink("https://icat2.azurewebsites.net/icat/?ontology=ICD&amp;tab=ClassesTab&amp;id=http%3A%2F%2Fwho.int%2Ficd%231566_dd4d4347_e398_43b9_84dd_c9611ca6abfa","iCat")</x:f>
      </x:c>
      <x:c r="M7877" s="0" t="s">
        <x:v>21</x:v>
      </x:c>
      <x:c r="N7877" s="0" t="s">
        <x:v>46</x:v>
      </x:c>
    </x:row>
    <x:row r="7878" spans="1:16">
      <x:c r="A7878" s="0" t="s">
        <x:v>31373</x:v>
      </x:c>
      <x:c r="B7878" s="0" t="s">
        <x:v>31374</x:v>
      </x:c>
      <x:c r="C7878" s="0" t="s">
        <x:v>31375</x:v>
      </x:c>
      <x:c r="E7878" s="0" t="s">
        <x:v>31376</x:v>
      </x:c>
      <x:c r="F7878" s="0" t="s">
        <x:v>45</x:v>
      </x:c>
      <x:c r="G7878" s="0" t="s">
        <x:v>19</x:v>
      </x:c>
      <x:c r="H7878" s="0" t="s">
        <x:v>20</x:v>
      </x:c>
      <x:c r="I7878" s="0" t="s">
        <x:v>21</x:v>
      </x:c>
      <x:c r="K7878" s="0">
        <x:f>hyperlink("https://icd.who.int/dev11/l-ichi/en#/http%3A%2F%2Fid.who.int%2Ficd%2Fentity%2F148447364","browser")</x:f>
      </x:c>
      <x:c r="L7878" s="0">
        <x:f>hyperlink("https://icat2.azurewebsites.net/icat/?ontology=ICD&amp;tab=ClassesTab&amp;id=http%3A%2F%2Fwho.int%2Ficd%231572_dd4d4347_e398_43b9_84dd_c9611ca6abfa","iCat")</x:f>
      </x:c>
      <x:c r="M7878" s="0" t="s">
        <x:v>21</x:v>
      </x:c>
      <x:c r="N7878" s="0" t="s">
        <x:v>46</x:v>
      </x:c>
    </x:row>
    <x:row r="7879" spans="1:16">
      <x:c r="A7879" s="0" t="s">
        <x:v>31377</x:v>
      </x:c>
      <x:c r="B7879" s="0" t="s">
        <x:v>31378</x:v>
      </x:c>
      <x:c r="C7879" s="0" t="s">
        <x:v>31379</x:v>
      </x:c>
      <x:c r="E7879" s="0" t="s">
        <x:v>31380</x:v>
      </x:c>
      <x:c r="F7879" s="0" t="s">
        <x:v>45</x:v>
      </x:c>
      <x:c r="G7879" s="0" t="s">
        <x:v>19</x:v>
      </x:c>
      <x:c r="H7879" s="0" t="s">
        <x:v>20</x:v>
      </x:c>
      <x:c r="I7879" s="0" t="s">
        <x:v>21</x:v>
      </x:c>
      <x:c r="K7879" s="0">
        <x:f>hyperlink("https://icd.who.int/dev11/l-ichi/en#/http%3A%2F%2Fid.who.int%2Ficd%2Fentity%2F589581332","browser")</x:f>
      </x:c>
      <x:c r="L7879" s="0">
        <x:f>hyperlink("https://icat2.azurewebsites.net/icat/?ontology=ICD&amp;tab=ClassesTab&amp;id=http%3A%2F%2Fwho.int%2Ficd%231578_dd4d4347_e398_43b9_84dd_c9611ca6abfa","iCat")</x:f>
      </x:c>
      <x:c r="M7879" s="0" t="s">
        <x:v>21</x:v>
      </x:c>
      <x:c r="N7879" s="0" t="s">
        <x:v>46</x:v>
      </x:c>
    </x:row>
    <x:row r="7880" spans="1:16">
      <x:c r="A7880" s="0" t="s">
        <x:v>31381</x:v>
      </x:c>
      <x:c r="B7880" s="0" t="s">
        <x:v>31382</x:v>
      </x:c>
      <x:c r="C7880" s="0" t="s">
        <x:v>31383</x:v>
      </x:c>
      <x:c r="E7880" s="0" t="s">
        <x:v>31384</x:v>
      </x:c>
      <x:c r="F7880" s="0" t="s">
        <x:v>45</x:v>
      </x:c>
      <x:c r="G7880" s="0" t="s">
        <x:v>19</x:v>
      </x:c>
      <x:c r="H7880" s="0" t="s">
        <x:v>20</x:v>
      </x:c>
      <x:c r="I7880" s="0" t="s">
        <x:v>21</x:v>
      </x:c>
      <x:c r="K7880" s="0">
        <x:f>hyperlink("https://icd.who.int/dev11/l-ichi/en#/http%3A%2F%2Fid.who.int%2Ficd%2Fentity%2F519411178","browser")</x:f>
      </x:c>
      <x:c r="L7880" s="0">
        <x:f>hyperlink("https://icat2.azurewebsites.net/icat/?ontology=ICD&amp;tab=ClassesTab&amp;id=http%3A%2F%2Fwho.int%2Ficd%2346989_512ebf36_bf6b_4d70_85da_cf2637062af4","iCat")</x:f>
      </x:c>
      <x:c r="M7880" s="0" t="s">
        <x:v>21</x:v>
      </x:c>
      <x:c r="N7880" s="0" t="s">
        <x:v>46</x:v>
      </x:c>
    </x:row>
    <x:row r="7881" spans="1:16">
      <x:c r="A7881" s="0" t="s">
        <x:v>31385</x:v>
      </x:c>
      <x:c r="B7881" s="0" t="s">
        <x:v>31386</x:v>
      </x:c>
      <x:c r="C7881" s="0" t="s">
        <x:v>31387</x:v>
      </x:c>
      <x:c r="E7881" s="0" t="s">
        <x:v>31388</x:v>
      </x:c>
      <x:c r="F7881" s="0" t="s">
        <x:v>45</x:v>
      </x:c>
      <x:c r="G7881" s="0" t="s">
        <x:v>19</x:v>
      </x:c>
      <x:c r="H7881" s="0" t="s">
        <x:v>20</x:v>
      </x:c>
      <x:c r="I7881" s="0" t="s">
        <x:v>21</x:v>
      </x:c>
      <x:c r="K7881" s="0">
        <x:f>hyperlink("https://icd.who.int/dev11/l-ichi/en#/http%3A%2F%2Fid.who.int%2Ficd%2Fentity%2F2001056747","browser")</x:f>
      </x:c>
      <x:c r="L7881" s="0">
        <x:f>hyperlink("https://icat2.azurewebsites.net/icat/?ontology=ICD&amp;tab=ClassesTab&amp;id=http%3A%2F%2Fwho.int%2Ficd%231584_dd4d4347_e398_43b9_84dd_c9611ca6abfa","iCat")</x:f>
      </x:c>
      <x:c r="M7881" s="0" t="s">
        <x:v>21</x:v>
      </x:c>
      <x:c r="N7881" s="0" t="s">
        <x:v>46</x:v>
      </x:c>
    </x:row>
    <x:row r="7882" spans="1:16">
      <x:c r="A7882" s="0" t="s">
        <x:v>31389</x:v>
      </x:c>
      <x:c r="B7882" s="0" t="s">
        <x:v>31390</x:v>
      </x:c>
      <x:c r="C7882" s="0" t="s">
        <x:v>31391</x:v>
      </x:c>
      <x:c r="E7882" s="0" t="s">
        <x:v>31392</x:v>
      </x:c>
      <x:c r="F7882" s="0" t="s">
        <x:v>45</x:v>
      </x:c>
      <x:c r="G7882" s="0" t="s">
        <x:v>19</x:v>
      </x:c>
      <x:c r="H7882" s="0" t="s">
        <x:v>20</x:v>
      </x:c>
      <x:c r="I7882" s="0" t="s">
        <x:v>21</x:v>
      </x:c>
      <x:c r="K7882" s="0">
        <x:f>hyperlink("https://icd.who.int/dev11/l-ichi/en#/http%3A%2F%2Fid.who.int%2Ficd%2Fentity%2F679994056","browser")</x:f>
      </x:c>
      <x:c r="L7882" s="0">
        <x:f>hyperlink("https://icat2.azurewebsites.net/icat/?ontology=ICD&amp;tab=ClassesTab&amp;id=http%3A%2F%2Fwho.int%2Ficd%231590_dd4d4347_e398_43b9_84dd_c9611ca6abfa","iCat")</x:f>
      </x:c>
      <x:c r="M7882" s="0" t="s">
        <x:v>21</x:v>
      </x:c>
      <x:c r="N7882" s="0" t="s">
        <x:v>46</x:v>
      </x:c>
    </x:row>
    <x:row r="7883" spans="1:16">
      <x:c r="A7883" s="0" t="s">
        <x:v>31393</x:v>
      </x:c>
      <x:c r="B7883" s="0" t="s">
        <x:v>31394</x:v>
      </x:c>
      <x:c r="C7883" s="0" t="s">
        <x:v>31395</x:v>
      </x:c>
      <x:c r="E7883" s="0" t="s">
        <x:v>31396</x:v>
      </x:c>
      <x:c r="F7883" s="0" t="s">
        <x:v>45</x:v>
      </x:c>
      <x:c r="G7883" s="0" t="s">
        <x:v>19</x:v>
      </x:c>
      <x:c r="H7883" s="0" t="s">
        <x:v>20</x:v>
      </x:c>
      <x:c r="I7883" s="0" t="s">
        <x:v>21</x:v>
      </x:c>
      <x:c r="K7883" s="0">
        <x:f>hyperlink("https://icd.who.int/dev11/l-ichi/en#/http%3A%2F%2Fid.who.int%2Ficd%2Fentity%2F2029796217","browser")</x:f>
      </x:c>
      <x:c r="L7883" s="0">
        <x:f>hyperlink("https://icat2.azurewebsites.net/icat/?ontology=ICD&amp;tab=ClassesTab&amp;id=http%3A%2F%2Fwho.int%2Ficd%231596_dd4d4347_e398_43b9_84dd_c9611ca6abfa","iCat")</x:f>
      </x:c>
      <x:c r="M7883" s="0" t="s">
        <x:v>21</x:v>
      </x:c>
      <x:c r="N7883" s="0" t="s">
        <x:v>46</x:v>
      </x:c>
    </x:row>
    <x:row r="7884" spans="1:16">
      <x:c r="A7884" s="0" t="s">
        <x:v>31397</x:v>
      </x:c>
      <x:c r="B7884" s="0" t="s">
        <x:v>31398</x:v>
      </x:c>
      <x:c r="C7884" s="0" t="s">
        <x:v>31399</x:v>
      </x:c>
      <x:c r="E7884" s="0" t="s">
        <x:v>31400</x:v>
      </x:c>
      <x:c r="F7884" s="0" t="s">
        <x:v>45</x:v>
      </x:c>
      <x:c r="G7884" s="0" t="s">
        <x:v>19</x:v>
      </x:c>
      <x:c r="H7884" s="0" t="s">
        <x:v>20</x:v>
      </x:c>
      <x:c r="I7884" s="0" t="s">
        <x:v>21</x:v>
      </x:c>
      <x:c r="K7884" s="0">
        <x:f>hyperlink("https://icd.who.int/dev11/l-ichi/en#/http%3A%2F%2Fid.who.int%2Ficd%2Fentity%2F1498449863","browser")</x:f>
      </x:c>
      <x:c r="L7884" s="0">
        <x:f>hyperlink("https://icat2.azurewebsites.net/icat/?ontology=ICD&amp;tab=ClassesTab&amp;id=http%3A%2F%2Fwho.int%2Ficd%231602_dd4d4347_e398_43b9_84dd_c9611ca6abfa","iCat")</x:f>
      </x:c>
      <x:c r="M7884" s="0" t="s">
        <x:v>21</x:v>
      </x:c>
      <x:c r="N7884" s="0" t="s">
        <x:v>46</x:v>
      </x:c>
    </x:row>
    <x:row r="7885" spans="1:16">
      <x:c r="A7885" s="0" t="s">
        <x:v>31401</x:v>
      </x:c>
      <x:c r="B7885" s="0" t="s">
        <x:v>31402</x:v>
      </x:c>
      <x:c r="C7885" s="0" t="s">
        <x:v>31403</x:v>
      </x:c>
      <x:c r="E7885" s="0" t="s">
        <x:v>31404</x:v>
      </x:c>
      <x:c r="F7885" s="0" t="s">
        <x:v>45</x:v>
      </x:c>
      <x:c r="G7885" s="0" t="s">
        <x:v>19</x:v>
      </x:c>
      <x:c r="H7885" s="0" t="s">
        <x:v>20</x:v>
      </x:c>
      <x:c r="I7885" s="0" t="s">
        <x:v>21</x:v>
      </x:c>
      <x:c r="K7885" s="0">
        <x:f>hyperlink("https://icd.who.int/dev11/l-ichi/en#/http%3A%2F%2Fid.who.int%2Ficd%2Fentity%2F1924000599","browser")</x:f>
      </x:c>
      <x:c r="L7885" s="0">
        <x:f>hyperlink("https://icat2.azurewebsites.net/icat/?ontology=ICD&amp;tab=ClassesTab&amp;id=http%3A%2F%2Fwho.int%2Ficd%231608_dd4d4347_e398_43b9_84dd_c9611ca6abfa","iCat")</x:f>
      </x:c>
      <x:c r="M7885" s="0" t="s">
        <x:v>21</x:v>
      </x:c>
      <x:c r="N7885" s="0" t="s">
        <x:v>46</x:v>
      </x:c>
    </x:row>
    <x:row r="7886" spans="1:16">
      <x:c r="A7886" s="0" t="s">
        <x:v>31405</x:v>
      </x:c>
      <x:c r="B7886" s="0" t="s">
        <x:v>31406</x:v>
      </x:c>
      <x:c r="C7886" s="0" t="s">
        <x:v>31407</x:v>
      </x:c>
      <x:c r="E7886" s="0" t="s">
        <x:v>31408</x:v>
      </x:c>
      <x:c r="F7886" s="0" t="s">
        <x:v>45</x:v>
      </x:c>
      <x:c r="G7886" s="0" t="s">
        <x:v>19</x:v>
      </x:c>
      <x:c r="H7886" s="0" t="s">
        <x:v>20</x:v>
      </x:c>
      <x:c r="I7886" s="0" t="s">
        <x:v>21</x:v>
      </x:c>
      <x:c r="K7886" s="0">
        <x:f>hyperlink("https://icd.who.int/dev11/l-ichi/en#/http%3A%2F%2Fid.who.int%2Ficd%2Fentity%2F1676593953","browser")</x:f>
      </x:c>
      <x:c r="L7886" s="0">
        <x:f>hyperlink("https://icat2.azurewebsites.net/icat/?ontology=ICD&amp;tab=ClassesTab&amp;id=http%3A%2F%2Fwho.int%2Ficd%231614_dd4d4347_e398_43b9_84dd_c9611ca6abfa","iCat")</x:f>
      </x:c>
      <x:c r="M7886" s="0" t="s">
        <x:v>21</x:v>
      </x:c>
      <x:c r="N7886" s="0" t="s">
        <x:v>46</x:v>
      </x:c>
    </x:row>
    <x:row r="7887" spans="1:16">
      <x:c r="A7887" s="0" t="s">
        <x:v>31409</x:v>
      </x:c>
      <x:c r="B7887" s="0" t="s">
        <x:v>31410</x:v>
      </x:c>
      <x:c r="C7887" s="0" t="s">
        <x:v>31411</x:v>
      </x:c>
      <x:c r="E7887" s="0" t="s">
        <x:v>31412</x:v>
      </x:c>
      <x:c r="F7887" s="0" t="s">
        <x:v>45</x:v>
      </x:c>
      <x:c r="G7887" s="0" t="s">
        <x:v>19</x:v>
      </x:c>
      <x:c r="H7887" s="0" t="s">
        <x:v>20</x:v>
      </x:c>
      <x:c r="I7887" s="0" t="s">
        <x:v>21</x:v>
      </x:c>
      <x:c r="K7887" s="0">
        <x:f>hyperlink("https://icd.who.int/dev11/l-ichi/en#/http%3A%2F%2Fid.who.int%2Ficd%2Fentity%2F374886228","browser")</x:f>
      </x:c>
      <x:c r="L7887" s="0">
        <x:f>hyperlink("https://icat2.azurewebsites.net/icat/?ontology=ICD&amp;tab=ClassesTab&amp;id=http%3A%2F%2Fwho.int%2Ficd%231620_dd4d4347_e398_43b9_84dd_c9611ca6abfa","iCat")</x:f>
      </x:c>
      <x:c r="M7887" s="0" t="s">
        <x:v>21</x:v>
      </x:c>
      <x:c r="N7887" s="0" t="s">
        <x:v>46</x:v>
      </x:c>
    </x:row>
    <x:row r="7888" spans="1:16">
      <x:c r="A7888" s="0" t="s">
        <x:v>31413</x:v>
      </x:c>
      <x:c r="B7888" s="0" t="s">
        <x:v>31414</x:v>
      </x:c>
      <x:c r="C7888" s="0" t="s">
        <x:v>31415</x:v>
      </x:c>
      <x:c r="E7888" s="0" t="s">
        <x:v>31416</x:v>
      </x:c>
      <x:c r="F7888" s="0" t="s">
        <x:v>45</x:v>
      </x:c>
      <x:c r="G7888" s="0" t="s">
        <x:v>19</x:v>
      </x:c>
      <x:c r="H7888" s="0" t="s">
        <x:v>20</x:v>
      </x:c>
      <x:c r="I7888" s="0" t="s">
        <x:v>21</x:v>
      </x:c>
      <x:c r="K7888" s="0">
        <x:f>hyperlink("https://icd.who.int/dev11/l-ichi/en#/http%3A%2F%2Fid.who.int%2Ficd%2Fentity%2F1176737507","browser")</x:f>
      </x:c>
      <x:c r="L7888" s="0">
        <x:f>hyperlink("https://icat2.azurewebsites.net/icat/?ontology=ICD&amp;tab=ClassesTab&amp;id=http%3A%2F%2Fwho.int%2Ficd%231626_dd4d4347_e398_43b9_84dd_c9611ca6abfa","iCat")</x:f>
      </x:c>
      <x:c r="M7888" s="0" t="s">
        <x:v>21</x:v>
      </x:c>
      <x:c r="N7888" s="0" t="s">
        <x:v>46</x:v>
      </x:c>
    </x:row>
    <x:row r="7889" spans="1:16">
      <x:c r="A7889" s="0" t="s">
        <x:v>31417</x:v>
      </x:c>
      <x:c r="B7889" s="0" t="s">
        <x:v>31418</x:v>
      </x:c>
      <x:c r="C7889" s="0" t="s">
        <x:v>31419</x:v>
      </x:c>
      <x:c r="E7889" s="0" t="s">
        <x:v>31420</x:v>
      </x:c>
      <x:c r="F7889" s="0" t="s">
        <x:v>45</x:v>
      </x:c>
      <x:c r="G7889" s="0" t="s">
        <x:v>19</x:v>
      </x:c>
      <x:c r="H7889" s="0" t="s">
        <x:v>20</x:v>
      </x:c>
      <x:c r="I7889" s="0" t="s">
        <x:v>21</x:v>
      </x:c>
      <x:c r="K7889" s="0">
        <x:f>hyperlink("https://icd.who.int/dev11/l-ichi/en#/http%3A%2F%2Fid.who.int%2Ficd%2Fentity%2F1244912229","browser")</x:f>
      </x:c>
      <x:c r="L7889" s="0">
        <x:f>hyperlink("https://icat2.azurewebsites.net/icat/?ontology=ICD&amp;tab=ClassesTab&amp;id=http%3A%2F%2Fwho.int%2Ficd%2346996_512ebf36_bf6b_4d70_85da_cf2637062af4","iCat")</x:f>
      </x:c>
      <x:c r="M7889" s="0" t="s">
        <x:v>21</x:v>
      </x:c>
      <x:c r="N7889" s="0" t="s">
        <x:v>46</x:v>
      </x:c>
    </x:row>
    <x:row r="7890" spans="1:16">
      <x:c r="A7890" s="0" t="s">
        <x:v>31421</x:v>
      </x:c>
      <x:c r="B7890" s="0" t="s">
        <x:v>31422</x:v>
      </x:c>
      <x:c r="C7890" s="0" t="s">
        <x:v>31423</x:v>
      </x:c>
      <x:c r="E7890" s="0" t="s">
        <x:v>31424</x:v>
      </x:c>
      <x:c r="F7890" s="0" t="s">
        <x:v>45</x:v>
      </x:c>
      <x:c r="G7890" s="0" t="s">
        <x:v>19</x:v>
      </x:c>
      <x:c r="H7890" s="0" t="s">
        <x:v>20</x:v>
      </x:c>
      <x:c r="I7890" s="0" t="s">
        <x:v>21</x:v>
      </x:c>
      <x:c r="K7890" s="0">
        <x:f>hyperlink("https://icd.who.int/dev11/l-ichi/en#/http%3A%2F%2Fid.who.int%2Ficd%2Fentity%2F543696173","browser")</x:f>
      </x:c>
      <x:c r="L7890" s="0">
        <x:f>hyperlink("https://icat2.azurewebsites.net/icat/?ontology=ICD&amp;tab=ClassesTab&amp;id=http%3A%2F%2Fwho.int%2Ficd%231863_dd4d4347_e398_43b9_84dd_c9611ca6abfa","iCat")</x:f>
      </x:c>
      <x:c r="M7890" s="0" t="s">
        <x:v>21</x:v>
      </x:c>
      <x:c r="N7890" s="0" t="s">
        <x:v>46</x:v>
      </x:c>
    </x:row>
    <x:row r="7891" spans="1:16">
      <x:c r="A7891" s="0" t="s">
        <x:v>31425</x:v>
      </x:c>
      <x:c r="B7891" s="0" t="s">
        <x:v>31426</x:v>
      </x:c>
      <x:c r="C7891" s="0" t="s">
        <x:v>31427</x:v>
      </x:c>
      <x:c r="E7891" s="0" t="s">
        <x:v>31428</x:v>
      </x:c>
      <x:c r="F7891" s="0" t="s">
        <x:v>45</x:v>
      </x:c>
      <x:c r="G7891" s="0" t="s">
        <x:v>19</x:v>
      </x:c>
      <x:c r="H7891" s="0" t="s">
        <x:v>20</x:v>
      </x:c>
      <x:c r="I7891" s="0" t="s">
        <x:v>21</x:v>
      </x:c>
      <x:c r="K7891" s="0">
        <x:f>hyperlink("https://icd.who.int/dev11/l-ichi/en#/http%3A%2F%2Fid.who.int%2Ficd%2Fentity%2F212682746","browser")</x:f>
      </x:c>
      <x:c r="L7891" s="0">
        <x:f>hyperlink("https://icat2.azurewebsites.net/icat/?ontology=ICD&amp;tab=ClassesTab&amp;id=http%3A%2F%2Fwho.int%2Ficd%2347003_512ebf36_bf6b_4d70_85da_cf2637062af4","iCat")</x:f>
      </x:c>
      <x:c r="M7891" s="0" t="s">
        <x:v>21</x:v>
      </x:c>
      <x:c r="N7891" s="0" t="s">
        <x:v>46</x:v>
      </x:c>
    </x:row>
    <x:row r="7892" spans="1:16">
      <x:c r="A7892" s="0" t="s">
        <x:v>31429</x:v>
      </x:c>
      <x:c r="B7892" s="0" t="s">
        <x:v>31430</x:v>
      </x:c>
      <x:c r="C7892" s="0" t="s">
        <x:v>31431</x:v>
      </x:c>
      <x:c r="E7892" s="0" t="s">
        <x:v>31432</x:v>
      </x:c>
      <x:c r="F7892" s="0" t="s">
        <x:v>45</x:v>
      </x:c>
      <x:c r="G7892" s="0" t="s">
        <x:v>19</x:v>
      </x:c>
      <x:c r="H7892" s="0" t="s">
        <x:v>20</x:v>
      </x:c>
      <x:c r="I7892" s="0" t="s">
        <x:v>21</x:v>
      </x:c>
      <x:c r="K7892" s="0">
        <x:f>hyperlink("https://icd.who.int/dev11/l-ichi/en#/http%3A%2F%2Fid.who.int%2Ficd%2Fentity%2F602783062","browser")</x:f>
      </x:c>
      <x:c r="L7892" s="0">
        <x:f>hyperlink("https://icat2.azurewebsites.net/icat/?ontology=ICD&amp;tab=ClassesTab&amp;id=http%3A%2F%2Fwho.int%2Ficd%2347010_512ebf36_bf6b_4d70_85da_cf2637062af4","iCat")</x:f>
      </x:c>
      <x:c r="M7892" s="0" t="s">
        <x:v>21</x:v>
      </x:c>
      <x:c r="N7892" s="0" t="s">
        <x:v>46</x:v>
      </x:c>
    </x:row>
    <x:row r="7893" spans="1:16">
      <x:c r="A7893" s="0" t="s">
        <x:v>31433</x:v>
      </x:c>
      <x:c r="B7893" s="0" t="s">
        <x:v>31434</x:v>
      </x:c>
      <x:c r="C7893" s="0" t="s">
        <x:v>31435</x:v>
      </x:c>
      <x:c r="E7893" s="0" t="s">
        <x:v>31436</x:v>
      </x:c>
      <x:c r="F7893" s="0" t="s">
        <x:v>45</x:v>
      </x:c>
      <x:c r="G7893" s="0" t="s">
        <x:v>19</x:v>
      </x:c>
      <x:c r="H7893" s="0" t="s">
        <x:v>20</x:v>
      </x:c>
      <x:c r="I7893" s="0" t="s">
        <x:v>21</x:v>
      </x:c>
      <x:c r="K7893" s="0">
        <x:f>hyperlink("https://icd.who.int/dev11/l-ichi/en#/http%3A%2F%2Fid.who.int%2Ficd%2Fentity%2F194333117","browser")</x:f>
      </x:c>
      <x:c r="L7893" s="0">
        <x:f>hyperlink("https://icat2.azurewebsites.net/icat/?ontology=ICD&amp;tab=ClassesTab&amp;id=http%3A%2F%2Fwho.int%2Ficd%231869_dd4d4347_e398_43b9_84dd_c9611ca6abfa","iCat")</x:f>
      </x:c>
      <x:c r="M7893" s="0" t="s">
        <x:v>21</x:v>
      </x:c>
      <x:c r="N7893" s="0" t="s">
        <x:v>46</x:v>
      </x:c>
    </x:row>
    <x:row r="7894" spans="1:16">
      <x:c r="A7894" s="0" t="s">
        <x:v>31437</x:v>
      </x:c>
      <x:c r="B7894" s="0" t="s">
        <x:v>31438</x:v>
      </x:c>
      <x:c r="C7894" s="0" t="s">
        <x:v>31439</x:v>
      </x:c>
      <x:c r="E7894" s="0" t="s">
        <x:v>31440</x:v>
      </x:c>
      <x:c r="F7894" s="0" t="s">
        <x:v>45</x:v>
      </x:c>
      <x:c r="G7894" s="0" t="s">
        <x:v>19</x:v>
      </x:c>
      <x:c r="H7894" s="0" t="s">
        <x:v>20</x:v>
      </x:c>
      <x:c r="I7894" s="0" t="s">
        <x:v>21</x:v>
      </x:c>
      <x:c r="K7894" s="0">
        <x:f>hyperlink("https://icd.who.int/dev11/l-ichi/en#/http%3A%2F%2Fid.who.int%2Ficd%2Fentity%2F450259403","browser")</x:f>
      </x:c>
      <x:c r="L7894" s="0">
        <x:f>hyperlink("https://icat2.azurewebsites.net/icat/?ontology=ICD&amp;tab=ClassesTab&amp;id=http%3A%2F%2Fwho.int%2Ficd%231875_dd4d4347_e398_43b9_84dd_c9611ca6abfa","iCat")</x:f>
      </x:c>
      <x:c r="M7894" s="0" t="s">
        <x:v>21</x:v>
      </x:c>
      <x:c r="N7894" s="0" t="s">
        <x:v>46</x:v>
      </x:c>
    </x:row>
    <x:row r="7895" spans="1:16">
      <x:c r="A7895" s="0" t="s">
        <x:v>31441</x:v>
      </x:c>
      <x:c r="B7895" s="0" t="s">
        <x:v>31442</x:v>
      </x:c>
      <x:c r="C7895" s="0" t="s">
        <x:v>31443</x:v>
      </x:c>
      <x:c r="E7895" s="0" t="s">
        <x:v>31444</x:v>
      </x:c>
      <x:c r="F7895" s="0" t="s">
        <x:v>45</x:v>
      </x:c>
      <x:c r="G7895" s="0" t="s">
        <x:v>19</x:v>
      </x:c>
      <x:c r="H7895" s="0" t="s">
        <x:v>20</x:v>
      </x:c>
      <x:c r="I7895" s="0" t="s">
        <x:v>21</x:v>
      </x:c>
      <x:c r="K7895" s="0">
        <x:f>hyperlink("https://icd.who.int/dev11/l-ichi/en#/http%3A%2F%2Fid.who.int%2Ficd%2Fentity%2F3598177","browser")</x:f>
      </x:c>
      <x:c r="L7895" s="0">
        <x:f>hyperlink("https://icat2.azurewebsites.net/icat/?ontology=ICD&amp;tab=ClassesTab&amp;id=http%3A%2F%2Fwho.int%2Ficd%231881_dd4d4347_e398_43b9_84dd_c9611ca6abfa","iCat")</x:f>
      </x:c>
      <x:c r="M7895" s="0" t="s">
        <x:v>21</x:v>
      </x:c>
      <x:c r="N7895" s="0" t="s">
        <x:v>46</x:v>
      </x:c>
    </x:row>
    <x:row r="7896" spans="1:16">
      <x:c r="A7896" s="0" t="s">
        <x:v>31445</x:v>
      </x:c>
      <x:c r="B7896" s="0" t="s">
        <x:v>31446</x:v>
      </x:c>
      <x:c r="C7896" s="0" t="s">
        <x:v>31447</x:v>
      </x:c>
      <x:c r="E7896" s="0" t="s">
        <x:v>31448</x:v>
      </x:c>
      <x:c r="F7896" s="0" t="s">
        <x:v>45</x:v>
      </x:c>
      <x:c r="G7896" s="0" t="s">
        <x:v>19</x:v>
      </x:c>
      <x:c r="H7896" s="0" t="s">
        <x:v>20</x:v>
      </x:c>
      <x:c r="I7896" s="0" t="s">
        <x:v>21</x:v>
      </x:c>
      <x:c r="K7896" s="0">
        <x:f>hyperlink("https://icd.who.int/dev11/l-ichi/en#/http%3A%2F%2Fid.who.int%2Ficd%2Fentity%2F1347239632","browser")</x:f>
      </x:c>
      <x:c r="L7896" s="0">
        <x:f>hyperlink("https://icat2.azurewebsites.net/icat/?ontology=ICD&amp;tab=ClassesTab&amp;id=http%3A%2F%2Fwho.int%2Ficd%231887_dd4d4347_e398_43b9_84dd_c9611ca6abfa","iCat")</x:f>
      </x:c>
      <x:c r="M7896" s="0" t="s">
        <x:v>21</x:v>
      </x:c>
      <x:c r="N7896" s="0" t="s">
        <x:v>46</x:v>
      </x:c>
    </x:row>
    <x:row r="7897" spans="1:16">
      <x:c r="A7897" s="0" t="s">
        <x:v>31449</x:v>
      </x:c>
      <x:c r="B7897" s="0" t="s">
        <x:v>31450</x:v>
      </x:c>
      <x:c r="C7897" s="0" t="s">
        <x:v>31451</x:v>
      </x:c>
      <x:c r="E7897" s="0" t="s">
        <x:v>31452</x:v>
      </x:c>
      <x:c r="F7897" s="0" t="s">
        <x:v>45</x:v>
      </x:c>
      <x:c r="G7897" s="0" t="s">
        <x:v>19</x:v>
      </x:c>
      <x:c r="H7897" s="0" t="s">
        <x:v>20</x:v>
      </x:c>
      <x:c r="I7897" s="0" t="s">
        <x:v>21</x:v>
      </x:c>
      <x:c r="K7897" s="0">
        <x:f>hyperlink("https://icd.who.int/dev11/l-ichi/en#/http%3A%2F%2Fid.who.int%2Ficd%2Fentity%2F261058547","browser")</x:f>
      </x:c>
      <x:c r="L7897" s="0">
        <x:f>hyperlink("https://icat2.azurewebsites.net/icat/?ontology=ICD&amp;tab=ClassesTab&amp;id=http%3A%2F%2Fwho.int%2Ficd%231893_dd4d4347_e398_43b9_84dd_c9611ca6abfa","iCat")</x:f>
      </x:c>
      <x:c r="M7897" s="0" t="s">
        <x:v>21</x:v>
      </x:c>
      <x:c r="N7897" s="0" t="s">
        <x:v>46</x:v>
      </x:c>
    </x:row>
    <x:row r="7898" spans="1:16">
      <x:c r="A7898" s="0" t="s">
        <x:v>31453</x:v>
      </x:c>
      <x:c r="B7898" s="0" t="s">
        <x:v>31454</x:v>
      </x:c>
      <x:c r="C7898" s="0" t="s">
        <x:v>31455</x:v>
      </x:c>
      <x:c r="E7898" s="0" t="s">
        <x:v>31456</x:v>
      </x:c>
      <x:c r="F7898" s="0" t="s">
        <x:v>45</x:v>
      </x:c>
      <x:c r="G7898" s="0" t="s">
        <x:v>19</x:v>
      </x:c>
      <x:c r="H7898" s="0" t="s">
        <x:v>20</x:v>
      </x:c>
      <x:c r="I7898" s="0" t="s">
        <x:v>21</x:v>
      </x:c>
      <x:c r="K7898" s="0">
        <x:f>hyperlink("https://icd.who.int/dev11/l-ichi/en#/http%3A%2F%2Fid.who.int%2Ficd%2Fentity%2F611451747","browser")</x:f>
      </x:c>
      <x:c r="L7898" s="0">
        <x:f>hyperlink("https://icat2.azurewebsites.net/icat/?ontology=ICD&amp;tab=ClassesTab&amp;id=http%3A%2F%2Fwho.int%2Ficd%231899_dd4d4347_e398_43b9_84dd_c9611ca6abfa","iCat")</x:f>
      </x:c>
      <x:c r="M7898" s="0" t="s">
        <x:v>21</x:v>
      </x:c>
      <x:c r="N7898" s="0" t="s">
        <x:v>46</x:v>
      </x:c>
    </x:row>
    <x:row r="7899" spans="1:16">
      <x:c r="A7899" s="0" t="s">
        <x:v>31457</x:v>
      </x:c>
      <x:c r="B7899" s="0" t="s">
        <x:v>31458</x:v>
      </x:c>
      <x:c r="C7899" s="0" t="s">
        <x:v>31459</x:v>
      </x:c>
      <x:c r="E7899" s="0" t="s">
        <x:v>31460</x:v>
      </x:c>
      <x:c r="F7899" s="0" t="s">
        <x:v>45</x:v>
      </x:c>
      <x:c r="G7899" s="0" t="s">
        <x:v>19</x:v>
      </x:c>
      <x:c r="H7899" s="0" t="s">
        <x:v>20</x:v>
      </x:c>
      <x:c r="I7899" s="0" t="s">
        <x:v>21</x:v>
      </x:c>
      <x:c r="K7899" s="0">
        <x:f>hyperlink("https://icd.who.int/dev11/l-ichi/en#/http%3A%2F%2Fid.who.int%2Ficd%2Fentity%2F1604303950","browser")</x:f>
      </x:c>
      <x:c r="L7899" s="0">
        <x:f>hyperlink("https://icat2.azurewebsites.net/icat/?ontology=ICD&amp;tab=ClassesTab&amp;id=http%3A%2F%2Fwho.int%2Ficd%231905_dd4d4347_e398_43b9_84dd_c9611ca6abfa","iCat")</x:f>
      </x:c>
      <x:c r="M7899" s="0" t="s">
        <x:v>21</x:v>
      </x:c>
      <x:c r="N7899" s="0" t="s">
        <x:v>46</x:v>
      </x:c>
    </x:row>
    <x:row r="7900" spans="1:16">
      <x:c r="A7900" s="0" t="s">
        <x:v>31461</x:v>
      </x:c>
      <x:c r="B7900" s="0" t="s">
        <x:v>31462</x:v>
      </x:c>
      <x:c r="C7900" s="0" t="s">
        <x:v>31463</x:v>
      </x:c>
      <x:c r="E7900" s="0" t="s">
        <x:v>31464</x:v>
      </x:c>
      <x:c r="F7900" s="0" t="s">
        <x:v>45</x:v>
      </x:c>
      <x:c r="G7900" s="0" t="s">
        <x:v>19</x:v>
      </x:c>
      <x:c r="H7900" s="0" t="s">
        <x:v>20</x:v>
      </x:c>
      <x:c r="I7900" s="0" t="s">
        <x:v>21</x:v>
      </x:c>
      <x:c r="K7900" s="0">
        <x:f>hyperlink("https://icd.who.int/dev11/l-ichi/en#/http%3A%2F%2Fid.who.int%2Ficd%2Fentity%2F6155631","browser")</x:f>
      </x:c>
      <x:c r="L7900" s="0">
        <x:f>hyperlink("https://icat2.azurewebsites.net/icat/?ontology=ICD&amp;tab=ClassesTab&amp;id=http%3A%2F%2Fwho.int%2Ficd%231911_dd4d4347_e398_43b9_84dd_c9611ca6abfa","iCat")</x:f>
      </x:c>
      <x:c r="M7900" s="0" t="s">
        <x:v>21</x:v>
      </x:c>
      <x:c r="N7900" s="0" t="s">
        <x:v>46</x:v>
      </x:c>
    </x:row>
    <x:row r="7901" spans="1:16">
      <x:c r="A7901" s="0" t="s">
        <x:v>31465</x:v>
      </x:c>
      <x:c r="B7901" s="0" t="s">
        <x:v>31466</x:v>
      </x:c>
      <x:c r="C7901" s="0" t="s">
        <x:v>31467</x:v>
      </x:c>
      <x:c r="E7901" s="0" t="s">
        <x:v>31468</x:v>
      </x:c>
      <x:c r="F7901" s="0" t="s">
        <x:v>45</x:v>
      </x:c>
      <x:c r="G7901" s="0" t="s">
        <x:v>19</x:v>
      </x:c>
      <x:c r="H7901" s="0" t="s">
        <x:v>20</x:v>
      </x:c>
      <x:c r="I7901" s="0" t="s">
        <x:v>21</x:v>
      </x:c>
      <x:c r="K7901" s="0">
        <x:f>hyperlink("https://icd.who.int/dev11/l-ichi/en#/http%3A%2F%2Fid.who.int%2Ficd%2Fentity%2F1344681184","browser")</x:f>
      </x:c>
      <x:c r="L7901" s="0">
        <x:f>hyperlink("https://icat2.azurewebsites.net/icat/?ontology=ICD&amp;tab=ClassesTab&amp;id=http%3A%2F%2Fwho.int%2Ficd%231917_dd4d4347_e398_43b9_84dd_c9611ca6abfa","iCat")</x:f>
      </x:c>
      <x:c r="M7901" s="0" t="s">
        <x:v>21</x:v>
      </x:c>
      <x:c r="N7901" s="0" t="s">
        <x:v>46</x:v>
      </x:c>
    </x:row>
    <x:row r="7902" spans="1:16">
      <x:c r="A7902" s="0" t="s">
        <x:v>31469</x:v>
      </x:c>
      <x:c r="B7902" s="0" t="s">
        <x:v>31470</x:v>
      </x:c>
      <x:c r="C7902" s="0" t="s">
        <x:v>31471</x:v>
      </x:c>
      <x:c r="E7902" s="0" t="s">
        <x:v>31472</x:v>
      </x:c>
      <x:c r="F7902" s="0" t="s">
        <x:v>45</x:v>
      </x:c>
      <x:c r="G7902" s="0" t="s">
        <x:v>19</x:v>
      </x:c>
      <x:c r="H7902" s="0" t="s">
        <x:v>20</x:v>
      </x:c>
      <x:c r="I7902" s="0" t="s">
        <x:v>21</x:v>
      </x:c>
      <x:c r="K7902" s="0">
        <x:f>hyperlink("https://icd.who.int/dev11/l-ichi/en#/http%3A%2F%2Fid.who.int%2Ficd%2Fentity%2F630239405","browser")</x:f>
      </x:c>
      <x:c r="L7902" s="0">
        <x:f>hyperlink("https://icat2.azurewebsites.net/icat/?ontology=ICD&amp;tab=ClassesTab&amp;id=http%3A%2F%2Fwho.int%2Ficd%231923_dd4d4347_e398_43b9_84dd_c9611ca6abfa","iCat")</x:f>
      </x:c>
      <x:c r="M7902" s="0" t="s">
        <x:v>21</x:v>
      </x:c>
      <x:c r="N7902" s="0" t="s">
        <x:v>46</x:v>
      </x:c>
    </x:row>
    <x:row r="7903" spans="1:16">
      <x:c r="A7903" s="0" t="s">
        <x:v>31473</x:v>
      </x:c>
      <x:c r="B7903" s="0" t="s">
        <x:v>31474</x:v>
      </x:c>
      <x:c r="C7903" s="0" t="s">
        <x:v>31475</x:v>
      </x:c>
      <x:c r="E7903" s="0" t="s">
        <x:v>31476</x:v>
      </x:c>
      <x:c r="F7903" s="0" t="s">
        <x:v>45</x:v>
      </x:c>
      <x:c r="G7903" s="0" t="s">
        <x:v>19</x:v>
      </x:c>
      <x:c r="H7903" s="0" t="s">
        <x:v>20</x:v>
      </x:c>
      <x:c r="I7903" s="0" t="s">
        <x:v>21</x:v>
      </x:c>
      <x:c r="K7903" s="0">
        <x:f>hyperlink("https://icd.who.int/dev11/l-ichi/en#/http%3A%2F%2Fid.who.int%2Ficd%2Fentity%2F242080829","browser")</x:f>
      </x:c>
      <x:c r="L7903" s="0">
        <x:f>hyperlink("https://icat2.azurewebsites.net/icat/?ontology=ICD&amp;tab=ClassesTab&amp;id=http%3A%2F%2Fwho.int%2Ficd%231929_dd4d4347_e398_43b9_84dd_c9611ca6abfa","iCat")</x:f>
      </x:c>
      <x:c r="M7903" s="0" t="s">
        <x:v>21</x:v>
      </x:c>
      <x:c r="N7903" s="0" t="s">
        <x:v>46</x:v>
      </x:c>
    </x:row>
    <x:row r="7904" spans="1:16">
      <x:c r="A7904" s="0" t="s">
        <x:v>31477</x:v>
      </x:c>
      <x:c r="B7904" s="0" t="s">
        <x:v>31478</x:v>
      </x:c>
      <x:c r="C7904" s="0" t="s">
        <x:v>31479</x:v>
      </x:c>
      <x:c r="E7904" s="0" t="s">
        <x:v>31480</x:v>
      </x:c>
      <x:c r="F7904" s="0" t="s">
        <x:v>45</x:v>
      </x:c>
      <x:c r="G7904" s="0" t="s">
        <x:v>19</x:v>
      </x:c>
      <x:c r="H7904" s="0" t="s">
        <x:v>20</x:v>
      </x:c>
      <x:c r="I7904" s="0" t="s">
        <x:v>21</x:v>
      </x:c>
      <x:c r="K7904" s="0">
        <x:f>hyperlink("https://icd.who.int/dev11/l-ichi/en#/http%3A%2F%2Fid.who.int%2Ficd%2Fentity%2F469342308","browser")</x:f>
      </x:c>
      <x:c r="L7904" s="0">
        <x:f>hyperlink("https://icat2.azurewebsites.net/icat/?ontology=ICD&amp;tab=ClassesTab&amp;id=http%3A%2F%2Fwho.int%2Ficd%2329_60b821c4_cabc_4b81_9563_cb99d74167d5","iCat")</x:f>
      </x:c>
      <x:c r="M7904" s="0" t="s">
        <x:v>21</x:v>
      </x:c>
      <x:c r="N7904" s="0" t="s">
        <x:v>46</x:v>
      </x:c>
    </x:row>
    <x:row r="7905" spans="1:16">
      <x:c r="A7905" s="0" t="s">
        <x:v>31481</x:v>
      </x:c>
      <x:c r="B7905" s="0" t="s">
        <x:v>31482</x:v>
      </x:c>
      <x:c r="C7905" s="0" t="s">
        <x:v>31483</x:v>
      </x:c>
      <x:c r="E7905" s="0" t="s">
        <x:v>31484</x:v>
      </x:c>
      <x:c r="F7905" s="0" t="s">
        <x:v>45</x:v>
      </x:c>
      <x:c r="G7905" s="0" t="s">
        <x:v>19</x:v>
      </x:c>
      <x:c r="H7905" s="0" t="s">
        <x:v>20</x:v>
      </x:c>
      <x:c r="I7905" s="0" t="s">
        <x:v>21</x:v>
      </x:c>
      <x:c r="K7905" s="0">
        <x:f>hyperlink("https://icd.who.int/dev11/l-ichi/en#/http%3A%2F%2Fid.who.int%2Ficd%2Fentity%2F523172939","browser")</x:f>
      </x:c>
      <x:c r="L7905" s="0">
        <x:f>hyperlink("https://icat2.azurewebsites.net/icat/?ontology=ICD&amp;tab=ClassesTab&amp;id=http%3A%2F%2Fwho.int%2Ficd%231935_dd4d4347_e398_43b9_84dd_c9611ca6abfa","iCat")</x:f>
      </x:c>
      <x:c r="M7905" s="0" t="s">
        <x:v>21</x:v>
      </x:c>
      <x:c r="N7905" s="0" t="s">
        <x:v>46</x:v>
      </x:c>
    </x:row>
    <x:row r="7906" spans="1:16">
      <x:c r="A7906" s="0" t="s">
        <x:v>31485</x:v>
      </x:c>
      <x:c r="B7906" s="0" t="s">
        <x:v>31486</x:v>
      </x:c>
      <x:c r="C7906" s="0" t="s">
        <x:v>31487</x:v>
      </x:c>
      <x:c r="E7906" s="0" t="s">
        <x:v>31488</x:v>
      </x:c>
      <x:c r="F7906" s="0" t="s">
        <x:v>45</x:v>
      </x:c>
      <x:c r="G7906" s="0" t="s">
        <x:v>19</x:v>
      </x:c>
      <x:c r="H7906" s="0" t="s">
        <x:v>20</x:v>
      </x:c>
      <x:c r="I7906" s="0" t="s">
        <x:v>21</x:v>
      </x:c>
      <x:c r="K7906" s="0">
        <x:f>hyperlink("https://icd.who.int/dev11/l-ichi/en#/http%3A%2F%2Fid.who.int%2Ficd%2Fentity%2F452930341","browser")</x:f>
      </x:c>
      <x:c r="L7906" s="0">
        <x:f>hyperlink("https://icat2.azurewebsites.net/icat/?ontology=ICD&amp;tab=ClassesTab&amp;id=http%3A%2F%2Fwho.int%2Ficd%231941_dd4d4347_e398_43b9_84dd_c9611ca6abfa","iCat")</x:f>
      </x:c>
      <x:c r="M7906" s="0" t="s">
        <x:v>21</x:v>
      </x:c>
      <x:c r="N7906" s="0" t="s">
        <x:v>46</x:v>
      </x:c>
    </x:row>
    <x:row r="7907" spans="1:16">
      <x:c r="A7907" s="0" t="s">
        <x:v>31489</x:v>
      </x:c>
      <x:c r="B7907" s="0" t="s">
        <x:v>31490</x:v>
      </x:c>
      <x:c r="C7907" s="0" t="s">
        <x:v>31491</x:v>
      </x:c>
      <x:c r="E7907" s="0" t="s">
        <x:v>31492</x:v>
      </x:c>
      <x:c r="F7907" s="0" t="s">
        <x:v>45</x:v>
      </x:c>
      <x:c r="G7907" s="0" t="s">
        <x:v>19</x:v>
      </x:c>
      <x:c r="H7907" s="0" t="s">
        <x:v>20</x:v>
      </x:c>
      <x:c r="I7907" s="0" t="s">
        <x:v>21</x:v>
      </x:c>
      <x:c r="K7907" s="0">
        <x:f>hyperlink("https://icd.who.int/dev11/l-ichi/en#/http%3A%2F%2Fid.who.int%2Ficd%2Fentity%2F1250226838","browser")</x:f>
      </x:c>
      <x:c r="L7907" s="0">
        <x:f>hyperlink("https://icat2.azurewebsites.net/icat/?ontology=ICD&amp;tab=ClassesTab&amp;id=http%3A%2F%2Fwho.int%2Ficd%231947_dd4d4347_e398_43b9_84dd_c9611ca6abfa","iCat")</x:f>
      </x:c>
      <x:c r="M7907" s="0" t="s">
        <x:v>21</x:v>
      </x:c>
      <x:c r="N7907" s="0" t="s">
        <x:v>46</x:v>
      </x:c>
    </x:row>
    <x:row r="7908" spans="1:16">
      <x:c r="A7908" s="0" t="s">
        <x:v>31493</x:v>
      </x:c>
      <x:c r="B7908" s="0" t="s">
        <x:v>31494</x:v>
      </x:c>
      <x:c r="C7908" s="0" t="s">
        <x:v>31495</x:v>
      </x:c>
      <x:c r="E7908" s="0" t="s">
        <x:v>31496</x:v>
      </x:c>
      <x:c r="F7908" s="0" t="s">
        <x:v>45</x:v>
      </x:c>
      <x:c r="G7908" s="0" t="s">
        <x:v>19</x:v>
      </x:c>
      <x:c r="H7908" s="0" t="s">
        <x:v>20</x:v>
      </x:c>
      <x:c r="I7908" s="0" t="s">
        <x:v>21</x:v>
      </x:c>
      <x:c r="K7908" s="0">
        <x:f>hyperlink("https://icd.who.int/dev11/l-ichi/en#/http%3A%2F%2Fid.who.int%2Ficd%2Fentity%2F356950967","browser")</x:f>
      </x:c>
      <x:c r="L7908" s="0">
        <x:f>hyperlink("https://icat2.azurewebsites.net/icat/?ontology=ICD&amp;tab=ClassesTab&amp;id=http%3A%2F%2Fwho.int%2Ficd%231953_dd4d4347_e398_43b9_84dd_c9611ca6abfa","iCat")</x:f>
      </x:c>
      <x:c r="M7908" s="0" t="s">
        <x:v>21</x:v>
      </x:c>
      <x:c r="N7908" s="0" t="s">
        <x:v>46</x:v>
      </x:c>
    </x:row>
    <x:row r="7909" spans="1:16">
      <x:c r="A7909" s="0" t="s">
        <x:v>31497</x:v>
      </x:c>
      <x:c r="B7909" s="0" t="s">
        <x:v>31498</x:v>
      </x:c>
      <x:c r="C7909" s="0" t="s">
        <x:v>31499</x:v>
      </x:c>
      <x:c r="E7909" s="0" t="s">
        <x:v>31500</x:v>
      </x:c>
      <x:c r="F7909" s="0" t="s">
        <x:v>45</x:v>
      </x:c>
      <x:c r="G7909" s="0" t="s">
        <x:v>19</x:v>
      </x:c>
      <x:c r="H7909" s="0" t="s">
        <x:v>20</x:v>
      </x:c>
      <x:c r="I7909" s="0" t="s">
        <x:v>21</x:v>
      </x:c>
      <x:c r="K7909" s="0">
        <x:f>hyperlink("https://icd.who.int/dev11/l-ichi/en#/http%3A%2F%2Fid.who.int%2Ficd%2Fentity%2F1052495655","browser")</x:f>
      </x:c>
      <x:c r="L7909" s="0">
        <x:f>hyperlink("https://icat2.azurewebsites.net/icat/?ontology=ICD&amp;tab=ClassesTab&amp;id=http%3A%2F%2Fwho.int%2Ficd%231959_dd4d4347_e398_43b9_84dd_c9611ca6abfa","iCat")</x:f>
      </x:c>
      <x:c r="M7909" s="0" t="s">
        <x:v>21</x:v>
      </x:c>
      <x:c r="N7909" s="0" t="s">
        <x:v>46</x:v>
      </x:c>
    </x:row>
    <x:row r="7910" spans="1:16">
      <x:c r="A7910" s="0" t="s">
        <x:v>31501</x:v>
      </x:c>
      <x:c r="B7910" s="0" t="s">
        <x:v>31502</x:v>
      </x:c>
      <x:c r="C7910" s="0" t="s">
        <x:v>31503</x:v>
      </x:c>
      <x:c r="E7910" s="0" t="s">
        <x:v>31504</x:v>
      </x:c>
      <x:c r="F7910" s="0" t="s">
        <x:v>45</x:v>
      </x:c>
      <x:c r="G7910" s="0" t="s">
        <x:v>19</x:v>
      </x:c>
      <x:c r="H7910" s="0" t="s">
        <x:v>20</x:v>
      </x:c>
      <x:c r="I7910" s="0" t="s">
        <x:v>21</x:v>
      </x:c>
      <x:c r="K7910" s="0">
        <x:f>hyperlink("https://icd.who.int/dev11/l-ichi/en#/http%3A%2F%2Fid.who.int%2Ficd%2Fentity%2F93075969","browser")</x:f>
      </x:c>
      <x:c r="L7910" s="0">
        <x:f>hyperlink("https://icat2.azurewebsites.net/icat/?ontology=ICD&amp;tab=ClassesTab&amp;id=http%3A%2F%2Fwho.int%2Ficd%231965_dd4d4347_e398_43b9_84dd_c9611ca6abfa","iCat")</x:f>
      </x:c>
      <x:c r="M7910" s="0" t="s">
        <x:v>21</x:v>
      </x:c>
      <x:c r="N7910" s="0" t="s">
        <x:v>46</x:v>
      </x:c>
    </x:row>
    <x:row r="7911" spans="1:16">
      <x:c r="A7911" s="0" t="s">
        <x:v>31505</x:v>
      </x:c>
      <x:c r="B7911" s="0" t="s">
        <x:v>31506</x:v>
      </x:c>
      <x:c r="C7911" s="0" t="s">
        <x:v>31507</x:v>
      </x:c>
      <x:c r="E7911" s="0" t="s">
        <x:v>31508</x:v>
      </x:c>
      <x:c r="F7911" s="0" t="s">
        <x:v>45</x:v>
      </x:c>
      <x:c r="G7911" s="0" t="s">
        <x:v>19</x:v>
      </x:c>
      <x:c r="H7911" s="0" t="s">
        <x:v>20</x:v>
      </x:c>
      <x:c r="I7911" s="0" t="s">
        <x:v>21</x:v>
      </x:c>
      <x:c r="K7911" s="0">
        <x:f>hyperlink("https://icd.who.int/dev11/l-ichi/en#/http%3A%2F%2Fid.who.int%2Ficd%2Fentity%2F1567321522","browser")</x:f>
      </x:c>
      <x:c r="L7911" s="0">
        <x:f>hyperlink("https://icat2.azurewebsites.net/icat/?ontology=ICD&amp;tab=ClassesTab&amp;id=http%3A%2F%2Fwho.int%2Ficd%231971_dd4d4347_e398_43b9_84dd_c9611ca6abfa","iCat")</x:f>
      </x:c>
      <x:c r="M7911" s="0" t="s">
        <x:v>21</x:v>
      </x:c>
      <x:c r="N7911" s="0" t="s">
        <x:v>46</x:v>
      </x:c>
    </x:row>
    <x:row r="7912" spans="1:16">
      <x:c r="A7912" s="0" t="s">
        <x:v>31509</x:v>
      </x:c>
      <x:c r="B7912" s="0" t="s">
        <x:v>31510</x:v>
      </x:c>
      <x:c r="C7912" s="0" t="s">
        <x:v>31511</x:v>
      </x:c>
      <x:c r="E7912" s="0" t="s">
        <x:v>31512</x:v>
      </x:c>
      <x:c r="F7912" s="0" t="s">
        <x:v>45</x:v>
      </x:c>
      <x:c r="G7912" s="0" t="s">
        <x:v>19</x:v>
      </x:c>
      <x:c r="H7912" s="0" t="s">
        <x:v>20</x:v>
      </x:c>
      <x:c r="I7912" s="0" t="s">
        <x:v>21</x:v>
      </x:c>
      <x:c r="K7912" s="0">
        <x:f>hyperlink("https://icd.who.int/dev11/l-ichi/en#/http%3A%2F%2Fid.who.int%2Ficd%2Fentity%2F171291283","browser")</x:f>
      </x:c>
      <x:c r="L7912" s="0">
        <x:f>hyperlink("https://icat2.azurewebsites.net/icat/?ontology=ICD&amp;tab=ClassesTab&amp;id=http%3A%2F%2Fwho.int%2Ficd%231977_dd4d4347_e398_43b9_84dd_c9611ca6abfa","iCat")</x:f>
      </x:c>
      <x:c r="M7912" s="0" t="s">
        <x:v>21</x:v>
      </x:c>
      <x:c r="N7912" s="0" t="s">
        <x:v>46</x:v>
      </x:c>
    </x:row>
    <x:row r="7913" spans="1:16">
      <x:c r="A7913" s="0" t="s">
        <x:v>31513</x:v>
      </x:c>
      <x:c r="B7913" s="0" t="s">
        <x:v>31514</x:v>
      </x:c>
      <x:c r="C7913" s="0" t="s">
        <x:v>31515</x:v>
      </x:c>
      <x:c r="E7913" s="0" t="s">
        <x:v>31516</x:v>
      </x:c>
      <x:c r="F7913" s="0" t="s">
        <x:v>45</x:v>
      </x:c>
      <x:c r="G7913" s="0" t="s">
        <x:v>19</x:v>
      </x:c>
      <x:c r="H7913" s="0" t="s">
        <x:v>20</x:v>
      </x:c>
      <x:c r="I7913" s="0" t="s">
        <x:v>21</x:v>
      </x:c>
      <x:c r="K7913" s="0">
        <x:f>hyperlink("https://icd.who.int/dev11/l-ichi/en#/http%3A%2F%2Fid.who.int%2Ficd%2Fentity%2F282410041","browser")</x:f>
      </x:c>
      <x:c r="L7913" s="0">
        <x:f>hyperlink("https://icat2.azurewebsites.net/icat/?ontology=ICD&amp;tab=ClassesTab&amp;id=http%3A%2F%2Fwho.int%2Ficd%231983_dd4d4347_e398_43b9_84dd_c9611ca6abfa","iCat")</x:f>
      </x:c>
      <x:c r="M7913" s="0" t="s">
        <x:v>21</x:v>
      </x:c>
      <x:c r="N7913" s="0" t="s">
        <x:v>46</x:v>
      </x:c>
    </x:row>
    <x:row r="7914" spans="1:16">
      <x:c r="A7914" s="0" t="s">
        <x:v>31517</x:v>
      </x:c>
      <x:c r="B7914" s="0" t="s">
        <x:v>31518</x:v>
      </x:c>
      <x:c r="C7914" s="0" t="s">
        <x:v>31519</x:v>
      </x:c>
      <x:c r="E7914" s="0" t="s">
        <x:v>31520</x:v>
      </x:c>
      <x:c r="F7914" s="0" t="s">
        <x:v>45</x:v>
      </x:c>
      <x:c r="G7914" s="0" t="s">
        <x:v>19</x:v>
      </x:c>
      <x:c r="H7914" s="0" t="s">
        <x:v>20</x:v>
      </x:c>
      <x:c r="I7914" s="0" t="s">
        <x:v>21</x:v>
      </x:c>
      <x:c r="K7914" s="0">
        <x:f>hyperlink("https://icd.who.int/dev11/l-ichi/en#/http%3A%2F%2Fid.who.int%2Ficd%2Fentity%2F992497833","browser")</x:f>
      </x:c>
      <x:c r="L7914" s="0">
        <x:f>hyperlink("https://icat2.azurewebsites.net/icat/?ontology=ICD&amp;tab=ClassesTab&amp;id=http%3A%2F%2Fwho.int%2Ficd%231989_dd4d4347_e398_43b9_84dd_c9611ca6abfa","iCat")</x:f>
      </x:c>
      <x:c r="M7914" s="0" t="s">
        <x:v>21</x:v>
      </x:c>
      <x:c r="N7914" s="0" t="s">
        <x:v>46</x:v>
      </x:c>
    </x:row>
    <x:row r="7915" spans="1:16">
      <x:c r="A7915" s="0" t="s">
        <x:v>31521</x:v>
      </x:c>
      <x:c r="B7915" s="0" t="s">
        <x:v>31522</x:v>
      </x:c>
      <x:c r="C7915" s="0" t="s">
        <x:v>31523</x:v>
      </x:c>
      <x:c r="E7915" s="0" t="s">
        <x:v>31524</x:v>
      </x:c>
      <x:c r="F7915" s="0" t="s">
        <x:v>45</x:v>
      </x:c>
      <x:c r="G7915" s="0" t="s">
        <x:v>19</x:v>
      </x:c>
      <x:c r="H7915" s="0" t="s">
        <x:v>20</x:v>
      </x:c>
      <x:c r="I7915" s="0" t="s">
        <x:v>21</x:v>
      </x:c>
      <x:c r="K7915" s="0">
        <x:f>hyperlink("https://icd.who.int/dev11/l-ichi/en#/http%3A%2F%2Fid.who.int%2Ficd%2Fentity%2F711684319","browser")</x:f>
      </x:c>
      <x:c r="L7915" s="0">
        <x:f>hyperlink("https://icat2.azurewebsites.net/icat/?ontology=ICD&amp;tab=ClassesTab&amp;id=http%3A%2F%2Fwho.int%2Ficd%231995_dd4d4347_e398_43b9_84dd_c9611ca6abfa","iCat")</x:f>
      </x:c>
      <x:c r="M7915" s="0" t="s">
        <x:v>21</x:v>
      </x:c>
      <x:c r="N7915" s="0" t="s">
        <x:v>46</x:v>
      </x:c>
    </x:row>
    <x:row r="7916" spans="1:16">
      <x:c r="A7916" s="0" t="s">
        <x:v>31525</x:v>
      </x:c>
      <x:c r="B7916" s="0" t="s">
        <x:v>31526</x:v>
      </x:c>
      <x:c r="C7916" s="0" t="s">
        <x:v>31527</x:v>
      </x:c>
      <x:c r="E7916" s="0" t="s">
        <x:v>31528</x:v>
      </x:c>
      <x:c r="F7916" s="0" t="s">
        <x:v>45</x:v>
      </x:c>
      <x:c r="G7916" s="0" t="s">
        <x:v>19</x:v>
      </x:c>
      <x:c r="H7916" s="0" t="s">
        <x:v>20</x:v>
      </x:c>
      <x:c r="I7916" s="0" t="s">
        <x:v>21</x:v>
      </x:c>
      <x:c r="K7916" s="0">
        <x:f>hyperlink("https://icd.who.int/dev11/l-ichi/en#/http%3A%2F%2Fid.who.int%2Ficd%2Fentity%2F89369177","browser")</x:f>
      </x:c>
      <x:c r="L7916" s="0">
        <x:f>hyperlink("https://icat2.azurewebsites.net/icat/?ontology=ICD&amp;tab=ClassesTab&amp;id=http%3A%2F%2Fwho.int%2Ficd%232001_dd4d4347_e398_43b9_84dd_c9611ca6abfa","iCat")</x:f>
      </x:c>
      <x:c r="M7916" s="0" t="s">
        <x:v>21</x:v>
      </x:c>
      <x:c r="N7916" s="0" t="s">
        <x:v>46</x:v>
      </x:c>
    </x:row>
    <x:row r="7917" spans="1:16">
      <x:c r="A7917" s="0" t="s">
        <x:v>31529</x:v>
      </x:c>
      <x:c r="B7917" s="0" t="s">
        <x:v>31530</x:v>
      </x:c>
      <x:c r="C7917" s="0" t="s">
        <x:v>31531</x:v>
      </x:c>
      <x:c r="E7917" s="0" t="s">
        <x:v>31532</x:v>
      </x:c>
      <x:c r="F7917" s="0" t="s">
        <x:v>45</x:v>
      </x:c>
      <x:c r="G7917" s="0" t="s">
        <x:v>19</x:v>
      </x:c>
      <x:c r="H7917" s="0" t="s">
        <x:v>20</x:v>
      </x:c>
      <x:c r="I7917" s="0" t="s">
        <x:v>21</x:v>
      </x:c>
      <x:c r="K7917" s="0">
        <x:f>hyperlink("https://icd.who.int/dev11/l-ichi/en#/http%3A%2F%2Fid.who.int%2Ficd%2Fentity%2F1428714474","browser")</x:f>
      </x:c>
      <x:c r="L7917" s="0">
        <x:f>hyperlink("https://icat2.azurewebsites.net/icat/?ontology=ICD&amp;tab=ClassesTab&amp;id=http%3A%2F%2Fwho.int%2Ficd%232007_dd4d4347_e398_43b9_84dd_c9611ca6abfa","iCat")</x:f>
      </x:c>
      <x:c r="M7917" s="0" t="s">
        <x:v>21</x:v>
      </x:c>
      <x:c r="N7917" s="0" t="s">
        <x:v>46</x:v>
      </x:c>
    </x:row>
    <x:row r="7918" spans="1:16">
      <x:c r="A7918" s="0" t="s">
        <x:v>31533</x:v>
      </x:c>
      <x:c r="B7918" s="0" t="s">
        <x:v>31534</x:v>
      </x:c>
      <x:c r="C7918" s="0" t="s">
        <x:v>31535</x:v>
      </x:c>
      <x:c r="E7918" s="0" t="s">
        <x:v>31536</x:v>
      </x:c>
      <x:c r="F7918" s="0" t="s">
        <x:v>45</x:v>
      </x:c>
      <x:c r="G7918" s="0" t="s">
        <x:v>19</x:v>
      </x:c>
      <x:c r="H7918" s="0" t="s">
        <x:v>20</x:v>
      </x:c>
      <x:c r="I7918" s="0" t="s">
        <x:v>21</x:v>
      </x:c>
      <x:c r="K7918" s="0">
        <x:f>hyperlink("https://icd.who.int/dev11/l-ichi/en#/http%3A%2F%2Fid.who.int%2Ficd%2Fentity%2F183116491","browser")</x:f>
      </x:c>
      <x:c r="L7918" s="0">
        <x:f>hyperlink("https://icat2.azurewebsites.net/icat/?ontology=ICD&amp;tab=ClassesTab&amp;id=http%3A%2F%2Fwho.int%2Ficd%232013_dd4d4347_e398_43b9_84dd_c9611ca6abfa","iCat")</x:f>
      </x:c>
      <x:c r="M7918" s="0" t="s">
        <x:v>21</x:v>
      </x:c>
      <x:c r="N7918" s="0" t="s">
        <x:v>46</x:v>
      </x:c>
    </x:row>
    <x:row r="7919" spans="1:16">
      <x:c r="A7919" s="0" t="s">
        <x:v>31537</x:v>
      </x:c>
      <x:c r="B7919" s="0" t="s">
        <x:v>31538</x:v>
      </x:c>
      <x:c r="C7919" s="0" t="s">
        <x:v>31539</x:v>
      </x:c>
      <x:c r="E7919" s="0" t="s">
        <x:v>31540</x:v>
      </x:c>
      <x:c r="F7919" s="0" t="s">
        <x:v>45</x:v>
      </x:c>
      <x:c r="G7919" s="0" t="s">
        <x:v>19</x:v>
      </x:c>
      <x:c r="H7919" s="0" t="s">
        <x:v>20</x:v>
      </x:c>
      <x:c r="I7919" s="0" t="s">
        <x:v>21</x:v>
      </x:c>
      <x:c r="K7919" s="0">
        <x:f>hyperlink("https://icd.who.int/dev11/l-ichi/en#/http%3A%2F%2Fid.who.int%2Ficd%2Fentity%2F1372020746","browser")</x:f>
      </x:c>
      <x:c r="L7919" s="0">
        <x:f>hyperlink("https://icat2.azurewebsites.net/icat/?ontology=ICD&amp;tab=ClassesTab&amp;id=http%3A%2F%2Fwho.int%2Ficd%232276_dd4d4347_e398_43b9_84dd_c9611ca6abfa","iCat")</x:f>
      </x:c>
      <x:c r="M7919" s="0" t="s">
        <x:v>21</x:v>
      </x:c>
      <x:c r="N7919" s="0" t="s">
        <x:v>46</x:v>
      </x:c>
    </x:row>
    <x:row r="7920" spans="1:16">
      <x:c r="A7920" s="0" t="s">
        <x:v>31541</x:v>
      </x:c>
      <x:c r="B7920" s="0" t="s">
        <x:v>31542</x:v>
      </x:c>
      <x:c r="C7920" s="0" t="s">
        <x:v>31543</x:v>
      </x:c>
      <x:c r="E7920" s="0" t="s">
        <x:v>31544</x:v>
      </x:c>
      <x:c r="F7920" s="0" t="s">
        <x:v>45</x:v>
      </x:c>
      <x:c r="G7920" s="0" t="s">
        <x:v>19</x:v>
      </x:c>
      <x:c r="H7920" s="0" t="s">
        <x:v>20</x:v>
      </x:c>
      <x:c r="I7920" s="0" t="s">
        <x:v>21</x:v>
      </x:c>
      <x:c r="K7920" s="0">
        <x:f>hyperlink("https://icd.who.int/dev11/l-ichi/en#/http%3A%2F%2Fid.who.int%2Ficd%2Fentity%2F1260908194","browser")</x:f>
      </x:c>
      <x:c r="L7920" s="0">
        <x:f>hyperlink("https://icat2.azurewebsites.net/icat/?ontology=ICD&amp;tab=ClassesTab&amp;id=http%3A%2F%2Fwho.int%2Ficd%232282_dd4d4347_e398_43b9_84dd_c9611ca6abfa","iCat")</x:f>
      </x:c>
      <x:c r="M7920" s="0" t="s">
        <x:v>21</x:v>
      </x:c>
      <x:c r="N7920" s="0" t="s">
        <x:v>46</x:v>
      </x:c>
    </x:row>
    <x:row r="7921" spans="1:16">
      <x:c r="A7921" s="0" t="s">
        <x:v>31545</x:v>
      </x:c>
      <x:c r="B7921" s="0" t="s">
        <x:v>31546</x:v>
      </x:c>
      <x:c r="C7921" s="0" t="s">
        <x:v>31547</x:v>
      </x:c>
      <x:c r="E7921" s="0" t="s">
        <x:v>31548</x:v>
      </x:c>
      <x:c r="F7921" s="0" t="s">
        <x:v>45</x:v>
      </x:c>
      <x:c r="G7921" s="0" t="s">
        <x:v>19</x:v>
      </x:c>
      <x:c r="H7921" s="0" t="s">
        <x:v>20</x:v>
      </x:c>
      <x:c r="I7921" s="0" t="s">
        <x:v>21</x:v>
      </x:c>
      <x:c r="K7921" s="0">
        <x:f>hyperlink("https://icd.who.int/dev11/l-ichi/en#/http%3A%2F%2Fid.who.int%2Ficd%2Fentity%2F1624932914","browser")</x:f>
      </x:c>
      <x:c r="L7921" s="0">
        <x:f>hyperlink("https://icat2.azurewebsites.net/icat/?ontology=ICD&amp;tab=ClassesTab&amp;id=http%3A%2F%2Fwho.int%2Ficd%232288_dd4d4347_e398_43b9_84dd_c9611ca6abfa","iCat")</x:f>
      </x:c>
      <x:c r="M7921" s="0" t="s">
        <x:v>21</x:v>
      </x:c>
      <x:c r="N7921" s="0" t="s">
        <x:v>46</x:v>
      </x:c>
    </x:row>
    <x:row r="7922" spans="1:16">
      <x:c r="A7922" s="0" t="s">
        <x:v>31549</x:v>
      </x:c>
      <x:c r="B7922" s="0" t="s">
        <x:v>31550</x:v>
      </x:c>
      <x:c r="C7922" s="0" t="s">
        <x:v>31551</x:v>
      </x:c>
      <x:c r="E7922" s="0" t="s">
        <x:v>31552</x:v>
      </x:c>
      <x:c r="F7922" s="0" t="s">
        <x:v>45</x:v>
      </x:c>
      <x:c r="G7922" s="0" t="s">
        <x:v>19</x:v>
      </x:c>
      <x:c r="H7922" s="0" t="s">
        <x:v>20</x:v>
      </x:c>
      <x:c r="I7922" s="0" t="s">
        <x:v>21</x:v>
      </x:c>
      <x:c r="K7922" s="0">
        <x:f>hyperlink("https://icd.who.int/dev11/l-ichi/en#/http%3A%2F%2Fid.who.int%2Ficd%2Fentity%2F1905893958","browser")</x:f>
      </x:c>
      <x:c r="L7922" s="0">
        <x:f>hyperlink("https://icat2.azurewebsites.net/icat/?ontology=ICD&amp;tab=ClassesTab&amp;id=http%3A%2F%2Fwho.int%2Ficd%232294_dd4d4347_e398_43b9_84dd_c9611ca6abfa","iCat")</x:f>
      </x:c>
      <x:c r="M7922" s="0" t="s">
        <x:v>21</x:v>
      </x:c>
      <x:c r="N7922" s="0" t="s">
        <x:v>46</x:v>
      </x:c>
    </x:row>
    <x:row r="7923" spans="1:16">
      <x:c r="A7923" s="0" t="s">
        <x:v>31553</x:v>
      </x:c>
      <x:c r="B7923" s="0" t="s">
        <x:v>31554</x:v>
      </x:c>
      <x:c r="C7923" s="0" t="s">
        <x:v>31555</x:v>
      </x:c>
      <x:c r="E7923" s="0" t="s">
        <x:v>31556</x:v>
      </x:c>
      <x:c r="F7923" s="0" t="s">
        <x:v>45</x:v>
      </x:c>
      <x:c r="G7923" s="0" t="s">
        <x:v>19</x:v>
      </x:c>
      <x:c r="H7923" s="0" t="s">
        <x:v>20</x:v>
      </x:c>
      <x:c r="I7923" s="0" t="s">
        <x:v>21</x:v>
      </x:c>
      <x:c r="K7923" s="0">
        <x:f>hyperlink("https://icd.who.int/dev11/l-ichi/en#/http%3A%2F%2Fid.who.int%2Ficd%2Fentity%2F1156934716","browser")</x:f>
      </x:c>
      <x:c r="L7923" s="0">
        <x:f>hyperlink("https://icat2.azurewebsites.net/icat/?ontology=ICD&amp;tab=ClassesTab&amp;id=http%3A%2F%2Fwho.int%2Ficd%232300_dd4d4347_e398_43b9_84dd_c9611ca6abfa","iCat")</x:f>
      </x:c>
      <x:c r="M7923" s="0" t="s">
        <x:v>21</x:v>
      </x:c>
      <x:c r="N7923" s="0" t="s">
        <x:v>46</x:v>
      </x:c>
    </x:row>
    <x:row r="7924" spans="1:16">
      <x:c r="A7924" s="0" t="s">
        <x:v>31557</x:v>
      </x:c>
      <x:c r="B7924" s="0" t="s">
        <x:v>31558</x:v>
      </x:c>
      <x:c r="C7924" s="0" t="s">
        <x:v>31559</x:v>
      </x:c>
      <x:c r="E7924" s="0" t="s">
        <x:v>31560</x:v>
      </x:c>
      <x:c r="F7924" s="0" t="s">
        <x:v>45</x:v>
      </x:c>
      <x:c r="G7924" s="0" t="s">
        <x:v>19</x:v>
      </x:c>
      <x:c r="H7924" s="0" t="s">
        <x:v>20</x:v>
      </x:c>
      <x:c r="I7924" s="0" t="s">
        <x:v>21</x:v>
      </x:c>
      <x:c r="K7924" s="0">
        <x:f>hyperlink("https://icd.who.int/dev11/l-ichi/en#/http%3A%2F%2Fid.who.int%2Ficd%2Fentity%2F344896909","browser")</x:f>
      </x:c>
      <x:c r="L7924" s="0">
        <x:f>hyperlink("https://icat2.azurewebsites.net/icat/?ontology=ICD&amp;tab=ClassesTab&amp;id=http%3A%2F%2Fwho.int%2Ficd%232306_dd4d4347_e398_43b9_84dd_c9611ca6abfa","iCat")</x:f>
      </x:c>
      <x:c r="M7924" s="0" t="s">
        <x:v>21</x:v>
      </x:c>
      <x:c r="N7924" s="0" t="s">
        <x:v>46</x:v>
      </x:c>
    </x:row>
    <x:row r="7925" spans="1:16">
      <x:c r="A7925" s="0" t="s">
        <x:v>31561</x:v>
      </x:c>
      <x:c r="B7925" s="0" t="s">
        <x:v>31562</x:v>
      </x:c>
      <x:c r="C7925" s="0" t="s">
        <x:v>31563</x:v>
      </x:c>
      <x:c r="E7925" s="0" t="s">
        <x:v>31564</x:v>
      </x:c>
      <x:c r="F7925" s="0" t="s">
        <x:v>45</x:v>
      </x:c>
      <x:c r="G7925" s="0" t="s">
        <x:v>19</x:v>
      </x:c>
      <x:c r="H7925" s="0" t="s">
        <x:v>20</x:v>
      </x:c>
      <x:c r="I7925" s="0" t="s">
        <x:v>21</x:v>
      </x:c>
      <x:c r="K7925" s="0">
        <x:f>hyperlink("https://icd.who.int/dev11/l-ichi/en#/http%3A%2F%2Fid.who.int%2Ficd%2Fentity%2F1263330478","browser")</x:f>
      </x:c>
      <x:c r="L7925" s="0">
        <x:f>hyperlink("https://icat2.azurewebsites.net/icat/?ontology=ICD&amp;tab=ClassesTab&amp;id=http%3A%2F%2Fwho.int%2Ficd%232312_dd4d4347_e398_43b9_84dd_c9611ca6abfa","iCat")</x:f>
      </x:c>
      <x:c r="M7925" s="0" t="s">
        <x:v>21</x:v>
      </x:c>
      <x:c r="N7925" s="0" t="s">
        <x:v>46</x:v>
      </x:c>
    </x:row>
    <x:row r="7926" spans="1:16">
      <x:c r="A7926" s="0" t="s">
        <x:v>31565</x:v>
      </x:c>
      <x:c r="B7926" s="0" t="s">
        <x:v>31566</x:v>
      </x:c>
      <x:c r="C7926" s="0" t="s">
        <x:v>31567</x:v>
      </x:c>
      <x:c r="E7926" s="0" t="s">
        <x:v>31568</x:v>
      </x:c>
      <x:c r="F7926" s="0" t="s">
        <x:v>45</x:v>
      </x:c>
      <x:c r="G7926" s="0" t="s">
        <x:v>19</x:v>
      </x:c>
      <x:c r="H7926" s="0" t="s">
        <x:v>20</x:v>
      </x:c>
      <x:c r="I7926" s="0" t="s">
        <x:v>21</x:v>
      </x:c>
      <x:c r="K7926" s="0">
        <x:f>hyperlink("https://icd.who.int/dev11/l-ichi/en#/http%3A%2F%2Fid.who.int%2Ficd%2Fentity%2F1622247486","browser")</x:f>
      </x:c>
      <x:c r="L7926" s="0">
        <x:f>hyperlink("https://icat2.azurewebsites.net/icat/?ontology=ICD&amp;tab=ClassesTab&amp;id=http%3A%2F%2Fwho.int%2Ficd%232318_dd4d4347_e398_43b9_84dd_c9611ca6abfa","iCat")</x:f>
      </x:c>
      <x:c r="M7926" s="0" t="s">
        <x:v>21</x:v>
      </x:c>
      <x:c r="N7926" s="0" t="s">
        <x:v>46</x:v>
      </x:c>
    </x:row>
    <x:row r="7927" spans="1:16">
      <x:c r="A7927" s="0" t="s">
        <x:v>31569</x:v>
      </x:c>
      <x:c r="B7927" s="0" t="s">
        <x:v>31570</x:v>
      </x:c>
      <x:c r="C7927" s="0" t="s">
        <x:v>31571</x:v>
      </x:c>
      <x:c r="E7927" s="0" t="s">
        <x:v>31572</x:v>
      </x:c>
      <x:c r="F7927" s="0" t="s">
        <x:v>45</x:v>
      </x:c>
      <x:c r="G7927" s="0" t="s">
        <x:v>19</x:v>
      </x:c>
      <x:c r="H7927" s="0" t="s">
        <x:v>20</x:v>
      </x:c>
      <x:c r="I7927" s="0" t="s">
        <x:v>21</x:v>
      </x:c>
      <x:c r="K7927" s="0">
        <x:f>hyperlink("https://icd.who.int/dev11/l-ichi/en#/http%3A%2F%2Fid.who.int%2Ficd%2Fentity%2F1535540504","browser")</x:f>
      </x:c>
      <x:c r="L7927" s="0">
        <x:f>hyperlink("https://icat2.azurewebsites.net/icat/?ontology=ICD&amp;tab=ClassesTab&amp;id=http%3A%2F%2Fwho.int%2Ficd%232324_dd4d4347_e398_43b9_84dd_c9611ca6abfa","iCat")</x:f>
      </x:c>
      <x:c r="M7927" s="0" t="s">
        <x:v>21</x:v>
      </x:c>
      <x:c r="N7927" s="0" t="s">
        <x:v>46</x:v>
      </x:c>
    </x:row>
    <x:row r="7928" spans="1:16">
      <x:c r="A7928" s="0" t="s">
        <x:v>31573</x:v>
      </x:c>
      <x:c r="B7928" s="0" t="s">
        <x:v>31574</x:v>
      </x:c>
      <x:c r="C7928" s="0" t="s">
        <x:v>31575</x:v>
      </x:c>
      <x:c r="E7928" s="0" t="s">
        <x:v>31576</x:v>
      </x:c>
      <x:c r="F7928" s="0" t="s">
        <x:v>45</x:v>
      </x:c>
      <x:c r="G7928" s="0" t="s">
        <x:v>19</x:v>
      </x:c>
      <x:c r="H7928" s="0" t="s">
        <x:v>20</x:v>
      </x:c>
      <x:c r="I7928" s="0" t="s">
        <x:v>21</x:v>
      </x:c>
      <x:c r="K7928" s="0">
        <x:f>hyperlink("https://icd.who.int/dev11/l-ichi/en#/http%3A%2F%2Fid.who.int%2Ficd%2Fentity%2F71576635","browser")</x:f>
      </x:c>
      <x:c r="L7928" s="0">
        <x:f>hyperlink("https://icat2.azurewebsites.net/icat/?ontology=ICD&amp;tab=ClassesTab&amp;id=http%3A%2F%2Fwho.int%2Ficd%232330_dd4d4347_e398_43b9_84dd_c9611ca6abfa","iCat")</x:f>
      </x:c>
      <x:c r="M7928" s="0" t="s">
        <x:v>21</x:v>
      </x:c>
      <x:c r="N7928" s="0" t="s">
        <x:v>46</x:v>
      </x:c>
    </x:row>
    <x:row r="7929" spans="1:16">
      <x:c r="A7929" s="0" t="s">
        <x:v>31577</x:v>
      </x:c>
      <x:c r="B7929" s="0" t="s">
        <x:v>31578</x:v>
      </x:c>
      <x:c r="C7929" s="0" t="s">
        <x:v>31579</x:v>
      </x:c>
      <x:c r="E7929" s="0" t="s">
        <x:v>31580</x:v>
      </x:c>
      <x:c r="F7929" s="0" t="s">
        <x:v>45</x:v>
      </x:c>
      <x:c r="G7929" s="0" t="s">
        <x:v>19</x:v>
      </x:c>
      <x:c r="H7929" s="0" t="s">
        <x:v>20</x:v>
      </x:c>
      <x:c r="I7929" s="0" t="s">
        <x:v>21</x:v>
      </x:c>
      <x:c r="K7929" s="0">
        <x:f>hyperlink("https://icd.who.int/dev11/l-ichi/en#/http%3A%2F%2Fid.who.int%2Ficd%2Fentity%2F1413477770","browser")</x:f>
      </x:c>
      <x:c r="L7929" s="0">
        <x:f>hyperlink("https://icat2.azurewebsites.net/icat/?ontology=ICD&amp;tab=ClassesTab&amp;id=http%3A%2F%2Fwho.int%2Ficd%232336_dd4d4347_e398_43b9_84dd_c9611ca6abfa","iCat")</x:f>
      </x:c>
      <x:c r="M7929" s="0" t="s">
        <x:v>21</x:v>
      </x:c>
      <x:c r="N7929" s="0" t="s">
        <x:v>46</x:v>
      </x:c>
    </x:row>
    <x:row r="7930" spans="1:16">
      <x:c r="A7930" s="0" t="s">
        <x:v>31581</x:v>
      </x:c>
      <x:c r="B7930" s="0" t="s">
        <x:v>31582</x:v>
      </x:c>
      <x:c r="C7930" s="0" t="s">
        <x:v>31583</x:v>
      </x:c>
      <x:c r="E7930" s="0" t="s">
        <x:v>31584</x:v>
      </x:c>
      <x:c r="F7930" s="0" t="s">
        <x:v>45</x:v>
      </x:c>
      <x:c r="G7930" s="0" t="s">
        <x:v>19</x:v>
      </x:c>
      <x:c r="H7930" s="0" t="s">
        <x:v>20</x:v>
      </x:c>
      <x:c r="I7930" s="0" t="s">
        <x:v>21</x:v>
      </x:c>
      <x:c r="K7930" s="0">
        <x:f>hyperlink("https://icd.who.int/dev11/l-ichi/en#/http%3A%2F%2Fid.who.int%2Ficd%2Fentity%2F1374560996","browser")</x:f>
      </x:c>
      <x:c r="L7930" s="0">
        <x:f>hyperlink("https://icat2.azurewebsites.net/icat/?ontology=ICD&amp;tab=ClassesTab&amp;id=http%3A%2F%2Fwho.int%2Ficd%232342_dd4d4347_e398_43b9_84dd_c9611ca6abfa","iCat")</x:f>
      </x:c>
      <x:c r="M7930" s="0" t="s">
        <x:v>21</x:v>
      </x:c>
      <x:c r="N7930" s="0" t="s">
        <x:v>46</x:v>
      </x:c>
    </x:row>
    <x:row r="7931" spans="1:16">
      <x:c r="A7931" s="0" t="s">
        <x:v>31585</x:v>
      </x:c>
      <x:c r="B7931" s="0" t="s">
        <x:v>31586</x:v>
      </x:c>
      <x:c r="C7931" s="0" t="s">
        <x:v>31587</x:v>
      </x:c>
      <x:c r="E7931" s="0" t="s">
        <x:v>31588</x:v>
      </x:c>
      <x:c r="F7931" s="0" t="s">
        <x:v>45</x:v>
      </x:c>
      <x:c r="G7931" s="0" t="s">
        <x:v>19</x:v>
      </x:c>
      <x:c r="H7931" s="0" t="s">
        <x:v>20</x:v>
      </x:c>
      <x:c r="I7931" s="0" t="s">
        <x:v>21</x:v>
      </x:c>
      <x:c r="K7931" s="0">
        <x:f>hyperlink("https://icd.who.int/dev11/l-ichi/en#/http%3A%2F%2Fid.who.int%2Ficd%2Fentity%2F2048085620","browser")</x:f>
      </x:c>
      <x:c r="L7931" s="0">
        <x:f>hyperlink("https://icat2.azurewebsites.net/icat/?ontology=ICD&amp;tab=ClassesTab&amp;id=http%3A%2F%2Fwho.int%2Ficd%232348_dd4d4347_e398_43b9_84dd_c9611ca6abfa","iCat")</x:f>
      </x:c>
      <x:c r="M7931" s="0" t="s">
        <x:v>21</x:v>
      </x:c>
      <x:c r="N7931" s="0" t="s">
        <x:v>46</x:v>
      </x:c>
    </x:row>
    <x:row r="7932" spans="1:16">
      <x:c r="A7932" s="0" t="s">
        <x:v>31589</x:v>
      </x:c>
      <x:c r="B7932" s="0" t="s">
        <x:v>31590</x:v>
      </x:c>
      <x:c r="C7932" s="0" t="s">
        <x:v>31591</x:v>
      </x:c>
      <x:c r="E7932" s="0" t="s">
        <x:v>31592</x:v>
      </x:c>
      <x:c r="F7932" s="0" t="s">
        <x:v>45</x:v>
      </x:c>
      <x:c r="G7932" s="0" t="s">
        <x:v>19</x:v>
      </x:c>
      <x:c r="H7932" s="0" t="s">
        <x:v>20</x:v>
      </x:c>
      <x:c r="I7932" s="0" t="s">
        <x:v>21</x:v>
      </x:c>
      <x:c r="K7932" s="0">
        <x:f>hyperlink("https://icd.who.int/dev11/l-ichi/en#/http%3A%2F%2Fid.who.int%2Ficd%2Fentity%2F1800433156","browser")</x:f>
      </x:c>
      <x:c r="L7932" s="0">
        <x:f>hyperlink("https://icat2.azurewebsites.net/icat/?ontology=ICD&amp;tab=ClassesTab&amp;id=http%3A%2F%2Fwho.int%2Ficd%232354_dd4d4347_e398_43b9_84dd_c9611ca6abfa","iCat")</x:f>
      </x:c>
      <x:c r="M7932" s="0" t="s">
        <x:v>21</x:v>
      </x:c>
      <x:c r="N7932" s="0" t="s">
        <x:v>46</x:v>
      </x:c>
    </x:row>
    <x:row r="7933" spans="1:16">
      <x:c r="A7933" s="0" t="s">
        <x:v>31593</x:v>
      </x:c>
      <x:c r="B7933" s="0" t="s">
        <x:v>31594</x:v>
      </x:c>
      <x:c r="C7933" s="0" t="s">
        <x:v>31595</x:v>
      </x:c>
      <x:c r="E7933" s="0" t="s">
        <x:v>31596</x:v>
      </x:c>
      <x:c r="F7933" s="0" t="s">
        <x:v>45</x:v>
      </x:c>
      <x:c r="G7933" s="0" t="s">
        <x:v>19</x:v>
      </x:c>
      <x:c r="H7933" s="0" t="s">
        <x:v>20</x:v>
      </x:c>
      <x:c r="I7933" s="0" t="s">
        <x:v>21</x:v>
      </x:c>
      <x:c r="K7933" s="0">
        <x:f>hyperlink("https://icd.who.int/dev11/l-ichi/en#/http%3A%2F%2Fid.who.int%2Ficd%2Fentity%2F518449777","browser")</x:f>
      </x:c>
      <x:c r="L7933" s="0">
        <x:f>hyperlink("https://icat2.azurewebsites.net/icat/?ontology=ICD&amp;tab=ClassesTab&amp;id=http%3A%2F%2Fwho.int%2Ficd%232360_dd4d4347_e398_43b9_84dd_c9611ca6abfa","iCat")</x:f>
      </x:c>
      <x:c r="M7933" s="0" t="s">
        <x:v>21</x:v>
      </x:c>
      <x:c r="N7933" s="0" t="s">
        <x:v>46</x:v>
      </x:c>
    </x:row>
    <x:row r="7934" spans="1:16">
      <x:c r="A7934" s="0" t="s">
        <x:v>31597</x:v>
      </x:c>
      <x:c r="B7934" s="0" t="s">
        <x:v>31598</x:v>
      </x:c>
      <x:c r="C7934" s="0" t="s">
        <x:v>31599</x:v>
      </x:c>
      <x:c r="E7934" s="0" t="s">
        <x:v>31600</x:v>
      </x:c>
      <x:c r="F7934" s="0" t="s">
        <x:v>45</x:v>
      </x:c>
      <x:c r="G7934" s="0" t="s">
        <x:v>19</x:v>
      </x:c>
      <x:c r="H7934" s="0" t="s">
        <x:v>20</x:v>
      </x:c>
      <x:c r="I7934" s="0" t="s">
        <x:v>21</x:v>
      </x:c>
      <x:c r="K7934" s="0">
        <x:f>hyperlink("https://icd.who.int/dev11/l-ichi/en#/http%3A%2F%2Fid.who.int%2Ficd%2Fentity%2F180008980","browser")</x:f>
      </x:c>
      <x:c r="L7934" s="0">
        <x:f>hyperlink("https://icat2.azurewebsites.net/icat/?ontology=ICD&amp;tab=ClassesTab&amp;id=http%3A%2F%2Fwho.int%2Ficd%2335_60b821c4_cabc_4b81_9563_cb99d74167d5","iCat")</x:f>
      </x:c>
      <x:c r="M7934" s="0" t="s">
        <x:v>21</x:v>
      </x:c>
      <x:c r="N7934" s="0" t="s">
        <x:v>46</x:v>
      </x:c>
    </x:row>
    <x:row r="7935" spans="1:16">
      <x:c r="A7935" s="0" t="s">
        <x:v>31601</x:v>
      </x:c>
      <x:c r="B7935" s="0" t="s">
        <x:v>31602</x:v>
      </x:c>
      <x:c r="C7935" s="0" t="s">
        <x:v>31603</x:v>
      </x:c>
      <x:c r="E7935" s="0" t="s">
        <x:v>31604</x:v>
      </x:c>
      <x:c r="F7935" s="0" t="s">
        <x:v>45</x:v>
      </x:c>
      <x:c r="G7935" s="0" t="s">
        <x:v>19</x:v>
      </x:c>
      <x:c r="H7935" s="0" t="s">
        <x:v>20</x:v>
      </x:c>
      <x:c r="I7935" s="0" t="s">
        <x:v>21</x:v>
      </x:c>
      <x:c r="K7935" s="0">
        <x:f>hyperlink("https://icd.who.int/dev11/l-ichi/en#/http%3A%2F%2Fid.who.int%2Ficd%2Fentity%2F1318925248","browser")</x:f>
      </x:c>
      <x:c r="L7935" s="0">
        <x:f>hyperlink("https://icat2.azurewebsites.net/icat/?ontology=ICD&amp;tab=ClassesTab&amp;id=http%3A%2F%2Fwho.int%2Ficd%232366_dd4d4347_e398_43b9_84dd_c9611ca6abfa","iCat")</x:f>
      </x:c>
      <x:c r="M7935" s="0" t="s">
        <x:v>21</x:v>
      </x:c>
      <x:c r="N7935" s="0" t="s">
        <x:v>46</x:v>
      </x:c>
    </x:row>
    <x:row r="7936" spans="1:16">
      <x:c r="A7936" s="0" t="s">
        <x:v>31605</x:v>
      </x:c>
      <x:c r="B7936" s="0" t="s">
        <x:v>31606</x:v>
      </x:c>
      <x:c r="C7936" s="0" t="s">
        <x:v>31607</x:v>
      </x:c>
      <x:c r="E7936" s="0" t="s">
        <x:v>31608</x:v>
      </x:c>
      <x:c r="F7936" s="0" t="s">
        <x:v>45</x:v>
      </x:c>
      <x:c r="G7936" s="0" t="s">
        <x:v>19</x:v>
      </x:c>
      <x:c r="H7936" s="0" t="s">
        <x:v>20</x:v>
      </x:c>
      <x:c r="I7936" s="0" t="s">
        <x:v>21</x:v>
      </x:c>
      <x:c r="K7936" s="0">
        <x:f>hyperlink("https://icd.who.int/dev11/l-ichi/en#/http%3A%2F%2Fid.who.int%2Ficd%2Fentity%2F291463907","browser")</x:f>
      </x:c>
      <x:c r="L7936" s="0">
        <x:f>hyperlink("https://icat2.azurewebsites.net/icat/?ontology=ICD&amp;tab=ClassesTab&amp;id=http%3A%2F%2Fwho.int%2Ficd%232372_dd4d4347_e398_43b9_84dd_c9611ca6abfa","iCat")</x:f>
      </x:c>
      <x:c r="M7936" s="0" t="s">
        <x:v>21</x:v>
      </x:c>
      <x:c r="N7936" s="0" t="s">
        <x:v>46</x:v>
      </x:c>
    </x:row>
    <x:row r="7937" spans="1:16">
      <x:c r="A7937" s="0" t="s">
        <x:v>31609</x:v>
      </x:c>
      <x:c r="B7937" s="0" t="s">
        <x:v>31610</x:v>
      </x:c>
      <x:c r="C7937" s="0" t="s">
        <x:v>31611</x:v>
      </x:c>
      <x:c r="E7937" s="0" t="s">
        <x:v>31612</x:v>
      </x:c>
      <x:c r="F7937" s="0" t="s">
        <x:v>45</x:v>
      </x:c>
      <x:c r="G7937" s="0" t="s">
        <x:v>19</x:v>
      </x:c>
      <x:c r="H7937" s="0" t="s">
        <x:v>20</x:v>
      </x:c>
      <x:c r="I7937" s="0" t="s">
        <x:v>21</x:v>
      </x:c>
      <x:c r="K7937" s="0">
        <x:f>hyperlink("https://icd.who.int/dev11/l-ichi/en#/http%3A%2F%2Fid.who.int%2Ficd%2Fentity%2F983699059","browser")</x:f>
      </x:c>
      <x:c r="L7937" s="0">
        <x:f>hyperlink("https://icat2.azurewebsites.net/icat/?ontology=ICD&amp;tab=ClassesTab&amp;id=http%3A%2F%2Fwho.int%2Ficd%232378_dd4d4347_e398_43b9_84dd_c9611ca6abfa","iCat")</x:f>
      </x:c>
      <x:c r="M7937" s="0" t="s">
        <x:v>21</x:v>
      </x:c>
      <x:c r="N7937" s="0" t="s">
        <x:v>46</x:v>
      </x:c>
    </x:row>
    <x:row r="7938" spans="1:16">
      <x:c r="A7938" s="0" t="s">
        <x:v>31613</x:v>
      </x:c>
      <x:c r="B7938" s="0" t="s">
        <x:v>31614</x:v>
      </x:c>
      <x:c r="C7938" s="0" t="s">
        <x:v>31615</x:v>
      </x:c>
      <x:c r="E7938" s="0" t="s">
        <x:v>31616</x:v>
      </x:c>
      <x:c r="F7938" s="0" t="s">
        <x:v>45</x:v>
      </x:c>
      <x:c r="G7938" s="0" t="s">
        <x:v>19</x:v>
      </x:c>
      <x:c r="H7938" s="0" t="s">
        <x:v>20</x:v>
      </x:c>
      <x:c r="I7938" s="0" t="s">
        <x:v>21</x:v>
      </x:c>
      <x:c r="K7938" s="0">
        <x:f>hyperlink("https://icd.who.int/dev11/l-ichi/en#/http%3A%2F%2Fid.who.int%2Ficd%2Fentity%2F1858335116","browser")</x:f>
      </x:c>
      <x:c r="L7938" s="0">
        <x:f>hyperlink("https://icat2.azurewebsites.net/icat/?ontology=ICD&amp;tab=ClassesTab&amp;id=http%3A%2F%2Fwho.int%2Ficd%232384_dd4d4347_e398_43b9_84dd_c9611ca6abfa","iCat")</x:f>
      </x:c>
      <x:c r="M7938" s="0" t="s">
        <x:v>21</x:v>
      </x:c>
      <x:c r="N7938" s="0" t="s">
        <x:v>46</x:v>
      </x:c>
    </x:row>
    <x:row r="7939" spans="1:16">
      <x:c r="A7939" s="0" t="s">
        <x:v>31617</x:v>
      </x:c>
      <x:c r="B7939" s="0" t="s">
        <x:v>31618</x:v>
      </x:c>
      <x:c r="C7939" s="0" t="s">
        <x:v>31619</x:v>
      </x:c>
      <x:c r="E7939" s="0" t="s">
        <x:v>31620</x:v>
      </x:c>
      <x:c r="F7939" s="0" t="s">
        <x:v>45</x:v>
      </x:c>
      <x:c r="G7939" s="0" t="s">
        <x:v>19</x:v>
      </x:c>
      <x:c r="H7939" s="0" t="s">
        <x:v>20</x:v>
      </x:c>
      <x:c r="I7939" s="0" t="s">
        <x:v>21</x:v>
      </x:c>
      <x:c r="K7939" s="0">
        <x:f>hyperlink("https://icd.who.int/dev11/l-ichi/en#/http%3A%2F%2Fid.who.int%2Ficd%2Fentity%2F822190255","browser")</x:f>
      </x:c>
      <x:c r="L7939" s="0">
        <x:f>hyperlink("https://icat2.azurewebsites.net/icat/?ontology=ICD&amp;tab=ClassesTab&amp;id=http%3A%2F%2Fwho.int%2Ficd%232390_dd4d4347_e398_43b9_84dd_c9611ca6abfa","iCat")</x:f>
      </x:c>
      <x:c r="M7939" s="0" t="s">
        <x:v>21</x:v>
      </x:c>
      <x:c r="N7939" s="0" t="s">
        <x:v>46</x:v>
      </x:c>
    </x:row>
    <x:row r="7940" spans="1:16">
      <x:c r="A7940" s="0" t="s">
        <x:v>31621</x:v>
      </x:c>
      <x:c r="B7940" s="0" t="s">
        <x:v>31622</x:v>
      </x:c>
      <x:c r="C7940" s="0" t="s">
        <x:v>31623</x:v>
      </x:c>
      <x:c r="E7940" s="0" t="s">
        <x:v>31624</x:v>
      </x:c>
      <x:c r="F7940" s="0" t="s">
        <x:v>45</x:v>
      </x:c>
      <x:c r="G7940" s="0" t="s">
        <x:v>19</x:v>
      </x:c>
      <x:c r="H7940" s="0" t="s">
        <x:v>20</x:v>
      </x:c>
      <x:c r="I7940" s="0" t="s">
        <x:v>21</x:v>
      </x:c>
      <x:c r="K7940" s="0">
        <x:f>hyperlink("https://icd.who.int/dev11/l-ichi/en#/http%3A%2F%2Fid.who.int%2Ficd%2Fentity%2F1635416350","browser")</x:f>
      </x:c>
      <x:c r="L7940" s="0">
        <x:f>hyperlink("https://icat2.azurewebsites.net/icat/?ontology=ICD&amp;tab=ClassesTab&amp;id=http%3A%2F%2Fwho.int%2Ficd%232396_dd4d4347_e398_43b9_84dd_c9611ca6abfa","iCat")</x:f>
      </x:c>
      <x:c r="M7940" s="0" t="s">
        <x:v>21</x:v>
      </x:c>
      <x:c r="N7940" s="0" t="s">
        <x:v>46</x:v>
      </x:c>
    </x:row>
    <x:row r="7941" spans="1:16">
      <x:c r="A7941" s="0" t="s">
        <x:v>31625</x:v>
      </x:c>
      <x:c r="B7941" s="0" t="s">
        <x:v>31626</x:v>
      </x:c>
      <x:c r="C7941" s="0" t="s">
        <x:v>31627</x:v>
      </x:c>
      <x:c r="E7941" s="0" t="s">
        <x:v>31628</x:v>
      </x:c>
      <x:c r="F7941" s="0" t="s">
        <x:v>45</x:v>
      </x:c>
      <x:c r="G7941" s="0" t="s">
        <x:v>19</x:v>
      </x:c>
      <x:c r="H7941" s="0" t="s">
        <x:v>20</x:v>
      </x:c>
      <x:c r="I7941" s="0" t="s">
        <x:v>21</x:v>
      </x:c>
      <x:c r="K7941" s="0">
        <x:f>hyperlink("https://icd.who.int/dev11/l-ichi/en#/http%3A%2F%2Fid.who.int%2Ficd%2Fentity%2F1306057109","browser")</x:f>
      </x:c>
      <x:c r="L7941" s="0">
        <x:f>hyperlink("https://icat2.azurewebsites.net/icat/?ontology=ICD&amp;tab=ClassesTab&amp;id=http%3A%2F%2Fwho.int%2Ficd%232402_dd4d4347_e398_43b9_84dd_c9611ca6abfa","iCat")</x:f>
      </x:c>
      <x:c r="M7941" s="0" t="s">
        <x:v>21</x:v>
      </x:c>
      <x:c r="N7941" s="0" t="s">
        <x:v>46</x:v>
      </x:c>
    </x:row>
    <x:row r="7942" spans="1:16">
      <x:c r="A7942" s="0" t="s">
        <x:v>31629</x:v>
      </x:c>
      <x:c r="B7942" s="0" t="s">
        <x:v>31630</x:v>
      </x:c>
      <x:c r="C7942" s="0" t="s">
        <x:v>31631</x:v>
      </x:c>
      <x:c r="E7942" s="0" t="s">
        <x:v>31632</x:v>
      </x:c>
      <x:c r="F7942" s="0" t="s">
        <x:v>45</x:v>
      </x:c>
      <x:c r="G7942" s="0" t="s">
        <x:v>19</x:v>
      </x:c>
      <x:c r="H7942" s="0" t="s">
        <x:v>20</x:v>
      </x:c>
      <x:c r="I7942" s="0" t="s">
        <x:v>21</x:v>
      </x:c>
      <x:c r="K7942" s="0">
        <x:f>hyperlink("https://icd.who.int/dev11/l-ichi/en#/http%3A%2F%2Fid.who.int%2Ficd%2Fentity%2F1713747205","browser")</x:f>
      </x:c>
      <x:c r="L7942" s="0">
        <x:f>hyperlink("https://icat2.azurewebsites.net/icat/?ontology=ICD&amp;tab=ClassesTab&amp;id=http%3A%2F%2Fwho.int%2Ficd%232408_dd4d4347_e398_43b9_84dd_c9611ca6abfa","iCat")</x:f>
      </x:c>
      <x:c r="M7942" s="0" t="s">
        <x:v>21</x:v>
      </x:c>
      <x:c r="N7942" s="0" t="s">
        <x:v>46</x:v>
      </x:c>
    </x:row>
    <x:row r="7943" spans="1:16">
      <x:c r="A7943" s="0" t="s">
        <x:v>31633</x:v>
      </x:c>
      <x:c r="B7943" s="0" t="s">
        <x:v>31634</x:v>
      </x:c>
      <x:c r="C7943" s="0" t="s">
        <x:v>31635</x:v>
      </x:c>
      <x:c r="E7943" s="0" t="s">
        <x:v>31636</x:v>
      </x:c>
      <x:c r="F7943" s="0" t="s">
        <x:v>45</x:v>
      </x:c>
      <x:c r="G7943" s="0" t="s">
        <x:v>19</x:v>
      </x:c>
      <x:c r="H7943" s="0" t="s">
        <x:v>20</x:v>
      </x:c>
      <x:c r="I7943" s="0" t="s">
        <x:v>21</x:v>
      </x:c>
      <x:c r="K7943" s="0">
        <x:f>hyperlink("https://icd.who.int/dev11/l-ichi/en#/http%3A%2F%2Fid.who.int%2Ficd%2Fentity%2F2003211635","browser")</x:f>
      </x:c>
      <x:c r="L7943" s="0">
        <x:f>hyperlink("https://icat2.azurewebsites.net/icat/?ontology=ICD&amp;tab=ClassesTab&amp;id=http%3A%2F%2Fwho.int%2Ficd%232414_dd4d4347_e398_43b9_84dd_c9611ca6abfa","iCat")</x:f>
      </x:c>
      <x:c r="M7943" s="0" t="s">
        <x:v>21</x:v>
      </x:c>
      <x:c r="N7943" s="0" t="s">
        <x:v>46</x:v>
      </x:c>
    </x:row>
    <x:row r="7944" spans="1:16">
      <x:c r="A7944" s="0" t="s">
        <x:v>31637</x:v>
      </x:c>
      <x:c r="B7944" s="0" t="s">
        <x:v>31638</x:v>
      </x:c>
      <x:c r="C7944" s="0" t="s">
        <x:v>31639</x:v>
      </x:c>
      <x:c r="E7944" s="0" t="s">
        <x:v>31640</x:v>
      </x:c>
      <x:c r="F7944" s="0" t="s">
        <x:v>45</x:v>
      </x:c>
      <x:c r="G7944" s="0" t="s">
        <x:v>19</x:v>
      </x:c>
      <x:c r="H7944" s="0" t="s">
        <x:v>20</x:v>
      </x:c>
      <x:c r="I7944" s="0" t="s">
        <x:v>21</x:v>
      </x:c>
      <x:c r="K7944" s="0">
        <x:f>hyperlink("https://icd.who.int/dev11/l-ichi/en#/http%3A%2F%2Fid.who.int%2Ficd%2Fentity%2F47190272","browser")</x:f>
      </x:c>
      <x:c r="L7944" s="0">
        <x:f>hyperlink("https://icat2.azurewebsites.net/icat/?ontology=ICD&amp;tab=ClassesTab&amp;id=http%3A%2F%2Fwho.int%2Ficd%232420_dd4d4347_e398_43b9_84dd_c9611ca6abfa","iCat")</x:f>
      </x:c>
      <x:c r="M7944" s="0" t="s">
        <x:v>21</x:v>
      </x:c>
      <x:c r="N7944" s="0" t="s">
        <x:v>46</x:v>
      </x:c>
    </x:row>
    <x:row r="7945" spans="1:16">
      <x:c r="A7945" s="0" t="s">
        <x:v>31641</x:v>
      </x:c>
      <x:c r="B7945" s="0" t="s">
        <x:v>31642</x:v>
      </x:c>
      <x:c r="C7945" s="0" t="s">
        <x:v>31643</x:v>
      </x:c>
      <x:c r="E7945" s="0" t="s">
        <x:v>31644</x:v>
      </x:c>
      <x:c r="F7945" s="0" t="s">
        <x:v>45</x:v>
      </x:c>
      <x:c r="G7945" s="0" t="s">
        <x:v>19</x:v>
      </x:c>
      <x:c r="H7945" s="0" t="s">
        <x:v>20</x:v>
      </x:c>
      <x:c r="I7945" s="0" t="s">
        <x:v>21</x:v>
      </x:c>
      <x:c r="K7945" s="0">
        <x:f>hyperlink("https://icd.who.int/dev11/l-ichi/en#/http%3A%2F%2Fid.who.int%2Ficd%2Fentity%2F1386989745","browser")</x:f>
      </x:c>
      <x:c r="L7945" s="0">
        <x:f>hyperlink("https://icat2.azurewebsites.net/icat/?ontology=ICD&amp;tab=ClassesTab&amp;id=http%3A%2F%2Fwho.int%2Ficd%232426_dd4d4347_e398_43b9_84dd_c9611ca6abfa","iCat")</x:f>
      </x:c>
      <x:c r="M7945" s="0" t="s">
        <x:v>21</x:v>
      </x:c>
      <x:c r="N7945" s="0" t="s">
        <x:v>46</x:v>
      </x:c>
    </x:row>
    <x:row r="7946" spans="1:16">
      <x:c r="A7946" s="0" t="s">
        <x:v>31645</x:v>
      </x:c>
      <x:c r="B7946" s="0" t="s">
        <x:v>31646</x:v>
      </x:c>
      <x:c r="C7946" s="0" t="s">
        <x:v>31647</x:v>
      </x:c>
      <x:c r="E7946" s="0" t="s">
        <x:v>31648</x:v>
      </x:c>
      <x:c r="F7946" s="0" t="s">
        <x:v>45</x:v>
      </x:c>
      <x:c r="G7946" s="0" t="s">
        <x:v>19</x:v>
      </x:c>
      <x:c r="H7946" s="0" t="s">
        <x:v>20</x:v>
      </x:c>
      <x:c r="I7946" s="0" t="s">
        <x:v>21</x:v>
      </x:c>
      <x:c r="K7946" s="0">
        <x:f>hyperlink("https://icd.who.int/dev11/l-ichi/en#/http%3A%2F%2Fid.who.int%2Ficd%2Fentity%2F225024402","browser")</x:f>
      </x:c>
      <x:c r="L7946" s="0">
        <x:f>hyperlink("https://icat2.azurewebsites.net/icat/?ontology=ICD&amp;tab=ClassesTab&amp;id=http%3A%2F%2Fwho.int%2Ficd%232432_dd4d4347_e398_43b9_84dd_c9611ca6abfa","iCat")</x:f>
      </x:c>
      <x:c r="M7946" s="0" t="s">
        <x:v>21</x:v>
      </x:c>
      <x:c r="N7946" s="0" t="s">
        <x:v>46</x:v>
      </x:c>
    </x:row>
    <x:row r="7947" spans="1:16">
      <x:c r="A7947" s="0" t="s">
        <x:v>31649</x:v>
      </x:c>
      <x:c r="B7947" s="0" t="s">
        <x:v>31650</x:v>
      </x:c>
      <x:c r="C7947" s="0" t="s">
        <x:v>31651</x:v>
      </x:c>
      <x:c r="E7947" s="0" t="s">
        <x:v>31652</x:v>
      </x:c>
      <x:c r="F7947" s="0" t="s">
        <x:v>45</x:v>
      </x:c>
      <x:c r="G7947" s="0" t="s">
        <x:v>19</x:v>
      </x:c>
      <x:c r="H7947" s="0" t="s">
        <x:v>20</x:v>
      </x:c>
      <x:c r="I7947" s="0" t="s">
        <x:v>21</x:v>
      </x:c>
      <x:c r="K7947" s="0">
        <x:f>hyperlink("https://icd.who.int/dev11/l-ichi/en#/http%3A%2F%2Fid.who.int%2Ficd%2Fentity%2F647296258","browser")</x:f>
      </x:c>
      <x:c r="L7947" s="0">
        <x:f>hyperlink("https://icat2.azurewebsites.net/icat/?ontology=ICD&amp;tab=ClassesTab&amp;id=http%3A%2F%2Fwho.int%2Ficd%232438_dd4d4347_e398_43b9_84dd_c9611ca6abfa","iCat")</x:f>
      </x:c>
      <x:c r="M7947" s="0" t="s">
        <x:v>21</x:v>
      </x:c>
      <x:c r="N7947" s="0" t="s">
        <x:v>46</x:v>
      </x:c>
    </x:row>
    <x:row r="7948" spans="1:16">
      <x:c r="A7948" s="0" t="s">
        <x:v>31653</x:v>
      </x:c>
      <x:c r="B7948" s="0" t="s">
        <x:v>31654</x:v>
      </x:c>
      <x:c r="C7948" s="0" t="s">
        <x:v>31655</x:v>
      </x:c>
      <x:c r="E7948" s="0" t="s">
        <x:v>31656</x:v>
      </x:c>
      <x:c r="F7948" s="0" t="s">
        <x:v>45</x:v>
      </x:c>
      <x:c r="G7948" s="0" t="s">
        <x:v>19</x:v>
      </x:c>
      <x:c r="H7948" s="0" t="s">
        <x:v>20</x:v>
      </x:c>
      <x:c r="I7948" s="0" t="s">
        <x:v>21</x:v>
      </x:c>
      <x:c r="K7948" s="0">
        <x:f>hyperlink("https://icd.who.int/dev11/l-ichi/en#/http%3A%2F%2Fid.who.int%2Ficd%2Fentity%2F1841582905","browser")</x:f>
      </x:c>
      <x:c r="L7948" s="0">
        <x:f>hyperlink("https://icat2.azurewebsites.net/icat/?ontology=ICD&amp;tab=ClassesTab&amp;id=http%3A%2F%2Fwho.int%2Ficd%232444_dd4d4347_e398_43b9_84dd_c9611ca6abfa","iCat")</x:f>
      </x:c>
      <x:c r="M7948" s="0" t="s">
        <x:v>21</x:v>
      </x:c>
      <x:c r="N7948" s="0" t="s">
        <x:v>46</x:v>
      </x:c>
    </x:row>
    <x:row r="7949" spans="1:16">
      <x:c r="A7949" s="0" t="s">
        <x:v>31657</x:v>
      </x:c>
      <x:c r="B7949" s="0" t="s">
        <x:v>31658</x:v>
      </x:c>
      <x:c r="C7949" s="0" t="s">
        <x:v>31659</x:v>
      </x:c>
      <x:c r="E7949" s="0" t="s">
        <x:v>31660</x:v>
      </x:c>
      <x:c r="F7949" s="0" t="s">
        <x:v>45</x:v>
      </x:c>
      <x:c r="G7949" s="0" t="s">
        <x:v>19</x:v>
      </x:c>
      <x:c r="H7949" s="0" t="s">
        <x:v>20</x:v>
      </x:c>
      <x:c r="I7949" s="0" t="s">
        <x:v>21</x:v>
      </x:c>
      <x:c r="K7949" s="0">
        <x:f>hyperlink("https://icd.who.int/dev11/l-ichi/en#/http%3A%2F%2Fid.who.int%2Ficd%2Fentity%2F839254556","browser")</x:f>
      </x:c>
      <x:c r="L7949" s="0">
        <x:f>hyperlink("https://icat2.azurewebsites.net/icat/?ontology=ICD&amp;tab=ClassesTab&amp;id=http%3A%2F%2Fwho.int%2Ficd%232450_dd4d4347_e398_43b9_84dd_c9611ca6abfa","iCat")</x:f>
      </x:c>
      <x:c r="M7949" s="0" t="s">
        <x:v>21</x:v>
      </x:c>
      <x:c r="N7949" s="0" t="s">
        <x:v>46</x:v>
      </x:c>
    </x:row>
    <x:row r="7950" spans="1:16">
      <x:c r="A7950" s="0" t="s">
        <x:v>31661</x:v>
      </x:c>
      <x:c r="B7950" s="0" t="s">
        <x:v>31662</x:v>
      </x:c>
      <x:c r="C7950" s="0" t="s">
        <x:v>31663</x:v>
      </x:c>
      <x:c r="E7950" s="0" t="s">
        <x:v>31664</x:v>
      </x:c>
      <x:c r="F7950" s="0" t="s">
        <x:v>45</x:v>
      </x:c>
      <x:c r="G7950" s="0" t="s">
        <x:v>19</x:v>
      </x:c>
      <x:c r="H7950" s="0" t="s">
        <x:v>20</x:v>
      </x:c>
      <x:c r="I7950" s="0" t="s">
        <x:v>21</x:v>
      </x:c>
      <x:c r="K7950" s="0">
        <x:f>hyperlink("https://icd.who.int/dev11/l-ichi/en#/http%3A%2F%2Fid.who.int%2Ficd%2Fentity%2F138962387","browser")</x:f>
      </x:c>
      <x:c r="L7950" s="0">
        <x:f>hyperlink("https://icat2.azurewebsites.net/icat/?ontology=ICD&amp;tab=ClassesTab&amp;id=http%3A%2F%2Fwho.int%2Ficd%233028_dd4d4347_e398_43b9_84dd_c9611ca6abfa","iCat")</x:f>
      </x:c>
      <x:c r="M7950" s="0" t="s">
        <x:v>21</x:v>
      </x:c>
      <x:c r="N7950" s="0" t="s">
        <x:v>46</x:v>
      </x:c>
    </x:row>
    <x:row r="7951" spans="1:16">
      <x:c r="A7951" s="0" t="s">
        <x:v>31665</x:v>
      </x:c>
      <x:c r="B7951" s="0" t="s">
        <x:v>31666</x:v>
      </x:c>
      <x:c r="C7951" s="0" t="s">
        <x:v>31667</x:v>
      </x:c>
      <x:c r="E7951" s="0" t="s">
        <x:v>31668</x:v>
      </x:c>
      <x:c r="F7951" s="0" t="s">
        <x:v>45</x:v>
      </x:c>
      <x:c r="G7951" s="0" t="s">
        <x:v>19</x:v>
      </x:c>
      <x:c r="H7951" s="0" t="s">
        <x:v>20</x:v>
      </x:c>
      <x:c r="I7951" s="0" t="s">
        <x:v>21</x:v>
      </x:c>
      <x:c r="K7951" s="0">
        <x:f>hyperlink("https://icd.who.int/dev11/l-ichi/en#/http%3A%2F%2Fid.who.int%2Ficd%2Fentity%2F420169125","browser")</x:f>
      </x:c>
      <x:c r="L7951" s="0">
        <x:f>hyperlink("https://icat2.azurewebsites.net/icat/?ontology=ICD&amp;tab=ClassesTab&amp;id=http%3A%2F%2Fwho.int%2Ficd%233034_dd4d4347_e398_43b9_84dd_c9611ca6abfa","iCat")</x:f>
      </x:c>
      <x:c r="M7951" s="0" t="s">
        <x:v>21</x:v>
      </x:c>
      <x:c r="N7951" s="0" t="s">
        <x:v>46</x:v>
      </x:c>
    </x:row>
    <x:row r="7952" spans="1:16">
      <x:c r="A7952" s="0" t="s">
        <x:v>31669</x:v>
      </x:c>
      <x:c r="B7952" s="0" t="s">
        <x:v>31670</x:v>
      </x:c>
      <x:c r="C7952" s="0" t="s">
        <x:v>31671</x:v>
      </x:c>
      <x:c r="E7952" s="0" t="s">
        <x:v>31672</x:v>
      </x:c>
      <x:c r="F7952" s="0" t="s">
        <x:v>45</x:v>
      </x:c>
      <x:c r="G7952" s="0" t="s">
        <x:v>19</x:v>
      </x:c>
      <x:c r="H7952" s="0" t="s">
        <x:v>20</x:v>
      </x:c>
      <x:c r="I7952" s="0" t="s">
        <x:v>21</x:v>
      </x:c>
      <x:c r="K7952" s="0">
        <x:f>hyperlink("https://icd.who.int/dev11/l-ichi/en#/http%3A%2F%2Fid.who.int%2Ficd%2Fentity%2F484086475","browser")</x:f>
      </x:c>
      <x:c r="L7952" s="0">
        <x:f>hyperlink("https://icat2.azurewebsites.net/icat/?ontology=ICD&amp;tab=ClassesTab&amp;id=http%3A%2F%2Fwho.int%2Ficd%233040_dd4d4347_e398_43b9_84dd_c9611ca6abfa","iCat")</x:f>
      </x:c>
      <x:c r="M7952" s="0" t="s">
        <x:v>21</x:v>
      </x:c>
      <x:c r="N7952" s="0" t="s">
        <x:v>46</x:v>
      </x:c>
    </x:row>
    <x:row r="7953" spans="1:16">
      <x:c r="A7953" s="0" t="s">
        <x:v>31673</x:v>
      </x:c>
      <x:c r="B7953" s="0" t="s">
        <x:v>31674</x:v>
      </x:c>
      <x:c r="C7953" s="0" t="s">
        <x:v>31675</x:v>
      </x:c>
      <x:c r="E7953" s="0" t="s">
        <x:v>31676</x:v>
      </x:c>
      <x:c r="F7953" s="0" t="s">
        <x:v>45</x:v>
      </x:c>
      <x:c r="G7953" s="0" t="s">
        <x:v>19</x:v>
      </x:c>
      <x:c r="H7953" s="0" t="s">
        <x:v>20</x:v>
      </x:c>
      <x:c r="I7953" s="0" t="s">
        <x:v>21</x:v>
      </x:c>
      <x:c r="K7953" s="0">
        <x:f>hyperlink("https://icd.who.int/dev11/l-ichi/en#/http%3A%2F%2Fid.who.int%2Ficd%2Fentity%2F1285639036","browser")</x:f>
      </x:c>
      <x:c r="L7953" s="0">
        <x:f>hyperlink("https://icat2.azurewebsites.net/icat/?ontology=ICD&amp;tab=ClassesTab&amp;id=http%3A%2F%2Fwho.int%2Ficd%233046_dd4d4347_e398_43b9_84dd_c9611ca6abfa","iCat")</x:f>
      </x:c>
      <x:c r="M7953" s="0" t="s">
        <x:v>21</x:v>
      </x:c>
      <x:c r="N7953" s="0" t="s">
        <x:v>46</x:v>
      </x:c>
    </x:row>
    <x:row r="7954" spans="1:16">
      <x:c r="A7954" s="0" t="s">
        <x:v>31677</x:v>
      </x:c>
      <x:c r="B7954" s="0" t="s">
        <x:v>31678</x:v>
      </x:c>
      <x:c r="C7954" s="0" t="s">
        <x:v>31679</x:v>
      </x:c>
      <x:c r="E7954" s="0" t="s">
        <x:v>31680</x:v>
      </x:c>
      <x:c r="F7954" s="0" t="s">
        <x:v>45</x:v>
      </x:c>
      <x:c r="G7954" s="0" t="s">
        <x:v>19</x:v>
      </x:c>
      <x:c r="H7954" s="0" t="s">
        <x:v>20</x:v>
      </x:c>
      <x:c r="I7954" s="0" t="s">
        <x:v>21</x:v>
      </x:c>
      <x:c r="K7954" s="0">
        <x:f>hyperlink("https://icd.who.int/dev11/l-ichi/en#/http%3A%2F%2Fid.who.int%2Ficd%2Fentity%2F325261913","browser")</x:f>
      </x:c>
      <x:c r="L7954" s="0">
        <x:f>hyperlink("https://icat2.azurewebsites.net/icat/?ontology=ICD&amp;tab=ClassesTab&amp;id=http%3A%2F%2Fwho.int%2Ficd%233052_dd4d4347_e398_43b9_84dd_c9611ca6abfa","iCat")</x:f>
      </x:c>
      <x:c r="M7954" s="0" t="s">
        <x:v>21</x:v>
      </x:c>
      <x:c r="N7954" s="0" t="s">
        <x:v>46</x:v>
      </x:c>
    </x:row>
    <x:row r="7955" spans="1:16">
      <x:c r="A7955" s="0" t="s">
        <x:v>31681</x:v>
      </x:c>
      <x:c r="B7955" s="0" t="s">
        <x:v>31682</x:v>
      </x:c>
      <x:c r="C7955" s="0" t="s">
        <x:v>31683</x:v>
      </x:c>
      <x:c r="E7955" s="0" t="s">
        <x:v>31684</x:v>
      </x:c>
      <x:c r="F7955" s="0" t="s">
        <x:v>45</x:v>
      </x:c>
      <x:c r="G7955" s="0" t="s">
        <x:v>19</x:v>
      </x:c>
      <x:c r="H7955" s="0" t="s">
        <x:v>20</x:v>
      </x:c>
      <x:c r="I7955" s="0" t="s">
        <x:v>21</x:v>
      </x:c>
      <x:c r="K7955" s="0">
        <x:f>hyperlink("https://icd.who.int/dev11/l-ichi/en#/http%3A%2F%2Fid.who.int%2Ficd%2Fentity%2F949909193","browser")</x:f>
      </x:c>
      <x:c r="L7955" s="0">
        <x:f>hyperlink("https://icat2.azurewebsites.net/icat/?ontology=ICD&amp;tab=ClassesTab&amp;id=http%3A%2F%2Fwho.int%2Ficd%233058_dd4d4347_e398_43b9_84dd_c9611ca6abfa","iCat")</x:f>
      </x:c>
      <x:c r="M7955" s="0" t="s">
        <x:v>21</x:v>
      </x:c>
      <x:c r="N7955" s="0" t="s">
        <x:v>46</x:v>
      </x:c>
    </x:row>
    <x:row r="7956" spans="1:16">
      <x:c r="A7956" s="0" t="s">
        <x:v>31685</x:v>
      </x:c>
      <x:c r="B7956" s="0" t="s">
        <x:v>31686</x:v>
      </x:c>
      <x:c r="C7956" s="0" t="s">
        <x:v>31687</x:v>
      </x:c>
      <x:c r="E7956" s="0" t="s">
        <x:v>31688</x:v>
      </x:c>
      <x:c r="F7956" s="0" t="s">
        <x:v>45</x:v>
      </x:c>
      <x:c r="G7956" s="0" t="s">
        <x:v>19</x:v>
      </x:c>
      <x:c r="H7956" s="0" t="s">
        <x:v>20</x:v>
      </x:c>
      <x:c r="I7956" s="0" t="s">
        <x:v>21</x:v>
      </x:c>
      <x:c r="K7956" s="0">
        <x:f>hyperlink("https://icd.who.int/dev11/l-ichi/en#/http%3A%2F%2Fid.who.int%2Ficd%2Fentity%2F61441007","browser")</x:f>
      </x:c>
      <x:c r="L7956" s="0">
        <x:f>hyperlink("https://icat2.azurewebsites.net/icat/?ontology=ICD&amp;tab=ClassesTab&amp;id=http%3A%2F%2Fwho.int%2Ficd%233064_dd4d4347_e398_43b9_84dd_c9611ca6abfa","iCat")</x:f>
      </x:c>
      <x:c r="M7956" s="0" t="s">
        <x:v>21</x:v>
      </x:c>
      <x:c r="N7956" s="0" t="s">
        <x:v>46</x:v>
      </x:c>
    </x:row>
    <x:row r="7957" spans="1:16">
      <x:c r="A7957" s="0" t="s">
        <x:v>31689</x:v>
      </x:c>
      <x:c r="B7957" s="0" t="s">
        <x:v>31690</x:v>
      </x:c>
      <x:c r="C7957" s="0" t="s">
        <x:v>31691</x:v>
      </x:c>
      <x:c r="E7957" s="0" t="s">
        <x:v>31692</x:v>
      </x:c>
      <x:c r="F7957" s="0" t="s">
        <x:v>45</x:v>
      </x:c>
      <x:c r="G7957" s="0" t="s">
        <x:v>19</x:v>
      </x:c>
      <x:c r="H7957" s="0" t="s">
        <x:v>20</x:v>
      </x:c>
      <x:c r="I7957" s="0" t="s">
        <x:v>21</x:v>
      </x:c>
      <x:c r="K7957" s="0">
        <x:f>hyperlink("https://icd.who.int/dev11/l-ichi/en#/http%3A%2F%2Fid.who.int%2Ficd%2Fentity%2F1550570190","browser")</x:f>
      </x:c>
      <x:c r="L7957" s="0">
        <x:f>hyperlink("https://icat2.azurewebsites.net/icat/?ontology=ICD&amp;tab=ClassesTab&amp;id=http%3A%2F%2Fwho.int%2Ficd%233070_dd4d4347_e398_43b9_84dd_c9611ca6abfa","iCat")</x:f>
      </x:c>
      <x:c r="M7957" s="0" t="s">
        <x:v>21</x:v>
      </x:c>
      <x:c r="N7957" s="0" t="s">
        <x:v>46</x:v>
      </x:c>
    </x:row>
    <x:row r="7958" spans="1:16">
      <x:c r="A7958" s="0" t="s">
        <x:v>31693</x:v>
      </x:c>
      <x:c r="B7958" s="0" t="s">
        <x:v>31694</x:v>
      </x:c>
      <x:c r="C7958" s="0" t="s">
        <x:v>31695</x:v>
      </x:c>
      <x:c r="E7958" s="0" t="s">
        <x:v>31696</x:v>
      </x:c>
      <x:c r="F7958" s="0" t="s">
        <x:v>45</x:v>
      </x:c>
      <x:c r="G7958" s="0" t="s">
        <x:v>19</x:v>
      </x:c>
      <x:c r="H7958" s="0" t="s">
        <x:v>20</x:v>
      </x:c>
      <x:c r="I7958" s="0" t="s">
        <x:v>21</x:v>
      </x:c>
      <x:c r="K7958" s="0">
        <x:f>hyperlink("https://icd.who.int/dev11/l-ichi/en#/http%3A%2F%2Fid.who.int%2Ficd%2Fentity%2F202378109","browser")</x:f>
      </x:c>
      <x:c r="L7958" s="0">
        <x:f>hyperlink("https://icat2.azurewebsites.net/icat/?ontology=ICD&amp;tab=ClassesTab&amp;id=http%3A%2F%2Fwho.int%2Ficd%233076_dd4d4347_e398_43b9_84dd_c9611ca6abfa","iCat")</x:f>
      </x:c>
      <x:c r="M7958" s="0" t="s">
        <x:v>21</x:v>
      </x:c>
      <x:c r="N7958" s="0" t="s">
        <x:v>46</x:v>
      </x:c>
    </x:row>
    <x:row r="7959" spans="1:16">
      <x:c r="A7959" s="0" t="s">
        <x:v>31697</x:v>
      </x:c>
      <x:c r="B7959" s="0" t="s">
        <x:v>31698</x:v>
      </x:c>
      <x:c r="C7959" s="0" t="s">
        <x:v>31699</x:v>
      </x:c>
      <x:c r="E7959" s="0" t="s">
        <x:v>31700</x:v>
      </x:c>
      <x:c r="F7959" s="0" t="s">
        <x:v>45</x:v>
      </x:c>
      <x:c r="G7959" s="0" t="s">
        <x:v>19</x:v>
      </x:c>
      <x:c r="H7959" s="0" t="s">
        <x:v>20</x:v>
      </x:c>
      <x:c r="I7959" s="0" t="s">
        <x:v>21</x:v>
      </x:c>
      <x:c r="K7959" s="0">
        <x:f>hyperlink("https://icd.who.int/dev11/l-ichi/en#/http%3A%2F%2Fid.who.int%2Ficd%2Fentity%2F384861655","browser")</x:f>
      </x:c>
      <x:c r="L7959" s="0">
        <x:f>hyperlink("https://icat2.azurewebsites.net/icat/?ontology=ICD&amp;tab=ClassesTab&amp;id=http%3A%2F%2Fwho.int%2Ficd%233082_dd4d4347_e398_43b9_84dd_c9611ca6abfa","iCat")</x:f>
      </x:c>
      <x:c r="M7959" s="0" t="s">
        <x:v>21</x:v>
      </x:c>
      <x:c r="N7959" s="0" t="s">
        <x:v>46</x:v>
      </x:c>
    </x:row>
    <x:row r="7960" spans="1:16">
      <x:c r="A7960" s="0" t="s">
        <x:v>31701</x:v>
      </x:c>
      <x:c r="B7960" s="0" t="s">
        <x:v>31702</x:v>
      </x:c>
      <x:c r="C7960" s="0" t="s">
        <x:v>31703</x:v>
      </x:c>
      <x:c r="E7960" s="0" t="s">
        <x:v>31704</x:v>
      </x:c>
      <x:c r="F7960" s="0" t="s">
        <x:v>45</x:v>
      </x:c>
      <x:c r="G7960" s="0" t="s">
        <x:v>19</x:v>
      </x:c>
      <x:c r="H7960" s="0" t="s">
        <x:v>20</x:v>
      </x:c>
      <x:c r="I7960" s="0" t="s">
        <x:v>21</x:v>
      </x:c>
      <x:c r="K7960" s="0">
        <x:f>hyperlink("https://icd.who.int/dev11/l-ichi/en#/http%3A%2F%2Fid.who.int%2Ficd%2Fentity%2F1024321863","browser")</x:f>
      </x:c>
      <x:c r="L7960" s="0">
        <x:f>hyperlink("https://icat2.azurewebsites.net/icat/?ontology=ICD&amp;tab=ClassesTab&amp;id=http%3A%2F%2Fwho.int%2Ficd%233088_dd4d4347_e398_43b9_84dd_c9611ca6abfa","iCat")</x:f>
      </x:c>
      <x:c r="M7960" s="0" t="s">
        <x:v>21</x:v>
      </x:c>
      <x:c r="N7960" s="0" t="s">
        <x:v>46</x:v>
      </x:c>
    </x:row>
    <x:row r="7961" spans="1:16">
      <x:c r="A7961" s="0" t="s">
        <x:v>31705</x:v>
      </x:c>
      <x:c r="B7961" s="0" t="s">
        <x:v>31706</x:v>
      </x:c>
      <x:c r="C7961" s="0" t="s">
        <x:v>31707</x:v>
      </x:c>
      <x:c r="E7961" s="0" t="s">
        <x:v>31708</x:v>
      </x:c>
      <x:c r="F7961" s="0" t="s">
        <x:v>45</x:v>
      </x:c>
      <x:c r="G7961" s="0" t="s">
        <x:v>19</x:v>
      </x:c>
      <x:c r="H7961" s="0" t="s">
        <x:v>20</x:v>
      </x:c>
      <x:c r="I7961" s="0" t="s">
        <x:v>21</x:v>
      </x:c>
      <x:c r="K7961" s="0">
        <x:f>hyperlink("https://icd.who.int/dev11/l-ichi/en#/http%3A%2F%2Fid.who.int%2Ficd%2Fentity%2F743360817","browser")</x:f>
      </x:c>
      <x:c r="L7961" s="0">
        <x:f>hyperlink("https://icat2.azurewebsites.net/icat/?ontology=ICD&amp;tab=ClassesTab&amp;id=http%3A%2F%2Fwho.int%2Ficd%233094_dd4d4347_e398_43b9_84dd_c9611ca6abfa","iCat")</x:f>
      </x:c>
      <x:c r="M7961" s="0" t="s">
        <x:v>21</x:v>
      </x:c>
      <x:c r="N7961" s="0" t="s">
        <x:v>46</x:v>
      </x:c>
    </x:row>
    <x:row r="7962" spans="1:16">
      <x:c r="A7962" s="0" t="s">
        <x:v>31709</x:v>
      </x:c>
      <x:c r="B7962" s="0" t="s">
        <x:v>31710</x:v>
      </x:c>
      <x:c r="C7962" s="0" t="s">
        <x:v>31711</x:v>
      </x:c>
      <x:c r="E7962" s="0" t="s">
        <x:v>31712</x:v>
      </x:c>
      <x:c r="F7962" s="0" t="s">
        <x:v>45</x:v>
      </x:c>
      <x:c r="G7962" s="0" t="s">
        <x:v>19</x:v>
      </x:c>
      <x:c r="H7962" s="0" t="s">
        <x:v>20</x:v>
      </x:c>
      <x:c r="I7962" s="0" t="s">
        <x:v>21</x:v>
      </x:c>
      <x:c r="K7962" s="0">
        <x:f>hyperlink("https://icd.who.int/dev11/l-ichi/en#/http%3A%2F%2Fid.who.int%2Ficd%2Fentity%2F421660491","browser")</x:f>
      </x:c>
      <x:c r="L7962" s="0">
        <x:f>hyperlink("https://icat2.azurewebsites.net/icat/?ontology=ICD&amp;tab=ClassesTab&amp;id=http%3A%2F%2Fwho.int%2Ficd%233100_dd4d4347_e398_43b9_84dd_c9611ca6abfa","iCat")</x:f>
      </x:c>
      <x:c r="M7962" s="0" t="s">
        <x:v>21</x:v>
      </x:c>
      <x:c r="N7962" s="0" t="s">
        <x:v>46</x:v>
      </x:c>
    </x:row>
    <x:row r="7963" spans="1:16">
      <x:c r="A7963" s="0" t="s">
        <x:v>31713</x:v>
      </x:c>
      <x:c r="B7963" s="0" t="s">
        <x:v>31714</x:v>
      </x:c>
      <x:c r="C7963" s="0" t="s">
        <x:v>31715</x:v>
      </x:c>
      <x:c r="E7963" s="0" t="s">
        <x:v>31716</x:v>
      </x:c>
      <x:c r="F7963" s="0" t="s">
        <x:v>45</x:v>
      </x:c>
      <x:c r="G7963" s="0" t="s">
        <x:v>19</x:v>
      </x:c>
      <x:c r="H7963" s="0" t="s">
        <x:v>20</x:v>
      </x:c>
      <x:c r="I7963" s="0" t="s">
        <x:v>21</x:v>
      </x:c>
      <x:c r="K7963" s="0">
        <x:f>hyperlink("https://icd.who.int/dev11/l-ichi/en#/http%3A%2F%2Fid.who.int%2Ficd%2Fentity%2F1230626556","browser")</x:f>
      </x:c>
      <x:c r="L7963" s="0">
        <x:f>hyperlink("https://icat2.azurewebsites.net/icat/?ontology=ICD&amp;tab=ClassesTab&amp;id=http%3A%2F%2Fwho.int%2Ficd%233106_dd4d4347_e398_43b9_84dd_c9611ca6abfa","iCat")</x:f>
      </x:c>
      <x:c r="M7963" s="0" t="s">
        <x:v>21</x:v>
      </x:c>
      <x:c r="N7963" s="0" t="s">
        <x:v>46</x:v>
      </x:c>
    </x:row>
    <x:row r="7964" spans="1:16">
      <x:c r="A7964" s="0" t="s">
        <x:v>31717</x:v>
      </x:c>
      <x:c r="B7964" s="0" t="s">
        <x:v>31718</x:v>
      </x:c>
      <x:c r="C7964" s="0" t="s">
        <x:v>31719</x:v>
      </x:c>
      <x:c r="E7964" s="0" t="s">
        <x:v>31720</x:v>
      </x:c>
      <x:c r="F7964" s="0" t="s">
        <x:v>45</x:v>
      </x:c>
      <x:c r="G7964" s="0" t="s">
        <x:v>19</x:v>
      </x:c>
      <x:c r="H7964" s="0" t="s">
        <x:v>20</x:v>
      </x:c>
      <x:c r="I7964" s="0" t="s">
        <x:v>21</x:v>
      </x:c>
      <x:c r="K7964" s="0">
        <x:f>hyperlink("https://icd.who.int/dev11/l-ichi/en#/http%3A%2F%2Fid.who.int%2Ficd%2Fentity%2F379293657","browser")</x:f>
      </x:c>
      <x:c r="L7964" s="0">
        <x:f>hyperlink("https://icat2.azurewebsites.net/icat/?ontology=ICD&amp;tab=ClassesTab&amp;id=http%3A%2F%2Fwho.int%2Ficd%233112_dd4d4347_e398_43b9_84dd_c9611ca6abfa","iCat")</x:f>
      </x:c>
      <x:c r="M7964" s="0" t="s">
        <x:v>21</x:v>
      </x:c>
      <x:c r="N7964" s="0" t="s">
        <x:v>46</x:v>
      </x:c>
    </x:row>
    <x:row r="7965" spans="1:16">
      <x:c r="A7965" s="0" t="s">
        <x:v>31721</x:v>
      </x:c>
      <x:c r="B7965" s="0" t="s">
        <x:v>31722</x:v>
      </x:c>
      <x:c r="C7965" s="0" t="s">
        <x:v>31723</x:v>
      </x:c>
      <x:c r="E7965" s="0" t="s">
        <x:v>31724</x:v>
      </x:c>
      <x:c r="F7965" s="0" t="s">
        <x:v>45</x:v>
      </x:c>
      <x:c r="G7965" s="0" t="s">
        <x:v>19</x:v>
      </x:c>
      <x:c r="H7965" s="0" t="s">
        <x:v>20</x:v>
      </x:c>
      <x:c r="I7965" s="0" t="s">
        <x:v>21</x:v>
      </x:c>
      <x:c r="K7965" s="0">
        <x:f>hyperlink("https://icd.who.int/dev11/l-ichi/en#/http%3A%2F%2Fid.who.int%2Ficd%2Fentity%2F258699134","browser")</x:f>
      </x:c>
      <x:c r="L7965" s="0">
        <x:f>hyperlink("https://icat2.azurewebsites.net/icat/?ontology=ICD&amp;tab=ClassesTab&amp;id=http%3A%2F%2Fwho.int%2Ficd%2341_60b821c4_cabc_4b81_9563_cb99d74167d5","iCat")</x:f>
      </x:c>
      <x:c r="M7965" s="0" t="s">
        <x:v>21</x:v>
      </x:c>
      <x:c r="N7965" s="0" t="s">
        <x:v>46</x:v>
      </x:c>
    </x:row>
    <x:row r="7966" spans="1:16">
      <x:c r="A7966" s="0" t="s">
        <x:v>31725</x:v>
      </x:c>
      <x:c r="B7966" s="0" t="s">
        <x:v>31726</x:v>
      </x:c>
      <x:c r="C7966" s="0" t="s">
        <x:v>31727</x:v>
      </x:c>
      <x:c r="E7966" s="0" t="s">
        <x:v>31728</x:v>
      </x:c>
      <x:c r="F7966" s="0" t="s">
        <x:v>45</x:v>
      </x:c>
      <x:c r="G7966" s="0" t="s">
        <x:v>19</x:v>
      </x:c>
      <x:c r="H7966" s="0" t="s">
        <x:v>20</x:v>
      </x:c>
      <x:c r="I7966" s="0" t="s">
        <x:v>21</x:v>
      </x:c>
      <x:c r="K7966" s="0">
        <x:f>hyperlink("https://icd.who.int/dev11/l-ichi/en#/http%3A%2F%2Fid.who.int%2Ficd%2Fentity%2F1030153033","browser")</x:f>
      </x:c>
      <x:c r="L7966" s="0">
        <x:f>hyperlink("https://icat2.azurewebsites.net/icat/?ontology=ICD&amp;tab=ClassesTab&amp;id=http%3A%2F%2Fwho.int%2Ficd%233118_dd4d4347_e398_43b9_84dd_c9611ca6abfa","iCat")</x:f>
      </x:c>
      <x:c r="M7966" s="0" t="s">
        <x:v>21</x:v>
      </x:c>
      <x:c r="N7966" s="0" t="s">
        <x:v>46</x:v>
      </x:c>
    </x:row>
    <x:row r="7967" spans="1:16">
      <x:c r="A7967" s="0" t="s">
        <x:v>31729</x:v>
      </x:c>
      <x:c r="B7967" s="0" t="s">
        <x:v>31730</x:v>
      </x:c>
      <x:c r="C7967" s="0" t="s">
        <x:v>31731</x:v>
      </x:c>
      <x:c r="E7967" s="0" t="s">
        <x:v>31732</x:v>
      </x:c>
      <x:c r="F7967" s="0" t="s">
        <x:v>45</x:v>
      </x:c>
      <x:c r="G7967" s="0" t="s">
        <x:v>19</x:v>
      </x:c>
      <x:c r="H7967" s="0" t="s">
        <x:v>20</x:v>
      </x:c>
      <x:c r="I7967" s="0" t="s">
        <x:v>21</x:v>
      </x:c>
      <x:c r="K7967" s="0">
        <x:f>hyperlink("https://icd.who.int/dev11/l-ichi/en#/http%3A%2F%2Fid.who.int%2Ficd%2Fentity%2F105977455","browser")</x:f>
      </x:c>
      <x:c r="L7967" s="0">
        <x:f>hyperlink("https://icat2.azurewebsites.net/icat/?ontology=ICD&amp;tab=ClassesTab&amp;id=http%3A%2F%2Fwho.int%2Ficd%233124_dd4d4347_e398_43b9_84dd_c9611ca6abfa","iCat")</x:f>
      </x:c>
      <x:c r="M7967" s="0" t="s">
        <x:v>21</x:v>
      </x:c>
      <x:c r="N7967" s="0" t="s">
        <x:v>46</x:v>
      </x:c>
    </x:row>
    <x:row r="7968" spans="1:16">
      <x:c r="A7968" s="0" t="s">
        <x:v>31733</x:v>
      </x:c>
      <x:c r="B7968" s="0" t="s">
        <x:v>31734</x:v>
      </x:c>
      <x:c r="C7968" s="0" t="s">
        <x:v>31735</x:v>
      </x:c>
      <x:c r="E7968" s="0" t="s">
        <x:v>31736</x:v>
      </x:c>
      <x:c r="F7968" s="0" t="s">
        <x:v>45</x:v>
      </x:c>
      <x:c r="G7968" s="0" t="s">
        <x:v>19</x:v>
      </x:c>
      <x:c r="H7968" s="0" t="s">
        <x:v>20</x:v>
      </x:c>
      <x:c r="I7968" s="0" t="s">
        <x:v>21</x:v>
      </x:c>
      <x:c r="K7968" s="0">
        <x:f>hyperlink("https://icd.who.int/dev11/l-ichi/en#/http%3A%2F%2Fid.who.int%2Ficd%2Fentity%2F1502824270","browser")</x:f>
      </x:c>
      <x:c r="L7968" s="0">
        <x:f>hyperlink("https://icat2.azurewebsites.net/icat/?ontology=ICD&amp;tab=ClassesTab&amp;id=http%3A%2F%2Fwho.int%2Ficd%233130_dd4d4347_e398_43b9_84dd_c9611ca6abfa","iCat")</x:f>
      </x:c>
      <x:c r="M7968" s="0" t="s">
        <x:v>21</x:v>
      </x:c>
      <x:c r="N7968" s="0" t="s">
        <x:v>46</x:v>
      </x:c>
    </x:row>
    <x:row r="7969" spans="1:16">
      <x:c r="A7969" s="0" t="s">
        <x:v>31737</x:v>
      </x:c>
      <x:c r="B7969" s="0" t="s">
        <x:v>31738</x:v>
      </x:c>
      <x:c r="C7969" s="0" t="s">
        <x:v>31739</x:v>
      </x:c>
      <x:c r="E7969" s="0" t="s">
        <x:v>31740</x:v>
      </x:c>
      <x:c r="F7969" s="0" t="s">
        <x:v>45</x:v>
      </x:c>
      <x:c r="G7969" s="0" t="s">
        <x:v>19</x:v>
      </x:c>
      <x:c r="H7969" s="0" t="s">
        <x:v>20</x:v>
      </x:c>
      <x:c r="I7969" s="0" t="s">
        <x:v>21</x:v>
      </x:c>
      <x:c r="K7969" s="0">
        <x:f>hyperlink("https://icd.who.int/dev11/l-ichi/en#/http%3A%2F%2Fid.who.int%2Ficd%2Fentity%2F166239997","browser")</x:f>
      </x:c>
      <x:c r="L7969" s="0">
        <x:f>hyperlink("https://icat2.azurewebsites.net/icat/?ontology=ICD&amp;tab=ClassesTab&amp;id=http%3A%2F%2Fwho.int%2Ficd%233136_dd4d4347_e398_43b9_84dd_c9611ca6abfa","iCat")</x:f>
      </x:c>
      <x:c r="M7969" s="0" t="s">
        <x:v>21</x:v>
      </x:c>
      <x:c r="N7969" s="0" t="s">
        <x:v>46</x:v>
      </x:c>
    </x:row>
    <x:row r="7970" spans="1:16">
      <x:c r="A7970" s="0" t="s">
        <x:v>31741</x:v>
      </x:c>
      <x:c r="B7970" s="0" t="s">
        <x:v>31742</x:v>
      </x:c>
      <x:c r="C7970" s="0" t="s">
        <x:v>31743</x:v>
      </x:c>
      <x:c r="E7970" s="0" t="s">
        <x:v>31744</x:v>
      </x:c>
      <x:c r="F7970" s="0" t="s">
        <x:v>45</x:v>
      </x:c>
      <x:c r="G7970" s="0" t="s">
        <x:v>19</x:v>
      </x:c>
      <x:c r="H7970" s="0" t="s">
        <x:v>20</x:v>
      </x:c>
      <x:c r="I7970" s="0" t="s">
        <x:v>21</x:v>
      </x:c>
      <x:c r="K7970" s="0">
        <x:f>hyperlink("https://icd.who.int/dev11/l-ichi/en#/http%3A%2F%2Fid.who.int%2Ficd%2Fentity%2F205080979","browser")</x:f>
      </x:c>
      <x:c r="L7970" s="0">
        <x:f>hyperlink("https://icat2.azurewebsites.net/icat/?ontology=ICD&amp;tab=ClassesTab&amp;id=http%3A%2F%2Fwho.int%2Ficd%233142_dd4d4347_e398_43b9_84dd_c9611ca6abfa","iCat")</x:f>
      </x:c>
      <x:c r="M7970" s="0" t="s">
        <x:v>21</x:v>
      </x:c>
      <x:c r="N7970" s="0" t="s">
        <x:v>46</x:v>
      </x:c>
    </x:row>
    <x:row r="7971" spans="1:16">
      <x:c r="A7971" s="0" t="s">
        <x:v>31745</x:v>
      </x:c>
      <x:c r="B7971" s="0" t="s">
        <x:v>31746</x:v>
      </x:c>
      <x:c r="C7971" s="0" t="s">
        <x:v>31747</x:v>
      </x:c>
      <x:c r="E7971" s="0" t="s">
        <x:v>31748</x:v>
      </x:c>
      <x:c r="F7971" s="0" t="s">
        <x:v>45</x:v>
      </x:c>
      <x:c r="G7971" s="0" t="s">
        <x:v>19</x:v>
      </x:c>
      <x:c r="H7971" s="0" t="s">
        <x:v>20</x:v>
      </x:c>
      <x:c r="I7971" s="0" t="s">
        <x:v>21</x:v>
      </x:c>
      <x:c r="K7971" s="0">
        <x:f>hyperlink("https://icd.who.int/dev11/l-ichi/en#/http%3A%2F%2Fid.who.int%2Ficd%2Fentity%2F667165955","browser")</x:f>
      </x:c>
      <x:c r="L7971" s="0">
        <x:f>hyperlink("https://icat2.azurewebsites.net/icat/?ontology=ICD&amp;tab=ClassesTab&amp;id=http%3A%2F%2Fwho.int%2Ficd%233148_dd4d4347_e398_43b9_84dd_c9611ca6abfa","iCat")</x:f>
      </x:c>
      <x:c r="M7971" s="0" t="s">
        <x:v>21</x:v>
      </x:c>
      <x:c r="N7971" s="0" t="s">
        <x:v>46</x:v>
      </x:c>
    </x:row>
    <x:row r="7972" spans="1:16">
      <x:c r="A7972" s="0" t="s">
        <x:v>31749</x:v>
      </x:c>
      <x:c r="B7972" s="0" t="s">
        <x:v>31750</x:v>
      </x:c>
      <x:c r="C7972" s="0" t="s">
        <x:v>31751</x:v>
      </x:c>
      <x:c r="E7972" s="0" t="s">
        <x:v>31752</x:v>
      </x:c>
      <x:c r="F7972" s="0" t="s">
        <x:v>45</x:v>
      </x:c>
      <x:c r="G7972" s="0" t="s">
        <x:v>19</x:v>
      </x:c>
      <x:c r="H7972" s="0" t="s">
        <x:v>20</x:v>
      </x:c>
      <x:c r="I7972" s="0" t="s">
        <x:v>21</x:v>
      </x:c>
      <x:c r="K7972" s="0">
        <x:f>hyperlink("https://icd.who.int/dev11/l-ichi/en#/http%3A%2F%2Fid.who.int%2Ficd%2Fentity%2F914818421","browser")</x:f>
      </x:c>
      <x:c r="L7972" s="0">
        <x:f>hyperlink("https://icat2.azurewebsites.net/icat/?ontology=ICD&amp;tab=ClassesTab&amp;id=http%3A%2F%2Fwho.int%2Ficd%233154_dd4d4347_e398_43b9_84dd_c9611ca6abfa","iCat")</x:f>
      </x:c>
      <x:c r="M7972" s="0" t="s">
        <x:v>21</x:v>
      </x:c>
      <x:c r="N7972" s="0" t="s">
        <x:v>46</x:v>
      </x:c>
    </x:row>
    <x:row r="7973" spans="1:16">
      <x:c r="A7973" s="0" t="s">
        <x:v>31753</x:v>
      </x:c>
      <x:c r="B7973" s="0" t="s">
        <x:v>31754</x:v>
      </x:c>
      <x:c r="C7973" s="0" t="s">
        <x:v>31755</x:v>
      </x:c>
      <x:c r="E7973" s="0" t="s">
        <x:v>31756</x:v>
      </x:c>
      <x:c r="F7973" s="0" t="s">
        <x:v>45</x:v>
      </x:c>
      <x:c r="G7973" s="0" t="s">
        <x:v>19</x:v>
      </x:c>
      <x:c r="H7973" s="0" t="s">
        <x:v>20</x:v>
      </x:c>
      <x:c r="I7973" s="0" t="s">
        <x:v>21</x:v>
      </x:c>
      <x:c r="K7973" s="0">
        <x:f>hyperlink("https://icd.who.int/dev11/l-ichi/en#/http%3A%2F%2Fid.who.int%2Ficd%2Fentity%2F1127317768","browser")</x:f>
      </x:c>
      <x:c r="L7973" s="0">
        <x:f>hyperlink("https://icat2.azurewebsites.net/icat/?ontology=ICD&amp;tab=ClassesTab&amp;id=http%3A%2F%2Fwho.int%2Ficd%233160_dd4d4347_e398_43b9_84dd_c9611ca6abfa","iCat")</x:f>
      </x:c>
      <x:c r="M7973" s="0" t="s">
        <x:v>21</x:v>
      </x:c>
      <x:c r="N7973" s="0" t="s">
        <x:v>46</x:v>
      </x:c>
    </x:row>
    <x:row r="7974" spans="1:16">
      <x:c r="A7974" s="0" t="s">
        <x:v>31757</x:v>
      </x:c>
      <x:c r="B7974" s="0" t="s">
        <x:v>31758</x:v>
      </x:c>
      <x:c r="C7974" s="0" t="s">
        <x:v>31759</x:v>
      </x:c>
      <x:c r="E7974" s="0" t="s">
        <x:v>31760</x:v>
      </x:c>
      <x:c r="F7974" s="0" t="s">
        <x:v>45</x:v>
      </x:c>
      <x:c r="G7974" s="0" t="s">
        <x:v>19</x:v>
      </x:c>
      <x:c r="H7974" s="0" t="s">
        <x:v>20</x:v>
      </x:c>
      <x:c r="I7974" s="0" t="s">
        <x:v>21</x:v>
      </x:c>
      <x:c r="K7974" s="0">
        <x:f>hyperlink("https://icd.who.int/dev11/l-ichi/en#/http%3A%2F%2Fid.who.int%2Ficd%2Fentity%2F323639479","browser")</x:f>
      </x:c>
      <x:c r="L7974" s="0">
        <x:f>hyperlink("https://icat2.azurewebsites.net/icat/?ontology=ICD&amp;tab=ClassesTab&amp;id=http%3A%2F%2Fwho.int%2Ficd%233166_dd4d4347_e398_43b9_84dd_c9611ca6abfa","iCat")</x:f>
      </x:c>
      <x:c r="M7974" s="0" t="s">
        <x:v>21</x:v>
      </x:c>
      <x:c r="N7974" s="0" t="s">
        <x:v>46</x:v>
      </x:c>
    </x:row>
    <x:row r="7975" spans="1:16">
      <x:c r="A7975" s="0" t="s">
        <x:v>31761</x:v>
      </x:c>
      <x:c r="B7975" s="0" t="s">
        <x:v>31762</x:v>
      </x:c>
      <x:c r="C7975" s="0" t="s">
        <x:v>31763</x:v>
      </x:c>
      <x:c r="E7975" s="0" t="s">
        <x:v>31764</x:v>
      </x:c>
      <x:c r="F7975" s="0" t="s">
        <x:v>45</x:v>
      </x:c>
      <x:c r="G7975" s="0" t="s">
        <x:v>19</x:v>
      </x:c>
      <x:c r="H7975" s="0" t="s">
        <x:v>20</x:v>
      </x:c>
      <x:c r="I7975" s="0" t="s">
        <x:v>21</x:v>
      </x:c>
      <x:c r="K7975" s="0">
        <x:f>hyperlink("https://icd.who.int/dev11/l-ichi/en#/http%3A%2F%2Fid.who.int%2Ficd%2Fentity%2F1283983766","browser")</x:f>
      </x:c>
      <x:c r="L7975" s="0">
        <x:f>hyperlink("https://icat2.azurewebsites.net/icat/?ontology=ICD&amp;tab=ClassesTab&amp;id=http%3A%2F%2Fwho.int%2Ficd%233172_dd4d4347_e398_43b9_84dd_c9611ca6abfa","iCat")</x:f>
      </x:c>
      <x:c r="M7975" s="0" t="s">
        <x:v>21</x:v>
      </x:c>
      <x:c r="N7975" s="0" t="s">
        <x:v>46</x:v>
      </x:c>
    </x:row>
    <x:row r="7976" spans="1:16">
      <x:c r="A7976" s="0" t="s">
        <x:v>31765</x:v>
      </x:c>
      <x:c r="B7976" s="0" t="s">
        <x:v>31766</x:v>
      </x:c>
      <x:c r="C7976" s="0" t="s">
        <x:v>31767</x:v>
      </x:c>
      <x:c r="E7976" s="0" t="s">
        <x:v>31768</x:v>
      </x:c>
      <x:c r="F7976" s="0" t="s">
        <x:v>45</x:v>
      </x:c>
      <x:c r="G7976" s="0" t="s">
        <x:v>19</x:v>
      </x:c>
      <x:c r="H7976" s="0" t="s">
        <x:v>20</x:v>
      </x:c>
      <x:c r="I7976" s="0" t="s">
        <x:v>21</x:v>
      </x:c>
      <x:c r="K7976" s="0">
        <x:f>hyperlink("https://icd.who.int/dev11/l-ichi/en#/http%3A%2F%2Fid.who.int%2Ficd%2Fentity%2F1735746822","browser")</x:f>
      </x:c>
      <x:c r="L7976" s="0">
        <x:f>hyperlink("https://icat2.azurewebsites.net/icat/?ontology=ICD&amp;tab=ClassesTab&amp;id=http%3A%2F%2Fwho.int%2Ficd%233178_dd4d4347_e398_43b9_84dd_c9611ca6abfa","iCat")</x:f>
      </x:c>
      <x:c r="M7976" s="0" t="s">
        <x:v>21</x:v>
      </x:c>
      <x:c r="N7976" s="0" t="s">
        <x:v>46</x:v>
      </x:c>
    </x:row>
    <x:row r="7977" spans="1:16">
      <x:c r="A7977" s="0" t="s">
        <x:v>31769</x:v>
      </x:c>
      <x:c r="B7977" s="0" t="s">
        <x:v>31770</x:v>
      </x:c>
      <x:c r="C7977" s="0" t="s">
        <x:v>31771</x:v>
      </x:c>
      <x:c r="E7977" s="0" t="s">
        <x:v>31772</x:v>
      </x:c>
      <x:c r="F7977" s="0" t="s">
        <x:v>45</x:v>
      </x:c>
      <x:c r="G7977" s="0" t="s">
        <x:v>19</x:v>
      </x:c>
      <x:c r="H7977" s="0" t="s">
        <x:v>20</x:v>
      </x:c>
      <x:c r="I7977" s="0" t="s">
        <x:v>21</x:v>
      </x:c>
      <x:c r="K7977" s="0">
        <x:f>hyperlink("https://icd.who.int/dev11/l-ichi/en#/http%3A%2F%2Fid.who.int%2Ficd%2Fentity%2F856988411","browser")</x:f>
      </x:c>
      <x:c r="L7977" s="0">
        <x:f>hyperlink("https://icat2.azurewebsites.net/icat/?ontology=ICD&amp;tab=ClassesTab&amp;id=http%3A%2F%2Fwho.int%2Ficd%233184_dd4d4347_e398_43b9_84dd_c9611ca6abfa","iCat")</x:f>
      </x:c>
      <x:c r="M7977" s="0" t="s">
        <x:v>21</x:v>
      </x:c>
      <x:c r="N7977" s="0" t="s">
        <x:v>46</x:v>
      </x:c>
    </x:row>
    <x:row r="7978" spans="1:16">
      <x:c r="A7978" s="0" t="s">
        <x:v>31773</x:v>
      </x:c>
      <x:c r="B7978" s="0" t="s">
        <x:v>31774</x:v>
      </x:c>
      <x:c r="C7978" s="0" t="s">
        <x:v>31775</x:v>
      </x:c>
      <x:c r="E7978" s="0" t="s">
        <x:v>31776</x:v>
      </x:c>
      <x:c r="F7978" s="0" t="s">
        <x:v>45</x:v>
      </x:c>
      <x:c r="G7978" s="0" t="s">
        <x:v>19</x:v>
      </x:c>
      <x:c r="H7978" s="0" t="s">
        <x:v>20</x:v>
      </x:c>
      <x:c r="I7978" s="0" t="s">
        <x:v>21</x:v>
      </x:c>
      <x:c r="K7978" s="0">
        <x:f>hyperlink("https://icd.who.int/dev11/l-ichi/en#/http%3A%2F%2Fid.who.int%2Ficd%2Fentity%2F1826016218","browser")</x:f>
      </x:c>
      <x:c r="L7978" s="0">
        <x:f>hyperlink("https://icat2.azurewebsites.net/icat/?ontology=ICD&amp;tab=ClassesTab&amp;id=http%3A%2F%2Fwho.int%2Ficd%233190_dd4d4347_e398_43b9_84dd_c9611ca6abfa","iCat")</x:f>
      </x:c>
      <x:c r="M7978" s="0" t="s">
        <x:v>21</x:v>
      </x:c>
      <x:c r="N7978" s="0" t="s">
        <x:v>46</x:v>
      </x:c>
    </x:row>
    <x:row r="7979" spans="1:16">
      <x:c r="A7979" s="0" t="s">
        <x:v>31777</x:v>
      </x:c>
      <x:c r="B7979" s="0" t="s">
        <x:v>31778</x:v>
      </x:c>
      <x:c r="C7979" s="0" t="s">
        <x:v>31779</x:v>
      </x:c>
      <x:c r="E7979" s="0" t="s">
        <x:v>31780</x:v>
      </x:c>
      <x:c r="F7979" s="0" t="s">
        <x:v>45</x:v>
      </x:c>
      <x:c r="G7979" s="0" t="s">
        <x:v>19</x:v>
      </x:c>
      <x:c r="H7979" s="0" t="s">
        <x:v>20</x:v>
      </x:c>
      <x:c r="I7979" s="0" t="s">
        <x:v>21</x:v>
      </x:c>
      <x:c r="K7979" s="0">
        <x:f>hyperlink("https://icd.who.int/dev11/l-ichi/en#/http%3A%2F%2Fid.who.int%2Ficd%2Fentity%2F307518905","browser")</x:f>
      </x:c>
      <x:c r="L7979" s="0">
        <x:f>hyperlink("https://icat2.azurewebsites.net/icat/?ontology=ICD&amp;tab=ClassesTab&amp;id=http%3A%2F%2Fwho.int%2Ficd%233828_dd4d4347_e398_43b9_84dd_c9611ca6abfa","iCat")</x:f>
      </x:c>
      <x:c r="M7979" s="0" t="s">
        <x:v>21</x:v>
      </x:c>
      <x:c r="N7979" s="0" t="s">
        <x:v>46</x:v>
      </x:c>
    </x:row>
    <x:row r="7980" spans="1:16">
      <x:c r="A7980" s="0" t="s">
        <x:v>31781</x:v>
      </x:c>
      <x:c r="B7980" s="0" t="s">
        <x:v>31782</x:v>
      </x:c>
      <x:c r="C7980" s="0" t="s">
        <x:v>31783</x:v>
      </x:c>
      <x:c r="E7980" s="0" t="s">
        <x:v>31784</x:v>
      </x:c>
      <x:c r="F7980" s="0" t="s">
        <x:v>45</x:v>
      </x:c>
      <x:c r="G7980" s="0" t="s">
        <x:v>19</x:v>
      </x:c>
      <x:c r="H7980" s="0" t="s">
        <x:v>20</x:v>
      </x:c>
      <x:c r="I7980" s="0" t="s">
        <x:v>21</x:v>
      </x:c>
      <x:c r="K7980" s="0">
        <x:f>hyperlink("https://icd.who.int/dev11/l-ichi/en#/http%3A%2F%2Fid.who.int%2Ficd%2Fentity%2F967389481","browser")</x:f>
      </x:c>
      <x:c r="L7980" s="0">
        <x:f>hyperlink("https://icat2.azurewebsites.net/icat/?ontology=ICD&amp;tab=ClassesTab&amp;id=http%3A%2F%2Fwho.int%2Ficd%233822_dd4d4347_e398_43b9_84dd_c9611ca6abfa","iCat")</x:f>
      </x:c>
      <x:c r="M7980" s="0" t="s">
        <x:v>21</x:v>
      </x:c>
      <x:c r="N7980" s="0" t="s">
        <x:v>46</x:v>
      </x:c>
    </x:row>
    <x:row r="7981" spans="1:16">
      <x:c r="A7981" s="0" t="s">
        <x:v>31785</x:v>
      </x:c>
      <x:c r="B7981" s="0" t="s">
        <x:v>31786</x:v>
      </x:c>
      <x:c r="C7981" s="0" t="s">
        <x:v>31787</x:v>
      </x:c>
      <x:c r="E7981" s="0" t="s">
        <x:v>31788</x:v>
      </x:c>
      <x:c r="F7981" s="0" t="s">
        <x:v>45</x:v>
      </x:c>
      <x:c r="G7981" s="0" t="s">
        <x:v>19</x:v>
      </x:c>
      <x:c r="H7981" s="0" t="s">
        <x:v>20</x:v>
      </x:c>
      <x:c r="I7981" s="0" t="s">
        <x:v>21</x:v>
      </x:c>
      <x:c r="K7981" s="0">
        <x:f>hyperlink("https://icd.who.int/dev11/l-ichi/en#/http%3A%2F%2Fid.who.int%2Ficd%2Fentity%2F1399789273","browser")</x:f>
      </x:c>
      <x:c r="L7981" s="0">
        <x:f>hyperlink("https://icat2.azurewebsites.net/icat/?ontology=ICD&amp;tab=ClassesTab&amp;id=http%3A%2F%2Fwho.int%2Ficd%2347017_512ebf36_bf6b_4d70_85da_cf2637062af4","iCat")</x:f>
      </x:c>
      <x:c r="M7981" s="0" t="s">
        <x:v>21</x:v>
      </x:c>
      <x:c r="N7981" s="0" t="s">
        <x:v>46</x:v>
      </x:c>
    </x:row>
    <x:row r="7982" spans="1:16">
      <x:c r="A7982" s="0" t="s">
        <x:v>31789</x:v>
      </x:c>
      <x:c r="B7982" s="0" t="s">
        <x:v>31790</x:v>
      </x:c>
      <x:c r="C7982" s="0" t="s">
        <x:v>31791</x:v>
      </x:c>
      <x:c r="E7982" s="0" t="s">
        <x:v>31792</x:v>
      </x:c>
      <x:c r="F7982" s="0" t="s">
        <x:v>45</x:v>
      </x:c>
      <x:c r="G7982" s="0" t="s">
        <x:v>19</x:v>
      </x:c>
      <x:c r="H7982" s="0" t="s">
        <x:v>20</x:v>
      </x:c>
      <x:c r="I7982" s="0" t="s">
        <x:v>21</x:v>
      </x:c>
      <x:c r="K7982" s="0">
        <x:f>hyperlink("https://icd.who.int/dev11/l-ichi/en#/http%3A%2F%2Fid.who.int%2Ficd%2Fentity%2F1680660324","browser")</x:f>
      </x:c>
      <x:c r="L7982" s="0">
        <x:f>hyperlink("https://icat2.azurewebsites.net/icat/?ontology=ICD&amp;tab=ClassesTab&amp;id=http%3A%2F%2Fwho.int%2Ficd%230_9cd760cf_9e71_4bdb_b2ea_a3ed07921568","iCat")</x:f>
      </x:c>
      <x:c r="M7982" s="0" t="s">
        <x:v>21</x:v>
      </x:c>
      <x:c r="N7982" s="0" t="s">
        <x:v>46</x:v>
      </x:c>
    </x:row>
    <x:row r="7983" spans="1:16">
      <x:c r="A7983" s="0" t="s">
        <x:v>31793</x:v>
      </x:c>
      <x:c r="B7983" s="0" t="s">
        <x:v>31794</x:v>
      </x:c>
      <x:c r="C7983" s="0" t="s">
        <x:v>31795</x:v>
      </x:c>
      <x:c r="E7983" s="0" t="s">
        <x:v>31796</x:v>
      </x:c>
      <x:c r="F7983" s="0" t="s">
        <x:v>45</x:v>
      </x:c>
      <x:c r="G7983" s="0" t="s">
        <x:v>19</x:v>
      </x:c>
      <x:c r="H7983" s="0" t="s">
        <x:v>20</x:v>
      </x:c>
      <x:c r="I7983" s="0" t="s">
        <x:v>21</x:v>
      </x:c>
      <x:c r="K7983" s="0">
        <x:f>hyperlink("https://icd.who.int/dev11/l-ichi/en#/http%3A%2F%2Fid.who.int%2Ficd%2Fentity%2F1448818983","browser")</x:f>
      </x:c>
      <x:c r="L7983" s="0">
        <x:f>hyperlink("https://icat2.azurewebsites.net/icat/?ontology=ICD&amp;tab=ClassesTab&amp;id=http%3A%2F%2Fwho.int%2Ficd%2347024_512ebf36_bf6b_4d70_85da_cf2637062af4","iCat")</x:f>
      </x:c>
      <x:c r="M7983" s="0" t="s">
        <x:v>21</x:v>
      </x:c>
      <x:c r="N7983" s="0" t="s">
        <x:v>46</x:v>
      </x:c>
    </x:row>
    <x:row r="7984" spans="1:16">
      <x:c r="A7984" s="0" t="s">
        <x:v>31797</x:v>
      </x:c>
      <x:c r="B7984" s="0" t="s">
        <x:v>31798</x:v>
      </x:c>
      <x:c r="C7984" s="0" t="s">
        <x:v>31799</x:v>
      </x:c>
      <x:c r="E7984" s="0" t="s">
        <x:v>31800</x:v>
      </x:c>
      <x:c r="F7984" s="0" t="s">
        <x:v>45</x:v>
      </x:c>
      <x:c r="G7984" s="0" t="s">
        <x:v>19</x:v>
      </x:c>
      <x:c r="H7984" s="0" t="s">
        <x:v>20</x:v>
      </x:c>
      <x:c r="I7984" s="0" t="s">
        <x:v>21</x:v>
      </x:c>
      <x:c r="K7984" s="0">
        <x:f>hyperlink("https://icd.who.int/dev11/l-ichi/en#/http%3A%2F%2Fid.who.int%2Ficd%2Fentity%2F694164026","browser")</x:f>
      </x:c>
      <x:c r="L7984" s="0">
        <x:f>hyperlink("https://icat2.azurewebsites.net/icat/?ontology=ICD&amp;tab=ClassesTab&amp;id=http%3A%2F%2Fwho.int%2Ficd%2347031_512ebf36_bf6b_4d70_85da_cf2637062af4","iCat")</x:f>
      </x:c>
      <x:c r="M7984" s="0" t="s">
        <x:v>21</x:v>
      </x:c>
      <x:c r="N7984" s="0" t="s">
        <x:v>46</x:v>
      </x:c>
    </x:row>
    <x:row r="7985" spans="1:16">
      <x:c r="A7985" s="0" t="s">
        <x:v>31801</x:v>
      </x:c>
      <x:c r="B7985" s="0" t="s">
        <x:v>31802</x:v>
      </x:c>
      <x:c r="C7985" s="0" t="s">
        <x:v>31803</x:v>
      </x:c>
      <x:c r="E7985" s="0" t="s">
        <x:v>31804</x:v>
      </x:c>
      <x:c r="F7985" s="0" t="s">
        <x:v>45</x:v>
      </x:c>
      <x:c r="G7985" s="0" t="s">
        <x:v>19</x:v>
      </x:c>
      <x:c r="H7985" s="0" t="s">
        <x:v>20</x:v>
      </x:c>
      <x:c r="I7985" s="0" t="s">
        <x:v>21</x:v>
      </x:c>
      <x:c r="K7985" s="0">
        <x:f>hyperlink("https://icd.who.int/dev11/l-ichi/en#/http%3A%2F%2Fid.who.int%2Ficd%2Fentity%2F878120661","browser")</x:f>
      </x:c>
      <x:c r="L7985" s="0">
        <x:f>hyperlink("https://icat2.azurewebsites.net/icat/?ontology=ICD&amp;tab=ClassesTab&amp;id=http%3A%2F%2Fwho.int%2Ficd%236_9cd760cf_9e71_4bdb_b2ea_a3ed07921568","iCat")</x:f>
      </x:c>
      <x:c r="M7985" s="0" t="s">
        <x:v>21</x:v>
      </x:c>
      <x:c r="N7985" s="0" t="s">
        <x:v>46</x:v>
      </x:c>
    </x:row>
    <x:row r="7986" spans="1:16">
      <x:c r="A7986" s="0" t="s">
        <x:v>31805</x:v>
      </x:c>
      <x:c r="B7986" s="0" t="s">
        <x:v>31806</x:v>
      </x:c>
      <x:c r="C7986" s="0" t="s">
        <x:v>31807</x:v>
      </x:c>
      <x:c r="E7986" s="0" t="s">
        <x:v>31808</x:v>
      </x:c>
      <x:c r="F7986" s="0" t="s">
        <x:v>45</x:v>
      </x:c>
      <x:c r="G7986" s="0" t="s">
        <x:v>19</x:v>
      </x:c>
      <x:c r="H7986" s="0" t="s">
        <x:v>20</x:v>
      </x:c>
      <x:c r="I7986" s="0" t="s">
        <x:v>21</x:v>
      </x:c>
      <x:c r="K7986" s="0">
        <x:f>hyperlink("https://icd.who.int/dev11/l-ichi/en#/http%3A%2F%2Fid.who.int%2Ficd%2Fentity%2F225909004","browser")</x:f>
      </x:c>
      <x:c r="L7986" s="0">
        <x:f>hyperlink("https://icat2.azurewebsites.net/icat/?ontology=ICD&amp;tab=ClassesTab&amp;id=http%3A%2F%2Fwho.int%2Ficd%2312_9cd760cf_9e71_4bdb_b2ea_a3ed07921568","iCat")</x:f>
      </x:c>
      <x:c r="M7986" s="0" t="s">
        <x:v>21</x:v>
      </x:c>
      <x:c r="N7986" s="0" t="s">
        <x:v>46</x:v>
      </x:c>
    </x:row>
    <x:row r="7987" spans="1:16">
      <x:c r="A7987" s="0" t="s">
        <x:v>31809</x:v>
      </x:c>
      <x:c r="B7987" s="0" t="s">
        <x:v>31810</x:v>
      </x:c>
      <x:c r="C7987" s="0" t="s">
        <x:v>31811</x:v>
      </x:c>
      <x:c r="E7987" s="0" t="s">
        <x:v>31812</x:v>
      </x:c>
      <x:c r="F7987" s="0" t="s">
        <x:v>45</x:v>
      </x:c>
      <x:c r="G7987" s="0" t="s">
        <x:v>19</x:v>
      </x:c>
      <x:c r="H7987" s="0" t="s">
        <x:v>20</x:v>
      </x:c>
      <x:c r="I7987" s="0" t="s">
        <x:v>21</x:v>
      </x:c>
      <x:c r="K7987" s="0">
        <x:f>hyperlink("https://icd.who.int/dev11/l-ichi/en#/http%3A%2F%2Fid.who.int%2Ficd%2Fentity%2F646608284","browser")</x:f>
      </x:c>
      <x:c r="L7987" s="0">
        <x:f>hyperlink("https://icat2.azurewebsites.net/icat/?ontology=ICD&amp;tab=ClassesTab&amp;id=http%3A%2F%2Fwho.int%2Ficd%2318_9cd760cf_9e71_4bdb_b2ea_a3ed07921568","iCat")</x:f>
      </x:c>
      <x:c r="M7987" s="0" t="s">
        <x:v>21</x:v>
      </x:c>
      <x:c r="N7987" s="0" t="s">
        <x:v>46</x:v>
      </x:c>
    </x:row>
    <x:row r="7988" spans="1:16">
      <x:c r="A7988" s="0" t="s">
        <x:v>31813</x:v>
      </x:c>
      <x:c r="B7988" s="0" t="s">
        <x:v>31814</x:v>
      </x:c>
      <x:c r="C7988" s="0" t="s">
        <x:v>31815</x:v>
      </x:c>
      <x:c r="E7988" s="0" t="s">
        <x:v>31816</x:v>
      </x:c>
      <x:c r="F7988" s="0" t="s">
        <x:v>45</x:v>
      </x:c>
      <x:c r="G7988" s="0" t="s">
        <x:v>19</x:v>
      </x:c>
      <x:c r="H7988" s="0" t="s">
        <x:v>20</x:v>
      </x:c>
      <x:c r="I7988" s="0" t="s">
        <x:v>21</x:v>
      </x:c>
      <x:c r="K7988" s="0">
        <x:f>hyperlink("https://icd.who.int/dev11/l-ichi/en#/http%3A%2F%2Fid.who.int%2Ficd%2Fentity%2F498958526","browser")</x:f>
      </x:c>
      <x:c r="L7988" s="0">
        <x:f>hyperlink("https://icat2.azurewebsites.net/icat/?ontology=ICD&amp;tab=ClassesTab&amp;id=http%3A%2F%2Fwho.int%2Ficd%2324_9cd760cf_9e71_4bdb_b2ea_a3ed07921568","iCat")</x:f>
      </x:c>
      <x:c r="M7988" s="0" t="s">
        <x:v>21</x:v>
      </x:c>
      <x:c r="N7988" s="0" t="s">
        <x:v>46</x:v>
      </x:c>
    </x:row>
    <x:row r="7989" spans="1:16">
      <x:c r="A7989" s="0" t="s">
        <x:v>31817</x:v>
      </x:c>
      <x:c r="B7989" s="0" t="s">
        <x:v>31818</x:v>
      </x:c>
      <x:c r="C7989" s="0" t="s">
        <x:v>31819</x:v>
      </x:c>
      <x:c r="E7989" s="0" t="s">
        <x:v>31820</x:v>
      </x:c>
      <x:c r="F7989" s="0" t="s">
        <x:v>45</x:v>
      </x:c>
      <x:c r="G7989" s="0" t="s">
        <x:v>19</x:v>
      </x:c>
      <x:c r="H7989" s="0" t="s">
        <x:v>20</x:v>
      </x:c>
      <x:c r="I7989" s="0" t="s">
        <x:v>21</x:v>
      </x:c>
      <x:c r="K7989" s="0">
        <x:f>hyperlink("https://icd.who.int/dev11/l-ichi/en#/http%3A%2F%2Fid.who.int%2Ficd%2Fentity%2F1115672991","browser")</x:f>
      </x:c>
      <x:c r="L7989" s="0">
        <x:f>hyperlink("https://icat2.azurewebsites.net/icat/?ontology=ICD&amp;tab=ClassesTab&amp;id=http%3A%2F%2Fwho.int%2Ficd%2330_9cd760cf_9e71_4bdb_b2ea_a3ed07921568","iCat")</x:f>
      </x:c>
      <x:c r="M7989" s="0" t="s">
        <x:v>21</x:v>
      </x:c>
      <x:c r="N7989" s="0" t="s">
        <x:v>46</x:v>
      </x:c>
    </x:row>
    <x:row r="7990" spans="1:16">
      <x:c r="A7990" s="0" t="s">
        <x:v>31821</x:v>
      </x:c>
      <x:c r="B7990" s="0" t="s">
        <x:v>31822</x:v>
      </x:c>
      <x:c r="C7990" s="0" t="s">
        <x:v>31823</x:v>
      </x:c>
      <x:c r="E7990" s="0" t="s">
        <x:v>31824</x:v>
      </x:c>
      <x:c r="F7990" s="0" t="s">
        <x:v>45</x:v>
      </x:c>
      <x:c r="G7990" s="0" t="s">
        <x:v>19</x:v>
      </x:c>
      <x:c r="H7990" s="0" t="s">
        <x:v>20</x:v>
      </x:c>
      <x:c r="I7990" s="0" t="s">
        <x:v>21</x:v>
      </x:c>
      <x:c r="K7990" s="0">
        <x:f>hyperlink("https://icd.who.int/dev11/l-ichi/en#/http%3A%2F%2Fid.who.int%2Ficd%2Fentity%2F302254128","browser")</x:f>
      </x:c>
      <x:c r="L7990" s="0">
        <x:f>hyperlink("https://icat2.azurewebsites.net/icat/?ontology=ICD&amp;tab=ClassesTab&amp;id=http%3A%2F%2Fwho.int%2Ficd%2336_9cd760cf_9e71_4bdb_b2ea_a3ed07921568","iCat")</x:f>
      </x:c>
      <x:c r="M7990" s="0" t="s">
        <x:v>21</x:v>
      </x:c>
      <x:c r="N7990" s="0" t="s">
        <x:v>46</x:v>
      </x:c>
    </x:row>
    <x:row r="7991" spans="1:16">
      <x:c r="A7991" s="0" t="s">
        <x:v>31825</x:v>
      </x:c>
      <x:c r="B7991" s="0" t="s">
        <x:v>31826</x:v>
      </x:c>
      <x:c r="C7991" s="0" t="s">
        <x:v>31827</x:v>
      </x:c>
      <x:c r="E7991" s="0" t="s">
        <x:v>31828</x:v>
      </x:c>
      <x:c r="F7991" s="0" t="s">
        <x:v>45</x:v>
      </x:c>
      <x:c r="G7991" s="0" t="s">
        <x:v>19</x:v>
      </x:c>
      <x:c r="H7991" s="0" t="s">
        <x:v>20</x:v>
      </x:c>
      <x:c r="I7991" s="0" t="s">
        <x:v>21</x:v>
      </x:c>
      <x:c r="K7991" s="0">
        <x:f>hyperlink("https://icd.who.int/dev11/l-ichi/en#/http%3A%2F%2Fid.who.int%2Ficd%2Fentity%2F399892290","browser")</x:f>
      </x:c>
      <x:c r="L7991" s="0">
        <x:f>hyperlink("https://icat2.azurewebsites.net/icat/?ontology=ICD&amp;tab=ClassesTab&amp;id=http%3A%2F%2Fwho.int%2Ficd%2342_9cd760cf_9e71_4bdb_b2ea_a3ed07921568","iCat")</x:f>
      </x:c>
      <x:c r="M7991" s="0" t="s">
        <x:v>21</x:v>
      </x:c>
      <x:c r="N7991" s="0" t="s">
        <x:v>46</x:v>
      </x:c>
    </x:row>
    <x:row r="7992" spans="1:16">
      <x:c r="A7992" s="0" t="s">
        <x:v>31829</x:v>
      </x:c>
      <x:c r="B7992" s="0" t="s">
        <x:v>31830</x:v>
      </x:c>
      <x:c r="C7992" s="0" t="s">
        <x:v>31831</x:v>
      </x:c>
      <x:c r="E7992" s="0" t="s">
        <x:v>31832</x:v>
      </x:c>
      <x:c r="F7992" s="0" t="s">
        <x:v>45</x:v>
      </x:c>
      <x:c r="G7992" s="0" t="s">
        <x:v>19</x:v>
      </x:c>
      <x:c r="H7992" s="0" t="s">
        <x:v>20</x:v>
      </x:c>
      <x:c r="I7992" s="0" t="s">
        <x:v>21</x:v>
      </x:c>
      <x:c r="K7992" s="0">
        <x:f>hyperlink("https://icd.who.int/dev11/l-ichi/en#/http%3A%2F%2Fid.who.int%2Ficd%2Fentity%2F1192761681","browser")</x:f>
      </x:c>
      <x:c r="L7992" s="0">
        <x:f>hyperlink("https://icat2.azurewebsites.net/icat/?ontology=ICD&amp;tab=ClassesTab&amp;id=http%3A%2F%2Fwho.int%2Ficd%2347038_512ebf36_bf6b_4d70_85da_cf2637062af4","iCat")</x:f>
      </x:c>
      <x:c r="M7992" s="0" t="s">
        <x:v>21</x:v>
      </x:c>
      <x:c r="N7992" s="0" t="s">
        <x:v>46</x:v>
      </x:c>
    </x:row>
    <x:row r="7993" spans="1:16">
      <x:c r="A7993" s="0" t="s">
        <x:v>31833</x:v>
      </x:c>
      <x:c r="B7993" s="0" t="s">
        <x:v>31834</x:v>
      </x:c>
      <x:c r="C7993" s="0" t="s">
        <x:v>31835</x:v>
      </x:c>
      <x:c r="E7993" s="0" t="s">
        <x:v>31836</x:v>
      </x:c>
      <x:c r="F7993" s="0" t="s">
        <x:v>45</x:v>
      </x:c>
      <x:c r="G7993" s="0" t="s">
        <x:v>19</x:v>
      </x:c>
      <x:c r="H7993" s="0" t="s">
        <x:v>20</x:v>
      </x:c>
      <x:c r="I7993" s="0" t="s">
        <x:v>21</x:v>
      </x:c>
      <x:c r="K7993" s="0">
        <x:f>hyperlink("https://icd.who.int/dev11/l-ichi/en#/http%3A%2F%2Fid.who.int%2Ficd%2Fentity%2F1009300434","browser")</x:f>
      </x:c>
      <x:c r="L7993" s="0">
        <x:f>hyperlink("https://icat2.azurewebsites.net/icat/?ontology=ICD&amp;tab=ClassesTab&amp;id=http%3A%2F%2Fwho.int%2Ficd%2348_9cd760cf_9e71_4bdb_b2ea_a3ed07921568","iCat")</x:f>
      </x:c>
      <x:c r="M7993" s="0" t="s">
        <x:v>21</x:v>
      </x:c>
      <x:c r="N7993" s="0" t="s">
        <x:v>46</x:v>
      </x:c>
    </x:row>
    <x:row r="7994" spans="1:16">
      <x:c r="A7994" s="0" t="s">
        <x:v>31837</x:v>
      </x:c>
      <x:c r="B7994" s="0" t="s">
        <x:v>31838</x:v>
      </x:c>
      <x:c r="C7994" s="0" t="s">
        <x:v>31839</x:v>
      </x:c>
      <x:c r="E7994" s="0" t="s">
        <x:v>31840</x:v>
      </x:c>
      <x:c r="F7994" s="0" t="s">
        <x:v>45</x:v>
      </x:c>
      <x:c r="G7994" s="0" t="s">
        <x:v>19</x:v>
      </x:c>
      <x:c r="H7994" s="0" t="s">
        <x:v>20</x:v>
      </x:c>
      <x:c r="I7994" s="0" t="s">
        <x:v>21</x:v>
      </x:c>
      <x:c r="K7994" s="0">
        <x:f>hyperlink("https://icd.who.int/dev11/l-ichi/en#/http%3A%2F%2Fid.who.int%2Ficd%2Fentity%2F762024870","browser")</x:f>
      </x:c>
      <x:c r="L7994" s="0">
        <x:f>hyperlink("https://icat2.azurewebsites.net/icat/?ontology=ICD&amp;tab=ClassesTab&amp;id=http%3A%2F%2Fwho.int%2Ficd%2354_9cd760cf_9e71_4bdb_b2ea_a3ed07921568","iCat")</x:f>
      </x:c>
      <x:c r="M7994" s="0" t="s">
        <x:v>21</x:v>
      </x:c>
      <x:c r="N7994" s="0" t="s">
        <x:v>46</x:v>
      </x:c>
    </x:row>
    <x:row r="7995" spans="1:16">
      <x:c r="A7995" s="0" t="s">
        <x:v>31841</x:v>
      </x:c>
      <x:c r="B7995" s="0" t="s">
        <x:v>31842</x:v>
      </x:c>
      <x:c r="C7995" s="0" t="s">
        <x:v>31843</x:v>
      </x:c>
      <x:c r="E7995" s="0" t="s">
        <x:v>31844</x:v>
      </x:c>
      <x:c r="F7995" s="0" t="s">
        <x:v>45</x:v>
      </x:c>
      <x:c r="G7995" s="0" t="s">
        <x:v>19</x:v>
      </x:c>
      <x:c r="H7995" s="0" t="s">
        <x:v>20</x:v>
      </x:c>
      <x:c r="I7995" s="0" t="s">
        <x:v>21</x:v>
      </x:c>
      <x:c r="K7995" s="0">
        <x:f>hyperlink("https://icd.who.int/dev11/l-ichi/en#/http%3A%2F%2Fid.who.int%2Ficd%2Fentity%2F1490884565","browser")</x:f>
      </x:c>
      <x:c r="L7995" s="0">
        <x:f>hyperlink("https://icat2.azurewebsites.net/icat/?ontology=ICD&amp;tab=ClassesTab&amp;id=http%3A%2F%2Fwho.int%2Ficd%2360_9cd760cf_9e71_4bdb_b2ea_a3ed07921568","iCat")</x:f>
      </x:c>
      <x:c r="M7995" s="0" t="s">
        <x:v>21</x:v>
      </x:c>
      <x:c r="N7995" s="0" t="s">
        <x:v>46</x:v>
      </x:c>
    </x:row>
    <x:row r="7996" spans="1:16">
      <x:c r="A7996" s="0" t="s">
        <x:v>31845</x:v>
      </x:c>
      <x:c r="B7996" s="0" t="s">
        <x:v>31846</x:v>
      </x:c>
      <x:c r="C7996" s="0" t="s">
        <x:v>31847</x:v>
      </x:c>
      <x:c r="E7996" s="0" t="s">
        <x:v>31848</x:v>
      </x:c>
      <x:c r="F7996" s="0" t="s">
        <x:v>45</x:v>
      </x:c>
      <x:c r="G7996" s="0" t="s">
        <x:v>19</x:v>
      </x:c>
      <x:c r="H7996" s="0" t="s">
        <x:v>20</x:v>
      </x:c>
      <x:c r="I7996" s="0" t="s">
        <x:v>21</x:v>
      </x:c>
      <x:c r="K7996" s="0">
        <x:f>hyperlink("https://icd.who.int/dev11/l-ichi/en#/http%3A%2F%2Fid.who.int%2Ficd%2Fentity%2F1594930893","browser")</x:f>
      </x:c>
      <x:c r="L7996" s="0">
        <x:f>hyperlink("https://icat2.azurewebsites.net/icat/?ontology=ICD&amp;tab=ClassesTab&amp;id=http%3A%2F%2Fwho.int%2Ficd%2347_60b821c4_cabc_4b81_9563_cb99d74167d5","iCat")</x:f>
      </x:c>
      <x:c r="M7996" s="0" t="s">
        <x:v>21</x:v>
      </x:c>
      <x:c r="N7996" s="0" t="s">
        <x:v>46</x:v>
      </x:c>
    </x:row>
    <x:row r="7997" spans="1:16">
      <x:c r="A7997" s="0" t="s">
        <x:v>31849</x:v>
      </x:c>
      <x:c r="B7997" s="0" t="s">
        <x:v>31850</x:v>
      </x:c>
      <x:c r="C7997" s="0" t="s">
        <x:v>31851</x:v>
      </x:c>
      <x:c r="E7997" s="0" t="s">
        <x:v>31852</x:v>
      </x:c>
      <x:c r="F7997" s="0" t="s">
        <x:v>45</x:v>
      </x:c>
      <x:c r="G7997" s="0" t="s">
        <x:v>19</x:v>
      </x:c>
      <x:c r="H7997" s="0" t="s">
        <x:v>20</x:v>
      </x:c>
      <x:c r="I7997" s="0" t="s">
        <x:v>21</x:v>
      </x:c>
      <x:c r="K7997" s="0">
        <x:f>hyperlink("https://icd.who.int/dev11/l-ichi/en#/http%3A%2F%2Fid.who.int%2Ficd%2Fentity%2F145149542","browser")</x:f>
      </x:c>
      <x:c r="L7997" s="0">
        <x:f>hyperlink("https://icat2.azurewebsites.net/icat/?ontology=ICD&amp;tab=ClassesTab&amp;id=http%3A%2F%2Fwho.int%2Ficd%2366_9cd760cf_9e71_4bdb_b2ea_a3ed07921568","iCat")</x:f>
      </x:c>
      <x:c r="M7997" s="0" t="s">
        <x:v>21</x:v>
      </x:c>
      <x:c r="N7997" s="0" t="s">
        <x:v>46</x:v>
      </x:c>
    </x:row>
    <x:row r="7998" spans="1:16">
      <x:c r="A7998" s="0" t="s">
        <x:v>31853</x:v>
      </x:c>
      <x:c r="B7998" s="0" t="s">
        <x:v>31854</x:v>
      </x:c>
      <x:c r="C7998" s="0" t="s">
        <x:v>31855</x:v>
      </x:c>
      <x:c r="E7998" s="0" t="s">
        <x:v>31856</x:v>
      </x:c>
      <x:c r="F7998" s="0" t="s">
        <x:v>45</x:v>
      </x:c>
      <x:c r="G7998" s="0" t="s">
        <x:v>19</x:v>
      </x:c>
      <x:c r="H7998" s="0" t="s">
        <x:v>20</x:v>
      </x:c>
      <x:c r="I7998" s="0" t="s">
        <x:v>21</x:v>
      </x:c>
      <x:c r="K7998" s="0">
        <x:f>hyperlink("https://icd.who.int/dev11/l-ichi/en#/http%3A%2F%2Fid.who.int%2Ficd%2Fentity%2F1466212167","browser")</x:f>
      </x:c>
      <x:c r="L7998" s="0">
        <x:f>hyperlink("https://icat2.azurewebsites.net/icat/?ontology=ICD&amp;tab=ClassesTab&amp;id=http%3A%2F%2Fwho.int%2Ficd%2372_9cd760cf_9e71_4bdb_b2ea_a3ed07921568","iCat")</x:f>
      </x:c>
      <x:c r="M7998" s="0" t="s">
        <x:v>21</x:v>
      </x:c>
      <x:c r="N7998" s="0" t="s">
        <x:v>46</x:v>
      </x:c>
    </x:row>
    <x:row r="7999" spans="1:16">
      <x:c r="A7999" s="0" t="s">
        <x:v>31857</x:v>
      </x:c>
      <x:c r="B7999" s="0" t="s">
        <x:v>31858</x:v>
      </x:c>
      <x:c r="C7999" s="0" t="s">
        <x:v>31859</x:v>
      </x:c>
      <x:c r="E7999" s="0" t="s">
        <x:v>31860</x:v>
      </x:c>
      <x:c r="F7999" s="0" t="s">
        <x:v>45</x:v>
      </x:c>
      <x:c r="G7999" s="0" t="s">
        <x:v>19</x:v>
      </x:c>
      <x:c r="H7999" s="0" t="s">
        <x:v>20</x:v>
      </x:c>
      <x:c r="I7999" s="0" t="s">
        <x:v>21</x:v>
      </x:c>
      <x:c r="K7999" s="0">
        <x:f>hyperlink("https://icd.who.int/dev11/l-ichi/en#/http%3A%2F%2Fid.who.int%2Ficd%2Fentity%2F2090464215","browser")</x:f>
      </x:c>
      <x:c r="L7999" s="0">
        <x:f>hyperlink("https://icat2.azurewebsites.net/icat/?ontology=ICD&amp;tab=ClassesTab&amp;id=http%3A%2F%2Fwho.int%2Ficd%2378_9cd760cf_9e71_4bdb_b2ea_a3ed07921568","iCat")</x:f>
      </x:c>
      <x:c r="M7999" s="0" t="s">
        <x:v>21</x:v>
      </x:c>
      <x:c r="N7999" s="0" t="s">
        <x:v>46</x:v>
      </x:c>
    </x:row>
    <x:row r="8000" spans="1:16">
      <x:c r="A8000" s="0" t="s">
        <x:v>31861</x:v>
      </x:c>
      <x:c r="B8000" s="0" t="s">
        <x:v>31862</x:v>
      </x:c>
      <x:c r="C8000" s="0" t="s">
        <x:v>31863</x:v>
      </x:c>
      <x:c r="E8000" s="0" t="s">
        <x:v>31864</x:v>
      </x:c>
      <x:c r="F8000" s="0" t="s">
        <x:v>45</x:v>
      </x:c>
      <x:c r="G8000" s="0" t="s">
        <x:v>19</x:v>
      </x:c>
      <x:c r="H8000" s="0" t="s">
        <x:v>20</x:v>
      </x:c>
      <x:c r="I8000" s="0" t="s">
        <x:v>21</x:v>
      </x:c>
      <x:c r="K8000" s="0">
        <x:f>hyperlink("https://icd.who.int/dev11/l-ichi/en#/http%3A%2F%2Fid.who.int%2Ficd%2Fentity%2F687344682","browser")</x:f>
      </x:c>
      <x:c r="L8000" s="0">
        <x:f>hyperlink("https://icat2.azurewebsites.net/icat/?ontology=ICD&amp;tab=ClassesTab&amp;id=http%3A%2F%2Fwho.int%2Ficd%2384_9cd760cf_9e71_4bdb_b2ea_a3ed07921568","iCat")</x:f>
      </x:c>
      <x:c r="M8000" s="0" t="s">
        <x:v>21</x:v>
      </x:c>
      <x:c r="N8000" s="0" t="s">
        <x:v>46</x:v>
      </x:c>
    </x:row>
    <x:row r="8001" spans="1:16">
      <x:c r="A8001" s="0" t="s">
        <x:v>31865</x:v>
      </x:c>
      <x:c r="B8001" s="0" t="s">
        <x:v>31866</x:v>
      </x:c>
      <x:c r="C8001" s="0" t="s">
        <x:v>31867</x:v>
      </x:c>
      <x:c r="E8001" s="0" t="s">
        <x:v>31868</x:v>
      </x:c>
      <x:c r="F8001" s="0" t="s">
        <x:v>45</x:v>
      </x:c>
      <x:c r="G8001" s="0" t="s">
        <x:v>19</x:v>
      </x:c>
      <x:c r="H8001" s="0" t="s">
        <x:v>20</x:v>
      </x:c>
      <x:c r="I8001" s="0" t="s">
        <x:v>21</x:v>
      </x:c>
      <x:c r="K8001" s="0">
        <x:f>hyperlink("https://icd.who.int/dev11/l-ichi/en#/http%3A%2F%2Fid.who.int%2Ficd%2Fentity%2F2000313611","browser")</x:f>
      </x:c>
      <x:c r="L8001" s="0">
        <x:f>hyperlink("https://icat2.azurewebsites.net/icat/?ontology=ICD&amp;tab=ClassesTab&amp;id=http%3A%2F%2Fwho.int%2Ficd%2390_9cd760cf_9e71_4bdb_b2ea_a3ed07921568","iCat")</x:f>
      </x:c>
      <x:c r="M8001" s="0" t="s">
        <x:v>21</x:v>
      </x:c>
      <x:c r="N8001" s="0" t="s">
        <x:v>46</x:v>
      </x:c>
    </x:row>
    <x:row r="8002" spans="1:16">
      <x:c r="A8002" s="0" t="s">
        <x:v>31869</x:v>
      </x:c>
      <x:c r="B8002" s="0" t="s">
        <x:v>31870</x:v>
      </x:c>
      <x:c r="C8002" s="0" t="s">
        <x:v>31871</x:v>
      </x:c>
      <x:c r="E8002" s="0" t="s">
        <x:v>31872</x:v>
      </x:c>
      <x:c r="F8002" s="0" t="s">
        <x:v>45</x:v>
      </x:c>
      <x:c r="G8002" s="0" t="s">
        <x:v>19</x:v>
      </x:c>
      <x:c r="H8002" s="0" t="s">
        <x:v>20</x:v>
      </x:c>
      <x:c r="I8002" s="0" t="s">
        <x:v>21</x:v>
      </x:c>
      <x:c r="K8002" s="0">
        <x:f>hyperlink("https://icd.who.int/dev11/l-ichi/en#/http%3A%2F%2Fid.who.int%2Ficd%2Fentity%2F658605244","browser")</x:f>
      </x:c>
      <x:c r="L8002" s="0">
        <x:f>hyperlink("https://icat2.azurewebsites.net/icat/?ontology=ICD&amp;tab=ClassesTab&amp;id=http%3A%2F%2Fwho.int%2Ficd%2396_9cd760cf_9e71_4bdb_b2ea_a3ed07921568","iCat")</x:f>
      </x:c>
      <x:c r="M8002" s="0" t="s">
        <x:v>21</x:v>
      </x:c>
      <x:c r="N8002" s="0" t="s">
        <x:v>46</x:v>
      </x:c>
    </x:row>
    <x:row r="8003" spans="1:16">
      <x:c r="A8003" s="0" t="s">
        <x:v>31873</x:v>
      </x:c>
      <x:c r="B8003" s="0" t="s">
        <x:v>31874</x:v>
      </x:c>
      <x:c r="C8003" s="0" t="s">
        <x:v>31875</x:v>
      </x:c>
      <x:c r="E8003" s="0" t="s">
        <x:v>31876</x:v>
      </x:c>
      <x:c r="F8003" s="0" t="s">
        <x:v>45</x:v>
      </x:c>
      <x:c r="G8003" s="0" t="s">
        <x:v>19</x:v>
      </x:c>
      <x:c r="H8003" s="0" t="s">
        <x:v>20</x:v>
      </x:c>
      <x:c r="I8003" s="0" t="s">
        <x:v>21</x:v>
      </x:c>
      <x:c r="K8003" s="0">
        <x:f>hyperlink("https://icd.who.int/dev11/l-ichi/en#/http%3A%2F%2Fid.who.int%2Ficd%2Fentity%2F1834567049","browser")</x:f>
      </x:c>
      <x:c r="L8003" s="0">
        <x:f>hyperlink("https://icat2.azurewebsites.net/icat/?ontology=ICD&amp;tab=ClassesTab&amp;id=http%3A%2F%2Fwho.int%2Ficd%23102_9cd760cf_9e71_4bdb_b2ea_a3ed07921568","iCat")</x:f>
      </x:c>
      <x:c r="M8003" s="0" t="s">
        <x:v>21</x:v>
      </x:c>
      <x:c r="N8003" s="0" t="s">
        <x:v>46</x:v>
      </x:c>
    </x:row>
    <x:row r="8004" spans="1:16">
      <x:c r="A8004" s="0" t="s">
        <x:v>31877</x:v>
      </x:c>
      <x:c r="B8004" s="0" t="s">
        <x:v>31878</x:v>
      </x:c>
      <x:c r="C8004" s="0" t="s">
        <x:v>31879</x:v>
      </x:c>
      <x:c r="E8004" s="0" t="s">
        <x:v>31880</x:v>
      </x:c>
      <x:c r="F8004" s="0" t="s">
        <x:v>45</x:v>
      </x:c>
      <x:c r="G8004" s="0" t="s">
        <x:v>19</x:v>
      </x:c>
      <x:c r="H8004" s="0" t="s">
        <x:v>20</x:v>
      </x:c>
      <x:c r="I8004" s="0" t="s">
        <x:v>21</x:v>
      </x:c>
      <x:c r="K8004" s="0">
        <x:f>hyperlink("https://icd.who.int/dev11/l-ichi/en#/http%3A%2F%2Fid.who.int%2Ficd%2Fentity%2F1185163545","browser")</x:f>
      </x:c>
      <x:c r="L8004" s="0">
        <x:f>hyperlink("https://icat2.azurewebsites.net/icat/?ontology=ICD&amp;tab=ClassesTab&amp;id=http%3A%2F%2Fwho.int%2Ficd%23108_9cd760cf_9e71_4bdb_b2ea_a3ed07921568","iCat")</x:f>
      </x:c>
      <x:c r="M8004" s="0" t="s">
        <x:v>21</x:v>
      </x:c>
      <x:c r="N8004" s="0" t="s">
        <x:v>46</x:v>
      </x:c>
    </x:row>
    <x:row r="8005" spans="1:16">
      <x:c r="A8005" s="0" t="s">
        <x:v>31881</x:v>
      </x:c>
      <x:c r="B8005" s="0" t="s">
        <x:v>31882</x:v>
      </x:c>
      <x:c r="C8005" s="0" t="s">
        <x:v>31883</x:v>
      </x:c>
      <x:c r="E8005" s="0" t="s">
        <x:v>31884</x:v>
      </x:c>
      <x:c r="F8005" s="0" t="s">
        <x:v>45</x:v>
      </x:c>
      <x:c r="G8005" s="0" t="s">
        <x:v>19</x:v>
      </x:c>
      <x:c r="H8005" s="0" t="s">
        <x:v>20</x:v>
      </x:c>
      <x:c r="I8005" s="0" t="s">
        <x:v>21</x:v>
      </x:c>
      <x:c r="K8005" s="0">
        <x:f>hyperlink("https://icd.who.int/dev11/l-ichi/en#/http%3A%2F%2Fid.who.int%2Ficd%2Fentity%2F1474759023","browser")</x:f>
      </x:c>
      <x:c r="L8005" s="0">
        <x:f>hyperlink("https://icat2.azurewebsites.net/icat/?ontology=ICD&amp;tab=ClassesTab&amp;id=http%3A%2F%2Fwho.int%2Ficd%23114_9cd760cf_9e71_4bdb_b2ea_a3ed07921568","iCat")</x:f>
      </x:c>
      <x:c r="M8005" s="0" t="s">
        <x:v>21</x:v>
      </x:c>
      <x:c r="N8005" s="0" t="s">
        <x:v>46</x:v>
      </x:c>
    </x:row>
    <x:row r="8006" spans="1:16">
      <x:c r="A8006" s="0" t="s">
        <x:v>31885</x:v>
      </x:c>
      <x:c r="B8006" s="0" t="s">
        <x:v>31886</x:v>
      </x:c>
      <x:c r="C8006" s="0" t="s">
        <x:v>31887</x:v>
      </x:c>
      <x:c r="E8006" s="0" t="s">
        <x:v>31888</x:v>
      </x:c>
      <x:c r="F8006" s="0" t="s">
        <x:v>45</x:v>
      </x:c>
      <x:c r="G8006" s="0" t="s">
        <x:v>19</x:v>
      </x:c>
      <x:c r="H8006" s="0" t="s">
        <x:v>20</x:v>
      </x:c>
      <x:c r="I8006" s="0" t="s">
        <x:v>21</x:v>
      </x:c>
      <x:c r="K8006" s="0">
        <x:f>hyperlink("https://icd.who.int/dev11/l-ichi/en#/http%3A%2F%2Fid.who.int%2Ficd%2Fentity%2F575769886","browser")</x:f>
      </x:c>
      <x:c r="L8006" s="0">
        <x:f>hyperlink("https://icat2.azurewebsites.net/icat/?ontology=ICD&amp;tab=ClassesTab&amp;id=http%3A%2F%2Fwho.int%2Ficd%23120_9cd760cf_9e71_4bdb_b2ea_a3ed07921568","iCat")</x:f>
      </x:c>
      <x:c r="M8006" s="0" t="s">
        <x:v>21</x:v>
      </x:c>
      <x:c r="N8006" s="0" t="s">
        <x:v>46</x:v>
      </x:c>
    </x:row>
    <x:row r="8007" spans="1:16">
      <x:c r="A8007" s="0" t="s">
        <x:v>31889</x:v>
      </x:c>
      <x:c r="B8007" s="0" t="s">
        <x:v>31890</x:v>
      </x:c>
      <x:c r="C8007" s="0" t="s">
        <x:v>31891</x:v>
      </x:c>
      <x:c r="E8007" s="0" t="s">
        <x:v>31892</x:v>
      </x:c>
      <x:c r="F8007" s="0" t="s">
        <x:v>45</x:v>
      </x:c>
      <x:c r="G8007" s="0" t="s">
        <x:v>19</x:v>
      </x:c>
      <x:c r="H8007" s="0" t="s">
        <x:v>20</x:v>
      </x:c>
      <x:c r="I8007" s="0" t="s">
        <x:v>21</x:v>
      </x:c>
      <x:c r="K8007" s="0">
        <x:f>hyperlink("https://icd.who.int/dev11/l-ichi/en#/http%3A%2F%2Fid.who.int%2Ficd%2Fentity%2F1915376813","browser")</x:f>
      </x:c>
      <x:c r="L8007" s="0">
        <x:f>hyperlink("https://icat2.azurewebsites.net/icat/?ontology=ICD&amp;tab=ClassesTab&amp;id=http%3A%2F%2Fwho.int%2Ficd%23126_9cd760cf_9e71_4bdb_b2ea_a3ed07921568","iCat")</x:f>
      </x:c>
      <x:c r="M8007" s="0" t="s">
        <x:v>21</x:v>
      </x:c>
      <x:c r="N8007" s="0" t="s">
        <x:v>46</x:v>
      </x:c>
    </x:row>
    <x:row r="8008" spans="1:16">
      <x:c r="A8008" s="0" t="s">
        <x:v>31893</x:v>
      </x:c>
      <x:c r="B8008" s="0" t="s">
        <x:v>31894</x:v>
      </x:c>
      <x:c r="C8008" s="0" t="s">
        <x:v>31895</x:v>
      </x:c>
      <x:c r="E8008" s="0" t="s">
        <x:v>31896</x:v>
      </x:c>
      <x:c r="F8008" s="0" t="s">
        <x:v>45</x:v>
      </x:c>
      <x:c r="G8008" s="0" t="s">
        <x:v>19</x:v>
      </x:c>
      <x:c r="H8008" s="0" t="s">
        <x:v>20</x:v>
      </x:c>
      <x:c r="I8008" s="0" t="s">
        <x:v>21</x:v>
      </x:c>
      <x:c r="K8008" s="0">
        <x:f>hyperlink("https://icd.who.int/dev11/l-ichi/en#/http%3A%2F%2Fid.who.int%2Ficd%2Fentity%2F770180496","browser")</x:f>
      </x:c>
      <x:c r="L8008" s="0">
        <x:f>hyperlink("https://icat2.azurewebsites.net/icat/?ontology=ICD&amp;tab=ClassesTab&amp;id=http%3A%2F%2Fwho.int%2Ficd%23132_9cd760cf_9e71_4bdb_b2ea_a3ed07921568","iCat")</x:f>
      </x:c>
      <x:c r="M8008" s="0" t="s">
        <x:v>21</x:v>
      </x:c>
      <x:c r="N8008" s="0" t="s">
        <x:v>46</x:v>
      </x:c>
    </x:row>
    <x:row r="8009" spans="1:16">
      <x:c r="A8009" s="0" t="s">
        <x:v>31897</x:v>
      </x:c>
      <x:c r="B8009" s="0" t="s">
        <x:v>31898</x:v>
      </x:c>
      <x:c r="C8009" s="0" t="s">
        <x:v>31899</x:v>
      </x:c>
      <x:c r="E8009" s="0" t="s">
        <x:v>31900</x:v>
      </x:c>
      <x:c r="F8009" s="0" t="s">
        <x:v>45</x:v>
      </x:c>
      <x:c r="G8009" s="0" t="s">
        <x:v>19</x:v>
      </x:c>
      <x:c r="H8009" s="0" t="s">
        <x:v>20</x:v>
      </x:c>
      <x:c r="I8009" s="0" t="s">
        <x:v>21</x:v>
      </x:c>
      <x:c r="K8009" s="0">
        <x:f>hyperlink("https://icd.who.int/dev11/l-ichi/en#/http%3A%2F%2Fid.who.int%2Ficd%2Fentity%2F102066464","browser")</x:f>
      </x:c>
      <x:c r="L8009" s="0">
        <x:f>hyperlink("https://icat2.azurewebsites.net/icat/?ontology=ICD&amp;tab=ClassesTab&amp;id=http%3A%2F%2Fwho.int%2Ficd%23138_9cd760cf_9e71_4bdb_b2ea_a3ed07921568","iCat")</x:f>
      </x:c>
      <x:c r="M8009" s="0" t="s">
        <x:v>21</x:v>
      </x:c>
      <x:c r="N8009" s="0" t="s">
        <x:v>46</x:v>
      </x:c>
    </x:row>
    <x:row r="8010" spans="1:16">
      <x:c r="A8010" s="0" t="s">
        <x:v>31901</x:v>
      </x:c>
      <x:c r="B8010" s="0" t="s">
        <x:v>31902</x:v>
      </x:c>
      <x:c r="C8010" s="0" t="s">
        <x:v>31903</x:v>
      </x:c>
      <x:c r="E8010" s="0" t="s">
        <x:v>31904</x:v>
      </x:c>
      <x:c r="F8010" s="0" t="s">
        <x:v>45</x:v>
      </x:c>
      <x:c r="G8010" s="0" t="s">
        <x:v>19</x:v>
      </x:c>
      <x:c r="H8010" s="0" t="s">
        <x:v>20</x:v>
      </x:c>
      <x:c r="I8010" s="0" t="s">
        <x:v>21</x:v>
      </x:c>
      <x:c r="K8010" s="0">
        <x:f>hyperlink("https://icd.who.int/dev11/l-ichi/en#/http%3A%2F%2Fid.who.int%2Ficd%2Fentity%2F1296420645","browser")</x:f>
      </x:c>
      <x:c r="L8010" s="0">
        <x:f>hyperlink("https://icat2.azurewebsites.net/icat/?ontology=ICD&amp;tab=ClassesTab&amp;id=http%3A%2F%2Fwho.int%2Ficd%23144_9cd760cf_9e71_4bdb_b2ea_a3ed07921568","iCat")</x:f>
      </x:c>
      <x:c r="M8010" s="0" t="s">
        <x:v>21</x:v>
      </x:c>
      <x:c r="N8010" s="0" t="s">
        <x:v>46</x:v>
      </x:c>
    </x:row>
    <x:row r="8011" spans="1:16">
      <x:c r="A8011" s="0" t="s">
        <x:v>31905</x:v>
      </x:c>
      <x:c r="B8011" s="0" t="s">
        <x:v>31906</x:v>
      </x:c>
      <x:c r="C8011" s="0" t="s">
        <x:v>31907</x:v>
      </x:c>
      <x:c r="E8011" s="0" t="s">
        <x:v>31908</x:v>
      </x:c>
      <x:c r="F8011" s="0" t="s">
        <x:v>45</x:v>
      </x:c>
      <x:c r="G8011" s="0" t="s">
        <x:v>19</x:v>
      </x:c>
      <x:c r="H8011" s="0" t="s">
        <x:v>20</x:v>
      </x:c>
      <x:c r="I8011" s="0" t="s">
        <x:v>21</x:v>
      </x:c>
      <x:c r="K8011" s="0">
        <x:f>hyperlink("https://icd.who.int/dev11/l-ichi/en#/http%3A%2F%2Fid.who.int%2Ficd%2Fentity%2F310877702","browser")</x:f>
      </x:c>
      <x:c r="L8011" s="0">
        <x:f>hyperlink("https://icat2.azurewebsites.net/icat/?ontology=ICD&amp;tab=ClassesTab&amp;id=http%3A%2F%2Fwho.int%2Ficd%23150_9cd760cf_9e71_4bdb_b2ea_a3ed07921568","iCat")</x:f>
      </x:c>
      <x:c r="M8011" s="0" t="s">
        <x:v>21</x:v>
      </x:c>
      <x:c r="N8011" s="0" t="s">
        <x:v>46</x:v>
      </x:c>
    </x:row>
    <x:row r="8012" spans="1:16">
      <x:c r="A8012" s="0" t="s">
        <x:v>31909</x:v>
      </x:c>
      <x:c r="B8012" s="0" t="s">
        <x:v>31910</x:v>
      </x:c>
      <x:c r="C8012" s="0" t="s">
        <x:v>31911</x:v>
      </x:c>
      <x:c r="E8012" s="0" t="s">
        <x:v>31912</x:v>
      </x:c>
      <x:c r="F8012" s="0" t="s">
        <x:v>45</x:v>
      </x:c>
      <x:c r="G8012" s="0" t="s">
        <x:v>19</x:v>
      </x:c>
      <x:c r="H8012" s="0" t="s">
        <x:v>20</x:v>
      </x:c>
      <x:c r="I8012" s="0" t="s">
        <x:v>21</x:v>
      </x:c>
      <x:c r="K8012" s="0">
        <x:f>hyperlink("https://icd.who.int/dev11/l-ichi/en#/http%3A%2F%2Fid.who.int%2Ficd%2Fentity%2F1798851870","browser")</x:f>
      </x:c>
      <x:c r="L8012" s="0">
        <x:f>hyperlink("https://icat2.azurewebsites.net/icat/?ontology=ICD&amp;tab=ClassesTab&amp;id=http%3A%2F%2Fwho.int%2Ficd%23499_9cd760cf_9e71_4bdb_b2ea_a3ed07921568","iCat")</x:f>
      </x:c>
      <x:c r="M8012" s="0" t="s">
        <x:v>21</x:v>
      </x:c>
      <x:c r="N8012" s="0" t="s">
        <x:v>46</x:v>
      </x:c>
    </x:row>
    <x:row r="8013" spans="1:16">
      <x:c r="A8013" s="0" t="s">
        <x:v>31913</x:v>
      </x:c>
      <x:c r="B8013" s="0" t="s">
        <x:v>31914</x:v>
      </x:c>
      <x:c r="C8013" s="0" t="s">
        <x:v>31915</x:v>
      </x:c>
      <x:c r="E8013" s="0" t="s">
        <x:v>31916</x:v>
      </x:c>
      <x:c r="F8013" s="0" t="s">
        <x:v>45</x:v>
      </x:c>
      <x:c r="G8013" s="0" t="s">
        <x:v>19</x:v>
      </x:c>
      <x:c r="H8013" s="0" t="s">
        <x:v>20</x:v>
      </x:c>
      <x:c r="I8013" s="0" t="s">
        <x:v>21</x:v>
      </x:c>
      <x:c r="K8013" s="0">
        <x:f>hyperlink("https://icd.who.int/dev11/l-ichi/en#/http%3A%2F%2Fid.who.int%2Ficd%2Fentity%2F282456625","browser")</x:f>
      </x:c>
      <x:c r="L8013" s="0">
        <x:f>hyperlink("https://icat2.azurewebsites.net/icat/?ontology=ICD&amp;tab=ClassesTab&amp;id=http%3A%2F%2Fwho.int%2Ficd%23505_9cd760cf_9e71_4bdb_b2ea_a3ed07921568","iCat")</x:f>
      </x:c>
      <x:c r="M8013" s="0" t="s">
        <x:v>21</x:v>
      </x:c>
      <x:c r="N8013" s="0" t="s">
        <x:v>46</x:v>
      </x:c>
    </x:row>
    <x:row r="8014" spans="1:16">
      <x:c r="A8014" s="0" t="s">
        <x:v>31917</x:v>
      </x:c>
      <x:c r="B8014" s="0" t="s">
        <x:v>31918</x:v>
      </x:c>
      <x:c r="C8014" s="0" t="s">
        <x:v>31919</x:v>
      </x:c>
      <x:c r="E8014" s="0" t="s">
        <x:v>31920</x:v>
      </x:c>
      <x:c r="F8014" s="0" t="s">
        <x:v>45</x:v>
      </x:c>
      <x:c r="G8014" s="0" t="s">
        <x:v>19</x:v>
      </x:c>
      <x:c r="H8014" s="0" t="s">
        <x:v>20</x:v>
      </x:c>
      <x:c r="I8014" s="0" t="s">
        <x:v>21</x:v>
      </x:c>
      <x:c r="K8014" s="0">
        <x:f>hyperlink("https://icd.who.int/dev11/l-ichi/en#/http%3A%2F%2Fid.who.int%2Ficd%2Fentity%2F1326949140","browser")</x:f>
      </x:c>
      <x:c r="L8014" s="0">
        <x:f>hyperlink("https://icat2.azurewebsites.net/icat/?ontology=ICD&amp;tab=ClassesTab&amp;id=http%3A%2F%2Fwho.int%2Ficd%23511_9cd760cf_9e71_4bdb_b2ea_a3ed07921568","iCat")</x:f>
      </x:c>
      <x:c r="M8014" s="0" t="s">
        <x:v>21</x:v>
      </x:c>
      <x:c r="N8014" s="0" t="s">
        <x:v>46</x:v>
      </x:c>
    </x:row>
    <x:row r="8015" spans="1:16">
      <x:c r="A8015" s="0" t="s">
        <x:v>31921</x:v>
      </x:c>
      <x:c r="B8015" s="0" t="s">
        <x:v>31922</x:v>
      </x:c>
      <x:c r="C8015" s="0" t="s">
        <x:v>31923</x:v>
      </x:c>
      <x:c r="E8015" s="0" t="s">
        <x:v>31924</x:v>
      </x:c>
      <x:c r="F8015" s="0" t="s">
        <x:v>45</x:v>
      </x:c>
      <x:c r="G8015" s="0" t="s">
        <x:v>19</x:v>
      </x:c>
      <x:c r="H8015" s="0" t="s">
        <x:v>20</x:v>
      </x:c>
      <x:c r="I8015" s="0" t="s">
        <x:v>21</x:v>
      </x:c>
      <x:c r="K8015" s="0">
        <x:f>hyperlink("https://icd.who.int/dev11/l-ichi/en#/http%3A%2F%2Fid.who.int%2Ficd%2Fentity%2F527202979","browser")</x:f>
      </x:c>
      <x:c r="L8015" s="0">
        <x:f>hyperlink("https://icat2.azurewebsites.net/icat/?ontology=ICD&amp;tab=ClassesTab&amp;id=http%3A%2F%2Fwho.int%2Ficd%23517_9cd760cf_9e71_4bdb_b2ea_a3ed07921568","iCat")</x:f>
      </x:c>
      <x:c r="M8015" s="0" t="s">
        <x:v>21</x:v>
      </x:c>
      <x:c r="N8015" s="0" t="s">
        <x:v>46</x:v>
      </x:c>
    </x:row>
    <x:row r="8016" spans="1:16">
      <x:c r="A8016" s="0" t="s">
        <x:v>31925</x:v>
      </x:c>
      <x:c r="B8016" s="0" t="s">
        <x:v>31926</x:v>
      </x:c>
      <x:c r="C8016" s="0" t="s">
        <x:v>31927</x:v>
      </x:c>
      <x:c r="E8016" s="0" t="s">
        <x:v>31928</x:v>
      </x:c>
      <x:c r="F8016" s="0" t="s">
        <x:v>45</x:v>
      </x:c>
      <x:c r="G8016" s="0" t="s">
        <x:v>19</x:v>
      </x:c>
      <x:c r="H8016" s="0" t="s">
        <x:v>20</x:v>
      </x:c>
      <x:c r="I8016" s="0" t="s">
        <x:v>21</x:v>
      </x:c>
      <x:c r="K8016" s="0">
        <x:f>hyperlink("https://icd.who.int/dev11/l-ichi/en#/http%3A%2F%2Fid.who.int%2Ficd%2Fentity%2F1792736976","browser")</x:f>
      </x:c>
      <x:c r="L8016" s="0">
        <x:f>hyperlink("https://icat2.azurewebsites.net/icat/?ontology=ICD&amp;tab=ClassesTab&amp;id=http%3A%2F%2Fwho.int%2Ficd%23523_9cd760cf_9e71_4bdb_b2ea_a3ed07921568","iCat")</x:f>
      </x:c>
      <x:c r="M8016" s="0" t="s">
        <x:v>21</x:v>
      </x:c>
      <x:c r="N8016" s="0" t="s">
        <x:v>46</x:v>
      </x:c>
    </x:row>
    <x:row r="8017" spans="1:16">
      <x:c r="A8017" s="0" t="s">
        <x:v>31929</x:v>
      </x:c>
      <x:c r="B8017" s="0" t="s">
        <x:v>31930</x:v>
      </x:c>
      <x:c r="C8017" s="0" t="s">
        <x:v>31931</x:v>
      </x:c>
      <x:c r="E8017" s="0" t="s">
        <x:v>31932</x:v>
      </x:c>
      <x:c r="F8017" s="0" t="s">
        <x:v>45</x:v>
      </x:c>
      <x:c r="G8017" s="0" t="s">
        <x:v>19</x:v>
      </x:c>
      <x:c r="H8017" s="0" t="s">
        <x:v>20</x:v>
      </x:c>
      <x:c r="I8017" s="0" t="s">
        <x:v>21</x:v>
      </x:c>
      <x:c r="K8017" s="0">
        <x:f>hyperlink("https://icd.who.int/dev11/l-ichi/en#/http%3A%2F%2Fid.who.int%2Ficd%2Fentity%2F1093112384","browser")</x:f>
      </x:c>
      <x:c r="L8017" s="0">
        <x:f>hyperlink("https://icat2.azurewebsites.net/icat/?ontology=ICD&amp;tab=ClassesTab&amp;id=http%3A%2F%2Fwho.int%2Ficd%23529_9cd760cf_9e71_4bdb_b2ea_a3ed07921568","iCat")</x:f>
      </x:c>
      <x:c r="M8017" s="0" t="s">
        <x:v>21</x:v>
      </x:c>
      <x:c r="N8017" s="0" t="s">
        <x:v>46</x:v>
      </x:c>
    </x:row>
    <x:row r="8018" spans="1:16">
      <x:c r="A8018" s="0" t="s">
        <x:v>31933</x:v>
      </x:c>
      <x:c r="B8018" s="0" t="s">
        <x:v>31934</x:v>
      </x:c>
      <x:c r="C8018" s="0" t="s">
        <x:v>31935</x:v>
      </x:c>
      <x:c r="E8018" s="0" t="s">
        <x:v>31936</x:v>
      </x:c>
      <x:c r="F8018" s="0" t="s">
        <x:v>45</x:v>
      </x:c>
      <x:c r="G8018" s="0" t="s">
        <x:v>19</x:v>
      </x:c>
      <x:c r="H8018" s="0" t="s">
        <x:v>20</x:v>
      </x:c>
      <x:c r="I8018" s="0" t="s">
        <x:v>21</x:v>
      </x:c>
      <x:c r="K8018" s="0">
        <x:f>hyperlink("https://icd.who.int/dev11/l-ichi/en#/http%3A%2F%2Fid.who.int%2Ficd%2Fentity%2F1348776504","browser")</x:f>
      </x:c>
      <x:c r="L8018" s="0">
        <x:f>hyperlink("https://icat2.azurewebsites.net/icat/?ontology=ICD&amp;tab=ClassesTab&amp;id=http%3A%2F%2Fwho.int%2Ficd%23535_9cd760cf_9e71_4bdb_b2ea_a3ed07921568","iCat")</x:f>
      </x:c>
      <x:c r="M8018" s="0" t="s">
        <x:v>21</x:v>
      </x:c>
      <x:c r="N8018" s="0" t="s">
        <x:v>46</x:v>
      </x:c>
    </x:row>
    <x:row r="8019" spans="1:16">
      <x:c r="A8019" s="0" t="s">
        <x:v>31937</x:v>
      </x:c>
      <x:c r="B8019" s="0" t="s">
        <x:v>31938</x:v>
      </x:c>
      <x:c r="C8019" s="0" t="s">
        <x:v>31939</x:v>
      </x:c>
      <x:c r="E8019" s="0" t="s">
        <x:v>31940</x:v>
      </x:c>
      <x:c r="F8019" s="0" t="s">
        <x:v>45</x:v>
      </x:c>
      <x:c r="G8019" s="0" t="s">
        <x:v>19</x:v>
      </x:c>
      <x:c r="H8019" s="0" t="s">
        <x:v>20</x:v>
      </x:c>
      <x:c r="I8019" s="0" t="s">
        <x:v>21</x:v>
      </x:c>
      <x:c r="K8019" s="0">
        <x:f>hyperlink("https://icd.who.int/dev11/l-ichi/en#/http%3A%2F%2Fid.who.int%2Ficd%2Fentity%2F1437951322","browser")</x:f>
      </x:c>
      <x:c r="L8019" s="0">
        <x:f>hyperlink("https://icat2.azurewebsites.net/icat/?ontology=ICD&amp;tab=ClassesTab&amp;id=http%3A%2F%2Fwho.int%2Ficd%23541_9cd760cf_9e71_4bdb_b2ea_a3ed07921568","iCat")</x:f>
      </x:c>
      <x:c r="M8019" s="0" t="s">
        <x:v>21</x:v>
      </x:c>
      <x:c r="N8019" s="0" t="s">
        <x:v>46</x:v>
      </x:c>
    </x:row>
    <x:row r="8020" spans="1:16">
      <x:c r="A8020" s="0" t="s">
        <x:v>31941</x:v>
      </x:c>
      <x:c r="B8020" s="0" t="s">
        <x:v>31942</x:v>
      </x:c>
      <x:c r="C8020" s="0" t="s">
        <x:v>31943</x:v>
      </x:c>
      <x:c r="E8020" s="0" t="s">
        <x:v>31944</x:v>
      </x:c>
      <x:c r="F8020" s="0" t="s">
        <x:v>45</x:v>
      </x:c>
      <x:c r="G8020" s="0" t="s">
        <x:v>19</x:v>
      </x:c>
      <x:c r="H8020" s="0" t="s">
        <x:v>20</x:v>
      </x:c>
      <x:c r="I8020" s="0" t="s">
        <x:v>21</x:v>
      </x:c>
      <x:c r="K8020" s="0">
        <x:f>hyperlink("https://icd.who.int/dev11/l-ichi/en#/http%3A%2F%2Fid.who.int%2Ficd%2Fentity%2F97434857","browser")</x:f>
      </x:c>
      <x:c r="L8020" s="0">
        <x:f>hyperlink("https://icat2.azurewebsites.net/icat/?ontology=ICD&amp;tab=ClassesTab&amp;id=http%3A%2F%2Fwho.int%2Ficd%23547_9cd760cf_9e71_4bdb_b2ea_a3ed07921568","iCat")</x:f>
      </x:c>
      <x:c r="M8020" s="0" t="s">
        <x:v>21</x:v>
      </x:c>
      <x:c r="N8020" s="0" t="s">
        <x:v>46</x:v>
      </x:c>
    </x:row>
    <x:row r="8021" spans="1:16">
      <x:c r="A8021" s="0" t="s">
        <x:v>31945</x:v>
      </x:c>
      <x:c r="B8021" s="0" t="s">
        <x:v>31946</x:v>
      </x:c>
      <x:c r="C8021" s="0" t="s">
        <x:v>31947</x:v>
      </x:c>
      <x:c r="E8021" s="0" t="s">
        <x:v>31948</x:v>
      </x:c>
      <x:c r="F8021" s="0" t="s">
        <x:v>45</x:v>
      </x:c>
      <x:c r="G8021" s="0" t="s">
        <x:v>19</x:v>
      </x:c>
      <x:c r="H8021" s="0" t="s">
        <x:v>20</x:v>
      </x:c>
      <x:c r="I8021" s="0" t="s">
        <x:v>21</x:v>
      </x:c>
      <x:c r="K8021" s="0">
        <x:f>hyperlink("https://icd.who.int/dev11/l-ichi/en#/http%3A%2F%2Fid.who.int%2Ficd%2Fentity%2F1510796748","browser")</x:f>
      </x:c>
      <x:c r="L8021" s="0">
        <x:f>hyperlink("https://icat2.azurewebsites.net/icat/?ontology=ICD&amp;tab=ClassesTab&amp;id=http%3A%2F%2Fwho.int%2Ficd%23553_9cd760cf_9e71_4bdb_b2ea_a3ed07921568","iCat")</x:f>
      </x:c>
      <x:c r="M8021" s="0" t="s">
        <x:v>21</x:v>
      </x:c>
      <x:c r="N8021" s="0" t="s">
        <x:v>46</x:v>
      </x:c>
    </x:row>
    <x:row r="8022" spans="1:16">
      <x:c r="A8022" s="0" t="s">
        <x:v>31949</x:v>
      </x:c>
      <x:c r="B8022" s="0" t="s">
        <x:v>31950</x:v>
      </x:c>
      <x:c r="C8022" s="0" t="s">
        <x:v>31951</x:v>
      </x:c>
      <x:c r="E8022" s="0" t="s">
        <x:v>31952</x:v>
      </x:c>
      <x:c r="F8022" s="0" t="s">
        <x:v>45</x:v>
      </x:c>
      <x:c r="G8022" s="0" t="s">
        <x:v>19</x:v>
      </x:c>
      <x:c r="H8022" s="0" t="s">
        <x:v>20</x:v>
      </x:c>
      <x:c r="I8022" s="0" t="s">
        <x:v>21</x:v>
      </x:c>
      <x:c r="K8022" s="0">
        <x:f>hyperlink("https://icd.who.int/dev11/l-ichi/en#/http%3A%2F%2Fid.who.int%2Ficd%2Fentity%2F1911652700","browser")</x:f>
      </x:c>
      <x:c r="L8022" s="0">
        <x:f>hyperlink("https://icat2.azurewebsites.net/icat/?ontology=ICD&amp;tab=ClassesTab&amp;id=http%3A%2F%2Fwho.int%2Ficd%23559_9cd760cf_9e71_4bdb_b2ea_a3ed07921568","iCat")</x:f>
      </x:c>
      <x:c r="M8022" s="0" t="s">
        <x:v>21</x:v>
      </x:c>
      <x:c r="N8022" s="0" t="s">
        <x:v>46</x:v>
      </x:c>
    </x:row>
    <x:row r="8023" spans="1:16">
      <x:c r="A8023" s="0" t="s">
        <x:v>31953</x:v>
      </x:c>
      <x:c r="B8023" s="0" t="s">
        <x:v>31954</x:v>
      </x:c>
      <x:c r="C8023" s="0" t="s">
        <x:v>31955</x:v>
      </x:c>
      <x:c r="E8023" s="0" t="s">
        <x:v>31956</x:v>
      </x:c>
      <x:c r="F8023" s="0" t="s">
        <x:v>45</x:v>
      </x:c>
      <x:c r="G8023" s="0" t="s">
        <x:v>19</x:v>
      </x:c>
      <x:c r="H8023" s="0" t="s">
        <x:v>20</x:v>
      </x:c>
      <x:c r="I8023" s="0" t="s">
        <x:v>21</x:v>
      </x:c>
      <x:c r="K8023" s="0">
        <x:f>hyperlink("https://icd.who.int/dev11/l-ichi/en#/http%3A%2F%2Fid.who.int%2Ficd%2Fentity%2F1254519934","browser")</x:f>
      </x:c>
      <x:c r="L8023" s="0">
        <x:f>hyperlink("https://icat2.azurewebsites.net/icat/?ontology=ICD&amp;tab=ClassesTab&amp;id=http%3A%2F%2Fwho.int%2Ficd%23565_9cd760cf_9e71_4bdb_b2ea_a3ed07921568","iCat")</x:f>
      </x:c>
      <x:c r="M8023" s="0" t="s">
        <x:v>21</x:v>
      </x:c>
      <x:c r="N8023" s="0" t="s">
        <x:v>46</x:v>
      </x:c>
    </x:row>
    <x:row r="8024" spans="1:16">
      <x:c r="A8024" s="0" t="s">
        <x:v>31957</x:v>
      </x:c>
      <x:c r="B8024" s="0" t="s">
        <x:v>31958</x:v>
      </x:c>
      <x:c r="C8024" s="0" t="s">
        <x:v>31959</x:v>
      </x:c>
      <x:c r="E8024" s="0" t="s">
        <x:v>31960</x:v>
      </x:c>
      <x:c r="F8024" s="0" t="s">
        <x:v>45</x:v>
      </x:c>
      <x:c r="G8024" s="0" t="s">
        <x:v>19</x:v>
      </x:c>
      <x:c r="H8024" s="0" t="s">
        <x:v>20</x:v>
      </x:c>
      <x:c r="I8024" s="0" t="s">
        <x:v>21</x:v>
      </x:c>
      <x:c r="K8024" s="0">
        <x:f>hyperlink("https://icd.who.int/dev11/l-ichi/en#/http%3A%2F%2Fid.who.int%2Ficd%2Fentity%2F352593247","browser")</x:f>
      </x:c>
      <x:c r="L8024" s="0">
        <x:f>hyperlink("https://icat2.azurewebsites.net/icat/?ontology=ICD&amp;tab=ClassesTab&amp;id=http%3A%2F%2Fwho.int%2Ficd%23571_9cd760cf_9e71_4bdb_b2ea_a3ed07921568","iCat")</x:f>
      </x:c>
      <x:c r="M8024" s="0" t="s">
        <x:v>21</x:v>
      </x:c>
      <x:c r="N8024" s="0" t="s">
        <x:v>46</x:v>
      </x:c>
    </x:row>
    <x:row r="8025" spans="1:16">
      <x:c r="A8025" s="0" t="s">
        <x:v>31961</x:v>
      </x:c>
      <x:c r="B8025" s="0" t="s">
        <x:v>31962</x:v>
      </x:c>
      <x:c r="C8025" s="0" t="s">
        <x:v>31963</x:v>
      </x:c>
      <x:c r="E8025" s="0" t="s">
        <x:v>31964</x:v>
      </x:c>
      <x:c r="F8025" s="0" t="s">
        <x:v>45</x:v>
      </x:c>
      <x:c r="G8025" s="0" t="s">
        <x:v>19</x:v>
      </x:c>
      <x:c r="H8025" s="0" t="s">
        <x:v>20</x:v>
      </x:c>
      <x:c r="I8025" s="0" t="s">
        <x:v>21</x:v>
      </x:c>
      <x:c r="K8025" s="0">
        <x:f>hyperlink("https://icd.who.int/dev11/l-ichi/en#/http%3A%2F%2Fid.who.int%2Ficd%2Fentity%2F1166015728","browser")</x:f>
      </x:c>
      <x:c r="L8025" s="0">
        <x:f>hyperlink("https://icat2.azurewebsites.net/icat/?ontology=ICD&amp;tab=ClassesTab&amp;id=http%3A%2F%2Fwho.int%2Ficd%23577_9cd760cf_9e71_4bdb_b2ea_a3ed07921568","iCat")</x:f>
      </x:c>
      <x:c r="M8025" s="0" t="s">
        <x:v>21</x:v>
      </x:c>
      <x:c r="N8025" s="0" t="s">
        <x:v>46</x:v>
      </x:c>
    </x:row>
    <x:row r="8026" spans="1:16">
      <x:c r="A8026" s="0" t="s">
        <x:v>31965</x:v>
      </x:c>
      <x:c r="B8026" s="0" t="s">
        <x:v>31966</x:v>
      </x:c>
      <x:c r="C8026" s="0" t="s">
        <x:v>31967</x:v>
      </x:c>
      <x:c r="E8026" s="0" t="s">
        <x:v>31968</x:v>
      </x:c>
      <x:c r="F8026" s="0" t="s">
        <x:v>45</x:v>
      </x:c>
      <x:c r="G8026" s="0" t="s">
        <x:v>19</x:v>
      </x:c>
      <x:c r="H8026" s="0" t="s">
        <x:v>20</x:v>
      </x:c>
      <x:c r="I8026" s="0" t="s">
        <x:v>21</x:v>
      </x:c>
      <x:c r="K8026" s="0">
        <x:f>hyperlink("https://icd.who.int/dev11/l-ichi/en#/http%3A%2F%2Fid.who.int%2Ficd%2Fentity%2F1604284996","browser")</x:f>
      </x:c>
      <x:c r="L8026" s="0">
        <x:f>hyperlink("https://icat2.azurewebsites.net/icat/?ontology=ICD&amp;tab=ClassesTab&amp;id=http%3A%2F%2Fwho.int%2Ficd%23583_9cd760cf_9e71_4bdb_b2ea_a3ed07921568","iCat")</x:f>
      </x:c>
      <x:c r="M8026" s="0" t="s">
        <x:v>21</x:v>
      </x:c>
      <x:c r="N8026" s="0" t="s">
        <x:v>46</x:v>
      </x:c>
    </x:row>
    <x:row r="8027" spans="1:16">
      <x:c r="A8027" s="0" t="s">
        <x:v>31969</x:v>
      </x:c>
      <x:c r="B8027" s="0" t="s">
        <x:v>31970</x:v>
      </x:c>
      <x:c r="C8027" s="0" t="s">
        <x:v>31971</x:v>
      </x:c>
      <x:c r="E8027" s="0" t="s">
        <x:v>31972</x:v>
      </x:c>
      <x:c r="F8027" s="0" t="s">
        <x:v>45</x:v>
      </x:c>
      <x:c r="G8027" s="0" t="s">
        <x:v>19</x:v>
      </x:c>
      <x:c r="H8027" s="0" t="s">
        <x:v>20</x:v>
      </x:c>
      <x:c r="I8027" s="0" t="s">
        <x:v>21</x:v>
      </x:c>
      <x:c r="K8027" s="0">
        <x:f>hyperlink("https://icd.who.int/dev11/l-ichi/en#/http%3A%2F%2Fid.who.int%2Ficd%2Fentity%2F13821936","browser")</x:f>
      </x:c>
      <x:c r="L8027" s="0">
        <x:f>hyperlink("https://icat2.azurewebsites.net/icat/?ontology=ICD&amp;tab=ClassesTab&amp;id=http%3A%2F%2Fwho.int%2Ficd%2353_60b821c4_cabc_4b81_9563_cb99d74167d5","iCat")</x:f>
      </x:c>
      <x:c r="M8027" s="0" t="s">
        <x:v>21</x:v>
      </x:c>
      <x:c r="N8027" s="0" t="s">
        <x:v>46</x:v>
      </x:c>
    </x:row>
    <x:row r="8028" spans="1:16">
      <x:c r="A8028" s="0" t="s">
        <x:v>31973</x:v>
      </x:c>
      <x:c r="B8028" s="0" t="s">
        <x:v>31974</x:v>
      </x:c>
      <x:c r="C8028" s="0" t="s">
        <x:v>31975</x:v>
      </x:c>
      <x:c r="E8028" s="0" t="s">
        <x:v>31976</x:v>
      </x:c>
      <x:c r="F8028" s="0" t="s">
        <x:v>45</x:v>
      </x:c>
      <x:c r="G8028" s="0" t="s">
        <x:v>19</x:v>
      </x:c>
      <x:c r="H8028" s="0" t="s">
        <x:v>20</x:v>
      </x:c>
      <x:c r="I8028" s="0" t="s">
        <x:v>21</x:v>
      </x:c>
      <x:c r="K8028" s="0">
        <x:f>hyperlink("https://icd.who.int/dev11/l-ichi/en#/http%3A%2F%2Fid.who.int%2Ficd%2Fentity%2F1952587476","browser")</x:f>
      </x:c>
      <x:c r="L8028" s="0">
        <x:f>hyperlink("https://icat2.azurewebsites.net/icat/?ontology=ICD&amp;tab=ClassesTab&amp;id=http%3A%2F%2Fwho.int%2Ficd%23589_9cd760cf_9e71_4bdb_b2ea_a3ed07921568","iCat")</x:f>
      </x:c>
      <x:c r="M8028" s="0" t="s">
        <x:v>21</x:v>
      </x:c>
      <x:c r="N8028" s="0" t="s">
        <x:v>46</x:v>
      </x:c>
    </x:row>
    <x:row r="8029" spans="1:16">
      <x:c r="A8029" s="0" t="s">
        <x:v>31977</x:v>
      </x:c>
      <x:c r="B8029" s="0" t="s">
        <x:v>31978</x:v>
      </x:c>
      <x:c r="C8029" s="0" t="s">
        <x:v>31979</x:v>
      </x:c>
      <x:c r="E8029" s="0" t="s">
        <x:v>31980</x:v>
      </x:c>
      <x:c r="F8029" s="0" t="s">
        <x:v>45</x:v>
      </x:c>
      <x:c r="G8029" s="0" t="s">
        <x:v>19</x:v>
      </x:c>
      <x:c r="H8029" s="0" t="s">
        <x:v>20</x:v>
      </x:c>
      <x:c r="I8029" s="0" t="s">
        <x:v>21</x:v>
      </x:c>
      <x:c r="K8029" s="0">
        <x:f>hyperlink("https://icd.who.int/dev11/l-ichi/en#/http%3A%2F%2Fid.who.int%2Ficd%2Fentity%2F1696677540","browser")</x:f>
      </x:c>
      <x:c r="L8029" s="0">
        <x:f>hyperlink("https://icat2.azurewebsites.net/icat/?ontology=ICD&amp;tab=ClassesTab&amp;id=http%3A%2F%2Fwho.int%2Ficd%23595_9cd760cf_9e71_4bdb_b2ea_a3ed07921568","iCat")</x:f>
      </x:c>
      <x:c r="M8029" s="0" t="s">
        <x:v>21</x:v>
      </x:c>
      <x:c r="N8029" s="0" t="s">
        <x:v>46</x:v>
      </x:c>
    </x:row>
    <x:row r="8030" spans="1:16">
      <x:c r="A8030" s="0" t="s">
        <x:v>31981</x:v>
      </x:c>
      <x:c r="B8030" s="0" t="s">
        <x:v>31982</x:v>
      </x:c>
      <x:c r="C8030" s="0" t="s">
        <x:v>31983</x:v>
      </x:c>
      <x:c r="E8030" s="0" t="s">
        <x:v>31984</x:v>
      </x:c>
      <x:c r="F8030" s="0" t="s">
        <x:v>45</x:v>
      </x:c>
      <x:c r="G8030" s="0" t="s">
        <x:v>19</x:v>
      </x:c>
      <x:c r="H8030" s="0" t="s">
        <x:v>20</x:v>
      </x:c>
      <x:c r="I8030" s="0" t="s">
        <x:v>21</x:v>
      </x:c>
      <x:c r="K8030" s="0">
        <x:f>hyperlink("https://icd.who.int/dev11/l-ichi/en#/http%3A%2F%2Fid.who.int%2Ficd%2Fentity%2F1150124572","browser")</x:f>
      </x:c>
      <x:c r="L8030" s="0">
        <x:f>hyperlink("https://icat2.azurewebsites.net/icat/?ontology=ICD&amp;tab=ClassesTab&amp;id=http%3A%2F%2Fwho.int%2Ficd%23601_9cd760cf_9e71_4bdb_b2ea_a3ed07921568","iCat")</x:f>
      </x:c>
      <x:c r="M8030" s="0" t="s">
        <x:v>21</x:v>
      </x:c>
      <x:c r="N8030" s="0" t="s">
        <x:v>46</x:v>
      </x:c>
    </x:row>
    <x:row r="8031" spans="1:16">
      <x:c r="A8031" s="0" t="s">
        <x:v>31985</x:v>
      </x:c>
      <x:c r="B8031" s="0" t="s">
        <x:v>31986</x:v>
      </x:c>
      <x:c r="C8031" s="0" t="s">
        <x:v>31987</x:v>
      </x:c>
      <x:c r="E8031" s="0" t="s">
        <x:v>31988</x:v>
      </x:c>
      <x:c r="F8031" s="0" t="s">
        <x:v>45</x:v>
      </x:c>
      <x:c r="G8031" s="0" t="s">
        <x:v>19</x:v>
      </x:c>
      <x:c r="H8031" s="0" t="s">
        <x:v>20</x:v>
      </x:c>
      <x:c r="I8031" s="0" t="s">
        <x:v>21</x:v>
      </x:c>
      <x:c r="K8031" s="0">
        <x:f>hyperlink("https://icd.who.int/dev11/l-ichi/en#/http%3A%2F%2Fid.who.int%2Ficd%2Fentity%2F351689645","browser")</x:f>
      </x:c>
      <x:c r="L8031" s="0">
        <x:f>hyperlink("https://icat2.azurewebsites.net/icat/?ontology=ICD&amp;tab=ClassesTab&amp;id=http%3A%2F%2Fwho.int%2Ficd%23607_9cd760cf_9e71_4bdb_b2ea_a3ed07921568","iCat")</x:f>
      </x:c>
      <x:c r="M8031" s="0" t="s">
        <x:v>21</x:v>
      </x:c>
      <x:c r="N8031" s="0" t="s">
        <x:v>46</x:v>
      </x:c>
    </x:row>
    <x:row r="8032" spans="1:16">
      <x:c r="A8032" s="0" t="s">
        <x:v>31989</x:v>
      </x:c>
      <x:c r="B8032" s="0" t="s">
        <x:v>31990</x:v>
      </x:c>
      <x:c r="C8032" s="0" t="s">
        <x:v>31991</x:v>
      </x:c>
      <x:c r="E8032" s="0" t="s">
        <x:v>31992</x:v>
      </x:c>
      <x:c r="F8032" s="0" t="s">
        <x:v>45</x:v>
      </x:c>
      <x:c r="G8032" s="0" t="s">
        <x:v>19</x:v>
      </x:c>
      <x:c r="H8032" s="0" t="s">
        <x:v>20</x:v>
      </x:c>
      <x:c r="I8032" s="0" t="s">
        <x:v>21</x:v>
      </x:c>
      <x:c r="K8032" s="0">
        <x:f>hyperlink("https://icd.who.int/dev11/l-ichi/en#/http%3A%2F%2Fid.who.int%2Ficd%2Fentity%2F1261701774","browser")</x:f>
      </x:c>
      <x:c r="L8032" s="0">
        <x:f>hyperlink("https://icat2.azurewebsites.net/icat/?ontology=ICD&amp;tab=ClassesTab&amp;id=http%3A%2F%2Fwho.int%2Ficd%23613_9cd760cf_9e71_4bdb_b2ea_a3ed07921568","iCat")</x:f>
      </x:c>
      <x:c r="M8032" s="0" t="s">
        <x:v>21</x:v>
      </x:c>
      <x:c r="N8032" s="0" t="s">
        <x:v>46</x:v>
      </x:c>
    </x:row>
    <x:row r="8033" spans="1:16">
      <x:c r="A8033" s="0" t="s">
        <x:v>31993</x:v>
      </x:c>
      <x:c r="B8033" s="0" t="s">
        <x:v>31994</x:v>
      </x:c>
      <x:c r="C8033" s="0" t="s">
        <x:v>31995</x:v>
      </x:c>
      <x:c r="E8033" s="0" t="s">
        <x:v>31996</x:v>
      </x:c>
      <x:c r="F8033" s="0" t="s">
        <x:v>45</x:v>
      </x:c>
      <x:c r="G8033" s="0" t="s">
        <x:v>19</x:v>
      </x:c>
      <x:c r="H8033" s="0" t="s">
        <x:v>20</x:v>
      </x:c>
      <x:c r="I8033" s="0" t="s">
        <x:v>21</x:v>
      </x:c>
      <x:c r="K8033" s="0">
        <x:f>hyperlink("https://icd.who.int/dev11/l-ichi/en#/http%3A%2F%2Fid.who.int%2Ficd%2Fentity%2F1623811614","browser")</x:f>
      </x:c>
      <x:c r="L8033" s="0">
        <x:f>hyperlink("https://icat2.azurewebsites.net/icat/?ontology=ICD&amp;tab=ClassesTab&amp;id=http%3A%2F%2Fwho.int%2Ficd%23619_9cd760cf_9e71_4bdb_b2ea_a3ed07921568","iCat")</x:f>
      </x:c>
      <x:c r="M8033" s="0" t="s">
        <x:v>21</x:v>
      </x:c>
      <x:c r="N8033" s="0" t="s">
        <x:v>46</x:v>
      </x:c>
    </x:row>
    <x:row r="8034" spans="1:16">
      <x:c r="A8034" s="0" t="s">
        <x:v>31997</x:v>
      </x:c>
      <x:c r="B8034" s="0" t="s">
        <x:v>31998</x:v>
      </x:c>
      <x:c r="C8034" s="0" t="s">
        <x:v>31999</x:v>
      </x:c>
      <x:c r="E8034" s="0" t="s">
        <x:v>32000</x:v>
      </x:c>
      <x:c r="F8034" s="0" t="s">
        <x:v>45</x:v>
      </x:c>
      <x:c r="G8034" s="0" t="s">
        <x:v>19</x:v>
      </x:c>
      <x:c r="H8034" s="0" t="s">
        <x:v>20</x:v>
      </x:c>
      <x:c r="I8034" s="0" t="s">
        <x:v>21</x:v>
      </x:c>
      <x:c r="K8034" s="0">
        <x:f>hyperlink("https://icd.who.int/dev11/l-ichi/en#/http%3A%2F%2Fid.who.int%2Ficd%2Fentity%2F1543410488","browser")</x:f>
      </x:c>
      <x:c r="L8034" s="0">
        <x:f>hyperlink("https://icat2.azurewebsites.net/icat/?ontology=ICD&amp;tab=ClassesTab&amp;id=http%3A%2F%2Fwho.int%2Ficd%23625_9cd760cf_9e71_4bdb_b2ea_a3ed07921568","iCat")</x:f>
      </x:c>
      <x:c r="M8034" s="0" t="s">
        <x:v>21</x:v>
      </x:c>
      <x:c r="N8034" s="0" t="s">
        <x:v>46</x:v>
      </x:c>
    </x:row>
    <x:row r="8035" spans="1:16">
      <x:c r="A8035" s="0" t="s">
        <x:v>32001</x:v>
      </x:c>
      <x:c r="B8035" s="0" t="s">
        <x:v>32002</x:v>
      </x:c>
      <x:c r="C8035" s="0" t="s">
        <x:v>32003</x:v>
      </x:c>
      <x:c r="E8035" s="0" t="s">
        <x:v>32004</x:v>
      </x:c>
      <x:c r="F8035" s="0" t="s">
        <x:v>45</x:v>
      </x:c>
      <x:c r="G8035" s="0" t="s">
        <x:v>19</x:v>
      </x:c>
      <x:c r="H8035" s="0" t="s">
        <x:v>20</x:v>
      </x:c>
      <x:c r="I8035" s="0" t="s">
        <x:v>21</x:v>
      </x:c>
      <x:c r="K8035" s="0">
        <x:f>hyperlink("https://icd.who.int/dev11/l-ichi/en#/http%3A%2F%2Fid.who.int%2Ficd%2Fentity%2F71090715","browser")</x:f>
      </x:c>
      <x:c r="L8035" s="0">
        <x:f>hyperlink("https://icat2.azurewebsites.net/icat/?ontology=ICD&amp;tab=ClassesTab&amp;id=http%3A%2F%2Fwho.int%2Ficd%23631_9cd760cf_9e71_4bdb_b2ea_a3ed07921568","iCat")</x:f>
      </x:c>
      <x:c r="M8035" s="0" t="s">
        <x:v>21</x:v>
      </x:c>
      <x:c r="N8035" s="0" t="s">
        <x:v>46</x:v>
      </x:c>
    </x:row>
    <x:row r="8036" spans="1:16">
      <x:c r="A8036" s="0" t="s">
        <x:v>32005</x:v>
      </x:c>
      <x:c r="B8036" s="0" t="s">
        <x:v>32006</x:v>
      </x:c>
      <x:c r="C8036" s="0" t="s">
        <x:v>32007</x:v>
      </x:c>
      <x:c r="E8036" s="0" t="s">
        <x:v>32008</x:v>
      </x:c>
      <x:c r="F8036" s="0" t="s">
        <x:v>45</x:v>
      </x:c>
      <x:c r="G8036" s="0" t="s">
        <x:v>19</x:v>
      </x:c>
      <x:c r="H8036" s="0" t="s">
        <x:v>20</x:v>
      </x:c>
      <x:c r="I8036" s="0" t="s">
        <x:v>21</x:v>
      </x:c>
      <x:c r="K8036" s="0">
        <x:f>hyperlink("https://icd.who.int/dev11/l-ichi/en#/http%3A%2F%2Fid.who.int%2Ficd%2Fentity%2F1413946282","browser")</x:f>
      </x:c>
      <x:c r="L8036" s="0">
        <x:f>hyperlink("https://icat2.azurewebsites.net/icat/?ontology=ICD&amp;tab=ClassesTab&amp;id=http%3A%2F%2Fwho.int%2Ficd%23637_9cd760cf_9e71_4bdb_b2ea_a3ed07921568","iCat")</x:f>
      </x:c>
      <x:c r="M8036" s="0" t="s">
        <x:v>21</x:v>
      </x:c>
      <x:c r="N8036" s="0" t="s">
        <x:v>46</x:v>
      </x:c>
    </x:row>
    <x:row r="8037" spans="1:16">
      <x:c r="A8037" s="0" t="s">
        <x:v>32009</x:v>
      </x:c>
      <x:c r="B8037" s="0" t="s">
        <x:v>32010</x:v>
      </x:c>
      <x:c r="C8037" s="0" t="s">
        <x:v>32011</x:v>
      </x:c>
      <x:c r="E8037" s="0" t="s">
        <x:v>32012</x:v>
      </x:c>
      <x:c r="F8037" s="0" t="s">
        <x:v>45</x:v>
      </x:c>
      <x:c r="G8037" s="0" t="s">
        <x:v>19</x:v>
      </x:c>
      <x:c r="H8037" s="0" t="s">
        <x:v>20</x:v>
      </x:c>
      <x:c r="I8037" s="0" t="s">
        <x:v>21</x:v>
      </x:c>
      <x:c r="K8037" s="0">
        <x:f>hyperlink("https://icd.who.int/dev11/l-ichi/en#/http%3A%2F%2Fid.who.int%2Ficd%2Fentity%2F1368837316","browser")</x:f>
      </x:c>
      <x:c r="L8037" s="0">
        <x:f>hyperlink("https://icat2.azurewebsites.net/icat/?ontology=ICD&amp;tab=ClassesTab&amp;id=http%3A%2F%2Fwho.int%2Ficd%23643_9cd760cf_9e71_4bdb_b2ea_a3ed07921568","iCat")</x:f>
      </x:c>
      <x:c r="M8037" s="0" t="s">
        <x:v>21</x:v>
      </x:c>
      <x:c r="N8037" s="0" t="s">
        <x:v>46</x:v>
      </x:c>
    </x:row>
    <x:row r="8038" spans="1:16">
      <x:c r="A8038" s="0" t="s">
        <x:v>32013</x:v>
      </x:c>
      <x:c r="B8038" s="0" t="s">
        <x:v>32014</x:v>
      </x:c>
      <x:c r="C8038" s="0" t="s">
        <x:v>32015</x:v>
      </x:c>
      <x:c r="E8038" s="0" t="s">
        <x:v>32016</x:v>
      </x:c>
      <x:c r="F8038" s="0" t="s">
        <x:v>45</x:v>
      </x:c>
      <x:c r="G8038" s="0" t="s">
        <x:v>19</x:v>
      </x:c>
      <x:c r="H8038" s="0" t="s">
        <x:v>20</x:v>
      </x:c>
      <x:c r="I8038" s="0" t="s">
        <x:v>21</x:v>
      </x:c>
      <x:c r="K8038" s="0">
        <x:f>hyperlink("https://icd.who.int/dev11/l-ichi/en#/http%3A%2F%2Fid.who.int%2Ficd%2Fentity%2F2053873748","browser")</x:f>
      </x:c>
      <x:c r="L8038" s="0">
        <x:f>hyperlink("https://icat2.azurewebsites.net/icat/?ontology=ICD&amp;tab=ClassesTab&amp;id=http%3A%2F%2Fwho.int%2Ficd%23649_9cd760cf_9e71_4bdb_b2ea_a3ed07921568","iCat")</x:f>
      </x:c>
      <x:c r="M8038" s="0" t="s">
        <x:v>21</x:v>
      </x:c>
      <x:c r="N8038" s="0" t="s">
        <x:v>46</x:v>
      </x:c>
    </x:row>
    <x:row r="8039" spans="1:16">
      <x:c r="A8039" s="0" t="s">
        <x:v>32017</x:v>
      </x:c>
      <x:c r="B8039" s="0" t="s">
        <x:v>32018</x:v>
      </x:c>
      <x:c r="C8039" s="0" t="s">
        <x:v>32019</x:v>
      </x:c>
      <x:c r="E8039" s="0" t="s">
        <x:v>32020</x:v>
      </x:c>
      <x:c r="F8039" s="0" t="s">
        <x:v>45</x:v>
      </x:c>
      <x:c r="G8039" s="0" t="s">
        <x:v>19</x:v>
      </x:c>
      <x:c r="H8039" s="0" t="s">
        <x:v>20</x:v>
      </x:c>
      <x:c r="I8039" s="0" t="s">
        <x:v>21</x:v>
      </x:c>
      <x:c r="K8039" s="0">
        <x:f>hyperlink("https://icd.who.int/dev11/l-ichi/en#/http%3A%2F%2Fid.who.int%2Ficd%2Fentity%2F1797816356","browser")</x:f>
      </x:c>
      <x:c r="L8039" s="0">
        <x:f>hyperlink("https://icat2.azurewebsites.net/icat/?ontology=ICD&amp;tab=ClassesTab&amp;id=http%3A%2F%2Fwho.int%2Ficd%23655_9cd760cf_9e71_4bdb_b2ea_a3ed07921568","iCat")</x:f>
      </x:c>
      <x:c r="M8039" s="0" t="s">
        <x:v>21</x:v>
      </x:c>
      <x:c r="N8039" s="0" t="s">
        <x:v>46</x:v>
      </x:c>
    </x:row>
    <x:row r="8040" spans="1:16">
      <x:c r="A8040" s="0" t="s">
        <x:v>32021</x:v>
      </x:c>
      <x:c r="B8040" s="0" t="s">
        <x:v>32022</x:v>
      </x:c>
      <x:c r="C8040" s="0" t="s">
        <x:v>32023</x:v>
      </x:c>
      <x:c r="E8040" s="0" t="s">
        <x:v>32024</x:v>
      </x:c>
      <x:c r="F8040" s="0" t="s">
        <x:v>45</x:v>
      </x:c>
      <x:c r="G8040" s="0" t="s">
        <x:v>19</x:v>
      </x:c>
      <x:c r="H8040" s="0" t="s">
        <x:v>20</x:v>
      </x:c>
      <x:c r="I8040" s="0" t="s">
        <x:v>21</x:v>
      </x:c>
      <x:c r="K8040" s="0">
        <x:f>hyperlink("https://icd.who.int/dev11/l-ichi/en#/http%3A%2F%2Fid.who.int%2Ficd%2Fentity%2F513672273","browser")</x:f>
      </x:c>
      <x:c r="L8040" s="0">
        <x:f>hyperlink("https://icat2.azurewebsites.net/icat/?ontology=ICD&amp;tab=ClassesTab&amp;id=http%3A%2F%2Fwho.int%2Ficd%23661_9cd760cf_9e71_4bdb_b2ea_a3ed07921568","iCat")</x:f>
      </x:c>
      <x:c r="M8040" s="0" t="s">
        <x:v>21</x:v>
      </x:c>
      <x:c r="N8040" s="0" t="s">
        <x:v>46</x:v>
      </x:c>
    </x:row>
    <x:row r="8041" spans="1:16">
      <x:c r="A8041" s="0" t="s">
        <x:v>32025</x:v>
      </x:c>
      <x:c r="B8041" s="0" t="s">
        <x:v>32026</x:v>
      </x:c>
      <x:c r="C8041" s="0" t="s">
        <x:v>32027</x:v>
      </x:c>
      <x:c r="E8041" s="0" t="s">
        <x:v>32028</x:v>
      </x:c>
      <x:c r="F8041" s="0" t="s">
        <x:v>45</x:v>
      </x:c>
      <x:c r="G8041" s="0" t="s">
        <x:v>19</x:v>
      </x:c>
      <x:c r="H8041" s="0" t="s">
        <x:v>20</x:v>
      </x:c>
      <x:c r="I8041" s="0" t="s">
        <x:v>21</x:v>
      </x:c>
      <x:c r="K8041" s="0">
        <x:f>hyperlink("https://icd.who.int/dev11/l-ichi/en#/http%3A%2F%2Fid.who.int%2Ficd%2Fentity%2F1323687392","browser")</x:f>
      </x:c>
      <x:c r="L8041" s="0">
        <x:f>hyperlink("https://icat2.azurewebsites.net/icat/?ontology=ICD&amp;tab=ClassesTab&amp;id=http%3A%2F%2Fwho.int%2Ficd%23667_9cd760cf_9e71_4bdb_b2ea_a3ed07921568","iCat")</x:f>
      </x:c>
      <x:c r="M8041" s="0" t="s">
        <x:v>21</x:v>
      </x:c>
      <x:c r="N8041" s="0" t="s">
        <x:v>46</x:v>
      </x:c>
    </x:row>
    <x:row r="8042" spans="1:16">
      <x:c r="A8042" s="0" t="s">
        <x:v>32029</x:v>
      </x:c>
      <x:c r="B8042" s="0" t="s">
        <x:v>32030</x:v>
      </x:c>
      <x:c r="C8042" s="0" t="s">
        <x:v>32031</x:v>
      </x:c>
      <x:c r="E8042" s="0" t="s">
        <x:v>32032</x:v>
      </x:c>
      <x:c r="F8042" s="0" t="s">
        <x:v>45</x:v>
      </x:c>
      <x:c r="G8042" s="0" t="s">
        <x:v>19</x:v>
      </x:c>
      <x:c r="H8042" s="0" t="s">
        <x:v>20</x:v>
      </x:c>
      <x:c r="I8042" s="0" t="s">
        <x:v>21</x:v>
      </x:c>
      <x:c r="K8042" s="0">
        <x:f>hyperlink("https://icd.who.int/dev11/l-ichi/en#/http%3A%2F%2Fid.who.int%2Ficd%2Fentity%2F1765057199","browser")</x:f>
      </x:c>
      <x:c r="L8042" s="0">
        <x:f>hyperlink("https://icat2.azurewebsites.net/icat/?ontology=ICD&amp;tab=ClassesTab&amp;id=http%3A%2F%2Fwho.int%2Ficd%2347046_512ebf36_bf6b_4d70_85da_cf2637062af4","iCat")</x:f>
      </x:c>
      <x:c r="M8042" s="0" t="s">
        <x:v>21</x:v>
      </x:c>
      <x:c r="N8042" s="0" t="s">
        <x:v>46</x:v>
      </x:c>
    </x:row>
    <x:row r="8043" spans="1:16">
      <x:c r="A8043" s="0" t="s">
        <x:v>32033</x:v>
      </x:c>
      <x:c r="B8043" s="0" t="s">
        <x:v>32034</x:v>
      </x:c>
      <x:c r="C8043" s="0" t="s">
        <x:v>32035</x:v>
      </x:c>
      <x:c r="E8043" s="0" t="s">
        <x:v>32036</x:v>
      </x:c>
      <x:c r="F8043" s="0" t="s">
        <x:v>45</x:v>
      </x:c>
      <x:c r="G8043" s="0" t="s">
        <x:v>19</x:v>
      </x:c>
      <x:c r="H8043" s="0" t="s">
        <x:v>20</x:v>
      </x:c>
      <x:c r="I8043" s="0" t="s">
        <x:v>21</x:v>
      </x:c>
      <x:c r="K8043" s="0">
        <x:f>hyperlink("https://icd.who.int/dev11/l-ichi/en#/http%3A%2F%2Fid.who.int%2Ficd%2Fentity%2F1352790690","browser")</x:f>
      </x:c>
      <x:c r="L8043" s="0">
        <x:f>hyperlink("https://icat2.azurewebsites.net/icat/?ontology=ICD&amp;tab=ClassesTab&amp;id=http%3A%2F%2Fwho.int%2Ficd%231415_9cd760cf_9e71_4bdb_b2ea_a3ed07921568","iCat")</x:f>
      </x:c>
      <x:c r="M8043" s="0" t="s">
        <x:v>21</x:v>
      </x:c>
      <x:c r="N8043" s="0" t="s">
        <x:v>46</x:v>
      </x:c>
    </x:row>
    <x:row r="8044" spans="1:16">
      <x:c r="A8044" s="0" t="s">
        <x:v>32037</x:v>
      </x:c>
      <x:c r="B8044" s="0" t="s">
        <x:v>32038</x:v>
      </x:c>
      <x:c r="C8044" s="0" t="s">
        <x:v>32039</x:v>
      </x:c>
      <x:c r="E8044" s="0" t="s">
        <x:v>32040</x:v>
      </x:c>
      <x:c r="F8044" s="0" t="s">
        <x:v>45</x:v>
      </x:c>
      <x:c r="G8044" s="0" t="s">
        <x:v>19</x:v>
      </x:c>
      <x:c r="H8044" s="0" t="s">
        <x:v>20</x:v>
      </x:c>
      <x:c r="I8044" s="0" t="s">
        <x:v>21</x:v>
      </x:c>
      <x:c r="K8044" s="0">
        <x:f>hyperlink("https://icd.who.int/dev11/l-ichi/en#/http%3A%2F%2Fid.who.int%2Ficd%2Fentity%2F370114992","browser")</x:f>
      </x:c>
      <x:c r="L8044" s="0">
        <x:f>hyperlink("https://icat2.azurewebsites.net/icat/?ontology=ICD&amp;tab=ClassesTab&amp;id=http%3A%2F%2Fwho.int%2Ficd%2347053_512ebf36_bf6b_4d70_85da_cf2637062af4","iCat")</x:f>
      </x:c>
      <x:c r="M8044" s="0" t="s">
        <x:v>21</x:v>
      </x:c>
      <x:c r="N8044" s="0" t="s">
        <x:v>46</x:v>
      </x:c>
    </x:row>
    <x:row r="8045" spans="1:16">
      <x:c r="A8045" s="0" t="s">
        <x:v>32041</x:v>
      </x:c>
      <x:c r="B8045" s="0" t="s">
        <x:v>32042</x:v>
      </x:c>
      <x:c r="C8045" s="0" t="s">
        <x:v>32043</x:v>
      </x:c>
      <x:c r="E8045" s="0" t="s">
        <x:v>32044</x:v>
      </x:c>
      <x:c r="F8045" s="0" t="s">
        <x:v>45</x:v>
      </x:c>
      <x:c r="G8045" s="0" t="s">
        <x:v>19</x:v>
      </x:c>
      <x:c r="H8045" s="0" t="s">
        <x:v>20</x:v>
      </x:c>
      <x:c r="I8045" s="0" t="s">
        <x:v>21</x:v>
      </x:c>
      <x:c r="K8045" s="0">
        <x:f>hyperlink("https://icd.who.int/dev11/l-ichi/en#/http%3A%2F%2Fid.who.int%2Ficd%2Fentity%2F322678350","browser")</x:f>
      </x:c>
      <x:c r="L8045" s="0">
        <x:f>hyperlink("https://icat2.azurewebsites.net/icat/?ontology=ICD&amp;tab=ClassesTab&amp;id=http%3A%2F%2Fwho.int%2Ficd%2347060_512ebf36_bf6b_4d70_85da_cf2637062af4","iCat")</x:f>
      </x:c>
      <x:c r="M8045" s="0" t="s">
        <x:v>21</x:v>
      </x:c>
      <x:c r="N8045" s="0" t="s">
        <x:v>46</x:v>
      </x:c>
    </x:row>
    <x:row r="8046" spans="1:16">
      <x:c r="A8046" s="0" t="s">
        <x:v>32045</x:v>
      </x:c>
      <x:c r="B8046" s="0" t="s">
        <x:v>32046</x:v>
      </x:c>
      <x:c r="C8046" s="0" t="s">
        <x:v>32047</x:v>
      </x:c>
      <x:c r="E8046" s="0" t="s">
        <x:v>32048</x:v>
      </x:c>
      <x:c r="F8046" s="0" t="s">
        <x:v>45</x:v>
      </x:c>
      <x:c r="G8046" s="0" t="s">
        <x:v>19</x:v>
      </x:c>
      <x:c r="H8046" s="0" t="s">
        <x:v>20</x:v>
      </x:c>
      <x:c r="I8046" s="0" t="s">
        <x:v>21</x:v>
      </x:c>
      <x:c r="K8046" s="0">
        <x:f>hyperlink("https://icd.who.int/dev11/l-ichi/en#/http%3A%2F%2Fid.who.int%2Ficd%2Fentity%2F622294739","browser")</x:f>
      </x:c>
      <x:c r="L8046" s="0">
        <x:f>hyperlink("https://icat2.azurewebsites.net/icat/?ontology=ICD&amp;tab=ClassesTab&amp;id=http%3A%2F%2Fwho.int%2Ficd%231421_9cd760cf_9e71_4bdb_b2ea_a3ed07921568","iCat")</x:f>
      </x:c>
      <x:c r="M8046" s="0" t="s">
        <x:v>21</x:v>
      </x:c>
      <x:c r="N8046" s="0" t="s">
        <x:v>46</x:v>
      </x:c>
    </x:row>
    <x:row r="8047" spans="1:16">
      <x:c r="A8047" s="0" t="s">
        <x:v>32049</x:v>
      </x:c>
      <x:c r="B8047" s="0" t="s">
        <x:v>32050</x:v>
      </x:c>
      <x:c r="C8047" s="0" t="s">
        <x:v>32051</x:v>
      </x:c>
      <x:c r="E8047" s="0" t="s">
        <x:v>32052</x:v>
      </x:c>
      <x:c r="F8047" s="0" t="s">
        <x:v>45</x:v>
      </x:c>
      <x:c r="G8047" s="0" t="s">
        <x:v>19</x:v>
      </x:c>
      <x:c r="H8047" s="0" t="s">
        <x:v>20</x:v>
      </x:c>
      <x:c r="I8047" s="0" t="s">
        <x:v>21</x:v>
      </x:c>
      <x:c r="K8047" s="0">
        <x:f>hyperlink("https://icd.who.int/dev11/l-ichi/en#/http%3A%2F%2Fid.who.int%2Ficd%2Fentity%2F1970057058","browser")</x:f>
      </x:c>
      <x:c r="L8047" s="0">
        <x:f>hyperlink("https://icat2.azurewebsites.net/icat/?ontology=ICD&amp;tab=ClassesTab&amp;id=http%3A%2F%2Fwho.int%2Ficd%231427_9cd760cf_9e71_4bdb_b2ea_a3ed07921568","iCat")</x:f>
      </x:c>
      <x:c r="M8047" s="0" t="s">
        <x:v>21</x:v>
      </x:c>
      <x:c r="N8047" s="0" t="s">
        <x:v>46</x:v>
      </x:c>
    </x:row>
    <x:row r="8048" spans="1:16">
      <x:c r="A8048" s="0" t="s">
        <x:v>32053</x:v>
      </x:c>
      <x:c r="B8048" s="0" t="s">
        <x:v>32054</x:v>
      </x:c>
      <x:c r="C8048" s="0" t="s">
        <x:v>32055</x:v>
      </x:c>
      <x:c r="E8048" s="0" t="s">
        <x:v>32056</x:v>
      </x:c>
      <x:c r="F8048" s="0" t="s">
        <x:v>45</x:v>
      </x:c>
      <x:c r="G8048" s="0" t="s">
        <x:v>19</x:v>
      </x:c>
      <x:c r="H8048" s="0" t="s">
        <x:v>20</x:v>
      </x:c>
      <x:c r="I8048" s="0" t="s">
        <x:v>21</x:v>
      </x:c>
      <x:c r="K8048" s="0">
        <x:f>hyperlink("https://icd.who.int/dev11/l-ichi/en#/http%3A%2F%2Fid.who.int%2Ficd%2Fentity%2F716111425","browser")</x:f>
      </x:c>
      <x:c r="L8048" s="0">
        <x:f>hyperlink("https://icat2.azurewebsites.net/icat/?ontology=ICD&amp;tab=ClassesTab&amp;id=http%3A%2F%2Fwho.int%2Ficd%231433_9cd760cf_9e71_4bdb_b2ea_a3ed07921568","iCat")</x:f>
      </x:c>
      <x:c r="M8048" s="0" t="s">
        <x:v>21</x:v>
      </x:c>
      <x:c r="N8048" s="0" t="s">
        <x:v>46</x:v>
      </x:c>
    </x:row>
    <x:row r="8049" spans="1:16">
      <x:c r="A8049" s="0" t="s">
        <x:v>32057</x:v>
      </x:c>
      <x:c r="B8049" s="0" t="s">
        <x:v>32058</x:v>
      </x:c>
      <x:c r="C8049" s="0" t="s">
        <x:v>32059</x:v>
      </x:c>
      <x:c r="E8049" s="0" t="s">
        <x:v>32060</x:v>
      </x:c>
      <x:c r="F8049" s="0" t="s">
        <x:v>45</x:v>
      </x:c>
      <x:c r="G8049" s="0" t="s">
        <x:v>19</x:v>
      </x:c>
      <x:c r="H8049" s="0" t="s">
        <x:v>20</x:v>
      </x:c>
      <x:c r="I8049" s="0" t="s">
        <x:v>21</x:v>
      </x:c>
      <x:c r="K8049" s="0">
        <x:f>hyperlink("https://icd.who.int/dev11/l-ichi/en#/http%3A%2F%2Fid.who.int%2Ficd%2Fentity%2F22254289","browser")</x:f>
      </x:c>
      <x:c r="L8049" s="0">
        <x:f>hyperlink("https://icat2.azurewebsites.net/icat/?ontology=ICD&amp;tab=ClassesTab&amp;id=http%3A%2F%2Fwho.int%2Ficd%231439_9cd760cf_9e71_4bdb_b2ea_a3ed07921568","iCat")</x:f>
      </x:c>
      <x:c r="M8049" s="0" t="s">
        <x:v>21</x:v>
      </x:c>
      <x:c r="N8049" s="0" t="s">
        <x:v>46</x:v>
      </x:c>
    </x:row>
    <x:row r="8050" spans="1:16">
      <x:c r="A8050" s="0" t="s">
        <x:v>32061</x:v>
      </x:c>
      <x:c r="B8050" s="0" t="s">
        <x:v>32062</x:v>
      </x:c>
      <x:c r="C8050" s="0" t="s">
        <x:v>32063</x:v>
      </x:c>
      <x:c r="E8050" s="0" t="s">
        <x:v>32064</x:v>
      </x:c>
      <x:c r="F8050" s="0" t="s">
        <x:v>45</x:v>
      </x:c>
      <x:c r="G8050" s="0" t="s">
        <x:v>19</x:v>
      </x:c>
      <x:c r="H8050" s="0" t="s">
        <x:v>20</x:v>
      </x:c>
      <x:c r="I8050" s="0" t="s">
        <x:v>21</x:v>
      </x:c>
      <x:c r="K8050" s="0">
        <x:f>hyperlink("https://icd.who.int/dev11/l-ichi/en#/http%3A%2F%2Fid.who.int%2Ficd%2Fentity%2F1241724140","browser")</x:f>
      </x:c>
      <x:c r="L8050" s="0">
        <x:f>hyperlink("https://icat2.azurewebsites.net/icat/?ontology=ICD&amp;tab=ClassesTab&amp;id=http%3A%2F%2Fwho.int%2Ficd%231445_9cd760cf_9e71_4bdb_b2ea_a3ed07921568","iCat")</x:f>
      </x:c>
      <x:c r="M8050" s="0" t="s">
        <x:v>21</x:v>
      </x:c>
      <x:c r="N8050" s="0" t="s">
        <x:v>46</x:v>
      </x:c>
    </x:row>
    <x:row r="8051" spans="1:16">
      <x:c r="A8051" s="0" t="s">
        <x:v>32065</x:v>
      </x:c>
      <x:c r="B8051" s="0" t="s">
        <x:v>32066</x:v>
      </x:c>
      <x:c r="C8051" s="0" t="s">
        <x:v>32067</x:v>
      </x:c>
      <x:c r="E8051" s="0" t="s">
        <x:v>32068</x:v>
      </x:c>
      <x:c r="F8051" s="0" t="s">
        <x:v>45</x:v>
      </x:c>
      <x:c r="G8051" s="0" t="s">
        <x:v>19</x:v>
      </x:c>
      <x:c r="H8051" s="0" t="s">
        <x:v>20</x:v>
      </x:c>
      <x:c r="I8051" s="0" t="s">
        <x:v>21</x:v>
      </x:c>
      <x:c r="K8051" s="0">
        <x:f>hyperlink("https://icd.who.int/dev11/l-ichi/en#/http%3A%2F%2Fid.who.int%2Ficd%2Fentity%2F364996041","browser")</x:f>
      </x:c>
      <x:c r="L8051" s="0">
        <x:f>hyperlink("https://icat2.azurewebsites.net/icat/?ontology=ICD&amp;tab=ClassesTab&amp;id=http%3A%2F%2Fwho.int%2Ficd%231451_9cd760cf_9e71_4bdb_b2ea_a3ed07921568","iCat")</x:f>
      </x:c>
      <x:c r="M8051" s="0" t="s">
        <x:v>21</x:v>
      </x:c>
      <x:c r="N8051" s="0" t="s">
        <x:v>46</x:v>
      </x:c>
    </x:row>
    <x:row r="8052" spans="1:16">
      <x:c r="A8052" s="0" t="s">
        <x:v>32069</x:v>
      </x:c>
      <x:c r="B8052" s="0" t="s">
        <x:v>32070</x:v>
      </x:c>
      <x:c r="C8052" s="0" t="s">
        <x:v>32071</x:v>
      </x:c>
      <x:c r="E8052" s="0" t="s">
        <x:v>32072</x:v>
      </x:c>
      <x:c r="F8052" s="0" t="s">
        <x:v>45</x:v>
      </x:c>
      <x:c r="G8052" s="0" t="s">
        <x:v>19</x:v>
      </x:c>
      <x:c r="H8052" s="0" t="s">
        <x:v>20</x:v>
      </x:c>
      <x:c r="I8052" s="0" t="s">
        <x:v>21</x:v>
      </x:c>
      <x:c r="K8052" s="0">
        <x:f>hyperlink("https://icd.who.int/dev11/l-ichi/en#/http%3A%2F%2Fid.who.int%2Ficd%2Fentity%2F1169865850","browser")</x:f>
      </x:c>
      <x:c r="L8052" s="0">
        <x:f>hyperlink("https://icat2.azurewebsites.net/icat/?ontology=ICD&amp;tab=ClassesTab&amp;id=http%3A%2F%2Fwho.int%2Ficd%231457_9cd760cf_9e71_4bdb_b2ea_a3ed07921568","iCat")</x:f>
      </x:c>
      <x:c r="M8052" s="0" t="s">
        <x:v>21</x:v>
      </x:c>
      <x:c r="N8052" s="0" t="s">
        <x:v>46</x:v>
      </x:c>
    </x:row>
    <x:row r="8053" spans="1:16">
      <x:c r="A8053" s="0" t="s">
        <x:v>32073</x:v>
      </x:c>
      <x:c r="B8053" s="0" t="s">
        <x:v>32074</x:v>
      </x:c>
      <x:c r="C8053" s="0" t="s">
        <x:v>32075</x:v>
      </x:c>
      <x:c r="E8053" s="0" t="s">
        <x:v>32076</x:v>
      </x:c>
      <x:c r="F8053" s="0" t="s">
        <x:v>45</x:v>
      </x:c>
      <x:c r="G8053" s="0" t="s">
        <x:v>19</x:v>
      </x:c>
      <x:c r="H8053" s="0" t="s">
        <x:v>20</x:v>
      </x:c>
      <x:c r="I8053" s="0" t="s">
        <x:v>21</x:v>
      </x:c>
      <x:c r="K8053" s="0">
        <x:f>hyperlink("https://icd.who.int/dev11/l-ichi/en#/http%3A%2F%2Fid.who.int%2Ficd%2Fentity%2F1673070019","browser")</x:f>
      </x:c>
      <x:c r="L8053" s="0">
        <x:f>hyperlink("https://icat2.azurewebsites.net/icat/?ontology=ICD&amp;tab=ClassesTab&amp;id=http%3A%2F%2Fwho.int%2Ficd%2347067_512ebf36_bf6b_4d70_85da_cf2637062af4","iCat")</x:f>
      </x:c>
      <x:c r="M8053" s="0" t="s">
        <x:v>21</x:v>
      </x:c>
      <x:c r="N8053" s="0" t="s">
        <x:v>46</x:v>
      </x:c>
    </x:row>
    <x:row r="8054" spans="1:16">
      <x:c r="A8054" s="0" t="s">
        <x:v>32077</x:v>
      </x:c>
      <x:c r="B8054" s="0" t="s">
        <x:v>32078</x:v>
      </x:c>
      <x:c r="C8054" s="0" t="s">
        <x:v>32079</x:v>
      </x:c>
      <x:c r="E8054" s="0" t="s">
        <x:v>32080</x:v>
      </x:c>
      <x:c r="F8054" s="0" t="s">
        <x:v>45</x:v>
      </x:c>
      <x:c r="G8054" s="0" t="s">
        <x:v>19</x:v>
      </x:c>
      <x:c r="H8054" s="0" t="s">
        <x:v>20</x:v>
      </x:c>
      <x:c r="I8054" s="0" t="s">
        <x:v>21</x:v>
      </x:c>
      <x:c r="K8054" s="0">
        <x:f>hyperlink("https://icd.who.int/dev11/l-ichi/en#/http%3A%2F%2Fid.who.int%2Ficd%2Fentity%2F806107147","browser")</x:f>
      </x:c>
      <x:c r="L8054" s="0">
        <x:f>hyperlink("https://icat2.azurewebsites.net/icat/?ontology=ICD&amp;tab=ClassesTab&amp;id=http%3A%2F%2Fwho.int%2Ficd%231463_9cd760cf_9e71_4bdb_b2ea_a3ed07921568","iCat")</x:f>
      </x:c>
      <x:c r="M8054" s="0" t="s">
        <x:v>21</x:v>
      </x:c>
      <x:c r="N8054" s="0" t="s">
        <x:v>46</x:v>
      </x:c>
    </x:row>
    <x:row r="8055" spans="1:16">
      <x:c r="A8055" s="0" t="s">
        <x:v>32081</x:v>
      </x:c>
      <x:c r="B8055" s="0" t="s">
        <x:v>32082</x:v>
      </x:c>
      <x:c r="C8055" s="0" t="s">
        <x:v>32083</x:v>
      </x:c>
      <x:c r="E8055" s="0" t="s">
        <x:v>32084</x:v>
      </x:c>
      <x:c r="F8055" s="0" t="s">
        <x:v>45</x:v>
      </x:c>
      <x:c r="G8055" s="0" t="s">
        <x:v>19</x:v>
      </x:c>
      <x:c r="H8055" s="0" t="s">
        <x:v>20</x:v>
      </x:c>
      <x:c r="I8055" s="0" t="s">
        <x:v>21</x:v>
      </x:c>
      <x:c r="K8055" s="0">
        <x:f>hyperlink("https://icd.who.int/dev11/l-ichi/en#/http%3A%2F%2Fid.who.int%2Ficd%2Fentity%2F468800667","browser")</x:f>
      </x:c>
      <x:c r="L8055" s="0">
        <x:f>hyperlink("https://icat2.azurewebsites.net/icat/?ontology=ICD&amp;tab=ClassesTab&amp;id=http%3A%2F%2Fwho.int%2Ficd%231469_9cd760cf_9e71_4bdb_b2ea_a3ed07921568","iCat")</x:f>
      </x:c>
      <x:c r="M8055" s="0" t="s">
        <x:v>21</x:v>
      </x:c>
      <x:c r="N8055" s="0" t="s">
        <x:v>46</x:v>
      </x:c>
    </x:row>
    <x:row r="8056" spans="1:16">
      <x:c r="A8056" s="0" t="s">
        <x:v>32085</x:v>
      </x:c>
      <x:c r="B8056" s="0" t="s">
        <x:v>32086</x:v>
      </x:c>
      <x:c r="C8056" s="0" t="s">
        <x:v>32087</x:v>
      </x:c>
      <x:c r="E8056" s="0" t="s">
        <x:v>32088</x:v>
      </x:c>
      <x:c r="F8056" s="0" t="s">
        <x:v>45</x:v>
      </x:c>
      <x:c r="G8056" s="0" t="s">
        <x:v>19</x:v>
      </x:c>
      <x:c r="H8056" s="0" t="s">
        <x:v>20</x:v>
      </x:c>
      <x:c r="I8056" s="0" t="s">
        <x:v>21</x:v>
      </x:c>
      <x:c r="K8056" s="0">
        <x:f>hyperlink("https://icd.who.int/dev11/l-ichi/en#/http%3A%2F%2Fid.who.int%2Ficd%2Fentity%2F179467501","browser")</x:f>
      </x:c>
      <x:c r="L8056" s="0">
        <x:f>hyperlink("https://icat2.azurewebsites.net/icat/?ontology=ICD&amp;tab=ClassesTab&amp;id=http%3A%2F%2Fwho.int%2Ficd%231475_9cd760cf_9e71_4bdb_b2ea_a3ed07921568","iCat")</x:f>
      </x:c>
      <x:c r="M8056" s="0" t="s">
        <x:v>21</x:v>
      </x:c>
      <x:c r="N8056" s="0" t="s">
        <x:v>46</x:v>
      </x:c>
    </x:row>
    <x:row r="8057" spans="1:16">
      <x:c r="A8057" s="0" t="s">
        <x:v>32089</x:v>
      </x:c>
      <x:c r="B8057" s="0" t="s">
        <x:v>32090</x:v>
      </x:c>
      <x:c r="C8057" s="0" t="s">
        <x:v>32091</x:v>
      </x:c>
      <x:c r="E8057" s="0" t="s">
        <x:v>32092</x:v>
      </x:c>
      <x:c r="F8057" s="0" t="s">
        <x:v>45</x:v>
      </x:c>
      <x:c r="G8057" s="0" t="s">
        <x:v>19</x:v>
      </x:c>
      <x:c r="H8057" s="0" t="s">
        <x:v>20</x:v>
      </x:c>
      <x:c r="I8057" s="0" t="s">
        <x:v>21</x:v>
      </x:c>
      <x:c r="K8057" s="0">
        <x:f>hyperlink("https://icd.who.int/dev11/l-ichi/en#/http%3A%2F%2Fid.who.int%2Ficd%2Fentity%2F724536192","browser")</x:f>
      </x:c>
      <x:c r="L8057" s="0">
        <x:f>hyperlink("https://icat2.azurewebsites.net/icat/?ontology=ICD&amp;tab=ClassesTab&amp;id=http%3A%2F%2Fwho.int%2Ficd%2359_60b821c4_cabc_4b81_9563_cb99d74167d5","iCat")</x:f>
      </x:c>
      <x:c r="M8057" s="0" t="s">
        <x:v>21</x:v>
      </x:c>
      <x:c r="N8057" s="0" t="s">
        <x:v>46</x:v>
      </x:c>
    </x:row>
    <x:row r="8058" spans="1:16">
      <x:c r="A8058" s="0" t="s">
        <x:v>32093</x:v>
      </x:c>
      <x:c r="B8058" s="0" t="s">
        <x:v>32094</x:v>
      </x:c>
      <x:c r="C8058" s="0" t="s">
        <x:v>32095</x:v>
      </x:c>
      <x:c r="E8058" s="0" t="s">
        <x:v>32096</x:v>
      </x:c>
      <x:c r="F8058" s="0" t="s">
        <x:v>45</x:v>
      </x:c>
      <x:c r="G8058" s="0" t="s">
        <x:v>19</x:v>
      </x:c>
      <x:c r="H8058" s="0" t="s">
        <x:v>20</x:v>
      </x:c>
      <x:c r="I8058" s="0" t="s">
        <x:v>21</x:v>
      </x:c>
      <x:c r="K8058" s="0">
        <x:f>hyperlink("https://icd.who.int/dev11/l-ichi/en#/http%3A%2F%2Fid.who.int%2Ficd%2Fentity%2F273873479","browser")</x:f>
      </x:c>
      <x:c r="L8058" s="0">
        <x:f>hyperlink("https://icat2.azurewebsites.net/icat/?ontology=ICD&amp;tab=ClassesTab&amp;id=http%3A%2F%2Fwho.int%2Ficd%231481_9cd760cf_9e71_4bdb_b2ea_a3ed07921568","iCat")</x:f>
      </x:c>
      <x:c r="M8058" s="0" t="s">
        <x:v>21</x:v>
      </x:c>
      <x:c r="N8058" s="0" t="s">
        <x:v>46</x:v>
      </x:c>
    </x:row>
    <x:row r="8059" spans="1:16">
      <x:c r="A8059" s="0" t="s">
        <x:v>32097</x:v>
      </x:c>
      <x:c r="B8059" s="0" t="s">
        <x:v>32098</x:v>
      </x:c>
      <x:c r="C8059" s="0" t="s">
        <x:v>32099</x:v>
      </x:c>
      <x:c r="E8059" s="0" t="s">
        <x:v>32100</x:v>
      </x:c>
      <x:c r="F8059" s="0" t="s">
        <x:v>45</x:v>
      </x:c>
      <x:c r="G8059" s="0" t="s">
        <x:v>19</x:v>
      </x:c>
      <x:c r="H8059" s="0" t="s">
        <x:v>20</x:v>
      </x:c>
      <x:c r="I8059" s="0" t="s">
        <x:v>21</x:v>
      </x:c>
      <x:c r="K8059" s="0">
        <x:f>hyperlink("https://icd.who.int/dev11/l-ichi/en#/http%3A%2F%2Fid.who.int%2Ficd%2Fentity%2F1076438006","browser")</x:f>
      </x:c>
      <x:c r="L8059" s="0">
        <x:f>hyperlink("https://icat2.azurewebsites.net/icat/?ontology=ICD&amp;tab=ClassesTab&amp;id=http%3A%2F%2Fwho.int%2Ficd%231487_9cd760cf_9e71_4bdb_b2ea_a3ed07921568","iCat")</x:f>
      </x:c>
      <x:c r="M8059" s="0" t="s">
        <x:v>21</x:v>
      </x:c>
      <x:c r="N8059" s="0" t="s">
        <x:v>46</x:v>
      </x:c>
    </x:row>
    <x:row r="8060" spans="1:16">
      <x:c r="A8060" s="0" t="s">
        <x:v>32101</x:v>
      </x:c>
      <x:c r="B8060" s="0" t="s">
        <x:v>32102</x:v>
      </x:c>
      <x:c r="C8060" s="0" t="s">
        <x:v>32103</x:v>
      </x:c>
      <x:c r="E8060" s="0" t="s">
        <x:v>32104</x:v>
      </x:c>
      <x:c r="F8060" s="0" t="s">
        <x:v>45</x:v>
      </x:c>
      <x:c r="G8060" s="0" t="s">
        <x:v>19</x:v>
      </x:c>
      <x:c r="H8060" s="0" t="s">
        <x:v>20</x:v>
      </x:c>
      <x:c r="I8060" s="0" t="s">
        <x:v>21</x:v>
      </x:c>
      <x:c r="K8060" s="0">
        <x:f>hyperlink("https://icd.who.int/dev11/l-ichi/en#/http%3A%2F%2Fid.who.int%2Ficd%2Fentity%2F535524053","browser")</x:f>
      </x:c>
      <x:c r="L8060" s="0">
        <x:f>hyperlink("https://icat2.azurewebsites.net/icat/?ontology=ICD&amp;tab=ClassesTab&amp;id=http%3A%2F%2Fwho.int%2Ficd%231493_9cd760cf_9e71_4bdb_b2ea_a3ed07921568","iCat")</x:f>
      </x:c>
      <x:c r="M8060" s="0" t="s">
        <x:v>21</x:v>
      </x:c>
      <x:c r="N8060" s="0" t="s">
        <x:v>46</x:v>
      </x:c>
    </x:row>
    <x:row r="8061" spans="1:16">
      <x:c r="A8061" s="0" t="s">
        <x:v>32105</x:v>
      </x:c>
      <x:c r="B8061" s="0" t="s">
        <x:v>32106</x:v>
      </x:c>
      <x:c r="C8061" s="0" t="s">
        <x:v>32107</x:v>
      </x:c>
      <x:c r="E8061" s="0" t="s">
        <x:v>32108</x:v>
      </x:c>
      <x:c r="F8061" s="0" t="s">
        <x:v>45</x:v>
      </x:c>
      <x:c r="G8061" s="0" t="s">
        <x:v>19</x:v>
      </x:c>
      <x:c r="H8061" s="0" t="s">
        <x:v>20</x:v>
      </x:c>
      <x:c r="I8061" s="0" t="s">
        <x:v>21</x:v>
      </x:c>
      <x:c r="K8061" s="0">
        <x:f>hyperlink("https://icd.who.int/dev11/l-ichi/en#/http%3A%2F%2Fid.who.int%2Ficd%2Fentity%2F873864773","browser")</x:f>
      </x:c>
      <x:c r="L8061" s="0">
        <x:f>hyperlink("https://icat2.azurewebsites.net/icat/?ontology=ICD&amp;tab=ClassesTab&amp;id=http%3A%2F%2Fwho.int%2Ficd%231499_9cd760cf_9e71_4bdb_b2ea_a3ed07921568","iCat")</x:f>
      </x:c>
      <x:c r="M8061" s="0" t="s">
        <x:v>21</x:v>
      </x:c>
      <x:c r="N8061" s="0" t="s">
        <x:v>46</x:v>
      </x:c>
    </x:row>
    <x:row r="8062" spans="1:16">
      <x:c r="A8062" s="0" t="s">
        <x:v>32109</x:v>
      </x:c>
      <x:c r="B8062" s="0" t="s">
        <x:v>32110</x:v>
      </x:c>
      <x:c r="C8062" s="0" t="s">
        <x:v>32111</x:v>
      </x:c>
      <x:c r="E8062" s="0" t="s">
        <x:v>32112</x:v>
      </x:c>
      <x:c r="F8062" s="0" t="s">
        <x:v>45</x:v>
      </x:c>
      <x:c r="G8062" s="0" t="s">
        <x:v>19</x:v>
      </x:c>
      <x:c r="H8062" s="0" t="s">
        <x:v>20</x:v>
      </x:c>
      <x:c r="I8062" s="0" t="s">
        <x:v>21</x:v>
      </x:c>
      <x:c r="K8062" s="0">
        <x:f>hyperlink("https://icd.who.int/dev11/l-ichi/en#/http%3A%2F%2Fid.who.int%2Ficd%2Fentity%2F1341890924","browser")</x:f>
      </x:c>
      <x:c r="L8062" s="0">
        <x:f>hyperlink("https://icat2.azurewebsites.net/icat/?ontology=ICD&amp;tab=ClassesTab&amp;id=http%3A%2F%2Fwho.int%2Ficd%231505_9cd760cf_9e71_4bdb_b2ea_a3ed07921568","iCat")</x:f>
      </x:c>
      <x:c r="M8062" s="0" t="s">
        <x:v>21</x:v>
      </x:c>
      <x:c r="N8062" s="0" t="s">
        <x:v>46</x:v>
      </x:c>
    </x:row>
    <x:row r="8063" spans="1:16">
      <x:c r="A8063" s="0" t="s">
        <x:v>32113</x:v>
      </x:c>
      <x:c r="B8063" s="0" t="s">
        <x:v>32114</x:v>
      </x:c>
      <x:c r="C8063" s="0" t="s">
        <x:v>32115</x:v>
      </x:c>
      <x:c r="E8063" s="0" t="s">
        <x:v>32116</x:v>
      </x:c>
      <x:c r="F8063" s="0" t="s">
        <x:v>45</x:v>
      </x:c>
      <x:c r="G8063" s="0" t="s">
        <x:v>19</x:v>
      </x:c>
      <x:c r="H8063" s="0" t="s">
        <x:v>20</x:v>
      </x:c>
      <x:c r="I8063" s="0" t="s">
        <x:v>21</x:v>
      </x:c>
      <x:c r="K8063" s="0">
        <x:f>hyperlink("https://icd.who.int/dev11/l-ichi/en#/http%3A%2F%2Fid.who.int%2Ficd%2Fentity%2F272232521","browser")</x:f>
      </x:c>
      <x:c r="L8063" s="0">
        <x:f>hyperlink("https://icat2.azurewebsites.net/icat/?ontology=ICD&amp;tab=ClassesTab&amp;id=http%3A%2F%2Fwho.int%2Ficd%231511_9cd760cf_9e71_4bdb_b2ea_a3ed07921568","iCat")</x:f>
      </x:c>
      <x:c r="M8063" s="0" t="s">
        <x:v>21</x:v>
      </x:c>
      <x:c r="N8063" s="0" t="s">
        <x:v>46</x:v>
      </x:c>
    </x:row>
    <x:row r="8064" spans="1:16">
      <x:c r="A8064" s="0" t="s">
        <x:v>32117</x:v>
      </x:c>
      <x:c r="B8064" s="0" t="s">
        <x:v>32118</x:v>
      </x:c>
      <x:c r="C8064" s="0" t="s">
        <x:v>32119</x:v>
      </x:c>
      <x:c r="E8064" s="0" t="s">
        <x:v>32120</x:v>
      </x:c>
      <x:c r="F8064" s="0" t="s">
        <x:v>45</x:v>
      </x:c>
      <x:c r="G8064" s="0" t="s">
        <x:v>19</x:v>
      </x:c>
      <x:c r="H8064" s="0" t="s">
        <x:v>20</x:v>
      </x:c>
      <x:c r="I8064" s="0" t="s">
        <x:v>21</x:v>
      </x:c>
      <x:c r="K8064" s="0">
        <x:f>hyperlink("https://icd.who.int/dev11/l-ichi/en#/http%3A%2F%2Fid.who.int%2Ficd%2Fentity%2F1078077946","browser")</x:f>
      </x:c>
      <x:c r="L8064" s="0">
        <x:f>hyperlink("https://icat2.azurewebsites.net/icat/?ontology=ICD&amp;tab=ClassesTab&amp;id=http%3A%2F%2Fwho.int%2Ficd%231517_9cd760cf_9e71_4bdb_b2ea_a3ed07921568","iCat")</x:f>
      </x:c>
      <x:c r="M8064" s="0" t="s">
        <x:v>21</x:v>
      </x:c>
      <x:c r="N8064" s="0" t="s">
        <x:v>46</x:v>
      </x:c>
    </x:row>
    <x:row r="8065" spans="1:16">
      <x:c r="A8065" s="0" t="s">
        <x:v>32121</x:v>
      </x:c>
      <x:c r="B8065" s="0" t="s">
        <x:v>32122</x:v>
      </x:c>
      <x:c r="C8065" s="0" t="s">
        <x:v>32123</x:v>
      </x:c>
      <x:c r="E8065" s="0" t="s">
        <x:v>32124</x:v>
      </x:c>
      <x:c r="F8065" s="0" t="s">
        <x:v>45</x:v>
      </x:c>
      <x:c r="G8065" s="0" t="s">
        <x:v>19</x:v>
      </x:c>
      <x:c r="H8065" s="0" t="s">
        <x:v>20</x:v>
      </x:c>
      <x:c r="I8065" s="0" t="s">
        <x:v>21</x:v>
      </x:c>
      <x:c r="K8065" s="0">
        <x:f>hyperlink("https://icd.who.int/dev11/l-ichi/en#/http%3A%2F%2Fid.who.int%2Ficd%2Fentity%2F905227659","browser")</x:f>
      </x:c>
      <x:c r="L8065" s="0">
        <x:f>hyperlink("https://icat2.azurewebsites.net/icat/?ontology=ICD&amp;tab=ClassesTab&amp;id=http%3A%2F%2Fwho.int%2Ficd%231523_9cd760cf_9e71_4bdb_b2ea_a3ed07921568","iCat")</x:f>
      </x:c>
      <x:c r="M8065" s="0" t="s">
        <x:v>21</x:v>
      </x:c>
      <x:c r="N8065" s="0" t="s">
        <x:v>46</x:v>
      </x:c>
    </x:row>
    <x:row r="8066" spans="1:16">
      <x:c r="A8066" s="0" t="s">
        <x:v>32125</x:v>
      </x:c>
      <x:c r="B8066" s="0" t="s">
        <x:v>32126</x:v>
      </x:c>
      <x:c r="C8066" s="0" t="s">
        <x:v>32127</x:v>
      </x:c>
      <x:c r="E8066" s="0" t="s">
        <x:v>32128</x:v>
      </x:c>
      <x:c r="F8066" s="0" t="s">
        <x:v>45</x:v>
      </x:c>
      <x:c r="G8066" s="0" t="s">
        <x:v>19</x:v>
      </x:c>
      <x:c r="H8066" s="0" t="s">
        <x:v>20</x:v>
      </x:c>
      <x:c r="I8066" s="0" t="s">
        <x:v>21</x:v>
      </x:c>
      <x:c r="K8066" s="0">
        <x:f>hyperlink("https://icd.who.int/dev11/l-ichi/en#/http%3A%2F%2Fid.who.int%2Ficd%2Fentity%2F503955739","browser")</x:f>
      </x:c>
      <x:c r="L8066" s="0">
        <x:f>hyperlink("https://icat2.azurewebsites.net/icat/?ontology=ICD&amp;tab=ClassesTab&amp;id=http%3A%2F%2Fwho.int%2Ficd%231529_9cd760cf_9e71_4bdb_b2ea_a3ed07921568","iCat")</x:f>
      </x:c>
      <x:c r="M8066" s="0" t="s">
        <x:v>21</x:v>
      </x:c>
      <x:c r="N8066" s="0" t="s">
        <x:v>46</x:v>
      </x:c>
    </x:row>
    <x:row r="8067" spans="1:16">
      <x:c r="A8067" s="0" t="s">
        <x:v>32129</x:v>
      </x:c>
      <x:c r="B8067" s="0" t="s">
        <x:v>32130</x:v>
      </x:c>
      <x:c r="C8067" s="0" t="s">
        <x:v>32131</x:v>
      </x:c>
      <x:c r="E8067" s="0" t="s">
        <x:v>32132</x:v>
      </x:c>
      <x:c r="F8067" s="0" t="s">
        <x:v>45</x:v>
      </x:c>
      <x:c r="G8067" s="0" t="s">
        <x:v>19</x:v>
      </x:c>
      <x:c r="H8067" s="0" t="s">
        <x:v>20</x:v>
      </x:c>
      <x:c r="I8067" s="0" t="s">
        <x:v>21</x:v>
      </x:c>
      <x:c r="K8067" s="0">
        <x:f>hyperlink("https://icd.who.int/dev11/l-ichi/en#/http%3A%2F%2Fid.who.int%2Ficd%2Fentity%2F256565613","browser")</x:f>
      </x:c>
      <x:c r="L8067" s="0">
        <x:f>hyperlink("https://icat2.azurewebsites.net/icat/?ontology=ICD&amp;tab=ClassesTab&amp;id=http%3A%2F%2Fwho.int%2Ficd%231535_9cd760cf_9e71_4bdb_b2ea_a3ed07921568","iCat")</x:f>
      </x:c>
      <x:c r="M8067" s="0" t="s">
        <x:v>21</x:v>
      </x:c>
      <x:c r="N8067" s="0" t="s">
        <x:v>46</x:v>
      </x:c>
    </x:row>
    <x:row r="8068" spans="1:16">
      <x:c r="A8068" s="0" t="s">
        <x:v>32133</x:v>
      </x:c>
      <x:c r="B8068" s="0" t="s">
        <x:v>32134</x:v>
      </x:c>
      <x:c r="C8068" s="0" t="s">
        <x:v>32135</x:v>
      </x:c>
      <x:c r="E8068" s="0" t="s">
        <x:v>32136</x:v>
      </x:c>
      <x:c r="F8068" s="0" t="s">
        <x:v>45</x:v>
      </x:c>
      <x:c r="G8068" s="0" t="s">
        <x:v>19</x:v>
      </x:c>
      <x:c r="H8068" s="0" t="s">
        <x:v>20</x:v>
      </x:c>
      <x:c r="I8068" s="0" t="s">
        <x:v>21</x:v>
      </x:c>
      <x:c r="K8068" s="0">
        <x:f>hyperlink("https://icd.who.int/dev11/l-ichi/en#/http%3A%2F%2Fid.who.int%2Ficd%2Fentity%2F177944067","browser")</x:f>
      </x:c>
      <x:c r="L8068" s="0">
        <x:f>hyperlink("https://icat2.azurewebsites.net/icat/?ontology=ICD&amp;tab=ClassesTab&amp;id=http%3A%2F%2Fwho.int%2Ficd%231541_9cd760cf_9e71_4bdb_b2ea_a3ed07921568","iCat")</x:f>
      </x:c>
      <x:c r="M8068" s="0" t="s">
        <x:v>21</x:v>
      </x:c>
      <x:c r="N8068" s="0" t="s">
        <x:v>46</x:v>
      </x:c>
    </x:row>
    <x:row r="8069" spans="1:16">
      <x:c r="A8069" s="0" t="s">
        <x:v>32137</x:v>
      </x:c>
      <x:c r="B8069" s="0" t="s">
        <x:v>32138</x:v>
      </x:c>
      <x:c r="C8069" s="0" t="s">
        <x:v>32139</x:v>
      </x:c>
      <x:c r="E8069" s="0" t="s">
        <x:v>32140</x:v>
      </x:c>
      <x:c r="F8069" s="0" t="s">
        <x:v>45</x:v>
      </x:c>
      <x:c r="G8069" s="0" t="s">
        <x:v>19</x:v>
      </x:c>
      <x:c r="H8069" s="0" t="s">
        <x:v>20</x:v>
      </x:c>
      <x:c r="I8069" s="0" t="s">
        <x:v>21</x:v>
      </x:c>
      <x:c r="K8069" s="0">
        <x:f>hyperlink("https://icd.who.int/dev11/l-ichi/en#/http%3A%2F%2Fid.who.int%2Ficd%2Fentity%2F1524690868","browser")</x:f>
      </x:c>
      <x:c r="L8069" s="0">
        <x:f>hyperlink("https://icat2.azurewebsites.net/icat/?ontology=ICD&amp;tab=ClassesTab&amp;id=http%3A%2F%2Fwho.int%2Ficd%231547_9cd760cf_9e71_4bdb_b2ea_a3ed07921568","iCat")</x:f>
      </x:c>
      <x:c r="M8069" s="0" t="s">
        <x:v>21</x:v>
      </x:c>
      <x:c r="N8069" s="0" t="s">
        <x:v>46</x:v>
      </x:c>
    </x:row>
    <x:row r="8070" spans="1:16">
      <x:c r="A8070" s="0" t="s">
        <x:v>32141</x:v>
      </x:c>
      <x:c r="B8070" s="0" t="s">
        <x:v>32142</x:v>
      </x:c>
      <x:c r="C8070" s="0" t="s">
        <x:v>32143</x:v>
      </x:c>
      <x:c r="E8070" s="0" t="s">
        <x:v>32144</x:v>
      </x:c>
      <x:c r="F8070" s="0" t="s">
        <x:v>45</x:v>
      </x:c>
      <x:c r="G8070" s="0" t="s">
        <x:v>19</x:v>
      </x:c>
      <x:c r="H8070" s="0" t="s">
        <x:v>20</x:v>
      </x:c>
      <x:c r="I8070" s="0" t="s">
        <x:v>21</x:v>
      </x:c>
      <x:c r="K8070" s="0">
        <x:f>hyperlink("https://icd.who.int/dev11/l-ichi/en#/http%3A%2F%2Fid.who.int%2Ficd%2Fentity%2F86163089","browser")</x:f>
      </x:c>
      <x:c r="L8070" s="0">
        <x:f>hyperlink("https://icat2.azurewebsites.net/icat/?ontology=ICD&amp;tab=ClassesTab&amp;id=http%3A%2F%2Fwho.int%2Ficd%231553_9cd760cf_9e71_4bdb_b2ea_a3ed07921568","iCat")</x:f>
      </x:c>
      <x:c r="M8070" s="0" t="s">
        <x:v>21</x:v>
      </x:c>
      <x:c r="N8070" s="0" t="s">
        <x:v>46</x:v>
      </x:c>
    </x:row>
    <x:row r="8071" spans="1:16">
      <x:c r="A8071" s="0" t="s">
        <x:v>32145</x:v>
      </x:c>
      <x:c r="B8071" s="0" t="s">
        <x:v>32146</x:v>
      </x:c>
      <x:c r="C8071" s="0" t="s">
        <x:v>32147</x:v>
      </x:c>
      <x:c r="E8071" s="0" t="s">
        <x:v>32148</x:v>
      </x:c>
      <x:c r="F8071" s="0" t="s">
        <x:v>45</x:v>
      </x:c>
      <x:c r="G8071" s="0" t="s">
        <x:v>19</x:v>
      </x:c>
      <x:c r="H8071" s="0" t="s">
        <x:v>20</x:v>
      </x:c>
      <x:c r="I8071" s="0" t="s">
        <x:v>21</x:v>
      </x:c>
      <x:c r="K8071" s="0">
        <x:f>hyperlink("https://icd.who.int/dev11/l-ichi/en#/http%3A%2F%2Fid.who.int%2Ficd%2Fentity%2F786420225","browser")</x:f>
      </x:c>
      <x:c r="L8071" s="0">
        <x:f>hyperlink("https://icat2.azurewebsites.net/icat/?ontology=ICD&amp;tab=ClassesTab&amp;id=http%3A%2F%2Fwho.int%2Ficd%231559_9cd760cf_9e71_4bdb_b2ea_a3ed07921568","iCat")</x:f>
      </x:c>
      <x:c r="M8071" s="0" t="s">
        <x:v>21</x:v>
      </x:c>
      <x:c r="N8071" s="0" t="s">
        <x:v>46</x:v>
      </x:c>
    </x:row>
    <x:row r="8072" spans="1:16">
      <x:c r="A8072" s="0" t="s">
        <x:v>32149</x:v>
      </x:c>
      <x:c r="B8072" s="0" t="s">
        <x:v>32150</x:v>
      </x:c>
      <x:c r="C8072" s="0" t="s">
        <x:v>32151</x:v>
      </x:c>
      <x:c r="E8072" s="0" t="s">
        <x:v>32152</x:v>
      </x:c>
      <x:c r="F8072" s="0" t="s">
        <x:v>45</x:v>
      </x:c>
      <x:c r="G8072" s="0" t="s">
        <x:v>19</x:v>
      </x:c>
      <x:c r="H8072" s="0" t="s">
        <x:v>20</x:v>
      </x:c>
      <x:c r="I8072" s="0" t="s">
        <x:v>21</x:v>
      </x:c>
      <x:c r="K8072" s="0">
        <x:f>hyperlink("https://icd.who.int/dev11/l-ichi/en#/http%3A%2F%2Fid.who.int%2Ficd%2Fentity%2F367535911","browser")</x:f>
      </x:c>
      <x:c r="L8072" s="0">
        <x:f>hyperlink("https://icat2.azurewebsites.net/icat/?ontology=ICD&amp;tab=ClassesTab&amp;id=http%3A%2F%2Fwho.int%2Ficd%231565_9cd760cf_9e71_4bdb_b2ea_a3ed07921568","iCat")</x:f>
      </x:c>
      <x:c r="M8072" s="0" t="s">
        <x:v>21</x:v>
      </x:c>
      <x:c r="N8072" s="0" t="s">
        <x:v>46</x:v>
      </x:c>
    </x:row>
    <x:row r="8073" spans="1:16">
      <x:c r="A8073" s="0" t="s">
        <x:v>32153</x:v>
      </x:c>
      <x:c r="B8073" s="0" t="s">
        <x:v>32154</x:v>
      </x:c>
      <x:c r="C8073" s="0" t="s">
        <x:v>32155</x:v>
      </x:c>
      <x:c r="E8073" s="0" t="s">
        <x:v>32156</x:v>
      </x:c>
      <x:c r="F8073" s="0" t="s">
        <x:v>45</x:v>
      </x:c>
      <x:c r="G8073" s="0" t="s">
        <x:v>19</x:v>
      </x:c>
      <x:c r="H8073" s="0" t="s">
        <x:v>20</x:v>
      </x:c>
      <x:c r="I8073" s="0" t="s">
        <x:v>21</x:v>
      </x:c>
      <x:c r="K8073" s="0">
        <x:f>hyperlink("https://icd.who.int/dev11/l-ichi/en#/http%3A%2F%2Fid.who.int%2Ficd%2Fentity%2F1811975505","browser")</x:f>
      </x:c>
      <x:c r="L8073" s="0">
        <x:f>hyperlink("https://icat2.azurewebsites.net/icat/?ontology=ICD&amp;tab=ClassesTab&amp;id=http%3A%2F%2Fwho.int%2Ficd%2347075_512ebf36_bf6b_4d70_85da_cf2637062af4","iCat")</x:f>
      </x:c>
      <x:c r="M8073" s="0" t="s">
        <x:v>21</x:v>
      </x:c>
      <x:c r="N8073" s="0" t="s">
        <x:v>46</x:v>
      </x:c>
    </x:row>
    <x:row r="8074" spans="1:16">
      <x:c r="A8074" s="0" t="s">
        <x:v>32157</x:v>
      </x:c>
      <x:c r="B8074" s="0" t="s">
        <x:v>32158</x:v>
      </x:c>
      <x:c r="C8074" s="0" t="s">
        <x:v>32159</x:v>
      </x:c>
      <x:c r="E8074" s="0" t="s">
        <x:v>32160</x:v>
      </x:c>
      <x:c r="F8074" s="0" t="s">
        <x:v>45</x:v>
      </x:c>
      <x:c r="G8074" s="0" t="s">
        <x:v>19</x:v>
      </x:c>
      <x:c r="H8074" s="0" t="s">
        <x:v>20</x:v>
      </x:c>
      <x:c r="I8074" s="0" t="s">
        <x:v>21</x:v>
      </x:c>
      <x:c r="K8074" s="0">
        <x:f>hyperlink("https://icd.who.int/dev11/l-ichi/en#/http%3A%2F%2Fid.who.int%2Ficd%2Fentity%2F2038216281","browser")</x:f>
      </x:c>
      <x:c r="L8074" s="0">
        <x:f>hyperlink("https://icat2.azurewebsites.net/icat/?ontology=ICD&amp;tab=ClassesTab&amp;id=http%3A%2F%2Fwho.int%2Ficd%231969_9cd760cf_9e71_4bdb_b2ea_a3ed07921568","iCat")</x:f>
      </x:c>
      <x:c r="M8074" s="0" t="s">
        <x:v>21</x:v>
      </x:c>
      <x:c r="N8074" s="0" t="s">
        <x:v>46</x:v>
      </x:c>
    </x:row>
    <x:row r="8075" spans="1:16">
      <x:c r="A8075" s="0" t="s">
        <x:v>32161</x:v>
      </x:c>
      <x:c r="B8075" s="0" t="s">
        <x:v>32162</x:v>
      </x:c>
      <x:c r="C8075" s="0" t="s">
        <x:v>32163</x:v>
      </x:c>
      <x:c r="E8075" s="0" t="s">
        <x:v>32164</x:v>
      </x:c>
      <x:c r="F8075" s="0" t="s">
        <x:v>45</x:v>
      </x:c>
      <x:c r="G8075" s="0" t="s">
        <x:v>19</x:v>
      </x:c>
      <x:c r="H8075" s="0" t="s">
        <x:v>20</x:v>
      </x:c>
      <x:c r="I8075" s="0" t="s">
        <x:v>21</x:v>
      </x:c>
      <x:c r="K8075" s="0">
        <x:f>hyperlink("https://icd.who.int/dev11/l-ichi/en#/http%3A%2F%2Fid.who.int%2Ficd%2Fentity%2F862284802","browser")</x:f>
      </x:c>
      <x:c r="L8075" s="0">
        <x:f>hyperlink("https://icat2.azurewebsites.net/icat/?ontology=ICD&amp;tab=ClassesTab&amp;id=http%3A%2F%2Fwho.int%2Ficd%2347082_512ebf36_bf6b_4d70_85da_cf2637062af4","iCat")</x:f>
      </x:c>
      <x:c r="M8075" s="0" t="s">
        <x:v>21</x:v>
      </x:c>
      <x:c r="N8075" s="0" t="s">
        <x:v>46</x:v>
      </x:c>
    </x:row>
    <x:row r="8076" spans="1:16">
      <x:c r="A8076" s="0" t="s">
        <x:v>32165</x:v>
      </x:c>
      <x:c r="B8076" s="0" t="s">
        <x:v>32166</x:v>
      </x:c>
      <x:c r="C8076" s="0" t="s">
        <x:v>32167</x:v>
      </x:c>
      <x:c r="E8076" s="0" t="s">
        <x:v>32168</x:v>
      </x:c>
      <x:c r="F8076" s="0" t="s">
        <x:v>45</x:v>
      </x:c>
      <x:c r="G8076" s="0" t="s">
        <x:v>19</x:v>
      </x:c>
      <x:c r="H8076" s="0" t="s">
        <x:v>20</x:v>
      </x:c>
      <x:c r="I8076" s="0" t="s">
        <x:v>21</x:v>
      </x:c>
      <x:c r="K8076" s="0">
        <x:f>hyperlink("https://icd.who.int/dev11/l-ichi/en#/http%3A%2F%2Fid.who.int%2Ficd%2Fentity%2F945910448","browser")</x:f>
      </x:c>
      <x:c r="L8076" s="0">
        <x:f>hyperlink("https://icat2.azurewebsites.net/icat/?ontology=ICD&amp;tab=ClassesTab&amp;id=http%3A%2F%2Fwho.int%2Ficd%2347089_512ebf36_bf6b_4d70_85da_cf2637062af4","iCat")</x:f>
      </x:c>
      <x:c r="M8076" s="0" t="s">
        <x:v>21</x:v>
      </x:c>
      <x:c r="N8076" s="0" t="s">
        <x:v>46</x:v>
      </x:c>
    </x:row>
    <x:row r="8077" spans="1:16">
      <x:c r="A8077" s="0" t="s">
        <x:v>32169</x:v>
      </x:c>
      <x:c r="B8077" s="0" t="s">
        <x:v>32170</x:v>
      </x:c>
      <x:c r="C8077" s="0" t="s">
        <x:v>32171</x:v>
      </x:c>
      <x:c r="E8077" s="0" t="s">
        <x:v>32172</x:v>
      </x:c>
      <x:c r="F8077" s="0" t="s">
        <x:v>45</x:v>
      </x:c>
      <x:c r="G8077" s="0" t="s">
        <x:v>19</x:v>
      </x:c>
      <x:c r="H8077" s="0" t="s">
        <x:v>20</x:v>
      </x:c>
      <x:c r="I8077" s="0" t="s">
        <x:v>21</x:v>
      </x:c>
      <x:c r="K8077" s="0">
        <x:f>hyperlink("https://icd.who.int/dev11/l-ichi/en#/http%3A%2F%2Fid.who.int%2Ficd%2Fentity%2F1748997679","browser")</x:f>
      </x:c>
      <x:c r="L8077" s="0">
        <x:f>hyperlink("https://icat2.azurewebsites.net/icat/?ontology=ICD&amp;tab=ClassesTab&amp;id=http%3A%2F%2Fwho.int%2Ficd%231975_9cd760cf_9e71_4bdb_b2ea_a3ed07921568","iCat")</x:f>
      </x:c>
      <x:c r="M8077" s="0" t="s">
        <x:v>21</x:v>
      </x:c>
      <x:c r="N8077" s="0" t="s">
        <x:v>46</x:v>
      </x:c>
    </x:row>
    <x:row r="8078" spans="1:16">
      <x:c r="A8078" s="0" t="s">
        <x:v>32173</x:v>
      </x:c>
      <x:c r="B8078" s="0" t="s">
        <x:v>32174</x:v>
      </x:c>
      <x:c r="C8078" s="0" t="s">
        <x:v>32175</x:v>
      </x:c>
      <x:c r="E8078" s="0" t="s">
        <x:v>32176</x:v>
      </x:c>
      <x:c r="F8078" s="0" t="s">
        <x:v>45</x:v>
      </x:c>
      <x:c r="G8078" s="0" t="s">
        <x:v>19</x:v>
      </x:c>
      <x:c r="H8078" s="0" t="s">
        <x:v>20</x:v>
      </x:c>
      <x:c r="I8078" s="0" t="s">
        <x:v>21</x:v>
      </x:c>
      <x:c r="K8078" s="0">
        <x:f>hyperlink("https://icd.who.int/dev11/l-ichi/en#/http%3A%2F%2Fid.who.int%2Ficd%2Fentity%2F1927223429","browser")</x:f>
      </x:c>
      <x:c r="L8078" s="0">
        <x:f>hyperlink("https://icat2.azurewebsites.net/icat/?ontology=ICD&amp;tab=ClassesTab&amp;id=http%3A%2F%2Fwho.int%2Ficd%231981_9cd760cf_9e71_4bdb_b2ea_a3ed07921568","iCat")</x:f>
      </x:c>
      <x:c r="M8078" s="0" t="s">
        <x:v>21</x:v>
      </x:c>
      <x:c r="N8078" s="0" t="s">
        <x:v>46</x:v>
      </x:c>
    </x:row>
    <x:row r="8079" spans="1:16">
      <x:c r="A8079" s="0" t="s">
        <x:v>32177</x:v>
      </x:c>
      <x:c r="B8079" s="0" t="s">
        <x:v>32178</x:v>
      </x:c>
      <x:c r="C8079" s="0" t="s">
        <x:v>32179</x:v>
      </x:c>
      <x:c r="E8079" s="0" t="s">
        <x:v>32180</x:v>
      </x:c>
      <x:c r="F8079" s="0" t="s">
        <x:v>45</x:v>
      </x:c>
      <x:c r="G8079" s="0" t="s">
        <x:v>19</x:v>
      </x:c>
      <x:c r="H8079" s="0" t="s">
        <x:v>20</x:v>
      </x:c>
      <x:c r="I8079" s="0" t="s">
        <x:v>21</x:v>
      </x:c>
      <x:c r="K8079" s="0">
        <x:f>hyperlink("https://icd.who.int/dev11/l-ichi/en#/http%3A%2F%2Fid.who.int%2Ficd%2Fentity%2F581222708","browser")</x:f>
      </x:c>
      <x:c r="L8079" s="0">
        <x:f>hyperlink("https://icat2.azurewebsites.net/icat/?ontology=ICD&amp;tab=ClassesTab&amp;id=http%3A%2F%2Fwho.int%2Ficd%231987_9cd760cf_9e71_4bdb_b2ea_a3ed07921568","iCat")</x:f>
      </x:c>
      <x:c r="M8079" s="0" t="s">
        <x:v>21</x:v>
      </x:c>
      <x:c r="N8079" s="0" t="s">
        <x:v>46</x:v>
      </x:c>
    </x:row>
    <x:row r="8080" spans="1:16">
      <x:c r="A8080" s="0" t="s">
        <x:v>32181</x:v>
      </x:c>
      <x:c r="B8080" s="0" t="s">
        <x:v>32182</x:v>
      </x:c>
      <x:c r="C8080" s="0" t="s">
        <x:v>32183</x:v>
      </x:c>
      <x:c r="E8080" s="0" t="s">
        <x:v>32184</x:v>
      </x:c>
      <x:c r="F8080" s="0" t="s">
        <x:v>45</x:v>
      </x:c>
      <x:c r="G8080" s="0" t="s">
        <x:v>19</x:v>
      </x:c>
      <x:c r="H8080" s="0" t="s">
        <x:v>20</x:v>
      </x:c>
      <x:c r="I8080" s="0" t="s">
        <x:v>21</x:v>
      </x:c>
      <x:c r="K8080" s="0">
        <x:f>hyperlink("https://icd.who.int/dev11/l-ichi/en#/http%3A%2F%2Fid.who.int%2Ficd%2Fentity%2F2103873559","browser")</x:f>
      </x:c>
      <x:c r="L8080" s="0">
        <x:f>hyperlink("https://icat2.azurewebsites.net/icat/?ontology=ICD&amp;tab=ClassesTab&amp;id=http%3A%2F%2Fwho.int%2Ficd%231993_9cd760cf_9e71_4bdb_b2ea_a3ed07921568","iCat")</x:f>
      </x:c>
      <x:c r="M8080" s="0" t="s">
        <x:v>21</x:v>
      </x:c>
      <x:c r="N8080" s="0" t="s">
        <x:v>46</x:v>
      </x:c>
    </x:row>
    <x:row r="8081" spans="1:16">
      <x:c r="A8081" s="0" t="s">
        <x:v>32185</x:v>
      </x:c>
      <x:c r="B8081" s="0" t="s">
        <x:v>32186</x:v>
      </x:c>
      <x:c r="C8081" s="0" t="s">
        <x:v>32187</x:v>
      </x:c>
      <x:c r="E8081" s="0" t="s">
        <x:v>32188</x:v>
      </x:c>
      <x:c r="F8081" s="0" t="s">
        <x:v>45</x:v>
      </x:c>
      <x:c r="G8081" s="0" t="s">
        <x:v>19</x:v>
      </x:c>
      <x:c r="H8081" s="0" t="s">
        <x:v>20</x:v>
      </x:c>
      <x:c r="I8081" s="0" t="s">
        <x:v>21</x:v>
      </x:c>
      <x:c r="K8081" s="0">
        <x:f>hyperlink("https://icd.who.int/dev11/l-ichi/en#/http%3A%2F%2Fid.who.int%2Ficd%2Fentity%2F1453063303","browser")</x:f>
      </x:c>
      <x:c r="L8081" s="0">
        <x:f>hyperlink("https://icat2.azurewebsites.net/icat/?ontology=ICD&amp;tab=ClassesTab&amp;id=http%3A%2F%2Fwho.int%2Ficd%231999_9cd760cf_9e71_4bdb_b2ea_a3ed07921568","iCat")</x:f>
      </x:c>
      <x:c r="M8081" s="0" t="s">
        <x:v>21</x:v>
      </x:c>
      <x:c r="N8081" s="0" t="s">
        <x:v>46</x:v>
      </x:c>
    </x:row>
    <x:row r="8082" spans="1:16">
      <x:c r="A8082" s="0" t="s">
        <x:v>32189</x:v>
      </x:c>
      <x:c r="B8082" s="0" t="s">
        <x:v>32190</x:v>
      </x:c>
      <x:c r="C8082" s="0" t="s">
        <x:v>32191</x:v>
      </x:c>
      <x:c r="E8082" s="0" t="s">
        <x:v>32192</x:v>
      </x:c>
      <x:c r="F8082" s="0" t="s">
        <x:v>45</x:v>
      </x:c>
      <x:c r="G8082" s="0" t="s">
        <x:v>19</x:v>
      </x:c>
      <x:c r="H8082" s="0" t="s">
        <x:v>20</x:v>
      </x:c>
      <x:c r="I8082" s="0" t="s">
        <x:v>21</x:v>
      </x:c>
      <x:c r="K8082" s="0">
        <x:f>hyperlink("https://icd.who.int/dev11/l-ichi/en#/http%3A%2F%2Fid.who.int%2Ficd%2Fentity%2F924997462","browser")</x:f>
      </x:c>
      <x:c r="L8082" s="0">
        <x:f>hyperlink("https://icat2.azurewebsites.net/icat/?ontology=ICD&amp;tab=ClassesTab&amp;id=http%3A%2F%2Fwho.int%2Ficd%232005_9cd760cf_9e71_4bdb_b2ea_a3ed07921568","iCat")</x:f>
      </x:c>
      <x:c r="M8082" s="0" t="s">
        <x:v>21</x:v>
      </x:c>
      <x:c r="N8082" s="0" t="s">
        <x:v>46</x:v>
      </x:c>
    </x:row>
    <x:row r="8083" spans="1:16">
      <x:c r="A8083" s="0" t="s">
        <x:v>32193</x:v>
      </x:c>
      <x:c r="B8083" s="0" t="s">
        <x:v>32194</x:v>
      </x:c>
      <x:c r="C8083" s="0" t="s">
        <x:v>32195</x:v>
      </x:c>
      <x:c r="E8083" s="0" t="s">
        <x:v>32196</x:v>
      </x:c>
      <x:c r="F8083" s="0" t="s">
        <x:v>45</x:v>
      </x:c>
      <x:c r="G8083" s="0" t="s">
        <x:v>19</x:v>
      </x:c>
      <x:c r="H8083" s="0" t="s">
        <x:v>20</x:v>
      </x:c>
      <x:c r="I8083" s="0" t="s">
        <x:v>21</x:v>
      </x:c>
      <x:c r="K8083" s="0">
        <x:f>hyperlink("https://icd.who.int/dev11/l-ichi/en#/http%3A%2F%2Fid.who.int%2Ficd%2Fentity%2F1759512183","browser")</x:f>
      </x:c>
      <x:c r="L8083" s="0">
        <x:f>hyperlink("https://icat2.azurewebsites.net/icat/?ontology=ICD&amp;tab=ClassesTab&amp;id=http%3A%2F%2Fwho.int%2Ficd%232011_9cd760cf_9e71_4bdb_b2ea_a3ed07921568","iCat")</x:f>
      </x:c>
      <x:c r="M8083" s="0" t="s">
        <x:v>21</x:v>
      </x:c>
      <x:c r="N8083" s="0" t="s">
        <x:v>46</x:v>
      </x:c>
    </x:row>
    <x:row r="8084" spans="1:16">
      <x:c r="A8084" s="0" t="s">
        <x:v>32197</x:v>
      </x:c>
      <x:c r="B8084" s="0" t="s">
        <x:v>32198</x:v>
      </x:c>
      <x:c r="C8084" s="0" t="s">
        <x:v>32199</x:v>
      </x:c>
      <x:c r="E8084" s="0" t="s">
        <x:v>32200</x:v>
      </x:c>
      <x:c r="F8084" s="0" t="s">
        <x:v>45</x:v>
      </x:c>
      <x:c r="G8084" s="0" t="s">
        <x:v>19</x:v>
      </x:c>
      <x:c r="H8084" s="0" t="s">
        <x:v>20</x:v>
      </x:c>
      <x:c r="I8084" s="0" t="s">
        <x:v>21</x:v>
      </x:c>
      <x:c r="K8084" s="0">
        <x:f>hyperlink("https://icd.who.int/dev11/l-ichi/en#/http%3A%2F%2Fid.who.int%2Ficd%2Fentity%2F1822899489","browser")</x:f>
      </x:c>
      <x:c r="L8084" s="0">
        <x:f>hyperlink("https://icat2.azurewebsites.net/icat/?ontology=ICD&amp;tab=ClassesTab&amp;id=http%3A%2F%2Fwho.int%2Ficd%2347096_512ebf36_bf6b_4d70_85da_cf2637062af4","iCat")</x:f>
      </x:c>
      <x:c r="M8084" s="0" t="s">
        <x:v>21</x:v>
      </x:c>
      <x:c r="N8084" s="0" t="s">
        <x:v>46</x:v>
      </x:c>
    </x:row>
    <x:row r="8085" spans="1:16">
      <x:c r="A8085" s="0" t="s">
        <x:v>32201</x:v>
      </x:c>
      <x:c r="B8085" s="0" t="s">
        <x:v>32202</x:v>
      </x:c>
      <x:c r="C8085" s="0" t="s">
        <x:v>32203</x:v>
      </x:c>
      <x:c r="E8085" s="0" t="s">
        <x:v>32204</x:v>
      </x:c>
      <x:c r="F8085" s="0" t="s">
        <x:v>45</x:v>
      </x:c>
      <x:c r="G8085" s="0" t="s">
        <x:v>19</x:v>
      </x:c>
      <x:c r="H8085" s="0" t="s">
        <x:v>20</x:v>
      </x:c>
      <x:c r="I8085" s="0" t="s">
        <x:v>21</x:v>
      </x:c>
      <x:c r="K8085" s="0">
        <x:f>hyperlink("https://icd.who.int/dev11/l-ichi/en#/http%3A%2F%2Fid.who.int%2Ficd%2Fentity%2F949739464","browser")</x:f>
      </x:c>
      <x:c r="L8085" s="0">
        <x:f>hyperlink("https://icat2.azurewebsites.net/icat/?ontology=ICD&amp;tab=ClassesTab&amp;id=http%3A%2F%2Fwho.int%2Ficd%232017_9cd760cf_9e71_4bdb_b2ea_a3ed07921568","iCat")</x:f>
      </x:c>
      <x:c r="M8085" s="0" t="s">
        <x:v>21</x:v>
      </x:c>
      <x:c r="N8085" s="0" t="s">
        <x:v>46</x:v>
      </x:c>
    </x:row>
    <x:row r="8086" spans="1:16">
      <x:c r="A8086" s="0" t="s">
        <x:v>32205</x:v>
      </x:c>
      <x:c r="B8086" s="0" t="s">
        <x:v>32206</x:v>
      </x:c>
      <x:c r="C8086" s="0" t="s">
        <x:v>32207</x:v>
      </x:c>
      <x:c r="E8086" s="0" t="s">
        <x:v>32208</x:v>
      </x:c>
      <x:c r="F8086" s="0" t="s">
        <x:v>45</x:v>
      </x:c>
      <x:c r="G8086" s="0" t="s">
        <x:v>19</x:v>
      </x:c>
      <x:c r="H8086" s="0" t="s">
        <x:v>20</x:v>
      </x:c>
      <x:c r="I8086" s="0" t="s">
        <x:v>21</x:v>
      </x:c>
      <x:c r="K8086" s="0">
        <x:f>hyperlink("https://icd.who.int/dev11/l-ichi/en#/http%3A%2F%2Fid.who.int%2Ficd%2Fentity%2F1294818229","browser")</x:f>
      </x:c>
      <x:c r="L8086" s="0">
        <x:f>hyperlink("https://icat2.azurewebsites.net/icat/?ontology=ICD&amp;tab=ClassesTab&amp;id=http%3A%2F%2Fwho.int%2Ficd%232023_9cd760cf_9e71_4bdb_b2ea_a3ed07921568","iCat")</x:f>
      </x:c>
      <x:c r="M8086" s="0" t="s">
        <x:v>21</x:v>
      </x:c>
      <x:c r="N8086" s="0" t="s">
        <x:v>46</x:v>
      </x:c>
    </x:row>
    <x:row r="8087" spans="1:16">
      <x:c r="A8087" s="0" t="s">
        <x:v>32209</x:v>
      </x:c>
      <x:c r="B8087" s="0" t="s">
        <x:v>32210</x:v>
      </x:c>
      <x:c r="C8087" s="0" t="s">
        <x:v>32211</x:v>
      </x:c>
      <x:c r="E8087" s="0" t="s">
        <x:v>32212</x:v>
      </x:c>
      <x:c r="F8087" s="0" t="s">
        <x:v>45</x:v>
      </x:c>
      <x:c r="G8087" s="0" t="s">
        <x:v>19</x:v>
      </x:c>
      <x:c r="H8087" s="0" t="s">
        <x:v>20</x:v>
      </x:c>
      <x:c r="I8087" s="0" t="s">
        <x:v>21</x:v>
      </x:c>
      <x:c r="K8087" s="0">
        <x:f>hyperlink("https://icd.who.int/dev11/l-ichi/en#/http%3A%2F%2Fid.who.int%2Ficd%2Fentity%2F1724921637","browser")</x:f>
      </x:c>
      <x:c r="L8087" s="0">
        <x:f>hyperlink("https://icat2.azurewebsites.net/icat/?ontology=ICD&amp;tab=ClassesTab&amp;id=http%3A%2F%2Fwho.int%2Ficd%232029_9cd760cf_9e71_4bdb_b2ea_a3ed07921568","iCat")</x:f>
      </x:c>
      <x:c r="M8087" s="0" t="s">
        <x:v>21</x:v>
      </x:c>
      <x:c r="N8087" s="0" t="s">
        <x:v>46</x:v>
      </x:c>
    </x:row>
    <x:row r="8088" spans="1:16">
      <x:c r="A8088" s="0" t="s">
        <x:v>32213</x:v>
      </x:c>
      <x:c r="B8088" s="0" t="s">
        <x:v>32214</x:v>
      </x:c>
      <x:c r="C8088" s="0" t="s">
        <x:v>32215</x:v>
      </x:c>
      <x:c r="E8088" s="0" t="s">
        <x:v>32216</x:v>
      </x:c>
      <x:c r="F8088" s="0" t="s">
        <x:v>45</x:v>
      </x:c>
      <x:c r="G8088" s="0" t="s">
        <x:v>19</x:v>
      </x:c>
      <x:c r="H8088" s="0" t="s">
        <x:v>20</x:v>
      </x:c>
      <x:c r="I8088" s="0" t="s">
        <x:v>21</x:v>
      </x:c>
      <x:c r="K8088" s="0">
        <x:f>hyperlink("https://icd.who.int/dev11/l-ichi/en#/http%3A%2F%2Fid.who.int%2Ficd%2Fentity%2F270040666","browser")</x:f>
      </x:c>
      <x:c r="L8088" s="0">
        <x:f>hyperlink("https://icat2.azurewebsites.net/icat/?ontology=ICD&amp;tab=ClassesTab&amp;id=http%3A%2F%2Fwho.int%2Ficd%2365_60b821c4_cabc_4b81_9563_cb99d74167d5","iCat")</x:f>
      </x:c>
      <x:c r="M8088" s="0" t="s">
        <x:v>21</x:v>
      </x:c>
      <x:c r="N8088" s="0" t="s">
        <x:v>46</x:v>
      </x:c>
    </x:row>
    <x:row r="8089" spans="1:16">
      <x:c r="A8089" s="0" t="s">
        <x:v>32217</x:v>
      </x:c>
      <x:c r="B8089" s="0" t="s">
        <x:v>32218</x:v>
      </x:c>
      <x:c r="C8089" s="0" t="s">
        <x:v>32219</x:v>
      </x:c>
      <x:c r="E8089" s="0" t="s">
        <x:v>32220</x:v>
      </x:c>
      <x:c r="F8089" s="0" t="s">
        <x:v>45</x:v>
      </x:c>
      <x:c r="G8089" s="0" t="s">
        <x:v>19</x:v>
      </x:c>
      <x:c r="H8089" s="0" t="s">
        <x:v>20</x:v>
      </x:c>
      <x:c r="I8089" s="0" t="s">
        <x:v>21</x:v>
      </x:c>
      <x:c r="K8089" s="0">
        <x:f>hyperlink("https://icd.who.int/dev11/l-ichi/en#/http%3A%2F%2Fid.who.int%2Ficd%2Fentity%2F2006128467","browser")</x:f>
      </x:c>
      <x:c r="L8089" s="0">
        <x:f>hyperlink("https://icat2.azurewebsites.net/icat/?ontology=ICD&amp;tab=ClassesTab&amp;id=http%3A%2F%2Fwho.int%2Ficd%232035_9cd760cf_9e71_4bdb_b2ea_a3ed07921568","iCat")</x:f>
      </x:c>
      <x:c r="M8089" s="0" t="s">
        <x:v>21</x:v>
      </x:c>
      <x:c r="N8089" s="0" t="s">
        <x:v>46</x:v>
      </x:c>
    </x:row>
    <x:row r="8090" spans="1:16">
      <x:c r="A8090" s="0" t="s">
        <x:v>32221</x:v>
      </x:c>
      <x:c r="B8090" s="0" t="s">
        <x:v>32222</x:v>
      </x:c>
      <x:c r="C8090" s="0" t="s">
        <x:v>32223</x:v>
      </x:c>
      <x:c r="E8090" s="0" t="s">
        <x:v>32224</x:v>
      </x:c>
      <x:c r="F8090" s="0" t="s">
        <x:v>45</x:v>
      </x:c>
      <x:c r="G8090" s="0" t="s">
        <x:v>19</x:v>
      </x:c>
      <x:c r="H8090" s="0" t="s">
        <x:v>20</x:v>
      </x:c>
      <x:c r="I8090" s="0" t="s">
        <x:v>21</x:v>
      </x:c>
      <x:c r="K8090" s="0">
        <x:f>hyperlink("https://icd.who.int/dev11/l-ichi/en#/http%3A%2F%2Fid.who.int%2Ficd%2Fentity%2F1916977213","browser")</x:f>
      </x:c>
      <x:c r="L8090" s="0">
        <x:f>hyperlink("https://icat2.azurewebsites.net/icat/?ontology=ICD&amp;tab=ClassesTab&amp;id=http%3A%2F%2Fwho.int%2Ficd%232041_9cd760cf_9e71_4bdb_b2ea_a3ed07921568","iCat")</x:f>
      </x:c>
      <x:c r="M8090" s="0" t="s">
        <x:v>21</x:v>
      </x:c>
      <x:c r="N8090" s="0" t="s">
        <x:v>46</x:v>
      </x:c>
    </x:row>
    <x:row r="8091" spans="1:16">
      <x:c r="A8091" s="0" t="s">
        <x:v>32225</x:v>
      </x:c>
      <x:c r="B8091" s="0" t="s">
        <x:v>32226</x:v>
      </x:c>
      <x:c r="C8091" s="0" t="s">
        <x:v>32227</x:v>
      </x:c>
      <x:c r="E8091" s="0" t="s">
        <x:v>32228</x:v>
      </x:c>
      <x:c r="F8091" s="0" t="s">
        <x:v>45</x:v>
      </x:c>
      <x:c r="G8091" s="0" t="s">
        <x:v>19</x:v>
      </x:c>
      <x:c r="H8091" s="0" t="s">
        <x:v>20</x:v>
      </x:c>
      <x:c r="I8091" s="0" t="s">
        <x:v>21</x:v>
      </x:c>
      <x:c r="K8091" s="0">
        <x:f>hyperlink("https://icd.who.int/dev11/l-ichi/en#/http%3A%2F%2Fid.who.int%2Ficd%2Fentity%2F574167438","browser")</x:f>
      </x:c>
      <x:c r="L8091" s="0">
        <x:f>hyperlink("https://icat2.azurewebsites.net/icat/?ontology=ICD&amp;tab=ClassesTab&amp;id=http%3A%2F%2Fwho.int%2Ficd%232047_9cd760cf_9e71_4bdb_b2ea_a3ed07921568","iCat")</x:f>
      </x:c>
      <x:c r="M8091" s="0" t="s">
        <x:v>21</x:v>
      </x:c>
      <x:c r="N8091" s="0" t="s">
        <x:v>46</x:v>
      </x:c>
    </x:row>
    <x:row r="8092" spans="1:16">
      <x:c r="A8092" s="0" t="s">
        <x:v>32229</x:v>
      </x:c>
      <x:c r="B8092" s="0" t="s">
        <x:v>32230</x:v>
      </x:c>
      <x:c r="C8092" s="0" t="s">
        <x:v>32231</x:v>
      </x:c>
      <x:c r="E8092" s="0" t="s">
        <x:v>32232</x:v>
      </x:c>
      <x:c r="F8092" s="0" t="s">
        <x:v>45</x:v>
      </x:c>
      <x:c r="G8092" s="0" t="s">
        <x:v>19</x:v>
      </x:c>
      <x:c r="H8092" s="0" t="s">
        <x:v>20</x:v>
      </x:c>
      <x:c r="I8092" s="0" t="s">
        <x:v>21</x:v>
      </x:c>
      <x:c r="K8092" s="0">
        <x:f>hyperlink("https://icd.who.int/dev11/l-ichi/en#/http%3A%2F%2Fid.who.int%2Ficd%2Fentity%2F2113620143","browser")</x:f>
      </x:c>
      <x:c r="L8092" s="0">
        <x:f>hyperlink("https://icat2.azurewebsites.net/icat/?ontology=ICD&amp;tab=ClassesTab&amp;id=http%3A%2F%2Fwho.int%2Ficd%232053_9cd760cf_9e71_4bdb_b2ea_a3ed07921568","iCat")</x:f>
      </x:c>
      <x:c r="M8092" s="0" t="s">
        <x:v>21</x:v>
      </x:c>
      <x:c r="N8092" s="0" t="s">
        <x:v>46</x:v>
      </x:c>
    </x:row>
    <x:row r="8093" spans="1:16">
      <x:c r="A8093" s="0" t="s">
        <x:v>32233</x:v>
      </x:c>
      <x:c r="B8093" s="0" t="s">
        <x:v>32234</x:v>
      </x:c>
      <x:c r="C8093" s="0" t="s">
        <x:v>32235</x:v>
      </x:c>
      <x:c r="E8093" s="0" t="s">
        <x:v>32236</x:v>
      </x:c>
      <x:c r="F8093" s="0" t="s">
        <x:v>45</x:v>
      </x:c>
      <x:c r="G8093" s="0" t="s">
        <x:v>19</x:v>
      </x:c>
      <x:c r="H8093" s="0" t="s">
        <x:v>20</x:v>
      </x:c>
      <x:c r="I8093" s="0" t="s">
        <x:v>21</x:v>
      </x:c>
      <x:c r="K8093" s="0">
        <x:f>hyperlink("https://icd.who.int/dev11/l-ichi/en#/http%3A%2F%2Fid.who.int%2Ficd%2Fentity%2F1443243071","browser")</x:f>
      </x:c>
      <x:c r="L8093" s="0">
        <x:f>hyperlink("https://icat2.azurewebsites.net/icat/?ontology=ICD&amp;tab=ClassesTab&amp;id=http%3A%2F%2Fwho.int%2Ficd%232059_9cd760cf_9e71_4bdb_b2ea_a3ed07921568","iCat")</x:f>
      </x:c>
      <x:c r="M8093" s="0" t="s">
        <x:v>21</x:v>
      </x:c>
      <x:c r="N8093" s="0" t="s">
        <x:v>46</x:v>
      </x:c>
    </x:row>
    <x:row r="8094" spans="1:16">
      <x:c r="A8094" s="0" t="s">
        <x:v>32237</x:v>
      </x:c>
      <x:c r="B8094" s="0" t="s">
        <x:v>32238</x:v>
      </x:c>
      <x:c r="C8094" s="0" t="s">
        <x:v>32239</x:v>
      </x:c>
      <x:c r="E8094" s="0" t="s">
        <x:v>32240</x:v>
      </x:c>
      <x:c r="F8094" s="0" t="s">
        <x:v>45</x:v>
      </x:c>
      <x:c r="G8094" s="0" t="s">
        <x:v>19</x:v>
      </x:c>
      <x:c r="H8094" s="0" t="s">
        <x:v>20</x:v>
      </x:c>
      <x:c r="I8094" s="0" t="s">
        <x:v>21</x:v>
      </x:c>
      <x:c r="K8094" s="0">
        <x:f>hyperlink("https://icd.who.int/dev11/l-ichi/en#/http%3A%2F%2Fid.who.int%2Ficd%2Fentity%2F1831981337","browser")</x:f>
      </x:c>
      <x:c r="L8094" s="0">
        <x:f>hyperlink("https://icat2.azurewebsites.net/icat/?ontology=ICD&amp;tab=ClassesTab&amp;id=http%3A%2F%2Fwho.int%2Ficd%232065_9cd760cf_9e71_4bdb_b2ea_a3ed07921568","iCat")</x:f>
      </x:c>
      <x:c r="M8094" s="0" t="s">
        <x:v>21</x:v>
      </x:c>
      <x:c r="N8094" s="0" t="s">
        <x:v>46</x:v>
      </x:c>
    </x:row>
    <x:row r="8095" spans="1:16">
      <x:c r="A8095" s="0" t="s">
        <x:v>32241</x:v>
      </x:c>
      <x:c r="B8095" s="0" t="s">
        <x:v>32242</x:v>
      </x:c>
      <x:c r="C8095" s="0" t="s">
        <x:v>32243</x:v>
      </x:c>
      <x:c r="E8095" s="0" t="s">
        <x:v>32244</x:v>
      </x:c>
      <x:c r="F8095" s="0" t="s">
        <x:v>45</x:v>
      </x:c>
      <x:c r="G8095" s="0" t="s">
        <x:v>19</x:v>
      </x:c>
      <x:c r="H8095" s="0" t="s">
        <x:v>20</x:v>
      </x:c>
      <x:c r="I8095" s="0" t="s">
        <x:v>21</x:v>
      </x:c>
      <x:c r="K8095" s="0">
        <x:f>hyperlink("https://icd.who.int/dev11/l-ichi/en#/http%3A%2F%2Fid.who.int%2Ficd%2Fentity%2F854818876","browser")</x:f>
      </x:c>
      <x:c r="L8095" s="0">
        <x:f>hyperlink("https://icat2.azurewebsites.net/icat/?ontology=ICD&amp;tab=ClassesTab&amp;id=http%3A%2F%2Fwho.int%2Ficd%232071_9cd760cf_9e71_4bdb_b2ea_a3ed07921568","iCat")</x:f>
      </x:c>
      <x:c r="M8095" s="0" t="s">
        <x:v>21</x:v>
      </x:c>
      <x:c r="N8095" s="0" t="s">
        <x:v>46</x:v>
      </x:c>
    </x:row>
    <x:row r="8096" spans="1:16">
      <x:c r="A8096" s="0" t="s">
        <x:v>32245</x:v>
      </x:c>
      <x:c r="B8096" s="0" t="s">
        <x:v>32246</x:v>
      </x:c>
      <x:c r="C8096" s="0" t="s">
        <x:v>32247</x:v>
      </x:c>
      <x:c r="E8096" s="0" t="s">
        <x:v>32248</x:v>
      </x:c>
      <x:c r="F8096" s="0" t="s">
        <x:v>45</x:v>
      </x:c>
      <x:c r="G8096" s="0" t="s">
        <x:v>19</x:v>
      </x:c>
      <x:c r="H8096" s="0" t="s">
        <x:v>20</x:v>
      </x:c>
      <x:c r="I8096" s="0" t="s">
        <x:v>21</x:v>
      </x:c>
      <x:c r="K8096" s="0">
        <x:f>hyperlink("https://icd.who.int/dev11/l-ichi/en#/http%3A%2F%2Fid.who.int%2Ficd%2Fentity%2F1653102987","browser")</x:f>
      </x:c>
      <x:c r="L8096" s="0">
        <x:f>hyperlink("https://icat2.azurewebsites.net/icat/?ontology=ICD&amp;tab=ClassesTab&amp;id=http%3A%2F%2Fwho.int%2Ficd%232077_9cd760cf_9e71_4bdb_b2ea_a3ed07921568","iCat")</x:f>
      </x:c>
      <x:c r="M8096" s="0" t="s">
        <x:v>21</x:v>
      </x:c>
      <x:c r="N8096" s="0" t="s">
        <x:v>46</x:v>
      </x:c>
    </x:row>
    <x:row r="8097" spans="1:16">
      <x:c r="A8097" s="0" t="s">
        <x:v>32249</x:v>
      </x:c>
      <x:c r="B8097" s="0" t="s">
        <x:v>32250</x:v>
      </x:c>
      <x:c r="C8097" s="0" t="s">
        <x:v>32251</x:v>
      </x:c>
      <x:c r="E8097" s="0" t="s">
        <x:v>32252</x:v>
      </x:c>
      <x:c r="F8097" s="0" t="s">
        <x:v>45</x:v>
      </x:c>
      <x:c r="G8097" s="0" t="s">
        <x:v>19</x:v>
      </x:c>
      <x:c r="H8097" s="0" t="s">
        <x:v>20</x:v>
      </x:c>
      <x:c r="I8097" s="0" t="s">
        <x:v>21</x:v>
      </x:c>
      <x:c r="K8097" s="0">
        <x:f>hyperlink("https://icd.who.int/dev11/l-ichi/en#/http%3A%2F%2Fid.who.int%2Ficd%2Fentity%2F2020136737","browser")</x:f>
      </x:c>
      <x:c r="L8097" s="0">
        <x:f>hyperlink("https://icat2.azurewebsites.net/icat/?ontology=ICD&amp;tab=ClassesTab&amp;id=http%3A%2F%2Fwho.int%2Ficd%232083_9cd760cf_9e71_4bdb_b2ea_a3ed07921568","iCat")</x:f>
      </x:c>
      <x:c r="M8097" s="0" t="s">
        <x:v>21</x:v>
      </x:c>
      <x:c r="N8097" s="0" t="s">
        <x:v>46</x:v>
      </x:c>
    </x:row>
    <x:row r="8098" spans="1:16">
      <x:c r="A8098" s="0" t="s">
        <x:v>32253</x:v>
      </x:c>
      <x:c r="B8098" s="0" t="s">
        <x:v>32254</x:v>
      </x:c>
      <x:c r="C8098" s="0" t="s">
        <x:v>32255</x:v>
      </x:c>
      <x:c r="E8098" s="0" t="s">
        <x:v>32256</x:v>
      </x:c>
      <x:c r="F8098" s="0" t="s">
        <x:v>45</x:v>
      </x:c>
      <x:c r="G8098" s="0" t="s">
        <x:v>19</x:v>
      </x:c>
      <x:c r="H8098" s="0" t="s">
        <x:v>20</x:v>
      </x:c>
      <x:c r="I8098" s="0" t="s">
        <x:v>21</x:v>
      </x:c>
      <x:c r="K8098" s="0">
        <x:f>hyperlink("https://icd.who.int/dev11/l-ichi/en#/http%3A%2F%2Fid.who.int%2Ficd%2Fentity%2F1402321841","browser")</x:f>
      </x:c>
      <x:c r="L8098" s="0">
        <x:f>hyperlink("https://icat2.azurewebsites.net/icat/?ontology=ICD&amp;tab=ClassesTab&amp;id=http%3A%2F%2Fwho.int%2Ficd%232089_9cd760cf_9e71_4bdb_b2ea_a3ed07921568","iCat")</x:f>
      </x:c>
      <x:c r="M8098" s="0" t="s">
        <x:v>21</x:v>
      </x:c>
      <x:c r="N8098" s="0" t="s">
        <x:v>46</x:v>
      </x:c>
    </x:row>
    <x:row r="8099" spans="1:16">
      <x:c r="A8099" s="0" t="s">
        <x:v>32257</x:v>
      </x:c>
      <x:c r="B8099" s="0" t="s">
        <x:v>32258</x:v>
      </x:c>
      <x:c r="C8099" s="0" t="s">
        <x:v>32259</x:v>
      </x:c>
      <x:c r="E8099" s="0" t="s">
        <x:v>32260</x:v>
      </x:c>
      <x:c r="F8099" s="0" t="s">
        <x:v>45</x:v>
      </x:c>
      <x:c r="G8099" s="0" t="s">
        <x:v>19</x:v>
      </x:c>
      <x:c r="H8099" s="0" t="s">
        <x:v>20</x:v>
      </x:c>
      <x:c r="I8099" s="0" t="s">
        <x:v>21</x:v>
      </x:c>
      <x:c r="K8099" s="0">
        <x:f>hyperlink("https://icd.who.int/dev11/l-ichi/en#/http%3A%2F%2Fid.who.int%2Ficd%2Fentity%2F1121360839","browser")</x:f>
      </x:c>
      <x:c r="L8099" s="0">
        <x:f>hyperlink("https://icat2.azurewebsites.net/icat/?ontology=ICD&amp;tab=ClassesTab&amp;id=http%3A%2F%2Fwho.int%2Ficd%232095_9cd760cf_9e71_4bdb_b2ea_a3ed07921568","iCat")</x:f>
      </x:c>
      <x:c r="M8099" s="0" t="s">
        <x:v>21</x:v>
      </x:c>
      <x:c r="N8099" s="0" t="s">
        <x:v>46</x:v>
      </x:c>
    </x:row>
    <x:row r="8100" spans="1:16">
      <x:c r="A8100" s="0" t="s">
        <x:v>32261</x:v>
      </x:c>
      <x:c r="B8100" s="0" t="s">
        <x:v>32262</x:v>
      </x:c>
      <x:c r="C8100" s="0" t="s">
        <x:v>32263</x:v>
      </x:c>
      <x:c r="E8100" s="0" t="s">
        <x:v>32264</x:v>
      </x:c>
      <x:c r="F8100" s="0" t="s">
        <x:v>45</x:v>
      </x:c>
      <x:c r="G8100" s="0" t="s">
        <x:v>19</x:v>
      </x:c>
      <x:c r="H8100" s="0" t="s">
        <x:v>20</x:v>
      </x:c>
      <x:c r="I8100" s="0" t="s">
        <x:v>21</x:v>
      </x:c>
      <x:c r="K8100" s="0">
        <x:f>hyperlink("https://icd.who.int/dev11/l-ichi/en#/http%3A%2F%2Fid.who.int%2Ficd%2Fentity%2F2008700349","browser")</x:f>
      </x:c>
      <x:c r="L8100" s="0">
        <x:f>hyperlink("https://icat2.azurewebsites.net/icat/?ontology=ICD&amp;tab=ClassesTab&amp;id=http%3A%2F%2Fwho.int%2Ficd%232101_9cd760cf_9e71_4bdb_b2ea_a3ed07921568","iCat")</x:f>
      </x:c>
      <x:c r="M8100" s="0" t="s">
        <x:v>21</x:v>
      </x:c>
      <x:c r="N8100" s="0" t="s">
        <x:v>46</x:v>
      </x:c>
    </x:row>
    <x:row r="8101" spans="1:16">
      <x:c r="A8101" s="0" t="s">
        <x:v>32265</x:v>
      </x:c>
      <x:c r="B8101" s="0" t="s">
        <x:v>32266</x:v>
      </x:c>
      <x:c r="C8101" s="0" t="s">
        <x:v>32267</x:v>
      </x:c>
      <x:c r="E8101" s="0" t="s">
        <x:v>32268</x:v>
      </x:c>
      <x:c r="F8101" s="0" t="s">
        <x:v>45</x:v>
      </x:c>
      <x:c r="G8101" s="0" t="s">
        <x:v>19</x:v>
      </x:c>
      <x:c r="H8101" s="0" t="s">
        <x:v>20</x:v>
      </x:c>
      <x:c r="I8101" s="0" t="s">
        <x:v>21</x:v>
      </x:c>
      <x:c r="K8101" s="0">
        <x:f>hyperlink("https://icd.who.int/dev11/l-ichi/en#/http%3A%2F%2Fid.who.int%2Ficd%2Fentity%2F666995726","browser")</x:f>
      </x:c>
      <x:c r="L8101" s="0">
        <x:f>hyperlink("https://icat2.azurewebsites.net/icat/?ontology=ICD&amp;tab=ClassesTab&amp;id=http%3A%2F%2Fwho.int%2Ficd%232107_9cd760cf_9e71_4bdb_b2ea_a3ed07921568","iCat")</x:f>
      </x:c>
      <x:c r="M8101" s="0" t="s">
        <x:v>21</x:v>
      </x:c>
      <x:c r="N8101" s="0" t="s">
        <x:v>46</x:v>
      </x:c>
    </x:row>
    <x:row r="8102" spans="1:16">
      <x:c r="A8102" s="0" t="s">
        <x:v>32269</x:v>
      </x:c>
      <x:c r="B8102" s="0" t="s">
        <x:v>32270</x:v>
      </x:c>
      <x:c r="C8102" s="0" t="s">
        <x:v>32271</x:v>
      </x:c>
      <x:c r="E8102" s="0" t="s">
        <x:v>32272</x:v>
      </x:c>
      <x:c r="F8102" s="0" t="s">
        <x:v>45</x:v>
      </x:c>
      <x:c r="G8102" s="0" t="s">
        <x:v>19</x:v>
      </x:c>
      <x:c r="H8102" s="0" t="s">
        <x:v>20</x:v>
      </x:c>
      <x:c r="I8102" s="0" t="s">
        <x:v>21</x:v>
      </x:c>
      <x:c r="K8102" s="0">
        <x:f>hyperlink("https://icd.who.int/dev11/l-ichi/en#/http%3A%2F%2Fid.who.int%2Ficd%2Fentity%2F2013519151","browser")</x:f>
      </x:c>
      <x:c r="L8102" s="0">
        <x:f>hyperlink("https://icat2.azurewebsites.net/icat/?ontology=ICD&amp;tab=ClassesTab&amp;id=http%3A%2F%2Fwho.int%2Ficd%232113_9cd760cf_9e71_4bdb_b2ea_a3ed07921568","iCat")</x:f>
      </x:c>
      <x:c r="M8102" s="0" t="s">
        <x:v>21</x:v>
      </x:c>
      <x:c r="N8102" s="0" t="s">
        <x:v>46</x:v>
      </x:c>
    </x:row>
    <x:row r="8103" spans="1:16">
      <x:c r="A8103" s="0" t="s">
        <x:v>32273</x:v>
      </x:c>
      <x:c r="B8103" s="0" t="s">
        <x:v>32274</x:v>
      </x:c>
      <x:c r="C8103" s="0" t="s">
        <x:v>32275</x:v>
      </x:c>
      <x:c r="E8103" s="0" t="s">
        <x:v>32276</x:v>
      </x:c>
      <x:c r="F8103" s="0" t="s">
        <x:v>45</x:v>
      </x:c>
      <x:c r="G8103" s="0" t="s">
        <x:v>19</x:v>
      </x:c>
      <x:c r="H8103" s="0" t="s">
        <x:v>20</x:v>
      </x:c>
      <x:c r="I8103" s="0" t="s">
        <x:v>21</x:v>
      </x:c>
      <x:c r="K8103" s="0">
        <x:f>hyperlink("https://icd.who.int/dev11/l-ichi/en#/http%3A%2F%2Fid.who.int%2Ficd%2Fentity%2F162540266","browser")</x:f>
      </x:c>
      <x:c r="L8103" s="0">
        <x:f>hyperlink("https://icat2.azurewebsites.net/icat/?ontology=ICD&amp;tab=ClassesTab&amp;id=http%3A%2F%2Fwho.int%2Ficd%2347104_512ebf36_bf6b_4d70_85da_cf2637062af4","iCat")</x:f>
      </x:c>
      <x:c r="M8103" s="0" t="s">
        <x:v>21</x:v>
      </x:c>
      <x:c r="N8103" s="0" t="s">
        <x:v>46</x:v>
      </x:c>
    </x:row>
    <x:row r="8104" spans="1:16">
      <x:c r="A8104" s="0" t="s">
        <x:v>32277</x:v>
      </x:c>
      <x:c r="B8104" s="0" t="s">
        <x:v>32278</x:v>
      </x:c>
      <x:c r="C8104" s="0" t="s">
        <x:v>32279</x:v>
      </x:c>
      <x:c r="E8104" s="0" t="s">
        <x:v>32280</x:v>
      </x:c>
      <x:c r="F8104" s="0" t="s">
        <x:v>45</x:v>
      </x:c>
      <x:c r="G8104" s="0" t="s">
        <x:v>19</x:v>
      </x:c>
      <x:c r="H8104" s="0" t="s">
        <x:v>20</x:v>
      </x:c>
      <x:c r="I8104" s="0" t="s">
        <x:v>21</x:v>
      </x:c>
      <x:c r="K8104" s="0">
        <x:f>hyperlink("https://icd.who.int/dev11/l-ichi/en#/http%3A%2F%2Fid.who.int%2Ficd%2Fentity%2F1997455234","browser")</x:f>
      </x:c>
      <x:c r="L8104" s="0">
        <x:f>hyperlink("https://icat2.azurewebsites.net/icat/?ontology=ICD&amp;tab=ClassesTab&amp;id=http%3A%2F%2Fwho.int%2Ficd%231_3c64dd61_a787_4b69_a0aa_c26ee473e65a","iCat")</x:f>
      </x:c>
      <x:c r="M8104" s="0" t="s">
        <x:v>21</x:v>
      </x:c>
      <x:c r="N8104" s="0" t="s">
        <x:v>46</x:v>
      </x:c>
    </x:row>
    <x:row r="8105" spans="1:16">
      <x:c r="A8105" s="0" t="s">
        <x:v>32281</x:v>
      </x:c>
      <x:c r="B8105" s="0" t="s">
        <x:v>32282</x:v>
      </x:c>
      <x:c r="C8105" s="0" t="s">
        <x:v>32283</x:v>
      </x:c>
      <x:c r="E8105" s="0" t="s">
        <x:v>32284</x:v>
      </x:c>
      <x:c r="F8105" s="0" t="s">
        <x:v>45</x:v>
      </x:c>
      <x:c r="G8105" s="0" t="s">
        <x:v>19</x:v>
      </x:c>
      <x:c r="H8105" s="0" t="s">
        <x:v>20</x:v>
      </x:c>
      <x:c r="I8105" s="0" t="s">
        <x:v>21</x:v>
      </x:c>
      <x:c r="K8105" s="0">
        <x:f>hyperlink("https://icd.who.int/dev11/l-ichi/en#/http%3A%2F%2Fid.who.int%2Ficd%2Fentity%2F1200625267","browser")</x:f>
      </x:c>
      <x:c r="L8105" s="0">
        <x:f>hyperlink("https://icat2.azurewebsites.net/icat/?ontology=ICD&amp;tab=ClassesTab&amp;id=http%3A%2F%2Fwho.int%2Ficd%233187_7005c14c_2656_4f4b_85a0_8e71c99be967","iCat")</x:f>
      </x:c>
      <x:c r="M8105" s="0" t="s">
        <x:v>21</x:v>
      </x:c>
      <x:c r="N8105" s="0" t="s">
        <x:v>46</x:v>
      </x:c>
    </x:row>
    <x:row r="8106" spans="1:16">
      <x:c r="A8106" s="0" t="s">
        <x:v>32285</x:v>
      </x:c>
      <x:c r="B8106" s="0" t="s">
        <x:v>32286</x:v>
      </x:c>
      <x:c r="C8106" s="0" t="s">
        <x:v>32287</x:v>
      </x:c>
      <x:c r="E8106" s="0" t="s">
        <x:v>32288</x:v>
      </x:c>
      <x:c r="F8106" s="0" t="s">
        <x:v>45</x:v>
      </x:c>
      <x:c r="G8106" s="0" t="s">
        <x:v>19</x:v>
      </x:c>
      <x:c r="H8106" s="0" t="s">
        <x:v>20</x:v>
      </x:c>
      <x:c r="I8106" s="0" t="s">
        <x:v>21</x:v>
      </x:c>
      <x:c r="K8106" s="0">
        <x:f>hyperlink("https://icd.who.int/dev11/l-ichi/en#/http%3A%2F%2Fid.who.int%2Ficd%2Fentity%2F1133301121","browser")</x:f>
      </x:c>
      <x:c r="L8106" s="0">
        <x:f>hyperlink("https://icat2.azurewebsites.net/icat/?ontology=ICD&amp;tab=ClassesTab&amp;id=http%3A%2F%2Fwho.int%2Ficd%2347115_512ebf36_bf6b_4d70_85da_cf2637062af4","iCat")</x:f>
      </x:c>
      <x:c r="M8106" s="0" t="s">
        <x:v>21</x:v>
      </x:c>
      <x:c r="N8106" s="0" t="s">
        <x:v>46</x:v>
      </x:c>
    </x:row>
    <x:row r="8107" spans="1:16">
      <x:c r="A8107" s="0" t="s">
        <x:v>32289</x:v>
      </x:c>
      <x:c r="B8107" s="0" t="s">
        <x:v>32290</x:v>
      </x:c>
      <x:c r="C8107" s="0" t="s">
        <x:v>32291</x:v>
      </x:c>
      <x:c r="E8107" s="0" t="s">
        <x:v>32292</x:v>
      </x:c>
      <x:c r="F8107" s="0" t="s">
        <x:v>45</x:v>
      </x:c>
      <x:c r="G8107" s="0" t="s">
        <x:v>19</x:v>
      </x:c>
      <x:c r="H8107" s="0" t="s">
        <x:v>20</x:v>
      </x:c>
      <x:c r="I8107" s="0" t="s">
        <x:v>21</x:v>
      </x:c>
      <x:c r="K8107" s="0">
        <x:f>hyperlink("https://icd.who.int/dev11/l-ichi/en#/http%3A%2F%2Fid.who.int%2Ficd%2Fentity%2F1941906955","browser")</x:f>
      </x:c>
      <x:c r="L8107" s="0">
        <x:f>hyperlink("https://icat2.azurewebsites.net/icat/?ontology=ICD&amp;tab=ClassesTab&amp;id=http%3A%2F%2Fwho.int%2Ficd%2347122_512ebf36_bf6b_4d70_85da_cf2637062af4","iCat")</x:f>
      </x:c>
      <x:c r="M8107" s="0" t="s">
        <x:v>21</x:v>
      </x:c>
      <x:c r="N8107" s="0" t="s">
        <x:v>46</x:v>
      </x:c>
    </x:row>
    <x:row r="8108" spans="1:16">
      <x:c r="A8108" s="0" t="s">
        <x:v>32293</x:v>
      </x:c>
      <x:c r="B8108" s="0" t="s">
        <x:v>32294</x:v>
      </x:c>
      <x:c r="C8108" s="0" t="s">
        <x:v>32295</x:v>
      </x:c>
      <x:c r="E8108" s="0" t="s">
        <x:v>32296</x:v>
      </x:c>
      <x:c r="F8108" s="0" t="s">
        <x:v>45</x:v>
      </x:c>
      <x:c r="G8108" s="0" t="s">
        <x:v>19</x:v>
      </x:c>
      <x:c r="H8108" s="0" t="s">
        <x:v>20</x:v>
      </x:c>
      <x:c r="I8108" s="0" t="s">
        <x:v>21</x:v>
      </x:c>
      <x:c r="K8108" s="0">
        <x:f>hyperlink("https://icd.who.int/dev11/l-ichi/en#/http%3A%2F%2Fid.who.int%2Ficd%2Fentity%2F408045392","browser")</x:f>
      </x:c>
      <x:c r="L8108" s="0">
        <x:f>hyperlink("https://icat2.azurewebsites.net/icat/?ontology=ICD&amp;tab=ClassesTab&amp;id=http%3A%2F%2Fwho.int%2Ficd%233193_7005c14c_2656_4f4b_85a0_8e71c99be967","iCat")</x:f>
      </x:c>
      <x:c r="M8108" s="0" t="s">
        <x:v>21</x:v>
      </x:c>
      <x:c r="N8108" s="0" t="s">
        <x:v>46</x:v>
      </x:c>
    </x:row>
    <x:row r="8109" spans="1:16">
      <x:c r="A8109" s="0" t="s">
        <x:v>32297</x:v>
      </x:c>
      <x:c r="B8109" s="0" t="s">
        <x:v>32298</x:v>
      </x:c>
      <x:c r="C8109" s="0" t="s">
        <x:v>32299</x:v>
      </x:c>
      <x:c r="E8109" s="0" t="s">
        <x:v>32300</x:v>
      </x:c>
      <x:c r="F8109" s="0" t="s">
        <x:v>45</x:v>
      </x:c>
      <x:c r="G8109" s="0" t="s">
        <x:v>19</x:v>
      </x:c>
      <x:c r="H8109" s="0" t="s">
        <x:v>20</x:v>
      </x:c>
      <x:c r="I8109" s="0" t="s">
        <x:v>21</x:v>
      </x:c>
      <x:c r="K8109" s="0">
        <x:f>hyperlink("https://icd.who.int/dev11/l-ichi/en#/http%3A%2F%2Fid.who.int%2Ficd%2Fentity%2F2025535655","browser")</x:f>
      </x:c>
      <x:c r="L8109" s="0">
        <x:f>hyperlink("https://icat2.azurewebsites.net/icat/?ontology=ICD&amp;tab=ClassesTab&amp;id=http%3A%2F%2Fwho.int%2Ficd%2347129_512ebf36_bf6b_4d70_85da_cf2637062af4","iCat")</x:f>
      </x:c>
      <x:c r="M8109" s="0" t="s">
        <x:v>21</x:v>
      </x:c>
      <x:c r="N8109" s="0" t="s">
        <x:v>46</x:v>
      </x:c>
    </x:row>
    <x:row r="8110" spans="1:16">
      <x:c r="A8110" s="0" t="s">
        <x:v>32301</x:v>
      </x:c>
      <x:c r="B8110" s="0" t="s">
        <x:v>32302</x:v>
      </x:c>
      <x:c r="C8110" s="0" t="s">
        <x:v>32303</x:v>
      </x:c>
      <x:c r="E8110" s="0" t="s">
        <x:v>32304</x:v>
      </x:c>
      <x:c r="F8110" s="0" t="s">
        <x:v>45</x:v>
      </x:c>
      <x:c r="G8110" s="0" t="s">
        <x:v>19</x:v>
      </x:c>
      <x:c r="H8110" s="0" t="s">
        <x:v>20</x:v>
      </x:c>
      <x:c r="I8110" s="0" t="s">
        <x:v>21</x:v>
      </x:c>
      <x:c r="K8110" s="0">
        <x:f>hyperlink("https://icd.who.int/dev11/l-ichi/en#/http%3A%2F%2Fid.who.int%2Ficd%2Fentity%2F867118016","browser")</x:f>
      </x:c>
      <x:c r="L8110" s="0">
        <x:f>hyperlink("https://icat2.azurewebsites.net/icat/?ontology=ICD&amp;tab=ClassesTab&amp;id=http%3A%2F%2Fwho.int%2Ficd%233199_7005c14c_2656_4f4b_85a0_8e71c99be967","iCat")</x:f>
      </x:c>
      <x:c r="M8110" s="0" t="s">
        <x:v>21</x:v>
      </x:c>
      <x:c r="N8110" s="0" t="s">
        <x:v>46</x:v>
      </x:c>
    </x:row>
    <x:row r="8111" spans="1:16">
      <x:c r="A8111" s="0" t="s">
        <x:v>32305</x:v>
      </x:c>
      <x:c r="B8111" s="0" t="s">
        <x:v>32306</x:v>
      </x:c>
      <x:c r="C8111" s="0" t="s">
        <x:v>32307</x:v>
      </x:c>
      <x:c r="E8111" s="0" t="s">
        <x:v>32308</x:v>
      </x:c>
      <x:c r="F8111" s="0" t="s">
        <x:v>45</x:v>
      </x:c>
      <x:c r="G8111" s="0" t="s">
        <x:v>19</x:v>
      </x:c>
      <x:c r="H8111" s="0" t="s">
        <x:v>20</x:v>
      </x:c>
      <x:c r="I8111" s="0" t="s">
        <x:v>21</x:v>
      </x:c>
      <x:c r="K8111" s="0">
        <x:f>hyperlink("https://icd.who.int/dev11/l-ichi/en#/http%3A%2F%2Fid.who.int%2Ficd%2Fentity%2F1552082475","browser")</x:f>
      </x:c>
      <x:c r="L8111" s="0">
        <x:f>hyperlink("https://icat2.azurewebsites.net/icat/?ontology=ICD&amp;tab=ClassesTab&amp;id=http%3A%2F%2Fwho.int%2Ficd%233205_7005c14c_2656_4f4b_85a0_8e71c99be967","iCat")</x:f>
      </x:c>
      <x:c r="M8111" s="0" t="s">
        <x:v>21</x:v>
      </x:c>
      <x:c r="N8111" s="0" t="s">
        <x:v>46</x:v>
      </x:c>
    </x:row>
    <x:row r="8112" spans="1:16">
      <x:c r="A8112" s="0" t="s">
        <x:v>32309</x:v>
      </x:c>
      <x:c r="B8112" s="0" t="s">
        <x:v>32310</x:v>
      </x:c>
      <x:c r="C8112" s="0" t="s">
        <x:v>32311</x:v>
      </x:c>
      <x:c r="E8112" s="0" t="s">
        <x:v>32312</x:v>
      </x:c>
      <x:c r="F8112" s="0" t="s">
        <x:v>45</x:v>
      </x:c>
      <x:c r="G8112" s="0" t="s">
        <x:v>19</x:v>
      </x:c>
      <x:c r="H8112" s="0" t="s">
        <x:v>20</x:v>
      </x:c>
      <x:c r="I8112" s="0" t="s">
        <x:v>21</x:v>
      </x:c>
      <x:c r="K8112" s="0">
        <x:f>hyperlink("https://icd.who.int/dev11/l-ichi/en#/http%3A%2F%2Fid.who.int%2Ficd%2Fentity%2F54572808","browser")</x:f>
      </x:c>
      <x:c r="L8112" s="0">
        <x:f>hyperlink("https://icat2.azurewebsites.net/icat/?ontology=ICD&amp;tab=ClassesTab&amp;id=http%3A%2F%2Fwho.int%2Ficd%233211_7005c14c_2656_4f4b_85a0_8e71c99be967","iCat")</x:f>
      </x:c>
      <x:c r="M8112" s="0" t="s">
        <x:v>21</x:v>
      </x:c>
      <x:c r="N8112" s="0" t="s">
        <x:v>46</x:v>
      </x:c>
    </x:row>
    <x:row r="8113" spans="1:16">
      <x:c r="A8113" s="0" t="s">
        <x:v>32313</x:v>
      </x:c>
      <x:c r="B8113" s="0" t="s">
        <x:v>32314</x:v>
      </x:c>
      <x:c r="C8113" s="0" t="s">
        <x:v>32315</x:v>
      </x:c>
      <x:c r="E8113" s="0" t="s">
        <x:v>32316</x:v>
      </x:c>
      <x:c r="F8113" s="0" t="s">
        <x:v>45</x:v>
      </x:c>
      <x:c r="G8113" s="0" t="s">
        <x:v>19</x:v>
      </x:c>
      <x:c r="H8113" s="0" t="s">
        <x:v>20</x:v>
      </x:c>
      <x:c r="I8113" s="0" t="s">
        <x:v>21</x:v>
      </x:c>
      <x:c r="K8113" s="0">
        <x:f>hyperlink("https://icd.who.int/dev11/l-ichi/en#/http%3A%2F%2Fid.who.int%2Ficd%2Fentity%2F209978644","browser")</x:f>
      </x:c>
      <x:c r="L8113" s="0">
        <x:f>hyperlink("https://icat2.azurewebsites.net/icat/?ontology=ICD&amp;tab=ClassesTab&amp;id=http%3A%2F%2Fwho.int%2Ficd%2347137_512ebf36_bf6b_4d70_85da_cf2637062af4","iCat")</x:f>
      </x:c>
      <x:c r="M8113" s="0" t="s">
        <x:v>21</x:v>
      </x:c>
      <x:c r="N8113" s="0" t="s">
        <x:v>46</x:v>
      </x:c>
    </x:row>
    <x:row r="8114" spans="1:16">
      <x:c r="A8114" s="0" t="s">
        <x:v>32317</x:v>
      </x:c>
      <x:c r="B8114" s="0" t="s">
        <x:v>32318</x:v>
      </x:c>
      <x:c r="C8114" s="0" t="s">
        <x:v>32319</x:v>
      </x:c>
      <x:c r="E8114" s="0" t="s">
        <x:v>32320</x:v>
      </x:c>
      <x:c r="F8114" s="0" t="s">
        <x:v>45</x:v>
      </x:c>
      <x:c r="G8114" s="0" t="s">
        <x:v>19</x:v>
      </x:c>
      <x:c r="H8114" s="0" t="s">
        <x:v>20</x:v>
      </x:c>
      <x:c r="I8114" s="0" t="s">
        <x:v>21</x:v>
      </x:c>
      <x:c r="K8114" s="0">
        <x:f>hyperlink("https://icd.who.int/dev11/l-ichi/en#/http%3A%2F%2Fid.who.int%2Ficd%2Fentity%2F1396403897","browser")</x:f>
      </x:c>
      <x:c r="L8114" s="0">
        <x:f>hyperlink("https://icat2.azurewebsites.net/icat/?ontology=ICD&amp;tab=ClassesTab&amp;id=http%3A%2F%2Fwho.int%2Ficd%233217_7005c14c_2656_4f4b_85a0_8e71c99be967","iCat")</x:f>
      </x:c>
      <x:c r="M8114" s="0" t="s">
        <x:v>21</x:v>
      </x:c>
      <x:c r="N8114" s="0" t="s">
        <x:v>46</x:v>
      </x:c>
    </x:row>
    <x:row r="8115" spans="1:16">
      <x:c r="A8115" s="0" t="s">
        <x:v>32321</x:v>
      </x:c>
      <x:c r="B8115" s="0" t="s">
        <x:v>32322</x:v>
      </x:c>
      <x:c r="C8115" s="0" t="s">
        <x:v>32323</x:v>
      </x:c>
      <x:c r="E8115" s="0" t="s">
        <x:v>32324</x:v>
      </x:c>
      <x:c r="F8115" s="0" t="s">
        <x:v>45</x:v>
      </x:c>
      <x:c r="G8115" s="0" t="s">
        <x:v>19</x:v>
      </x:c>
      <x:c r="H8115" s="0" t="s">
        <x:v>20</x:v>
      </x:c>
      <x:c r="I8115" s="0" t="s">
        <x:v>21</x:v>
      </x:c>
      <x:c r="K8115" s="0">
        <x:f>hyperlink("https://icd.who.int/dev11/l-ichi/en#/http%3A%2F%2Fid.who.int%2Ficd%2Fentity%2F2044164599","browser")</x:f>
      </x:c>
      <x:c r="L8115" s="0">
        <x:f>hyperlink("https://icat2.azurewebsites.net/icat/?ontology=ICD&amp;tab=ClassesTab&amp;id=http%3A%2F%2Fwho.int%2Ficd%2347144_512ebf36_bf6b_4d70_85da_cf2637062af4","iCat")</x:f>
      </x:c>
      <x:c r="M8115" s="0" t="s">
        <x:v>21</x:v>
      </x:c>
      <x:c r="N8115" s="0" t="s">
        <x:v>46</x:v>
      </x:c>
    </x:row>
    <x:row r="8116" spans="1:16">
      <x:c r="A8116" s="0" t="s">
        <x:v>32325</x:v>
      </x:c>
      <x:c r="B8116" s="0" t="s">
        <x:v>32326</x:v>
      </x:c>
      <x:c r="C8116" s="0" t="s">
        <x:v>32327</x:v>
      </x:c>
      <x:c r="E8116" s="0" t="s">
        <x:v>32328</x:v>
      </x:c>
      <x:c r="F8116" s="0" t="s">
        <x:v>45</x:v>
      </x:c>
      <x:c r="G8116" s="0" t="s">
        <x:v>19</x:v>
      </x:c>
      <x:c r="H8116" s="0" t="s">
        <x:v>20</x:v>
      </x:c>
      <x:c r="I8116" s="0" t="s">
        <x:v>21</x:v>
      </x:c>
      <x:c r="K8116" s="0">
        <x:f>hyperlink("https://icd.who.int/dev11/l-ichi/en#/http%3A%2F%2Fid.who.int%2Ficd%2Fentity%2F116153064","browser")</x:f>
      </x:c>
      <x:c r="L8116" s="0">
        <x:f>hyperlink("https://icat2.azurewebsites.net/icat/?ontology=ICD&amp;tab=ClassesTab&amp;id=http%3A%2F%2Fwho.int%2Ficd%2347151_512ebf36_bf6b_4d70_85da_cf2637062af4","iCat")</x:f>
      </x:c>
      <x:c r="M8116" s="0" t="s">
        <x:v>21</x:v>
      </x:c>
      <x:c r="N8116" s="0" t="s">
        <x:v>46</x:v>
      </x:c>
    </x:row>
    <x:row r="8117" spans="1:16">
      <x:c r="A8117" s="0" t="s">
        <x:v>32329</x:v>
      </x:c>
      <x:c r="B8117" s="0" t="s">
        <x:v>32330</x:v>
      </x:c>
      <x:c r="C8117" s="0" t="s">
        <x:v>32331</x:v>
      </x:c>
      <x:c r="E8117" s="0" t="s">
        <x:v>32332</x:v>
      </x:c>
      <x:c r="F8117" s="0" t="s">
        <x:v>45</x:v>
      </x:c>
      <x:c r="G8117" s="0" t="s">
        <x:v>19</x:v>
      </x:c>
      <x:c r="H8117" s="0" t="s">
        <x:v>20</x:v>
      </x:c>
      <x:c r="I8117" s="0" t="s">
        <x:v>21</x:v>
      </x:c>
      <x:c r="K8117" s="0">
        <x:f>hyperlink("https://icd.who.int/dev11/l-ichi/en#/http%3A%2F%2Fid.who.int%2Ficd%2Fentity%2F1754552705","browser")</x:f>
      </x:c>
      <x:c r="L8117" s="0">
        <x:f>hyperlink("https://icat2.azurewebsites.net/icat/?ontology=ICD&amp;tab=ClassesTab&amp;id=http%3A%2F%2Fwho.int%2Ficd%2347158_512ebf36_bf6b_4d70_85da_cf2637062af4","iCat")</x:f>
      </x:c>
      <x:c r="M8117" s="0" t="s">
        <x:v>21</x:v>
      </x:c>
      <x:c r="N8117" s="0" t="s">
        <x:v>46</x:v>
      </x:c>
    </x:row>
    <x:row r="8118" spans="1:16">
      <x:c r="A8118" s="0" t="s">
        <x:v>32333</x:v>
      </x:c>
      <x:c r="B8118" s="0" t="s">
        <x:v>32334</x:v>
      </x:c>
      <x:c r="C8118" s="0" t="s">
        <x:v>32335</x:v>
      </x:c>
      <x:c r="E8118" s="0" t="s">
        <x:v>32336</x:v>
      </x:c>
      <x:c r="F8118" s="0" t="s">
        <x:v>45</x:v>
      </x:c>
      <x:c r="G8118" s="0" t="s">
        <x:v>19</x:v>
      </x:c>
      <x:c r="H8118" s="0" t="s">
        <x:v>20</x:v>
      </x:c>
      <x:c r="I8118" s="0" t="s">
        <x:v>21</x:v>
      </x:c>
      <x:c r="K8118" s="0">
        <x:f>hyperlink("https://icd.who.int/dev11/l-ichi/en#/http%3A%2F%2Fid.who.int%2Ficd%2Fentity%2F1935335067","browser")</x:f>
      </x:c>
      <x:c r="L8118" s="0">
        <x:f>hyperlink("https://icat2.azurewebsites.net/icat/?ontology=ICD&amp;tab=ClassesTab&amp;id=http%3A%2F%2Fwho.int%2Ficd%2347165_512ebf36_bf6b_4d70_85da_cf2637062af4","iCat")</x:f>
      </x:c>
      <x:c r="M8118" s="0" t="s">
        <x:v>21</x:v>
      </x:c>
      <x:c r="N8118" s="0" t="s">
        <x:v>46</x:v>
      </x:c>
    </x:row>
    <x:row r="8119" spans="1:16">
      <x:c r="A8119" s="0" t="s">
        <x:v>32337</x:v>
      </x:c>
      <x:c r="B8119" s="0" t="s">
        <x:v>32338</x:v>
      </x:c>
      <x:c r="C8119" s="0" t="s">
        <x:v>32339</x:v>
      </x:c>
      <x:c r="E8119" s="0" t="s">
        <x:v>32340</x:v>
      </x:c>
      <x:c r="F8119" s="0" t="s">
        <x:v>45</x:v>
      </x:c>
      <x:c r="G8119" s="0" t="s">
        <x:v>19</x:v>
      </x:c>
      <x:c r="H8119" s="0" t="s">
        <x:v>20</x:v>
      </x:c>
      <x:c r="I8119" s="0" t="s">
        <x:v>21</x:v>
      </x:c>
      <x:c r="K8119" s="0">
        <x:f>hyperlink("https://icd.who.int/dev11/l-ichi/en#/http%3A%2F%2Fid.who.int%2Ficd%2Fentity%2F646834892","browser")</x:f>
      </x:c>
      <x:c r="L8119" s="0">
        <x:f>hyperlink("https://icat2.azurewebsites.net/icat/?ontology=ICD&amp;tab=ClassesTab&amp;id=http%3A%2F%2Fwho.int%2Ficd%233223_7005c14c_2656_4f4b_85a0_8e71c99be967","iCat")</x:f>
      </x:c>
      <x:c r="M8119" s="0" t="s">
        <x:v>21</x:v>
      </x:c>
      <x:c r="N8119" s="0" t="s">
        <x:v>46</x:v>
      </x:c>
    </x:row>
    <x:row r="8120" spans="1:16">
      <x:c r="A8120" s="0" t="s">
        <x:v>32341</x:v>
      </x:c>
      <x:c r="B8120" s="0" t="s">
        <x:v>32342</x:v>
      </x:c>
      <x:c r="C8120" s="0" t="s">
        <x:v>32343</x:v>
      </x:c>
      <x:c r="E8120" s="0" t="s">
        <x:v>32344</x:v>
      </x:c>
      <x:c r="F8120" s="0" t="s">
        <x:v>45</x:v>
      </x:c>
      <x:c r="G8120" s="0" t="s">
        <x:v>19</x:v>
      </x:c>
      <x:c r="H8120" s="0" t="s">
        <x:v>20</x:v>
      </x:c>
      <x:c r="I8120" s="0" t="s">
        <x:v>21</x:v>
      </x:c>
      <x:c r="K8120" s="0">
        <x:f>hyperlink("https://icd.who.int/dev11/l-ichi/en#/http%3A%2F%2Fid.who.int%2Ficd%2Fentity%2F1763565633","browser")</x:f>
      </x:c>
      <x:c r="L8120" s="0">
        <x:f>hyperlink("https://icat2.azurewebsites.net/icat/?ontology=ICD&amp;tab=ClassesTab&amp;id=http%3A%2F%2Fwho.int%2Ficd%2347172_512ebf36_bf6b_4d70_85da_cf2637062af4","iCat")</x:f>
      </x:c>
      <x:c r="M8120" s="0" t="s">
        <x:v>21</x:v>
      </x:c>
      <x:c r="N8120" s="0" t="s">
        <x:v>46</x:v>
      </x:c>
    </x:row>
    <x:row r="8121" spans="1:16">
      <x:c r="A8121" s="0" t="s">
        <x:v>32345</x:v>
      </x:c>
      <x:c r="B8121" s="0" t="s">
        <x:v>32346</x:v>
      </x:c>
      <x:c r="C8121" s="0" t="s">
        <x:v>32347</x:v>
      </x:c>
      <x:c r="E8121" s="0" t="s">
        <x:v>32348</x:v>
      </x:c>
      <x:c r="F8121" s="0" t="s">
        <x:v>45</x:v>
      </x:c>
      <x:c r="G8121" s="0" t="s">
        <x:v>19</x:v>
      </x:c>
      <x:c r="H8121" s="0" t="s">
        <x:v>20</x:v>
      </x:c>
      <x:c r="I8121" s="0" t="s">
        <x:v>21</x:v>
      </x:c>
      <x:c r="K8121" s="0">
        <x:f>hyperlink("https://icd.who.int/dev11/l-ichi/en#/http%3A%2F%2Fid.who.int%2Ficd%2Fentity%2F846909519","browser")</x:f>
      </x:c>
      <x:c r="L8121" s="0">
        <x:f>hyperlink("https://icat2.azurewebsites.net/icat/?ontology=ICD&amp;tab=ClassesTab&amp;id=http%3A%2F%2Fwho.int%2Ficd%230_eccaa62c_8889_4dc1_a4d9_71762327d0fc","iCat")</x:f>
      </x:c>
      <x:c r="M8121" s="0" t="s">
        <x:v>21</x:v>
      </x:c>
      <x:c r="N8121" s="0" t="s">
        <x:v>46</x:v>
      </x:c>
    </x:row>
    <x:row r="8122" spans="1:16">
      <x:c r="A8122" s="0" t="s">
        <x:v>32349</x:v>
      </x:c>
      <x:c r="B8122" s="0" t="s">
        <x:v>32350</x:v>
      </x:c>
      <x:c r="C8122" s="0" t="s">
        <x:v>32351</x:v>
      </x:c>
      <x:c r="E8122" s="0" t="s">
        <x:v>32352</x:v>
      </x:c>
      <x:c r="F8122" s="0" t="s">
        <x:v>45</x:v>
      </x:c>
      <x:c r="G8122" s="0" t="s">
        <x:v>19</x:v>
      </x:c>
      <x:c r="H8122" s="0" t="s">
        <x:v>20</x:v>
      </x:c>
      <x:c r="I8122" s="0" t="s">
        <x:v>21</x:v>
      </x:c>
      <x:c r="K8122" s="0">
        <x:f>hyperlink("https://icd.who.int/dev11/l-ichi/en#/http%3A%2F%2Fid.who.int%2Ficd%2Fentity%2F1644235262","browser")</x:f>
      </x:c>
      <x:c r="L8122" s="0">
        <x:f>hyperlink("https://icat2.azurewebsites.net/icat/?ontology=ICD&amp;tab=ClassesTab&amp;id=http%3A%2F%2Fwho.int%2Ficd%236_eccaa62c_8889_4dc1_a4d9_71762327d0fc","iCat")</x:f>
      </x:c>
      <x:c r="M8122" s="0" t="s">
        <x:v>21</x:v>
      </x:c>
      <x:c r="N8122" s="0" t="s">
        <x:v>46</x:v>
      </x:c>
    </x:row>
    <x:row r="8123" spans="1:16">
      <x:c r="A8123" s="0" t="s">
        <x:v>32353</x:v>
      </x:c>
      <x:c r="B8123" s="0" t="s">
        <x:v>32354</x:v>
      </x:c>
      <x:c r="C8123" s="0" t="s">
        <x:v>32355</x:v>
      </x:c>
      <x:c r="E8123" s="0" t="s">
        <x:v>32356</x:v>
      </x:c>
      <x:c r="F8123" s="0" t="s">
        <x:v>45</x:v>
      </x:c>
      <x:c r="G8123" s="0" t="s">
        <x:v>19</x:v>
      </x:c>
      <x:c r="H8123" s="0" t="s">
        <x:v>20</x:v>
      </x:c>
      <x:c r="I8123" s="0" t="s">
        <x:v>21</x:v>
      </x:c>
      <x:c r="K8123" s="0">
        <x:f>hyperlink("https://icd.who.int/dev11/l-ichi/en#/http%3A%2F%2Fid.who.int%2Ficd%2Fentity%2F1528897057","browser")</x:f>
      </x:c>
      <x:c r="L8123" s="0">
        <x:f>hyperlink("https://icat2.azurewebsites.net/icat/?ontology=ICD&amp;tab=ClassesTab&amp;id=http%3A%2F%2Fwho.int%2Ficd%2312_eccaa62c_8889_4dc1_a4d9_71762327d0fc","iCat")</x:f>
      </x:c>
      <x:c r="M8123" s="0" t="s">
        <x:v>21</x:v>
      </x:c>
      <x:c r="N8123" s="0" t="s">
        <x:v>46</x:v>
      </x:c>
    </x:row>
    <x:row r="8124" spans="1:16">
      <x:c r="A8124" s="0" t="s">
        <x:v>32357</x:v>
      </x:c>
      <x:c r="B8124" s="0" t="s">
        <x:v>32358</x:v>
      </x:c>
      <x:c r="C8124" s="0" t="s">
        <x:v>32359</x:v>
      </x:c>
      <x:c r="E8124" s="0" t="s">
        <x:v>32360</x:v>
      </x:c>
      <x:c r="F8124" s="0" t="s">
        <x:v>45</x:v>
      </x:c>
      <x:c r="G8124" s="0" t="s">
        <x:v>19</x:v>
      </x:c>
      <x:c r="H8124" s="0" t="s">
        <x:v>20</x:v>
      </x:c>
      <x:c r="I8124" s="0" t="s">
        <x:v>21</x:v>
      </x:c>
      <x:c r="K8124" s="0">
        <x:f>hyperlink("https://icd.who.int/dev11/l-ichi/en#/http%3A%2F%2Fid.who.int%2Ficd%2Fentity%2F93497306","browser")</x:f>
      </x:c>
      <x:c r="L8124" s="0">
        <x:f>hyperlink("https://icat2.azurewebsites.net/icat/?ontology=ICD&amp;tab=ClassesTab&amp;id=http%3A%2F%2Fwho.int%2Ficd%23216_eccaa62c_8889_4dc1_a4d9_71762327d0fc","iCat")</x:f>
      </x:c>
      <x:c r="M8124" s="0" t="s">
        <x:v>21</x:v>
      </x:c>
      <x:c r="N8124" s="0" t="s">
        <x:v>46</x:v>
      </x:c>
    </x:row>
    <x:row r="8125" spans="1:16">
      <x:c r="A8125" s="0" t="s">
        <x:v>32361</x:v>
      </x:c>
      <x:c r="B8125" s="0" t="s">
        <x:v>32362</x:v>
      </x:c>
      <x:c r="C8125" s="0" t="s">
        <x:v>32363</x:v>
      </x:c>
      <x:c r="E8125" s="0" t="s">
        <x:v>32364</x:v>
      </x:c>
      <x:c r="F8125" s="0" t="s">
        <x:v>45</x:v>
      </x:c>
      <x:c r="G8125" s="0" t="s">
        <x:v>19</x:v>
      </x:c>
      <x:c r="H8125" s="0" t="s">
        <x:v>20</x:v>
      </x:c>
      <x:c r="I8125" s="0" t="s">
        <x:v>21</x:v>
      </x:c>
      <x:c r="K8125" s="0">
        <x:f>hyperlink("https://icd.who.int/dev11/l-ichi/en#/http%3A%2F%2Fid.who.int%2Ficd%2Fentity%2F1893495473","browser")</x:f>
      </x:c>
      <x:c r="L8125" s="0">
        <x:f>hyperlink("https://icat2.azurewebsites.net/icat/?ontology=ICD&amp;tab=ClassesTab&amp;id=http%3A%2F%2Fwho.int%2Ficd%2318_eccaa62c_8889_4dc1_a4d9_71762327d0fc","iCat")</x:f>
      </x:c>
      <x:c r="M8125" s="0" t="s">
        <x:v>21</x:v>
      </x:c>
      <x:c r="N8125" s="0" t="s">
        <x:v>46</x:v>
      </x:c>
    </x:row>
    <x:row r="8126" spans="1:16">
      <x:c r="A8126" s="0" t="s">
        <x:v>32365</x:v>
      </x:c>
      <x:c r="B8126" s="0" t="s">
        <x:v>32366</x:v>
      </x:c>
      <x:c r="C8126" s="0" t="s">
        <x:v>32367</x:v>
      </x:c>
      <x:c r="E8126" s="0" t="s">
        <x:v>32368</x:v>
      </x:c>
      <x:c r="F8126" s="0" t="s">
        <x:v>45</x:v>
      </x:c>
      <x:c r="G8126" s="0" t="s">
        <x:v>19</x:v>
      </x:c>
      <x:c r="H8126" s="0" t="s">
        <x:v>20</x:v>
      </x:c>
      <x:c r="I8126" s="0" t="s">
        <x:v>21</x:v>
      </x:c>
      <x:c r="K8126" s="0">
        <x:f>hyperlink("https://icd.who.int/dev11/l-ichi/en#/http%3A%2F%2Fid.who.int%2Ficd%2Fentity%2F1273726871","browser")</x:f>
      </x:c>
      <x:c r="L8126" s="0">
        <x:f>hyperlink("https://icat2.azurewebsites.net/icat/?ontology=ICD&amp;tab=ClassesTab&amp;id=http%3A%2F%2Fwho.int%2Ficd%2324_eccaa62c_8889_4dc1_a4d9_71762327d0fc","iCat")</x:f>
      </x:c>
      <x:c r="M8126" s="0" t="s">
        <x:v>21</x:v>
      </x:c>
      <x:c r="N8126" s="0" t="s">
        <x:v>46</x:v>
      </x:c>
    </x:row>
    <x:row r="8127" spans="1:16">
      <x:c r="A8127" s="0" t="s">
        <x:v>32369</x:v>
      </x:c>
      <x:c r="B8127" s="0" t="s">
        <x:v>32370</x:v>
      </x:c>
      <x:c r="C8127" s="0" t="s">
        <x:v>32371</x:v>
      </x:c>
      <x:c r="E8127" s="0" t="s">
        <x:v>32372</x:v>
      </x:c>
      <x:c r="F8127" s="0" t="s">
        <x:v>45</x:v>
      </x:c>
      <x:c r="G8127" s="0" t="s">
        <x:v>19</x:v>
      </x:c>
      <x:c r="H8127" s="0" t="s">
        <x:v>20</x:v>
      </x:c>
      <x:c r="I8127" s="0" t="s">
        <x:v>21</x:v>
      </x:c>
      <x:c r="K8127" s="0">
        <x:f>hyperlink("https://icd.who.int/dev11/l-ichi/en#/http%3A%2F%2Fid.who.int%2Ficd%2Fentity%2F338286262","browser")</x:f>
      </x:c>
      <x:c r="L8127" s="0">
        <x:f>hyperlink("https://icat2.azurewebsites.net/icat/?ontology=ICD&amp;tab=ClassesTab&amp;id=http%3A%2F%2Fwho.int%2Ficd%2330_eccaa62c_8889_4dc1_a4d9_71762327d0fc","iCat")</x:f>
      </x:c>
      <x:c r="M8127" s="0" t="s">
        <x:v>21</x:v>
      </x:c>
      <x:c r="N8127" s="0" t="s">
        <x:v>46</x:v>
      </x:c>
    </x:row>
    <x:row r="8128" spans="1:16">
      <x:c r="A8128" s="0" t="s">
        <x:v>32373</x:v>
      </x:c>
      <x:c r="B8128" s="0" t="s">
        <x:v>32374</x:v>
      </x:c>
      <x:c r="C8128" s="0" t="s">
        <x:v>32375</x:v>
      </x:c>
      <x:c r="E8128" s="0" t="s">
        <x:v>32376</x:v>
      </x:c>
      <x:c r="F8128" s="0" t="s">
        <x:v>45</x:v>
      </x:c>
      <x:c r="G8128" s="0" t="s">
        <x:v>19</x:v>
      </x:c>
      <x:c r="H8128" s="0" t="s">
        <x:v>20</x:v>
      </x:c>
      <x:c r="I8128" s="0" t="s">
        <x:v>21</x:v>
      </x:c>
      <x:c r="K8128" s="0">
        <x:f>hyperlink("https://icd.who.int/dev11/l-ichi/en#/http%3A%2F%2Fid.who.int%2Ficd%2Fentity%2F1881416619","browser")</x:f>
      </x:c>
      <x:c r="L8128" s="0">
        <x:f>hyperlink("https://icat2.azurewebsites.net/icat/?ontology=ICD&amp;tab=ClassesTab&amp;id=http%3A%2F%2Fwho.int%2Ficd%23222_eccaa62c_8889_4dc1_a4d9_71762327d0fc","iCat")</x:f>
      </x:c>
      <x:c r="M8128" s="0" t="s">
        <x:v>21</x:v>
      </x:c>
      <x:c r="N8128" s="0" t="s">
        <x:v>46</x:v>
      </x:c>
    </x:row>
    <x:row r="8129" spans="1:16">
      <x:c r="A8129" s="0" t="s">
        <x:v>32377</x:v>
      </x:c>
      <x:c r="B8129" s="0" t="s">
        <x:v>32378</x:v>
      </x:c>
      <x:c r="C8129" s="0" t="s">
        <x:v>32379</x:v>
      </x:c>
      <x:c r="E8129" s="0" t="s">
        <x:v>32380</x:v>
      </x:c>
      <x:c r="F8129" s="0" t="s">
        <x:v>45</x:v>
      </x:c>
      <x:c r="G8129" s="0" t="s">
        <x:v>19</x:v>
      </x:c>
      <x:c r="H8129" s="0" t="s">
        <x:v>20</x:v>
      </x:c>
      <x:c r="I8129" s="0" t="s">
        <x:v>21</x:v>
      </x:c>
      <x:c r="K8129" s="0">
        <x:f>hyperlink("https://icd.who.int/dev11/l-ichi/en#/http%3A%2F%2Fid.who.int%2Ficd%2Fentity%2F1645870829","browser")</x:f>
      </x:c>
      <x:c r="L8129" s="0">
        <x:f>hyperlink("https://icat2.azurewebsites.net/icat/?ontology=ICD&amp;tab=ClassesTab&amp;id=http%3A%2F%2Fwho.int%2Ficd%2347179_512ebf36_bf6b_4d70_85da_cf2637062af4","iCat")</x:f>
      </x:c>
      <x:c r="M8129" s="0" t="s">
        <x:v>21</x:v>
      </x:c>
      <x:c r="N8129" s="0" t="s">
        <x:v>46</x:v>
      </x:c>
    </x:row>
    <x:row r="8130" spans="1:16">
      <x:c r="A8130" s="0" t="s">
        <x:v>32381</x:v>
      </x:c>
      <x:c r="B8130" s="0" t="s">
        <x:v>32382</x:v>
      </x:c>
      <x:c r="C8130" s="0" t="s">
        <x:v>32383</x:v>
      </x:c>
      <x:c r="E8130" s="0" t="s">
        <x:v>32384</x:v>
      </x:c>
      <x:c r="F8130" s="0" t="s">
        <x:v>45</x:v>
      </x:c>
      <x:c r="G8130" s="0" t="s">
        <x:v>19</x:v>
      </x:c>
      <x:c r="H8130" s="0" t="s">
        <x:v>20</x:v>
      </x:c>
      <x:c r="I8130" s="0" t="s">
        <x:v>21</x:v>
      </x:c>
      <x:c r="K8130" s="0">
        <x:f>hyperlink("https://icd.who.int/dev11/l-ichi/en#/http%3A%2F%2Fid.who.int%2Ficd%2Fentity%2F1945988843","browser")</x:f>
      </x:c>
      <x:c r="L8130" s="0">
        <x:f>hyperlink("https://icat2.azurewebsites.net/icat/?ontology=ICD&amp;tab=ClassesTab&amp;id=http%3A%2F%2Fwho.int%2Ficd%2347186_512ebf36_bf6b_4d70_85da_cf2637062af4","iCat")</x:f>
      </x:c>
      <x:c r="M8130" s="0" t="s">
        <x:v>21</x:v>
      </x:c>
      <x:c r="N8130" s="0" t="s">
        <x:v>46</x:v>
      </x:c>
    </x:row>
    <x:row r="8131" spans="1:16">
      <x:c r="A8131" s="0" t="s">
        <x:v>32385</x:v>
      </x:c>
      <x:c r="B8131" s="0" t="s">
        <x:v>32386</x:v>
      </x:c>
      <x:c r="C8131" s="0" t="s">
        <x:v>32387</x:v>
      </x:c>
      <x:c r="E8131" s="0" t="s">
        <x:v>32388</x:v>
      </x:c>
      <x:c r="F8131" s="0" t="s">
        <x:v>45</x:v>
      </x:c>
      <x:c r="G8131" s="0" t="s">
        <x:v>19</x:v>
      </x:c>
      <x:c r="H8131" s="0" t="s">
        <x:v>20</x:v>
      </x:c>
      <x:c r="I8131" s="0" t="s">
        <x:v>21</x:v>
      </x:c>
      <x:c r="K8131" s="0">
        <x:f>hyperlink("https://icd.who.int/dev11/l-ichi/en#/http%3A%2F%2Fid.who.int%2Ficd%2Fentity%2F214322678","browser")</x:f>
      </x:c>
      <x:c r="L8131" s="0">
        <x:f>hyperlink("https://icat2.azurewebsites.net/icat/?ontology=ICD&amp;tab=ClassesTab&amp;id=http%3A%2F%2Fwho.int%2Ficd%2347193_512ebf36_bf6b_4d70_85da_cf2637062af4","iCat")</x:f>
      </x:c>
      <x:c r="M8131" s="0" t="s">
        <x:v>21</x:v>
      </x:c>
      <x:c r="N8131" s="0" t="s">
        <x:v>46</x:v>
      </x:c>
    </x:row>
    <x:row r="8132" spans="1:16">
      <x:c r="A8132" s="0" t="s">
        <x:v>32389</x:v>
      </x:c>
      <x:c r="B8132" s="0" t="s">
        <x:v>32390</x:v>
      </x:c>
      <x:c r="C8132" s="0" t="s">
        <x:v>32391</x:v>
      </x:c>
      <x:c r="E8132" s="0" t="s">
        <x:v>32392</x:v>
      </x:c>
      <x:c r="F8132" s="0" t="s">
        <x:v>45</x:v>
      </x:c>
      <x:c r="G8132" s="0" t="s">
        <x:v>19</x:v>
      </x:c>
      <x:c r="H8132" s="0" t="s">
        <x:v>20</x:v>
      </x:c>
      <x:c r="I8132" s="0" t="s">
        <x:v>21</x:v>
      </x:c>
      <x:c r="K8132" s="0">
        <x:f>hyperlink("https://icd.who.int/dev11/l-ichi/en#/http%3A%2F%2Fid.who.int%2Ficd%2Fentity%2F1575508679","browser")</x:f>
      </x:c>
      <x:c r="L8132" s="0">
        <x:f>hyperlink("https://icat2.azurewebsites.net/icat/?ontology=ICD&amp;tab=ClassesTab&amp;id=http%3A%2F%2Fwho.int%2Ficd%2347200_512ebf36_bf6b_4d70_85da_cf2637062af4","iCat")</x:f>
      </x:c>
      <x:c r="M8132" s="0" t="s">
        <x:v>21</x:v>
      </x:c>
      <x:c r="N8132" s="0" t="s">
        <x:v>46</x:v>
      </x:c>
    </x:row>
    <x:row r="8133" spans="1:16">
      <x:c r="A8133" s="0" t="s">
        <x:v>32393</x:v>
      </x:c>
      <x:c r="B8133" s="0" t="s">
        <x:v>32394</x:v>
      </x:c>
      <x:c r="C8133" s="0" t="s">
        <x:v>32395</x:v>
      </x:c>
      <x:c r="E8133" s="0" t="s">
        <x:v>32396</x:v>
      </x:c>
      <x:c r="F8133" s="0" t="s">
        <x:v>45</x:v>
      </x:c>
      <x:c r="G8133" s="0" t="s">
        <x:v>19</x:v>
      </x:c>
      <x:c r="H8133" s="0" t="s">
        <x:v>20</x:v>
      </x:c>
      <x:c r="I8133" s="0" t="s">
        <x:v>21</x:v>
      </x:c>
      <x:c r="K8133" s="0">
        <x:f>hyperlink("https://icd.who.int/dev11/l-ichi/en#/http%3A%2F%2Fid.who.int%2Ficd%2Fentity%2F1146228485","browser")</x:f>
      </x:c>
      <x:c r="L8133" s="0">
        <x:f>hyperlink("https://icat2.azurewebsites.net/icat/?ontology=ICD&amp;tab=ClassesTab&amp;id=http%3A%2F%2Fwho.int%2Ficd%2336_eccaa62c_8889_4dc1_a4d9_71762327d0fc","iCat")</x:f>
      </x:c>
      <x:c r="M8133" s="0" t="s">
        <x:v>21</x:v>
      </x:c>
      <x:c r="N8133" s="0" t="s">
        <x:v>46</x:v>
      </x:c>
    </x:row>
    <x:row r="8134" spans="1:16">
      <x:c r="A8134" s="0" t="s">
        <x:v>32397</x:v>
      </x:c>
      <x:c r="B8134" s="0" t="s">
        <x:v>32398</x:v>
      </x:c>
      <x:c r="C8134" s="0" t="s">
        <x:v>32399</x:v>
      </x:c>
      <x:c r="E8134" s="0" t="s">
        <x:v>32400</x:v>
      </x:c>
      <x:c r="F8134" s="0" t="s">
        <x:v>45</x:v>
      </x:c>
      <x:c r="G8134" s="0" t="s">
        <x:v>19</x:v>
      </x:c>
      <x:c r="H8134" s="0" t="s">
        <x:v>20</x:v>
      </x:c>
      <x:c r="I8134" s="0" t="s">
        <x:v>21</x:v>
      </x:c>
      <x:c r="K8134" s="0">
        <x:f>hyperlink("https://icd.who.int/dev11/l-ichi/en#/http%3A%2F%2Fid.who.int%2Ficd%2Fentity%2F325659538","browser")</x:f>
      </x:c>
      <x:c r="L8134" s="0">
        <x:f>hyperlink("https://icat2.azurewebsites.net/icat/?ontology=ICD&amp;tab=ClassesTab&amp;id=http%3A%2F%2Fwho.int%2Ficd%2347208_512ebf36_bf6b_4d70_85da_cf2637062af4","iCat")</x:f>
      </x:c>
      <x:c r="M8134" s="0" t="s">
        <x:v>21</x:v>
      </x:c>
      <x:c r="N8134" s="0" t="s">
        <x:v>46</x:v>
      </x:c>
    </x:row>
    <x:row r="8135" spans="1:16">
      <x:c r="A8135" s="0" t="s">
        <x:v>32401</x:v>
      </x:c>
      <x:c r="B8135" s="0" t="s">
        <x:v>32402</x:v>
      </x:c>
      <x:c r="C8135" s="0" t="s">
        <x:v>32403</x:v>
      </x:c>
      <x:c r="E8135" s="0" t="s">
        <x:v>32404</x:v>
      </x:c>
      <x:c r="F8135" s="0" t="s">
        <x:v>45</x:v>
      </x:c>
      <x:c r="G8135" s="0" t="s">
        <x:v>19</x:v>
      </x:c>
      <x:c r="H8135" s="0" t="s">
        <x:v>20</x:v>
      </x:c>
      <x:c r="I8135" s="0" t="s">
        <x:v>21</x:v>
      </x:c>
      <x:c r="K8135" s="0">
        <x:f>hyperlink("https://icd.who.int/dev11/l-ichi/en#/http%3A%2F%2Fid.who.int%2Ficd%2Fentity%2F316707412","browser")</x:f>
      </x:c>
      <x:c r="L8135" s="0">
        <x:f>hyperlink("https://icat2.azurewebsites.net/icat/?ontology=ICD&amp;tab=ClassesTab&amp;id=http%3A%2F%2Fwho.int%2Ficd%2347222_512ebf36_bf6b_4d70_85da_cf2637062af4","iCat")</x:f>
      </x:c>
      <x:c r="M8135" s="0" t="s">
        <x:v>21</x:v>
      </x:c>
      <x:c r="N8135" s="0" t="s">
        <x:v>46</x:v>
      </x:c>
    </x:row>
    <x:row r="8136" spans="1:16">
      <x:c r="A8136" s="0" t="s">
        <x:v>32405</x:v>
      </x:c>
      <x:c r="B8136" s="0" t="s">
        <x:v>32406</x:v>
      </x:c>
      <x:c r="C8136" s="0" t="s">
        <x:v>32407</x:v>
      </x:c>
      <x:c r="E8136" s="0" t="s">
        <x:v>32408</x:v>
      </x:c>
      <x:c r="F8136" s="0" t="s">
        <x:v>45</x:v>
      </x:c>
      <x:c r="G8136" s="0" t="s">
        <x:v>19</x:v>
      </x:c>
      <x:c r="H8136" s="0" t="s">
        <x:v>20</x:v>
      </x:c>
      <x:c r="I8136" s="0" t="s">
        <x:v>21</x:v>
      </x:c>
      <x:c r="K8136" s="0">
        <x:f>hyperlink("https://icd.who.int/dev11/l-ichi/en#/http%3A%2F%2Fid.who.int%2Ficd%2Fentity%2F662005297","browser")</x:f>
      </x:c>
      <x:c r="L8136" s="0">
        <x:f>hyperlink("https://icat2.azurewebsites.net/icat/?ontology=ICD&amp;tab=ClassesTab&amp;id=http%3A%2F%2Fwho.int%2Ficd%237_3c64dd61_a787_4b69_a0aa_c26ee473e65a","iCat")</x:f>
      </x:c>
      <x:c r="M8136" s="0" t="s">
        <x:v>21</x:v>
      </x:c>
      <x:c r="N8136" s="0" t="s">
        <x:v>46</x:v>
      </x:c>
    </x:row>
    <x:row r="8137" spans="1:16">
      <x:c r="A8137" s="0" t="s">
        <x:v>32409</x:v>
      </x:c>
      <x:c r="B8137" s="0" t="s">
        <x:v>32410</x:v>
      </x:c>
      <x:c r="C8137" s="0" t="s">
        <x:v>32411</x:v>
      </x:c>
      <x:c r="E8137" s="0" t="s">
        <x:v>32412</x:v>
      </x:c>
      <x:c r="F8137" s="0" t="s">
        <x:v>45</x:v>
      </x:c>
      <x:c r="G8137" s="0" t="s">
        <x:v>19</x:v>
      </x:c>
      <x:c r="H8137" s="0" t="s">
        <x:v>20</x:v>
      </x:c>
      <x:c r="I8137" s="0" t="s">
        <x:v>21</x:v>
      </x:c>
      <x:c r="K8137" s="0">
        <x:f>hyperlink("https://icd.who.int/dev11/l-ichi/en#/http%3A%2F%2Fid.who.int%2Ficd%2Fentity%2F1099159659","browser")</x:f>
      </x:c>
      <x:c r="L8137" s="0">
        <x:f>hyperlink("https://icat2.azurewebsites.net/icat/?ontology=ICD&amp;tab=ClassesTab&amp;id=http%3A%2F%2Fwho.int%2Ficd%2342_eccaa62c_8889_4dc1_a4d9_71762327d0fc","iCat")</x:f>
      </x:c>
      <x:c r="M8137" s="0" t="s">
        <x:v>21</x:v>
      </x:c>
      <x:c r="N8137" s="0" t="s">
        <x:v>46</x:v>
      </x:c>
    </x:row>
    <x:row r="8138" spans="1:16">
      <x:c r="A8138" s="0" t="s">
        <x:v>32413</x:v>
      </x:c>
      <x:c r="B8138" s="0" t="s">
        <x:v>32414</x:v>
      </x:c>
      <x:c r="C8138" s="0" t="s">
        <x:v>32415</x:v>
      </x:c>
      <x:c r="E8138" s="0" t="s">
        <x:v>32416</x:v>
      </x:c>
      <x:c r="F8138" s="0" t="s">
        <x:v>45</x:v>
      </x:c>
      <x:c r="G8138" s="0" t="s">
        <x:v>19</x:v>
      </x:c>
      <x:c r="H8138" s="0" t="s">
        <x:v>20</x:v>
      </x:c>
      <x:c r="I8138" s="0" t="s">
        <x:v>21</x:v>
      </x:c>
      <x:c r="K8138" s="0">
        <x:f>hyperlink("https://icd.who.int/dev11/l-ichi/en#/http%3A%2F%2Fid.who.int%2Ficd%2Fentity%2F492378818","browser")</x:f>
      </x:c>
      <x:c r="L8138" s="0">
        <x:f>hyperlink("https://icat2.azurewebsites.net/icat/?ontology=ICD&amp;tab=ClassesTab&amp;id=http%3A%2F%2Fwho.int%2Ficd%2347230_512ebf36_bf6b_4d70_85da_cf2637062af4","iCat")</x:f>
      </x:c>
      <x:c r="M8138" s="0" t="s">
        <x:v>21</x:v>
      </x:c>
      <x:c r="N8138" s="0" t="s">
        <x:v>46</x:v>
      </x:c>
    </x:row>
    <x:row r="8139" spans="1:16">
      <x:c r="A8139" s="0" t="s">
        <x:v>32417</x:v>
      </x:c>
      <x:c r="B8139" s="0" t="s">
        <x:v>32418</x:v>
      </x:c>
      <x:c r="C8139" s="0" t="s">
        <x:v>32419</x:v>
      </x:c>
      <x:c r="E8139" s="0" t="s">
        <x:v>32420</x:v>
      </x:c>
      <x:c r="F8139" s="0" t="s">
        <x:v>45</x:v>
      </x:c>
      <x:c r="G8139" s="0" t="s">
        <x:v>19</x:v>
      </x:c>
      <x:c r="H8139" s="0" t="s">
        <x:v>20</x:v>
      </x:c>
      <x:c r="I8139" s="0" t="s">
        <x:v>21</x:v>
      </x:c>
      <x:c r="K8139" s="0">
        <x:f>hyperlink("https://icd.who.int/dev11/l-ichi/en#/http%3A%2F%2Fid.who.int%2Ficd%2Fentity%2F1441365609","browser")</x:f>
      </x:c>
      <x:c r="L8139" s="0">
        <x:f>hyperlink("https://icat2.azurewebsites.net/icat/?ontology=ICD&amp;tab=ClassesTab&amp;id=http%3A%2F%2Fwho.int%2Ficd%23210_eccaa62c_8889_4dc1_a4d9_71762327d0fc","iCat")</x:f>
      </x:c>
      <x:c r="M8139" s="0" t="s">
        <x:v>21</x:v>
      </x:c>
      <x:c r="N8139" s="0" t="s">
        <x:v>46</x:v>
      </x:c>
    </x:row>
    <x:row r="8140" spans="1:16">
      <x:c r="A8140" s="0" t="s">
        <x:v>32421</x:v>
      </x:c>
      <x:c r="B8140" s="0" t="s">
        <x:v>32422</x:v>
      </x:c>
      <x:c r="C8140" s="0" t="s">
        <x:v>32423</x:v>
      </x:c>
      <x:c r="E8140" s="0" t="s">
        <x:v>32424</x:v>
      </x:c>
      <x:c r="F8140" s="0" t="s">
        <x:v>45</x:v>
      </x:c>
      <x:c r="G8140" s="0" t="s">
        <x:v>19</x:v>
      </x:c>
      <x:c r="H8140" s="0" t="s">
        <x:v>20</x:v>
      </x:c>
      <x:c r="I8140" s="0" t="s">
        <x:v>21</x:v>
      </x:c>
      <x:c r="K8140" s="0">
        <x:f>hyperlink("https://icd.who.int/dev11/l-ichi/en#/http%3A%2F%2Fid.who.int%2Ficd%2Fentity%2F1786688763","browser")</x:f>
      </x:c>
      <x:c r="L8140" s="0">
        <x:f>hyperlink("https://icat2.azurewebsites.net/icat/?ontology=ICD&amp;tab=ClassesTab&amp;id=http%3A%2F%2Fwho.int%2Ficd%2348_eccaa62c_8889_4dc1_a4d9_71762327d0fc","iCat")</x:f>
      </x:c>
      <x:c r="M8140" s="0" t="s">
        <x:v>21</x:v>
      </x:c>
      <x:c r="N8140" s="0" t="s">
        <x:v>46</x:v>
      </x:c>
    </x:row>
    <x:row r="8141" spans="1:16">
      <x:c r="A8141" s="0" t="s">
        <x:v>32425</x:v>
      </x:c>
      <x:c r="B8141" s="0" t="s">
        <x:v>32426</x:v>
      </x:c>
      <x:c r="C8141" s="0" t="s">
        <x:v>32427</x:v>
      </x:c>
      <x:c r="E8141" s="0" t="s">
        <x:v>32428</x:v>
      </x:c>
      <x:c r="F8141" s="0" t="s">
        <x:v>45</x:v>
      </x:c>
      <x:c r="G8141" s="0" t="s">
        <x:v>19</x:v>
      </x:c>
      <x:c r="H8141" s="0" t="s">
        <x:v>20</x:v>
      </x:c>
      <x:c r="I8141" s="0" t="s">
        <x:v>21</x:v>
      </x:c>
      <x:c r="K8141" s="0">
        <x:f>hyperlink("https://icd.who.int/dev11/l-ichi/en#/http%3A%2F%2Fid.who.int%2Ficd%2Fentity%2F1843114317","browser")</x:f>
      </x:c>
      <x:c r="L8141" s="0">
        <x:f>hyperlink("https://icat2.azurewebsites.net/icat/?ontology=ICD&amp;tab=ClassesTab&amp;id=http%3A%2F%2Fwho.int%2Ficd%2347237_512ebf36_bf6b_4d70_85da_cf2637062af4","iCat")</x:f>
      </x:c>
      <x:c r="M8141" s="0" t="s">
        <x:v>21</x:v>
      </x:c>
      <x:c r="N8141" s="0" t="s">
        <x:v>46</x:v>
      </x:c>
    </x:row>
    <x:row r="8142" spans="1:16">
      <x:c r="A8142" s="0" t="s">
        <x:v>32429</x:v>
      </x:c>
      <x:c r="B8142" s="0" t="s">
        <x:v>32430</x:v>
      </x:c>
      <x:c r="C8142" s="0" t="s">
        <x:v>32431</x:v>
      </x:c>
      <x:c r="E8142" s="0" t="s">
        <x:v>32432</x:v>
      </x:c>
      <x:c r="F8142" s="0" t="s">
        <x:v>45</x:v>
      </x:c>
      <x:c r="G8142" s="0" t="s">
        <x:v>19</x:v>
      </x:c>
      <x:c r="H8142" s="0" t="s">
        <x:v>20</x:v>
      </x:c>
      <x:c r="I8142" s="0" t="s">
        <x:v>21</x:v>
      </x:c>
      <x:c r="K8142" s="0">
        <x:f>hyperlink("https://icd.who.int/dev11/l-ichi/en#/http%3A%2F%2Fid.who.int%2Ficd%2Fentity%2F2067633293","browser")</x:f>
      </x:c>
      <x:c r="L8142" s="0">
        <x:f>hyperlink("https://icat2.azurewebsites.net/icat/?ontology=ICD&amp;tab=ClassesTab&amp;id=http%3A%2F%2Fwho.int%2Ficd%2354_eccaa62c_8889_4dc1_a4d9_71762327d0fc","iCat")</x:f>
      </x:c>
      <x:c r="M8142" s="0" t="s">
        <x:v>21</x:v>
      </x:c>
      <x:c r="N8142" s="0" t="s">
        <x:v>46</x:v>
      </x:c>
    </x:row>
    <x:row r="8143" spans="1:16">
      <x:c r="A8143" s="0" t="s">
        <x:v>32433</x:v>
      </x:c>
      <x:c r="B8143" s="0" t="s">
        <x:v>32434</x:v>
      </x:c>
      <x:c r="C8143" s="0" t="s">
        <x:v>32435</x:v>
      </x:c>
      <x:c r="E8143" s="0" t="s">
        <x:v>32436</x:v>
      </x:c>
      <x:c r="F8143" s="0" t="s">
        <x:v>45</x:v>
      </x:c>
      <x:c r="G8143" s="0" t="s">
        <x:v>19</x:v>
      </x:c>
      <x:c r="H8143" s="0" t="s">
        <x:v>20</x:v>
      </x:c>
      <x:c r="I8143" s="0" t="s">
        <x:v>21</x:v>
      </x:c>
      <x:c r="K8143" s="0">
        <x:f>hyperlink("https://icd.who.int/dev11/l-ichi/en#/http%3A%2F%2Fid.who.int%2Ficd%2Fentity%2F243994880","browser")</x:f>
      </x:c>
      <x:c r="L8143" s="0">
        <x:f>hyperlink("https://icat2.azurewebsites.net/icat/?ontology=ICD&amp;tab=ClassesTab&amp;id=http%3A%2F%2Fwho.int%2Ficd%2360_eccaa62c_8889_4dc1_a4d9_71762327d0fc","iCat")</x:f>
      </x:c>
      <x:c r="M8143" s="0" t="s">
        <x:v>21</x:v>
      </x:c>
      <x:c r="N8143" s="0" t="s">
        <x:v>46</x:v>
      </x:c>
    </x:row>
    <x:row r="8144" spans="1:16">
      <x:c r="A8144" s="0" t="s">
        <x:v>32437</x:v>
      </x:c>
      <x:c r="B8144" s="0" t="s">
        <x:v>32438</x:v>
      </x:c>
      <x:c r="C8144" s="0" t="s">
        <x:v>32439</x:v>
      </x:c>
      <x:c r="E8144" s="0" t="s">
        <x:v>32440</x:v>
      </x:c>
      <x:c r="F8144" s="0" t="s">
        <x:v>45</x:v>
      </x:c>
      <x:c r="G8144" s="0" t="s">
        <x:v>19</x:v>
      </x:c>
      <x:c r="H8144" s="0" t="s">
        <x:v>20</x:v>
      </x:c>
      <x:c r="I8144" s="0" t="s">
        <x:v>21</x:v>
      </x:c>
      <x:c r="K8144" s="0">
        <x:f>hyperlink("https://icd.who.int/dev11/l-ichi/en#/http%3A%2F%2Fid.who.int%2Ficd%2Fentity%2F1592838479","browser")</x:f>
      </x:c>
      <x:c r="L8144" s="0">
        <x:f>hyperlink("https://icat2.azurewebsites.net/icat/?ontology=ICD&amp;tab=ClassesTab&amp;id=http%3A%2F%2Fwho.int%2Ficd%2366_eccaa62c_8889_4dc1_a4d9_71762327d0fc","iCat")</x:f>
      </x:c>
      <x:c r="M8144" s="0" t="s">
        <x:v>21</x:v>
      </x:c>
      <x:c r="N8144" s="0" t="s">
        <x:v>46</x:v>
      </x:c>
    </x:row>
    <x:row r="8145" spans="1:16">
      <x:c r="A8145" s="0" t="s">
        <x:v>32441</x:v>
      </x:c>
      <x:c r="B8145" s="0" t="s">
        <x:v>32442</x:v>
      </x:c>
      <x:c r="C8145" s="0" t="s">
        <x:v>32443</x:v>
      </x:c>
      <x:c r="E8145" s="0" t="s">
        <x:v>32444</x:v>
      </x:c>
      <x:c r="F8145" s="0" t="s">
        <x:v>45</x:v>
      </x:c>
      <x:c r="G8145" s="0" t="s">
        <x:v>19</x:v>
      </x:c>
      <x:c r="H8145" s="0" t="s">
        <x:v>20</x:v>
      </x:c>
      <x:c r="I8145" s="0" t="s">
        <x:v>21</x:v>
      </x:c>
      <x:c r="K8145" s="0">
        <x:f>hyperlink("https://icd.who.int/dev11/l-ichi/en#/http%3A%2F%2Fid.who.int%2Ficd%2Fentity%2F411618736","browser")</x:f>
      </x:c>
      <x:c r="L8145" s="0">
        <x:f>hyperlink("https://icat2.azurewebsites.net/icat/?ontology=ICD&amp;tab=ClassesTab&amp;id=http%3A%2F%2Fwho.int%2Ficd%2347244_512ebf36_bf6b_4d70_85da_cf2637062af4","iCat")</x:f>
      </x:c>
      <x:c r="M8145" s="0" t="s">
        <x:v>21</x:v>
      </x:c>
      <x:c r="N8145" s="0" t="s">
        <x:v>46</x:v>
      </x:c>
    </x:row>
    <x:row r="8146" spans="1:16">
      <x:c r="A8146" s="0" t="s">
        <x:v>32445</x:v>
      </x:c>
      <x:c r="B8146" s="0" t="s">
        <x:v>32446</x:v>
      </x:c>
      <x:c r="C8146" s="0" t="s">
        <x:v>32447</x:v>
      </x:c>
      <x:c r="E8146" s="0" t="s">
        <x:v>32448</x:v>
      </x:c>
      <x:c r="F8146" s="0" t="s">
        <x:v>45</x:v>
      </x:c>
      <x:c r="G8146" s="0" t="s">
        <x:v>19</x:v>
      </x:c>
      <x:c r="H8146" s="0" t="s">
        <x:v>20</x:v>
      </x:c>
      <x:c r="I8146" s="0" t="s">
        <x:v>21</x:v>
      </x:c>
      <x:c r="K8146" s="0">
        <x:f>hyperlink("https://icd.who.int/dev11/l-ichi/en#/http%3A%2F%2Fid.who.int%2Ficd%2Fentity%2F20093038","browser")</x:f>
      </x:c>
      <x:c r="L8146" s="0">
        <x:f>hyperlink("https://icat2.azurewebsites.net/icat/?ontology=ICD&amp;tab=ClassesTab&amp;id=http%3A%2F%2Fwho.int%2Ficd%2372_eccaa62c_8889_4dc1_a4d9_71762327d0fc","iCat")</x:f>
      </x:c>
      <x:c r="M8146" s="0" t="s">
        <x:v>21</x:v>
      </x:c>
      <x:c r="N8146" s="0" t="s">
        <x:v>46</x:v>
      </x:c>
    </x:row>
    <x:row r="8147" spans="1:16">
      <x:c r="A8147" s="0" t="s">
        <x:v>32449</x:v>
      </x:c>
      <x:c r="B8147" s="0" t="s">
        <x:v>32450</x:v>
      </x:c>
      <x:c r="C8147" s="0" t="s">
        <x:v>32451</x:v>
      </x:c>
      <x:c r="E8147" s="0" t="s">
        <x:v>32452</x:v>
      </x:c>
      <x:c r="F8147" s="0" t="s">
        <x:v>45</x:v>
      </x:c>
      <x:c r="G8147" s="0" t="s">
        <x:v>19</x:v>
      </x:c>
      <x:c r="H8147" s="0" t="s">
        <x:v>20</x:v>
      </x:c>
      <x:c r="I8147" s="0" t="s">
        <x:v>21</x:v>
      </x:c>
      <x:c r="K8147" s="0">
        <x:f>hyperlink("https://icd.who.int/dev11/l-ichi/en#/http%3A%2F%2Fid.who.int%2Ficd%2Fentity%2F1739845297","browser")</x:f>
      </x:c>
      <x:c r="L8147" s="0">
        <x:f>hyperlink("https://icat2.azurewebsites.net/icat/?ontology=ICD&amp;tab=ClassesTab&amp;id=http%3A%2F%2Fwho.int%2Ficd%2347251_512ebf36_bf6b_4d70_85da_cf2637062af4","iCat")</x:f>
      </x:c>
      <x:c r="M8147" s="0" t="s">
        <x:v>21</x:v>
      </x:c>
      <x:c r="N8147" s="0" t="s">
        <x:v>46</x:v>
      </x:c>
    </x:row>
    <x:row r="8148" spans="1:16">
      <x:c r="A8148" s="0" t="s">
        <x:v>32453</x:v>
      </x:c>
      <x:c r="B8148" s="0" t="s">
        <x:v>32454</x:v>
      </x:c>
      <x:c r="C8148" s="0" t="s">
        <x:v>32455</x:v>
      </x:c>
      <x:c r="E8148" s="0" t="s">
        <x:v>32456</x:v>
      </x:c>
      <x:c r="F8148" s="0" t="s">
        <x:v>45</x:v>
      </x:c>
      <x:c r="G8148" s="0" t="s">
        <x:v>19</x:v>
      </x:c>
      <x:c r="H8148" s="0" t="s">
        <x:v>20</x:v>
      </x:c>
      <x:c r="I8148" s="0" t="s">
        <x:v>21</x:v>
      </x:c>
      <x:c r="K8148" s="0">
        <x:f>hyperlink("https://icd.who.int/dev11/l-ichi/en#/http%3A%2F%2Fid.who.int%2Ficd%2Fentity%2F164359640","browser")</x:f>
      </x:c>
      <x:c r="L8148" s="0">
        <x:f>hyperlink("https://icat2.azurewebsites.net/icat/?ontology=ICD&amp;tab=ClassesTab&amp;id=http%3A%2F%2Fwho.int%2Ficd%2347258_512ebf36_bf6b_4d70_85da_cf2637062af4","iCat")</x:f>
      </x:c>
      <x:c r="M8148" s="0" t="s">
        <x:v>21</x:v>
      </x:c>
      <x:c r="N8148" s="0" t="s">
        <x:v>46</x:v>
      </x:c>
    </x:row>
    <x:row r="8149" spans="1:16">
      <x:c r="A8149" s="0" t="s">
        <x:v>32457</x:v>
      </x:c>
      <x:c r="B8149" s="0" t="s">
        <x:v>32458</x:v>
      </x:c>
      <x:c r="C8149" s="0" t="s">
        <x:v>32459</x:v>
      </x:c>
      <x:c r="E8149" s="0" t="s">
        <x:v>32460</x:v>
      </x:c>
      <x:c r="F8149" s="0" t="s">
        <x:v>45</x:v>
      </x:c>
      <x:c r="G8149" s="0" t="s">
        <x:v>19</x:v>
      </x:c>
      <x:c r="H8149" s="0" t="s">
        <x:v>20</x:v>
      </x:c>
      <x:c r="I8149" s="0" t="s">
        <x:v>21</x:v>
      </x:c>
      <x:c r="K8149" s="0">
        <x:f>hyperlink("https://icd.who.int/dev11/l-ichi/en#/http%3A%2F%2Fid.who.int%2Ficd%2Fentity%2F302344900","browser")</x:f>
      </x:c>
      <x:c r="L8149" s="0">
        <x:f>hyperlink("https://icat2.azurewebsites.net/icat/?ontology=ICD&amp;tab=ClassesTab&amp;id=http%3A%2F%2Fwho.int%2Ficd%2347265_512ebf36_bf6b_4d70_85da_cf2637062af4","iCat")</x:f>
      </x:c>
      <x:c r="M8149" s="0" t="s">
        <x:v>21</x:v>
      </x:c>
      <x:c r="N8149" s="0" t="s">
        <x:v>46</x:v>
      </x:c>
    </x:row>
    <x:row r="8150" spans="1:16">
      <x:c r="A8150" s="0" t="s">
        <x:v>32461</x:v>
      </x:c>
      <x:c r="B8150" s="0" t="s">
        <x:v>32462</x:v>
      </x:c>
      <x:c r="C8150" s="0" t="s">
        <x:v>32463</x:v>
      </x:c>
      <x:c r="E8150" s="0" t="s">
        <x:v>32464</x:v>
      </x:c>
      <x:c r="F8150" s="0" t="s">
        <x:v>45</x:v>
      </x:c>
      <x:c r="G8150" s="0" t="s">
        <x:v>19</x:v>
      </x:c>
      <x:c r="H8150" s="0" t="s">
        <x:v>20</x:v>
      </x:c>
      <x:c r="I8150" s="0" t="s">
        <x:v>21</x:v>
      </x:c>
      <x:c r="K8150" s="0">
        <x:f>hyperlink("https://icd.who.int/dev11/l-ichi/en#/http%3A%2F%2Fid.who.int%2Ficd%2Fentity%2F138564634","browser")</x:f>
      </x:c>
      <x:c r="L8150" s="0">
        <x:f>hyperlink("https://icat2.azurewebsites.net/icat/?ontology=ICD&amp;tab=ClassesTab&amp;id=http%3A%2F%2Fwho.int%2Ficd%2347272_512ebf36_bf6b_4d70_85da_cf2637062af4","iCat")</x:f>
      </x:c>
      <x:c r="M8150" s="0" t="s">
        <x:v>21</x:v>
      </x:c>
      <x:c r="N8150" s="0" t="s">
        <x:v>46</x:v>
      </x:c>
    </x:row>
    <x:row r="8151" spans="1:16">
      <x:c r="A8151" s="0" t="s">
        <x:v>32465</x:v>
      </x:c>
      <x:c r="B8151" s="0" t="s">
        <x:v>32466</x:v>
      </x:c>
      <x:c r="C8151" s="0" t="s">
        <x:v>32467</x:v>
      </x:c>
      <x:c r="E8151" s="0" t="s">
        <x:v>32468</x:v>
      </x:c>
      <x:c r="F8151" s="0" t="s">
        <x:v>45</x:v>
      </x:c>
      <x:c r="G8151" s="0" t="s">
        <x:v>19</x:v>
      </x:c>
      <x:c r="H8151" s="0" t="s">
        <x:v>20</x:v>
      </x:c>
      <x:c r="I8151" s="0" t="s">
        <x:v>21</x:v>
      </x:c>
      <x:c r="K8151" s="0">
        <x:f>hyperlink("https://icd.who.int/dev11/l-ichi/en#/http%3A%2F%2Fid.who.int%2Ficd%2Fentity%2F718271742","browser")</x:f>
      </x:c>
      <x:c r="L8151" s="0">
        <x:f>hyperlink("https://icat2.azurewebsites.net/icat/?ontology=ICD&amp;tab=ClassesTab&amp;id=http%3A%2F%2Fwho.int%2Ficd%2378_eccaa62c_8889_4dc1_a4d9_71762327d0fc","iCat")</x:f>
      </x:c>
      <x:c r="M8151" s="0" t="s">
        <x:v>21</x:v>
      </x:c>
      <x:c r="N8151" s="0" t="s">
        <x:v>46</x:v>
      </x:c>
    </x:row>
    <x:row r="8152" spans="1:16">
      <x:c r="A8152" s="0" t="s">
        <x:v>32469</x:v>
      </x:c>
      <x:c r="B8152" s="0" t="s">
        <x:v>32470</x:v>
      </x:c>
      <x:c r="C8152" s="0" t="s">
        <x:v>32471</x:v>
      </x:c>
      <x:c r="E8152" s="0" t="s">
        <x:v>32472</x:v>
      </x:c>
      <x:c r="F8152" s="0" t="s">
        <x:v>45</x:v>
      </x:c>
      <x:c r="G8152" s="0" t="s">
        <x:v>19</x:v>
      </x:c>
      <x:c r="H8152" s="0" t="s">
        <x:v>20</x:v>
      </x:c>
      <x:c r="I8152" s="0" t="s">
        <x:v>21</x:v>
      </x:c>
      <x:c r="K8152" s="0">
        <x:f>hyperlink("https://icd.who.int/dev11/l-ichi/en#/http%3A%2F%2Fid.who.int%2Ficd%2Fentity%2F2125335299","browser")</x:f>
      </x:c>
      <x:c r="L8152" s="0">
        <x:f>hyperlink("https://icat2.azurewebsites.net/icat/?ontology=ICD&amp;tab=ClassesTab&amp;id=http%3A%2F%2Fwho.int%2Ficd%2384_eccaa62c_8889_4dc1_a4d9_71762327d0fc","iCat")</x:f>
      </x:c>
      <x:c r="M8152" s="0" t="s">
        <x:v>21</x:v>
      </x:c>
      <x:c r="N8152" s="0" t="s">
        <x:v>46</x:v>
      </x:c>
    </x:row>
    <x:row r="8153" spans="1:16">
      <x:c r="A8153" s="0" t="s">
        <x:v>32473</x:v>
      </x:c>
      <x:c r="B8153" s="0" t="s">
        <x:v>32474</x:v>
      </x:c>
      <x:c r="C8153" s="0" t="s">
        <x:v>32475</x:v>
      </x:c>
      <x:c r="E8153" s="0" t="s">
        <x:v>32476</x:v>
      </x:c>
      <x:c r="F8153" s="0" t="s">
        <x:v>45</x:v>
      </x:c>
      <x:c r="G8153" s="0" t="s">
        <x:v>19</x:v>
      </x:c>
      <x:c r="H8153" s="0" t="s">
        <x:v>20</x:v>
      </x:c>
      <x:c r="I8153" s="0" t="s">
        <x:v>21</x:v>
      </x:c>
      <x:c r="K8153" s="0">
        <x:f>hyperlink("https://icd.who.int/dev11/l-ichi/en#/http%3A%2F%2Fid.who.int%2Ficd%2Fentity%2F560749090","browser")</x:f>
      </x:c>
      <x:c r="L8153" s="0">
        <x:f>hyperlink("https://icat2.azurewebsites.net/icat/?ontology=ICD&amp;tab=ClassesTab&amp;id=http%3A%2F%2Fwho.int%2Ficd%2390_eccaa62c_8889_4dc1_a4d9_71762327d0fc","iCat")</x:f>
      </x:c>
      <x:c r="M8153" s="0" t="s">
        <x:v>21</x:v>
      </x:c>
      <x:c r="N8153" s="0" t="s">
        <x:v>46</x:v>
      </x:c>
    </x:row>
    <x:row r="8154" spans="1:16">
      <x:c r="A8154" s="0" t="s">
        <x:v>32477</x:v>
      </x:c>
      <x:c r="B8154" s="0" t="s">
        <x:v>32478</x:v>
      </x:c>
      <x:c r="C8154" s="0" t="s">
        <x:v>32479</x:v>
      </x:c>
      <x:c r="E8154" s="0" t="s">
        <x:v>32480</x:v>
      </x:c>
      <x:c r="F8154" s="0" t="s">
        <x:v>45</x:v>
      </x:c>
      <x:c r="G8154" s="0" t="s">
        <x:v>19</x:v>
      </x:c>
      <x:c r="H8154" s="0" t="s">
        <x:v>20</x:v>
      </x:c>
      <x:c r="I8154" s="0" t="s">
        <x:v>21</x:v>
      </x:c>
      <x:c r="K8154" s="0">
        <x:f>hyperlink("https://icd.who.int/dev11/l-ichi/en#/http%3A%2F%2Fid.who.int%2Ficd%2Fentity%2F1897366417","browser")</x:f>
      </x:c>
      <x:c r="L8154" s="0">
        <x:f>hyperlink("https://icat2.azurewebsites.net/icat/?ontology=ICD&amp;tab=ClassesTab&amp;id=http%3A%2F%2Fwho.int%2Ficd%2396_eccaa62c_8889_4dc1_a4d9_71762327d0fc","iCat")</x:f>
      </x:c>
      <x:c r="M8154" s="0" t="s">
        <x:v>21</x:v>
      </x:c>
      <x:c r="N8154" s="0" t="s">
        <x:v>46</x:v>
      </x:c>
    </x:row>
    <x:row r="8155" spans="1:16">
      <x:c r="A8155" s="0" t="s">
        <x:v>32481</x:v>
      </x:c>
      <x:c r="B8155" s="0" t="s">
        <x:v>32482</x:v>
      </x:c>
      <x:c r="C8155" s="0" t="s">
        <x:v>32483</x:v>
      </x:c>
      <x:c r="E8155" s="0" t="s">
        <x:v>32484</x:v>
      </x:c>
      <x:c r="F8155" s="0" t="s">
        <x:v>45</x:v>
      </x:c>
      <x:c r="G8155" s="0" t="s">
        <x:v>19</x:v>
      </x:c>
      <x:c r="H8155" s="0" t="s">
        <x:v>20</x:v>
      </x:c>
      <x:c r="I8155" s="0" t="s">
        <x:v>21</x:v>
      </x:c>
      <x:c r="K8155" s="0">
        <x:f>hyperlink("https://icd.who.int/dev11/l-ichi/en#/http%3A%2F%2Fid.who.int%2Ficd%2Fentity%2F990855844","browser")</x:f>
      </x:c>
      <x:c r="L8155" s="0">
        <x:f>hyperlink("https://icat2.azurewebsites.net/icat/?ontology=ICD&amp;tab=ClassesTab&amp;id=http%3A%2F%2Fwho.int%2Ficd%23102_eccaa62c_8889_4dc1_a4d9_71762327d0fc","iCat")</x:f>
      </x:c>
      <x:c r="M8155" s="0" t="s">
        <x:v>21</x:v>
      </x:c>
      <x:c r="N8155" s="0" t="s">
        <x:v>46</x:v>
      </x:c>
    </x:row>
    <x:row r="8156" spans="1:16">
      <x:c r="A8156" s="0" t="s">
        <x:v>32485</x:v>
      </x:c>
      <x:c r="B8156" s="0" t="s">
        <x:v>32486</x:v>
      </x:c>
      <x:c r="C8156" s="0" t="s">
        <x:v>32487</x:v>
      </x:c>
      <x:c r="E8156" s="0" t="s">
        <x:v>32488</x:v>
      </x:c>
      <x:c r="F8156" s="0" t="s">
        <x:v>45</x:v>
      </x:c>
      <x:c r="G8156" s="0" t="s">
        <x:v>19</x:v>
      </x:c>
      <x:c r="H8156" s="0" t="s">
        <x:v>20</x:v>
      </x:c>
      <x:c r="I8156" s="0" t="s">
        <x:v>21</x:v>
      </x:c>
      <x:c r="K8156" s="0">
        <x:f>hyperlink("https://icd.who.int/dev11/l-ichi/en#/http%3A%2F%2Fid.who.int%2Ficd%2Fentity%2F1847878044","browser")</x:f>
      </x:c>
      <x:c r="L8156" s="0">
        <x:f>hyperlink("https://icat2.azurewebsites.net/icat/?ontology=ICD&amp;tab=ClassesTab&amp;id=http%3A%2F%2Fwho.int%2Ficd%235568_d85a204c_d00a_4566_a3b7_2d137a1891cf","iCat")</x:f>
      </x:c>
      <x:c r="M8156" s="0" t="s">
        <x:v>21</x:v>
      </x:c>
      <x:c r="N8156" s="0" t="s">
        <x:v>46</x:v>
      </x:c>
    </x:row>
    <x:row r="8157" spans="1:16">
      <x:c r="A8157" s="0" t="s">
        <x:v>32489</x:v>
      </x:c>
      <x:c r="B8157" s="0" t="s">
        <x:v>32490</x:v>
      </x:c>
      <x:c r="C8157" s="0" t="s">
        <x:v>32491</x:v>
      </x:c>
      <x:c r="E8157" s="0" t="s">
        <x:v>32492</x:v>
      </x:c>
      <x:c r="F8157" s="0" t="s">
        <x:v>45</x:v>
      </x:c>
      <x:c r="G8157" s="0" t="s">
        <x:v>19</x:v>
      </x:c>
      <x:c r="H8157" s="0" t="s">
        <x:v>20</x:v>
      </x:c>
      <x:c r="I8157" s="0" t="s">
        <x:v>21</x:v>
      </x:c>
      <x:c r="K8157" s="0">
        <x:f>hyperlink("https://icd.who.int/dev11/l-ichi/en#/http%3A%2F%2Fid.who.int%2Ficd%2Fentity%2F256623556","browser")</x:f>
      </x:c>
      <x:c r="L8157" s="0">
        <x:f>hyperlink("https://icat2.azurewebsites.net/icat/?ontology=ICD&amp;tab=ClassesTab&amp;id=http%3A%2F%2Fwho.int%2Ficd%23814_2458c621_13a9_4018_84d7_a04ee4f7aacc","iCat")</x:f>
      </x:c>
      <x:c r="M8157" s="0" t="s">
        <x:v>21</x:v>
      </x:c>
      <x:c r="N8157" s="0" t="s">
        <x:v>46</x:v>
      </x:c>
    </x:row>
    <x:row r="8158" spans="1:16">
      <x:c r="A8158" s="0" t="s">
        <x:v>32493</x:v>
      </x:c>
      <x:c r="B8158" s="0" t="s">
        <x:v>32494</x:v>
      </x:c>
      <x:c r="C8158" s="0" t="s">
        <x:v>32495</x:v>
      </x:c>
      <x:c r="E8158" s="0" t="s">
        <x:v>32496</x:v>
      </x:c>
      <x:c r="F8158" s="0" t="s">
        <x:v>45</x:v>
      </x:c>
      <x:c r="G8158" s="0" t="s">
        <x:v>19</x:v>
      </x:c>
      <x:c r="H8158" s="0" t="s">
        <x:v>20</x:v>
      </x:c>
      <x:c r="I8158" s="0" t="s">
        <x:v>21</x:v>
      </x:c>
      <x:c r="K8158" s="0">
        <x:f>hyperlink("https://icd.who.int/dev11/l-ichi/en#/http%3A%2F%2Fid.who.int%2Ficd%2Fentity%2F284306996","browser")</x:f>
      </x:c>
      <x:c r="L8158" s="0">
        <x:f>hyperlink("https://icat2.azurewebsites.net/icat/?ontology=ICD&amp;tab=ClassesTab&amp;id=http%3A%2F%2Fwho.int%2Ficd%23108_eccaa62c_8889_4dc1_a4d9_71762327d0fc","iCat")</x:f>
      </x:c>
      <x:c r="M8158" s="0" t="s">
        <x:v>21</x:v>
      </x:c>
      <x:c r="N8158" s="0" t="s">
        <x:v>46</x:v>
      </x:c>
    </x:row>
    <x:row r="8159" spans="1:16">
      <x:c r="A8159" s="0" t="s">
        <x:v>32497</x:v>
      </x:c>
      <x:c r="B8159" s="0" t="s">
        <x:v>32498</x:v>
      </x:c>
      <x:c r="C8159" s="0" t="s">
        <x:v>32499</x:v>
      </x:c>
      <x:c r="E8159" s="0" t="s">
        <x:v>32500</x:v>
      </x:c>
      <x:c r="F8159" s="0" t="s">
        <x:v>45</x:v>
      </x:c>
      <x:c r="G8159" s="0" t="s">
        <x:v>19</x:v>
      </x:c>
      <x:c r="H8159" s="0" t="s">
        <x:v>20</x:v>
      </x:c>
      <x:c r="I8159" s="0" t="s">
        <x:v>21</x:v>
      </x:c>
      <x:c r="K8159" s="0">
        <x:f>hyperlink("https://icd.who.int/dev11/l-ichi/en#/http%3A%2F%2Fid.who.int%2Ficd%2Fentity%2F28380740","browser")</x:f>
      </x:c>
      <x:c r="L8159" s="0">
        <x:f>hyperlink("https://icat2.azurewebsites.net/icat/?ontology=ICD&amp;tab=ClassesTab&amp;id=http%3A%2F%2Fwho.int%2Ficd%23114_eccaa62c_8889_4dc1_a4d9_71762327d0fc","iCat")</x:f>
      </x:c>
      <x:c r="M8159" s="0" t="s">
        <x:v>21</x:v>
      </x:c>
      <x:c r="N8159" s="0" t="s">
        <x:v>46</x:v>
      </x:c>
    </x:row>
    <x:row r="8160" spans="1:16">
      <x:c r="A8160" s="0" t="s">
        <x:v>32501</x:v>
      </x:c>
      <x:c r="B8160" s="0" t="s">
        <x:v>32502</x:v>
      </x:c>
      <x:c r="C8160" s="0" t="s">
        <x:v>32503</x:v>
      </x:c>
      <x:c r="E8160" s="0" t="s">
        <x:v>32504</x:v>
      </x:c>
      <x:c r="F8160" s="0" t="s">
        <x:v>45</x:v>
      </x:c>
      <x:c r="G8160" s="0" t="s">
        <x:v>19</x:v>
      </x:c>
      <x:c r="H8160" s="0" t="s">
        <x:v>20</x:v>
      </x:c>
      <x:c r="I8160" s="0" t="s">
        <x:v>21</x:v>
      </x:c>
      <x:c r="K8160" s="0">
        <x:f>hyperlink("https://icd.who.int/dev11/l-ichi/en#/http%3A%2F%2Fid.who.int%2Ficd%2Fentity%2F1946651191","browser")</x:f>
      </x:c>
      <x:c r="L8160" s="0">
        <x:f>hyperlink("https://icat2.azurewebsites.net/icat/?ontology=ICD&amp;tab=ClassesTab&amp;id=http%3A%2F%2Fwho.int%2Ficd%23120_eccaa62c_8889_4dc1_a4d9_71762327d0fc","iCat")</x:f>
      </x:c>
      <x:c r="M8160" s="0" t="s">
        <x:v>21</x:v>
      </x:c>
      <x:c r="N8160" s="0" t="s">
        <x:v>46</x:v>
      </x:c>
    </x:row>
    <x:row r="8161" spans="1:16">
      <x:c r="A8161" s="0" t="s">
        <x:v>32505</x:v>
      </x:c>
      <x:c r="B8161" s="0" t="s">
        <x:v>32506</x:v>
      </x:c>
      <x:c r="C8161" s="0" t="s">
        <x:v>32507</x:v>
      </x:c>
      <x:c r="E8161" s="0" t="s">
        <x:v>32508</x:v>
      </x:c>
      <x:c r="F8161" s="0" t="s">
        <x:v>45</x:v>
      </x:c>
      <x:c r="G8161" s="0" t="s">
        <x:v>19</x:v>
      </x:c>
      <x:c r="H8161" s="0" t="s">
        <x:v>20</x:v>
      </x:c>
      <x:c r="I8161" s="0" t="s">
        <x:v>21</x:v>
      </x:c>
      <x:c r="K8161" s="0">
        <x:f>hyperlink("https://icd.who.int/dev11/l-ichi/en#/http%3A%2F%2Fid.who.int%2Ficd%2Fentity%2F312662706","browser")</x:f>
      </x:c>
      <x:c r="L8161" s="0">
        <x:f>hyperlink("https://icat2.azurewebsites.net/icat/?ontology=ICD&amp;tab=ClassesTab&amp;id=http%3A%2F%2Fwho.int%2Ficd%2347286_512ebf36_bf6b_4d70_85da_cf2637062af4","iCat")</x:f>
      </x:c>
      <x:c r="M8161" s="0" t="s">
        <x:v>21</x:v>
      </x:c>
      <x:c r="N8161" s="0" t="s">
        <x:v>46</x:v>
      </x:c>
    </x:row>
    <x:row r="8162" spans="1:16">
      <x:c r="A8162" s="0" t="s">
        <x:v>32509</x:v>
      </x:c>
      <x:c r="B8162" s="0" t="s">
        <x:v>32510</x:v>
      </x:c>
      <x:c r="C8162" s="0" t="s">
        <x:v>32511</x:v>
      </x:c>
      <x:c r="E8162" s="0" t="s">
        <x:v>32512</x:v>
      </x:c>
      <x:c r="F8162" s="0" t="s">
        <x:v>45</x:v>
      </x:c>
      <x:c r="G8162" s="0" t="s">
        <x:v>19</x:v>
      </x:c>
      <x:c r="H8162" s="0" t="s">
        <x:v>20</x:v>
      </x:c>
      <x:c r="I8162" s="0" t="s">
        <x:v>21</x:v>
      </x:c>
      <x:c r="K8162" s="0">
        <x:f>hyperlink("https://icd.who.int/dev11/l-ichi/en#/http%3A%2F%2Fid.who.int%2Ficd%2Fentity%2F1838807469","browser")</x:f>
      </x:c>
      <x:c r="L8162" s="0">
        <x:f>hyperlink("https://icat2.azurewebsites.net/icat/?ontology=ICD&amp;tab=ClassesTab&amp;id=http%3A%2F%2Fwho.int%2Ficd%2347293_512ebf36_bf6b_4d70_85da_cf2637062af4","iCat")</x:f>
      </x:c>
      <x:c r="M8162" s="0" t="s">
        <x:v>21</x:v>
      </x:c>
      <x:c r="N8162" s="0" t="s">
        <x:v>46</x:v>
      </x:c>
    </x:row>
    <x:row r="8163" spans="1:16">
      <x:c r="A8163" s="0" t="s">
        <x:v>32513</x:v>
      </x:c>
      <x:c r="B8163" s="0" t="s">
        <x:v>32514</x:v>
      </x:c>
      <x:c r="C8163" s="0" t="s">
        <x:v>32515</x:v>
      </x:c>
      <x:c r="E8163" s="0" t="s">
        <x:v>32516</x:v>
      </x:c>
      <x:c r="F8163" s="0" t="s">
        <x:v>45</x:v>
      </x:c>
      <x:c r="G8163" s="0" t="s">
        <x:v>19</x:v>
      </x:c>
      <x:c r="H8163" s="0" t="s">
        <x:v>20</x:v>
      </x:c>
      <x:c r="I8163" s="0" t="s">
        <x:v>21</x:v>
      </x:c>
      <x:c r="K8163" s="0">
        <x:f>hyperlink("https://icd.who.int/dev11/l-ichi/en#/http%3A%2F%2Fid.who.int%2Ficd%2Fentity%2F678927450","browser")</x:f>
      </x:c>
      <x:c r="L8163" s="0">
        <x:f>hyperlink("https://icat2.azurewebsites.net/icat/?ontology=ICD&amp;tab=ClassesTab&amp;id=http%3A%2F%2Fwho.int%2Ficd%2347300_512ebf36_bf6b_4d70_85da_cf2637062af4","iCat")</x:f>
      </x:c>
      <x:c r="M8163" s="0" t="s">
        <x:v>21</x:v>
      </x:c>
      <x:c r="N8163" s="0" t="s">
        <x:v>46</x:v>
      </x:c>
    </x:row>
    <x:row r="8164" spans="1:16">
      <x:c r="A8164" s="0" t="s">
        <x:v>32517</x:v>
      </x:c>
      <x:c r="B8164" s="0" t="s">
        <x:v>32518</x:v>
      </x:c>
      <x:c r="C8164" s="0" t="s">
        <x:v>32519</x:v>
      </x:c>
      <x:c r="E8164" s="0" t="s">
        <x:v>32520</x:v>
      </x:c>
      <x:c r="F8164" s="0" t="s">
        <x:v>45</x:v>
      </x:c>
      <x:c r="G8164" s="0" t="s">
        <x:v>19</x:v>
      </x:c>
      <x:c r="H8164" s="0" t="s">
        <x:v>20</x:v>
      </x:c>
      <x:c r="I8164" s="0" t="s">
        <x:v>21</x:v>
      </x:c>
      <x:c r="K8164" s="0">
        <x:f>hyperlink("https://icd.who.int/dev11/l-ichi/en#/http%3A%2F%2Fid.who.int%2Ficd%2Fentity%2F1492465623","browser")</x:f>
      </x:c>
      <x:c r="L8164" s="0">
        <x:f>hyperlink("https://icat2.azurewebsites.net/icat/?ontology=ICD&amp;tab=ClassesTab&amp;id=http%3A%2F%2Fwho.int%2Ficd%2347307_512ebf36_bf6b_4d70_85da_cf2637062af4","iCat")</x:f>
      </x:c>
      <x:c r="M8164" s="0" t="s">
        <x:v>21</x:v>
      </x:c>
      <x:c r="N8164" s="0" t="s">
        <x:v>46</x:v>
      </x:c>
    </x:row>
    <x:row r="8165" spans="1:16">
      <x:c r="A8165" s="0" t="s">
        <x:v>32521</x:v>
      </x:c>
      <x:c r="B8165" s="0" t="s">
        <x:v>32522</x:v>
      </x:c>
      <x:c r="C8165" s="0" t="s">
        <x:v>32523</x:v>
      </x:c>
      <x:c r="E8165" s="0" t="s">
        <x:v>32524</x:v>
      </x:c>
      <x:c r="F8165" s="0" t="s">
        <x:v>45</x:v>
      </x:c>
      <x:c r="G8165" s="0" t="s">
        <x:v>19</x:v>
      </x:c>
      <x:c r="H8165" s="0" t="s">
        <x:v>20</x:v>
      </x:c>
      <x:c r="I8165" s="0" t="s">
        <x:v>21</x:v>
      </x:c>
      <x:c r="K8165" s="0">
        <x:f>hyperlink("https://icd.who.int/dev11/l-ichi/en#/http%3A%2F%2Fid.who.int%2Ficd%2Fentity%2F612127624","browser")</x:f>
      </x:c>
      <x:c r="L8165" s="0">
        <x:f>hyperlink("https://icat2.azurewebsites.net/icat/?ontology=ICD&amp;tab=ClassesTab&amp;id=http%3A%2F%2Fwho.int%2Ficd%23126_eccaa62c_8889_4dc1_a4d9_71762327d0fc","iCat")</x:f>
      </x:c>
      <x:c r="M8165" s="0" t="s">
        <x:v>21</x:v>
      </x:c>
      <x:c r="N8165" s="0" t="s">
        <x:v>46</x:v>
      </x:c>
    </x:row>
    <x:row r="8166" spans="1:16">
      <x:c r="A8166" s="0" t="s">
        <x:v>32525</x:v>
      </x:c>
      <x:c r="B8166" s="0" t="s">
        <x:v>32526</x:v>
      </x:c>
      <x:c r="C8166" s="0" t="s">
        <x:v>32527</x:v>
      </x:c>
      <x:c r="E8166" s="0" t="s">
        <x:v>32528</x:v>
      </x:c>
      <x:c r="F8166" s="0" t="s">
        <x:v>45</x:v>
      </x:c>
      <x:c r="G8166" s="0" t="s">
        <x:v>19</x:v>
      </x:c>
      <x:c r="H8166" s="0" t="s">
        <x:v>20</x:v>
      </x:c>
      <x:c r="I8166" s="0" t="s">
        <x:v>21</x:v>
      </x:c>
      <x:c r="K8166" s="0">
        <x:f>hyperlink("https://icd.who.int/dev11/l-ichi/en#/http%3A%2F%2Fid.who.int%2Ficd%2Fentity%2F1464647493","browser")</x:f>
      </x:c>
      <x:c r="L8166" s="0">
        <x:f>hyperlink("https://icat2.azurewebsites.net/icat/?ontology=ICD&amp;tab=ClassesTab&amp;id=http%3A%2F%2Fwho.int%2Ficd%2347315_512ebf36_bf6b_4d70_85da_cf2637062af4","iCat")</x:f>
      </x:c>
      <x:c r="M8166" s="0" t="s">
        <x:v>21</x:v>
      </x:c>
      <x:c r="N8166" s="0" t="s">
        <x:v>46</x:v>
      </x:c>
    </x:row>
    <x:row r="8167" spans="1:16">
      <x:c r="A8167" s="0" t="s">
        <x:v>32529</x:v>
      </x:c>
      <x:c r="B8167" s="0" t="s">
        <x:v>32530</x:v>
      </x:c>
      <x:c r="C8167" s="0" t="s">
        <x:v>32531</x:v>
      </x:c>
      <x:c r="E8167" s="0" t="s">
        <x:v>32532</x:v>
      </x:c>
      <x:c r="F8167" s="0" t="s">
        <x:v>45</x:v>
      </x:c>
      <x:c r="G8167" s="0" t="s">
        <x:v>19</x:v>
      </x:c>
      <x:c r="H8167" s="0" t="s">
        <x:v>20</x:v>
      </x:c>
      <x:c r="I8167" s="0" t="s">
        <x:v>21</x:v>
      </x:c>
      <x:c r="K8167" s="0">
        <x:f>hyperlink("https://icd.who.int/dev11/l-ichi/en#/http%3A%2F%2Fid.who.int%2Ficd%2Fentity%2F1820019299","browser")</x:f>
      </x:c>
      <x:c r="L8167" s="0">
        <x:f>hyperlink("https://icat2.azurewebsites.net/icat/?ontology=ICD&amp;tab=ClassesTab&amp;id=http%3A%2F%2Fwho.int%2Ficd%2347329_512ebf36_bf6b_4d70_85da_cf2637062af4","iCat")</x:f>
      </x:c>
      <x:c r="M8167" s="0" t="s">
        <x:v>21</x:v>
      </x:c>
      <x:c r="N8167" s="0" t="s">
        <x:v>46</x:v>
      </x:c>
    </x:row>
    <x:row r="8168" spans="1:16">
      <x:c r="A8168" s="0" t="s">
        <x:v>32533</x:v>
      </x:c>
      <x:c r="B8168" s="0" t="s">
        <x:v>32534</x:v>
      </x:c>
      <x:c r="C8168" s="0" t="s">
        <x:v>32535</x:v>
      </x:c>
      <x:c r="E8168" s="0" t="s">
        <x:v>32536</x:v>
      </x:c>
      <x:c r="F8168" s="0" t="s">
        <x:v>45</x:v>
      </x:c>
      <x:c r="G8168" s="0" t="s">
        <x:v>19</x:v>
      </x:c>
      <x:c r="H8168" s="0" t="s">
        <x:v>20</x:v>
      </x:c>
      <x:c r="I8168" s="0" t="s">
        <x:v>21</x:v>
      </x:c>
      <x:c r="K8168" s="0">
        <x:f>hyperlink("https://icd.who.int/dev11/l-ichi/en#/http%3A%2F%2Fid.who.int%2Ficd%2Fentity%2F2076050085","browser")</x:f>
      </x:c>
      <x:c r="L8168" s="0">
        <x:f>hyperlink("https://icat2.azurewebsites.net/icat/?ontology=ICD&amp;tab=ClassesTab&amp;id=http%3A%2F%2Fwho.int%2Ficd%23132_eccaa62c_8889_4dc1_a4d9_71762327d0fc","iCat")</x:f>
      </x:c>
      <x:c r="M8168" s="0" t="s">
        <x:v>21</x:v>
      </x:c>
      <x:c r="N8168" s="0" t="s">
        <x:v>46</x:v>
      </x:c>
    </x:row>
    <x:row r="8169" spans="1:16">
      <x:c r="A8169" s="0" t="s">
        <x:v>32537</x:v>
      </x:c>
      <x:c r="B8169" s="0" t="s">
        <x:v>32538</x:v>
      </x:c>
      <x:c r="C8169" s="0" t="s">
        <x:v>32539</x:v>
      </x:c>
      <x:c r="E8169" s="0" t="s">
        <x:v>32540</x:v>
      </x:c>
      <x:c r="F8169" s="0" t="s">
        <x:v>45</x:v>
      </x:c>
      <x:c r="G8169" s="0" t="s">
        <x:v>19</x:v>
      </x:c>
      <x:c r="H8169" s="0" t="s">
        <x:v>20</x:v>
      </x:c>
      <x:c r="I8169" s="0" t="s">
        <x:v>21</x:v>
      </x:c>
      <x:c r="K8169" s="0">
        <x:f>hyperlink("https://icd.who.int/dev11/l-ichi/en#/http%3A%2F%2Fid.who.int%2Ficd%2Fentity%2F951911916","browser")</x:f>
      </x:c>
      <x:c r="L8169" s="0">
        <x:f>hyperlink("https://icat2.azurewebsites.net/icat/?ontology=ICD&amp;tab=ClassesTab&amp;id=http%3A%2F%2Fwho.int%2Ficd%2347336_512ebf36_bf6b_4d70_85da_cf2637062af4","iCat")</x:f>
      </x:c>
      <x:c r="M8169" s="0" t="s">
        <x:v>21</x:v>
      </x:c>
      <x:c r="N8169" s="0" t="s">
        <x:v>46</x:v>
      </x:c>
    </x:row>
    <x:row r="8170" spans="1:16">
      <x:c r="A8170" s="0" t="s">
        <x:v>32541</x:v>
      </x:c>
      <x:c r="B8170" s="0" t="s">
        <x:v>32542</x:v>
      </x:c>
      <x:c r="C8170" s="0" t="s">
        <x:v>32543</x:v>
      </x:c>
      <x:c r="E8170" s="0" t="s">
        <x:v>32544</x:v>
      </x:c>
      <x:c r="F8170" s="0" t="s">
        <x:v>45</x:v>
      </x:c>
      <x:c r="G8170" s="0" t="s">
        <x:v>19</x:v>
      </x:c>
      <x:c r="H8170" s="0" t="s">
        <x:v>20</x:v>
      </x:c>
      <x:c r="I8170" s="0" t="s">
        <x:v>21</x:v>
      </x:c>
      <x:c r="K8170" s="0">
        <x:f>hyperlink("https://icd.who.int/dev11/l-ichi/en#/http%3A%2F%2Fid.who.int%2Ficd%2Fentity%2F1540968251","browser")</x:f>
      </x:c>
      <x:c r="L8170" s="0">
        <x:f>hyperlink("https://icat2.azurewebsites.net/icat/?ontology=ICD&amp;tab=ClassesTab&amp;id=http%3A%2F%2Fwho.int%2Ficd%23228_eccaa62c_8889_4dc1_a4d9_71762327d0fc","iCat")</x:f>
      </x:c>
      <x:c r="M8170" s="0" t="s">
        <x:v>21</x:v>
      </x:c>
      <x:c r="N8170" s="0" t="s">
        <x:v>46</x:v>
      </x:c>
    </x:row>
    <x:row r="8171" spans="1:16">
      <x:c r="A8171" s="0" t="s">
        <x:v>32545</x:v>
      </x:c>
      <x:c r="B8171" s="0" t="s">
        <x:v>32546</x:v>
      </x:c>
      <x:c r="C8171" s="0" t="s">
        <x:v>32547</x:v>
      </x:c>
      <x:c r="E8171" s="0" t="s">
        <x:v>32548</x:v>
      </x:c>
      <x:c r="F8171" s="0" t="s">
        <x:v>45</x:v>
      </x:c>
      <x:c r="G8171" s="0" t="s">
        <x:v>19</x:v>
      </x:c>
      <x:c r="H8171" s="0" t="s">
        <x:v>20</x:v>
      </x:c>
      <x:c r="I8171" s="0" t="s">
        <x:v>21</x:v>
      </x:c>
      <x:c r="K8171" s="0">
        <x:f>hyperlink("https://icd.who.int/dev11/l-ichi/en#/http%3A%2F%2Fid.who.int%2Ficd%2Fentity%2F1346596405","browser")</x:f>
      </x:c>
      <x:c r="L8171" s="0">
        <x:f>hyperlink("https://icat2.azurewebsites.net/icat/?ontology=ICD&amp;tab=ClassesTab&amp;id=http%3A%2F%2Fwho.int%2Ficd%23138_eccaa62c_8889_4dc1_a4d9_71762327d0fc","iCat")</x:f>
      </x:c>
      <x:c r="M8171" s="0" t="s">
        <x:v>21</x:v>
      </x:c>
      <x:c r="N8171" s="0" t="s">
        <x:v>46</x:v>
      </x:c>
    </x:row>
    <x:row r="8172" spans="1:16">
      <x:c r="A8172" s="0" t="s">
        <x:v>32549</x:v>
      </x:c>
      <x:c r="B8172" s="0" t="s">
        <x:v>32550</x:v>
      </x:c>
      <x:c r="C8172" s="0" t="s">
        <x:v>32551</x:v>
      </x:c>
      <x:c r="E8172" s="0" t="s">
        <x:v>32552</x:v>
      </x:c>
      <x:c r="F8172" s="0" t="s">
        <x:v>45</x:v>
      </x:c>
      <x:c r="G8172" s="0" t="s">
        <x:v>19</x:v>
      </x:c>
      <x:c r="H8172" s="0" t="s">
        <x:v>20</x:v>
      </x:c>
      <x:c r="I8172" s="0" t="s">
        <x:v>21</x:v>
      </x:c>
      <x:c r="K8172" s="0">
        <x:f>hyperlink("https://icd.who.int/dev11/l-ichi/en#/http%3A%2F%2Fid.who.int%2Ficd%2Fentity%2F496345280","browser")</x:f>
      </x:c>
      <x:c r="L8172" s="0">
        <x:f>hyperlink("https://icat2.azurewebsites.net/icat/?ontology=ICD&amp;tab=ClassesTab&amp;id=http%3A%2F%2Fwho.int%2Ficd%2347343_512ebf36_bf6b_4d70_85da_cf2637062af4","iCat")</x:f>
      </x:c>
      <x:c r="M8172" s="0" t="s">
        <x:v>21</x:v>
      </x:c>
      <x:c r="N8172" s="0" t="s">
        <x:v>46</x:v>
      </x:c>
    </x:row>
    <x:row r="8173" spans="1:16">
      <x:c r="A8173" s="0" t="s">
        <x:v>32553</x:v>
      </x:c>
      <x:c r="B8173" s="0" t="s">
        <x:v>32554</x:v>
      </x:c>
      <x:c r="C8173" s="0" t="s">
        <x:v>32555</x:v>
      </x:c>
      <x:c r="E8173" s="0" t="s">
        <x:v>32556</x:v>
      </x:c>
      <x:c r="F8173" s="0" t="s">
        <x:v>45</x:v>
      </x:c>
      <x:c r="G8173" s="0" t="s">
        <x:v>19</x:v>
      </x:c>
      <x:c r="H8173" s="0" t="s">
        <x:v>20</x:v>
      </x:c>
      <x:c r="I8173" s="0" t="s">
        <x:v>21</x:v>
      </x:c>
      <x:c r="K8173" s="0">
        <x:f>hyperlink("https://icd.who.int/dev11/l-ichi/en#/http%3A%2F%2Fid.who.int%2Ficd%2Fentity%2F454281230","browser")</x:f>
      </x:c>
      <x:c r="L8173" s="0">
        <x:f>hyperlink("https://icat2.azurewebsites.net/icat/?ontology=ICD&amp;tab=ClassesTab&amp;id=http%3A%2F%2Fwho.int%2Ficd%23144_eccaa62c_8889_4dc1_a4d9_71762327d0fc","iCat")</x:f>
      </x:c>
      <x:c r="M8173" s="0" t="s">
        <x:v>21</x:v>
      </x:c>
      <x:c r="N8173" s="0" t="s">
        <x:v>46</x:v>
      </x:c>
    </x:row>
    <x:row r="8174" spans="1:16">
      <x:c r="A8174" s="0" t="s">
        <x:v>32557</x:v>
      </x:c>
      <x:c r="B8174" s="0" t="s">
        <x:v>32558</x:v>
      </x:c>
      <x:c r="C8174" s="0" t="s">
        <x:v>32559</x:v>
      </x:c>
      <x:c r="E8174" s="0" t="s">
        <x:v>32560</x:v>
      </x:c>
      <x:c r="F8174" s="0" t="s">
        <x:v>45</x:v>
      </x:c>
      <x:c r="G8174" s="0" t="s">
        <x:v>19</x:v>
      </x:c>
      <x:c r="H8174" s="0" t="s">
        <x:v>20</x:v>
      </x:c>
      <x:c r="I8174" s="0" t="s">
        <x:v>21</x:v>
      </x:c>
      <x:c r="K8174" s="0">
        <x:f>hyperlink("https://icd.who.int/dev11/l-ichi/en#/http%3A%2F%2Fid.who.int%2Ficd%2Fentity%2F1154586925","browser")</x:f>
      </x:c>
      <x:c r="L8174" s="0">
        <x:f>hyperlink("https://icat2.azurewebsites.net/icat/?ontology=ICD&amp;tab=ClassesTab&amp;id=http%3A%2F%2Fwho.int%2Ficd%23150_eccaa62c_8889_4dc1_a4d9_71762327d0fc","iCat")</x:f>
      </x:c>
      <x:c r="M8174" s="0" t="s">
        <x:v>21</x:v>
      </x:c>
      <x:c r="N8174" s="0" t="s">
        <x:v>46</x:v>
      </x:c>
    </x:row>
    <x:row r="8175" spans="1:16">
      <x:c r="A8175" s="0" t="s">
        <x:v>32561</x:v>
      </x:c>
      <x:c r="B8175" s="0" t="s">
        <x:v>32562</x:v>
      </x:c>
      <x:c r="C8175" s="0" t="s">
        <x:v>32563</x:v>
      </x:c>
      <x:c r="E8175" s="0" t="s">
        <x:v>32564</x:v>
      </x:c>
      <x:c r="F8175" s="0" t="s">
        <x:v>45</x:v>
      </x:c>
      <x:c r="G8175" s="0" t="s">
        <x:v>19</x:v>
      </x:c>
      <x:c r="H8175" s="0" t="s">
        <x:v>20</x:v>
      </x:c>
      <x:c r="I8175" s="0" t="s">
        <x:v>21</x:v>
      </x:c>
      <x:c r="K8175" s="0">
        <x:f>hyperlink("https://icd.who.int/dev11/l-ichi/en#/http%3A%2F%2Fid.who.int%2Ficd%2Fentity%2F346701980","browser")</x:f>
      </x:c>
      <x:c r="L8175" s="0">
        <x:f>hyperlink("https://icat2.azurewebsites.net/icat/?ontology=ICD&amp;tab=ClassesTab&amp;id=http%3A%2F%2Fwho.int%2Ficd%23156_eccaa62c_8889_4dc1_a4d9_71762327d0fc","iCat")</x:f>
      </x:c>
      <x:c r="M8175" s="0" t="s">
        <x:v>21</x:v>
      </x:c>
      <x:c r="N8175" s="0" t="s">
        <x:v>46</x:v>
      </x:c>
    </x:row>
    <x:row r="8176" spans="1:16">
      <x:c r="A8176" s="0" t="s">
        <x:v>32565</x:v>
      </x:c>
      <x:c r="B8176" s="0" t="s">
        <x:v>32566</x:v>
      </x:c>
      <x:c r="C8176" s="0" t="s">
        <x:v>32567</x:v>
      </x:c>
      <x:c r="E8176" s="0" t="s">
        <x:v>32568</x:v>
      </x:c>
      <x:c r="F8176" s="0" t="s">
        <x:v>45</x:v>
      </x:c>
      <x:c r="G8176" s="0" t="s">
        <x:v>19</x:v>
      </x:c>
      <x:c r="H8176" s="0" t="s">
        <x:v>20</x:v>
      </x:c>
      <x:c r="I8176" s="0" t="s">
        <x:v>21</x:v>
      </x:c>
      <x:c r="K8176" s="0">
        <x:f>hyperlink("https://icd.who.int/dev11/l-ichi/en#/http%3A%2F%2Fid.who.int%2Ficd%2Fentity%2F304883758","browser")</x:f>
      </x:c>
      <x:c r="L8176" s="0">
        <x:f>hyperlink("https://icat2.azurewebsites.net/icat/?ontology=ICD&amp;tab=ClassesTab&amp;id=http%3A%2F%2Fwho.int%2Ficd%2347351_512ebf36_bf6b_4d70_85da_cf2637062af4","iCat")</x:f>
      </x:c>
      <x:c r="M8176" s="0" t="s">
        <x:v>21</x:v>
      </x:c>
      <x:c r="N8176" s="0" t="s">
        <x:v>46</x:v>
      </x:c>
    </x:row>
    <x:row r="8177" spans="1:16">
      <x:c r="A8177" s="0" t="s">
        <x:v>32569</x:v>
      </x:c>
      <x:c r="B8177" s="0" t="s">
        <x:v>32570</x:v>
      </x:c>
      <x:c r="C8177" s="0" t="s">
        <x:v>32571</x:v>
      </x:c>
      <x:c r="E8177" s="0" t="s">
        <x:v>32572</x:v>
      </x:c>
      <x:c r="F8177" s="0" t="s">
        <x:v>45</x:v>
      </x:c>
      <x:c r="G8177" s="0" t="s">
        <x:v>19</x:v>
      </x:c>
      <x:c r="H8177" s="0" t="s">
        <x:v>20</x:v>
      </x:c>
      <x:c r="I8177" s="0" t="s">
        <x:v>21</x:v>
      </x:c>
      <x:c r="K8177" s="0">
        <x:f>hyperlink("https://icd.who.int/dev11/l-ichi/en#/http%3A%2F%2Fid.who.int%2Ficd%2Fentity%2F2085890885","browser")</x:f>
      </x:c>
      <x:c r="L8177" s="0">
        <x:f>hyperlink("https://icat2.azurewebsites.net/icat/?ontology=ICD&amp;tab=ClassesTab&amp;id=http%3A%2F%2Fwho.int%2Ficd%2347358_512ebf36_bf6b_4d70_85da_cf2637062af4","iCat")</x:f>
      </x:c>
      <x:c r="M8177" s="0" t="s">
        <x:v>21</x:v>
      </x:c>
      <x:c r="N8177" s="0" t="s">
        <x:v>46</x:v>
      </x:c>
    </x:row>
    <x:row r="8178" spans="1:16">
      <x:c r="A8178" s="0" t="s">
        <x:v>32573</x:v>
      </x:c>
      <x:c r="B8178" s="0" t="s">
        <x:v>32574</x:v>
      </x:c>
      <x:c r="C8178" s="0" t="s">
        <x:v>32575</x:v>
      </x:c>
      <x:c r="E8178" s="0" t="s">
        <x:v>32576</x:v>
      </x:c>
      <x:c r="F8178" s="0" t="s">
        <x:v>45</x:v>
      </x:c>
      <x:c r="G8178" s="0" t="s">
        <x:v>19</x:v>
      </x:c>
      <x:c r="H8178" s="0" t="s">
        <x:v>20</x:v>
      </x:c>
      <x:c r="I8178" s="0" t="s">
        <x:v>21</x:v>
      </x:c>
      <x:c r="K8178" s="0">
        <x:f>hyperlink("https://icd.who.int/dev11/l-ichi/en#/http%3A%2F%2Fid.who.int%2Ficd%2Fentity%2F1738189919","browser")</x:f>
      </x:c>
      <x:c r="L8178" s="0">
        <x:f>hyperlink("https://icat2.azurewebsites.net/icat/?ontology=ICD&amp;tab=ClassesTab&amp;id=http%3A%2F%2Fwho.int%2Ficd%2347365_512ebf36_bf6b_4d70_85da_cf2637062af4","iCat")</x:f>
      </x:c>
      <x:c r="M8178" s="0" t="s">
        <x:v>21</x:v>
      </x:c>
      <x:c r="N8178" s="0" t="s">
        <x:v>46</x:v>
      </x:c>
    </x:row>
    <x:row r="8179" spans="1:16">
      <x:c r="A8179" s="0" t="s">
        <x:v>32577</x:v>
      </x:c>
      <x:c r="B8179" s="0" t="s">
        <x:v>32578</x:v>
      </x:c>
      <x:c r="C8179" s="0" t="s">
        <x:v>32579</x:v>
      </x:c>
      <x:c r="E8179" s="0" t="s">
        <x:v>32580</x:v>
      </x:c>
      <x:c r="F8179" s="0" t="s">
        <x:v>45</x:v>
      </x:c>
      <x:c r="G8179" s="0" t="s">
        <x:v>19</x:v>
      </x:c>
      <x:c r="H8179" s="0" t="s">
        <x:v>20</x:v>
      </x:c>
      <x:c r="I8179" s="0" t="s">
        <x:v>21</x:v>
      </x:c>
      <x:c r="K8179" s="0">
        <x:f>hyperlink("https://icd.who.int/dev11/l-ichi/en#/http%3A%2F%2Fid.who.int%2Ficd%2Fentity%2F2111672965","browser")</x:f>
      </x:c>
      <x:c r="L8179" s="0">
        <x:f>hyperlink("https://icat2.azurewebsites.net/icat/?ontology=ICD&amp;tab=ClassesTab&amp;id=http%3A%2F%2Fwho.int%2Ficd%2347372_512ebf36_bf6b_4d70_85da_cf2637062af4","iCat")</x:f>
      </x:c>
      <x:c r="M8179" s="0" t="s">
        <x:v>21</x:v>
      </x:c>
      <x:c r="N8179" s="0" t="s">
        <x:v>46</x:v>
      </x:c>
    </x:row>
    <x:row r="8180" spans="1:16">
      <x:c r="A8180" s="0" t="s">
        <x:v>32581</x:v>
      </x:c>
      <x:c r="B8180" s="0" t="s">
        <x:v>32582</x:v>
      </x:c>
      <x:c r="C8180" s="0" t="s">
        <x:v>32583</x:v>
      </x:c>
      <x:c r="E8180" s="0" t="s">
        <x:v>32584</x:v>
      </x:c>
      <x:c r="F8180" s="0" t="s">
        <x:v>45</x:v>
      </x:c>
      <x:c r="G8180" s="0" t="s">
        <x:v>19</x:v>
      </x:c>
      <x:c r="H8180" s="0" t="s">
        <x:v>20</x:v>
      </x:c>
      <x:c r="I8180" s="0" t="s">
        <x:v>21</x:v>
      </x:c>
      <x:c r="K8180" s="0">
        <x:f>hyperlink("https://icd.who.int/dev11/l-ichi/en#/http%3A%2F%2Fid.who.int%2Ficd%2Fentity%2F1993968681","browser")</x:f>
      </x:c>
      <x:c r="L8180" s="0">
        <x:f>hyperlink("https://icat2.azurewebsites.net/icat/?ontology=ICD&amp;tab=ClassesTab&amp;id=http%3A%2F%2Fwho.int%2Ficd%2347379_512ebf36_bf6b_4d70_85da_cf2637062af4","iCat")</x:f>
      </x:c>
      <x:c r="M8180" s="0" t="s">
        <x:v>21</x:v>
      </x:c>
      <x:c r="N8180" s="0" t="s">
        <x:v>46</x:v>
      </x:c>
    </x:row>
    <x:row r="8181" spans="1:16">
      <x:c r="A8181" s="0" t="s">
        <x:v>32585</x:v>
      </x:c>
      <x:c r="B8181" s="0" t="s">
        <x:v>32586</x:v>
      </x:c>
      <x:c r="C8181" s="0" t="s">
        <x:v>32587</x:v>
      </x:c>
      <x:c r="E8181" s="0" t="s">
        <x:v>32588</x:v>
      </x:c>
      <x:c r="F8181" s="0" t="s">
        <x:v>45</x:v>
      </x:c>
      <x:c r="G8181" s="0" t="s">
        <x:v>19</x:v>
      </x:c>
      <x:c r="H8181" s="0" t="s">
        <x:v>20</x:v>
      </x:c>
      <x:c r="I8181" s="0" t="s">
        <x:v>21</x:v>
      </x:c>
      <x:c r="K8181" s="0">
        <x:f>hyperlink("https://icd.who.int/dev11/l-ichi/en#/http%3A%2F%2Fid.who.int%2Ficd%2Fentity%2F1732058159","browser")</x:f>
      </x:c>
      <x:c r="L8181" s="0">
        <x:f>hyperlink("https://icat2.azurewebsites.net/icat/?ontology=ICD&amp;tab=ClassesTab&amp;id=http%3A%2F%2Fwho.int%2Ficd%2347386_512ebf36_bf6b_4d70_85da_cf2637062af4","iCat")</x:f>
      </x:c>
      <x:c r="M8181" s="0" t="s">
        <x:v>21</x:v>
      </x:c>
      <x:c r="N8181" s="0" t="s">
        <x:v>46</x:v>
      </x:c>
    </x:row>
    <x:row r="8182" spans="1:16">
      <x:c r="A8182" s="0" t="s">
        <x:v>32589</x:v>
      </x:c>
      <x:c r="B8182" s="0" t="s">
        <x:v>32590</x:v>
      </x:c>
      <x:c r="C8182" s="0" t="s">
        <x:v>32591</x:v>
      </x:c>
      <x:c r="E8182" s="0" t="s">
        <x:v>32592</x:v>
      </x:c>
      <x:c r="F8182" s="0" t="s">
        <x:v>45</x:v>
      </x:c>
      <x:c r="G8182" s="0" t="s">
        <x:v>19</x:v>
      </x:c>
      <x:c r="H8182" s="0" t="s">
        <x:v>20</x:v>
      </x:c>
      <x:c r="I8182" s="0" t="s">
        <x:v>21</x:v>
      </x:c>
      <x:c r="K8182" s="0">
        <x:f>hyperlink("https://icd.who.int/dev11/l-ichi/en#/http%3A%2F%2Fid.who.int%2Ficd%2Fentity%2F1629275375","browser")</x:f>
      </x:c>
      <x:c r="L8182" s="0">
        <x:f>hyperlink("https://icat2.azurewebsites.net/icat/?ontology=ICD&amp;tab=ClassesTab&amp;id=http%3A%2F%2Fwho.int%2Ficd%23162_eccaa62c_8889_4dc1_a4d9_71762327d0fc","iCat")</x:f>
      </x:c>
      <x:c r="M8182" s="0" t="s">
        <x:v>21</x:v>
      </x:c>
      <x:c r="N8182" s="0" t="s">
        <x:v>46</x:v>
      </x:c>
    </x:row>
    <x:row r="8183" spans="1:16">
      <x:c r="A8183" s="0" t="s">
        <x:v>32593</x:v>
      </x:c>
      <x:c r="B8183" s="0" t="s">
        <x:v>32594</x:v>
      </x:c>
      <x:c r="C8183" s="0" t="s">
        <x:v>32595</x:v>
      </x:c>
      <x:c r="E8183" s="0" t="s">
        <x:v>32596</x:v>
      </x:c>
      <x:c r="F8183" s="0" t="s">
        <x:v>45</x:v>
      </x:c>
      <x:c r="G8183" s="0" t="s">
        <x:v>19</x:v>
      </x:c>
      <x:c r="H8183" s="0" t="s">
        <x:v>20</x:v>
      </x:c>
      <x:c r="I8183" s="0" t="s">
        <x:v>21</x:v>
      </x:c>
      <x:c r="K8183" s="0">
        <x:f>hyperlink("https://icd.who.int/dev11/l-ichi/en#/http%3A%2F%2Fid.who.int%2Ficd%2Fentity%2F403062576","browser")</x:f>
      </x:c>
      <x:c r="L8183" s="0">
        <x:f>hyperlink("https://icat2.azurewebsites.net/icat/?ontology=ICD&amp;tab=ClassesTab&amp;id=http%3A%2F%2Fwho.int%2Ficd%2347393_512ebf36_bf6b_4d70_85da_cf2637062af4","iCat")</x:f>
      </x:c>
      <x:c r="M8183" s="0" t="s">
        <x:v>21</x:v>
      </x:c>
      <x:c r="N8183" s="0" t="s">
        <x:v>46</x:v>
      </x:c>
    </x:row>
    <x:row r="8184" spans="1:16">
      <x:c r="A8184" s="0" t="s">
        <x:v>32597</x:v>
      </x:c>
      <x:c r="B8184" s="0" t="s">
        <x:v>32598</x:v>
      </x:c>
      <x:c r="C8184" s="0" t="s">
        <x:v>32599</x:v>
      </x:c>
      <x:c r="E8184" s="0" t="s">
        <x:v>32600</x:v>
      </x:c>
      <x:c r="F8184" s="0" t="s">
        <x:v>45</x:v>
      </x:c>
      <x:c r="G8184" s="0" t="s">
        <x:v>19</x:v>
      </x:c>
      <x:c r="H8184" s="0" t="s">
        <x:v>20</x:v>
      </x:c>
      <x:c r="I8184" s="0" t="s">
        <x:v>21</x:v>
      </x:c>
      <x:c r="K8184" s="0">
        <x:f>hyperlink("https://icd.who.int/dev11/l-ichi/en#/http%3A%2F%2Fid.who.int%2Ficd%2Fentity%2F1692354058","browser")</x:f>
      </x:c>
      <x:c r="L8184" s="0">
        <x:f>hyperlink("https://icat2.azurewebsites.net/icat/?ontology=ICD&amp;tab=ClassesTab&amp;id=http%3A%2F%2Fwho.int%2Ficd%2347401_512ebf36_bf6b_4d70_85da_cf2637062af4","iCat")</x:f>
      </x:c>
      <x:c r="M8184" s="0" t="s">
        <x:v>21</x:v>
      </x:c>
      <x:c r="N8184" s="0" t="s">
        <x:v>46</x:v>
      </x:c>
    </x:row>
    <x:row r="8185" spans="1:16">
      <x:c r="A8185" s="0" t="s">
        <x:v>32601</x:v>
      </x:c>
      <x:c r="B8185" s="0" t="s">
        <x:v>32602</x:v>
      </x:c>
      <x:c r="C8185" s="0" t="s">
        <x:v>32603</x:v>
      </x:c>
      <x:c r="E8185" s="0" t="s">
        <x:v>32604</x:v>
      </x:c>
      <x:c r="F8185" s="0" t="s">
        <x:v>45</x:v>
      </x:c>
      <x:c r="G8185" s="0" t="s">
        <x:v>19</x:v>
      </x:c>
      <x:c r="H8185" s="0" t="s">
        <x:v>20</x:v>
      </x:c>
      <x:c r="I8185" s="0" t="s">
        <x:v>21</x:v>
      </x:c>
      <x:c r="K8185" s="0">
        <x:f>hyperlink("https://icd.who.int/dev11/l-ichi/en#/http%3A%2F%2Fid.who.int%2Ficd%2Fentity%2F1256302719","browser")</x:f>
      </x:c>
      <x:c r="L8185" s="0">
        <x:f>hyperlink("https://icat2.azurewebsites.net/icat/?ontology=ICD&amp;tab=ClassesTab&amp;id=http%3A%2F%2Fwho.int%2Ficd%23168_eccaa62c_8889_4dc1_a4d9_71762327d0fc","iCat")</x:f>
      </x:c>
      <x:c r="M8185" s="0" t="s">
        <x:v>21</x:v>
      </x:c>
      <x:c r="N8185" s="0" t="s">
        <x:v>46</x:v>
      </x:c>
    </x:row>
    <x:row r="8186" spans="1:16">
      <x:c r="A8186" s="0" t="s">
        <x:v>32605</x:v>
      </x:c>
      <x:c r="B8186" s="0" t="s">
        <x:v>32606</x:v>
      </x:c>
      <x:c r="C8186" s="0" t="s">
        <x:v>32607</x:v>
      </x:c>
      <x:c r="E8186" s="0" t="s">
        <x:v>32608</x:v>
      </x:c>
      <x:c r="F8186" s="0" t="s">
        <x:v>45</x:v>
      </x:c>
      <x:c r="G8186" s="0" t="s">
        <x:v>19</x:v>
      </x:c>
      <x:c r="H8186" s="0" t="s">
        <x:v>20</x:v>
      </x:c>
      <x:c r="I8186" s="0" t="s">
        <x:v>21</x:v>
      </x:c>
      <x:c r="K8186" s="0">
        <x:f>hyperlink("https://icd.who.int/dev11/l-ichi/en#/http%3A%2F%2Fid.who.int%2Ficd%2Fentity%2F1537378313","browser")</x:f>
      </x:c>
      <x:c r="L8186" s="0">
        <x:f>hyperlink("https://icat2.azurewebsites.net/icat/?ontology=ICD&amp;tab=ClassesTab&amp;id=http%3A%2F%2Fwho.int%2Ficd%23174_eccaa62c_8889_4dc1_a4d9_71762327d0fc","iCat")</x:f>
      </x:c>
      <x:c r="M8186" s="0" t="s">
        <x:v>21</x:v>
      </x:c>
      <x:c r="N8186" s="0" t="s">
        <x:v>46</x:v>
      </x:c>
    </x:row>
    <x:row r="8187" spans="1:16">
      <x:c r="A8187" s="0" t="s">
        <x:v>32609</x:v>
      </x:c>
      <x:c r="B8187" s="0" t="s">
        <x:v>32610</x:v>
      </x:c>
      <x:c r="C8187" s="0" t="s">
        <x:v>32611</x:v>
      </x:c>
      <x:c r="E8187" s="0" t="s">
        <x:v>32612</x:v>
      </x:c>
      <x:c r="F8187" s="0" t="s">
        <x:v>45</x:v>
      </x:c>
      <x:c r="G8187" s="0" t="s">
        <x:v>19</x:v>
      </x:c>
      <x:c r="H8187" s="0" t="s">
        <x:v>20</x:v>
      </x:c>
      <x:c r="I8187" s="0" t="s">
        <x:v>21</x:v>
      </x:c>
      <x:c r="K8187" s="0">
        <x:f>hyperlink("https://icd.who.int/dev11/l-ichi/en#/http%3A%2F%2Fid.who.int%2Ficd%2Fentity%2F1094846115","browser")</x:f>
      </x:c>
      <x:c r="L8187" s="0">
        <x:f>hyperlink("https://icat2.azurewebsites.net/icat/?ontology=ICD&amp;tab=ClassesTab&amp;id=http%3A%2F%2Fwho.int%2Ficd%23180_eccaa62c_8889_4dc1_a4d9_71762327d0fc","iCat")</x:f>
      </x:c>
      <x:c r="M8187" s="0" t="s">
        <x:v>21</x:v>
      </x:c>
      <x:c r="N8187" s="0" t="s">
        <x:v>46</x:v>
      </x:c>
    </x:row>
    <x:row r="8188" spans="1:16">
      <x:c r="A8188" s="0" t="s">
        <x:v>32613</x:v>
      </x:c>
      <x:c r="B8188" s="0" t="s">
        <x:v>32614</x:v>
      </x:c>
      <x:c r="C8188" s="0" t="s">
        <x:v>32615</x:v>
      </x:c>
      <x:c r="E8188" s="0" t="s">
        <x:v>32616</x:v>
      </x:c>
      <x:c r="F8188" s="0" t="s">
        <x:v>45</x:v>
      </x:c>
      <x:c r="G8188" s="0" t="s">
        <x:v>19</x:v>
      </x:c>
      <x:c r="H8188" s="0" t="s">
        <x:v>20</x:v>
      </x:c>
      <x:c r="I8188" s="0" t="s">
        <x:v>21</x:v>
      </x:c>
      <x:c r="K8188" s="0">
        <x:f>hyperlink("https://icd.who.int/dev11/l-ichi/en#/http%3A%2F%2Fid.who.int%2Ficd%2Fentity%2F289005332","browser")</x:f>
      </x:c>
      <x:c r="L8188" s="0">
        <x:f>hyperlink("https://icat2.azurewebsites.net/icat/?ontology=ICD&amp;tab=ClassesTab&amp;id=http%3A%2F%2Fwho.int%2Ficd%23186_eccaa62c_8889_4dc1_a4d9_71762327d0fc","iCat")</x:f>
      </x:c>
      <x:c r="M8188" s="0" t="s">
        <x:v>21</x:v>
      </x:c>
      <x:c r="N8188" s="0" t="s">
        <x:v>46</x:v>
      </x:c>
    </x:row>
    <x:row r="8189" spans="1:16">
      <x:c r="A8189" s="0" t="s">
        <x:v>32617</x:v>
      </x:c>
      <x:c r="B8189" s="0" t="s">
        <x:v>32618</x:v>
      </x:c>
      <x:c r="C8189" s="0" t="s">
        <x:v>32619</x:v>
      </x:c>
      <x:c r="E8189" s="0" t="s">
        <x:v>32620</x:v>
      </x:c>
      <x:c r="F8189" s="0" t="s">
        <x:v>45</x:v>
      </x:c>
      <x:c r="G8189" s="0" t="s">
        <x:v>19</x:v>
      </x:c>
      <x:c r="H8189" s="0" t="s">
        <x:v>20</x:v>
      </x:c>
      <x:c r="I8189" s="0" t="s">
        <x:v>21</x:v>
      </x:c>
      <x:c r="K8189" s="0">
        <x:f>hyperlink("https://icd.who.int/dev11/l-ichi/en#/http%3A%2F%2Fid.who.int%2Ficd%2Fentity%2F1325108785","browser")</x:f>
      </x:c>
      <x:c r="L8189" s="0">
        <x:f>hyperlink("https://icat2.azurewebsites.net/icat/?ontology=ICD&amp;tab=ClassesTab&amp;id=http%3A%2F%2Fwho.int%2Ficd%23192_eccaa62c_8889_4dc1_a4d9_71762327d0fc","iCat")</x:f>
      </x:c>
      <x:c r="M8189" s="0" t="s">
        <x:v>21</x:v>
      </x:c>
      <x:c r="N8189" s="0" t="s">
        <x:v>46</x:v>
      </x:c>
    </x:row>
    <x:row r="8190" spans="1:16">
      <x:c r="A8190" s="0" t="s">
        <x:v>32621</x:v>
      </x:c>
      <x:c r="B8190" s="0" t="s">
        <x:v>32622</x:v>
      </x:c>
      <x:c r="C8190" s="0" t="s">
        <x:v>32623</x:v>
      </x:c>
      <x:c r="E8190" s="0" t="s">
        <x:v>32624</x:v>
      </x:c>
      <x:c r="F8190" s="0" t="s">
        <x:v>45</x:v>
      </x:c>
      <x:c r="G8190" s="0" t="s">
        <x:v>19</x:v>
      </x:c>
      <x:c r="H8190" s="0" t="s">
        <x:v>20</x:v>
      </x:c>
      <x:c r="I8190" s="0" t="s">
        <x:v>21</x:v>
      </x:c>
      <x:c r="K8190" s="0">
        <x:f>hyperlink("https://icd.who.int/dev11/l-ichi/en#/http%3A%2F%2Fid.who.int%2Ficd%2Fentity%2F1694950049","browser")</x:f>
      </x:c>
      <x:c r="L8190" s="0">
        <x:f>hyperlink("https://icat2.azurewebsites.net/icat/?ontology=ICD&amp;tab=ClassesTab&amp;id=http%3A%2F%2Fwho.int%2Ficd%23198_eccaa62c_8889_4dc1_a4d9_71762327d0fc","iCat")</x:f>
      </x:c>
      <x:c r="M8190" s="0" t="s">
        <x:v>21</x:v>
      </x:c>
      <x:c r="N8190" s="0" t="s">
        <x:v>46</x:v>
      </x:c>
    </x:row>
    <x:row r="8191" spans="1:16">
      <x:c r="A8191" s="0" t="s">
        <x:v>32625</x:v>
      </x:c>
      <x:c r="B8191" s="0" t="s">
        <x:v>32626</x:v>
      </x:c>
      <x:c r="C8191" s="0" t="s">
        <x:v>32627</x:v>
      </x:c>
      <x:c r="E8191" s="0" t="s">
        <x:v>32628</x:v>
      </x:c>
      <x:c r="F8191" s="0" t="s">
        <x:v>45</x:v>
      </x:c>
      <x:c r="G8191" s="0" t="s">
        <x:v>19</x:v>
      </x:c>
      <x:c r="H8191" s="0" t="s">
        <x:v>20</x:v>
      </x:c>
      <x:c r="I8191" s="0" t="s">
        <x:v>21</x:v>
      </x:c>
      <x:c r="K8191" s="0">
        <x:f>hyperlink("https://icd.who.int/dev11/l-ichi/en#/http%3A%2F%2Fid.who.int%2Ficd%2Fentity%2F178734435","browser")</x:f>
      </x:c>
      <x:c r="L8191" s="0">
        <x:f>hyperlink("https://icat2.azurewebsites.net/icat/?ontology=ICD&amp;tab=ClassesTab&amp;id=http%3A%2F%2Fwho.int%2Ficd%2347408_512ebf36_bf6b_4d70_85da_cf2637062af4","iCat")</x:f>
      </x:c>
      <x:c r="M8191" s="0" t="s">
        <x:v>21</x:v>
      </x:c>
      <x:c r="N8191" s="0" t="s">
        <x:v>46</x:v>
      </x:c>
    </x:row>
    <x:row r="8192" spans="1:16">
      <x:c r="A8192" s="0" t="s">
        <x:v>32629</x:v>
      </x:c>
      <x:c r="B8192" s="0" t="s">
        <x:v>32630</x:v>
      </x:c>
      <x:c r="C8192" s="0" t="s">
        <x:v>32631</x:v>
      </x:c>
      <x:c r="E8192" s="0" t="s">
        <x:v>32632</x:v>
      </x:c>
      <x:c r="F8192" s="0" t="s">
        <x:v>45</x:v>
      </x:c>
      <x:c r="G8192" s="0" t="s">
        <x:v>19</x:v>
      </x:c>
      <x:c r="H8192" s="0" t="s">
        <x:v>20</x:v>
      </x:c>
      <x:c r="I8192" s="0" t="s">
        <x:v>21</x:v>
      </x:c>
      <x:c r="K8192" s="0">
        <x:f>hyperlink("https://icd.who.int/dev11/l-ichi/en#/http%3A%2F%2Fid.who.int%2Ficd%2Fentity%2F991762217","browser")</x:f>
      </x:c>
      <x:c r="L8192" s="0">
        <x:f>hyperlink("https://icat2.azurewebsites.net/icat/?ontology=ICD&amp;tab=ClassesTab&amp;id=http%3A%2F%2Fwho.int%2Ficd%2347415_512ebf36_bf6b_4d70_85da_cf2637062af4","iCat")</x:f>
      </x:c>
      <x:c r="M8192" s="0" t="s">
        <x:v>21</x:v>
      </x:c>
      <x:c r="N8192" s="0" t="s">
        <x:v>46</x:v>
      </x:c>
    </x:row>
    <x:row r="8193" spans="1:16">
      <x:c r="A8193" s="0" t="s">
        <x:v>32633</x:v>
      </x:c>
      <x:c r="B8193" s="0" t="s">
        <x:v>32634</x:v>
      </x:c>
      <x:c r="C8193" s="0" t="s">
        <x:v>32635</x:v>
      </x:c>
      <x:c r="E8193" s="0" t="s">
        <x:v>32636</x:v>
      </x:c>
      <x:c r="F8193" s="0" t="s">
        <x:v>45</x:v>
      </x:c>
      <x:c r="G8193" s="0" t="s">
        <x:v>19</x:v>
      </x:c>
      <x:c r="H8193" s="0" t="s">
        <x:v>20</x:v>
      </x:c>
      <x:c r="I8193" s="0" t="s">
        <x:v>21</x:v>
      </x:c>
      <x:c r="K8193" s="0">
        <x:f>hyperlink("https://icd.who.int/dev11/l-ichi/en#/http%3A%2F%2Fid.who.int%2Ficd%2Fentity%2F187628707","browser")</x:f>
      </x:c>
      <x:c r="L8193" s="0">
        <x:f>hyperlink("https://icat2.azurewebsites.net/icat/?ontology=ICD&amp;tab=ClassesTab&amp;id=http%3A%2F%2Fwho.int%2Ficd%2347422_512ebf36_bf6b_4d70_85da_cf2637062af4","iCat")</x:f>
      </x:c>
      <x:c r="M8193" s="0" t="s">
        <x:v>21</x:v>
      </x:c>
      <x:c r="N8193" s="0" t="s">
        <x:v>46</x:v>
      </x:c>
    </x:row>
    <x:row r="8194" spans="1:16">
      <x:c r="A8194" s="0" t="s">
        <x:v>32637</x:v>
      </x:c>
      <x:c r="B8194" s="0" t="s">
        <x:v>32638</x:v>
      </x:c>
      <x:c r="C8194" s="0" t="s">
        <x:v>32639</x:v>
      </x:c>
      <x:c r="E8194" s="0" t="s">
        <x:v>32640</x:v>
      </x:c>
      <x:c r="F8194" s="0" t="s">
        <x:v>45</x:v>
      </x:c>
      <x:c r="G8194" s="0" t="s">
        <x:v>19</x:v>
      </x:c>
      <x:c r="H8194" s="0" t="s">
        <x:v>20</x:v>
      </x:c>
      <x:c r="I8194" s="0" t="s">
        <x:v>21</x:v>
      </x:c>
      <x:c r="K8194" s="0">
        <x:f>hyperlink("https://icd.who.int/dev11/l-ichi/en#/http%3A%2F%2Fid.who.int%2Ficd%2Fentity%2F2810383","browser")</x:f>
      </x:c>
      <x:c r="L8194" s="0">
        <x:f>hyperlink("https://icat2.azurewebsites.net/icat/?ontology=ICD&amp;tab=ClassesTab&amp;id=http%3A%2F%2Fwho.int%2Ficd%2347429_512ebf36_bf6b_4d70_85da_cf2637062af4","iCat")</x:f>
      </x:c>
      <x:c r="M8194" s="0" t="s">
        <x:v>21</x:v>
      </x:c>
      <x:c r="N8194" s="0" t="s">
        <x:v>46</x:v>
      </x:c>
    </x:row>
    <x:row r="8195" spans="1:16">
      <x:c r="A8195" s="0" t="s">
        <x:v>32641</x:v>
      </x:c>
      <x:c r="B8195" s="0" t="s">
        <x:v>32642</x:v>
      </x:c>
      <x:c r="C8195" s="0" t="s">
        <x:v>32643</x:v>
      </x:c>
      <x:c r="E8195" s="0" t="s">
        <x:v>32644</x:v>
      </x:c>
      <x:c r="F8195" s="0" t="s">
        <x:v>45</x:v>
      </x:c>
      <x:c r="G8195" s="0" t="s">
        <x:v>19</x:v>
      </x:c>
      <x:c r="H8195" s="0" t="s">
        <x:v>20</x:v>
      </x:c>
      <x:c r="I8195" s="0" t="s">
        <x:v>21</x:v>
      </x:c>
      <x:c r="K8195" s="0">
        <x:f>hyperlink("https://icd.who.int/dev11/l-ichi/en#/http%3A%2F%2Fid.who.int%2Ficd%2Fentity%2F170602316","browser")</x:f>
      </x:c>
      <x:c r="L8195" s="0">
        <x:f>hyperlink("https://icat2.azurewebsites.net/icat/?ontology=ICD&amp;tab=ClassesTab&amp;id=http%3A%2F%2Fwho.int%2Ficd%23204_eccaa62c_8889_4dc1_a4d9_71762327d0fc","iCat")</x:f>
      </x:c>
      <x:c r="M8195" s="0" t="s">
        <x:v>21</x:v>
      </x:c>
      <x:c r="N8195" s="0" t="s">
        <x:v>46</x:v>
      </x:c>
    </x:row>
    <x:row r="8196" spans="1:16">
      <x:c r="A8196" s="0" t="s">
        <x:v>32645</x:v>
      </x:c>
      <x:c r="B8196" s="0" t="s">
        <x:v>32646</x:v>
      </x:c>
      <x:c r="C8196" s="0" t="s">
        <x:v>32647</x:v>
      </x:c>
      <x:c r="E8196" s="0" t="s">
        <x:v>32648</x:v>
      </x:c>
      <x:c r="F8196" s="0" t="s">
        <x:v>45</x:v>
      </x:c>
      <x:c r="G8196" s="0" t="s">
        <x:v>19</x:v>
      </x:c>
      <x:c r="H8196" s="0" t="s">
        <x:v>20</x:v>
      </x:c>
      <x:c r="I8196" s="0" t="s">
        <x:v>21</x:v>
      </x:c>
      <x:c r="K8196" s="0">
        <x:f>hyperlink("https://icd.who.int/dev11/l-ichi/en#/http%3A%2F%2Fid.who.int%2Ficd%2Fentity%2F1947590588","browser")</x:f>
      </x:c>
      <x:c r="L8196" s="0">
        <x:f>hyperlink("https://icat2.azurewebsites.net/icat/?ontology=ICD&amp;tab=ClassesTab&amp;id=http%3A%2F%2Fwho.int%2Ficd%2347437_512ebf36_bf6b_4d70_85da_cf2637062af4","iCat")</x:f>
      </x:c>
      <x:c r="M8196" s="0" t="s">
        <x:v>21</x:v>
      </x:c>
      <x:c r="N8196" s="0" t="s">
        <x:v>46</x:v>
      </x:c>
    </x:row>
    <x:row r="8197" spans="1:16">
      <x:c r="A8197" s="0" t="s">
        <x:v>32649</x:v>
      </x:c>
      <x:c r="B8197" s="0" t="s">
        <x:v>32650</x:v>
      </x:c>
      <x:c r="C8197" s="0" t="s">
        <x:v>32651</x:v>
      </x:c>
      <x:c r="E8197" s="0" t="s">
        <x:v>32652</x:v>
      </x:c>
      <x:c r="F8197" s="0" t="s">
        <x:v>45</x:v>
      </x:c>
      <x:c r="G8197" s="0" t="s">
        <x:v>19</x:v>
      </x:c>
      <x:c r="H8197" s="0" t="s">
        <x:v>20</x:v>
      </x:c>
      <x:c r="I8197" s="0" t="s">
        <x:v>21</x:v>
      </x:c>
      <x:c r="K8197" s="0">
        <x:f>hyperlink("https://icd.who.int/dev11/l-ichi/en#/http%3A%2F%2Fid.who.int%2Ficd%2Fentity%2F2122154048","browser")</x:f>
      </x:c>
      <x:c r="L8197" s="0">
        <x:f>hyperlink("https://icat2.azurewebsites.net/icat/?ontology=ICD&amp;tab=ClassesTab&amp;id=http%3A%2F%2Fwho.int%2Ficd%2347451_512ebf36_bf6b_4d70_85da_cf2637062af4","iCat")</x:f>
      </x:c>
      <x:c r="M8197" s="0" t="s">
        <x:v>21</x:v>
      </x:c>
      <x:c r="N8197" s="0" t="s">
        <x:v>46</x:v>
      </x:c>
    </x:row>
    <x:row r="8198" spans="1:16">
      <x:c r="A8198" s="0" t="s">
        <x:v>32653</x:v>
      </x:c>
      <x:c r="B8198" s="0" t="s">
        <x:v>32654</x:v>
      </x:c>
      <x:c r="C8198" s="0" t="s">
        <x:v>32655</x:v>
      </x:c>
      <x:c r="E8198" s="0" t="s">
        <x:v>32656</x:v>
      </x:c>
      <x:c r="F8198" s="0" t="s">
        <x:v>45</x:v>
      </x:c>
      <x:c r="G8198" s="0" t="s">
        <x:v>19</x:v>
      </x:c>
      <x:c r="H8198" s="0" t="s">
        <x:v>20</x:v>
      </x:c>
      <x:c r="I8198" s="0" t="s">
        <x:v>21</x:v>
      </x:c>
      <x:c r="K8198" s="0">
        <x:f>hyperlink("https://icd.who.int/dev11/l-ichi/en#/http%3A%2F%2Fid.who.int%2Ficd%2Fentity%2F1331066222","browser")</x:f>
      </x:c>
      <x:c r="L8198" s="0">
        <x:f>hyperlink("https://icat2.azurewebsites.net/icat/?ontology=ICD&amp;tab=ClassesTab&amp;id=http%3A%2F%2Fwho.int%2Ficd%232542_9cd760cf_9e71_4bdb_b2ea_a3ed07921568","iCat")</x:f>
      </x:c>
      <x:c r="M8198" s="0" t="s">
        <x:v>21</x:v>
      </x:c>
      <x:c r="N8198" s="0" t="s">
        <x:v>46</x:v>
      </x:c>
    </x:row>
    <x:row r="8199" spans="1:16">
      <x:c r="A8199" s="0" t="s">
        <x:v>32657</x:v>
      </x:c>
      <x:c r="B8199" s="0" t="s">
        <x:v>32658</x:v>
      </x:c>
      <x:c r="C8199" s="0" t="s">
        <x:v>32659</x:v>
      </x:c>
      <x:c r="E8199" s="0" t="s">
        <x:v>32660</x:v>
      </x:c>
      <x:c r="F8199" s="0" t="s">
        <x:v>45</x:v>
      </x:c>
      <x:c r="G8199" s="0" t="s">
        <x:v>19</x:v>
      </x:c>
      <x:c r="H8199" s="0" t="s">
        <x:v>20</x:v>
      </x:c>
      <x:c r="I8199" s="0" t="s">
        <x:v>21</x:v>
      </x:c>
      <x:c r="K8199" s="0">
        <x:f>hyperlink("https://icd.who.int/dev11/l-ichi/en#/http%3A%2F%2Fid.who.int%2Ficd%2Fentity%2F268796713","browser")</x:f>
      </x:c>
      <x:c r="L8199" s="0">
        <x:f>hyperlink("https://icat2.azurewebsites.net/icat/?ontology=ICD&amp;tab=ClassesTab&amp;id=http%3A%2F%2Fwho.int%2Ficd%2347458_512ebf36_bf6b_4d70_85da_cf2637062af4","iCat")</x:f>
      </x:c>
      <x:c r="M8199" s="0" t="s">
        <x:v>21</x:v>
      </x:c>
      <x:c r="N8199" s="0" t="s">
        <x:v>46</x:v>
      </x:c>
    </x:row>
    <x:row r="8200" spans="1:16">
      <x:c r="A8200" s="0" t="s">
        <x:v>32661</x:v>
      </x:c>
      <x:c r="B8200" s="0" t="s">
        <x:v>32662</x:v>
      </x:c>
      <x:c r="C8200" s="0" t="s">
        <x:v>32663</x:v>
      </x:c>
      <x:c r="E8200" s="0" t="s">
        <x:v>32664</x:v>
      </x:c>
      <x:c r="F8200" s="0" t="s">
        <x:v>45</x:v>
      </x:c>
      <x:c r="G8200" s="0" t="s">
        <x:v>19</x:v>
      </x:c>
      <x:c r="H8200" s="0" t="s">
        <x:v>20</x:v>
      </x:c>
      <x:c r="I8200" s="0" t="s">
        <x:v>21</x:v>
      </x:c>
      <x:c r="K8200" s="0">
        <x:f>hyperlink("https://icd.who.int/dev11/l-ichi/en#/http%3A%2F%2Fid.who.int%2Ficd%2Fentity%2F1688934910","browser")</x:f>
      </x:c>
      <x:c r="L8200" s="0">
        <x:f>hyperlink("https://icat2.azurewebsites.net/icat/?ontology=ICD&amp;tab=ClassesTab&amp;id=http%3A%2F%2Fwho.int%2Ficd%232548_9cd760cf_9e71_4bdb_b2ea_a3ed07921568","iCat")</x:f>
      </x:c>
      <x:c r="M8200" s="0" t="s">
        <x:v>21</x:v>
      </x:c>
      <x:c r="N8200" s="0" t="s">
        <x:v>46</x:v>
      </x:c>
    </x:row>
    <x:row r="8201" spans="1:16">
      <x:c r="A8201" s="0" t="s">
        <x:v>32665</x:v>
      </x:c>
      <x:c r="B8201" s="0" t="s">
        <x:v>32666</x:v>
      </x:c>
      <x:c r="C8201" s="0" t="s">
        <x:v>32667</x:v>
      </x:c>
      <x:c r="E8201" s="0" t="s">
        <x:v>32668</x:v>
      </x:c>
      <x:c r="F8201" s="0" t="s">
        <x:v>45</x:v>
      </x:c>
      <x:c r="G8201" s="0" t="s">
        <x:v>19</x:v>
      </x:c>
      <x:c r="H8201" s="0" t="s">
        <x:v>20</x:v>
      </x:c>
      <x:c r="I8201" s="0" t="s">
        <x:v>21</x:v>
      </x:c>
      <x:c r="K8201" s="0">
        <x:f>hyperlink("https://icd.who.int/dev11/l-ichi/en#/http%3A%2F%2Fid.who.int%2Ficd%2Fentity%2F1978153354","browser")</x:f>
      </x:c>
      <x:c r="L8201" s="0">
        <x:f>hyperlink("https://icat2.azurewebsites.net/icat/?ontology=ICD&amp;tab=ClassesTab&amp;id=http%3A%2F%2Fwho.int%2Ficd%232554_9cd760cf_9e71_4bdb_b2ea_a3ed07921568","iCat")</x:f>
      </x:c>
      <x:c r="M8201" s="0" t="s">
        <x:v>21</x:v>
      </x:c>
      <x:c r="N8201" s="0" t="s">
        <x:v>46</x:v>
      </x:c>
    </x:row>
    <x:row r="8202" spans="1:16">
      <x:c r="A8202" s="0" t="s">
        <x:v>32669</x:v>
      </x:c>
      <x:c r="B8202" s="0" t="s">
        <x:v>32670</x:v>
      </x:c>
      <x:c r="C8202" s="0" t="s">
        <x:v>32671</x:v>
      </x:c>
      <x:c r="E8202" s="0" t="s">
        <x:v>32672</x:v>
      </x:c>
      <x:c r="F8202" s="0" t="s">
        <x:v>45</x:v>
      </x:c>
      <x:c r="G8202" s="0" t="s">
        <x:v>19</x:v>
      </x:c>
      <x:c r="H8202" s="0" t="s">
        <x:v>20</x:v>
      </x:c>
      <x:c r="I8202" s="0" t="s">
        <x:v>21</x:v>
      </x:c>
      <x:c r="K8202" s="0">
        <x:f>hyperlink("https://icd.who.int/dev11/l-ichi/en#/http%3A%2F%2Fid.who.int%2Ficd%2Fentity%2F6209017","browser")</x:f>
      </x:c>
      <x:c r="L8202" s="0">
        <x:f>hyperlink("https://icat2.azurewebsites.net/icat/?ontology=ICD&amp;tab=ClassesTab&amp;id=http%3A%2F%2Fwho.int%2Ficd%232560_9cd760cf_9e71_4bdb_b2ea_a3ed07921568","iCat")</x:f>
      </x:c>
      <x:c r="M8202" s="0" t="s">
        <x:v>21</x:v>
      </x:c>
      <x:c r="N8202" s="0" t="s">
        <x:v>46</x:v>
      </x:c>
    </x:row>
    <x:row r="8203" spans="1:16">
      <x:c r="A8203" s="0" t="s">
        <x:v>32673</x:v>
      </x:c>
      <x:c r="B8203" s="0" t="s">
        <x:v>32674</x:v>
      </x:c>
      <x:c r="C8203" s="0" t="s">
        <x:v>32675</x:v>
      </x:c>
      <x:c r="E8203" s="0" t="s">
        <x:v>32676</x:v>
      </x:c>
      <x:c r="F8203" s="0" t="s">
        <x:v>45</x:v>
      </x:c>
      <x:c r="G8203" s="0" t="s">
        <x:v>19</x:v>
      </x:c>
      <x:c r="H8203" s="0" t="s">
        <x:v>20</x:v>
      </x:c>
      <x:c r="I8203" s="0" t="s">
        <x:v>21</x:v>
      </x:c>
      <x:c r="K8203" s="0">
        <x:f>hyperlink("https://icd.who.int/dev11/l-ichi/en#/http%3A%2F%2Fid.who.int%2Ficd%2Fentity%2F1344627786","browser")</x:f>
      </x:c>
      <x:c r="L8203" s="0">
        <x:f>hyperlink("https://icat2.azurewebsites.net/icat/?ontology=ICD&amp;tab=ClassesTab&amp;id=http%3A%2F%2Fwho.int%2Ficd%232566_9cd760cf_9e71_4bdb_b2ea_a3ed07921568","iCat")</x:f>
      </x:c>
      <x:c r="M8203" s="0" t="s">
        <x:v>21</x:v>
      </x:c>
      <x:c r="N8203" s="0" t="s">
        <x:v>46</x:v>
      </x:c>
    </x:row>
    <x:row r="8204" spans="1:16">
      <x:c r="A8204" s="0" t="s">
        <x:v>32677</x:v>
      </x:c>
      <x:c r="B8204" s="0" t="s">
        <x:v>32678</x:v>
      </x:c>
      <x:c r="C8204" s="0" t="s">
        <x:v>32679</x:v>
      </x:c>
      <x:c r="E8204" s="0" t="s">
        <x:v>32680</x:v>
      </x:c>
      <x:c r="F8204" s="0" t="s">
        <x:v>45</x:v>
      </x:c>
      <x:c r="G8204" s="0" t="s">
        <x:v>19</x:v>
      </x:c>
      <x:c r="H8204" s="0" t="s">
        <x:v>20</x:v>
      </x:c>
      <x:c r="I8204" s="0" t="s">
        <x:v>21</x:v>
      </x:c>
      <x:c r="K8204" s="0">
        <x:f>hyperlink("https://icd.who.int/dev11/l-ichi/en#/http%3A%2F%2Fid.who.int%2Ficd%2Fentity%2F266810731","browser")</x:f>
      </x:c>
      <x:c r="L8204" s="0">
        <x:f>hyperlink("https://icat2.azurewebsites.net/icat/?ontology=ICD&amp;tab=ClassesTab&amp;id=http%3A%2F%2Fwho.int%2Ficd%232572_9cd760cf_9e71_4bdb_b2ea_a3ed07921568","iCat")</x:f>
      </x:c>
      <x:c r="M8204" s="0" t="s">
        <x:v>21</x:v>
      </x:c>
      <x:c r="N8204" s="0" t="s">
        <x:v>46</x:v>
      </x:c>
    </x:row>
    <x:row r="8205" spans="1:16">
      <x:c r="A8205" s="0" t="s">
        <x:v>32681</x:v>
      </x:c>
      <x:c r="B8205" s="0" t="s">
        <x:v>32682</x:v>
      </x:c>
      <x:c r="C8205" s="0" t="s">
        <x:v>32683</x:v>
      </x:c>
      <x:c r="E8205" s="0" t="s">
        <x:v>32684</x:v>
      </x:c>
      <x:c r="F8205" s="0" t="s">
        <x:v>45</x:v>
      </x:c>
      <x:c r="G8205" s="0" t="s">
        <x:v>19</x:v>
      </x:c>
      <x:c r="H8205" s="0" t="s">
        <x:v>20</x:v>
      </x:c>
      <x:c r="I8205" s="0" t="s">
        <x:v>21</x:v>
      </x:c>
      <x:c r="K8205" s="0">
        <x:f>hyperlink("https://icd.who.int/dev11/l-ichi/en#/http%3A%2F%2Fid.who.int%2Ficd%2Fentity%2F605706747","browser")</x:f>
      </x:c>
      <x:c r="L8205" s="0">
        <x:f>hyperlink("https://icat2.azurewebsites.net/icat/?ontology=ICD&amp;tab=ClassesTab&amp;id=http%3A%2F%2Fwho.int%2Ficd%232578_9cd760cf_9e71_4bdb_b2ea_a3ed07921568","iCat")</x:f>
      </x:c>
      <x:c r="M8205" s="0" t="s">
        <x:v>21</x:v>
      </x:c>
      <x:c r="N8205" s="0" t="s">
        <x:v>46</x:v>
      </x:c>
    </x:row>
    <x:row r="8206" spans="1:16">
      <x:c r="A8206" s="0" t="s">
        <x:v>32685</x:v>
      </x:c>
      <x:c r="B8206" s="0" t="s">
        <x:v>32686</x:v>
      </x:c>
      <x:c r="C8206" s="0" t="s">
        <x:v>32687</x:v>
      </x:c>
      <x:c r="E8206" s="0" t="s">
        <x:v>32688</x:v>
      </x:c>
      <x:c r="F8206" s="0" t="s">
        <x:v>45</x:v>
      </x:c>
      <x:c r="G8206" s="0" t="s">
        <x:v>19</x:v>
      </x:c>
      <x:c r="H8206" s="0" t="s">
        <x:v>20</x:v>
      </x:c>
      <x:c r="I8206" s="0" t="s">
        <x:v>21</x:v>
      </x:c>
      <x:c r="K8206" s="0">
        <x:f>hyperlink("https://icd.who.int/dev11/l-ichi/en#/http%3A%2F%2Fid.who.int%2Ficd%2Fentity%2F1887151622","browser")</x:f>
      </x:c>
      <x:c r="L8206" s="0">
        <x:f>hyperlink("https://icat2.azurewebsites.net/icat/?ontology=ICD&amp;tab=ClassesTab&amp;id=http%3A%2F%2Fwho.int%2Ficd%232584_9cd760cf_9e71_4bdb_b2ea_a3ed07921568","iCat")</x:f>
      </x:c>
      <x:c r="M8206" s="0" t="s">
        <x:v>21</x:v>
      </x:c>
      <x:c r="N8206" s="0" t="s">
        <x:v>46</x:v>
      </x:c>
    </x:row>
    <x:row r="8207" spans="1:16">
      <x:c r="A8207" s="0" t="s">
        <x:v>32689</x:v>
      </x:c>
      <x:c r="B8207" s="0" t="s">
        <x:v>32690</x:v>
      </x:c>
      <x:c r="C8207" s="0" t="s">
        <x:v>32691</x:v>
      </x:c>
      <x:c r="E8207" s="0" t="s">
        <x:v>32692</x:v>
      </x:c>
      <x:c r="F8207" s="0" t="s">
        <x:v>45</x:v>
      </x:c>
      <x:c r="G8207" s="0" t="s">
        <x:v>19</x:v>
      </x:c>
      <x:c r="H8207" s="0" t="s">
        <x:v>20</x:v>
      </x:c>
      <x:c r="I8207" s="0" t="s">
        <x:v>21</x:v>
      </x:c>
      <x:c r="K8207" s="0">
        <x:f>hyperlink("https://icd.who.int/dev11/l-ichi/en#/http%3A%2F%2Fid.who.int%2Ficd%2Fentity%2F800716583","browser")</x:f>
      </x:c>
      <x:c r="L8207" s="0">
        <x:f>hyperlink("https://icat2.azurewebsites.net/icat/?ontology=ICD&amp;tab=ClassesTab&amp;id=http%3A%2F%2Fwho.int%2Ficd%232590_9cd760cf_9e71_4bdb_b2ea_a3ed07921568","iCat")</x:f>
      </x:c>
      <x:c r="M8207" s="0" t="s">
        <x:v>21</x:v>
      </x:c>
      <x:c r="N8207" s="0" t="s">
        <x:v>46</x:v>
      </x:c>
    </x:row>
    <x:row r="8208" spans="1:16">
      <x:c r="A8208" s="0" t="s">
        <x:v>32693</x:v>
      </x:c>
      <x:c r="B8208" s="0" t="s">
        <x:v>32694</x:v>
      </x:c>
      <x:c r="C8208" s="0" t="s">
        <x:v>32695</x:v>
      </x:c>
      <x:c r="E8208" s="0" t="s">
        <x:v>32696</x:v>
      </x:c>
      <x:c r="F8208" s="0" t="s">
        <x:v>45</x:v>
      </x:c>
      <x:c r="G8208" s="0" t="s">
        <x:v>19</x:v>
      </x:c>
      <x:c r="H8208" s="0" t="s">
        <x:v>20</x:v>
      </x:c>
      <x:c r="I8208" s="0" t="s">
        <x:v>21</x:v>
      </x:c>
      <x:c r="K8208" s="0">
        <x:f>hyperlink("https://icd.who.int/dev11/l-ichi/en#/http%3A%2F%2Fid.who.int%2Ficd%2Fentity%2F197854259","browser")</x:f>
      </x:c>
      <x:c r="L8208" s="0">
        <x:f>hyperlink("https://icat2.azurewebsites.net/icat/?ontology=ICD&amp;tab=ClassesTab&amp;id=http%3A%2F%2Fwho.int%2Ficd%2347465_512ebf36_bf6b_4d70_85da_cf2637062af4","iCat")</x:f>
      </x:c>
      <x:c r="M8208" s="0" t="s">
        <x:v>21</x:v>
      </x:c>
      <x:c r="N8208" s="0" t="s">
        <x:v>46</x:v>
      </x:c>
    </x:row>
    <x:row r="8209" spans="1:16">
      <x:c r="A8209" s="0" t="s">
        <x:v>32697</x:v>
      </x:c>
      <x:c r="B8209" s="0" t="s">
        <x:v>32698</x:v>
      </x:c>
      <x:c r="C8209" s="0" t="s">
        <x:v>32699</x:v>
      </x:c>
      <x:c r="E8209" s="0" t="s">
        <x:v>32700</x:v>
      </x:c>
      <x:c r="F8209" s="0" t="s">
        <x:v>45</x:v>
      </x:c>
      <x:c r="G8209" s="0" t="s">
        <x:v>19</x:v>
      </x:c>
      <x:c r="H8209" s="0" t="s">
        <x:v>20</x:v>
      </x:c>
      <x:c r="I8209" s="0" t="s">
        <x:v>21</x:v>
      </x:c>
      <x:c r="K8209" s="0">
        <x:f>hyperlink("https://icd.who.int/dev11/l-ichi/en#/http%3A%2F%2Fid.who.int%2Ficd%2Fentity%2F2143432344","browser")</x:f>
      </x:c>
      <x:c r="L8209" s="0">
        <x:f>hyperlink("https://icat2.azurewebsites.net/icat/?ontology=ICD&amp;tab=ClassesTab&amp;id=http%3A%2F%2Fwho.int%2Ficd%232596_9cd760cf_9e71_4bdb_b2ea_a3ed07921568","iCat")</x:f>
      </x:c>
      <x:c r="M8209" s="0" t="s">
        <x:v>21</x:v>
      </x:c>
      <x:c r="N8209" s="0" t="s">
        <x:v>46</x:v>
      </x:c>
    </x:row>
    <x:row r="8210" spans="1:16">
      <x:c r="A8210" s="0" t="s">
        <x:v>32701</x:v>
      </x:c>
      <x:c r="B8210" s="0" t="s">
        <x:v>32702</x:v>
      </x:c>
      <x:c r="C8210" s="0" t="s">
        <x:v>32703</x:v>
      </x:c>
      <x:c r="E8210" s="0" t="s">
        <x:v>32704</x:v>
      </x:c>
      <x:c r="F8210" s="0" t="s">
        <x:v>45</x:v>
      </x:c>
      <x:c r="G8210" s="0" t="s">
        <x:v>19</x:v>
      </x:c>
      <x:c r="H8210" s="0" t="s">
        <x:v>20</x:v>
      </x:c>
      <x:c r="I8210" s="0" t="s">
        <x:v>21</x:v>
      </x:c>
      <x:c r="K8210" s="0">
        <x:f>hyperlink("https://icd.who.int/dev11/l-ichi/en#/http%3A%2F%2Fid.who.int%2Ficd%2Fentity%2F294402793","browser")</x:f>
      </x:c>
      <x:c r="L8210" s="0">
        <x:f>hyperlink("https://icat2.azurewebsites.net/icat/?ontology=ICD&amp;tab=ClassesTab&amp;id=http%3A%2F%2Fwho.int%2Ficd%2347472_512ebf36_bf6b_4d70_85da_cf2637062af4","iCat")</x:f>
      </x:c>
      <x:c r="M8210" s="0" t="s">
        <x:v>21</x:v>
      </x:c>
      <x:c r="N8210" s="0" t="s">
        <x:v>46</x:v>
      </x:c>
    </x:row>
    <x:row r="8211" spans="1:16">
      <x:c r="A8211" s="0" t="s">
        <x:v>32705</x:v>
      </x:c>
      <x:c r="B8211" s="0" t="s">
        <x:v>32706</x:v>
      </x:c>
      <x:c r="C8211" s="0" t="s">
        <x:v>32707</x:v>
      </x:c>
      <x:c r="E8211" s="0" t="s">
        <x:v>32708</x:v>
      </x:c>
      <x:c r="F8211" s="0" t="s">
        <x:v>45</x:v>
      </x:c>
      <x:c r="G8211" s="0" t="s">
        <x:v>19</x:v>
      </x:c>
      <x:c r="H8211" s="0" t="s">
        <x:v>20</x:v>
      </x:c>
      <x:c r="I8211" s="0" t="s">
        <x:v>21</x:v>
      </x:c>
      <x:c r="K8211" s="0">
        <x:f>hyperlink("https://icd.who.int/dev11/l-ichi/en#/http%3A%2F%2Fid.who.int%2Ficd%2Fentity%2F445129797","browser")</x:f>
      </x:c>
      <x:c r="L8211" s="0">
        <x:f>hyperlink("https://icat2.azurewebsites.net/icat/?ontology=ICD&amp;tab=ClassesTab&amp;id=http%3A%2F%2Fwho.int%2Ficd%2347479_512ebf36_bf6b_4d70_85da_cf2637062af4","iCat")</x:f>
      </x:c>
      <x:c r="M8211" s="0" t="s">
        <x:v>21</x:v>
      </x:c>
      <x:c r="N8211" s="0" t="s">
        <x:v>46</x:v>
      </x:c>
    </x:row>
    <x:row r="8212" spans="1:16">
      <x:c r="A8212" s="0" t="s">
        <x:v>32709</x:v>
      </x:c>
      <x:c r="B8212" s="0" t="s">
        <x:v>32710</x:v>
      </x:c>
      <x:c r="C8212" s="0" t="s">
        <x:v>32711</x:v>
      </x:c>
      <x:c r="E8212" s="0" t="s">
        <x:v>32712</x:v>
      </x:c>
      <x:c r="F8212" s="0" t="s">
        <x:v>45</x:v>
      </x:c>
      <x:c r="G8212" s="0" t="s">
        <x:v>19</x:v>
      </x:c>
      <x:c r="H8212" s="0" t="s">
        <x:v>20</x:v>
      </x:c>
      <x:c r="I8212" s="0" t="s">
        <x:v>21</x:v>
      </x:c>
      <x:c r="K8212" s="0">
        <x:f>hyperlink("https://icd.who.int/dev11/l-ichi/en#/http%3A%2F%2Fid.who.int%2Ficd%2Fentity%2F1339699067","browser")</x:f>
      </x:c>
      <x:c r="L8212" s="0">
        <x:f>hyperlink("https://icat2.azurewebsites.net/icat/?ontology=ICD&amp;tab=ClassesTab&amp;id=http%3A%2F%2Fwho.int%2Ficd%2371_60b821c4_cabc_4b81_9563_cb99d74167d5","iCat")</x:f>
      </x:c>
      <x:c r="M8212" s="0" t="s">
        <x:v>21</x:v>
      </x:c>
      <x:c r="N8212" s="0" t="s">
        <x:v>46</x:v>
      </x:c>
    </x:row>
    <x:row r="8213" spans="1:16">
      <x:c r="A8213" s="0" t="s">
        <x:v>32713</x:v>
      </x:c>
      <x:c r="B8213" s="0" t="s">
        <x:v>32714</x:v>
      </x:c>
      <x:c r="C8213" s="0" t="s">
        <x:v>32715</x:v>
      </x:c>
      <x:c r="E8213" s="0" t="s">
        <x:v>32716</x:v>
      </x:c>
      <x:c r="F8213" s="0" t="s">
        <x:v>45</x:v>
      </x:c>
      <x:c r="G8213" s="0" t="s">
        <x:v>19</x:v>
      </x:c>
      <x:c r="H8213" s="0" t="s">
        <x:v>20</x:v>
      </x:c>
      <x:c r="I8213" s="0" t="s">
        <x:v>21</x:v>
      </x:c>
      <x:c r="K8213" s="0">
        <x:f>hyperlink("https://icd.who.int/dev11/l-ichi/en#/http%3A%2F%2Fid.who.int%2Ficd%2Fentity%2F1584304680","browser")</x:f>
      </x:c>
      <x:c r="L8213" s="0">
        <x:f>hyperlink("https://icat2.azurewebsites.net/icat/?ontology=ICD&amp;tab=ClassesTab&amp;id=http%3A%2F%2Fwho.int%2Ficd%232602_9cd760cf_9e71_4bdb_b2ea_a3ed07921568","iCat")</x:f>
      </x:c>
      <x:c r="M8213" s="0" t="s">
        <x:v>21</x:v>
      </x:c>
      <x:c r="N8213" s="0" t="s">
        <x:v>46</x:v>
      </x:c>
    </x:row>
    <x:row r="8214" spans="1:16">
      <x:c r="A8214" s="0" t="s">
        <x:v>32717</x:v>
      </x:c>
      <x:c r="B8214" s="0" t="s">
        <x:v>32718</x:v>
      </x:c>
      <x:c r="C8214" s="0" t="s">
        <x:v>32719</x:v>
      </x:c>
      <x:c r="E8214" s="0" t="s">
        <x:v>32720</x:v>
      </x:c>
      <x:c r="F8214" s="0" t="s">
        <x:v>45</x:v>
      </x:c>
      <x:c r="G8214" s="0" t="s">
        <x:v>19</x:v>
      </x:c>
      <x:c r="H8214" s="0" t="s">
        <x:v>20</x:v>
      </x:c>
      <x:c r="I8214" s="0" t="s">
        <x:v>21</x:v>
      </x:c>
      <x:c r="K8214" s="0">
        <x:f>hyperlink("https://icd.who.int/dev11/l-ichi/en#/http%3A%2F%2Fid.who.int%2Ficd%2Fentity%2F191673411","browser")</x:f>
      </x:c>
      <x:c r="L8214" s="0">
        <x:f>hyperlink("https://icat2.azurewebsites.net/icat/?ontology=ICD&amp;tab=ClassesTab&amp;id=http%3A%2F%2Fwho.int%2Ficd%2347486_512ebf36_bf6b_4d70_85da_cf2637062af4","iCat")</x:f>
      </x:c>
      <x:c r="M8214" s="0" t="s">
        <x:v>21</x:v>
      </x:c>
      <x:c r="N8214" s="0" t="s">
        <x:v>46</x:v>
      </x:c>
    </x:row>
    <x:row r="8215" spans="1:16">
      <x:c r="A8215" s="0" t="s">
        <x:v>32721</x:v>
      </x:c>
      <x:c r="B8215" s="0" t="s">
        <x:v>32722</x:v>
      </x:c>
      <x:c r="C8215" s="0" t="s">
        <x:v>32723</x:v>
      </x:c>
      <x:c r="E8215" s="0" t="s">
        <x:v>32724</x:v>
      </x:c>
      <x:c r="F8215" s="0" t="s">
        <x:v>45</x:v>
      </x:c>
      <x:c r="G8215" s="0" t="s">
        <x:v>19</x:v>
      </x:c>
      <x:c r="H8215" s="0" t="s">
        <x:v>20</x:v>
      </x:c>
      <x:c r="I8215" s="0" t="s">
        <x:v>21</x:v>
      </x:c>
      <x:c r="K8215" s="0">
        <x:f>hyperlink("https://icd.who.int/dev11/l-ichi/en#/http%3A%2F%2Fid.who.int%2Ficd%2Fentity%2F1972633272","browser")</x:f>
      </x:c>
      <x:c r="L8215" s="0">
        <x:f>hyperlink("https://icat2.azurewebsites.net/icat/?ontology=ICD&amp;tab=ClassesTab&amp;id=http%3A%2F%2Fwho.int%2Ficd%232608_9cd760cf_9e71_4bdb_b2ea_a3ed07921568","iCat")</x:f>
      </x:c>
      <x:c r="M8215" s="0" t="s">
        <x:v>21</x:v>
      </x:c>
      <x:c r="N8215" s="0" t="s">
        <x:v>46</x:v>
      </x:c>
    </x:row>
    <x:row r="8216" spans="1:16">
      <x:c r="A8216" s="0" t="s">
        <x:v>32725</x:v>
      </x:c>
      <x:c r="B8216" s="0" t="s">
        <x:v>32726</x:v>
      </x:c>
      <x:c r="C8216" s="0" t="s">
        <x:v>32727</x:v>
      </x:c>
      <x:c r="E8216" s="0" t="s">
        <x:v>32728</x:v>
      </x:c>
      <x:c r="F8216" s="0" t="s">
        <x:v>45</x:v>
      </x:c>
      <x:c r="G8216" s="0" t="s">
        <x:v>19</x:v>
      </x:c>
      <x:c r="H8216" s="0" t="s">
        <x:v>20</x:v>
      </x:c>
      <x:c r="I8216" s="0" t="s">
        <x:v>21</x:v>
      </x:c>
      <x:c r="K8216" s="0">
        <x:f>hyperlink("https://icd.who.int/dev11/l-ichi/en#/http%3A%2F%2Fid.who.int%2Ficd%2Fentity%2F1691410128","browser")</x:f>
      </x:c>
      <x:c r="L8216" s="0">
        <x:f>hyperlink("https://icat2.azurewebsites.net/icat/?ontology=ICD&amp;tab=ClassesTab&amp;id=http%3A%2F%2Fwho.int%2Ficd%232614_9cd760cf_9e71_4bdb_b2ea_a3ed07921568","iCat")</x:f>
      </x:c>
      <x:c r="M8216" s="0" t="s">
        <x:v>21</x:v>
      </x:c>
      <x:c r="N8216" s="0" t="s">
        <x:v>46</x:v>
      </x:c>
    </x:row>
    <x:row r="8217" spans="1:16">
      <x:c r="A8217" s="0" t="s">
        <x:v>32729</x:v>
      </x:c>
      <x:c r="B8217" s="0" t="s">
        <x:v>32730</x:v>
      </x:c>
      <x:c r="C8217" s="0" t="s">
        <x:v>32731</x:v>
      </x:c>
      <x:c r="E8217" s="0" t="s">
        <x:v>32732</x:v>
      </x:c>
      <x:c r="F8217" s="0" t="s">
        <x:v>45</x:v>
      </x:c>
      <x:c r="G8217" s="0" t="s">
        <x:v>19</x:v>
      </x:c>
      <x:c r="H8217" s="0" t="s">
        <x:v>20</x:v>
      </x:c>
      <x:c r="I8217" s="0" t="s">
        <x:v>21</x:v>
      </x:c>
      <x:c r="K8217" s="0">
        <x:f>hyperlink("https://icd.who.int/dev11/l-ichi/en#/http%3A%2F%2Fid.who.int%2Ficd%2Fentity%2F291920573","browser")</x:f>
      </x:c>
      <x:c r="L8217" s="0">
        <x:f>hyperlink("https://icat2.azurewebsites.net/icat/?ontology=ICD&amp;tab=ClassesTab&amp;id=http%3A%2F%2Fwho.int%2Ficd%232620_9cd760cf_9e71_4bdb_b2ea_a3ed07921568","iCat")</x:f>
      </x:c>
      <x:c r="M8217" s="0" t="s">
        <x:v>21</x:v>
      </x:c>
      <x:c r="N8217" s="0" t="s">
        <x:v>46</x:v>
      </x:c>
    </x:row>
    <x:row r="8218" spans="1:16">
      <x:c r="A8218" s="0" t="s">
        <x:v>32733</x:v>
      </x:c>
      <x:c r="B8218" s="0" t="s">
        <x:v>32734</x:v>
      </x:c>
      <x:c r="C8218" s="0" t="s">
        <x:v>32735</x:v>
      </x:c>
      <x:c r="E8218" s="0" t="s">
        <x:v>32736</x:v>
      </x:c>
      <x:c r="F8218" s="0" t="s">
        <x:v>45</x:v>
      </x:c>
      <x:c r="G8218" s="0" t="s">
        <x:v>19</x:v>
      </x:c>
      <x:c r="H8218" s="0" t="s">
        <x:v>20</x:v>
      </x:c>
      <x:c r="I8218" s="0" t="s">
        <x:v>21</x:v>
      </x:c>
      <x:c r="K8218" s="0">
        <x:f>hyperlink("https://icd.who.int/dev11/l-ichi/en#/http%3A%2F%2Fid.who.int%2Ficd%2Fentity%2F1092453132","browser")</x:f>
      </x:c>
      <x:c r="L8218" s="0">
        <x:f>hyperlink("https://icat2.azurewebsites.net/icat/?ontology=ICD&amp;tab=ClassesTab&amp;id=http%3A%2F%2Fwho.int%2Ficd%232626_9cd760cf_9e71_4bdb_b2ea_a3ed07921568","iCat")</x:f>
      </x:c>
      <x:c r="M8218" s="0" t="s">
        <x:v>21</x:v>
      </x:c>
      <x:c r="N8218" s="0" t="s">
        <x:v>46</x:v>
      </x:c>
    </x:row>
    <x:row r="8219" spans="1:16">
      <x:c r="A8219" s="0" t="s">
        <x:v>32737</x:v>
      </x:c>
      <x:c r="B8219" s="0" t="s">
        <x:v>32738</x:v>
      </x:c>
      <x:c r="C8219" s="0" t="s">
        <x:v>32739</x:v>
      </x:c>
      <x:c r="E8219" s="0" t="s">
        <x:v>32740</x:v>
      </x:c>
      <x:c r="F8219" s="0" t="s">
        <x:v>45</x:v>
      </x:c>
      <x:c r="G8219" s="0" t="s">
        <x:v>19</x:v>
      </x:c>
      <x:c r="H8219" s="0" t="s">
        <x:v>20</x:v>
      </x:c>
      <x:c r="I8219" s="0" t="s">
        <x:v>21</x:v>
      </x:c>
      <x:c r="K8219" s="0">
        <x:f>hyperlink("https://icd.who.int/dev11/l-ichi/en#/http%3A%2F%2Fid.who.int%2Ficd%2Fentity%2F517984815","browser")</x:f>
      </x:c>
      <x:c r="L8219" s="0">
        <x:f>hyperlink("https://icat2.azurewebsites.net/icat/?ontology=ICD&amp;tab=ClassesTab&amp;id=http%3A%2F%2Fwho.int%2Ficd%232632_9cd760cf_9e71_4bdb_b2ea_a3ed07921568","iCat")</x:f>
      </x:c>
      <x:c r="M8219" s="0" t="s">
        <x:v>21</x:v>
      </x:c>
      <x:c r="N8219" s="0" t="s">
        <x:v>46</x:v>
      </x:c>
    </x:row>
    <x:row r="8220" spans="1:16">
      <x:c r="A8220" s="0" t="s">
        <x:v>32741</x:v>
      </x:c>
      <x:c r="B8220" s="0" t="s">
        <x:v>32742</x:v>
      </x:c>
      <x:c r="C8220" s="0" t="s">
        <x:v>32743</x:v>
      </x:c>
      <x:c r="E8220" s="0" t="s">
        <x:v>32744</x:v>
      </x:c>
      <x:c r="F8220" s="0" t="s">
        <x:v>45</x:v>
      </x:c>
      <x:c r="G8220" s="0" t="s">
        <x:v>19</x:v>
      </x:c>
      <x:c r="H8220" s="0" t="s">
        <x:v>20</x:v>
      </x:c>
      <x:c r="I8220" s="0" t="s">
        <x:v>21</x:v>
      </x:c>
      <x:c r="K8220" s="0">
        <x:f>hyperlink("https://icd.who.int/dev11/l-ichi/en#/http%3A%2F%2Fid.who.int%2Ficd%2Fentity%2F891469503","browser")</x:f>
      </x:c>
      <x:c r="L8220" s="0">
        <x:f>hyperlink("https://icat2.azurewebsites.net/icat/?ontology=ICD&amp;tab=ClassesTab&amp;id=http%3A%2F%2Fwho.int%2Ficd%232638_9cd760cf_9e71_4bdb_b2ea_a3ed07921568","iCat")</x:f>
      </x:c>
      <x:c r="M8220" s="0" t="s">
        <x:v>21</x:v>
      </x:c>
      <x:c r="N8220" s="0" t="s">
        <x:v>46</x:v>
      </x:c>
    </x:row>
    <x:row r="8221" spans="1:16">
      <x:c r="A8221" s="0" t="s">
        <x:v>32745</x:v>
      </x:c>
      <x:c r="B8221" s="0" t="s">
        <x:v>32746</x:v>
      </x:c>
      <x:c r="C8221" s="0" t="s">
        <x:v>32747</x:v>
      </x:c>
      <x:c r="E8221" s="0" t="s">
        <x:v>32748</x:v>
      </x:c>
      <x:c r="F8221" s="0" t="s">
        <x:v>45</x:v>
      </x:c>
      <x:c r="G8221" s="0" t="s">
        <x:v>19</x:v>
      </x:c>
      <x:c r="H8221" s="0" t="s">
        <x:v>20</x:v>
      </x:c>
      <x:c r="I8221" s="0" t="s">
        <x:v>21</x:v>
      </x:c>
      <x:c r="K8221" s="0">
        <x:f>hyperlink("https://icd.who.int/dev11/l-ichi/en#/http%3A%2F%2Fid.who.int%2Ficd%2Fentity%2F2121406598","browser")</x:f>
      </x:c>
      <x:c r="L8221" s="0">
        <x:f>hyperlink("https://icat2.azurewebsites.net/icat/?ontology=ICD&amp;tab=ClassesTab&amp;id=http%3A%2F%2Fwho.int%2Ficd%232644_9cd760cf_9e71_4bdb_b2ea_a3ed07921568","iCat")</x:f>
      </x:c>
      <x:c r="M8221" s="0" t="s">
        <x:v>21</x:v>
      </x:c>
      <x:c r="N8221" s="0" t="s">
        <x:v>46</x:v>
      </x:c>
    </x:row>
    <x:row r="8222" spans="1:16">
      <x:c r="A8222" s="0" t="s">
        <x:v>32749</x:v>
      </x:c>
      <x:c r="B8222" s="0" t="s">
        <x:v>32750</x:v>
      </x:c>
      <x:c r="C8222" s="0" t="s">
        <x:v>32751</x:v>
      </x:c>
      <x:c r="E8222" s="0" t="s">
        <x:v>32752</x:v>
      </x:c>
      <x:c r="F8222" s="0" t="s">
        <x:v>45</x:v>
      </x:c>
      <x:c r="G8222" s="0" t="s">
        <x:v>19</x:v>
      </x:c>
      <x:c r="H8222" s="0" t="s">
        <x:v>20</x:v>
      </x:c>
      <x:c r="I8222" s="0" t="s">
        <x:v>21</x:v>
      </x:c>
      <x:c r="K8222" s="0">
        <x:f>hyperlink("https://icd.who.int/dev11/l-ichi/en#/http%3A%2F%2Fid.who.int%2Ficd%2Fentity%2F1951897438","browser")</x:f>
      </x:c>
      <x:c r="L8222" s="0">
        <x:f>hyperlink("https://icat2.azurewebsites.net/icat/?ontology=ICD&amp;tab=ClassesTab&amp;id=http%3A%2F%2Fwho.int%2Ficd%2347493_512ebf36_bf6b_4d70_85da_cf2637062af4","iCat")</x:f>
      </x:c>
      <x:c r="M8222" s="0" t="s">
        <x:v>21</x:v>
      </x:c>
      <x:c r="N8222" s="0" t="s">
        <x:v>46</x:v>
      </x:c>
    </x:row>
    <x:row r="8223" spans="1:16">
      <x:c r="A8223" s="0" t="s">
        <x:v>32753</x:v>
      </x:c>
      <x:c r="B8223" s="0" t="s">
        <x:v>32754</x:v>
      </x:c>
      <x:c r="C8223" s="0" t="s">
        <x:v>32755</x:v>
      </x:c>
      <x:c r="E8223" s="0" t="s">
        <x:v>32756</x:v>
      </x:c>
      <x:c r="F8223" s="0" t="s">
        <x:v>45</x:v>
      </x:c>
      <x:c r="G8223" s="0" t="s">
        <x:v>19</x:v>
      </x:c>
      <x:c r="H8223" s="0" t="s">
        <x:v>20</x:v>
      </x:c>
      <x:c r="I8223" s="0" t="s">
        <x:v>21</x:v>
      </x:c>
      <x:c r="K8223" s="0">
        <x:f>hyperlink("https://icd.who.int/dev11/l-ichi/en#/http%3A%2F%2Fid.who.int%2Ficd%2Fentity%2F834269867","browser")</x:f>
      </x:c>
      <x:c r="L8223" s="0">
        <x:f>hyperlink("https://icat2.azurewebsites.net/icat/?ontology=ICD&amp;tab=ClassesTab&amp;id=http%3A%2F%2Fwho.int%2Ficd%2347500_512ebf36_bf6b_4d70_85da_cf2637062af4","iCat")</x:f>
      </x:c>
      <x:c r="M8223" s="0" t="s">
        <x:v>21</x:v>
      </x:c>
      <x:c r="N8223" s="0" t="s">
        <x:v>46</x:v>
      </x:c>
    </x:row>
    <x:row r="8224" spans="1:16">
      <x:c r="A8224" s="0" t="s">
        <x:v>32757</x:v>
      </x:c>
      <x:c r="B8224" s="0" t="s">
        <x:v>32758</x:v>
      </x:c>
      <x:c r="C8224" s="0" t="s">
        <x:v>32759</x:v>
      </x:c>
      <x:c r="E8224" s="0" t="s">
        <x:v>32760</x:v>
      </x:c>
      <x:c r="F8224" s="0" t="s">
        <x:v>45</x:v>
      </x:c>
      <x:c r="G8224" s="0" t="s">
        <x:v>19</x:v>
      </x:c>
      <x:c r="H8224" s="0" t="s">
        <x:v>20</x:v>
      </x:c>
      <x:c r="I8224" s="0" t="s">
        <x:v>21</x:v>
      </x:c>
      <x:c r="K8224" s="0">
        <x:f>hyperlink("https://icd.who.int/dev11/l-ichi/en#/http%3A%2F%2Fid.who.int%2Ficd%2Fentity%2F1094408488","browser")</x:f>
      </x:c>
      <x:c r="L8224" s="0">
        <x:f>hyperlink("https://icat2.azurewebsites.net/icat/?ontology=ICD&amp;tab=ClassesTab&amp;id=http%3A%2F%2Fwho.int%2Ficd%2347507_512ebf36_bf6b_4d70_85da_cf2637062af4","iCat")</x:f>
      </x:c>
      <x:c r="M8224" s="0" t="s">
        <x:v>21</x:v>
      </x:c>
      <x:c r="N8224" s="0" t="s">
        <x:v>46</x:v>
      </x:c>
    </x:row>
    <x:row r="8225" spans="1:16">
      <x:c r="A8225" s="0" t="s">
        <x:v>32761</x:v>
      </x:c>
      <x:c r="B8225" s="0" t="s">
        <x:v>32762</x:v>
      </x:c>
      <x:c r="C8225" s="0" t="s">
        <x:v>32763</x:v>
      </x:c>
      <x:c r="E8225" s="0" t="s">
        <x:v>32764</x:v>
      </x:c>
      <x:c r="F8225" s="0" t="s">
        <x:v>45</x:v>
      </x:c>
      <x:c r="G8225" s="0" t="s">
        <x:v>19</x:v>
      </x:c>
      <x:c r="H8225" s="0" t="s">
        <x:v>20</x:v>
      </x:c>
      <x:c r="I8225" s="0" t="s">
        <x:v>21</x:v>
      </x:c>
      <x:c r="K8225" s="0">
        <x:f>hyperlink("https://icd.who.int/dev11/l-ichi/en#/http%3A%2F%2Fid.who.int%2Ficd%2Fentity%2F1853596552","browser")</x:f>
      </x:c>
      <x:c r="L8225" s="0">
        <x:f>hyperlink("https://icat2.azurewebsites.net/icat/?ontology=ICD&amp;tab=ClassesTab&amp;id=http%3A%2F%2Fwho.int%2Ficd%2347514_512ebf36_bf6b_4d70_85da_cf2637062af4","iCat")</x:f>
      </x:c>
      <x:c r="M8225" s="0" t="s">
        <x:v>21</x:v>
      </x:c>
      <x:c r="N8225" s="0" t="s">
        <x:v>46</x:v>
      </x:c>
    </x:row>
    <x:row r="8226" spans="1:16">
      <x:c r="A8226" s="0" t="s">
        <x:v>32765</x:v>
      </x:c>
      <x:c r="B8226" s="0" t="s">
        <x:v>32766</x:v>
      </x:c>
      <x:c r="C8226" s="0" t="s">
        <x:v>32767</x:v>
      </x:c>
      <x:c r="E8226" s="0" t="s">
        <x:v>32768</x:v>
      </x:c>
      <x:c r="F8226" s="0" t="s">
        <x:v>45</x:v>
      </x:c>
      <x:c r="G8226" s="0" t="s">
        <x:v>19</x:v>
      </x:c>
      <x:c r="H8226" s="0" t="s">
        <x:v>20</x:v>
      </x:c>
      <x:c r="I8226" s="0" t="s">
        <x:v>21</x:v>
      </x:c>
      <x:c r="K8226" s="0">
        <x:f>hyperlink("https://icd.who.int/dev11/l-ichi/en#/http%3A%2F%2Fid.who.int%2Ficd%2Fentity%2F565201319","browser")</x:f>
      </x:c>
      <x:c r="L8226" s="0">
        <x:f>hyperlink("https://icat2.azurewebsites.net/icat/?ontology=ICD&amp;tab=ClassesTab&amp;id=http%3A%2F%2Fwho.int%2Ficd%232650_9cd760cf_9e71_4bdb_b2ea_a3ed07921568","iCat")</x:f>
      </x:c>
      <x:c r="M8226" s="0" t="s">
        <x:v>21</x:v>
      </x:c>
      <x:c r="N8226" s="0" t="s">
        <x:v>46</x:v>
      </x:c>
    </x:row>
    <x:row r="8227" spans="1:16">
      <x:c r="A8227" s="0" t="s">
        <x:v>32769</x:v>
      </x:c>
      <x:c r="B8227" s="0" t="s">
        <x:v>32770</x:v>
      </x:c>
      <x:c r="C8227" s="0" t="s">
        <x:v>32771</x:v>
      </x:c>
      <x:c r="E8227" s="0" t="s">
        <x:v>32772</x:v>
      </x:c>
      <x:c r="F8227" s="0" t="s">
        <x:v>45</x:v>
      </x:c>
      <x:c r="G8227" s="0" t="s">
        <x:v>19</x:v>
      </x:c>
      <x:c r="H8227" s="0" t="s">
        <x:v>20</x:v>
      </x:c>
      <x:c r="I8227" s="0" t="s">
        <x:v>21</x:v>
      </x:c>
      <x:c r="K8227" s="0">
        <x:f>hyperlink("https://icd.who.int/dev11/l-ichi/en#/http%3A%2F%2Fid.who.int%2Ficd%2Fentity%2F2125543998","browser")</x:f>
      </x:c>
      <x:c r="L8227" s="0">
        <x:f>hyperlink("https://icat2.azurewebsites.net/icat/?ontology=ICD&amp;tab=ClassesTab&amp;id=http%3A%2F%2Fwho.int%2Ficd%2347522_512ebf36_bf6b_4d70_85da_cf2637062af4","iCat")</x:f>
      </x:c>
      <x:c r="M8227" s="0" t="s">
        <x:v>21</x:v>
      </x:c>
      <x:c r="N8227" s="0" t="s">
        <x:v>46</x:v>
      </x:c>
    </x:row>
    <x:row r="8228" spans="1:16">
      <x:c r="A8228" s="0" t="s">
        <x:v>32773</x:v>
      </x:c>
      <x:c r="B8228" s="0" t="s">
        <x:v>32774</x:v>
      </x:c>
      <x:c r="C8228" s="0" t="s">
        <x:v>32775</x:v>
      </x:c>
      <x:c r="E8228" s="0" t="s">
        <x:v>32776</x:v>
      </x:c>
      <x:c r="F8228" s="0" t="s">
        <x:v>45</x:v>
      </x:c>
      <x:c r="G8228" s="0" t="s">
        <x:v>19</x:v>
      </x:c>
      <x:c r="H8228" s="0" t="s">
        <x:v>20</x:v>
      </x:c>
      <x:c r="I8228" s="0" t="s">
        <x:v>21</x:v>
      </x:c>
      <x:c r="K8228" s="0">
        <x:f>hyperlink("https://icd.who.int/dev11/l-ichi/en#/http%3A%2F%2Fid.who.int%2Ficd%2Fentity%2F1865496818","browser")</x:f>
      </x:c>
      <x:c r="L8228" s="0">
        <x:f>hyperlink("https://icat2.azurewebsites.net/icat/?ontology=ICD&amp;tab=ClassesTab&amp;id=http%3A%2F%2Fwho.int%2Ficd%232658_9cd760cf_9e71_4bdb_b2ea_a3ed07921568","iCat")</x:f>
      </x:c>
      <x:c r="M8228" s="0" t="s">
        <x:v>21</x:v>
      </x:c>
      <x:c r="N8228" s="0" t="s">
        <x:v>46</x:v>
      </x:c>
    </x:row>
    <x:row r="8229" spans="1:16">
      <x:c r="A8229" s="0" t="s">
        <x:v>32777</x:v>
      </x:c>
      <x:c r="B8229" s="0" t="s">
        <x:v>32778</x:v>
      </x:c>
      <x:c r="C8229" s="0" t="s">
        <x:v>32779</x:v>
      </x:c>
      <x:c r="E8229" s="0" t="s">
        <x:v>32780</x:v>
      </x:c>
      <x:c r="F8229" s="0" t="s">
        <x:v>45</x:v>
      </x:c>
      <x:c r="G8229" s="0" t="s">
        <x:v>19</x:v>
      </x:c>
      <x:c r="H8229" s="0" t="s">
        <x:v>20</x:v>
      </x:c>
      <x:c r="I8229" s="0" t="s">
        <x:v>21</x:v>
      </x:c>
      <x:c r="K8229" s="0">
        <x:f>hyperlink("https://icd.who.int/dev11/l-ichi/en#/http%3A%2F%2Fid.who.int%2Ficd%2Fentity%2F1409732052","browser")</x:f>
      </x:c>
      <x:c r="L8229" s="0">
        <x:f>hyperlink("https://icat2.azurewebsites.net/icat/?ontology=ICD&amp;tab=ClassesTab&amp;id=http%3A%2F%2Fwho.int%2Ficd%232664_9cd760cf_9e71_4bdb_b2ea_a3ed07921568","iCat")</x:f>
      </x:c>
      <x:c r="M8229" s="0" t="s">
        <x:v>21</x:v>
      </x:c>
      <x:c r="N8229" s="0" t="s">
        <x:v>46</x:v>
      </x:c>
    </x:row>
    <x:row r="8230" spans="1:16">
      <x:c r="A8230" s="0" t="s">
        <x:v>32781</x:v>
      </x:c>
      <x:c r="B8230" s="0" t="s">
        <x:v>32782</x:v>
      </x:c>
      <x:c r="C8230" s="0" t="s">
        <x:v>32783</x:v>
      </x:c>
      <x:c r="E8230" s="0" t="s">
        <x:v>32784</x:v>
      </x:c>
      <x:c r="F8230" s="0" t="s">
        <x:v>45</x:v>
      </x:c>
      <x:c r="G8230" s="0" t="s">
        <x:v>19</x:v>
      </x:c>
      <x:c r="H8230" s="0" t="s">
        <x:v>20</x:v>
      </x:c>
      <x:c r="I8230" s="0" t="s">
        <x:v>21</x:v>
      </x:c>
      <x:c r="K8230" s="0">
        <x:f>hyperlink("https://icd.who.int/dev11/l-ichi/en#/http%3A%2F%2Fid.who.int%2Ficd%2Fentity%2F197434615","browser")</x:f>
      </x:c>
      <x:c r="L8230" s="0">
        <x:f>hyperlink("https://icat2.azurewebsites.net/icat/?ontology=ICD&amp;tab=ClassesTab&amp;id=http%3A%2F%2Fwho.int%2Ficd%232670_9cd760cf_9e71_4bdb_b2ea_a3ed07921568","iCat")</x:f>
      </x:c>
      <x:c r="M8230" s="0" t="s">
        <x:v>21</x:v>
      </x:c>
      <x:c r="N8230" s="0" t="s">
        <x:v>46</x:v>
      </x:c>
    </x:row>
    <x:row r="8231" spans="1:16">
      <x:c r="A8231" s="0" t="s">
        <x:v>32785</x:v>
      </x:c>
      <x:c r="B8231" s="0" t="s">
        <x:v>32786</x:v>
      </x:c>
      <x:c r="C8231" s="0" t="s">
        <x:v>32787</x:v>
      </x:c>
      <x:c r="E8231" s="0" t="s">
        <x:v>32788</x:v>
      </x:c>
      <x:c r="F8231" s="0" t="s">
        <x:v>45</x:v>
      </x:c>
      <x:c r="G8231" s="0" t="s">
        <x:v>19</x:v>
      </x:c>
      <x:c r="H8231" s="0" t="s">
        <x:v>20</x:v>
      </x:c>
      <x:c r="I8231" s="0" t="s">
        <x:v>21</x:v>
      </x:c>
      <x:c r="K8231" s="0">
        <x:f>hyperlink("https://icd.who.int/dev11/l-ichi/en#/http%3A%2F%2Fid.who.int%2Ficd%2Fentity%2F1539261766","browser")</x:f>
      </x:c>
      <x:c r="L8231" s="0">
        <x:f>hyperlink("https://icat2.azurewebsites.net/icat/?ontology=ICD&amp;tab=ClassesTab&amp;id=http%3A%2F%2Fwho.int%2Ficd%232676_9cd760cf_9e71_4bdb_b2ea_a3ed07921568","iCat")</x:f>
      </x:c>
      <x:c r="M8231" s="0" t="s">
        <x:v>21</x:v>
      </x:c>
      <x:c r="N8231" s="0" t="s">
        <x:v>46</x:v>
      </x:c>
    </x:row>
    <x:row r="8232" spans="1:16">
      <x:c r="A8232" s="0" t="s">
        <x:v>32789</x:v>
      </x:c>
      <x:c r="B8232" s="0" t="s">
        <x:v>32790</x:v>
      </x:c>
      <x:c r="C8232" s="0" t="s">
        <x:v>32791</x:v>
      </x:c>
      <x:c r="E8232" s="0" t="s">
        <x:v>32792</x:v>
      </x:c>
      <x:c r="F8232" s="0" t="s">
        <x:v>45</x:v>
      </x:c>
      <x:c r="G8232" s="0" t="s">
        <x:v>19</x:v>
      </x:c>
      <x:c r="H8232" s="0" t="s">
        <x:v>20</x:v>
      </x:c>
      <x:c r="I8232" s="0" t="s">
        <x:v>21</x:v>
      </x:c>
      <x:c r="K8232" s="0">
        <x:f>hyperlink("https://icd.who.int/dev11/l-ichi/en#/http%3A%2F%2Fid.who.int%2Ficd%2Fentity%2F1096797166","browser")</x:f>
      </x:c>
      <x:c r="L8232" s="0">
        <x:f>hyperlink("https://icat2.azurewebsites.net/icat/?ontology=ICD&amp;tab=ClassesTab&amp;id=http%3A%2F%2Fwho.int%2Ficd%232682_9cd760cf_9e71_4bdb_b2ea_a3ed07921568","iCat")</x:f>
      </x:c>
      <x:c r="M8232" s="0" t="s">
        <x:v>21</x:v>
      </x:c>
      <x:c r="N8232" s="0" t="s">
        <x:v>46</x:v>
      </x:c>
    </x:row>
    <x:row r="8233" spans="1:16">
      <x:c r="A8233" s="0" t="s">
        <x:v>32793</x:v>
      </x:c>
      <x:c r="B8233" s="0" t="s">
        <x:v>32794</x:v>
      </x:c>
      <x:c r="C8233" s="0" t="s">
        <x:v>32795</x:v>
      </x:c>
      <x:c r="E8233" s="0" t="s">
        <x:v>32796</x:v>
      </x:c>
      <x:c r="F8233" s="0" t="s">
        <x:v>45</x:v>
      </x:c>
      <x:c r="G8233" s="0" t="s">
        <x:v>19</x:v>
      </x:c>
      <x:c r="H8233" s="0" t="s">
        <x:v>20</x:v>
      </x:c>
      <x:c r="I8233" s="0" t="s">
        <x:v>21</x:v>
      </x:c>
      <x:c r="K8233" s="0">
        <x:f>hyperlink("https://icd.who.int/dev11/l-ichi/en#/http%3A%2F%2Fid.who.int%2Ficd%2Fentity%2F1789044606","browser")</x:f>
      </x:c>
      <x:c r="L8233" s="0">
        <x:f>hyperlink("https://icat2.azurewebsites.net/icat/?ontology=ICD&amp;tab=ClassesTab&amp;id=http%3A%2F%2Fwho.int%2Ficd%232688_9cd760cf_9e71_4bdb_b2ea_a3ed07921568","iCat")</x:f>
      </x:c>
      <x:c r="M8233" s="0" t="s">
        <x:v>21</x:v>
      </x:c>
      <x:c r="N8233" s="0" t="s">
        <x:v>46</x:v>
      </x:c>
    </x:row>
    <x:row r="8234" spans="1:16">
      <x:c r="A8234" s="0" t="s">
        <x:v>32797</x:v>
      </x:c>
      <x:c r="B8234" s="0" t="s">
        <x:v>32798</x:v>
      </x:c>
      <x:c r="C8234" s="0" t="s">
        <x:v>32799</x:v>
      </x:c>
      <x:c r="E8234" s="0" t="s">
        <x:v>32800</x:v>
      </x:c>
      <x:c r="F8234" s="0" t="s">
        <x:v>45</x:v>
      </x:c>
      <x:c r="G8234" s="0" t="s">
        <x:v>19</x:v>
      </x:c>
      <x:c r="H8234" s="0" t="s">
        <x:v>20</x:v>
      </x:c>
      <x:c r="I8234" s="0" t="s">
        <x:v>21</x:v>
      </x:c>
      <x:c r="K8234" s="0">
        <x:f>hyperlink("https://icd.who.int/dev11/l-ichi/en#/http%3A%2F%2Fid.who.int%2Ficd%2Fentity%2F2078377738","browser")</x:f>
      </x:c>
      <x:c r="L8234" s="0">
        <x:f>hyperlink("https://icat2.azurewebsites.net/icat/?ontology=ICD&amp;tab=ClassesTab&amp;id=http%3A%2F%2Fwho.int%2Ficd%232694_9cd760cf_9e71_4bdb_b2ea_a3ed07921568","iCat")</x:f>
      </x:c>
      <x:c r="M8234" s="0" t="s">
        <x:v>21</x:v>
      </x:c>
      <x:c r="N8234" s="0" t="s">
        <x:v>46</x:v>
      </x:c>
    </x:row>
    <x:row r="8235" spans="1:16">
      <x:c r="A8235" s="0" t="s">
        <x:v>32801</x:v>
      </x:c>
      <x:c r="B8235" s="0" t="s">
        <x:v>32802</x:v>
      </x:c>
      <x:c r="C8235" s="0" t="s">
        <x:v>32803</x:v>
      </x:c>
      <x:c r="E8235" s="0" t="s">
        <x:v>32804</x:v>
      </x:c>
      <x:c r="F8235" s="0" t="s">
        <x:v>45</x:v>
      </x:c>
      <x:c r="G8235" s="0" t="s">
        <x:v>19</x:v>
      </x:c>
      <x:c r="H8235" s="0" t="s">
        <x:v>20</x:v>
      </x:c>
      <x:c r="I8235" s="0" t="s">
        <x:v>21</x:v>
      </x:c>
      <x:c r="K8235" s="0">
        <x:f>hyperlink("https://icd.who.int/dev11/l-ichi/en#/http%3A%2F%2Fid.who.int%2Ficd%2Fentity%2F1317882224","browser")</x:f>
      </x:c>
      <x:c r="L8235" s="0">
        <x:f>hyperlink("https://icat2.azurewebsites.net/icat/?ontology=ICD&amp;tab=ClassesTab&amp;id=http%3A%2F%2Fwho.int%2Ficd%232700_9cd760cf_9e71_4bdb_b2ea_a3ed07921568","iCat")</x:f>
      </x:c>
      <x:c r="M8235" s="0" t="s">
        <x:v>21</x:v>
      </x:c>
      <x:c r="N8235" s="0" t="s">
        <x:v>46</x:v>
      </x:c>
    </x:row>
    <x:row r="8236" spans="1:16">
      <x:c r="A8236" s="0" t="s">
        <x:v>32805</x:v>
      </x:c>
      <x:c r="B8236" s="0" t="s">
        <x:v>32806</x:v>
      </x:c>
      <x:c r="C8236" s="0" t="s">
        <x:v>32807</x:v>
      </x:c>
      <x:c r="E8236" s="0" t="s">
        <x:v>32808</x:v>
      </x:c>
      <x:c r="F8236" s="0" t="s">
        <x:v>45</x:v>
      </x:c>
      <x:c r="G8236" s="0" t="s">
        <x:v>19</x:v>
      </x:c>
      <x:c r="H8236" s="0" t="s">
        <x:v>20</x:v>
      </x:c>
      <x:c r="I8236" s="0" t="s">
        <x:v>21</x:v>
      </x:c>
      <x:c r="K8236" s="0">
        <x:f>hyperlink("https://icd.who.int/dev11/l-ichi/en#/http%3A%2F%2Fid.who.int%2Ficd%2Fentity%2F519475393","browser")</x:f>
      </x:c>
      <x:c r="L8236" s="0">
        <x:f>hyperlink("https://icat2.azurewebsites.net/icat/?ontology=ICD&amp;tab=ClassesTab&amp;id=http%3A%2F%2Fwho.int%2Ficd%232706_9cd760cf_9e71_4bdb_b2ea_a3ed07921568","iCat")</x:f>
      </x:c>
      <x:c r="M8236" s="0" t="s">
        <x:v>21</x:v>
      </x:c>
      <x:c r="N8236" s="0" t="s">
        <x:v>46</x:v>
      </x:c>
    </x:row>
    <x:row r="8237" spans="1:16">
      <x:c r="A8237" s="0" t="s">
        <x:v>32809</x:v>
      </x:c>
      <x:c r="B8237" s="0" t="s">
        <x:v>32810</x:v>
      </x:c>
      <x:c r="C8237" s="0" t="s">
        <x:v>32811</x:v>
      </x:c>
      <x:c r="E8237" s="0" t="s">
        <x:v>32812</x:v>
      </x:c>
      <x:c r="F8237" s="0" t="s">
        <x:v>45</x:v>
      </x:c>
      <x:c r="G8237" s="0" t="s">
        <x:v>19</x:v>
      </x:c>
      <x:c r="H8237" s="0" t="s">
        <x:v>20</x:v>
      </x:c>
      <x:c r="I8237" s="0" t="s">
        <x:v>21</x:v>
      </x:c>
      <x:c r="K8237" s="0">
        <x:f>hyperlink("https://icd.who.int/dev11/l-ichi/en#/http%3A%2F%2Fid.who.int%2Ficd%2Fentity%2F1093976546","browser")</x:f>
      </x:c>
      <x:c r="L8237" s="0">
        <x:f>hyperlink("https://icat2.azurewebsites.net/icat/?ontology=ICD&amp;tab=ClassesTab&amp;id=http%3A%2F%2Fwho.int%2Ficd%232712_9cd760cf_9e71_4bdb_b2ea_a3ed07921568","iCat")</x:f>
      </x:c>
      <x:c r="M8237" s="0" t="s">
        <x:v>21</x:v>
      </x:c>
      <x:c r="N8237" s="0" t="s">
        <x:v>46</x:v>
      </x:c>
    </x:row>
    <x:row r="8238" spans="1:16">
      <x:c r="A8238" s="0" t="s">
        <x:v>32813</x:v>
      </x:c>
      <x:c r="B8238" s="0" t="s">
        <x:v>32814</x:v>
      </x:c>
      <x:c r="C8238" s="0" t="s">
        <x:v>32815</x:v>
      </x:c>
      <x:c r="E8238" s="0" t="s">
        <x:v>32816</x:v>
      </x:c>
      <x:c r="F8238" s="0" t="s">
        <x:v>45</x:v>
      </x:c>
      <x:c r="G8238" s="0" t="s">
        <x:v>19</x:v>
      </x:c>
      <x:c r="H8238" s="0" t="s">
        <x:v>20</x:v>
      </x:c>
      <x:c r="I8238" s="0" t="s">
        <x:v>21</x:v>
      </x:c>
      <x:c r="K8238" s="0">
        <x:f>hyperlink("https://icd.who.int/dev11/l-ichi/en#/http%3A%2F%2Fid.who.int%2Ficd%2Fentity%2F1791602034","browser")</x:f>
      </x:c>
      <x:c r="L8238" s="0">
        <x:f>hyperlink("https://icat2.azurewebsites.net/icat/?ontology=ICD&amp;tab=ClassesTab&amp;id=http%3A%2F%2Fwho.int%2Ficd%232718_9cd760cf_9e71_4bdb_b2ea_a3ed07921568","iCat")</x:f>
      </x:c>
      <x:c r="M8238" s="0" t="s">
        <x:v>21</x:v>
      </x:c>
      <x:c r="N8238" s="0" t="s">
        <x:v>46</x:v>
      </x:c>
    </x:row>
    <x:row r="8239" spans="1:16">
      <x:c r="A8239" s="0" t="s">
        <x:v>32817</x:v>
      </x:c>
      <x:c r="B8239" s="0" t="s">
        <x:v>32818</x:v>
      </x:c>
      <x:c r="C8239" s="0" t="s">
        <x:v>32819</x:v>
      </x:c>
      <x:c r="E8239" s="0" t="s">
        <x:v>32820</x:v>
      </x:c>
      <x:c r="F8239" s="0" t="s">
        <x:v>45</x:v>
      </x:c>
      <x:c r="G8239" s="0" t="s">
        <x:v>19</x:v>
      </x:c>
      <x:c r="H8239" s="0" t="s">
        <x:v>20</x:v>
      </x:c>
      <x:c r="I8239" s="0" t="s">
        <x:v>21</x:v>
      </x:c>
      <x:c r="K8239" s="0">
        <x:f>hyperlink("https://icd.who.int/dev11/l-ichi/en#/http%3A%2F%2Fid.who.int%2Ficd%2Fentity%2F1375623252","browser")</x:f>
      </x:c>
      <x:c r="L8239" s="0">
        <x:f>hyperlink("https://icat2.azurewebsites.net/icat/?ontology=ICD&amp;tab=ClassesTab&amp;id=http%3A%2F%2Fwho.int%2Ficd%232724_9cd760cf_9e71_4bdb_b2ea_a3ed07921568","iCat")</x:f>
      </x:c>
      <x:c r="M8239" s="0" t="s">
        <x:v>21</x:v>
      </x:c>
      <x:c r="N8239" s="0" t="s">
        <x:v>46</x:v>
      </x:c>
    </x:row>
    <x:row r="8240" spans="1:16">
      <x:c r="A8240" s="0" t="s">
        <x:v>32821</x:v>
      </x:c>
      <x:c r="B8240" s="0" t="s">
        <x:v>32822</x:v>
      </x:c>
      <x:c r="C8240" s="0" t="s">
        <x:v>32823</x:v>
      </x:c>
      <x:c r="E8240" s="0" t="s">
        <x:v>32824</x:v>
      </x:c>
      <x:c r="F8240" s="0" t="s">
        <x:v>45</x:v>
      </x:c>
      <x:c r="G8240" s="0" t="s">
        <x:v>19</x:v>
      </x:c>
      <x:c r="H8240" s="0" t="s">
        <x:v>20</x:v>
      </x:c>
      <x:c r="I8240" s="0" t="s">
        <x:v>21</x:v>
      </x:c>
      <x:c r="K8240" s="0">
        <x:f>hyperlink("https://icd.who.int/dev11/l-ichi/en#/http%3A%2F%2Fid.who.int%2Ficd%2Fentity%2F238815607","browser")</x:f>
      </x:c>
      <x:c r="L8240" s="0">
        <x:f>hyperlink("https://icat2.azurewebsites.net/icat/?ontology=ICD&amp;tab=ClassesTab&amp;id=http%3A%2F%2Fwho.int%2Ficd%232730_9cd760cf_9e71_4bdb_b2ea_a3ed07921568","iCat")</x:f>
      </x:c>
      <x:c r="M8240" s="0" t="s">
        <x:v>21</x:v>
      </x:c>
      <x:c r="N8240" s="0" t="s">
        <x:v>46</x:v>
      </x:c>
    </x:row>
    <x:row r="8241" spans="1:16">
      <x:c r="A8241" s="0" t="s">
        <x:v>32825</x:v>
      </x:c>
      <x:c r="B8241" s="0" t="s">
        <x:v>32826</x:v>
      </x:c>
      <x:c r="C8241" s="0" t="s">
        <x:v>32827</x:v>
      </x:c>
      <x:c r="E8241" s="0" t="s">
        <x:v>32828</x:v>
      </x:c>
      <x:c r="F8241" s="0" t="s">
        <x:v>45</x:v>
      </x:c>
      <x:c r="G8241" s="0" t="s">
        <x:v>19</x:v>
      </x:c>
      <x:c r="H8241" s="0" t="s">
        <x:v>20</x:v>
      </x:c>
      <x:c r="I8241" s="0" t="s">
        <x:v>21</x:v>
      </x:c>
      <x:c r="K8241" s="0">
        <x:f>hyperlink("https://icd.who.int/dev11/l-ichi/en#/http%3A%2F%2Fid.who.int%2Ficd%2Fentity%2F1581764806","browser")</x:f>
      </x:c>
      <x:c r="L8241" s="0">
        <x:f>hyperlink("https://icat2.azurewebsites.net/icat/?ontology=ICD&amp;tab=ClassesTab&amp;id=http%3A%2F%2Fwho.int%2Ficd%232736_9cd760cf_9e71_4bdb_b2ea_a3ed07921568","iCat")</x:f>
      </x:c>
      <x:c r="M8241" s="0" t="s">
        <x:v>21</x:v>
      </x:c>
      <x:c r="N8241" s="0" t="s">
        <x:v>46</x:v>
      </x:c>
    </x:row>
    <x:row r="8242" spans="1:16">
      <x:c r="A8242" s="0" t="s">
        <x:v>32829</x:v>
      </x:c>
      <x:c r="B8242" s="0" t="s">
        <x:v>32830</x:v>
      </x:c>
      <x:c r="C8242" s="0" t="s">
        <x:v>32831</x:v>
      </x:c>
      <x:c r="E8242" s="0" t="s">
        <x:v>32832</x:v>
      </x:c>
      <x:c r="F8242" s="0" t="s">
        <x:v>45</x:v>
      </x:c>
      <x:c r="G8242" s="0" t="s">
        <x:v>19</x:v>
      </x:c>
      <x:c r="H8242" s="0" t="s">
        <x:v>20</x:v>
      </x:c>
      <x:c r="I8242" s="0" t="s">
        <x:v>21</x:v>
      </x:c>
      <x:c r="K8242" s="0">
        <x:f>hyperlink("https://icd.who.int/dev11/l-ichi/en#/http%3A%2F%2Fid.who.int%2Ficd%2Fentity%2F1536559016","browser")</x:f>
      </x:c>
      <x:c r="L8242" s="0">
        <x:f>hyperlink("https://icat2.azurewebsites.net/icat/?ontology=ICD&amp;tab=ClassesTab&amp;id=http%3A%2F%2Fwho.int%2Ficd%232742_9cd760cf_9e71_4bdb_b2ea_a3ed07921568","iCat")</x:f>
      </x:c>
      <x:c r="M8242" s="0" t="s">
        <x:v>21</x:v>
      </x:c>
      <x:c r="N8242" s="0" t="s">
        <x:v>46</x:v>
      </x:c>
    </x:row>
    <x:row r="8243" spans="1:16">
      <x:c r="A8243" s="0" t="s">
        <x:v>32833</x:v>
      </x:c>
      <x:c r="B8243" s="0" t="s">
        <x:v>32834</x:v>
      </x:c>
      <x:c r="C8243" s="0" t="s">
        <x:v>32835</x:v>
      </x:c>
      <x:c r="E8243" s="0" t="s">
        <x:v>32836</x:v>
      </x:c>
      <x:c r="F8243" s="0" t="s">
        <x:v>45</x:v>
      </x:c>
      <x:c r="G8243" s="0" t="s">
        <x:v>19</x:v>
      </x:c>
      <x:c r="H8243" s="0" t="s">
        <x:v>20</x:v>
      </x:c>
      <x:c r="I8243" s="0" t="s">
        <x:v>21</x:v>
      </x:c>
      <x:c r="K8243" s="0">
        <x:f>hyperlink("https://icd.who.int/dev11/l-ichi/en#/http%3A%2F%2Fid.who.int%2Ficd%2Fentity%2F530708172","browser")</x:f>
      </x:c>
      <x:c r="L8243" s="0">
        <x:f>hyperlink("https://icat2.azurewebsites.net/icat/?ontology=ICD&amp;tab=ClassesTab&amp;id=http%3A%2F%2Fwho.int%2Ficd%2377_60b821c4_cabc_4b81_9563_cb99d74167d5","iCat")</x:f>
      </x:c>
      <x:c r="M8243" s="0" t="s">
        <x:v>21</x:v>
      </x:c>
      <x:c r="N8243" s="0" t="s">
        <x:v>46</x:v>
      </x:c>
    </x:row>
    <x:row r="8244" spans="1:16">
      <x:c r="A8244" s="0" t="s">
        <x:v>32837</x:v>
      </x:c>
      <x:c r="B8244" s="0" t="s">
        <x:v>32838</x:v>
      </x:c>
      <x:c r="C8244" s="0" t="s">
        <x:v>32839</x:v>
      </x:c>
      <x:c r="E8244" s="0" t="s">
        <x:v>32840</x:v>
      </x:c>
      <x:c r="F8244" s="0" t="s">
        <x:v>45</x:v>
      </x:c>
      <x:c r="G8244" s="0" t="s">
        <x:v>19</x:v>
      </x:c>
      <x:c r="H8244" s="0" t="s">
        <x:v>20</x:v>
      </x:c>
      <x:c r="I8244" s="0" t="s">
        <x:v>21</x:v>
      </x:c>
      <x:c r="K8244" s="0">
        <x:f>hyperlink("https://icd.who.int/dev11/l-ichi/en#/http%3A%2F%2Fid.who.int%2Ficd%2Fentity%2F1886087992","browser")</x:f>
      </x:c>
      <x:c r="L8244" s="0">
        <x:f>hyperlink("https://icat2.azurewebsites.net/icat/?ontology=ICD&amp;tab=ClassesTab&amp;id=http%3A%2F%2Fwho.int%2Ficd%232748_9cd760cf_9e71_4bdb_b2ea_a3ed07921568","iCat")</x:f>
      </x:c>
      <x:c r="M8244" s="0" t="s">
        <x:v>21</x:v>
      </x:c>
      <x:c r="N8244" s="0" t="s">
        <x:v>46</x:v>
      </x:c>
    </x:row>
    <x:row r="8245" spans="1:16">
      <x:c r="A8245" s="0" t="s">
        <x:v>32841</x:v>
      </x:c>
      <x:c r="B8245" s="0" t="s">
        <x:v>32842</x:v>
      </x:c>
      <x:c r="C8245" s="0" t="s">
        <x:v>32843</x:v>
      </x:c>
      <x:c r="E8245" s="0" t="s">
        <x:v>32844</x:v>
      </x:c>
      <x:c r="F8245" s="0" t="s">
        <x:v>45</x:v>
      </x:c>
      <x:c r="G8245" s="0" t="s">
        <x:v>19</x:v>
      </x:c>
      <x:c r="H8245" s="0" t="s">
        <x:v>20</x:v>
      </x:c>
      <x:c r="I8245" s="0" t="s">
        <x:v>21</x:v>
      </x:c>
      <x:c r="K8245" s="0">
        <x:f>hyperlink("https://icd.who.int/dev11/l-ichi/en#/http%3A%2F%2Fid.who.int%2Ficd%2Fentity%2F1630030672","browser")</x:f>
      </x:c>
      <x:c r="L8245" s="0">
        <x:f>hyperlink("https://icat2.azurewebsites.net/icat/?ontology=ICD&amp;tab=ClassesTab&amp;id=http%3A%2F%2Fwho.int%2Ficd%232754_9cd760cf_9e71_4bdb_b2ea_a3ed07921568","iCat")</x:f>
      </x:c>
      <x:c r="M8245" s="0" t="s">
        <x:v>21</x:v>
      </x:c>
      <x:c r="N8245" s="0" t="s">
        <x:v>46</x:v>
      </x:c>
    </x:row>
    <x:row r="8246" spans="1:16">
      <x:c r="A8246" s="0" t="s">
        <x:v>32845</x:v>
      </x:c>
      <x:c r="B8246" s="0" t="s">
        <x:v>32846</x:v>
      </x:c>
      <x:c r="C8246" s="0" t="s">
        <x:v>32847</x:v>
      </x:c>
      <x:c r="E8246" s="0" t="s">
        <x:v>32848</x:v>
      </x:c>
      <x:c r="F8246" s="0" t="s">
        <x:v>45</x:v>
      </x:c>
      <x:c r="G8246" s="0" t="s">
        <x:v>19</x:v>
      </x:c>
      <x:c r="H8246" s="0" t="s">
        <x:v>20</x:v>
      </x:c>
      <x:c r="I8246" s="0" t="s">
        <x:v>21</x:v>
      </x:c>
      <x:c r="K8246" s="0">
        <x:f>hyperlink("https://icd.who.int/dev11/l-ichi/en#/http%3A%2F%2Fid.who.int%2Ficd%2Fentity%2F345952061","browser")</x:f>
      </x:c>
      <x:c r="L8246" s="0">
        <x:f>hyperlink("https://icat2.azurewebsites.net/icat/?ontology=ICD&amp;tab=ClassesTab&amp;id=http%3A%2F%2Fwho.int%2Ficd%232760_9cd760cf_9e71_4bdb_b2ea_a3ed07921568","iCat")</x:f>
      </x:c>
      <x:c r="M8246" s="0" t="s">
        <x:v>21</x:v>
      </x:c>
      <x:c r="N8246" s="0" t="s">
        <x:v>46</x:v>
      </x:c>
    </x:row>
    <x:row r="8247" spans="1:16">
      <x:c r="A8247" s="0" t="s">
        <x:v>32849</x:v>
      </x:c>
      <x:c r="B8247" s="0" t="s">
        <x:v>32850</x:v>
      </x:c>
      <x:c r="C8247" s="0" t="s">
        <x:v>32851</x:v>
      </x:c>
      <x:c r="E8247" s="0" t="s">
        <x:v>32852</x:v>
      </x:c>
      <x:c r="F8247" s="0" t="s">
        <x:v>45</x:v>
      </x:c>
      <x:c r="G8247" s="0" t="s">
        <x:v>19</x:v>
      </x:c>
      <x:c r="H8247" s="0" t="s">
        <x:v>20</x:v>
      </x:c>
      <x:c r="I8247" s="0" t="s">
        <x:v>21</x:v>
      </x:c>
      <x:c r="K8247" s="0">
        <x:f>hyperlink("https://icd.who.int/dev11/l-ichi/en#/http%3A%2F%2Fid.who.int%2Ficd%2Fentity%2F1155864204","browser")</x:f>
      </x:c>
      <x:c r="L8247" s="0">
        <x:f>hyperlink("https://icat2.azurewebsites.net/icat/?ontology=ICD&amp;tab=ClassesTab&amp;id=http%3A%2F%2Fwho.int%2Ficd%232766_9cd760cf_9e71_4bdb_b2ea_a3ed07921568","iCat")</x:f>
      </x:c>
      <x:c r="M8247" s="0" t="s">
        <x:v>21</x:v>
      </x:c>
      <x:c r="N8247" s="0" t="s">
        <x:v>46</x:v>
      </x:c>
    </x:row>
    <x:row r="8248" spans="1:16">
      <x:c r="A8248" s="0" t="s">
        <x:v>32853</x:v>
      </x:c>
      <x:c r="B8248" s="0" t="s">
        <x:v>32854</x:v>
      </x:c>
      <x:c r="C8248" s="0" t="s">
        <x:v>32855</x:v>
      </x:c>
      <x:c r="E8248" s="0" t="s">
        <x:v>32856</x:v>
      </x:c>
      <x:c r="F8248" s="0" t="s">
        <x:v>45</x:v>
      </x:c>
      <x:c r="G8248" s="0" t="s">
        <x:v>19</x:v>
      </x:c>
      <x:c r="H8248" s="0" t="s">
        <x:v>20</x:v>
      </x:c>
      <x:c r="I8248" s="0" t="s">
        <x:v>21</x:v>
      </x:c>
      <x:c r="K8248" s="0">
        <x:f>hyperlink("https://icd.who.int/dev11/l-ichi/en#/http%3A%2F%2Fid.who.int%2Ficd%2Fentity%2F455559087","browser")</x:f>
      </x:c>
      <x:c r="L8248" s="0">
        <x:f>hyperlink("https://icat2.azurewebsites.net/icat/?ontology=ICD&amp;tab=ClassesTab&amp;id=http%3A%2F%2Fwho.int%2Ficd%232772_9cd760cf_9e71_4bdb_b2ea_a3ed07921568","iCat")</x:f>
      </x:c>
      <x:c r="M8248" s="0" t="s">
        <x:v>21</x:v>
      </x:c>
      <x:c r="N8248" s="0" t="s">
        <x:v>46</x:v>
      </x:c>
    </x:row>
    <x:row r="8249" spans="1:16">
      <x:c r="A8249" s="0" t="s">
        <x:v>32857</x:v>
      </x:c>
      <x:c r="B8249" s="0" t="s">
        <x:v>32858</x:v>
      </x:c>
      <x:c r="C8249" s="0" t="s">
        <x:v>32859</x:v>
      </x:c>
      <x:c r="E8249" s="0" t="s">
        <x:v>32860</x:v>
      </x:c>
      <x:c r="F8249" s="0" t="s">
        <x:v>45</x:v>
      </x:c>
      <x:c r="G8249" s="0" t="s">
        <x:v>19</x:v>
      </x:c>
      <x:c r="H8249" s="0" t="s">
        <x:v>20</x:v>
      </x:c>
      <x:c r="I8249" s="0" t="s">
        <x:v>21</x:v>
      </x:c>
      <x:c r="K8249" s="0">
        <x:f>hyperlink("https://icd.who.int/dev11/l-ichi/en#/http%3A%2F%2Fid.who.int%2Ficd%2Fentity%2F819604287","browser")</x:f>
      </x:c>
      <x:c r="L8249" s="0">
        <x:f>hyperlink("https://icat2.azurewebsites.net/icat/?ontology=ICD&amp;tab=ClassesTab&amp;id=http%3A%2F%2Fwho.int%2Ficd%232778_9cd760cf_9e71_4bdb_b2ea_a3ed07921568","iCat")</x:f>
      </x:c>
      <x:c r="M8249" s="0" t="s">
        <x:v>21</x:v>
      </x:c>
      <x:c r="N8249" s="0" t="s">
        <x:v>46</x:v>
      </x:c>
    </x:row>
    <x:row r="8250" spans="1:16">
      <x:c r="A8250" s="0" t="s">
        <x:v>32861</x:v>
      </x:c>
      <x:c r="B8250" s="0" t="s">
        <x:v>32862</x:v>
      </x:c>
      <x:c r="C8250" s="0" t="s">
        <x:v>32863</x:v>
      </x:c>
      <x:c r="E8250" s="0" t="s">
        <x:v>32864</x:v>
      </x:c>
      <x:c r="F8250" s="0" t="s">
        <x:v>45</x:v>
      </x:c>
      <x:c r="G8250" s="0" t="s">
        <x:v>19</x:v>
      </x:c>
      <x:c r="H8250" s="0" t="s">
        <x:v>20</x:v>
      </x:c>
      <x:c r="I8250" s="0" t="s">
        <x:v>21</x:v>
      </x:c>
      <x:c r="K8250" s="0">
        <x:f>hyperlink("https://icd.who.int/dev11/l-ichi/en#/http%3A%2F%2Fid.who.int%2Ficd%2Fentity%2F1882249997","browser")</x:f>
      </x:c>
      <x:c r="L8250" s="0">
        <x:f>hyperlink("https://icat2.azurewebsites.net/icat/?ontology=ICD&amp;tab=ClassesTab&amp;id=http%3A%2F%2Fwho.int%2Ficd%23267_3c64dd61_a787_4b69_a0aa_c26ee473e65a","iCat")</x:f>
      </x:c>
      <x:c r="M8250" s="0" t="s">
        <x:v>21</x:v>
      </x:c>
      <x:c r="N8250" s="0" t="s">
        <x:v>46</x:v>
      </x:c>
    </x:row>
    <x:row r="8251" spans="1:16">
      <x:c r="A8251" s="0" t="s">
        <x:v>32865</x:v>
      </x:c>
      <x:c r="B8251" s="0" t="s">
        <x:v>32866</x:v>
      </x:c>
      <x:c r="C8251" s="0" t="s">
        <x:v>32867</x:v>
      </x:c>
      <x:c r="E8251" s="0" t="s">
        <x:v>32868</x:v>
      </x:c>
      <x:c r="F8251" s="0" t="s">
        <x:v>45</x:v>
      </x:c>
      <x:c r="G8251" s="0" t="s">
        <x:v>19</x:v>
      </x:c>
      <x:c r="H8251" s="0" t="s">
        <x:v>20</x:v>
      </x:c>
      <x:c r="I8251" s="0" t="s">
        <x:v>21</x:v>
      </x:c>
      <x:c r="K8251" s="0">
        <x:f>hyperlink("https://icd.who.int/dev11/l-ichi/en#/http%3A%2F%2Fid.who.int%2Ficd%2Fentity%2F1690031296","browser")</x:f>
      </x:c>
      <x:c r="L8251" s="0">
        <x:f>hyperlink("https://icat2.azurewebsites.net/icat/?ontology=ICD&amp;tab=ClassesTab&amp;id=http%3A%2F%2Fwho.int%2Ficd%232784_9cd760cf_9e71_4bdb_b2ea_a3ed07921568","iCat")</x:f>
      </x:c>
      <x:c r="M8251" s="0" t="s">
        <x:v>21</x:v>
      </x:c>
      <x:c r="N8251" s="0" t="s">
        <x:v>46</x:v>
      </x:c>
    </x:row>
    <x:row r="8252" spans="1:16">
      <x:c r="A8252" s="0" t="s">
        <x:v>32869</x:v>
      </x:c>
      <x:c r="B8252" s="0" t="s">
        <x:v>32870</x:v>
      </x:c>
      <x:c r="C8252" s="0" t="s">
        <x:v>32871</x:v>
      </x:c>
      <x:c r="E8252" s="0" t="s">
        <x:v>32872</x:v>
      </x:c>
      <x:c r="F8252" s="0" t="s">
        <x:v>45</x:v>
      </x:c>
      <x:c r="G8252" s="0" t="s">
        <x:v>19</x:v>
      </x:c>
      <x:c r="H8252" s="0" t="s">
        <x:v>20</x:v>
      </x:c>
      <x:c r="I8252" s="0" t="s">
        <x:v>21</x:v>
      </x:c>
      <x:c r="K8252" s="0">
        <x:f>hyperlink("https://icd.who.int/dev11/l-ichi/en#/http%3A%2F%2Fid.who.int%2Ficd%2Fentity%2F997819875","browser")</x:f>
      </x:c>
      <x:c r="L8252" s="0">
        <x:f>hyperlink("https://icat2.azurewebsites.net/icat/?ontology=ICD&amp;tab=ClassesTab&amp;id=http%3A%2F%2Fwho.int%2Ficd%232790_9cd760cf_9e71_4bdb_b2ea_a3ed07921568","iCat")</x:f>
      </x:c>
      <x:c r="M8252" s="0" t="s">
        <x:v>21</x:v>
      </x:c>
      <x:c r="N8252" s="0" t="s">
        <x:v>46</x:v>
      </x:c>
    </x:row>
    <x:row r="8253" spans="1:16">
      <x:c r="A8253" s="0" t="s">
        <x:v>32873</x:v>
      </x:c>
      <x:c r="B8253" s="0" t="s">
        <x:v>32874</x:v>
      </x:c>
      <x:c r="C8253" s="0" t="s">
        <x:v>32875</x:v>
      </x:c>
      <x:c r="E8253" s="0" t="s">
        <x:v>32876</x:v>
      </x:c>
      <x:c r="F8253" s="0" t="s">
        <x:v>45</x:v>
      </x:c>
      <x:c r="G8253" s="0" t="s">
        <x:v>19</x:v>
      </x:c>
      <x:c r="H8253" s="0" t="s">
        <x:v>20</x:v>
      </x:c>
      <x:c r="I8253" s="0" t="s">
        <x:v>21</x:v>
      </x:c>
      <x:c r="K8253" s="0">
        <x:f>hyperlink("https://icd.who.int/dev11/l-ichi/en#/http%3A%2F%2Fid.who.int%2Ficd%2Fentity%2F1795316818","browser")</x:f>
      </x:c>
      <x:c r="L8253" s="0">
        <x:f>hyperlink("https://icat2.azurewebsites.net/icat/?ontology=ICD&amp;tab=ClassesTab&amp;id=http%3A%2F%2Fwho.int%2Ficd%232796_9cd760cf_9e71_4bdb_b2ea_a3ed07921568","iCat")</x:f>
      </x:c>
      <x:c r="M8253" s="0" t="s">
        <x:v>21</x:v>
      </x:c>
      <x:c r="N8253" s="0" t="s">
        <x:v>46</x:v>
      </x:c>
    </x:row>
    <x:row r="8254" spans="1:16">
      <x:c r="A8254" s="0" t="s">
        <x:v>32877</x:v>
      </x:c>
      <x:c r="B8254" s="0" t="s">
        <x:v>32878</x:v>
      </x:c>
      <x:c r="C8254" s="0" t="s">
        <x:v>32879</x:v>
      </x:c>
      <x:c r="E8254" s="0" t="s">
        <x:v>32880</x:v>
      </x:c>
      <x:c r="F8254" s="0" t="s">
        <x:v>45</x:v>
      </x:c>
      <x:c r="G8254" s="0" t="s">
        <x:v>19</x:v>
      </x:c>
      <x:c r="H8254" s="0" t="s">
        <x:v>20</x:v>
      </x:c>
      <x:c r="I8254" s="0" t="s">
        <x:v>21</x:v>
      </x:c>
      <x:c r="K8254" s="0">
        <x:f>hyperlink("https://icd.who.int/dev11/l-ichi/en#/http%3A%2F%2Fid.who.int%2Ficd%2Fentity%2F804424240","browser")</x:f>
      </x:c>
      <x:c r="L8254" s="0">
        <x:f>hyperlink("https://icat2.azurewebsites.net/icat/?ontology=ICD&amp;tab=ClassesTab&amp;id=http%3A%2F%2Fwho.int%2Ficd%23273_3c64dd61_a787_4b69_a0aa_c26ee473e65a","iCat")</x:f>
      </x:c>
      <x:c r="M8254" s="0" t="s">
        <x:v>21</x:v>
      </x:c>
      <x:c r="N8254" s="0" t="s">
        <x:v>46</x:v>
      </x:c>
    </x:row>
    <x:row r="8255" spans="1:16">
      <x:c r="A8255" s="0" t="s">
        <x:v>32881</x:v>
      </x:c>
      <x:c r="B8255" s="0" t="s">
        <x:v>32882</x:v>
      </x:c>
      <x:c r="C8255" s="0" t="s">
        <x:v>32883</x:v>
      </x:c>
      <x:c r="E8255" s="0" t="s">
        <x:v>32884</x:v>
      </x:c>
      <x:c r="F8255" s="0" t="s">
        <x:v>45</x:v>
      </x:c>
      <x:c r="G8255" s="0" t="s">
        <x:v>19</x:v>
      </x:c>
      <x:c r="H8255" s="0" t="s">
        <x:v>20</x:v>
      </x:c>
      <x:c r="I8255" s="0" t="s">
        <x:v>21</x:v>
      </x:c>
      <x:c r="K8255" s="0">
        <x:f>hyperlink("https://icd.who.int/dev11/l-ichi/en#/http%3A%2F%2Fid.who.int%2Ficd%2Fentity%2F1572652211","browser")</x:f>
      </x:c>
      <x:c r="L8255" s="0">
        <x:f>hyperlink("https://icat2.azurewebsites.net/icat/?ontology=ICD&amp;tab=ClassesTab&amp;id=http%3A%2F%2Fwho.int%2Ficd%232802_9cd760cf_9e71_4bdb_b2ea_a3ed07921568","iCat")</x:f>
      </x:c>
      <x:c r="M8255" s="0" t="s">
        <x:v>21</x:v>
      </x:c>
      <x:c r="N8255" s="0" t="s">
        <x:v>46</x:v>
      </x:c>
    </x:row>
    <x:row r="8256" spans="1:16">
      <x:c r="A8256" s="0" t="s">
        <x:v>32885</x:v>
      </x:c>
      <x:c r="B8256" s="0" t="s">
        <x:v>32886</x:v>
      </x:c>
      <x:c r="C8256" s="0" t="s">
        <x:v>32887</x:v>
      </x:c>
      <x:c r="E8256" s="0" t="s">
        <x:v>32888</x:v>
      </x:c>
      <x:c r="F8256" s="0" t="s">
        <x:v>45</x:v>
      </x:c>
      <x:c r="G8256" s="0" t="s">
        <x:v>19</x:v>
      </x:c>
      <x:c r="H8256" s="0" t="s">
        <x:v>20</x:v>
      </x:c>
      <x:c r="I8256" s="0" t="s">
        <x:v>21</x:v>
      </x:c>
      <x:c r="K8256" s="0">
        <x:f>hyperlink("https://icd.who.int/dev11/l-ichi/en#/http%3A%2F%2Fid.who.int%2Ficd%2Fentity%2F1984014371","browser")</x:f>
      </x:c>
      <x:c r="L8256" s="0">
        <x:f>hyperlink("https://icat2.azurewebsites.net/icat/?ontology=ICD&amp;tab=ClassesTab&amp;id=http%3A%2F%2Fwho.int%2Ficd%232808_9cd760cf_9e71_4bdb_b2ea_a3ed07921568","iCat")</x:f>
      </x:c>
      <x:c r="M8256" s="0" t="s">
        <x:v>21</x:v>
      </x:c>
      <x:c r="N8256" s="0" t="s">
        <x:v>46</x:v>
      </x:c>
    </x:row>
    <x:row r="8257" spans="1:16">
      <x:c r="A8257" s="0" t="s">
        <x:v>32889</x:v>
      </x:c>
      <x:c r="B8257" s="0" t="s">
        <x:v>32890</x:v>
      </x:c>
      <x:c r="C8257" s="0" t="s">
        <x:v>32891</x:v>
      </x:c>
      <x:c r="E8257" s="0" t="s">
        <x:v>32892</x:v>
      </x:c>
      <x:c r="F8257" s="0" t="s">
        <x:v>45</x:v>
      </x:c>
      <x:c r="G8257" s="0" t="s">
        <x:v>19</x:v>
      </x:c>
      <x:c r="H8257" s="0" t="s">
        <x:v>20</x:v>
      </x:c>
      <x:c r="I8257" s="0" t="s">
        <x:v>21</x:v>
      </x:c>
      <x:c r="K8257" s="0">
        <x:f>hyperlink("https://icd.who.int/dev11/l-ichi/en#/http%3A%2F%2Fid.who.int%2Ficd%2Fentity%2F1728219221","browser")</x:f>
      </x:c>
      <x:c r="L8257" s="0">
        <x:f>hyperlink("https://icat2.azurewebsites.net/icat/?ontology=ICD&amp;tab=ClassesTab&amp;id=http%3A%2F%2Fwho.int%2Ficd%232814_9cd760cf_9e71_4bdb_b2ea_a3ed07921568","iCat")</x:f>
      </x:c>
      <x:c r="M8257" s="0" t="s">
        <x:v>21</x:v>
      </x:c>
      <x:c r="N8257" s="0" t="s">
        <x:v>46</x:v>
      </x:c>
    </x:row>
    <x:row r="8258" spans="1:16">
      <x:c r="A8258" s="0" t="s">
        <x:v>32893</x:v>
      </x:c>
      <x:c r="B8258" s="0" t="s">
        <x:v>32894</x:v>
      </x:c>
      <x:c r="C8258" s="0" t="s">
        <x:v>32895</x:v>
      </x:c>
      <x:c r="E8258" s="0" t="s">
        <x:v>32896</x:v>
      </x:c>
      <x:c r="F8258" s="0" t="s">
        <x:v>45</x:v>
      </x:c>
      <x:c r="G8258" s="0" t="s">
        <x:v>19</x:v>
      </x:c>
      <x:c r="H8258" s="0" t="s">
        <x:v>20</x:v>
      </x:c>
      <x:c r="I8258" s="0" t="s">
        <x:v>21</x:v>
      </x:c>
      <x:c r="K8258" s="0">
        <x:f>hyperlink("https://icd.who.int/dev11/l-ichi/en#/http%3A%2F%2Fid.who.int%2Ficd%2Fentity%2F313789478","browser")</x:f>
      </x:c>
      <x:c r="L8258" s="0">
        <x:f>hyperlink("https://icat2.azurewebsites.net/icat/?ontology=ICD&amp;tab=ClassesTab&amp;id=http%3A%2F%2Fwho.int%2Ficd%232820_9cd760cf_9e71_4bdb_b2ea_a3ed07921568","iCat")</x:f>
      </x:c>
      <x:c r="M8258" s="0" t="s">
        <x:v>21</x:v>
      </x:c>
      <x:c r="N8258" s="0" t="s">
        <x:v>46</x:v>
      </x:c>
    </x:row>
    <x:row r="8259" spans="1:16">
      <x:c r="A8259" s="0" t="s">
        <x:v>32897</x:v>
      </x:c>
      <x:c r="B8259" s="0" t="s">
        <x:v>32898</x:v>
      </x:c>
      <x:c r="C8259" s="0" t="s">
        <x:v>32899</x:v>
      </x:c>
      <x:c r="E8259" s="0" t="s">
        <x:v>32900</x:v>
      </x:c>
      <x:c r="F8259" s="0" t="s">
        <x:v>45</x:v>
      </x:c>
      <x:c r="G8259" s="0" t="s">
        <x:v>19</x:v>
      </x:c>
      <x:c r="H8259" s="0" t="s">
        <x:v>20</x:v>
      </x:c>
      <x:c r="I8259" s="0" t="s">
        <x:v>21</x:v>
      </x:c>
      <x:c r="K8259" s="0">
        <x:f>hyperlink("https://icd.who.int/dev11/l-ichi/en#/http%3A%2F%2Fid.who.int%2Ficd%2Fentity%2F1120916887","browser")</x:f>
      </x:c>
      <x:c r="L8259" s="0">
        <x:f>hyperlink("https://icat2.azurewebsites.net/icat/?ontology=ICD&amp;tab=ClassesTab&amp;id=http%3A%2F%2Fwho.int%2Ficd%232826_9cd760cf_9e71_4bdb_b2ea_a3ed07921568","iCat")</x:f>
      </x:c>
      <x:c r="M8259" s="0" t="s">
        <x:v>21</x:v>
      </x:c>
      <x:c r="N8259" s="0" t="s">
        <x:v>46</x:v>
      </x:c>
    </x:row>
    <x:row r="8260" spans="1:16">
      <x:c r="A8260" s="0" t="s">
        <x:v>32901</x:v>
      </x:c>
      <x:c r="B8260" s="0" t="s">
        <x:v>32902</x:v>
      </x:c>
      <x:c r="C8260" s="0" t="s">
        <x:v>32903</x:v>
      </x:c>
      <x:c r="E8260" s="0" t="s">
        <x:v>32904</x:v>
      </x:c>
      <x:c r="F8260" s="0" t="s">
        <x:v>45</x:v>
      </x:c>
      <x:c r="G8260" s="0" t="s">
        <x:v>19</x:v>
      </x:c>
      <x:c r="H8260" s="0" t="s">
        <x:v>20</x:v>
      </x:c>
      <x:c r="I8260" s="0" t="s">
        <x:v>21</x:v>
      </x:c>
      <x:c r="K8260" s="0">
        <x:f>hyperlink("https://icd.who.int/dev11/l-ichi/en#/http%3A%2F%2Fid.who.int%2Ficd%2Fentity%2F487425204","browser")</x:f>
      </x:c>
      <x:c r="L8260" s="0">
        <x:f>hyperlink("https://icat2.azurewebsites.net/icat/?ontology=ICD&amp;tab=ClassesTab&amp;id=http%3A%2F%2Fwho.int%2Ficd%232832_9cd760cf_9e71_4bdb_b2ea_a3ed07921568","iCat")</x:f>
      </x:c>
      <x:c r="M8260" s="0" t="s">
        <x:v>21</x:v>
      </x:c>
      <x:c r="N8260" s="0" t="s">
        <x:v>46</x:v>
      </x:c>
    </x:row>
    <x:row r="8261" spans="1:16">
      <x:c r="A8261" s="0" t="s">
        <x:v>32905</x:v>
      </x:c>
      <x:c r="B8261" s="0" t="s">
        <x:v>32906</x:v>
      </x:c>
      <x:c r="C8261" s="0" t="s">
        <x:v>32907</x:v>
      </x:c>
      <x:c r="E8261" s="0" t="s">
        <x:v>32908</x:v>
      </x:c>
      <x:c r="F8261" s="0" t="s">
        <x:v>45</x:v>
      </x:c>
      <x:c r="G8261" s="0" t="s">
        <x:v>19</x:v>
      </x:c>
      <x:c r="H8261" s="0" t="s">
        <x:v>20</x:v>
      </x:c>
      <x:c r="I8261" s="0" t="s">
        <x:v>21</x:v>
      </x:c>
      <x:c r="K8261" s="0">
        <x:f>hyperlink("https://icd.who.int/dev11/l-ichi/en#/http%3A%2F%2Fid.who.int%2Ficd%2Fentity%2F561212189","browser")</x:f>
      </x:c>
      <x:c r="L8261" s="0">
        <x:f>hyperlink("https://icat2.azurewebsites.net/icat/?ontology=ICD&amp;tab=ClassesTab&amp;id=http%3A%2F%2Fwho.int%2Ficd%2347536_512ebf36_bf6b_4d70_85da_cf2637062af4","iCat")</x:f>
      </x:c>
      <x:c r="M8261" s="0" t="s">
        <x:v>21</x:v>
      </x:c>
      <x:c r="N8261" s="0" t="s">
        <x:v>46</x:v>
      </x:c>
    </x:row>
    <x:row r="8262" spans="1:16">
      <x:c r="A8262" s="0" t="s">
        <x:v>32909</x:v>
      </x:c>
      <x:c r="B8262" s="0" t="s">
        <x:v>32910</x:v>
      </x:c>
      <x:c r="C8262" s="0" t="s">
        <x:v>32911</x:v>
      </x:c>
      <x:c r="E8262" s="0" t="s">
        <x:v>32912</x:v>
      </x:c>
      <x:c r="F8262" s="0" t="s">
        <x:v>45</x:v>
      </x:c>
      <x:c r="G8262" s="0" t="s">
        <x:v>19</x:v>
      </x:c>
      <x:c r="H8262" s="0" t="s">
        <x:v>20</x:v>
      </x:c>
      <x:c r="I8262" s="0" t="s">
        <x:v>21</x:v>
      </x:c>
      <x:c r="K8262" s="0">
        <x:f>hyperlink("https://icd.who.int/dev11/l-ichi/en#/http%3A%2F%2Fid.who.int%2Ficd%2Fentity%2F1142242723","browser")</x:f>
      </x:c>
      <x:c r="L8262" s="0">
        <x:f>hyperlink("https://icat2.azurewebsites.net/icat/?ontology=ICD&amp;tab=ClassesTab&amp;id=http%3A%2F%2Fwho.int%2Ficd%233308_9cd760cf_9e71_4bdb_b2ea_a3ed07921568","iCat")</x:f>
      </x:c>
      <x:c r="M8262" s="0" t="s">
        <x:v>21</x:v>
      </x:c>
      <x:c r="N8262" s="0" t="s">
        <x:v>46</x:v>
      </x:c>
    </x:row>
    <x:row r="8263" spans="1:16">
      <x:c r="A8263" s="0" t="s">
        <x:v>32913</x:v>
      </x:c>
      <x:c r="B8263" s="0" t="s">
        <x:v>32914</x:v>
      </x:c>
      <x:c r="C8263" s="0" t="s">
        <x:v>32915</x:v>
      </x:c>
      <x:c r="E8263" s="0" t="s">
        <x:v>32916</x:v>
      </x:c>
      <x:c r="F8263" s="0" t="s">
        <x:v>45</x:v>
      </x:c>
      <x:c r="G8263" s="0" t="s">
        <x:v>19</x:v>
      </x:c>
      <x:c r="H8263" s="0" t="s">
        <x:v>20</x:v>
      </x:c>
      <x:c r="I8263" s="0" t="s">
        <x:v>21</x:v>
      </x:c>
      <x:c r="K8263" s="0">
        <x:f>hyperlink("https://icd.who.int/dev11/l-ichi/en#/http%3A%2F%2Fid.who.int%2Ficd%2Fentity%2F828115515","browser")</x:f>
      </x:c>
      <x:c r="L8263" s="0">
        <x:f>hyperlink("https://icat2.azurewebsites.net/icat/?ontology=ICD&amp;tab=ClassesTab&amp;id=http%3A%2F%2Fwho.int%2Ficd%2347547_512ebf36_bf6b_4d70_85da_cf2637062af4","iCat")</x:f>
      </x:c>
      <x:c r="M8263" s="0" t="s">
        <x:v>21</x:v>
      </x:c>
      <x:c r="N8263" s="0" t="s">
        <x:v>46</x:v>
      </x:c>
    </x:row>
    <x:row r="8264" spans="1:16">
      <x:c r="A8264" s="0" t="s">
        <x:v>32917</x:v>
      </x:c>
      <x:c r="B8264" s="0" t="s">
        <x:v>32918</x:v>
      </x:c>
      <x:c r="C8264" s="0" t="s">
        <x:v>32919</x:v>
      </x:c>
      <x:c r="E8264" s="0" t="s">
        <x:v>32920</x:v>
      </x:c>
      <x:c r="F8264" s="0" t="s">
        <x:v>45</x:v>
      </x:c>
      <x:c r="G8264" s="0" t="s">
        <x:v>19</x:v>
      </x:c>
      <x:c r="H8264" s="0" t="s">
        <x:v>20</x:v>
      </x:c>
      <x:c r="I8264" s="0" t="s">
        <x:v>21</x:v>
      </x:c>
      <x:c r="K8264" s="0">
        <x:f>hyperlink("https://icd.who.int/dev11/l-ichi/en#/http%3A%2F%2Fid.who.int%2Ficd%2Fentity%2F1431707093","browser")</x:f>
      </x:c>
      <x:c r="L8264" s="0">
        <x:f>hyperlink("https://icat2.azurewebsites.net/icat/?ontology=ICD&amp;tab=ClassesTab&amp;id=http%3A%2F%2Fwho.int%2Ficd%233314_9cd760cf_9e71_4bdb_b2ea_a3ed07921568","iCat")</x:f>
      </x:c>
      <x:c r="M8264" s="0" t="s">
        <x:v>21</x:v>
      </x:c>
      <x:c r="N8264" s="0" t="s">
        <x:v>46</x:v>
      </x:c>
    </x:row>
    <x:row r="8265" spans="1:16">
      <x:c r="A8265" s="0" t="s">
        <x:v>32921</x:v>
      </x:c>
      <x:c r="B8265" s="0" t="s">
        <x:v>32922</x:v>
      </x:c>
      <x:c r="C8265" s="0" t="s">
        <x:v>32923</x:v>
      </x:c>
      <x:c r="E8265" s="0" t="s">
        <x:v>32924</x:v>
      </x:c>
      <x:c r="F8265" s="0" t="s">
        <x:v>45</x:v>
      </x:c>
      <x:c r="G8265" s="0" t="s">
        <x:v>19</x:v>
      </x:c>
      <x:c r="H8265" s="0" t="s">
        <x:v>20</x:v>
      </x:c>
      <x:c r="I8265" s="0" t="s">
        <x:v>21</x:v>
      </x:c>
      <x:c r="K8265" s="0">
        <x:f>hyperlink("https://icd.who.int/dev11/l-ichi/en#/http%3A%2F%2Fid.who.int%2Ficd%2Fentity%2F551590310","browser")</x:f>
      </x:c>
      <x:c r="L8265" s="0">
        <x:f>hyperlink("https://icat2.azurewebsites.net/icat/?ontology=ICD&amp;tab=ClassesTab&amp;id=http%3A%2F%2Fwho.int%2Ficd%233320_9cd760cf_9e71_4bdb_b2ea_a3ed07921568","iCat")</x:f>
      </x:c>
      <x:c r="M8265" s="0" t="s">
        <x:v>21</x:v>
      </x:c>
      <x:c r="N8265" s="0" t="s">
        <x:v>46</x:v>
      </x:c>
    </x:row>
    <x:row r="8266" spans="1:16">
      <x:c r="A8266" s="0" t="s">
        <x:v>32925</x:v>
      </x:c>
      <x:c r="B8266" s="0" t="s">
        <x:v>32926</x:v>
      </x:c>
      <x:c r="C8266" s="0" t="s">
        <x:v>32927</x:v>
      </x:c>
      <x:c r="E8266" s="0" t="s">
        <x:v>32928</x:v>
      </x:c>
      <x:c r="F8266" s="0" t="s">
        <x:v>45</x:v>
      </x:c>
      <x:c r="G8266" s="0" t="s">
        <x:v>19</x:v>
      </x:c>
      <x:c r="H8266" s="0" t="s">
        <x:v>20</x:v>
      </x:c>
      <x:c r="I8266" s="0" t="s">
        <x:v>21</x:v>
      </x:c>
      <x:c r="K8266" s="0">
        <x:f>hyperlink("https://icd.who.int/dev11/l-ichi/en#/http%3A%2F%2Fid.who.int%2Ficd%2Fentity%2F505213077","browser")</x:f>
      </x:c>
      <x:c r="L8266" s="0">
        <x:f>hyperlink("https://icat2.azurewebsites.net/icat/?ontology=ICD&amp;tab=ClassesTab&amp;id=http%3A%2F%2Fwho.int%2Ficd%2347554_512ebf36_bf6b_4d70_85da_cf2637062af4","iCat")</x:f>
      </x:c>
      <x:c r="M8266" s="0" t="s">
        <x:v>21</x:v>
      </x:c>
      <x:c r="N8266" s="0" t="s">
        <x:v>46</x:v>
      </x:c>
    </x:row>
    <x:row r="8267" spans="1:16">
      <x:c r="A8267" s="0" t="s">
        <x:v>32929</x:v>
      </x:c>
      <x:c r="B8267" s="0" t="s">
        <x:v>32930</x:v>
      </x:c>
      <x:c r="C8267" s="0" t="s">
        <x:v>32931</x:v>
      </x:c>
      <x:c r="E8267" s="0" t="s">
        <x:v>32932</x:v>
      </x:c>
      <x:c r="F8267" s="0" t="s">
        <x:v>45</x:v>
      </x:c>
      <x:c r="G8267" s="0" t="s">
        <x:v>19</x:v>
      </x:c>
      <x:c r="H8267" s="0" t="s">
        <x:v>20</x:v>
      </x:c>
      <x:c r="I8267" s="0" t="s">
        <x:v>21</x:v>
      </x:c>
      <x:c r="K8267" s="0">
        <x:f>hyperlink("https://icd.who.int/dev11/l-ichi/en#/http%3A%2F%2Fid.who.int%2Ficd%2Fentity%2F1889222679","browser")</x:f>
      </x:c>
      <x:c r="L8267" s="0">
        <x:f>hyperlink("https://icat2.azurewebsites.net/icat/?ontology=ICD&amp;tab=ClassesTab&amp;id=http%3A%2F%2Fwho.int%2Ficd%233326_9cd760cf_9e71_4bdb_b2ea_a3ed07921568","iCat")</x:f>
      </x:c>
      <x:c r="M8267" s="0" t="s">
        <x:v>21</x:v>
      </x:c>
      <x:c r="N8267" s="0" t="s">
        <x:v>46</x:v>
      </x:c>
    </x:row>
    <x:row r="8268" spans="1:16">
      <x:c r="A8268" s="0" t="s">
        <x:v>32933</x:v>
      </x:c>
      <x:c r="B8268" s="0" t="s">
        <x:v>32934</x:v>
      </x:c>
      <x:c r="C8268" s="0" t="s">
        <x:v>32935</x:v>
      </x:c>
      <x:c r="E8268" s="0" t="s">
        <x:v>32936</x:v>
      </x:c>
      <x:c r="F8268" s="0" t="s">
        <x:v>45</x:v>
      </x:c>
      <x:c r="G8268" s="0" t="s">
        <x:v>19</x:v>
      </x:c>
      <x:c r="H8268" s="0" t="s">
        <x:v>20</x:v>
      </x:c>
      <x:c r="I8268" s="0" t="s">
        <x:v>21</x:v>
      </x:c>
      <x:c r="K8268" s="0">
        <x:f>hyperlink("https://icd.who.int/dev11/l-ichi/en#/http%3A%2F%2Fid.who.int%2Ficd%2Fentity%2F794366260","browser")</x:f>
      </x:c>
      <x:c r="L8268" s="0">
        <x:f>hyperlink("https://icat2.azurewebsites.net/icat/?ontology=ICD&amp;tab=ClassesTab&amp;id=http%3A%2F%2Fwho.int%2Ficd%233332_9cd760cf_9e71_4bdb_b2ea_a3ed07921568","iCat")</x:f>
      </x:c>
      <x:c r="M8268" s="0" t="s">
        <x:v>21</x:v>
      </x:c>
      <x:c r="N8268" s="0" t="s">
        <x:v>46</x:v>
      </x:c>
    </x:row>
    <x:row r="8269" spans="1:16">
      <x:c r="A8269" s="0" t="s">
        <x:v>32937</x:v>
      </x:c>
      <x:c r="B8269" s="0" t="s">
        <x:v>32938</x:v>
      </x:c>
      <x:c r="C8269" s="0" t="s">
        <x:v>32939</x:v>
      </x:c>
      <x:c r="E8269" s="0" t="s">
        <x:v>32940</x:v>
      </x:c>
      <x:c r="F8269" s="0" t="s">
        <x:v>45</x:v>
      </x:c>
      <x:c r="G8269" s="0" t="s">
        <x:v>19</x:v>
      </x:c>
      <x:c r="H8269" s="0" t="s">
        <x:v>20</x:v>
      </x:c>
      <x:c r="I8269" s="0" t="s">
        <x:v>21</x:v>
      </x:c>
      <x:c r="K8269" s="0">
        <x:f>hyperlink("https://icd.who.int/dev11/l-ichi/en#/http%3A%2F%2Fid.who.int%2Ficd%2Fentity%2F77888932","browser")</x:f>
      </x:c>
      <x:c r="L8269" s="0">
        <x:f>hyperlink("https://icat2.azurewebsites.net/icat/?ontology=ICD&amp;tab=ClassesTab&amp;id=http%3A%2F%2Fwho.int%2Ficd%233338_9cd760cf_9e71_4bdb_b2ea_a3ed07921568","iCat")</x:f>
      </x:c>
      <x:c r="M8269" s="0" t="s">
        <x:v>21</x:v>
      </x:c>
      <x:c r="N8269" s="0" t="s">
        <x:v>46</x:v>
      </x:c>
    </x:row>
    <x:row r="8270" spans="1:16">
      <x:c r="A8270" s="0" t="s">
        <x:v>32941</x:v>
      </x:c>
      <x:c r="B8270" s="0" t="s">
        <x:v>32942</x:v>
      </x:c>
      <x:c r="C8270" s="0" t="s">
        <x:v>32943</x:v>
      </x:c>
      <x:c r="E8270" s="0" t="s">
        <x:v>32944</x:v>
      </x:c>
      <x:c r="F8270" s="0" t="s">
        <x:v>45</x:v>
      </x:c>
      <x:c r="G8270" s="0" t="s">
        <x:v>19</x:v>
      </x:c>
      <x:c r="H8270" s="0" t="s">
        <x:v>20</x:v>
      </x:c>
      <x:c r="I8270" s="0" t="s">
        <x:v>21</x:v>
      </x:c>
      <x:c r="K8270" s="0">
        <x:f>hyperlink("https://icd.who.int/dev11/l-ichi/en#/http%3A%2F%2Fid.who.int%2Ficd%2Fentity%2F248932643","browser")</x:f>
      </x:c>
      <x:c r="L8270" s="0">
        <x:f>hyperlink("https://icat2.azurewebsites.net/icat/?ontology=ICD&amp;tab=ClassesTab&amp;id=http%3A%2F%2Fwho.int%2Ficd%2347562_512ebf36_bf6b_4d70_85da_cf2637062af4","iCat")</x:f>
      </x:c>
      <x:c r="M8270" s="0" t="s">
        <x:v>21</x:v>
      </x:c>
      <x:c r="N8270" s="0" t="s">
        <x:v>46</x:v>
      </x:c>
    </x:row>
    <x:row r="8271" spans="1:16">
      <x:c r="A8271" s="0" t="s">
        <x:v>32945</x:v>
      </x:c>
      <x:c r="B8271" s="0" t="s">
        <x:v>32946</x:v>
      </x:c>
      <x:c r="C8271" s="0" t="s">
        <x:v>32947</x:v>
      </x:c>
      <x:c r="E8271" s="0" t="s">
        <x:v>32948</x:v>
      </x:c>
      <x:c r="F8271" s="0" t="s">
        <x:v>45</x:v>
      </x:c>
      <x:c r="G8271" s="0" t="s">
        <x:v>19</x:v>
      </x:c>
      <x:c r="H8271" s="0" t="s">
        <x:v>20</x:v>
      </x:c>
      <x:c r="I8271" s="0" t="s">
        <x:v>21</x:v>
      </x:c>
      <x:c r="K8271" s="0">
        <x:f>hyperlink("https://icd.who.int/dev11/l-ichi/en#/http%3A%2F%2Fid.who.int%2Ficd%2Fentity%2F1341447071","browser")</x:f>
      </x:c>
      <x:c r="L8271" s="0">
        <x:f>hyperlink("https://icat2.azurewebsites.net/icat/?ontology=ICD&amp;tab=ClassesTab&amp;id=http%3A%2F%2Fwho.int%2Ficd%233344_9cd760cf_9e71_4bdb_b2ea_a3ed07921568","iCat")</x:f>
      </x:c>
      <x:c r="M8271" s="0" t="s">
        <x:v>21</x:v>
      </x:c>
      <x:c r="N8271" s="0" t="s">
        <x:v>46</x:v>
      </x:c>
    </x:row>
    <x:row r="8272" spans="1:16">
      <x:c r="A8272" s="0" t="s">
        <x:v>32949</x:v>
      </x:c>
      <x:c r="B8272" s="0" t="s">
        <x:v>32950</x:v>
      </x:c>
      <x:c r="C8272" s="0" t="s">
        <x:v>32951</x:v>
      </x:c>
      <x:c r="E8272" s="0" t="s">
        <x:v>32952</x:v>
      </x:c>
      <x:c r="F8272" s="0" t="s">
        <x:v>45</x:v>
      </x:c>
      <x:c r="G8272" s="0" t="s">
        <x:v>19</x:v>
      </x:c>
      <x:c r="H8272" s="0" t="s">
        <x:v>20</x:v>
      </x:c>
      <x:c r="I8272" s="0" t="s">
        <x:v>21</x:v>
      </x:c>
      <x:c r="K8272" s="0">
        <x:f>hyperlink("https://icd.who.int/dev11/l-ichi/en#/http%3A%2F%2Fid.who.int%2Ficd%2Fentity%2F97679247","browser")</x:f>
      </x:c>
      <x:c r="L8272" s="0">
        <x:f>hyperlink("https://icat2.azurewebsites.net/icat/?ontology=ICD&amp;tab=ClassesTab&amp;id=http%3A%2F%2Fwho.int%2Ficd%2347569_512ebf36_bf6b_4d70_85da_cf2637062af4","iCat")</x:f>
      </x:c>
      <x:c r="M8272" s="0" t="s">
        <x:v>21</x:v>
      </x:c>
      <x:c r="N8272" s="0" t="s">
        <x:v>46</x:v>
      </x:c>
    </x:row>
    <x:row r="8273" spans="1:16">
      <x:c r="A8273" s="0" t="s">
        <x:v>32953</x:v>
      </x:c>
      <x:c r="B8273" s="0" t="s">
        <x:v>32954</x:v>
      </x:c>
      <x:c r="C8273" s="0" t="s">
        <x:v>32955</x:v>
      </x:c>
      <x:c r="E8273" s="0" t="s">
        <x:v>32956</x:v>
      </x:c>
      <x:c r="F8273" s="0" t="s">
        <x:v>45</x:v>
      </x:c>
      <x:c r="G8273" s="0" t="s">
        <x:v>19</x:v>
      </x:c>
      <x:c r="H8273" s="0" t="s">
        <x:v>20</x:v>
      </x:c>
      <x:c r="I8273" s="0" t="s">
        <x:v>21</x:v>
      </x:c>
      <x:c r="K8273" s="0">
        <x:f>hyperlink("https://icd.who.int/dev11/l-ichi/en#/http%3A%2F%2Fid.who.int%2Ficd%2Fentity%2F1360279554","browser")</x:f>
      </x:c>
      <x:c r="L8273" s="0">
        <x:f>hyperlink("https://icat2.azurewebsites.net/icat/?ontology=ICD&amp;tab=ClassesTab&amp;id=http%3A%2F%2Fwho.int%2Ficd%2347576_512ebf36_bf6b_4d70_85da_cf2637062af4","iCat")</x:f>
      </x:c>
      <x:c r="M8273" s="0" t="s">
        <x:v>21</x:v>
      </x:c>
      <x:c r="N8273" s="0" t="s">
        <x:v>46</x:v>
      </x:c>
    </x:row>
    <x:row r="8274" spans="1:16">
      <x:c r="A8274" s="0" t="s">
        <x:v>32957</x:v>
      </x:c>
      <x:c r="B8274" s="0" t="s">
        <x:v>32958</x:v>
      </x:c>
      <x:c r="C8274" s="0" t="s">
        <x:v>32959</x:v>
      </x:c>
      <x:c r="E8274" s="0" t="s">
        <x:v>32960</x:v>
      </x:c>
      <x:c r="F8274" s="0" t="s">
        <x:v>45</x:v>
      </x:c>
      <x:c r="G8274" s="0" t="s">
        <x:v>19</x:v>
      </x:c>
      <x:c r="H8274" s="0" t="s">
        <x:v>20</x:v>
      </x:c>
      <x:c r="I8274" s="0" t="s">
        <x:v>21</x:v>
      </x:c>
      <x:c r="K8274" s="0">
        <x:f>hyperlink("https://icd.who.int/dev11/l-ichi/en#/http%3A%2F%2Fid.who.int%2Ficd%2Fentity%2F1796064408","browser")</x:f>
      </x:c>
      <x:c r="L8274" s="0">
        <x:f>hyperlink("https://icat2.azurewebsites.net/icat/?ontology=ICD&amp;tab=ClassesTab&amp;id=http%3A%2F%2Fwho.int%2Ficd%2347583_512ebf36_bf6b_4d70_85da_cf2637062af4","iCat")</x:f>
      </x:c>
      <x:c r="M8274" s="0" t="s">
        <x:v>21</x:v>
      </x:c>
      <x:c r="N8274" s="0" t="s">
        <x:v>46</x:v>
      </x:c>
    </x:row>
    <x:row r="8275" spans="1:16">
      <x:c r="A8275" s="0" t="s">
        <x:v>32961</x:v>
      </x:c>
      <x:c r="B8275" s="0" t="s">
        <x:v>32962</x:v>
      </x:c>
      <x:c r="C8275" s="0" t="s">
        <x:v>32963</x:v>
      </x:c>
      <x:c r="E8275" s="0" t="s">
        <x:v>32964</x:v>
      </x:c>
      <x:c r="F8275" s="0" t="s">
        <x:v>45</x:v>
      </x:c>
      <x:c r="G8275" s="0" t="s">
        <x:v>19</x:v>
      </x:c>
      <x:c r="H8275" s="0" t="s">
        <x:v>20</x:v>
      </x:c>
      <x:c r="I8275" s="0" t="s">
        <x:v>21</x:v>
      </x:c>
      <x:c r="K8275" s="0">
        <x:f>hyperlink("https://icd.who.int/dev11/l-ichi/en#/http%3A%2F%2Fid.who.int%2Ficd%2Fentity%2F1145912888","browser")</x:f>
      </x:c>
      <x:c r="L8275" s="0">
        <x:f>hyperlink("https://icat2.azurewebsites.net/icat/?ontology=ICD&amp;tab=ClassesTab&amp;id=http%3A%2F%2Fwho.int%2Ficd%2347590_512ebf36_bf6b_4d70_85da_cf2637062af4","iCat")</x:f>
      </x:c>
      <x:c r="M8275" s="0" t="s">
        <x:v>21</x:v>
      </x:c>
      <x:c r="N8275" s="0" t="s">
        <x:v>46</x:v>
      </x:c>
    </x:row>
    <x:row r="8276" spans="1:16">
      <x:c r="A8276" s="0" t="s">
        <x:v>32965</x:v>
      </x:c>
      <x:c r="B8276" s="0" t="s">
        <x:v>32966</x:v>
      </x:c>
      <x:c r="C8276" s="0" t="s">
        <x:v>32967</x:v>
      </x:c>
      <x:c r="E8276" s="0" t="s">
        <x:v>32968</x:v>
      </x:c>
      <x:c r="F8276" s="0" t="s">
        <x:v>45</x:v>
      </x:c>
      <x:c r="G8276" s="0" t="s">
        <x:v>19</x:v>
      </x:c>
      <x:c r="H8276" s="0" t="s">
        <x:v>20</x:v>
      </x:c>
      <x:c r="I8276" s="0" t="s">
        <x:v>21</x:v>
      </x:c>
      <x:c r="K8276" s="0">
        <x:f>hyperlink("https://icd.who.int/dev11/l-ichi/en#/http%3A%2F%2Fid.who.int%2Ficd%2Fentity%2F886019509","browser")</x:f>
      </x:c>
      <x:c r="L8276" s="0">
        <x:f>hyperlink("https://icat2.azurewebsites.net/icat/?ontology=ICD&amp;tab=ClassesTab&amp;id=http%3A%2F%2Fwho.int%2Ficd%2347597_512ebf36_bf6b_4d70_85da_cf2637062af4","iCat")</x:f>
      </x:c>
      <x:c r="M8276" s="0" t="s">
        <x:v>21</x:v>
      </x:c>
      <x:c r="N8276" s="0" t="s">
        <x:v>46</x:v>
      </x:c>
    </x:row>
    <x:row r="8277" spans="1:16">
      <x:c r="A8277" s="0" t="s">
        <x:v>32969</x:v>
      </x:c>
      <x:c r="B8277" s="0" t="s">
        <x:v>32970</x:v>
      </x:c>
      <x:c r="C8277" s="0" t="s">
        <x:v>32971</x:v>
      </x:c>
      <x:c r="E8277" s="0" t="s">
        <x:v>32972</x:v>
      </x:c>
      <x:c r="F8277" s="0" t="s">
        <x:v>45</x:v>
      </x:c>
      <x:c r="G8277" s="0" t="s">
        <x:v>19</x:v>
      </x:c>
      <x:c r="H8277" s="0" t="s">
        <x:v>20</x:v>
      </x:c>
      <x:c r="I8277" s="0" t="s">
        <x:v>21</x:v>
      </x:c>
      <x:c r="K8277" s="0">
        <x:f>hyperlink("https://icd.who.int/dev11/l-ichi/en#/http%3A%2F%2Fid.who.int%2Ficd%2Fentity%2F272009918","browser")</x:f>
      </x:c>
      <x:c r="L8277" s="0">
        <x:f>hyperlink("https://icat2.azurewebsites.net/icat/?ontology=ICD&amp;tab=ClassesTab&amp;id=http%3A%2F%2Fwho.int%2Ficd%233350_9cd760cf_9e71_4bdb_b2ea_a3ed07921568","iCat")</x:f>
      </x:c>
      <x:c r="M8277" s="0" t="s">
        <x:v>21</x:v>
      </x:c>
      <x:c r="N8277" s="0" t="s">
        <x:v>46</x:v>
      </x:c>
    </x:row>
    <x:row r="8278" spans="1:16">
      <x:c r="A8278" s="0" t="s">
        <x:v>32973</x:v>
      </x:c>
      <x:c r="B8278" s="0" t="s">
        <x:v>32974</x:v>
      </x:c>
      <x:c r="C8278" s="0" t="s">
        <x:v>32975</x:v>
      </x:c>
      <x:c r="E8278" s="0" t="s">
        <x:v>32976</x:v>
      </x:c>
      <x:c r="F8278" s="0" t="s">
        <x:v>45</x:v>
      </x:c>
      <x:c r="G8278" s="0" t="s">
        <x:v>19</x:v>
      </x:c>
      <x:c r="H8278" s="0" t="s">
        <x:v>20</x:v>
      </x:c>
      <x:c r="I8278" s="0" t="s">
        <x:v>21</x:v>
      </x:c>
      <x:c r="K8278" s="0">
        <x:f>hyperlink("https://icd.who.int/dev11/l-ichi/en#/http%3A%2F%2Fid.who.int%2Ficd%2Fentity%2F1078809357","browser")</x:f>
      </x:c>
      <x:c r="L8278" s="0">
        <x:f>hyperlink("https://icat2.azurewebsites.net/icat/?ontology=ICD&amp;tab=ClassesTab&amp;id=http%3A%2F%2Fwho.int%2Ficd%233356_9cd760cf_9e71_4bdb_b2ea_a3ed07921568","iCat")</x:f>
      </x:c>
      <x:c r="M8278" s="0" t="s">
        <x:v>21</x:v>
      </x:c>
      <x:c r="N8278" s="0" t="s">
        <x:v>46</x:v>
      </x:c>
    </x:row>
    <x:row r="8279" spans="1:16">
      <x:c r="A8279" s="0" t="s">
        <x:v>32977</x:v>
      </x:c>
      <x:c r="B8279" s="0" t="s">
        <x:v>32978</x:v>
      </x:c>
      <x:c r="C8279" s="0" t="s">
        <x:v>32979</x:v>
      </x:c>
      <x:c r="E8279" s="0" t="s">
        <x:v>32980</x:v>
      </x:c>
      <x:c r="F8279" s="0" t="s">
        <x:v>45</x:v>
      </x:c>
      <x:c r="G8279" s="0" t="s">
        <x:v>19</x:v>
      </x:c>
      <x:c r="H8279" s="0" t="s">
        <x:v>20</x:v>
      </x:c>
      <x:c r="I8279" s="0" t="s">
        <x:v>21</x:v>
      </x:c>
      <x:c r="K8279" s="0">
        <x:f>hyperlink("https://icd.who.int/dev11/l-ichi/en#/http%3A%2F%2Fid.who.int%2Ficd%2Fentity%2F905697150","browser")</x:f>
      </x:c>
      <x:c r="L8279" s="0">
        <x:f>hyperlink("https://icat2.azurewebsites.net/icat/?ontology=ICD&amp;tab=ClassesTab&amp;id=http%3A%2F%2Fwho.int%2Ficd%233362_9cd760cf_9e71_4bdb_b2ea_a3ed07921568","iCat")</x:f>
      </x:c>
      <x:c r="M8279" s="0" t="s">
        <x:v>21</x:v>
      </x:c>
      <x:c r="N8279" s="0" t="s">
        <x:v>46</x:v>
      </x:c>
    </x:row>
    <x:row r="8280" spans="1:16">
      <x:c r="A8280" s="0" t="s">
        <x:v>32981</x:v>
      </x:c>
      <x:c r="B8280" s="0" t="s">
        <x:v>32982</x:v>
      </x:c>
      <x:c r="C8280" s="0" t="s">
        <x:v>32983</x:v>
      </x:c>
      <x:c r="E8280" s="0" t="s">
        <x:v>32984</x:v>
      </x:c>
      <x:c r="F8280" s="0" t="s">
        <x:v>45</x:v>
      </x:c>
      <x:c r="G8280" s="0" t="s">
        <x:v>19</x:v>
      </x:c>
      <x:c r="H8280" s="0" t="s">
        <x:v>20</x:v>
      </x:c>
      <x:c r="I8280" s="0" t="s">
        <x:v>21</x:v>
      </x:c>
      <x:c r="K8280" s="0">
        <x:f>hyperlink("https://icd.who.int/dev11/l-ichi/en#/http%3A%2F%2Fid.who.int%2Ficd%2Fentity%2F503757806","browser")</x:f>
      </x:c>
      <x:c r="L8280" s="0">
        <x:f>hyperlink("https://icat2.azurewebsites.net/icat/?ontology=ICD&amp;tab=ClassesTab&amp;id=http%3A%2F%2Fwho.int%2Ficd%233368_9cd760cf_9e71_4bdb_b2ea_a3ed07921568","iCat")</x:f>
      </x:c>
      <x:c r="M8280" s="0" t="s">
        <x:v>21</x:v>
      </x:c>
      <x:c r="N8280" s="0" t="s">
        <x:v>46</x:v>
      </x:c>
    </x:row>
    <x:row r="8281" spans="1:16">
      <x:c r="A8281" s="0" t="s">
        <x:v>32985</x:v>
      </x:c>
      <x:c r="B8281" s="0" t="s">
        <x:v>32986</x:v>
      </x:c>
      <x:c r="C8281" s="0" t="s">
        <x:v>32987</x:v>
      </x:c>
      <x:c r="E8281" s="0" t="s">
        <x:v>32988</x:v>
      </x:c>
      <x:c r="F8281" s="0" t="s">
        <x:v>45</x:v>
      </x:c>
      <x:c r="G8281" s="0" t="s">
        <x:v>19</x:v>
      </x:c>
      <x:c r="H8281" s="0" t="s">
        <x:v>20</x:v>
      </x:c>
      <x:c r="I8281" s="0" t="s">
        <x:v>21</x:v>
      </x:c>
      <x:c r="K8281" s="0">
        <x:f>hyperlink("https://icd.who.int/dev11/l-ichi/en#/http%3A%2F%2Fid.who.int%2Ficd%2Fentity%2F256220058","browser")</x:f>
      </x:c>
      <x:c r="L8281" s="0">
        <x:f>hyperlink("https://icat2.azurewebsites.net/icat/?ontology=ICD&amp;tab=ClassesTab&amp;id=http%3A%2F%2Fwho.int%2Ficd%233374_9cd760cf_9e71_4bdb_b2ea_a3ed07921568","iCat")</x:f>
      </x:c>
      <x:c r="M8281" s="0" t="s">
        <x:v>21</x:v>
      </x:c>
      <x:c r="N8281" s="0" t="s">
        <x:v>46</x:v>
      </x:c>
    </x:row>
    <x:row r="8282" spans="1:16">
      <x:c r="A8282" s="0" t="s">
        <x:v>32989</x:v>
      </x:c>
      <x:c r="B8282" s="0" t="s">
        <x:v>32990</x:v>
      </x:c>
      <x:c r="C8282" s="0" t="s">
        <x:v>32991</x:v>
      </x:c>
      <x:c r="E8282" s="0" t="s">
        <x:v>32992</x:v>
      </x:c>
      <x:c r="F8282" s="0" t="s">
        <x:v>45</x:v>
      </x:c>
      <x:c r="G8282" s="0" t="s">
        <x:v>19</x:v>
      </x:c>
      <x:c r="H8282" s="0" t="s">
        <x:v>20</x:v>
      </x:c>
      <x:c r="I8282" s="0" t="s">
        <x:v>21</x:v>
      </x:c>
      <x:c r="K8282" s="0">
        <x:f>hyperlink("https://icd.who.int/dev11/l-ichi/en#/http%3A%2F%2Fid.who.int%2Ficd%2Fentity%2F363140402","browser")</x:f>
      </x:c>
      <x:c r="L8282" s="0">
        <x:f>hyperlink("https://icat2.azurewebsites.net/icat/?ontology=ICD&amp;tab=ClassesTab&amp;id=http%3A%2F%2Fwho.int%2Ficd%233380_9cd760cf_9e71_4bdb_b2ea_a3ed07921568","iCat")</x:f>
      </x:c>
      <x:c r="M8282" s="0" t="s">
        <x:v>21</x:v>
      </x:c>
      <x:c r="N8282" s="0" t="s">
        <x:v>46</x:v>
      </x:c>
    </x:row>
    <x:row r="8283" spans="1:16">
      <x:c r="A8283" s="0" t="s">
        <x:v>32993</x:v>
      </x:c>
      <x:c r="B8283" s="0" t="s">
        <x:v>32994</x:v>
      </x:c>
      <x:c r="C8283" s="0" t="s">
        <x:v>32995</x:v>
      </x:c>
      <x:c r="E8283" s="0" t="s">
        <x:v>32996</x:v>
      </x:c>
      <x:c r="F8283" s="0" t="s">
        <x:v>45</x:v>
      </x:c>
      <x:c r="G8283" s="0" t="s">
        <x:v>19</x:v>
      </x:c>
      <x:c r="H8283" s="0" t="s">
        <x:v>20</x:v>
      </x:c>
      <x:c r="I8283" s="0" t="s">
        <x:v>21</x:v>
      </x:c>
      <x:c r="K8283" s="0">
        <x:f>hyperlink("https://icd.who.int/dev11/l-ichi/en#/http%3A%2F%2Fid.who.int%2Ficd%2Fentity%2F1172229251","browser")</x:f>
      </x:c>
      <x:c r="L8283" s="0">
        <x:f>hyperlink("https://icat2.azurewebsites.net/icat/?ontology=ICD&amp;tab=ClassesTab&amp;id=http%3A%2F%2Fwho.int%2Ficd%233386_9cd760cf_9e71_4bdb_b2ea_a3ed07921568","iCat")</x:f>
      </x:c>
      <x:c r="M8283" s="0" t="s">
        <x:v>21</x:v>
      </x:c>
      <x:c r="N8283" s="0" t="s">
        <x:v>46</x:v>
      </x:c>
    </x:row>
    <x:row r="8284" spans="1:16">
      <x:c r="A8284" s="0" t="s">
        <x:v>32997</x:v>
      </x:c>
      <x:c r="B8284" s="0" t="s">
        <x:v>32998</x:v>
      </x:c>
      <x:c r="C8284" s="0" t="s">
        <x:v>32999</x:v>
      </x:c>
      <x:c r="E8284" s="0" t="s">
        <x:v>33000</x:v>
      </x:c>
      <x:c r="F8284" s="0" t="s">
        <x:v>45</x:v>
      </x:c>
      <x:c r="G8284" s="0" t="s">
        <x:v>19</x:v>
      </x:c>
      <x:c r="H8284" s="0" t="s">
        <x:v>20</x:v>
      </x:c>
      <x:c r="I8284" s="0" t="s">
        <x:v>21</x:v>
      </x:c>
      <x:c r="K8284" s="0">
        <x:f>hyperlink("https://icd.who.int/dev11/l-ichi/en#/http%3A%2F%2Fid.who.int%2Ficd%2Fentity%2F438082976","browser")</x:f>
      </x:c>
      <x:c r="L8284" s="0">
        <x:f>hyperlink("https://icat2.azurewebsites.net/icat/?ontology=ICD&amp;tab=ClassesTab&amp;id=http%3A%2F%2Fwho.int%2Ficd%233392_9cd760cf_9e71_4bdb_b2ea_a3ed07921568","iCat")</x:f>
      </x:c>
      <x:c r="M8284" s="0" t="s">
        <x:v>21</x:v>
      </x:c>
      <x:c r="N8284" s="0" t="s">
        <x:v>46</x:v>
      </x:c>
    </x:row>
    <x:row r="8285" spans="1:16">
      <x:c r="A8285" s="0" t="s">
        <x:v>33001</x:v>
      </x:c>
      <x:c r="B8285" s="0" t="s">
        <x:v>33002</x:v>
      </x:c>
      <x:c r="C8285" s="0" t="s">
        <x:v>33003</x:v>
      </x:c>
      <x:c r="E8285" s="0" t="s">
        <x:v>33004</x:v>
      </x:c>
      <x:c r="F8285" s="0" t="s">
        <x:v>45</x:v>
      </x:c>
      <x:c r="G8285" s="0" t="s">
        <x:v>19</x:v>
      </x:c>
      <x:c r="H8285" s="0" t="s">
        <x:v>20</x:v>
      </x:c>
      <x:c r="I8285" s="0" t="s">
        <x:v>21</x:v>
      </x:c>
      <x:c r="K8285" s="0">
        <x:f>hyperlink("https://icd.who.int/dev11/l-ichi/en#/http%3A%2F%2Fid.who.int%2Ficd%2Fentity%2F503899060","browser")</x:f>
      </x:c>
      <x:c r="L8285" s="0">
        <x:f>hyperlink("https://icat2.azurewebsites.net/icat/?ontology=ICD&amp;tab=ClassesTab&amp;id=http%3A%2F%2Fwho.int%2Ficd%23808_2458c621_13a9_4018_84d7_a04ee4f7aacc","iCat")</x:f>
      </x:c>
      <x:c r="M8285" s="0" t="s">
        <x:v>21</x:v>
      </x:c>
      <x:c r="N8285" s="0" t="s">
        <x:v>46</x:v>
      </x:c>
    </x:row>
    <x:row r="8286" spans="1:16">
      <x:c r="A8286" s="0" t="s">
        <x:v>33005</x:v>
      </x:c>
      <x:c r="B8286" s="0" t="s">
        <x:v>33006</x:v>
      </x:c>
      <x:c r="C8286" s="0" t="s">
        <x:v>33007</x:v>
      </x:c>
      <x:c r="E8286" s="0" t="s">
        <x:v>33008</x:v>
      </x:c>
      <x:c r="F8286" s="0" t="s">
        <x:v>45</x:v>
      </x:c>
      <x:c r="G8286" s="0" t="s">
        <x:v>19</x:v>
      </x:c>
      <x:c r="H8286" s="0" t="s">
        <x:v>20</x:v>
      </x:c>
      <x:c r="I8286" s="0" t="s">
        <x:v>21</x:v>
      </x:c>
      <x:c r="K8286" s="0">
        <x:f>hyperlink("https://icd.who.int/dev11/l-ichi/en#/http%3A%2F%2Fid.who.int%2Ficd%2Fentity%2F10329923","browser")</x:f>
      </x:c>
      <x:c r="L8286" s="0">
        <x:f>hyperlink("https://icat2.azurewebsites.net/icat/?ontology=ICD&amp;tab=ClassesTab&amp;id=http%3A%2F%2Fwho.int%2Ficd%2347606_512ebf36_bf6b_4d70_85da_cf2637062af4","iCat")</x:f>
      </x:c>
      <x:c r="M8286" s="0" t="s">
        <x:v>21</x:v>
      </x:c>
      <x:c r="N8286" s="0" t="s">
        <x:v>46</x:v>
      </x:c>
    </x:row>
    <x:row r="8287" spans="1:16">
      <x:c r="A8287" s="0" t="s">
        <x:v>33009</x:v>
      </x:c>
      <x:c r="B8287" s="0" t="s">
        <x:v>33010</x:v>
      </x:c>
      <x:c r="C8287" s="0" t="s">
        <x:v>33011</x:v>
      </x:c>
      <x:c r="E8287" s="0" t="s">
        <x:v>33012</x:v>
      </x:c>
      <x:c r="F8287" s="0" t="s">
        <x:v>45</x:v>
      </x:c>
      <x:c r="G8287" s="0" t="s">
        <x:v>19</x:v>
      </x:c>
      <x:c r="H8287" s="0" t="s">
        <x:v>20</x:v>
      </x:c>
      <x:c r="I8287" s="0" t="s">
        <x:v>21</x:v>
      </x:c>
      <x:c r="K8287" s="0">
        <x:f>hyperlink("https://icd.who.int/dev11/l-ichi/en#/http%3A%2F%2Fid.who.int%2Ficd%2Fentity%2F2141633630","browser")</x:f>
      </x:c>
      <x:c r="L8287" s="0">
        <x:f>hyperlink("https://icat2.azurewebsites.net/icat/?ontology=ICD&amp;tab=ClassesTab&amp;id=http%3A%2F%2Fwho.int%2Ficd%2347613_512ebf36_bf6b_4d70_85da_cf2637062af4","iCat")</x:f>
      </x:c>
      <x:c r="M8287" s="0" t="s">
        <x:v>21</x:v>
      </x:c>
      <x:c r="N8287" s="0" t="s">
        <x:v>46</x:v>
      </x:c>
    </x:row>
    <x:row r="8288" spans="1:16">
      <x:c r="A8288" s="0" t="s">
        <x:v>33013</x:v>
      </x:c>
      <x:c r="B8288" s="0" t="s">
        <x:v>33014</x:v>
      </x:c>
      <x:c r="C8288" s="0" t="s">
        <x:v>33015</x:v>
      </x:c>
      <x:c r="E8288" s="0" t="s">
        <x:v>33016</x:v>
      </x:c>
      <x:c r="F8288" s="0" t="s">
        <x:v>45</x:v>
      </x:c>
      <x:c r="G8288" s="0" t="s">
        <x:v>19</x:v>
      </x:c>
      <x:c r="H8288" s="0" t="s">
        <x:v>20</x:v>
      </x:c>
      <x:c r="I8288" s="0" t="s">
        <x:v>21</x:v>
      </x:c>
      <x:c r="K8288" s="0">
        <x:f>hyperlink("https://icd.who.int/dev11/l-ichi/en#/http%3A%2F%2Fid.who.int%2Ficd%2Fentity%2F836890928","browser")</x:f>
      </x:c>
      <x:c r="L8288" s="0">
        <x:f>hyperlink("https://icat2.azurewebsites.net/icat/?ontology=ICD&amp;tab=ClassesTab&amp;id=http%3A%2F%2Fwho.int%2Ficd%233398_9cd760cf_9e71_4bdb_b2ea_a3ed07921568","iCat")</x:f>
      </x:c>
      <x:c r="M8288" s="0" t="s">
        <x:v>21</x:v>
      </x:c>
      <x:c r="N8288" s="0" t="s">
        <x:v>46</x:v>
      </x:c>
    </x:row>
    <x:row r="8289" spans="1:16">
      <x:c r="A8289" s="0" t="s">
        <x:v>33017</x:v>
      </x:c>
      <x:c r="B8289" s="0" t="s">
        <x:v>33018</x:v>
      </x:c>
      <x:c r="C8289" s="0" t="s">
        <x:v>33019</x:v>
      </x:c>
      <x:c r="E8289" s="0" t="s">
        <x:v>33020</x:v>
      </x:c>
      <x:c r="F8289" s="0" t="s">
        <x:v>45</x:v>
      </x:c>
      <x:c r="G8289" s="0" t="s">
        <x:v>19</x:v>
      </x:c>
      <x:c r="H8289" s="0" t="s">
        <x:v>20</x:v>
      </x:c>
      <x:c r="I8289" s="0" t="s">
        <x:v>21</x:v>
      </x:c>
      <x:c r="K8289" s="0">
        <x:f>hyperlink("https://icd.who.int/dev11/l-ichi/en#/http%3A%2F%2Fid.who.int%2Ficd%2Fentity%2F1405231344","browser")</x:f>
      </x:c>
      <x:c r="L8289" s="0">
        <x:f>hyperlink("https://icat2.azurewebsites.net/icat/?ontology=ICD&amp;tab=ClassesTab&amp;id=http%3A%2F%2Fwho.int%2Ficd%233404_9cd760cf_9e71_4bdb_b2ea_a3ed07921568","iCat")</x:f>
      </x:c>
      <x:c r="M8289" s="0" t="s">
        <x:v>21</x:v>
      </x:c>
      <x:c r="N8289" s="0" t="s">
        <x:v>46</x:v>
      </x:c>
    </x:row>
    <x:row r="8290" spans="1:16">
      <x:c r="A8290" s="0" t="s">
        <x:v>33021</x:v>
      </x:c>
      <x:c r="B8290" s="0" t="s">
        <x:v>33022</x:v>
      </x:c>
      <x:c r="C8290" s="0" t="s">
        <x:v>33023</x:v>
      </x:c>
      <x:c r="E8290" s="0" t="s">
        <x:v>33024</x:v>
      </x:c>
      <x:c r="F8290" s="0" t="s">
        <x:v>45</x:v>
      </x:c>
      <x:c r="G8290" s="0" t="s">
        <x:v>19</x:v>
      </x:c>
      <x:c r="H8290" s="0" t="s">
        <x:v>20</x:v>
      </x:c>
      <x:c r="I8290" s="0" t="s">
        <x:v>21</x:v>
      </x:c>
      <x:c r="K8290" s="0">
        <x:f>hyperlink("https://icd.who.int/dev11/l-ichi/en#/http%3A%2F%2Fid.who.int%2Ficd%2Fentity%2F201355725","browser")</x:f>
      </x:c>
      <x:c r="L8290" s="0">
        <x:f>hyperlink("https://icat2.azurewebsites.net/icat/?ontology=ICD&amp;tab=ClassesTab&amp;id=http%3A%2F%2Fwho.int%2Ficd%233410_9cd760cf_9e71_4bdb_b2ea_a3ed07921568","iCat")</x:f>
      </x:c>
      <x:c r="M8290" s="0" t="s">
        <x:v>21</x:v>
      </x:c>
      <x:c r="N8290" s="0" t="s">
        <x:v>46</x:v>
      </x:c>
    </x:row>
    <x:row r="8291" spans="1:16">
      <x:c r="A8291" s="0" t="s">
        <x:v>33025</x:v>
      </x:c>
      <x:c r="B8291" s="0" t="s">
        <x:v>33026</x:v>
      </x:c>
      <x:c r="C8291" s="0" t="s">
        <x:v>33027</x:v>
      </x:c>
      <x:c r="E8291" s="0" t="s">
        <x:v>33028</x:v>
      </x:c>
      <x:c r="F8291" s="0" t="s">
        <x:v>45</x:v>
      </x:c>
      <x:c r="G8291" s="0" t="s">
        <x:v>19</x:v>
      </x:c>
      <x:c r="H8291" s="0" t="s">
        <x:v>20</x:v>
      </x:c>
      <x:c r="I8291" s="0" t="s">
        <x:v>21</x:v>
      </x:c>
      <x:c r="K8291" s="0">
        <x:f>hyperlink("https://icd.who.int/dev11/l-ichi/en#/http%3A%2F%2Fid.who.int%2Ficd%2Fentity%2F2056426404","browser")</x:f>
      </x:c>
      <x:c r="L8291" s="0">
        <x:f>hyperlink("https://icat2.azurewebsites.net/icat/?ontology=ICD&amp;tab=ClassesTab&amp;id=http%3A%2F%2Fwho.int%2Ficd%2347620_512ebf36_bf6b_4d70_85da_cf2637062af4","iCat")</x:f>
      </x:c>
      <x:c r="M8291" s="0" t="s">
        <x:v>21</x:v>
      </x:c>
      <x:c r="N8291" s="0" t="s">
        <x:v>46</x:v>
      </x:c>
    </x:row>
    <x:row r="8292" spans="1:16">
      <x:c r="A8292" s="0" t="s">
        <x:v>33029</x:v>
      </x:c>
      <x:c r="B8292" s="0" t="s">
        <x:v>33030</x:v>
      </x:c>
      <x:c r="C8292" s="0" t="s">
        <x:v>33031</x:v>
      </x:c>
      <x:c r="E8292" s="0" t="s">
        <x:v>33032</x:v>
      </x:c>
      <x:c r="F8292" s="0" t="s">
        <x:v>45</x:v>
      </x:c>
      <x:c r="G8292" s="0" t="s">
        <x:v>19</x:v>
      </x:c>
      <x:c r="H8292" s="0" t="s">
        <x:v>20</x:v>
      </x:c>
      <x:c r="I8292" s="0" t="s">
        <x:v>21</x:v>
      </x:c>
      <x:c r="K8292" s="0">
        <x:f>hyperlink("https://icd.who.int/dev11/l-ichi/en#/http%3A%2F%2Fid.who.int%2Ficd%2Fentity%2F1115750552","browser")</x:f>
      </x:c>
      <x:c r="L8292" s="0">
        <x:f>hyperlink("https://icat2.azurewebsites.net/icat/?ontology=ICD&amp;tab=ClassesTab&amp;id=http%3A%2F%2Fwho.int%2Ficd%233418_9cd760cf_9e71_4bdb_b2ea_a3ed07921568","iCat")</x:f>
      </x:c>
      <x:c r="M8292" s="0" t="s">
        <x:v>21</x:v>
      </x:c>
      <x:c r="N8292" s="0" t="s">
        <x:v>46</x:v>
      </x:c>
    </x:row>
    <x:row r="8293" spans="1:16">
      <x:c r="A8293" s="0" t="s">
        <x:v>33033</x:v>
      </x:c>
      <x:c r="B8293" s="0" t="s">
        <x:v>33034</x:v>
      </x:c>
      <x:c r="C8293" s="0" t="s">
        <x:v>33035</x:v>
      </x:c>
      <x:c r="E8293" s="0" t="s">
        <x:v>33036</x:v>
      </x:c>
      <x:c r="F8293" s="0" t="s">
        <x:v>45</x:v>
      </x:c>
      <x:c r="G8293" s="0" t="s">
        <x:v>19</x:v>
      </x:c>
      <x:c r="H8293" s="0" t="s">
        <x:v>20</x:v>
      </x:c>
      <x:c r="I8293" s="0" t="s">
        <x:v>21</x:v>
      </x:c>
      <x:c r="K8293" s="0">
        <x:f>hyperlink("https://icd.who.int/dev11/l-ichi/en#/http%3A%2F%2Fid.who.int%2Ficd%2Fentity%2F2042033598","browser")</x:f>
      </x:c>
      <x:c r="L8293" s="0">
        <x:f>hyperlink("https://icat2.azurewebsites.net/icat/?ontology=ICD&amp;tab=ClassesTab&amp;id=http%3A%2F%2Fwho.int%2Ficd%233424_9cd760cf_9e71_4bdb_b2ea_a3ed07921568","iCat")</x:f>
      </x:c>
      <x:c r="M8293" s="0" t="s">
        <x:v>21</x:v>
      </x:c>
      <x:c r="N8293" s="0" t="s">
        <x:v>46</x:v>
      </x:c>
    </x:row>
    <x:row r="8294" spans="1:16">
      <x:c r="A8294" s="0" t="s">
        <x:v>33037</x:v>
      </x:c>
      <x:c r="B8294" s="0" t="s">
        <x:v>33038</x:v>
      </x:c>
      <x:c r="C8294" s="0" t="s">
        <x:v>33039</x:v>
      </x:c>
      <x:c r="E8294" s="0" t="s">
        <x:v>33040</x:v>
      </x:c>
      <x:c r="F8294" s="0" t="s">
        <x:v>45</x:v>
      </x:c>
      <x:c r="G8294" s="0" t="s">
        <x:v>19</x:v>
      </x:c>
      <x:c r="H8294" s="0" t="s">
        <x:v>20</x:v>
      </x:c>
      <x:c r="I8294" s="0" t="s">
        <x:v>21</x:v>
      </x:c>
      <x:c r="K8294" s="0">
        <x:f>hyperlink("https://icd.who.int/dev11/l-ichi/en#/http%3A%2F%2Fid.who.int%2Ficd%2Fentity%2F645178525","browser")</x:f>
      </x:c>
      <x:c r="L8294" s="0">
        <x:f>hyperlink("https://icat2.azurewebsites.net/icat/?ontology=ICD&amp;tab=ClassesTab&amp;id=http%3A%2F%2Fwho.int%2Ficd%233430_9cd760cf_9e71_4bdb_b2ea_a3ed07921568","iCat")</x:f>
      </x:c>
      <x:c r="M8294" s="0" t="s">
        <x:v>21</x:v>
      </x:c>
      <x:c r="N8294" s="0" t="s">
        <x:v>46</x:v>
      </x:c>
    </x:row>
    <x:row r="8295" spans="1:16">
      <x:c r="A8295" s="0" t="s">
        <x:v>33041</x:v>
      </x:c>
      <x:c r="B8295" s="0" t="s">
        <x:v>33042</x:v>
      </x:c>
      <x:c r="C8295" s="0" t="s">
        <x:v>33043</x:v>
      </x:c>
      <x:c r="E8295" s="0" t="s">
        <x:v>33044</x:v>
      </x:c>
      <x:c r="F8295" s="0" t="s">
        <x:v>45</x:v>
      </x:c>
      <x:c r="G8295" s="0" t="s">
        <x:v>19</x:v>
      </x:c>
      <x:c r="H8295" s="0" t="s">
        <x:v>20</x:v>
      </x:c>
      <x:c r="I8295" s="0" t="s">
        <x:v>21</x:v>
      </x:c>
      <x:c r="K8295" s="0">
        <x:f>hyperlink("https://icd.who.int/dev11/l-ichi/en#/http%3A%2F%2Fid.who.int%2Ficd%2Fentity%2F1980726572","browser")</x:f>
      </x:c>
      <x:c r="L8295" s="0">
        <x:f>hyperlink("https://icat2.azurewebsites.net/icat/?ontology=ICD&amp;tab=ClassesTab&amp;id=http%3A%2F%2Fwho.int%2Ficd%233436_9cd760cf_9e71_4bdb_b2ea_a3ed07921568","iCat")</x:f>
      </x:c>
      <x:c r="M8295" s="0" t="s">
        <x:v>21</x:v>
      </x:c>
      <x:c r="N8295" s="0" t="s">
        <x:v>46</x:v>
      </x:c>
    </x:row>
    <x:row r="8296" spans="1:16">
      <x:c r="A8296" s="0" t="s">
        <x:v>33045</x:v>
      </x:c>
      <x:c r="B8296" s="0" t="s">
        <x:v>33046</x:v>
      </x:c>
      <x:c r="C8296" s="0" t="s">
        <x:v>33047</x:v>
      </x:c>
      <x:c r="E8296" s="0" t="s">
        <x:v>33048</x:v>
      </x:c>
      <x:c r="F8296" s="0" t="s">
        <x:v>45</x:v>
      </x:c>
      <x:c r="G8296" s="0" t="s">
        <x:v>19</x:v>
      </x:c>
      <x:c r="H8296" s="0" t="s">
        <x:v>20</x:v>
      </x:c>
      <x:c r="I8296" s="0" t="s">
        <x:v>21</x:v>
      </x:c>
      <x:c r="K8296" s="0">
        <x:f>hyperlink("https://icd.who.int/dev11/l-ichi/en#/http%3A%2F%2Fid.who.int%2Ficd%2Fentity%2F1943972418","browser")</x:f>
      </x:c>
      <x:c r="L8296" s="0">
        <x:f>hyperlink("https://icat2.azurewebsites.net/icat/?ontology=ICD&amp;tab=ClassesTab&amp;id=http%3A%2F%2Fwho.int%2Ficd%233442_9cd760cf_9e71_4bdb_b2ea_a3ed07921568","iCat")</x:f>
      </x:c>
      <x:c r="M8296" s="0" t="s">
        <x:v>21</x:v>
      </x:c>
      <x:c r="N8296" s="0" t="s">
        <x:v>46</x:v>
      </x:c>
    </x:row>
    <x:row r="8297" spans="1:16">
      <x:c r="A8297" s="0" t="s">
        <x:v>33049</x:v>
      </x:c>
      <x:c r="B8297" s="0" t="s">
        <x:v>33050</x:v>
      </x:c>
      <x:c r="C8297" s="0" t="s">
        <x:v>33051</x:v>
      </x:c>
      <x:c r="E8297" s="0" t="s">
        <x:v>33052</x:v>
      </x:c>
      <x:c r="F8297" s="0" t="s">
        <x:v>45</x:v>
      </x:c>
      <x:c r="G8297" s="0" t="s">
        <x:v>19</x:v>
      </x:c>
      <x:c r="H8297" s="0" t="s">
        <x:v>20</x:v>
      </x:c>
      <x:c r="I8297" s="0" t="s">
        <x:v>21</x:v>
      </x:c>
      <x:c r="K8297" s="0">
        <x:f>hyperlink("https://icd.who.int/dev11/l-ichi/en#/http%3A%2F%2Fid.who.int%2Ficd%2Fentity%2F1478739666","browser")</x:f>
      </x:c>
      <x:c r="L8297" s="0">
        <x:f>hyperlink("https://icat2.azurewebsites.net/icat/?ontology=ICD&amp;tab=ClassesTab&amp;id=http%3A%2F%2Fwho.int%2Ficd%233448_9cd760cf_9e71_4bdb_b2ea_a3ed07921568","iCat")</x:f>
      </x:c>
      <x:c r="M8297" s="0" t="s">
        <x:v>21</x:v>
      </x:c>
      <x:c r="N8297" s="0" t="s">
        <x:v>46</x:v>
      </x:c>
    </x:row>
    <x:row r="8298" spans="1:16">
      <x:c r="A8298" s="0" t="s">
        <x:v>33053</x:v>
      </x:c>
      <x:c r="B8298" s="0" t="s">
        <x:v>33054</x:v>
      </x:c>
      <x:c r="C8298" s="0" t="s">
        <x:v>33055</x:v>
      </x:c>
      <x:c r="E8298" s="0" t="s">
        <x:v>33056</x:v>
      </x:c>
      <x:c r="F8298" s="0" t="s">
        <x:v>45</x:v>
      </x:c>
      <x:c r="G8298" s="0" t="s">
        <x:v>19</x:v>
      </x:c>
      <x:c r="H8298" s="0" t="s">
        <x:v>20</x:v>
      </x:c>
      <x:c r="I8298" s="0" t="s">
        <x:v>21</x:v>
      </x:c>
      <x:c r="K8298" s="0">
        <x:f>hyperlink("https://icd.who.int/dev11/l-ichi/en#/http%3A%2F%2Fid.who.int%2Ficd%2Fentity%2F1231087270","browser")</x:f>
      </x:c>
      <x:c r="L8298" s="0">
        <x:f>hyperlink("https://icat2.azurewebsites.net/icat/?ontology=ICD&amp;tab=ClassesTab&amp;id=http%3A%2F%2Fwho.int%2Ficd%233454_9cd760cf_9e71_4bdb_b2ea_a3ed07921568","iCat")</x:f>
      </x:c>
      <x:c r="M8298" s="0" t="s">
        <x:v>21</x:v>
      </x:c>
      <x:c r="N8298" s="0" t="s">
        <x:v>46</x:v>
      </x:c>
    </x:row>
    <x:row r="8299" spans="1:16">
      <x:c r="A8299" s="0" t="s">
        <x:v>33057</x:v>
      </x:c>
      <x:c r="B8299" s="0" t="s">
        <x:v>33058</x:v>
      </x:c>
      <x:c r="C8299" s="0" t="s">
        <x:v>33059</x:v>
      </x:c>
      <x:c r="E8299" s="0" t="s">
        <x:v>33060</x:v>
      </x:c>
      <x:c r="F8299" s="0" t="s">
        <x:v>45</x:v>
      </x:c>
      <x:c r="G8299" s="0" t="s">
        <x:v>19</x:v>
      </x:c>
      <x:c r="H8299" s="0" t="s">
        <x:v>20</x:v>
      </x:c>
      <x:c r="I8299" s="0" t="s">
        <x:v>21</x:v>
      </x:c>
      <x:c r="K8299" s="0">
        <x:f>hyperlink("https://icd.who.int/dev11/l-ichi/en#/http%3A%2F%2Fid.who.int%2Ficd%2Fentity%2F1020682967","browser")</x:f>
      </x:c>
      <x:c r="L8299" s="0">
        <x:f>hyperlink("https://icat2.azurewebsites.net/icat/?ontology=ICD&amp;tab=ClassesTab&amp;id=http%3A%2F%2Fwho.int%2Ficd%233460_9cd760cf_9e71_4bdb_b2ea_a3ed07921568","iCat")</x:f>
      </x:c>
      <x:c r="M8299" s="0" t="s">
        <x:v>21</x:v>
      </x:c>
      <x:c r="N8299" s="0" t="s">
        <x:v>46</x:v>
      </x:c>
    </x:row>
    <x:row r="8300" spans="1:16">
      <x:c r="A8300" s="0" t="s">
        <x:v>33061</x:v>
      </x:c>
      <x:c r="B8300" s="0" t="s">
        <x:v>33062</x:v>
      </x:c>
      <x:c r="C8300" s="0" t="s">
        <x:v>33063</x:v>
      </x:c>
      <x:c r="E8300" s="0" t="s">
        <x:v>33064</x:v>
      </x:c>
      <x:c r="F8300" s="0" t="s">
        <x:v>45</x:v>
      </x:c>
      <x:c r="G8300" s="0" t="s">
        <x:v>19</x:v>
      </x:c>
      <x:c r="H8300" s="0" t="s">
        <x:v>20</x:v>
      </x:c>
      <x:c r="I8300" s="0" t="s">
        <x:v>21</x:v>
      </x:c>
      <x:c r="K8300" s="0">
        <x:f>hyperlink("https://icd.who.int/dev11/l-ichi/en#/http%3A%2F%2Fid.who.int%2Ficd%2Fentity%2F1823325030","browser")</x:f>
      </x:c>
      <x:c r="L8300" s="0">
        <x:f>hyperlink("https://icat2.azurewebsites.net/icat/?ontology=ICD&amp;tab=ClassesTab&amp;id=http%3A%2F%2Fwho.int%2Ficd%233466_9cd760cf_9e71_4bdb_b2ea_a3ed07921568","iCat")</x:f>
      </x:c>
      <x:c r="M8300" s="0" t="s">
        <x:v>21</x:v>
      </x:c>
      <x:c r="N8300" s="0" t="s">
        <x:v>46</x:v>
      </x:c>
    </x:row>
    <x:row r="8301" spans="1:16">
      <x:c r="A8301" s="0" t="s">
        <x:v>33065</x:v>
      </x:c>
      <x:c r="B8301" s="0" t="s">
        <x:v>33066</x:v>
      </x:c>
      <x:c r="C8301" s="0" t="s">
        <x:v>33067</x:v>
      </x:c>
      <x:c r="E8301" s="0" t="s">
        <x:v>33068</x:v>
      </x:c>
      <x:c r="F8301" s="0" t="s">
        <x:v>45</x:v>
      </x:c>
      <x:c r="G8301" s="0" t="s">
        <x:v>19</x:v>
      </x:c>
      <x:c r="H8301" s="0" t="s">
        <x:v>20</x:v>
      </x:c>
      <x:c r="I8301" s="0" t="s">
        <x:v>21</x:v>
      </x:c>
      <x:c r="K8301" s="0">
        <x:f>hyperlink("https://icd.who.int/dev11/l-ichi/en#/http%3A%2F%2Fid.who.int%2Ficd%2Fentity%2F862972485","browser")</x:f>
      </x:c>
      <x:c r="L8301" s="0">
        <x:f>hyperlink("https://icat2.azurewebsites.net/icat/?ontology=ICD&amp;tab=ClassesTab&amp;id=http%3A%2F%2Fwho.int%2Ficd%233472_9cd760cf_9e71_4bdb_b2ea_a3ed07921568","iCat")</x:f>
      </x:c>
      <x:c r="M8301" s="0" t="s">
        <x:v>21</x:v>
      </x:c>
      <x:c r="N8301" s="0" t="s">
        <x:v>46</x:v>
      </x:c>
    </x:row>
    <x:row r="8302" spans="1:16">
      <x:c r="A8302" s="0" t="s">
        <x:v>33069</x:v>
      </x:c>
      <x:c r="B8302" s="0" t="s">
        <x:v>33070</x:v>
      </x:c>
      <x:c r="C8302" s="0" t="s">
        <x:v>33071</x:v>
      </x:c>
      <x:c r="E8302" s="0" t="s">
        <x:v>33072</x:v>
      </x:c>
      <x:c r="F8302" s="0" t="s">
        <x:v>45</x:v>
      </x:c>
      <x:c r="G8302" s="0" t="s">
        <x:v>19</x:v>
      </x:c>
      <x:c r="H8302" s="0" t="s">
        <x:v>20</x:v>
      </x:c>
      <x:c r="I8302" s="0" t="s">
        <x:v>21</x:v>
      </x:c>
      <x:c r="K8302" s="0">
        <x:f>hyperlink("https://icd.who.int/dev11/l-ichi/en#/http%3A%2F%2Fid.who.int%2Ficd%2Fentity%2F412255957","browser")</x:f>
      </x:c>
      <x:c r="L8302" s="0">
        <x:f>hyperlink("https://icat2.azurewebsites.net/icat/?ontology=ICD&amp;tab=ClassesTab&amp;id=http%3A%2F%2Fwho.int%2Ficd%233478_9cd760cf_9e71_4bdb_b2ea_a3ed07921568","iCat")</x:f>
      </x:c>
      <x:c r="M8302" s="0" t="s">
        <x:v>21</x:v>
      </x:c>
      <x:c r="N8302" s="0" t="s">
        <x:v>46</x:v>
      </x:c>
    </x:row>
    <x:row r="8303" spans="1:16">
      <x:c r="A8303" s="0" t="s">
        <x:v>33073</x:v>
      </x:c>
      <x:c r="B8303" s="0" t="s">
        <x:v>33074</x:v>
      </x:c>
      <x:c r="C8303" s="0" t="s">
        <x:v>33075</x:v>
      </x:c>
      <x:c r="E8303" s="0" t="s">
        <x:v>33076</x:v>
      </x:c>
      <x:c r="F8303" s="0" t="s">
        <x:v>45</x:v>
      </x:c>
      <x:c r="G8303" s="0" t="s">
        <x:v>19</x:v>
      </x:c>
      <x:c r="H8303" s="0" t="s">
        <x:v>20</x:v>
      </x:c>
      <x:c r="I8303" s="0" t="s">
        <x:v>21</x:v>
      </x:c>
      <x:c r="K8303" s="0">
        <x:f>hyperlink("https://icd.who.int/dev11/l-ichi/en#/http%3A%2F%2Fid.who.int%2Ficd%2Fentity%2F1291024682","browser")</x:f>
      </x:c>
      <x:c r="L8303" s="0">
        <x:f>hyperlink("https://icat2.azurewebsites.net/icat/?ontology=ICD&amp;tab=ClassesTab&amp;id=http%3A%2F%2Fwho.int%2Ficd%233484_9cd760cf_9e71_4bdb_b2ea_a3ed07921568","iCat")</x:f>
      </x:c>
      <x:c r="M8303" s="0" t="s">
        <x:v>21</x:v>
      </x:c>
      <x:c r="N8303" s="0" t="s">
        <x:v>46</x:v>
      </x:c>
    </x:row>
    <x:row r="8304" spans="1:16">
      <x:c r="A8304" s="0" t="s">
        <x:v>33077</x:v>
      </x:c>
      <x:c r="B8304" s="0" t="s">
        <x:v>33078</x:v>
      </x:c>
      <x:c r="C8304" s="0" t="s">
        <x:v>33079</x:v>
      </x:c>
      <x:c r="E8304" s="0" t="s">
        <x:v>33080</x:v>
      </x:c>
      <x:c r="F8304" s="0" t="s">
        <x:v>45</x:v>
      </x:c>
      <x:c r="G8304" s="0" t="s">
        <x:v>19</x:v>
      </x:c>
      <x:c r="H8304" s="0" t="s">
        <x:v>20</x:v>
      </x:c>
      <x:c r="I8304" s="0" t="s">
        <x:v>21</x:v>
      </x:c>
      <x:c r="K8304" s="0">
        <x:f>hyperlink("https://icd.who.int/dev11/l-ichi/en#/http%3A%2F%2Fid.who.int%2Ficd%2Fentity%2F321988617","browser")</x:f>
      </x:c>
      <x:c r="L8304" s="0">
        <x:f>hyperlink("https://icat2.azurewebsites.net/icat/?ontology=ICD&amp;tab=ClassesTab&amp;id=http%3A%2F%2Fwho.int%2Ficd%233490_9cd760cf_9e71_4bdb_b2ea_a3ed07921568","iCat")</x:f>
      </x:c>
      <x:c r="M8304" s="0" t="s">
        <x:v>21</x:v>
      </x:c>
      <x:c r="N8304" s="0" t="s">
        <x:v>46</x:v>
      </x:c>
    </x:row>
    <x:row r="8305" spans="1:16">
      <x:c r="A8305" s="0" t="s">
        <x:v>33081</x:v>
      </x:c>
      <x:c r="B8305" s="0" t="s">
        <x:v>33082</x:v>
      </x:c>
      <x:c r="C8305" s="0" t="s">
        <x:v>33083</x:v>
      </x:c>
      <x:c r="E8305" s="0" t="s">
        <x:v>33084</x:v>
      </x:c>
      <x:c r="F8305" s="0" t="s">
        <x:v>45</x:v>
      </x:c>
      <x:c r="G8305" s="0" t="s">
        <x:v>19</x:v>
      </x:c>
      <x:c r="H8305" s="0" t="s">
        <x:v>20</x:v>
      </x:c>
      <x:c r="I8305" s="0" t="s">
        <x:v>21</x:v>
      </x:c>
      <x:c r="K8305" s="0">
        <x:f>hyperlink("https://icd.who.int/dev11/l-ichi/en#/http%3A%2F%2Fid.who.int%2Ficd%2Fentity%2F1128985016","browser")</x:f>
      </x:c>
      <x:c r="L8305" s="0">
        <x:f>hyperlink("https://icat2.azurewebsites.net/icat/?ontology=ICD&amp;tab=ClassesTab&amp;id=http%3A%2F%2Fwho.int%2Ficd%233496_9cd760cf_9e71_4bdb_b2ea_a3ed07921568","iCat")</x:f>
      </x:c>
      <x:c r="M8305" s="0" t="s">
        <x:v>21</x:v>
      </x:c>
      <x:c r="N8305" s="0" t="s">
        <x:v>46</x:v>
      </x:c>
    </x:row>
    <x:row r="8306" spans="1:16">
      <x:c r="A8306" s="0" t="s">
        <x:v>33085</x:v>
      </x:c>
      <x:c r="B8306" s="0" t="s">
        <x:v>33086</x:v>
      </x:c>
      <x:c r="C8306" s="0" t="s">
        <x:v>33087</x:v>
      </x:c>
      <x:c r="E8306" s="0" t="s">
        <x:v>33088</x:v>
      </x:c>
      <x:c r="F8306" s="0" t="s">
        <x:v>45</x:v>
      </x:c>
      <x:c r="G8306" s="0" t="s">
        <x:v>19</x:v>
      </x:c>
      <x:c r="H8306" s="0" t="s">
        <x:v>20</x:v>
      </x:c>
      <x:c r="I8306" s="0" t="s">
        <x:v>21</x:v>
      </x:c>
      <x:c r="K8306" s="0">
        <x:f>hyperlink("https://icd.who.int/dev11/l-ichi/en#/http%3A%2F%2Fid.who.int%2Ficd%2Fentity%2F1982218178","browser")</x:f>
      </x:c>
      <x:c r="L8306" s="0">
        <x:f>hyperlink("https://icat2.azurewebsites.net/icat/?ontology=ICD&amp;tab=ClassesTab&amp;id=http%3A%2F%2Fwho.int%2Ficd%233502_9cd760cf_9e71_4bdb_b2ea_a3ed07921568","iCat")</x:f>
      </x:c>
      <x:c r="M8306" s="0" t="s">
        <x:v>21</x:v>
      </x:c>
      <x:c r="N8306" s="0" t="s">
        <x:v>46</x:v>
      </x:c>
    </x:row>
    <x:row r="8307" spans="1:16">
      <x:c r="A8307" s="0" t="s">
        <x:v>33089</x:v>
      </x:c>
      <x:c r="B8307" s="0" t="s">
        <x:v>33090</x:v>
      </x:c>
      <x:c r="C8307" s="0" t="s">
        <x:v>33091</x:v>
      </x:c>
      <x:c r="E8307" s="0" t="s">
        <x:v>33092</x:v>
      </x:c>
      <x:c r="F8307" s="0" t="s">
        <x:v>45</x:v>
      </x:c>
      <x:c r="G8307" s="0" t="s">
        <x:v>19</x:v>
      </x:c>
      <x:c r="H8307" s="0" t="s">
        <x:v>20</x:v>
      </x:c>
      <x:c r="I8307" s="0" t="s">
        <x:v>21</x:v>
      </x:c>
      <x:c r="K8307" s="0">
        <x:f>hyperlink("https://icd.who.int/dev11/l-ichi/en#/http%3A%2F%2Fid.who.int%2Ficd%2Fentity%2F88176736","browser")</x:f>
      </x:c>
      <x:c r="L8307" s="0">
        <x:f>hyperlink("https://icat2.azurewebsites.net/icat/?ontology=ICD&amp;tab=ClassesTab&amp;id=http%3A%2F%2Fwho.int%2Ficd%2383_60b821c4_cabc_4b81_9563_cb99d74167d5","iCat")</x:f>
      </x:c>
      <x:c r="M8307" s="0" t="s">
        <x:v>21</x:v>
      </x:c>
      <x:c r="N8307" s="0" t="s">
        <x:v>46</x:v>
      </x:c>
    </x:row>
    <x:row r="8308" spans="1:16">
      <x:c r="A8308" s="0" t="s">
        <x:v>33093</x:v>
      </x:c>
      <x:c r="B8308" s="0" t="s">
        <x:v>33094</x:v>
      </x:c>
      <x:c r="C8308" s="0" t="s">
        <x:v>33095</x:v>
      </x:c>
      <x:c r="E8308" s="0" t="s">
        <x:v>33096</x:v>
      </x:c>
      <x:c r="F8308" s="0" t="s">
        <x:v>45</x:v>
      </x:c>
      <x:c r="G8308" s="0" t="s">
        <x:v>19</x:v>
      </x:c>
      <x:c r="H8308" s="0" t="s">
        <x:v>20</x:v>
      </x:c>
      <x:c r="I8308" s="0" t="s">
        <x:v>21</x:v>
      </x:c>
      <x:c r="K8308" s="0">
        <x:f>hyperlink("https://icd.who.int/dev11/l-ichi/en#/http%3A%2F%2Fid.who.int%2Ficd%2Fentity%2F1574654802","browser")</x:f>
      </x:c>
      <x:c r="L8308" s="0">
        <x:f>hyperlink("https://icat2.azurewebsites.net/icat/?ontology=ICD&amp;tab=ClassesTab&amp;id=http%3A%2F%2Fwho.int%2Ficd%233508_9cd760cf_9e71_4bdb_b2ea_a3ed07921568","iCat")</x:f>
      </x:c>
      <x:c r="M8308" s="0" t="s">
        <x:v>21</x:v>
      </x:c>
      <x:c r="N8308" s="0" t="s">
        <x:v>46</x:v>
      </x:c>
    </x:row>
    <x:row r="8309" spans="1:16">
      <x:c r="A8309" s="0" t="s">
        <x:v>33097</x:v>
      </x:c>
      <x:c r="B8309" s="0" t="s">
        <x:v>33098</x:v>
      </x:c>
      <x:c r="C8309" s="0" t="s">
        <x:v>33099</x:v>
      </x:c>
      <x:c r="E8309" s="0" t="s">
        <x:v>33100</x:v>
      </x:c>
      <x:c r="F8309" s="0" t="s">
        <x:v>45</x:v>
      </x:c>
      <x:c r="G8309" s="0" t="s">
        <x:v>19</x:v>
      </x:c>
      <x:c r="H8309" s="0" t="s">
        <x:v>20</x:v>
      </x:c>
      <x:c r="I8309" s="0" t="s">
        <x:v>21</x:v>
      </x:c>
      <x:c r="K8309" s="0">
        <x:f>hyperlink("https://icd.who.int/dev11/l-ichi/en#/http%3A%2F%2Fid.who.int%2Ficd%2Fentity%2F1285059366","browser")</x:f>
      </x:c>
      <x:c r="L8309" s="0">
        <x:f>hyperlink("https://icat2.azurewebsites.net/icat/?ontology=ICD&amp;tab=ClassesTab&amp;id=http%3A%2F%2Fwho.int%2Ficd%233514_9cd760cf_9e71_4bdb_b2ea_a3ed07921568","iCat")</x:f>
      </x:c>
      <x:c r="M8309" s="0" t="s">
        <x:v>21</x:v>
      </x:c>
      <x:c r="N8309" s="0" t="s">
        <x:v>46</x:v>
      </x:c>
    </x:row>
    <x:row r="8310" spans="1:16">
      <x:c r="A8310" s="0" t="s">
        <x:v>33101</x:v>
      </x:c>
      <x:c r="B8310" s="0" t="s">
        <x:v>33102</x:v>
      </x:c>
      <x:c r="C8310" s="0" t="s">
        <x:v>33103</x:v>
      </x:c>
      <x:c r="E8310" s="0" t="s">
        <x:v>33104</x:v>
      </x:c>
      <x:c r="F8310" s="0" t="s">
        <x:v>45</x:v>
      </x:c>
      <x:c r="G8310" s="0" t="s">
        <x:v>19</x:v>
      </x:c>
      <x:c r="H8310" s="0" t="s">
        <x:v>20</x:v>
      </x:c>
      <x:c r="I8310" s="0" t="s">
        <x:v>21</x:v>
      </x:c>
      <x:c r="K8310" s="0">
        <x:f>hyperlink("https://icd.who.int/dev11/l-ichi/en#/http%3A%2F%2Fid.who.int%2Ficd%2Fentity%2F959379287","browser")</x:f>
      </x:c>
      <x:c r="L8310" s="0">
        <x:f>hyperlink("https://icat2.azurewebsites.net/icat/?ontology=ICD&amp;tab=ClassesTab&amp;id=http%3A%2F%2Fwho.int%2Ficd%233520_9cd760cf_9e71_4bdb_b2ea_a3ed07921568","iCat")</x:f>
      </x:c>
      <x:c r="M8310" s="0" t="s">
        <x:v>21</x:v>
      </x:c>
      <x:c r="N8310" s="0" t="s">
        <x:v>46</x:v>
      </x:c>
    </x:row>
    <x:row r="8311" spans="1:16">
      <x:c r="A8311" s="0" t="s">
        <x:v>33105</x:v>
      </x:c>
      <x:c r="B8311" s="0" t="s">
        <x:v>33106</x:v>
      </x:c>
      <x:c r="C8311" s="0" t="s">
        <x:v>33107</x:v>
      </x:c>
      <x:c r="E8311" s="0" t="s">
        <x:v>33108</x:v>
      </x:c>
      <x:c r="F8311" s="0" t="s">
        <x:v>45</x:v>
      </x:c>
      <x:c r="G8311" s="0" t="s">
        <x:v>19</x:v>
      </x:c>
      <x:c r="H8311" s="0" t="s">
        <x:v>20</x:v>
      </x:c>
      <x:c r="I8311" s="0" t="s">
        <x:v>21</x:v>
      </x:c>
      <x:c r="K8311" s="0">
        <x:f>hyperlink("https://icd.who.int/dev11/l-ichi/en#/http%3A%2F%2Fid.who.int%2Ficd%2Fentity%2F1767190246","browser")</x:f>
      </x:c>
      <x:c r="L8311" s="0">
        <x:f>hyperlink("https://icat2.azurewebsites.net/icat/?ontology=ICD&amp;tab=ClassesTab&amp;id=http%3A%2F%2Fwho.int%2Ficd%233526_9cd760cf_9e71_4bdb_b2ea_a3ed07921568","iCat")</x:f>
      </x:c>
      <x:c r="M8311" s="0" t="s">
        <x:v>21</x:v>
      </x:c>
      <x:c r="N8311" s="0" t="s">
        <x:v>46</x:v>
      </x:c>
    </x:row>
    <x:row r="8312" spans="1:16">
      <x:c r="A8312" s="0" t="s">
        <x:v>33109</x:v>
      </x:c>
      <x:c r="B8312" s="0" t="s">
        <x:v>33110</x:v>
      </x:c>
      <x:c r="C8312" s="0" t="s">
        <x:v>33111</x:v>
      </x:c>
      <x:c r="E8312" s="0" t="s">
        <x:v>33112</x:v>
      </x:c>
      <x:c r="F8312" s="0" t="s">
        <x:v>45</x:v>
      </x:c>
      <x:c r="G8312" s="0" t="s">
        <x:v>19</x:v>
      </x:c>
      <x:c r="H8312" s="0" t="s">
        <x:v>20</x:v>
      </x:c>
      <x:c r="I8312" s="0" t="s">
        <x:v>21</x:v>
      </x:c>
      <x:c r="K8312" s="0">
        <x:f>hyperlink("https://icd.who.int/dev11/l-ichi/en#/http%3A%2F%2Fid.who.int%2Ficd%2Fentity%2F915898309","browser")</x:f>
      </x:c>
      <x:c r="L8312" s="0">
        <x:f>hyperlink("https://icat2.azurewebsites.net/icat/?ontology=ICD&amp;tab=ClassesTab&amp;id=http%3A%2F%2Fwho.int%2Ficd%233532_9cd760cf_9e71_4bdb_b2ea_a3ed07921568","iCat")</x:f>
      </x:c>
      <x:c r="M8312" s="0" t="s">
        <x:v>21</x:v>
      </x:c>
      <x:c r="N8312" s="0" t="s">
        <x:v>46</x:v>
      </x:c>
    </x:row>
    <x:row r="8313" spans="1:16">
      <x:c r="A8313" s="0" t="s">
        <x:v>33113</x:v>
      </x:c>
      <x:c r="B8313" s="0" t="s">
        <x:v>33114</x:v>
      </x:c>
      <x:c r="C8313" s="0" t="s">
        <x:v>33115</x:v>
      </x:c>
      <x:c r="E8313" s="0" t="s">
        <x:v>33116</x:v>
      </x:c>
      <x:c r="F8313" s="0" t="s">
        <x:v>45</x:v>
      </x:c>
      <x:c r="G8313" s="0" t="s">
        <x:v>19</x:v>
      </x:c>
      <x:c r="H8313" s="0" t="s">
        <x:v>20</x:v>
      </x:c>
      <x:c r="I8313" s="0" t="s">
        <x:v>21</x:v>
      </x:c>
      <x:c r="K8313" s="0">
        <x:f>hyperlink("https://icd.who.int/dev11/l-ichi/en#/http%3A%2F%2Fid.who.int%2Ficd%2Fentity%2F493491029","browser")</x:f>
      </x:c>
      <x:c r="L8313" s="0">
        <x:f>hyperlink("https://icat2.azurewebsites.net/icat/?ontology=ICD&amp;tab=ClassesTab&amp;id=http%3A%2F%2Fwho.int%2Ficd%233538_9cd760cf_9e71_4bdb_b2ea_a3ed07921568","iCat")</x:f>
      </x:c>
      <x:c r="M8313" s="0" t="s">
        <x:v>21</x:v>
      </x:c>
      <x:c r="N8313" s="0" t="s">
        <x:v>46</x:v>
      </x:c>
    </x:row>
    <x:row r="8314" spans="1:16">
      <x:c r="A8314" s="0" t="s">
        <x:v>33117</x:v>
      </x:c>
      <x:c r="B8314" s="0" t="s">
        <x:v>33118</x:v>
      </x:c>
      <x:c r="C8314" s="0" t="s">
        <x:v>33119</x:v>
      </x:c>
      <x:c r="E8314" s="0" t="s">
        <x:v>33120</x:v>
      </x:c>
      <x:c r="F8314" s="0" t="s">
        <x:v>45</x:v>
      </x:c>
      <x:c r="G8314" s="0" t="s">
        <x:v>19</x:v>
      </x:c>
      <x:c r="H8314" s="0" t="s">
        <x:v>20</x:v>
      </x:c>
      <x:c r="I8314" s="0" t="s">
        <x:v>21</x:v>
      </x:c>
      <x:c r="K8314" s="0">
        <x:f>hyperlink("https://icd.who.int/dev11/l-ichi/en#/http%3A%2F%2Fid.who.int%2Ficd%2Fentity%2F1446688112","browser")</x:f>
      </x:c>
      <x:c r="L8314" s="0">
        <x:f>hyperlink("https://icat2.azurewebsites.net/icat/?ontology=ICD&amp;tab=ClassesTab&amp;id=http%3A%2F%2Fwho.int%2Ficd%233544_9cd760cf_9e71_4bdb_b2ea_a3ed07921568","iCat")</x:f>
      </x:c>
      <x:c r="M8314" s="0" t="s">
        <x:v>21</x:v>
      </x:c>
      <x:c r="N8314" s="0" t="s">
        <x:v>46</x:v>
      </x:c>
    </x:row>
    <x:row r="8315" spans="1:16">
      <x:c r="A8315" s="0" t="s">
        <x:v>33121</x:v>
      </x:c>
      <x:c r="B8315" s="0" t="s">
        <x:v>33122</x:v>
      </x:c>
      <x:c r="C8315" s="0" t="s">
        <x:v>33123</x:v>
      </x:c>
      <x:c r="E8315" s="0" t="s">
        <x:v>33124</x:v>
      </x:c>
      <x:c r="F8315" s="0" t="s">
        <x:v>45</x:v>
      </x:c>
      <x:c r="G8315" s="0" t="s">
        <x:v>19</x:v>
      </x:c>
      <x:c r="H8315" s="0" t="s">
        <x:v>20</x:v>
      </x:c>
      <x:c r="I8315" s="0" t="s">
        <x:v>21</x:v>
      </x:c>
      <x:c r="K8315" s="0">
        <x:f>hyperlink("https://icd.who.int/dev11/l-ichi/en#/http%3A%2F%2Fid.who.int%2Ficd%2Fentity%2F167306317","browser")</x:f>
      </x:c>
      <x:c r="L8315" s="0">
        <x:f>hyperlink("https://icat2.azurewebsites.net/icat/?ontology=ICD&amp;tab=ClassesTab&amp;id=http%3A%2F%2Fwho.int%2Ficd%233550_9cd760cf_9e71_4bdb_b2ea_a3ed07921568","iCat")</x:f>
      </x:c>
      <x:c r="M8315" s="0" t="s">
        <x:v>21</x:v>
      </x:c>
      <x:c r="N8315" s="0" t="s">
        <x:v>46</x:v>
      </x:c>
    </x:row>
    <x:row r="8316" spans="1:16">
      <x:c r="A8316" s="0" t="s">
        <x:v>33125</x:v>
      </x:c>
      <x:c r="B8316" s="0" t="s">
        <x:v>33126</x:v>
      </x:c>
      <x:c r="C8316" s="0" t="s">
        <x:v>33127</x:v>
      </x:c>
      <x:c r="E8316" s="0" t="s">
        <x:v>33128</x:v>
      </x:c>
      <x:c r="F8316" s="0" t="s">
        <x:v>45</x:v>
      </x:c>
      <x:c r="G8316" s="0" t="s">
        <x:v>19</x:v>
      </x:c>
      <x:c r="H8316" s="0" t="s">
        <x:v>20</x:v>
      </x:c>
      <x:c r="I8316" s="0" t="s">
        <x:v>21</x:v>
      </x:c>
      <x:c r="K8316" s="0">
        <x:f>hyperlink("https://icd.who.int/dev11/l-ichi/en#/http%3A%2F%2Fid.who.int%2Ficd%2Fentity%2F1501773310","browser")</x:f>
      </x:c>
      <x:c r="L8316" s="0">
        <x:f>hyperlink("https://icat2.azurewebsites.net/icat/?ontology=ICD&amp;tab=ClassesTab&amp;id=http%3A%2F%2Fwho.int%2Ficd%233556_9cd760cf_9e71_4bdb_b2ea_a3ed07921568","iCat")</x:f>
      </x:c>
      <x:c r="M8316" s="0" t="s">
        <x:v>21</x:v>
      </x:c>
      <x:c r="N8316" s="0" t="s">
        <x:v>46</x:v>
      </x:c>
    </x:row>
    <x:row r="8317" spans="1:16">
      <x:c r="A8317" s="0" t="s">
        <x:v>33129</x:v>
      </x:c>
      <x:c r="B8317" s="0" t="s">
        <x:v>33130</x:v>
      </x:c>
      <x:c r="C8317" s="0" t="s">
        <x:v>33131</x:v>
      </x:c>
      <x:c r="E8317" s="0" t="s">
        <x:v>33132</x:v>
      </x:c>
      <x:c r="F8317" s="0" t="s">
        <x:v>45</x:v>
      </x:c>
      <x:c r="G8317" s="0" t="s">
        <x:v>19</x:v>
      </x:c>
      <x:c r="H8317" s="0" t="s">
        <x:v>20</x:v>
      </x:c>
      <x:c r="I8317" s="0" t="s">
        <x:v>21</x:v>
      </x:c>
      <x:c r="K8317" s="0">
        <x:f>hyperlink("https://icd.who.int/dev11/l-ichi/en#/http%3A%2F%2Fid.who.int%2Ficd%2Fentity%2F741718415","browser")</x:f>
      </x:c>
      <x:c r="L8317" s="0">
        <x:f>hyperlink("https://icat2.azurewebsites.net/icat/?ontology=ICD&amp;tab=ClassesTab&amp;id=http%3A%2F%2Fwho.int%2Ficd%233562_9cd760cf_9e71_4bdb_b2ea_a3ed07921568","iCat")</x:f>
      </x:c>
      <x:c r="M8317" s="0" t="s">
        <x:v>21</x:v>
      </x:c>
      <x:c r="N8317" s="0" t="s">
        <x:v>46</x:v>
      </x:c>
    </x:row>
    <x:row r="8318" spans="1:16">
      <x:c r="A8318" s="0" t="s">
        <x:v>33133</x:v>
      </x:c>
      <x:c r="B8318" s="0" t="s">
        <x:v>33134</x:v>
      </x:c>
      <x:c r="C8318" s="0" t="s">
        <x:v>33135</x:v>
      </x:c>
      <x:c r="E8318" s="0" t="s">
        <x:v>33136</x:v>
      </x:c>
      <x:c r="F8318" s="0" t="s">
        <x:v>45</x:v>
      </x:c>
      <x:c r="G8318" s="0" t="s">
        <x:v>19</x:v>
      </x:c>
      <x:c r="H8318" s="0" t="s">
        <x:v>20</x:v>
      </x:c>
      <x:c r="I8318" s="0" t="s">
        <x:v>21</x:v>
      </x:c>
      <x:c r="K8318" s="0">
        <x:f>hyperlink("https://icd.who.int/dev11/l-ichi/en#/http%3A%2F%2Fid.who.int%2Ficd%2Fentity%2F130602271","browser")</x:f>
      </x:c>
      <x:c r="L8318" s="0">
        <x:f>hyperlink("https://icat2.azurewebsites.net/icat/?ontology=ICD&amp;tab=ClassesTab&amp;id=http%3A%2F%2Fwho.int%2Ficd%233568_9cd760cf_9e71_4bdb_b2ea_a3ed07921568","iCat")</x:f>
      </x:c>
      <x:c r="M8318" s="0" t="s">
        <x:v>21</x:v>
      </x:c>
      <x:c r="N8318" s="0" t="s">
        <x:v>46</x:v>
      </x:c>
    </x:row>
    <x:row r="8319" spans="1:16">
      <x:c r="A8319" s="0" t="s">
        <x:v>33137</x:v>
      </x:c>
      <x:c r="B8319" s="0" t="s">
        <x:v>33138</x:v>
      </x:c>
      <x:c r="C8319" s="0" t="s">
        <x:v>33139</x:v>
      </x:c>
      <x:c r="E8319" s="0" t="s">
        <x:v>33140</x:v>
      </x:c>
      <x:c r="F8319" s="0" t="s">
        <x:v>45</x:v>
      </x:c>
      <x:c r="G8319" s="0" t="s">
        <x:v>19</x:v>
      </x:c>
      <x:c r="H8319" s="0" t="s">
        <x:v>20</x:v>
      </x:c>
      <x:c r="I8319" s="0" t="s">
        <x:v>21</x:v>
      </x:c>
      <x:c r="K8319" s="0">
        <x:f>hyperlink("https://icd.who.int/dev11/l-ichi/en#/http%3A%2F%2Fid.who.int%2Ficd%2Fentity%2F378271081","browser")</x:f>
      </x:c>
      <x:c r="L8319" s="0">
        <x:f>hyperlink("https://icat2.azurewebsites.net/icat/?ontology=ICD&amp;tab=ClassesTab&amp;id=http%3A%2F%2Fwho.int%2Ficd%233574_9cd760cf_9e71_4bdb_b2ea_a3ed07921568","iCat")</x:f>
      </x:c>
      <x:c r="M8319" s="0" t="s">
        <x:v>21</x:v>
      </x:c>
      <x:c r="N8319" s="0" t="s">
        <x:v>46</x:v>
      </x:c>
    </x:row>
    <x:row r="8320" spans="1:16">
      <x:c r="A8320" s="0" t="s">
        <x:v>33141</x:v>
      </x:c>
      <x:c r="B8320" s="0" t="s">
        <x:v>33142</x:v>
      </x:c>
      <x:c r="C8320" s="0" t="s">
        <x:v>33143</x:v>
      </x:c>
      <x:c r="E8320" s="0" t="s">
        <x:v>33144</x:v>
      </x:c>
      <x:c r="F8320" s="0" t="s">
        <x:v>45</x:v>
      </x:c>
      <x:c r="G8320" s="0" t="s">
        <x:v>19</x:v>
      </x:c>
      <x:c r="H8320" s="0" t="s">
        <x:v>20</x:v>
      </x:c>
      <x:c r="I8320" s="0" t="s">
        <x:v>21</x:v>
      </x:c>
      <x:c r="K8320" s="0">
        <x:f>hyperlink("https://icd.who.int/dev11/l-ichi/en#/http%3A%2F%2Fid.who.int%2Ficd%2Fentity%2F208370627","browser")</x:f>
      </x:c>
      <x:c r="L8320" s="0">
        <x:f>hyperlink("https://icat2.azurewebsites.net/icat/?ontology=ICD&amp;tab=ClassesTab&amp;id=http%3A%2F%2Fwho.int%2Ficd%233580_9cd760cf_9e71_4bdb_b2ea_a3ed07921568","iCat")</x:f>
      </x:c>
      <x:c r="M8320" s="0" t="s">
        <x:v>21</x:v>
      </x:c>
      <x:c r="N8320" s="0" t="s">
        <x:v>46</x:v>
      </x:c>
    </x:row>
    <x:row r="8321" spans="1:16">
      <x:c r="A8321" s="0" t="s">
        <x:v>33145</x:v>
      </x:c>
      <x:c r="B8321" s="0" t="s">
        <x:v>33146</x:v>
      </x:c>
      <x:c r="C8321" s="0" t="s">
        <x:v>33147</x:v>
      </x:c>
      <x:c r="E8321" s="0" t="s">
        <x:v>33148</x:v>
      </x:c>
      <x:c r="F8321" s="0" t="s">
        <x:v>45</x:v>
      </x:c>
      <x:c r="G8321" s="0" t="s">
        <x:v>19</x:v>
      </x:c>
      <x:c r="H8321" s="0" t="s">
        <x:v>20</x:v>
      </x:c>
      <x:c r="I8321" s="0" t="s">
        <x:v>21</x:v>
      </x:c>
      <x:c r="K8321" s="0">
        <x:f>hyperlink("https://icd.who.int/dev11/l-ichi/en#/http%3A%2F%2Fid.who.int%2Ficd%2Fentity%2F1544594034","browser")</x:f>
      </x:c>
      <x:c r="L8321" s="0">
        <x:f>hyperlink("https://icat2.azurewebsites.net/icat/?ontology=ICD&amp;tab=ClassesTab&amp;id=http%3A%2F%2Fwho.int%2Ficd%233586_9cd760cf_9e71_4bdb_b2ea_a3ed07921568","iCat")</x:f>
      </x:c>
      <x:c r="M8321" s="0" t="s">
        <x:v>21</x:v>
      </x:c>
      <x:c r="N8321" s="0" t="s">
        <x:v>46</x:v>
      </x:c>
    </x:row>
    <x:row r="8322" spans="1:16">
      <x:c r="A8322" s="0" t="s">
        <x:v>33149</x:v>
      </x:c>
      <x:c r="B8322" s="0" t="s">
        <x:v>33150</x:v>
      </x:c>
      <x:c r="C8322" s="0" t="s">
        <x:v>33151</x:v>
      </x:c>
      <x:c r="E8322" s="0" t="s">
        <x:v>33152</x:v>
      </x:c>
      <x:c r="F8322" s="0" t="s">
        <x:v>45</x:v>
      </x:c>
      <x:c r="G8322" s="0" t="s">
        <x:v>19</x:v>
      </x:c>
      <x:c r="H8322" s="0" t="s">
        <x:v>20</x:v>
      </x:c>
      <x:c r="I8322" s="0" t="s">
        <x:v>21</x:v>
      </x:c>
      <x:c r="K8322" s="0">
        <x:f>hyperlink("https://icd.who.int/dev11/l-ichi/en#/http%3A%2F%2Fid.who.int%2Ficd%2Fentity%2F64156497","browser")</x:f>
      </x:c>
      <x:c r="L8322" s="0">
        <x:f>hyperlink("https://icat2.azurewebsites.net/icat/?ontology=ICD&amp;tab=ClassesTab&amp;id=http%3A%2F%2Fwho.int%2Ficd%233592_9cd760cf_9e71_4bdb_b2ea_a3ed07921568","iCat")</x:f>
      </x:c>
      <x:c r="M8322" s="0" t="s">
        <x:v>21</x:v>
      </x:c>
      <x:c r="N8322" s="0" t="s">
        <x:v>46</x:v>
      </x:c>
    </x:row>
    <x:row r="8323" spans="1:16">
      <x:c r="A8323" s="0" t="s">
        <x:v>33153</x:v>
      </x:c>
      <x:c r="B8323" s="0" t="s">
        <x:v>33154</x:v>
      </x:c>
      <x:c r="C8323" s="0" t="s">
        <x:v>33155</x:v>
      </x:c>
      <x:c r="E8323" s="0" t="s">
        <x:v>33156</x:v>
      </x:c>
      <x:c r="F8323" s="0" t="s">
        <x:v>45</x:v>
      </x:c>
      <x:c r="G8323" s="0" t="s">
        <x:v>19</x:v>
      </x:c>
      <x:c r="H8323" s="0" t="s">
        <x:v>20</x:v>
      </x:c>
      <x:c r="I8323" s="0" t="s">
        <x:v>21</x:v>
      </x:c>
      <x:c r="K8323" s="0">
        <x:f>hyperlink("https://icd.who.int/dev11/l-ichi/en#/http%3A%2F%2Fid.who.int%2Ficd%2Fentity%2F1392305250","browser")</x:f>
      </x:c>
      <x:c r="L8323" s="0">
        <x:f>hyperlink("https://icat2.azurewebsites.net/icat/?ontology=ICD&amp;tab=ClassesTab&amp;id=http%3A%2F%2Fwho.int%2Ficd%233601_9cd760cf_9e71_4bdb_b2ea_a3ed07921568","iCat")</x:f>
      </x:c>
      <x:c r="M8323" s="0" t="s">
        <x:v>21</x:v>
      </x:c>
      <x:c r="N8323" s="0" t="s">
        <x:v>46</x:v>
      </x:c>
    </x:row>
    <x:row r="8324" spans="1:16">
      <x:c r="A8324" s="0" t="s">
        <x:v>33157</x:v>
      </x:c>
      <x:c r="B8324" s="0" t="s">
        <x:v>33158</x:v>
      </x:c>
      <x:c r="C8324" s="0" t="s">
        <x:v>33159</x:v>
      </x:c>
      <x:c r="E8324" s="0" t="s">
        <x:v>33160</x:v>
      </x:c>
      <x:c r="F8324" s="0" t="s">
        <x:v>45</x:v>
      </x:c>
      <x:c r="G8324" s="0" t="s">
        <x:v>19</x:v>
      </x:c>
      <x:c r="H8324" s="0" t="s">
        <x:v>20</x:v>
      </x:c>
      <x:c r="I8324" s="0" t="s">
        <x:v>21</x:v>
      </x:c>
      <x:c r="K8324" s="0">
        <x:f>hyperlink("https://icd.who.int/dev11/l-ichi/en#/http%3A%2F%2Fid.who.int%2Ficd%2Fentity%2F42417619","browser")</x:f>
      </x:c>
      <x:c r="L8324" s="0">
        <x:f>hyperlink("https://icat2.azurewebsites.net/icat/?ontology=ICD&amp;tab=ClassesTab&amp;id=http%3A%2F%2Fwho.int%2Ficd%233607_9cd760cf_9e71_4bdb_b2ea_a3ed07921568","iCat")</x:f>
      </x:c>
      <x:c r="M8324" s="0" t="s">
        <x:v>21</x:v>
      </x:c>
      <x:c r="N8324" s="0" t="s">
        <x:v>46</x:v>
      </x:c>
    </x:row>
    <x:row r="8325" spans="1:16">
      <x:c r="A8325" s="0" t="s">
        <x:v>33161</x:v>
      </x:c>
      <x:c r="B8325" s="0" t="s">
        <x:v>33162</x:v>
      </x:c>
      <x:c r="C8325" s="0" t="s">
        <x:v>33163</x:v>
      </x:c>
      <x:c r="E8325" s="0" t="s">
        <x:v>33164</x:v>
      </x:c>
      <x:c r="F8325" s="0" t="s">
        <x:v>45</x:v>
      </x:c>
      <x:c r="G8325" s="0" t="s">
        <x:v>19</x:v>
      </x:c>
      <x:c r="H8325" s="0" t="s">
        <x:v>20</x:v>
      </x:c>
      <x:c r="I8325" s="0" t="s">
        <x:v>21</x:v>
      </x:c>
      <x:c r="K8325" s="0">
        <x:f>hyperlink("https://icd.who.int/dev11/l-ichi/en#/http%3A%2F%2Fid.who.int%2Ficd%2Fentity%2F1564830960","browser")</x:f>
      </x:c>
      <x:c r="L8325" s="0">
        <x:f>hyperlink("https://icat2.azurewebsites.net/icat/?ontology=ICD&amp;tab=ClassesTab&amp;id=http%3A%2F%2Fwho.int%2Ficd%233613_9cd760cf_9e71_4bdb_b2ea_a3ed07921568","iCat")</x:f>
      </x:c>
      <x:c r="M8325" s="0" t="s">
        <x:v>21</x:v>
      </x:c>
      <x:c r="N8325" s="0" t="s">
        <x:v>46</x:v>
      </x:c>
    </x:row>
    <x:row r="8326" spans="1:16">
      <x:c r="A8326" s="0" t="s">
        <x:v>33165</x:v>
      </x:c>
      <x:c r="B8326" s="0" t="s">
        <x:v>33166</x:v>
      </x:c>
      <x:c r="C8326" s="0" t="s">
        <x:v>33167</x:v>
      </x:c>
      <x:c r="E8326" s="0" t="s">
        <x:v>33168</x:v>
      </x:c>
      <x:c r="F8326" s="0" t="s">
        <x:v>45</x:v>
      </x:c>
      <x:c r="G8326" s="0" t="s">
        <x:v>19</x:v>
      </x:c>
      <x:c r="H8326" s="0" t="s">
        <x:v>20</x:v>
      </x:c>
      <x:c r="I8326" s="0" t="s">
        <x:v>21</x:v>
      </x:c>
      <x:c r="K8326" s="0">
        <x:f>hyperlink("https://icd.who.int/dev11/l-ichi/en#/http%3A%2F%2Fid.who.int%2Ficd%2Fentity%2F1991770208","browser")</x:f>
      </x:c>
      <x:c r="L8326" s="0">
        <x:f>hyperlink("https://icat2.azurewebsites.net/icat/?ontology=ICD&amp;tab=ClassesTab&amp;id=http%3A%2F%2Fwho.int%2Ficd%233619_9cd760cf_9e71_4bdb_b2ea_a3ed07921568","iCat")</x:f>
      </x:c>
      <x:c r="M8326" s="0" t="s">
        <x:v>21</x:v>
      </x:c>
      <x:c r="N8326" s="0" t="s">
        <x:v>46</x:v>
      </x:c>
    </x:row>
    <x:row r="8327" spans="1:16">
      <x:c r="A8327" s="0" t="s">
        <x:v>33169</x:v>
      </x:c>
      <x:c r="B8327" s="0" t="s">
        <x:v>33170</x:v>
      </x:c>
      <x:c r="C8327" s="0" t="s">
        <x:v>33171</x:v>
      </x:c>
      <x:c r="E8327" s="0" t="s">
        <x:v>33172</x:v>
      </x:c>
      <x:c r="F8327" s="0" t="s">
        <x:v>45</x:v>
      </x:c>
      <x:c r="G8327" s="0" t="s">
        <x:v>19</x:v>
      </x:c>
      <x:c r="H8327" s="0" t="s">
        <x:v>20</x:v>
      </x:c>
      <x:c r="I8327" s="0" t="s">
        <x:v>21</x:v>
      </x:c>
      <x:c r="K8327" s="0">
        <x:f>hyperlink("https://icd.who.int/dev11/l-ichi/en#/http%3A%2F%2Fid.who.int%2Ficd%2Fentity%2F1301280070","browser")</x:f>
      </x:c>
      <x:c r="L8327" s="0">
        <x:f>hyperlink("https://icat2.azurewebsites.net/icat/?ontology=ICD&amp;tab=ClassesTab&amp;id=http%3A%2F%2Fwho.int%2Ficd%233625_9cd760cf_9e71_4bdb_b2ea_a3ed07921568","iCat")</x:f>
      </x:c>
      <x:c r="M8327" s="0" t="s">
        <x:v>21</x:v>
      </x:c>
      <x:c r="N8327" s="0" t="s">
        <x:v>46</x:v>
      </x:c>
    </x:row>
    <x:row r="8328" spans="1:16">
      <x:c r="A8328" s="0" t="s">
        <x:v>33173</x:v>
      </x:c>
      <x:c r="B8328" s="0" t="s">
        <x:v>33174</x:v>
      </x:c>
      <x:c r="C8328" s="0" t="s">
        <x:v>33175</x:v>
      </x:c>
      <x:c r="E8328" s="0" t="s">
        <x:v>33176</x:v>
      </x:c>
      <x:c r="F8328" s="0" t="s">
        <x:v>45</x:v>
      </x:c>
      <x:c r="G8328" s="0" t="s">
        <x:v>19</x:v>
      </x:c>
      <x:c r="H8328" s="0" t="s">
        <x:v>20</x:v>
      </x:c>
      <x:c r="I8328" s="0" t="s">
        <x:v>21</x:v>
      </x:c>
      <x:c r="K8328" s="0">
        <x:f>hyperlink("https://icd.who.int/dev11/l-ichi/en#/http%3A%2F%2Fid.who.int%2Ficd%2Fentity%2F307078245","browser")</x:f>
      </x:c>
      <x:c r="L8328" s="0">
        <x:f>hyperlink("https://icat2.azurewebsites.net/icat/?ontology=ICD&amp;tab=ClassesTab&amp;id=http%3A%2F%2Fwho.int%2Ficd%233631_9cd760cf_9e71_4bdb_b2ea_a3ed07921568","iCat")</x:f>
      </x:c>
      <x:c r="M8328" s="0" t="s">
        <x:v>21</x:v>
      </x:c>
      <x:c r="N8328" s="0" t="s">
        <x:v>46</x:v>
      </x:c>
    </x:row>
    <x:row r="8329" spans="1:16">
      <x:c r="A8329" s="0" t="s">
        <x:v>33177</x:v>
      </x:c>
      <x:c r="B8329" s="0" t="s">
        <x:v>33178</x:v>
      </x:c>
      <x:c r="C8329" s="0" t="s">
        <x:v>33179</x:v>
      </x:c>
      <x:c r="E8329" s="0" t="s">
        <x:v>33180</x:v>
      </x:c>
      <x:c r="F8329" s="0" t="s">
        <x:v>45</x:v>
      </x:c>
      <x:c r="G8329" s="0" t="s">
        <x:v>19</x:v>
      </x:c>
      <x:c r="H8329" s="0" t="s">
        <x:v>20</x:v>
      </x:c>
      <x:c r="I8329" s="0" t="s">
        <x:v>21</x:v>
      </x:c>
      <x:c r="K8329" s="0">
        <x:f>hyperlink("https://icd.who.int/dev11/l-ichi/en#/http%3A%2F%2Fid.who.int%2Ficd%2Fentity%2F1110867412","browser")</x:f>
      </x:c>
      <x:c r="L8329" s="0">
        <x:f>hyperlink("https://icat2.azurewebsites.net/icat/?ontology=ICD&amp;tab=ClassesTab&amp;id=http%3A%2F%2Fwho.int%2Ficd%233637_9cd760cf_9e71_4bdb_b2ea_a3ed07921568","iCat")</x:f>
      </x:c>
      <x:c r="M8329" s="0" t="s">
        <x:v>21</x:v>
      </x:c>
      <x:c r="N8329" s="0" t="s">
        <x:v>46</x:v>
      </x:c>
    </x:row>
    <x:row r="8330" spans="1:16">
      <x:c r="A8330" s="0" t="s">
        <x:v>33181</x:v>
      </x:c>
      <x:c r="B8330" s="0" t="s">
        <x:v>33182</x:v>
      </x:c>
      <x:c r="C8330" s="0" t="s">
        <x:v>33183</x:v>
      </x:c>
      <x:c r="E8330" s="0" t="s">
        <x:v>33184</x:v>
      </x:c>
      <x:c r="F8330" s="0" t="s">
        <x:v>45</x:v>
      </x:c>
      <x:c r="G8330" s="0" t="s">
        <x:v>19</x:v>
      </x:c>
      <x:c r="H8330" s="0" t="s">
        <x:v>20</x:v>
      </x:c>
      <x:c r="I8330" s="0" t="s">
        <x:v>21</x:v>
      </x:c>
      <x:c r="K8330" s="0">
        <x:f>hyperlink("https://icd.who.int/dev11/l-ichi/en#/http%3A%2F%2Fid.who.int%2Ficd%2Fentity%2F1206364858","browser")</x:f>
      </x:c>
      <x:c r="L8330" s="0">
        <x:f>hyperlink("https://icat2.azurewebsites.net/icat/?ontology=ICD&amp;tab=ClassesTab&amp;id=http%3A%2F%2Fwho.int%2Ficd%233643_9cd760cf_9e71_4bdb_b2ea_a3ed07921568","iCat")</x:f>
      </x:c>
      <x:c r="M8330" s="0" t="s">
        <x:v>21</x:v>
      </x:c>
      <x:c r="N8330" s="0" t="s">
        <x:v>46</x:v>
      </x:c>
    </x:row>
    <x:row r="8331" spans="1:16">
      <x:c r="A8331" s="0" t="s">
        <x:v>33185</x:v>
      </x:c>
      <x:c r="B8331" s="0" t="s">
        <x:v>33186</x:v>
      </x:c>
      <x:c r="C8331" s="0" t="s">
        <x:v>33187</x:v>
      </x:c>
      <x:c r="E8331" s="0" t="s">
        <x:v>33188</x:v>
      </x:c>
      <x:c r="F8331" s="0" t="s">
        <x:v>45</x:v>
      </x:c>
      <x:c r="G8331" s="0" t="s">
        <x:v>19</x:v>
      </x:c>
      <x:c r="H8331" s="0" t="s">
        <x:v>20</x:v>
      </x:c>
      <x:c r="I8331" s="0" t="s">
        <x:v>21</x:v>
      </x:c>
      <x:c r="K8331" s="0">
        <x:f>hyperlink("https://icd.who.int/dev11/l-ichi/en#/http%3A%2F%2Fid.who.int%2Ficd%2Fentity%2F1813693994","browser")</x:f>
      </x:c>
      <x:c r="L8331" s="0">
        <x:f>hyperlink("https://icat2.azurewebsites.net/icat/?ontology=ICD&amp;tab=ClassesTab&amp;id=http%3A%2F%2Fwho.int%2Ficd%233649_9cd760cf_9e71_4bdb_b2ea_a3ed07921568","iCat")</x:f>
      </x:c>
      <x:c r="M8331" s="0" t="s">
        <x:v>21</x:v>
      </x:c>
      <x:c r="N8331" s="0" t="s">
        <x:v>46</x:v>
      </x:c>
    </x:row>
    <x:row r="8332" spans="1:16">
      <x:c r="A8332" s="0" t="s">
        <x:v>33189</x:v>
      </x:c>
      <x:c r="B8332" s="0" t="s">
        <x:v>33190</x:v>
      </x:c>
      <x:c r="C8332" s="0" t="s">
        <x:v>33191</x:v>
      </x:c>
      <x:c r="E8332" s="0" t="s">
        <x:v>33192</x:v>
      </x:c>
      <x:c r="F8332" s="0" t="s">
        <x:v>45</x:v>
      </x:c>
      <x:c r="G8332" s="0" t="s">
        <x:v>19</x:v>
      </x:c>
      <x:c r="H8332" s="0" t="s">
        <x:v>20</x:v>
      </x:c>
      <x:c r="I8332" s="0" t="s">
        <x:v>21</x:v>
      </x:c>
      <x:c r="K8332" s="0">
        <x:f>hyperlink("https://icd.who.int/dev11/l-ichi/en#/http%3A%2F%2Fid.who.int%2Ficd%2Fentity%2F2103043678","browser")</x:f>
      </x:c>
      <x:c r="L8332" s="0">
        <x:f>hyperlink("https://icat2.azurewebsites.net/icat/?ontology=ICD&amp;tab=ClassesTab&amp;id=http%3A%2F%2Fwho.int%2Ficd%233655_9cd760cf_9e71_4bdb_b2ea_a3ed07921568","iCat")</x:f>
      </x:c>
      <x:c r="M8332" s="0" t="s">
        <x:v>21</x:v>
      </x:c>
      <x:c r="N8332" s="0" t="s">
        <x:v>46</x:v>
      </x:c>
    </x:row>
    <x:row r="8333" spans="1:16">
      <x:c r="A8333" s="0" t="s">
        <x:v>33193</x:v>
      </x:c>
      <x:c r="B8333" s="0" t="s">
        <x:v>33194</x:v>
      </x:c>
      <x:c r="C8333" s="0" t="s">
        <x:v>33195</x:v>
      </x:c>
      <x:c r="E8333" s="0" t="s">
        <x:v>33196</x:v>
      </x:c>
      <x:c r="F8333" s="0" t="s">
        <x:v>45</x:v>
      </x:c>
      <x:c r="G8333" s="0" t="s">
        <x:v>19</x:v>
      </x:c>
      <x:c r="H8333" s="0" t="s">
        <x:v>20</x:v>
      </x:c>
      <x:c r="I8333" s="0" t="s">
        <x:v>21</x:v>
      </x:c>
      <x:c r="K8333" s="0">
        <x:f>hyperlink("https://icd.who.int/dev11/l-ichi/en#/http%3A%2F%2Fid.who.int%2Ficd%2Fentity%2F149905967","browser")</x:f>
      </x:c>
      <x:c r="L8333" s="0">
        <x:f>hyperlink("https://icat2.azurewebsites.net/icat/?ontology=ICD&amp;tab=ClassesTab&amp;id=http%3A%2F%2Fwho.int%2Ficd%233661_9cd760cf_9e71_4bdb_b2ea_a3ed07921568","iCat")</x:f>
      </x:c>
      <x:c r="M8333" s="0" t="s">
        <x:v>21</x:v>
      </x:c>
      <x:c r="N8333" s="0" t="s">
        <x:v>46</x:v>
      </x:c>
    </x:row>
    <x:row r="8334" spans="1:16">
      <x:c r="A8334" s="0" t="s">
        <x:v>33197</x:v>
      </x:c>
      <x:c r="B8334" s="0" t="s">
        <x:v>33198</x:v>
      </x:c>
      <x:c r="C8334" s="0" t="s">
        <x:v>33199</x:v>
      </x:c>
      <x:c r="E8334" s="0" t="s">
        <x:v>33200</x:v>
      </x:c>
      <x:c r="F8334" s="0" t="s">
        <x:v>45</x:v>
      </x:c>
      <x:c r="G8334" s="0" t="s">
        <x:v>19</x:v>
      </x:c>
      <x:c r="H8334" s="0" t="s">
        <x:v>20</x:v>
      </x:c>
      <x:c r="I8334" s="0" t="s">
        <x:v>21</x:v>
      </x:c>
      <x:c r="K8334" s="0">
        <x:f>hyperlink("https://icd.who.int/dev11/l-ichi/en#/http%3A%2F%2Fid.who.int%2Ficd%2Fentity%2F1486142366","browser")</x:f>
      </x:c>
      <x:c r="L8334" s="0">
        <x:f>hyperlink("https://icat2.azurewebsites.net/icat/?ontology=ICD&amp;tab=ClassesTab&amp;id=http%3A%2F%2Fwho.int%2Ficd%233667_9cd760cf_9e71_4bdb_b2ea_a3ed07921568","iCat")</x:f>
      </x:c>
      <x:c r="M8334" s="0" t="s">
        <x:v>21</x:v>
      </x:c>
      <x:c r="N8334" s="0" t="s">
        <x:v>46</x:v>
      </x:c>
    </x:row>
    <x:row r="8335" spans="1:16">
      <x:c r="A8335" s="0" t="s">
        <x:v>33201</x:v>
      </x:c>
      <x:c r="B8335" s="0" t="s">
        <x:v>33202</x:v>
      </x:c>
      <x:c r="C8335" s="0" t="s">
        <x:v>33203</x:v>
      </x:c>
      <x:c r="E8335" s="0" t="s">
        <x:v>33204</x:v>
      </x:c>
      <x:c r="F8335" s="0" t="s">
        <x:v>45</x:v>
      </x:c>
      <x:c r="G8335" s="0" t="s">
        <x:v>19</x:v>
      </x:c>
      <x:c r="H8335" s="0" t="s">
        <x:v>20</x:v>
      </x:c>
      <x:c r="I8335" s="0" t="s">
        <x:v>21</x:v>
      </x:c>
      <x:c r="K8335" s="0">
        <x:f>hyperlink("https://icd.who.int/dev11/l-ichi/en#/http%3A%2F%2Fid.who.int%2Ficd%2Fentity%2F123136701","browser")</x:f>
      </x:c>
      <x:c r="L8335" s="0">
        <x:f>hyperlink("https://icat2.azurewebsites.net/icat/?ontology=ICD&amp;tab=ClassesTab&amp;id=http%3A%2F%2Fwho.int%2Ficd%233673_9cd760cf_9e71_4bdb_b2ea_a3ed07921568","iCat")</x:f>
      </x:c>
      <x:c r="M8335" s="0" t="s">
        <x:v>21</x:v>
      </x:c>
      <x:c r="N8335" s="0" t="s">
        <x:v>46</x:v>
      </x:c>
    </x:row>
    <x:row r="8336" spans="1:16">
      <x:c r="A8336" s="0" t="s">
        <x:v>33205</x:v>
      </x:c>
      <x:c r="B8336" s="0" t="s">
        <x:v>33206</x:v>
      </x:c>
      <x:c r="C8336" s="0" t="s">
        <x:v>33207</x:v>
      </x:c>
      <x:c r="E8336" s="0" t="s">
        <x:v>33208</x:v>
      </x:c>
      <x:c r="F8336" s="0" t="s">
        <x:v>45</x:v>
      </x:c>
      <x:c r="G8336" s="0" t="s">
        <x:v>19</x:v>
      </x:c>
      <x:c r="H8336" s="0" t="s">
        <x:v>20</x:v>
      </x:c>
      <x:c r="I8336" s="0" t="s">
        <x:v>21</x:v>
      </x:c>
      <x:c r="K8336" s="0">
        <x:f>hyperlink("https://icd.who.int/dev11/l-ichi/en#/http%3A%2F%2Fid.who.int%2Ficd%2Fentity%2F749438509","browser")</x:f>
      </x:c>
      <x:c r="L8336" s="0">
        <x:f>hyperlink("https://icat2.azurewebsites.net/icat/?ontology=ICD&amp;tab=ClassesTab&amp;id=http%3A%2F%2Fwho.int%2Ficd%233679_9cd760cf_9e71_4bdb_b2ea_a3ed07921568","iCat")</x:f>
      </x:c>
      <x:c r="M8336" s="0" t="s">
        <x:v>21</x:v>
      </x:c>
      <x:c r="N8336" s="0" t="s">
        <x:v>46</x:v>
      </x:c>
    </x:row>
    <x:row r="8337" spans="1:16">
      <x:c r="A8337" s="0" t="s">
        <x:v>33209</x:v>
      </x:c>
      <x:c r="B8337" s="0" t="s">
        <x:v>33210</x:v>
      </x:c>
      <x:c r="C8337" s="0" t="s">
        <x:v>33211</x:v>
      </x:c>
      <x:c r="E8337" s="0" t="s">
        <x:v>33212</x:v>
      </x:c>
      <x:c r="F8337" s="0" t="s">
        <x:v>45</x:v>
      </x:c>
      <x:c r="G8337" s="0" t="s">
        <x:v>19</x:v>
      </x:c>
      <x:c r="H8337" s="0" t="s">
        <x:v>20</x:v>
      </x:c>
      <x:c r="I8337" s="0" t="s">
        <x:v>21</x:v>
      </x:c>
      <x:c r="K8337" s="0">
        <x:f>hyperlink("https://icd.who.int/dev11/l-ichi/en#/http%3A%2F%2Fid.who.int%2Ficd%2Fentity%2F2026535378","browser")</x:f>
      </x:c>
      <x:c r="L8337" s="0">
        <x:f>hyperlink("https://icat2.azurewebsites.net/icat/?ontology=ICD&amp;tab=ClassesTab&amp;id=http%3A%2F%2Fwho.int%2Ficd%233685_9cd760cf_9e71_4bdb_b2ea_a3ed07921568","iCat")</x:f>
      </x:c>
      <x:c r="M8337" s="0" t="s">
        <x:v>21</x:v>
      </x:c>
      <x:c r="N8337" s="0" t="s">
        <x:v>46</x:v>
      </x:c>
    </x:row>
    <x:row r="8338" spans="1:16">
      <x:c r="A8338" s="0" t="s">
        <x:v>33213</x:v>
      </x:c>
      <x:c r="B8338" s="0" t="s">
        <x:v>33214</x:v>
      </x:c>
      <x:c r="C8338" s="0" t="s">
        <x:v>33215</x:v>
      </x:c>
      <x:c r="E8338" s="0" t="s">
        <x:v>33216</x:v>
      </x:c>
      <x:c r="F8338" s="0" t="s">
        <x:v>45</x:v>
      </x:c>
      <x:c r="G8338" s="0" t="s">
        <x:v>19</x:v>
      </x:c>
      <x:c r="H8338" s="0" t="s">
        <x:v>20</x:v>
      </x:c>
      <x:c r="I8338" s="0" t="s">
        <x:v>21</x:v>
      </x:c>
      <x:c r="K8338" s="0">
        <x:f>hyperlink("https://icd.who.int/dev11/l-ichi/en#/http%3A%2F%2Fid.who.int%2Ficd%2Fentity%2F784078064","browser")</x:f>
      </x:c>
      <x:c r="L8338" s="0">
        <x:f>hyperlink("https://icat2.azurewebsites.net/icat/?ontology=ICD&amp;tab=ClassesTab&amp;id=http%3A%2F%2Fwho.int%2Ficd%2389_60b821c4_cabc_4b81_9563_cb99d74167d5","iCat")</x:f>
      </x:c>
      <x:c r="M8338" s="0" t="s">
        <x:v>21</x:v>
      </x:c>
      <x:c r="N8338" s="0" t="s">
        <x:v>46</x:v>
      </x:c>
    </x:row>
    <x:row r="8339" spans="1:16">
      <x:c r="A8339" s="0" t="s">
        <x:v>33217</x:v>
      </x:c>
      <x:c r="B8339" s="0" t="s">
        <x:v>33218</x:v>
      </x:c>
      <x:c r="C8339" s="0" t="s">
        <x:v>33219</x:v>
      </x:c>
      <x:c r="E8339" s="0" t="s">
        <x:v>33220</x:v>
      </x:c>
      <x:c r="F8339" s="0" t="s">
        <x:v>45</x:v>
      </x:c>
      <x:c r="G8339" s="0" t="s">
        <x:v>19</x:v>
      </x:c>
      <x:c r="H8339" s="0" t="s">
        <x:v>20</x:v>
      </x:c>
      <x:c r="I8339" s="0" t="s">
        <x:v>21</x:v>
      </x:c>
      <x:c r="K8339" s="0">
        <x:f>hyperlink("https://icd.who.int/dev11/l-ichi/en#/http%3A%2F%2Fid.who.int%2Ficd%2Fentity%2F654846193","browser")</x:f>
      </x:c>
      <x:c r="L8339" s="0">
        <x:f>hyperlink("https://icat2.azurewebsites.net/icat/?ontology=ICD&amp;tab=ClassesTab&amp;id=http%3A%2F%2Fwho.int%2Ficd%233691_9cd760cf_9e71_4bdb_b2ea_a3ed07921568","iCat")</x:f>
      </x:c>
      <x:c r="M8339" s="0" t="s">
        <x:v>21</x:v>
      </x:c>
      <x:c r="N8339" s="0" t="s">
        <x:v>46</x:v>
      </x:c>
    </x:row>
    <x:row r="8340" spans="1:16">
      <x:c r="A8340" s="0" t="s">
        <x:v>33221</x:v>
      </x:c>
      <x:c r="B8340" s="0" t="s">
        <x:v>33222</x:v>
      </x:c>
      <x:c r="C8340" s="0" t="s">
        <x:v>33223</x:v>
      </x:c>
      <x:c r="E8340" s="0" t="s">
        <x:v>33224</x:v>
      </x:c>
      <x:c r="F8340" s="0" t="s">
        <x:v>45</x:v>
      </x:c>
      <x:c r="G8340" s="0" t="s">
        <x:v>19</x:v>
      </x:c>
      <x:c r="H8340" s="0" t="s">
        <x:v>20</x:v>
      </x:c>
      <x:c r="I8340" s="0" t="s">
        <x:v>21</x:v>
      </x:c>
      <x:c r="K8340" s="0">
        <x:f>hyperlink("https://icd.who.int/dev11/l-ichi/en#/http%3A%2F%2Fid.who.int%2Ficd%2Fentity%2F2004087104","browser")</x:f>
      </x:c>
      <x:c r="L8340" s="0">
        <x:f>hyperlink("https://icat2.azurewebsites.net/icat/?ontology=ICD&amp;tab=ClassesTab&amp;id=http%3A%2F%2Fwho.int%2Ficd%233697_9cd760cf_9e71_4bdb_b2ea_a3ed07921568","iCat")</x:f>
      </x:c>
      <x:c r="M8340" s="0" t="s">
        <x:v>21</x:v>
      </x:c>
      <x:c r="N8340" s="0" t="s">
        <x:v>46</x:v>
      </x:c>
    </x:row>
    <x:row r="8341" spans="1:16">
      <x:c r="A8341" s="0" t="s">
        <x:v>33225</x:v>
      </x:c>
      <x:c r="B8341" s="0" t="s">
        <x:v>33226</x:v>
      </x:c>
      <x:c r="C8341" s="0" t="s">
        <x:v>33227</x:v>
      </x:c>
      <x:c r="E8341" s="0" t="s">
        <x:v>33228</x:v>
      </x:c>
      <x:c r="F8341" s="0" t="s">
        <x:v>45</x:v>
      </x:c>
      <x:c r="G8341" s="0" t="s">
        <x:v>19</x:v>
      </x:c>
      <x:c r="H8341" s="0" t="s">
        <x:v>20</x:v>
      </x:c>
      <x:c r="I8341" s="0" t="s">
        <x:v>21</x:v>
      </x:c>
      <x:c r="K8341" s="0">
        <x:f>hyperlink("https://icd.who.int/dev11/l-ichi/en#/http%3A%2F%2Fid.who.int%2Ficd%2Fentity%2F1109344058","browser")</x:f>
      </x:c>
      <x:c r="L8341" s="0">
        <x:f>hyperlink("https://icat2.azurewebsites.net/icat/?ontology=ICD&amp;tab=ClassesTab&amp;id=http%3A%2F%2Fwho.int%2Ficd%233703_9cd760cf_9e71_4bdb_b2ea_a3ed07921568","iCat")</x:f>
      </x:c>
      <x:c r="M8341" s="0" t="s">
        <x:v>21</x:v>
      </x:c>
      <x:c r="N8341" s="0" t="s">
        <x:v>46</x:v>
      </x:c>
    </x:row>
    <x:row r="8342" spans="1:16">
      <x:c r="A8342" s="0" t="s">
        <x:v>33229</x:v>
      </x:c>
      <x:c r="B8342" s="0" t="s">
        <x:v>33230</x:v>
      </x:c>
      <x:c r="C8342" s="0" t="s">
        <x:v>33231</x:v>
      </x:c>
      <x:c r="E8342" s="0" t="s">
        <x:v>33232</x:v>
      </x:c>
      <x:c r="F8342" s="0" t="s">
        <x:v>45</x:v>
      </x:c>
      <x:c r="G8342" s="0" t="s">
        <x:v>19</x:v>
      </x:c>
      <x:c r="H8342" s="0" t="s">
        <x:v>20</x:v>
      </x:c>
      <x:c r="I8342" s="0" t="s">
        <x:v>21</x:v>
      </x:c>
      <x:c r="K8342" s="0">
        <x:f>hyperlink("https://icd.who.int/dev11/l-ichi/en#/http%3A%2F%2Fid.who.int%2Ficd%2Fentity%2F1776440234","browser")</x:f>
      </x:c>
      <x:c r="L8342" s="0">
        <x:f>hyperlink("https://icat2.azurewebsites.net/icat/?ontology=ICD&amp;tab=ClassesTab&amp;id=http%3A%2F%2Fwho.int%2Ficd%233709_9cd760cf_9e71_4bdb_b2ea_a3ed07921568","iCat")</x:f>
      </x:c>
      <x:c r="M8342" s="0" t="s">
        <x:v>21</x:v>
      </x:c>
      <x:c r="N8342" s="0" t="s">
        <x:v>46</x:v>
      </x:c>
    </x:row>
    <x:row r="8343" spans="1:16">
      <x:c r="A8343" s="0" t="s">
        <x:v>33233</x:v>
      </x:c>
      <x:c r="B8343" s="0" t="s">
        <x:v>33234</x:v>
      </x:c>
      <x:c r="C8343" s="0" t="s">
        <x:v>33235</x:v>
      </x:c>
      <x:c r="E8343" s="0" t="s">
        <x:v>33236</x:v>
      </x:c>
      <x:c r="F8343" s="0" t="s">
        <x:v>45</x:v>
      </x:c>
      <x:c r="G8343" s="0" t="s">
        <x:v>19</x:v>
      </x:c>
      <x:c r="H8343" s="0" t="s">
        <x:v>20</x:v>
      </x:c>
      <x:c r="I8343" s="0" t="s">
        <x:v>21</x:v>
      </x:c>
      <x:c r="K8343" s="0">
        <x:f>hyperlink("https://icd.who.int/dev11/l-ichi/en#/http%3A%2F%2Fid.who.int%2Ficd%2Fentity%2F2023846878","browser")</x:f>
      </x:c>
      <x:c r="L8343" s="0">
        <x:f>hyperlink("https://icat2.azurewebsites.net/icat/?ontology=ICD&amp;tab=ClassesTab&amp;id=http%3A%2F%2Fwho.int%2Ficd%233715_9cd760cf_9e71_4bdb_b2ea_a3ed07921568","iCat")</x:f>
      </x:c>
      <x:c r="M8343" s="0" t="s">
        <x:v>21</x:v>
      </x:c>
      <x:c r="N8343" s="0" t="s">
        <x:v>46</x:v>
      </x:c>
    </x:row>
    <x:row r="8344" spans="1:16">
      <x:c r="A8344" s="0" t="s">
        <x:v>33237</x:v>
      </x:c>
      <x:c r="B8344" s="0" t="s">
        <x:v>33238</x:v>
      </x:c>
      <x:c r="C8344" s="0" t="s">
        <x:v>33239</x:v>
      </x:c>
      <x:c r="E8344" s="0" t="s">
        <x:v>33240</x:v>
      </x:c>
      <x:c r="F8344" s="0" t="s">
        <x:v>45</x:v>
      </x:c>
      <x:c r="G8344" s="0" t="s">
        <x:v>19</x:v>
      </x:c>
      <x:c r="H8344" s="0" t="s">
        <x:v>20</x:v>
      </x:c>
      <x:c r="I8344" s="0" t="s">
        <x:v>21</x:v>
      </x:c>
      <x:c r="K8344" s="0">
        <x:f>hyperlink("https://icd.who.int/dev11/l-ichi/en#/http%3A%2F%2Fid.who.int%2Ficd%2Fentity%2F219674543","browser")</x:f>
      </x:c>
      <x:c r="L8344" s="0">
        <x:f>hyperlink("https://icat2.azurewebsites.net/icat/?ontology=ICD&amp;tab=ClassesTab&amp;id=http%3A%2F%2Fwho.int%2Ficd%233721_9cd760cf_9e71_4bdb_b2ea_a3ed07921568","iCat")</x:f>
      </x:c>
      <x:c r="M8344" s="0" t="s">
        <x:v>21</x:v>
      </x:c>
      <x:c r="N8344" s="0" t="s">
        <x:v>46</x:v>
      </x:c>
    </x:row>
    <x:row r="8345" spans="1:16">
      <x:c r="A8345" s="0" t="s">
        <x:v>33241</x:v>
      </x:c>
      <x:c r="B8345" s="0" t="s">
        <x:v>33242</x:v>
      </x:c>
      <x:c r="C8345" s="0" t="s">
        <x:v>33243</x:v>
      </x:c>
      <x:c r="E8345" s="0" t="s">
        <x:v>33244</x:v>
      </x:c>
      <x:c r="F8345" s="0" t="s">
        <x:v>45</x:v>
      </x:c>
      <x:c r="G8345" s="0" t="s">
        <x:v>19</x:v>
      </x:c>
      <x:c r="H8345" s="0" t="s">
        <x:v>20</x:v>
      </x:c>
      <x:c r="I8345" s="0" t="s">
        <x:v>21</x:v>
      </x:c>
      <x:c r="K8345" s="0">
        <x:f>hyperlink("https://icd.who.int/dev11/l-ichi/en#/http%3A%2F%2Fid.who.int%2Ficd%2Fentity%2F1567370782","browser")</x:f>
      </x:c>
      <x:c r="L8345" s="0">
        <x:f>hyperlink("https://icat2.azurewebsites.net/icat/?ontology=ICD&amp;tab=ClassesTab&amp;id=http%3A%2F%2Fwho.int%2Ficd%233727_9cd760cf_9e71_4bdb_b2ea_a3ed07921568","iCat")</x:f>
      </x:c>
      <x:c r="M8345" s="0" t="s">
        <x:v>21</x:v>
      </x:c>
      <x:c r="N8345" s="0" t="s">
        <x:v>46</x:v>
      </x:c>
    </x:row>
    <x:row r="8346" spans="1:16">
      <x:c r="A8346" s="0" t="s">
        <x:v>33245</x:v>
      </x:c>
      <x:c r="B8346" s="0" t="s">
        <x:v>33246</x:v>
      </x:c>
      <x:c r="C8346" s="0" t="s">
        <x:v>33247</x:v>
      </x:c>
      <x:c r="E8346" s="0" t="s">
        <x:v>33248</x:v>
      </x:c>
      <x:c r="F8346" s="0" t="s">
        <x:v>45</x:v>
      </x:c>
      <x:c r="G8346" s="0" t="s">
        <x:v>19</x:v>
      </x:c>
      <x:c r="H8346" s="0" t="s">
        <x:v>20</x:v>
      </x:c>
      <x:c r="I8346" s="0" t="s">
        <x:v>21</x:v>
      </x:c>
      <x:c r="K8346" s="0">
        <x:f>hyperlink("https://icd.who.int/dev11/l-ichi/en#/http%3A%2F%2Fid.who.int%2Ficd%2Fentity%2F44990269","browser")</x:f>
      </x:c>
      <x:c r="L8346" s="0">
        <x:f>hyperlink("https://icat2.azurewebsites.net/icat/?ontology=ICD&amp;tab=ClassesTab&amp;id=http%3A%2F%2Fwho.int%2Ficd%233733_9cd760cf_9e71_4bdb_b2ea_a3ed07921568","iCat")</x:f>
      </x:c>
      <x:c r="M8346" s="0" t="s">
        <x:v>21</x:v>
      </x:c>
      <x:c r="N8346" s="0" t="s">
        <x:v>46</x:v>
      </x:c>
    </x:row>
    <x:row r="8347" spans="1:16">
      <x:c r="A8347" s="0" t="s">
        <x:v>33249</x:v>
      </x:c>
      <x:c r="B8347" s="0" t="s">
        <x:v>33250</x:v>
      </x:c>
      <x:c r="C8347" s="0" t="s">
        <x:v>33251</x:v>
      </x:c>
      <x:c r="E8347" s="0" t="s">
        <x:v>33252</x:v>
      </x:c>
      <x:c r="F8347" s="0" t="s">
        <x:v>45</x:v>
      </x:c>
      <x:c r="G8347" s="0" t="s">
        <x:v>19</x:v>
      </x:c>
      <x:c r="H8347" s="0" t="s">
        <x:v>20</x:v>
      </x:c>
      <x:c r="I8347" s="0" t="s">
        <x:v>21</x:v>
      </x:c>
      <x:c r="K8347" s="0">
        <x:f>hyperlink("https://icd.who.int/dev11/l-ichi/en#/http%3A%2F%2Fid.who.int%2Ficd%2Fentity%2F693310381","browser")</x:f>
      </x:c>
      <x:c r="L8347" s="0">
        <x:f>hyperlink("https://icat2.azurewebsites.net/icat/?ontology=ICD&amp;tab=ClassesTab&amp;id=http%3A%2F%2Fwho.int%2Ficd%233739_9cd760cf_9e71_4bdb_b2ea_a3ed07921568","iCat")</x:f>
      </x:c>
      <x:c r="M8347" s="0" t="s">
        <x:v>21</x:v>
      </x:c>
      <x:c r="N8347" s="0" t="s">
        <x:v>46</x:v>
      </x:c>
    </x:row>
    <x:row r="8348" spans="1:16">
      <x:c r="A8348" s="0" t="s">
        <x:v>33253</x:v>
      </x:c>
      <x:c r="B8348" s="0" t="s">
        <x:v>33254</x:v>
      </x:c>
      <x:c r="C8348" s="0" t="s">
        <x:v>33255</x:v>
      </x:c>
      <x:c r="E8348" s="0" t="s">
        <x:v>33256</x:v>
      </x:c>
      <x:c r="F8348" s="0" t="s">
        <x:v>45</x:v>
      </x:c>
      <x:c r="G8348" s="0" t="s">
        <x:v>19</x:v>
      </x:c>
      <x:c r="H8348" s="0" t="s">
        <x:v>20</x:v>
      </x:c>
      <x:c r="I8348" s="0" t="s">
        <x:v>21</x:v>
      </x:c>
      <x:c r="K8348" s="0">
        <x:f>hyperlink("https://icd.who.int/dev11/l-ichi/en#/http%3A%2F%2Fid.who.int%2Ficd%2Fentity%2F1644410264","browser")</x:f>
      </x:c>
      <x:c r="L8348" s="0">
        <x:f>hyperlink("https://icat2.azurewebsites.net/icat/?ontology=ICD&amp;tab=ClassesTab&amp;id=http%3A%2F%2Fwho.int%2Ficd%233745_9cd760cf_9e71_4bdb_b2ea_a3ed07921568","iCat")</x:f>
      </x:c>
      <x:c r="M8348" s="0" t="s">
        <x:v>21</x:v>
      </x:c>
      <x:c r="N8348" s="0" t="s">
        <x:v>46</x:v>
      </x:c>
    </x:row>
    <x:row r="8349" spans="1:16">
      <x:c r="A8349" s="0" t="s">
        <x:v>33257</x:v>
      </x:c>
      <x:c r="B8349" s="0" t="s">
        <x:v>33258</x:v>
      </x:c>
      <x:c r="C8349" s="0" t="s">
        <x:v>33259</x:v>
      </x:c>
      <x:c r="E8349" s="0" t="s">
        <x:v>33260</x:v>
      </x:c>
      <x:c r="F8349" s="0" t="s">
        <x:v>45</x:v>
      </x:c>
      <x:c r="G8349" s="0" t="s">
        <x:v>19</x:v>
      </x:c>
      <x:c r="H8349" s="0" t="s">
        <x:v>20</x:v>
      </x:c>
      <x:c r="I8349" s="0" t="s">
        <x:v>21</x:v>
      </x:c>
      <x:c r="K8349" s="0">
        <x:f>hyperlink("https://icd.who.int/dev11/l-ichi/en#/http%3A%2F%2Fid.who.int%2Ficd%2Fentity%2F1036117173","browser")</x:f>
      </x:c>
      <x:c r="L8349" s="0">
        <x:f>hyperlink("https://icat2.azurewebsites.net/icat/?ontology=ICD&amp;tab=ClassesTab&amp;id=http%3A%2F%2Fwho.int%2Ficd%233751_9cd760cf_9e71_4bdb_b2ea_a3ed07921568","iCat")</x:f>
      </x:c>
      <x:c r="M8349" s="0" t="s">
        <x:v>21</x:v>
      </x:c>
      <x:c r="N8349" s="0" t="s">
        <x:v>46</x:v>
      </x:c>
    </x:row>
    <x:row r="8350" spans="1:16">
      <x:c r="A8350" s="0" t="s">
        <x:v>33261</x:v>
      </x:c>
      <x:c r="B8350" s="0" t="s">
        <x:v>33262</x:v>
      </x:c>
      <x:c r="C8350" s="0" t="s">
        <x:v>33263</x:v>
      </x:c>
      <x:c r="E8350" s="0" t="s">
        <x:v>33264</x:v>
      </x:c>
      <x:c r="F8350" s="0" t="s">
        <x:v>45</x:v>
      </x:c>
      <x:c r="G8350" s="0" t="s">
        <x:v>19</x:v>
      </x:c>
      <x:c r="H8350" s="0" t="s">
        <x:v>20</x:v>
      </x:c>
      <x:c r="I8350" s="0" t="s">
        <x:v>21</x:v>
      </x:c>
      <x:c r="K8350" s="0">
        <x:f>hyperlink("https://icd.who.int/dev11/l-ichi/en#/http%3A%2F%2Fid.who.int%2Ficd%2Fentity%2F1840921862","browser")</x:f>
      </x:c>
      <x:c r="L8350" s="0">
        <x:f>hyperlink("https://icat2.azurewebsites.net/icat/?ontology=ICD&amp;tab=ClassesTab&amp;id=http%3A%2F%2Fwho.int%2Ficd%233757_9cd760cf_9e71_4bdb_b2ea_a3ed07921568","iCat")</x:f>
      </x:c>
      <x:c r="M8350" s="0" t="s">
        <x:v>21</x:v>
      </x:c>
      <x:c r="N8350" s="0" t="s">
        <x:v>46</x:v>
      </x:c>
    </x:row>
    <x:row r="8351" spans="1:16">
      <x:c r="A8351" s="0" t="s">
        <x:v>33265</x:v>
      </x:c>
      <x:c r="B8351" s="0" t="s">
        <x:v>33266</x:v>
      </x:c>
      <x:c r="C8351" s="0" t="s">
        <x:v>33267</x:v>
      </x:c>
      <x:c r="E8351" s="0" t="s">
        <x:v>33268</x:v>
      </x:c>
      <x:c r="F8351" s="0" t="s">
        <x:v>45</x:v>
      </x:c>
      <x:c r="G8351" s="0" t="s">
        <x:v>19</x:v>
      </x:c>
      <x:c r="H8351" s="0" t="s">
        <x:v>20</x:v>
      </x:c>
      <x:c r="I8351" s="0" t="s">
        <x:v>21</x:v>
      </x:c>
      <x:c r="K8351" s="0">
        <x:f>hyperlink("https://icd.who.int/dev11/l-ichi/en#/http%3A%2F%2Fid.who.int%2Ficd%2Fentity%2F403487095","browser")</x:f>
      </x:c>
      <x:c r="L8351" s="0">
        <x:f>hyperlink("https://icat2.azurewebsites.net/icat/?ontology=ICD&amp;tab=ClassesTab&amp;id=http%3A%2F%2Fwho.int%2Ficd%233763_9cd760cf_9e71_4bdb_b2ea_a3ed07921568","iCat")</x:f>
      </x:c>
      <x:c r="M8351" s="0" t="s">
        <x:v>21</x:v>
      </x:c>
      <x:c r="N8351" s="0" t="s">
        <x:v>46</x:v>
      </x:c>
    </x:row>
    <x:row r="8352" spans="1:16">
      <x:c r="A8352" s="0" t="s">
        <x:v>33269</x:v>
      </x:c>
      <x:c r="B8352" s="0" t="s">
        <x:v>33270</x:v>
      </x:c>
      <x:c r="C8352" s="0" t="s">
        <x:v>33271</x:v>
      </x:c>
      <x:c r="E8352" s="0" t="s">
        <x:v>33272</x:v>
      </x:c>
      <x:c r="F8352" s="0" t="s">
        <x:v>45</x:v>
      </x:c>
      <x:c r="G8352" s="0" t="s">
        <x:v>19</x:v>
      </x:c>
      <x:c r="H8352" s="0" t="s">
        <x:v>20</x:v>
      </x:c>
      <x:c r="I8352" s="0" t="s">
        <x:v>21</x:v>
      </x:c>
      <x:c r="K8352" s="0">
        <x:f>hyperlink("https://icd.who.int/dev11/l-ichi/en#/http%3A%2F%2Fid.who.int%2Ficd%2Fentity%2F871486951","browser")</x:f>
      </x:c>
      <x:c r="L8352" s="0">
        <x:f>hyperlink("https://icat2.azurewebsites.net/icat/?ontology=ICD&amp;tab=ClassesTab&amp;id=http%3A%2F%2Fwho.int%2Ficd%233769_9cd760cf_9e71_4bdb_b2ea_a3ed07921568","iCat")</x:f>
      </x:c>
      <x:c r="M8352" s="0" t="s">
        <x:v>21</x:v>
      </x:c>
      <x:c r="N8352" s="0" t="s">
        <x:v>46</x:v>
      </x:c>
    </x:row>
    <x:row r="8353" spans="1:16">
      <x:c r="A8353" s="0" t="s">
        <x:v>33273</x:v>
      </x:c>
      <x:c r="B8353" s="0" t="s">
        <x:v>33274</x:v>
      </x:c>
      <x:c r="C8353" s="0" t="s">
        <x:v>33275</x:v>
      </x:c>
      <x:c r="E8353" s="0" t="s">
        <x:v>33276</x:v>
      </x:c>
      <x:c r="F8353" s="0" t="s">
        <x:v>45</x:v>
      </x:c>
      <x:c r="G8353" s="0" t="s">
        <x:v>19</x:v>
      </x:c>
      <x:c r="H8353" s="0" t="s">
        <x:v>20</x:v>
      </x:c>
      <x:c r="I8353" s="0" t="s">
        <x:v>21</x:v>
      </x:c>
      <x:c r="K8353" s="0">
        <x:f>hyperlink("https://icd.who.int/dev11/l-ichi/en#/http%3A%2F%2Fid.who.int%2Ficd%2Fentity%2F582153617","browser")</x:f>
      </x:c>
      <x:c r="L8353" s="0">
        <x:f>hyperlink("https://icat2.azurewebsites.net/icat/?ontology=ICD&amp;tab=ClassesTab&amp;id=http%3A%2F%2Fwho.int%2Ficd%233775_9cd760cf_9e71_4bdb_b2ea_a3ed07921568","iCat")</x:f>
      </x:c>
      <x:c r="M8353" s="0" t="s">
        <x:v>21</x:v>
      </x:c>
      <x:c r="N8353" s="0" t="s">
        <x:v>46</x:v>
      </x:c>
    </x:row>
    <x:row r="8354" spans="1:16">
      <x:c r="A8354" s="0" t="s">
        <x:v>33277</x:v>
      </x:c>
      <x:c r="B8354" s="0" t="s">
        <x:v>33278</x:v>
      </x:c>
      <x:c r="C8354" s="0" t="s">
        <x:v>33279</x:v>
      </x:c>
      <x:c r="E8354" s="0" t="s">
        <x:v>33280</x:v>
      </x:c>
      <x:c r="F8354" s="0" t="s">
        <x:v>45</x:v>
      </x:c>
      <x:c r="G8354" s="0" t="s">
        <x:v>19</x:v>
      </x:c>
      <x:c r="H8354" s="0" t="s">
        <x:v>20</x:v>
      </x:c>
      <x:c r="I8354" s="0" t="s">
        <x:v>21</x:v>
      </x:c>
      <x:c r="K8354" s="0">
        <x:f>hyperlink("https://icd.who.int/dev11/l-ichi/en#/http%3A%2F%2Fid.who.int%2Ficd%2Fentity%2F766299507","browser")</x:f>
      </x:c>
      <x:c r="L8354" s="0">
        <x:f>hyperlink("https://icat2.azurewebsites.net/icat/?ontology=ICD&amp;tab=ClassesTab&amp;id=http%3A%2F%2Fwho.int%2Ficd%233784_9cd760cf_9e71_4bdb_b2ea_a3ed07921568","iCat")</x:f>
      </x:c>
      <x:c r="M8354" s="0" t="s">
        <x:v>21</x:v>
      </x:c>
      <x:c r="N8354" s="0" t="s">
        <x:v>46</x:v>
      </x:c>
    </x:row>
    <x:row r="8355" spans="1:16">
      <x:c r="A8355" s="0" t="s">
        <x:v>33281</x:v>
      </x:c>
      <x:c r="B8355" s="0" t="s">
        <x:v>33282</x:v>
      </x:c>
      <x:c r="C8355" s="0" t="s">
        <x:v>33283</x:v>
      </x:c>
      <x:c r="E8355" s="0" t="s">
        <x:v>33284</x:v>
      </x:c>
      <x:c r="F8355" s="0" t="s">
        <x:v>45</x:v>
      </x:c>
      <x:c r="G8355" s="0" t="s">
        <x:v>19</x:v>
      </x:c>
      <x:c r="H8355" s="0" t="s">
        <x:v>20</x:v>
      </x:c>
      <x:c r="I8355" s="0" t="s">
        <x:v>21</x:v>
      </x:c>
      <x:c r="K8355" s="0">
        <x:f>hyperlink("https://icd.who.int/dev11/l-ichi/en#/http%3A%2F%2Fid.who.int%2Ficd%2Fentity%2F1919851600","browser")</x:f>
      </x:c>
      <x:c r="L8355" s="0">
        <x:f>hyperlink("https://icat2.azurewebsites.net/icat/?ontology=ICD&amp;tab=ClassesTab&amp;id=http%3A%2F%2Fwho.int%2Ficd%233790_9cd760cf_9e71_4bdb_b2ea_a3ed07921568","iCat")</x:f>
      </x:c>
      <x:c r="M8355" s="0" t="s">
        <x:v>21</x:v>
      </x:c>
      <x:c r="N8355" s="0" t="s">
        <x:v>46</x:v>
      </x:c>
    </x:row>
    <x:row r="8356" spans="1:16">
      <x:c r="A8356" s="0" t="s">
        <x:v>33285</x:v>
      </x:c>
      <x:c r="B8356" s="0" t="s">
        <x:v>33286</x:v>
      </x:c>
      <x:c r="C8356" s="0" t="s">
        <x:v>33287</x:v>
      </x:c>
      <x:c r="E8356" s="0" t="s">
        <x:v>33288</x:v>
      </x:c>
      <x:c r="F8356" s="0" t="s">
        <x:v>45</x:v>
      </x:c>
      <x:c r="G8356" s="0" t="s">
        <x:v>19</x:v>
      </x:c>
      <x:c r="H8356" s="0" t="s">
        <x:v>20</x:v>
      </x:c>
      <x:c r="I8356" s="0" t="s">
        <x:v>21</x:v>
      </x:c>
      <x:c r="K8356" s="0">
        <x:f>hyperlink("https://icd.who.int/dev11/l-ichi/en#/http%3A%2F%2Fid.who.int%2Ficd%2Fentity%2F571819489","browser")</x:f>
      </x:c>
      <x:c r="L8356" s="0">
        <x:f>hyperlink("https://icat2.azurewebsites.net/icat/?ontology=ICD&amp;tab=ClassesTab&amp;id=http%3A%2F%2Fwho.int%2Ficd%233796_9cd760cf_9e71_4bdb_b2ea_a3ed07921568","iCat")</x:f>
      </x:c>
      <x:c r="M8356" s="0" t="s">
        <x:v>21</x:v>
      </x:c>
      <x:c r="N8356" s="0" t="s">
        <x:v>46</x:v>
      </x:c>
    </x:row>
    <x:row r="8357" spans="1:16">
      <x:c r="A8357" s="0" t="s">
        <x:v>33289</x:v>
      </x:c>
      <x:c r="B8357" s="0" t="s">
        <x:v>33290</x:v>
      </x:c>
      <x:c r="C8357" s="0" t="s">
        <x:v>33291</x:v>
      </x:c>
      <x:c r="E8357" s="0" t="s">
        <x:v>33292</x:v>
      </x:c>
      <x:c r="F8357" s="0" t="s">
        <x:v>45</x:v>
      </x:c>
      <x:c r="G8357" s="0" t="s">
        <x:v>19</x:v>
      </x:c>
      <x:c r="H8357" s="0" t="s">
        <x:v>20</x:v>
      </x:c>
      <x:c r="I8357" s="0" t="s">
        <x:v>21</x:v>
      </x:c>
      <x:c r="K8357" s="0">
        <x:f>hyperlink("https://icd.who.int/dev11/l-ichi/en#/http%3A%2F%2Fid.who.int%2Ficd%2Fentity%2F346807552","browser")</x:f>
      </x:c>
      <x:c r="L8357" s="0">
        <x:f>hyperlink("https://icat2.azurewebsites.net/icat/?ontology=ICD&amp;tab=ClassesTab&amp;id=http%3A%2F%2Fwho.int%2Ficd%233802_9cd760cf_9e71_4bdb_b2ea_a3ed07921568","iCat")</x:f>
      </x:c>
      <x:c r="M8357" s="0" t="s">
        <x:v>21</x:v>
      </x:c>
      <x:c r="N8357" s="0" t="s">
        <x:v>46</x:v>
      </x:c>
    </x:row>
    <x:row r="8358" spans="1:16">
      <x:c r="A8358" s="0" t="s">
        <x:v>33293</x:v>
      </x:c>
      <x:c r="B8358" s="0" t="s">
        <x:v>33294</x:v>
      </x:c>
      <x:c r="C8358" s="0" t="s">
        <x:v>33295</x:v>
      </x:c>
      <x:c r="E8358" s="0" t="s">
        <x:v>33296</x:v>
      </x:c>
      <x:c r="F8358" s="0" t="s">
        <x:v>45</x:v>
      </x:c>
      <x:c r="G8358" s="0" t="s">
        <x:v>19</x:v>
      </x:c>
      <x:c r="H8358" s="0" t="s">
        <x:v>20</x:v>
      </x:c>
      <x:c r="I8358" s="0" t="s">
        <x:v>21</x:v>
      </x:c>
      <x:c r="K8358" s="0">
        <x:f>hyperlink("https://icd.who.int/dev11/l-ichi/en#/http%3A%2F%2Fid.who.int%2Ficd%2Fentity%2F1062646160","browser")</x:f>
      </x:c>
      <x:c r="L8358" s="0">
        <x:f>hyperlink("https://icat2.azurewebsites.net/icat/?ontology=ICD&amp;tab=ClassesTab&amp;id=http%3A%2F%2Fwho.int%2Ficd%233808_9cd760cf_9e71_4bdb_b2ea_a3ed07921568","iCat")</x:f>
      </x:c>
      <x:c r="M8358" s="0" t="s">
        <x:v>21</x:v>
      </x:c>
      <x:c r="N8358" s="0" t="s">
        <x:v>46</x:v>
      </x:c>
    </x:row>
    <x:row r="8359" spans="1:16">
      <x:c r="A8359" s="0" t="s">
        <x:v>33297</x:v>
      </x:c>
      <x:c r="B8359" s="0" t="s">
        <x:v>33298</x:v>
      </x:c>
      <x:c r="C8359" s="0" t="s">
        <x:v>33299</x:v>
      </x:c>
      <x:c r="E8359" s="0" t="s">
        <x:v>33300</x:v>
      </x:c>
      <x:c r="F8359" s="0" t="s">
        <x:v>45</x:v>
      </x:c>
      <x:c r="G8359" s="0" t="s">
        <x:v>19</x:v>
      </x:c>
      <x:c r="H8359" s="0" t="s">
        <x:v>20</x:v>
      </x:c>
      <x:c r="I8359" s="0" t="s">
        <x:v>21</x:v>
      </x:c>
      <x:c r="K8359" s="0">
        <x:f>hyperlink("https://icd.who.int/dev11/l-ichi/en#/http%3A%2F%2Fid.who.int%2Ficd%2Fentity%2F773165544","browser")</x:f>
      </x:c>
      <x:c r="L8359" s="0">
        <x:f>hyperlink("https://icat2.azurewebsites.net/icat/?ontology=ICD&amp;tab=ClassesTab&amp;id=http%3A%2F%2Fwho.int%2Ficd%233814_9cd760cf_9e71_4bdb_b2ea_a3ed07921568","iCat")</x:f>
      </x:c>
      <x:c r="M8359" s="0" t="s">
        <x:v>21</x:v>
      </x:c>
      <x:c r="N8359" s="0" t="s">
        <x:v>46</x:v>
      </x:c>
    </x:row>
    <x:row r="8360" spans="1:16">
      <x:c r="A8360" s="0" t="s">
        <x:v>33301</x:v>
      </x:c>
      <x:c r="B8360" s="0" t="s">
        <x:v>33302</x:v>
      </x:c>
      <x:c r="C8360" s="0" t="s">
        <x:v>33303</x:v>
      </x:c>
      <x:c r="E8360" s="0" t="s">
        <x:v>33304</x:v>
      </x:c>
      <x:c r="F8360" s="0" t="s">
        <x:v>45</x:v>
      </x:c>
      <x:c r="G8360" s="0" t="s">
        <x:v>19</x:v>
      </x:c>
      <x:c r="H8360" s="0" t="s">
        <x:v>20</x:v>
      </x:c>
      <x:c r="I8360" s="0" t="s">
        <x:v>21</x:v>
      </x:c>
      <x:c r="K8360" s="0">
        <x:f>hyperlink("https://icd.who.int/dev11/l-ichi/en#/http%3A%2F%2Fid.who.int%2Ficd%2Fentity%2F1537414549","browser")</x:f>
      </x:c>
      <x:c r="L8360" s="0">
        <x:f>hyperlink("https://icat2.azurewebsites.net/icat/?ontology=ICD&amp;tab=ClassesTab&amp;id=http%3A%2F%2Fwho.int%2Ficd%233820_9cd760cf_9e71_4bdb_b2ea_a3ed07921568","iCat")</x:f>
      </x:c>
      <x:c r="M8360" s="0" t="s">
        <x:v>21</x:v>
      </x:c>
      <x:c r="N8360" s="0" t="s">
        <x:v>46</x:v>
      </x:c>
    </x:row>
    <x:row r="8361" spans="1:16">
      <x:c r="A8361" s="0" t="s">
        <x:v>33305</x:v>
      </x:c>
      <x:c r="B8361" s="0" t="s">
        <x:v>33306</x:v>
      </x:c>
      <x:c r="C8361" s="0" t="s">
        <x:v>33307</x:v>
      </x:c>
      <x:c r="E8361" s="0" t="s">
        <x:v>33308</x:v>
      </x:c>
      <x:c r="F8361" s="0" t="s">
        <x:v>45</x:v>
      </x:c>
      <x:c r="G8361" s="0" t="s">
        <x:v>19</x:v>
      </x:c>
      <x:c r="H8361" s="0" t="s">
        <x:v>20</x:v>
      </x:c>
      <x:c r="I8361" s="0" t="s">
        <x:v>21</x:v>
      </x:c>
      <x:c r="K8361" s="0">
        <x:f>hyperlink("https://icd.who.int/dev11/l-ichi/en#/http%3A%2F%2Fid.who.int%2Ficd%2Fentity%2F198757412","browser")</x:f>
      </x:c>
      <x:c r="L8361" s="0">
        <x:f>hyperlink("https://icat2.azurewebsites.net/icat/?ontology=ICD&amp;tab=ClassesTab&amp;id=http%3A%2F%2Fwho.int%2Ficd%233826_9cd760cf_9e71_4bdb_b2ea_a3ed07921568","iCat")</x:f>
      </x:c>
      <x:c r="M8361" s="0" t="s">
        <x:v>21</x:v>
      </x:c>
      <x:c r="N8361" s="0" t="s">
        <x:v>46</x:v>
      </x:c>
    </x:row>
    <x:row r="8362" spans="1:16">
      <x:c r="A8362" s="0" t="s">
        <x:v>33309</x:v>
      </x:c>
      <x:c r="B8362" s="0" t="s">
        <x:v>33310</x:v>
      </x:c>
      <x:c r="C8362" s="0" t="s">
        <x:v>33311</x:v>
      </x:c>
      <x:c r="E8362" s="0" t="s">
        <x:v>33312</x:v>
      </x:c>
      <x:c r="F8362" s="0" t="s">
        <x:v>45</x:v>
      </x:c>
      <x:c r="G8362" s="0" t="s">
        <x:v>19</x:v>
      </x:c>
      <x:c r="H8362" s="0" t="s">
        <x:v>20</x:v>
      </x:c>
      <x:c r="I8362" s="0" t="s">
        <x:v>21</x:v>
      </x:c>
      <x:c r="K8362" s="0">
        <x:f>hyperlink("https://icd.who.int/dev11/l-ichi/en#/http%3A%2F%2Fid.who.int%2Ficd%2Fentity%2F1411030279","browser")</x:f>
      </x:c>
      <x:c r="L8362" s="0">
        <x:f>hyperlink("https://icat2.azurewebsites.net/icat/?ontology=ICD&amp;tab=ClassesTab&amp;id=http%3A%2F%2Fwho.int%2Ficd%233832_9cd760cf_9e71_4bdb_b2ea_a3ed07921568","iCat")</x:f>
      </x:c>
      <x:c r="M8362" s="0" t="s">
        <x:v>21</x:v>
      </x:c>
      <x:c r="N8362" s="0" t="s">
        <x:v>46</x:v>
      </x:c>
    </x:row>
    <x:row r="8363" spans="1:16">
      <x:c r="A8363" s="0" t="s">
        <x:v>33313</x:v>
      </x:c>
      <x:c r="B8363" s="0" t="s">
        <x:v>33314</x:v>
      </x:c>
      <x:c r="C8363" s="0" t="s">
        <x:v>33315</x:v>
      </x:c>
      <x:c r="E8363" s="0" t="s">
        <x:v>33316</x:v>
      </x:c>
      <x:c r="F8363" s="0" t="s">
        <x:v>45</x:v>
      </x:c>
      <x:c r="G8363" s="0" t="s">
        <x:v>19</x:v>
      </x:c>
      <x:c r="H8363" s="0" t="s">
        <x:v>20</x:v>
      </x:c>
      <x:c r="I8363" s="0" t="s">
        <x:v>21</x:v>
      </x:c>
      <x:c r="K8363" s="0">
        <x:f>hyperlink("https://icd.who.int/dev11/l-ichi/en#/http%3A%2F%2Fid.who.int%2Ficd%2Fentity%2F2145907095","browser")</x:f>
      </x:c>
      <x:c r="L8363" s="0">
        <x:f>hyperlink("https://icat2.azurewebsites.net/icat/?ontology=ICD&amp;tab=ClassesTab&amp;id=http%3A%2F%2Fwho.int%2Ficd%233838_9cd760cf_9e71_4bdb_b2ea_a3ed07921568","iCat")</x:f>
      </x:c>
      <x:c r="M8363" s="0" t="s">
        <x:v>21</x:v>
      </x:c>
      <x:c r="N8363" s="0" t="s">
        <x:v>46</x:v>
      </x:c>
    </x:row>
    <x:row r="8364" spans="1:16">
      <x:c r="A8364" s="0" t="s">
        <x:v>33317</x:v>
      </x:c>
      <x:c r="B8364" s="0" t="s">
        <x:v>33318</x:v>
      </x:c>
      <x:c r="C8364" s="0" t="s">
        <x:v>33319</x:v>
      </x:c>
      <x:c r="E8364" s="0" t="s">
        <x:v>33320</x:v>
      </x:c>
      <x:c r="F8364" s="0" t="s">
        <x:v>45</x:v>
      </x:c>
      <x:c r="G8364" s="0" t="s">
        <x:v>19</x:v>
      </x:c>
      <x:c r="H8364" s="0" t="s">
        <x:v>20</x:v>
      </x:c>
      <x:c r="I8364" s="0" t="s">
        <x:v>21</x:v>
      </x:c>
      <x:c r="K8364" s="0">
        <x:f>hyperlink("https://icd.who.int/dev11/l-ichi/en#/http%3A%2F%2Fid.who.int%2Ficd%2Fentity%2F884430766","browser")</x:f>
      </x:c>
      <x:c r="L8364" s="0">
        <x:f>hyperlink("https://icat2.azurewebsites.net/icat/?ontology=ICD&amp;tab=ClassesTab&amp;id=http%3A%2F%2Fwho.int%2Ficd%233844_9cd760cf_9e71_4bdb_b2ea_a3ed07921568","iCat")</x:f>
      </x:c>
      <x:c r="M8364" s="0" t="s">
        <x:v>21</x:v>
      </x:c>
      <x:c r="N8364" s="0" t="s">
        <x:v>46</x:v>
      </x:c>
    </x:row>
    <x:row r="8365" spans="1:16">
      <x:c r="A8365" s="0" t="s">
        <x:v>33321</x:v>
      </x:c>
      <x:c r="B8365" s="0" t="s">
        <x:v>33322</x:v>
      </x:c>
      <x:c r="C8365" s="0" t="s">
        <x:v>33323</x:v>
      </x:c>
      <x:c r="E8365" s="0" t="s">
        <x:v>33324</x:v>
      </x:c>
      <x:c r="F8365" s="0" t="s">
        <x:v>45</x:v>
      </x:c>
      <x:c r="G8365" s="0" t="s">
        <x:v>19</x:v>
      </x:c>
      <x:c r="H8365" s="0" t="s">
        <x:v>20</x:v>
      </x:c>
      <x:c r="I8365" s="0" t="s">
        <x:v>21</x:v>
      </x:c>
      <x:c r="K8365" s="0">
        <x:f>hyperlink("https://icd.who.int/dev11/l-ichi/en#/http%3A%2F%2Fid.who.int%2Ficd%2Fentity%2F1802831503","browser")</x:f>
      </x:c>
      <x:c r="L8365" s="0">
        <x:f>hyperlink("https://icat2.azurewebsites.net/icat/?ontology=ICD&amp;tab=ClassesTab&amp;id=http%3A%2F%2Fwho.int%2Ficd%233850_9cd760cf_9e71_4bdb_b2ea_a3ed07921568","iCat")</x:f>
      </x:c>
      <x:c r="M8365" s="0" t="s">
        <x:v>21</x:v>
      </x:c>
      <x:c r="N8365" s="0" t="s">
        <x:v>46</x:v>
      </x:c>
    </x:row>
    <x:row r="8366" spans="1:16">
      <x:c r="A8366" s="0" t="s">
        <x:v>33325</x:v>
      </x:c>
      <x:c r="B8366" s="0" t="s">
        <x:v>33326</x:v>
      </x:c>
      <x:c r="C8366" s="0" t="s">
        <x:v>33327</x:v>
      </x:c>
      <x:c r="E8366" s="0" t="s">
        <x:v>33328</x:v>
      </x:c>
      <x:c r="F8366" s="0" t="s">
        <x:v>45</x:v>
      </x:c>
      <x:c r="G8366" s="0" t="s">
        <x:v>19</x:v>
      </x:c>
      <x:c r="H8366" s="0" t="s">
        <x:v>20</x:v>
      </x:c>
      <x:c r="I8366" s="0" t="s">
        <x:v>21</x:v>
      </x:c>
      <x:c r="K8366" s="0">
        <x:f>hyperlink("https://icd.who.int/dev11/l-ichi/en#/http%3A%2F%2Fid.who.int%2Ficd%2Fentity%2F990830400","browser")</x:f>
      </x:c>
      <x:c r="L8366" s="0">
        <x:f>hyperlink("https://icat2.azurewebsites.net/icat/?ontology=ICD&amp;tab=ClassesTab&amp;id=http%3A%2F%2Fwho.int%2Ficd%233856_9cd760cf_9e71_4bdb_b2ea_a3ed07921568","iCat")</x:f>
      </x:c>
      <x:c r="M8366" s="0" t="s">
        <x:v>21</x:v>
      </x:c>
      <x:c r="N8366" s="0" t="s">
        <x:v>46</x:v>
      </x:c>
    </x:row>
    <x:row r="8367" spans="1:16">
      <x:c r="A8367" s="0" t="s">
        <x:v>33329</x:v>
      </x:c>
      <x:c r="B8367" s="0" t="s">
        <x:v>33330</x:v>
      </x:c>
      <x:c r="C8367" s="0" t="s">
        <x:v>33331</x:v>
      </x:c>
      <x:c r="E8367" s="0" t="s">
        <x:v>33332</x:v>
      </x:c>
      <x:c r="F8367" s="0" t="s">
        <x:v>45</x:v>
      </x:c>
      <x:c r="G8367" s="0" t="s">
        <x:v>19</x:v>
      </x:c>
      <x:c r="H8367" s="0" t="s">
        <x:v>20</x:v>
      </x:c>
      <x:c r="I8367" s="0" t="s">
        <x:v>21</x:v>
      </x:c>
      <x:c r="K8367" s="0">
        <x:f>hyperlink("https://icd.who.int/dev11/l-ichi/en#/http%3A%2F%2Fid.who.int%2Ficd%2Fentity%2F1320704845","browser")</x:f>
      </x:c>
      <x:c r="L8367" s="0">
        <x:f>hyperlink("https://icat2.azurewebsites.net/icat/?ontology=ICD&amp;tab=ClassesTab&amp;id=http%3A%2F%2Fwho.int%2Ficd%233862_9cd760cf_9e71_4bdb_b2ea_a3ed07921568","iCat")</x:f>
      </x:c>
      <x:c r="M8367" s="0" t="s">
        <x:v>21</x:v>
      </x:c>
      <x:c r="N8367" s="0" t="s">
        <x:v>46</x:v>
      </x:c>
    </x:row>
    <x:row r="8368" spans="1:16">
      <x:c r="A8368" s="0" t="s">
        <x:v>33333</x:v>
      </x:c>
      <x:c r="B8368" s="0" t="s">
        <x:v>33334</x:v>
      </x:c>
      <x:c r="C8368" s="0" t="s">
        <x:v>33335</x:v>
      </x:c>
      <x:c r="E8368" s="0" t="s">
        <x:v>33336</x:v>
      </x:c>
      <x:c r="F8368" s="0" t="s">
        <x:v>45</x:v>
      </x:c>
      <x:c r="G8368" s="0" t="s">
        <x:v>19</x:v>
      </x:c>
      <x:c r="H8368" s="0" t="s">
        <x:v>20</x:v>
      </x:c>
      <x:c r="I8368" s="0" t="s">
        <x:v>21</x:v>
      </x:c>
      <x:c r="K8368" s="0">
        <x:f>hyperlink("https://icd.who.int/dev11/l-ichi/en#/http%3A%2F%2Fid.who.int%2Ficd%2Fentity%2F1699035101","browser")</x:f>
      </x:c>
      <x:c r="L8368" s="0">
        <x:f>hyperlink("https://icat2.azurewebsites.net/icat/?ontology=ICD&amp;tab=ClassesTab&amp;id=http%3A%2F%2Fwho.int%2Ficd%233868_9cd760cf_9e71_4bdb_b2ea_a3ed07921568","iCat")</x:f>
      </x:c>
      <x:c r="M8368" s="0" t="s">
        <x:v>21</x:v>
      </x:c>
      <x:c r="N8368" s="0" t="s">
        <x:v>46</x:v>
      </x:c>
    </x:row>
    <x:row r="8369" spans="1:16">
      <x:c r="A8369" s="0" t="s">
        <x:v>33337</x:v>
      </x:c>
      <x:c r="B8369" s="0" t="s">
        <x:v>33338</x:v>
      </x:c>
      <x:c r="C8369" s="0" t="s">
        <x:v>33339</x:v>
      </x:c>
      <x:c r="E8369" s="0" t="s">
        <x:v>33340</x:v>
      </x:c>
      <x:c r="F8369" s="0" t="s">
        <x:v>45</x:v>
      </x:c>
      <x:c r="G8369" s="0" t="s">
        <x:v>19</x:v>
      </x:c>
      <x:c r="H8369" s="0" t="s">
        <x:v>20</x:v>
      </x:c>
      <x:c r="I8369" s="0" t="s">
        <x:v>21</x:v>
      </x:c>
      <x:c r="K8369" s="0">
        <x:f>hyperlink("https://icd.who.int/dev11/l-ichi/en#/http%3A%2F%2Fid.who.int%2Ficd%2Fentity%2F1073689736","browser")</x:f>
      </x:c>
      <x:c r="L8369" s="0">
        <x:f>hyperlink("https://icat2.azurewebsites.net/icat/?ontology=ICD&amp;tab=ClassesTab&amp;id=http%3A%2F%2Fwho.int%2Ficd%2395_60b821c4_cabc_4b81_9563_cb99d74167d5","iCat")</x:f>
      </x:c>
      <x:c r="M8369" s="0" t="s">
        <x:v>21</x:v>
      </x:c>
      <x:c r="N8369" s="0" t="s">
        <x:v>46</x:v>
      </x:c>
    </x:row>
    <x:row r="8370" spans="1:16">
      <x:c r="A8370" s="0" t="s">
        <x:v>33341</x:v>
      </x:c>
      <x:c r="B8370" s="0" t="s">
        <x:v>33342</x:v>
      </x:c>
      <x:c r="C8370" s="0" t="s">
        <x:v>33343</x:v>
      </x:c>
      <x:c r="E8370" s="0" t="s">
        <x:v>33344</x:v>
      </x:c>
      <x:c r="F8370" s="0" t="s">
        <x:v>45</x:v>
      </x:c>
      <x:c r="G8370" s="0" t="s">
        <x:v>19</x:v>
      </x:c>
      <x:c r="H8370" s="0" t="s">
        <x:v>20</x:v>
      </x:c>
      <x:c r="I8370" s="0" t="s">
        <x:v>21</x:v>
      </x:c>
      <x:c r="K8370" s="0">
        <x:f>hyperlink("https://icd.who.int/dev11/l-ichi/en#/http%3A%2F%2Fid.who.int%2Ficd%2Fentity%2F1946556331","browser")</x:f>
      </x:c>
      <x:c r="L8370" s="0">
        <x:f>hyperlink("https://icat2.azurewebsites.net/icat/?ontology=ICD&amp;tab=ClassesTab&amp;id=http%3A%2F%2Fwho.int%2Ficd%233874_9cd760cf_9e71_4bdb_b2ea_a3ed07921568","iCat")</x:f>
      </x:c>
      <x:c r="M8370" s="0" t="s">
        <x:v>21</x:v>
      </x:c>
      <x:c r="N8370" s="0" t="s">
        <x:v>46</x:v>
      </x:c>
    </x:row>
    <x:row r="8371" spans="1:16">
      <x:c r="A8371" s="0" t="s">
        <x:v>33345</x:v>
      </x:c>
      <x:c r="B8371" s="0" t="s">
        <x:v>33346</x:v>
      </x:c>
      <x:c r="C8371" s="0" t="s">
        <x:v>33347</x:v>
      </x:c>
      <x:c r="E8371" s="0" t="s">
        <x:v>33348</x:v>
      </x:c>
      <x:c r="F8371" s="0" t="s">
        <x:v>45</x:v>
      </x:c>
      <x:c r="G8371" s="0" t="s">
        <x:v>19</x:v>
      </x:c>
      <x:c r="H8371" s="0" t="s">
        <x:v>20</x:v>
      </x:c>
      <x:c r="I8371" s="0" t="s">
        <x:v>21</x:v>
      </x:c>
      <x:c r="K8371" s="0">
        <x:f>hyperlink("https://icd.who.int/dev11/l-ichi/en#/http%3A%2F%2Fid.who.int%2Ficd%2Fentity%2F1860606209","browser")</x:f>
      </x:c>
      <x:c r="L8371" s="0">
        <x:f>hyperlink("https://icat2.azurewebsites.net/icat/?ontology=ICD&amp;tab=ClassesTab&amp;id=http%3A%2F%2Fwho.int%2Ficd%233880_9cd760cf_9e71_4bdb_b2ea_a3ed07921568","iCat")</x:f>
      </x:c>
      <x:c r="M8371" s="0" t="s">
        <x:v>21</x:v>
      </x:c>
      <x:c r="N8371" s="0" t="s">
        <x:v>46</x:v>
      </x:c>
    </x:row>
    <x:row r="8372" spans="1:16">
      <x:c r="A8372" s="0" t="s">
        <x:v>33349</x:v>
      </x:c>
      <x:c r="B8372" s="0" t="s">
        <x:v>33350</x:v>
      </x:c>
      <x:c r="C8372" s="0" t="s">
        <x:v>33351</x:v>
      </x:c>
      <x:c r="E8372" s="0" t="s">
        <x:v>33352</x:v>
      </x:c>
      <x:c r="F8372" s="0" t="s">
        <x:v>45</x:v>
      </x:c>
      <x:c r="G8372" s="0" t="s">
        <x:v>19</x:v>
      </x:c>
      <x:c r="H8372" s="0" t="s">
        <x:v>20</x:v>
      </x:c>
      <x:c r="I8372" s="0" t="s">
        <x:v>21</x:v>
      </x:c>
      <x:c r="K8372" s="0">
        <x:f>hyperlink("https://icd.who.int/dev11/l-ichi/en#/http%3A%2F%2Fid.who.int%2Ficd%2Fentity%2F1050493104","browser")</x:f>
      </x:c>
      <x:c r="L8372" s="0">
        <x:f>hyperlink("https://icat2.azurewebsites.net/icat/?ontology=ICD&amp;tab=ClassesTab&amp;id=http%3A%2F%2Fwho.int%2Ficd%233886_9cd760cf_9e71_4bdb_b2ea_a3ed07921568","iCat")</x:f>
      </x:c>
      <x:c r="M8372" s="0" t="s">
        <x:v>21</x:v>
      </x:c>
      <x:c r="N8372" s="0" t="s">
        <x:v>46</x:v>
      </x:c>
    </x:row>
    <x:row r="8373" spans="1:16">
      <x:c r="A8373" s="0" t="s">
        <x:v>33353</x:v>
      </x:c>
      <x:c r="B8373" s="0" t="s">
        <x:v>33354</x:v>
      </x:c>
      <x:c r="C8373" s="0" t="s">
        <x:v>33355</x:v>
      </x:c>
      <x:c r="E8373" s="0" t="s">
        <x:v>33356</x:v>
      </x:c>
      <x:c r="F8373" s="0" t="s">
        <x:v>45</x:v>
      </x:c>
      <x:c r="G8373" s="0" t="s">
        <x:v>19</x:v>
      </x:c>
      <x:c r="H8373" s="0" t="s">
        <x:v>20</x:v>
      </x:c>
      <x:c r="I8373" s="0" t="s">
        <x:v>21</x:v>
      </x:c>
      <x:c r="K8373" s="0">
        <x:f>hyperlink("https://icd.who.int/dev11/l-ichi/en#/http%3A%2F%2Fid.who.int%2Ficd%2Fentity%2F1633620371","browser")</x:f>
      </x:c>
      <x:c r="L8373" s="0">
        <x:f>hyperlink("https://icat2.azurewebsites.net/icat/?ontology=ICD&amp;tab=ClassesTab&amp;id=http%3A%2F%2Fwho.int%2Ficd%233892_9cd760cf_9e71_4bdb_b2ea_a3ed07921568","iCat")</x:f>
      </x:c>
      <x:c r="M8373" s="0" t="s">
        <x:v>21</x:v>
      </x:c>
      <x:c r="N8373" s="0" t="s">
        <x:v>46</x:v>
      </x:c>
    </x:row>
    <x:row r="8374" spans="1:16">
      <x:c r="A8374" s="0" t="s">
        <x:v>33357</x:v>
      </x:c>
      <x:c r="B8374" s="0" t="s">
        <x:v>33358</x:v>
      </x:c>
      <x:c r="C8374" s="0" t="s">
        <x:v>33359</x:v>
      </x:c>
      <x:c r="E8374" s="0" t="s">
        <x:v>33360</x:v>
      </x:c>
      <x:c r="F8374" s="0" t="s">
        <x:v>45</x:v>
      </x:c>
      <x:c r="G8374" s="0" t="s">
        <x:v>19</x:v>
      </x:c>
      <x:c r="H8374" s="0" t="s">
        <x:v>20</x:v>
      </x:c>
      <x:c r="I8374" s="0" t="s">
        <x:v>21</x:v>
      </x:c>
      <x:c r="K8374" s="0">
        <x:f>hyperlink("https://icd.who.int/dev11/l-ichi/en#/http%3A%2F%2Fid.who.int%2Ficd%2Fentity%2F1252162819","browser")</x:f>
      </x:c>
      <x:c r="L8374" s="0">
        <x:f>hyperlink("https://icat2.azurewebsites.net/icat/?ontology=ICD&amp;tab=ClassesTab&amp;id=http%3A%2F%2Fwho.int%2Ficd%233898_9cd760cf_9e71_4bdb_b2ea_a3ed07921568","iCat")</x:f>
      </x:c>
      <x:c r="M8374" s="0" t="s">
        <x:v>21</x:v>
      </x:c>
      <x:c r="N8374" s="0" t="s">
        <x:v>46</x:v>
      </x:c>
    </x:row>
    <x:row r="8375" spans="1:16">
      <x:c r="A8375" s="0" t="s">
        <x:v>33361</x:v>
      </x:c>
      <x:c r="B8375" s="0" t="s">
        <x:v>33362</x:v>
      </x:c>
      <x:c r="C8375" s="0" t="s">
        <x:v>33363</x:v>
      </x:c>
      <x:c r="E8375" s="0" t="s">
        <x:v>33364</x:v>
      </x:c>
      <x:c r="F8375" s="0" t="s">
        <x:v>45</x:v>
      </x:c>
      <x:c r="G8375" s="0" t="s">
        <x:v>19</x:v>
      </x:c>
      <x:c r="H8375" s="0" t="s">
        <x:v>20</x:v>
      </x:c>
      <x:c r="I8375" s="0" t="s">
        <x:v>21</x:v>
      </x:c>
      <x:c r="K8375" s="0">
        <x:f>hyperlink("https://icd.who.int/dev11/l-ichi/en#/http%3A%2F%2Fid.who.int%2Ficd%2Fentity%2F827310638","browser")</x:f>
      </x:c>
      <x:c r="L8375" s="0">
        <x:f>hyperlink("https://icat2.azurewebsites.net/icat/?ontology=ICD&amp;tab=ClassesTab&amp;id=http%3A%2F%2Fwho.int%2Ficd%233904_9cd760cf_9e71_4bdb_b2ea_a3ed07921568","iCat")</x:f>
      </x:c>
      <x:c r="M8375" s="0" t="s">
        <x:v>21</x:v>
      </x:c>
      <x:c r="N8375" s="0" t="s">
        <x:v>46</x:v>
      </x:c>
    </x:row>
    <x:row r="8376" spans="1:16">
      <x:c r="A8376" s="0" t="s">
        <x:v>33365</x:v>
      </x:c>
      <x:c r="B8376" s="0" t="s">
        <x:v>33366</x:v>
      </x:c>
      <x:c r="C8376" s="0" t="s">
        <x:v>33367</x:v>
      </x:c>
      <x:c r="E8376" s="0" t="s">
        <x:v>33368</x:v>
      </x:c>
      <x:c r="F8376" s="0" t="s">
        <x:v>45</x:v>
      </x:c>
      <x:c r="G8376" s="0" t="s">
        <x:v>19</x:v>
      </x:c>
      <x:c r="H8376" s="0" t="s">
        <x:v>20</x:v>
      </x:c>
      <x:c r="I8376" s="0" t="s">
        <x:v>21</x:v>
      </x:c>
      <x:c r="K8376" s="0">
        <x:f>hyperlink("https://icd.who.int/dev11/l-ichi/en#/http%3A%2F%2Fid.who.int%2Ficd%2Fentity%2F1854771983","browser")</x:f>
      </x:c>
      <x:c r="L8376" s="0">
        <x:f>hyperlink("https://icat2.azurewebsites.net/icat/?ontology=ICD&amp;tab=ClassesTab&amp;id=http%3A%2F%2Fwho.int%2Ficd%233910_9cd760cf_9e71_4bdb_b2ea_a3ed07921568","iCat")</x:f>
      </x:c>
      <x:c r="M8376" s="0" t="s">
        <x:v>21</x:v>
      </x:c>
      <x:c r="N8376" s="0" t="s">
        <x:v>46</x:v>
      </x:c>
    </x:row>
    <x:row r="8377" spans="1:16">
      <x:c r="A8377" s="0" t="s">
        <x:v>33369</x:v>
      </x:c>
      <x:c r="B8377" s="0" t="s">
        <x:v>33370</x:v>
      </x:c>
      <x:c r="C8377" s="0" t="s">
        <x:v>33371</x:v>
      </x:c>
      <x:c r="E8377" s="0" t="s">
        <x:v>33372</x:v>
      </x:c>
      <x:c r="F8377" s="0" t="s">
        <x:v>45</x:v>
      </x:c>
      <x:c r="G8377" s="0" t="s">
        <x:v>19</x:v>
      </x:c>
      <x:c r="H8377" s="0" t="s">
        <x:v>20</x:v>
      </x:c>
      <x:c r="I8377" s="0" t="s">
        <x:v>21</x:v>
      </x:c>
      <x:c r="K8377" s="0">
        <x:f>hyperlink("https://icd.who.int/dev11/l-ichi/en#/http%3A%2F%2Fid.who.int%2Ficd%2Fentity%2F1056328384","browser")</x:f>
      </x:c>
      <x:c r="L8377" s="0">
        <x:f>hyperlink("https://icat2.azurewebsites.net/icat/?ontology=ICD&amp;tab=ClassesTab&amp;id=http%3A%2F%2Fwho.int%2Ficd%233916_9cd760cf_9e71_4bdb_b2ea_a3ed07921568","iCat")</x:f>
      </x:c>
      <x:c r="M8377" s="0" t="s">
        <x:v>21</x:v>
      </x:c>
      <x:c r="N8377" s="0" t="s">
        <x:v>46</x:v>
      </x:c>
    </x:row>
    <x:row r="8378" spans="1:16">
      <x:c r="A8378" s="0" t="s">
        <x:v>33373</x:v>
      </x:c>
      <x:c r="B8378" s="0" t="s">
        <x:v>33374</x:v>
      </x:c>
      <x:c r="C8378" s="0" t="s">
        <x:v>33375</x:v>
      </x:c>
      <x:c r="E8378" s="0" t="s">
        <x:v>33376</x:v>
      </x:c>
      <x:c r="F8378" s="0" t="s">
        <x:v>45</x:v>
      </x:c>
      <x:c r="G8378" s="0" t="s">
        <x:v>19</x:v>
      </x:c>
      <x:c r="H8378" s="0" t="s">
        <x:v>20</x:v>
      </x:c>
      <x:c r="I8378" s="0" t="s">
        <x:v>21</x:v>
      </x:c>
      <x:c r="K8378" s="0">
        <x:f>hyperlink("https://icd.who.int/dev11/l-ichi/en#/http%3A%2F%2Fid.who.int%2Ficd%2Fentity%2F1262538445","browser")</x:f>
      </x:c>
      <x:c r="L8378" s="0">
        <x:f>hyperlink("https://icat2.azurewebsites.net/icat/?ontology=ICD&amp;tab=ClassesTab&amp;id=http%3A%2F%2Fwho.int%2Ficd%233922_9cd760cf_9e71_4bdb_b2ea_a3ed07921568","iCat")</x:f>
      </x:c>
      <x:c r="M8378" s="0" t="s">
        <x:v>21</x:v>
      </x:c>
      <x:c r="N8378" s="0" t="s">
        <x:v>46</x:v>
      </x:c>
    </x:row>
    <x:row r="8379" spans="1:16">
      <x:c r="A8379" s="0" t="s">
        <x:v>33377</x:v>
      </x:c>
      <x:c r="B8379" s="0" t="s">
        <x:v>33378</x:v>
      </x:c>
      <x:c r="C8379" s="0" t="s">
        <x:v>33379</x:v>
      </x:c>
      <x:c r="E8379" s="0" t="s">
        <x:v>33380</x:v>
      </x:c>
      <x:c r="F8379" s="0" t="s">
        <x:v>45</x:v>
      </x:c>
      <x:c r="G8379" s="0" t="s">
        <x:v>19</x:v>
      </x:c>
      <x:c r="H8379" s="0" t="s">
        <x:v>20</x:v>
      </x:c>
      <x:c r="I8379" s="0" t="s">
        <x:v>21</x:v>
      </x:c>
      <x:c r="K8379" s="0">
        <x:f>hyperlink("https://icd.who.int/dev11/l-ichi/en#/http%3A%2F%2Fid.who.int%2Ficd%2Fentity%2F1623040605","browser")</x:f>
      </x:c>
      <x:c r="L8379" s="0">
        <x:f>hyperlink("https://icat2.azurewebsites.net/icat/?ontology=ICD&amp;tab=ClassesTab&amp;id=http%3A%2F%2Fwho.int%2Ficd%233928_9cd760cf_9e71_4bdb_b2ea_a3ed07921568","iCat")</x:f>
      </x:c>
      <x:c r="M8379" s="0" t="s">
        <x:v>21</x:v>
      </x:c>
      <x:c r="N8379" s="0" t="s">
        <x:v>46</x:v>
      </x:c>
    </x:row>
    <x:row r="8380" spans="1:16">
      <x:c r="A8380" s="0" t="s">
        <x:v>33381</x:v>
      </x:c>
      <x:c r="B8380" s="0" t="s">
        <x:v>33382</x:v>
      </x:c>
      <x:c r="C8380" s="0" t="s">
        <x:v>33383</x:v>
      </x:c>
      <x:c r="E8380" s="0" t="s">
        <x:v>33384</x:v>
      </x:c>
      <x:c r="F8380" s="0" t="s">
        <x:v>45</x:v>
      </x:c>
      <x:c r="G8380" s="0" t="s">
        <x:v>19</x:v>
      </x:c>
      <x:c r="H8380" s="0" t="s">
        <x:v>20</x:v>
      </x:c>
      <x:c r="I8380" s="0" t="s">
        <x:v>21</x:v>
      </x:c>
      <x:c r="K8380" s="0">
        <x:f>hyperlink("https://icd.who.int/dev11/l-ichi/en#/http%3A%2F%2Fid.who.int%2Ficd%2Fentity%2F1912504875","browser")</x:f>
      </x:c>
      <x:c r="L8380" s="0">
        <x:f>hyperlink("https://icat2.azurewebsites.net/icat/?ontology=ICD&amp;tab=ClassesTab&amp;id=http%3A%2F%2Fwho.int%2Ficd%233934_9cd760cf_9e71_4bdb_b2ea_a3ed07921568","iCat")</x:f>
      </x:c>
      <x:c r="M8380" s="0" t="s">
        <x:v>21</x:v>
      </x:c>
      <x:c r="N8380" s="0" t="s">
        <x:v>46</x:v>
      </x:c>
    </x:row>
    <x:row r="8381" spans="1:16">
      <x:c r="A8381" s="0" t="s">
        <x:v>33385</x:v>
      </x:c>
      <x:c r="B8381" s="0" t="s">
        <x:v>33386</x:v>
      </x:c>
      <x:c r="C8381" s="0" t="s">
        <x:v>33387</x:v>
      </x:c>
      <x:c r="E8381" s="0" t="s">
        <x:v>33388</x:v>
      </x:c>
      <x:c r="F8381" s="0" t="s">
        <x:v>45</x:v>
      </x:c>
      <x:c r="G8381" s="0" t="s">
        <x:v>19</x:v>
      </x:c>
      <x:c r="H8381" s="0" t="s">
        <x:v>20</x:v>
      </x:c>
      <x:c r="I8381" s="0" t="s">
        <x:v>21</x:v>
      </x:c>
      <x:c r="K8381" s="0">
        <x:f>hyperlink("https://icd.who.int/dev11/l-ichi/en#/http%3A%2F%2Fid.who.int%2Ficd%2Fentity%2F1949259077","browser")</x:f>
      </x:c>
      <x:c r="L8381" s="0">
        <x:f>hyperlink("https://icat2.azurewebsites.net/icat/?ontology=ICD&amp;tab=ClassesTab&amp;id=http%3A%2F%2Fwho.int%2Ficd%233940_9cd760cf_9e71_4bdb_b2ea_a3ed07921568","iCat")</x:f>
      </x:c>
      <x:c r="M8381" s="0" t="s">
        <x:v>21</x:v>
      </x:c>
      <x:c r="N8381" s="0" t="s">
        <x:v>46</x:v>
      </x:c>
    </x:row>
    <x:row r="8382" spans="1:16">
      <x:c r="A8382" s="0" t="s">
        <x:v>33389</x:v>
      </x:c>
      <x:c r="B8382" s="0" t="s">
        <x:v>33390</x:v>
      </x:c>
      <x:c r="C8382" s="0" t="s">
        <x:v>33391</x:v>
      </x:c>
      <x:c r="E8382" s="0" t="s">
        <x:v>33392</x:v>
      </x:c>
      <x:c r="F8382" s="0" t="s">
        <x:v>45</x:v>
      </x:c>
      <x:c r="G8382" s="0" t="s">
        <x:v>19</x:v>
      </x:c>
      <x:c r="H8382" s="0" t="s">
        <x:v>20</x:v>
      </x:c>
      <x:c r="I8382" s="0" t="s">
        <x:v>21</x:v>
      </x:c>
      <x:c r="K8382" s="0">
        <x:f>hyperlink("https://icd.who.int/dev11/l-ichi/en#/http%3A%2F%2Fid.who.int%2Ficd%2Fentity%2F609520886","browser")</x:f>
      </x:c>
      <x:c r="L8382" s="0">
        <x:f>hyperlink("https://icat2.azurewebsites.net/icat/?ontology=ICD&amp;tab=ClassesTab&amp;id=http%3A%2F%2Fwho.int%2Ficd%233946_9cd760cf_9e71_4bdb_b2ea_a3ed07921568","iCat")</x:f>
      </x:c>
      <x:c r="M8382" s="0" t="s">
        <x:v>21</x:v>
      </x:c>
      <x:c r="N8382" s="0" t="s">
        <x:v>46</x:v>
      </x:c>
    </x:row>
    <x:row r="8383" spans="1:16">
      <x:c r="A8383" s="0" t="s">
        <x:v>33393</x:v>
      </x:c>
      <x:c r="B8383" s="0" t="s">
        <x:v>33394</x:v>
      </x:c>
      <x:c r="C8383" s="0" t="s">
        <x:v>33395</x:v>
      </x:c>
      <x:c r="E8383" s="0" t="s">
        <x:v>33396</x:v>
      </x:c>
      <x:c r="F8383" s="0" t="s">
        <x:v>45</x:v>
      </x:c>
      <x:c r="G8383" s="0" t="s">
        <x:v>19</x:v>
      </x:c>
      <x:c r="H8383" s="0" t="s">
        <x:v>20</x:v>
      </x:c>
      <x:c r="I8383" s="0" t="s">
        <x:v>21</x:v>
      </x:c>
      <x:c r="K8383" s="0">
        <x:f>hyperlink("https://icd.who.int/dev11/l-ichi/en#/http%3A%2F%2Fid.who.int%2Ficd%2Fentity%2F2073484759","browser")</x:f>
      </x:c>
      <x:c r="L8383" s="0">
        <x:f>hyperlink("https://icat2.azurewebsites.net/icat/?ontology=ICD&amp;tab=ClassesTab&amp;id=http%3A%2F%2Fwho.int%2Ficd%233952_9cd760cf_9e71_4bdb_b2ea_a3ed07921568","iCat")</x:f>
      </x:c>
      <x:c r="M8383" s="0" t="s">
        <x:v>21</x:v>
      </x:c>
      <x:c r="N8383" s="0" t="s">
        <x:v>46</x:v>
      </x:c>
    </x:row>
    <x:row r="8384" spans="1:16">
      <x:c r="A8384" s="0" t="s">
        <x:v>33397</x:v>
      </x:c>
      <x:c r="B8384" s="0" t="s">
        <x:v>33398</x:v>
      </x:c>
      <x:c r="C8384" s="0" t="s">
        <x:v>33399</x:v>
      </x:c>
      <x:c r="E8384" s="0" t="s">
        <x:v>33400</x:v>
      </x:c>
      <x:c r="F8384" s="0" t="s">
        <x:v>45</x:v>
      </x:c>
      <x:c r="G8384" s="0" t="s">
        <x:v>19</x:v>
      </x:c>
      <x:c r="H8384" s="0" t="s">
        <x:v>20</x:v>
      </x:c>
      <x:c r="I8384" s="0" t="s">
        <x:v>21</x:v>
      </x:c>
      <x:c r="K8384" s="0">
        <x:f>hyperlink("https://icd.who.int/dev11/l-ichi/en#/http%3A%2F%2Fid.who.int%2Ficd%2Fentity%2F1349235015","browser")</x:f>
      </x:c>
      <x:c r="L8384" s="0">
        <x:f>hyperlink("https://icat2.azurewebsites.net/icat/?ontology=ICD&amp;tab=ClassesTab&amp;id=http%3A%2F%2Fwho.int%2Ficd%233958_9cd760cf_9e71_4bdb_b2ea_a3ed07921568","iCat")</x:f>
      </x:c>
      <x:c r="M8384" s="0" t="s">
        <x:v>21</x:v>
      </x:c>
      <x:c r="N8384" s="0" t="s">
        <x:v>46</x:v>
      </x:c>
    </x:row>
    <x:row r="8385" spans="1:16">
      <x:c r="A8385" s="0" t="s">
        <x:v>33401</x:v>
      </x:c>
      <x:c r="B8385" s="0" t="s">
        <x:v>33402</x:v>
      </x:c>
      <x:c r="C8385" s="0" t="s">
        <x:v>33403</x:v>
      </x:c>
      <x:c r="E8385" s="0" t="s">
        <x:v>33404</x:v>
      </x:c>
      <x:c r="F8385" s="0" t="s">
        <x:v>45</x:v>
      </x:c>
      <x:c r="G8385" s="0" t="s">
        <x:v>19</x:v>
      </x:c>
      <x:c r="H8385" s="0" t="s">
        <x:v>20</x:v>
      </x:c>
      <x:c r="I8385" s="0" t="s">
        <x:v>21</x:v>
      </x:c>
      <x:c r="K8385" s="0">
        <x:f>hyperlink("https://icd.who.int/dev11/l-ichi/en#/http%3A%2F%2Fid.who.int%2Ficd%2Fentity%2F785984410","browser")</x:f>
      </x:c>
      <x:c r="L8385" s="0">
        <x:f>hyperlink("https://icat2.azurewebsites.net/icat/?ontology=ICD&amp;tab=ClassesTab&amp;id=http%3A%2F%2Fwho.int%2Ficd%233967_9cd760cf_9e71_4bdb_b2ea_a3ed07921568","iCat")</x:f>
      </x:c>
      <x:c r="M8385" s="0" t="s">
        <x:v>21</x:v>
      </x:c>
      <x:c r="N8385" s="0" t="s">
        <x:v>46</x:v>
      </x:c>
    </x:row>
    <x:row r="8386" spans="1:16">
      <x:c r="A8386" s="0" t="s">
        <x:v>33405</x:v>
      </x:c>
      <x:c r="B8386" s="0" t="s">
        <x:v>33406</x:v>
      </x:c>
      <x:c r="C8386" s="0" t="s">
        <x:v>33407</x:v>
      </x:c>
      <x:c r="E8386" s="0" t="s">
        <x:v>33408</x:v>
      </x:c>
      <x:c r="F8386" s="0" t="s">
        <x:v>45</x:v>
      </x:c>
      <x:c r="G8386" s="0" t="s">
        <x:v>19</x:v>
      </x:c>
      <x:c r="H8386" s="0" t="s">
        <x:v>20</x:v>
      </x:c>
      <x:c r="I8386" s="0" t="s">
        <x:v>21</x:v>
      </x:c>
      <x:c r="K8386" s="0">
        <x:f>hyperlink("https://icd.who.int/dev11/l-ichi/en#/http%3A%2F%2Fid.who.int%2Ficd%2Fentity%2F1897626299","browser")</x:f>
      </x:c>
      <x:c r="L8386" s="0">
        <x:f>hyperlink("https://icat2.azurewebsites.net/icat/?ontology=ICD&amp;tab=ClassesTab&amp;id=http%3A%2F%2Fwho.int%2Ficd%233973_9cd760cf_9e71_4bdb_b2ea_a3ed07921568","iCat")</x:f>
      </x:c>
      <x:c r="M8386" s="0" t="s">
        <x:v>21</x:v>
      </x:c>
      <x:c r="N8386" s="0" t="s">
        <x:v>46</x:v>
      </x:c>
    </x:row>
    <x:row r="8387" spans="1:16">
      <x:c r="A8387" s="0" t="s">
        <x:v>33409</x:v>
      </x:c>
      <x:c r="B8387" s="0" t="s">
        <x:v>33410</x:v>
      </x:c>
      <x:c r="C8387" s="0" t="s">
        <x:v>33411</x:v>
      </x:c>
      <x:c r="E8387" s="0" t="s">
        <x:v>33412</x:v>
      </x:c>
      <x:c r="F8387" s="0" t="s">
        <x:v>45</x:v>
      </x:c>
      <x:c r="G8387" s="0" t="s">
        <x:v>19</x:v>
      </x:c>
      <x:c r="H8387" s="0" t="s">
        <x:v>20</x:v>
      </x:c>
      <x:c r="I8387" s="0" t="s">
        <x:v>21</x:v>
      </x:c>
      <x:c r="K8387" s="0">
        <x:f>hyperlink("https://icd.who.int/dev11/l-ichi/en#/http%3A%2F%2Fid.who.int%2Ficd%2Fentity%2F1525028395","browser")</x:f>
      </x:c>
      <x:c r="L8387" s="0">
        <x:f>hyperlink("https://icat2.azurewebsites.net/icat/?ontology=ICD&amp;tab=ClassesTab&amp;id=http%3A%2F%2Fwho.int%2Ficd%233979_9cd760cf_9e71_4bdb_b2ea_a3ed07921568","iCat")</x:f>
      </x:c>
      <x:c r="M8387" s="0" t="s">
        <x:v>21</x:v>
      </x:c>
      <x:c r="N8387" s="0" t="s">
        <x:v>46</x:v>
      </x:c>
    </x:row>
    <x:row r="8388" spans="1:16">
      <x:c r="A8388" s="0" t="s">
        <x:v>33413</x:v>
      </x:c>
      <x:c r="B8388" s="0" t="s">
        <x:v>33414</x:v>
      </x:c>
      <x:c r="C8388" s="0" t="s">
        <x:v>33415</x:v>
      </x:c>
      <x:c r="E8388" s="0" t="s">
        <x:v>33416</x:v>
      </x:c>
      <x:c r="F8388" s="0" t="s">
        <x:v>45</x:v>
      </x:c>
      <x:c r="G8388" s="0" t="s">
        <x:v>19</x:v>
      </x:c>
      <x:c r="H8388" s="0" t="s">
        <x:v>20</x:v>
      </x:c>
      <x:c r="I8388" s="0" t="s">
        <x:v>21</x:v>
      </x:c>
      <x:c r="K8388" s="0">
        <x:f>hyperlink("https://icd.who.int/dev11/l-ichi/en#/http%3A%2F%2Fid.who.int%2Ficd%2Fentity%2F243788246","browser")</x:f>
      </x:c>
      <x:c r="L8388" s="0">
        <x:f>hyperlink("https://icat2.azurewebsites.net/icat/?ontology=ICD&amp;tab=ClassesTab&amp;id=http%3A%2F%2Fwho.int%2Ficd%233985_9cd760cf_9e71_4bdb_b2ea_a3ed07921568","iCat")</x:f>
      </x:c>
      <x:c r="M8388" s="0" t="s">
        <x:v>21</x:v>
      </x:c>
      <x:c r="N8388" s="0" t="s">
        <x:v>46</x:v>
      </x:c>
    </x:row>
    <x:row r="8389" spans="1:16">
      <x:c r="A8389" s="0" t="s">
        <x:v>33417</x:v>
      </x:c>
      <x:c r="B8389" s="0" t="s">
        <x:v>33418</x:v>
      </x:c>
      <x:c r="C8389" s="0" t="s">
        <x:v>33419</x:v>
      </x:c>
      <x:c r="E8389" s="0" t="s">
        <x:v>33420</x:v>
      </x:c>
      <x:c r="F8389" s="0" t="s">
        <x:v>45</x:v>
      </x:c>
      <x:c r="G8389" s="0" t="s">
        <x:v>19</x:v>
      </x:c>
      <x:c r="H8389" s="0" t="s">
        <x:v>20</x:v>
      </x:c>
      <x:c r="I8389" s="0" t="s">
        <x:v>21</x:v>
      </x:c>
      <x:c r="K8389" s="0">
        <x:f>hyperlink("https://icd.who.int/dev11/l-ichi/en#/http%3A%2F%2Fid.who.int%2Ficd%2Fentity%2F1363523831","browser")</x:f>
      </x:c>
      <x:c r="L8389" s="0">
        <x:f>hyperlink("https://icat2.azurewebsites.net/icat/?ontology=ICD&amp;tab=ClassesTab&amp;id=http%3A%2F%2Fwho.int%2Ficd%233991_9cd760cf_9e71_4bdb_b2ea_a3ed07921568","iCat")</x:f>
      </x:c>
      <x:c r="M8389" s="0" t="s">
        <x:v>21</x:v>
      </x:c>
      <x:c r="N8389" s="0" t="s">
        <x:v>46</x:v>
      </x:c>
    </x:row>
    <x:row r="8390" spans="1:16">
      <x:c r="A8390" s="0" t="s">
        <x:v>33421</x:v>
      </x:c>
      <x:c r="B8390" s="0" t="s">
        <x:v>33422</x:v>
      </x:c>
      <x:c r="C8390" s="0" t="s">
        <x:v>33423</x:v>
      </x:c>
      <x:c r="E8390" s="0" t="s">
        <x:v>33424</x:v>
      </x:c>
      <x:c r="F8390" s="0" t="s">
        <x:v>45</x:v>
      </x:c>
      <x:c r="G8390" s="0" t="s">
        <x:v>19</x:v>
      </x:c>
      <x:c r="H8390" s="0" t="s">
        <x:v>20</x:v>
      </x:c>
      <x:c r="I8390" s="0" t="s">
        <x:v>21</x:v>
      </x:c>
      <x:c r="K8390" s="0">
        <x:f>hyperlink("https://icd.who.int/dev11/l-ichi/en#/http%3A%2F%2Fid.who.int%2Ficd%2Fentity%2F20865352","browser")</x:f>
      </x:c>
      <x:c r="L8390" s="0">
        <x:f>hyperlink("https://icat2.azurewebsites.net/icat/?ontology=ICD&amp;tab=ClassesTab&amp;id=http%3A%2F%2Fwho.int%2Ficd%233997_9cd760cf_9e71_4bdb_b2ea_a3ed07921568","iCat")</x:f>
      </x:c>
      <x:c r="M8390" s="0" t="s">
        <x:v>21</x:v>
      </x:c>
      <x:c r="N8390" s="0" t="s">
        <x:v>46</x:v>
      </x:c>
    </x:row>
    <x:row r="8391" spans="1:16">
      <x:c r="A8391" s="0" t="s">
        <x:v>33425</x:v>
      </x:c>
      <x:c r="B8391" s="0" t="s">
        <x:v>33426</x:v>
      </x:c>
      <x:c r="C8391" s="0" t="s">
        <x:v>33427</x:v>
      </x:c>
      <x:c r="E8391" s="0" t="s">
        <x:v>33428</x:v>
      </x:c>
      <x:c r="F8391" s="0" t="s">
        <x:v>45</x:v>
      </x:c>
      <x:c r="G8391" s="0" t="s">
        <x:v>19</x:v>
      </x:c>
      <x:c r="H8391" s="0" t="s">
        <x:v>20</x:v>
      </x:c>
      <x:c r="I8391" s="0" t="s">
        <x:v>21</x:v>
      </x:c>
      <x:c r="K8391" s="0">
        <x:f>hyperlink("https://icd.who.int/dev11/l-ichi/en#/http%3A%2F%2Fid.who.int%2Ficd%2Fentity%2F1741281225","browser")</x:f>
      </x:c>
      <x:c r="L8391" s="0">
        <x:f>hyperlink("https://icat2.azurewebsites.net/icat/?ontology=ICD&amp;tab=ClassesTab&amp;id=http%3A%2F%2Fwho.int%2Ficd%234003_9cd760cf_9e71_4bdb_b2ea_a3ed07921568","iCat")</x:f>
      </x:c>
      <x:c r="M8391" s="0" t="s">
        <x:v>21</x:v>
      </x:c>
      <x:c r="N8391" s="0" t="s">
        <x:v>46</x:v>
      </x:c>
    </x:row>
    <x:row r="8392" spans="1:16">
      <x:c r="A8392" s="0" t="s">
        <x:v>33429</x:v>
      </x:c>
      <x:c r="B8392" s="0" t="s">
        <x:v>33430</x:v>
      </x:c>
      <x:c r="C8392" s="0" t="s">
        <x:v>33431</x:v>
      </x:c>
      <x:c r="E8392" s="0" t="s">
        <x:v>33432</x:v>
      </x:c>
      <x:c r="F8392" s="0" t="s">
        <x:v>45</x:v>
      </x:c>
      <x:c r="G8392" s="0" t="s">
        <x:v>19</x:v>
      </x:c>
      <x:c r="H8392" s="0" t="s">
        <x:v>20</x:v>
      </x:c>
      <x:c r="I8392" s="0" t="s">
        <x:v>21</x:v>
      </x:c>
      <x:c r="K8392" s="0">
        <x:f>hyperlink("https://icd.who.int/dev11/l-ichi/en#/http%3A%2F%2Fid.who.int%2Ficd%2Fentity%2F1278524249","browser")</x:f>
      </x:c>
      <x:c r="L8392" s="0">
        <x:f>hyperlink("https://icat2.azurewebsites.net/icat/?ontology=ICD&amp;tab=ClassesTab&amp;id=http%3A%2F%2Fwho.int%2Ficd%234009_9cd760cf_9e71_4bdb_b2ea_a3ed07921568","iCat")</x:f>
      </x:c>
      <x:c r="M8392" s="0" t="s">
        <x:v>21</x:v>
      </x:c>
      <x:c r="N8392" s="0" t="s">
        <x:v>46</x:v>
      </x:c>
    </x:row>
    <x:row r="8393" spans="1:16">
      <x:c r="A8393" s="0" t="s">
        <x:v>33433</x:v>
      </x:c>
      <x:c r="B8393" s="0" t="s">
        <x:v>33434</x:v>
      </x:c>
      <x:c r="C8393" s="0" t="s">
        <x:v>33435</x:v>
      </x:c>
      <x:c r="E8393" s="0" t="s">
        <x:v>33436</x:v>
      </x:c>
      <x:c r="F8393" s="0" t="s">
        <x:v>45</x:v>
      </x:c>
      <x:c r="G8393" s="0" t="s">
        <x:v>19</x:v>
      </x:c>
      <x:c r="H8393" s="0" t="s">
        <x:v>20</x:v>
      </x:c>
      <x:c r="I8393" s="0" t="s">
        <x:v>21</x:v>
      </x:c>
      <x:c r="K8393" s="0">
        <x:f>hyperlink("https://icd.who.int/dev11/l-ichi/en#/http%3A%2F%2Fid.who.int%2Ficd%2Fentity%2F1568119599","browser")</x:f>
      </x:c>
      <x:c r="L8393" s="0">
        <x:f>hyperlink("https://icat2.azurewebsites.net/icat/?ontology=ICD&amp;tab=ClassesTab&amp;id=http%3A%2F%2Fwho.int%2Ficd%234015_9cd760cf_9e71_4bdb_b2ea_a3ed07921568","iCat")</x:f>
      </x:c>
      <x:c r="M8393" s="0" t="s">
        <x:v>21</x:v>
      </x:c>
      <x:c r="N8393" s="0" t="s">
        <x:v>46</x:v>
      </x:c>
    </x:row>
    <x:row r="8394" spans="1:16">
      <x:c r="A8394" s="0" t="s">
        <x:v>33437</x:v>
      </x:c>
      <x:c r="B8394" s="0" t="s">
        <x:v>33438</x:v>
      </x:c>
      <x:c r="C8394" s="0" t="s">
        <x:v>33439</x:v>
      </x:c>
      <x:c r="E8394" s="0" t="s">
        <x:v>33440</x:v>
      </x:c>
      <x:c r="F8394" s="0" t="s">
        <x:v>45</x:v>
      </x:c>
      <x:c r="G8394" s="0" t="s">
        <x:v>19</x:v>
      </x:c>
      <x:c r="H8394" s="0" t="s">
        <x:v>20</x:v>
      </x:c>
      <x:c r="I8394" s="0" t="s">
        <x:v>21</x:v>
      </x:c>
      <x:c r="K8394" s="0">
        <x:f>hyperlink("https://icd.who.int/dev11/l-ichi/en#/http%3A%2F%2Fid.who.int%2Ficd%2Fentity%2F683745118","browser")</x:f>
      </x:c>
      <x:c r="L8394" s="0">
        <x:f>hyperlink("https://icat2.azurewebsites.net/icat/?ontology=ICD&amp;tab=ClassesTab&amp;id=http%3A%2F%2Fwho.int%2Ficd%234021_9cd760cf_9e71_4bdb_b2ea_a3ed07921568","iCat")</x:f>
      </x:c>
      <x:c r="M8394" s="0" t="s">
        <x:v>21</x:v>
      </x:c>
      <x:c r="N8394" s="0" t="s">
        <x:v>46</x:v>
      </x:c>
    </x:row>
    <x:row r="8395" spans="1:16">
      <x:c r="A8395" s="0" t="s">
        <x:v>33441</x:v>
      </x:c>
      <x:c r="B8395" s="0" t="s">
        <x:v>33442</x:v>
      </x:c>
      <x:c r="C8395" s="0" t="s">
        <x:v>33443</x:v>
      </x:c>
      <x:c r="E8395" s="0" t="s">
        <x:v>33444</x:v>
      </x:c>
      <x:c r="F8395" s="0" t="s">
        <x:v>45</x:v>
      </x:c>
      <x:c r="G8395" s="0" t="s">
        <x:v>19</x:v>
      </x:c>
      <x:c r="H8395" s="0" t="s">
        <x:v>20</x:v>
      </x:c>
      <x:c r="I8395" s="0" t="s">
        <x:v>21</x:v>
      </x:c>
      <x:c r="K8395" s="0">
        <x:f>hyperlink("https://icd.who.int/dev11/l-ichi/en#/http%3A%2F%2Fid.who.int%2Ficd%2Fentity%2F2025506541","browser")</x:f>
      </x:c>
      <x:c r="L8395" s="0">
        <x:f>hyperlink("https://icat2.azurewebsites.net/icat/?ontology=ICD&amp;tab=ClassesTab&amp;id=http%3A%2F%2Fwho.int%2Ficd%234027_9cd760cf_9e71_4bdb_b2ea_a3ed07921568","iCat")</x:f>
      </x:c>
      <x:c r="M8395" s="0" t="s">
        <x:v>21</x:v>
      </x:c>
      <x:c r="N8395" s="0" t="s">
        <x:v>46</x:v>
      </x:c>
    </x:row>
    <x:row r="8396" spans="1:16">
      <x:c r="A8396" s="0" t="s">
        <x:v>33445</x:v>
      </x:c>
      <x:c r="B8396" s="0" t="s">
        <x:v>33446</x:v>
      </x:c>
      <x:c r="C8396" s="0" t="s">
        <x:v>33447</x:v>
      </x:c>
      <x:c r="E8396" s="0" t="s">
        <x:v>33448</x:v>
      </x:c>
      <x:c r="F8396" s="0" t="s">
        <x:v>45</x:v>
      </x:c>
      <x:c r="G8396" s="0" t="s">
        <x:v>19</x:v>
      </x:c>
      <x:c r="H8396" s="0" t="s">
        <x:v>20</x:v>
      </x:c>
      <x:c r="I8396" s="0" t="s">
        <x:v>21</x:v>
      </x:c>
      <x:c r="K8396" s="0">
        <x:f>hyperlink("https://icd.who.int/dev11/l-ichi/en#/http%3A%2F%2Fid.who.int%2Ficd%2Fentity%2F662214608","browser")</x:f>
      </x:c>
      <x:c r="L8396" s="0">
        <x:f>hyperlink("https://icat2.azurewebsites.net/icat/?ontology=ICD&amp;tab=ClassesTab&amp;id=http%3A%2F%2Fwho.int%2Ficd%234033_9cd760cf_9e71_4bdb_b2ea_a3ed07921568","iCat")</x:f>
      </x:c>
      <x:c r="M8396" s="0" t="s">
        <x:v>21</x:v>
      </x:c>
      <x:c r="N8396" s="0" t="s">
        <x:v>46</x:v>
      </x:c>
    </x:row>
    <x:row r="8397" spans="1:16">
      <x:c r="A8397" s="0" t="s">
        <x:v>33449</x:v>
      </x:c>
      <x:c r="B8397" s="0" t="s">
        <x:v>33450</x:v>
      </x:c>
      <x:c r="C8397" s="0" t="s">
        <x:v>33451</x:v>
      </x:c>
      <x:c r="E8397" s="0" t="s">
        <x:v>33452</x:v>
      </x:c>
      <x:c r="F8397" s="0" t="s">
        <x:v>45</x:v>
      </x:c>
      <x:c r="G8397" s="0" t="s">
        <x:v>19</x:v>
      </x:c>
      <x:c r="H8397" s="0" t="s">
        <x:v>20</x:v>
      </x:c>
      <x:c r="I8397" s="0" t="s">
        <x:v>21</x:v>
      </x:c>
      <x:c r="K8397" s="0">
        <x:f>hyperlink("https://icd.who.int/dev11/l-ichi/en#/http%3A%2F%2Fid.who.int%2Ficd%2Fentity%2F210107232","browser")</x:f>
      </x:c>
      <x:c r="L8397" s="0">
        <x:f>hyperlink("https://icat2.azurewebsites.net/icat/?ontology=ICD&amp;tab=ClassesTab&amp;id=http%3A%2F%2Fwho.int%2Ficd%234039_9cd760cf_9e71_4bdb_b2ea_a3ed07921568","iCat")</x:f>
      </x:c>
      <x:c r="M8397" s="0" t="s">
        <x:v>21</x:v>
      </x:c>
      <x:c r="N8397" s="0" t="s">
        <x:v>46</x:v>
      </x:c>
    </x:row>
    <x:row r="8398" spans="1:16">
      <x:c r="A8398" s="0" t="s">
        <x:v>33453</x:v>
      </x:c>
      <x:c r="B8398" s="0" t="s">
        <x:v>33454</x:v>
      </x:c>
      <x:c r="C8398" s="0" t="s">
        <x:v>33455</x:v>
      </x:c>
      <x:c r="E8398" s="0" t="s">
        <x:v>33456</x:v>
      </x:c>
      <x:c r="F8398" s="0" t="s">
        <x:v>45</x:v>
      </x:c>
      <x:c r="G8398" s="0" t="s">
        <x:v>19</x:v>
      </x:c>
      <x:c r="H8398" s="0" t="s">
        <x:v>20</x:v>
      </x:c>
      <x:c r="I8398" s="0" t="s">
        <x:v>21</x:v>
      </x:c>
      <x:c r="K8398" s="0">
        <x:f>hyperlink("https://icd.who.int/dev11/l-ichi/en#/http%3A%2F%2Fid.who.int%2Ficd%2Fentity%2F1205165413","browser")</x:f>
      </x:c>
      <x:c r="L8398" s="0">
        <x:f>hyperlink("https://icat2.azurewebsites.net/icat/?ontology=ICD&amp;tab=ClassesTab&amp;id=http%3A%2F%2Fwho.int%2Ficd%234045_9cd760cf_9e71_4bdb_b2ea_a3ed07921568","iCat")</x:f>
      </x:c>
      <x:c r="M8398" s="0" t="s">
        <x:v>21</x:v>
      </x:c>
      <x:c r="N8398" s="0" t="s">
        <x:v>46</x:v>
      </x:c>
    </x:row>
    <x:row r="8399" spans="1:16">
      <x:c r="A8399" s="0" t="s">
        <x:v>33457</x:v>
      </x:c>
      <x:c r="B8399" s="0" t="s">
        <x:v>33458</x:v>
      </x:c>
      <x:c r="C8399" s="0" t="s">
        <x:v>33459</x:v>
      </x:c>
      <x:c r="E8399" s="0" t="s">
        <x:v>33460</x:v>
      </x:c>
      <x:c r="F8399" s="0" t="s">
        <x:v>45</x:v>
      </x:c>
      <x:c r="G8399" s="0" t="s">
        <x:v>19</x:v>
      </x:c>
      <x:c r="H8399" s="0" t="s">
        <x:v>20</x:v>
      </x:c>
      <x:c r="I8399" s="0" t="s">
        <x:v>21</x:v>
      </x:c>
      <x:c r="K8399" s="0">
        <x:f>hyperlink("https://icd.who.int/dev11/l-ichi/en#/http%3A%2F%2Fid.who.int%2Ficd%2Fentity%2F404163654","browser")</x:f>
      </x:c>
      <x:c r="L8399" s="0">
        <x:f>hyperlink("https://icat2.azurewebsites.net/icat/?ontology=ICD&amp;tab=ClassesTab&amp;id=http%3A%2F%2Fwho.int%2Ficd%234051_9cd760cf_9e71_4bdb_b2ea_a3ed07921568","iCat")</x:f>
      </x:c>
      <x:c r="M8399" s="0" t="s">
        <x:v>21</x:v>
      </x:c>
      <x:c r="N8399" s="0" t="s">
        <x:v>46</x:v>
      </x:c>
    </x:row>
    <x:row r="8400" spans="1:16">
      <x:c r="A8400" s="0" t="s">
        <x:v>33461</x:v>
      </x:c>
      <x:c r="B8400" s="0" t="s">
        <x:v>33462</x:v>
      </x:c>
      <x:c r="C8400" s="0" t="s">
        <x:v>33463</x:v>
      </x:c>
      <x:c r="E8400" s="0" t="s">
        <x:v>33464</x:v>
      </x:c>
      <x:c r="F8400" s="0" t="s">
        <x:v>45</x:v>
      </x:c>
      <x:c r="G8400" s="0" t="s">
        <x:v>19</x:v>
      </x:c>
      <x:c r="H8400" s="0" t="s">
        <x:v>20</x:v>
      </x:c>
      <x:c r="I8400" s="0" t="s">
        <x:v>21</x:v>
      </x:c>
      <x:c r="K8400" s="0">
        <x:f>hyperlink("https://icd.who.int/dev11/l-ichi/en#/http%3A%2F%2Fid.who.int%2Ficd%2Fentity%2F1978135989","browser")</x:f>
      </x:c>
      <x:c r="L8400" s="0">
        <x:f>hyperlink("https://icat2.azurewebsites.net/icat/?ontology=ICD&amp;tab=ClassesTab&amp;id=http%3A%2F%2Fwho.int%2Ficd%23101_60b821c4_cabc_4b81_9563_cb99d74167d5","iCat")</x:f>
      </x:c>
      <x:c r="M8400" s="0" t="s">
        <x:v>21</x:v>
      </x:c>
      <x:c r="N8400" s="0" t="s">
        <x:v>46</x:v>
      </x:c>
    </x:row>
    <x:row r="8401" spans="1:16">
      <x:c r="A8401" s="0" t="s">
        <x:v>33465</x:v>
      </x:c>
      <x:c r="B8401" s="0" t="s">
        <x:v>33466</x:v>
      </x:c>
      <x:c r="C8401" s="0" t="s">
        <x:v>33467</x:v>
      </x:c>
      <x:c r="E8401" s="0" t="s">
        <x:v>33468</x:v>
      </x:c>
      <x:c r="F8401" s="0" t="s">
        <x:v>45</x:v>
      </x:c>
      <x:c r="G8401" s="0" t="s">
        <x:v>19</x:v>
      </x:c>
      <x:c r="H8401" s="0" t="s">
        <x:v>20</x:v>
      </x:c>
      <x:c r="I8401" s="0" t="s">
        <x:v>21</x:v>
      </x:c>
      <x:c r="K8401" s="0">
        <x:f>hyperlink("https://icd.who.int/dev11/l-ichi/en#/http%3A%2F%2Fid.who.int%2Ficd%2Fentity%2F1215092215","browser")</x:f>
      </x:c>
      <x:c r="L8401" s="0">
        <x:f>hyperlink("https://icat2.azurewebsites.net/icat/?ontology=ICD&amp;tab=ClassesTab&amp;id=http%3A%2F%2Fwho.int%2Ficd%234057_9cd760cf_9e71_4bdb_b2ea_a3ed07921568","iCat")</x:f>
      </x:c>
      <x:c r="M8401" s="0" t="s">
        <x:v>21</x:v>
      </x:c>
      <x:c r="N8401" s="0" t="s">
        <x:v>46</x:v>
      </x:c>
    </x:row>
    <x:row r="8402" spans="1:16">
      <x:c r="A8402" s="0" t="s">
        <x:v>33469</x:v>
      </x:c>
      <x:c r="B8402" s="0" t="s">
        <x:v>33470</x:v>
      </x:c>
      <x:c r="C8402" s="0" t="s">
        <x:v>33471</x:v>
      </x:c>
      <x:c r="E8402" s="0" t="s">
        <x:v>33472</x:v>
      </x:c>
      <x:c r="F8402" s="0" t="s">
        <x:v>45</x:v>
      </x:c>
      <x:c r="G8402" s="0" t="s">
        <x:v>19</x:v>
      </x:c>
      <x:c r="H8402" s="0" t="s">
        <x:v>20</x:v>
      </x:c>
      <x:c r="I8402" s="0" t="s">
        <x:v>21</x:v>
      </x:c>
      <x:c r="K8402" s="0">
        <x:f>hyperlink("https://icd.who.int/dev11/l-ichi/en#/http%3A%2F%2Fid.who.int%2Ficd%2Fentity%2F1037717894","browser")</x:f>
      </x:c>
      <x:c r="L8402" s="0">
        <x:f>hyperlink("https://icat2.azurewebsites.net/icat/?ontology=ICD&amp;tab=ClassesTab&amp;id=http%3A%2F%2Fwho.int%2Ficd%234063_9cd760cf_9e71_4bdb_b2ea_a3ed07921568","iCat")</x:f>
      </x:c>
      <x:c r="M8402" s="0" t="s">
        <x:v>21</x:v>
      </x:c>
      <x:c r="N8402" s="0" t="s">
        <x:v>46</x:v>
      </x:c>
    </x:row>
    <x:row r="8403" spans="1:16">
      <x:c r="A8403" s="0" t="s">
        <x:v>33473</x:v>
      </x:c>
      <x:c r="B8403" s="0" t="s">
        <x:v>33474</x:v>
      </x:c>
      <x:c r="C8403" s="0" t="s">
        <x:v>33475</x:v>
      </x:c>
      <x:c r="E8403" s="0" t="s">
        <x:v>33476</x:v>
      </x:c>
      <x:c r="F8403" s="0" t="s">
        <x:v>45</x:v>
      </x:c>
      <x:c r="G8403" s="0" t="s">
        <x:v>19</x:v>
      </x:c>
      <x:c r="H8403" s="0" t="s">
        <x:v>20</x:v>
      </x:c>
      <x:c r="I8403" s="0" t="s">
        <x:v>21</x:v>
      </x:c>
      <x:c r="K8403" s="0">
        <x:f>hyperlink("https://icd.who.int/dev11/l-ichi/en#/http%3A%2F%2Fid.who.int%2Ficd%2Fentity%2F371670294","browser")</x:f>
      </x:c>
      <x:c r="L8403" s="0">
        <x:f>hyperlink("https://icat2.azurewebsites.net/icat/?ontology=ICD&amp;tab=ClassesTab&amp;id=http%3A%2F%2Fwho.int%2Ficd%234069_9cd760cf_9e71_4bdb_b2ea_a3ed07921568","iCat")</x:f>
      </x:c>
      <x:c r="M8403" s="0" t="s">
        <x:v>21</x:v>
      </x:c>
      <x:c r="N8403" s="0" t="s">
        <x:v>46</x:v>
      </x:c>
    </x:row>
    <x:row r="8404" spans="1:16">
      <x:c r="A8404" s="0" t="s">
        <x:v>33477</x:v>
      </x:c>
      <x:c r="B8404" s="0" t="s">
        <x:v>33478</x:v>
      </x:c>
      <x:c r="C8404" s="0" t="s">
        <x:v>33479</x:v>
      </x:c>
      <x:c r="E8404" s="0" t="s">
        <x:v>33480</x:v>
      </x:c>
      <x:c r="F8404" s="0" t="s">
        <x:v>45</x:v>
      </x:c>
      <x:c r="G8404" s="0" t="s">
        <x:v>19</x:v>
      </x:c>
      <x:c r="H8404" s="0" t="s">
        <x:v>20</x:v>
      </x:c>
      <x:c r="I8404" s="0" t="s">
        <x:v>21</x:v>
      </x:c>
      <x:c r="K8404" s="0">
        <x:f>hyperlink("https://icd.who.int/dev11/l-ichi/en#/http%3A%2F%2Fid.who.int%2Ficd%2Fentity%2F124001634","browser")</x:f>
      </x:c>
      <x:c r="L8404" s="0">
        <x:f>hyperlink("https://icat2.azurewebsites.net/icat/?ontology=ICD&amp;tab=ClassesTab&amp;id=http%3A%2F%2Fwho.int%2Ficd%234075_9cd760cf_9e71_4bdb_b2ea_a3ed07921568","iCat")</x:f>
      </x:c>
      <x:c r="M8404" s="0" t="s">
        <x:v>21</x:v>
      </x:c>
      <x:c r="N8404" s="0" t="s">
        <x:v>46</x:v>
      </x:c>
    </x:row>
    <x:row r="8405" spans="1:16">
      <x:c r="A8405" s="0" t="s">
        <x:v>33481</x:v>
      </x:c>
      <x:c r="B8405" s="0" t="s">
        <x:v>33482</x:v>
      </x:c>
      <x:c r="C8405" s="0" t="s">
        <x:v>33483</x:v>
      </x:c>
      <x:c r="E8405" s="0" t="s">
        <x:v>33484</x:v>
      </x:c>
      <x:c r="F8405" s="0" t="s">
        <x:v>45</x:v>
      </x:c>
      <x:c r="G8405" s="0" t="s">
        <x:v>19</x:v>
      </x:c>
      <x:c r="H8405" s="0" t="s">
        <x:v>20</x:v>
      </x:c>
      <x:c r="I8405" s="0" t="s">
        <x:v>21</x:v>
      </x:c>
      <x:c r="K8405" s="0">
        <x:f>hyperlink("https://icd.who.int/dev11/l-ichi/en#/http%3A%2F%2Fid.who.int%2Ficd%2Fentity%2F495227850","browser")</x:f>
      </x:c>
      <x:c r="L8405" s="0">
        <x:f>hyperlink("https://icat2.azurewebsites.net/icat/?ontology=ICD&amp;tab=ClassesTab&amp;id=http%3A%2F%2Fwho.int%2Ficd%234081_9cd760cf_9e71_4bdb_b2ea_a3ed07921568","iCat")</x:f>
      </x:c>
      <x:c r="M8405" s="0" t="s">
        <x:v>21</x:v>
      </x:c>
      <x:c r="N8405" s="0" t="s">
        <x:v>46</x:v>
      </x:c>
    </x:row>
    <x:row r="8406" spans="1:16">
      <x:c r="A8406" s="0" t="s">
        <x:v>33485</x:v>
      </x:c>
      <x:c r="B8406" s="0" t="s">
        <x:v>33486</x:v>
      </x:c>
      <x:c r="C8406" s="0" t="s">
        <x:v>33487</x:v>
      </x:c>
      <x:c r="E8406" s="0" t="s">
        <x:v>33488</x:v>
      </x:c>
      <x:c r="F8406" s="0" t="s">
        <x:v>45</x:v>
      </x:c>
      <x:c r="G8406" s="0" t="s">
        <x:v>19</x:v>
      </x:c>
      <x:c r="H8406" s="0" t="s">
        <x:v>20</x:v>
      </x:c>
      <x:c r="I8406" s="0" t="s">
        <x:v>21</x:v>
      </x:c>
      <x:c r="K8406" s="0">
        <x:f>hyperlink("https://icd.who.int/dev11/l-ichi/en#/http%3A%2F%2Fid.who.int%2Ficd%2Fentity%2F1308576377","browser")</x:f>
      </x:c>
      <x:c r="L8406" s="0">
        <x:f>hyperlink("https://icat2.azurewebsites.net/icat/?ontology=ICD&amp;tab=ClassesTab&amp;id=http%3A%2F%2Fwho.int%2Ficd%234087_9cd760cf_9e71_4bdb_b2ea_a3ed07921568","iCat")</x:f>
      </x:c>
      <x:c r="M8406" s="0" t="s">
        <x:v>21</x:v>
      </x:c>
      <x:c r="N8406" s="0" t="s">
        <x:v>46</x:v>
      </x:c>
    </x:row>
    <x:row r="8407" spans="1:16">
      <x:c r="A8407" s="0" t="s">
        <x:v>33489</x:v>
      </x:c>
      <x:c r="B8407" s="0" t="s">
        <x:v>33490</x:v>
      </x:c>
      <x:c r="C8407" s="0" t="s">
        <x:v>33491</x:v>
      </x:c>
      <x:c r="E8407" s="0" t="s">
        <x:v>33492</x:v>
      </x:c>
      <x:c r="F8407" s="0" t="s">
        <x:v>45</x:v>
      </x:c>
      <x:c r="G8407" s="0" t="s">
        <x:v>19</x:v>
      </x:c>
      <x:c r="H8407" s="0" t="s">
        <x:v>20</x:v>
      </x:c>
      <x:c r="I8407" s="0" t="s">
        <x:v>21</x:v>
      </x:c>
      <x:c r="K8407" s="0">
        <x:f>hyperlink("https://icd.who.int/dev11/l-ichi/en#/http%3A%2F%2Fid.who.int%2Ficd%2Fentity%2F305994588","browser")</x:f>
      </x:c>
      <x:c r="L8407" s="0">
        <x:f>hyperlink("https://icat2.azurewebsites.net/icat/?ontology=ICD&amp;tab=ClassesTab&amp;id=http%3A%2F%2Fwho.int%2Ficd%234093_9cd760cf_9e71_4bdb_b2ea_a3ed07921568","iCat")</x:f>
      </x:c>
      <x:c r="M8407" s="0" t="s">
        <x:v>21</x:v>
      </x:c>
      <x:c r="N8407" s="0" t="s">
        <x:v>46</x:v>
      </x:c>
    </x:row>
    <x:row r="8408" spans="1:16">
      <x:c r="A8408" s="0" t="s">
        <x:v>33493</x:v>
      </x:c>
      <x:c r="B8408" s="0" t="s">
        <x:v>33494</x:v>
      </x:c>
      <x:c r="C8408" s="0" t="s">
        <x:v>33495</x:v>
      </x:c>
      <x:c r="E8408" s="0" t="s">
        <x:v>33496</x:v>
      </x:c>
      <x:c r="F8408" s="0" t="s">
        <x:v>45</x:v>
      </x:c>
      <x:c r="G8408" s="0" t="s">
        <x:v>19</x:v>
      </x:c>
      <x:c r="H8408" s="0" t="s">
        <x:v>20</x:v>
      </x:c>
      <x:c r="I8408" s="0" t="s">
        <x:v>21</x:v>
      </x:c>
      <x:c r="K8408" s="0">
        <x:f>hyperlink("https://icd.who.int/dev11/l-ichi/en#/http%3A%2F%2Fid.who.int%2Ficd%2Fentity%2F968914892","browser")</x:f>
      </x:c>
      <x:c r="L8408" s="0">
        <x:f>hyperlink("https://icat2.azurewebsites.net/icat/?ontology=ICD&amp;tab=ClassesTab&amp;id=http%3A%2F%2Fwho.int%2Ficd%234099_9cd760cf_9e71_4bdb_b2ea_a3ed07921568","iCat")</x:f>
      </x:c>
      <x:c r="M8408" s="0" t="s">
        <x:v>21</x:v>
      </x:c>
      <x:c r="N8408" s="0" t="s">
        <x:v>46</x:v>
      </x:c>
    </x:row>
    <x:row r="8409" spans="1:16">
      <x:c r="A8409" s="0" t="s">
        <x:v>33497</x:v>
      </x:c>
      <x:c r="B8409" s="0" t="s">
        <x:v>33498</x:v>
      </x:c>
      <x:c r="C8409" s="0" t="s">
        <x:v>33499</x:v>
      </x:c>
      <x:c r="E8409" s="0" t="s">
        <x:v>33500</x:v>
      </x:c>
      <x:c r="F8409" s="0" t="s">
        <x:v>45</x:v>
      </x:c>
      <x:c r="G8409" s="0" t="s">
        <x:v>19</x:v>
      </x:c>
      <x:c r="H8409" s="0" t="s">
        <x:v>20</x:v>
      </x:c>
      <x:c r="I8409" s="0" t="s">
        <x:v>21</x:v>
      </x:c>
      <x:c r="K8409" s="0">
        <x:f>hyperlink("https://icd.who.int/dev11/l-ichi/en#/http%3A%2F%2Fid.who.int%2Ficd%2Fentity%2F1110296805","browser")</x:f>
      </x:c>
      <x:c r="L8409" s="0">
        <x:f>hyperlink("https://icat2.azurewebsites.net/icat/?ontology=ICD&amp;tab=ClassesTab&amp;id=http%3A%2F%2Fwho.int%2Ficd%234105_9cd760cf_9e71_4bdb_b2ea_a3ed07921568","iCat")</x:f>
      </x:c>
      <x:c r="M8409" s="0" t="s">
        <x:v>21</x:v>
      </x:c>
      <x:c r="N8409" s="0" t="s">
        <x:v>46</x:v>
      </x:c>
    </x:row>
    <x:row r="8410" spans="1:16">
      <x:c r="A8410" s="0" t="s">
        <x:v>33501</x:v>
      </x:c>
      <x:c r="B8410" s="0" t="s">
        <x:v>33502</x:v>
      </x:c>
      <x:c r="C8410" s="0" t="s">
        <x:v>33503</x:v>
      </x:c>
      <x:c r="E8410" s="0" t="s">
        <x:v>33504</x:v>
      </x:c>
      <x:c r="F8410" s="0" t="s">
        <x:v>45</x:v>
      </x:c>
      <x:c r="G8410" s="0" t="s">
        <x:v>19</x:v>
      </x:c>
      <x:c r="H8410" s="0" t="s">
        <x:v>20</x:v>
      </x:c>
      <x:c r="I8410" s="0" t="s">
        <x:v>21</x:v>
      </x:c>
      <x:c r="K8410" s="0">
        <x:f>hyperlink("https://icd.who.int/dev11/l-ichi/en#/http%3A%2F%2Fid.who.int%2Ficd%2Fentity%2F502241734","browser")</x:f>
      </x:c>
      <x:c r="L8410" s="0">
        <x:f>hyperlink("https://icat2.azurewebsites.net/icat/?ontology=ICD&amp;tab=ClassesTab&amp;id=http%3A%2F%2Fwho.int%2Ficd%234111_9cd760cf_9e71_4bdb_b2ea_a3ed07921568","iCat")</x:f>
      </x:c>
      <x:c r="M8410" s="0" t="s">
        <x:v>21</x:v>
      </x:c>
      <x:c r="N8410" s="0" t="s">
        <x:v>46</x:v>
      </x:c>
    </x:row>
    <x:row r="8411" spans="1:16">
      <x:c r="A8411" s="0" t="s">
        <x:v>33505</x:v>
      </x:c>
      <x:c r="B8411" s="0" t="s">
        <x:v>33506</x:v>
      </x:c>
      <x:c r="C8411" s="0" t="s">
        <x:v>33507</x:v>
      </x:c>
      <x:c r="E8411" s="0" t="s">
        <x:v>33508</x:v>
      </x:c>
      <x:c r="F8411" s="0" t="s">
        <x:v>45</x:v>
      </x:c>
      <x:c r="G8411" s="0" t="s">
        <x:v>19</x:v>
      </x:c>
      <x:c r="H8411" s="0" t="s">
        <x:v>20</x:v>
      </x:c>
      <x:c r="I8411" s="0" t="s">
        <x:v>21</x:v>
      </x:c>
      <x:c r="K8411" s="0">
        <x:f>hyperlink("https://icd.who.int/dev11/l-ichi/en#/http%3A%2F%2Fid.who.int%2Ficd%2Fentity%2F1301561463","browser")</x:f>
      </x:c>
      <x:c r="L8411" s="0">
        <x:f>hyperlink("https://icat2.azurewebsites.net/icat/?ontology=ICD&amp;tab=ClassesTab&amp;id=http%3A%2F%2Fwho.int%2Ficd%234117_9cd760cf_9e71_4bdb_b2ea_a3ed07921568","iCat")</x:f>
      </x:c>
      <x:c r="M8411" s="0" t="s">
        <x:v>21</x:v>
      </x:c>
      <x:c r="N8411" s="0" t="s">
        <x:v>46</x:v>
      </x:c>
    </x:row>
    <x:row r="8412" spans="1:16">
      <x:c r="A8412" s="0" t="s">
        <x:v>33509</x:v>
      </x:c>
      <x:c r="B8412" s="0" t="s">
        <x:v>33510</x:v>
      </x:c>
      <x:c r="C8412" s="0" t="s">
        <x:v>33511</x:v>
      </x:c>
      <x:c r="E8412" s="0" t="s">
        <x:v>33512</x:v>
      </x:c>
      <x:c r="F8412" s="0" t="s">
        <x:v>45</x:v>
      </x:c>
      <x:c r="G8412" s="0" t="s">
        <x:v>19</x:v>
      </x:c>
      <x:c r="H8412" s="0" t="s">
        <x:v>20</x:v>
      </x:c>
      <x:c r="I8412" s="0" t="s">
        <x:v>21</x:v>
      </x:c>
      <x:c r="K8412" s="0">
        <x:f>hyperlink("https://icd.who.int/dev11/l-ichi/en#/http%3A%2F%2Fid.who.int%2Ficd%2Fentity%2F941802502","browser")</x:f>
      </x:c>
      <x:c r="L8412" s="0">
        <x:f>hyperlink("https://icat2.azurewebsites.net/icat/?ontology=ICD&amp;tab=ClassesTab&amp;id=http%3A%2F%2Fwho.int%2Ficd%234123_9cd760cf_9e71_4bdb_b2ea_a3ed07921568","iCat")</x:f>
      </x:c>
      <x:c r="M8412" s="0" t="s">
        <x:v>21</x:v>
      </x:c>
      <x:c r="N8412" s="0" t="s">
        <x:v>46</x:v>
      </x:c>
    </x:row>
    <x:row r="8413" spans="1:16">
      <x:c r="A8413" s="0" t="s">
        <x:v>33513</x:v>
      </x:c>
      <x:c r="B8413" s="0" t="s">
        <x:v>33514</x:v>
      </x:c>
      <x:c r="C8413" s="0" t="s">
        <x:v>33515</x:v>
      </x:c>
      <x:c r="E8413" s="0" t="s">
        <x:v>33516</x:v>
      </x:c>
      <x:c r="F8413" s="0" t="s">
        <x:v>45</x:v>
      </x:c>
      <x:c r="G8413" s="0" t="s">
        <x:v>19</x:v>
      </x:c>
      <x:c r="H8413" s="0" t="s">
        <x:v>20</x:v>
      </x:c>
      <x:c r="I8413" s="0" t="s">
        <x:v>21</x:v>
      </x:c>
      <x:c r="K8413" s="0">
        <x:f>hyperlink("https://icd.who.int/dev11/l-ichi/en#/http%3A%2F%2Fid.who.int%2Ficd%2Fentity%2F333424790","browser")</x:f>
      </x:c>
      <x:c r="L8413" s="0">
        <x:f>hyperlink("https://icat2.azurewebsites.net/icat/?ontology=ICD&amp;tab=ClassesTab&amp;id=http%3A%2F%2Fwho.int%2Ficd%234129_9cd760cf_9e71_4bdb_b2ea_a3ed07921568","iCat")</x:f>
      </x:c>
      <x:c r="M8413" s="0" t="s">
        <x:v>21</x:v>
      </x:c>
      <x:c r="N8413" s="0" t="s">
        <x:v>46</x:v>
      </x:c>
    </x:row>
    <x:row r="8414" spans="1:16">
      <x:c r="A8414" s="0" t="s">
        <x:v>33517</x:v>
      </x:c>
      <x:c r="B8414" s="0" t="s">
        <x:v>33518</x:v>
      </x:c>
      <x:c r="C8414" s="0" t="s">
        <x:v>33519</x:v>
      </x:c>
      <x:c r="E8414" s="0" t="s">
        <x:v>33520</x:v>
      </x:c>
      <x:c r="F8414" s="0" t="s">
        <x:v>45</x:v>
      </x:c>
      <x:c r="G8414" s="0" t="s">
        <x:v>19</x:v>
      </x:c>
      <x:c r="H8414" s="0" t="s">
        <x:v>20</x:v>
      </x:c>
      <x:c r="I8414" s="0" t="s">
        <x:v>21</x:v>
      </x:c>
      <x:c r="K8414" s="0">
        <x:f>hyperlink("https://icd.who.int/dev11/l-ichi/en#/http%3A%2F%2Fid.who.int%2Ficd%2Fentity%2F43813090","browser")</x:f>
      </x:c>
      <x:c r="L8414" s="0">
        <x:f>hyperlink("https://icat2.azurewebsites.net/icat/?ontology=ICD&amp;tab=ClassesTab&amp;id=http%3A%2F%2Fwho.int%2Ficd%234135_9cd760cf_9e71_4bdb_b2ea_a3ed07921568","iCat")</x:f>
      </x:c>
      <x:c r="M8414" s="0" t="s">
        <x:v>21</x:v>
      </x:c>
      <x:c r="N8414" s="0" t="s">
        <x:v>46</x:v>
      </x:c>
    </x:row>
    <x:row r="8415" spans="1:16">
      <x:c r="A8415" s="0" t="s">
        <x:v>33521</x:v>
      </x:c>
      <x:c r="B8415" s="0" t="s">
        <x:v>33522</x:v>
      </x:c>
      <x:c r="C8415" s="0" t="s">
        <x:v>33523</x:v>
      </x:c>
      <x:c r="E8415" s="0" t="s">
        <x:v>33524</x:v>
      </x:c>
      <x:c r="F8415" s="0" t="s">
        <x:v>45</x:v>
      </x:c>
      <x:c r="G8415" s="0" t="s">
        <x:v>19</x:v>
      </x:c>
      <x:c r="H8415" s="0" t="s">
        <x:v>20</x:v>
      </x:c>
      <x:c r="I8415" s="0" t="s">
        <x:v>21</x:v>
      </x:c>
      <x:c r="K8415" s="0">
        <x:f>hyperlink("https://icd.who.int/dev11/l-ichi/en#/http%3A%2F%2Fid.who.int%2Ficd%2Fentity%2F122511244","browser")</x:f>
      </x:c>
      <x:c r="L8415" s="0">
        <x:f>hyperlink("https://icat2.azurewebsites.net/icat/?ontology=ICD&amp;tab=ClassesTab&amp;id=http%3A%2F%2Fwho.int%2Ficd%234141_9cd760cf_9e71_4bdb_b2ea_a3ed07921568","iCat")</x:f>
      </x:c>
      <x:c r="M8415" s="0" t="s">
        <x:v>21</x:v>
      </x:c>
      <x:c r="N8415" s="0" t="s">
        <x:v>46</x:v>
      </x:c>
    </x:row>
    <x:row r="8416" spans="1:16">
      <x:c r="A8416" s="0" t="s">
        <x:v>33525</x:v>
      </x:c>
      <x:c r="B8416" s="0" t="s">
        <x:v>33526</x:v>
      </x:c>
      <x:c r="D8416" s="0" t="s">
        <x:v>33527</x:v>
      </x:c>
      <x:c r="E8416" s="0" t="s">
        <x:v>33528</x:v>
      </x:c>
      <x:c r="F8416" s="0" t="s">
        <x:v>26</x:v>
      </x:c>
      <x:c r="G8416" s="0" t="s">
        <x:v>35</x:v>
      </x:c>
      <x:c r="H8416" s="0" t="s">
        <x:v>20</x:v>
      </x:c>
      <x:c r="I8416" s="0" t="s">
        <x:v>21</x:v>
      </x:c>
      <x:c r="K8416" s="0">
        <x:f>hyperlink("https://icd.who.int/dev11/l-ichi/en#/http%3A%2F%2Fid.who.int%2Ficd%2Fentity%2F95006909","browser")</x:f>
      </x:c>
      <x:c r="L8416" s="0">
        <x:f>hyperlink("https://icat2.azurewebsites.net/icat/?ontology=ICD&amp;tab=ClassesTab&amp;id=http%3A%2F%2Fwho.int%2Ficd%2347635_512ebf36_bf6b_4d70_85da_cf2637062af4","iCat")</x:f>
      </x:c>
      <x:c r="M8416" s="0" t="s">
        <x:v>20</x:v>
      </x:c>
      <x:c r="N8416" s="0" t="s">
        <x:v>33529</x:v>
      </x:c>
    </x:row>
    <x:row r="8417" spans="1:16">
      <x:c r="A8417" s="0" t="s">
        <x:v>33530</x:v>
      </x:c>
      <x:c r="B8417" s="0" t="s">
        <x:v>33531</x:v>
      </x:c>
      <x:c r="C8417" s="0" t="s">
        <x:v>33532</x:v>
      </x:c>
      <x:c r="E8417" s="0" t="s">
        <x:v>33533</x:v>
      </x:c>
      <x:c r="F8417" s="0" t="s">
        <x:v>45</x:v>
      </x:c>
      <x:c r="G8417" s="0" t="s">
        <x:v>19</x:v>
      </x:c>
      <x:c r="H8417" s="0" t="s">
        <x:v>20</x:v>
      </x:c>
      <x:c r="I8417" s="0" t="s">
        <x:v>21</x:v>
      </x:c>
      <x:c r="K8417" s="0">
        <x:f>hyperlink("https://icd.who.int/dev11/l-ichi/en#/http%3A%2F%2Fid.who.int%2Ficd%2Fentity%2F626049665","browser")</x:f>
      </x:c>
      <x:c r="L8417" s="0">
        <x:f>hyperlink("https://icat2.azurewebsites.net/icat/?ontology=ICD&amp;tab=ClassesTab&amp;id=http%3A%2F%2Fwho.int%2Ficd%2347634_512ebf36_bf6b_4d70_85da_cf2637062af4","iCat")</x:f>
      </x:c>
      <x:c r="M8417" s="0" t="s">
        <x:v>21</x:v>
      </x:c>
      <x:c r="N8417" s="0" t="s">
        <x:v>46</x:v>
      </x:c>
    </x:row>
    <x:row r="8418" spans="1:16">
      <x:c r="A8418" s="0" t="s">
        <x:v>33534</x:v>
      </x:c>
      <x:c r="B8418" s="0" t="s">
        <x:v>33535</x:v>
      </x:c>
      <x:c r="C8418" s="0" t="s">
        <x:v>33536</x:v>
      </x:c>
      <x:c r="E8418" s="0" t="s">
        <x:v>33537</x:v>
      </x:c>
      <x:c r="F8418" s="0" t="s">
        <x:v>45</x:v>
      </x:c>
      <x:c r="G8418" s="0" t="s">
        <x:v>19</x:v>
      </x:c>
      <x:c r="H8418" s="0" t="s">
        <x:v>20</x:v>
      </x:c>
      <x:c r="I8418" s="0" t="s">
        <x:v>21</x:v>
      </x:c>
      <x:c r="K8418" s="0">
        <x:f>hyperlink("https://icd.who.int/dev11/l-ichi/en#/http%3A%2F%2Fid.who.int%2Ficd%2Fentity%2F1342422626","browser")</x:f>
      </x:c>
      <x:c r="L8418" s="0">
        <x:f>hyperlink("https://icat2.azurewebsites.net/icat/?ontology=ICD&amp;tab=ClassesTab&amp;id=http%3A%2F%2Fwho.int%2Ficd%2347647_512ebf36_bf6b_4d70_85da_cf2637062af4","iCat")</x:f>
      </x:c>
      <x:c r="M8418" s="0" t="s">
        <x:v>21</x:v>
      </x:c>
      <x:c r="N8418" s="0" t="s">
        <x:v>46</x:v>
      </x:c>
    </x:row>
    <x:row r="8419" spans="1:16">
      <x:c r="A8419" s="0" t="s">
        <x:v>33538</x:v>
      </x:c>
      <x:c r="B8419" s="0" t="s">
        <x:v>33539</x:v>
      </x:c>
      <x:c r="C8419" s="0" t="s">
        <x:v>33540</x:v>
      </x:c>
      <x:c r="E8419" s="0" t="s">
        <x:v>33541</x:v>
      </x:c>
      <x:c r="F8419" s="0" t="s">
        <x:v>45</x:v>
      </x:c>
      <x:c r="G8419" s="0" t="s">
        <x:v>19</x:v>
      </x:c>
      <x:c r="H8419" s="0" t="s">
        <x:v>20</x:v>
      </x:c>
      <x:c r="I8419" s="0" t="s">
        <x:v>21</x:v>
      </x:c>
      <x:c r="K8419" s="0">
        <x:f>hyperlink("https://icd.who.int/dev11/l-ichi/en#/http%3A%2F%2Fid.who.int%2Ficd%2Fentity%2F2135114958","browser")</x:f>
      </x:c>
      <x:c r="L8419" s="0">
        <x:f>hyperlink("https://icat2.azurewebsites.net/icat/?ontology=ICD&amp;tab=ClassesTab&amp;id=http%3A%2F%2Fwho.int%2Ficd%2347654_512ebf36_bf6b_4d70_85da_cf2637062af4","iCat")</x:f>
      </x:c>
      <x:c r="M8419" s="0" t="s">
        <x:v>21</x:v>
      </x:c>
      <x:c r="N8419" s="0" t="s">
        <x:v>46</x:v>
      </x:c>
    </x:row>
    <x:row r="8420" spans="1:16">
      <x:c r="A8420" s="0" t="s">
        <x:v>33542</x:v>
      </x:c>
      <x:c r="B8420" s="0" t="s">
        <x:v>33543</x:v>
      </x:c>
      <x:c r="C8420" s="0" t="s">
        <x:v>33544</x:v>
      </x:c>
      <x:c r="E8420" s="0" t="s">
        <x:v>33545</x:v>
      </x:c>
      <x:c r="F8420" s="0" t="s">
        <x:v>45</x:v>
      </x:c>
      <x:c r="G8420" s="0" t="s">
        <x:v>19</x:v>
      </x:c>
      <x:c r="H8420" s="0" t="s">
        <x:v>20</x:v>
      </x:c>
      <x:c r="I8420" s="0" t="s">
        <x:v>21</x:v>
      </x:c>
      <x:c r="K8420" s="0">
        <x:f>hyperlink("https://icd.who.int/dev11/l-ichi/en#/http%3A%2F%2Fid.who.int%2Ficd%2Fentity%2F705475203","browser")</x:f>
      </x:c>
      <x:c r="L8420" s="0">
        <x:f>hyperlink("https://icat2.azurewebsites.net/icat/?ontology=ICD&amp;tab=ClassesTab&amp;id=http%3A%2F%2Fwho.int%2Ficd%2347661_512ebf36_bf6b_4d70_85da_cf2637062af4","iCat")</x:f>
      </x:c>
      <x:c r="M8420" s="0" t="s">
        <x:v>21</x:v>
      </x:c>
      <x:c r="N8420" s="0" t="s">
        <x:v>46</x:v>
      </x:c>
    </x:row>
    <x:row r="8421" spans="1:16">
      <x:c r="A8421" s="0" t="s">
        <x:v>33546</x:v>
      </x:c>
      <x:c r="B8421" s="0" t="s">
        <x:v>33547</x:v>
      </x:c>
      <x:c r="C8421" s="0" t="s">
        <x:v>33548</x:v>
      </x:c>
      <x:c r="E8421" s="0" t="s">
        <x:v>33549</x:v>
      </x:c>
      <x:c r="F8421" s="0" t="s">
        <x:v>45</x:v>
      </x:c>
      <x:c r="G8421" s="0" t="s">
        <x:v>19</x:v>
      </x:c>
      <x:c r="H8421" s="0" t="s">
        <x:v>20</x:v>
      </x:c>
      <x:c r="I8421" s="0" t="s">
        <x:v>21</x:v>
      </x:c>
      <x:c r="K8421" s="0">
        <x:f>hyperlink("https://icd.who.int/dev11/l-ichi/en#/http%3A%2F%2Fid.who.int%2Ficd%2Fentity%2F1148498412","browser")</x:f>
      </x:c>
      <x:c r="L8421" s="0">
        <x:f>hyperlink("https://icat2.azurewebsites.net/icat/?ontology=ICD&amp;tab=ClassesTab&amp;id=http%3A%2F%2Fwho.int%2Ficd%2347668_512ebf36_bf6b_4d70_85da_cf2637062af4","iCat")</x:f>
      </x:c>
      <x:c r="M8421" s="0" t="s">
        <x:v>21</x:v>
      </x:c>
      <x:c r="N8421" s="0" t="s">
        <x:v>46</x:v>
      </x:c>
    </x:row>
    <x:row r="8422" spans="1:16">
      <x:c r="A8422" s="0" t="s">
        <x:v>33550</x:v>
      </x:c>
      <x:c r="B8422" s="0" t="s">
        <x:v>33551</x:v>
      </x:c>
      <x:c r="C8422" s="0" t="s">
        <x:v>33552</x:v>
      </x:c>
      <x:c r="E8422" s="0" t="s">
        <x:v>33553</x:v>
      </x:c>
      <x:c r="F8422" s="0" t="s">
        <x:v>45</x:v>
      </x:c>
      <x:c r="G8422" s="0" t="s">
        <x:v>19</x:v>
      </x:c>
      <x:c r="H8422" s="0" t="s">
        <x:v>20</x:v>
      </x:c>
      <x:c r="I8422" s="0" t="s">
        <x:v>21</x:v>
      </x:c>
      <x:c r="K8422" s="0">
        <x:f>hyperlink("https://icd.who.int/dev11/l-ichi/en#/http%3A%2F%2Fid.who.int%2Ficd%2Fentity%2F1299298535","browser")</x:f>
      </x:c>
      <x:c r="L8422" s="0">
        <x:f>hyperlink("https://icat2.azurewebsites.net/icat/?ontology=ICD&amp;tab=ClassesTab&amp;id=http%3A%2F%2Fwho.int%2Ficd%234150_9cd760cf_9e71_4bdb_b2ea_a3ed07921568","iCat")</x:f>
      </x:c>
      <x:c r="M8422" s="0" t="s">
        <x:v>21</x:v>
      </x:c>
      <x:c r="N8422" s="0" t="s">
        <x:v>46</x:v>
      </x:c>
    </x:row>
    <x:row r="8423" spans="1:16">
      <x:c r="A8423" s="0" t="s">
        <x:v>33554</x:v>
      </x:c>
      <x:c r="B8423" s="0" t="s">
        <x:v>33555</x:v>
      </x:c>
      <x:c r="C8423" s="0" t="s">
        <x:v>33556</x:v>
      </x:c>
      <x:c r="E8423" s="0" t="s">
        <x:v>33557</x:v>
      </x:c>
      <x:c r="F8423" s="0" t="s">
        <x:v>45</x:v>
      </x:c>
      <x:c r="G8423" s="0" t="s">
        <x:v>19</x:v>
      </x:c>
      <x:c r="H8423" s="0" t="s">
        <x:v>20</x:v>
      </x:c>
      <x:c r="I8423" s="0" t="s">
        <x:v>21</x:v>
      </x:c>
      <x:c r="K8423" s="0">
        <x:f>hyperlink("https://icd.who.int/dev11/l-ichi/en#/http%3A%2F%2Fid.who.int%2Ficd%2Fentity%2F487219542","browser")</x:f>
      </x:c>
      <x:c r="L8423" s="0">
        <x:f>hyperlink("https://icat2.azurewebsites.net/icat/?ontology=ICD&amp;tab=ClassesTab&amp;id=http%3A%2F%2Fwho.int%2Ficd%234156_9cd760cf_9e71_4bdb_b2ea_a3ed07921568","iCat")</x:f>
      </x:c>
      <x:c r="M8423" s="0" t="s">
        <x:v>21</x:v>
      </x:c>
      <x:c r="N8423" s="0" t="s">
        <x:v>46</x:v>
      </x:c>
    </x:row>
    <x:row r="8424" spans="1:16">
      <x:c r="A8424" s="0" t="s">
        <x:v>33558</x:v>
      </x:c>
      <x:c r="B8424" s="0" t="s">
        <x:v>33559</x:v>
      </x:c>
      <x:c r="C8424" s="0" t="s">
        <x:v>33560</x:v>
      </x:c>
      <x:c r="E8424" s="0" t="s">
        <x:v>33561</x:v>
      </x:c>
      <x:c r="F8424" s="0" t="s">
        <x:v>45</x:v>
      </x:c>
      <x:c r="G8424" s="0" t="s">
        <x:v>19</x:v>
      </x:c>
      <x:c r="H8424" s="0" t="s">
        <x:v>20</x:v>
      </x:c>
      <x:c r="I8424" s="0" t="s">
        <x:v>21</x:v>
      </x:c>
      <x:c r="K8424" s="0">
        <x:f>hyperlink("https://icd.who.int/dev11/l-ichi/en#/http%3A%2F%2Fid.who.int%2Ficd%2Fentity%2F1757209893","browser")</x:f>
      </x:c>
      <x:c r="L8424" s="0">
        <x:f>hyperlink("https://icat2.azurewebsites.net/icat/?ontology=ICD&amp;tab=ClassesTab&amp;id=http%3A%2F%2Fwho.int%2Ficd%234162_9cd760cf_9e71_4bdb_b2ea_a3ed07921568","iCat")</x:f>
      </x:c>
      <x:c r="M8424" s="0" t="s">
        <x:v>21</x:v>
      </x:c>
      <x:c r="N8424" s="0" t="s">
        <x:v>46</x:v>
      </x:c>
    </x:row>
    <x:row r="8425" spans="1:16">
      <x:c r="A8425" s="0" t="s">
        <x:v>33562</x:v>
      </x:c>
      <x:c r="B8425" s="0" t="s">
        <x:v>33563</x:v>
      </x:c>
      <x:c r="C8425" s="0" t="s">
        <x:v>33564</x:v>
      </x:c>
      <x:c r="E8425" s="0" t="s">
        <x:v>33565</x:v>
      </x:c>
      <x:c r="F8425" s="0" t="s">
        <x:v>45</x:v>
      </x:c>
      <x:c r="G8425" s="0" t="s">
        <x:v>19</x:v>
      </x:c>
      <x:c r="H8425" s="0" t="s">
        <x:v>20</x:v>
      </x:c>
      <x:c r="I8425" s="0" t="s">
        <x:v>21</x:v>
      </x:c>
      <x:c r="K8425" s="0">
        <x:f>hyperlink("https://icd.who.int/dev11/l-ichi/en#/http%3A%2F%2Fid.who.int%2Ficd%2Fentity%2F1128368565","browser")</x:f>
      </x:c>
      <x:c r="L8425" s="0">
        <x:f>hyperlink("https://icat2.azurewebsites.net/icat/?ontology=ICD&amp;tab=ClassesTab&amp;id=http%3A%2F%2Fwho.int%2Ficd%234168_9cd760cf_9e71_4bdb_b2ea_a3ed07921568","iCat")</x:f>
      </x:c>
      <x:c r="M8425" s="0" t="s">
        <x:v>21</x:v>
      </x:c>
      <x:c r="N8425" s="0" t="s">
        <x:v>46</x:v>
      </x:c>
    </x:row>
    <x:row r="8426" spans="1:16">
      <x:c r="A8426" s="0" t="s">
        <x:v>33566</x:v>
      </x:c>
      <x:c r="B8426" s="0" t="s">
        <x:v>33567</x:v>
      </x:c>
      <x:c r="C8426" s="0" t="s">
        <x:v>33568</x:v>
      </x:c>
      <x:c r="E8426" s="0" t="s">
        <x:v>33569</x:v>
      </x:c>
      <x:c r="F8426" s="0" t="s">
        <x:v>45</x:v>
      </x:c>
      <x:c r="G8426" s="0" t="s">
        <x:v>19</x:v>
      </x:c>
      <x:c r="H8426" s="0" t="s">
        <x:v>20</x:v>
      </x:c>
      <x:c r="I8426" s="0" t="s">
        <x:v>21</x:v>
      </x:c>
      <x:c r="K8426" s="0">
        <x:f>hyperlink("https://icd.who.int/dev11/l-ichi/en#/http%3A%2F%2Fid.who.int%2Ficd%2Fentity%2F1375906243","browser")</x:f>
      </x:c>
      <x:c r="L8426" s="0">
        <x:f>hyperlink("https://icat2.azurewebsites.net/icat/?ontology=ICD&amp;tab=ClassesTab&amp;id=http%3A%2F%2Fwho.int%2Ficd%234174_9cd760cf_9e71_4bdb_b2ea_a3ed07921568","iCat")</x:f>
      </x:c>
      <x:c r="M8426" s="0" t="s">
        <x:v>21</x:v>
      </x:c>
      <x:c r="N8426" s="0" t="s">
        <x:v>46</x:v>
      </x:c>
    </x:row>
    <x:row r="8427" spans="1:16">
      <x:c r="A8427" s="0" t="s">
        <x:v>33570</x:v>
      </x:c>
      <x:c r="B8427" s="0" t="s">
        <x:v>33571</x:v>
      </x:c>
      <x:c r="C8427" s="0" t="s">
        <x:v>33572</x:v>
      </x:c>
      <x:c r="E8427" s="0" t="s">
        <x:v>33573</x:v>
      </x:c>
      <x:c r="F8427" s="0" t="s">
        <x:v>45</x:v>
      </x:c>
      <x:c r="G8427" s="0" t="s">
        <x:v>19</x:v>
      </x:c>
      <x:c r="H8427" s="0" t="s">
        <x:v>20</x:v>
      </x:c>
      <x:c r="I8427" s="0" t="s">
        <x:v>21</x:v>
      </x:c>
      <x:c r="K8427" s="0">
        <x:f>hyperlink("https://icd.who.int/dev11/l-ichi/en#/http%3A%2F%2Fid.who.int%2Ficd%2Fentity%2F1222780777","browser")</x:f>
      </x:c>
      <x:c r="L8427" s="0">
        <x:f>hyperlink("https://icat2.azurewebsites.net/icat/?ontology=ICD&amp;tab=ClassesTab&amp;id=http%3A%2F%2Fwho.int%2Ficd%234180_9cd760cf_9e71_4bdb_b2ea_a3ed07921568","iCat")</x:f>
      </x:c>
      <x:c r="M8427" s="0" t="s">
        <x:v>21</x:v>
      </x:c>
      <x:c r="N8427" s="0" t="s">
        <x:v>46</x:v>
      </x:c>
    </x:row>
    <x:row r="8428" spans="1:16">
      <x:c r="A8428" s="0" t="s">
        <x:v>33574</x:v>
      </x:c>
      <x:c r="B8428" s="0" t="s">
        <x:v>33575</x:v>
      </x:c>
      <x:c r="C8428" s="0" t="s">
        <x:v>33576</x:v>
      </x:c>
      <x:c r="E8428" s="0" t="s">
        <x:v>33577</x:v>
      </x:c>
      <x:c r="F8428" s="0" t="s">
        <x:v>45</x:v>
      </x:c>
      <x:c r="G8428" s="0" t="s">
        <x:v>19</x:v>
      </x:c>
      <x:c r="H8428" s="0" t="s">
        <x:v>20</x:v>
      </x:c>
      <x:c r="I8428" s="0" t="s">
        <x:v>21</x:v>
      </x:c>
      <x:c r="K8428" s="0">
        <x:f>hyperlink("https://icd.who.int/dev11/l-ichi/en#/http%3A%2F%2Fid.who.int%2Ficd%2Fentity%2F412745434","browser")</x:f>
      </x:c>
      <x:c r="L8428" s="0">
        <x:f>hyperlink("https://icat2.azurewebsites.net/icat/?ontology=ICD&amp;tab=ClassesTab&amp;id=http%3A%2F%2Fwho.int%2Ficd%234186_9cd760cf_9e71_4bdb_b2ea_a3ed07921568","iCat")</x:f>
      </x:c>
      <x:c r="M8428" s="0" t="s">
        <x:v>21</x:v>
      </x:c>
      <x:c r="N8428" s="0" t="s">
        <x:v>46</x:v>
      </x:c>
    </x:row>
    <x:row r="8429" spans="1:16">
      <x:c r="A8429" s="0" t="s">
        <x:v>33578</x:v>
      </x:c>
      <x:c r="B8429" s="0" t="s">
        <x:v>33579</x:v>
      </x:c>
      <x:c r="C8429" s="0" t="s">
        <x:v>33580</x:v>
      </x:c>
      <x:c r="E8429" s="0" t="s">
        <x:v>33581</x:v>
      </x:c>
      <x:c r="F8429" s="0" t="s">
        <x:v>45</x:v>
      </x:c>
      <x:c r="G8429" s="0" t="s">
        <x:v>19</x:v>
      </x:c>
      <x:c r="H8429" s="0" t="s">
        <x:v>20</x:v>
      </x:c>
      <x:c r="I8429" s="0" t="s">
        <x:v>21</x:v>
      </x:c>
      <x:c r="K8429" s="0">
        <x:f>hyperlink("https://icd.who.int/dev11/l-ichi/en#/http%3A%2F%2Fid.who.int%2Ficd%2Fentity%2F1197191163","browser")</x:f>
      </x:c>
      <x:c r="L8429" s="0">
        <x:f>hyperlink("https://icat2.azurewebsites.net/icat/?ontology=ICD&amp;tab=ClassesTab&amp;id=http%3A%2F%2Fwho.int%2Ficd%234192_9cd760cf_9e71_4bdb_b2ea_a3ed07921568","iCat")</x:f>
      </x:c>
      <x:c r="M8429" s="0" t="s">
        <x:v>21</x:v>
      </x:c>
      <x:c r="N8429" s="0" t="s">
        <x:v>46</x:v>
      </x:c>
    </x:row>
    <x:row r="8430" spans="1:16">
      <x:c r="A8430" s="0" t="s">
        <x:v>33582</x:v>
      </x:c>
      <x:c r="B8430" s="0" t="s">
        <x:v>33583</x:v>
      </x:c>
      <x:c r="C8430" s="0" t="s">
        <x:v>33584</x:v>
      </x:c>
      <x:c r="E8430" s="0" t="s">
        <x:v>33585</x:v>
      </x:c>
      <x:c r="F8430" s="0" t="s">
        <x:v>45</x:v>
      </x:c>
      <x:c r="G8430" s="0" t="s">
        <x:v>19</x:v>
      </x:c>
      <x:c r="H8430" s="0" t="s">
        <x:v>20</x:v>
      </x:c>
      <x:c r="I8430" s="0" t="s">
        <x:v>21</x:v>
      </x:c>
      <x:c r="K8430" s="0">
        <x:f>hyperlink("https://icd.who.int/dev11/l-ichi/en#/http%3A%2F%2Fid.who.int%2Ficd%2Fentity%2F1822868331","browser")</x:f>
      </x:c>
      <x:c r="L8430" s="0">
        <x:f>hyperlink("https://icat2.azurewebsites.net/icat/?ontology=ICD&amp;tab=ClassesTab&amp;id=http%3A%2F%2Fwho.int%2Ficd%234198_9cd760cf_9e71_4bdb_b2ea_a3ed07921568","iCat")</x:f>
      </x:c>
      <x:c r="M8430" s="0" t="s">
        <x:v>21</x:v>
      </x:c>
      <x:c r="N8430" s="0" t="s">
        <x:v>46</x:v>
      </x:c>
    </x:row>
    <x:row r="8431" spans="1:16">
      <x:c r="A8431" s="0" t="s">
        <x:v>33586</x:v>
      </x:c>
      <x:c r="B8431" s="0" t="s">
        <x:v>33587</x:v>
      </x:c>
      <x:c r="C8431" s="0" t="s">
        <x:v>33588</x:v>
      </x:c>
      <x:c r="E8431" s="0" t="s">
        <x:v>33589</x:v>
      </x:c>
      <x:c r="F8431" s="0" t="s">
        <x:v>45</x:v>
      </x:c>
      <x:c r="G8431" s="0" t="s">
        <x:v>19</x:v>
      </x:c>
      <x:c r="H8431" s="0" t="s">
        <x:v>20</x:v>
      </x:c>
      <x:c r="I8431" s="0" t="s">
        <x:v>21</x:v>
      </x:c>
      <x:c r="K8431" s="0">
        <x:f>hyperlink("https://icd.who.int/dev11/l-ichi/en#/http%3A%2F%2Fid.who.int%2Ficd%2Fentity%2F59444866","browser")</x:f>
      </x:c>
      <x:c r="L8431" s="0">
        <x:f>hyperlink("https://icat2.azurewebsites.net/icat/?ontology=ICD&amp;tab=ClassesTab&amp;id=http%3A%2F%2Fwho.int%2Ficd%234204_9cd760cf_9e71_4bdb_b2ea_a3ed07921568","iCat")</x:f>
      </x:c>
      <x:c r="M8431" s="0" t="s">
        <x:v>21</x:v>
      </x:c>
      <x:c r="N8431" s="0" t="s">
        <x:v>46</x:v>
      </x:c>
    </x:row>
    <x:row r="8432" spans="1:16">
      <x:c r="A8432" s="0" t="s">
        <x:v>33590</x:v>
      </x:c>
      <x:c r="B8432" s="0" t="s">
        <x:v>33591</x:v>
      </x:c>
      <x:c r="C8432" s="0" t="s">
        <x:v>33592</x:v>
      </x:c>
      <x:c r="E8432" s="0" t="s">
        <x:v>33593</x:v>
      </x:c>
      <x:c r="F8432" s="0" t="s">
        <x:v>45</x:v>
      </x:c>
      <x:c r="G8432" s="0" t="s">
        <x:v>19</x:v>
      </x:c>
      <x:c r="H8432" s="0" t="s">
        <x:v>20</x:v>
      </x:c>
      <x:c r="I8432" s="0" t="s">
        <x:v>21</x:v>
      </x:c>
      <x:c r="K8432" s="0">
        <x:f>hyperlink("https://icd.who.int/dev11/l-ichi/en#/http%3A%2F%2Fid.who.int%2Ficd%2Fentity%2F1548312483","browser")</x:f>
      </x:c>
      <x:c r="L8432" s="0">
        <x:f>hyperlink("https://icat2.azurewebsites.net/icat/?ontology=ICD&amp;tab=ClassesTab&amp;id=http%3A%2F%2Fwho.int%2Ficd%234210_9cd760cf_9e71_4bdb_b2ea_a3ed07921568","iCat")</x:f>
      </x:c>
      <x:c r="M8432" s="0" t="s">
        <x:v>21</x:v>
      </x:c>
      <x:c r="N8432" s="0" t="s">
        <x:v>46</x:v>
      </x:c>
    </x:row>
    <x:row r="8433" spans="1:16">
      <x:c r="A8433" s="0" t="s">
        <x:v>33594</x:v>
      </x:c>
      <x:c r="B8433" s="0" t="s">
        <x:v>33595</x:v>
      </x:c>
      <x:c r="C8433" s="0" t="s">
        <x:v>33596</x:v>
      </x:c>
      <x:c r="E8433" s="0" t="s">
        <x:v>33597</x:v>
      </x:c>
      <x:c r="F8433" s="0" t="s">
        <x:v>45</x:v>
      </x:c>
      <x:c r="G8433" s="0" t="s">
        <x:v>19</x:v>
      </x:c>
      <x:c r="H8433" s="0" t="s">
        <x:v>20</x:v>
      </x:c>
      <x:c r="I8433" s="0" t="s">
        <x:v>21</x:v>
      </x:c>
      <x:c r="K8433" s="0">
        <x:f>hyperlink("https://icd.who.int/dev11/l-ichi/en#/http%3A%2F%2Fid.who.int%2Ficd%2Fentity%2F1071321824","browser")</x:f>
      </x:c>
      <x:c r="L8433" s="0">
        <x:f>hyperlink("https://icat2.azurewebsites.net/icat/?ontology=ICD&amp;tab=ClassesTab&amp;id=http%3A%2F%2Fwho.int%2Ficd%23110_60b821c4_cabc_4b81_9563_cb99d74167d5","iCat")</x:f>
      </x:c>
      <x:c r="M8433" s="0" t="s">
        <x:v>21</x:v>
      </x:c>
      <x:c r="N8433" s="0" t="s">
        <x:v>46</x:v>
      </x:c>
    </x:row>
    <x:row r="8434" spans="1:16">
      <x:c r="A8434" s="0" t="s">
        <x:v>33598</x:v>
      </x:c>
      <x:c r="B8434" s="0" t="s">
        <x:v>33599</x:v>
      </x:c>
      <x:c r="C8434" s="0" t="s">
        <x:v>33600</x:v>
      </x:c>
      <x:c r="E8434" s="0" t="s">
        <x:v>33601</x:v>
      </x:c>
      <x:c r="F8434" s="0" t="s">
        <x:v>45</x:v>
      </x:c>
      <x:c r="G8434" s="0" t="s">
        <x:v>19</x:v>
      </x:c>
      <x:c r="H8434" s="0" t="s">
        <x:v>20</x:v>
      </x:c>
      <x:c r="I8434" s="0" t="s">
        <x:v>21</x:v>
      </x:c>
      <x:c r="K8434" s="0">
        <x:f>hyperlink("https://icd.who.int/dev11/l-ichi/en#/http%3A%2F%2Fid.who.int%2Ficd%2Fentity%2F1976492962","browser")</x:f>
      </x:c>
      <x:c r="L8434" s="0">
        <x:f>hyperlink("https://icat2.azurewebsites.net/icat/?ontology=ICD&amp;tab=ClassesTab&amp;id=http%3A%2F%2Fwho.int%2Ficd%2347675_512ebf36_bf6b_4d70_85da_cf2637062af4","iCat")</x:f>
      </x:c>
      <x:c r="M8434" s="0" t="s">
        <x:v>21</x:v>
      </x:c>
      <x:c r="N8434" s="0" t="s">
        <x:v>46</x:v>
      </x:c>
    </x:row>
    <x:row r="8435" spans="1:16">
      <x:c r="A8435" s="0" t="s">
        <x:v>33602</x:v>
      </x:c>
      <x:c r="B8435" s="0" t="s">
        <x:v>33603</x:v>
      </x:c>
      <x:c r="C8435" s="0" t="s">
        <x:v>33604</x:v>
      </x:c>
      <x:c r="E8435" s="0" t="s">
        <x:v>33605</x:v>
      </x:c>
      <x:c r="F8435" s="0" t="s">
        <x:v>45</x:v>
      </x:c>
      <x:c r="G8435" s="0" t="s">
        <x:v>19</x:v>
      </x:c>
      <x:c r="H8435" s="0" t="s">
        <x:v>20</x:v>
      </x:c>
      <x:c r="I8435" s="0" t="s">
        <x:v>21</x:v>
      </x:c>
      <x:c r="K8435" s="0">
        <x:f>hyperlink("https://icd.who.int/dev11/l-ichi/en#/http%3A%2F%2Fid.who.int%2Ficd%2Fentity%2F715850483","browser")</x:f>
      </x:c>
      <x:c r="L8435" s="0">
        <x:f>hyperlink("https://icat2.azurewebsites.net/icat/?ontology=ICD&amp;tab=ClassesTab&amp;id=http%3A%2F%2Fwho.int%2Ficd%2347682_512ebf36_bf6b_4d70_85da_cf2637062af4","iCat")</x:f>
      </x:c>
      <x:c r="M8435" s="0" t="s">
        <x:v>21</x:v>
      </x:c>
      <x:c r="N8435" s="0" t="s">
        <x:v>46</x:v>
      </x:c>
    </x:row>
    <x:row r="8436" spans="1:16">
      <x:c r="A8436" s="0" t="s">
        <x:v>33606</x:v>
      </x:c>
      <x:c r="B8436" s="0" t="s">
        <x:v>33607</x:v>
      </x:c>
      <x:c r="C8436" s="0" t="s">
        <x:v>33608</x:v>
      </x:c>
      <x:c r="E8436" s="0" t="s">
        <x:v>33609</x:v>
      </x:c>
      <x:c r="F8436" s="0" t="s">
        <x:v>45</x:v>
      </x:c>
      <x:c r="G8436" s="0" t="s">
        <x:v>19</x:v>
      </x:c>
      <x:c r="H8436" s="0" t="s">
        <x:v>20</x:v>
      </x:c>
      <x:c r="I8436" s="0" t="s">
        <x:v>21</x:v>
      </x:c>
      <x:c r="K8436" s="0">
        <x:f>hyperlink("https://icd.who.int/dev11/l-ichi/en#/http%3A%2F%2Fid.who.int%2Ficd%2Fentity%2F565124191","browser")</x:f>
      </x:c>
      <x:c r="L8436" s="0">
        <x:f>hyperlink("https://icat2.azurewebsites.net/icat/?ontology=ICD&amp;tab=ClassesTab&amp;id=http%3A%2F%2Fwho.int%2Ficd%2347689_512ebf36_bf6b_4d70_85da_cf2637062af4","iCat")</x:f>
      </x:c>
      <x:c r="M8436" s="0" t="s">
        <x:v>21</x:v>
      </x:c>
      <x:c r="N8436" s="0" t="s">
        <x:v>46</x:v>
      </x:c>
    </x:row>
    <x:row r="8437" spans="1:16">
      <x:c r="A8437" s="0" t="s">
        <x:v>33610</x:v>
      </x:c>
      <x:c r="B8437" s="0" t="s">
        <x:v>33611</x:v>
      </x:c>
      <x:c r="C8437" s="0" t="s">
        <x:v>33612</x:v>
      </x:c>
      <x:c r="E8437" s="0" t="s">
        <x:v>33613</x:v>
      </x:c>
      <x:c r="F8437" s="0" t="s">
        <x:v>45</x:v>
      </x:c>
      <x:c r="G8437" s="0" t="s">
        <x:v>19</x:v>
      </x:c>
      <x:c r="H8437" s="0" t="s">
        <x:v>20</x:v>
      </x:c>
      <x:c r="I8437" s="0" t="s">
        <x:v>21</x:v>
      </x:c>
      <x:c r="K8437" s="0">
        <x:f>hyperlink("https://icd.who.int/dev11/l-ichi/en#/http%3A%2F%2Fid.who.int%2Ficd%2Fentity%2F751563822","browser")</x:f>
      </x:c>
      <x:c r="L8437" s="0">
        <x:f>hyperlink("https://icat2.azurewebsites.net/icat/?ontology=ICD&amp;tab=ClassesTab&amp;id=http%3A%2F%2Fwho.int%2Ficd%234217_9cd760cf_9e71_4bdb_b2ea_a3ed07921568","iCat")</x:f>
      </x:c>
      <x:c r="M8437" s="0" t="s">
        <x:v>21</x:v>
      </x:c>
      <x:c r="N8437" s="0" t="s">
        <x:v>46</x:v>
      </x:c>
    </x:row>
    <x:row r="8438" spans="1:16">
      <x:c r="A8438" s="0" t="s">
        <x:v>33614</x:v>
      </x:c>
      <x:c r="B8438" s="0" t="s">
        <x:v>33615</x:v>
      </x:c>
      <x:c r="C8438" s="0" t="s">
        <x:v>33616</x:v>
      </x:c>
      <x:c r="E8438" s="0" t="s">
        <x:v>33617</x:v>
      </x:c>
      <x:c r="F8438" s="0" t="s">
        <x:v>45</x:v>
      </x:c>
      <x:c r="G8438" s="0" t="s">
        <x:v>19</x:v>
      </x:c>
      <x:c r="H8438" s="0" t="s">
        <x:v>20</x:v>
      </x:c>
      <x:c r="I8438" s="0" t="s">
        <x:v>21</x:v>
      </x:c>
      <x:c r="K8438" s="0">
        <x:f>hyperlink("https://icd.who.int/dev11/l-ichi/en#/http%3A%2F%2Fid.who.int%2Ficd%2Fentity%2F1501392989","browser")</x:f>
      </x:c>
      <x:c r="L8438" s="0">
        <x:f>hyperlink("https://icat2.azurewebsites.net/icat/?ontology=ICD&amp;tab=ClassesTab&amp;id=http%3A%2F%2Fwho.int%2Ficd%234223_9cd760cf_9e71_4bdb_b2ea_a3ed07921568","iCat")</x:f>
      </x:c>
      <x:c r="M8438" s="0" t="s">
        <x:v>21</x:v>
      </x:c>
      <x:c r="N8438" s="0" t="s">
        <x:v>46</x:v>
      </x:c>
    </x:row>
    <x:row r="8439" spans="1:16">
      <x:c r="A8439" s="0" t="s">
        <x:v>33618</x:v>
      </x:c>
      <x:c r="B8439" s="0" t="s">
        <x:v>33619</x:v>
      </x:c>
      <x:c r="C8439" s="0" t="s">
        <x:v>33620</x:v>
      </x:c>
      <x:c r="E8439" s="0" t="s">
        <x:v>33621</x:v>
      </x:c>
      <x:c r="F8439" s="0" t="s">
        <x:v>45</x:v>
      </x:c>
      <x:c r="G8439" s="0" t="s">
        <x:v>19</x:v>
      </x:c>
      <x:c r="H8439" s="0" t="s">
        <x:v>20</x:v>
      </x:c>
      <x:c r="I8439" s="0" t="s">
        <x:v>21</x:v>
      </x:c>
      <x:c r="K8439" s="0">
        <x:f>hyperlink("https://icd.who.int/dev11/l-ichi/en#/http%3A%2F%2Fid.who.int%2Ficd%2Fentity%2F1920998605","browser")</x:f>
      </x:c>
      <x:c r="L8439" s="0">
        <x:f>hyperlink("https://icat2.azurewebsites.net/icat/?ontology=ICD&amp;tab=ClassesTab&amp;id=http%3A%2F%2Fwho.int%2Ficd%234229_9cd760cf_9e71_4bdb_b2ea_a3ed07921568","iCat")</x:f>
      </x:c>
      <x:c r="M8439" s="0" t="s">
        <x:v>21</x:v>
      </x:c>
      <x:c r="N8439" s="0" t="s">
        <x:v>46</x:v>
      </x:c>
    </x:row>
    <x:row r="8440" spans="1:16">
      <x:c r="A8440" s="0" t="s">
        <x:v>33622</x:v>
      </x:c>
      <x:c r="B8440" s="0" t="s">
        <x:v>33623</x:v>
      </x:c>
      <x:c r="C8440" s="0" t="s">
        <x:v>33624</x:v>
      </x:c>
      <x:c r="E8440" s="0" t="s">
        <x:v>33625</x:v>
      </x:c>
      <x:c r="F8440" s="0" t="s">
        <x:v>45</x:v>
      </x:c>
      <x:c r="G8440" s="0" t="s">
        <x:v>19</x:v>
      </x:c>
      <x:c r="H8440" s="0" t="s">
        <x:v>20</x:v>
      </x:c>
      <x:c r="I8440" s="0" t="s">
        <x:v>21</x:v>
      </x:c>
      <x:c r="K8440" s="0">
        <x:f>hyperlink("https://icd.who.int/dev11/l-ichi/en#/http%3A%2F%2Fid.who.int%2Ficd%2Fentity%2F1673739451","browser")</x:f>
      </x:c>
      <x:c r="L8440" s="0">
        <x:f>hyperlink("https://icat2.azurewebsites.net/icat/?ontology=ICD&amp;tab=ClassesTab&amp;id=http%3A%2F%2Fwho.int%2Ficd%234235_9cd760cf_9e71_4bdb_b2ea_a3ed07921568","iCat")</x:f>
      </x:c>
      <x:c r="M8440" s="0" t="s">
        <x:v>21</x:v>
      </x:c>
      <x:c r="N8440" s="0" t="s">
        <x:v>46</x:v>
      </x:c>
    </x:row>
    <x:row r="8441" spans="1:16">
      <x:c r="A8441" s="0" t="s">
        <x:v>33626</x:v>
      </x:c>
      <x:c r="B8441" s="0" t="s">
        <x:v>33627</x:v>
      </x:c>
      <x:c r="C8441" s="0" t="s">
        <x:v>33628</x:v>
      </x:c>
      <x:c r="E8441" s="0" t="s">
        <x:v>33629</x:v>
      </x:c>
      <x:c r="F8441" s="0" t="s">
        <x:v>45</x:v>
      </x:c>
      <x:c r="G8441" s="0" t="s">
        <x:v>19</x:v>
      </x:c>
      <x:c r="H8441" s="0" t="s">
        <x:v>20</x:v>
      </x:c>
      <x:c r="I8441" s="0" t="s">
        <x:v>21</x:v>
      </x:c>
      <x:c r="K8441" s="0">
        <x:f>hyperlink("https://icd.who.int/dev11/l-ichi/en#/http%3A%2F%2Fid.who.int%2Ficd%2Fentity%2F1712516053","browser")</x:f>
      </x:c>
      <x:c r="L8441" s="0">
        <x:f>hyperlink("https://icat2.azurewebsites.net/icat/?ontology=ICD&amp;tab=ClassesTab&amp;id=http%3A%2F%2Fwho.int%2Ficd%234241_9cd760cf_9e71_4bdb_b2ea_a3ed07921568","iCat")</x:f>
      </x:c>
      <x:c r="M8441" s="0" t="s">
        <x:v>21</x:v>
      </x:c>
      <x:c r="N8441" s="0" t="s">
        <x:v>46</x:v>
      </x:c>
    </x:row>
    <x:row r="8442" spans="1:16">
      <x:c r="A8442" s="0" t="s">
        <x:v>33630</x:v>
      </x:c>
      <x:c r="B8442" s="0" t="s">
        <x:v>33631</x:v>
      </x:c>
      <x:c r="C8442" s="0" t="s">
        <x:v>33632</x:v>
      </x:c>
      <x:c r="E8442" s="0" t="s">
        <x:v>33633</x:v>
      </x:c>
      <x:c r="F8442" s="0" t="s">
        <x:v>45</x:v>
      </x:c>
      <x:c r="G8442" s="0" t="s">
        <x:v>19</x:v>
      </x:c>
      <x:c r="H8442" s="0" t="s">
        <x:v>20</x:v>
      </x:c>
      <x:c r="I8442" s="0" t="s">
        <x:v>21</x:v>
      </x:c>
      <x:c r="K8442" s="0">
        <x:f>hyperlink("https://icd.who.int/dev11/l-ichi/en#/http%3A%2F%2Fid.who.int%2Ficd%2Fentity%2F912863844","browser")</x:f>
      </x:c>
      <x:c r="L8442" s="0">
        <x:f>hyperlink("https://icat2.azurewebsites.net/icat/?ontology=ICD&amp;tab=ClassesTab&amp;id=http%3A%2F%2Fwho.int%2Ficd%234247_9cd760cf_9e71_4bdb_b2ea_a3ed07921568","iCat")</x:f>
      </x:c>
      <x:c r="M8442" s="0" t="s">
        <x:v>21</x:v>
      </x:c>
      <x:c r="N8442" s="0" t="s">
        <x:v>46</x:v>
      </x:c>
    </x:row>
    <x:row r="8443" spans="1:16">
      <x:c r="A8443" s="0" t="s">
        <x:v>33634</x:v>
      </x:c>
      <x:c r="B8443" s="0" t="s">
        <x:v>33635</x:v>
      </x:c>
      <x:c r="C8443" s="0" t="s">
        <x:v>33636</x:v>
      </x:c>
      <x:c r="E8443" s="0" t="s">
        <x:v>33637</x:v>
      </x:c>
      <x:c r="F8443" s="0" t="s">
        <x:v>45</x:v>
      </x:c>
      <x:c r="G8443" s="0" t="s">
        <x:v>19</x:v>
      </x:c>
      <x:c r="H8443" s="0" t="s">
        <x:v>20</x:v>
      </x:c>
      <x:c r="I8443" s="0" t="s">
        <x:v>21</x:v>
      </x:c>
      <x:c r="K8443" s="0">
        <x:f>hyperlink("https://icd.who.int/dev11/l-ichi/en#/http%3A%2F%2Fid.who.int%2Ficd%2Fentity%2F1772839751","browser")</x:f>
      </x:c>
      <x:c r="L8443" s="0">
        <x:f>hyperlink("https://icat2.azurewebsites.net/icat/?ontology=ICD&amp;tab=ClassesTab&amp;id=http%3A%2F%2Fwho.int%2Ficd%234253_9cd760cf_9e71_4bdb_b2ea_a3ed07921568","iCat")</x:f>
      </x:c>
      <x:c r="M8443" s="0" t="s">
        <x:v>21</x:v>
      </x:c>
      <x:c r="N8443" s="0" t="s">
        <x:v>46</x:v>
      </x:c>
    </x:row>
    <x:row r="8444" spans="1:16">
      <x:c r="A8444" s="0" t="s">
        <x:v>33638</x:v>
      </x:c>
      <x:c r="B8444" s="0" t="s">
        <x:v>33639</x:v>
      </x:c>
      <x:c r="C8444" s="0" t="s">
        <x:v>33640</x:v>
      </x:c>
      <x:c r="E8444" s="0" t="s">
        <x:v>33641</x:v>
      </x:c>
      <x:c r="F8444" s="0" t="s">
        <x:v>45</x:v>
      </x:c>
      <x:c r="G8444" s="0" t="s">
        <x:v>19</x:v>
      </x:c>
      <x:c r="H8444" s="0" t="s">
        <x:v>20</x:v>
      </x:c>
      <x:c r="I8444" s="0" t="s">
        <x:v>21</x:v>
      </x:c>
      <x:c r="K8444" s="0">
        <x:f>hyperlink("https://icd.who.int/dev11/l-ichi/en#/http%3A%2F%2Fid.who.int%2Ficd%2Fentity%2F1112936407","browser")</x:f>
      </x:c>
      <x:c r="L8444" s="0">
        <x:f>hyperlink("https://icat2.azurewebsites.net/icat/?ontology=ICD&amp;tab=ClassesTab&amp;id=http%3A%2F%2Fwho.int%2Ficd%234259_9cd760cf_9e71_4bdb_b2ea_a3ed07921568","iCat")</x:f>
      </x:c>
      <x:c r="M8444" s="0" t="s">
        <x:v>21</x:v>
      </x:c>
      <x:c r="N8444" s="0" t="s">
        <x:v>46</x:v>
      </x:c>
    </x:row>
    <x:row r="8445" spans="1:16">
      <x:c r="A8445" s="0" t="s">
        <x:v>33642</x:v>
      </x:c>
      <x:c r="B8445" s="0" t="s">
        <x:v>33643</x:v>
      </x:c>
      <x:c r="C8445" s="0" t="s">
        <x:v>33644</x:v>
      </x:c>
      <x:c r="E8445" s="0" t="s">
        <x:v>33645</x:v>
      </x:c>
      <x:c r="F8445" s="0" t="s">
        <x:v>45</x:v>
      </x:c>
      <x:c r="G8445" s="0" t="s">
        <x:v>19</x:v>
      </x:c>
      <x:c r="H8445" s="0" t="s">
        <x:v>20</x:v>
      </x:c>
      <x:c r="I8445" s="0" t="s">
        <x:v>21</x:v>
      </x:c>
      <x:c r="K8445" s="0">
        <x:f>hyperlink("https://icd.who.int/dev11/l-ichi/en#/http%3A%2F%2Fid.who.int%2Ficd%2Fentity%2F2036464369","browser")</x:f>
      </x:c>
      <x:c r="L8445" s="0">
        <x:f>hyperlink("https://icat2.azurewebsites.net/icat/?ontology=ICD&amp;tab=ClassesTab&amp;id=http%3A%2F%2Fwho.int%2Ficd%234265_9cd760cf_9e71_4bdb_b2ea_a3ed07921568","iCat")</x:f>
      </x:c>
      <x:c r="M8445" s="0" t="s">
        <x:v>21</x:v>
      </x:c>
      <x:c r="N8445" s="0" t="s">
        <x:v>46</x:v>
      </x:c>
    </x:row>
    <x:row r="8446" spans="1:16">
      <x:c r="A8446" s="0" t="s">
        <x:v>33646</x:v>
      </x:c>
      <x:c r="B8446" s="0" t="s">
        <x:v>33647</x:v>
      </x:c>
      <x:c r="C8446" s="0" t="s">
        <x:v>33648</x:v>
      </x:c>
      <x:c r="E8446" s="0" t="s">
        <x:v>33649</x:v>
      </x:c>
      <x:c r="F8446" s="0" t="s">
        <x:v>45</x:v>
      </x:c>
      <x:c r="G8446" s="0" t="s">
        <x:v>19</x:v>
      </x:c>
      <x:c r="H8446" s="0" t="s">
        <x:v>20</x:v>
      </x:c>
      <x:c r="I8446" s="0" t="s">
        <x:v>21</x:v>
      </x:c>
      <x:c r="K8446" s="0">
        <x:f>hyperlink("https://icd.who.int/dev11/l-ichi/en#/http%3A%2F%2Fid.who.int%2Ficd%2Fentity%2F648260562","browser")</x:f>
      </x:c>
      <x:c r="L8446" s="0">
        <x:f>hyperlink("https://icat2.azurewebsites.net/icat/?ontology=ICD&amp;tab=ClassesTab&amp;id=http%3A%2F%2Fwho.int%2Ficd%234271_9cd760cf_9e71_4bdb_b2ea_a3ed07921568","iCat")</x:f>
      </x:c>
      <x:c r="M8446" s="0" t="s">
        <x:v>21</x:v>
      </x:c>
      <x:c r="N8446" s="0" t="s">
        <x:v>46</x:v>
      </x:c>
    </x:row>
    <x:row r="8447" spans="1:16">
      <x:c r="A8447" s="0" t="s">
        <x:v>33650</x:v>
      </x:c>
      <x:c r="B8447" s="0" t="s">
        <x:v>33651</x:v>
      </x:c>
      <x:c r="C8447" s="0" t="s">
        <x:v>33652</x:v>
      </x:c>
      <x:c r="E8447" s="0" t="s">
        <x:v>33653</x:v>
      </x:c>
      <x:c r="F8447" s="0" t="s">
        <x:v>45</x:v>
      </x:c>
      <x:c r="G8447" s="0" t="s">
        <x:v>19</x:v>
      </x:c>
      <x:c r="H8447" s="0" t="s">
        <x:v>20</x:v>
      </x:c>
      <x:c r="I8447" s="0" t="s">
        <x:v>21</x:v>
      </x:c>
      <x:c r="K8447" s="0">
        <x:f>hyperlink("https://icd.who.int/dev11/l-ichi/en#/http%3A%2F%2Fid.who.int%2Ficd%2Fentity%2F1993896547","browser")</x:f>
      </x:c>
      <x:c r="L8447" s="0">
        <x:f>hyperlink("https://icat2.azurewebsites.net/icat/?ontology=ICD&amp;tab=ClassesTab&amp;id=http%3A%2F%2Fwho.int%2Ficd%234277_9cd760cf_9e71_4bdb_b2ea_a3ed07921568","iCat")</x:f>
      </x:c>
      <x:c r="M8447" s="0" t="s">
        <x:v>21</x:v>
      </x:c>
      <x:c r="N8447" s="0" t="s">
        <x:v>46</x:v>
      </x:c>
    </x:row>
    <x:row r="8448" spans="1:16">
      <x:c r="A8448" s="0" t="s">
        <x:v>33654</x:v>
      </x:c>
      <x:c r="B8448" s="0" t="s">
        <x:v>33655</x:v>
      </x:c>
      <x:c r="C8448" s="0" t="s">
        <x:v>33656</x:v>
      </x:c>
      <x:c r="E8448" s="0" t="s">
        <x:v>33657</x:v>
      </x:c>
      <x:c r="F8448" s="0" t="s">
        <x:v>45</x:v>
      </x:c>
      <x:c r="G8448" s="0" t="s">
        <x:v>19</x:v>
      </x:c>
      <x:c r="H8448" s="0" t="s">
        <x:v>20</x:v>
      </x:c>
      <x:c r="I8448" s="0" t="s">
        <x:v>21</x:v>
      </x:c>
      <x:c r="K8448" s="0">
        <x:f>hyperlink("https://icd.who.int/dev11/l-ichi/en#/http%3A%2F%2Fid.who.int%2Ficd%2Fentity%2F1815674057","browser")</x:f>
      </x:c>
      <x:c r="L8448" s="0">
        <x:f>hyperlink("https://icat2.azurewebsites.net/icat/?ontology=ICD&amp;tab=ClassesTab&amp;id=http%3A%2F%2Fwho.int%2Ficd%234283_9cd760cf_9e71_4bdb_b2ea_a3ed07921568","iCat")</x:f>
      </x:c>
      <x:c r="M8448" s="0" t="s">
        <x:v>21</x:v>
      </x:c>
      <x:c r="N8448" s="0" t="s">
        <x:v>46</x:v>
      </x:c>
    </x:row>
    <x:row r="8449" spans="1:16">
      <x:c r="A8449" s="0" t="s">
        <x:v>33658</x:v>
      </x:c>
      <x:c r="B8449" s="0" t="s">
        <x:v>33659</x:v>
      </x:c>
      <x:c r="C8449" s="0" t="s">
        <x:v>33660</x:v>
      </x:c>
      <x:c r="E8449" s="0" t="s">
        <x:v>33661</x:v>
      </x:c>
      <x:c r="F8449" s="0" t="s">
        <x:v>45</x:v>
      </x:c>
      <x:c r="G8449" s="0" t="s">
        <x:v>19</x:v>
      </x:c>
      <x:c r="H8449" s="0" t="s">
        <x:v>20</x:v>
      </x:c>
      <x:c r="I8449" s="0" t="s">
        <x:v>21</x:v>
      </x:c>
      <x:c r="K8449" s="0">
        <x:f>hyperlink("https://icd.who.int/dev11/l-ichi/en#/http%3A%2F%2Fid.who.int%2Ficd%2Fentity%2F1969837008","browser")</x:f>
      </x:c>
      <x:c r="L8449" s="0">
        <x:f>hyperlink("https://icat2.azurewebsites.net/icat/?ontology=ICD&amp;tab=ClassesTab&amp;id=http%3A%2F%2Fwho.int%2Ficd%2347696_512ebf36_bf6b_4d70_85da_cf2637062af4","iCat")</x:f>
      </x:c>
      <x:c r="M8449" s="0" t="s">
        <x:v>21</x:v>
      </x:c>
      <x:c r="N8449" s="0" t="s">
        <x:v>46</x:v>
      </x:c>
    </x:row>
    <x:row r="8450" spans="1:16">
      <x:c r="A8450" s="0" t="s">
        <x:v>33662</x:v>
      </x:c>
      <x:c r="B8450" s="0" t="s">
        <x:v>33663</x:v>
      </x:c>
      <x:c r="C8450" s="0" t="s">
        <x:v>33664</x:v>
      </x:c>
      <x:c r="E8450" s="0" t="s">
        <x:v>33665</x:v>
      </x:c>
      <x:c r="F8450" s="0" t="s">
        <x:v>45</x:v>
      </x:c>
      <x:c r="G8450" s="0" t="s">
        <x:v>19</x:v>
      </x:c>
      <x:c r="H8450" s="0" t="s">
        <x:v>20</x:v>
      </x:c>
      <x:c r="I8450" s="0" t="s">
        <x:v>21</x:v>
      </x:c>
      <x:c r="K8450" s="0">
        <x:f>hyperlink("https://icd.who.int/dev11/l-ichi/en#/http%3A%2F%2Fid.who.int%2Ficd%2Fentity%2F1627189144","browser")</x:f>
      </x:c>
      <x:c r="L8450" s="0">
        <x:f>hyperlink("https://icat2.azurewebsites.net/icat/?ontology=ICD&amp;tab=ClassesTab&amp;id=http%3A%2F%2Fwho.int%2Ficd%2347703_512ebf36_bf6b_4d70_85da_cf2637062af4","iCat")</x:f>
      </x:c>
      <x:c r="M8450" s="0" t="s">
        <x:v>21</x:v>
      </x:c>
      <x:c r="N8450" s="0" t="s">
        <x:v>46</x:v>
      </x:c>
    </x:row>
    <x:row r="8451" spans="1:16">
      <x:c r="A8451" s="0" t="s">
        <x:v>33666</x:v>
      </x:c>
      <x:c r="B8451" s="0" t="s">
        <x:v>33667</x:v>
      </x:c>
      <x:c r="C8451" s="0" t="s">
        <x:v>33668</x:v>
      </x:c>
      <x:c r="E8451" s="0" t="s">
        <x:v>33669</x:v>
      </x:c>
      <x:c r="F8451" s="0" t="s">
        <x:v>45</x:v>
      </x:c>
      <x:c r="G8451" s="0" t="s">
        <x:v>19</x:v>
      </x:c>
      <x:c r="H8451" s="0" t="s">
        <x:v>20</x:v>
      </x:c>
      <x:c r="I8451" s="0" t="s">
        <x:v>21</x:v>
      </x:c>
      <x:c r="K8451" s="0">
        <x:f>hyperlink("https://icd.who.int/dev11/l-ichi/en#/http%3A%2F%2Fid.who.int%2Ficd%2Fentity%2F1337726264","browser")</x:f>
      </x:c>
      <x:c r="L8451" s="0">
        <x:f>hyperlink("https://icat2.azurewebsites.net/icat/?ontology=ICD&amp;tab=ClassesTab&amp;id=http%3A%2F%2Fwho.int%2Ficd%2347710_512ebf36_bf6b_4d70_85da_cf2637062af4","iCat")</x:f>
      </x:c>
      <x:c r="M8451" s="0" t="s">
        <x:v>21</x:v>
      </x:c>
      <x:c r="N8451" s="0" t="s">
        <x:v>46</x:v>
      </x:c>
    </x:row>
    <x:row r="8452" spans="1:16">
      <x:c r="A8452" s="0" t="s">
        <x:v>33670</x:v>
      </x:c>
      <x:c r="B8452" s="0" t="s">
        <x:v>33671</x:v>
      </x:c>
      <x:c r="C8452" s="0" t="s">
        <x:v>33672</x:v>
      </x:c>
      <x:c r="E8452" s="0" t="s">
        <x:v>33673</x:v>
      </x:c>
      <x:c r="F8452" s="0" t="s">
        <x:v>45</x:v>
      </x:c>
      <x:c r="G8452" s="0" t="s">
        <x:v>19</x:v>
      </x:c>
      <x:c r="H8452" s="0" t="s">
        <x:v>20</x:v>
      </x:c>
      <x:c r="I8452" s="0" t="s">
        <x:v>21</x:v>
      </x:c>
      <x:c r="K8452" s="0">
        <x:f>hyperlink("https://icd.who.int/dev11/l-ichi/en#/http%3A%2F%2Fid.who.int%2Ficd%2Fentity%2F1131939431","browser")</x:f>
      </x:c>
      <x:c r="L8452" s="0">
        <x:f>hyperlink("https://icat2.azurewebsites.net/icat/?ontology=ICD&amp;tab=ClassesTab&amp;id=http%3A%2F%2Fwho.int%2Ficd%234290_9cd760cf_9e71_4bdb_b2ea_a3ed07921568","iCat")</x:f>
      </x:c>
      <x:c r="M8452" s="0" t="s">
        <x:v>21</x:v>
      </x:c>
      <x:c r="N8452" s="0" t="s">
        <x:v>46</x:v>
      </x:c>
    </x:row>
    <x:row r="8453" spans="1:16">
      <x:c r="A8453" s="0" t="s">
        <x:v>33674</x:v>
      </x:c>
      <x:c r="B8453" s="0" t="s">
        <x:v>33675</x:v>
      </x:c>
      <x:c r="C8453" s="0" t="s">
        <x:v>33676</x:v>
      </x:c>
      <x:c r="E8453" s="0" t="s">
        <x:v>33677</x:v>
      </x:c>
      <x:c r="F8453" s="0" t="s">
        <x:v>45</x:v>
      </x:c>
      <x:c r="G8453" s="0" t="s">
        <x:v>19</x:v>
      </x:c>
      <x:c r="H8453" s="0" t="s">
        <x:v>20</x:v>
      </x:c>
      <x:c r="I8453" s="0" t="s">
        <x:v>21</x:v>
      </x:c>
      <x:c r="K8453" s="0">
        <x:f>hyperlink("https://icd.who.int/dev11/l-ichi/en#/http%3A%2F%2Fid.who.int%2Ficd%2Fentity%2F319021014","browser")</x:f>
      </x:c>
      <x:c r="L8453" s="0">
        <x:f>hyperlink("https://icat2.azurewebsites.net/icat/?ontology=ICD&amp;tab=ClassesTab&amp;id=http%3A%2F%2Fwho.int%2Ficd%234296_9cd760cf_9e71_4bdb_b2ea_a3ed07921568","iCat")</x:f>
      </x:c>
      <x:c r="M8453" s="0" t="s">
        <x:v>21</x:v>
      </x:c>
      <x:c r="N8453" s="0" t="s">
        <x:v>46</x:v>
      </x:c>
    </x:row>
    <x:row r="8454" spans="1:16">
      <x:c r="A8454" s="0" t="s">
        <x:v>33678</x:v>
      </x:c>
      <x:c r="B8454" s="0" t="s">
        <x:v>33679</x:v>
      </x:c>
      <x:c r="C8454" s="0" t="s">
        <x:v>33680</x:v>
      </x:c>
      <x:c r="E8454" s="0" t="s">
        <x:v>33681</x:v>
      </x:c>
      <x:c r="F8454" s="0" t="s">
        <x:v>45</x:v>
      </x:c>
      <x:c r="G8454" s="0" t="s">
        <x:v>19</x:v>
      </x:c>
      <x:c r="H8454" s="0" t="s">
        <x:v>20</x:v>
      </x:c>
      <x:c r="I8454" s="0" t="s">
        <x:v>21</x:v>
      </x:c>
      <x:c r="K8454" s="0">
        <x:f>hyperlink("https://icd.who.int/dev11/l-ichi/en#/http%3A%2F%2Fid.who.int%2Ficd%2Fentity%2F644813228","browser")</x:f>
      </x:c>
      <x:c r="L8454" s="0">
        <x:f>hyperlink("https://icat2.azurewebsites.net/icat/?ontology=ICD&amp;tab=ClassesTab&amp;id=http%3A%2F%2Fwho.int%2Ficd%234302_9cd760cf_9e71_4bdb_b2ea_a3ed07921568","iCat")</x:f>
      </x:c>
      <x:c r="M8454" s="0" t="s">
        <x:v>21</x:v>
      </x:c>
      <x:c r="N8454" s="0" t="s">
        <x:v>46</x:v>
      </x:c>
    </x:row>
    <x:row r="8455" spans="1:16">
      <x:c r="A8455" s="0" t="s">
        <x:v>33682</x:v>
      </x:c>
      <x:c r="B8455" s="0" t="s">
        <x:v>33683</x:v>
      </x:c>
      <x:c r="C8455" s="0" t="s">
        <x:v>33684</x:v>
      </x:c>
      <x:c r="E8455" s="0" t="s">
        <x:v>33685</x:v>
      </x:c>
      <x:c r="F8455" s="0" t="s">
        <x:v>45</x:v>
      </x:c>
      <x:c r="G8455" s="0" t="s">
        <x:v>19</x:v>
      </x:c>
      <x:c r="H8455" s="0" t="s">
        <x:v>20</x:v>
      </x:c>
      <x:c r="I8455" s="0" t="s">
        <x:v>21</x:v>
      </x:c>
      <x:c r="K8455" s="0">
        <x:f>hyperlink("https://icd.who.int/dev11/l-ichi/en#/http%3A%2F%2Fid.who.int%2Ficd%2Fentity%2F227704124","browser")</x:f>
      </x:c>
      <x:c r="L8455" s="0">
        <x:f>hyperlink("https://icat2.azurewebsites.net/icat/?ontology=ICD&amp;tab=ClassesTab&amp;id=http%3A%2F%2Fwho.int%2Ficd%234308_9cd760cf_9e71_4bdb_b2ea_a3ed07921568","iCat")</x:f>
      </x:c>
      <x:c r="M8455" s="0" t="s">
        <x:v>21</x:v>
      </x:c>
      <x:c r="N8455" s="0" t="s">
        <x:v>46</x:v>
      </x:c>
    </x:row>
    <x:row r="8456" spans="1:16">
      <x:c r="A8456" s="0" t="s">
        <x:v>33686</x:v>
      </x:c>
      <x:c r="B8456" s="0" t="s">
        <x:v>33687</x:v>
      </x:c>
      <x:c r="C8456" s="0" t="s">
        <x:v>33688</x:v>
      </x:c>
      <x:c r="E8456" s="0" t="s">
        <x:v>33689</x:v>
      </x:c>
      <x:c r="F8456" s="0" t="s">
        <x:v>45</x:v>
      </x:c>
      <x:c r="G8456" s="0" t="s">
        <x:v>19</x:v>
      </x:c>
      <x:c r="H8456" s="0" t="s">
        <x:v>20</x:v>
      </x:c>
      <x:c r="I8456" s="0" t="s">
        <x:v>21</x:v>
      </x:c>
      <x:c r="K8456" s="0">
        <x:f>hyperlink("https://icd.who.int/dev11/l-ichi/en#/http%3A%2F%2Fid.who.int%2Ficd%2Fentity%2F483482956","browser")</x:f>
      </x:c>
      <x:c r="L8456" s="0">
        <x:f>hyperlink("https://icat2.azurewebsites.net/icat/?ontology=ICD&amp;tab=ClassesTab&amp;id=http%3A%2F%2Fwho.int%2Ficd%234314_9cd760cf_9e71_4bdb_b2ea_a3ed07921568","iCat")</x:f>
      </x:c>
      <x:c r="M8456" s="0" t="s">
        <x:v>21</x:v>
      </x:c>
      <x:c r="N8456" s="0" t="s">
        <x:v>46</x:v>
      </x:c>
    </x:row>
    <x:row r="8457" spans="1:16">
      <x:c r="A8457" s="0" t="s">
        <x:v>33690</x:v>
      </x:c>
      <x:c r="B8457" s="0" t="s">
        <x:v>33691</x:v>
      </x:c>
      <x:c r="C8457" s="0" t="s">
        <x:v>33692</x:v>
      </x:c>
      <x:c r="E8457" s="0" t="s">
        <x:v>33693</x:v>
      </x:c>
      <x:c r="F8457" s="0" t="s">
        <x:v>45</x:v>
      </x:c>
      <x:c r="G8457" s="0" t="s">
        <x:v>19</x:v>
      </x:c>
      <x:c r="H8457" s="0" t="s">
        <x:v>20</x:v>
      </x:c>
      <x:c r="I8457" s="0" t="s">
        <x:v>21</x:v>
      </x:c>
      <x:c r="K8457" s="0">
        <x:f>hyperlink("https://icd.who.int/dev11/l-ichi/en#/http%3A%2F%2Fid.who.int%2Ficd%2Fentity%2F1768413497","browser")</x:f>
      </x:c>
      <x:c r="L8457" s="0">
        <x:f>hyperlink("https://icat2.azurewebsites.net/icat/?ontology=ICD&amp;tab=ClassesTab&amp;id=http%3A%2F%2Fwho.int%2Ficd%234320_9cd760cf_9e71_4bdb_b2ea_a3ed07921568","iCat")</x:f>
      </x:c>
      <x:c r="M8457" s="0" t="s">
        <x:v>21</x:v>
      </x:c>
      <x:c r="N8457" s="0" t="s">
        <x:v>46</x:v>
      </x:c>
    </x:row>
    <x:row r="8458" spans="1:16">
      <x:c r="A8458" s="0" t="s">
        <x:v>33694</x:v>
      </x:c>
      <x:c r="B8458" s="0" t="s">
        <x:v>33695</x:v>
      </x:c>
      <x:c r="C8458" s="0" t="s">
        <x:v>33696</x:v>
      </x:c>
      <x:c r="E8458" s="0" t="s">
        <x:v>33697</x:v>
      </x:c>
      <x:c r="F8458" s="0" t="s">
        <x:v>45</x:v>
      </x:c>
      <x:c r="G8458" s="0" t="s">
        <x:v>19</x:v>
      </x:c>
      <x:c r="H8458" s="0" t="s">
        <x:v>20</x:v>
      </x:c>
      <x:c r="I8458" s="0" t="s">
        <x:v>21</x:v>
      </x:c>
      <x:c r="K8458" s="0">
        <x:f>hyperlink("https://icd.who.int/dev11/l-ichi/en#/http%3A%2F%2Fid.who.int%2Ficd%2Fentity%2F958136456","browser")</x:f>
      </x:c>
      <x:c r="L8458" s="0">
        <x:f>hyperlink("https://icat2.azurewebsites.net/icat/?ontology=ICD&amp;tab=ClassesTab&amp;id=http%3A%2F%2Fwho.int%2Ficd%234326_9cd760cf_9e71_4bdb_b2ea_a3ed07921568","iCat")</x:f>
      </x:c>
      <x:c r="M8458" s="0" t="s">
        <x:v>21</x:v>
      </x:c>
      <x:c r="N8458" s="0" t="s">
        <x:v>46</x:v>
      </x:c>
    </x:row>
    <x:row r="8459" spans="1:16">
      <x:c r="A8459" s="0" t="s">
        <x:v>33698</x:v>
      </x:c>
      <x:c r="B8459" s="0" t="s">
        <x:v>33699</x:v>
      </x:c>
      <x:c r="C8459" s="0" t="s">
        <x:v>33700</x:v>
      </x:c>
      <x:c r="E8459" s="0" t="s">
        <x:v>33701</x:v>
      </x:c>
      <x:c r="F8459" s="0" t="s">
        <x:v>45</x:v>
      </x:c>
      <x:c r="G8459" s="0" t="s">
        <x:v>19</x:v>
      </x:c>
      <x:c r="H8459" s="0" t="s">
        <x:v>20</x:v>
      </x:c>
      <x:c r="I8459" s="0" t="s">
        <x:v>21</x:v>
      </x:c>
      <x:c r="K8459" s="0">
        <x:f>hyperlink("https://icd.who.int/dev11/l-ichi/en#/http%3A%2F%2Fid.who.int%2Ficd%2Fentity%2F1725845931","browser")</x:f>
      </x:c>
      <x:c r="L8459" s="0">
        <x:f>hyperlink("https://icat2.azurewebsites.net/icat/?ontology=ICD&amp;tab=ClassesTab&amp;id=http%3A%2F%2Fwho.int%2Ficd%234332_9cd760cf_9e71_4bdb_b2ea_a3ed07921568","iCat")</x:f>
      </x:c>
      <x:c r="M8459" s="0" t="s">
        <x:v>21</x:v>
      </x:c>
      <x:c r="N8459" s="0" t="s">
        <x:v>46</x:v>
      </x:c>
    </x:row>
    <x:row r="8460" spans="1:16">
      <x:c r="A8460" s="0" t="s">
        <x:v>33702</x:v>
      </x:c>
      <x:c r="B8460" s="0" t="s">
        <x:v>33703</x:v>
      </x:c>
      <x:c r="C8460" s="0" t="s">
        <x:v>33704</x:v>
      </x:c>
      <x:c r="E8460" s="0" t="s">
        <x:v>33705</x:v>
      </x:c>
      <x:c r="F8460" s="0" t="s">
        <x:v>45</x:v>
      </x:c>
      <x:c r="G8460" s="0" t="s">
        <x:v>19</x:v>
      </x:c>
      <x:c r="H8460" s="0" t="s">
        <x:v>20</x:v>
      </x:c>
      <x:c r="I8460" s="0" t="s">
        <x:v>21</x:v>
      </x:c>
      <x:c r="K8460" s="0">
        <x:f>hyperlink("https://icd.who.int/dev11/l-ichi/en#/http%3A%2F%2Fid.who.int%2Ficd%2Fentity%2F1294155067","browser")</x:f>
      </x:c>
      <x:c r="L8460" s="0">
        <x:f>hyperlink("https://icat2.azurewebsites.net/icat/?ontology=ICD&amp;tab=ClassesTab&amp;id=http%3A%2F%2Fwho.int%2Ficd%234338_9cd760cf_9e71_4bdb_b2ea_a3ed07921568","iCat")</x:f>
      </x:c>
      <x:c r="M8460" s="0" t="s">
        <x:v>21</x:v>
      </x:c>
      <x:c r="N8460" s="0" t="s">
        <x:v>46</x:v>
      </x:c>
    </x:row>
    <x:row r="8461" spans="1:16">
      <x:c r="A8461" s="0" t="s">
        <x:v>33706</x:v>
      </x:c>
      <x:c r="B8461" s="0" t="s">
        <x:v>33707</x:v>
      </x:c>
      <x:c r="C8461" s="0" t="s">
        <x:v>33708</x:v>
      </x:c>
      <x:c r="E8461" s="0" t="s">
        <x:v>33709</x:v>
      </x:c>
      <x:c r="F8461" s="0" t="s">
        <x:v>45</x:v>
      </x:c>
      <x:c r="G8461" s="0" t="s">
        <x:v>19</x:v>
      </x:c>
      <x:c r="H8461" s="0" t="s">
        <x:v>20</x:v>
      </x:c>
      <x:c r="I8461" s="0" t="s">
        <x:v>21</x:v>
      </x:c>
      <x:c r="K8461" s="0">
        <x:f>hyperlink("https://icd.who.int/dev11/l-ichi/en#/http%3A%2F%2Fid.who.int%2Ficd%2Fentity%2F108239618","browser")</x:f>
      </x:c>
      <x:c r="L8461" s="0">
        <x:f>hyperlink("https://icat2.azurewebsites.net/icat/?ontology=ICD&amp;tab=ClassesTab&amp;id=http%3A%2F%2Fwho.int%2Ficd%234344_9cd760cf_9e71_4bdb_b2ea_a3ed07921568","iCat")</x:f>
      </x:c>
      <x:c r="M8461" s="0" t="s">
        <x:v>21</x:v>
      </x:c>
      <x:c r="N8461" s="0" t="s">
        <x:v>46</x:v>
      </x:c>
    </x:row>
    <x:row r="8462" spans="1:16">
      <x:c r="A8462" s="0" t="s">
        <x:v>33710</x:v>
      </x:c>
      <x:c r="B8462" s="0" t="s">
        <x:v>33711</x:v>
      </x:c>
      <x:c r="C8462" s="0" t="s">
        <x:v>33712</x:v>
      </x:c>
      <x:c r="E8462" s="0" t="s">
        <x:v>33713</x:v>
      </x:c>
      <x:c r="F8462" s="0" t="s">
        <x:v>45</x:v>
      </x:c>
      <x:c r="G8462" s="0" t="s">
        <x:v>19</x:v>
      </x:c>
      <x:c r="H8462" s="0" t="s">
        <x:v>20</x:v>
      </x:c>
      <x:c r="I8462" s="0" t="s">
        <x:v>21</x:v>
      </x:c>
      <x:c r="K8462" s="0">
        <x:f>hyperlink("https://icd.who.int/dev11/l-ichi/en#/http%3A%2F%2Fid.who.int%2Ficd%2Fentity%2F1504823843","browser")</x:f>
      </x:c>
      <x:c r="L8462" s="0">
        <x:f>hyperlink("https://icat2.azurewebsites.net/icat/?ontology=ICD&amp;tab=ClassesTab&amp;id=http%3A%2F%2Fwho.int%2Ficd%234350_9cd760cf_9e71_4bdb_b2ea_a3ed07921568","iCat")</x:f>
      </x:c>
      <x:c r="M8462" s="0" t="s">
        <x:v>21</x:v>
      </x:c>
      <x:c r="N8462" s="0" t="s">
        <x:v>46</x:v>
      </x:c>
    </x:row>
    <x:row r="8463" spans="1:16">
      <x:c r="A8463" s="0" t="s">
        <x:v>33714</x:v>
      </x:c>
      <x:c r="B8463" s="0" t="s">
        <x:v>33715</x:v>
      </x:c>
      <x:c r="C8463" s="0" t="s">
        <x:v>33716</x:v>
      </x:c>
      <x:c r="E8463" s="0" t="s">
        <x:v>33717</x:v>
      </x:c>
      <x:c r="F8463" s="0" t="s">
        <x:v>45</x:v>
      </x:c>
      <x:c r="G8463" s="0" t="s">
        <x:v>19</x:v>
      </x:c>
      <x:c r="H8463" s="0" t="s">
        <x:v>20</x:v>
      </x:c>
      <x:c r="I8463" s="0" t="s">
        <x:v>21</x:v>
      </x:c>
      <x:c r="K8463" s="0">
        <x:f>hyperlink("https://icd.who.int/dev11/l-ichi/en#/http%3A%2F%2Fid.who.int%2Ficd%2Fentity%2F164238228","browser")</x:f>
      </x:c>
      <x:c r="L8463" s="0">
        <x:f>hyperlink("https://icat2.azurewebsites.net/icat/?ontology=ICD&amp;tab=ClassesTab&amp;id=http%3A%2F%2Fwho.int%2Ficd%234356_9cd760cf_9e71_4bdb_b2ea_a3ed07921568","iCat")</x:f>
      </x:c>
      <x:c r="M8463" s="0" t="s">
        <x:v>21</x:v>
      </x:c>
      <x:c r="N8463" s="0" t="s">
        <x:v>46</x:v>
      </x:c>
    </x:row>
    <x:row r="8464" spans="1:16">
      <x:c r="A8464" s="0" t="s">
        <x:v>33718</x:v>
      </x:c>
      <x:c r="B8464" s="0" t="s">
        <x:v>33719</x:v>
      </x:c>
      <x:c r="C8464" s="0" t="s">
        <x:v>33720</x:v>
      </x:c>
      <x:c r="E8464" s="0" t="s">
        <x:v>33721</x:v>
      </x:c>
      <x:c r="F8464" s="0" t="s">
        <x:v>45</x:v>
      </x:c>
      <x:c r="G8464" s="0" t="s">
        <x:v>19</x:v>
      </x:c>
      <x:c r="H8464" s="0" t="s">
        <x:v>20</x:v>
      </x:c>
      <x:c r="I8464" s="0" t="s">
        <x:v>21</x:v>
      </x:c>
      <x:c r="K8464" s="0">
        <x:f>hyperlink("https://icd.who.int/dev11/l-ichi/en#/http%3A%2F%2Fid.who.int%2Ficd%2Fentity%2F1061076661","browser")</x:f>
      </x:c>
      <x:c r="L8464" s="0">
        <x:f>hyperlink("https://icat2.azurewebsites.net/icat/?ontology=ICD&amp;tab=ClassesTab&amp;id=http%3A%2F%2Fwho.int%2Ficd%2347717_512ebf36_bf6b_4d70_85da_cf2637062af4","iCat")</x:f>
      </x:c>
      <x:c r="M8464" s="0" t="s">
        <x:v>21</x:v>
      </x:c>
      <x:c r="N8464" s="0" t="s">
        <x:v>46</x:v>
      </x:c>
    </x:row>
    <x:row r="8465" spans="1:16">
      <x:c r="A8465" s="0" t="s">
        <x:v>33722</x:v>
      </x:c>
      <x:c r="B8465" s="0" t="s">
        <x:v>33723</x:v>
      </x:c>
      <x:c r="C8465" s="0" t="s">
        <x:v>33724</x:v>
      </x:c>
      <x:c r="E8465" s="0" t="s">
        <x:v>33725</x:v>
      </x:c>
      <x:c r="F8465" s="0" t="s">
        <x:v>45</x:v>
      </x:c>
      <x:c r="G8465" s="0" t="s">
        <x:v>19</x:v>
      </x:c>
      <x:c r="H8465" s="0" t="s">
        <x:v>20</x:v>
      </x:c>
      <x:c r="I8465" s="0" t="s">
        <x:v>21</x:v>
      </x:c>
      <x:c r="K8465" s="0">
        <x:f>hyperlink("https://icd.who.int/dev11/l-ichi/en#/http%3A%2F%2Fid.who.int%2Ficd%2Fentity%2F973771083","browser")</x:f>
      </x:c>
      <x:c r="L8465" s="0">
        <x:f>hyperlink("https://icat2.azurewebsites.net/icat/?ontology=ICD&amp;tab=ClassesTab&amp;id=http%3A%2F%2Fwho.int%2Ficd%2347724_512ebf36_bf6b_4d70_85da_cf2637062af4","iCat")</x:f>
      </x:c>
      <x:c r="M8465" s="0" t="s">
        <x:v>21</x:v>
      </x:c>
      <x:c r="N8465" s="0" t="s">
        <x:v>46</x:v>
      </x:c>
    </x:row>
    <x:row r="8466" spans="1:16">
      <x:c r="A8466" s="0" t="s">
        <x:v>33726</x:v>
      </x:c>
      <x:c r="B8466" s="0" t="s">
        <x:v>33727</x:v>
      </x:c>
      <x:c r="C8466" s="0" t="s">
        <x:v>33728</x:v>
      </x:c>
      <x:c r="E8466" s="0" t="s">
        <x:v>33729</x:v>
      </x:c>
      <x:c r="F8466" s="0" t="s">
        <x:v>45</x:v>
      </x:c>
      <x:c r="G8466" s="0" t="s">
        <x:v>19</x:v>
      </x:c>
      <x:c r="H8466" s="0" t="s">
        <x:v>20</x:v>
      </x:c>
      <x:c r="I8466" s="0" t="s">
        <x:v>21</x:v>
      </x:c>
      <x:c r="K8466" s="0">
        <x:f>hyperlink("https://icd.who.int/dev11/l-ichi/en#/http%3A%2F%2Fid.who.int%2Ficd%2Fentity%2F1160884820","browser")</x:f>
      </x:c>
      <x:c r="L8466" s="0">
        <x:f>hyperlink("https://icat2.azurewebsites.net/icat/?ontology=ICD&amp;tab=ClassesTab&amp;id=http%3A%2F%2Fwho.int%2Ficd%2347731_512ebf36_bf6b_4d70_85da_cf2637062af4","iCat")</x:f>
      </x:c>
      <x:c r="M8466" s="0" t="s">
        <x:v>21</x:v>
      </x:c>
      <x:c r="N8466" s="0" t="s">
        <x:v>46</x:v>
      </x:c>
    </x:row>
    <x:row r="8467" spans="1:16">
      <x:c r="A8467" s="0" t="s">
        <x:v>33730</x:v>
      </x:c>
      <x:c r="B8467" s="0" t="s">
        <x:v>33731</x:v>
      </x:c>
      <x:c r="C8467" s="0" t="s">
        <x:v>33732</x:v>
      </x:c>
      <x:c r="E8467" s="0" t="s">
        <x:v>33733</x:v>
      </x:c>
      <x:c r="F8467" s="0" t="s">
        <x:v>45</x:v>
      </x:c>
      <x:c r="G8467" s="0" t="s">
        <x:v>19</x:v>
      </x:c>
      <x:c r="H8467" s="0" t="s">
        <x:v>20</x:v>
      </x:c>
      <x:c r="I8467" s="0" t="s">
        <x:v>21</x:v>
      </x:c>
      <x:c r="K8467" s="0">
        <x:f>hyperlink("https://icd.who.int/dev11/l-ichi/en#/http%3A%2F%2Fid.who.int%2Ficd%2Fentity%2F1552279005","browser")</x:f>
      </x:c>
      <x:c r="L8467" s="0">
        <x:f>hyperlink("https://icat2.azurewebsites.net/icat/?ontology=ICD&amp;tab=ClassesTab&amp;id=http%3A%2F%2Fwho.int%2Ficd%234363_9cd760cf_9e71_4bdb_b2ea_a3ed07921568","iCat")</x:f>
      </x:c>
      <x:c r="M8467" s="0" t="s">
        <x:v>21</x:v>
      </x:c>
      <x:c r="N8467" s="0" t="s">
        <x:v>46</x:v>
      </x:c>
    </x:row>
    <x:row r="8468" spans="1:16">
      <x:c r="A8468" s="0" t="s">
        <x:v>33734</x:v>
      </x:c>
      <x:c r="B8468" s="0" t="s">
        <x:v>33735</x:v>
      </x:c>
      <x:c r="C8468" s="0" t="s">
        <x:v>33736</x:v>
      </x:c>
      <x:c r="E8468" s="0" t="s">
        <x:v>33737</x:v>
      </x:c>
      <x:c r="F8468" s="0" t="s">
        <x:v>45</x:v>
      </x:c>
      <x:c r="G8468" s="0" t="s">
        <x:v>19</x:v>
      </x:c>
      <x:c r="H8468" s="0" t="s">
        <x:v>20</x:v>
      </x:c>
      <x:c r="I8468" s="0" t="s">
        <x:v>21</x:v>
      </x:c>
      <x:c r="K8468" s="0">
        <x:f>hyperlink("https://icd.who.int/dev11/l-ichi/en#/http%3A%2F%2Fid.who.int%2Ficd%2Fentity%2F2004388173","browser")</x:f>
      </x:c>
      <x:c r="L8468" s="0">
        <x:f>hyperlink("https://icat2.azurewebsites.net/icat/?ontology=ICD&amp;tab=ClassesTab&amp;id=http%3A%2F%2Fwho.int%2Ficd%234369_9cd760cf_9e71_4bdb_b2ea_a3ed07921568","iCat")</x:f>
      </x:c>
      <x:c r="M8468" s="0" t="s">
        <x:v>21</x:v>
      </x:c>
      <x:c r="N8468" s="0" t="s">
        <x:v>46</x:v>
      </x:c>
    </x:row>
    <x:row r="8469" spans="1:16">
      <x:c r="A8469" s="0" t="s">
        <x:v>33738</x:v>
      </x:c>
      <x:c r="B8469" s="0" t="s">
        <x:v>33739</x:v>
      </x:c>
      <x:c r="C8469" s="0" t="s">
        <x:v>33740</x:v>
      </x:c>
      <x:c r="E8469" s="0" t="s">
        <x:v>33741</x:v>
      </x:c>
      <x:c r="F8469" s="0" t="s">
        <x:v>45</x:v>
      </x:c>
      <x:c r="G8469" s="0" t="s">
        <x:v>19</x:v>
      </x:c>
      <x:c r="H8469" s="0" t="s">
        <x:v>20</x:v>
      </x:c>
      <x:c r="I8469" s="0" t="s">
        <x:v>21</x:v>
      </x:c>
      <x:c r="K8469" s="0">
        <x:f>hyperlink("https://icd.who.int/dev11/l-ichi/en#/http%3A%2F%2Fid.who.int%2Ficd%2Fentity%2F1715185979","browser")</x:f>
      </x:c>
      <x:c r="L8469" s="0">
        <x:f>hyperlink("https://icat2.azurewebsites.net/icat/?ontology=ICD&amp;tab=ClassesTab&amp;id=http%3A%2F%2Fwho.int%2Ficd%234375_9cd760cf_9e71_4bdb_b2ea_a3ed07921568","iCat")</x:f>
      </x:c>
      <x:c r="M8469" s="0" t="s">
        <x:v>21</x:v>
      </x:c>
      <x:c r="N8469" s="0" t="s">
        <x:v>46</x:v>
      </x:c>
    </x:row>
    <x:row r="8470" spans="1:16">
      <x:c r="A8470" s="0" t="s">
        <x:v>33742</x:v>
      </x:c>
      <x:c r="B8470" s="0" t="s">
        <x:v>33743</x:v>
      </x:c>
      <x:c r="C8470" s="0" t="s">
        <x:v>33744</x:v>
      </x:c>
      <x:c r="E8470" s="0" t="s">
        <x:v>33745</x:v>
      </x:c>
      <x:c r="F8470" s="0" t="s">
        <x:v>45</x:v>
      </x:c>
      <x:c r="G8470" s="0" t="s">
        <x:v>19</x:v>
      </x:c>
      <x:c r="H8470" s="0" t="s">
        <x:v>20</x:v>
      </x:c>
      <x:c r="I8470" s="0" t="s">
        <x:v>21</x:v>
      </x:c>
      <x:c r="K8470" s="0">
        <x:f>hyperlink("https://icd.who.int/dev11/l-ichi/en#/http%3A%2F%2Fid.who.int%2Ficd%2Fentity%2F2094737297","browser")</x:f>
      </x:c>
      <x:c r="L8470" s="0">
        <x:f>hyperlink("https://icat2.azurewebsites.net/icat/?ontology=ICD&amp;tab=ClassesTab&amp;id=http%3A%2F%2Fwho.int%2Ficd%234381_9cd760cf_9e71_4bdb_b2ea_a3ed07921568","iCat")</x:f>
      </x:c>
      <x:c r="M8470" s="0" t="s">
        <x:v>21</x:v>
      </x:c>
      <x:c r="N8470" s="0" t="s">
        <x:v>46</x:v>
      </x:c>
    </x:row>
    <x:row r="8471" spans="1:16">
      <x:c r="A8471" s="0" t="s">
        <x:v>33746</x:v>
      </x:c>
      <x:c r="B8471" s="0" t="s">
        <x:v>33747</x:v>
      </x:c>
      <x:c r="C8471" s="0" t="s">
        <x:v>33748</x:v>
      </x:c>
      <x:c r="E8471" s="0" t="s">
        <x:v>33749</x:v>
      </x:c>
      <x:c r="F8471" s="0" t="s">
        <x:v>45</x:v>
      </x:c>
      <x:c r="G8471" s="0" t="s">
        <x:v>19</x:v>
      </x:c>
      <x:c r="H8471" s="0" t="s">
        <x:v>20</x:v>
      </x:c>
      <x:c r="I8471" s="0" t="s">
        <x:v>21</x:v>
      </x:c>
      <x:c r="K8471" s="0">
        <x:f>hyperlink("https://icd.who.int/dev11/l-ichi/en#/http%3A%2F%2Fid.who.int%2Ficd%2Fentity%2F748748322","browser")</x:f>
      </x:c>
      <x:c r="L8471" s="0">
        <x:f>hyperlink("https://icat2.azurewebsites.net/icat/?ontology=ICD&amp;tab=ClassesTab&amp;id=http%3A%2F%2Fwho.int%2Ficd%234387_9cd760cf_9e71_4bdb_b2ea_a3ed07921568","iCat")</x:f>
      </x:c>
      <x:c r="M8471" s="0" t="s">
        <x:v>21</x:v>
      </x:c>
      <x:c r="N8471" s="0" t="s">
        <x:v>46</x:v>
      </x:c>
    </x:row>
    <x:row r="8472" spans="1:16">
      <x:c r="A8472" s="0" t="s">
        <x:v>33750</x:v>
      </x:c>
      <x:c r="B8472" s="0" t="s">
        <x:v>33751</x:v>
      </x:c>
      <x:c r="C8472" s="0" t="s">
        <x:v>33752</x:v>
      </x:c>
      <x:c r="E8472" s="0" t="s">
        <x:v>33753</x:v>
      </x:c>
      <x:c r="F8472" s="0" t="s">
        <x:v>45</x:v>
      </x:c>
      <x:c r="G8472" s="0" t="s">
        <x:v>19</x:v>
      </x:c>
      <x:c r="H8472" s="0" t="s">
        <x:v>20</x:v>
      </x:c>
      <x:c r="I8472" s="0" t="s">
        <x:v>21</x:v>
      </x:c>
      <x:c r="K8472" s="0">
        <x:f>hyperlink("https://icd.who.int/dev11/l-ichi/en#/http%3A%2F%2Fid.who.int%2Ficd%2Fentity%2F1935847171","browser")</x:f>
      </x:c>
      <x:c r="L8472" s="0">
        <x:f>hyperlink("https://icat2.azurewebsites.net/icat/?ontology=ICD&amp;tab=ClassesTab&amp;id=http%3A%2F%2Fwho.int%2Ficd%234393_9cd760cf_9e71_4bdb_b2ea_a3ed07921568","iCat")</x:f>
      </x:c>
      <x:c r="M8472" s="0" t="s">
        <x:v>21</x:v>
      </x:c>
      <x:c r="N8472" s="0" t="s">
        <x:v>46</x:v>
      </x:c>
    </x:row>
    <x:row r="8473" spans="1:16">
      <x:c r="A8473" s="0" t="s">
        <x:v>33754</x:v>
      </x:c>
      <x:c r="B8473" s="0" t="s">
        <x:v>33755</x:v>
      </x:c>
      <x:c r="C8473" s="0" t="s">
        <x:v>33756</x:v>
      </x:c>
      <x:c r="E8473" s="0" t="s">
        <x:v>33757</x:v>
      </x:c>
      <x:c r="F8473" s="0" t="s">
        <x:v>45</x:v>
      </x:c>
      <x:c r="G8473" s="0" t="s">
        <x:v>19</x:v>
      </x:c>
      <x:c r="H8473" s="0" t="s">
        <x:v>20</x:v>
      </x:c>
      <x:c r="I8473" s="0" t="s">
        <x:v>21</x:v>
      </x:c>
      <x:c r="K8473" s="0">
        <x:f>hyperlink("https://icd.who.int/dev11/l-ichi/en#/http%3A%2F%2Fid.who.int%2Ficd%2Fentity%2F1486865299","browser")</x:f>
      </x:c>
      <x:c r="L8473" s="0">
        <x:f>hyperlink("https://icat2.azurewebsites.net/icat/?ontology=ICD&amp;tab=ClassesTab&amp;id=http%3A%2F%2Fwho.int%2Ficd%234399_9cd760cf_9e71_4bdb_b2ea_a3ed07921568","iCat")</x:f>
      </x:c>
      <x:c r="M8473" s="0" t="s">
        <x:v>21</x:v>
      </x:c>
      <x:c r="N8473" s="0" t="s">
        <x:v>46</x:v>
      </x:c>
    </x:row>
    <x:row r="8474" spans="1:16">
      <x:c r="A8474" s="0" t="s">
        <x:v>33758</x:v>
      </x:c>
      <x:c r="B8474" s="0" t="s">
        <x:v>33759</x:v>
      </x:c>
      <x:c r="C8474" s="0" t="s">
        <x:v>33760</x:v>
      </x:c>
      <x:c r="E8474" s="0" t="s">
        <x:v>33761</x:v>
      </x:c>
      <x:c r="F8474" s="0" t="s">
        <x:v>45</x:v>
      </x:c>
      <x:c r="G8474" s="0" t="s">
        <x:v>19</x:v>
      </x:c>
      <x:c r="H8474" s="0" t="s">
        <x:v>20</x:v>
      </x:c>
      <x:c r="I8474" s="0" t="s">
        <x:v>21</x:v>
      </x:c>
      <x:c r="K8474" s="0">
        <x:f>hyperlink("https://icd.who.int/dev11/l-ichi/en#/http%3A%2F%2Fid.who.int%2Ficd%2Fentity%2F985403981","browser")</x:f>
      </x:c>
      <x:c r="L8474" s="0">
        <x:f>hyperlink("https://icat2.azurewebsites.net/icat/?ontology=ICD&amp;tab=ClassesTab&amp;id=http%3A%2F%2Fwho.int%2Ficd%234405_9cd760cf_9e71_4bdb_b2ea_a3ed07921568","iCat")</x:f>
      </x:c>
      <x:c r="M8474" s="0" t="s">
        <x:v>21</x:v>
      </x:c>
      <x:c r="N8474" s="0" t="s">
        <x:v>46</x:v>
      </x:c>
    </x:row>
    <x:row r="8475" spans="1:16">
      <x:c r="A8475" s="0" t="s">
        <x:v>33762</x:v>
      </x:c>
      <x:c r="B8475" s="0" t="s">
        <x:v>33763</x:v>
      </x:c>
      <x:c r="C8475" s="0" t="s">
        <x:v>33764</x:v>
      </x:c>
      <x:c r="E8475" s="0" t="s">
        <x:v>33765</x:v>
      </x:c>
      <x:c r="F8475" s="0" t="s">
        <x:v>45</x:v>
      </x:c>
      <x:c r="G8475" s="0" t="s">
        <x:v>19</x:v>
      </x:c>
      <x:c r="H8475" s="0" t="s">
        <x:v>20</x:v>
      </x:c>
      <x:c r="I8475" s="0" t="s">
        <x:v>21</x:v>
      </x:c>
      <x:c r="K8475" s="0">
        <x:f>hyperlink("https://icd.who.int/dev11/l-ichi/en#/http%3A%2F%2Fid.who.int%2Ficd%2Fentity%2F1702773614","browser")</x:f>
      </x:c>
      <x:c r="L8475" s="0">
        <x:f>hyperlink("https://icat2.azurewebsites.net/icat/?ontology=ICD&amp;tab=ClassesTab&amp;id=http%3A%2F%2Fwho.int%2Ficd%234411_9cd760cf_9e71_4bdb_b2ea_a3ed07921568","iCat")</x:f>
      </x:c>
      <x:c r="M8475" s="0" t="s">
        <x:v>21</x:v>
      </x:c>
      <x:c r="N8475" s="0" t="s">
        <x:v>46</x:v>
      </x:c>
    </x:row>
    <x:row r="8476" spans="1:16">
      <x:c r="A8476" s="0" t="s">
        <x:v>33766</x:v>
      </x:c>
      <x:c r="B8476" s="0" t="s">
        <x:v>33767</x:v>
      </x:c>
      <x:c r="C8476" s="0" t="s">
        <x:v>33768</x:v>
      </x:c>
      <x:c r="E8476" s="0" t="s">
        <x:v>33769</x:v>
      </x:c>
      <x:c r="F8476" s="0" t="s">
        <x:v>45</x:v>
      </x:c>
      <x:c r="G8476" s="0" t="s">
        <x:v>19</x:v>
      </x:c>
      <x:c r="H8476" s="0" t="s">
        <x:v>20</x:v>
      </x:c>
      <x:c r="I8476" s="0" t="s">
        <x:v>21</x:v>
      </x:c>
      <x:c r="K8476" s="0">
        <x:f>hyperlink("https://icd.who.int/dev11/l-ichi/en#/http%3A%2F%2Fid.who.int%2Ficd%2Fentity%2F889559775","browser")</x:f>
      </x:c>
      <x:c r="L8476" s="0">
        <x:f>hyperlink("https://icat2.azurewebsites.net/icat/?ontology=ICD&amp;tab=ClassesTab&amp;id=http%3A%2F%2Fwho.int%2Ficd%234417_9cd760cf_9e71_4bdb_b2ea_a3ed07921568","iCat")</x:f>
      </x:c>
      <x:c r="M8476" s="0" t="s">
        <x:v>21</x:v>
      </x:c>
      <x:c r="N8476" s="0" t="s">
        <x:v>46</x:v>
      </x:c>
    </x:row>
    <x:row r="8477" spans="1:16">
      <x:c r="A8477" s="0" t="s">
        <x:v>33770</x:v>
      </x:c>
      <x:c r="B8477" s="0" t="s">
        <x:v>33771</x:v>
      </x:c>
      <x:c r="C8477" s="0" t="s">
        <x:v>33772</x:v>
      </x:c>
      <x:c r="E8477" s="0" t="s">
        <x:v>33773</x:v>
      </x:c>
      <x:c r="F8477" s="0" t="s">
        <x:v>45</x:v>
      </x:c>
      <x:c r="G8477" s="0" t="s">
        <x:v>19</x:v>
      </x:c>
      <x:c r="H8477" s="0" t="s">
        <x:v>20</x:v>
      </x:c>
      <x:c r="I8477" s="0" t="s">
        <x:v>21</x:v>
      </x:c>
      <x:c r="K8477" s="0">
        <x:f>hyperlink("https://icd.who.int/dev11/l-ichi/en#/http%3A%2F%2Fid.who.int%2Ficd%2Fentity%2F1085480622","browser")</x:f>
      </x:c>
      <x:c r="L8477" s="0">
        <x:f>hyperlink("https://icat2.azurewebsites.net/icat/?ontology=ICD&amp;tab=ClassesTab&amp;id=http%3A%2F%2Fwho.int%2Ficd%234423_9cd760cf_9e71_4bdb_b2ea_a3ed07921568","iCat")</x:f>
      </x:c>
      <x:c r="M8477" s="0" t="s">
        <x:v>21</x:v>
      </x:c>
      <x:c r="N8477" s="0" t="s">
        <x:v>46</x:v>
      </x:c>
    </x:row>
    <x:row r="8478" spans="1:16">
      <x:c r="A8478" s="0" t="s">
        <x:v>33774</x:v>
      </x:c>
      <x:c r="B8478" s="0" t="s">
        <x:v>33775</x:v>
      </x:c>
      <x:c r="C8478" s="0" t="s">
        <x:v>33776</x:v>
      </x:c>
      <x:c r="E8478" s="0" t="s">
        <x:v>33777</x:v>
      </x:c>
      <x:c r="F8478" s="0" t="s">
        <x:v>45</x:v>
      </x:c>
      <x:c r="G8478" s="0" t="s">
        <x:v>19</x:v>
      </x:c>
      <x:c r="H8478" s="0" t="s">
        <x:v>20</x:v>
      </x:c>
      <x:c r="I8478" s="0" t="s">
        <x:v>21</x:v>
      </x:c>
      <x:c r="K8478" s="0">
        <x:f>hyperlink("https://icd.who.int/dev11/l-ichi/en#/http%3A%2F%2Fid.who.int%2Ficd%2Fentity%2F1800303166","browser")</x:f>
      </x:c>
      <x:c r="L8478" s="0">
        <x:f>hyperlink("https://icat2.azurewebsites.net/icat/?ontology=ICD&amp;tab=ClassesTab&amp;id=http%3A%2F%2Fwho.int%2Ficd%234429_9cd760cf_9e71_4bdb_b2ea_a3ed07921568","iCat")</x:f>
      </x:c>
      <x:c r="M8478" s="0" t="s">
        <x:v>21</x:v>
      </x:c>
      <x:c r="N8478" s="0" t="s">
        <x:v>46</x:v>
      </x:c>
    </x:row>
    <x:row r="8479" spans="1:16">
      <x:c r="A8479" s="0" t="s">
        <x:v>33778</x:v>
      </x:c>
      <x:c r="B8479" s="0" t="s">
        <x:v>33779</x:v>
      </x:c>
      <x:c r="C8479" s="0" t="s">
        <x:v>33780</x:v>
      </x:c>
      <x:c r="E8479" s="0" t="s">
        <x:v>33781</x:v>
      </x:c>
      <x:c r="F8479" s="0" t="s">
        <x:v>45</x:v>
      </x:c>
      <x:c r="G8479" s="0" t="s">
        <x:v>19</x:v>
      </x:c>
      <x:c r="H8479" s="0" t="s">
        <x:v>20</x:v>
      </x:c>
      <x:c r="I8479" s="0" t="s">
        <x:v>21</x:v>
      </x:c>
      <x:c r="K8479" s="0">
        <x:f>hyperlink("https://icd.who.int/dev11/l-ichi/en#/http%3A%2F%2Fid.who.int%2Ficd%2Fentity%2F726249789","browser")</x:f>
      </x:c>
      <x:c r="L8479" s="0">
        <x:f>hyperlink("https://icat2.azurewebsites.net/icat/?ontology=ICD&amp;tab=ClassesTab&amp;id=http%3A%2F%2Fwho.int%2Ficd%2347738_512ebf36_bf6b_4d70_85da_cf2637062af4","iCat")</x:f>
      </x:c>
      <x:c r="M8479" s="0" t="s">
        <x:v>21</x:v>
      </x:c>
      <x:c r="N8479" s="0" t="s">
        <x:v>46</x:v>
      </x:c>
    </x:row>
    <x:row r="8480" spans="1:16">
      <x:c r="A8480" s="0" t="s">
        <x:v>33782</x:v>
      </x:c>
      <x:c r="B8480" s="0" t="s">
        <x:v>33783</x:v>
      </x:c>
      <x:c r="C8480" s="0" t="s">
        <x:v>33784</x:v>
      </x:c>
      <x:c r="E8480" s="0" t="s">
        <x:v>33785</x:v>
      </x:c>
      <x:c r="F8480" s="0" t="s">
        <x:v>45</x:v>
      </x:c>
      <x:c r="G8480" s="0" t="s">
        <x:v>19</x:v>
      </x:c>
      <x:c r="H8480" s="0" t="s">
        <x:v>20</x:v>
      </x:c>
      <x:c r="I8480" s="0" t="s">
        <x:v>21</x:v>
      </x:c>
      <x:c r="K8480" s="0">
        <x:f>hyperlink("https://icd.who.int/dev11/l-ichi/en#/http%3A%2F%2Fid.who.int%2Ficd%2Fentity%2F1088447802","browser")</x:f>
      </x:c>
      <x:c r="L8480" s="0">
        <x:f>hyperlink("https://icat2.azurewebsites.net/icat/?ontology=ICD&amp;tab=ClassesTab&amp;id=http%3A%2F%2Fwho.int%2Ficd%2347745_512ebf36_bf6b_4d70_85da_cf2637062af4","iCat")</x:f>
      </x:c>
      <x:c r="M8480" s="0" t="s">
        <x:v>21</x:v>
      </x:c>
      <x:c r="N8480" s="0" t="s">
        <x:v>46</x:v>
      </x:c>
    </x:row>
    <x:row r="8481" spans="1:16">
      <x:c r="A8481" s="0" t="s">
        <x:v>33786</x:v>
      </x:c>
      <x:c r="B8481" s="0" t="s">
        <x:v>33787</x:v>
      </x:c>
      <x:c r="C8481" s="0" t="s">
        <x:v>33788</x:v>
      </x:c>
      <x:c r="E8481" s="0" t="s">
        <x:v>33789</x:v>
      </x:c>
      <x:c r="F8481" s="0" t="s">
        <x:v>45</x:v>
      </x:c>
      <x:c r="G8481" s="0" t="s">
        <x:v>19</x:v>
      </x:c>
      <x:c r="H8481" s="0" t="s">
        <x:v>20</x:v>
      </x:c>
      <x:c r="I8481" s="0" t="s">
        <x:v>21</x:v>
      </x:c>
      <x:c r="K8481" s="0">
        <x:f>hyperlink("https://icd.who.int/dev11/l-ichi/en#/http%3A%2F%2Fid.who.int%2Ficd%2Fentity%2F1520917472","browser")</x:f>
      </x:c>
      <x:c r="L8481" s="0">
        <x:f>hyperlink("https://icat2.azurewebsites.net/icat/?ontology=ICD&amp;tab=ClassesTab&amp;id=http%3A%2F%2Fwho.int%2Ficd%2347752_512ebf36_bf6b_4d70_85da_cf2637062af4","iCat")</x:f>
      </x:c>
      <x:c r="M8481" s="0" t="s">
        <x:v>21</x:v>
      </x:c>
      <x:c r="N8481" s="0" t="s">
        <x:v>46</x:v>
      </x:c>
    </x:row>
    <x:row r="8482" spans="1:16">
      <x:c r="A8482" s="0" t="s">
        <x:v>33790</x:v>
      </x:c>
      <x:c r="B8482" s="0" t="s">
        <x:v>33791</x:v>
      </x:c>
      <x:c r="C8482" s="0" t="s">
        <x:v>33792</x:v>
      </x:c>
      <x:c r="E8482" s="0" t="s">
        <x:v>33793</x:v>
      </x:c>
      <x:c r="F8482" s="0" t="s">
        <x:v>45</x:v>
      </x:c>
      <x:c r="G8482" s="0" t="s">
        <x:v>19</x:v>
      </x:c>
      <x:c r="H8482" s="0" t="s">
        <x:v>20</x:v>
      </x:c>
      <x:c r="I8482" s="0" t="s">
        <x:v>21</x:v>
      </x:c>
      <x:c r="K8482" s="0">
        <x:f>hyperlink("https://icd.who.int/dev11/l-ichi/en#/http%3A%2F%2Fid.who.int%2Ficd%2Fentity%2F525864289","browser")</x:f>
      </x:c>
      <x:c r="L8482" s="0">
        <x:f>hyperlink("https://icat2.azurewebsites.net/icat/?ontology=ICD&amp;tab=ClassesTab&amp;id=http%3A%2F%2Fwho.int%2Ficd%234503_9cd760cf_9e71_4bdb_b2ea_a3ed07921568","iCat")</x:f>
      </x:c>
      <x:c r="M8482" s="0" t="s">
        <x:v>21</x:v>
      </x:c>
      <x:c r="N8482" s="0" t="s">
        <x:v>46</x:v>
      </x:c>
    </x:row>
    <x:row r="8483" spans="1:16">
      <x:c r="A8483" s="0" t="s">
        <x:v>33794</x:v>
      </x:c>
      <x:c r="B8483" s="0" t="s">
        <x:v>33795</x:v>
      </x:c>
      <x:c r="C8483" s="0" t="s">
        <x:v>33796</x:v>
      </x:c>
      <x:c r="E8483" s="0" t="s">
        <x:v>33797</x:v>
      </x:c>
      <x:c r="F8483" s="0" t="s">
        <x:v>45</x:v>
      </x:c>
      <x:c r="G8483" s="0" t="s">
        <x:v>19</x:v>
      </x:c>
      <x:c r="H8483" s="0" t="s">
        <x:v>20</x:v>
      </x:c>
      <x:c r="I8483" s="0" t="s">
        <x:v>21</x:v>
      </x:c>
      <x:c r="K8483" s="0">
        <x:f>hyperlink("https://icd.who.int/dev11/l-ichi/en#/http%3A%2F%2Fid.who.int%2Ficd%2Fentity%2F883253745","browser")</x:f>
      </x:c>
      <x:c r="L8483" s="0">
        <x:f>hyperlink("https://icat2.azurewebsites.net/icat/?ontology=ICD&amp;tab=ClassesTab&amp;id=http%3A%2F%2Fwho.int%2Ficd%234509_9cd760cf_9e71_4bdb_b2ea_a3ed07921568","iCat")</x:f>
      </x:c>
      <x:c r="M8483" s="0" t="s">
        <x:v>21</x:v>
      </x:c>
      <x:c r="N8483" s="0" t="s">
        <x:v>46</x:v>
      </x:c>
    </x:row>
    <x:row r="8484" spans="1:16">
      <x:c r="A8484" s="0" t="s">
        <x:v>33798</x:v>
      </x:c>
      <x:c r="B8484" s="0" t="s">
        <x:v>33799</x:v>
      </x:c>
      <x:c r="C8484" s="0" t="s">
        <x:v>33800</x:v>
      </x:c>
      <x:c r="E8484" s="0" t="s">
        <x:v>33801</x:v>
      </x:c>
      <x:c r="F8484" s="0" t="s">
        <x:v>45</x:v>
      </x:c>
      <x:c r="G8484" s="0" t="s">
        <x:v>19</x:v>
      </x:c>
      <x:c r="H8484" s="0" t="s">
        <x:v>20</x:v>
      </x:c>
      <x:c r="I8484" s="0" t="s">
        <x:v>21</x:v>
      </x:c>
      <x:c r="K8484" s="0">
        <x:f>hyperlink("https://icd.who.int/dev11/l-ichi/en#/http%3A%2F%2Fid.who.int%2Ficd%2Fentity%2F635847047","browser")</x:f>
      </x:c>
      <x:c r="L8484" s="0">
        <x:f>hyperlink("https://icat2.azurewebsites.net/icat/?ontology=ICD&amp;tab=ClassesTab&amp;id=http%3A%2F%2Fwho.int%2Ficd%234515_9cd760cf_9e71_4bdb_b2ea_a3ed07921568","iCat")</x:f>
      </x:c>
      <x:c r="M8484" s="0" t="s">
        <x:v>21</x:v>
      </x:c>
      <x:c r="N8484" s="0" t="s">
        <x:v>46</x:v>
      </x:c>
    </x:row>
    <x:row r="8485" spans="1:16">
      <x:c r="A8485" s="0" t="s">
        <x:v>33802</x:v>
      </x:c>
      <x:c r="B8485" s="0" t="s">
        <x:v>33803</x:v>
      </x:c>
      <x:c r="C8485" s="0" t="s">
        <x:v>33804</x:v>
      </x:c>
      <x:c r="E8485" s="0" t="s">
        <x:v>33805</x:v>
      </x:c>
      <x:c r="F8485" s="0" t="s">
        <x:v>45</x:v>
      </x:c>
      <x:c r="G8485" s="0" t="s">
        <x:v>19</x:v>
      </x:c>
      <x:c r="H8485" s="0" t="s">
        <x:v>20</x:v>
      </x:c>
      <x:c r="I8485" s="0" t="s">
        <x:v>21</x:v>
      </x:c>
      <x:c r="K8485" s="0">
        <x:f>hyperlink("https://icd.who.int/dev11/l-ichi/en#/http%3A%2F%2Fid.who.int%2Ficd%2Fentity%2F1347470838","browser")</x:f>
      </x:c>
      <x:c r="L8485" s="0">
        <x:f>hyperlink("https://icat2.azurewebsites.net/icat/?ontology=ICD&amp;tab=ClassesTab&amp;id=http%3A%2F%2Fwho.int%2Ficd%234521_9cd760cf_9e71_4bdb_b2ea_a3ed07921568","iCat")</x:f>
      </x:c>
      <x:c r="M8485" s="0" t="s">
        <x:v>21</x:v>
      </x:c>
      <x:c r="N8485" s="0" t="s">
        <x:v>46</x:v>
      </x:c>
    </x:row>
    <x:row r="8486" spans="1:16">
      <x:c r="A8486" s="0" t="s">
        <x:v>33806</x:v>
      </x:c>
      <x:c r="B8486" s="0" t="s">
        <x:v>33807</x:v>
      </x:c>
      <x:c r="C8486" s="0" t="s">
        <x:v>33808</x:v>
      </x:c>
      <x:c r="E8486" s="0" t="s">
        <x:v>33809</x:v>
      </x:c>
      <x:c r="F8486" s="0" t="s">
        <x:v>45</x:v>
      </x:c>
      <x:c r="G8486" s="0" t="s">
        <x:v>19</x:v>
      </x:c>
      <x:c r="H8486" s="0" t="s">
        <x:v>20</x:v>
      </x:c>
      <x:c r="I8486" s="0" t="s">
        <x:v>21</x:v>
      </x:c>
      <x:c r="K8486" s="0">
        <x:f>hyperlink("https://icd.who.int/dev11/l-ichi/en#/http%3A%2F%2Fid.who.int%2Ficd%2Fentity%2F2825285","browser")</x:f>
      </x:c>
      <x:c r="L8486" s="0">
        <x:f>hyperlink("https://icat2.azurewebsites.net/icat/?ontology=ICD&amp;tab=ClassesTab&amp;id=http%3A%2F%2Fwho.int%2Ficd%234527_9cd760cf_9e71_4bdb_b2ea_a3ed07921568","iCat")</x:f>
      </x:c>
      <x:c r="M8486" s="0" t="s">
        <x:v>21</x:v>
      </x:c>
      <x:c r="N8486" s="0" t="s">
        <x:v>46</x:v>
      </x:c>
    </x:row>
    <x:row r="8487" spans="1:16">
      <x:c r="A8487" s="0" t="s">
        <x:v>33810</x:v>
      </x:c>
      <x:c r="B8487" s="0" t="s">
        <x:v>33811</x:v>
      </x:c>
      <x:c r="C8487" s="0" t="s">
        <x:v>33812</x:v>
      </x:c>
      <x:c r="E8487" s="0" t="s">
        <x:v>33813</x:v>
      </x:c>
      <x:c r="F8487" s="0" t="s">
        <x:v>45</x:v>
      </x:c>
      <x:c r="G8487" s="0" t="s">
        <x:v>19</x:v>
      </x:c>
      <x:c r="H8487" s="0" t="s">
        <x:v>20</x:v>
      </x:c>
      <x:c r="I8487" s="0" t="s">
        <x:v>21</x:v>
      </x:c>
      <x:c r="K8487" s="0">
        <x:f>hyperlink("https://icd.who.int/dev11/l-ichi/en#/http%3A%2F%2Fid.who.int%2Ficd%2Fentity%2F1609125224","browser")</x:f>
      </x:c>
      <x:c r="L8487" s="0">
        <x:f>hyperlink("https://icat2.azurewebsites.net/icat/?ontology=ICD&amp;tab=ClassesTab&amp;id=http%3A%2F%2Fwho.int%2Ficd%234533_9cd760cf_9e71_4bdb_b2ea_a3ed07921568","iCat")</x:f>
      </x:c>
      <x:c r="M8487" s="0" t="s">
        <x:v>21</x:v>
      </x:c>
      <x:c r="N8487" s="0" t="s">
        <x:v>46</x:v>
      </x:c>
    </x:row>
    <x:row r="8488" spans="1:16">
      <x:c r="A8488" s="0" t="s">
        <x:v>33814</x:v>
      </x:c>
      <x:c r="B8488" s="0" t="s">
        <x:v>33815</x:v>
      </x:c>
      <x:c r="C8488" s="0" t="s">
        <x:v>33816</x:v>
      </x:c>
      <x:c r="E8488" s="0" t="s">
        <x:v>33817</x:v>
      </x:c>
      <x:c r="F8488" s="0" t="s">
        <x:v>45</x:v>
      </x:c>
      <x:c r="G8488" s="0" t="s">
        <x:v>19</x:v>
      </x:c>
      <x:c r="H8488" s="0" t="s">
        <x:v>20</x:v>
      </x:c>
      <x:c r="I8488" s="0" t="s">
        <x:v>21</x:v>
      </x:c>
      <x:c r="K8488" s="0">
        <x:f>hyperlink("https://icd.who.int/dev11/l-ichi/en#/http%3A%2F%2Fid.who.int%2Ficd%2Fentity%2F1947476472","browser")</x:f>
      </x:c>
      <x:c r="L8488" s="0">
        <x:f>hyperlink("https://icat2.azurewebsites.net/icat/?ontology=ICD&amp;tab=ClassesTab&amp;id=http%3A%2F%2Fwho.int%2Ficd%234539_9cd760cf_9e71_4bdb_b2ea_a3ed07921568","iCat")</x:f>
      </x:c>
      <x:c r="M8488" s="0" t="s">
        <x:v>21</x:v>
      </x:c>
      <x:c r="N8488" s="0" t="s">
        <x:v>46</x:v>
      </x:c>
    </x:row>
    <x:row r="8489" spans="1:16">
      <x:c r="A8489" s="0" t="s">
        <x:v>33818</x:v>
      </x:c>
      <x:c r="B8489" s="0" t="s">
        <x:v>33819</x:v>
      </x:c>
      <x:c r="C8489" s="0" t="s">
        <x:v>33820</x:v>
      </x:c>
      <x:c r="E8489" s="0" t="s">
        <x:v>33821</x:v>
      </x:c>
      <x:c r="F8489" s="0" t="s">
        <x:v>45</x:v>
      </x:c>
      <x:c r="G8489" s="0" t="s">
        <x:v>19</x:v>
      </x:c>
      <x:c r="H8489" s="0" t="s">
        <x:v>20</x:v>
      </x:c>
      <x:c r="I8489" s="0" t="s">
        <x:v>21</x:v>
      </x:c>
      <x:c r="K8489" s="0">
        <x:f>hyperlink("https://icd.who.int/dev11/l-ichi/en#/http%3A%2F%2Fid.who.int%2Ficd%2Fentity%2F1061455821","browser")</x:f>
      </x:c>
      <x:c r="L8489" s="0">
        <x:f>hyperlink("https://icat2.azurewebsites.net/icat/?ontology=ICD&amp;tab=ClassesTab&amp;id=http%3A%2F%2Fwho.int%2Ficd%234545_9cd760cf_9e71_4bdb_b2ea_a3ed07921568","iCat")</x:f>
      </x:c>
      <x:c r="M8489" s="0" t="s">
        <x:v>21</x:v>
      </x:c>
      <x:c r="N8489" s="0" t="s">
        <x:v>46</x:v>
      </x:c>
    </x:row>
    <x:row r="8490" spans="1:16">
      <x:c r="A8490" s="0" t="s">
        <x:v>33822</x:v>
      </x:c>
      <x:c r="B8490" s="0" t="s">
        <x:v>33823</x:v>
      </x:c>
      <x:c r="C8490" s="0" t="s">
        <x:v>33824</x:v>
      </x:c>
      <x:c r="E8490" s="0" t="s">
        <x:v>33825</x:v>
      </x:c>
      <x:c r="F8490" s="0" t="s">
        <x:v>45</x:v>
      </x:c>
      <x:c r="G8490" s="0" t="s">
        <x:v>19</x:v>
      </x:c>
      <x:c r="H8490" s="0" t="s">
        <x:v>20</x:v>
      </x:c>
      <x:c r="I8490" s="0" t="s">
        <x:v>21</x:v>
      </x:c>
      <x:c r="K8490" s="0">
        <x:f>hyperlink("https://icd.who.int/dev11/l-ichi/en#/http%3A%2F%2Fid.who.int%2Ficd%2Fentity%2F1619449582","browser")</x:f>
      </x:c>
      <x:c r="L8490" s="0">
        <x:f>hyperlink("https://icat2.azurewebsites.net/icat/?ontology=ICD&amp;tab=ClassesTab&amp;id=http%3A%2F%2Fwho.int%2Ficd%234551_9cd760cf_9e71_4bdb_b2ea_a3ed07921568","iCat")</x:f>
      </x:c>
      <x:c r="M8490" s="0" t="s">
        <x:v>21</x:v>
      </x:c>
      <x:c r="N8490" s="0" t="s">
        <x:v>46</x:v>
      </x:c>
    </x:row>
    <x:row r="8491" spans="1:16">
      <x:c r="A8491" s="0" t="s">
        <x:v>33826</x:v>
      </x:c>
      <x:c r="B8491" s="0" t="s">
        <x:v>33827</x:v>
      </x:c>
      <x:c r="C8491" s="0" t="s">
        <x:v>33828</x:v>
      </x:c>
      <x:c r="E8491" s="0" t="s">
        <x:v>33829</x:v>
      </x:c>
      <x:c r="F8491" s="0" t="s">
        <x:v>45</x:v>
      </x:c>
      <x:c r="G8491" s="0" t="s">
        <x:v>19</x:v>
      </x:c>
      <x:c r="H8491" s="0" t="s">
        <x:v>20</x:v>
      </x:c>
      <x:c r="I8491" s="0" t="s">
        <x:v>21</x:v>
      </x:c>
      <x:c r="K8491" s="0">
        <x:f>hyperlink("https://icd.who.int/dev11/l-ichi/en#/http%3A%2F%2Fid.who.int%2Ficd%2Fentity%2F821890911","browser")</x:f>
      </x:c>
      <x:c r="L8491" s="0">
        <x:f>hyperlink("https://icat2.azurewebsites.net/icat/?ontology=ICD&amp;tab=ClassesTab&amp;id=http%3A%2F%2Fwho.int%2Ficd%234557_9cd760cf_9e71_4bdb_b2ea_a3ed07921568","iCat")</x:f>
      </x:c>
      <x:c r="M8491" s="0" t="s">
        <x:v>21</x:v>
      </x:c>
      <x:c r="N8491" s="0" t="s">
        <x:v>46</x:v>
      </x:c>
    </x:row>
    <x:row r="8492" spans="1:16">
      <x:c r="A8492" s="0" t="s">
        <x:v>33830</x:v>
      </x:c>
      <x:c r="B8492" s="0" t="s">
        <x:v>33831</x:v>
      </x:c>
      <x:c r="C8492" s="0" t="s">
        <x:v>33832</x:v>
      </x:c>
      <x:c r="E8492" s="0" t="s">
        <x:v>33833</x:v>
      </x:c>
      <x:c r="F8492" s="0" t="s">
        <x:v>45</x:v>
      </x:c>
      <x:c r="G8492" s="0" t="s">
        <x:v>19</x:v>
      </x:c>
      <x:c r="H8492" s="0" t="s">
        <x:v>20</x:v>
      </x:c>
      <x:c r="I8492" s="0" t="s">
        <x:v>21</x:v>
      </x:c>
      <x:c r="K8492" s="0">
        <x:f>hyperlink("https://icd.who.int/dev11/l-ichi/en#/http%3A%2F%2Fid.who.int%2Ficd%2Fentity%2F1162578734","browser")</x:f>
      </x:c>
      <x:c r="L8492" s="0">
        <x:f>hyperlink("https://icat2.azurewebsites.net/icat/?ontology=ICD&amp;tab=ClassesTab&amp;id=http%3A%2F%2Fwho.int%2Ficd%234563_9cd760cf_9e71_4bdb_b2ea_a3ed07921568","iCat")</x:f>
      </x:c>
      <x:c r="M8492" s="0" t="s">
        <x:v>21</x:v>
      </x:c>
      <x:c r="N8492" s="0" t="s">
        <x:v>46</x:v>
      </x:c>
    </x:row>
    <x:row r="8493" spans="1:16">
      <x:c r="A8493" s="0" t="s">
        <x:v>33834</x:v>
      </x:c>
      <x:c r="B8493" s="0" t="s">
        <x:v>33835</x:v>
      </x:c>
      <x:c r="C8493" s="0" t="s">
        <x:v>33836</x:v>
      </x:c>
      <x:c r="E8493" s="0" t="s">
        <x:v>33837</x:v>
      </x:c>
      <x:c r="F8493" s="0" t="s">
        <x:v>45</x:v>
      </x:c>
      <x:c r="G8493" s="0" t="s">
        <x:v>19</x:v>
      </x:c>
      <x:c r="H8493" s="0" t="s">
        <x:v>20</x:v>
      </x:c>
      <x:c r="I8493" s="0" t="s">
        <x:v>21</x:v>
      </x:c>
      <x:c r="K8493" s="0">
        <x:f>hyperlink("https://icd.who.int/dev11/l-ichi/en#/http%3A%2F%2Fid.who.int%2Ficd%2Fentity%2F1857480638","browser")</x:f>
      </x:c>
      <x:c r="L8493" s="0">
        <x:f>hyperlink("https://icat2.azurewebsites.net/icat/?ontology=ICD&amp;tab=ClassesTab&amp;id=http%3A%2F%2Fwho.int%2Ficd%234569_9cd760cf_9e71_4bdb_b2ea_a3ed07921568","iCat")</x:f>
      </x:c>
      <x:c r="M8493" s="0" t="s">
        <x:v>21</x:v>
      </x:c>
      <x:c r="N8493" s="0" t="s">
        <x:v>46</x:v>
      </x:c>
    </x:row>
    <x:row r="8494" spans="1:16">
      <x:c r="A8494" s="0" t="s">
        <x:v>33838</x:v>
      </x:c>
      <x:c r="B8494" s="0" t="s">
        <x:v>33839</x:v>
      </x:c>
      <x:c r="C8494" s="0" t="s">
        <x:v>33840</x:v>
      </x:c>
      <x:c r="E8494" s="0" t="s">
        <x:v>33841</x:v>
      </x:c>
      <x:c r="F8494" s="0" t="s">
        <x:v>45</x:v>
      </x:c>
      <x:c r="G8494" s="0" t="s">
        <x:v>19</x:v>
      </x:c>
      <x:c r="H8494" s="0" t="s">
        <x:v>20</x:v>
      </x:c>
      <x:c r="I8494" s="0" t="s">
        <x:v>21</x:v>
      </x:c>
      <x:c r="K8494" s="0">
        <x:f>hyperlink("https://icd.who.int/dev11/l-ichi/en#/http%3A%2F%2Fid.who.int%2Ficd%2Fentity%2F1590821440","browser")</x:f>
      </x:c>
      <x:c r="L8494" s="0">
        <x:f>hyperlink("https://icat2.azurewebsites.net/icat/?ontology=ICD&amp;tab=ClassesTab&amp;id=http%3A%2F%2Fwho.int%2Ficd%230_ff58eec5_10d2_4a64_afc1_e5afdbe05d77","iCat")</x:f>
      </x:c>
      <x:c r="M8494" s="0" t="s">
        <x:v>21</x:v>
      </x:c>
      <x:c r="N8494" s="0" t="s">
        <x:v>46</x:v>
      </x:c>
    </x:row>
    <x:row r="8495" spans="1:16">
      <x:c r="A8495" s="0" t="s">
        <x:v>33842</x:v>
      </x:c>
      <x:c r="B8495" s="0" t="s">
        <x:v>33843</x:v>
      </x:c>
      <x:c r="C8495" s="0" t="s">
        <x:v>33844</x:v>
      </x:c>
      <x:c r="E8495" s="0" t="s">
        <x:v>33845</x:v>
      </x:c>
      <x:c r="F8495" s="0" t="s">
        <x:v>45</x:v>
      </x:c>
      <x:c r="G8495" s="0" t="s">
        <x:v>19</x:v>
      </x:c>
      <x:c r="H8495" s="0" t="s">
        <x:v>20</x:v>
      </x:c>
      <x:c r="I8495" s="0" t="s">
        <x:v>21</x:v>
      </x:c>
      <x:c r="K8495" s="0">
        <x:f>hyperlink("https://icd.who.int/dev11/l-ichi/en#/http%3A%2F%2Fid.who.int%2Ficd%2Fentity%2F246012815","browser")</x:f>
      </x:c>
      <x:c r="L8495" s="0">
        <x:f>hyperlink("https://icat2.azurewebsites.net/icat/?ontology=ICD&amp;tab=ClassesTab&amp;id=http%3A%2F%2Fwho.int%2Ficd%236_ff58eec5_10d2_4a64_afc1_e5afdbe05d77","iCat")</x:f>
      </x:c>
      <x:c r="M8495" s="0" t="s">
        <x:v>21</x:v>
      </x:c>
      <x:c r="N8495" s="0" t="s">
        <x:v>46</x:v>
      </x:c>
    </x:row>
    <x:row r="8496" spans="1:16">
      <x:c r="A8496" s="0" t="s">
        <x:v>33846</x:v>
      </x:c>
      <x:c r="B8496" s="0" t="s">
        <x:v>33847</x:v>
      </x:c>
      <x:c r="C8496" s="0" t="s">
        <x:v>33848</x:v>
      </x:c>
      <x:c r="E8496" s="0" t="s">
        <x:v>33849</x:v>
      </x:c>
      <x:c r="F8496" s="0" t="s">
        <x:v>45</x:v>
      </x:c>
      <x:c r="G8496" s="0" t="s">
        <x:v>19</x:v>
      </x:c>
      <x:c r="H8496" s="0" t="s">
        <x:v>20</x:v>
      </x:c>
      <x:c r="I8496" s="0" t="s">
        <x:v>21</x:v>
      </x:c>
      <x:c r="K8496" s="0">
        <x:f>hyperlink("https://icd.who.int/dev11/l-ichi/en#/http%3A%2F%2Fid.who.int%2Ficd%2Fentity%2F931777616","browser")</x:f>
      </x:c>
      <x:c r="L8496" s="0">
        <x:f>hyperlink("https://icat2.azurewebsites.net/icat/?ontology=ICD&amp;tab=ClassesTab&amp;id=http%3A%2F%2Fwho.int%2Ficd%2312_ff58eec5_10d2_4a64_afc1_e5afdbe05d77","iCat")</x:f>
      </x:c>
      <x:c r="M8496" s="0" t="s">
        <x:v>21</x:v>
      </x:c>
      <x:c r="N8496" s="0" t="s">
        <x:v>46</x:v>
      </x:c>
    </x:row>
    <x:row r="8497" spans="1:16">
      <x:c r="A8497" s="0" t="s">
        <x:v>33850</x:v>
      </x:c>
      <x:c r="B8497" s="0" t="s">
        <x:v>33851</x:v>
      </x:c>
      <x:c r="C8497" s="0" t="s">
        <x:v>33852</x:v>
      </x:c>
      <x:c r="E8497" s="0" t="s">
        <x:v>33853</x:v>
      </x:c>
      <x:c r="F8497" s="0" t="s">
        <x:v>45</x:v>
      </x:c>
      <x:c r="G8497" s="0" t="s">
        <x:v>19</x:v>
      </x:c>
      <x:c r="H8497" s="0" t="s">
        <x:v>20</x:v>
      </x:c>
      <x:c r="I8497" s="0" t="s">
        <x:v>21</x:v>
      </x:c>
      <x:c r="K8497" s="0">
        <x:f>hyperlink("https://icd.who.int/dev11/l-ichi/en#/http%3A%2F%2Fid.who.int%2Ficd%2Fentity%2F477405376","browser")</x:f>
      </x:c>
      <x:c r="L8497" s="0">
        <x:f>hyperlink("https://icat2.azurewebsites.net/icat/?ontology=ICD&amp;tab=ClassesTab&amp;id=http%3A%2F%2Fwho.int%2Ficd%2318_ff58eec5_10d2_4a64_afc1_e5afdbe05d77","iCat")</x:f>
      </x:c>
      <x:c r="M8497" s="0" t="s">
        <x:v>21</x:v>
      </x:c>
      <x:c r="N8497" s="0" t="s">
        <x:v>46</x:v>
      </x:c>
    </x:row>
    <x:row r="8498" spans="1:16">
      <x:c r="A8498" s="0" t="s">
        <x:v>33854</x:v>
      </x:c>
      <x:c r="B8498" s="0" t="s">
        <x:v>33855</x:v>
      </x:c>
      <x:c r="C8498" s="0" t="s">
        <x:v>33856</x:v>
      </x:c>
      <x:c r="E8498" s="0" t="s">
        <x:v>33857</x:v>
      </x:c>
      <x:c r="F8498" s="0" t="s">
        <x:v>45</x:v>
      </x:c>
      <x:c r="G8498" s="0" t="s">
        <x:v>19</x:v>
      </x:c>
      <x:c r="H8498" s="0" t="s">
        <x:v>20</x:v>
      </x:c>
      <x:c r="I8498" s="0" t="s">
        <x:v>21</x:v>
      </x:c>
      <x:c r="K8498" s="0">
        <x:f>hyperlink("https://icd.who.int/dev11/l-ichi/en#/http%3A%2F%2Fid.who.int%2Ficd%2Fentity%2F658724326","browser")</x:f>
      </x:c>
      <x:c r="L8498" s="0">
        <x:f>hyperlink("https://icat2.azurewebsites.net/icat/?ontology=ICD&amp;tab=ClassesTab&amp;id=http%3A%2F%2Fwho.int%2Ficd%2324_ff58eec5_10d2_4a64_afc1_e5afdbe05d77","iCat")</x:f>
      </x:c>
      <x:c r="M8498" s="0" t="s">
        <x:v>21</x:v>
      </x:c>
      <x:c r="N8498" s="0" t="s">
        <x:v>46</x:v>
      </x:c>
    </x:row>
    <x:row r="8499" spans="1:16">
      <x:c r="A8499" s="0" t="s">
        <x:v>33858</x:v>
      </x:c>
      <x:c r="B8499" s="0" t="s">
        <x:v>33859</x:v>
      </x:c>
      <x:c r="C8499" s="0" t="s">
        <x:v>33860</x:v>
      </x:c>
      <x:c r="E8499" s="0" t="s">
        <x:v>33861</x:v>
      </x:c>
      <x:c r="F8499" s="0" t="s">
        <x:v>45</x:v>
      </x:c>
      <x:c r="G8499" s="0" t="s">
        <x:v>19</x:v>
      </x:c>
      <x:c r="H8499" s="0" t="s">
        <x:v>20</x:v>
      </x:c>
      <x:c r="I8499" s="0" t="s">
        <x:v>21</x:v>
      </x:c>
      <x:c r="K8499" s="0">
        <x:f>hyperlink("https://icd.who.int/dev11/l-ichi/en#/http%3A%2F%2Fid.who.int%2Ficd%2Fentity%2F2021721285","browser")</x:f>
      </x:c>
      <x:c r="L8499" s="0">
        <x:f>hyperlink("https://icat2.azurewebsites.net/icat/?ontology=ICD&amp;tab=ClassesTab&amp;id=http%3A%2F%2Fwho.int%2Ficd%2330_ff58eec5_10d2_4a64_afc1_e5afdbe05d77","iCat")</x:f>
      </x:c>
      <x:c r="M8499" s="0" t="s">
        <x:v>21</x:v>
      </x:c>
      <x:c r="N8499" s="0" t="s">
        <x:v>46</x:v>
      </x:c>
    </x:row>
    <x:row r="8500" spans="1:16">
      <x:c r="A8500" s="0" t="s">
        <x:v>33862</x:v>
      </x:c>
      <x:c r="B8500" s="0" t="s">
        <x:v>33863</x:v>
      </x:c>
      <x:c r="C8500" s="0" t="s">
        <x:v>33864</x:v>
      </x:c>
      <x:c r="E8500" s="0" t="s">
        <x:v>33865</x:v>
      </x:c>
      <x:c r="F8500" s="0" t="s">
        <x:v>45</x:v>
      </x:c>
      <x:c r="G8500" s="0" t="s">
        <x:v>19</x:v>
      </x:c>
      <x:c r="H8500" s="0" t="s">
        <x:v>20</x:v>
      </x:c>
      <x:c r="I8500" s="0" t="s">
        <x:v>21</x:v>
      </x:c>
      <x:c r="K8500" s="0">
        <x:f>hyperlink("https://icd.who.int/dev11/l-ichi/en#/http%3A%2F%2Fid.who.int%2Ficd%2Fentity%2F687529332","browser")</x:f>
      </x:c>
      <x:c r="L8500" s="0">
        <x:f>hyperlink("https://icat2.azurewebsites.net/icat/?ontology=ICD&amp;tab=ClassesTab&amp;id=http%3A%2F%2Fwho.int%2Ficd%2336_ff58eec5_10d2_4a64_afc1_e5afdbe05d77","iCat")</x:f>
      </x:c>
      <x:c r="M8500" s="0" t="s">
        <x:v>21</x:v>
      </x:c>
      <x:c r="N8500" s="0" t="s">
        <x:v>46</x:v>
      </x:c>
    </x:row>
    <x:row r="8501" spans="1:16">
      <x:c r="A8501" s="0" t="s">
        <x:v>33866</x:v>
      </x:c>
      <x:c r="B8501" s="0" t="s">
        <x:v>33867</x:v>
      </x:c>
      <x:c r="C8501" s="0" t="s">
        <x:v>33868</x:v>
      </x:c>
      <x:c r="E8501" s="0" t="s">
        <x:v>33869</x:v>
      </x:c>
      <x:c r="F8501" s="0" t="s">
        <x:v>45</x:v>
      </x:c>
      <x:c r="G8501" s="0" t="s">
        <x:v>19</x:v>
      </x:c>
      <x:c r="H8501" s="0" t="s">
        <x:v>20</x:v>
      </x:c>
      <x:c r="I8501" s="0" t="s">
        <x:v>21</x:v>
      </x:c>
      <x:c r="K8501" s="0">
        <x:f>hyperlink("https://icd.who.int/dev11/l-ichi/en#/http%3A%2F%2Fid.who.int%2Ficd%2Fentity%2F757795354","browser")</x:f>
      </x:c>
      <x:c r="L8501" s="0">
        <x:f>hyperlink("https://icat2.azurewebsites.net/icat/?ontology=ICD&amp;tab=ClassesTab&amp;id=http%3A%2F%2Fwho.int%2Ficd%2342_ff58eec5_10d2_4a64_afc1_e5afdbe05d77","iCat")</x:f>
      </x:c>
      <x:c r="M8501" s="0" t="s">
        <x:v>21</x:v>
      </x:c>
      <x:c r="N8501" s="0" t="s">
        <x:v>46</x:v>
      </x:c>
    </x:row>
    <x:row r="8502" spans="1:16">
      <x:c r="A8502" s="0" t="s">
        <x:v>33870</x:v>
      </x:c>
      <x:c r="B8502" s="0" t="s">
        <x:v>33871</x:v>
      </x:c>
      <x:c r="C8502" s="0" t="s">
        <x:v>33872</x:v>
      </x:c>
      <x:c r="E8502" s="0" t="s">
        <x:v>33873</x:v>
      </x:c>
      <x:c r="F8502" s="0" t="s">
        <x:v>45</x:v>
      </x:c>
      <x:c r="G8502" s="0" t="s">
        <x:v>19</x:v>
      </x:c>
      <x:c r="H8502" s="0" t="s">
        <x:v>20</x:v>
      </x:c>
      <x:c r="I8502" s="0" t="s">
        <x:v>21</x:v>
      </x:c>
      <x:c r="K8502" s="0">
        <x:f>hyperlink("https://icd.who.int/dev11/l-ichi/en#/http%3A%2F%2Fid.who.int%2Ficd%2Fentity%2F114714250","browser")</x:f>
      </x:c>
      <x:c r="L8502" s="0">
        <x:f>hyperlink("https://icat2.azurewebsites.net/icat/?ontology=ICD&amp;tab=ClassesTab&amp;id=http%3A%2F%2Fwho.int%2Ficd%2348_ff58eec5_10d2_4a64_afc1_e5afdbe05d77","iCat")</x:f>
      </x:c>
      <x:c r="M8502" s="0" t="s">
        <x:v>21</x:v>
      </x:c>
      <x:c r="N8502" s="0" t="s">
        <x:v>46</x:v>
      </x:c>
    </x:row>
    <x:row r="8503" spans="1:16">
      <x:c r="A8503" s="0" t="s">
        <x:v>33874</x:v>
      </x:c>
      <x:c r="B8503" s="0" t="s">
        <x:v>33875</x:v>
      </x:c>
      <x:c r="C8503" s="0" t="s">
        <x:v>33876</x:v>
      </x:c>
      <x:c r="E8503" s="0" t="s">
        <x:v>33877</x:v>
      </x:c>
      <x:c r="F8503" s="0" t="s">
        <x:v>45</x:v>
      </x:c>
      <x:c r="G8503" s="0" t="s">
        <x:v>19</x:v>
      </x:c>
      <x:c r="H8503" s="0" t="s">
        <x:v>20</x:v>
      </x:c>
      <x:c r="I8503" s="0" t="s">
        <x:v>21</x:v>
      </x:c>
      <x:c r="K8503" s="0">
        <x:f>hyperlink("https://icd.who.int/dev11/l-ichi/en#/http%3A%2F%2Fid.who.int%2Ficd%2Fentity%2F395659006","browser")</x:f>
      </x:c>
      <x:c r="L8503" s="0">
        <x:f>hyperlink("https://icat2.azurewebsites.net/icat/?ontology=ICD&amp;tab=ClassesTab&amp;id=http%3A%2F%2Fwho.int%2Ficd%2354_ff58eec5_10d2_4a64_afc1_e5afdbe05d77","iCat")</x:f>
      </x:c>
      <x:c r="M8503" s="0" t="s">
        <x:v>21</x:v>
      </x:c>
      <x:c r="N8503" s="0" t="s">
        <x:v>46</x:v>
      </x:c>
    </x:row>
    <x:row r="8504" spans="1:16">
      <x:c r="A8504" s="0" t="s">
        <x:v>33878</x:v>
      </x:c>
      <x:c r="B8504" s="0" t="s">
        <x:v>33879</x:v>
      </x:c>
      <x:c r="C8504" s="0" t="s">
        <x:v>33880</x:v>
      </x:c>
      <x:c r="E8504" s="0" t="s">
        <x:v>33881</x:v>
      </x:c>
      <x:c r="F8504" s="0" t="s">
        <x:v>45</x:v>
      </x:c>
      <x:c r="G8504" s="0" t="s">
        <x:v>19</x:v>
      </x:c>
      <x:c r="H8504" s="0" t="s">
        <x:v>20</x:v>
      </x:c>
      <x:c r="I8504" s="0" t="s">
        <x:v>21</x:v>
      </x:c>
      <x:c r="K8504" s="0">
        <x:f>hyperlink("https://icd.who.int/dev11/l-ichi/en#/http%3A%2F%2Fid.who.int%2Ficd%2Fentity%2F1646510735","browser")</x:f>
      </x:c>
      <x:c r="L8504" s="0">
        <x:f>hyperlink("https://icat2.azurewebsites.net/icat/?ontology=ICD&amp;tab=ClassesTab&amp;id=http%3A%2F%2Fwho.int%2Ficd%2360_ff58eec5_10d2_4a64_afc1_e5afdbe05d77","iCat")</x:f>
      </x:c>
      <x:c r="M8504" s="0" t="s">
        <x:v>21</x:v>
      </x:c>
      <x:c r="N8504" s="0" t="s">
        <x:v>46</x:v>
      </x:c>
    </x:row>
    <x:row r="8505" spans="1:16">
      <x:c r="A8505" s="0" t="s">
        <x:v>33882</x:v>
      </x:c>
      <x:c r="B8505" s="0" t="s">
        <x:v>33883</x:v>
      </x:c>
      <x:c r="C8505" s="0" t="s">
        <x:v>33884</x:v>
      </x:c>
      <x:c r="E8505" s="0" t="s">
        <x:v>33885</x:v>
      </x:c>
      <x:c r="F8505" s="0" t="s">
        <x:v>45</x:v>
      </x:c>
      <x:c r="G8505" s="0" t="s">
        <x:v>19</x:v>
      </x:c>
      <x:c r="H8505" s="0" t="s">
        <x:v>20</x:v>
      </x:c>
      <x:c r="I8505" s="0" t="s">
        <x:v>21</x:v>
      </x:c>
      <x:c r="K8505" s="0">
        <x:f>hyperlink("https://icd.who.int/dev11/l-ichi/en#/http%3A%2F%2Fid.who.int%2Ficd%2Fentity%2F844634942","browser")</x:f>
      </x:c>
      <x:c r="L8505" s="0">
        <x:f>hyperlink("https://icat2.azurewebsites.net/icat/?ontology=ICD&amp;tab=ClassesTab&amp;id=http%3A%2F%2Fwho.int%2Ficd%2366_ff58eec5_10d2_4a64_afc1_e5afdbe05d77","iCat")</x:f>
      </x:c>
      <x:c r="M8505" s="0" t="s">
        <x:v>21</x:v>
      </x:c>
      <x:c r="N8505" s="0" t="s">
        <x:v>46</x:v>
      </x:c>
    </x:row>
    <x:row r="8506" spans="1:16">
      <x:c r="A8506" s="0" t="s">
        <x:v>33886</x:v>
      </x:c>
      <x:c r="B8506" s="0" t="s">
        <x:v>33887</x:v>
      </x:c>
      <x:c r="C8506" s="0" t="s">
        <x:v>33888</x:v>
      </x:c>
      <x:c r="E8506" s="0" t="s">
        <x:v>33889</x:v>
      </x:c>
      <x:c r="F8506" s="0" t="s">
        <x:v>45</x:v>
      </x:c>
      <x:c r="G8506" s="0" t="s">
        <x:v>19</x:v>
      </x:c>
      <x:c r="H8506" s="0" t="s">
        <x:v>20</x:v>
      </x:c>
      <x:c r="I8506" s="0" t="s">
        <x:v>21</x:v>
      </x:c>
      <x:c r="K8506" s="0">
        <x:f>hyperlink("https://icd.who.int/dev11/l-ichi/en#/http%3A%2F%2Fid.who.int%2Ficd%2Fentity%2F1838828061","browser")</x:f>
      </x:c>
      <x:c r="L8506" s="0">
        <x:f>hyperlink("https://icat2.azurewebsites.net/icat/?ontology=ICD&amp;tab=ClassesTab&amp;id=http%3A%2F%2Fwho.int%2Ficd%2372_ff58eec5_10d2_4a64_afc1_e5afdbe05d77","iCat")</x:f>
      </x:c>
      <x:c r="M8506" s="0" t="s">
        <x:v>21</x:v>
      </x:c>
      <x:c r="N8506" s="0" t="s">
        <x:v>46</x:v>
      </x:c>
    </x:row>
    <x:row r="8507" spans="1:16">
      <x:c r="A8507" s="0" t="s">
        <x:v>33890</x:v>
      </x:c>
      <x:c r="B8507" s="0" t="s">
        <x:v>33891</x:v>
      </x:c>
      <x:c r="C8507" s="0" t="s">
        <x:v>33892</x:v>
      </x:c>
      <x:c r="E8507" s="0" t="s">
        <x:v>33893</x:v>
      </x:c>
      <x:c r="F8507" s="0" t="s">
        <x:v>45</x:v>
      </x:c>
      <x:c r="G8507" s="0" t="s">
        <x:v>19</x:v>
      </x:c>
      <x:c r="H8507" s="0" t="s">
        <x:v>20</x:v>
      </x:c>
      <x:c r="I8507" s="0" t="s">
        <x:v>21</x:v>
      </x:c>
      <x:c r="K8507" s="0">
        <x:f>hyperlink("https://icd.who.int/dev11/l-ichi/en#/http%3A%2F%2Fid.who.int%2Ficd%2Fentity%2F1181165197","browser")</x:f>
      </x:c>
      <x:c r="L8507" s="0">
        <x:f>hyperlink("https://icat2.azurewebsites.net/icat/?ontology=ICD&amp;tab=ClassesTab&amp;id=http%3A%2F%2Fwho.int%2Ficd%2378_ff58eec5_10d2_4a64_afc1_e5afdbe05d77","iCat")</x:f>
      </x:c>
      <x:c r="M8507" s="0" t="s">
        <x:v>21</x:v>
      </x:c>
      <x:c r="N8507" s="0" t="s">
        <x:v>46</x:v>
      </x:c>
    </x:row>
    <x:row r="8508" spans="1:16">
      <x:c r="A8508" s="0" t="s">
        <x:v>33894</x:v>
      </x:c>
      <x:c r="B8508" s="0" t="s">
        <x:v>33895</x:v>
      </x:c>
      <x:c r="C8508" s="0" t="s">
        <x:v>33896</x:v>
      </x:c>
      <x:c r="E8508" s="0" t="s">
        <x:v>33897</x:v>
      </x:c>
      <x:c r="F8508" s="0" t="s">
        <x:v>45</x:v>
      </x:c>
      <x:c r="G8508" s="0" t="s">
        <x:v>19</x:v>
      </x:c>
      <x:c r="H8508" s="0" t="s">
        <x:v>20</x:v>
      </x:c>
      <x:c r="I8508" s="0" t="s">
        <x:v>21</x:v>
      </x:c>
      <x:c r="K8508" s="0">
        <x:f>hyperlink("https://icd.who.int/dev11/l-ichi/en#/http%3A%2F%2Fid.who.int%2Ficd%2Fentity%2F302438770","browser")</x:f>
      </x:c>
      <x:c r="L8508" s="0">
        <x:f>hyperlink("https://icat2.azurewebsites.net/icat/?ontology=ICD&amp;tab=ClassesTab&amp;id=http%3A%2F%2Fwho.int%2Ficd%2384_ff58eec5_10d2_4a64_afc1_e5afdbe05d77","iCat")</x:f>
      </x:c>
      <x:c r="M8508" s="0" t="s">
        <x:v>21</x:v>
      </x:c>
      <x:c r="N8508" s="0" t="s">
        <x:v>46</x:v>
      </x:c>
    </x:row>
    <x:row r="8509" spans="1:16">
      <x:c r="A8509" s="0" t="s">
        <x:v>33898</x:v>
      </x:c>
      <x:c r="B8509" s="0" t="s">
        <x:v>33899</x:v>
      </x:c>
      <x:c r="C8509" s="0" t="s">
        <x:v>33900</x:v>
      </x:c>
      <x:c r="E8509" s="0" t="s">
        <x:v>33901</x:v>
      </x:c>
      <x:c r="F8509" s="0" t="s">
        <x:v>45</x:v>
      </x:c>
      <x:c r="G8509" s="0" t="s">
        <x:v>19</x:v>
      </x:c>
      <x:c r="H8509" s="0" t="s">
        <x:v>20</x:v>
      </x:c>
      <x:c r="I8509" s="0" t="s">
        <x:v>21</x:v>
      </x:c>
      <x:c r="K8509" s="0">
        <x:f>hyperlink("https://icd.who.int/dev11/l-ichi/en#/http%3A%2F%2Fid.who.int%2Ficd%2Fentity%2F940860058","browser")</x:f>
      </x:c>
      <x:c r="L8509" s="0">
        <x:f>hyperlink("https://icat2.azurewebsites.net/icat/?ontology=ICD&amp;tab=ClassesTab&amp;id=http%3A%2F%2Fwho.int%2Ficd%23185_ff58eec5_10d2_4a64_afc1_e5afdbe05d77","iCat")</x:f>
      </x:c>
      <x:c r="M8509" s="0" t="s">
        <x:v>21</x:v>
      </x:c>
      <x:c r="N8509" s="0" t="s">
        <x:v>46</x:v>
      </x:c>
    </x:row>
    <x:row r="8510" spans="1:16">
      <x:c r="A8510" s="0" t="s">
        <x:v>33902</x:v>
      </x:c>
      <x:c r="B8510" s="0" t="s">
        <x:v>33903</x:v>
      </x:c>
      <x:c r="C8510" s="0" t="s">
        <x:v>33904</x:v>
      </x:c>
      <x:c r="E8510" s="0" t="s">
        <x:v>33905</x:v>
      </x:c>
      <x:c r="F8510" s="0" t="s">
        <x:v>45</x:v>
      </x:c>
      <x:c r="G8510" s="0" t="s">
        <x:v>19</x:v>
      </x:c>
      <x:c r="H8510" s="0" t="s">
        <x:v>20</x:v>
      </x:c>
      <x:c r="I8510" s="0" t="s">
        <x:v>21</x:v>
      </x:c>
      <x:c r="K8510" s="0">
        <x:f>hyperlink("https://icd.who.int/dev11/l-ichi/en#/http%3A%2F%2Fid.who.int%2Ficd%2Fentity%2F1742091193","browser")</x:f>
      </x:c>
      <x:c r="L8510" s="0">
        <x:f>hyperlink("https://icat2.azurewebsites.net/icat/?ontology=ICD&amp;tab=ClassesTab&amp;id=http%3A%2F%2Fwho.int%2Ficd%23191_ff58eec5_10d2_4a64_afc1_e5afdbe05d77","iCat")</x:f>
      </x:c>
      <x:c r="M8510" s="0" t="s">
        <x:v>21</x:v>
      </x:c>
      <x:c r="N8510" s="0" t="s">
        <x:v>46</x:v>
      </x:c>
    </x:row>
    <x:row r="8511" spans="1:16">
      <x:c r="A8511" s="0" t="s">
        <x:v>33906</x:v>
      </x:c>
      <x:c r="B8511" s="0" t="s">
        <x:v>33907</x:v>
      </x:c>
      <x:c r="C8511" s="0" t="s">
        <x:v>33908</x:v>
      </x:c>
      <x:c r="E8511" s="0" t="s">
        <x:v>33909</x:v>
      </x:c>
      <x:c r="F8511" s="0" t="s">
        <x:v>45</x:v>
      </x:c>
      <x:c r="G8511" s="0" t="s">
        <x:v>19</x:v>
      </x:c>
      <x:c r="H8511" s="0" t="s">
        <x:v>20</x:v>
      </x:c>
      <x:c r="I8511" s="0" t="s">
        <x:v>21</x:v>
      </x:c>
      <x:c r="K8511" s="0">
        <x:f>hyperlink("https://icd.who.int/dev11/l-ichi/en#/http%3A%2F%2Fid.who.int%2Ficd%2Fentity%2F934144520","browser")</x:f>
      </x:c>
      <x:c r="L8511" s="0">
        <x:f>hyperlink("https://icat2.azurewebsites.net/icat/?ontology=ICD&amp;tab=ClassesTab&amp;id=http%3A%2F%2Fwho.int%2Ficd%23197_ff58eec5_10d2_4a64_afc1_e5afdbe05d77","iCat")</x:f>
      </x:c>
      <x:c r="M8511" s="0" t="s">
        <x:v>21</x:v>
      </x:c>
      <x:c r="N8511" s="0" t="s">
        <x:v>46</x:v>
      </x:c>
    </x:row>
    <x:row r="8512" spans="1:16">
      <x:c r="A8512" s="0" t="s">
        <x:v>33910</x:v>
      </x:c>
      <x:c r="B8512" s="0" t="s">
        <x:v>33911</x:v>
      </x:c>
      <x:c r="C8512" s="0" t="s">
        <x:v>33912</x:v>
      </x:c>
      <x:c r="E8512" s="0" t="s">
        <x:v>33913</x:v>
      </x:c>
      <x:c r="F8512" s="0" t="s">
        <x:v>45</x:v>
      </x:c>
      <x:c r="G8512" s="0" t="s">
        <x:v>19</x:v>
      </x:c>
      <x:c r="H8512" s="0" t="s">
        <x:v>20</x:v>
      </x:c>
      <x:c r="I8512" s="0" t="s">
        <x:v>21</x:v>
      </x:c>
      <x:c r="K8512" s="0">
        <x:f>hyperlink("https://icd.who.int/dev11/l-ichi/en#/http%3A%2F%2Fid.who.int%2Ficd%2Fentity%2F369186488","browser")</x:f>
      </x:c>
      <x:c r="L8512" s="0">
        <x:f>hyperlink("https://icat2.azurewebsites.net/icat/?ontology=ICD&amp;tab=ClassesTab&amp;id=http%3A%2F%2Fwho.int%2Ficd%23203_ff58eec5_10d2_4a64_afc1_e5afdbe05d77","iCat")</x:f>
      </x:c>
      <x:c r="M8512" s="0" t="s">
        <x:v>21</x:v>
      </x:c>
      <x:c r="N8512" s="0" t="s">
        <x:v>46</x:v>
      </x:c>
    </x:row>
    <x:row r="8513" spans="1:16">
      <x:c r="A8513" s="0" t="s">
        <x:v>33914</x:v>
      </x:c>
      <x:c r="B8513" s="0" t="s">
        <x:v>33915</x:v>
      </x:c>
      <x:c r="C8513" s="0" t="s">
        <x:v>33916</x:v>
      </x:c>
      <x:c r="E8513" s="0" t="s">
        <x:v>33917</x:v>
      </x:c>
      <x:c r="F8513" s="0" t="s">
        <x:v>45</x:v>
      </x:c>
      <x:c r="G8513" s="0" t="s">
        <x:v>19</x:v>
      </x:c>
      <x:c r="H8513" s="0" t="s">
        <x:v>20</x:v>
      </x:c>
      <x:c r="I8513" s="0" t="s">
        <x:v>21</x:v>
      </x:c>
      <x:c r="K8513" s="0">
        <x:f>hyperlink("https://icd.who.int/dev11/l-ichi/en#/http%3A%2F%2Fid.who.int%2Ficd%2Fentity%2F1039940136","browser")</x:f>
      </x:c>
      <x:c r="L8513" s="0">
        <x:f>hyperlink("https://icat2.azurewebsites.net/icat/?ontology=ICD&amp;tab=ClassesTab&amp;id=http%3A%2F%2Fwho.int%2Ficd%23209_ff58eec5_10d2_4a64_afc1_e5afdbe05d77","iCat")</x:f>
      </x:c>
      <x:c r="M8513" s="0" t="s">
        <x:v>21</x:v>
      </x:c>
      <x:c r="N8513" s="0" t="s">
        <x:v>46</x:v>
      </x:c>
    </x:row>
    <x:row r="8514" spans="1:16">
      <x:c r="A8514" s="0" t="s">
        <x:v>33918</x:v>
      </x:c>
      <x:c r="B8514" s="0" t="s">
        <x:v>33919</x:v>
      </x:c>
      <x:c r="C8514" s="0" t="s">
        <x:v>33920</x:v>
      </x:c>
      <x:c r="E8514" s="0" t="s">
        <x:v>33921</x:v>
      </x:c>
      <x:c r="F8514" s="0" t="s">
        <x:v>45</x:v>
      </x:c>
      <x:c r="G8514" s="0" t="s">
        <x:v>19</x:v>
      </x:c>
      <x:c r="H8514" s="0" t="s">
        <x:v>20</x:v>
      </x:c>
      <x:c r="I8514" s="0" t="s">
        <x:v>21</x:v>
      </x:c>
      <x:c r="K8514" s="0">
        <x:f>hyperlink("https://icd.who.int/dev11/l-ichi/en#/http%3A%2F%2Fid.who.int%2Ficd%2Fentity%2F750721616","browser")</x:f>
      </x:c>
      <x:c r="L8514" s="0">
        <x:f>hyperlink("https://icat2.azurewebsites.net/icat/?ontology=ICD&amp;tab=ClassesTab&amp;id=http%3A%2F%2Fwho.int%2Ficd%23215_ff58eec5_10d2_4a64_afc1_e5afdbe05d77","iCat")</x:f>
      </x:c>
      <x:c r="M8514" s="0" t="s">
        <x:v>21</x:v>
      </x:c>
      <x:c r="N8514" s="0" t="s">
        <x:v>46</x:v>
      </x:c>
    </x:row>
    <x:row r="8515" spans="1:16">
      <x:c r="A8515" s="0" t="s">
        <x:v>33922</x:v>
      </x:c>
      <x:c r="B8515" s="0" t="s">
        <x:v>33923</x:v>
      </x:c>
      <x:c r="C8515" s="0" t="s">
        <x:v>33924</x:v>
      </x:c>
      <x:c r="E8515" s="0" t="s">
        <x:v>33925</x:v>
      </x:c>
      <x:c r="F8515" s="0" t="s">
        <x:v>45</x:v>
      </x:c>
      <x:c r="G8515" s="0" t="s">
        <x:v>19</x:v>
      </x:c>
      <x:c r="H8515" s="0" t="s">
        <x:v>20</x:v>
      </x:c>
      <x:c r="I8515" s="0" t="s">
        <x:v>21</x:v>
      </x:c>
      <x:c r="K8515" s="0">
        <x:f>hyperlink("https://icd.who.int/dev11/l-ichi/en#/http%3A%2F%2Fid.who.int%2Ficd%2Fentity%2F1493802531","browser")</x:f>
      </x:c>
      <x:c r="L8515" s="0">
        <x:f>hyperlink("https://icat2.azurewebsites.net/icat/?ontology=ICD&amp;tab=ClassesTab&amp;id=http%3A%2F%2Fwho.int%2Ficd%23221_ff58eec5_10d2_4a64_afc1_e5afdbe05d77","iCat")</x:f>
      </x:c>
      <x:c r="M8515" s="0" t="s">
        <x:v>21</x:v>
      </x:c>
      <x:c r="N8515" s="0" t="s">
        <x:v>46</x:v>
      </x:c>
    </x:row>
    <x:row r="8516" spans="1:16">
      <x:c r="A8516" s="0" t="s">
        <x:v>33926</x:v>
      </x:c>
      <x:c r="B8516" s="0" t="s">
        <x:v>33927</x:v>
      </x:c>
      <x:c r="C8516" s="0" t="s">
        <x:v>33928</x:v>
      </x:c>
      <x:c r="E8516" s="0" t="s">
        <x:v>33929</x:v>
      </x:c>
      <x:c r="F8516" s="0" t="s">
        <x:v>45</x:v>
      </x:c>
      <x:c r="G8516" s="0" t="s">
        <x:v>19</x:v>
      </x:c>
      <x:c r="H8516" s="0" t="s">
        <x:v>20</x:v>
      </x:c>
      <x:c r="I8516" s="0" t="s">
        <x:v>21</x:v>
      </x:c>
      <x:c r="K8516" s="0">
        <x:f>hyperlink("https://icd.who.int/dev11/l-ichi/en#/http%3A%2F%2Fid.who.int%2Ficd%2Fentity%2F158484372","browser")</x:f>
      </x:c>
      <x:c r="L8516" s="0">
        <x:f>hyperlink("https://icat2.azurewebsites.net/icat/?ontology=ICD&amp;tab=ClassesTab&amp;id=http%3A%2F%2Fwho.int%2Ficd%23227_ff58eec5_10d2_4a64_afc1_e5afdbe05d77","iCat")</x:f>
      </x:c>
      <x:c r="M8516" s="0" t="s">
        <x:v>21</x:v>
      </x:c>
      <x:c r="N8516" s="0" t="s">
        <x:v>46</x:v>
      </x:c>
    </x:row>
    <x:row r="8517" spans="1:16">
      <x:c r="A8517" s="0" t="s">
        <x:v>33930</x:v>
      </x:c>
      <x:c r="B8517" s="0" t="s">
        <x:v>33931</x:v>
      </x:c>
      <x:c r="C8517" s="0" t="s">
        <x:v>33932</x:v>
      </x:c>
      <x:c r="E8517" s="0" t="s">
        <x:v>33933</x:v>
      </x:c>
      <x:c r="F8517" s="0" t="s">
        <x:v>45</x:v>
      </x:c>
      <x:c r="G8517" s="0" t="s">
        <x:v>19</x:v>
      </x:c>
      <x:c r="H8517" s="0" t="s">
        <x:v>20</x:v>
      </x:c>
      <x:c r="I8517" s="0" t="s">
        <x:v>21</x:v>
      </x:c>
      <x:c r="K8517" s="0">
        <x:f>hyperlink("https://icd.who.int/dev11/l-ichi/en#/http%3A%2F%2Fid.who.int%2Ficd%2Fentity%2F1454380721","browser")</x:f>
      </x:c>
      <x:c r="L8517" s="0">
        <x:f>hyperlink("https://icat2.azurewebsites.net/icat/?ontology=ICD&amp;tab=ClassesTab&amp;id=http%3A%2F%2Fwho.int%2Ficd%23233_ff58eec5_10d2_4a64_afc1_e5afdbe05d77","iCat")</x:f>
      </x:c>
      <x:c r="M8517" s="0" t="s">
        <x:v>21</x:v>
      </x:c>
      <x:c r="N8517" s="0" t="s">
        <x:v>46</x:v>
      </x:c>
    </x:row>
    <x:row r="8518" spans="1:16">
      <x:c r="A8518" s="0" t="s">
        <x:v>33934</x:v>
      </x:c>
      <x:c r="B8518" s="0" t="s">
        <x:v>33935</x:v>
      </x:c>
      <x:c r="C8518" s="0" t="s">
        <x:v>33936</x:v>
      </x:c>
      <x:c r="E8518" s="0" t="s">
        <x:v>33937</x:v>
      </x:c>
      <x:c r="F8518" s="0" t="s">
        <x:v>45</x:v>
      </x:c>
      <x:c r="G8518" s="0" t="s">
        <x:v>19</x:v>
      </x:c>
      <x:c r="H8518" s="0" t="s">
        <x:v>20</x:v>
      </x:c>
      <x:c r="I8518" s="0" t="s">
        <x:v>21</x:v>
      </x:c>
      <x:c r="K8518" s="0">
        <x:f>hyperlink("https://icd.who.int/dev11/l-ichi/en#/http%3A%2F%2Fid.who.int%2Ficd%2Fentity%2F2102229537","browser")</x:f>
      </x:c>
      <x:c r="L8518" s="0">
        <x:f>hyperlink("https://icat2.azurewebsites.net/icat/?ontology=ICD&amp;tab=ClassesTab&amp;id=http%3A%2F%2Fwho.int%2Ficd%23239_ff58eec5_10d2_4a64_afc1_e5afdbe05d77","iCat")</x:f>
      </x:c>
      <x:c r="M8518" s="0" t="s">
        <x:v>21</x:v>
      </x:c>
      <x:c r="N8518" s="0" t="s">
        <x:v>46</x:v>
      </x:c>
    </x:row>
    <x:row r="8519" spans="1:16">
      <x:c r="A8519" s="0" t="s">
        <x:v>33938</x:v>
      </x:c>
      <x:c r="B8519" s="0" t="s">
        <x:v>33939</x:v>
      </x:c>
      <x:c r="C8519" s="0" t="s">
        <x:v>33940</x:v>
      </x:c>
      <x:c r="E8519" s="0" t="s">
        <x:v>33941</x:v>
      </x:c>
      <x:c r="F8519" s="0" t="s">
        <x:v>45</x:v>
      </x:c>
      <x:c r="G8519" s="0" t="s">
        <x:v>19</x:v>
      </x:c>
      <x:c r="H8519" s="0" t="s">
        <x:v>20</x:v>
      </x:c>
      <x:c r="I8519" s="0" t="s">
        <x:v>21</x:v>
      </x:c>
      <x:c r="K8519" s="0">
        <x:f>hyperlink("https://icd.who.int/dev11/l-ichi/en#/http%3A%2F%2Fid.who.int%2Ficd%2Fentity%2F907926554","browser")</x:f>
      </x:c>
      <x:c r="L8519" s="0">
        <x:f>hyperlink("https://icat2.azurewebsites.net/icat/?ontology=ICD&amp;tab=ClassesTab&amp;id=http%3A%2F%2Fwho.int%2Ficd%23245_ff58eec5_10d2_4a64_afc1_e5afdbe05d77","iCat")</x:f>
      </x:c>
      <x:c r="M8519" s="0" t="s">
        <x:v>21</x:v>
      </x:c>
      <x:c r="N8519" s="0" t="s">
        <x:v>46</x:v>
      </x:c>
    </x:row>
    <x:row r="8520" spans="1:16">
      <x:c r="A8520" s="0" t="s">
        <x:v>33942</x:v>
      </x:c>
      <x:c r="B8520" s="0" t="s">
        <x:v>33943</x:v>
      </x:c>
      <x:c r="C8520" s="0" t="s">
        <x:v>33944</x:v>
      </x:c>
      <x:c r="E8520" s="0" t="s">
        <x:v>33945</x:v>
      </x:c>
      <x:c r="F8520" s="0" t="s">
        <x:v>45</x:v>
      </x:c>
      <x:c r="G8520" s="0" t="s">
        <x:v>19</x:v>
      </x:c>
      <x:c r="H8520" s="0" t="s">
        <x:v>20</x:v>
      </x:c>
      <x:c r="I8520" s="0" t="s">
        <x:v>21</x:v>
      </x:c>
      <x:c r="K8520" s="0">
        <x:f>hyperlink("https://icd.who.int/dev11/l-ichi/en#/http%3A%2F%2Fid.who.int%2Ficd%2Fentity%2F1776258361","browser")</x:f>
      </x:c>
      <x:c r="L8520" s="0">
        <x:f>hyperlink("https://icat2.azurewebsites.net/icat/?ontology=ICD&amp;tab=ClassesTab&amp;id=http%3A%2F%2Fwho.int%2Ficd%23251_ff58eec5_10d2_4a64_afc1_e5afdbe05d77","iCat")</x:f>
      </x:c>
      <x:c r="M8520" s="0" t="s">
        <x:v>21</x:v>
      </x:c>
      <x:c r="N8520" s="0" t="s">
        <x:v>46</x:v>
      </x:c>
    </x:row>
    <x:row r="8521" spans="1:16">
      <x:c r="A8521" s="0" t="s">
        <x:v>33946</x:v>
      </x:c>
      <x:c r="B8521" s="0" t="s">
        <x:v>33947</x:v>
      </x:c>
      <x:c r="C8521" s="0" t="s">
        <x:v>33948</x:v>
      </x:c>
      <x:c r="E8521" s="0" t="s">
        <x:v>33949</x:v>
      </x:c>
      <x:c r="F8521" s="0" t="s">
        <x:v>45</x:v>
      </x:c>
      <x:c r="G8521" s="0" t="s">
        <x:v>19</x:v>
      </x:c>
      <x:c r="H8521" s="0" t="s">
        <x:v>20</x:v>
      </x:c>
      <x:c r="I8521" s="0" t="s">
        <x:v>21</x:v>
      </x:c>
      <x:c r="K8521" s="0">
        <x:f>hyperlink("https://icd.who.int/dev11/l-ichi/en#/http%3A%2F%2Fid.who.int%2Ficd%2Fentity%2F967070856","browser")</x:f>
      </x:c>
      <x:c r="L8521" s="0">
        <x:f>hyperlink("https://icat2.azurewebsites.net/icat/?ontology=ICD&amp;tab=ClassesTab&amp;id=http%3A%2F%2Fwho.int%2Ficd%23257_ff58eec5_10d2_4a64_afc1_e5afdbe05d77","iCat")</x:f>
      </x:c>
      <x:c r="M8521" s="0" t="s">
        <x:v>21</x:v>
      </x:c>
      <x:c r="N8521" s="0" t="s">
        <x:v>46</x:v>
      </x:c>
    </x:row>
    <x:row r="8522" spans="1:16">
      <x:c r="A8522" s="0" t="s">
        <x:v>33950</x:v>
      </x:c>
      <x:c r="B8522" s="0" t="s">
        <x:v>33951</x:v>
      </x:c>
      <x:c r="C8522" s="0" t="s">
        <x:v>33952</x:v>
      </x:c>
      <x:c r="E8522" s="0" t="s">
        <x:v>33953</x:v>
      </x:c>
      <x:c r="F8522" s="0" t="s">
        <x:v>45</x:v>
      </x:c>
      <x:c r="G8522" s="0" t="s">
        <x:v>19</x:v>
      </x:c>
      <x:c r="H8522" s="0" t="s">
        <x:v>20</x:v>
      </x:c>
      <x:c r="I8522" s="0" t="s">
        <x:v>21</x:v>
      </x:c>
      <x:c r="K8522" s="0">
        <x:f>hyperlink("https://icd.who.int/dev11/l-ichi/en#/http%3A%2F%2Fid.who.int%2Ficd%2Fentity%2F1276301563","browser")</x:f>
      </x:c>
      <x:c r="L8522" s="0">
        <x:f>hyperlink("https://icat2.azurewebsites.net/icat/?ontology=ICD&amp;tab=ClassesTab&amp;id=http%3A%2F%2Fwho.int%2Ficd%23263_ff58eec5_10d2_4a64_afc1_e5afdbe05d77","iCat")</x:f>
      </x:c>
      <x:c r="M8522" s="0" t="s">
        <x:v>21</x:v>
      </x:c>
      <x:c r="N8522" s="0" t="s">
        <x:v>46</x:v>
      </x:c>
    </x:row>
    <x:row r="8523" spans="1:16">
      <x:c r="A8523" s="0" t="s">
        <x:v>33954</x:v>
      </x:c>
      <x:c r="B8523" s="0" t="s">
        <x:v>33955</x:v>
      </x:c>
      <x:c r="C8523" s="0" t="s">
        <x:v>33956</x:v>
      </x:c>
      <x:c r="E8523" s="0" t="s">
        <x:v>33957</x:v>
      </x:c>
      <x:c r="F8523" s="0" t="s">
        <x:v>45</x:v>
      </x:c>
      <x:c r="G8523" s="0" t="s">
        <x:v>19</x:v>
      </x:c>
      <x:c r="H8523" s="0" t="s">
        <x:v>20</x:v>
      </x:c>
      <x:c r="I8523" s="0" t="s">
        <x:v>21</x:v>
      </x:c>
      <x:c r="K8523" s="0">
        <x:f>hyperlink("https://icd.who.int/dev11/l-ichi/en#/http%3A%2F%2Fid.who.int%2Ficd%2Fentity%2F1743764587","browser")</x:f>
      </x:c>
      <x:c r="L8523" s="0">
        <x:f>hyperlink("https://icat2.azurewebsites.net/icat/?ontology=ICD&amp;tab=ClassesTab&amp;id=http%3A%2F%2Fwho.int%2Ficd%23269_ff58eec5_10d2_4a64_afc1_e5afdbe05d77","iCat")</x:f>
      </x:c>
      <x:c r="M8523" s="0" t="s">
        <x:v>21</x:v>
      </x:c>
      <x:c r="N8523" s="0" t="s">
        <x:v>46</x:v>
      </x:c>
    </x:row>
    <x:row r="8524" spans="1:16">
      <x:c r="A8524" s="0" t="s">
        <x:v>33958</x:v>
      </x:c>
      <x:c r="B8524" s="0" t="s">
        <x:v>33959</x:v>
      </x:c>
      <x:c r="C8524" s="0" t="s">
        <x:v>33960</x:v>
      </x:c>
      <x:c r="E8524" s="0" t="s">
        <x:v>33961</x:v>
      </x:c>
      <x:c r="F8524" s="0" t="s">
        <x:v>45</x:v>
      </x:c>
      <x:c r="G8524" s="0" t="s">
        <x:v>19</x:v>
      </x:c>
      <x:c r="H8524" s="0" t="s">
        <x:v>20</x:v>
      </x:c>
      <x:c r="I8524" s="0" t="s">
        <x:v>21</x:v>
      </x:c>
      <x:c r="K8524" s="0">
        <x:f>hyperlink("https://icd.who.int/dev11/l-ichi/en#/http%3A%2F%2Fid.who.int%2Ficd%2Fentity%2F752095328","browser")</x:f>
      </x:c>
      <x:c r="L8524" s="0">
        <x:f>hyperlink("https://icat2.azurewebsites.net/icat/?ontology=ICD&amp;tab=ClassesTab&amp;id=http%3A%2F%2Fwho.int%2Ficd%23385_ff58eec5_10d2_4a64_afc1_e5afdbe05d77","iCat")</x:f>
      </x:c>
      <x:c r="M8524" s="0" t="s">
        <x:v>21</x:v>
      </x:c>
      <x:c r="N8524" s="0" t="s">
        <x:v>46</x:v>
      </x:c>
    </x:row>
    <x:row r="8525" spans="1:16">
      <x:c r="A8525" s="0" t="s">
        <x:v>33962</x:v>
      </x:c>
      <x:c r="B8525" s="0" t="s">
        <x:v>33963</x:v>
      </x:c>
      <x:c r="C8525" s="0" t="s">
        <x:v>33964</x:v>
      </x:c>
      <x:c r="E8525" s="0" t="s">
        <x:v>33965</x:v>
      </x:c>
      <x:c r="F8525" s="0" t="s">
        <x:v>45</x:v>
      </x:c>
      <x:c r="G8525" s="0" t="s">
        <x:v>19</x:v>
      </x:c>
      <x:c r="H8525" s="0" t="s">
        <x:v>20</x:v>
      </x:c>
      <x:c r="I8525" s="0" t="s">
        <x:v>21</x:v>
      </x:c>
      <x:c r="K8525" s="0">
        <x:f>hyperlink("https://icd.who.int/dev11/l-ichi/en#/http%3A%2F%2Fid.who.int%2Ficd%2Fentity%2F1930838397","browser")</x:f>
      </x:c>
      <x:c r="L8525" s="0">
        <x:f>hyperlink("https://icat2.azurewebsites.net/icat/?ontology=ICD&amp;tab=ClassesTab&amp;id=http%3A%2F%2Fwho.int%2Ficd%23391_ff58eec5_10d2_4a64_afc1_e5afdbe05d77","iCat")</x:f>
      </x:c>
      <x:c r="M8525" s="0" t="s">
        <x:v>21</x:v>
      </x:c>
      <x:c r="N8525" s="0" t="s">
        <x:v>46</x:v>
      </x:c>
    </x:row>
    <x:row r="8526" spans="1:16">
      <x:c r="A8526" s="0" t="s">
        <x:v>33966</x:v>
      </x:c>
      <x:c r="B8526" s="0" t="s">
        <x:v>33967</x:v>
      </x:c>
      <x:c r="C8526" s="0" t="s">
        <x:v>33968</x:v>
      </x:c>
      <x:c r="E8526" s="0" t="s">
        <x:v>33969</x:v>
      </x:c>
      <x:c r="F8526" s="0" t="s">
        <x:v>45</x:v>
      </x:c>
      <x:c r="G8526" s="0" t="s">
        <x:v>19</x:v>
      </x:c>
      <x:c r="H8526" s="0" t="s">
        <x:v>20</x:v>
      </x:c>
      <x:c r="I8526" s="0" t="s">
        <x:v>21</x:v>
      </x:c>
      <x:c r="K8526" s="0">
        <x:f>hyperlink("https://icd.who.int/dev11/l-ichi/en#/http%3A%2F%2Fid.who.int%2Ficd%2Fentity%2F594385102","browser")</x:f>
      </x:c>
      <x:c r="L8526" s="0">
        <x:f>hyperlink("https://icat2.azurewebsites.net/icat/?ontology=ICD&amp;tab=ClassesTab&amp;id=http%3A%2F%2Fwho.int%2Ficd%23397_ff58eec5_10d2_4a64_afc1_e5afdbe05d77","iCat")</x:f>
      </x:c>
      <x:c r="M8526" s="0" t="s">
        <x:v>21</x:v>
      </x:c>
      <x:c r="N8526" s="0" t="s">
        <x:v>46</x:v>
      </x:c>
    </x:row>
    <x:row r="8527" spans="1:16">
      <x:c r="A8527" s="0" t="s">
        <x:v>33970</x:v>
      </x:c>
      <x:c r="B8527" s="0" t="s">
        <x:v>33971</x:v>
      </x:c>
      <x:c r="C8527" s="0" t="s">
        <x:v>33972</x:v>
      </x:c>
      <x:c r="E8527" s="0" t="s">
        <x:v>33973</x:v>
      </x:c>
      <x:c r="F8527" s="0" t="s">
        <x:v>45</x:v>
      </x:c>
      <x:c r="G8527" s="0" t="s">
        <x:v>19</x:v>
      </x:c>
      <x:c r="H8527" s="0" t="s">
        <x:v>20</x:v>
      </x:c>
      <x:c r="I8527" s="0" t="s">
        <x:v>21</x:v>
      </x:c>
      <x:c r="K8527" s="0">
        <x:f>hyperlink("https://icd.who.int/dev11/l-ichi/en#/http%3A%2F%2Fid.who.int%2Ficd%2Fentity%2F265238599","browser")</x:f>
      </x:c>
      <x:c r="L8527" s="0">
        <x:f>hyperlink("https://icat2.azurewebsites.net/icat/?ontology=ICD&amp;tab=ClassesTab&amp;id=http%3A%2F%2Fwho.int%2Ficd%23403_ff58eec5_10d2_4a64_afc1_e5afdbe05d77","iCat")</x:f>
      </x:c>
      <x:c r="M8527" s="0" t="s">
        <x:v>21</x:v>
      </x:c>
      <x:c r="N8527" s="0" t="s">
        <x:v>46</x:v>
      </x:c>
    </x:row>
    <x:row r="8528" spans="1:16">
      <x:c r="A8528" s="0" t="s">
        <x:v>33974</x:v>
      </x:c>
      <x:c r="B8528" s="0" t="s">
        <x:v>33975</x:v>
      </x:c>
      <x:c r="C8528" s="0" t="s">
        <x:v>33976</x:v>
      </x:c>
      <x:c r="E8528" s="0" t="s">
        <x:v>33977</x:v>
      </x:c>
      <x:c r="F8528" s="0" t="s">
        <x:v>45</x:v>
      </x:c>
      <x:c r="G8528" s="0" t="s">
        <x:v>19</x:v>
      </x:c>
      <x:c r="H8528" s="0" t="s">
        <x:v>20</x:v>
      </x:c>
      <x:c r="I8528" s="0" t="s">
        <x:v>21</x:v>
      </x:c>
      <x:c r="K8528" s="0">
        <x:f>hyperlink("https://icd.who.int/dev11/l-ichi/en#/http%3A%2F%2Fid.who.int%2Ficd%2Fentity%2F607278295","browser")</x:f>
      </x:c>
      <x:c r="L8528" s="0">
        <x:f>hyperlink("https://icat2.azurewebsites.net/icat/?ontology=ICD&amp;tab=ClassesTab&amp;id=http%3A%2F%2Fwho.int%2Ficd%23409_ff58eec5_10d2_4a64_afc1_e5afdbe05d77","iCat")</x:f>
      </x:c>
      <x:c r="M8528" s="0" t="s">
        <x:v>21</x:v>
      </x:c>
      <x:c r="N8528" s="0" t="s">
        <x:v>46</x:v>
      </x:c>
    </x:row>
    <x:row r="8529" spans="1:16">
      <x:c r="A8529" s="0" t="s">
        <x:v>33978</x:v>
      </x:c>
      <x:c r="B8529" s="0" t="s">
        <x:v>33979</x:v>
      </x:c>
      <x:c r="C8529" s="0" t="s">
        <x:v>33980</x:v>
      </x:c>
      <x:c r="E8529" s="0" t="s">
        <x:v>33981</x:v>
      </x:c>
      <x:c r="F8529" s="0" t="s">
        <x:v>45</x:v>
      </x:c>
      <x:c r="G8529" s="0" t="s">
        <x:v>19</x:v>
      </x:c>
      <x:c r="H8529" s="0" t="s">
        <x:v>20</x:v>
      </x:c>
      <x:c r="I8529" s="0" t="s">
        <x:v>21</x:v>
      </x:c>
      <x:c r="K8529" s="0">
        <x:f>hyperlink("https://icd.who.int/dev11/l-ichi/en#/http%3A%2F%2Fid.who.int%2Ficd%2Fentity%2F896627873","browser")</x:f>
      </x:c>
      <x:c r="L8529" s="0">
        <x:f>hyperlink("https://icat2.azurewebsites.net/icat/?ontology=ICD&amp;tab=ClassesTab&amp;id=http%3A%2F%2Fwho.int%2Ficd%23415_ff58eec5_10d2_4a64_afc1_e5afdbe05d77","iCat")</x:f>
      </x:c>
      <x:c r="M8529" s="0" t="s">
        <x:v>21</x:v>
      </x:c>
      <x:c r="N8529" s="0" t="s">
        <x:v>46</x:v>
      </x:c>
    </x:row>
    <x:row r="8530" spans="1:16">
      <x:c r="A8530" s="0" t="s">
        <x:v>33982</x:v>
      </x:c>
      <x:c r="B8530" s="0" t="s">
        <x:v>33983</x:v>
      </x:c>
      <x:c r="C8530" s="0" t="s">
        <x:v>33984</x:v>
      </x:c>
      <x:c r="E8530" s="0" t="s">
        <x:v>33985</x:v>
      </x:c>
      <x:c r="F8530" s="0" t="s">
        <x:v>45</x:v>
      </x:c>
      <x:c r="G8530" s="0" t="s">
        <x:v>19</x:v>
      </x:c>
      <x:c r="H8530" s="0" t="s">
        <x:v>20</x:v>
      </x:c>
      <x:c r="I8530" s="0" t="s">
        <x:v>21</x:v>
      </x:c>
      <x:c r="K8530" s="0">
        <x:f>hyperlink("https://icd.who.int/dev11/l-ichi/en#/http%3A%2F%2Fid.who.int%2Ficd%2Fentity%2F1086845140","browser")</x:f>
      </x:c>
      <x:c r="L8530" s="0">
        <x:f>hyperlink("https://icat2.azurewebsites.net/icat/?ontology=ICD&amp;tab=ClassesTab&amp;id=http%3A%2F%2Fwho.int%2Ficd%23421_ff58eec5_10d2_4a64_afc1_e5afdbe05d77","iCat")</x:f>
      </x:c>
      <x:c r="M8530" s="0" t="s">
        <x:v>21</x:v>
      </x:c>
      <x:c r="N8530" s="0" t="s">
        <x:v>46</x:v>
      </x:c>
    </x:row>
    <x:row r="8531" spans="1:16">
      <x:c r="A8531" s="0" t="s">
        <x:v>33986</x:v>
      </x:c>
      <x:c r="B8531" s="0" t="s">
        <x:v>33987</x:v>
      </x:c>
      <x:c r="C8531" s="0" t="s">
        <x:v>33988</x:v>
      </x:c>
      <x:c r="E8531" s="0" t="s">
        <x:v>33989</x:v>
      </x:c>
      <x:c r="F8531" s="0" t="s">
        <x:v>45</x:v>
      </x:c>
      <x:c r="G8531" s="0" t="s">
        <x:v>19</x:v>
      </x:c>
      <x:c r="H8531" s="0" t="s">
        <x:v>20</x:v>
      </x:c>
      <x:c r="I8531" s="0" t="s">
        <x:v>21</x:v>
      </x:c>
      <x:c r="K8531" s="0">
        <x:f>hyperlink("https://icd.who.int/dev11/l-ichi/en#/http%3A%2F%2Fid.who.int%2Ficd%2Fentity%2F1333688386","browser")</x:f>
      </x:c>
      <x:c r="L8531" s="0">
        <x:f>hyperlink("https://icat2.azurewebsites.net/icat/?ontology=ICD&amp;tab=ClassesTab&amp;id=http%3A%2F%2Fwho.int%2Ficd%23433_ff58eec5_10d2_4a64_afc1_e5afdbe05d77","iCat")</x:f>
      </x:c>
      <x:c r="M8531" s="0" t="s">
        <x:v>21</x:v>
      </x:c>
      <x:c r="N8531" s="0" t="s">
        <x:v>46</x:v>
      </x:c>
    </x:row>
    <x:row r="8532" spans="1:16">
      <x:c r="A8532" s="0" t="s">
        <x:v>33990</x:v>
      </x:c>
      <x:c r="B8532" s="0" t="s">
        <x:v>33991</x:v>
      </x:c>
      <x:c r="C8532" s="0" t="s">
        <x:v>33992</x:v>
      </x:c>
      <x:c r="E8532" s="0" t="s">
        <x:v>33993</x:v>
      </x:c>
      <x:c r="F8532" s="0" t="s">
        <x:v>45</x:v>
      </x:c>
      <x:c r="G8532" s="0" t="s">
        <x:v>19</x:v>
      </x:c>
      <x:c r="H8532" s="0" t="s">
        <x:v>20</x:v>
      </x:c>
      <x:c r="I8532" s="0" t="s">
        <x:v>21</x:v>
      </x:c>
      <x:c r="K8532" s="0">
        <x:f>hyperlink("https://icd.who.int/dev11/l-ichi/en#/http%3A%2F%2Fid.who.int%2Ficd%2Fentity%2F1686312146","browser")</x:f>
      </x:c>
      <x:c r="L8532" s="0">
        <x:f>hyperlink("https://icat2.azurewebsites.net/icat/?ontology=ICD&amp;tab=ClassesTab&amp;id=http%3A%2F%2Fwho.int%2Ficd%23439_ff58eec5_10d2_4a64_afc1_e5afdbe05d77","iCat")</x:f>
      </x:c>
      <x:c r="M8532" s="0" t="s">
        <x:v>21</x:v>
      </x:c>
      <x:c r="N8532" s="0" t="s">
        <x:v>46</x:v>
      </x:c>
    </x:row>
    <x:row r="8533" spans="1:16">
      <x:c r="A8533" s="0" t="s">
        <x:v>33994</x:v>
      </x:c>
      <x:c r="B8533" s="0" t="s">
        <x:v>33995</x:v>
      </x:c>
      <x:c r="C8533" s="0" t="s">
        <x:v>33996</x:v>
      </x:c>
      <x:c r="E8533" s="0" t="s">
        <x:v>33997</x:v>
      </x:c>
      <x:c r="F8533" s="0" t="s">
        <x:v>45</x:v>
      </x:c>
      <x:c r="G8533" s="0" t="s">
        <x:v>19</x:v>
      </x:c>
      <x:c r="H8533" s="0" t="s">
        <x:v>20</x:v>
      </x:c>
      <x:c r="I8533" s="0" t="s">
        <x:v>21</x:v>
      </x:c>
      <x:c r="K8533" s="0">
        <x:f>hyperlink("https://icd.who.int/dev11/l-ichi/en#/http%3A%2F%2Fid.who.int%2Ficd%2Fentity%2F802403051","browser")</x:f>
      </x:c>
      <x:c r="L8533" s="0">
        <x:f>hyperlink("https://icat2.azurewebsites.net/icat/?ontology=ICD&amp;tab=ClassesTab&amp;id=http%3A%2F%2Fwho.int%2Ficd%23445_ff58eec5_10d2_4a64_afc1_e5afdbe05d77","iCat")</x:f>
      </x:c>
      <x:c r="M8533" s="0" t="s">
        <x:v>21</x:v>
      </x:c>
      <x:c r="N8533" s="0" t="s">
        <x:v>46</x:v>
      </x:c>
    </x:row>
    <x:row r="8534" spans="1:16">
      <x:c r="A8534" s="0" t="s">
        <x:v>33998</x:v>
      </x:c>
      <x:c r="B8534" s="0" t="s">
        <x:v>33999</x:v>
      </x:c>
      <x:c r="C8534" s="0" t="s">
        <x:v>34000</x:v>
      </x:c>
      <x:c r="E8534" s="0" t="s">
        <x:v>34001</x:v>
      </x:c>
      <x:c r="F8534" s="0" t="s">
        <x:v>45</x:v>
      </x:c>
      <x:c r="G8534" s="0" t="s">
        <x:v>19</x:v>
      </x:c>
      <x:c r="H8534" s="0" t="s">
        <x:v>20</x:v>
      </x:c>
      <x:c r="I8534" s="0" t="s">
        <x:v>21</x:v>
      </x:c>
      <x:c r="K8534" s="0">
        <x:f>hyperlink("https://icd.who.int/dev11/l-ichi/en#/http%3A%2F%2Fid.who.int%2Ficd%2Fentity%2F1880220616","browser")</x:f>
      </x:c>
      <x:c r="L8534" s="0">
        <x:f>hyperlink("https://icat2.azurewebsites.net/icat/?ontology=ICD&amp;tab=ClassesTab&amp;id=http%3A%2F%2Fwho.int%2Ficd%23451_ff58eec5_10d2_4a64_afc1_e5afdbe05d77","iCat")</x:f>
      </x:c>
      <x:c r="M8534" s="0" t="s">
        <x:v>21</x:v>
      </x:c>
      <x:c r="N8534" s="0" t="s">
        <x:v>46</x:v>
      </x:c>
    </x:row>
    <x:row r="8535" spans="1:16">
      <x:c r="A8535" s="0" t="s">
        <x:v>34002</x:v>
      </x:c>
      <x:c r="B8535" s="0" t="s">
        <x:v>34003</x:v>
      </x:c>
      <x:c r="C8535" s="0" t="s">
        <x:v>34004</x:v>
      </x:c>
      <x:c r="E8535" s="0" t="s">
        <x:v>34005</x:v>
      </x:c>
      <x:c r="F8535" s="0" t="s">
        <x:v>45</x:v>
      </x:c>
      <x:c r="G8535" s="0" t="s">
        <x:v>19</x:v>
      </x:c>
      <x:c r="H8535" s="0" t="s">
        <x:v>20</x:v>
      </x:c>
      <x:c r="I8535" s="0" t="s">
        <x:v>21</x:v>
      </x:c>
      <x:c r="K8535" s="0">
        <x:f>hyperlink("https://icd.who.int/dev11/l-ichi/en#/http%3A%2F%2Fid.who.int%2Ficd%2Fentity%2F1615245992","browser")</x:f>
      </x:c>
      <x:c r="L8535" s="0">
        <x:f>hyperlink("https://icat2.azurewebsites.net/icat/?ontology=ICD&amp;tab=ClassesTab&amp;id=http%3A%2F%2Fwho.int%2Ficd%23133_50ecc845_83e1_4a61_b900_1cad3840acc4","iCat")</x:f>
      </x:c>
      <x:c r="M8535" s="0" t="s">
        <x:v>21</x:v>
      </x:c>
      <x:c r="N8535" s="0" t="s">
        <x:v>46</x:v>
      </x:c>
    </x:row>
    <x:row r="8536" spans="1:16">
      <x:c r="A8536" s="0" t="s">
        <x:v>34006</x:v>
      </x:c>
      <x:c r="B8536" s="0" t="s">
        <x:v>34007</x:v>
      </x:c>
      <x:c r="C8536" s="0" t="s">
        <x:v>34008</x:v>
      </x:c>
      <x:c r="E8536" s="0" t="s">
        <x:v>34009</x:v>
      </x:c>
      <x:c r="F8536" s="0" t="s">
        <x:v>45</x:v>
      </x:c>
      <x:c r="G8536" s="0" t="s">
        <x:v>19</x:v>
      </x:c>
      <x:c r="H8536" s="0" t="s">
        <x:v>20</x:v>
      </x:c>
      <x:c r="I8536" s="0" t="s">
        <x:v>21</x:v>
      </x:c>
      <x:c r="K8536" s="0">
        <x:f>hyperlink("https://icd.who.int/dev11/l-ichi/en#/http%3A%2F%2Fid.who.int%2Ficd%2Fentity%2F1270603320","browser")</x:f>
      </x:c>
      <x:c r="L8536" s="0">
        <x:f>hyperlink("https://icat2.azurewebsites.net/icat/?ontology=ICD&amp;tab=ClassesTab&amp;id=http%3A%2F%2Fwho.int%2Ficd%23139_50ecc845_83e1_4a61_b900_1cad3840acc4","iCat")</x:f>
      </x:c>
      <x:c r="M8536" s="0" t="s">
        <x:v>21</x:v>
      </x:c>
      <x:c r="N8536" s="0" t="s">
        <x:v>46</x:v>
      </x:c>
    </x:row>
    <x:row r="8537" spans="1:16">
      <x:c r="A8537" s="0" t="s">
        <x:v>34010</x:v>
      </x:c>
      <x:c r="B8537" s="0" t="s">
        <x:v>34011</x:v>
      </x:c>
      <x:c r="C8537" s="0" t="s">
        <x:v>34012</x:v>
      </x:c>
      <x:c r="E8537" s="0" t="s">
        <x:v>34013</x:v>
      </x:c>
      <x:c r="F8537" s="0" t="s">
        <x:v>45</x:v>
      </x:c>
      <x:c r="G8537" s="0" t="s">
        <x:v>19</x:v>
      </x:c>
      <x:c r="H8537" s="0" t="s">
        <x:v>20</x:v>
      </x:c>
      <x:c r="I8537" s="0" t="s">
        <x:v>21</x:v>
      </x:c>
      <x:c r="K8537" s="0">
        <x:f>hyperlink("https://icd.who.int/dev11/l-ichi/en#/http%3A%2F%2Fid.who.int%2Ficd%2Fentity%2F15431683","browser")</x:f>
      </x:c>
      <x:c r="L8537" s="0">
        <x:f>hyperlink("https://icat2.azurewebsites.net/icat/?ontology=ICD&amp;tab=ClassesTab&amp;id=http%3A%2F%2Fwho.int%2Ficd%23145_50ecc845_83e1_4a61_b900_1cad3840acc4","iCat")</x:f>
      </x:c>
      <x:c r="M8537" s="0" t="s">
        <x:v>21</x:v>
      </x:c>
      <x:c r="N8537" s="0" t="s">
        <x:v>46</x:v>
      </x:c>
    </x:row>
    <x:row r="8538" spans="1:16">
      <x:c r="A8538" s="0" t="s">
        <x:v>34014</x:v>
      </x:c>
      <x:c r="B8538" s="0" t="s">
        <x:v>34015</x:v>
      </x:c>
      <x:c r="C8538" s="0" t="s">
        <x:v>34016</x:v>
      </x:c>
      <x:c r="E8538" s="0" t="s">
        <x:v>34017</x:v>
      </x:c>
      <x:c r="F8538" s="0" t="s">
        <x:v>45</x:v>
      </x:c>
      <x:c r="G8538" s="0" t="s">
        <x:v>19</x:v>
      </x:c>
      <x:c r="H8538" s="0" t="s">
        <x:v>20</x:v>
      </x:c>
      <x:c r="I8538" s="0" t="s">
        <x:v>21</x:v>
      </x:c>
      <x:c r="K8538" s="0">
        <x:f>hyperlink("https://icd.who.int/dev11/l-ichi/en#/http%3A%2F%2Fid.who.int%2Ficd%2Fentity%2F447497945","browser")</x:f>
      </x:c>
      <x:c r="L8538" s="0">
        <x:f>hyperlink("https://icat2.azurewebsites.net/icat/?ontology=ICD&amp;tab=ClassesTab&amp;id=http%3A%2F%2Fwho.int%2Ficd%23152_50ecc845_83e1_4a61_b900_1cad3840acc4","iCat")</x:f>
      </x:c>
      <x:c r="M8538" s="0" t="s">
        <x:v>21</x:v>
      </x:c>
      <x:c r="N8538" s="0" t="s">
        <x:v>46</x:v>
      </x:c>
    </x:row>
    <x:row r="8539" spans="1:16">
      <x:c r="A8539" s="0" t="s">
        <x:v>34018</x:v>
      </x:c>
      <x:c r="B8539" s="0" t="s">
        <x:v>34019</x:v>
      </x:c>
      <x:c r="C8539" s="0" t="s">
        <x:v>34020</x:v>
      </x:c>
      <x:c r="E8539" s="0" t="s">
        <x:v>34021</x:v>
      </x:c>
      <x:c r="F8539" s="0" t="s">
        <x:v>45</x:v>
      </x:c>
      <x:c r="G8539" s="0" t="s">
        <x:v>19</x:v>
      </x:c>
      <x:c r="H8539" s="0" t="s">
        <x:v>20</x:v>
      </x:c>
      <x:c r="I8539" s="0" t="s">
        <x:v>21</x:v>
      </x:c>
      <x:c r="K8539" s="0">
        <x:f>hyperlink("https://icd.who.int/dev11/l-ichi/en#/http%3A%2F%2Fid.who.int%2Ficd%2Fentity%2F827402825","browser")</x:f>
      </x:c>
      <x:c r="L8539" s="0">
        <x:f>hyperlink("https://icat2.azurewebsites.net/icat/?ontology=ICD&amp;tab=ClassesTab&amp;id=http%3A%2F%2Fwho.int%2Ficd%23158_50ecc845_83e1_4a61_b900_1cad3840acc4","iCat")</x:f>
      </x:c>
      <x:c r="M8539" s="0" t="s">
        <x:v>21</x:v>
      </x:c>
      <x:c r="N8539" s="0" t="s">
        <x:v>46</x:v>
      </x:c>
    </x:row>
    <x:row r="8540" spans="1:16">
      <x:c r="A8540" s="0" t="s">
        <x:v>34022</x:v>
      </x:c>
      <x:c r="B8540" s="0" t="s">
        <x:v>34023</x:v>
      </x:c>
      <x:c r="C8540" s="0" t="s">
        <x:v>34024</x:v>
      </x:c>
      <x:c r="E8540" s="0" t="s">
        <x:v>34025</x:v>
      </x:c>
      <x:c r="F8540" s="0" t="s">
        <x:v>45</x:v>
      </x:c>
      <x:c r="G8540" s="0" t="s">
        <x:v>19</x:v>
      </x:c>
      <x:c r="H8540" s="0" t="s">
        <x:v>20</x:v>
      </x:c>
      <x:c r="I8540" s="0" t="s">
        <x:v>21</x:v>
      </x:c>
      <x:c r="K8540" s="0">
        <x:f>hyperlink("https://icd.who.int/dev11/l-ichi/en#/http%3A%2F%2Fid.who.int%2Ficd%2Fentity%2F174514031","browser")</x:f>
      </x:c>
      <x:c r="L8540" s="0">
        <x:f>hyperlink("https://icat2.azurewebsites.net/icat/?ontology=ICD&amp;tab=ClassesTab&amp;id=http%3A%2F%2Fwho.int%2Ficd%23164_50ecc845_83e1_4a61_b900_1cad3840acc4","iCat")</x:f>
      </x:c>
      <x:c r="M8540" s="0" t="s">
        <x:v>21</x:v>
      </x:c>
      <x:c r="N8540" s="0" t="s">
        <x:v>46</x:v>
      </x:c>
    </x:row>
    <x:row r="8541" spans="1:16">
      <x:c r="A8541" s="0" t="s">
        <x:v>34026</x:v>
      </x:c>
      <x:c r="B8541" s="0" t="s">
        <x:v>34027</x:v>
      </x:c>
      <x:c r="C8541" s="0" t="s">
        <x:v>34028</x:v>
      </x:c>
      <x:c r="E8541" s="0" t="s">
        <x:v>34029</x:v>
      </x:c>
      <x:c r="F8541" s="0" t="s">
        <x:v>45</x:v>
      </x:c>
      <x:c r="G8541" s="0" t="s">
        <x:v>19</x:v>
      </x:c>
      <x:c r="H8541" s="0" t="s">
        <x:v>20</x:v>
      </x:c>
      <x:c r="I8541" s="0" t="s">
        <x:v>21</x:v>
      </x:c>
      <x:c r="K8541" s="0">
        <x:f>hyperlink("https://icd.who.int/dev11/l-ichi/en#/http%3A%2F%2Fid.who.int%2Ficd%2Fentity%2F1436847694","browser")</x:f>
      </x:c>
      <x:c r="L8541" s="0">
        <x:f>hyperlink("https://icat2.azurewebsites.net/icat/?ontology=ICD&amp;tab=ClassesTab&amp;id=http%3A%2F%2Fwho.int%2Ficd%23170_50ecc845_83e1_4a61_b900_1cad3840acc4","iCat")</x:f>
      </x:c>
      <x:c r="M8541" s="0" t="s">
        <x:v>21</x:v>
      </x:c>
      <x:c r="N8541" s="0" t="s">
        <x:v>46</x:v>
      </x:c>
    </x:row>
    <x:row r="8542" spans="1:16">
      <x:c r="A8542" s="0" t="s">
        <x:v>34030</x:v>
      </x:c>
      <x:c r="B8542" s="0" t="s">
        <x:v>34031</x:v>
      </x:c>
      <x:c r="C8542" s="0" t="s">
        <x:v>34032</x:v>
      </x:c>
      <x:c r="E8542" s="0" t="s">
        <x:v>34033</x:v>
      </x:c>
      <x:c r="F8542" s="0" t="s">
        <x:v>45</x:v>
      </x:c>
      <x:c r="G8542" s="0" t="s">
        <x:v>19</x:v>
      </x:c>
      <x:c r="H8542" s="0" t="s">
        <x:v>20</x:v>
      </x:c>
      <x:c r="I8542" s="0" t="s">
        <x:v>21</x:v>
      </x:c>
      <x:c r="K8542" s="0">
        <x:f>hyperlink("https://icd.who.int/dev11/l-ichi/en#/http%3A%2F%2Fid.who.int%2Ficd%2Fentity%2F98523133","browser")</x:f>
      </x:c>
      <x:c r="L8542" s="0">
        <x:f>hyperlink("https://icat2.azurewebsites.net/icat/?ontology=ICD&amp;tab=ClassesTab&amp;id=http%3A%2F%2Fwho.int%2Ficd%23176_50ecc845_83e1_4a61_b900_1cad3840acc4","iCat")</x:f>
      </x:c>
      <x:c r="M8542" s="0" t="s">
        <x:v>21</x:v>
      </x:c>
      <x:c r="N8542" s="0" t="s">
        <x:v>46</x:v>
      </x:c>
    </x:row>
    <x:row r="8543" spans="1:16">
      <x:c r="A8543" s="0" t="s">
        <x:v>34034</x:v>
      </x:c>
      <x:c r="B8543" s="0" t="s">
        <x:v>34035</x:v>
      </x:c>
      <x:c r="C8543" s="0" t="s">
        <x:v>34036</x:v>
      </x:c>
      <x:c r="E8543" s="0" t="s">
        <x:v>34037</x:v>
      </x:c>
      <x:c r="F8543" s="0" t="s">
        <x:v>45</x:v>
      </x:c>
      <x:c r="G8543" s="0" t="s">
        <x:v>19</x:v>
      </x:c>
      <x:c r="H8543" s="0" t="s">
        <x:v>20</x:v>
      </x:c>
      <x:c r="I8543" s="0" t="s">
        <x:v>21</x:v>
      </x:c>
      <x:c r="K8543" s="0">
        <x:f>hyperlink("https://icd.who.int/dev11/l-ichi/en#/http%3A%2F%2Fid.who.int%2Ficd%2Fentity%2F524278103","browser")</x:f>
      </x:c>
      <x:c r="L8543" s="0">
        <x:f>hyperlink("https://icat2.azurewebsites.net/icat/?ontology=ICD&amp;tab=ClassesTab&amp;id=http%3A%2F%2Fwho.int%2Ficd%23182_50ecc845_83e1_4a61_b900_1cad3840acc4","iCat")</x:f>
      </x:c>
      <x:c r="M8543" s="0" t="s">
        <x:v>21</x:v>
      </x:c>
      <x:c r="N8543" s="0" t="s">
        <x:v>46</x:v>
      </x:c>
    </x:row>
    <x:row r="8544" spans="1:16">
      <x:c r="A8544" s="0" t="s">
        <x:v>34038</x:v>
      </x:c>
      <x:c r="B8544" s="0" t="s">
        <x:v>34039</x:v>
      </x:c>
      <x:c r="C8544" s="0" t="s">
        <x:v>34040</x:v>
      </x:c>
      <x:c r="E8544" s="0" t="s">
        <x:v>34041</x:v>
      </x:c>
      <x:c r="F8544" s="0" t="s">
        <x:v>45</x:v>
      </x:c>
      <x:c r="G8544" s="0" t="s">
        <x:v>19</x:v>
      </x:c>
      <x:c r="H8544" s="0" t="s">
        <x:v>20</x:v>
      </x:c>
      <x:c r="I8544" s="0" t="s">
        <x:v>21</x:v>
      </x:c>
      <x:c r="K8544" s="0">
        <x:f>hyperlink("https://icd.who.int/dev11/l-ichi/en#/http%3A%2F%2Fid.who.int%2Ficd%2Fentity%2F885175751","browser")</x:f>
      </x:c>
      <x:c r="L8544" s="0">
        <x:f>hyperlink("https://icat2.azurewebsites.net/icat/?ontology=ICD&amp;tab=ClassesTab&amp;id=http%3A%2F%2Fwho.int%2Ficd%23188_50ecc845_83e1_4a61_b900_1cad3840acc4","iCat")</x:f>
      </x:c>
      <x:c r="M8544" s="0" t="s">
        <x:v>21</x:v>
      </x:c>
      <x:c r="N8544" s="0" t="s">
        <x:v>46</x:v>
      </x:c>
    </x:row>
    <x:row r="8545" spans="1:16">
      <x:c r="A8545" s="0" t="s">
        <x:v>34042</x:v>
      </x:c>
      <x:c r="B8545" s="0" t="s">
        <x:v>34043</x:v>
      </x:c>
      <x:c r="C8545" s="0" t="s">
        <x:v>34044</x:v>
      </x:c>
      <x:c r="E8545" s="0" t="s">
        <x:v>34045</x:v>
      </x:c>
      <x:c r="F8545" s="0" t="s">
        <x:v>45</x:v>
      </x:c>
      <x:c r="G8545" s="0" t="s">
        <x:v>19</x:v>
      </x:c>
      <x:c r="H8545" s="0" t="s">
        <x:v>20</x:v>
      </x:c>
      <x:c r="I8545" s="0" t="s">
        <x:v>21</x:v>
      </x:c>
      <x:c r="K8545" s="0">
        <x:f>hyperlink("https://icd.who.int/dev11/l-ichi/en#/http%3A%2F%2Fid.who.int%2Ficd%2Fentity%2F629249457","browser")</x:f>
      </x:c>
      <x:c r="L8545" s="0">
        <x:f>hyperlink("https://icat2.azurewebsites.net/icat/?ontology=ICD&amp;tab=ClassesTab&amp;id=http%3A%2F%2Fwho.int%2Ficd%23194_50ecc845_83e1_4a61_b900_1cad3840acc4","iCat")</x:f>
      </x:c>
      <x:c r="M8545" s="0" t="s">
        <x:v>21</x:v>
      </x:c>
      <x:c r="N8545" s="0" t="s">
        <x:v>46</x:v>
      </x:c>
    </x:row>
    <x:row r="8546" spans="1:16">
      <x:c r="A8546" s="0" t="s">
        <x:v>34046</x:v>
      </x:c>
      <x:c r="B8546" s="0" t="s">
        <x:v>34047</x:v>
      </x:c>
      <x:c r="C8546" s="0" t="s">
        <x:v>34048</x:v>
      </x:c>
      <x:c r="E8546" s="0" t="s">
        <x:v>34049</x:v>
      </x:c>
      <x:c r="F8546" s="0" t="s">
        <x:v>45</x:v>
      </x:c>
      <x:c r="G8546" s="0" t="s">
        <x:v>19</x:v>
      </x:c>
      <x:c r="H8546" s="0" t="s">
        <x:v>20</x:v>
      </x:c>
      <x:c r="I8546" s="0" t="s">
        <x:v>21</x:v>
      </x:c>
      <x:c r="K8546" s="0">
        <x:f>hyperlink("https://icd.who.int/dev11/l-ichi/en#/http%3A%2F%2Fid.who.int%2Ficd%2Fentity%2F70068495","browser")</x:f>
      </x:c>
      <x:c r="L8546" s="0">
        <x:f>hyperlink("https://icat2.azurewebsites.net/icat/?ontology=ICD&amp;tab=ClassesTab&amp;id=http%3A%2F%2Fwho.int%2Ficd%23200_50ecc845_83e1_4a61_b900_1cad3840acc4","iCat")</x:f>
      </x:c>
      <x:c r="M8546" s="0" t="s">
        <x:v>21</x:v>
      </x:c>
      <x:c r="N8546" s="0" t="s">
        <x:v>46</x:v>
      </x:c>
    </x:row>
    <x:row r="8547" spans="1:16">
      <x:c r="A8547" s="0" t="s">
        <x:v>34050</x:v>
      </x:c>
      <x:c r="B8547" s="0" t="s">
        <x:v>34051</x:v>
      </x:c>
      <x:c r="C8547" s="0" t="s">
        <x:v>34052</x:v>
      </x:c>
      <x:c r="E8547" s="0" t="s">
        <x:v>34053</x:v>
      </x:c>
      <x:c r="F8547" s="0" t="s">
        <x:v>45</x:v>
      </x:c>
      <x:c r="G8547" s="0" t="s">
        <x:v>19</x:v>
      </x:c>
      <x:c r="H8547" s="0" t="s">
        <x:v>20</x:v>
      </x:c>
      <x:c r="I8547" s="0" t="s">
        <x:v>21</x:v>
      </x:c>
      <x:c r="K8547" s="0">
        <x:f>hyperlink("https://icd.who.int/dev11/l-ichi/en#/http%3A%2F%2Fid.who.int%2Ficd%2Fentity%2F1414983870","browser")</x:f>
      </x:c>
      <x:c r="L8547" s="0">
        <x:f>hyperlink("https://icat2.azurewebsites.net/icat/?ontology=ICD&amp;tab=ClassesTab&amp;id=http%3A%2F%2Fwho.int%2Ficd%23206_50ecc845_83e1_4a61_b900_1cad3840acc4","iCat")</x:f>
      </x:c>
      <x:c r="M8547" s="0" t="s">
        <x:v>21</x:v>
      </x:c>
      <x:c r="N8547" s="0" t="s">
        <x:v>46</x:v>
      </x:c>
    </x:row>
    <x:row r="8548" spans="1:16">
      <x:c r="A8548" s="0" t="s">
        <x:v>34054</x:v>
      </x:c>
      <x:c r="B8548" s="0" t="s">
        <x:v>34055</x:v>
      </x:c>
      <x:c r="C8548" s="0" t="s">
        <x:v>34056</x:v>
      </x:c>
      <x:c r="E8548" s="0" t="s">
        <x:v>34057</x:v>
      </x:c>
      <x:c r="F8548" s="0" t="s">
        <x:v>45</x:v>
      </x:c>
      <x:c r="G8548" s="0" t="s">
        <x:v>19</x:v>
      </x:c>
      <x:c r="H8548" s="0" t="s">
        <x:v>20</x:v>
      </x:c>
      <x:c r="I8548" s="0" t="s">
        <x:v>21</x:v>
      </x:c>
      <x:c r="K8548" s="0">
        <x:f>hyperlink("https://icd.who.int/dev11/l-ichi/en#/http%3A%2F%2Fid.who.int%2Ficd%2Fentity%2F194290077","browser")</x:f>
      </x:c>
      <x:c r="L8548" s="0">
        <x:f>hyperlink("https://icat2.azurewebsites.net/icat/?ontology=ICD&amp;tab=ClassesTab&amp;id=http%3A%2F%2Fwho.int%2Ficd%23212_50ecc845_83e1_4a61_b900_1cad3840acc4","iCat")</x:f>
      </x:c>
      <x:c r="M8548" s="0" t="s">
        <x:v>21</x:v>
      </x:c>
      <x:c r="N8548" s="0" t="s">
        <x:v>46</x:v>
      </x:c>
    </x:row>
    <x:row r="8549" spans="1:16">
      <x:c r="A8549" s="0" t="s">
        <x:v>34058</x:v>
      </x:c>
      <x:c r="B8549" s="0" t="s">
        <x:v>34059</x:v>
      </x:c>
      <x:c r="C8549" s="0" t="s">
        <x:v>34060</x:v>
      </x:c>
      <x:c r="E8549" s="0" t="s">
        <x:v>34061</x:v>
      </x:c>
      <x:c r="F8549" s="0" t="s">
        <x:v>45</x:v>
      </x:c>
      <x:c r="G8549" s="0" t="s">
        <x:v>19</x:v>
      </x:c>
      <x:c r="H8549" s="0" t="s">
        <x:v>20</x:v>
      </x:c>
      <x:c r="I8549" s="0" t="s">
        <x:v>21</x:v>
      </x:c>
      <x:c r="K8549" s="0">
        <x:f>hyperlink("https://icd.who.int/dev11/l-ichi/en#/http%3A%2F%2Fid.who.int%2Ficd%2Fentity%2F543804685","browser")</x:f>
      </x:c>
      <x:c r="L8549" s="0">
        <x:f>hyperlink("https://icat2.azurewebsites.net/icat/?ontology=ICD&amp;tab=ClassesTab&amp;id=http%3A%2F%2Fwho.int%2Ficd%23218_50ecc845_83e1_4a61_b900_1cad3840acc4","iCat")</x:f>
      </x:c>
      <x:c r="M8549" s="0" t="s">
        <x:v>21</x:v>
      </x:c>
      <x:c r="N8549" s="0" t="s">
        <x:v>46</x:v>
      </x:c>
    </x:row>
    <x:row r="8550" spans="1:16">
      <x:c r="A8550" s="0" t="s">
        <x:v>34062</x:v>
      </x:c>
      <x:c r="B8550" s="0" t="s">
        <x:v>34063</x:v>
      </x:c>
      <x:c r="C8550" s="0" t="s">
        <x:v>34064</x:v>
      </x:c>
      <x:c r="E8550" s="0" t="s">
        <x:v>34065</x:v>
      </x:c>
      <x:c r="F8550" s="0" t="s">
        <x:v>45</x:v>
      </x:c>
      <x:c r="G8550" s="0" t="s">
        <x:v>19</x:v>
      </x:c>
      <x:c r="H8550" s="0" t="s">
        <x:v>20</x:v>
      </x:c>
      <x:c r="I8550" s="0" t="s">
        <x:v>21</x:v>
      </x:c>
      <x:c r="K8550" s="0">
        <x:f>hyperlink("https://icd.who.int/dev11/l-ichi/en#/http%3A%2F%2Fid.who.int%2Ficd%2Fentity%2F459159595","browser")</x:f>
      </x:c>
      <x:c r="L8550" s="0">
        <x:f>hyperlink("https://icat2.azurewebsites.net/icat/?ontology=ICD&amp;tab=ClassesTab&amp;id=http%3A%2F%2Fwho.int%2Ficd%23224_50ecc845_83e1_4a61_b900_1cad3840acc4","iCat")</x:f>
      </x:c>
      <x:c r="M8550" s="0" t="s">
        <x:v>21</x:v>
      </x:c>
      <x:c r="N8550" s="0" t="s">
        <x:v>46</x:v>
      </x:c>
    </x:row>
    <x:row r="8551" spans="1:16">
      <x:c r="A8551" s="0" t="s">
        <x:v>34066</x:v>
      </x:c>
      <x:c r="B8551" s="0" t="s">
        <x:v>34067</x:v>
      </x:c>
      <x:c r="C8551" s="0" t="s">
        <x:v>34068</x:v>
      </x:c>
      <x:c r="E8551" s="0" t="s">
        <x:v>34069</x:v>
      </x:c>
      <x:c r="F8551" s="0" t="s">
        <x:v>45</x:v>
      </x:c>
      <x:c r="G8551" s="0" t="s">
        <x:v>19</x:v>
      </x:c>
      <x:c r="H8551" s="0" t="s">
        <x:v>20</x:v>
      </x:c>
      <x:c r="I8551" s="0" t="s">
        <x:v>21</x:v>
      </x:c>
      <x:c r="K8551" s="0">
        <x:f>hyperlink("https://icd.who.int/dev11/l-ichi/en#/http%3A%2F%2Fid.who.int%2Ficd%2Fentity%2F1151101192","browser")</x:f>
      </x:c>
      <x:c r="L8551" s="0">
        <x:f>hyperlink("https://icat2.azurewebsites.net/icat/?ontology=ICD&amp;tab=ClassesTab&amp;id=http%3A%2F%2Fwho.int%2Ficd%23230_50ecc845_83e1_4a61_b900_1cad3840acc4","iCat")</x:f>
      </x:c>
      <x:c r="M8551" s="0" t="s">
        <x:v>21</x:v>
      </x:c>
      <x:c r="N8551" s="0" t="s">
        <x:v>46</x:v>
      </x:c>
    </x:row>
    <x:row r="8552" spans="1:16">
      <x:c r="A8552" s="0" t="s">
        <x:v>34070</x:v>
      </x:c>
      <x:c r="B8552" s="0" t="s">
        <x:v>34071</x:v>
      </x:c>
      <x:c r="C8552" s="0" t="s">
        <x:v>34072</x:v>
      </x:c>
      <x:c r="E8552" s="0" t="s">
        <x:v>34073</x:v>
      </x:c>
      <x:c r="F8552" s="0" t="s">
        <x:v>45</x:v>
      </x:c>
      <x:c r="G8552" s="0" t="s">
        <x:v>19</x:v>
      </x:c>
      <x:c r="H8552" s="0" t="s">
        <x:v>20</x:v>
      </x:c>
      <x:c r="I8552" s="0" t="s">
        <x:v>21</x:v>
      </x:c>
      <x:c r="K8552" s="0">
        <x:f>hyperlink("https://icd.who.int/dev11/l-ichi/en#/http%3A%2F%2Fid.who.int%2Ficd%2Fentity%2F350728377","browser")</x:f>
      </x:c>
      <x:c r="L8552" s="0">
        <x:f>hyperlink("https://icat2.azurewebsites.net/icat/?ontology=ICD&amp;tab=ClassesTab&amp;id=http%3A%2F%2Fwho.int%2Ficd%23236_50ecc845_83e1_4a61_b900_1cad3840acc4","iCat")</x:f>
      </x:c>
      <x:c r="M8552" s="0" t="s">
        <x:v>21</x:v>
      </x:c>
      <x:c r="N8552" s="0" t="s">
        <x:v>46</x:v>
      </x:c>
    </x:row>
    <x:row r="8553" spans="1:16">
      <x:c r="A8553" s="0" t="s">
        <x:v>34074</x:v>
      </x:c>
      <x:c r="B8553" s="0" t="s">
        <x:v>34075</x:v>
      </x:c>
      <x:c r="C8553" s="0" t="s">
        <x:v>34076</x:v>
      </x:c>
      <x:c r="E8553" s="0" t="s">
        <x:v>34077</x:v>
      </x:c>
      <x:c r="F8553" s="0" t="s">
        <x:v>45</x:v>
      </x:c>
      <x:c r="G8553" s="0" t="s">
        <x:v>19</x:v>
      </x:c>
      <x:c r="H8553" s="0" t="s">
        <x:v>20</x:v>
      </x:c>
      <x:c r="I8553" s="0" t="s">
        <x:v>21</x:v>
      </x:c>
      <x:c r="K8553" s="0">
        <x:f>hyperlink("https://icd.who.int/dev11/l-ichi/en#/http%3A%2F%2Fid.who.int%2Ficd%2Fentity%2F1381698924","browser")</x:f>
      </x:c>
      <x:c r="L8553" s="0">
        <x:f>hyperlink("https://icat2.azurewebsites.net/icat/?ontology=ICD&amp;tab=ClassesTab&amp;id=http%3A%2F%2Fwho.int%2Ficd%230_7005c14c_2656_4f4b_85a0_8e71c99be967","iCat")</x:f>
      </x:c>
      <x:c r="M8553" s="0" t="s">
        <x:v>21</x:v>
      </x:c>
      <x:c r="N8553" s="0" t="s">
        <x:v>46</x:v>
      </x:c>
    </x:row>
    <x:row r="8554" spans="1:16">
      <x:c r="A8554" s="0" t="s">
        <x:v>34078</x:v>
      </x:c>
      <x:c r="B8554" s="0" t="s">
        <x:v>34079</x:v>
      </x:c>
      <x:c r="C8554" s="0" t="s">
        <x:v>34080</x:v>
      </x:c>
      <x:c r="E8554" s="0" t="s">
        <x:v>34081</x:v>
      </x:c>
      <x:c r="F8554" s="0" t="s">
        <x:v>45</x:v>
      </x:c>
      <x:c r="G8554" s="0" t="s">
        <x:v>19</x:v>
      </x:c>
      <x:c r="H8554" s="0" t="s">
        <x:v>20</x:v>
      </x:c>
      <x:c r="I8554" s="0" t="s">
        <x:v>21</x:v>
      </x:c>
      <x:c r="K8554" s="0">
        <x:f>hyperlink("https://icd.who.int/dev11/l-ichi/en#/http%3A%2F%2Fid.who.int%2Ficd%2Fentity%2F1369654606","browser")</x:f>
      </x:c>
      <x:c r="L8554" s="0">
        <x:f>hyperlink("https://icat2.azurewebsites.net/icat/?ontology=ICD&amp;tab=ClassesTab&amp;id=http%3A%2F%2Fwho.int%2Ficd%2347759_512ebf36_bf6b_4d70_85da_cf2637062af4","iCat")</x:f>
      </x:c>
      <x:c r="M8554" s="0" t="s">
        <x:v>21</x:v>
      </x:c>
      <x:c r="N8554" s="0" t="s">
        <x:v>46</x:v>
      </x:c>
    </x:row>
    <x:row r="8555" spans="1:16">
      <x:c r="A8555" s="0" t="s">
        <x:v>34082</x:v>
      </x:c>
      <x:c r="B8555" s="0" t="s">
        <x:v>34083</x:v>
      </x:c>
      <x:c r="C8555" s="0" t="s">
        <x:v>34084</x:v>
      </x:c>
      <x:c r="E8555" s="0" t="s">
        <x:v>34085</x:v>
      </x:c>
      <x:c r="F8555" s="0" t="s">
        <x:v>45</x:v>
      </x:c>
      <x:c r="G8555" s="0" t="s">
        <x:v>19</x:v>
      </x:c>
      <x:c r="H8555" s="0" t="s">
        <x:v>20</x:v>
      </x:c>
      <x:c r="I8555" s="0" t="s">
        <x:v>21</x:v>
      </x:c>
      <x:c r="K8555" s="0">
        <x:f>hyperlink("https://icd.who.int/dev11/l-ichi/en#/http%3A%2F%2Fid.who.int%2Ficd%2Fentity%2F35706077","browser")</x:f>
      </x:c>
      <x:c r="L8555" s="0">
        <x:f>hyperlink("https://icat2.azurewebsites.net/icat/?ontology=ICD&amp;tab=ClassesTab&amp;id=http%3A%2F%2Fwho.int%2Ficd%236_7005c14c_2656_4f4b_85a0_8e71c99be967","iCat")</x:f>
      </x:c>
      <x:c r="M8555" s="0" t="s">
        <x:v>21</x:v>
      </x:c>
      <x:c r="N8555" s="0" t="s">
        <x:v>46</x:v>
      </x:c>
    </x:row>
    <x:row r="8556" spans="1:16">
      <x:c r="A8556" s="0" t="s">
        <x:v>34086</x:v>
      </x:c>
      <x:c r="B8556" s="0" t="s">
        <x:v>34087</x:v>
      </x:c>
      <x:c r="C8556" s="0" t="s">
        <x:v>34088</x:v>
      </x:c>
      <x:c r="E8556" s="0" t="s">
        <x:v>34089</x:v>
      </x:c>
      <x:c r="F8556" s="0" t="s">
        <x:v>45</x:v>
      </x:c>
      <x:c r="G8556" s="0" t="s">
        <x:v>19</x:v>
      </x:c>
      <x:c r="H8556" s="0" t="s">
        <x:v>20</x:v>
      </x:c>
      <x:c r="I8556" s="0" t="s">
        <x:v>21</x:v>
      </x:c>
      <x:c r="K8556" s="0">
        <x:f>hyperlink("https://icd.who.int/dev11/l-ichi/en#/http%3A%2F%2Fid.who.int%2Ficd%2Fentity%2F989905668","browser")</x:f>
      </x:c>
      <x:c r="L8556" s="0">
        <x:f>hyperlink("https://icat2.azurewebsites.net/icat/?ontology=ICD&amp;tab=ClassesTab&amp;id=http%3A%2F%2Fwho.int%2Ficd%2312_7005c14c_2656_4f4b_85a0_8e71c99be967","iCat")</x:f>
      </x:c>
      <x:c r="M8556" s="0" t="s">
        <x:v>21</x:v>
      </x:c>
      <x:c r="N8556" s="0" t="s">
        <x:v>46</x:v>
      </x:c>
    </x:row>
    <x:row r="8557" spans="1:16">
      <x:c r="A8557" s="0" t="s">
        <x:v>34090</x:v>
      </x:c>
      <x:c r="B8557" s="0" t="s">
        <x:v>34091</x:v>
      </x:c>
      <x:c r="C8557" s="0" t="s">
        <x:v>34092</x:v>
      </x:c>
      <x:c r="E8557" s="0" t="s">
        <x:v>34093</x:v>
      </x:c>
      <x:c r="F8557" s="0" t="s">
        <x:v>45</x:v>
      </x:c>
      <x:c r="G8557" s="0" t="s">
        <x:v>19</x:v>
      </x:c>
      <x:c r="H8557" s="0" t="s">
        <x:v>20</x:v>
      </x:c>
      <x:c r="I8557" s="0" t="s">
        <x:v>21</x:v>
      </x:c>
      <x:c r="K8557" s="0">
        <x:f>hyperlink("https://icd.who.int/dev11/l-ichi/en#/http%3A%2F%2Fid.who.int%2Ficd%2Fentity%2F837515127","browser")</x:f>
      </x:c>
      <x:c r="L8557" s="0">
        <x:f>hyperlink("https://icat2.azurewebsites.net/icat/?ontology=ICD&amp;tab=ClassesTab&amp;id=http%3A%2F%2Fwho.int%2Ficd%2347768_512ebf36_bf6b_4d70_85da_cf2637062af4","iCat")</x:f>
      </x:c>
      <x:c r="M8557" s="0" t="s">
        <x:v>21</x:v>
      </x:c>
      <x:c r="N8557" s="0" t="s">
        <x:v>46</x:v>
      </x:c>
    </x:row>
    <x:row r="8558" spans="1:16">
      <x:c r="A8558" s="0" t="s">
        <x:v>34094</x:v>
      </x:c>
      <x:c r="B8558" s="0" t="s">
        <x:v>34095</x:v>
      </x:c>
      <x:c r="C8558" s="0" t="s">
        <x:v>34096</x:v>
      </x:c>
      <x:c r="E8558" s="0" t="s">
        <x:v>34097</x:v>
      </x:c>
      <x:c r="F8558" s="0" t="s">
        <x:v>45</x:v>
      </x:c>
      <x:c r="G8558" s="0" t="s">
        <x:v>19</x:v>
      </x:c>
      <x:c r="H8558" s="0" t="s">
        <x:v>20</x:v>
      </x:c>
      <x:c r="I8558" s="0" t="s">
        <x:v>21</x:v>
      </x:c>
      <x:c r="K8558" s="0">
        <x:f>hyperlink("https://icd.who.int/dev11/l-ichi/en#/http%3A%2F%2Fid.who.int%2Ficd%2Fentity%2F1697462522","browser")</x:f>
      </x:c>
      <x:c r="L8558" s="0">
        <x:f>hyperlink("https://icat2.azurewebsites.net/icat/?ontology=ICD&amp;tab=ClassesTab&amp;id=http%3A%2F%2Fwho.int%2Ficd%2347777_512ebf36_bf6b_4d70_85da_cf2637062af4","iCat")</x:f>
      </x:c>
      <x:c r="M8558" s="0" t="s">
        <x:v>21</x:v>
      </x:c>
      <x:c r="N8558" s="0" t="s">
        <x:v>46</x:v>
      </x:c>
    </x:row>
    <x:row r="8559" spans="1:16">
      <x:c r="A8559" s="0" t="s">
        <x:v>34098</x:v>
      </x:c>
      <x:c r="B8559" s="0" t="s">
        <x:v>34099</x:v>
      </x:c>
      <x:c r="C8559" s="0" t="s">
        <x:v>34100</x:v>
      </x:c>
      <x:c r="E8559" s="0" t="s">
        <x:v>34101</x:v>
      </x:c>
      <x:c r="F8559" s="0" t="s">
        <x:v>45</x:v>
      </x:c>
      <x:c r="G8559" s="0" t="s">
        <x:v>19</x:v>
      </x:c>
      <x:c r="H8559" s="0" t="s">
        <x:v>20</x:v>
      </x:c>
      <x:c r="I8559" s="0" t="s">
        <x:v>21</x:v>
      </x:c>
      <x:c r="K8559" s="0">
        <x:f>hyperlink("https://icd.who.int/dev11/l-ichi/en#/http%3A%2F%2Fid.who.int%2Ficd%2Fentity%2F285061012","browser")</x:f>
      </x:c>
      <x:c r="L8559" s="0">
        <x:f>hyperlink("https://icat2.azurewebsites.net/icat/?ontology=ICD&amp;tab=ClassesTab&amp;id=http%3A%2F%2Fwho.int%2Ficd%2318_7005c14c_2656_4f4b_85a0_8e71c99be967","iCat")</x:f>
      </x:c>
      <x:c r="M8559" s="0" t="s">
        <x:v>21</x:v>
      </x:c>
      <x:c r="N8559" s="0" t="s">
        <x:v>46</x:v>
      </x:c>
    </x:row>
    <x:row r="8560" spans="1:16">
      <x:c r="A8560" s="0" t="s">
        <x:v>34102</x:v>
      </x:c>
      <x:c r="B8560" s="0" t="s">
        <x:v>34103</x:v>
      </x:c>
      <x:c r="C8560" s="0" t="s">
        <x:v>34104</x:v>
      </x:c>
      <x:c r="E8560" s="0" t="s">
        <x:v>34105</x:v>
      </x:c>
      <x:c r="F8560" s="0" t="s">
        <x:v>45</x:v>
      </x:c>
      <x:c r="G8560" s="0" t="s">
        <x:v>19</x:v>
      </x:c>
      <x:c r="H8560" s="0" t="s">
        <x:v>20</x:v>
      </x:c>
      <x:c r="I8560" s="0" t="s">
        <x:v>21</x:v>
      </x:c>
      <x:c r="K8560" s="0">
        <x:f>hyperlink("https://icd.who.int/dev11/l-ichi/en#/http%3A%2F%2Fid.who.int%2Ficd%2Fentity%2F734681782","browser")</x:f>
      </x:c>
      <x:c r="L8560" s="0">
        <x:f>hyperlink("https://icat2.azurewebsites.net/icat/?ontology=ICD&amp;tab=ClassesTab&amp;id=http%3A%2F%2Fwho.int%2Ficd%2324_7005c14c_2656_4f4b_85a0_8e71c99be967","iCat")</x:f>
      </x:c>
      <x:c r="M8560" s="0" t="s">
        <x:v>21</x:v>
      </x:c>
      <x:c r="N8560" s="0" t="s">
        <x:v>46</x:v>
      </x:c>
    </x:row>
    <x:row r="8561" spans="1:16">
      <x:c r="A8561" s="0" t="s">
        <x:v>34106</x:v>
      </x:c>
      <x:c r="B8561" s="0" t="s">
        <x:v>34107</x:v>
      </x:c>
      <x:c r="C8561" s="0" t="s">
        <x:v>34108</x:v>
      </x:c>
      <x:c r="E8561" s="0" t="s">
        <x:v>34109</x:v>
      </x:c>
      <x:c r="F8561" s="0" t="s">
        <x:v>45</x:v>
      </x:c>
      <x:c r="G8561" s="0" t="s">
        <x:v>19</x:v>
      </x:c>
      <x:c r="H8561" s="0" t="s">
        <x:v>20</x:v>
      </x:c>
      <x:c r="I8561" s="0" t="s">
        <x:v>21</x:v>
      </x:c>
      <x:c r="K8561" s="0">
        <x:f>hyperlink("https://icd.who.int/dev11/l-ichi/en#/http%3A%2F%2Fid.who.int%2Ficd%2Fentity%2F1946684311","browser")</x:f>
      </x:c>
      <x:c r="L8561" s="0">
        <x:f>hyperlink("https://icat2.azurewebsites.net/icat/?ontology=ICD&amp;tab=ClassesTab&amp;id=http%3A%2F%2Fwho.int%2Ficd%2330_7005c14c_2656_4f4b_85a0_8e71c99be967","iCat")</x:f>
      </x:c>
      <x:c r="M8561" s="0" t="s">
        <x:v>21</x:v>
      </x:c>
      <x:c r="N8561" s="0" t="s">
        <x:v>46</x:v>
      </x:c>
    </x:row>
    <x:row r="8562" spans="1:16">
      <x:c r="A8562" s="0" t="s">
        <x:v>34110</x:v>
      </x:c>
      <x:c r="B8562" s="0" t="s">
        <x:v>34111</x:v>
      </x:c>
      <x:c r="C8562" s="0" t="s">
        <x:v>34112</x:v>
      </x:c>
      <x:c r="E8562" s="0" t="s">
        <x:v>34113</x:v>
      </x:c>
      <x:c r="F8562" s="0" t="s">
        <x:v>45</x:v>
      </x:c>
      <x:c r="G8562" s="0" t="s">
        <x:v>19</x:v>
      </x:c>
      <x:c r="H8562" s="0" t="s">
        <x:v>20</x:v>
      </x:c>
      <x:c r="I8562" s="0" t="s">
        <x:v>21</x:v>
      </x:c>
      <x:c r="K8562" s="0">
        <x:f>hyperlink("https://icd.who.int/dev11/l-ichi/en#/http%3A%2F%2Fid.who.int%2Ficd%2Fentity%2F611570216","browser")</x:f>
      </x:c>
      <x:c r="L8562" s="0">
        <x:f>hyperlink("https://icat2.azurewebsites.net/icat/?ontology=ICD&amp;tab=ClassesTab&amp;id=http%3A%2F%2Fwho.int%2Ficd%2336_7005c14c_2656_4f4b_85a0_8e71c99be967","iCat")</x:f>
      </x:c>
      <x:c r="M8562" s="0" t="s">
        <x:v>21</x:v>
      </x:c>
      <x:c r="N8562" s="0" t="s">
        <x:v>46</x:v>
      </x:c>
    </x:row>
    <x:row r="8563" spans="1:16">
      <x:c r="A8563" s="0" t="s">
        <x:v>34114</x:v>
      </x:c>
      <x:c r="B8563" s="0" t="s">
        <x:v>34115</x:v>
      </x:c>
      <x:c r="C8563" s="0" t="s">
        <x:v>34116</x:v>
      </x:c>
      <x:c r="E8563" s="0" t="s">
        <x:v>34117</x:v>
      </x:c>
      <x:c r="F8563" s="0" t="s">
        <x:v>45</x:v>
      </x:c>
      <x:c r="G8563" s="0" t="s">
        <x:v>19</x:v>
      </x:c>
      <x:c r="H8563" s="0" t="s">
        <x:v>20</x:v>
      </x:c>
      <x:c r="I8563" s="0" t="s">
        <x:v>21</x:v>
      </x:c>
      <x:c r="K8563" s="0">
        <x:f>hyperlink("https://icd.who.int/dev11/l-ichi/en#/http%3A%2F%2Fid.who.int%2Ficd%2Fentity%2F564266314","browser")</x:f>
      </x:c>
      <x:c r="L8563" s="0">
        <x:f>hyperlink("https://icat2.azurewebsites.net/icat/?ontology=ICD&amp;tab=ClassesTab&amp;id=http%3A%2F%2Fwho.int%2Ficd%2342_7005c14c_2656_4f4b_85a0_8e71c99be967","iCat")</x:f>
      </x:c>
      <x:c r="M8563" s="0" t="s">
        <x:v>21</x:v>
      </x:c>
      <x:c r="N8563" s="0" t="s">
        <x:v>46</x:v>
      </x:c>
    </x:row>
    <x:row r="8564" spans="1:16">
      <x:c r="A8564" s="0" t="s">
        <x:v>34118</x:v>
      </x:c>
      <x:c r="B8564" s="0" t="s">
        <x:v>34119</x:v>
      </x:c>
      <x:c r="C8564" s="0" t="s">
        <x:v>34120</x:v>
      </x:c>
      <x:c r="E8564" s="0" t="s">
        <x:v>34121</x:v>
      </x:c>
      <x:c r="F8564" s="0" t="s">
        <x:v>45</x:v>
      </x:c>
      <x:c r="G8564" s="0" t="s">
        <x:v>19</x:v>
      </x:c>
      <x:c r="H8564" s="0" t="s">
        <x:v>20</x:v>
      </x:c>
      <x:c r="I8564" s="0" t="s">
        <x:v>21</x:v>
      </x:c>
      <x:c r="K8564" s="0">
        <x:f>hyperlink("https://icd.who.int/dev11/l-ichi/en#/http%3A%2F%2Fid.who.int%2Ficd%2Fentity%2F174025178","browser")</x:f>
      </x:c>
      <x:c r="L8564" s="0">
        <x:f>hyperlink("https://icat2.azurewebsites.net/icat/?ontology=ICD&amp;tab=ClassesTab&amp;id=http%3A%2F%2Fwho.int%2Ficd%2348_7005c14c_2656_4f4b_85a0_8e71c99be967","iCat")</x:f>
      </x:c>
      <x:c r="M8564" s="0" t="s">
        <x:v>21</x:v>
      </x:c>
      <x:c r="N8564" s="0" t="s">
        <x:v>46</x:v>
      </x:c>
    </x:row>
    <x:row r="8565" spans="1:16">
      <x:c r="A8565" s="0" t="s">
        <x:v>34122</x:v>
      </x:c>
      <x:c r="B8565" s="0" t="s">
        <x:v>34123</x:v>
      </x:c>
      <x:c r="C8565" s="0" t="s">
        <x:v>34124</x:v>
      </x:c>
      <x:c r="E8565" s="0" t="s">
        <x:v>34125</x:v>
      </x:c>
      <x:c r="F8565" s="0" t="s">
        <x:v>45</x:v>
      </x:c>
      <x:c r="G8565" s="0" t="s">
        <x:v>19</x:v>
      </x:c>
      <x:c r="H8565" s="0" t="s">
        <x:v>20</x:v>
      </x:c>
      <x:c r="I8565" s="0" t="s">
        <x:v>21</x:v>
      </x:c>
      <x:c r="K8565" s="0">
        <x:f>hyperlink("https://icd.who.int/dev11/l-ichi/en#/http%3A%2F%2Fid.who.int%2Ficd%2Fentity%2F454838702","browser")</x:f>
      </x:c>
      <x:c r="L8565" s="0">
        <x:f>hyperlink("https://icat2.azurewebsites.net/icat/?ontology=ICD&amp;tab=ClassesTab&amp;id=http%3A%2F%2Fwho.int%2Ficd%2354_7005c14c_2656_4f4b_85a0_8e71c99be967","iCat")</x:f>
      </x:c>
      <x:c r="M8565" s="0" t="s">
        <x:v>21</x:v>
      </x:c>
      <x:c r="N8565" s="0" t="s">
        <x:v>46</x:v>
      </x:c>
    </x:row>
    <x:row r="8566" spans="1:16">
      <x:c r="A8566" s="0" t="s">
        <x:v>34126</x:v>
      </x:c>
      <x:c r="B8566" s="0" t="s">
        <x:v>34127</x:v>
      </x:c>
      <x:c r="C8566" s="0" t="s">
        <x:v>34128</x:v>
      </x:c>
      <x:c r="E8566" s="0" t="s">
        <x:v>34129</x:v>
      </x:c>
      <x:c r="F8566" s="0" t="s">
        <x:v>45</x:v>
      </x:c>
      <x:c r="G8566" s="0" t="s">
        <x:v>19</x:v>
      </x:c>
      <x:c r="H8566" s="0" t="s">
        <x:v>20</x:v>
      </x:c>
      <x:c r="I8566" s="0" t="s">
        <x:v>21</x:v>
      </x:c>
      <x:c r="K8566" s="0">
        <x:f>hyperlink("https://icd.who.int/dev11/l-ichi/en#/http%3A%2F%2Fid.who.int%2Ficd%2Fentity%2F1856687581","browser")</x:f>
      </x:c>
      <x:c r="L8566" s="0">
        <x:f>hyperlink("https://icat2.azurewebsites.net/icat/?ontology=ICD&amp;tab=ClassesTab&amp;id=http%3A%2F%2Fwho.int%2Ficd%2360_7005c14c_2656_4f4b_85a0_8e71c99be967","iCat")</x:f>
      </x:c>
      <x:c r="M8566" s="0" t="s">
        <x:v>21</x:v>
      </x:c>
      <x:c r="N8566" s="0" t="s">
        <x:v>46</x:v>
      </x:c>
    </x:row>
    <x:row r="8567" spans="1:16">
      <x:c r="A8567" s="0" t="s">
        <x:v>34130</x:v>
      </x:c>
      <x:c r="B8567" s="0" t="s">
        <x:v>34131</x:v>
      </x:c>
      <x:c r="C8567" s="0" t="s">
        <x:v>34132</x:v>
      </x:c>
      <x:c r="E8567" s="0" t="s">
        <x:v>34133</x:v>
      </x:c>
      <x:c r="F8567" s="0" t="s">
        <x:v>45</x:v>
      </x:c>
      <x:c r="G8567" s="0" t="s">
        <x:v>19</x:v>
      </x:c>
      <x:c r="H8567" s="0" t="s">
        <x:v>20</x:v>
      </x:c>
      <x:c r="I8567" s="0" t="s">
        <x:v>21</x:v>
      </x:c>
      <x:c r="K8567" s="0">
        <x:f>hyperlink("https://icd.who.int/dev11/l-ichi/en#/http%3A%2F%2Fid.who.int%2Ficd%2Fentity%2F1053889646","browser")</x:f>
      </x:c>
      <x:c r="L8567" s="0">
        <x:f>hyperlink("https://icat2.azurewebsites.net/icat/?ontology=ICD&amp;tab=ClassesTab&amp;id=http%3A%2F%2Fwho.int%2Ficd%2366_7005c14c_2656_4f4b_85a0_8e71c99be967","iCat")</x:f>
      </x:c>
      <x:c r="M8567" s="0" t="s">
        <x:v>21</x:v>
      </x:c>
      <x:c r="N8567" s="0" t="s">
        <x:v>46</x:v>
      </x:c>
    </x:row>
    <x:row r="8568" spans="1:16">
      <x:c r="A8568" s="0" t="s">
        <x:v>34134</x:v>
      </x:c>
      <x:c r="B8568" s="0" t="s">
        <x:v>34135</x:v>
      </x:c>
      <x:c r="C8568" s="0" t="s">
        <x:v>34136</x:v>
      </x:c>
      <x:c r="E8568" s="0" t="s">
        <x:v>34137</x:v>
      </x:c>
      <x:c r="F8568" s="0" t="s">
        <x:v>45</x:v>
      </x:c>
      <x:c r="G8568" s="0" t="s">
        <x:v>19</x:v>
      </x:c>
      <x:c r="H8568" s="0" t="s">
        <x:v>20</x:v>
      </x:c>
      <x:c r="I8568" s="0" t="s">
        <x:v>21</x:v>
      </x:c>
      <x:c r="K8568" s="0">
        <x:f>hyperlink("https://icd.who.int/dev11/l-ichi/en#/http%3A%2F%2Fid.who.int%2Ficd%2Fentity%2F1628652879","browser")</x:f>
      </x:c>
      <x:c r="L8568" s="0">
        <x:f>hyperlink("https://icat2.azurewebsites.net/icat/?ontology=ICD&amp;tab=ClassesTab&amp;id=http%3A%2F%2Fwho.int%2Ficd%2372_7005c14c_2656_4f4b_85a0_8e71c99be967","iCat")</x:f>
      </x:c>
      <x:c r="M8568" s="0" t="s">
        <x:v>21</x:v>
      </x:c>
      <x:c r="N8568" s="0" t="s">
        <x:v>46</x:v>
      </x:c>
    </x:row>
    <x:row r="8569" spans="1:16">
      <x:c r="A8569" s="0" t="s">
        <x:v>34138</x:v>
      </x:c>
      <x:c r="B8569" s="0" t="s">
        <x:v>34139</x:v>
      </x:c>
      <x:c r="C8569" s="0" t="s">
        <x:v>34140</x:v>
      </x:c>
      <x:c r="E8569" s="0" t="s">
        <x:v>34141</x:v>
      </x:c>
      <x:c r="F8569" s="0" t="s">
        <x:v>45</x:v>
      </x:c>
      <x:c r="G8569" s="0" t="s">
        <x:v>19</x:v>
      </x:c>
      <x:c r="H8569" s="0" t="s">
        <x:v>20</x:v>
      </x:c>
      <x:c r="I8569" s="0" t="s">
        <x:v>21</x:v>
      </x:c>
      <x:c r="K8569" s="0">
        <x:f>hyperlink("https://icd.who.int/dev11/l-ichi/en#/http%3A%2F%2Fid.who.int%2Ficd%2Fentity%2F1257122271","browser")</x:f>
      </x:c>
      <x:c r="L8569" s="0">
        <x:f>hyperlink("https://icat2.azurewebsites.net/icat/?ontology=ICD&amp;tab=ClassesTab&amp;id=http%3A%2F%2Fwho.int%2Ficd%2378_7005c14c_2656_4f4b_85a0_8e71c99be967","iCat")</x:f>
      </x:c>
      <x:c r="M8569" s="0" t="s">
        <x:v>21</x:v>
      </x:c>
      <x:c r="N8569" s="0" t="s">
        <x:v>46</x:v>
      </x:c>
    </x:row>
    <x:row r="8570" spans="1:16">
      <x:c r="A8570" s="0" t="s">
        <x:v>34142</x:v>
      </x:c>
      <x:c r="B8570" s="0" t="s">
        <x:v>34143</x:v>
      </x:c>
      <x:c r="C8570" s="0" t="s">
        <x:v>34144</x:v>
      </x:c>
      <x:c r="E8570" s="0" t="s">
        <x:v>34145</x:v>
      </x:c>
      <x:c r="F8570" s="0" t="s">
        <x:v>45</x:v>
      </x:c>
      <x:c r="G8570" s="0" t="s">
        <x:v>19</x:v>
      </x:c>
      <x:c r="H8570" s="0" t="s">
        <x:v>20</x:v>
      </x:c>
      <x:c r="I8570" s="0" t="s">
        <x:v>21</x:v>
      </x:c>
      <x:c r="K8570" s="0">
        <x:f>hyperlink("https://icd.who.int/dev11/l-ichi/en#/http%3A%2F%2Fid.who.int%2Ficd%2Fentity%2F1047962652","browser")</x:f>
      </x:c>
      <x:c r="L8570" s="0">
        <x:f>hyperlink("https://icat2.azurewebsites.net/icat/?ontology=ICD&amp;tab=ClassesTab&amp;id=http%3A%2F%2Fwho.int%2Ficd%2385_7005c14c_2656_4f4b_85a0_8e71c99be967","iCat")</x:f>
      </x:c>
      <x:c r="M8570" s="0" t="s">
        <x:v>21</x:v>
      </x:c>
      <x:c r="N8570" s="0" t="s">
        <x:v>46</x:v>
      </x:c>
    </x:row>
    <x:row r="8571" spans="1:16">
      <x:c r="A8571" s="0" t="s">
        <x:v>34146</x:v>
      </x:c>
      <x:c r="B8571" s="0" t="s">
        <x:v>34147</x:v>
      </x:c>
      <x:c r="C8571" s="0" t="s">
        <x:v>34148</x:v>
      </x:c>
      <x:c r="E8571" s="0" t="s">
        <x:v>34149</x:v>
      </x:c>
      <x:c r="F8571" s="0" t="s">
        <x:v>45</x:v>
      </x:c>
      <x:c r="G8571" s="0" t="s">
        <x:v>19</x:v>
      </x:c>
      <x:c r="H8571" s="0" t="s">
        <x:v>20</x:v>
      </x:c>
      <x:c r="I8571" s="0" t="s">
        <x:v>21</x:v>
      </x:c>
      <x:c r="K8571" s="0">
        <x:f>hyperlink("https://icd.who.int/dev11/l-ichi/en#/http%3A%2F%2Fid.who.int%2Ficd%2Fentity%2F1639249215","browser")</x:f>
      </x:c>
      <x:c r="L8571" s="0">
        <x:f>hyperlink("https://icat2.azurewebsites.net/icat/?ontology=ICD&amp;tab=ClassesTab&amp;id=http%3A%2F%2Fwho.int%2Ficd%2391_7005c14c_2656_4f4b_85a0_8e71c99be967","iCat")</x:f>
      </x:c>
      <x:c r="M8571" s="0" t="s">
        <x:v>21</x:v>
      </x:c>
      <x:c r="N8571" s="0" t="s">
        <x:v>46</x:v>
      </x:c>
    </x:row>
    <x:row r="8572" spans="1:16">
      <x:c r="A8572" s="0" t="s">
        <x:v>34150</x:v>
      </x:c>
      <x:c r="B8572" s="0" t="s">
        <x:v>34151</x:v>
      </x:c>
      <x:c r="C8572" s="0" t="s">
        <x:v>34152</x:v>
      </x:c>
      <x:c r="E8572" s="0" t="s">
        <x:v>34153</x:v>
      </x:c>
      <x:c r="F8572" s="0" t="s">
        <x:v>45</x:v>
      </x:c>
      <x:c r="G8572" s="0" t="s">
        <x:v>19</x:v>
      </x:c>
      <x:c r="H8572" s="0" t="s">
        <x:v>20</x:v>
      </x:c>
      <x:c r="I8572" s="0" t="s">
        <x:v>21</x:v>
      </x:c>
      <x:c r="K8572" s="0">
        <x:f>hyperlink("https://icd.who.int/dev11/l-ichi/en#/http%3A%2F%2Fid.who.int%2Ficd%2Fentity%2F835660942","browser")</x:f>
      </x:c>
      <x:c r="L8572" s="0">
        <x:f>hyperlink("https://icat2.azurewebsites.net/icat/?ontology=ICD&amp;tab=ClassesTab&amp;id=http%3A%2F%2Fwho.int%2Ficd%2397_7005c14c_2656_4f4b_85a0_8e71c99be967","iCat")</x:f>
      </x:c>
      <x:c r="M8572" s="0" t="s">
        <x:v>21</x:v>
      </x:c>
      <x:c r="N8572" s="0" t="s">
        <x:v>46</x:v>
      </x:c>
    </x:row>
    <x:row r="8573" spans="1:16">
      <x:c r="A8573" s="0" t="s">
        <x:v>34154</x:v>
      </x:c>
      <x:c r="B8573" s="0" t="s">
        <x:v>34155</x:v>
      </x:c>
      <x:c r="C8573" s="0" t="s">
        <x:v>34156</x:v>
      </x:c>
      <x:c r="E8573" s="0" t="s">
        <x:v>34157</x:v>
      </x:c>
      <x:c r="F8573" s="0" t="s">
        <x:v>45</x:v>
      </x:c>
      <x:c r="G8573" s="0" t="s">
        <x:v>19</x:v>
      </x:c>
      <x:c r="H8573" s="0" t="s">
        <x:v>20</x:v>
      </x:c>
      <x:c r="I8573" s="0" t="s">
        <x:v>21</x:v>
      </x:c>
      <x:c r="K8573" s="0">
        <x:f>hyperlink("https://icd.who.int/dev11/l-ichi/en#/http%3A%2F%2Fid.who.int%2Ficd%2Fentity%2F2077748669","browser")</x:f>
      </x:c>
      <x:c r="L8573" s="0">
        <x:f>hyperlink("https://icat2.azurewebsites.net/icat/?ontology=ICD&amp;tab=ClassesTab&amp;id=http%3A%2F%2Fwho.int%2Ficd%23103_7005c14c_2656_4f4b_85a0_8e71c99be967","iCat")</x:f>
      </x:c>
      <x:c r="M8573" s="0" t="s">
        <x:v>21</x:v>
      </x:c>
      <x:c r="N8573" s="0" t="s">
        <x:v>46</x:v>
      </x:c>
    </x:row>
    <x:row r="8574" spans="1:16">
      <x:c r="A8574" s="0" t="s">
        <x:v>34158</x:v>
      </x:c>
      <x:c r="B8574" s="0" t="s">
        <x:v>34159</x:v>
      </x:c>
      <x:c r="C8574" s="0" t="s">
        <x:v>34160</x:v>
      </x:c>
      <x:c r="E8574" s="0" t="s">
        <x:v>34161</x:v>
      </x:c>
      <x:c r="F8574" s="0" t="s">
        <x:v>45</x:v>
      </x:c>
      <x:c r="G8574" s="0" t="s">
        <x:v>19</x:v>
      </x:c>
      <x:c r="H8574" s="0" t="s">
        <x:v>20</x:v>
      </x:c>
      <x:c r="I8574" s="0" t="s">
        <x:v>21</x:v>
      </x:c>
      <x:c r="K8574" s="0">
        <x:f>hyperlink("https://icd.who.int/dev11/l-ichi/en#/http%3A%2F%2Fid.who.int%2Ficd%2Fentity%2F1344962861","browser")</x:f>
      </x:c>
      <x:c r="L8574" s="0">
        <x:f>hyperlink("https://icat2.azurewebsites.net/icat/?ontology=ICD&amp;tab=ClassesTab&amp;id=http%3A%2F%2Fwho.int%2Ficd%23109_7005c14c_2656_4f4b_85a0_8e71c99be967","iCat")</x:f>
      </x:c>
      <x:c r="M8574" s="0" t="s">
        <x:v>21</x:v>
      </x:c>
      <x:c r="N8574" s="0" t="s">
        <x:v>46</x:v>
      </x:c>
    </x:row>
    <x:row r="8575" spans="1:16">
      <x:c r="A8575" s="0" t="s">
        <x:v>34162</x:v>
      </x:c>
      <x:c r="B8575" s="0" t="s">
        <x:v>34163</x:v>
      </x:c>
      <x:c r="C8575" s="0" t="s">
        <x:v>34164</x:v>
      </x:c>
      <x:c r="E8575" s="0" t="s">
        <x:v>34165</x:v>
      </x:c>
      <x:c r="F8575" s="0" t="s">
        <x:v>45</x:v>
      </x:c>
      <x:c r="G8575" s="0" t="s">
        <x:v>19</x:v>
      </x:c>
      <x:c r="H8575" s="0" t="s">
        <x:v>20</x:v>
      </x:c>
      <x:c r="I8575" s="0" t="s">
        <x:v>21</x:v>
      </x:c>
      <x:c r="K8575" s="0">
        <x:f>hyperlink("https://icd.who.int/dev11/l-ichi/en#/http%3A%2F%2Fid.who.int%2Ficd%2Fentity%2F1097441627","browser")</x:f>
      </x:c>
      <x:c r="L8575" s="0">
        <x:f>hyperlink("https://icat2.azurewebsites.net/icat/?ontology=ICD&amp;tab=ClassesTab&amp;id=http%3A%2F%2Fwho.int%2Ficd%23115_7005c14c_2656_4f4b_85a0_8e71c99be967","iCat")</x:f>
      </x:c>
      <x:c r="M8575" s="0" t="s">
        <x:v>21</x:v>
      </x:c>
      <x:c r="N8575" s="0" t="s">
        <x:v>46</x:v>
      </x:c>
    </x:row>
    <x:row r="8576" spans="1:16">
      <x:c r="A8576" s="0" t="s">
        <x:v>34166</x:v>
      </x:c>
      <x:c r="B8576" s="0" t="s">
        <x:v>34167</x:v>
      </x:c>
      <x:c r="C8576" s="0" t="s">
        <x:v>34168</x:v>
      </x:c>
      <x:c r="E8576" s="0" t="s">
        <x:v>34169</x:v>
      </x:c>
      <x:c r="F8576" s="0" t="s">
        <x:v>45</x:v>
      </x:c>
      <x:c r="G8576" s="0" t="s">
        <x:v>19</x:v>
      </x:c>
      <x:c r="H8576" s="0" t="s">
        <x:v>20</x:v>
      </x:c>
      <x:c r="I8576" s="0" t="s">
        <x:v>21</x:v>
      </x:c>
      <x:c r="K8576" s="0">
        <x:f>hyperlink("https://icd.who.int/dev11/l-ichi/en#/http%3A%2F%2Fid.who.int%2Ficd%2Fentity%2F887039272","browser")</x:f>
      </x:c>
      <x:c r="L8576" s="0">
        <x:f>hyperlink("https://icat2.azurewebsites.net/icat/?ontology=ICD&amp;tab=ClassesTab&amp;id=http%3A%2F%2Fwho.int%2Ficd%23121_7005c14c_2656_4f4b_85a0_8e71c99be967","iCat")</x:f>
      </x:c>
      <x:c r="M8576" s="0" t="s">
        <x:v>21</x:v>
      </x:c>
      <x:c r="N8576" s="0" t="s">
        <x:v>46</x:v>
      </x:c>
    </x:row>
    <x:row r="8577" spans="1:16">
      <x:c r="A8577" s="0" t="s">
        <x:v>34170</x:v>
      </x:c>
      <x:c r="B8577" s="0" t="s">
        <x:v>34171</x:v>
      </x:c>
      <x:c r="C8577" s="0" t="s">
        <x:v>34172</x:v>
      </x:c>
      <x:c r="E8577" s="0" t="s">
        <x:v>34173</x:v>
      </x:c>
      <x:c r="F8577" s="0" t="s">
        <x:v>45</x:v>
      </x:c>
      <x:c r="G8577" s="0" t="s">
        <x:v>19</x:v>
      </x:c>
      <x:c r="H8577" s="0" t="s">
        <x:v>20</x:v>
      </x:c>
      <x:c r="I8577" s="0" t="s">
        <x:v>21</x:v>
      </x:c>
      <x:c r="K8577" s="0">
        <x:f>hyperlink("https://icd.who.int/dev11/l-ichi/en#/http%3A%2F%2Fid.who.int%2Ficd%2Fentity%2F1688534169","browser")</x:f>
      </x:c>
      <x:c r="L8577" s="0">
        <x:f>hyperlink("https://icat2.azurewebsites.net/icat/?ontology=ICD&amp;tab=ClassesTab&amp;id=http%3A%2F%2Fwho.int%2Ficd%23127_7005c14c_2656_4f4b_85a0_8e71c99be967","iCat")</x:f>
      </x:c>
      <x:c r="M8577" s="0" t="s">
        <x:v>21</x:v>
      </x:c>
      <x:c r="N8577" s="0" t="s">
        <x:v>46</x:v>
      </x:c>
    </x:row>
    <x:row r="8578" spans="1:16">
      <x:c r="A8578" s="0" t="s">
        <x:v>34174</x:v>
      </x:c>
      <x:c r="B8578" s="0" t="s">
        <x:v>34175</x:v>
      </x:c>
      <x:c r="C8578" s="0" t="s">
        <x:v>34176</x:v>
      </x:c>
      <x:c r="E8578" s="0" t="s">
        <x:v>34177</x:v>
      </x:c>
      <x:c r="F8578" s="0" t="s">
        <x:v>45</x:v>
      </x:c>
      <x:c r="G8578" s="0" t="s">
        <x:v>19</x:v>
      </x:c>
      <x:c r="H8578" s="0" t="s">
        <x:v>20</x:v>
      </x:c>
      <x:c r="I8578" s="0" t="s">
        <x:v>21</x:v>
      </x:c>
      <x:c r="K8578" s="0">
        <x:f>hyperlink("https://icd.who.int/dev11/l-ichi/en#/http%3A%2F%2Fid.who.int%2Ficd%2Fentity%2F996584890","browser")</x:f>
      </x:c>
      <x:c r="L8578" s="0">
        <x:f>hyperlink("https://icat2.azurewebsites.net/icat/?ontology=ICD&amp;tab=ClassesTab&amp;id=http%3A%2F%2Fwho.int%2Ficd%23133_7005c14c_2656_4f4b_85a0_8e71c99be967","iCat")</x:f>
      </x:c>
      <x:c r="M8578" s="0" t="s">
        <x:v>21</x:v>
      </x:c>
      <x:c r="N8578" s="0" t="s">
        <x:v>46</x:v>
      </x:c>
    </x:row>
    <x:row r="8579" spans="1:16">
      <x:c r="A8579" s="0" t="s">
        <x:v>34178</x:v>
      </x:c>
      <x:c r="B8579" s="0" t="s">
        <x:v>34179</x:v>
      </x:c>
      <x:c r="C8579" s="0" t="s">
        <x:v>34180</x:v>
      </x:c>
      <x:c r="E8579" s="0" t="s">
        <x:v>34181</x:v>
      </x:c>
      <x:c r="F8579" s="0" t="s">
        <x:v>45</x:v>
      </x:c>
      <x:c r="G8579" s="0" t="s">
        <x:v>19</x:v>
      </x:c>
      <x:c r="H8579" s="0" t="s">
        <x:v>20</x:v>
      </x:c>
      <x:c r="I8579" s="0" t="s">
        <x:v>21</x:v>
      </x:c>
      <x:c r="K8579" s="0">
        <x:f>hyperlink("https://icd.who.int/dev11/l-ichi/en#/http%3A%2F%2Fid.who.int%2Ficd%2Fentity%2F278642986","browser")</x:f>
      </x:c>
      <x:c r="L8579" s="0">
        <x:f>hyperlink("https://icat2.azurewebsites.net/icat/?ontology=ICD&amp;tab=ClassesTab&amp;id=http%3A%2F%2Fwho.int%2Ficd%23139_7005c14c_2656_4f4b_85a0_8e71c99be967","iCat")</x:f>
      </x:c>
      <x:c r="M8579" s="0" t="s">
        <x:v>21</x:v>
      </x:c>
      <x:c r="N8579" s="0" t="s">
        <x:v>46</x:v>
      </x:c>
    </x:row>
    <x:row r="8580" spans="1:16">
      <x:c r="A8580" s="0" t="s">
        <x:v>34182</x:v>
      </x:c>
      <x:c r="B8580" s="0" t="s">
        <x:v>34183</x:v>
      </x:c>
      <x:c r="C8580" s="0" t="s">
        <x:v>34184</x:v>
      </x:c>
      <x:c r="E8580" s="0" t="s">
        <x:v>34185</x:v>
      </x:c>
      <x:c r="F8580" s="0" t="s">
        <x:v>45</x:v>
      </x:c>
      <x:c r="G8580" s="0" t="s">
        <x:v>19</x:v>
      </x:c>
      <x:c r="H8580" s="0" t="s">
        <x:v>20</x:v>
      </x:c>
      <x:c r="I8580" s="0" t="s">
        <x:v>21</x:v>
      </x:c>
      <x:c r="K8580" s="0">
        <x:f>hyperlink("https://icd.who.int/dev11/l-ichi/en#/http%3A%2F%2Fid.who.int%2Ficd%2Fentity%2F1540056849","browser")</x:f>
      </x:c>
      <x:c r="L8580" s="0">
        <x:f>hyperlink("https://icat2.azurewebsites.net/icat/?ontology=ICD&amp;tab=ClassesTab&amp;id=http%3A%2F%2Fwho.int%2Ficd%23145_7005c14c_2656_4f4b_85a0_8e71c99be967","iCat")</x:f>
      </x:c>
      <x:c r="M8580" s="0" t="s">
        <x:v>21</x:v>
      </x:c>
      <x:c r="N8580" s="0" t="s">
        <x:v>46</x:v>
      </x:c>
    </x:row>
    <x:row r="8581" spans="1:16">
      <x:c r="A8581" s="0" t="s">
        <x:v>34186</x:v>
      </x:c>
      <x:c r="B8581" s="0" t="s">
        <x:v>34187</x:v>
      </x:c>
      <x:c r="C8581" s="0" t="s">
        <x:v>34188</x:v>
      </x:c>
      <x:c r="E8581" s="0" t="s">
        <x:v>34189</x:v>
      </x:c>
      <x:c r="F8581" s="0" t="s">
        <x:v>45</x:v>
      </x:c>
      <x:c r="G8581" s="0" t="s">
        <x:v>19</x:v>
      </x:c>
      <x:c r="H8581" s="0" t="s">
        <x:v>20</x:v>
      </x:c>
      <x:c r="I8581" s="0" t="s">
        <x:v>21</x:v>
      </x:c>
      <x:c r="K8581" s="0">
        <x:f>hyperlink("https://icd.who.int/dev11/l-ichi/en#/http%3A%2F%2Fid.who.int%2Ficd%2Fentity%2F67712564","browser")</x:f>
      </x:c>
      <x:c r="L8581" s="0">
        <x:f>hyperlink("https://icat2.azurewebsites.net/icat/?ontology=ICD&amp;tab=ClassesTab&amp;id=http%3A%2F%2Fwho.int%2Ficd%23151_7005c14c_2656_4f4b_85a0_8e71c99be967","iCat")</x:f>
      </x:c>
      <x:c r="M8581" s="0" t="s">
        <x:v>21</x:v>
      </x:c>
      <x:c r="N8581" s="0" t="s">
        <x:v>46</x:v>
      </x:c>
    </x:row>
    <x:row r="8582" spans="1:16">
      <x:c r="A8582" s="0" t="s">
        <x:v>34190</x:v>
      </x:c>
      <x:c r="B8582" s="0" t="s">
        <x:v>34191</x:v>
      </x:c>
      <x:c r="C8582" s="0" t="s">
        <x:v>34192</x:v>
      </x:c>
      <x:c r="E8582" s="0" t="s">
        <x:v>34193</x:v>
      </x:c>
      <x:c r="F8582" s="0" t="s">
        <x:v>45</x:v>
      </x:c>
      <x:c r="G8582" s="0" t="s">
        <x:v>19</x:v>
      </x:c>
      <x:c r="H8582" s="0" t="s">
        <x:v>20</x:v>
      </x:c>
      <x:c r="I8582" s="0" t="s">
        <x:v>21</x:v>
      </x:c>
      <x:c r="K8582" s="0">
        <x:f>hyperlink("https://icd.who.int/dev11/l-ichi/en#/http%3A%2F%2Fid.who.int%2Ficd%2Fentity%2F1416818563","browser")</x:f>
      </x:c>
      <x:c r="L8582" s="0">
        <x:f>hyperlink("https://icat2.azurewebsites.net/icat/?ontology=ICD&amp;tab=ClassesTab&amp;id=http%3A%2F%2Fwho.int%2Ficd%23157_7005c14c_2656_4f4b_85a0_8e71c99be967","iCat")</x:f>
      </x:c>
      <x:c r="M8582" s="0" t="s">
        <x:v>21</x:v>
      </x:c>
      <x:c r="N8582" s="0" t="s">
        <x:v>46</x:v>
      </x:c>
    </x:row>
    <x:row r="8583" spans="1:16">
      <x:c r="A8583" s="0" t="s">
        <x:v>34194</x:v>
      </x:c>
      <x:c r="B8583" s="0" t="s">
        <x:v>34195</x:v>
      </x:c>
      <x:c r="C8583" s="0" t="s">
        <x:v>34196</x:v>
      </x:c>
      <x:c r="E8583" s="0" t="s">
        <x:v>34197</x:v>
      </x:c>
      <x:c r="F8583" s="0" t="s">
        <x:v>45</x:v>
      </x:c>
      <x:c r="G8583" s="0" t="s">
        <x:v>19</x:v>
      </x:c>
      <x:c r="H8583" s="0" t="s">
        <x:v>20</x:v>
      </x:c>
      <x:c r="I8583" s="0" t="s">
        <x:v>21</x:v>
      </x:c>
      <x:c r="K8583" s="0">
        <x:f>hyperlink("https://icd.who.int/dev11/l-ichi/en#/http%3A%2F%2Fid.who.int%2Ficd%2Fentity%2F566520816","browser")</x:f>
      </x:c>
      <x:c r="L8583" s="0">
        <x:f>hyperlink("https://icat2.azurewebsites.net/icat/?ontology=ICD&amp;tab=ClassesTab&amp;id=http%3A%2F%2Fwho.int%2Ficd%23163_7005c14c_2656_4f4b_85a0_8e71c99be967","iCat")</x:f>
      </x:c>
      <x:c r="M8583" s="0" t="s">
        <x:v>21</x:v>
      </x:c>
      <x:c r="N8583" s="0" t="s">
        <x:v>46</x:v>
      </x:c>
    </x:row>
    <x:row r="8584" spans="1:16">
      <x:c r="A8584" s="0" t="s">
        <x:v>34198</x:v>
      </x:c>
      <x:c r="B8584" s="0" t="s">
        <x:v>34199</x:v>
      </x:c>
      <x:c r="C8584" s="0" t="s">
        <x:v>34200</x:v>
      </x:c>
      <x:c r="E8584" s="0" t="s">
        <x:v>34201</x:v>
      </x:c>
      <x:c r="F8584" s="0" t="s">
        <x:v>45</x:v>
      </x:c>
      <x:c r="G8584" s="0" t="s">
        <x:v>19</x:v>
      </x:c>
      <x:c r="H8584" s="0" t="s">
        <x:v>20</x:v>
      </x:c>
      <x:c r="I8584" s="0" t="s">
        <x:v>21</x:v>
      </x:c>
      <x:c r="K8584" s="0">
        <x:f>hyperlink("https://icd.who.int/dev11/l-ichi/en#/http%3A%2F%2Fid.who.int%2Ficd%2Fentity%2F171509600","browser")</x:f>
      </x:c>
      <x:c r="L8584" s="0">
        <x:f>hyperlink("https://icat2.azurewebsites.net/icat/?ontology=ICD&amp;tab=ClassesTab&amp;id=http%3A%2F%2Fwho.int%2Ficd%23169_7005c14c_2656_4f4b_85a0_8e71c99be967","iCat")</x:f>
      </x:c>
      <x:c r="M8584" s="0" t="s">
        <x:v>21</x:v>
      </x:c>
      <x:c r="N8584" s="0" t="s">
        <x:v>46</x:v>
      </x:c>
    </x:row>
    <x:row r="8585" spans="1:16">
      <x:c r="A8585" s="0" t="s">
        <x:v>34202</x:v>
      </x:c>
      <x:c r="B8585" s="0" t="s">
        <x:v>34203</x:v>
      </x:c>
      <x:c r="C8585" s="0" t="s">
        <x:v>34204</x:v>
      </x:c>
      <x:c r="E8585" s="0" t="s">
        <x:v>34205</x:v>
      </x:c>
      <x:c r="F8585" s="0" t="s">
        <x:v>45</x:v>
      </x:c>
      <x:c r="G8585" s="0" t="s">
        <x:v>19</x:v>
      </x:c>
      <x:c r="H8585" s="0" t="s">
        <x:v>20</x:v>
      </x:c>
      <x:c r="I8585" s="0" t="s">
        <x:v>21</x:v>
      </x:c>
      <x:c r="K8585" s="0">
        <x:f>hyperlink("https://icd.who.int/dev11/l-ichi/en#/http%3A%2F%2Fid.who.int%2Ficd%2Fentity%2F1593788655","browser")</x:f>
      </x:c>
      <x:c r="L8585" s="0">
        <x:f>hyperlink("https://icat2.azurewebsites.net/icat/?ontology=ICD&amp;tab=ClassesTab&amp;id=http%3A%2F%2Fwho.int%2Ficd%23176_7005c14c_2656_4f4b_85a0_8e71c99be967","iCat")</x:f>
      </x:c>
      <x:c r="M8585" s="0" t="s">
        <x:v>21</x:v>
      </x:c>
      <x:c r="N8585" s="0" t="s">
        <x:v>46</x:v>
      </x:c>
    </x:row>
    <x:row r="8586" spans="1:16">
      <x:c r="A8586" s="0" t="s">
        <x:v>34206</x:v>
      </x:c>
      <x:c r="B8586" s="0" t="s">
        <x:v>34207</x:v>
      </x:c>
      <x:c r="C8586" s="0" t="s">
        <x:v>34208</x:v>
      </x:c>
      <x:c r="E8586" s="0" t="s">
        <x:v>34209</x:v>
      </x:c>
      <x:c r="F8586" s="0" t="s">
        <x:v>45</x:v>
      </x:c>
      <x:c r="G8586" s="0" t="s">
        <x:v>19</x:v>
      </x:c>
      <x:c r="H8586" s="0" t="s">
        <x:v>20</x:v>
      </x:c>
      <x:c r="I8586" s="0" t="s">
        <x:v>21</x:v>
      </x:c>
      <x:c r="K8586" s="0">
        <x:f>hyperlink("https://icd.who.int/dev11/l-ichi/en#/http%3A%2F%2Fid.who.int%2Ficd%2Fentity%2F1142933061","browser")</x:f>
      </x:c>
      <x:c r="L8586" s="0">
        <x:f>hyperlink("https://icat2.azurewebsites.net/icat/?ontology=ICD&amp;tab=ClassesTab&amp;id=http%3A%2F%2Fwho.int%2Ficd%23182_7005c14c_2656_4f4b_85a0_8e71c99be967","iCat")</x:f>
      </x:c>
      <x:c r="M8586" s="0" t="s">
        <x:v>21</x:v>
      </x:c>
      <x:c r="N8586" s="0" t="s">
        <x:v>46</x:v>
      </x:c>
    </x:row>
    <x:row r="8587" spans="1:16">
      <x:c r="A8587" s="0" t="s">
        <x:v>34210</x:v>
      </x:c>
      <x:c r="B8587" s="0" t="s">
        <x:v>34211</x:v>
      </x:c>
      <x:c r="C8587" s="0" t="s">
        <x:v>34212</x:v>
      </x:c>
      <x:c r="E8587" s="0" t="s">
        <x:v>34213</x:v>
      </x:c>
      <x:c r="F8587" s="0" t="s">
        <x:v>45</x:v>
      </x:c>
      <x:c r="G8587" s="0" t="s">
        <x:v>19</x:v>
      </x:c>
      <x:c r="H8587" s="0" t="s">
        <x:v>20</x:v>
      </x:c>
      <x:c r="I8587" s="0" t="s">
        <x:v>21</x:v>
      </x:c>
      <x:c r="K8587" s="0">
        <x:f>hyperlink("https://icd.who.int/dev11/l-ichi/en#/http%3A%2F%2Fid.who.int%2Ficd%2Fentity%2F1877125845","browser")</x:f>
      </x:c>
      <x:c r="L8587" s="0">
        <x:f>hyperlink("https://icat2.azurewebsites.net/icat/?ontology=ICD&amp;tab=ClassesTab&amp;id=http%3A%2F%2Fwho.int%2Ficd%23188_7005c14c_2656_4f4b_85a0_8e71c99be967","iCat")</x:f>
      </x:c>
      <x:c r="M8587" s="0" t="s">
        <x:v>21</x:v>
      </x:c>
      <x:c r="N8587" s="0" t="s">
        <x:v>46</x:v>
      </x:c>
    </x:row>
    <x:row r="8588" spans="1:16">
      <x:c r="A8588" s="0" t="s">
        <x:v>34214</x:v>
      </x:c>
      <x:c r="B8588" s="0" t="s">
        <x:v>34215</x:v>
      </x:c>
      <x:c r="C8588" s="0" t="s">
        <x:v>34216</x:v>
      </x:c>
      <x:c r="E8588" s="0" t="s">
        <x:v>34217</x:v>
      </x:c>
      <x:c r="F8588" s="0" t="s">
        <x:v>45</x:v>
      </x:c>
      <x:c r="G8588" s="0" t="s">
        <x:v>19</x:v>
      </x:c>
      <x:c r="H8588" s="0" t="s">
        <x:v>20</x:v>
      </x:c>
      <x:c r="I8588" s="0" t="s">
        <x:v>21</x:v>
      </x:c>
      <x:c r="K8588" s="0">
        <x:f>hyperlink("https://icd.who.int/dev11/l-ichi/en#/http%3A%2F%2Fid.who.int%2Ficd%2Fentity%2F2124516003","browser")</x:f>
      </x:c>
      <x:c r="L8588" s="0">
        <x:f>hyperlink("https://icat2.azurewebsites.net/icat/?ontology=ICD&amp;tab=ClassesTab&amp;id=http%3A%2F%2Fwho.int%2Ficd%23194_7005c14c_2656_4f4b_85a0_8e71c99be967","iCat")</x:f>
      </x:c>
      <x:c r="M8588" s="0" t="s">
        <x:v>21</x:v>
      </x:c>
      <x:c r="N8588" s="0" t="s">
        <x:v>46</x:v>
      </x:c>
    </x:row>
    <x:row r="8589" spans="1:16">
      <x:c r="A8589" s="0" t="s">
        <x:v>34218</x:v>
      </x:c>
      <x:c r="B8589" s="0" t="s">
        <x:v>34219</x:v>
      </x:c>
      <x:c r="C8589" s="0" t="s">
        <x:v>34220</x:v>
      </x:c>
      <x:c r="E8589" s="0" t="s">
        <x:v>34221</x:v>
      </x:c>
      <x:c r="F8589" s="0" t="s">
        <x:v>45</x:v>
      </x:c>
      <x:c r="G8589" s="0" t="s">
        <x:v>19</x:v>
      </x:c>
      <x:c r="H8589" s="0" t="s">
        <x:v>20</x:v>
      </x:c>
      <x:c r="I8589" s="0" t="s">
        <x:v>21</x:v>
      </x:c>
      <x:c r="K8589" s="0">
        <x:f>hyperlink("https://icd.who.int/dev11/l-ichi/en#/http%3A%2F%2Fid.who.int%2Ficd%2Fentity%2F1594701341","browser")</x:f>
      </x:c>
      <x:c r="L8589" s="0">
        <x:f>hyperlink("https://icat2.azurewebsites.net/icat/?ontology=ICD&amp;tab=ClassesTab&amp;id=http%3A%2F%2Fwho.int%2Ficd%23200_7005c14c_2656_4f4b_85a0_8e71c99be967","iCat")</x:f>
      </x:c>
      <x:c r="M8589" s="0" t="s">
        <x:v>21</x:v>
      </x:c>
      <x:c r="N8589" s="0" t="s">
        <x:v>46</x:v>
      </x:c>
    </x:row>
    <x:row r="8590" spans="1:16">
      <x:c r="A8590" s="0" t="s">
        <x:v>34222</x:v>
      </x:c>
      <x:c r="B8590" s="0" t="s">
        <x:v>34223</x:v>
      </x:c>
      <x:c r="C8590" s="0" t="s">
        <x:v>34224</x:v>
      </x:c>
      <x:c r="E8590" s="0" t="s">
        <x:v>34225</x:v>
      </x:c>
      <x:c r="F8590" s="0" t="s">
        <x:v>45</x:v>
      </x:c>
      <x:c r="G8590" s="0" t="s">
        <x:v>19</x:v>
      </x:c>
      <x:c r="H8590" s="0" t="s">
        <x:v>20</x:v>
      </x:c>
      <x:c r="I8590" s="0" t="s">
        <x:v>21</x:v>
      </x:c>
      <x:c r="K8590" s="0">
        <x:f>hyperlink("https://icd.who.int/dev11/l-ichi/en#/http%3A%2F%2Fid.who.int%2Ficd%2Fentity%2F259452844","browser")</x:f>
      </x:c>
      <x:c r="L8590" s="0">
        <x:f>hyperlink("https://icat2.azurewebsites.net/icat/?ontology=ICD&amp;tab=ClassesTab&amp;id=http%3A%2F%2Fwho.int%2Ficd%23206_7005c14c_2656_4f4b_85a0_8e71c99be967","iCat")</x:f>
      </x:c>
      <x:c r="M8590" s="0" t="s">
        <x:v>21</x:v>
      </x:c>
      <x:c r="N8590" s="0" t="s">
        <x:v>46</x:v>
      </x:c>
    </x:row>
    <x:row r="8591" spans="1:16">
      <x:c r="A8591" s="0" t="s">
        <x:v>34226</x:v>
      </x:c>
      <x:c r="B8591" s="0" t="s">
        <x:v>34227</x:v>
      </x:c>
      <x:c r="C8591" s="0" t="s">
        <x:v>34228</x:v>
      </x:c>
      <x:c r="E8591" s="0" t="s">
        <x:v>34229</x:v>
      </x:c>
      <x:c r="F8591" s="0" t="s">
        <x:v>45</x:v>
      </x:c>
      <x:c r="G8591" s="0" t="s">
        <x:v>19</x:v>
      </x:c>
      <x:c r="H8591" s="0" t="s">
        <x:v>20</x:v>
      </x:c>
      <x:c r="I8591" s="0" t="s">
        <x:v>21</x:v>
      </x:c>
      <x:c r="K8591" s="0">
        <x:f>hyperlink("https://icd.who.int/dev11/l-ichi/en#/http%3A%2F%2Fid.who.int%2Ficd%2Fentity%2F1354022543","browser")</x:f>
      </x:c>
      <x:c r="L8591" s="0">
        <x:f>hyperlink("https://icat2.azurewebsites.net/icat/?ontology=ICD&amp;tab=ClassesTab&amp;id=http%3A%2F%2Fwho.int%2Ficd%23212_7005c14c_2656_4f4b_85a0_8e71c99be967","iCat")</x:f>
      </x:c>
      <x:c r="M8591" s="0" t="s">
        <x:v>21</x:v>
      </x:c>
      <x:c r="N8591" s="0" t="s">
        <x:v>46</x:v>
      </x:c>
    </x:row>
    <x:row r="8592" spans="1:16">
      <x:c r="A8592" s="0" t="s">
        <x:v>34230</x:v>
      </x:c>
      <x:c r="B8592" s="0" t="s">
        <x:v>34231</x:v>
      </x:c>
      <x:c r="C8592" s="0" t="s">
        <x:v>34232</x:v>
      </x:c>
      <x:c r="E8592" s="0" t="s">
        <x:v>34233</x:v>
      </x:c>
      <x:c r="F8592" s="0" t="s">
        <x:v>45</x:v>
      </x:c>
      <x:c r="G8592" s="0" t="s">
        <x:v>19</x:v>
      </x:c>
      <x:c r="H8592" s="0" t="s">
        <x:v>20</x:v>
      </x:c>
      <x:c r="I8592" s="0" t="s">
        <x:v>21</x:v>
      </x:c>
      <x:c r="K8592" s="0">
        <x:f>hyperlink("https://icd.who.int/dev11/l-ichi/en#/http%3A%2F%2Fid.who.int%2Ficd%2Fentity%2F2068435487","browser")</x:f>
      </x:c>
      <x:c r="L8592" s="0">
        <x:f>hyperlink("https://icat2.azurewebsites.net/icat/?ontology=ICD&amp;tab=ClassesTab&amp;id=http%3A%2F%2Fwho.int%2Ficd%23218_7005c14c_2656_4f4b_85a0_8e71c99be967","iCat")</x:f>
      </x:c>
      <x:c r="M8592" s="0" t="s">
        <x:v>21</x:v>
      </x:c>
      <x:c r="N8592" s="0" t="s">
        <x:v>46</x:v>
      </x:c>
    </x:row>
    <x:row r="8593" spans="1:16">
      <x:c r="A8593" s="0" t="s">
        <x:v>34234</x:v>
      </x:c>
      <x:c r="B8593" s="0" t="s">
        <x:v>34235</x:v>
      </x:c>
      <x:c r="C8593" s="0" t="s">
        <x:v>34236</x:v>
      </x:c>
      <x:c r="E8593" s="0" t="s">
        <x:v>34237</x:v>
      </x:c>
      <x:c r="F8593" s="0" t="s">
        <x:v>45</x:v>
      </x:c>
      <x:c r="G8593" s="0" t="s">
        <x:v>19</x:v>
      </x:c>
      <x:c r="H8593" s="0" t="s">
        <x:v>20</x:v>
      </x:c>
      <x:c r="I8593" s="0" t="s">
        <x:v>21</x:v>
      </x:c>
      <x:c r="K8593" s="0">
        <x:f>hyperlink("https://icd.who.int/dev11/l-ichi/en#/http%3A%2F%2Fid.who.int%2Ficd%2Fentity%2F1082009401","browser")</x:f>
      </x:c>
      <x:c r="L8593" s="0">
        <x:f>hyperlink("https://icat2.azurewebsites.net/icat/?ontology=ICD&amp;tab=ClassesTab&amp;id=http%3A%2F%2Fwho.int%2Ficd%23224_7005c14c_2656_4f4b_85a0_8e71c99be967","iCat")</x:f>
      </x:c>
      <x:c r="M8593" s="0" t="s">
        <x:v>21</x:v>
      </x:c>
      <x:c r="N8593" s="0" t="s">
        <x:v>46</x:v>
      </x:c>
    </x:row>
    <x:row r="8594" spans="1:16">
      <x:c r="A8594" s="0" t="s">
        <x:v>34238</x:v>
      </x:c>
      <x:c r="B8594" s="0" t="s">
        <x:v>34239</x:v>
      </x:c>
      <x:c r="C8594" s="0" t="s">
        <x:v>34240</x:v>
      </x:c>
      <x:c r="E8594" s="0" t="s">
        <x:v>34241</x:v>
      </x:c>
      <x:c r="F8594" s="0" t="s">
        <x:v>45</x:v>
      </x:c>
      <x:c r="G8594" s="0" t="s">
        <x:v>19</x:v>
      </x:c>
      <x:c r="H8594" s="0" t="s">
        <x:v>20</x:v>
      </x:c>
      <x:c r="I8594" s="0" t="s">
        <x:v>21</x:v>
      </x:c>
      <x:c r="K8594" s="0">
        <x:f>hyperlink("https://icd.who.int/dev11/l-ichi/en#/http%3A%2F%2Fid.who.int%2Ficd%2Fentity%2F532444698","browser")</x:f>
      </x:c>
      <x:c r="L8594" s="0">
        <x:f>hyperlink("https://icat2.azurewebsites.net/icat/?ontology=ICD&amp;tab=ClassesTab&amp;id=http%3A%2F%2Fwho.int%2Ficd%23230_7005c14c_2656_4f4b_85a0_8e71c99be967","iCat")</x:f>
      </x:c>
      <x:c r="M8594" s="0" t="s">
        <x:v>21</x:v>
      </x:c>
      <x:c r="N8594" s="0" t="s">
        <x:v>46</x:v>
      </x:c>
    </x:row>
    <x:row r="8595" spans="1:16">
      <x:c r="A8595" s="0" t="s">
        <x:v>34242</x:v>
      </x:c>
      <x:c r="B8595" s="0" t="s">
        <x:v>34243</x:v>
      </x:c>
      <x:c r="C8595" s="0" t="s">
        <x:v>34244</x:v>
      </x:c>
      <x:c r="E8595" s="0" t="s">
        <x:v>34245</x:v>
      </x:c>
      <x:c r="F8595" s="0" t="s">
        <x:v>45</x:v>
      </x:c>
      <x:c r="G8595" s="0" t="s">
        <x:v>19</x:v>
      </x:c>
      <x:c r="H8595" s="0" t="s">
        <x:v>20</x:v>
      </x:c>
      <x:c r="I8595" s="0" t="s">
        <x:v>21</x:v>
      </x:c>
      <x:c r="K8595" s="0">
        <x:f>hyperlink("https://icd.who.int/dev11/l-ichi/en#/http%3A%2F%2Fid.who.int%2Ficd%2Fentity%2F1338486699","browser")</x:f>
      </x:c>
      <x:c r="L8595" s="0">
        <x:f>hyperlink("https://icat2.azurewebsites.net/icat/?ontology=ICD&amp;tab=ClassesTab&amp;id=http%3A%2F%2Fwho.int%2Ficd%23236_7005c14c_2656_4f4b_85a0_8e71c99be967","iCat")</x:f>
      </x:c>
      <x:c r="M8595" s="0" t="s">
        <x:v>21</x:v>
      </x:c>
      <x:c r="N8595" s="0" t="s">
        <x:v>46</x:v>
      </x:c>
    </x:row>
    <x:row r="8596" spans="1:16">
      <x:c r="A8596" s="0" t="s">
        <x:v>34246</x:v>
      </x:c>
      <x:c r="B8596" s="0" t="s">
        <x:v>34247</x:v>
      </x:c>
      <x:c r="C8596" s="0" t="s">
        <x:v>34248</x:v>
      </x:c>
      <x:c r="E8596" s="0" t="s">
        <x:v>34249</x:v>
      </x:c>
      <x:c r="F8596" s="0" t="s">
        <x:v>45</x:v>
      </x:c>
      <x:c r="G8596" s="0" t="s">
        <x:v>19</x:v>
      </x:c>
      <x:c r="H8596" s="0" t="s">
        <x:v>20</x:v>
      </x:c>
      <x:c r="I8596" s="0" t="s">
        <x:v>21</x:v>
      </x:c>
      <x:c r="K8596" s="0">
        <x:f>hyperlink("https://icd.who.int/dev11/l-ichi/en#/http%3A%2F%2Fid.who.int%2Ficd%2Fentity%2F1242986693","browser")</x:f>
      </x:c>
      <x:c r="L8596" s="0">
        <x:f>hyperlink("https://icat2.azurewebsites.net/icat/?ontology=ICD&amp;tab=ClassesTab&amp;id=http%3A%2F%2Fwho.int%2Ficd%23242_7005c14c_2656_4f4b_85a0_8e71c99be967","iCat")</x:f>
      </x:c>
      <x:c r="M8596" s="0" t="s">
        <x:v>21</x:v>
      </x:c>
      <x:c r="N8596" s="0" t="s">
        <x:v>46</x:v>
      </x:c>
    </x:row>
    <x:row r="8597" spans="1:16">
      <x:c r="A8597" s="0" t="s">
        <x:v>34250</x:v>
      </x:c>
      <x:c r="B8597" s="0" t="s">
        <x:v>34251</x:v>
      </x:c>
      <x:c r="C8597" s="0" t="s">
        <x:v>34252</x:v>
      </x:c>
      <x:c r="E8597" s="0" t="s">
        <x:v>34253</x:v>
      </x:c>
      <x:c r="F8597" s="0" t="s">
        <x:v>45</x:v>
      </x:c>
      <x:c r="G8597" s="0" t="s">
        <x:v>19</x:v>
      </x:c>
      <x:c r="H8597" s="0" t="s">
        <x:v>20</x:v>
      </x:c>
      <x:c r="I8597" s="0" t="s">
        <x:v>21</x:v>
      </x:c>
      <x:c r="K8597" s="0">
        <x:f>hyperlink("https://icd.who.int/dev11/l-ichi/en#/http%3A%2F%2Fid.who.int%2Ficd%2Fentity%2F1642796117","browser")</x:f>
      </x:c>
      <x:c r="L8597" s="0">
        <x:f>hyperlink("https://icat2.azurewebsites.net/icat/?ontology=ICD&amp;tab=ClassesTab&amp;id=http%3A%2F%2Fwho.int%2Ficd%23248_7005c14c_2656_4f4b_85a0_8e71c99be967","iCat")</x:f>
      </x:c>
      <x:c r="M8597" s="0" t="s">
        <x:v>21</x:v>
      </x:c>
      <x:c r="N8597" s="0" t="s">
        <x:v>46</x:v>
      </x:c>
    </x:row>
    <x:row r="8598" spans="1:16">
      <x:c r="A8598" s="0" t="s">
        <x:v>34254</x:v>
      </x:c>
      <x:c r="B8598" s="0" t="s">
        <x:v>34255</x:v>
      </x:c>
      <x:c r="C8598" s="0" t="s">
        <x:v>34256</x:v>
      </x:c>
      <x:c r="E8598" s="0" t="s">
        <x:v>34257</x:v>
      </x:c>
      <x:c r="F8598" s="0" t="s">
        <x:v>45</x:v>
      </x:c>
      <x:c r="G8598" s="0" t="s">
        <x:v>19</x:v>
      </x:c>
      <x:c r="H8598" s="0" t="s">
        <x:v>20</x:v>
      </x:c>
      <x:c r="I8598" s="0" t="s">
        <x:v>21</x:v>
      </x:c>
      <x:c r="K8598" s="0">
        <x:f>hyperlink("https://icd.who.int/dev11/l-ichi/en#/http%3A%2F%2Fid.who.int%2Ficd%2Fentity%2F1890071587","browser")</x:f>
      </x:c>
      <x:c r="L8598" s="0">
        <x:f>hyperlink("https://icat2.azurewebsites.net/icat/?ontology=ICD&amp;tab=ClassesTab&amp;id=http%3A%2F%2Fwho.int%2Ficd%23254_7005c14c_2656_4f4b_85a0_8e71c99be967","iCat")</x:f>
      </x:c>
      <x:c r="M8598" s="0" t="s">
        <x:v>21</x:v>
      </x:c>
      <x:c r="N8598" s="0" t="s">
        <x:v>46</x:v>
      </x:c>
    </x:row>
    <x:row r="8599" spans="1:16">
      <x:c r="A8599" s="0" t="s">
        <x:v>34258</x:v>
      </x:c>
      <x:c r="B8599" s="0" t="s">
        <x:v>34259</x:v>
      </x:c>
      <x:c r="C8599" s="0" t="s">
        <x:v>34260</x:v>
      </x:c>
      <x:c r="E8599" s="0" t="s">
        <x:v>34261</x:v>
      </x:c>
      <x:c r="F8599" s="0" t="s">
        <x:v>45</x:v>
      </x:c>
      <x:c r="G8599" s="0" t="s">
        <x:v>19</x:v>
      </x:c>
      <x:c r="H8599" s="0" t="s">
        <x:v>20</x:v>
      </x:c>
      <x:c r="I8599" s="0" t="s">
        <x:v>21</x:v>
      </x:c>
      <x:c r="K8599" s="0">
        <x:f>hyperlink("https://icd.who.int/dev11/l-ichi/en#/http%3A%2F%2Fid.who.int%2Ficd%2Fentity%2F85897296","browser")</x:f>
      </x:c>
      <x:c r="L8599" s="0">
        <x:f>hyperlink("https://icat2.azurewebsites.net/icat/?ontology=ICD&amp;tab=ClassesTab&amp;id=http%3A%2F%2Fwho.int%2Ficd%23260_7005c14c_2656_4f4b_85a0_8e71c99be967","iCat")</x:f>
      </x:c>
      <x:c r="M8599" s="0" t="s">
        <x:v>21</x:v>
      </x:c>
      <x:c r="N8599" s="0" t="s">
        <x:v>46</x:v>
      </x:c>
    </x:row>
    <x:row r="8600" spans="1:16">
      <x:c r="A8600" s="0" t="s">
        <x:v>34262</x:v>
      </x:c>
      <x:c r="B8600" s="0" t="s">
        <x:v>34263</x:v>
      </x:c>
      <x:c r="D8600" s="0" t="s">
        <x:v>34264</x:v>
      </x:c>
      <x:c r="E8600" s="0" t="s">
        <x:v>34265</x:v>
      </x:c>
      <x:c r="F8600" s="0" t="s">
        <x:v>26</x:v>
      </x:c>
      <x:c r="G8600" s="0" t="s">
        <x:v>35</x:v>
      </x:c>
      <x:c r="H8600" s="0" t="s">
        <x:v>20</x:v>
      </x:c>
      <x:c r="I8600" s="0" t="s">
        <x:v>21</x:v>
      </x:c>
      <x:c r="K8600" s="0">
        <x:f>hyperlink("https://icd.who.int/dev11/l-ichi/en#/http%3A%2F%2Fid.who.int%2Ficd%2Fentity%2F800485347","browser")</x:f>
      </x:c>
      <x:c r="L8600" s="0">
        <x:f>hyperlink("https://icat2.azurewebsites.net/icat/?ontology=ICD&amp;tab=ClassesTab&amp;id=http%3A%2F%2Fwho.int%2Ficd%2347785_512ebf36_bf6b_4d70_85da_cf2637062af4","iCat")</x:f>
      </x:c>
      <x:c r="M8600" s="0" t="s">
        <x:v>20</x:v>
      </x:c>
      <x:c r="N8600" s="0" t="s">
        <x:v>34266</x:v>
      </x:c>
    </x:row>
    <x:row r="8601" spans="1:16">
      <x:c r="A8601" s="0" t="s">
        <x:v>34267</x:v>
      </x:c>
      <x:c r="B8601" s="0" t="s">
        <x:v>34268</x:v>
      </x:c>
      <x:c r="C8601" s="0" t="s">
        <x:v>34269</x:v>
      </x:c>
      <x:c r="E8601" s="0" t="s">
        <x:v>34270</x:v>
      </x:c>
      <x:c r="F8601" s="0" t="s">
        <x:v>45</x:v>
      </x:c>
      <x:c r="G8601" s="0" t="s">
        <x:v>19</x:v>
      </x:c>
      <x:c r="H8601" s="0" t="s">
        <x:v>20</x:v>
      </x:c>
      <x:c r="I8601" s="0" t="s">
        <x:v>21</x:v>
      </x:c>
      <x:c r="K8601" s="0">
        <x:f>hyperlink("https://icd.who.int/dev11/l-ichi/en#/http%3A%2F%2Fid.who.int%2Ficd%2Fentity%2F256843231","browser")</x:f>
      </x:c>
      <x:c r="L8601" s="0">
        <x:f>hyperlink("https://icat2.azurewebsites.net/icat/?ontology=ICD&amp;tab=ClassesTab&amp;id=http%3A%2F%2Fwho.int%2Ficd%2347784_512ebf36_bf6b_4d70_85da_cf2637062af4","iCat")</x:f>
      </x:c>
      <x:c r="M8601" s="0" t="s">
        <x:v>21</x:v>
      </x:c>
      <x:c r="N8601" s="0" t="s">
        <x:v>46</x:v>
      </x:c>
    </x:row>
    <x:row r="8602" spans="1:16">
      <x:c r="A8602" s="0" t="s">
        <x:v>34271</x:v>
      </x:c>
      <x:c r="B8602" s="0" t="s">
        <x:v>34272</x:v>
      </x:c>
      <x:c r="C8602" s="0" t="s">
        <x:v>34273</x:v>
      </x:c>
      <x:c r="E8602" s="0" t="s">
        <x:v>34274</x:v>
      </x:c>
      <x:c r="F8602" s="0" t="s">
        <x:v>45</x:v>
      </x:c>
      <x:c r="G8602" s="0" t="s">
        <x:v>19</x:v>
      </x:c>
      <x:c r="H8602" s="0" t="s">
        <x:v>20</x:v>
      </x:c>
      <x:c r="I8602" s="0" t="s">
        <x:v>21</x:v>
      </x:c>
      <x:c r="K8602" s="0">
        <x:f>hyperlink("https://icd.who.int/dev11/l-ichi/en#/http%3A%2F%2Fid.who.int%2Ficd%2Fentity%2F537913201","browser")</x:f>
      </x:c>
      <x:c r="L8602" s="0">
        <x:f>hyperlink("https://icat2.azurewebsites.net/icat/?ontology=ICD&amp;tab=ClassesTab&amp;id=http%3A%2F%2Fwho.int%2Ficd%2347797_512ebf36_bf6b_4d70_85da_cf2637062af4","iCat")</x:f>
      </x:c>
      <x:c r="M8602" s="0" t="s">
        <x:v>21</x:v>
      </x:c>
      <x:c r="N8602" s="0" t="s">
        <x:v>46</x:v>
      </x:c>
    </x:row>
    <x:row r="8603" spans="1:16">
      <x:c r="A8603" s="0" t="s">
        <x:v>34275</x:v>
      </x:c>
      <x:c r="B8603" s="0" t="s">
        <x:v>34276</x:v>
      </x:c>
      <x:c r="C8603" s="0" t="s">
        <x:v>34277</x:v>
      </x:c>
      <x:c r="E8603" s="0" t="s">
        <x:v>34278</x:v>
      </x:c>
      <x:c r="F8603" s="0" t="s">
        <x:v>45</x:v>
      </x:c>
      <x:c r="G8603" s="0" t="s">
        <x:v>19</x:v>
      </x:c>
      <x:c r="H8603" s="0" t="s">
        <x:v>20</x:v>
      </x:c>
      <x:c r="I8603" s="0" t="s">
        <x:v>21</x:v>
      </x:c>
      <x:c r="K8603" s="0">
        <x:f>hyperlink("https://icd.who.int/dev11/l-ichi/en#/http%3A%2F%2Fid.who.int%2Ficd%2Fentity%2F1714672669","browser")</x:f>
      </x:c>
      <x:c r="L8603" s="0">
        <x:f>hyperlink("https://icat2.azurewebsites.net/icat/?ontology=ICD&amp;tab=ClassesTab&amp;id=http%3A%2F%2Fwho.int%2Ficd%2347804_512ebf36_bf6b_4d70_85da_cf2637062af4","iCat")</x:f>
      </x:c>
      <x:c r="M8603" s="0" t="s">
        <x:v>21</x:v>
      </x:c>
      <x:c r="N8603" s="0" t="s">
        <x:v>46</x:v>
      </x:c>
    </x:row>
    <x:row r="8604" spans="1:16">
      <x:c r="A8604" s="0" t="s">
        <x:v>34279</x:v>
      </x:c>
      <x:c r="B8604" s="0" t="s">
        <x:v>34280</x:v>
      </x:c>
      <x:c r="C8604" s="0" t="s">
        <x:v>34281</x:v>
      </x:c>
      <x:c r="E8604" s="0" t="s">
        <x:v>34282</x:v>
      </x:c>
      <x:c r="F8604" s="0" t="s">
        <x:v>45</x:v>
      </x:c>
      <x:c r="G8604" s="0" t="s">
        <x:v>19</x:v>
      </x:c>
      <x:c r="H8604" s="0" t="s">
        <x:v>20</x:v>
      </x:c>
      <x:c r="I8604" s="0" t="s">
        <x:v>21</x:v>
      </x:c>
      <x:c r="K8604" s="0">
        <x:f>hyperlink("https://icd.who.int/dev11/l-ichi/en#/http%3A%2F%2Fid.who.int%2Ficd%2Fentity%2F1268760837","browser")</x:f>
      </x:c>
      <x:c r="L8604" s="0">
        <x:f>hyperlink("https://icat2.azurewebsites.net/icat/?ontology=ICD&amp;tab=ClassesTab&amp;id=http%3A%2F%2Fwho.int%2Ficd%23268_7005c14c_2656_4f4b_85a0_8e71c99be967","iCat")</x:f>
      </x:c>
      <x:c r="M8604" s="0" t="s">
        <x:v>21</x:v>
      </x:c>
      <x:c r="N8604" s="0" t="s">
        <x:v>46</x:v>
      </x:c>
    </x:row>
    <x:row r="8605" spans="1:16">
      <x:c r="A8605" s="0" t="s">
        <x:v>34283</x:v>
      </x:c>
      <x:c r="B8605" s="0" t="s">
        <x:v>34284</x:v>
      </x:c>
      <x:c r="C8605" s="0" t="s">
        <x:v>34285</x:v>
      </x:c>
      <x:c r="E8605" s="0" t="s">
        <x:v>34286</x:v>
      </x:c>
      <x:c r="F8605" s="0" t="s">
        <x:v>45</x:v>
      </x:c>
      <x:c r="G8605" s="0" t="s">
        <x:v>19</x:v>
      </x:c>
      <x:c r="H8605" s="0" t="s">
        <x:v>20</x:v>
      </x:c>
      <x:c r="I8605" s="0" t="s">
        <x:v>21</x:v>
      </x:c>
      <x:c r="K8605" s="0">
        <x:f>hyperlink("https://icd.who.int/dev11/l-ichi/en#/http%3A%2F%2Fid.who.int%2Ficd%2Fentity%2F420017922","browser")</x:f>
      </x:c>
      <x:c r="L8605" s="0">
        <x:f>hyperlink("https://icat2.azurewebsites.net/icat/?ontology=ICD&amp;tab=ClassesTab&amp;id=http%3A%2F%2Fwho.int%2Ficd%2347811_512ebf36_bf6b_4d70_85da_cf2637062af4","iCat")</x:f>
      </x:c>
      <x:c r="M8605" s="0" t="s">
        <x:v>21</x:v>
      </x:c>
      <x:c r="N8605" s="0" t="s">
        <x:v>46</x:v>
      </x:c>
    </x:row>
    <x:row r="8606" spans="1:16">
      <x:c r="A8606" s="0" t="s">
        <x:v>34287</x:v>
      </x:c>
      <x:c r="B8606" s="0" t="s">
        <x:v>34288</x:v>
      </x:c>
      <x:c r="C8606" s="0" t="s">
        <x:v>34289</x:v>
      </x:c>
      <x:c r="E8606" s="0" t="s">
        <x:v>34290</x:v>
      </x:c>
      <x:c r="F8606" s="0" t="s">
        <x:v>45</x:v>
      </x:c>
      <x:c r="G8606" s="0" t="s">
        <x:v>19</x:v>
      </x:c>
      <x:c r="H8606" s="0" t="s">
        <x:v>20</x:v>
      </x:c>
      <x:c r="I8606" s="0" t="s">
        <x:v>21</x:v>
      </x:c>
      <x:c r="K8606" s="0">
        <x:f>hyperlink("https://icd.who.int/dev11/l-ichi/en#/http%3A%2F%2Fid.who.int%2Ficd%2Fentity%2F1524425075","browser")</x:f>
      </x:c>
      <x:c r="L8606" s="0">
        <x:f>hyperlink("https://icat2.azurewebsites.net/icat/?ontology=ICD&amp;tab=ClassesTab&amp;id=http%3A%2F%2Fwho.int%2Ficd%23274_7005c14c_2656_4f4b_85a0_8e71c99be967","iCat")</x:f>
      </x:c>
      <x:c r="M8606" s="0" t="s">
        <x:v>21</x:v>
      </x:c>
      <x:c r="N8606" s="0" t="s">
        <x:v>46</x:v>
      </x:c>
    </x:row>
    <x:row r="8607" spans="1:16">
      <x:c r="A8607" s="0" t="s">
        <x:v>34291</x:v>
      </x:c>
      <x:c r="B8607" s="0" t="s">
        <x:v>34292</x:v>
      </x:c>
      <x:c r="C8607" s="0" t="s">
        <x:v>34293</x:v>
      </x:c>
      <x:c r="E8607" s="0" t="s">
        <x:v>34294</x:v>
      </x:c>
      <x:c r="F8607" s="0" t="s">
        <x:v>45</x:v>
      </x:c>
      <x:c r="G8607" s="0" t="s">
        <x:v>19</x:v>
      </x:c>
      <x:c r="H8607" s="0" t="s">
        <x:v>20</x:v>
      </x:c>
      <x:c r="I8607" s="0" t="s">
        <x:v>21</x:v>
      </x:c>
      <x:c r="K8607" s="0">
        <x:f>hyperlink("https://icd.who.int/dev11/l-ichi/en#/http%3A%2F%2Fid.who.int%2Ficd%2Fentity%2F1077702617","browser")</x:f>
      </x:c>
      <x:c r="L8607" s="0">
        <x:f>hyperlink("https://icat2.azurewebsites.net/icat/?ontology=ICD&amp;tab=ClassesTab&amp;id=http%3A%2F%2Fwho.int%2Ficd%23280_7005c14c_2656_4f4b_85a0_8e71c99be967","iCat")</x:f>
      </x:c>
      <x:c r="M8607" s="0" t="s">
        <x:v>21</x:v>
      </x:c>
      <x:c r="N8607" s="0" t="s">
        <x:v>46</x:v>
      </x:c>
    </x:row>
    <x:row r="8608" spans="1:16">
      <x:c r="A8608" s="0" t="s">
        <x:v>34295</x:v>
      </x:c>
      <x:c r="B8608" s="0" t="s">
        <x:v>34296</x:v>
      </x:c>
      <x:c r="C8608" s="0" t="s">
        <x:v>34297</x:v>
      </x:c>
      <x:c r="E8608" s="0" t="s">
        <x:v>34298</x:v>
      </x:c>
      <x:c r="F8608" s="0" t="s">
        <x:v>45</x:v>
      </x:c>
      <x:c r="G8608" s="0" t="s">
        <x:v>19</x:v>
      </x:c>
      <x:c r="H8608" s="0" t="s">
        <x:v>20</x:v>
      </x:c>
      <x:c r="I8608" s="0" t="s">
        <x:v>21</x:v>
      </x:c>
      <x:c r="K8608" s="0">
        <x:f>hyperlink("https://icd.who.int/dev11/l-ichi/en#/http%3A%2F%2Fid.who.int%2Ficd%2Fentity%2F273135210","browser")</x:f>
      </x:c>
      <x:c r="L8608" s="0">
        <x:f>hyperlink("https://icat2.azurewebsites.net/icat/?ontology=ICD&amp;tab=ClassesTab&amp;id=http%3A%2F%2Fwho.int%2Ficd%23286_7005c14c_2656_4f4b_85a0_8e71c99be967","iCat")</x:f>
      </x:c>
      <x:c r="M8608" s="0" t="s">
        <x:v>21</x:v>
      </x:c>
      <x:c r="N8608" s="0" t="s">
        <x:v>46</x:v>
      </x:c>
    </x:row>
    <x:row r="8609" spans="1:16">
      <x:c r="A8609" s="0" t="s">
        <x:v>34299</x:v>
      </x:c>
      <x:c r="B8609" s="0" t="s">
        <x:v>34300</x:v>
      </x:c>
      <x:c r="C8609" s="0" t="s">
        <x:v>34301</x:v>
      </x:c>
      <x:c r="E8609" s="0" t="s">
        <x:v>34302</x:v>
      </x:c>
      <x:c r="F8609" s="0" t="s">
        <x:v>45</x:v>
      </x:c>
      <x:c r="G8609" s="0" t="s">
        <x:v>19</x:v>
      </x:c>
      <x:c r="H8609" s="0" t="s">
        <x:v>20</x:v>
      </x:c>
      <x:c r="I8609" s="0" t="s">
        <x:v>21</x:v>
      </x:c>
      <x:c r="K8609" s="0">
        <x:f>hyperlink("https://icd.who.int/dev11/l-ichi/en#/http%3A%2F%2Fid.who.int%2Ficd%2Fentity%2F2003891307","browser")</x:f>
      </x:c>
      <x:c r="L8609" s="0">
        <x:f>hyperlink("https://icat2.azurewebsites.net/icat/?ontology=ICD&amp;tab=ClassesTab&amp;id=http%3A%2F%2Fwho.int%2Ficd%2347818_512ebf36_bf6b_4d70_85da_cf2637062af4","iCat")</x:f>
      </x:c>
      <x:c r="M8609" s="0" t="s">
        <x:v>21</x:v>
      </x:c>
      <x:c r="N8609" s="0" t="s">
        <x:v>46</x:v>
      </x:c>
    </x:row>
    <x:row r="8610" spans="1:16">
      <x:c r="A8610" s="0" t="s">
        <x:v>34303</x:v>
      </x:c>
      <x:c r="B8610" s="0" t="s">
        <x:v>34304</x:v>
      </x:c>
      <x:c r="C8610" s="0" t="s">
        <x:v>34305</x:v>
      </x:c>
      <x:c r="E8610" s="0" t="s">
        <x:v>34306</x:v>
      </x:c>
      <x:c r="F8610" s="0" t="s">
        <x:v>45</x:v>
      </x:c>
      <x:c r="G8610" s="0" t="s">
        <x:v>19</x:v>
      </x:c>
      <x:c r="H8610" s="0" t="s">
        <x:v>20</x:v>
      </x:c>
      <x:c r="I8610" s="0" t="s">
        <x:v>21</x:v>
      </x:c>
      <x:c r="K8610" s="0">
        <x:f>hyperlink("https://icd.who.int/dev11/l-ichi/en#/http%3A%2F%2Fid.who.int%2Ficd%2Fentity%2F1824420721","browser")</x:f>
      </x:c>
      <x:c r="L8610" s="0">
        <x:f>hyperlink("https://icat2.azurewebsites.net/icat/?ontology=ICD&amp;tab=ClassesTab&amp;id=http%3A%2F%2Fwho.int%2Ficd%2347825_512ebf36_bf6b_4d70_85da_cf2637062af4","iCat")</x:f>
      </x:c>
      <x:c r="M8610" s="0" t="s">
        <x:v>21</x:v>
      </x:c>
      <x:c r="N8610" s="0" t="s">
        <x:v>46</x:v>
      </x:c>
    </x:row>
    <x:row r="8611" spans="1:16">
      <x:c r="A8611" s="0" t="s">
        <x:v>34307</x:v>
      </x:c>
      <x:c r="B8611" s="0" t="s">
        <x:v>34308</x:v>
      </x:c>
      <x:c r="C8611" s="0" t="s">
        <x:v>34309</x:v>
      </x:c>
      <x:c r="E8611" s="0" t="s">
        <x:v>34310</x:v>
      </x:c>
      <x:c r="F8611" s="0" t="s">
        <x:v>45</x:v>
      </x:c>
      <x:c r="G8611" s="0" t="s">
        <x:v>19</x:v>
      </x:c>
      <x:c r="H8611" s="0" t="s">
        <x:v>20</x:v>
      </x:c>
      <x:c r="I8611" s="0" t="s">
        <x:v>21</x:v>
      </x:c>
      <x:c r="K8611" s="0">
        <x:f>hyperlink("https://icd.who.int/dev11/l-ichi/en#/http%3A%2F%2Fid.who.int%2Ficd%2Fentity%2F1685621723","browser")</x:f>
      </x:c>
      <x:c r="L8611" s="0">
        <x:f>hyperlink("https://icat2.azurewebsites.net/icat/?ontology=ICD&amp;tab=ClassesTab&amp;id=http%3A%2F%2Fwho.int%2Ficd%23298_7005c14c_2656_4f4b_85a0_8e71c99be967","iCat")</x:f>
      </x:c>
      <x:c r="M8611" s="0" t="s">
        <x:v>21</x:v>
      </x:c>
      <x:c r="N8611" s="0" t="s">
        <x:v>46</x:v>
      </x:c>
    </x:row>
    <x:row r="8612" spans="1:16">
      <x:c r="A8612" s="0" t="s">
        <x:v>34311</x:v>
      </x:c>
      <x:c r="B8612" s="0" t="s">
        <x:v>34312</x:v>
      </x:c>
      <x:c r="C8612" s="0" t="s">
        <x:v>34313</x:v>
      </x:c>
      <x:c r="E8612" s="0" t="s">
        <x:v>34314</x:v>
      </x:c>
      <x:c r="F8612" s="0" t="s">
        <x:v>45</x:v>
      </x:c>
      <x:c r="G8612" s="0" t="s">
        <x:v>19</x:v>
      </x:c>
      <x:c r="H8612" s="0" t="s">
        <x:v>20</x:v>
      </x:c>
      <x:c r="I8612" s="0" t="s">
        <x:v>21</x:v>
      </x:c>
      <x:c r="K8612" s="0">
        <x:f>hyperlink("https://icd.who.int/dev11/l-ichi/en#/http%3A%2F%2Fid.who.int%2Ficd%2Fentity%2F529872116","browser")</x:f>
      </x:c>
      <x:c r="L8612" s="0">
        <x:f>hyperlink("https://icat2.azurewebsites.net/icat/?ontology=ICD&amp;tab=ClassesTab&amp;id=http%3A%2F%2Fwho.int%2Ficd%23304_7005c14c_2656_4f4b_85a0_8e71c99be967","iCat")</x:f>
      </x:c>
      <x:c r="M8612" s="0" t="s">
        <x:v>21</x:v>
      </x:c>
      <x:c r="N8612" s="0" t="s">
        <x:v>46</x:v>
      </x:c>
    </x:row>
    <x:row r="8613" spans="1:16">
      <x:c r="A8613" s="0" t="s">
        <x:v>34315</x:v>
      </x:c>
      <x:c r="B8613" s="0" t="s">
        <x:v>34316</x:v>
      </x:c>
      <x:c r="C8613" s="0" t="s">
        <x:v>34317</x:v>
      </x:c>
      <x:c r="E8613" s="0" t="s">
        <x:v>34318</x:v>
      </x:c>
      <x:c r="F8613" s="0" t="s">
        <x:v>45</x:v>
      </x:c>
      <x:c r="G8613" s="0" t="s">
        <x:v>19</x:v>
      </x:c>
      <x:c r="H8613" s="0" t="s">
        <x:v>20</x:v>
      </x:c>
      <x:c r="I8613" s="0" t="s">
        <x:v>21</x:v>
      </x:c>
      <x:c r="K8613" s="0">
        <x:f>hyperlink("https://icd.who.int/dev11/l-ichi/en#/http%3A%2F%2Fid.who.int%2Ficd%2Fentity%2F1079469527","browser")</x:f>
      </x:c>
      <x:c r="L8613" s="0">
        <x:f>hyperlink("https://icat2.azurewebsites.net/icat/?ontology=ICD&amp;tab=ClassesTab&amp;id=http%3A%2F%2Fwho.int%2Ficd%23310_7005c14c_2656_4f4b_85a0_8e71c99be967","iCat")</x:f>
      </x:c>
      <x:c r="M8613" s="0" t="s">
        <x:v>21</x:v>
      </x:c>
      <x:c r="N8613" s="0" t="s">
        <x:v>46</x:v>
      </x:c>
    </x:row>
    <x:row r="8614" spans="1:16">
      <x:c r="A8614" s="0" t="s">
        <x:v>34319</x:v>
      </x:c>
      <x:c r="B8614" s="0" t="s">
        <x:v>34320</x:v>
      </x:c>
      <x:c r="C8614" s="0" t="s">
        <x:v>34321</x:v>
      </x:c>
      <x:c r="E8614" s="0" t="s">
        <x:v>34322</x:v>
      </x:c>
      <x:c r="F8614" s="0" t="s">
        <x:v>45</x:v>
      </x:c>
      <x:c r="G8614" s="0" t="s">
        <x:v>19</x:v>
      </x:c>
      <x:c r="H8614" s="0" t="s">
        <x:v>20</x:v>
      </x:c>
      <x:c r="I8614" s="0" t="s">
        <x:v>21</x:v>
      </x:c>
      <x:c r="K8614" s="0">
        <x:f>hyperlink("https://icd.who.int/dev11/l-ichi/en#/http%3A%2F%2Fid.who.int%2Ficd%2Fentity%2F271367270","browser")</x:f>
      </x:c>
      <x:c r="L8614" s="0">
        <x:f>hyperlink("https://icat2.azurewebsites.net/icat/?ontology=ICD&amp;tab=ClassesTab&amp;id=http%3A%2F%2Fwho.int%2Ficd%23316_7005c14c_2656_4f4b_85a0_8e71c99be967","iCat")</x:f>
      </x:c>
      <x:c r="M8614" s="0" t="s">
        <x:v>21</x:v>
      </x:c>
      <x:c r="N8614" s="0" t="s">
        <x:v>46</x:v>
      </x:c>
    </x:row>
    <x:row r="8615" spans="1:16">
      <x:c r="A8615" s="0" t="s">
        <x:v>34323</x:v>
      </x:c>
      <x:c r="B8615" s="0" t="s">
        <x:v>34324</x:v>
      </x:c>
      <x:c r="C8615" s="0" t="s">
        <x:v>34325</x:v>
      </x:c>
      <x:c r="E8615" s="0" t="s">
        <x:v>34326</x:v>
      </x:c>
      <x:c r="F8615" s="0" t="s">
        <x:v>45</x:v>
      </x:c>
      <x:c r="G8615" s="0" t="s">
        <x:v>19</x:v>
      </x:c>
      <x:c r="H8615" s="0" t="s">
        <x:v>20</x:v>
      </x:c>
      <x:c r="I8615" s="0" t="s">
        <x:v>21</x:v>
      </x:c>
      <x:c r="K8615" s="0">
        <x:f>hyperlink("https://icd.who.int/dev11/l-ichi/en#/http%3A%2F%2Fid.who.int%2Ficd%2Fentity%2F1996049835","browser")</x:f>
      </x:c>
      <x:c r="L8615" s="0">
        <x:f>hyperlink("https://icat2.azurewebsites.net/icat/?ontology=ICD&amp;tab=ClassesTab&amp;id=http%3A%2F%2Fwho.int%2Ficd%2347832_512ebf36_bf6b_4d70_85da_cf2637062af4","iCat")</x:f>
      </x:c>
      <x:c r="M8615" s="0" t="s">
        <x:v>21</x:v>
      </x:c>
      <x:c r="N8615" s="0" t="s">
        <x:v>46</x:v>
      </x:c>
    </x:row>
    <x:row r="8616" spans="1:16">
      <x:c r="A8616" s="0" t="s">
        <x:v>34327</x:v>
      </x:c>
      <x:c r="B8616" s="0" t="s">
        <x:v>34328</x:v>
      </x:c>
      <x:c r="C8616" s="0" t="s">
        <x:v>34329</x:v>
      </x:c>
      <x:c r="E8616" s="0" t="s">
        <x:v>34330</x:v>
      </x:c>
      <x:c r="F8616" s="0" t="s">
        <x:v>45</x:v>
      </x:c>
      <x:c r="G8616" s="0" t="s">
        <x:v>19</x:v>
      </x:c>
      <x:c r="H8616" s="0" t="s">
        <x:v>20</x:v>
      </x:c>
      <x:c r="I8616" s="0" t="s">
        <x:v>21</x:v>
      </x:c>
      <x:c r="K8616" s="0">
        <x:f>hyperlink("https://icd.who.int/dev11/l-ichi/en#/http%3A%2F%2Fid.who.int%2Ficd%2Fentity%2F1872808815","browser")</x:f>
      </x:c>
      <x:c r="L8616" s="0">
        <x:f>hyperlink("https://icat2.azurewebsites.net/icat/?ontology=ICD&amp;tab=ClassesTab&amp;id=http%3A%2F%2Fwho.int%2Ficd%23116_60b821c4_cabc_4b81_9563_cb99d74167d5","iCat")</x:f>
      </x:c>
      <x:c r="M8616" s="0" t="s">
        <x:v>21</x:v>
      </x:c>
      <x:c r="N8616" s="0" t="s">
        <x:v>46</x:v>
      </x:c>
    </x:row>
    <x:row r="8617" spans="1:16">
      <x:c r="A8617" s="0" t="s">
        <x:v>34331</x:v>
      </x:c>
      <x:c r="B8617" s="0" t="s">
        <x:v>34332</x:v>
      </x:c>
      <x:c r="C8617" s="0" t="s">
        <x:v>34333</x:v>
      </x:c>
      <x:c r="E8617" s="0" t="s">
        <x:v>34334</x:v>
      </x:c>
      <x:c r="F8617" s="0" t="s">
        <x:v>45</x:v>
      </x:c>
      <x:c r="G8617" s="0" t="s">
        <x:v>19</x:v>
      </x:c>
      <x:c r="H8617" s="0" t="s">
        <x:v>20</x:v>
      </x:c>
      <x:c r="I8617" s="0" t="s">
        <x:v>21</x:v>
      </x:c>
      <x:c r="K8617" s="0">
        <x:f>hyperlink("https://icd.who.int/dev11/l-ichi/en#/http%3A%2F%2Fid.who.int%2Ficd%2Fentity%2F2113753863","browser")</x:f>
      </x:c>
      <x:c r="L8617" s="0">
        <x:f>hyperlink("https://icat2.azurewebsites.net/icat/?ontology=ICD&amp;tab=ClassesTab&amp;id=http%3A%2F%2Fwho.int%2Ficd%2347839_512ebf36_bf6b_4d70_85da_cf2637062af4","iCat")</x:f>
      </x:c>
      <x:c r="M8617" s="0" t="s">
        <x:v>21</x:v>
      </x:c>
      <x:c r="N8617" s="0" t="s">
        <x:v>46</x:v>
      </x:c>
    </x:row>
    <x:row r="8618" spans="1:16">
      <x:c r="A8618" s="0" t="s">
        <x:v>34335</x:v>
      </x:c>
      <x:c r="B8618" s="0" t="s">
        <x:v>34336</x:v>
      </x:c>
      <x:c r="C8618" s="0" t="s">
        <x:v>34337</x:v>
      </x:c>
      <x:c r="E8618" s="0" t="s">
        <x:v>34338</x:v>
      </x:c>
      <x:c r="F8618" s="0" t="s">
        <x:v>45</x:v>
      </x:c>
      <x:c r="G8618" s="0" t="s">
        <x:v>19</x:v>
      </x:c>
      <x:c r="H8618" s="0" t="s">
        <x:v>20</x:v>
      </x:c>
      <x:c r="I8618" s="0" t="s">
        <x:v>21</x:v>
      </x:c>
      <x:c r="K8618" s="0">
        <x:f>hyperlink("https://icd.who.int/dev11/l-ichi/en#/http%3A%2F%2Fid.who.int%2Ficd%2Fentity%2F1932040901","browser")</x:f>
      </x:c>
      <x:c r="L8618" s="0">
        <x:f>hyperlink("https://icat2.azurewebsites.net/icat/?ontology=ICD&amp;tab=ClassesTab&amp;id=http%3A%2F%2Fwho.int%2Ficd%2347846_512ebf36_bf6b_4d70_85da_cf2637062af4","iCat")</x:f>
      </x:c>
      <x:c r="M8618" s="0" t="s">
        <x:v>21</x:v>
      </x:c>
      <x:c r="N8618" s="0" t="s">
        <x:v>46</x:v>
      </x:c>
    </x:row>
    <x:row r="8619" spans="1:16">
      <x:c r="A8619" s="0" t="s">
        <x:v>34339</x:v>
      </x:c>
      <x:c r="B8619" s="0" t="s">
        <x:v>34340</x:v>
      </x:c>
      <x:c r="C8619" s="0" t="s">
        <x:v>34341</x:v>
      </x:c>
      <x:c r="E8619" s="0" t="s">
        <x:v>34342</x:v>
      </x:c>
      <x:c r="F8619" s="0" t="s">
        <x:v>45</x:v>
      </x:c>
      <x:c r="G8619" s="0" t="s">
        <x:v>19</x:v>
      </x:c>
      <x:c r="H8619" s="0" t="s">
        <x:v>20</x:v>
      </x:c>
      <x:c r="I8619" s="0" t="s">
        <x:v>21</x:v>
      </x:c>
      <x:c r="K8619" s="0">
        <x:f>hyperlink("https://icd.who.int/dev11/l-ichi/en#/http%3A%2F%2Fid.who.int%2Ficd%2Fentity%2F202619354","browser")</x:f>
      </x:c>
      <x:c r="L8619" s="0">
        <x:f>hyperlink("https://icat2.azurewebsites.net/icat/?ontology=ICD&amp;tab=ClassesTab&amp;id=http%3A%2F%2Fwho.int%2Ficd%2347853_512ebf36_bf6b_4d70_85da_cf2637062af4","iCat")</x:f>
      </x:c>
      <x:c r="M8619" s="0" t="s">
        <x:v>21</x:v>
      </x:c>
      <x:c r="N8619" s="0" t="s">
        <x:v>46</x:v>
      </x:c>
    </x:row>
    <x:row r="8620" spans="1:16">
      <x:c r="A8620" s="0" t="s">
        <x:v>34343</x:v>
      </x:c>
      <x:c r="B8620" s="0" t="s">
        <x:v>34344</x:v>
      </x:c>
      <x:c r="C8620" s="0" t="s">
        <x:v>34345</x:v>
      </x:c>
      <x:c r="E8620" s="0" t="s">
        <x:v>34346</x:v>
      </x:c>
      <x:c r="F8620" s="0" t="s">
        <x:v>45</x:v>
      </x:c>
      <x:c r="G8620" s="0" t="s">
        <x:v>19</x:v>
      </x:c>
      <x:c r="H8620" s="0" t="s">
        <x:v>20</x:v>
      </x:c>
      <x:c r="I8620" s="0" t="s">
        <x:v>21</x:v>
      </x:c>
      <x:c r="K8620" s="0">
        <x:f>hyperlink("https://icd.who.int/dev11/l-ichi/en#/http%3A%2F%2Fid.who.int%2Ficd%2Fentity%2F353932184","browser")</x:f>
      </x:c>
      <x:c r="L8620" s="0">
        <x:f>hyperlink("https://icat2.azurewebsites.net/icat/?ontology=ICD&amp;tab=ClassesTab&amp;id=http%3A%2F%2Fwho.int%2Ficd%23325_7005c14c_2656_4f4b_85a0_8e71c99be967","iCat")</x:f>
      </x:c>
      <x:c r="M8620" s="0" t="s">
        <x:v>21</x:v>
      </x:c>
      <x:c r="N8620" s="0" t="s">
        <x:v>46</x:v>
      </x:c>
    </x:row>
    <x:row r="8621" spans="1:16">
      <x:c r="A8621" s="0" t="s">
        <x:v>34347</x:v>
      </x:c>
      <x:c r="B8621" s="0" t="s">
        <x:v>34348</x:v>
      </x:c>
      <x:c r="C8621" s="0" t="s">
        <x:v>34349</x:v>
      </x:c>
      <x:c r="E8621" s="0" t="s">
        <x:v>34350</x:v>
      </x:c>
      <x:c r="F8621" s="0" t="s">
        <x:v>45</x:v>
      </x:c>
      <x:c r="G8621" s="0" t="s">
        <x:v>19</x:v>
      </x:c>
      <x:c r="H8621" s="0" t="s">
        <x:v>20</x:v>
      </x:c>
      <x:c r="I8621" s="0" t="s">
        <x:v>21</x:v>
      </x:c>
      <x:c r="K8621" s="0">
        <x:f>hyperlink("https://icd.who.int/dev11/l-ichi/en#/http%3A%2F%2Fid.who.int%2Ficd%2Fentity%2F1255850683","browser")</x:f>
      </x:c>
      <x:c r="L8621" s="0">
        <x:f>hyperlink("https://icat2.azurewebsites.net/icat/?ontology=ICD&amp;tab=ClassesTab&amp;id=http%3A%2F%2Fwho.int%2Ficd%23331_7005c14c_2656_4f4b_85a0_8e71c99be967","iCat")</x:f>
      </x:c>
      <x:c r="M8621" s="0" t="s">
        <x:v>21</x:v>
      </x:c>
      <x:c r="N8621" s="0" t="s">
        <x:v>46</x:v>
      </x:c>
    </x:row>
    <x:row r="8622" spans="1:16">
      <x:c r="A8622" s="0" t="s">
        <x:v>34351</x:v>
      </x:c>
      <x:c r="B8622" s="0" t="s">
        <x:v>34352</x:v>
      </x:c>
      <x:c r="C8622" s="0" t="s">
        <x:v>34353</x:v>
      </x:c>
      <x:c r="E8622" s="0" t="s">
        <x:v>34354</x:v>
      </x:c>
      <x:c r="F8622" s="0" t="s">
        <x:v>45</x:v>
      </x:c>
      <x:c r="G8622" s="0" t="s">
        <x:v>19</x:v>
      </x:c>
      <x:c r="H8622" s="0" t="s">
        <x:v>20</x:v>
      </x:c>
      <x:c r="I8622" s="0" t="s">
        <x:v>21</x:v>
      </x:c>
      <x:c r="K8622" s="0">
        <x:f>hyperlink("https://icd.who.int/dev11/l-ichi/en#/http%3A%2F%2Fid.who.int%2Ficd%2Fentity%2F446765834","browser")</x:f>
      </x:c>
      <x:c r="L8622" s="0">
        <x:f>hyperlink("https://icat2.azurewebsites.net/icat/?ontology=ICD&amp;tab=ClassesTab&amp;id=http%3A%2F%2Fwho.int%2Ficd%23337_7005c14c_2656_4f4b_85a0_8e71c99be967","iCat")</x:f>
      </x:c>
      <x:c r="M8622" s="0" t="s">
        <x:v>21</x:v>
      </x:c>
      <x:c r="N8622" s="0" t="s">
        <x:v>46</x:v>
      </x:c>
    </x:row>
    <x:row r="8623" spans="1:16">
      <x:c r="A8623" s="0" t="s">
        <x:v>34355</x:v>
      </x:c>
      <x:c r="B8623" s="0" t="s">
        <x:v>34356</x:v>
      </x:c>
      <x:c r="C8623" s="0" t="s">
        <x:v>34357</x:v>
      </x:c>
      <x:c r="E8623" s="0" t="s">
        <x:v>34358</x:v>
      </x:c>
      <x:c r="F8623" s="0" t="s">
        <x:v>45</x:v>
      </x:c>
      <x:c r="G8623" s="0" t="s">
        <x:v>19</x:v>
      </x:c>
      <x:c r="H8623" s="0" t="s">
        <x:v>20</x:v>
      </x:c>
      <x:c r="I8623" s="0" t="s">
        <x:v>21</x:v>
      </x:c>
      <x:c r="K8623" s="0">
        <x:f>hyperlink("https://icd.who.int/dev11/l-ichi/en#/http%3A%2F%2Fid.who.int%2Ficd%2Fentity%2F881697012","browser")</x:f>
      </x:c>
      <x:c r="L8623" s="0">
        <x:f>hyperlink("https://icat2.azurewebsites.net/icat/?ontology=ICD&amp;tab=ClassesTab&amp;id=http%3A%2F%2Fwho.int%2Ficd%23349_7005c14c_2656_4f4b_85a0_8e71c99be967","iCat")</x:f>
      </x:c>
      <x:c r="M8623" s="0" t="s">
        <x:v>21</x:v>
      </x:c>
      <x:c r="N8623" s="0" t="s">
        <x:v>46</x:v>
      </x:c>
    </x:row>
    <x:row r="8624" spans="1:16">
      <x:c r="A8624" s="0" t="s">
        <x:v>34359</x:v>
      </x:c>
      <x:c r="B8624" s="0" t="s">
        <x:v>34360</x:v>
      </x:c>
      <x:c r="C8624" s="0" t="s">
        <x:v>34361</x:v>
      </x:c>
      <x:c r="E8624" s="0" t="s">
        <x:v>34362</x:v>
      </x:c>
      <x:c r="F8624" s="0" t="s">
        <x:v>45</x:v>
      </x:c>
      <x:c r="G8624" s="0" t="s">
        <x:v>19</x:v>
      </x:c>
      <x:c r="H8624" s="0" t="s">
        <x:v>20</x:v>
      </x:c>
      <x:c r="I8624" s="0" t="s">
        <x:v>21</x:v>
      </x:c>
      <x:c r="K8624" s="0">
        <x:f>hyperlink("https://icd.who.int/dev11/l-ichi/en#/http%3A%2F%2Fid.who.int%2Ficd%2Fentity%2F634290308","browser")</x:f>
      </x:c>
      <x:c r="L8624" s="0">
        <x:f>hyperlink("https://icat2.azurewebsites.net/icat/?ontology=ICD&amp;tab=ClassesTab&amp;id=http%3A%2F%2Fwho.int%2Ficd%23355_7005c14c_2656_4f4b_85a0_8e71c99be967","iCat")</x:f>
      </x:c>
      <x:c r="M8624" s="0" t="s">
        <x:v>21</x:v>
      </x:c>
      <x:c r="N8624" s="0" t="s">
        <x:v>46</x:v>
      </x:c>
    </x:row>
    <x:row r="8625" spans="1:16">
      <x:c r="A8625" s="0" t="s">
        <x:v>34363</x:v>
      </x:c>
      <x:c r="B8625" s="0" t="s">
        <x:v>34364</x:v>
      </x:c>
      <x:c r="C8625" s="0" t="s">
        <x:v>34365</x:v>
      </x:c>
      <x:c r="E8625" s="0" t="s">
        <x:v>34366</x:v>
      </x:c>
      <x:c r="F8625" s="0" t="s">
        <x:v>45</x:v>
      </x:c>
      <x:c r="G8625" s="0" t="s">
        <x:v>19</x:v>
      </x:c>
      <x:c r="H8625" s="0" t="s">
        <x:v>20</x:v>
      </x:c>
      <x:c r="I8625" s="0" t="s">
        <x:v>21</x:v>
      </x:c>
      <x:c r="K8625" s="0">
        <x:f>hyperlink("https://icd.who.int/dev11/l-ichi/en#/http%3A%2F%2Fid.who.int%2Ficd%2Fentity%2F1350042865","browser")</x:f>
      </x:c>
      <x:c r="L8625" s="0">
        <x:f>hyperlink("https://icat2.azurewebsites.net/icat/?ontology=ICD&amp;tab=ClassesTab&amp;id=http%3A%2F%2Fwho.int%2Ficd%23361_7005c14c_2656_4f4b_85a0_8e71c99be967","iCat")</x:f>
      </x:c>
      <x:c r="M8625" s="0" t="s">
        <x:v>21</x:v>
      </x:c>
      <x:c r="N8625" s="0" t="s">
        <x:v>46</x:v>
      </x:c>
    </x:row>
    <x:row r="8626" spans="1:16">
      <x:c r="A8626" s="0" t="s">
        <x:v>34367</x:v>
      </x:c>
      <x:c r="B8626" s="0" t="s">
        <x:v>34368</x:v>
      </x:c>
      <x:c r="C8626" s="0" t="s">
        <x:v>34369</x:v>
      </x:c>
      <x:c r="E8626" s="0" t="s">
        <x:v>34370</x:v>
      </x:c>
      <x:c r="F8626" s="0" t="s">
        <x:v>45</x:v>
      </x:c>
      <x:c r="G8626" s="0" t="s">
        <x:v>19</x:v>
      </x:c>
      <x:c r="H8626" s="0" t="s">
        <x:v>20</x:v>
      </x:c>
      <x:c r="I8626" s="0" t="s">
        <x:v>21</x:v>
      </x:c>
      <x:c r="K8626" s="0">
        <x:f>hyperlink("https://icd.who.int/dev11/l-ichi/en#/http%3A%2F%2Fid.who.int%2Ficd%2Fentity%2F253248","browser")</x:f>
      </x:c>
      <x:c r="L8626" s="0">
        <x:f>hyperlink("https://icat2.azurewebsites.net/icat/?ontology=ICD&amp;tab=ClassesTab&amp;id=http%3A%2F%2Fwho.int%2Ficd%23367_7005c14c_2656_4f4b_85a0_8e71c99be967","iCat")</x:f>
      </x:c>
      <x:c r="M8626" s="0" t="s">
        <x:v>21</x:v>
      </x:c>
      <x:c r="N8626" s="0" t="s">
        <x:v>46</x:v>
      </x:c>
    </x:row>
    <x:row r="8627" spans="1:16">
      <x:c r="A8627" s="0" t="s">
        <x:v>34371</x:v>
      </x:c>
      <x:c r="B8627" s="0" t="s">
        <x:v>34372</x:v>
      </x:c>
      <x:c r="C8627" s="0" t="s">
        <x:v>34373</x:v>
      </x:c>
      <x:c r="E8627" s="0" t="s">
        <x:v>34374</x:v>
      </x:c>
      <x:c r="F8627" s="0" t="s">
        <x:v>45</x:v>
      </x:c>
      <x:c r="G8627" s="0" t="s">
        <x:v>19</x:v>
      </x:c>
      <x:c r="H8627" s="0" t="s">
        <x:v>20</x:v>
      </x:c>
      <x:c r="I8627" s="0" t="s">
        <x:v>21</x:v>
      </x:c>
      <x:c r="K8627" s="0">
        <x:f>hyperlink("https://icd.who.int/dev11/l-ichi/en#/http%3A%2F%2Fid.who.int%2Ficd%2Fentity%2F1606519907","browser")</x:f>
      </x:c>
      <x:c r="L8627" s="0">
        <x:f>hyperlink("https://icat2.azurewebsites.net/icat/?ontology=ICD&amp;tab=ClassesTab&amp;id=http%3A%2F%2Fwho.int%2Ficd%23373_7005c14c_2656_4f4b_85a0_8e71c99be967","iCat")</x:f>
      </x:c>
      <x:c r="M8627" s="0" t="s">
        <x:v>21</x:v>
      </x:c>
      <x:c r="N8627" s="0" t="s">
        <x:v>46</x:v>
      </x:c>
    </x:row>
    <x:row r="8628" spans="1:16">
      <x:c r="A8628" s="0" t="s">
        <x:v>34375</x:v>
      </x:c>
      <x:c r="B8628" s="0" t="s">
        <x:v>34376</x:v>
      </x:c>
      <x:c r="C8628" s="0" t="s">
        <x:v>34377</x:v>
      </x:c>
      <x:c r="E8628" s="0" t="s">
        <x:v>34378</x:v>
      </x:c>
      <x:c r="F8628" s="0" t="s">
        <x:v>45</x:v>
      </x:c>
      <x:c r="G8628" s="0" t="s">
        <x:v>19</x:v>
      </x:c>
      <x:c r="H8628" s="0" t="s">
        <x:v>20</x:v>
      </x:c>
      <x:c r="I8628" s="0" t="s">
        <x:v>21</x:v>
      </x:c>
      <x:c r="K8628" s="0">
        <x:f>hyperlink("https://icd.who.int/dev11/l-ichi/en#/http%3A%2F%2Fid.who.int%2Ficd%2Fentity%2F1950146803","browser")</x:f>
      </x:c>
      <x:c r="L8628" s="0">
        <x:f>hyperlink("https://icat2.azurewebsites.net/icat/?ontology=ICD&amp;tab=ClassesTab&amp;id=http%3A%2F%2Fwho.int%2Ficd%23379_7005c14c_2656_4f4b_85a0_8e71c99be967","iCat")</x:f>
      </x:c>
      <x:c r="M8628" s="0" t="s">
        <x:v>21</x:v>
      </x:c>
      <x:c r="N8628" s="0" t="s">
        <x:v>46</x:v>
      </x:c>
    </x:row>
    <x:row r="8629" spans="1:16">
      <x:c r="A8629" s="0" t="s">
        <x:v>34379</x:v>
      </x:c>
      <x:c r="B8629" s="0" t="s">
        <x:v>34380</x:v>
      </x:c>
      <x:c r="C8629" s="0" t="s">
        <x:v>34381</x:v>
      </x:c>
      <x:c r="E8629" s="0" t="s">
        <x:v>34382</x:v>
      </x:c>
      <x:c r="F8629" s="0" t="s">
        <x:v>45</x:v>
      </x:c>
      <x:c r="G8629" s="0" t="s">
        <x:v>19</x:v>
      </x:c>
      <x:c r="H8629" s="0" t="s">
        <x:v>20</x:v>
      </x:c>
      <x:c r="I8629" s="0" t="s">
        <x:v>21</x:v>
      </x:c>
      <x:c r="K8629" s="0">
        <x:f>hyperlink("https://icd.who.int/dev11/l-ichi/en#/http%3A%2F%2Fid.who.int%2Ficd%2Fentity%2F542973708","browser")</x:f>
      </x:c>
      <x:c r="L8629" s="0">
        <x:f>hyperlink("https://icat2.azurewebsites.net/icat/?ontology=ICD&amp;tab=ClassesTab&amp;id=http%3A%2F%2Fwho.int%2Ficd%23385_7005c14c_2656_4f4b_85a0_8e71c99be967","iCat")</x:f>
      </x:c>
      <x:c r="M8629" s="0" t="s">
        <x:v>21</x:v>
      </x:c>
      <x:c r="N8629" s="0" t="s">
        <x:v>46</x:v>
      </x:c>
    </x:row>
    <x:row r="8630" spans="1:16">
      <x:c r="A8630" s="0" t="s">
        <x:v>34383</x:v>
      </x:c>
      <x:c r="B8630" s="0" t="s">
        <x:v>34384</x:v>
      </x:c>
      <x:c r="C8630" s="0" t="s">
        <x:v>34385</x:v>
      </x:c>
      <x:c r="E8630" s="0" t="s">
        <x:v>34386</x:v>
      </x:c>
      <x:c r="F8630" s="0" t="s">
        <x:v>45</x:v>
      </x:c>
      <x:c r="G8630" s="0" t="s">
        <x:v>19</x:v>
      </x:c>
      <x:c r="H8630" s="0" t="s">
        <x:v>20</x:v>
      </x:c>
      <x:c r="I8630" s="0" t="s">
        <x:v>21</x:v>
      </x:c>
      <x:c r="K8630" s="0">
        <x:f>hyperlink("https://icd.who.int/dev11/l-ichi/en#/http%3A%2F%2Fid.who.int%2Ficd%2Fentity%2F2141146671","browser")</x:f>
      </x:c>
      <x:c r="L8630" s="0">
        <x:f>hyperlink("https://icat2.azurewebsites.net/icat/?ontology=ICD&amp;tab=ClassesTab&amp;id=http%3A%2F%2Fwho.int%2Ficd%23391_7005c14c_2656_4f4b_85a0_8e71c99be967","iCat")</x:f>
      </x:c>
      <x:c r="M8630" s="0" t="s">
        <x:v>21</x:v>
      </x:c>
      <x:c r="N8630" s="0" t="s">
        <x:v>46</x:v>
      </x:c>
    </x:row>
    <x:row r="8631" spans="1:16">
      <x:c r="A8631" s="0" t="s">
        <x:v>34387</x:v>
      </x:c>
      <x:c r="B8631" s="0" t="s">
        <x:v>34388</x:v>
      </x:c>
      <x:c r="C8631" s="0" t="s">
        <x:v>34389</x:v>
      </x:c>
      <x:c r="E8631" s="0" t="s">
        <x:v>34390</x:v>
      </x:c>
      <x:c r="F8631" s="0" t="s">
        <x:v>45</x:v>
      </x:c>
      <x:c r="G8631" s="0" t="s">
        <x:v>19</x:v>
      </x:c>
      <x:c r="H8631" s="0" t="s">
        <x:v>20</x:v>
      </x:c>
      <x:c r="I8631" s="0" t="s">
        <x:v>21</x:v>
      </x:c>
      <x:c r="K8631" s="0">
        <x:f>hyperlink("https://icd.who.int/dev11/l-ichi/en#/http%3A%2F%2Fid.who.int%2Ficd%2Fentity%2F153589284","browser")</x:f>
      </x:c>
      <x:c r="L8631" s="0">
        <x:f>hyperlink("https://icat2.azurewebsites.net/icat/?ontology=ICD&amp;tab=ClassesTab&amp;id=http%3A%2F%2Fwho.int%2Ficd%2347860_512ebf36_bf6b_4d70_85da_cf2637062af4","iCat")</x:f>
      </x:c>
      <x:c r="M8631" s="0" t="s">
        <x:v>21</x:v>
      </x:c>
      <x:c r="N8631" s="0" t="s">
        <x:v>46</x:v>
      </x:c>
    </x:row>
    <x:row r="8632" spans="1:16">
      <x:c r="A8632" s="0" t="s">
        <x:v>34391</x:v>
      </x:c>
      <x:c r="B8632" s="0" t="s">
        <x:v>34392</x:v>
      </x:c>
      <x:c r="C8632" s="0" t="s">
        <x:v>34393</x:v>
      </x:c>
      <x:c r="E8632" s="0" t="s">
        <x:v>34394</x:v>
      </x:c>
      <x:c r="F8632" s="0" t="s">
        <x:v>45</x:v>
      </x:c>
      <x:c r="G8632" s="0" t="s">
        <x:v>19</x:v>
      </x:c>
      <x:c r="H8632" s="0" t="s">
        <x:v>20</x:v>
      </x:c>
      <x:c r="I8632" s="0" t="s">
        <x:v>21</x:v>
      </x:c>
      <x:c r="K8632" s="0">
        <x:f>hyperlink("https://icd.who.int/dev11/l-ichi/en#/http%3A%2F%2Fid.who.int%2Ficd%2Fentity%2F2040872361","browser")</x:f>
      </x:c>
      <x:c r="L8632" s="0">
        <x:f>hyperlink("https://icat2.azurewebsites.net/icat/?ontology=ICD&amp;tab=ClassesTab&amp;id=http%3A%2F%2Fwho.int%2Ficd%2347867_512ebf36_bf6b_4d70_85da_cf2637062af4","iCat")</x:f>
      </x:c>
      <x:c r="M8632" s="0" t="s">
        <x:v>21</x:v>
      </x:c>
      <x:c r="N8632" s="0" t="s">
        <x:v>46</x:v>
      </x:c>
    </x:row>
    <x:row r="8633" spans="1:16">
      <x:c r="A8633" s="0" t="s">
        <x:v>34395</x:v>
      </x:c>
      <x:c r="B8633" s="0" t="s">
        <x:v>34396</x:v>
      </x:c>
      <x:c r="C8633" s="0" t="s">
        <x:v>34397</x:v>
      </x:c>
      <x:c r="E8633" s="0" t="s">
        <x:v>34398</x:v>
      </x:c>
      <x:c r="F8633" s="0" t="s">
        <x:v>45</x:v>
      </x:c>
      <x:c r="G8633" s="0" t="s">
        <x:v>19</x:v>
      </x:c>
      <x:c r="H8633" s="0" t="s">
        <x:v>20</x:v>
      </x:c>
      <x:c r="I8633" s="0" t="s">
        <x:v>21</x:v>
      </x:c>
      <x:c r="K8633" s="0">
        <x:f>hyperlink("https://icd.who.int/dev11/l-ichi/en#/http%3A%2F%2Fid.who.int%2Ficd%2Fentity%2F1457899271","browser")</x:f>
      </x:c>
      <x:c r="L8633" s="0">
        <x:f>hyperlink("https://icat2.azurewebsites.net/icat/?ontology=ICD&amp;tab=ClassesTab&amp;id=http%3A%2F%2Fwho.int%2Ficd%2347874_512ebf36_bf6b_4d70_85da_cf2637062af4","iCat")</x:f>
      </x:c>
      <x:c r="M8633" s="0" t="s">
        <x:v>21</x:v>
      </x:c>
      <x:c r="N8633" s="0" t="s">
        <x:v>46</x:v>
      </x:c>
    </x:row>
    <x:row r="8634" spans="1:16">
      <x:c r="A8634" s="0" t="s">
        <x:v>34399</x:v>
      </x:c>
      <x:c r="B8634" s="0" t="s">
        <x:v>34400</x:v>
      </x:c>
      <x:c r="C8634" s="0" t="s">
        <x:v>34401</x:v>
      </x:c>
      <x:c r="E8634" s="0" t="s">
        <x:v>34402</x:v>
      </x:c>
      <x:c r="F8634" s="0" t="s">
        <x:v>45</x:v>
      </x:c>
      <x:c r="G8634" s="0" t="s">
        <x:v>19</x:v>
      </x:c>
      <x:c r="H8634" s="0" t="s">
        <x:v>20</x:v>
      </x:c>
      <x:c r="I8634" s="0" t="s">
        <x:v>21</x:v>
      </x:c>
      <x:c r="K8634" s="0">
        <x:f>hyperlink("https://icd.who.int/dev11/l-ichi/en#/http%3A%2F%2Fid.who.int%2Ficd%2Fentity%2F824065916","browser")</x:f>
      </x:c>
      <x:c r="L8634" s="0">
        <x:f>hyperlink("https://icat2.azurewebsites.net/icat/?ontology=ICD&amp;tab=ClassesTab&amp;id=http%3A%2F%2Fwho.int%2Ficd%23399_7005c14c_2656_4f4b_85a0_8e71c99be967","iCat")</x:f>
      </x:c>
      <x:c r="M8634" s="0" t="s">
        <x:v>21</x:v>
      </x:c>
      <x:c r="N8634" s="0" t="s">
        <x:v>46</x:v>
      </x:c>
    </x:row>
    <x:row r="8635" spans="1:16">
      <x:c r="A8635" s="0" t="s">
        <x:v>34403</x:v>
      </x:c>
      <x:c r="B8635" s="0" t="s">
        <x:v>34404</x:v>
      </x:c>
      <x:c r="C8635" s="0" t="s">
        <x:v>34405</x:v>
      </x:c>
      <x:c r="E8635" s="0" t="s">
        <x:v>34406</x:v>
      </x:c>
      <x:c r="F8635" s="0" t="s">
        <x:v>45</x:v>
      </x:c>
      <x:c r="G8635" s="0" t="s">
        <x:v>19</x:v>
      </x:c>
      <x:c r="H8635" s="0" t="s">
        <x:v>20</x:v>
      </x:c>
      <x:c r="I8635" s="0" t="s">
        <x:v>21</x:v>
      </x:c>
      <x:c r="K8635" s="0">
        <x:f>hyperlink("https://icd.who.int/dev11/l-ichi/en#/http%3A%2F%2Fid.who.int%2Ficd%2Fentity%2F1396567716","browser")</x:f>
      </x:c>
      <x:c r="L8635" s="0">
        <x:f>hyperlink("https://icat2.azurewebsites.net/icat/?ontology=ICD&amp;tab=ClassesTab&amp;id=http%3A%2F%2Fwho.int%2Ficd%23405_7005c14c_2656_4f4b_85a0_8e71c99be967","iCat")</x:f>
      </x:c>
      <x:c r="M8635" s="0" t="s">
        <x:v>21</x:v>
      </x:c>
      <x:c r="N8635" s="0" t="s">
        <x:v>46</x:v>
      </x:c>
    </x:row>
    <x:row r="8636" spans="1:16">
      <x:c r="A8636" s="0" t="s">
        <x:v>34407</x:v>
      </x:c>
      <x:c r="B8636" s="0" t="s">
        <x:v>34408</x:v>
      </x:c>
      <x:c r="C8636" s="0" t="s">
        <x:v>34409</x:v>
      </x:c>
      <x:c r="E8636" s="0" t="s">
        <x:v>34410</x:v>
      </x:c>
      <x:c r="F8636" s="0" t="s">
        <x:v>45</x:v>
      </x:c>
      <x:c r="G8636" s="0" t="s">
        <x:v>19</x:v>
      </x:c>
      <x:c r="H8636" s="0" t="s">
        <x:v>20</x:v>
      </x:c>
      <x:c r="I8636" s="0" t="s">
        <x:v>21</x:v>
      </x:c>
      <x:c r="K8636" s="0">
        <x:f>hyperlink("https://icd.who.int/dev11/l-ichi/en#/http%3A%2F%2Fid.who.int%2Ficd%2Fentity%2F218087303","browser")</x:f>
      </x:c>
      <x:c r="L8636" s="0">
        <x:f>hyperlink("https://icat2.azurewebsites.net/icat/?ontology=ICD&amp;tab=ClassesTab&amp;id=http%3A%2F%2Fwho.int%2Ficd%23411_7005c14c_2656_4f4b_85a0_8e71c99be967","iCat")</x:f>
      </x:c>
      <x:c r="M8636" s="0" t="s">
        <x:v>21</x:v>
      </x:c>
      <x:c r="N8636" s="0" t="s">
        <x:v>46</x:v>
      </x:c>
    </x:row>
    <x:row r="8637" spans="1:16">
      <x:c r="A8637" s="0" t="s">
        <x:v>34411</x:v>
      </x:c>
      <x:c r="B8637" s="0" t="s">
        <x:v>34412</x:v>
      </x:c>
      <x:c r="C8637" s="0" t="s">
        <x:v>34413</x:v>
      </x:c>
      <x:c r="E8637" s="0" t="s">
        <x:v>34414</x:v>
      </x:c>
      <x:c r="F8637" s="0" t="s">
        <x:v>45</x:v>
      </x:c>
      <x:c r="G8637" s="0" t="s">
        <x:v>19</x:v>
      </x:c>
      <x:c r="H8637" s="0" t="s">
        <x:v>20</x:v>
      </x:c>
      <x:c r="I8637" s="0" t="s">
        <x:v>21</x:v>
      </x:c>
      <x:c r="K8637" s="0">
        <x:f>hyperlink("https://icd.who.int/dev11/l-ichi/en#/http%3A%2F%2Fid.who.int%2Ficd%2Fentity%2F691200581","browser")</x:f>
      </x:c>
      <x:c r="L8637" s="0">
        <x:f>hyperlink("https://icat2.azurewebsites.net/icat/?ontology=ICD&amp;tab=ClassesTab&amp;id=http%3A%2F%2Fwho.int%2Ficd%23423_7005c14c_2656_4f4b_85a0_8e71c99be967","iCat")</x:f>
      </x:c>
      <x:c r="M8637" s="0" t="s">
        <x:v>21</x:v>
      </x:c>
      <x:c r="N8637" s="0" t="s">
        <x:v>46</x:v>
      </x:c>
    </x:row>
    <x:row r="8638" spans="1:16">
      <x:c r="A8638" s="0" t="s">
        <x:v>34415</x:v>
      </x:c>
      <x:c r="B8638" s="0" t="s">
        <x:v>34416</x:v>
      </x:c>
      <x:c r="C8638" s="0" t="s">
        <x:v>34417</x:v>
      </x:c>
      <x:c r="E8638" s="0" t="s">
        <x:v>34418</x:v>
      </x:c>
      <x:c r="F8638" s="0" t="s">
        <x:v>45</x:v>
      </x:c>
      <x:c r="G8638" s="0" t="s">
        <x:v>19</x:v>
      </x:c>
      <x:c r="H8638" s="0" t="s">
        <x:v>20</x:v>
      </x:c>
      <x:c r="I8638" s="0" t="s">
        <x:v>21</x:v>
      </x:c>
      <x:c r="K8638" s="0">
        <x:f>hyperlink("https://icd.who.int/dev11/l-ichi/en#/http%3A%2F%2Fid.who.int%2Ficd%2Fentity%2F47156949","browser")</x:f>
      </x:c>
      <x:c r="L8638" s="0">
        <x:f>hyperlink("https://icat2.azurewebsites.net/icat/?ontology=ICD&amp;tab=ClassesTab&amp;id=http%3A%2F%2Fwho.int%2Ficd%23429_7005c14c_2656_4f4b_85a0_8e71c99be967","iCat")</x:f>
      </x:c>
      <x:c r="M8638" s="0" t="s">
        <x:v>21</x:v>
      </x:c>
      <x:c r="N8638" s="0" t="s">
        <x:v>46</x:v>
      </x:c>
    </x:row>
    <x:row r="8639" spans="1:16">
      <x:c r="A8639" s="0" t="s">
        <x:v>34419</x:v>
      </x:c>
      <x:c r="B8639" s="0" t="s">
        <x:v>34420</x:v>
      </x:c>
      <x:c r="C8639" s="0" t="s">
        <x:v>34421</x:v>
      </x:c>
      <x:c r="E8639" s="0" t="s">
        <x:v>34422</x:v>
      </x:c>
      <x:c r="F8639" s="0" t="s">
        <x:v>45</x:v>
      </x:c>
      <x:c r="G8639" s="0" t="s">
        <x:v>19</x:v>
      </x:c>
      <x:c r="H8639" s="0" t="s">
        <x:v>20</x:v>
      </x:c>
      <x:c r="I8639" s="0" t="s">
        <x:v>21</x:v>
      </x:c>
      <x:c r="K8639" s="0">
        <x:f>hyperlink("https://icd.who.int/dev11/l-ichi/en#/http%3A%2F%2Fid.who.int%2Ficd%2Fentity%2F327986851","browser")</x:f>
      </x:c>
      <x:c r="L8639" s="0">
        <x:f>hyperlink("https://icat2.azurewebsites.net/icat/?ontology=ICD&amp;tab=ClassesTab&amp;id=http%3A%2F%2Fwho.int%2Ficd%23435_7005c14c_2656_4f4b_85a0_8e71c99be967","iCat")</x:f>
      </x:c>
      <x:c r="M8639" s="0" t="s">
        <x:v>21</x:v>
      </x:c>
      <x:c r="N8639" s="0" t="s">
        <x:v>46</x:v>
      </x:c>
    </x:row>
    <x:row r="8640" spans="1:16">
      <x:c r="A8640" s="0" t="s">
        <x:v>34423</x:v>
      </x:c>
      <x:c r="B8640" s="0" t="s">
        <x:v>34424</x:v>
      </x:c>
      <x:c r="C8640" s="0" t="s">
        <x:v>34425</x:v>
      </x:c>
      <x:c r="E8640" s="0" t="s">
        <x:v>34426</x:v>
      </x:c>
      <x:c r="F8640" s="0" t="s">
        <x:v>45</x:v>
      </x:c>
      <x:c r="G8640" s="0" t="s">
        <x:v>19</x:v>
      </x:c>
      <x:c r="H8640" s="0" t="s">
        <x:v>20</x:v>
      </x:c>
      <x:c r="I8640" s="0" t="s">
        <x:v>21</x:v>
      </x:c>
      <x:c r="K8640" s="0">
        <x:f>hyperlink("https://icd.who.int/dev11/l-ichi/en#/http%3A%2F%2Fid.who.int%2Ficd%2Fentity%2F375224781","browser")</x:f>
      </x:c>
      <x:c r="L8640" s="0">
        <x:f>hyperlink("https://icat2.azurewebsites.net/icat/?ontology=ICD&amp;tab=ClassesTab&amp;id=http%3A%2F%2Fwho.int%2Ficd%23441_7005c14c_2656_4f4b_85a0_8e71c99be967","iCat")</x:f>
      </x:c>
      <x:c r="M8640" s="0" t="s">
        <x:v>21</x:v>
      </x:c>
      <x:c r="N8640" s="0" t="s">
        <x:v>46</x:v>
      </x:c>
    </x:row>
    <x:row r="8641" spans="1:16">
      <x:c r="A8641" s="0" t="s">
        <x:v>34427</x:v>
      </x:c>
      <x:c r="B8641" s="0" t="s">
        <x:v>34428</x:v>
      </x:c>
      <x:c r="C8641" s="0" t="s">
        <x:v>34429</x:v>
      </x:c>
      <x:c r="E8641" s="0" t="s">
        <x:v>34430</x:v>
      </x:c>
      <x:c r="F8641" s="0" t="s">
        <x:v>45</x:v>
      </x:c>
      <x:c r="G8641" s="0" t="s">
        <x:v>19</x:v>
      </x:c>
      <x:c r="H8641" s="0" t="s">
        <x:v>20</x:v>
      </x:c>
      <x:c r="I8641" s="0" t="s">
        <x:v>21</x:v>
      </x:c>
      <x:c r="K8641" s="0">
        <x:f>hyperlink("https://icd.who.int/dev11/l-ichi/en#/http%3A%2F%2Fid.who.int%2Ficd%2Fentity%2F1176936572","browser")</x:f>
      </x:c>
      <x:c r="L8641" s="0">
        <x:f>hyperlink("https://icat2.azurewebsites.net/icat/?ontology=ICD&amp;tab=ClassesTab&amp;id=http%3A%2F%2Fwho.int%2Ficd%23447_7005c14c_2656_4f4b_85a0_8e71c99be967","iCat")</x:f>
      </x:c>
      <x:c r="M8641" s="0" t="s">
        <x:v>21</x:v>
      </x:c>
      <x:c r="N8641" s="0" t="s">
        <x:v>46</x:v>
      </x:c>
    </x:row>
    <x:row r="8642" spans="1:16">
      <x:c r="A8642" s="0" t="s">
        <x:v>34431</x:v>
      </x:c>
      <x:c r="B8642" s="0" t="s">
        <x:v>34432</x:v>
      </x:c>
      <x:c r="C8642" s="0" t="s">
        <x:v>34433</x:v>
      </x:c>
      <x:c r="E8642" s="0" t="s">
        <x:v>34434</x:v>
      </x:c>
      <x:c r="F8642" s="0" t="s">
        <x:v>45</x:v>
      </x:c>
      <x:c r="G8642" s="0" t="s">
        <x:v>19</x:v>
      </x:c>
      <x:c r="H8642" s="0" t="s">
        <x:v>20</x:v>
      </x:c>
      <x:c r="I8642" s="0" t="s">
        <x:v>21</x:v>
      </x:c>
      <x:c r="K8642" s="0">
        <x:f>hyperlink("https://icd.who.int/dev11/l-ichi/en#/http%3A%2F%2Fid.who.int%2Ficd%2Fentity%2F434434399","browser")</x:f>
      </x:c>
      <x:c r="L8642" s="0">
        <x:f>hyperlink("https://icat2.azurewebsites.net/icat/?ontology=ICD&amp;tab=ClassesTab&amp;id=http%3A%2F%2Fwho.int%2Ficd%23453_7005c14c_2656_4f4b_85a0_8e71c99be967","iCat")</x:f>
      </x:c>
      <x:c r="M8642" s="0" t="s">
        <x:v>21</x:v>
      </x:c>
      <x:c r="N8642" s="0" t="s">
        <x:v>46</x:v>
      </x:c>
    </x:row>
    <x:row r="8643" spans="1:16">
      <x:c r="A8643" s="0" t="s">
        <x:v>34435</x:v>
      </x:c>
      <x:c r="B8643" s="0" t="s">
        <x:v>34436</x:v>
      </x:c>
      <x:c r="C8643" s="0" t="s">
        <x:v>34437</x:v>
      </x:c>
      <x:c r="E8643" s="0" t="s">
        <x:v>34438</x:v>
      </x:c>
      <x:c r="F8643" s="0" t="s">
        <x:v>45</x:v>
      </x:c>
      <x:c r="G8643" s="0" t="s">
        <x:v>19</x:v>
      </x:c>
      <x:c r="H8643" s="0" t="s">
        <x:v>20</x:v>
      </x:c>
      <x:c r="I8643" s="0" t="s">
        <x:v>21</x:v>
      </x:c>
      <x:c r="K8643" s="0">
        <x:f>hyperlink("https://icd.who.int/dev11/l-ichi/en#/http%3A%2F%2Fid.who.int%2Ficd%2Fentity%2F840539599","browser")</x:f>
      </x:c>
      <x:c r="L8643" s="0">
        <x:f>hyperlink("https://icat2.azurewebsites.net/icat/?ontology=ICD&amp;tab=ClassesTab&amp;id=http%3A%2F%2Fwho.int%2Ficd%23459_7005c14c_2656_4f4b_85a0_8e71c99be967","iCat")</x:f>
      </x:c>
      <x:c r="M8643" s="0" t="s">
        <x:v>21</x:v>
      </x:c>
      <x:c r="N8643" s="0" t="s">
        <x:v>46</x:v>
      </x:c>
    </x:row>
    <x:row r="8644" spans="1:16">
      <x:c r="A8644" s="0" t="s">
        <x:v>34439</x:v>
      </x:c>
      <x:c r="B8644" s="0" t="s">
        <x:v>34440</x:v>
      </x:c>
      <x:c r="C8644" s="0" t="s">
        <x:v>34441</x:v>
      </x:c>
      <x:c r="E8644" s="0" t="s">
        <x:v>34442</x:v>
      </x:c>
      <x:c r="F8644" s="0" t="s">
        <x:v>45</x:v>
      </x:c>
      <x:c r="G8644" s="0" t="s">
        <x:v>19</x:v>
      </x:c>
      <x:c r="H8644" s="0" t="s">
        <x:v>20</x:v>
      </x:c>
      <x:c r="I8644" s="0" t="s">
        <x:v>21</x:v>
      </x:c>
      <x:c r="K8644" s="0">
        <x:f>hyperlink("https://icd.who.int/dev11/l-ichi/en#/http%3A%2F%2Fid.who.int%2Ficd%2Fentity%2F154036457","browser")</x:f>
      </x:c>
      <x:c r="L8644" s="0">
        <x:f>hyperlink("https://icat2.azurewebsites.net/icat/?ontology=ICD&amp;tab=ClassesTab&amp;id=http%3A%2F%2Fwho.int%2Ficd%23465_7005c14c_2656_4f4b_85a0_8e71c99be967","iCat")</x:f>
      </x:c>
      <x:c r="M8644" s="0" t="s">
        <x:v>21</x:v>
      </x:c>
      <x:c r="N8644" s="0" t="s">
        <x:v>46</x:v>
      </x:c>
    </x:row>
    <x:row r="8645" spans="1:16">
      <x:c r="A8645" s="0" t="s">
        <x:v>34443</x:v>
      </x:c>
      <x:c r="B8645" s="0" t="s">
        <x:v>34444</x:v>
      </x:c>
      <x:c r="C8645" s="0" t="s">
        <x:v>34445</x:v>
      </x:c>
      <x:c r="E8645" s="0" t="s">
        <x:v>34446</x:v>
      </x:c>
      <x:c r="F8645" s="0" t="s">
        <x:v>45</x:v>
      </x:c>
      <x:c r="G8645" s="0" t="s">
        <x:v>19</x:v>
      </x:c>
      <x:c r="H8645" s="0" t="s">
        <x:v>20</x:v>
      </x:c>
      <x:c r="I8645" s="0" t="s">
        <x:v>21</x:v>
      </x:c>
      <x:c r="K8645" s="0">
        <x:f>hyperlink("https://icd.who.int/dev11/l-ichi/en#/http%3A%2F%2Fid.who.int%2Ficd%2Fentity%2F1828469649","browser")</x:f>
      </x:c>
      <x:c r="L8645" s="0">
        <x:f>hyperlink("https://icat2.azurewebsites.net/icat/?ontology=ICD&amp;tab=ClassesTab&amp;id=http%3A%2F%2Fwho.int%2Ficd%2347881_512ebf36_bf6b_4d70_85da_cf2637062af4","iCat")</x:f>
      </x:c>
      <x:c r="M8645" s="0" t="s">
        <x:v>21</x:v>
      </x:c>
      <x:c r="N8645" s="0" t="s">
        <x:v>46</x:v>
      </x:c>
    </x:row>
    <x:row r="8646" spans="1:16">
      <x:c r="A8646" s="0" t="s">
        <x:v>34447</x:v>
      </x:c>
      <x:c r="B8646" s="0" t="s">
        <x:v>34448</x:v>
      </x:c>
      <x:c r="C8646" s="0" t="s">
        <x:v>34449</x:v>
      </x:c>
      <x:c r="E8646" s="0" t="s">
        <x:v>34450</x:v>
      </x:c>
      <x:c r="F8646" s="0" t="s">
        <x:v>45</x:v>
      </x:c>
      <x:c r="G8646" s="0" t="s">
        <x:v>19</x:v>
      </x:c>
      <x:c r="H8646" s="0" t="s">
        <x:v>20</x:v>
      </x:c>
      <x:c r="I8646" s="0" t="s">
        <x:v>21</x:v>
      </x:c>
      <x:c r="K8646" s="0">
        <x:f>hyperlink("https://icd.who.int/dev11/l-ichi/en#/http%3A%2F%2Fid.who.int%2Ficd%2Fentity%2F42219768","browser")</x:f>
      </x:c>
      <x:c r="L8646" s="0">
        <x:f>hyperlink("https://icat2.azurewebsites.net/icat/?ontology=ICD&amp;tab=ClassesTab&amp;id=http%3A%2F%2Fwho.int%2Ficd%2347888_512ebf36_bf6b_4d70_85da_cf2637062af4","iCat")</x:f>
      </x:c>
      <x:c r="M8646" s="0" t="s">
        <x:v>21</x:v>
      </x:c>
      <x:c r="N8646" s="0" t="s">
        <x:v>46</x:v>
      </x:c>
    </x:row>
    <x:row r="8647" spans="1:16">
      <x:c r="A8647" s="0" t="s">
        <x:v>34451</x:v>
      </x:c>
      <x:c r="B8647" s="0" t="s">
        <x:v>34452</x:v>
      </x:c>
      <x:c r="C8647" s="0" t="s">
        <x:v>34453</x:v>
      </x:c>
      <x:c r="E8647" s="0" t="s">
        <x:v>34454</x:v>
      </x:c>
      <x:c r="F8647" s="0" t="s">
        <x:v>45</x:v>
      </x:c>
      <x:c r="G8647" s="0" t="s">
        <x:v>19</x:v>
      </x:c>
      <x:c r="H8647" s="0" t="s">
        <x:v>20</x:v>
      </x:c>
      <x:c r="I8647" s="0" t="s">
        <x:v>21</x:v>
      </x:c>
      <x:c r="K8647" s="0">
        <x:f>hyperlink("https://icd.who.int/dev11/l-ichi/en#/http%3A%2F%2Fid.who.int%2Ficd%2Fentity%2F859728562","browser")</x:f>
      </x:c>
      <x:c r="L8647" s="0">
        <x:f>hyperlink("https://icat2.azurewebsites.net/icat/?ontology=ICD&amp;tab=ClassesTab&amp;id=http%3A%2F%2Fwho.int%2Ficd%2347895_512ebf36_bf6b_4d70_85da_cf2637062af4","iCat")</x:f>
      </x:c>
      <x:c r="M8647" s="0" t="s">
        <x:v>21</x:v>
      </x:c>
      <x:c r="N8647" s="0" t="s">
        <x:v>46</x:v>
      </x:c>
    </x:row>
    <x:row r="8648" spans="1:16">
      <x:c r="A8648" s="0" t="s">
        <x:v>34455</x:v>
      </x:c>
      <x:c r="B8648" s="0" t="s">
        <x:v>34456</x:v>
      </x:c>
      <x:c r="C8648" s="0" t="s">
        <x:v>34457</x:v>
      </x:c>
      <x:c r="E8648" s="0" t="s">
        <x:v>34458</x:v>
      </x:c>
      <x:c r="F8648" s="0" t="s">
        <x:v>45</x:v>
      </x:c>
      <x:c r="G8648" s="0" t="s">
        <x:v>19</x:v>
      </x:c>
      <x:c r="H8648" s="0" t="s">
        <x:v>20</x:v>
      </x:c>
      <x:c r="I8648" s="0" t="s">
        <x:v>21</x:v>
      </x:c>
      <x:c r="K8648" s="0">
        <x:f>hyperlink("https://icd.who.int/dev11/l-ichi/en#/http%3A%2F%2Fid.who.int%2Ficd%2Fentity%2F865084431","browser")</x:f>
      </x:c>
      <x:c r="L8648" s="0">
        <x:f>hyperlink("https://icat2.azurewebsites.net/icat/?ontology=ICD&amp;tab=ClassesTab&amp;id=http%3A%2F%2Fwho.int%2Ficd%23473_7005c14c_2656_4f4b_85a0_8e71c99be967","iCat")</x:f>
      </x:c>
      <x:c r="M8648" s="0" t="s">
        <x:v>21</x:v>
      </x:c>
      <x:c r="N8648" s="0" t="s">
        <x:v>46</x:v>
      </x:c>
    </x:row>
    <x:row r="8649" spans="1:16">
      <x:c r="A8649" s="0" t="s">
        <x:v>34459</x:v>
      </x:c>
      <x:c r="B8649" s="0" t="s">
        <x:v>34460</x:v>
      </x:c>
      <x:c r="C8649" s="0" t="s">
        <x:v>34461</x:v>
      </x:c>
      <x:c r="E8649" s="0" t="s">
        <x:v>34462</x:v>
      </x:c>
      <x:c r="F8649" s="0" t="s">
        <x:v>45</x:v>
      </x:c>
      <x:c r="G8649" s="0" t="s">
        <x:v>19</x:v>
      </x:c>
      <x:c r="H8649" s="0" t="s">
        <x:v>20</x:v>
      </x:c>
      <x:c r="I8649" s="0" t="s">
        <x:v>21</x:v>
      </x:c>
      <x:c r="K8649" s="0">
        <x:f>hyperlink("https://icd.who.int/dev11/l-ichi/en#/http%3A%2F%2Fid.who.int%2Ficd%2Fentity%2F409815199","browser")</x:f>
      </x:c>
      <x:c r="L8649" s="0">
        <x:f>hyperlink("https://icat2.azurewebsites.net/icat/?ontology=ICD&amp;tab=ClassesTab&amp;id=http%3A%2F%2Fwho.int%2Ficd%23479_7005c14c_2656_4f4b_85a0_8e71c99be967","iCat")</x:f>
      </x:c>
      <x:c r="M8649" s="0" t="s">
        <x:v>21</x:v>
      </x:c>
      <x:c r="N8649" s="0" t="s">
        <x:v>46</x:v>
      </x:c>
    </x:row>
    <x:row r="8650" spans="1:16">
      <x:c r="A8650" s="0" t="s">
        <x:v>34463</x:v>
      </x:c>
      <x:c r="B8650" s="0" t="s">
        <x:v>34464</x:v>
      </x:c>
      <x:c r="C8650" s="0" t="s">
        <x:v>34465</x:v>
      </x:c>
      <x:c r="E8650" s="0" t="s">
        <x:v>34466</x:v>
      </x:c>
      <x:c r="F8650" s="0" t="s">
        <x:v>45</x:v>
      </x:c>
      <x:c r="G8650" s="0" t="s">
        <x:v>19</x:v>
      </x:c>
      <x:c r="H8650" s="0" t="s">
        <x:v>20</x:v>
      </x:c>
      <x:c r="I8650" s="0" t="s">
        <x:v>21</x:v>
      </x:c>
      <x:c r="K8650" s="0">
        <x:f>hyperlink("https://icd.who.int/dev11/l-ichi/en#/http%3A%2F%2Fid.who.int%2Ficd%2Fentity%2F332326467","browser")</x:f>
      </x:c>
      <x:c r="L8650" s="0">
        <x:f>hyperlink("https://icat2.azurewebsites.net/icat/?ontology=ICD&amp;tab=ClassesTab&amp;id=http%3A%2F%2Fwho.int%2Ficd%23491_7005c14c_2656_4f4b_85a0_8e71c99be967","iCat")</x:f>
      </x:c>
      <x:c r="M8650" s="0" t="s">
        <x:v>21</x:v>
      </x:c>
      <x:c r="N8650" s="0" t="s">
        <x:v>46</x:v>
      </x:c>
    </x:row>
    <x:row r="8651" spans="1:16">
      <x:c r="A8651" s="0" t="s">
        <x:v>34467</x:v>
      </x:c>
      <x:c r="B8651" s="0" t="s">
        <x:v>34468</x:v>
      </x:c>
      <x:c r="C8651" s="0" t="s">
        <x:v>34469</x:v>
      </x:c>
      <x:c r="E8651" s="0" t="s">
        <x:v>34470</x:v>
      </x:c>
      <x:c r="F8651" s="0" t="s">
        <x:v>45</x:v>
      </x:c>
      <x:c r="G8651" s="0" t="s">
        <x:v>19</x:v>
      </x:c>
      <x:c r="H8651" s="0" t="s">
        <x:v>20</x:v>
      </x:c>
      <x:c r="I8651" s="0" t="s">
        <x:v>21</x:v>
      </x:c>
      <x:c r="K8651" s="0">
        <x:f>hyperlink("https://icd.who.int/dev11/l-ichi/en#/http%3A%2F%2Fid.who.int%2Ficd%2Fentity%2F1135951860","browser")</x:f>
      </x:c>
      <x:c r="L8651" s="0">
        <x:f>hyperlink("https://icat2.azurewebsites.net/icat/?ontology=ICD&amp;tab=ClassesTab&amp;id=http%3A%2F%2Fwho.int%2Ficd%23497_7005c14c_2656_4f4b_85a0_8e71c99be967","iCat")</x:f>
      </x:c>
      <x:c r="M8651" s="0" t="s">
        <x:v>21</x:v>
      </x:c>
      <x:c r="N8651" s="0" t="s">
        <x:v>46</x:v>
      </x:c>
    </x:row>
    <x:row r="8652" spans="1:16">
      <x:c r="A8652" s="0" t="s">
        <x:v>34471</x:v>
      </x:c>
      <x:c r="B8652" s="0" t="s">
        <x:v>34472</x:v>
      </x:c>
      <x:c r="C8652" s="0" t="s">
        <x:v>34473</x:v>
      </x:c>
      <x:c r="E8652" s="0" t="s">
        <x:v>34474</x:v>
      </x:c>
      <x:c r="F8652" s="0" t="s">
        <x:v>45</x:v>
      </x:c>
      <x:c r="G8652" s="0" t="s">
        <x:v>19</x:v>
      </x:c>
      <x:c r="H8652" s="0" t="s">
        <x:v>20</x:v>
      </x:c>
      <x:c r="I8652" s="0" t="s">
        <x:v>21</x:v>
      </x:c>
      <x:c r="K8652" s="0">
        <x:f>hyperlink("https://icd.who.int/dev11/l-ichi/en#/http%3A%2F%2Fid.who.int%2Ficd%2Fentity%2F1993994634","browser")</x:f>
      </x:c>
      <x:c r="L8652" s="0">
        <x:f>hyperlink("https://icat2.azurewebsites.net/icat/?ontology=ICD&amp;tab=ClassesTab&amp;id=http%3A%2F%2Fwho.int%2Ficd%23503_7005c14c_2656_4f4b_85a0_8e71c99be967","iCat")</x:f>
      </x:c>
      <x:c r="M8652" s="0" t="s">
        <x:v>21</x:v>
      </x:c>
      <x:c r="N8652" s="0" t="s">
        <x:v>46</x:v>
      </x:c>
    </x:row>
    <x:row r="8653" spans="1:16">
      <x:c r="A8653" s="0" t="s">
        <x:v>34475</x:v>
      </x:c>
      <x:c r="B8653" s="0" t="s">
        <x:v>34476</x:v>
      </x:c>
      <x:c r="C8653" s="0" t="s">
        <x:v>34477</x:v>
      </x:c>
      <x:c r="E8653" s="0" t="s">
        <x:v>34478</x:v>
      </x:c>
      <x:c r="F8653" s="0" t="s">
        <x:v>45</x:v>
      </x:c>
      <x:c r="G8653" s="0" t="s">
        <x:v>19</x:v>
      </x:c>
      <x:c r="H8653" s="0" t="s">
        <x:v>20</x:v>
      </x:c>
      <x:c r="I8653" s="0" t="s">
        <x:v>21</x:v>
      </x:c>
      <x:c r="K8653" s="0">
        <x:f>hyperlink("https://icd.who.int/dev11/l-ichi/en#/http%3A%2F%2Fid.who.int%2Ficd%2Fentity%2F1562680602","browser")</x:f>
      </x:c>
      <x:c r="L8653" s="0">
        <x:f>hyperlink("https://icat2.azurewebsites.net/icat/?ontology=ICD&amp;tab=ClassesTab&amp;id=http%3A%2F%2Fwho.int%2Ficd%23509_7005c14c_2656_4f4b_85a0_8e71c99be967","iCat")</x:f>
      </x:c>
      <x:c r="M8653" s="0" t="s">
        <x:v>21</x:v>
      </x:c>
      <x:c r="N8653" s="0" t="s">
        <x:v>46</x:v>
      </x:c>
    </x:row>
    <x:row r="8654" spans="1:16">
      <x:c r="A8654" s="0" t="s">
        <x:v>34479</x:v>
      </x:c>
      <x:c r="B8654" s="0" t="s">
        <x:v>34480</x:v>
      </x:c>
      <x:c r="C8654" s="0" t="s">
        <x:v>34481</x:v>
      </x:c>
      <x:c r="E8654" s="0" t="s">
        <x:v>34482</x:v>
      </x:c>
      <x:c r="F8654" s="0" t="s">
        <x:v>45</x:v>
      </x:c>
      <x:c r="G8654" s="0" t="s">
        <x:v>19</x:v>
      </x:c>
      <x:c r="H8654" s="0" t="s">
        <x:v>20</x:v>
      </x:c>
      <x:c r="I8654" s="0" t="s">
        <x:v>21</x:v>
      </x:c>
      <x:c r="K8654" s="0">
        <x:f>hyperlink("https://icd.who.int/dev11/l-ichi/en#/http%3A%2F%2Fid.who.int%2Ficd%2Fentity%2F1281867118","browser")</x:f>
      </x:c>
      <x:c r="L8654" s="0">
        <x:f>hyperlink("https://icat2.azurewebsites.net/icat/?ontology=ICD&amp;tab=ClassesTab&amp;id=http%3A%2F%2Fwho.int%2Ficd%23515_7005c14c_2656_4f4b_85a0_8e71c99be967","iCat")</x:f>
      </x:c>
      <x:c r="M8654" s="0" t="s">
        <x:v>21</x:v>
      </x:c>
      <x:c r="N8654" s="0" t="s">
        <x:v>46</x:v>
      </x:c>
    </x:row>
    <x:row r="8655" spans="1:16">
      <x:c r="A8655" s="0" t="s">
        <x:v>34483</x:v>
      </x:c>
      <x:c r="B8655" s="0" t="s">
        <x:v>34484</x:v>
      </x:c>
      <x:c r="C8655" s="0" t="s">
        <x:v>34485</x:v>
      </x:c>
      <x:c r="E8655" s="0" t="s">
        <x:v>34486</x:v>
      </x:c>
      <x:c r="F8655" s="0" t="s">
        <x:v>45</x:v>
      </x:c>
      <x:c r="G8655" s="0" t="s">
        <x:v>19</x:v>
      </x:c>
      <x:c r="H8655" s="0" t="s">
        <x:v>20</x:v>
      </x:c>
      <x:c r="I8655" s="0" t="s">
        <x:v>21</x:v>
      </x:c>
      <x:c r="K8655" s="0">
        <x:f>hyperlink("https://icd.who.int/dev11/l-ichi/en#/http%3A%2F%2Fid.who.int%2Ficd%2Fentity%2F970012957","browser")</x:f>
      </x:c>
      <x:c r="L8655" s="0">
        <x:f>hyperlink("https://icat2.azurewebsites.net/icat/?ontology=ICD&amp;tab=ClassesTab&amp;id=http%3A%2F%2Fwho.int%2Ficd%23521_7005c14c_2656_4f4b_85a0_8e71c99be967","iCat")</x:f>
      </x:c>
      <x:c r="M8655" s="0" t="s">
        <x:v>21</x:v>
      </x:c>
      <x:c r="N8655" s="0" t="s">
        <x:v>46</x:v>
      </x:c>
    </x:row>
    <x:row r="8656" spans="1:16">
      <x:c r="A8656" s="0" t="s">
        <x:v>34487</x:v>
      </x:c>
      <x:c r="B8656" s="0" t="s">
        <x:v>34488</x:v>
      </x:c>
      <x:c r="C8656" s="0" t="s">
        <x:v>34489</x:v>
      </x:c>
      <x:c r="E8656" s="0" t="s">
        <x:v>34490</x:v>
      </x:c>
      <x:c r="F8656" s="0" t="s">
        <x:v>45</x:v>
      </x:c>
      <x:c r="G8656" s="0" t="s">
        <x:v>19</x:v>
      </x:c>
      <x:c r="H8656" s="0" t="s">
        <x:v>20</x:v>
      </x:c>
      <x:c r="I8656" s="0" t="s">
        <x:v>21</x:v>
      </x:c>
      <x:c r="K8656" s="0">
        <x:f>hyperlink("https://icd.who.int/dev11/l-ichi/en#/http%3A%2F%2Fid.who.int%2Ficd%2Fentity%2F1772806318","browser")</x:f>
      </x:c>
      <x:c r="L8656" s="0">
        <x:f>hyperlink("https://icat2.azurewebsites.net/icat/?ontology=ICD&amp;tab=ClassesTab&amp;id=http%3A%2F%2Fwho.int%2Ficd%23527_7005c14c_2656_4f4b_85a0_8e71c99be967","iCat")</x:f>
      </x:c>
      <x:c r="M8656" s="0" t="s">
        <x:v>21</x:v>
      </x:c>
      <x:c r="N8656" s="0" t="s">
        <x:v>46</x:v>
      </x:c>
    </x:row>
    <x:row r="8657" spans="1:16">
      <x:c r="A8657" s="0" t="s">
        <x:v>34491</x:v>
      </x:c>
      <x:c r="B8657" s="0" t="s">
        <x:v>34492</x:v>
      </x:c>
      <x:c r="C8657" s="0" t="s">
        <x:v>34493</x:v>
      </x:c>
      <x:c r="E8657" s="0" t="s">
        <x:v>34494</x:v>
      </x:c>
      <x:c r="F8657" s="0" t="s">
        <x:v>45</x:v>
      </x:c>
      <x:c r="G8657" s="0" t="s">
        <x:v>19</x:v>
      </x:c>
      <x:c r="H8657" s="0" t="s">
        <x:v>20</x:v>
      </x:c>
      <x:c r="I8657" s="0" t="s">
        <x:v>21</x:v>
      </x:c>
      <x:c r="K8657" s="0">
        <x:f>hyperlink("https://icd.who.int/dev11/l-ichi/en#/http%3A%2F%2Fid.who.int%2Ficd%2Fentity%2F912830863","browser")</x:f>
      </x:c>
      <x:c r="L8657" s="0">
        <x:f>hyperlink("https://icat2.azurewebsites.net/icat/?ontology=ICD&amp;tab=ClassesTab&amp;id=http%3A%2F%2Fwho.int%2Ficd%23533_7005c14c_2656_4f4b_85a0_8e71c99be967","iCat")</x:f>
      </x:c>
      <x:c r="M8657" s="0" t="s">
        <x:v>21</x:v>
      </x:c>
      <x:c r="N8657" s="0" t="s">
        <x:v>46</x:v>
      </x:c>
    </x:row>
    <x:row r="8658" spans="1:16">
      <x:c r="A8658" s="0" t="s">
        <x:v>34495</x:v>
      </x:c>
      <x:c r="B8658" s="0" t="s">
        <x:v>34496</x:v>
      </x:c>
      <x:c r="C8658" s="0" t="s">
        <x:v>34497</x:v>
      </x:c>
      <x:c r="E8658" s="0" t="s">
        <x:v>34498</x:v>
      </x:c>
      <x:c r="F8658" s="0" t="s">
        <x:v>45</x:v>
      </x:c>
      <x:c r="G8658" s="0" t="s">
        <x:v>19</x:v>
      </x:c>
      <x:c r="H8658" s="0" t="s">
        <x:v>20</x:v>
      </x:c>
      <x:c r="I8658" s="0" t="s">
        <x:v>21</x:v>
      </x:c>
      <x:c r="K8658" s="0">
        <x:f>hyperlink("https://icd.who.int/dev11/l-ichi/en#/http%3A%2F%2Fid.who.int%2Ficd%2Fentity%2F496360735","browser")</x:f>
      </x:c>
      <x:c r="L8658" s="0">
        <x:f>hyperlink("https://icat2.azurewebsites.net/icat/?ontology=ICD&amp;tab=ClassesTab&amp;id=http%3A%2F%2Fwho.int%2Ficd%23539_7005c14c_2656_4f4b_85a0_8e71c99be967","iCat")</x:f>
      </x:c>
      <x:c r="M8658" s="0" t="s">
        <x:v>21</x:v>
      </x:c>
      <x:c r="N8658" s="0" t="s">
        <x:v>46</x:v>
      </x:c>
    </x:row>
    <x:row r="8659" spans="1:16">
      <x:c r="A8659" s="0" t="s">
        <x:v>34499</x:v>
      </x:c>
      <x:c r="B8659" s="0" t="s">
        <x:v>34500</x:v>
      </x:c>
      <x:c r="C8659" s="0" t="s">
        <x:v>34501</x:v>
      </x:c>
      <x:c r="E8659" s="0" t="s">
        <x:v>34502</x:v>
      </x:c>
      <x:c r="F8659" s="0" t="s">
        <x:v>45</x:v>
      </x:c>
      <x:c r="G8659" s="0" t="s">
        <x:v>19</x:v>
      </x:c>
      <x:c r="H8659" s="0" t="s">
        <x:v>20</x:v>
      </x:c>
      <x:c r="I8659" s="0" t="s">
        <x:v>21</x:v>
      </x:c>
      <x:c r="K8659" s="0">
        <x:f>hyperlink("https://icd.who.int/dev11/l-ichi/en#/http%3A%2F%2Fid.who.int%2Ficd%2Fentity%2F1275901794","browser")</x:f>
      </x:c>
      <x:c r="L8659" s="0">
        <x:f>hyperlink("https://icat2.azurewebsites.net/icat/?ontology=ICD&amp;tab=ClassesTab&amp;id=http%3A%2F%2Fwho.int%2Ficd%23485_7005c14c_2656_4f4b_85a0_8e71c99be967","iCat")</x:f>
      </x:c>
      <x:c r="M8659" s="0" t="s">
        <x:v>21</x:v>
      </x:c>
      <x:c r="N8659" s="0" t="s">
        <x:v>46</x:v>
      </x:c>
    </x:row>
    <x:row r="8660" spans="1:16">
      <x:c r="A8660" s="0" t="s">
        <x:v>34503</x:v>
      </x:c>
      <x:c r="B8660" s="0" t="s">
        <x:v>34504</x:v>
      </x:c>
      <x:c r="C8660" s="0" t="s">
        <x:v>34505</x:v>
      </x:c>
      <x:c r="E8660" s="0" t="s">
        <x:v>34506</x:v>
      </x:c>
      <x:c r="F8660" s="0" t="s">
        <x:v>45</x:v>
      </x:c>
      <x:c r="G8660" s="0" t="s">
        <x:v>19</x:v>
      </x:c>
      <x:c r="H8660" s="0" t="s">
        <x:v>20</x:v>
      </x:c>
      <x:c r="I8660" s="0" t="s">
        <x:v>21</x:v>
      </x:c>
      <x:c r="K8660" s="0">
        <x:f>hyperlink("https://icd.who.int/dev11/l-ichi/en#/http%3A%2F%2Fid.who.int%2Ficd%2Fentity%2F1138215729","browser")</x:f>
      </x:c>
      <x:c r="L8660" s="0">
        <x:f>hyperlink("https://icat2.azurewebsites.net/icat/?ontology=ICD&amp;tab=ClassesTab&amp;id=http%3A%2F%2Fwho.int%2Ficd%2347902_512ebf36_bf6b_4d70_85da_cf2637062af4","iCat")</x:f>
      </x:c>
      <x:c r="M8660" s="0" t="s">
        <x:v>21</x:v>
      </x:c>
      <x:c r="N8660" s="0" t="s">
        <x:v>46</x:v>
      </x:c>
    </x:row>
    <x:row r="8661" spans="1:16">
      <x:c r="A8661" s="0" t="s">
        <x:v>34507</x:v>
      </x:c>
      <x:c r="B8661" s="0" t="s">
        <x:v>34508</x:v>
      </x:c>
      <x:c r="C8661" s="0" t="s">
        <x:v>34509</x:v>
      </x:c>
      <x:c r="E8661" s="0" t="s">
        <x:v>34510</x:v>
      </x:c>
      <x:c r="F8661" s="0" t="s">
        <x:v>45</x:v>
      </x:c>
      <x:c r="G8661" s="0" t="s">
        <x:v>19</x:v>
      </x:c>
      <x:c r="H8661" s="0" t="s">
        <x:v>20</x:v>
      </x:c>
      <x:c r="I8661" s="0" t="s">
        <x:v>21</x:v>
      </x:c>
      <x:c r="K8661" s="0">
        <x:f>hyperlink("https://icd.who.int/dev11/l-ichi/en#/http%3A%2F%2Fid.who.int%2Ficd%2Fentity%2F1221842333","browser")</x:f>
      </x:c>
      <x:c r="L8661" s="0">
        <x:f>hyperlink("https://icat2.azurewebsites.net/icat/?ontology=ICD&amp;tab=ClassesTab&amp;id=http%3A%2F%2Fwho.int%2Ficd%2347909_512ebf36_bf6b_4d70_85da_cf2637062af4","iCat")</x:f>
      </x:c>
      <x:c r="M8661" s="0" t="s">
        <x:v>21</x:v>
      </x:c>
      <x:c r="N8661" s="0" t="s">
        <x:v>46</x:v>
      </x:c>
    </x:row>
    <x:row r="8662" spans="1:16">
      <x:c r="A8662" s="0" t="s">
        <x:v>34511</x:v>
      </x:c>
      <x:c r="B8662" s="0" t="s">
        <x:v>34512</x:v>
      </x:c>
      <x:c r="C8662" s="0" t="s">
        <x:v>34513</x:v>
      </x:c>
      <x:c r="E8662" s="0" t="s">
        <x:v>34514</x:v>
      </x:c>
      <x:c r="F8662" s="0" t="s">
        <x:v>45</x:v>
      </x:c>
      <x:c r="G8662" s="0" t="s">
        <x:v>19</x:v>
      </x:c>
      <x:c r="H8662" s="0" t="s">
        <x:v>20</x:v>
      </x:c>
      <x:c r="I8662" s="0" t="s">
        <x:v>21</x:v>
      </x:c>
      <x:c r="K8662" s="0">
        <x:f>hyperlink("https://icd.who.int/dev11/l-ichi/en#/http%3A%2F%2Fid.who.int%2Ficd%2Fentity%2F471177746","browser")</x:f>
      </x:c>
      <x:c r="L8662" s="0">
        <x:f>hyperlink("https://icat2.azurewebsites.net/icat/?ontology=ICD&amp;tab=ClassesTab&amp;id=http%3A%2F%2Fwho.int%2Ficd%2347916_512ebf36_bf6b_4d70_85da_cf2637062af4","iCat")</x:f>
      </x:c>
      <x:c r="M8662" s="0" t="s">
        <x:v>21</x:v>
      </x:c>
      <x:c r="N8662" s="0" t="s">
        <x:v>46</x:v>
      </x:c>
    </x:row>
    <x:row r="8663" spans="1:16">
      <x:c r="A8663" s="0" t="s">
        <x:v>34515</x:v>
      </x:c>
      <x:c r="B8663" s="0" t="s">
        <x:v>34516</x:v>
      </x:c>
      <x:c r="C8663" s="0" t="s">
        <x:v>34517</x:v>
      </x:c>
      <x:c r="E8663" s="0" t="s">
        <x:v>34518</x:v>
      </x:c>
      <x:c r="F8663" s="0" t="s">
        <x:v>45</x:v>
      </x:c>
      <x:c r="G8663" s="0" t="s">
        <x:v>19</x:v>
      </x:c>
      <x:c r="H8663" s="0" t="s">
        <x:v>20</x:v>
      </x:c>
      <x:c r="I8663" s="0" t="s">
        <x:v>21</x:v>
      </x:c>
      <x:c r="K8663" s="0">
        <x:f>hyperlink("https://icd.who.int/dev11/l-ichi/en#/http%3A%2F%2Fid.who.int%2Ficd%2Fentity%2F867788513","browser")</x:f>
      </x:c>
      <x:c r="L8663" s="0">
        <x:f>hyperlink("https://icat2.azurewebsites.net/icat/?ontology=ICD&amp;tab=ClassesTab&amp;id=http%3A%2F%2Fwho.int%2Ficd%23547_7005c14c_2656_4f4b_85a0_8e71c99be967","iCat")</x:f>
      </x:c>
      <x:c r="M8663" s="0" t="s">
        <x:v>21</x:v>
      </x:c>
      <x:c r="N8663" s="0" t="s">
        <x:v>46</x:v>
      </x:c>
    </x:row>
    <x:row r="8664" spans="1:16">
      <x:c r="A8664" s="0" t="s">
        <x:v>34519</x:v>
      </x:c>
      <x:c r="B8664" s="0" t="s">
        <x:v>34520</x:v>
      </x:c>
      <x:c r="C8664" s="0" t="s">
        <x:v>34521</x:v>
      </x:c>
      <x:c r="E8664" s="0" t="s">
        <x:v>34522</x:v>
      </x:c>
      <x:c r="F8664" s="0" t="s">
        <x:v>45</x:v>
      </x:c>
      <x:c r="G8664" s="0" t="s">
        <x:v>19</x:v>
      </x:c>
      <x:c r="H8664" s="0" t="s">
        <x:v>20</x:v>
      </x:c>
      <x:c r="I8664" s="0" t="s">
        <x:v>21</x:v>
      </x:c>
      <x:c r="K8664" s="0">
        <x:f>hyperlink("https://icd.who.int/dev11/l-ichi/en#/http%3A%2F%2Fid.who.int%2Ficd%2Fentity%2F1820014532","browser")</x:f>
      </x:c>
      <x:c r="L8664" s="0">
        <x:f>hyperlink("https://icat2.azurewebsites.net/icat/?ontology=ICD&amp;tab=ClassesTab&amp;id=http%3A%2F%2Fwho.int%2Ficd%23553_7005c14c_2656_4f4b_85a0_8e71c99be967","iCat")</x:f>
      </x:c>
      <x:c r="M8664" s="0" t="s">
        <x:v>21</x:v>
      </x:c>
      <x:c r="N8664" s="0" t="s">
        <x:v>46</x:v>
      </x:c>
    </x:row>
    <x:row r="8665" spans="1:16">
      <x:c r="A8665" s="0" t="s">
        <x:v>34523</x:v>
      </x:c>
      <x:c r="B8665" s="0" t="s">
        <x:v>34524</x:v>
      </x:c>
      <x:c r="C8665" s="0" t="s">
        <x:v>34525</x:v>
      </x:c>
      <x:c r="E8665" s="0" t="s">
        <x:v>34526</x:v>
      </x:c>
      <x:c r="F8665" s="0" t="s">
        <x:v>45</x:v>
      </x:c>
      <x:c r="G8665" s="0" t="s">
        <x:v>19</x:v>
      </x:c>
      <x:c r="H8665" s="0" t="s">
        <x:v>20</x:v>
      </x:c>
      <x:c r="I8665" s="0" t="s">
        <x:v>21</x:v>
      </x:c>
      <x:c r="K8665" s="0">
        <x:f>hyperlink("https://icd.who.int/dev11/l-ichi/en#/http%3A%2F%2Fid.who.int%2Ficd%2Fentity%2F1199987540","browser")</x:f>
      </x:c>
      <x:c r="L8665" s="0">
        <x:f>hyperlink("https://icat2.azurewebsites.net/icat/?ontology=ICD&amp;tab=ClassesTab&amp;id=http%3A%2F%2Fwho.int%2Ficd%23559_7005c14c_2656_4f4b_85a0_8e71c99be967","iCat")</x:f>
      </x:c>
      <x:c r="M8665" s="0" t="s">
        <x:v>21</x:v>
      </x:c>
      <x:c r="N8665" s="0" t="s">
        <x:v>46</x:v>
      </x:c>
    </x:row>
    <x:row r="8666" spans="1:16">
      <x:c r="A8666" s="0" t="s">
        <x:v>34527</x:v>
      </x:c>
      <x:c r="B8666" s="0" t="s">
        <x:v>34528</x:v>
      </x:c>
      <x:c r="C8666" s="0" t="s">
        <x:v>34529</x:v>
      </x:c>
      <x:c r="E8666" s="0" t="s">
        <x:v>34530</x:v>
      </x:c>
      <x:c r="F8666" s="0" t="s">
        <x:v>45</x:v>
      </x:c>
      <x:c r="G8666" s="0" t="s">
        <x:v>19</x:v>
      </x:c>
      <x:c r="H8666" s="0" t="s">
        <x:v>20</x:v>
      </x:c>
      <x:c r="I8666" s="0" t="s">
        <x:v>21</x:v>
      </x:c>
      <x:c r="K8666" s="0">
        <x:f>hyperlink("https://icd.who.int/dev11/l-ichi/en#/http%3A%2F%2Fid.who.int%2Ficd%2Fentity%2F2092019318","browser")</x:f>
      </x:c>
      <x:c r="L8666" s="0">
        <x:f>hyperlink("https://icat2.azurewebsites.net/icat/?ontology=ICD&amp;tab=ClassesTab&amp;id=http%3A%2F%2Fwho.int%2Ficd%23565_7005c14c_2656_4f4b_85a0_8e71c99be967","iCat")</x:f>
      </x:c>
      <x:c r="M8666" s="0" t="s">
        <x:v>21</x:v>
      </x:c>
      <x:c r="N8666" s="0" t="s">
        <x:v>46</x:v>
      </x:c>
    </x:row>
    <x:row r="8667" spans="1:16">
      <x:c r="A8667" s="0" t="s">
        <x:v>34531</x:v>
      </x:c>
      <x:c r="B8667" s="0" t="s">
        <x:v>34532</x:v>
      </x:c>
      <x:c r="C8667" s="0" t="s">
        <x:v>34533</x:v>
      </x:c>
      <x:c r="E8667" s="0" t="s">
        <x:v>34534</x:v>
      </x:c>
      <x:c r="F8667" s="0" t="s">
        <x:v>45</x:v>
      </x:c>
      <x:c r="G8667" s="0" t="s">
        <x:v>19</x:v>
      </x:c>
      <x:c r="H8667" s="0" t="s">
        <x:v>20</x:v>
      </x:c>
      <x:c r="I8667" s="0" t="s">
        <x:v>21</x:v>
      </x:c>
      <x:c r="K8667" s="0">
        <x:f>hyperlink("https://icd.who.int/dev11/l-ichi/en#/http%3A%2F%2Fid.who.int%2Ficd%2Fentity%2F594804567","browser")</x:f>
      </x:c>
      <x:c r="L8667" s="0">
        <x:f>hyperlink("https://icat2.azurewebsites.net/icat/?ontology=ICD&amp;tab=ClassesTab&amp;id=http%3A%2F%2Fwho.int%2Ficd%23571_7005c14c_2656_4f4b_85a0_8e71c99be967","iCat")</x:f>
      </x:c>
      <x:c r="M8667" s="0" t="s">
        <x:v>21</x:v>
      </x:c>
      <x:c r="N8667" s="0" t="s">
        <x:v>46</x:v>
      </x:c>
    </x:row>
    <x:row r="8668" spans="1:16">
      <x:c r="A8668" s="0" t="s">
        <x:v>34535</x:v>
      </x:c>
      <x:c r="B8668" s="0" t="s">
        <x:v>34536</x:v>
      </x:c>
      <x:c r="C8668" s="0" t="s">
        <x:v>34537</x:v>
      </x:c>
      <x:c r="E8668" s="0" t="s">
        <x:v>34538</x:v>
      </x:c>
      <x:c r="F8668" s="0" t="s">
        <x:v>45</x:v>
      </x:c>
      <x:c r="G8668" s="0" t="s">
        <x:v>19</x:v>
      </x:c>
      <x:c r="H8668" s="0" t="s">
        <x:v>20</x:v>
      </x:c>
      <x:c r="I8668" s="0" t="s">
        <x:v>21</x:v>
      </x:c>
      <x:c r="K8668" s="0">
        <x:f>hyperlink("https://icd.who.int/dev11/l-ichi/en#/http%3A%2F%2Fid.who.int%2Ficd%2Fentity%2F1929914088","browser")</x:f>
      </x:c>
      <x:c r="L8668" s="0">
        <x:f>hyperlink("https://icat2.azurewebsites.net/icat/?ontology=ICD&amp;tab=ClassesTab&amp;id=http%3A%2F%2Fwho.int%2Ficd%23577_7005c14c_2656_4f4b_85a0_8e71c99be967","iCat")</x:f>
      </x:c>
      <x:c r="M8668" s="0" t="s">
        <x:v>21</x:v>
      </x:c>
      <x:c r="N8668" s="0" t="s">
        <x:v>46</x:v>
      </x:c>
    </x:row>
    <x:row r="8669" spans="1:16">
      <x:c r="A8669" s="0" t="s">
        <x:v>34539</x:v>
      </x:c>
      <x:c r="B8669" s="0" t="s">
        <x:v>34540</x:v>
      </x:c>
      <x:c r="C8669" s="0" t="s">
        <x:v>34541</x:v>
      </x:c>
      <x:c r="E8669" s="0" t="s">
        <x:v>34542</x:v>
      </x:c>
      <x:c r="F8669" s="0" t="s">
        <x:v>45</x:v>
      </x:c>
      <x:c r="G8669" s="0" t="s">
        <x:v>19</x:v>
      </x:c>
      <x:c r="H8669" s="0" t="s">
        <x:v>20</x:v>
      </x:c>
      <x:c r="I8669" s="0" t="s">
        <x:v>21</x:v>
      </x:c>
      <x:c r="K8669" s="0">
        <x:f>hyperlink("https://icd.who.int/dev11/l-ichi/en#/http%3A%2F%2Fid.who.int%2Ficd%2Fentity%2F1776855116","browser")</x:f>
      </x:c>
      <x:c r="L8669" s="0">
        <x:f>hyperlink("https://icat2.azurewebsites.net/icat/?ontology=ICD&amp;tab=ClassesTab&amp;id=http%3A%2F%2Fwho.int%2Ficd%23583_7005c14c_2656_4f4b_85a0_8e71c99be967","iCat")</x:f>
      </x:c>
      <x:c r="M8669" s="0" t="s">
        <x:v>21</x:v>
      </x:c>
      <x:c r="N8669" s="0" t="s">
        <x:v>46</x:v>
      </x:c>
    </x:row>
    <x:row r="8670" spans="1:16">
      <x:c r="A8670" s="0" t="s">
        <x:v>34543</x:v>
      </x:c>
      <x:c r="B8670" s="0" t="s">
        <x:v>34544</x:v>
      </x:c>
      <x:c r="C8670" s="0" t="s">
        <x:v>34545</x:v>
      </x:c>
      <x:c r="E8670" s="0" t="s">
        <x:v>34546</x:v>
      </x:c>
      <x:c r="F8670" s="0" t="s">
        <x:v>45</x:v>
      </x:c>
      <x:c r="G8670" s="0" t="s">
        <x:v>19</x:v>
      </x:c>
      <x:c r="H8670" s="0" t="s">
        <x:v>20</x:v>
      </x:c>
      <x:c r="I8670" s="0" t="s">
        <x:v>21</x:v>
      </x:c>
      <x:c r="K8670" s="0">
        <x:f>hyperlink("https://icd.who.int/dev11/l-ichi/en#/http%3A%2F%2Fid.who.int%2Ficd%2Fentity%2F1108722908","browser")</x:f>
      </x:c>
      <x:c r="L8670" s="0">
        <x:f>hyperlink("https://icat2.azurewebsites.net/icat/?ontology=ICD&amp;tab=ClassesTab&amp;id=http%3A%2F%2Fwho.int%2Ficd%23589_7005c14c_2656_4f4b_85a0_8e71c99be967","iCat")</x:f>
      </x:c>
      <x:c r="M8670" s="0" t="s">
        <x:v>21</x:v>
      </x:c>
      <x:c r="N8670" s="0" t="s">
        <x:v>46</x:v>
      </x:c>
    </x:row>
    <x:row r="8671" spans="1:16">
      <x:c r="A8671" s="0" t="s">
        <x:v>34547</x:v>
      </x:c>
      <x:c r="B8671" s="0" t="s">
        <x:v>34548</x:v>
      </x:c>
      <x:c r="C8671" s="0" t="s">
        <x:v>34549</x:v>
      </x:c>
      <x:c r="E8671" s="0" t="s">
        <x:v>34550</x:v>
      </x:c>
      <x:c r="F8671" s="0" t="s">
        <x:v>45</x:v>
      </x:c>
      <x:c r="G8671" s="0" t="s">
        <x:v>19</x:v>
      </x:c>
      <x:c r="H8671" s="0" t="s">
        <x:v>20</x:v>
      </x:c>
      <x:c r="I8671" s="0" t="s">
        <x:v>21</x:v>
      </x:c>
      <x:c r="K8671" s="0">
        <x:f>hyperlink("https://icd.who.int/dev11/l-ichi/en#/http%3A%2F%2Fid.who.int%2Ficd%2Fentity%2F1398203564","browser")</x:f>
      </x:c>
      <x:c r="L8671" s="0">
        <x:f>hyperlink("https://icat2.azurewebsites.net/icat/?ontology=ICD&amp;tab=ClassesTab&amp;id=http%3A%2F%2Fwho.int%2Ficd%23595_7005c14c_2656_4f4b_85a0_8e71c99be967","iCat")</x:f>
      </x:c>
      <x:c r="M8671" s="0" t="s">
        <x:v>21</x:v>
      </x:c>
      <x:c r="N8671" s="0" t="s">
        <x:v>46</x:v>
      </x:c>
    </x:row>
    <x:row r="8672" spans="1:16">
      <x:c r="A8672" s="0" t="s">
        <x:v>34551</x:v>
      </x:c>
      <x:c r="B8672" s="0" t="s">
        <x:v>34552</x:v>
      </x:c>
      <x:c r="C8672" s="0" t="s">
        <x:v>34553</x:v>
      </x:c>
      <x:c r="E8672" s="0" t="s">
        <x:v>34554</x:v>
      </x:c>
      <x:c r="F8672" s="0" t="s">
        <x:v>45</x:v>
      </x:c>
      <x:c r="G8672" s="0" t="s">
        <x:v>19</x:v>
      </x:c>
      <x:c r="H8672" s="0" t="s">
        <x:v>20</x:v>
      </x:c>
      <x:c r="I8672" s="0" t="s">
        <x:v>21</x:v>
      </x:c>
      <x:c r="K8672" s="0">
        <x:f>hyperlink("https://icd.who.int/dev11/l-ichi/en#/http%3A%2F%2Fid.who.int%2Ficd%2Fentity%2F1929009172","browser")</x:f>
      </x:c>
      <x:c r="L8672" s="0">
        <x:f>hyperlink("https://icat2.azurewebsites.net/icat/?ontology=ICD&amp;tab=ClassesTab&amp;id=http%3A%2F%2Fwho.int%2Ficd%23601_7005c14c_2656_4f4b_85a0_8e71c99be967","iCat")</x:f>
      </x:c>
      <x:c r="M8672" s="0" t="s">
        <x:v>21</x:v>
      </x:c>
      <x:c r="N8672" s="0" t="s">
        <x:v>46</x:v>
      </x:c>
    </x:row>
    <x:row r="8673" spans="1:16">
      <x:c r="A8673" s="0" t="s">
        <x:v>34555</x:v>
      </x:c>
      <x:c r="B8673" s="0" t="s">
        <x:v>34556</x:v>
      </x:c>
      <x:c r="C8673" s="0" t="s">
        <x:v>34557</x:v>
      </x:c>
      <x:c r="E8673" s="0" t="s">
        <x:v>34558</x:v>
      </x:c>
      <x:c r="F8673" s="0" t="s">
        <x:v>45</x:v>
      </x:c>
      <x:c r="G8673" s="0" t="s">
        <x:v>19</x:v>
      </x:c>
      <x:c r="H8673" s="0" t="s">
        <x:v>20</x:v>
      </x:c>
      <x:c r="I8673" s="0" t="s">
        <x:v>21</x:v>
      </x:c>
      <x:c r="K8673" s="0">
        <x:f>hyperlink("https://icd.who.int/dev11/l-ichi/en#/http%3A%2F%2Fid.who.int%2Ficd%2Fentity%2F578912677","browser")</x:f>
      </x:c>
      <x:c r="L8673" s="0">
        <x:f>hyperlink("https://icat2.azurewebsites.net/icat/?ontology=ICD&amp;tab=ClassesTab&amp;id=http%3A%2F%2Fwho.int%2Ficd%23607_7005c14c_2656_4f4b_85a0_8e71c99be967","iCat")</x:f>
      </x:c>
      <x:c r="M8673" s="0" t="s">
        <x:v>21</x:v>
      </x:c>
      <x:c r="N8673" s="0" t="s">
        <x:v>46</x:v>
      </x:c>
    </x:row>
    <x:row r="8674" spans="1:16">
      <x:c r="A8674" s="0" t="s">
        <x:v>34559</x:v>
      </x:c>
      <x:c r="B8674" s="0" t="s">
        <x:v>34560</x:v>
      </x:c>
      <x:c r="C8674" s="0" t="s">
        <x:v>34561</x:v>
      </x:c>
      <x:c r="E8674" s="0" t="s">
        <x:v>34562</x:v>
      </x:c>
      <x:c r="F8674" s="0" t="s">
        <x:v>45</x:v>
      </x:c>
      <x:c r="G8674" s="0" t="s">
        <x:v>19</x:v>
      </x:c>
      <x:c r="H8674" s="0" t="s">
        <x:v>20</x:v>
      </x:c>
      <x:c r="I8674" s="0" t="s">
        <x:v>21</x:v>
      </x:c>
      <x:c r="K8674" s="0">
        <x:f>hyperlink("https://icd.who.int/dev11/l-ichi/en#/http%3A%2F%2Fid.who.int%2Ficd%2Fentity%2F2101596294","browser")</x:f>
      </x:c>
      <x:c r="L8674" s="0">
        <x:f>hyperlink("https://icat2.azurewebsites.net/icat/?ontology=ICD&amp;tab=ClassesTab&amp;id=http%3A%2F%2Fwho.int%2Ficd%23613_7005c14c_2656_4f4b_85a0_8e71c99be967","iCat")</x:f>
      </x:c>
      <x:c r="M8674" s="0" t="s">
        <x:v>21</x:v>
      </x:c>
      <x:c r="N8674" s="0" t="s">
        <x:v>46</x:v>
      </x:c>
    </x:row>
    <x:row r="8675" spans="1:16">
      <x:c r="A8675" s="0" t="s">
        <x:v>34563</x:v>
      </x:c>
      <x:c r="B8675" s="0" t="s">
        <x:v>34564</x:v>
      </x:c>
      <x:c r="C8675" s="0" t="s">
        <x:v>34565</x:v>
      </x:c>
      <x:c r="E8675" s="0" t="s">
        <x:v>34566</x:v>
      </x:c>
      <x:c r="F8675" s="0" t="s">
        <x:v>45</x:v>
      </x:c>
      <x:c r="G8675" s="0" t="s">
        <x:v>19</x:v>
      </x:c>
      <x:c r="H8675" s="0" t="s">
        <x:v>20</x:v>
      </x:c>
      <x:c r="I8675" s="0" t="s">
        <x:v>21</x:v>
      </x:c>
      <x:c r="K8675" s="0">
        <x:f>hyperlink("https://icd.who.int/dev11/l-ichi/en#/http%3A%2F%2Fid.who.int%2Ficd%2Fentity%2F1485737286","browser")</x:f>
      </x:c>
      <x:c r="L8675" s="0">
        <x:f>hyperlink("https://icat2.azurewebsites.net/icat/?ontology=ICD&amp;tab=ClassesTab&amp;id=http%3A%2F%2Fwho.int%2Ficd%23621_7005c14c_2656_4f4b_85a0_8e71c99be967","iCat")</x:f>
      </x:c>
      <x:c r="M8675" s="0" t="s">
        <x:v>21</x:v>
      </x:c>
      <x:c r="N8675" s="0" t="s">
        <x:v>46</x:v>
      </x:c>
    </x:row>
    <x:row r="8676" spans="1:16">
      <x:c r="A8676" s="0" t="s">
        <x:v>34567</x:v>
      </x:c>
      <x:c r="B8676" s="0" t="s">
        <x:v>34568</x:v>
      </x:c>
      <x:c r="C8676" s="0" t="s">
        <x:v>34569</x:v>
      </x:c>
      <x:c r="E8676" s="0" t="s">
        <x:v>34570</x:v>
      </x:c>
      <x:c r="F8676" s="0" t="s">
        <x:v>45</x:v>
      </x:c>
      <x:c r="G8676" s="0" t="s">
        <x:v>19</x:v>
      </x:c>
      <x:c r="H8676" s="0" t="s">
        <x:v>20</x:v>
      </x:c>
      <x:c r="I8676" s="0" t="s">
        <x:v>21</x:v>
      </x:c>
      <x:c r="K8676" s="0">
        <x:f>hyperlink("https://icd.who.int/dev11/l-ichi/en#/http%3A%2F%2Fid.who.int%2Ficd%2Fentity%2F150295797","browser")</x:f>
      </x:c>
      <x:c r="L8676" s="0">
        <x:f>hyperlink("https://icat2.azurewebsites.net/icat/?ontology=ICD&amp;tab=ClassesTab&amp;id=http%3A%2F%2Fwho.int%2Ficd%23627_7005c14c_2656_4f4b_85a0_8e71c99be967","iCat")</x:f>
      </x:c>
      <x:c r="M8676" s="0" t="s">
        <x:v>21</x:v>
      </x:c>
      <x:c r="N8676" s="0" t="s">
        <x:v>46</x:v>
      </x:c>
    </x:row>
    <x:row r="8677" spans="1:16">
      <x:c r="A8677" s="0" t="s">
        <x:v>34571</x:v>
      </x:c>
      <x:c r="B8677" s="0" t="s">
        <x:v>34572</x:v>
      </x:c>
      <x:c r="C8677" s="0" t="s">
        <x:v>34573</x:v>
      </x:c>
      <x:c r="E8677" s="0" t="s">
        <x:v>34574</x:v>
      </x:c>
      <x:c r="F8677" s="0" t="s">
        <x:v>45</x:v>
      </x:c>
      <x:c r="G8677" s="0" t="s">
        <x:v>19</x:v>
      </x:c>
      <x:c r="H8677" s="0" t="s">
        <x:v>20</x:v>
      </x:c>
      <x:c r="I8677" s="0" t="s">
        <x:v>21</x:v>
      </x:c>
      <x:c r="K8677" s="0">
        <x:f>hyperlink("https://icd.who.int/dev11/l-ichi/en#/http%3A%2F%2Fid.who.int%2Ficd%2Fentity%2F1463223768","browser")</x:f>
      </x:c>
      <x:c r="L8677" s="0">
        <x:f>hyperlink("https://icat2.azurewebsites.net/icat/?ontology=ICD&amp;tab=ClassesTab&amp;id=http%3A%2F%2Fwho.int%2Ficd%23633_7005c14c_2656_4f4b_85a0_8e71c99be967","iCat")</x:f>
      </x:c>
      <x:c r="M8677" s="0" t="s">
        <x:v>21</x:v>
      </x:c>
      <x:c r="N8677" s="0" t="s">
        <x:v>46</x:v>
      </x:c>
    </x:row>
    <x:row r="8678" spans="1:16">
      <x:c r="A8678" s="0" t="s">
        <x:v>34575</x:v>
      </x:c>
      <x:c r="B8678" s="0" t="s">
        <x:v>34576</x:v>
      </x:c>
      <x:c r="C8678" s="0" t="s">
        <x:v>34577</x:v>
      </x:c>
      <x:c r="E8678" s="0" t="s">
        <x:v>34578</x:v>
      </x:c>
      <x:c r="F8678" s="0" t="s">
        <x:v>45</x:v>
      </x:c>
      <x:c r="G8678" s="0" t="s">
        <x:v>19</x:v>
      </x:c>
      <x:c r="H8678" s="0" t="s">
        <x:v>20</x:v>
      </x:c>
      <x:c r="I8678" s="0" t="s">
        <x:v>21</x:v>
      </x:c>
      <x:c r="K8678" s="0">
        <x:f>hyperlink("https://icd.who.int/dev11/l-ichi/en#/http%3A%2F%2Fid.who.int%2Ficd%2Fentity%2F2093640008","browser")</x:f>
      </x:c>
      <x:c r="L8678" s="0">
        <x:f>hyperlink("https://icat2.azurewebsites.net/icat/?ontology=ICD&amp;tab=ClassesTab&amp;id=http%3A%2F%2Fwho.int%2Ficd%23639_7005c14c_2656_4f4b_85a0_8e71c99be967","iCat")</x:f>
      </x:c>
      <x:c r="M8678" s="0" t="s">
        <x:v>21</x:v>
      </x:c>
      <x:c r="N8678" s="0" t="s">
        <x:v>46</x:v>
      </x:c>
    </x:row>
    <x:row r="8679" spans="1:16">
      <x:c r="A8679" s="0" t="s">
        <x:v>34579</x:v>
      </x:c>
      <x:c r="B8679" s="0" t="s">
        <x:v>34580</x:v>
      </x:c>
      <x:c r="C8679" s="0" t="s">
        <x:v>34581</x:v>
      </x:c>
      <x:c r="E8679" s="0" t="s">
        <x:v>34582</x:v>
      </x:c>
      <x:c r="F8679" s="0" t="s">
        <x:v>45</x:v>
      </x:c>
      <x:c r="G8679" s="0" t="s">
        <x:v>19</x:v>
      </x:c>
      <x:c r="H8679" s="0" t="s">
        <x:v>20</x:v>
      </x:c>
      <x:c r="I8679" s="0" t="s">
        <x:v>21</x:v>
      </x:c>
      <x:c r="K8679" s="0">
        <x:f>hyperlink("https://icd.who.int/dev11/l-ichi/en#/http%3A%2F%2Fid.who.int%2Ficd%2Fentity%2F932892541","browser")</x:f>
      </x:c>
      <x:c r="L8679" s="0">
        <x:f>hyperlink("https://icat2.azurewebsites.net/icat/?ontology=ICD&amp;tab=ClassesTab&amp;id=http%3A%2F%2Fwho.int%2Ficd%23645_7005c14c_2656_4f4b_85a0_8e71c99be967","iCat")</x:f>
      </x:c>
      <x:c r="M8679" s="0" t="s">
        <x:v>21</x:v>
      </x:c>
      <x:c r="N8679" s="0" t="s">
        <x:v>46</x:v>
      </x:c>
    </x:row>
    <x:row r="8680" spans="1:16">
      <x:c r="A8680" s="0" t="s">
        <x:v>34583</x:v>
      </x:c>
      <x:c r="B8680" s="0" t="s">
        <x:v>34584</x:v>
      </x:c>
      <x:c r="C8680" s="0" t="s">
        <x:v>34585</x:v>
      </x:c>
      <x:c r="E8680" s="0" t="s">
        <x:v>34586</x:v>
      </x:c>
      <x:c r="F8680" s="0" t="s">
        <x:v>45</x:v>
      </x:c>
      <x:c r="G8680" s="0" t="s">
        <x:v>19</x:v>
      </x:c>
      <x:c r="H8680" s="0" t="s">
        <x:v>20</x:v>
      </x:c>
      <x:c r="I8680" s="0" t="s">
        <x:v>21</x:v>
      </x:c>
      <x:c r="K8680" s="0">
        <x:f>hyperlink("https://icd.who.int/dev11/l-ichi/en#/http%3A%2F%2Fid.who.int%2Ficd%2Fentity%2F1750638174","browser")</x:f>
      </x:c>
      <x:c r="L8680" s="0">
        <x:f>hyperlink("https://icat2.azurewebsites.net/icat/?ontology=ICD&amp;tab=ClassesTab&amp;id=http%3A%2F%2Fwho.int%2Ficd%23651_7005c14c_2656_4f4b_85a0_8e71c99be967","iCat")</x:f>
      </x:c>
      <x:c r="M8680" s="0" t="s">
        <x:v>21</x:v>
      </x:c>
      <x:c r="N8680" s="0" t="s">
        <x:v>46</x:v>
      </x:c>
    </x:row>
    <x:row r="8681" spans="1:16">
      <x:c r="A8681" s="0" t="s">
        <x:v>34587</x:v>
      </x:c>
      <x:c r="B8681" s="0" t="s">
        <x:v>34588</x:v>
      </x:c>
      <x:c r="C8681" s="0" t="s">
        <x:v>34589</x:v>
      </x:c>
      <x:c r="E8681" s="0" t="s">
        <x:v>34590</x:v>
      </x:c>
      <x:c r="F8681" s="0" t="s">
        <x:v>45</x:v>
      </x:c>
      <x:c r="G8681" s="0" t="s">
        <x:v>19</x:v>
      </x:c>
      <x:c r="H8681" s="0" t="s">
        <x:v>20</x:v>
      </x:c>
      <x:c r="I8681" s="0" t="s">
        <x:v>21</x:v>
      </x:c>
      <x:c r="K8681" s="0">
        <x:f>hyperlink("https://icd.who.int/dev11/l-ichi/en#/http%3A%2F%2Fid.who.int%2Ficd%2Fentity%2F941836271","browser")</x:f>
      </x:c>
      <x:c r="L8681" s="0">
        <x:f>hyperlink("https://icat2.azurewebsites.net/icat/?ontology=ICD&amp;tab=ClassesTab&amp;id=http%3A%2F%2Fwho.int%2Ficd%23657_7005c14c_2656_4f4b_85a0_8e71c99be967","iCat")</x:f>
      </x:c>
      <x:c r="M8681" s="0" t="s">
        <x:v>21</x:v>
      </x:c>
      <x:c r="N8681" s="0" t="s">
        <x:v>46</x:v>
      </x:c>
    </x:row>
    <x:row r="8682" spans="1:16">
      <x:c r="A8682" s="0" t="s">
        <x:v>34591</x:v>
      </x:c>
      <x:c r="B8682" s="0" t="s">
        <x:v>34592</x:v>
      </x:c>
      <x:c r="C8682" s="0" t="s">
        <x:v>34593</x:v>
      </x:c>
      <x:c r="E8682" s="0" t="s">
        <x:v>34594</x:v>
      </x:c>
      <x:c r="F8682" s="0" t="s">
        <x:v>45</x:v>
      </x:c>
      <x:c r="G8682" s="0" t="s">
        <x:v>19</x:v>
      </x:c>
      <x:c r="H8682" s="0" t="s">
        <x:v>20</x:v>
      </x:c>
      <x:c r="I8682" s="0" t="s">
        <x:v>21</x:v>
      </x:c>
      <x:c r="K8682" s="0">
        <x:f>hyperlink("https://icd.who.int/dev11/l-ichi/en#/http%3A%2F%2Fid.who.int%2Ficd%2Fentity%2F1301660574","browser")</x:f>
      </x:c>
      <x:c r="L8682" s="0">
        <x:f>hyperlink("https://icat2.azurewebsites.net/icat/?ontology=ICD&amp;tab=ClassesTab&amp;id=http%3A%2F%2Fwho.int%2Ficd%23663_7005c14c_2656_4f4b_85a0_8e71c99be967","iCat")</x:f>
      </x:c>
      <x:c r="M8682" s="0" t="s">
        <x:v>21</x:v>
      </x:c>
      <x:c r="N8682" s="0" t="s">
        <x:v>46</x:v>
      </x:c>
    </x:row>
    <x:row r="8683" spans="1:16">
      <x:c r="A8683" s="0" t="s">
        <x:v>34595</x:v>
      </x:c>
      <x:c r="B8683" s="0" t="s">
        <x:v>34596</x:v>
      </x:c>
      <x:c r="C8683" s="0" t="s">
        <x:v>34597</x:v>
      </x:c>
      <x:c r="E8683" s="0" t="s">
        <x:v>34598</x:v>
      </x:c>
      <x:c r="F8683" s="0" t="s">
        <x:v>45</x:v>
      </x:c>
      <x:c r="G8683" s="0" t="s">
        <x:v>19</x:v>
      </x:c>
      <x:c r="H8683" s="0" t="s">
        <x:v>20</x:v>
      </x:c>
      <x:c r="I8683" s="0" t="s">
        <x:v>21</x:v>
      </x:c>
      <x:c r="K8683" s="0">
        <x:f>hyperlink("https://icd.who.int/dev11/l-ichi/en#/http%3A%2F%2Fid.who.int%2Ficd%2Fentity%2F1718136590","browser")</x:f>
      </x:c>
      <x:c r="L8683" s="0">
        <x:f>hyperlink("https://icat2.azurewebsites.net/icat/?ontology=ICD&amp;tab=ClassesTab&amp;id=http%3A%2F%2Fwho.int%2Ficd%23669_7005c14c_2656_4f4b_85a0_8e71c99be967","iCat")</x:f>
      </x:c>
      <x:c r="M8683" s="0" t="s">
        <x:v>21</x:v>
      </x:c>
      <x:c r="N8683" s="0" t="s">
        <x:v>46</x:v>
      </x:c>
    </x:row>
    <x:row r="8684" spans="1:16">
      <x:c r="A8684" s="0" t="s">
        <x:v>34599</x:v>
      </x:c>
      <x:c r="B8684" s="0" t="s">
        <x:v>34600</x:v>
      </x:c>
      <x:c r="C8684" s="0" t="s">
        <x:v>34601</x:v>
      </x:c>
      <x:c r="E8684" s="0" t="s">
        <x:v>34602</x:v>
      </x:c>
      <x:c r="F8684" s="0" t="s">
        <x:v>45</x:v>
      </x:c>
      <x:c r="G8684" s="0" t="s">
        <x:v>19</x:v>
      </x:c>
      <x:c r="H8684" s="0" t="s">
        <x:v>20</x:v>
      </x:c>
      <x:c r="I8684" s="0" t="s">
        <x:v>21</x:v>
      </x:c>
      <x:c r="K8684" s="0">
        <x:f>hyperlink("https://icd.who.int/dev11/l-ichi/en#/http%3A%2F%2Fid.who.int%2Ficd%2Fentity%2F1999343482","browser")</x:f>
      </x:c>
      <x:c r="L8684" s="0">
        <x:f>hyperlink("https://icat2.azurewebsites.net/icat/?ontology=ICD&amp;tab=ClassesTab&amp;id=http%3A%2F%2Fwho.int%2Ficd%23675_7005c14c_2656_4f4b_85a0_8e71c99be967","iCat")</x:f>
      </x:c>
      <x:c r="M8684" s="0" t="s">
        <x:v>21</x:v>
      </x:c>
      <x:c r="N8684" s="0" t="s">
        <x:v>46</x:v>
      </x:c>
    </x:row>
    <x:row r="8685" spans="1:16">
      <x:c r="A8685" s="0" t="s">
        <x:v>34603</x:v>
      </x:c>
      <x:c r="B8685" s="0" t="s">
        <x:v>34604</x:v>
      </x:c>
      <x:c r="C8685" s="0" t="s">
        <x:v>34605</x:v>
      </x:c>
      <x:c r="E8685" s="0" t="s">
        <x:v>34606</x:v>
      </x:c>
      <x:c r="F8685" s="0" t="s">
        <x:v>45</x:v>
      </x:c>
      <x:c r="G8685" s="0" t="s">
        <x:v>19</x:v>
      </x:c>
      <x:c r="H8685" s="0" t="s">
        <x:v>20</x:v>
      </x:c>
      <x:c r="I8685" s="0" t="s">
        <x:v>21</x:v>
      </x:c>
      <x:c r="K8685" s="0">
        <x:f>hyperlink("https://icd.who.int/dev11/l-ichi/en#/http%3A%2F%2Fid.who.int%2Ficd%2Fentity%2F1842020818","browser")</x:f>
      </x:c>
      <x:c r="L8685" s="0">
        <x:f>hyperlink("https://icat2.azurewebsites.net/icat/?ontology=ICD&amp;tab=ClassesTab&amp;id=http%3A%2F%2Fwho.int%2Ficd%23681_7005c14c_2656_4f4b_85a0_8e71c99be967","iCat")</x:f>
      </x:c>
      <x:c r="M8685" s="0" t="s">
        <x:v>21</x:v>
      </x:c>
      <x:c r="N8685" s="0" t="s">
        <x:v>46</x:v>
      </x:c>
    </x:row>
    <x:row r="8686" spans="1:16">
      <x:c r="A8686" s="0" t="s">
        <x:v>34607</x:v>
      </x:c>
      <x:c r="B8686" s="0" t="s">
        <x:v>34608</x:v>
      </x:c>
      <x:c r="C8686" s="0" t="s">
        <x:v>34609</x:v>
      </x:c>
      <x:c r="E8686" s="0" t="s">
        <x:v>34610</x:v>
      </x:c>
      <x:c r="F8686" s="0" t="s">
        <x:v>45</x:v>
      </x:c>
      <x:c r="G8686" s="0" t="s">
        <x:v>19</x:v>
      </x:c>
      <x:c r="H8686" s="0" t="s">
        <x:v>20</x:v>
      </x:c>
      <x:c r="I8686" s="0" t="s">
        <x:v>21</x:v>
      </x:c>
      <x:c r="K8686" s="0">
        <x:f>hyperlink("https://icd.who.int/dev11/l-ichi/en#/http%3A%2F%2Fid.who.int%2Ficd%2Fentity%2F1034999905","browser")</x:f>
      </x:c>
      <x:c r="L8686" s="0">
        <x:f>hyperlink("https://icat2.azurewebsites.net/icat/?ontology=ICD&amp;tab=ClassesTab&amp;id=http%3A%2F%2Fwho.int%2Ficd%23687_7005c14c_2656_4f4b_85a0_8e71c99be967","iCat")</x:f>
      </x:c>
      <x:c r="M8686" s="0" t="s">
        <x:v>21</x:v>
      </x:c>
      <x:c r="N8686" s="0" t="s">
        <x:v>46</x:v>
      </x:c>
    </x:row>
    <x:row r="8687" spans="1:16">
      <x:c r="A8687" s="0" t="s">
        <x:v>34611</x:v>
      </x:c>
      <x:c r="B8687" s="0" t="s">
        <x:v>34612</x:v>
      </x:c>
      <x:c r="C8687" s="0" t="s">
        <x:v>34613</x:v>
      </x:c>
      <x:c r="E8687" s="0" t="s">
        <x:v>34614</x:v>
      </x:c>
      <x:c r="F8687" s="0" t="s">
        <x:v>45</x:v>
      </x:c>
      <x:c r="G8687" s="0" t="s">
        <x:v>19</x:v>
      </x:c>
      <x:c r="H8687" s="0" t="s">
        <x:v>20</x:v>
      </x:c>
      <x:c r="I8687" s="0" t="s">
        <x:v>21</x:v>
      </x:c>
      <x:c r="K8687" s="0">
        <x:f>hyperlink("https://icd.who.int/dev11/l-ichi/en#/http%3A%2F%2Fid.who.int%2Ficd%2Fentity%2F1651673412","browser")</x:f>
      </x:c>
      <x:c r="L8687" s="0">
        <x:f>hyperlink("https://icat2.azurewebsites.net/icat/?ontology=ICD&amp;tab=ClassesTab&amp;id=http%3A%2F%2Fwho.int%2Ficd%23693_7005c14c_2656_4f4b_85a0_8e71c99be967","iCat")</x:f>
      </x:c>
      <x:c r="M8687" s="0" t="s">
        <x:v>21</x:v>
      </x:c>
      <x:c r="N8687" s="0" t="s">
        <x:v>46</x:v>
      </x:c>
    </x:row>
    <x:row r="8688" spans="1:16">
      <x:c r="A8688" s="0" t="s">
        <x:v>34615</x:v>
      </x:c>
      <x:c r="B8688" s="0" t="s">
        <x:v>34616</x:v>
      </x:c>
      <x:c r="C8688" s="0" t="s">
        <x:v>34617</x:v>
      </x:c>
      <x:c r="E8688" s="0" t="s">
        <x:v>34618</x:v>
      </x:c>
      <x:c r="F8688" s="0" t="s">
        <x:v>45</x:v>
      </x:c>
      <x:c r="G8688" s="0" t="s">
        <x:v>19</x:v>
      </x:c>
      <x:c r="H8688" s="0" t="s">
        <x:v>20</x:v>
      </x:c>
      <x:c r="I8688" s="0" t="s">
        <x:v>21</x:v>
      </x:c>
      <x:c r="K8688" s="0">
        <x:f>hyperlink("https://icd.who.int/dev11/l-ichi/en#/http%3A%2F%2Fid.who.int%2Ficd%2Fentity%2F1234167252","browser")</x:f>
      </x:c>
      <x:c r="L8688" s="0">
        <x:f>hyperlink("https://icat2.azurewebsites.net/icat/?ontology=ICD&amp;tab=ClassesTab&amp;id=http%3A%2F%2Fwho.int%2Ficd%23699_7005c14c_2656_4f4b_85a0_8e71c99be967","iCat")</x:f>
      </x:c>
      <x:c r="M8688" s="0" t="s">
        <x:v>21</x:v>
      </x:c>
      <x:c r="N8688" s="0" t="s">
        <x:v>46</x:v>
      </x:c>
    </x:row>
    <x:row r="8689" spans="1:16">
      <x:c r="A8689" s="0" t="s">
        <x:v>34619</x:v>
      </x:c>
      <x:c r="B8689" s="0" t="s">
        <x:v>34620</x:v>
      </x:c>
      <x:c r="C8689" s="0" t="s">
        <x:v>34621</x:v>
      </x:c>
      <x:c r="E8689" s="0" t="s">
        <x:v>34622</x:v>
      </x:c>
      <x:c r="F8689" s="0" t="s">
        <x:v>45</x:v>
      </x:c>
      <x:c r="G8689" s="0" t="s">
        <x:v>19</x:v>
      </x:c>
      <x:c r="H8689" s="0" t="s">
        <x:v>20</x:v>
      </x:c>
      <x:c r="I8689" s="0" t="s">
        <x:v>21</x:v>
      </x:c>
      <x:c r="K8689" s="0">
        <x:f>hyperlink("https://icd.who.int/dev11/l-ichi/en#/http%3A%2F%2Fid.who.int%2Ficd%2Fentity%2F845306621","browser")</x:f>
      </x:c>
      <x:c r="L8689" s="0">
        <x:f>hyperlink("https://icat2.azurewebsites.net/icat/?ontology=ICD&amp;tab=ClassesTab&amp;id=http%3A%2F%2Fwho.int%2Ficd%23705_7005c14c_2656_4f4b_85a0_8e71c99be967","iCat")</x:f>
      </x:c>
      <x:c r="M8689" s="0" t="s">
        <x:v>21</x:v>
      </x:c>
      <x:c r="N8689" s="0" t="s">
        <x:v>46</x:v>
      </x:c>
    </x:row>
    <x:row r="8690" spans="1:16">
      <x:c r="A8690" s="0" t="s">
        <x:v>34623</x:v>
      </x:c>
      <x:c r="B8690" s="0" t="s">
        <x:v>34624</x:v>
      </x:c>
      <x:c r="C8690" s="0" t="s">
        <x:v>34625</x:v>
      </x:c>
      <x:c r="E8690" s="0" t="s">
        <x:v>34626</x:v>
      </x:c>
      <x:c r="F8690" s="0" t="s">
        <x:v>45</x:v>
      </x:c>
      <x:c r="G8690" s="0" t="s">
        <x:v>19</x:v>
      </x:c>
      <x:c r="H8690" s="0" t="s">
        <x:v>20</x:v>
      </x:c>
      <x:c r="I8690" s="0" t="s">
        <x:v>21</x:v>
      </x:c>
      <x:c r="K8690" s="0">
        <x:f>hyperlink("https://icd.who.int/dev11/l-ichi/en#/http%3A%2F%2Fid.who.int%2Ficd%2Fentity%2F148641307","browser")</x:f>
      </x:c>
      <x:c r="L8690" s="0">
        <x:f>hyperlink("https://icat2.azurewebsites.net/icat/?ontology=ICD&amp;tab=ClassesTab&amp;id=http%3A%2F%2Fwho.int%2Ficd%23713_7005c14c_2656_4f4b_85a0_8e71c99be967","iCat")</x:f>
      </x:c>
      <x:c r="M8690" s="0" t="s">
        <x:v>21</x:v>
      </x:c>
      <x:c r="N8690" s="0" t="s">
        <x:v>46</x:v>
      </x:c>
    </x:row>
    <x:row r="8691" spans="1:16">
      <x:c r="A8691" s="0" t="s">
        <x:v>34627</x:v>
      </x:c>
      <x:c r="B8691" s="0" t="s">
        <x:v>34628</x:v>
      </x:c>
      <x:c r="C8691" s="0" t="s">
        <x:v>34629</x:v>
      </x:c>
      <x:c r="E8691" s="0" t="s">
        <x:v>34630</x:v>
      </x:c>
      <x:c r="F8691" s="0" t="s">
        <x:v>45</x:v>
      </x:c>
      <x:c r="G8691" s="0" t="s">
        <x:v>19</x:v>
      </x:c>
      <x:c r="H8691" s="0" t="s">
        <x:v>20</x:v>
      </x:c>
      <x:c r="I8691" s="0" t="s">
        <x:v>21</x:v>
      </x:c>
      <x:c r="K8691" s="0">
        <x:f>hyperlink("https://icd.who.int/dev11/l-ichi/en#/http%3A%2F%2Fid.who.int%2Ficd%2Fentity%2F589396619","browser")</x:f>
      </x:c>
      <x:c r="L8691" s="0">
        <x:f>hyperlink("https://icat2.azurewebsites.net/icat/?ontology=ICD&amp;tab=ClassesTab&amp;id=http%3A%2F%2Fwho.int%2Ficd%23719_7005c14c_2656_4f4b_85a0_8e71c99be967","iCat")</x:f>
      </x:c>
      <x:c r="M8691" s="0" t="s">
        <x:v>21</x:v>
      </x:c>
      <x:c r="N8691" s="0" t="s">
        <x:v>46</x:v>
      </x:c>
    </x:row>
    <x:row r="8692" spans="1:16">
      <x:c r="A8692" s="0" t="s">
        <x:v>34631</x:v>
      </x:c>
      <x:c r="B8692" s="0" t="s">
        <x:v>34632</x:v>
      </x:c>
      <x:c r="C8692" s="0" t="s">
        <x:v>34633</x:v>
      </x:c>
      <x:c r="E8692" s="0" t="s">
        <x:v>34634</x:v>
      </x:c>
      <x:c r="F8692" s="0" t="s">
        <x:v>45</x:v>
      </x:c>
      <x:c r="G8692" s="0" t="s">
        <x:v>19</x:v>
      </x:c>
      <x:c r="H8692" s="0" t="s">
        <x:v>20</x:v>
      </x:c>
      <x:c r="I8692" s="0" t="s">
        <x:v>21</x:v>
      </x:c>
      <x:c r="K8692" s="0">
        <x:f>hyperlink("https://icd.who.int/dev11/l-ichi/en#/http%3A%2F%2Fid.who.int%2Ficd%2Fentity%2F404131757","browser")</x:f>
      </x:c>
      <x:c r="L8692" s="0">
        <x:f>hyperlink("https://icat2.azurewebsites.net/icat/?ontology=ICD&amp;tab=ClassesTab&amp;id=http%3A%2F%2Fwho.int%2Ficd%23725_7005c14c_2656_4f4b_85a0_8e71c99be967","iCat")</x:f>
      </x:c>
      <x:c r="M8692" s="0" t="s">
        <x:v>21</x:v>
      </x:c>
      <x:c r="N8692" s="0" t="s">
        <x:v>46</x:v>
      </x:c>
    </x:row>
    <x:row r="8693" spans="1:16">
      <x:c r="A8693" s="0" t="s">
        <x:v>34635</x:v>
      </x:c>
      <x:c r="B8693" s="0" t="s">
        <x:v>34636</x:v>
      </x:c>
      <x:c r="C8693" s="0" t="s">
        <x:v>34637</x:v>
      </x:c>
      <x:c r="E8693" s="0" t="s">
        <x:v>34638</x:v>
      </x:c>
      <x:c r="F8693" s="0" t="s">
        <x:v>45</x:v>
      </x:c>
      <x:c r="G8693" s="0" t="s">
        <x:v>19</x:v>
      </x:c>
      <x:c r="H8693" s="0" t="s">
        <x:v>20</x:v>
      </x:c>
      <x:c r="I8693" s="0" t="s">
        <x:v>21</x:v>
      </x:c>
      <x:c r="K8693" s="0">
        <x:f>hyperlink("https://icd.who.int/dev11/l-ichi/en#/http%3A%2F%2Fid.who.int%2Ficd%2Fentity%2F1205132944","browser")</x:f>
      </x:c>
      <x:c r="L8693" s="0">
        <x:f>hyperlink("https://icat2.azurewebsites.net/icat/?ontology=ICD&amp;tab=ClassesTab&amp;id=http%3A%2F%2Fwho.int%2Ficd%23731_7005c14c_2656_4f4b_85a0_8e71c99be967","iCat")</x:f>
      </x:c>
      <x:c r="M8693" s="0" t="s">
        <x:v>21</x:v>
      </x:c>
      <x:c r="N8693" s="0" t="s">
        <x:v>46</x:v>
      </x:c>
    </x:row>
    <x:row r="8694" spans="1:16">
      <x:c r="A8694" s="0" t="s">
        <x:v>34639</x:v>
      </x:c>
      <x:c r="B8694" s="0" t="s">
        <x:v>34640</x:v>
      </x:c>
      <x:c r="C8694" s="0" t="s">
        <x:v>34641</x:v>
      </x:c>
      <x:c r="E8694" s="0" t="s">
        <x:v>34642</x:v>
      </x:c>
      <x:c r="F8694" s="0" t="s">
        <x:v>45</x:v>
      </x:c>
      <x:c r="G8694" s="0" t="s">
        <x:v>19</x:v>
      </x:c>
      <x:c r="H8694" s="0" t="s">
        <x:v>20</x:v>
      </x:c>
      <x:c r="I8694" s="0" t="s">
        <x:v>21</x:v>
      </x:c>
      <x:c r="K8694" s="0">
        <x:f>hyperlink("https://icd.who.int/dev11/l-ichi/en#/http%3A%2F%2Fid.who.int%2Ficd%2Fentity%2F397346623","browser")</x:f>
      </x:c>
      <x:c r="L8694" s="0">
        <x:f>hyperlink("https://icat2.azurewebsites.net/icat/?ontology=ICD&amp;tab=ClassesTab&amp;id=http%3A%2F%2Fwho.int%2Ficd%23737_7005c14c_2656_4f4b_85a0_8e71c99be967","iCat")</x:f>
      </x:c>
      <x:c r="M8694" s="0" t="s">
        <x:v>21</x:v>
      </x:c>
      <x:c r="N8694" s="0" t="s">
        <x:v>46</x:v>
      </x:c>
    </x:row>
    <x:row r="8695" spans="1:16">
      <x:c r="A8695" s="0" t="s">
        <x:v>34643</x:v>
      </x:c>
      <x:c r="B8695" s="0" t="s">
        <x:v>34644</x:v>
      </x:c>
      <x:c r="C8695" s="0" t="s">
        <x:v>34645</x:v>
      </x:c>
      <x:c r="E8695" s="0" t="s">
        <x:v>34646</x:v>
      </x:c>
      <x:c r="F8695" s="0" t="s">
        <x:v>45</x:v>
      </x:c>
      <x:c r="G8695" s="0" t="s">
        <x:v>19</x:v>
      </x:c>
      <x:c r="H8695" s="0" t="s">
        <x:v>20</x:v>
      </x:c>
      <x:c r="I8695" s="0" t="s">
        <x:v>21</x:v>
      </x:c>
      <x:c r="K8695" s="0">
        <x:f>hyperlink("https://icd.who.int/dev11/l-ichi/en#/http%3A%2F%2Fid.who.int%2Ficd%2Fentity%2F310300753","browser")</x:f>
      </x:c>
      <x:c r="L8695" s="0">
        <x:f>hyperlink("https://icat2.azurewebsites.net/icat/?ontology=ICD&amp;tab=ClassesTab&amp;id=http%3A%2F%2Fwho.int%2Ficd%23743_7005c14c_2656_4f4b_85a0_8e71c99be967","iCat")</x:f>
      </x:c>
      <x:c r="M8695" s="0" t="s">
        <x:v>21</x:v>
      </x:c>
      <x:c r="N8695" s="0" t="s">
        <x:v>46</x:v>
      </x:c>
    </x:row>
    <x:row r="8696" spans="1:16">
      <x:c r="A8696" s="0" t="s">
        <x:v>34647</x:v>
      </x:c>
      <x:c r="B8696" s="0" t="s">
        <x:v>34648</x:v>
      </x:c>
      <x:c r="C8696" s="0" t="s">
        <x:v>34649</x:v>
      </x:c>
      <x:c r="E8696" s="0" t="s">
        <x:v>34650</x:v>
      </x:c>
      <x:c r="F8696" s="0" t="s">
        <x:v>45</x:v>
      </x:c>
      <x:c r="G8696" s="0" t="s">
        <x:v>19</x:v>
      </x:c>
      <x:c r="H8696" s="0" t="s">
        <x:v>20</x:v>
      </x:c>
      <x:c r="I8696" s="0" t="s">
        <x:v>21</x:v>
      </x:c>
      <x:c r="K8696" s="0">
        <x:f>hyperlink("https://icd.who.int/dev11/l-ichi/en#/http%3A%2F%2Fid.who.int%2Ficd%2Fentity%2F964934849","browser")</x:f>
      </x:c>
      <x:c r="L8696" s="0">
        <x:f>hyperlink("https://icat2.azurewebsites.net/icat/?ontology=ICD&amp;tab=ClassesTab&amp;id=http%3A%2F%2Fwho.int%2Ficd%23749_7005c14c_2656_4f4b_85a0_8e71c99be967","iCat")</x:f>
      </x:c>
      <x:c r="M8696" s="0" t="s">
        <x:v>21</x:v>
      </x:c>
      <x:c r="N8696" s="0" t="s">
        <x:v>46</x:v>
      </x:c>
    </x:row>
    <x:row r="8697" spans="1:16">
      <x:c r="A8697" s="0" t="s">
        <x:v>34651</x:v>
      </x:c>
      <x:c r="B8697" s="0" t="s">
        <x:v>34652</x:v>
      </x:c>
      <x:c r="C8697" s="0" t="s">
        <x:v>34653</x:v>
      </x:c>
      <x:c r="E8697" s="0" t="s">
        <x:v>34654</x:v>
      </x:c>
      <x:c r="F8697" s="0" t="s">
        <x:v>45</x:v>
      </x:c>
      <x:c r="G8697" s="0" t="s">
        <x:v>19</x:v>
      </x:c>
      <x:c r="H8697" s="0" t="s">
        <x:v>20</x:v>
      </x:c>
      <x:c r="I8697" s="0" t="s">
        <x:v>21</x:v>
      </x:c>
      <x:c r="K8697" s="0">
        <x:f>hyperlink("https://icd.who.int/dev11/l-ichi/en#/http%3A%2F%2Fid.who.int%2Ficd%2Fentity%2F683711671","browser")</x:f>
      </x:c>
      <x:c r="L8697" s="0">
        <x:f>hyperlink("https://icat2.azurewebsites.net/icat/?ontology=ICD&amp;tab=ClassesTab&amp;id=http%3A%2F%2Fwho.int%2Ficd%23755_7005c14c_2656_4f4b_85a0_8e71c99be967","iCat")</x:f>
      </x:c>
      <x:c r="M8697" s="0" t="s">
        <x:v>21</x:v>
      </x:c>
      <x:c r="N8697" s="0" t="s">
        <x:v>46</x:v>
      </x:c>
    </x:row>
    <x:row r="8698" spans="1:16">
      <x:c r="A8698" s="0" t="s">
        <x:v>34655</x:v>
      </x:c>
      <x:c r="B8698" s="0" t="s">
        <x:v>34656</x:v>
      </x:c>
      <x:c r="C8698" s="0" t="s">
        <x:v>34657</x:v>
      </x:c>
      <x:c r="E8698" s="0" t="s">
        <x:v>34658</x:v>
      </x:c>
      <x:c r="F8698" s="0" t="s">
        <x:v>45</x:v>
      </x:c>
      <x:c r="G8698" s="0" t="s">
        <x:v>19</x:v>
      </x:c>
      <x:c r="H8698" s="0" t="s">
        <x:v>20</x:v>
      </x:c>
      <x:c r="I8698" s="0" t="s">
        <x:v>21</x:v>
      </x:c>
      <x:c r="K8698" s="0">
        <x:f>hyperlink("https://icd.who.int/dev11/l-ichi/en#/http%3A%2F%2Fid.who.int%2Ficd%2Fentity%2F1568020678","browser")</x:f>
      </x:c>
      <x:c r="L8698" s="0">
        <x:f>hyperlink("https://icat2.azurewebsites.net/icat/?ontology=ICD&amp;tab=ClassesTab&amp;id=http%3A%2F%2Fwho.int%2Ficd%23761_7005c14c_2656_4f4b_85a0_8e71c99be967","iCat")</x:f>
      </x:c>
      <x:c r="M8698" s="0" t="s">
        <x:v>21</x:v>
      </x:c>
      <x:c r="N8698" s="0" t="s">
        <x:v>46</x:v>
      </x:c>
    </x:row>
    <x:row r="8699" spans="1:16">
      <x:c r="A8699" s="0" t="s">
        <x:v>34659</x:v>
      </x:c>
      <x:c r="B8699" s="0" t="s">
        <x:v>34660</x:v>
      </x:c>
      <x:c r="C8699" s="0" t="s">
        <x:v>34661</x:v>
      </x:c>
      <x:c r="E8699" s="0" t="s">
        <x:v>34662</x:v>
      </x:c>
      <x:c r="F8699" s="0" t="s">
        <x:v>45</x:v>
      </x:c>
      <x:c r="G8699" s="0" t="s">
        <x:v>19</x:v>
      </x:c>
      <x:c r="H8699" s="0" t="s">
        <x:v>20</x:v>
      </x:c>
      <x:c r="I8699" s="0" t="s">
        <x:v>21</x:v>
      </x:c>
      <x:c r="K8699" s="0">
        <x:f>hyperlink("https://icd.who.int/dev11/l-ichi/en#/http%3A%2F%2Fid.who.int%2Ficd%2Fentity%2F219005301","browser")</x:f>
      </x:c>
      <x:c r="L8699" s="0">
        <x:f>hyperlink("https://icat2.azurewebsites.net/icat/?ontology=ICD&amp;tab=ClassesTab&amp;id=http%3A%2F%2Fwho.int%2Ficd%23767_7005c14c_2656_4f4b_85a0_8e71c99be967","iCat")</x:f>
      </x:c>
      <x:c r="M8699" s="0" t="s">
        <x:v>21</x:v>
      </x:c>
      <x:c r="N8699" s="0" t="s">
        <x:v>46</x:v>
      </x:c>
    </x:row>
    <x:row r="8700" spans="1:16">
      <x:c r="A8700" s="0" t="s">
        <x:v>34663</x:v>
      </x:c>
      <x:c r="B8700" s="0" t="s">
        <x:v>34664</x:v>
      </x:c>
      <x:c r="C8700" s="0" t="s">
        <x:v>34665</x:v>
      </x:c>
      <x:c r="E8700" s="0" t="s">
        <x:v>34666</x:v>
      </x:c>
      <x:c r="F8700" s="0" t="s">
        <x:v>45</x:v>
      </x:c>
      <x:c r="G8700" s="0" t="s">
        <x:v>19</x:v>
      </x:c>
      <x:c r="H8700" s="0" t="s">
        <x:v>20</x:v>
      </x:c>
      <x:c r="I8700" s="0" t="s">
        <x:v>21</x:v>
      </x:c>
      <x:c r="K8700" s="0">
        <x:f>hyperlink("https://icd.who.int/dev11/l-ichi/en#/http%3A%2F%2Fid.who.int%2Ficd%2Fentity%2F1389334616","browser")</x:f>
      </x:c>
      <x:c r="L8700" s="0">
        <x:f>hyperlink("https://icat2.azurewebsites.net/icat/?ontology=ICD&amp;tab=ClassesTab&amp;id=http%3A%2F%2Fwho.int%2Ficd%23773_7005c14c_2656_4f4b_85a0_8e71c99be967","iCat")</x:f>
      </x:c>
      <x:c r="M8700" s="0" t="s">
        <x:v>21</x:v>
      </x:c>
      <x:c r="N8700" s="0" t="s">
        <x:v>46</x:v>
      </x:c>
    </x:row>
    <x:row r="8701" spans="1:16">
      <x:c r="A8701" s="0" t="s">
        <x:v>34667</x:v>
      </x:c>
      <x:c r="B8701" s="0" t="s">
        <x:v>34668</x:v>
      </x:c>
      <x:c r="C8701" s="0" t="s">
        <x:v>34669</x:v>
      </x:c>
      <x:c r="E8701" s="0" t="s">
        <x:v>34670</x:v>
      </x:c>
      <x:c r="F8701" s="0" t="s">
        <x:v>45</x:v>
      </x:c>
      <x:c r="G8701" s="0" t="s">
        <x:v>19</x:v>
      </x:c>
      <x:c r="H8701" s="0" t="s">
        <x:v>20</x:v>
      </x:c>
      <x:c r="I8701" s="0" t="s">
        <x:v>21</x:v>
      </x:c>
      <x:c r="K8701" s="0">
        <x:f>hyperlink("https://icd.who.int/dev11/l-ichi/en#/http%3A%2F%2Fid.who.int%2Ficd%2Fentity%2F2033384648","browser")</x:f>
      </x:c>
      <x:c r="L8701" s="0">
        <x:f>hyperlink("https://icat2.azurewebsites.net/icat/?ontology=ICD&amp;tab=ClassesTab&amp;id=http%3A%2F%2Fwho.int%2Ficd%23779_7005c14c_2656_4f4b_85a0_8e71c99be967","iCat")</x:f>
      </x:c>
      <x:c r="M8701" s="0" t="s">
        <x:v>21</x:v>
      </x:c>
      <x:c r="N8701" s="0" t="s">
        <x:v>46</x:v>
      </x:c>
    </x:row>
    <x:row r="8702" spans="1:16">
      <x:c r="A8702" s="0" t="s">
        <x:v>34671</x:v>
      </x:c>
      <x:c r="B8702" s="0" t="s">
        <x:v>34672</x:v>
      </x:c>
      <x:c r="C8702" s="0" t="s">
        <x:v>34673</x:v>
      </x:c>
      <x:c r="E8702" s="0" t="s">
        <x:v>34674</x:v>
      </x:c>
      <x:c r="F8702" s="0" t="s">
        <x:v>45</x:v>
      </x:c>
      <x:c r="G8702" s="0" t="s">
        <x:v>19</x:v>
      </x:c>
      <x:c r="H8702" s="0" t="s">
        <x:v>20</x:v>
      </x:c>
      <x:c r="I8702" s="0" t="s">
        <x:v>21</x:v>
      </x:c>
      <x:c r="K8702" s="0">
        <x:f>hyperlink("https://icd.who.int/dev11/l-ichi/en#/http%3A%2F%2Fid.who.int%2Ficd%2Fentity%2F760415033","browser")</x:f>
      </x:c>
      <x:c r="L8702" s="0">
        <x:f>hyperlink("https://icat2.azurewebsites.net/icat/?ontology=ICD&amp;tab=ClassesTab&amp;id=http%3A%2F%2Fwho.int%2Ficd%23785_7005c14c_2656_4f4b_85a0_8e71c99be967","iCat")</x:f>
      </x:c>
      <x:c r="M8702" s="0" t="s">
        <x:v>21</x:v>
      </x:c>
      <x:c r="N8702" s="0" t="s">
        <x:v>46</x:v>
      </x:c>
    </x:row>
    <x:row r="8703" spans="1:16">
      <x:c r="A8703" s="0" t="s">
        <x:v>34675</x:v>
      </x:c>
      <x:c r="B8703" s="0" t="s">
        <x:v>34676</x:v>
      </x:c>
      <x:c r="C8703" s="0" t="s">
        <x:v>34677</x:v>
      </x:c>
      <x:c r="E8703" s="0" t="s">
        <x:v>34678</x:v>
      </x:c>
      <x:c r="F8703" s="0" t="s">
        <x:v>45</x:v>
      </x:c>
      <x:c r="G8703" s="0" t="s">
        <x:v>19</x:v>
      </x:c>
      <x:c r="H8703" s="0" t="s">
        <x:v>20</x:v>
      </x:c>
      <x:c r="I8703" s="0" t="s">
        <x:v>21</x:v>
      </x:c>
      <x:c r="K8703" s="0">
        <x:f>hyperlink("https://icd.who.int/dev11/l-ichi/en#/http%3A%2F%2Fid.who.int%2Ficd%2Fentity%2F1922126364","browser")</x:f>
      </x:c>
      <x:c r="L8703" s="0">
        <x:f>hyperlink("https://icat2.azurewebsites.net/icat/?ontology=ICD&amp;tab=ClassesTab&amp;id=http%3A%2F%2Fwho.int%2Ficd%23791_7005c14c_2656_4f4b_85a0_8e71c99be967","iCat")</x:f>
      </x:c>
      <x:c r="M8703" s="0" t="s">
        <x:v>21</x:v>
      </x:c>
      <x:c r="N8703" s="0" t="s">
        <x:v>46</x:v>
      </x:c>
    </x:row>
    <x:row r="8704" spans="1:16">
      <x:c r="A8704" s="0" t="s">
        <x:v>34679</x:v>
      </x:c>
      <x:c r="B8704" s="0" t="s">
        <x:v>34680</x:v>
      </x:c>
      <x:c r="C8704" s="0" t="s">
        <x:v>34681</x:v>
      </x:c>
      <x:c r="E8704" s="0" t="s">
        <x:v>34682</x:v>
      </x:c>
      <x:c r="F8704" s="0" t="s">
        <x:v>45</x:v>
      </x:c>
      <x:c r="G8704" s="0" t="s">
        <x:v>19</x:v>
      </x:c>
      <x:c r="H8704" s="0" t="s">
        <x:v>20</x:v>
      </x:c>
      <x:c r="I8704" s="0" t="s">
        <x:v>21</x:v>
      </x:c>
      <x:c r="K8704" s="0">
        <x:f>hyperlink("https://icd.who.int/dev11/l-ichi/en#/http%3A%2F%2Fid.who.int%2Ficd%2Fentity%2F585796523","browser")</x:f>
      </x:c>
      <x:c r="L8704" s="0">
        <x:f>hyperlink("https://icat2.azurewebsites.net/icat/?ontology=ICD&amp;tab=ClassesTab&amp;id=http%3A%2F%2Fwho.int%2Ficd%23797_7005c14c_2656_4f4b_85a0_8e71c99be967","iCat")</x:f>
      </x:c>
      <x:c r="M8704" s="0" t="s">
        <x:v>21</x:v>
      </x:c>
      <x:c r="N8704" s="0" t="s">
        <x:v>46</x:v>
      </x:c>
    </x:row>
    <x:row r="8705" spans="1:16">
      <x:c r="A8705" s="0" t="s">
        <x:v>34683</x:v>
      </x:c>
      <x:c r="B8705" s="0" t="s">
        <x:v>34684</x:v>
      </x:c>
      <x:c r="C8705" s="0" t="s">
        <x:v>34685</x:v>
      </x:c>
      <x:c r="E8705" s="0" t="s">
        <x:v>34686</x:v>
      </x:c>
      <x:c r="F8705" s="0" t="s">
        <x:v>45</x:v>
      </x:c>
      <x:c r="G8705" s="0" t="s">
        <x:v>19</x:v>
      </x:c>
      <x:c r="H8705" s="0" t="s">
        <x:v>20</x:v>
      </x:c>
      <x:c r="I8705" s="0" t="s">
        <x:v>21</x:v>
      </x:c>
      <x:c r="K8705" s="0">
        <x:f>hyperlink("https://icd.who.int/dev11/l-ichi/en#/http%3A%2F%2Fid.who.int%2Ficd%2Fentity%2F1143982843","browser")</x:f>
      </x:c>
      <x:c r="L8705" s="0">
        <x:f>hyperlink("https://icat2.azurewebsites.net/icat/?ontology=ICD&amp;tab=ClassesTab&amp;id=http%3A%2F%2Fwho.int%2Ficd%23805_7005c14c_2656_4f4b_85a0_8e71c99be967","iCat")</x:f>
      </x:c>
      <x:c r="M8705" s="0" t="s">
        <x:v>21</x:v>
      </x:c>
      <x:c r="N8705" s="0" t="s">
        <x:v>46</x:v>
      </x:c>
    </x:row>
    <x:row r="8706" spans="1:16">
      <x:c r="A8706" s="0" t="s">
        <x:v>34687</x:v>
      </x:c>
      <x:c r="B8706" s="0" t="s">
        <x:v>34688</x:v>
      </x:c>
      <x:c r="C8706" s="0" t="s">
        <x:v>34689</x:v>
      </x:c>
      <x:c r="E8706" s="0" t="s">
        <x:v>34690</x:v>
      </x:c>
      <x:c r="F8706" s="0" t="s">
        <x:v>45</x:v>
      </x:c>
      <x:c r="G8706" s="0" t="s">
        <x:v>19</x:v>
      </x:c>
      <x:c r="H8706" s="0" t="s">
        <x:v>20</x:v>
      </x:c>
      <x:c r="I8706" s="0" t="s">
        <x:v>21</x:v>
      </x:c>
      <x:c r="K8706" s="0">
        <x:f>hyperlink("https://icd.who.int/dev11/l-ichi/en#/http%3A%2F%2Fid.who.int%2Ficd%2Fentity%2F468556762","browser")</x:f>
      </x:c>
      <x:c r="L8706" s="0">
        <x:f>hyperlink("https://icat2.azurewebsites.net/icat/?ontology=ICD&amp;tab=ClassesTab&amp;id=http%3A%2F%2Fwho.int%2Ficd%23811_7005c14c_2656_4f4b_85a0_8e71c99be967","iCat")</x:f>
      </x:c>
      <x:c r="M8706" s="0" t="s">
        <x:v>21</x:v>
      </x:c>
      <x:c r="N8706" s="0" t="s">
        <x:v>46</x:v>
      </x:c>
    </x:row>
    <x:row r="8707" spans="1:16">
      <x:c r="A8707" s="0" t="s">
        <x:v>34691</x:v>
      </x:c>
      <x:c r="B8707" s="0" t="s">
        <x:v>34692</x:v>
      </x:c>
      <x:c r="C8707" s="0" t="s">
        <x:v>34693</x:v>
      </x:c>
      <x:c r="E8707" s="0" t="s">
        <x:v>34694</x:v>
      </x:c>
      <x:c r="F8707" s="0" t="s">
        <x:v>45</x:v>
      </x:c>
      <x:c r="G8707" s="0" t="s">
        <x:v>19</x:v>
      </x:c>
      <x:c r="H8707" s="0" t="s">
        <x:v>20</x:v>
      </x:c>
      <x:c r="I8707" s="0" t="s">
        <x:v>21</x:v>
      </x:c>
      <x:c r="K8707" s="0">
        <x:f>hyperlink("https://icd.who.int/dev11/l-ichi/en#/http%3A%2F%2Fid.who.int%2Ficd%2Fentity%2F1268138601","browser")</x:f>
      </x:c>
      <x:c r="L8707" s="0">
        <x:f>hyperlink("https://icat2.azurewebsites.net/icat/?ontology=ICD&amp;tab=ClassesTab&amp;id=http%3A%2F%2Fwho.int%2Ficd%23817_7005c14c_2656_4f4b_85a0_8e71c99be967","iCat")</x:f>
      </x:c>
      <x:c r="M8707" s="0" t="s">
        <x:v>21</x:v>
      </x:c>
      <x:c r="N8707" s="0" t="s">
        <x:v>46</x:v>
      </x:c>
    </x:row>
    <x:row r="8708" spans="1:16">
      <x:c r="A8708" s="0" t="s">
        <x:v>34695</x:v>
      </x:c>
      <x:c r="B8708" s="0" t="s">
        <x:v>34696</x:v>
      </x:c>
      <x:c r="C8708" s="0" t="s">
        <x:v>34697</x:v>
      </x:c>
      <x:c r="E8708" s="0" t="s">
        <x:v>34698</x:v>
      </x:c>
      <x:c r="F8708" s="0" t="s">
        <x:v>45</x:v>
      </x:c>
      <x:c r="G8708" s="0" t="s">
        <x:v>19</x:v>
      </x:c>
      <x:c r="H8708" s="0" t="s">
        <x:v>20</x:v>
      </x:c>
      <x:c r="I8708" s="0" t="s">
        <x:v>21</x:v>
      </x:c>
      <x:c r="K8708" s="0">
        <x:f>hyperlink("https://icd.who.int/dev11/l-ichi/en#/http%3A%2F%2Fid.who.int%2Ficd%2Fentity%2F1042335258","browser")</x:f>
      </x:c>
      <x:c r="L8708" s="0">
        <x:f>hyperlink("https://icat2.azurewebsites.net/icat/?ontology=ICD&amp;tab=ClassesTab&amp;id=http%3A%2F%2Fwho.int%2Ficd%23823_7005c14c_2656_4f4b_85a0_8e71c99be967","iCat")</x:f>
      </x:c>
      <x:c r="M8708" s="0" t="s">
        <x:v>21</x:v>
      </x:c>
      <x:c r="N8708" s="0" t="s">
        <x:v>46</x:v>
      </x:c>
    </x:row>
    <x:row r="8709" spans="1:16">
      <x:c r="A8709" s="0" t="s">
        <x:v>34699</x:v>
      </x:c>
      <x:c r="B8709" s="0" t="s">
        <x:v>34700</x:v>
      </x:c>
      <x:c r="C8709" s="0" t="s">
        <x:v>34701</x:v>
      </x:c>
      <x:c r="E8709" s="0" t="s">
        <x:v>34702</x:v>
      </x:c>
      <x:c r="F8709" s="0" t="s">
        <x:v>45</x:v>
      </x:c>
      <x:c r="G8709" s="0" t="s">
        <x:v>19</x:v>
      </x:c>
      <x:c r="H8709" s="0" t="s">
        <x:v>20</x:v>
      </x:c>
      <x:c r="I8709" s="0" t="s">
        <x:v>21</x:v>
      </x:c>
      <x:c r="K8709" s="0">
        <x:f>hyperlink("https://icd.who.int/dev11/l-ichi/en#/http%3A%2F%2Fid.who.int%2Ficd%2Fentity%2F366848650","browser")</x:f>
      </x:c>
      <x:c r="L8709" s="0">
        <x:f>hyperlink("https://icat2.azurewebsites.net/icat/?ontology=ICD&amp;tab=ClassesTab&amp;id=http%3A%2F%2Fwho.int%2Ficd%23829_7005c14c_2656_4f4b_85a0_8e71c99be967","iCat")</x:f>
      </x:c>
      <x:c r="M8709" s="0" t="s">
        <x:v>21</x:v>
      </x:c>
      <x:c r="N8709" s="0" t="s">
        <x:v>46</x:v>
      </x:c>
    </x:row>
    <x:row r="8710" spans="1:16">
      <x:c r="A8710" s="0" t="s">
        <x:v>34703</x:v>
      </x:c>
      <x:c r="B8710" s="0" t="s">
        <x:v>34704</x:v>
      </x:c>
      <x:c r="C8710" s="0" t="s">
        <x:v>34705</x:v>
      </x:c>
      <x:c r="E8710" s="0" t="s">
        <x:v>34706</x:v>
      </x:c>
      <x:c r="F8710" s="0" t="s">
        <x:v>45</x:v>
      </x:c>
      <x:c r="G8710" s="0" t="s">
        <x:v>19</x:v>
      </x:c>
      <x:c r="H8710" s="0" t="s">
        <x:v>20</x:v>
      </x:c>
      <x:c r="I8710" s="0" t="s">
        <x:v>21</x:v>
      </x:c>
      <x:c r="K8710" s="0">
        <x:f>hyperlink("https://icd.who.int/dev11/l-ichi/en#/http%3A%2F%2Fid.who.int%2Ficd%2Fentity%2F77499134","browser")</x:f>
      </x:c>
      <x:c r="L8710" s="0">
        <x:f>hyperlink("https://icat2.azurewebsites.net/icat/?ontology=ICD&amp;tab=ClassesTab&amp;id=http%3A%2F%2Fwho.int%2Ficd%23835_7005c14c_2656_4f4b_85a0_8e71c99be967","iCat")</x:f>
      </x:c>
      <x:c r="M8710" s="0" t="s">
        <x:v>21</x:v>
      </x:c>
      <x:c r="N8710" s="0" t="s">
        <x:v>46</x:v>
      </x:c>
    </x:row>
    <x:row r="8711" spans="1:16">
      <x:c r="A8711" s="0" t="s">
        <x:v>34707</x:v>
      </x:c>
      <x:c r="B8711" s="0" t="s">
        <x:v>34708</x:v>
      </x:c>
      <x:c r="C8711" s="0" t="s">
        <x:v>34709</x:v>
      </x:c>
      <x:c r="E8711" s="0" t="s">
        <x:v>34710</x:v>
      </x:c>
      <x:c r="F8711" s="0" t="s">
        <x:v>45</x:v>
      </x:c>
      <x:c r="G8711" s="0" t="s">
        <x:v>19</x:v>
      </x:c>
      <x:c r="H8711" s="0" t="s">
        <x:v>20</x:v>
      </x:c>
      <x:c r="I8711" s="0" t="s">
        <x:v>21</x:v>
      </x:c>
      <x:c r="K8711" s="0">
        <x:f>hyperlink("https://icd.who.int/dev11/l-ichi/en#/http%3A%2F%2Fid.who.int%2Ficd%2Fentity%2F21978516","browser")</x:f>
      </x:c>
      <x:c r="L8711" s="0">
        <x:f>hyperlink("https://icat2.azurewebsites.net/icat/?ontology=ICD&amp;tab=ClassesTab&amp;id=http%3A%2F%2Fwho.int%2Ficd%23841_7005c14c_2656_4f4b_85a0_8e71c99be967","iCat")</x:f>
      </x:c>
      <x:c r="M8711" s="0" t="s">
        <x:v>21</x:v>
      </x:c>
      <x:c r="N8711" s="0" t="s">
        <x:v>46</x:v>
      </x:c>
    </x:row>
    <x:row r="8712" spans="1:16">
      <x:c r="A8712" s="0" t="s">
        <x:v>34711</x:v>
      </x:c>
      <x:c r="B8712" s="0" t="s">
        <x:v>34712</x:v>
      </x:c>
      <x:c r="C8712" s="0" t="s">
        <x:v>34713</x:v>
      </x:c>
      <x:c r="E8712" s="0" t="s">
        <x:v>34714</x:v>
      </x:c>
      <x:c r="F8712" s="0" t="s">
        <x:v>45</x:v>
      </x:c>
      <x:c r="G8712" s="0" t="s">
        <x:v>19</x:v>
      </x:c>
      <x:c r="H8712" s="0" t="s">
        <x:v>20</x:v>
      </x:c>
      <x:c r="I8712" s="0" t="s">
        <x:v>21</x:v>
      </x:c>
      <x:c r="K8712" s="0">
        <x:f>hyperlink("https://icd.who.int/dev11/l-ichi/en#/http%3A%2F%2Fid.who.int%2Ficd%2Fentity%2F1362396195","browser")</x:f>
      </x:c>
      <x:c r="L8712" s="0">
        <x:f>hyperlink("https://icat2.azurewebsites.net/icat/?ontology=ICD&amp;tab=ClassesTab&amp;id=http%3A%2F%2Fwho.int%2Ficd%23847_7005c14c_2656_4f4b_85a0_8e71c99be967","iCat")</x:f>
      </x:c>
      <x:c r="M8712" s="0" t="s">
        <x:v>21</x:v>
      </x:c>
      <x:c r="N8712" s="0" t="s">
        <x:v>46</x:v>
      </x:c>
    </x:row>
    <x:row r="8713" spans="1:16">
      <x:c r="A8713" s="0" t="s">
        <x:v>34715</x:v>
      </x:c>
      <x:c r="B8713" s="0" t="s">
        <x:v>34716</x:v>
      </x:c>
      <x:c r="C8713" s="0" t="s">
        <x:v>34717</x:v>
      </x:c>
      <x:c r="E8713" s="0" t="s">
        <x:v>34718</x:v>
      </x:c>
      <x:c r="F8713" s="0" t="s">
        <x:v>45</x:v>
      </x:c>
      <x:c r="G8713" s="0" t="s">
        <x:v>19</x:v>
      </x:c>
      <x:c r="H8713" s="0" t="s">
        <x:v>20</x:v>
      </x:c>
      <x:c r="I8713" s="0" t="s">
        <x:v>21</x:v>
      </x:c>
      <x:c r="K8713" s="0">
        <x:f>hyperlink("https://icd.who.int/dev11/l-ichi/en#/http%3A%2F%2Fid.who.int%2Ficd%2Fentity%2F251057410","browser")</x:f>
      </x:c>
      <x:c r="L8713" s="0">
        <x:f>hyperlink("https://icat2.azurewebsites.net/icat/?ontology=ICD&amp;tab=ClassesTab&amp;id=http%3A%2F%2Fwho.int%2Ficd%23853_7005c14c_2656_4f4b_85a0_8e71c99be967","iCat")</x:f>
      </x:c>
      <x:c r="M8713" s="0" t="s">
        <x:v>21</x:v>
      </x:c>
      <x:c r="N8713" s="0" t="s">
        <x:v>46</x:v>
      </x:c>
    </x:row>
    <x:row r="8714" spans="1:16">
      <x:c r="A8714" s="0" t="s">
        <x:v>34719</x:v>
      </x:c>
      <x:c r="B8714" s="0" t="s">
        <x:v>34720</x:v>
      </x:c>
      <x:c r="C8714" s="0" t="s">
        <x:v>34721</x:v>
      </x:c>
      <x:c r="E8714" s="0" t="s">
        <x:v>34722</x:v>
      </x:c>
      <x:c r="F8714" s="0" t="s">
        <x:v>45</x:v>
      </x:c>
      <x:c r="G8714" s="0" t="s">
        <x:v>19</x:v>
      </x:c>
      <x:c r="H8714" s="0" t="s">
        <x:v>20</x:v>
      </x:c>
      <x:c r="I8714" s="0" t="s">
        <x:v>21</x:v>
      </x:c>
      <x:c r="K8714" s="0">
        <x:f>hyperlink("https://icd.who.int/dev11/l-ichi/en#/http%3A%2F%2Fid.who.int%2Ficd%2Fentity%2F621525394","browser")</x:f>
      </x:c>
      <x:c r="L8714" s="0">
        <x:f>hyperlink("https://icat2.azurewebsites.net/icat/?ontology=ICD&amp;tab=ClassesTab&amp;id=http%3A%2F%2Fwho.int%2Ficd%23859_7005c14c_2656_4f4b_85a0_8e71c99be967","iCat")</x:f>
      </x:c>
      <x:c r="M8714" s="0" t="s">
        <x:v>21</x:v>
      </x:c>
      <x:c r="N8714" s="0" t="s">
        <x:v>46</x:v>
      </x:c>
    </x:row>
    <x:row r="8715" spans="1:16">
      <x:c r="A8715" s="0" t="s">
        <x:v>34723</x:v>
      </x:c>
      <x:c r="B8715" s="0" t="s">
        <x:v>34724</x:v>
      </x:c>
      <x:c r="C8715" s="0" t="s">
        <x:v>34725</x:v>
      </x:c>
      <x:c r="E8715" s="0" t="s">
        <x:v>34726</x:v>
      </x:c>
      <x:c r="F8715" s="0" t="s">
        <x:v>45</x:v>
      </x:c>
      <x:c r="G8715" s="0" t="s">
        <x:v>19</x:v>
      </x:c>
      <x:c r="H8715" s="0" t="s">
        <x:v>20</x:v>
      </x:c>
      <x:c r="I8715" s="0" t="s">
        <x:v>21</x:v>
      </x:c>
      <x:c r="K8715" s="0">
        <x:f>hyperlink("https://icd.who.int/dev11/l-ichi/en#/http%3A%2F%2Fid.who.int%2Ficd%2Fentity%2F507268280","browser")</x:f>
      </x:c>
      <x:c r="L8715" s="0">
        <x:f>hyperlink("https://icat2.azurewebsites.net/icat/?ontology=ICD&amp;tab=ClassesTab&amp;id=http%3A%2F%2Fwho.int%2Ficd%23865_7005c14c_2656_4f4b_85a0_8e71c99be967","iCat")</x:f>
      </x:c>
      <x:c r="M8715" s="0" t="s">
        <x:v>21</x:v>
      </x:c>
      <x:c r="N8715" s="0" t="s">
        <x:v>46</x:v>
      </x:c>
    </x:row>
    <x:row r="8716" spans="1:16">
      <x:c r="A8716" s="0" t="s">
        <x:v>34727</x:v>
      </x:c>
      <x:c r="B8716" s="0" t="s">
        <x:v>34728</x:v>
      </x:c>
      <x:c r="C8716" s="0" t="s">
        <x:v>34729</x:v>
      </x:c>
      <x:c r="E8716" s="0" t="s">
        <x:v>34730</x:v>
      </x:c>
      <x:c r="F8716" s="0" t="s">
        <x:v>45</x:v>
      </x:c>
      <x:c r="G8716" s="0" t="s">
        <x:v>19</x:v>
      </x:c>
      <x:c r="H8716" s="0" t="s">
        <x:v>20</x:v>
      </x:c>
      <x:c r="I8716" s="0" t="s">
        <x:v>21</x:v>
      </x:c>
      <x:c r="K8716" s="0">
        <x:f>hyperlink("https://icd.who.int/dev11/l-ichi/en#/http%3A%2F%2Fid.who.int%2Ficd%2Fentity%2F1107172757","browser")</x:f>
      </x:c>
      <x:c r="L8716" s="0">
        <x:f>hyperlink("https://icat2.azurewebsites.net/icat/?ontology=ICD&amp;tab=ClassesTab&amp;id=http%3A%2F%2Fwho.int%2Ficd%23871_7005c14c_2656_4f4b_85a0_8e71c99be967","iCat")</x:f>
      </x:c>
      <x:c r="M8716" s="0" t="s">
        <x:v>21</x:v>
      </x:c>
      <x:c r="N8716" s="0" t="s">
        <x:v>46</x:v>
      </x:c>
    </x:row>
    <x:row r="8717" spans="1:16">
      <x:c r="A8717" s="0" t="s">
        <x:v>34731</x:v>
      </x:c>
      <x:c r="B8717" s="0" t="s">
        <x:v>34732</x:v>
      </x:c>
      <x:c r="C8717" s="0" t="s">
        <x:v>34733</x:v>
      </x:c>
      <x:c r="E8717" s="0" t="s">
        <x:v>34734</x:v>
      </x:c>
      <x:c r="F8717" s="0" t="s">
        <x:v>45</x:v>
      </x:c>
      <x:c r="G8717" s="0" t="s">
        <x:v>19</x:v>
      </x:c>
      <x:c r="H8717" s="0" t="s">
        <x:v>20</x:v>
      </x:c>
      <x:c r="I8717" s="0" t="s">
        <x:v>21</x:v>
      </x:c>
      <x:c r="K8717" s="0">
        <x:f>hyperlink("https://icd.who.int/dev11/l-ichi/en#/http%3A%2F%2Fid.who.int%2Ficd%2Fentity%2F293979174","browser")</x:f>
      </x:c>
      <x:c r="L8717" s="0">
        <x:f>hyperlink("https://icat2.azurewebsites.net/icat/?ontology=ICD&amp;tab=ClassesTab&amp;id=http%3A%2F%2Fwho.int%2Ficd%23877_7005c14c_2656_4f4b_85a0_8e71c99be967","iCat")</x:f>
      </x:c>
      <x:c r="M8717" s="0" t="s">
        <x:v>21</x:v>
      </x:c>
      <x:c r="N8717" s="0" t="s">
        <x:v>46</x:v>
      </x:c>
    </x:row>
    <x:row r="8718" spans="1:16">
      <x:c r="A8718" s="0" t="s">
        <x:v>34735</x:v>
      </x:c>
      <x:c r="B8718" s="0" t="s">
        <x:v>34736</x:v>
      </x:c>
      <x:c r="C8718" s="0" t="s">
        <x:v>34737</x:v>
      </x:c>
      <x:c r="E8718" s="0" t="s">
        <x:v>34738</x:v>
      </x:c>
      <x:c r="F8718" s="0" t="s">
        <x:v>45</x:v>
      </x:c>
      <x:c r="G8718" s="0" t="s">
        <x:v>19</x:v>
      </x:c>
      <x:c r="H8718" s="0" t="s">
        <x:v>20</x:v>
      </x:c>
      <x:c r="I8718" s="0" t="s">
        <x:v>21</x:v>
      </x:c>
      <x:c r="K8718" s="0">
        <x:f>hyperlink("https://icd.who.int/dev11/l-ichi/en#/http%3A%2F%2Fid.who.int%2Ficd%2Fentity%2F191187598","browser")</x:f>
      </x:c>
      <x:c r="L8718" s="0">
        <x:f>hyperlink("https://icat2.azurewebsites.net/icat/?ontology=ICD&amp;tab=ClassesTab&amp;id=http%3A%2F%2Fwho.int%2Ficd%23883_7005c14c_2656_4f4b_85a0_8e71c99be967","iCat")</x:f>
      </x:c>
      <x:c r="M8718" s="0" t="s">
        <x:v>21</x:v>
      </x:c>
      <x:c r="N8718" s="0" t="s">
        <x:v>46</x:v>
      </x:c>
    </x:row>
    <x:row r="8719" spans="1:16">
      <x:c r="A8719" s="0" t="s">
        <x:v>34739</x:v>
      </x:c>
      <x:c r="B8719" s="0" t="s">
        <x:v>34740</x:v>
      </x:c>
      <x:c r="C8719" s="0" t="s">
        <x:v>34741</x:v>
      </x:c>
      <x:c r="E8719" s="0" t="s">
        <x:v>34742</x:v>
      </x:c>
      <x:c r="F8719" s="0" t="s">
        <x:v>45</x:v>
      </x:c>
      <x:c r="G8719" s="0" t="s">
        <x:v>19</x:v>
      </x:c>
      <x:c r="H8719" s="0" t="s">
        <x:v>20</x:v>
      </x:c>
      <x:c r="I8719" s="0" t="s">
        <x:v>21</x:v>
      </x:c>
      <x:c r="K8719" s="0">
        <x:f>hyperlink("https://icd.who.int/dev11/l-ichi/en#/http%3A%2F%2Fid.who.int%2Ficd%2Fentity%2F546842142","browser")</x:f>
      </x:c>
      <x:c r="L8719" s="0">
        <x:f>hyperlink("https://icat2.azurewebsites.net/icat/?ontology=ICD&amp;tab=ClassesTab&amp;id=http%3A%2F%2Fwho.int%2Ficd%23889_7005c14c_2656_4f4b_85a0_8e71c99be967","iCat")</x:f>
      </x:c>
      <x:c r="M8719" s="0" t="s">
        <x:v>21</x:v>
      </x:c>
      <x:c r="N8719" s="0" t="s">
        <x:v>46</x:v>
      </x:c>
    </x:row>
    <x:row r="8720" spans="1:16">
      <x:c r="A8720" s="0" t="s">
        <x:v>34743</x:v>
      </x:c>
      <x:c r="B8720" s="0" t="s">
        <x:v>34744</x:v>
      </x:c>
      <x:c r="C8720" s="0" t="s">
        <x:v>34745</x:v>
      </x:c>
      <x:c r="E8720" s="0" t="s">
        <x:v>34746</x:v>
      </x:c>
      <x:c r="F8720" s="0" t="s">
        <x:v>45</x:v>
      </x:c>
      <x:c r="G8720" s="0" t="s">
        <x:v>19</x:v>
      </x:c>
      <x:c r="H8720" s="0" t="s">
        <x:v>20</x:v>
      </x:c>
      <x:c r="I8720" s="0" t="s">
        <x:v>21</x:v>
      </x:c>
      <x:c r="K8720" s="0">
        <x:f>hyperlink("https://icd.who.int/dev11/l-ichi/en#/http%3A%2F%2Fid.who.int%2Ficd%2Fentity%2F1420237741","browser")</x:f>
      </x:c>
      <x:c r="L8720" s="0">
        <x:f>hyperlink("https://icat2.azurewebsites.net/icat/?ontology=ICD&amp;tab=ClassesTab&amp;id=http%3A%2F%2Fwho.int%2Ficd%23897_7005c14c_2656_4f4b_85a0_8e71c99be967","iCat")</x:f>
      </x:c>
      <x:c r="M8720" s="0" t="s">
        <x:v>21</x:v>
      </x:c>
      <x:c r="N8720" s="0" t="s">
        <x:v>46</x:v>
      </x:c>
    </x:row>
    <x:row r="8721" spans="1:16">
      <x:c r="A8721" s="0" t="s">
        <x:v>34747</x:v>
      </x:c>
      <x:c r="B8721" s="0" t="s">
        <x:v>34748</x:v>
      </x:c>
      <x:c r="C8721" s="0" t="s">
        <x:v>34749</x:v>
      </x:c>
      <x:c r="E8721" s="0" t="s">
        <x:v>34750</x:v>
      </x:c>
      <x:c r="F8721" s="0" t="s">
        <x:v>45</x:v>
      </x:c>
      <x:c r="G8721" s="0" t="s">
        <x:v>19</x:v>
      </x:c>
      <x:c r="H8721" s="0" t="s">
        <x:v>20</x:v>
      </x:c>
      <x:c r="I8721" s="0" t="s">
        <x:v>21</x:v>
      </x:c>
      <x:c r="K8721" s="0">
        <x:f>hyperlink("https://icd.who.int/dev11/l-ichi/en#/http%3A%2F%2Fid.who.int%2Ficd%2Fentity%2F1640748503","browser")</x:f>
      </x:c>
      <x:c r="L8721" s="0">
        <x:f>hyperlink("https://icat2.azurewebsites.net/icat/?ontology=ICD&amp;tab=ClassesTab&amp;id=http%3A%2F%2Fwho.int%2Ficd%23903_7005c14c_2656_4f4b_85a0_8e71c99be967","iCat")</x:f>
      </x:c>
      <x:c r="M8721" s="0" t="s">
        <x:v>21</x:v>
      </x:c>
      <x:c r="N8721" s="0" t="s">
        <x:v>46</x:v>
      </x:c>
    </x:row>
    <x:row r="8722" spans="1:16">
      <x:c r="A8722" s="0" t="s">
        <x:v>34751</x:v>
      </x:c>
      <x:c r="B8722" s="0" t="s">
        <x:v>34752</x:v>
      </x:c>
      <x:c r="C8722" s="0" t="s">
        <x:v>34753</x:v>
      </x:c>
      <x:c r="E8722" s="0" t="s">
        <x:v>34754</x:v>
      </x:c>
      <x:c r="F8722" s="0" t="s">
        <x:v>45</x:v>
      </x:c>
      <x:c r="G8722" s="0" t="s">
        <x:v>19</x:v>
      </x:c>
      <x:c r="H8722" s="0" t="s">
        <x:v>20</x:v>
      </x:c>
      <x:c r="I8722" s="0" t="s">
        <x:v>21</x:v>
      </x:c>
      <x:c r="K8722" s="0">
        <x:f>hyperlink("https://icd.who.int/dev11/l-ichi/en#/http%3A%2F%2Fid.who.int%2Ficd%2Fentity%2F1245100359","browser")</x:f>
      </x:c>
      <x:c r="L8722" s="0">
        <x:f>hyperlink("https://icat2.azurewebsites.net/icat/?ontology=ICD&amp;tab=ClassesTab&amp;id=http%3A%2F%2Fwho.int%2Ficd%23909_7005c14c_2656_4f4b_85a0_8e71c99be967","iCat")</x:f>
      </x:c>
      <x:c r="M8722" s="0" t="s">
        <x:v>21</x:v>
      </x:c>
      <x:c r="N8722" s="0" t="s">
        <x:v>46</x:v>
      </x:c>
    </x:row>
    <x:row r="8723" spans="1:16">
      <x:c r="A8723" s="0" t="s">
        <x:v>34755</x:v>
      </x:c>
      <x:c r="B8723" s="0" t="s">
        <x:v>34756</x:v>
      </x:c>
      <x:c r="C8723" s="0" t="s">
        <x:v>34757</x:v>
      </x:c>
      <x:c r="E8723" s="0" t="s">
        <x:v>34758</x:v>
      </x:c>
      <x:c r="F8723" s="0" t="s">
        <x:v>45</x:v>
      </x:c>
      <x:c r="G8723" s="0" t="s">
        <x:v>19</x:v>
      </x:c>
      <x:c r="H8723" s="0" t="s">
        <x:v>20</x:v>
      </x:c>
      <x:c r="I8723" s="0" t="s">
        <x:v>21</x:v>
      </x:c>
      <x:c r="K8723" s="0">
        <x:f>hyperlink("https://icd.who.int/dev11/l-ichi/en#/http%3A%2F%2Fid.who.int%2Ficd%2Fentity%2F1534433585","browser")</x:f>
      </x:c>
      <x:c r="L8723" s="0">
        <x:f>hyperlink("https://icat2.azurewebsites.net/icat/?ontology=ICD&amp;tab=ClassesTab&amp;id=http%3A%2F%2Fwho.int%2Ficd%23915_7005c14c_2656_4f4b_85a0_8e71c99be967","iCat")</x:f>
      </x:c>
      <x:c r="M8723" s="0" t="s">
        <x:v>21</x:v>
      </x:c>
      <x:c r="N8723" s="0" t="s">
        <x:v>46</x:v>
      </x:c>
    </x:row>
    <x:row r="8724" spans="1:16">
      <x:c r="A8724" s="0" t="s">
        <x:v>34759</x:v>
      </x:c>
      <x:c r="B8724" s="0" t="s">
        <x:v>34760</x:v>
      </x:c>
      <x:c r="C8724" s="0" t="s">
        <x:v>34761</x:v>
      </x:c>
      <x:c r="E8724" s="0" t="s">
        <x:v>34762</x:v>
      </x:c>
      <x:c r="F8724" s="0" t="s">
        <x:v>45</x:v>
      </x:c>
      <x:c r="G8724" s="0" t="s">
        <x:v>19</x:v>
      </x:c>
      <x:c r="H8724" s="0" t="s">
        <x:v>20</x:v>
      </x:c>
      <x:c r="I8724" s="0" t="s">
        <x:v>21</x:v>
      </x:c>
      <x:c r="K8724" s="0">
        <x:f>hyperlink("https://icd.who.int/dev11/l-ichi/en#/http%3A%2F%2Fid.who.int%2Ficd%2Fentity%2F784538946","browser")</x:f>
      </x:c>
      <x:c r="L8724" s="0">
        <x:f>hyperlink("https://icat2.azurewebsites.net/icat/?ontology=ICD&amp;tab=ClassesTab&amp;id=http%3A%2F%2Fwho.int%2Ficd%23921_7005c14c_2656_4f4b_85a0_8e71c99be967","iCat")</x:f>
      </x:c>
      <x:c r="M8724" s="0" t="s">
        <x:v>21</x:v>
      </x:c>
      <x:c r="N8724" s="0" t="s">
        <x:v>46</x:v>
      </x:c>
    </x:row>
    <x:row r="8725" spans="1:16">
      <x:c r="A8725" s="0" t="s">
        <x:v>34763</x:v>
      </x:c>
      <x:c r="B8725" s="0" t="s">
        <x:v>34764</x:v>
      </x:c>
      <x:c r="C8725" s="0" t="s">
        <x:v>34765</x:v>
      </x:c>
      <x:c r="E8725" s="0" t="s">
        <x:v>34766</x:v>
      </x:c>
      <x:c r="F8725" s="0" t="s">
        <x:v>45</x:v>
      </x:c>
      <x:c r="G8725" s="0" t="s">
        <x:v>19</x:v>
      </x:c>
      <x:c r="H8725" s="0" t="s">
        <x:v>20</x:v>
      </x:c>
      <x:c r="I8725" s="0" t="s">
        <x:v>21</x:v>
      </x:c>
      <x:c r="K8725" s="0">
        <x:f>hyperlink("https://icd.who.int/dev11/l-ichi/en#/http%3A%2F%2Fid.who.int%2Ficd%2Fentity%2F2126038259","browser")</x:f>
      </x:c>
      <x:c r="L8725" s="0">
        <x:f>hyperlink("https://icat2.azurewebsites.net/icat/?ontology=ICD&amp;tab=ClassesTab&amp;id=http%3A%2F%2Fwho.int%2Ficd%23927_7005c14c_2656_4f4b_85a0_8e71c99be967","iCat")</x:f>
      </x:c>
      <x:c r="M8725" s="0" t="s">
        <x:v>21</x:v>
      </x:c>
      <x:c r="N8725" s="0" t="s">
        <x:v>46</x:v>
      </x:c>
    </x:row>
    <x:row r="8726" spans="1:16">
      <x:c r="A8726" s="0" t="s">
        <x:v>34767</x:v>
      </x:c>
      <x:c r="B8726" s="0" t="s">
        <x:v>34768</x:v>
      </x:c>
      <x:c r="C8726" s="0" t="s">
        <x:v>34769</x:v>
      </x:c>
      <x:c r="E8726" s="0" t="s">
        <x:v>34770</x:v>
      </x:c>
      <x:c r="F8726" s="0" t="s">
        <x:v>45</x:v>
      </x:c>
      <x:c r="G8726" s="0" t="s">
        <x:v>19</x:v>
      </x:c>
      <x:c r="H8726" s="0" t="s">
        <x:v>20</x:v>
      </x:c>
      <x:c r="I8726" s="0" t="s">
        <x:v>21</x:v>
      </x:c>
      <x:c r="K8726" s="0">
        <x:f>hyperlink("https://icd.who.int/dev11/l-ichi/en#/http%3A%2F%2Fid.who.int%2Ficd%2Fentity%2F561681872","browser")</x:f>
      </x:c>
      <x:c r="L8726" s="0">
        <x:f>hyperlink("https://icat2.azurewebsites.net/icat/?ontology=ICD&amp;tab=ClassesTab&amp;id=http%3A%2F%2Fwho.int%2Ficd%23933_7005c14c_2656_4f4b_85a0_8e71c99be967","iCat")</x:f>
      </x:c>
      <x:c r="M8726" s="0" t="s">
        <x:v>21</x:v>
      </x:c>
      <x:c r="N8726" s="0" t="s">
        <x:v>46</x:v>
      </x:c>
    </x:row>
    <x:row r="8727" spans="1:16">
      <x:c r="A8727" s="0" t="s">
        <x:v>34771</x:v>
      </x:c>
      <x:c r="B8727" s="0" t="s">
        <x:v>34772</x:v>
      </x:c>
      <x:c r="C8727" s="0" t="s">
        <x:v>34773</x:v>
      </x:c>
      <x:c r="E8727" s="0" t="s">
        <x:v>34774</x:v>
      </x:c>
      <x:c r="F8727" s="0" t="s">
        <x:v>45</x:v>
      </x:c>
      <x:c r="G8727" s="0" t="s">
        <x:v>19</x:v>
      </x:c>
      <x:c r="H8727" s="0" t="s">
        <x:v>20</x:v>
      </x:c>
      <x:c r="I8727" s="0" t="s">
        <x:v>21</x:v>
      </x:c>
      <x:c r="K8727" s="0">
        <x:f>hyperlink("https://icd.who.int/dev11/l-ichi/en#/http%3A%2F%2Fid.who.int%2Ficd%2Fentity%2F176683328","browser")</x:f>
      </x:c>
      <x:c r="L8727" s="0">
        <x:f>hyperlink("https://icat2.azurewebsites.net/icat/?ontology=ICD&amp;tab=ClassesTab&amp;id=http%3A%2F%2Fwho.int%2Ficd%23939_7005c14c_2656_4f4b_85a0_8e71c99be967","iCat")</x:f>
      </x:c>
      <x:c r="M8727" s="0" t="s">
        <x:v>21</x:v>
      </x:c>
      <x:c r="N8727" s="0" t="s">
        <x:v>46</x:v>
      </x:c>
    </x:row>
    <x:row r="8728" spans="1:16">
      <x:c r="A8728" s="0" t="s">
        <x:v>34775</x:v>
      </x:c>
      <x:c r="B8728" s="0" t="s">
        <x:v>34776</x:v>
      </x:c>
      <x:c r="C8728" s="0" t="s">
        <x:v>34777</x:v>
      </x:c>
      <x:c r="E8728" s="0" t="s">
        <x:v>34778</x:v>
      </x:c>
      <x:c r="F8728" s="0" t="s">
        <x:v>45</x:v>
      </x:c>
      <x:c r="G8728" s="0" t="s">
        <x:v>19</x:v>
      </x:c>
      <x:c r="H8728" s="0" t="s">
        <x:v>20</x:v>
      </x:c>
      <x:c r="I8728" s="0" t="s">
        <x:v>21</x:v>
      </x:c>
      <x:c r="K8728" s="0">
        <x:f>hyperlink("https://icd.who.int/dev11/l-ichi/en#/http%3A%2F%2Fid.who.int%2Ficd%2Fentity%2F1104633723","browser")</x:f>
      </x:c>
      <x:c r="L8728" s="0">
        <x:f>hyperlink("https://icat2.azurewebsites.net/icat/?ontology=ICD&amp;tab=ClassesTab&amp;id=http%3A%2F%2Fwho.int%2Ficd%23945_7005c14c_2656_4f4b_85a0_8e71c99be967","iCat")</x:f>
      </x:c>
      <x:c r="M8728" s="0" t="s">
        <x:v>21</x:v>
      </x:c>
      <x:c r="N8728" s="0" t="s">
        <x:v>46</x:v>
      </x:c>
    </x:row>
    <x:row r="8729" spans="1:16">
      <x:c r="A8729" s="0" t="s">
        <x:v>34779</x:v>
      </x:c>
      <x:c r="B8729" s="0" t="s">
        <x:v>34780</x:v>
      </x:c>
      <x:c r="C8729" s="0" t="s">
        <x:v>34781</x:v>
      </x:c>
      <x:c r="E8729" s="0" t="s">
        <x:v>34782</x:v>
      </x:c>
      <x:c r="F8729" s="0" t="s">
        <x:v>45</x:v>
      </x:c>
      <x:c r="G8729" s="0" t="s">
        <x:v>19</x:v>
      </x:c>
      <x:c r="H8729" s="0" t="s">
        <x:v>20</x:v>
      </x:c>
      <x:c r="I8729" s="0" t="s">
        <x:v>21</x:v>
      </x:c>
      <x:c r="K8729" s="0">
        <x:f>hyperlink("https://icd.who.int/dev11/l-ichi/en#/http%3A%2F%2Fid.who.int%2Ficd%2Fentity%2F504696410","browser")</x:f>
      </x:c>
      <x:c r="L8729" s="0">
        <x:f>hyperlink("https://icat2.azurewebsites.net/icat/?ontology=ICD&amp;tab=ClassesTab&amp;id=http%3A%2F%2Fwho.int%2Ficd%23951_7005c14c_2656_4f4b_85a0_8e71c99be967","iCat")</x:f>
      </x:c>
      <x:c r="M8729" s="0" t="s">
        <x:v>21</x:v>
      </x:c>
      <x:c r="N8729" s="0" t="s">
        <x:v>46</x:v>
      </x:c>
    </x:row>
    <x:row r="8730" spans="1:16">
      <x:c r="A8730" s="0" t="s">
        <x:v>34783</x:v>
      </x:c>
      <x:c r="B8730" s="0" t="s">
        <x:v>34784</x:v>
      </x:c>
      <x:c r="C8730" s="0" t="s">
        <x:v>34785</x:v>
      </x:c>
      <x:c r="E8730" s="0" t="s">
        <x:v>34786</x:v>
      </x:c>
      <x:c r="F8730" s="0" t="s">
        <x:v>45</x:v>
      </x:c>
      <x:c r="G8730" s="0" t="s">
        <x:v>19</x:v>
      </x:c>
      <x:c r="H8730" s="0" t="s">
        <x:v>20</x:v>
      </x:c>
      <x:c r="I8730" s="0" t="s">
        <x:v>21</x:v>
      </x:c>
      <x:c r="K8730" s="0">
        <x:f>hyperlink("https://icd.who.int/dev11/l-ichi/en#/http%3A%2F%2Fid.who.int%2Ficd%2Fentity%2F1315887081","browser")</x:f>
      </x:c>
      <x:c r="L8730" s="0">
        <x:f>hyperlink("https://icat2.azurewebsites.net/icat/?ontology=ICD&amp;tab=ClassesTab&amp;id=http%3A%2F%2Fwho.int%2Ficd%23957_7005c14c_2656_4f4b_85a0_8e71c99be967","iCat")</x:f>
      </x:c>
      <x:c r="M8730" s="0" t="s">
        <x:v>21</x:v>
      </x:c>
      <x:c r="N8730" s="0" t="s">
        <x:v>46</x:v>
      </x:c>
    </x:row>
    <x:row r="8731" spans="1:16">
      <x:c r="A8731" s="0" t="s">
        <x:v>34787</x:v>
      </x:c>
      <x:c r="B8731" s="0" t="s">
        <x:v>34788</x:v>
      </x:c>
      <x:c r="C8731" s="0" t="s">
        <x:v>34789</x:v>
      </x:c>
      <x:c r="E8731" s="0" t="s">
        <x:v>34790</x:v>
      </x:c>
      <x:c r="F8731" s="0" t="s">
        <x:v>45</x:v>
      </x:c>
      <x:c r="G8731" s="0" t="s">
        <x:v>19</x:v>
      </x:c>
      <x:c r="H8731" s="0" t="s">
        <x:v>20</x:v>
      </x:c>
      <x:c r="I8731" s="0" t="s">
        <x:v>21</x:v>
      </x:c>
      <x:c r="K8731" s="0">
        <x:f>hyperlink("https://icd.who.int/dev11/l-ichi/en#/http%3A%2F%2Fid.who.int%2Ficd%2Fentity%2F1004032922","browser")</x:f>
      </x:c>
      <x:c r="L8731" s="0">
        <x:f>hyperlink("https://icat2.azurewebsites.net/icat/?ontology=ICD&amp;tab=ClassesTab&amp;id=http%3A%2F%2Fwho.int%2Ficd%23963_7005c14c_2656_4f4b_85a0_8e71c99be967","iCat")</x:f>
      </x:c>
      <x:c r="M8731" s="0" t="s">
        <x:v>21</x:v>
      </x:c>
      <x:c r="N8731" s="0" t="s">
        <x:v>46</x:v>
      </x:c>
    </x:row>
    <x:row r="8732" spans="1:16">
      <x:c r="A8732" s="0" t="s">
        <x:v>34791</x:v>
      </x:c>
      <x:c r="B8732" s="0" t="s">
        <x:v>34792</x:v>
      </x:c>
      <x:c r="C8732" s="0" t="s">
        <x:v>34793</x:v>
      </x:c>
      <x:c r="E8732" s="0" t="s">
        <x:v>34794</x:v>
      </x:c>
      <x:c r="F8732" s="0" t="s">
        <x:v>45</x:v>
      </x:c>
      <x:c r="G8732" s="0" t="s">
        <x:v>19</x:v>
      </x:c>
      <x:c r="H8732" s="0" t="s">
        <x:v>20</x:v>
      </x:c>
      <x:c r="I8732" s="0" t="s">
        <x:v>21</x:v>
      </x:c>
      <x:c r="K8732" s="0">
        <x:f>hyperlink("https://icd.who.int/dev11/l-ichi/en#/http%3A%2F%2Fid.who.int%2Ficd%2Fentity%2F270876426","browser")</x:f>
      </x:c>
      <x:c r="L8732" s="0">
        <x:f>hyperlink("https://icat2.azurewebsites.net/icat/?ontology=ICD&amp;tab=ClassesTab&amp;id=http%3A%2F%2Fwho.int%2Ficd%23969_7005c14c_2656_4f4b_85a0_8e71c99be967","iCat")</x:f>
      </x:c>
      <x:c r="M8732" s="0" t="s">
        <x:v>21</x:v>
      </x:c>
      <x:c r="N8732" s="0" t="s">
        <x:v>46</x:v>
      </x:c>
    </x:row>
    <x:row r="8733" spans="1:16">
      <x:c r="A8733" s="0" t="s">
        <x:v>34795</x:v>
      </x:c>
      <x:c r="B8733" s="0" t="s">
        <x:v>34796</x:v>
      </x:c>
      <x:c r="C8733" s="0" t="s">
        <x:v>34797</x:v>
      </x:c>
      <x:c r="E8733" s="0" t="s">
        <x:v>34798</x:v>
      </x:c>
      <x:c r="F8733" s="0" t="s">
        <x:v>45</x:v>
      </x:c>
      <x:c r="G8733" s="0" t="s">
        <x:v>19</x:v>
      </x:c>
      <x:c r="H8733" s="0" t="s">
        <x:v>20</x:v>
      </x:c>
      <x:c r="I8733" s="0" t="s">
        <x:v>21</x:v>
      </x:c>
      <x:c r="K8733" s="0">
        <x:f>hyperlink("https://icd.who.int/dev11/l-ichi/en#/http%3A%2F%2Fid.who.int%2Ficd%2Fentity%2F23469950","browser")</x:f>
      </x:c>
      <x:c r="L8733" s="0">
        <x:f>hyperlink("https://icat2.azurewebsites.net/icat/?ontology=ICD&amp;tab=ClassesTab&amp;id=http%3A%2F%2Fwho.int%2Ficd%23975_7005c14c_2656_4f4b_85a0_8e71c99be967","iCat")</x:f>
      </x:c>
      <x:c r="M8733" s="0" t="s">
        <x:v>21</x:v>
      </x:c>
      <x:c r="N8733" s="0" t="s">
        <x:v>46</x:v>
      </x:c>
    </x:row>
    <x:row r="8734" spans="1:16">
      <x:c r="A8734" s="0" t="s">
        <x:v>34799</x:v>
      </x:c>
      <x:c r="B8734" s="0" t="s">
        <x:v>34800</x:v>
      </x:c>
      <x:c r="C8734" s="0" t="s">
        <x:v>34801</x:v>
      </x:c>
      <x:c r="E8734" s="0" t="s">
        <x:v>34802</x:v>
      </x:c>
      <x:c r="F8734" s="0" t="s">
        <x:v>45</x:v>
      </x:c>
      <x:c r="G8734" s="0" t="s">
        <x:v>19</x:v>
      </x:c>
      <x:c r="H8734" s="0" t="s">
        <x:v>20</x:v>
      </x:c>
      <x:c r="I8734" s="0" t="s">
        <x:v>21</x:v>
      </x:c>
      <x:c r="K8734" s="0">
        <x:f>hyperlink("https://icd.who.int/dev11/l-ichi/en#/http%3A%2F%2Fid.who.int%2Ficd%2Fentity%2F461803990","browser")</x:f>
      </x:c>
      <x:c r="L8734" s="0">
        <x:f>hyperlink("https://icat2.azurewebsites.net/icat/?ontology=ICD&amp;tab=ClassesTab&amp;id=http%3A%2F%2Fwho.int%2Ficd%23981_7005c14c_2656_4f4b_85a0_8e71c99be967","iCat")</x:f>
      </x:c>
      <x:c r="M8734" s="0" t="s">
        <x:v>21</x:v>
      </x:c>
      <x:c r="N8734" s="0" t="s">
        <x:v>46</x:v>
      </x:c>
    </x:row>
    <x:row r="8735" spans="1:16">
      <x:c r="A8735" s="0" t="s">
        <x:v>34803</x:v>
      </x:c>
      <x:c r="B8735" s="0" t="s">
        <x:v>34804</x:v>
      </x:c>
      <x:c r="C8735" s="0" t="s">
        <x:v>34805</x:v>
      </x:c>
      <x:c r="E8735" s="0" t="s">
        <x:v>34806</x:v>
      </x:c>
      <x:c r="F8735" s="0" t="s">
        <x:v>45</x:v>
      </x:c>
      <x:c r="G8735" s="0" t="s">
        <x:v>19</x:v>
      </x:c>
      <x:c r="H8735" s="0" t="s">
        <x:v>20</x:v>
      </x:c>
      <x:c r="I8735" s="0" t="s">
        <x:v>21</x:v>
      </x:c>
      <x:c r="K8735" s="0">
        <x:f>hyperlink("https://icd.who.int/dev11/l-ichi/en#/http%3A%2F%2Fid.who.int%2Ficd%2Fentity%2F23488250","browser")</x:f>
      </x:c>
      <x:c r="L8735" s="0">
        <x:f>hyperlink("https://icat2.azurewebsites.net/icat/?ontology=ICD&amp;tab=ClassesTab&amp;id=http%3A%2F%2Fwho.int%2Ficd%231359_7005c14c_2656_4f4b_85a0_8e71c99be967","iCat")</x:f>
      </x:c>
      <x:c r="M8735" s="0" t="s">
        <x:v>21</x:v>
      </x:c>
      <x:c r="N8735" s="0" t="s">
        <x:v>46</x:v>
      </x:c>
    </x:row>
    <x:row r="8736" spans="1:16">
      <x:c r="A8736" s="0" t="s">
        <x:v>34807</x:v>
      </x:c>
      <x:c r="B8736" s="0" t="s">
        <x:v>34808</x:v>
      </x:c>
      <x:c r="C8736" s="0" t="s">
        <x:v>34809</x:v>
      </x:c>
      <x:c r="E8736" s="0" t="s">
        <x:v>34810</x:v>
      </x:c>
      <x:c r="F8736" s="0" t="s">
        <x:v>45</x:v>
      </x:c>
      <x:c r="G8736" s="0" t="s">
        <x:v>19</x:v>
      </x:c>
      <x:c r="H8736" s="0" t="s">
        <x:v>20</x:v>
      </x:c>
      <x:c r="I8736" s="0" t="s">
        <x:v>21</x:v>
      </x:c>
      <x:c r="K8736" s="0">
        <x:f>hyperlink("https://icd.who.int/dev11/l-ichi/en#/http%3A%2F%2Fid.who.int%2Ficd%2Fentity%2F978424800","browser")</x:f>
      </x:c>
      <x:c r="L8736" s="0">
        <x:f>hyperlink("https://icat2.azurewebsites.net/icat/?ontology=ICD&amp;tab=ClassesTab&amp;id=http%3A%2F%2Fwho.int%2Ficd%231365_7005c14c_2656_4f4b_85a0_8e71c99be967","iCat")</x:f>
      </x:c>
      <x:c r="M8736" s="0" t="s">
        <x:v>21</x:v>
      </x:c>
      <x:c r="N8736" s="0" t="s">
        <x:v>46</x:v>
      </x:c>
    </x:row>
    <x:row r="8737" spans="1:16">
      <x:c r="A8737" s="0" t="s">
        <x:v>34811</x:v>
      </x:c>
      <x:c r="B8737" s="0" t="s">
        <x:v>34812</x:v>
      </x:c>
      <x:c r="C8737" s="0" t="s">
        <x:v>34813</x:v>
      </x:c>
      <x:c r="E8737" s="0" t="s">
        <x:v>34814</x:v>
      </x:c>
      <x:c r="F8737" s="0" t="s">
        <x:v>45</x:v>
      </x:c>
      <x:c r="G8737" s="0" t="s">
        <x:v>19</x:v>
      </x:c>
      <x:c r="H8737" s="0" t="s">
        <x:v>20</x:v>
      </x:c>
      <x:c r="I8737" s="0" t="s">
        <x:v>21</x:v>
      </x:c>
      <x:c r="K8737" s="0">
        <x:f>hyperlink("https://icd.who.int/dev11/l-ichi/en#/http%3A%2F%2Fid.who.int%2Ficd%2Fentity%2F1704182525","browser")</x:f>
      </x:c>
      <x:c r="L8737" s="0">
        <x:f>hyperlink("https://icat2.azurewebsites.net/icat/?ontology=ICD&amp;tab=ClassesTab&amp;id=http%3A%2F%2Fwho.int%2Ficd%231371_7005c14c_2656_4f4b_85a0_8e71c99be967","iCat")</x:f>
      </x:c>
      <x:c r="M8737" s="0" t="s">
        <x:v>21</x:v>
      </x:c>
      <x:c r="N8737" s="0" t="s">
        <x:v>46</x:v>
      </x:c>
    </x:row>
    <x:row r="8738" spans="1:16">
      <x:c r="A8738" s="0" t="s">
        <x:v>34815</x:v>
      </x:c>
      <x:c r="B8738" s="0" t="s">
        <x:v>34816</x:v>
      </x:c>
      <x:c r="C8738" s="0" t="s">
        <x:v>34817</x:v>
      </x:c>
      <x:c r="E8738" s="0" t="s">
        <x:v>34818</x:v>
      </x:c>
      <x:c r="F8738" s="0" t="s">
        <x:v>45</x:v>
      </x:c>
      <x:c r="G8738" s="0" t="s">
        <x:v>19</x:v>
      </x:c>
      <x:c r="H8738" s="0" t="s">
        <x:v>20</x:v>
      </x:c>
      <x:c r="I8738" s="0" t="s">
        <x:v>21</x:v>
      </x:c>
      <x:c r="K8738" s="0">
        <x:f>hyperlink("https://icd.who.int/dev11/l-ichi/en#/http%3A%2F%2Fid.who.int%2Ficd%2Fentity%2F904403790","browser")</x:f>
      </x:c>
      <x:c r="L8738" s="0">
        <x:f>hyperlink("https://icat2.azurewebsites.net/icat/?ontology=ICD&amp;tab=ClassesTab&amp;id=http%3A%2F%2Fwho.int%2Ficd%231377_7005c14c_2656_4f4b_85a0_8e71c99be967","iCat")</x:f>
      </x:c>
      <x:c r="M8738" s="0" t="s">
        <x:v>21</x:v>
      </x:c>
      <x:c r="N8738" s="0" t="s">
        <x:v>46</x:v>
      </x:c>
    </x:row>
    <x:row r="8739" spans="1:16">
      <x:c r="A8739" s="0" t="s">
        <x:v>34819</x:v>
      </x:c>
      <x:c r="B8739" s="0" t="s">
        <x:v>34820</x:v>
      </x:c>
      <x:c r="C8739" s="0" t="s">
        <x:v>34821</x:v>
      </x:c>
      <x:c r="E8739" s="0" t="s">
        <x:v>34822</x:v>
      </x:c>
      <x:c r="F8739" s="0" t="s">
        <x:v>45</x:v>
      </x:c>
      <x:c r="G8739" s="0" t="s">
        <x:v>19</x:v>
      </x:c>
      <x:c r="H8739" s="0" t="s">
        <x:v>20</x:v>
      </x:c>
      <x:c r="I8739" s="0" t="s">
        <x:v>21</x:v>
      </x:c>
      <x:c r="K8739" s="0">
        <x:f>hyperlink("https://icd.who.int/dev11/l-ichi/en#/http%3A%2F%2Fid.who.int%2Ficd%2Fentity%2F789091814","browser")</x:f>
      </x:c>
      <x:c r="L8739" s="0">
        <x:f>hyperlink("https://icat2.azurewebsites.net/icat/?ontology=ICD&amp;tab=ClassesTab&amp;id=http%3A%2F%2Fwho.int%2Ficd%231383_7005c14c_2656_4f4b_85a0_8e71c99be967","iCat")</x:f>
      </x:c>
      <x:c r="M8739" s="0" t="s">
        <x:v>21</x:v>
      </x:c>
      <x:c r="N8739" s="0" t="s">
        <x:v>46</x:v>
      </x:c>
    </x:row>
    <x:row r="8740" spans="1:16">
      <x:c r="A8740" s="0" t="s">
        <x:v>34823</x:v>
      </x:c>
      <x:c r="B8740" s="0" t="s">
        <x:v>34824</x:v>
      </x:c>
      <x:c r="C8740" s="0" t="s">
        <x:v>34825</x:v>
      </x:c>
      <x:c r="E8740" s="0" t="s">
        <x:v>34826</x:v>
      </x:c>
      <x:c r="F8740" s="0" t="s">
        <x:v>45</x:v>
      </x:c>
      <x:c r="G8740" s="0" t="s">
        <x:v>19</x:v>
      </x:c>
      <x:c r="H8740" s="0" t="s">
        <x:v>20</x:v>
      </x:c>
      <x:c r="I8740" s="0" t="s">
        <x:v>21</x:v>
      </x:c>
      <x:c r="K8740" s="0">
        <x:f>hyperlink("https://icd.who.int/dev11/l-ichi/en#/http%3A%2F%2Fid.who.int%2Ficd%2Fentity%2F4747082","browser")</x:f>
      </x:c>
      <x:c r="L8740" s="0">
        <x:f>hyperlink("https://icat2.azurewebsites.net/icat/?ontology=ICD&amp;tab=ClassesTab&amp;id=http%3A%2F%2Fwho.int%2Ficd%231390_7005c14c_2656_4f4b_85a0_8e71c99be967","iCat")</x:f>
      </x:c>
      <x:c r="M8740" s="0" t="s">
        <x:v>21</x:v>
      </x:c>
      <x:c r="N8740" s="0" t="s">
        <x:v>46</x:v>
      </x:c>
    </x:row>
    <x:row r="8741" spans="1:16">
      <x:c r="A8741" s="0" t="s">
        <x:v>34827</x:v>
      </x:c>
      <x:c r="B8741" s="0" t="s">
        <x:v>34828</x:v>
      </x:c>
      <x:c r="C8741" s="0" t="s">
        <x:v>34829</x:v>
      </x:c>
      <x:c r="E8741" s="0" t="s">
        <x:v>34830</x:v>
      </x:c>
      <x:c r="F8741" s="0" t="s">
        <x:v>45</x:v>
      </x:c>
      <x:c r="G8741" s="0" t="s">
        <x:v>19</x:v>
      </x:c>
      <x:c r="H8741" s="0" t="s">
        <x:v>20</x:v>
      </x:c>
      <x:c r="I8741" s="0" t="s">
        <x:v>21</x:v>
      </x:c>
      <x:c r="K8741" s="0">
        <x:f>hyperlink("https://icd.who.int/dev11/l-ichi/en#/http%3A%2F%2Fid.who.int%2Ficd%2Fentity%2F1345566457","browser")</x:f>
      </x:c>
      <x:c r="L8741" s="0">
        <x:f>hyperlink("https://icat2.azurewebsites.net/icat/?ontology=ICD&amp;tab=ClassesTab&amp;id=http%3A%2F%2Fwho.int%2Ficd%231396_7005c14c_2656_4f4b_85a0_8e71c99be967","iCat")</x:f>
      </x:c>
      <x:c r="M8741" s="0" t="s">
        <x:v>21</x:v>
      </x:c>
      <x:c r="N8741" s="0" t="s">
        <x:v>46</x:v>
      </x:c>
    </x:row>
    <x:row r="8742" spans="1:16">
      <x:c r="A8742" s="0" t="s">
        <x:v>34831</x:v>
      </x:c>
      <x:c r="B8742" s="0" t="s">
        <x:v>34832</x:v>
      </x:c>
      <x:c r="C8742" s="0" t="s">
        <x:v>34833</x:v>
      </x:c>
      <x:c r="E8742" s="0" t="s">
        <x:v>34834</x:v>
      </x:c>
      <x:c r="F8742" s="0" t="s">
        <x:v>45</x:v>
      </x:c>
      <x:c r="G8742" s="0" t="s">
        <x:v>19</x:v>
      </x:c>
      <x:c r="H8742" s="0" t="s">
        <x:v>20</x:v>
      </x:c>
      <x:c r="I8742" s="0" t="s">
        <x:v>21</x:v>
      </x:c>
      <x:c r="K8742" s="0">
        <x:f>hyperlink("https://icd.who.int/dev11/l-ichi/en#/http%3A%2F%2Fid.who.int%2Ficd%2Fentity%2F2089883252","browser")</x:f>
      </x:c>
      <x:c r="L8742" s="0">
        <x:f>hyperlink("https://icat2.azurewebsites.net/icat/?ontology=ICD&amp;tab=ClassesTab&amp;id=http%3A%2F%2Fwho.int%2Ficd%231402_7005c14c_2656_4f4b_85a0_8e71c99be967","iCat")</x:f>
      </x:c>
      <x:c r="M8742" s="0" t="s">
        <x:v>21</x:v>
      </x:c>
      <x:c r="N8742" s="0" t="s">
        <x:v>46</x:v>
      </x:c>
    </x:row>
    <x:row r="8743" spans="1:16">
      <x:c r="A8743" s="0" t="s">
        <x:v>34835</x:v>
      </x:c>
      <x:c r="B8743" s="0" t="s">
        <x:v>34836</x:v>
      </x:c>
      <x:c r="C8743" s="0" t="s">
        <x:v>34837</x:v>
      </x:c>
      <x:c r="E8743" s="0" t="s">
        <x:v>34838</x:v>
      </x:c>
      <x:c r="F8743" s="0" t="s">
        <x:v>45</x:v>
      </x:c>
      <x:c r="G8743" s="0" t="s">
        <x:v>19</x:v>
      </x:c>
      <x:c r="H8743" s="0" t="s">
        <x:v>20</x:v>
      </x:c>
      <x:c r="I8743" s="0" t="s">
        <x:v>21</x:v>
      </x:c>
      <x:c r="K8743" s="0">
        <x:f>hyperlink("https://icd.who.int/dev11/l-ichi/en#/http%3A%2F%2Fid.who.int%2Ficd%2Fentity%2F1466727140","browser")</x:f>
      </x:c>
      <x:c r="L8743" s="0">
        <x:f>hyperlink("https://icat2.azurewebsites.net/icat/?ontology=ICD&amp;tab=ClassesTab&amp;id=http%3A%2F%2Fwho.int%2Ficd%231408_7005c14c_2656_4f4b_85a0_8e71c99be967","iCat")</x:f>
      </x:c>
      <x:c r="M8743" s="0" t="s">
        <x:v>21</x:v>
      </x:c>
      <x:c r="N8743" s="0" t="s">
        <x:v>46</x:v>
      </x:c>
    </x:row>
    <x:row r="8744" spans="1:16">
      <x:c r="A8744" s="0" t="s">
        <x:v>34839</x:v>
      </x:c>
      <x:c r="B8744" s="0" t="s">
        <x:v>34840</x:v>
      </x:c>
      <x:c r="C8744" s="0" t="s">
        <x:v>34841</x:v>
      </x:c>
      <x:c r="E8744" s="0" t="s">
        <x:v>34842</x:v>
      </x:c>
      <x:c r="F8744" s="0" t="s">
        <x:v>45</x:v>
      </x:c>
      <x:c r="G8744" s="0" t="s">
        <x:v>19</x:v>
      </x:c>
      <x:c r="H8744" s="0" t="s">
        <x:v>20</x:v>
      </x:c>
      <x:c r="I8744" s="0" t="s">
        <x:v>21</x:v>
      </x:c>
      <x:c r="K8744" s="0">
        <x:f>hyperlink("https://icd.who.int/dev11/l-ichi/en#/http%3A%2F%2Fid.who.int%2Ficd%2Fentity%2F1177508500","browser")</x:f>
      </x:c>
      <x:c r="L8744" s="0">
        <x:f>hyperlink("https://icat2.azurewebsites.net/icat/?ontology=ICD&amp;tab=ClassesTab&amp;id=http%3A%2F%2Fwho.int%2Ficd%231414_7005c14c_2656_4f4b_85a0_8e71c99be967","iCat")</x:f>
      </x:c>
      <x:c r="M8744" s="0" t="s">
        <x:v>21</x:v>
      </x:c>
      <x:c r="N8744" s="0" t="s">
        <x:v>46</x:v>
      </x:c>
    </x:row>
    <x:row r="8745" spans="1:16">
      <x:c r="A8745" s="0" t="s">
        <x:v>34843</x:v>
      </x:c>
      <x:c r="B8745" s="0" t="s">
        <x:v>34844</x:v>
      </x:c>
      <x:c r="C8745" s="0" t="s">
        <x:v>34845</x:v>
      </x:c>
      <x:c r="E8745" s="0" t="s">
        <x:v>34846</x:v>
      </x:c>
      <x:c r="F8745" s="0" t="s">
        <x:v>45</x:v>
      </x:c>
      <x:c r="G8745" s="0" t="s">
        <x:v>19</x:v>
      </x:c>
      <x:c r="H8745" s="0" t="s">
        <x:v>20</x:v>
      </x:c>
      <x:c r="I8745" s="0" t="s">
        <x:v>21</x:v>
      </x:c>
      <x:c r="K8745" s="0">
        <x:f>hyperlink("https://icd.who.int/dev11/l-ichi/en#/http%3A%2F%2Fid.who.int%2Ficd%2Fentity%2F865722087","browser")</x:f>
      </x:c>
      <x:c r="L8745" s="0">
        <x:f>hyperlink("https://icat2.azurewebsites.net/icat/?ontology=ICD&amp;tab=ClassesTab&amp;id=http%3A%2F%2Fwho.int%2Ficd%231420_7005c14c_2656_4f4b_85a0_8e71c99be967","iCat")</x:f>
      </x:c>
      <x:c r="M8745" s="0" t="s">
        <x:v>21</x:v>
      </x:c>
      <x:c r="N8745" s="0" t="s">
        <x:v>46</x:v>
      </x:c>
    </x:row>
    <x:row r="8746" spans="1:16">
      <x:c r="A8746" s="0" t="s">
        <x:v>34847</x:v>
      </x:c>
      <x:c r="B8746" s="0" t="s">
        <x:v>34848</x:v>
      </x:c>
      <x:c r="C8746" s="0" t="s">
        <x:v>34849</x:v>
      </x:c>
      <x:c r="E8746" s="0" t="s">
        <x:v>34850</x:v>
      </x:c>
      <x:c r="F8746" s="0" t="s">
        <x:v>45</x:v>
      </x:c>
      <x:c r="G8746" s="0" t="s">
        <x:v>19</x:v>
      </x:c>
      <x:c r="H8746" s="0" t="s">
        <x:v>20</x:v>
      </x:c>
      <x:c r="I8746" s="0" t="s">
        <x:v>21</x:v>
      </x:c>
      <x:c r="K8746" s="0">
        <x:f>hyperlink("https://icd.who.int/dev11/l-ichi/en#/http%3A%2F%2Fid.who.int%2Ficd%2Fentity%2F1675757400","browser")</x:f>
      </x:c>
      <x:c r="L8746" s="0">
        <x:f>hyperlink("https://icat2.azurewebsites.net/icat/?ontology=ICD&amp;tab=ClassesTab&amp;id=http%3A%2F%2Fwho.int%2Ficd%231426_7005c14c_2656_4f4b_85a0_8e71c99be967","iCat")</x:f>
      </x:c>
      <x:c r="M8746" s="0" t="s">
        <x:v>21</x:v>
      </x:c>
      <x:c r="N8746" s="0" t="s">
        <x:v>46</x:v>
      </x:c>
    </x:row>
    <x:row r="8747" spans="1:16">
      <x:c r="A8747" s="0" t="s">
        <x:v>34851</x:v>
      </x:c>
      <x:c r="B8747" s="0" t="s">
        <x:v>34852</x:v>
      </x:c>
      <x:c r="C8747" s="0" t="s">
        <x:v>34853</x:v>
      </x:c>
      <x:c r="E8747" s="0" t="s">
        <x:v>34854</x:v>
      </x:c>
      <x:c r="F8747" s="0" t="s">
        <x:v>45</x:v>
      </x:c>
      <x:c r="G8747" s="0" t="s">
        <x:v>19</x:v>
      </x:c>
      <x:c r="H8747" s="0" t="s">
        <x:v>20</x:v>
      </x:c>
      <x:c r="I8747" s="0" t="s">
        <x:v>21</x:v>
      </x:c>
      <x:c r="K8747" s="0">
        <x:f>hyperlink("https://icd.who.int/dev11/l-ichi/en#/http%3A%2F%2Fid.who.int%2Ficd%2Fentity%2F400374501","browser")</x:f>
      </x:c>
      <x:c r="L8747" s="0">
        <x:f>hyperlink("https://icat2.azurewebsites.net/icat/?ontology=ICD&amp;tab=ClassesTab&amp;id=http%3A%2F%2Fwho.int%2Ficd%231438_7005c14c_2656_4f4b_85a0_8e71c99be967","iCat")</x:f>
      </x:c>
      <x:c r="M8747" s="0" t="s">
        <x:v>21</x:v>
      </x:c>
      <x:c r="N8747" s="0" t="s">
        <x:v>46</x:v>
      </x:c>
    </x:row>
    <x:row r="8748" spans="1:16">
      <x:c r="A8748" s="0" t="s">
        <x:v>34855</x:v>
      </x:c>
      <x:c r="B8748" s="0" t="s">
        <x:v>34856</x:v>
      </x:c>
      <x:c r="C8748" s="0" t="s">
        <x:v>34857</x:v>
      </x:c>
      <x:c r="E8748" s="0" t="s">
        <x:v>34858</x:v>
      </x:c>
      <x:c r="F8748" s="0" t="s">
        <x:v>45</x:v>
      </x:c>
      <x:c r="G8748" s="0" t="s">
        <x:v>19</x:v>
      </x:c>
      <x:c r="H8748" s="0" t="s">
        <x:v>20</x:v>
      </x:c>
      <x:c r="I8748" s="0" t="s">
        <x:v>21</x:v>
      </x:c>
      <x:c r="K8748" s="0">
        <x:f>hyperlink("https://icd.who.int/dev11/l-ichi/en#/http%3A%2F%2Fid.who.int%2Ficd%2Fentity%2F1552784606","browser")</x:f>
      </x:c>
      <x:c r="L8748" s="0">
        <x:f>hyperlink("https://icat2.azurewebsites.net/icat/?ontology=ICD&amp;tab=ClassesTab&amp;id=http%3A%2F%2Fwho.int%2Ficd%231444_7005c14c_2656_4f4b_85a0_8e71c99be967","iCat")</x:f>
      </x:c>
      <x:c r="M8748" s="0" t="s">
        <x:v>21</x:v>
      </x:c>
      <x:c r="N8748" s="0" t="s">
        <x:v>46</x:v>
      </x:c>
    </x:row>
    <x:row r="8749" spans="1:16">
      <x:c r="A8749" s="0" t="s">
        <x:v>34859</x:v>
      </x:c>
      <x:c r="B8749" s="0" t="s">
        <x:v>34860</x:v>
      </x:c>
      <x:c r="C8749" s="0" t="s">
        <x:v>34861</x:v>
      </x:c>
      <x:c r="E8749" s="0" t="s">
        <x:v>34862</x:v>
      </x:c>
      <x:c r="F8749" s="0" t="s">
        <x:v>45</x:v>
      </x:c>
      <x:c r="G8749" s="0" t="s">
        <x:v>19</x:v>
      </x:c>
      <x:c r="H8749" s="0" t="s">
        <x:v>20</x:v>
      </x:c>
      <x:c r="I8749" s="0" t="s">
        <x:v>21</x:v>
      </x:c>
      <x:c r="K8749" s="0">
        <x:f>hyperlink("https://icd.who.int/dev11/l-ichi/en#/http%3A%2F%2Fid.who.int%2Ficd%2Fentity%2F55561725","browser")</x:f>
      </x:c>
      <x:c r="L8749" s="0">
        <x:f>hyperlink("https://icat2.azurewebsites.net/icat/?ontology=ICD&amp;tab=ClassesTab&amp;id=http%3A%2F%2Fwho.int%2Ficd%231450_7005c14c_2656_4f4b_85a0_8e71c99be967","iCat")</x:f>
      </x:c>
      <x:c r="M8749" s="0" t="s">
        <x:v>21</x:v>
      </x:c>
      <x:c r="N8749" s="0" t="s">
        <x:v>46</x:v>
      </x:c>
    </x:row>
    <x:row r="8750" spans="1:16">
      <x:c r="A8750" s="0" t="s">
        <x:v>34863</x:v>
      </x:c>
      <x:c r="B8750" s="0" t="s">
        <x:v>34864</x:v>
      </x:c>
      <x:c r="C8750" s="0" t="s">
        <x:v>34865</x:v>
      </x:c>
      <x:c r="E8750" s="0" t="s">
        <x:v>34866</x:v>
      </x:c>
      <x:c r="F8750" s="0" t="s">
        <x:v>45</x:v>
      </x:c>
      <x:c r="G8750" s="0" t="s">
        <x:v>19</x:v>
      </x:c>
      <x:c r="H8750" s="0" t="s">
        <x:v>20</x:v>
      </x:c>
      <x:c r="I8750" s="0" t="s">
        <x:v>21</x:v>
      </x:c>
      <x:c r="K8750" s="0">
        <x:f>hyperlink("https://icd.who.int/dev11/l-ichi/en#/http%3A%2F%2Fid.who.int%2Ficd%2Fentity%2F595199423","browser")</x:f>
      </x:c>
      <x:c r="L8750" s="0">
        <x:f>hyperlink("https://icat2.azurewebsites.net/icat/?ontology=ICD&amp;tab=ClassesTab&amp;id=http%3A%2F%2Fwho.int%2Ficd%231522_7005c14c_2656_4f4b_85a0_8e71c99be967","iCat")</x:f>
      </x:c>
      <x:c r="M8750" s="0" t="s">
        <x:v>21</x:v>
      </x:c>
      <x:c r="N8750" s="0" t="s">
        <x:v>46</x:v>
      </x:c>
    </x:row>
    <x:row r="8751" spans="1:16">
      <x:c r="A8751" s="0" t="s">
        <x:v>34867</x:v>
      </x:c>
      <x:c r="B8751" s="0" t="s">
        <x:v>34868</x:v>
      </x:c>
      <x:c r="C8751" s="0" t="s">
        <x:v>34869</x:v>
      </x:c>
      <x:c r="E8751" s="0" t="s">
        <x:v>34870</x:v>
      </x:c>
      <x:c r="F8751" s="0" t="s">
        <x:v>45</x:v>
      </x:c>
      <x:c r="G8751" s="0" t="s">
        <x:v>19</x:v>
      </x:c>
      <x:c r="H8751" s="0" t="s">
        <x:v>20</x:v>
      </x:c>
      <x:c r="I8751" s="0" t="s">
        <x:v>21</x:v>
      </x:c>
      <x:c r="K8751" s="0">
        <x:f>hyperlink("https://icd.who.int/dev11/l-ichi/en#/http%3A%2F%2Fid.who.int%2Ficd%2Fentity%2F960314213","browser")</x:f>
      </x:c>
      <x:c r="L8751" s="0">
        <x:f>hyperlink("https://icat2.azurewebsites.net/icat/?ontology=ICD&amp;tab=ClassesTab&amp;id=http%3A%2F%2Fwho.int%2Ficd%231535_7005c14c_2656_4f4b_85a0_8e71c99be967","iCat")</x:f>
      </x:c>
      <x:c r="M8751" s="0" t="s">
        <x:v>21</x:v>
      </x:c>
      <x:c r="N8751" s="0" t="s">
        <x:v>46</x:v>
      </x:c>
    </x:row>
    <x:row r="8752" spans="1:16">
      <x:c r="A8752" s="0" t="s">
        <x:v>34871</x:v>
      </x:c>
      <x:c r="B8752" s="0" t="s">
        <x:v>34872</x:v>
      </x:c>
      <x:c r="C8752" s="0" t="s">
        <x:v>34873</x:v>
      </x:c>
      <x:c r="E8752" s="0" t="s">
        <x:v>34874</x:v>
      </x:c>
      <x:c r="F8752" s="0" t="s">
        <x:v>45</x:v>
      </x:c>
      <x:c r="G8752" s="0" t="s">
        <x:v>19</x:v>
      </x:c>
      <x:c r="H8752" s="0" t="s">
        <x:v>20</x:v>
      </x:c>
      <x:c r="I8752" s="0" t="s">
        <x:v>21</x:v>
      </x:c>
      <x:c r="K8752" s="0">
        <x:f>hyperlink("https://icd.who.int/dev11/l-ichi/en#/http%3A%2F%2Fid.who.int%2Ficd%2Fentity%2F1022159883","browser")</x:f>
      </x:c>
      <x:c r="L8752" s="0">
        <x:f>hyperlink("https://icat2.azurewebsites.net/icat/?ontology=ICD&amp;tab=ClassesTab&amp;id=http%3A%2F%2Fwho.int%2Ficd%231541_7005c14c_2656_4f4b_85a0_8e71c99be967","iCat")</x:f>
      </x:c>
      <x:c r="M8752" s="0" t="s">
        <x:v>21</x:v>
      </x:c>
      <x:c r="N8752" s="0" t="s">
        <x:v>46</x:v>
      </x:c>
    </x:row>
    <x:row r="8753" spans="1:16">
      <x:c r="A8753" s="0" t="s">
        <x:v>34875</x:v>
      </x:c>
      <x:c r="B8753" s="0" t="s">
        <x:v>34876</x:v>
      </x:c>
      <x:c r="C8753" s="0" t="s">
        <x:v>34877</x:v>
      </x:c>
      <x:c r="E8753" s="0" t="s">
        <x:v>34878</x:v>
      </x:c>
      <x:c r="F8753" s="0" t="s">
        <x:v>45</x:v>
      </x:c>
      <x:c r="G8753" s="0" t="s">
        <x:v>19</x:v>
      </x:c>
      <x:c r="H8753" s="0" t="s">
        <x:v>20</x:v>
      </x:c>
      <x:c r="I8753" s="0" t="s">
        <x:v>21</x:v>
      </x:c>
      <x:c r="K8753" s="0">
        <x:f>hyperlink("https://icd.who.int/dev11/l-ichi/en#/http%3A%2F%2Fid.who.int%2Ficd%2Fentity%2F1821849020","browser")</x:f>
      </x:c>
      <x:c r="L8753" s="0">
        <x:f>hyperlink("https://icat2.azurewebsites.net/icat/?ontology=ICD&amp;tab=ClassesTab&amp;id=http%3A%2F%2Fwho.int%2Ficd%231547_7005c14c_2656_4f4b_85a0_8e71c99be967","iCat")</x:f>
      </x:c>
      <x:c r="M8753" s="0" t="s">
        <x:v>21</x:v>
      </x:c>
      <x:c r="N8753" s="0" t="s">
        <x:v>46</x:v>
      </x:c>
    </x:row>
    <x:row r="8754" spans="1:16">
      <x:c r="A8754" s="0" t="s">
        <x:v>34879</x:v>
      </x:c>
      <x:c r="B8754" s="0" t="s">
        <x:v>34880</x:v>
      </x:c>
      <x:c r="C8754" s="0" t="s">
        <x:v>34881</x:v>
      </x:c>
      <x:c r="E8754" s="0" t="s">
        <x:v>34882</x:v>
      </x:c>
      <x:c r="F8754" s="0" t="s">
        <x:v>45</x:v>
      </x:c>
      <x:c r="G8754" s="0" t="s">
        <x:v>19</x:v>
      </x:c>
      <x:c r="H8754" s="0" t="s">
        <x:v>20</x:v>
      </x:c>
      <x:c r="I8754" s="0" t="s">
        <x:v>21</x:v>
      </x:c>
      <x:c r="K8754" s="0">
        <x:f>hyperlink("https://icd.who.int/dev11/l-ichi/en#/http%3A%2F%2Fid.who.int%2Ficd%2Fentity%2F861234329","browser")</x:f>
      </x:c>
      <x:c r="L8754" s="0">
        <x:f>hyperlink("https://icat2.azurewebsites.net/icat/?ontology=ICD&amp;tab=ClassesTab&amp;id=http%3A%2F%2Fwho.int%2Ficd%231553_7005c14c_2656_4f4b_85a0_8e71c99be967","iCat")</x:f>
      </x:c>
      <x:c r="M8754" s="0" t="s">
        <x:v>21</x:v>
      </x:c>
      <x:c r="N8754" s="0" t="s">
        <x:v>46</x:v>
      </x:c>
    </x:row>
    <x:row r="8755" spans="1:16">
      <x:c r="A8755" s="0" t="s">
        <x:v>34883</x:v>
      </x:c>
      <x:c r="B8755" s="0" t="s">
        <x:v>34884</x:v>
      </x:c>
      <x:c r="C8755" s="0" t="s">
        <x:v>34885</x:v>
      </x:c>
      <x:c r="E8755" s="0" t="s">
        <x:v>34886</x:v>
      </x:c>
      <x:c r="F8755" s="0" t="s">
        <x:v>45</x:v>
      </x:c>
      <x:c r="G8755" s="0" t="s">
        <x:v>19</x:v>
      </x:c>
      <x:c r="H8755" s="0" t="s">
        <x:v>20</x:v>
      </x:c>
      <x:c r="I8755" s="0" t="s">
        <x:v>21</x:v>
      </x:c>
      <x:c r="K8755" s="0">
        <x:f>hyperlink("https://icd.who.int/dev11/l-ichi/en#/http%3A%2F%2Fid.who.int%2Ficd%2Fentity%2F413665289","browser")</x:f>
      </x:c>
      <x:c r="L8755" s="0">
        <x:f>hyperlink("https://icat2.azurewebsites.net/icat/?ontology=ICD&amp;tab=ClassesTab&amp;id=http%3A%2F%2Fwho.int%2Ficd%231559_7005c14c_2656_4f4b_85a0_8e71c99be967","iCat")</x:f>
      </x:c>
      <x:c r="M8755" s="0" t="s">
        <x:v>21</x:v>
      </x:c>
      <x:c r="N8755" s="0" t="s">
        <x:v>46</x:v>
      </x:c>
    </x:row>
    <x:row r="8756" spans="1:16">
      <x:c r="A8756" s="0" t="s">
        <x:v>34887</x:v>
      </x:c>
      <x:c r="B8756" s="0" t="s">
        <x:v>34888</x:v>
      </x:c>
      <x:c r="C8756" s="0" t="s">
        <x:v>34889</x:v>
      </x:c>
      <x:c r="E8756" s="0" t="s">
        <x:v>34890</x:v>
      </x:c>
      <x:c r="F8756" s="0" t="s">
        <x:v>45</x:v>
      </x:c>
      <x:c r="G8756" s="0" t="s">
        <x:v>19</x:v>
      </x:c>
      <x:c r="H8756" s="0" t="s">
        <x:v>20</x:v>
      </x:c>
      <x:c r="I8756" s="0" t="s">
        <x:v>21</x:v>
      </x:c>
      <x:c r="K8756" s="0">
        <x:f>hyperlink("https://icd.who.int/dev11/l-ichi/en#/http%3A%2F%2Fid.who.int%2Ficd%2Fentity%2F597687599","browser")</x:f>
      </x:c>
      <x:c r="L8756" s="0">
        <x:f>hyperlink("https://icat2.azurewebsites.net/icat/?ontology=ICD&amp;tab=ClassesTab&amp;id=http%3A%2F%2Fwho.int%2Ficd%231565_7005c14c_2656_4f4b_85a0_8e71c99be967","iCat")</x:f>
      </x:c>
      <x:c r="M8756" s="0" t="s">
        <x:v>21</x:v>
      </x:c>
      <x:c r="N8756" s="0" t="s">
        <x:v>46</x:v>
      </x:c>
    </x:row>
    <x:row r="8757" spans="1:16">
      <x:c r="A8757" s="0" t="s">
        <x:v>34891</x:v>
      </x:c>
      <x:c r="B8757" s="0" t="s">
        <x:v>34892</x:v>
      </x:c>
      <x:c r="C8757" s="0" t="s">
        <x:v>34893</x:v>
      </x:c>
      <x:c r="E8757" s="0" t="s">
        <x:v>34894</x:v>
      </x:c>
      <x:c r="F8757" s="0" t="s">
        <x:v>45</x:v>
      </x:c>
      <x:c r="G8757" s="0" t="s">
        <x:v>19</x:v>
      </x:c>
      <x:c r="H8757" s="0" t="s">
        <x:v>20</x:v>
      </x:c>
      <x:c r="I8757" s="0" t="s">
        <x:v>21</x:v>
      </x:c>
      <x:c r="K8757" s="0">
        <x:f>hyperlink("https://icd.who.int/dev11/l-ichi/en#/http%3A%2F%2Fid.who.int%2Ficd%2Fentity%2F2086513678","browser")</x:f>
      </x:c>
      <x:c r="L8757" s="0">
        <x:f>hyperlink("https://icat2.azurewebsites.net/icat/?ontology=ICD&amp;tab=ClassesTab&amp;id=http%3A%2F%2Fwho.int%2Ficd%231571_7005c14c_2656_4f4b_85a0_8e71c99be967","iCat")</x:f>
      </x:c>
      <x:c r="M8757" s="0" t="s">
        <x:v>21</x:v>
      </x:c>
      <x:c r="N8757" s="0" t="s">
        <x:v>46</x:v>
      </x:c>
    </x:row>
    <x:row r="8758" spans="1:16">
      <x:c r="A8758" s="0" t="s">
        <x:v>34895</x:v>
      </x:c>
      <x:c r="B8758" s="0" t="s">
        <x:v>34896</x:v>
      </x:c>
      <x:c r="C8758" s="0" t="s">
        <x:v>34897</x:v>
      </x:c>
      <x:c r="E8758" s="0" t="s">
        <x:v>34898</x:v>
      </x:c>
      <x:c r="F8758" s="0" t="s">
        <x:v>45</x:v>
      </x:c>
      <x:c r="G8758" s="0" t="s">
        <x:v>19</x:v>
      </x:c>
      <x:c r="H8758" s="0" t="s">
        <x:v>20</x:v>
      </x:c>
      <x:c r="I8758" s="0" t="s">
        <x:v>21</x:v>
      </x:c>
      <x:c r="K8758" s="0">
        <x:f>hyperlink("https://icd.who.int/dev11/l-ichi/en#/http%3A%2F%2Fid.who.int%2Ficd%2Fentity%2F740718013","browser")</x:f>
      </x:c>
      <x:c r="L8758" s="0">
        <x:f>hyperlink("https://icat2.azurewebsites.net/icat/?ontology=ICD&amp;tab=ClassesTab&amp;id=http%3A%2F%2Fwho.int%2Ficd%231577_7005c14c_2656_4f4b_85a0_8e71c99be967","iCat")</x:f>
      </x:c>
      <x:c r="M8758" s="0" t="s">
        <x:v>21</x:v>
      </x:c>
      <x:c r="N8758" s="0" t="s">
        <x:v>46</x:v>
      </x:c>
    </x:row>
    <x:row r="8759" spans="1:16">
      <x:c r="A8759" s="0" t="s">
        <x:v>34899</x:v>
      </x:c>
      <x:c r="B8759" s="0" t="s">
        <x:v>34900</x:v>
      </x:c>
      <x:c r="C8759" s="0" t="s">
        <x:v>34901</x:v>
      </x:c>
      <x:c r="E8759" s="0" t="s">
        <x:v>34902</x:v>
      </x:c>
      <x:c r="F8759" s="0" t="s">
        <x:v>45</x:v>
      </x:c>
      <x:c r="G8759" s="0" t="s">
        <x:v>19</x:v>
      </x:c>
      <x:c r="H8759" s="0" t="s">
        <x:v>20</x:v>
      </x:c>
      <x:c r="I8759" s="0" t="s">
        <x:v>21</x:v>
      </x:c>
      <x:c r="K8759" s="0">
        <x:f>hyperlink("https://icd.who.int/dev11/l-ichi/en#/http%3A%2F%2Fid.who.int%2Ficd%2Fentity%2F919010071","browser")</x:f>
      </x:c>
      <x:c r="L8759" s="0">
        <x:f>hyperlink("https://icat2.azurewebsites.net/icat/?ontology=ICD&amp;tab=ClassesTab&amp;id=http%3A%2F%2Fwho.int%2Ficd%231583_7005c14c_2656_4f4b_85a0_8e71c99be967","iCat")</x:f>
      </x:c>
      <x:c r="M8759" s="0" t="s">
        <x:v>21</x:v>
      </x:c>
      <x:c r="N8759" s="0" t="s">
        <x:v>46</x:v>
      </x:c>
    </x:row>
    <x:row r="8760" spans="1:16">
      <x:c r="A8760" s="0" t="s">
        <x:v>34903</x:v>
      </x:c>
      <x:c r="B8760" s="0" t="s">
        <x:v>34904</x:v>
      </x:c>
      <x:c r="C8760" s="0" t="s">
        <x:v>34905</x:v>
      </x:c>
      <x:c r="E8760" s="0" t="s">
        <x:v>34906</x:v>
      </x:c>
      <x:c r="F8760" s="0" t="s">
        <x:v>45</x:v>
      </x:c>
      <x:c r="G8760" s="0" t="s">
        <x:v>19</x:v>
      </x:c>
      <x:c r="H8760" s="0" t="s">
        <x:v>20</x:v>
      </x:c>
      <x:c r="I8760" s="0" t="s">
        <x:v>21</x:v>
      </x:c>
      <x:c r="K8760" s="0">
        <x:f>hyperlink("https://icd.who.int/dev11/l-ichi/en#/http%3A%2F%2Fid.who.int%2Ficd%2Fentity%2F490444679","browser")</x:f>
      </x:c>
      <x:c r="L8760" s="0">
        <x:f>hyperlink("https://icat2.azurewebsites.net/icat/?ontology=ICD&amp;tab=ClassesTab&amp;id=http%3A%2F%2Fwho.int%2Ficd%231589_7005c14c_2656_4f4b_85a0_8e71c99be967","iCat")</x:f>
      </x:c>
      <x:c r="M8760" s="0" t="s">
        <x:v>21</x:v>
      </x:c>
      <x:c r="N8760" s="0" t="s">
        <x:v>46</x:v>
      </x:c>
    </x:row>
    <x:row r="8761" spans="1:16">
      <x:c r="A8761" s="0" t="s">
        <x:v>34907</x:v>
      </x:c>
      <x:c r="B8761" s="0" t="s">
        <x:v>34908</x:v>
      </x:c>
      <x:c r="C8761" s="0" t="s">
        <x:v>34909</x:v>
      </x:c>
      <x:c r="E8761" s="0" t="s">
        <x:v>34910</x:v>
      </x:c>
      <x:c r="F8761" s="0" t="s">
        <x:v>45</x:v>
      </x:c>
      <x:c r="G8761" s="0" t="s">
        <x:v>19</x:v>
      </x:c>
      <x:c r="H8761" s="0" t="s">
        <x:v>20</x:v>
      </x:c>
      <x:c r="I8761" s="0" t="s">
        <x:v>21</x:v>
      </x:c>
      <x:c r="K8761" s="0">
        <x:f>hyperlink("https://icd.who.int/dev11/l-ichi/en#/http%3A%2F%2Fid.who.int%2Ficd%2Fentity%2F209238001","browser")</x:f>
      </x:c>
      <x:c r="L8761" s="0">
        <x:f>hyperlink("https://icat2.azurewebsites.net/icat/?ontology=ICD&amp;tab=ClassesTab&amp;id=http%3A%2F%2Fwho.int%2Ficd%231595_7005c14c_2656_4f4b_85a0_8e71c99be967","iCat")</x:f>
      </x:c>
      <x:c r="M8761" s="0" t="s">
        <x:v>21</x:v>
      </x:c>
      <x:c r="N8761" s="0" t="s">
        <x:v>46</x:v>
      </x:c>
    </x:row>
    <x:row r="8762" spans="1:16">
      <x:c r="A8762" s="0" t="s">
        <x:v>34911</x:v>
      </x:c>
      <x:c r="B8762" s="0" t="s">
        <x:v>34912</x:v>
      </x:c>
      <x:c r="C8762" s="0" t="s">
        <x:v>34913</x:v>
      </x:c>
      <x:c r="E8762" s="0" t="s">
        <x:v>34914</x:v>
      </x:c>
      <x:c r="F8762" s="0" t="s">
        <x:v>45</x:v>
      </x:c>
      <x:c r="G8762" s="0" t="s">
        <x:v>19</x:v>
      </x:c>
      <x:c r="H8762" s="0" t="s">
        <x:v>20</x:v>
      </x:c>
      <x:c r="I8762" s="0" t="s">
        <x:v>21</x:v>
      </x:c>
      <x:c r="K8762" s="0">
        <x:f>hyperlink("https://icd.who.int/dev11/l-ichi/en#/http%3A%2F%2Fid.who.int%2Ficd%2Fentity%2F768871247","browser")</x:f>
      </x:c>
      <x:c r="L8762" s="0">
        <x:f>hyperlink("https://icat2.azurewebsites.net/icat/?ontology=ICD&amp;tab=ClassesTab&amp;id=http%3A%2F%2Fwho.int%2Ficd%231601_7005c14c_2656_4f4b_85a0_8e71c99be967","iCat")</x:f>
      </x:c>
      <x:c r="M8762" s="0" t="s">
        <x:v>21</x:v>
      </x:c>
      <x:c r="N8762" s="0" t="s">
        <x:v>46</x:v>
      </x:c>
    </x:row>
    <x:row r="8763" spans="1:16">
      <x:c r="A8763" s="0" t="s">
        <x:v>34915</x:v>
      </x:c>
      <x:c r="B8763" s="0" t="s">
        <x:v>34916</x:v>
      </x:c>
      <x:c r="C8763" s="0" t="s">
        <x:v>34917</x:v>
      </x:c>
      <x:c r="E8763" s="0" t="s">
        <x:v>34918</x:v>
      </x:c>
      <x:c r="F8763" s="0" t="s">
        <x:v>45</x:v>
      </x:c>
      <x:c r="G8763" s="0" t="s">
        <x:v>19</x:v>
      </x:c>
      <x:c r="H8763" s="0" t="s">
        <x:v>20</x:v>
      </x:c>
      <x:c r="I8763" s="0" t="s">
        <x:v>21</x:v>
      </x:c>
      <x:c r="K8763" s="0">
        <x:f>hyperlink("https://icd.who.int/dev11/l-ichi/en#/http%3A%2F%2Fid.who.int%2Ficd%2Fentity%2F2108674814","browser")</x:f>
      </x:c>
      <x:c r="L8763" s="0">
        <x:f>hyperlink("https://icat2.azurewebsites.net/icat/?ontology=ICD&amp;tab=ClassesTab&amp;id=http%3A%2F%2Fwho.int%2Ficd%231607_7005c14c_2656_4f4b_85a0_8e71c99be967","iCat")</x:f>
      </x:c>
      <x:c r="M8763" s="0" t="s">
        <x:v>21</x:v>
      </x:c>
      <x:c r="N8763" s="0" t="s">
        <x:v>46</x:v>
      </x:c>
    </x:row>
    <x:row r="8764" spans="1:16">
      <x:c r="A8764" s="0" t="s">
        <x:v>34919</x:v>
      </x:c>
      <x:c r="B8764" s="0" t="s">
        <x:v>34920</x:v>
      </x:c>
      <x:c r="C8764" s="0" t="s">
        <x:v>34921</x:v>
      </x:c>
      <x:c r="E8764" s="0" t="s">
        <x:v>34922</x:v>
      </x:c>
      <x:c r="F8764" s="0" t="s">
        <x:v>45</x:v>
      </x:c>
      <x:c r="G8764" s="0" t="s">
        <x:v>19</x:v>
      </x:c>
      <x:c r="H8764" s="0" t="s">
        <x:v>20</x:v>
      </x:c>
      <x:c r="I8764" s="0" t="s">
        <x:v>21</x:v>
      </x:c>
      <x:c r="K8764" s="0">
        <x:f>hyperlink("https://icd.who.int/dev11/l-ichi/en#/http%3A%2F%2Fid.who.int%2Ficd%2Fentity%2F577602525","browser")</x:f>
      </x:c>
      <x:c r="L8764" s="0">
        <x:f>hyperlink("https://icat2.azurewebsites.net/icat/?ontology=ICD&amp;tab=ClassesTab&amp;id=http%3A%2F%2Fwho.int%2Ficd%231613_7005c14c_2656_4f4b_85a0_8e71c99be967","iCat")</x:f>
      </x:c>
      <x:c r="M8764" s="0" t="s">
        <x:v>21</x:v>
      </x:c>
      <x:c r="N8764" s="0" t="s">
        <x:v>46</x:v>
      </x:c>
    </x:row>
    <x:row r="8765" spans="1:16">
      <x:c r="A8765" s="0" t="s">
        <x:v>34923</x:v>
      </x:c>
      <x:c r="B8765" s="0" t="s">
        <x:v>34924</x:v>
      </x:c>
      <x:c r="C8765" s="0" t="s">
        <x:v>34925</x:v>
      </x:c>
      <x:c r="E8765" s="0" t="s">
        <x:v>34926</x:v>
      </x:c>
      <x:c r="F8765" s="0" t="s">
        <x:v>45</x:v>
      </x:c>
      <x:c r="G8765" s="0" t="s">
        <x:v>19</x:v>
      </x:c>
      <x:c r="H8765" s="0" t="s">
        <x:v>20</x:v>
      </x:c>
      <x:c r="I8765" s="0" t="s">
        <x:v>21</x:v>
      </x:c>
      <x:c r="K8765" s="0">
        <x:f>hyperlink("https://icd.who.int/dev11/l-ichi/en#/http%3A%2F%2Fid.who.int%2Ficd%2Fentity%2F127983135","browser")</x:f>
      </x:c>
      <x:c r="L8765" s="0">
        <x:f>hyperlink("https://icat2.azurewebsites.net/icat/?ontology=ICD&amp;tab=ClassesTab&amp;id=http%3A%2F%2Fwho.int%2Ficd%231621_7005c14c_2656_4f4b_85a0_8e71c99be967","iCat")</x:f>
      </x:c>
      <x:c r="M8765" s="0" t="s">
        <x:v>21</x:v>
      </x:c>
      <x:c r="N8765" s="0" t="s">
        <x:v>46</x:v>
      </x:c>
    </x:row>
    <x:row r="8766" spans="1:16">
      <x:c r="A8766" s="0" t="s">
        <x:v>34927</x:v>
      </x:c>
      <x:c r="B8766" s="0" t="s">
        <x:v>34928</x:v>
      </x:c>
      <x:c r="C8766" s="0" t="s">
        <x:v>34929</x:v>
      </x:c>
      <x:c r="E8766" s="0" t="s">
        <x:v>34930</x:v>
      </x:c>
      <x:c r="F8766" s="0" t="s">
        <x:v>45</x:v>
      </x:c>
      <x:c r="G8766" s="0" t="s">
        <x:v>19</x:v>
      </x:c>
      <x:c r="H8766" s="0" t="s">
        <x:v>20</x:v>
      </x:c>
      <x:c r="I8766" s="0" t="s">
        <x:v>21</x:v>
      </x:c>
      <x:c r="K8766" s="0">
        <x:f>hyperlink("https://icd.who.int/dev11/l-ichi/en#/http%3A%2F%2Fid.who.int%2Ficd%2Fentity%2F1473972144","browser")</x:f>
      </x:c>
      <x:c r="L8766" s="0">
        <x:f>hyperlink("https://icat2.azurewebsites.net/icat/?ontology=ICD&amp;tab=ClassesTab&amp;id=http%3A%2F%2Fwho.int%2Ficd%231627_7005c14c_2656_4f4b_85a0_8e71c99be967","iCat")</x:f>
      </x:c>
      <x:c r="M8766" s="0" t="s">
        <x:v>21</x:v>
      </x:c>
      <x:c r="N8766" s="0" t="s">
        <x:v>46</x:v>
      </x:c>
    </x:row>
    <x:row r="8767" spans="1:16">
      <x:c r="A8767" s="0" t="s">
        <x:v>34931</x:v>
      </x:c>
      <x:c r="B8767" s="0" t="s">
        <x:v>34932</x:v>
      </x:c>
      <x:c r="C8767" s="0" t="s">
        <x:v>34933</x:v>
      </x:c>
      <x:c r="E8767" s="0" t="s">
        <x:v>34934</x:v>
      </x:c>
      <x:c r="F8767" s="0" t="s">
        <x:v>45</x:v>
      </x:c>
      <x:c r="G8767" s="0" t="s">
        <x:v>19</x:v>
      </x:c>
      <x:c r="H8767" s="0" t="s">
        <x:v>20</x:v>
      </x:c>
      <x:c r="I8767" s="0" t="s">
        <x:v>21</x:v>
      </x:c>
      <x:c r="K8767" s="0">
        <x:f>hyperlink("https://icd.who.int/dev11/l-ichi/en#/http%3A%2F%2Fid.who.int%2Ficd%2Fentity%2F135878285","browser")</x:f>
      </x:c>
      <x:c r="L8767" s="0">
        <x:f>hyperlink("https://icat2.azurewebsites.net/icat/?ontology=ICD&amp;tab=ClassesTab&amp;id=http%3A%2F%2Fwho.int%2Ficd%231633_7005c14c_2656_4f4b_85a0_8e71c99be967","iCat")</x:f>
      </x:c>
      <x:c r="M8767" s="0" t="s">
        <x:v>21</x:v>
      </x:c>
      <x:c r="N8767" s="0" t="s">
        <x:v>46</x:v>
      </x:c>
    </x:row>
    <x:row r="8768" spans="1:16">
      <x:c r="A8768" s="0" t="s">
        <x:v>34935</x:v>
      </x:c>
      <x:c r="B8768" s="0" t="s">
        <x:v>34936</x:v>
      </x:c>
      <x:c r="C8768" s="0" t="s">
        <x:v>34937</x:v>
      </x:c>
      <x:c r="E8768" s="0" t="s">
        <x:v>34938</x:v>
      </x:c>
      <x:c r="F8768" s="0" t="s">
        <x:v>45</x:v>
      </x:c>
      <x:c r="G8768" s="0" t="s">
        <x:v>19</x:v>
      </x:c>
      <x:c r="H8768" s="0" t="s">
        <x:v>20</x:v>
      </x:c>
      <x:c r="I8768" s="0" t="s">
        <x:v>21</x:v>
      </x:c>
      <x:c r="K8768" s="0">
        <x:f>hyperlink("https://icd.who.int/dev11/l-ichi/en#/http%3A%2F%2Fid.who.int%2Ficd%2Fentity%2F602159645","browser")</x:f>
      </x:c>
      <x:c r="L8768" s="0">
        <x:f>hyperlink("https://icat2.azurewebsites.net/icat/?ontology=ICD&amp;tab=ClassesTab&amp;id=http%3A%2F%2Fwho.int%2Ficd%231639_7005c14c_2656_4f4b_85a0_8e71c99be967","iCat")</x:f>
      </x:c>
      <x:c r="M8768" s="0" t="s">
        <x:v>21</x:v>
      </x:c>
      <x:c r="N8768" s="0" t="s">
        <x:v>46</x:v>
      </x:c>
    </x:row>
    <x:row r="8769" spans="1:16">
      <x:c r="A8769" s="0" t="s">
        <x:v>34939</x:v>
      </x:c>
      <x:c r="B8769" s="0" t="s">
        <x:v>34940</x:v>
      </x:c>
      <x:c r="C8769" s="0" t="s">
        <x:v>34941</x:v>
      </x:c>
      <x:c r="E8769" s="0" t="s">
        <x:v>34942</x:v>
      </x:c>
      <x:c r="F8769" s="0" t="s">
        <x:v>45</x:v>
      </x:c>
      <x:c r="G8769" s="0" t="s">
        <x:v>19</x:v>
      </x:c>
      <x:c r="H8769" s="0" t="s">
        <x:v>20</x:v>
      </x:c>
      <x:c r="I8769" s="0" t="s">
        <x:v>21</x:v>
      </x:c>
      <x:c r="K8769" s="0">
        <x:f>hyperlink("https://icd.who.int/dev11/l-ichi/en#/http%3A%2F%2Fid.who.int%2Ficd%2Fentity%2F1756666918","browser")</x:f>
      </x:c>
      <x:c r="L8769" s="0">
        <x:f>hyperlink("https://icat2.azurewebsites.net/icat/?ontology=ICD&amp;tab=ClassesTab&amp;id=http%3A%2F%2Fwho.int%2Ficd%231645_7005c14c_2656_4f4b_85a0_8e71c99be967","iCat")</x:f>
      </x:c>
      <x:c r="M8769" s="0" t="s">
        <x:v>21</x:v>
      </x:c>
      <x:c r="N8769" s="0" t="s">
        <x:v>46</x:v>
      </x:c>
    </x:row>
    <x:row r="8770" spans="1:16">
      <x:c r="A8770" s="0" t="s">
        <x:v>34943</x:v>
      </x:c>
      <x:c r="B8770" s="0" t="s">
        <x:v>34944</x:v>
      </x:c>
      <x:c r="C8770" s="0" t="s">
        <x:v>34945</x:v>
      </x:c>
      <x:c r="E8770" s="0" t="s">
        <x:v>34946</x:v>
      </x:c>
      <x:c r="F8770" s="0" t="s">
        <x:v>45</x:v>
      </x:c>
      <x:c r="G8770" s="0" t="s">
        <x:v>19</x:v>
      </x:c>
      <x:c r="H8770" s="0" t="s">
        <x:v>20</x:v>
      </x:c>
      <x:c r="I8770" s="0" t="s">
        <x:v>21</x:v>
      </x:c>
      <x:c r="K8770" s="0">
        <x:f>hyperlink("https://icd.who.int/dev11/l-ichi/en#/http%3A%2F%2Fid.who.int%2Ficd%2Fentity%2F930532613","browser")</x:f>
      </x:c>
      <x:c r="L8770" s="0">
        <x:f>hyperlink("https://icat2.azurewebsites.net/icat/?ontology=ICD&amp;tab=ClassesTab&amp;id=http%3A%2F%2Fwho.int%2Ficd%231651_7005c14c_2656_4f4b_85a0_8e71c99be967","iCat")</x:f>
      </x:c>
      <x:c r="M8770" s="0" t="s">
        <x:v>21</x:v>
      </x:c>
      <x:c r="N8770" s="0" t="s">
        <x:v>46</x:v>
      </x:c>
    </x:row>
    <x:row r="8771" spans="1:16">
      <x:c r="A8771" s="0" t="s">
        <x:v>34947</x:v>
      </x:c>
      <x:c r="B8771" s="0" t="s">
        <x:v>34948</x:v>
      </x:c>
      <x:c r="C8771" s="0" t="s">
        <x:v>34949</x:v>
      </x:c>
      <x:c r="E8771" s="0" t="s">
        <x:v>34950</x:v>
      </x:c>
      <x:c r="F8771" s="0" t="s">
        <x:v>45</x:v>
      </x:c>
      <x:c r="G8771" s="0" t="s">
        <x:v>19</x:v>
      </x:c>
      <x:c r="H8771" s="0" t="s">
        <x:v>20</x:v>
      </x:c>
      <x:c r="I8771" s="0" t="s">
        <x:v>21</x:v>
      </x:c>
      <x:c r="K8771" s="0">
        <x:f>hyperlink("https://icd.who.int/dev11/l-ichi/en#/http%3A%2F%2Fid.who.int%2Ficd%2Fentity%2F1728910516","browser")</x:f>
      </x:c>
      <x:c r="L8771" s="0">
        <x:f>hyperlink("https://icat2.azurewebsites.net/icat/?ontology=ICD&amp;tab=ClassesTab&amp;id=http%3A%2F%2Fwho.int%2Ficd%231657_7005c14c_2656_4f4b_85a0_8e71c99be967","iCat")</x:f>
      </x:c>
      <x:c r="M8771" s="0" t="s">
        <x:v>21</x:v>
      </x:c>
      <x:c r="N8771" s="0" t="s">
        <x:v>46</x:v>
      </x:c>
    </x:row>
    <x:row r="8772" spans="1:16">
      <x:c r="A8772" s="0" t="s">
        <x:v>34951</x:v>
      </x:c>
      <x:c r="B8772" s="0" t="s">
        <x:v>34952</x:v>
      </x:c>
      <x:c r="C8772" s="0" t="s">
        <x:v>34953</x:v>
      </x:c>
      <x:c r="E8772" s="0" t="s">
        <x:v>34954</x:v>
      </x:c>
      <x:c r="F8772" s="0" t="s">
        <x:v>45</x:v>
      </x:c>
      <x:c r="G8772" s="0" t="s">
        <x:v>19</x:v>
      </x:c>
      <x:c r="H8772" s="0" t="s">
        <x:v>20</x:v>
      </x:c>
      <x:c r="I8772" s="0" t="s">
        <x:v>21</x:v>
      </x:c>
      <x:c r="K8772" s="0">
        <x:f>hyperlink("https://icd.who.int/dev11/l-ichi/en#/http%3A%2F%2Fid.who.int%2Ficd%2Fentity%2F314282183","browser")</x:f>
      </x:c>
      <x:c r="L8772" s="0">
        <x:f>hyperlink("https://icat2.azurewebsites.net/icat/?ontology=ICD&amp;tab=ClassesTab&amp;id=http%3A%2F%2Fwho.int%2Ficd%231663_7005c14c_2656_4f4b_85a0_8e71c99be967","iCat")</x:f>
      </x:c>
      <x:c r="M8772" s="0" t="s">
        <x:v>21</x:v>
      </x:c>
      <x:c r="N8772" s="0" t="s">
        <x:v>46</x:v>
      </x:c>
    </x:row>
    <x:row r="8773" spans="1:16">
      <x:c r="A8773" s="0" t="s">
        <x:v>34955</x:v>
      </x:c>
      <x:c r="B8773" s="0" t="s">
        <x:v>34956</x:v>
      </x:c>
      <x:c r="C8773" s="0" t="s">
        <x:v>34957</x:v>
      </x:c>
      <x:c r="E8773" s="0" t="s">
        <x:v>34958</x:v>
      </x:c>
      <x:c r="F8773" s="0" t="s">
        <x:v>45</x:v>
      </x:c>
      <x:c r="G8773" s="0" t="s">
        <x:v>19</x:v>
      </x:c>
      <x:c r="H8773" s="0" t="s">
        <x:v>20</x:v>
      </x:c>
      <x:c r="I8773" s="0" t="s">
        <x:v>21</x:v>
      </x:c>
      <x:c r="K8773" s="0">
        <x:f>hyperlink("https://icd.who.int/dev11/l-ichi/en#/http%3A%2F%2Fid.who.int%2Ficd%2Fentity%2F960953431","browser")</x:f>
      </x:c>
      <x:c r="L8773" s="0">
        <x:f>hyperlink("https://icat2.azurewebsites.net/icat/?ontology=ICD&amp;tab=ClassesTab&amp;id=http%3A%2F%2Fwho.int%2Ficd%231669_7005c14c_2656_4f4b_85a0_8e71c99be967","iCat")</x:f>
      </x:c>
      <x:c r="M8773" s="0" t="s">
        <x:v>21</x:v>
      </x:c>
      <x:c r="N8773" s="0" t="s">
        <x:v>46</x:v>
      </x:c>
    </x:row>
    <x:row r="8774" spans="1:16">
      <x:c r="A8774" s="0" t="s">
        <x:v>34959</x:v>
      </x:c>
      <x:c r="B8774" s="0" t="s">
        <x:v>34960</x:v>
      </x:c>
      <x:c r="C8774" s="0" t="s">
        <x:v>34961</x:v>
      </x:c>
      <x:c r="E8774" s="0" t="s">
        <x:v>34962</x:v>
      </x:c>
      <x:c r="F8774" s="0" t="s">
        <x:v>45</x:v>
      </x:c>
      <x:c r="G8774" s="0" t="s">
        <x:v>19</x:v>
      </x:c>
      <x:c r="H8774" s="0" t="s">
        <x:v>20</x:v>
      </x:c>
      <x:c r="I8774" s="0" t="s">
        <x:v>21</x:v>
      </x:c>
      <x:c r="K8774" s="0">
        <x:f>hyperlink("https://icd.who.int/dev11/l-ichi/en#/http%3A%2F%2Fid.who.int%2Ficd%2Fentity%2F671472673","browser")</x:f>
      </x:c>
      <x:c r="L8774" s="0">
        <x:f>hyperlink("https://icat2.azurewebsites.net/icat/?ontology=ICD&amp;tab=ClassesTab&amp;id=http%3A%2F%2Fwho.int%2Ficd%231675_7005c14c_2656_4f4b_85a0_8e71c99be967","iCat")</x:f>
      </x:c>
      <x:c r="M8774" s="0" t="s">
        <x:v>21</x:v>
      </x:c>
      <x:c r="N8774" s="0" t="s">
        <x:v>46</x:v>
      </x:c>
    </x:row>
    <x:row r="8775" spans="1:16">
      <x:c r="A8775" s="0" t="s">
        <x:v>34963</x:v>
      </x:c>
      <x:c r="B8775" s="0" t="s">
        <x:v>34964</x:v>
      </x:c>
      <x:c r="C8775" s="0" t="s">
        <x:v>34965</x:v>
      </x:c>
      <x:c r="E8775" s="0" t="s">
        <x:v>34966</x:v>
      </x:c>
      <x:c r="F8775" s="0" t="s">
        <x:v>45</x:v>
      </x:c>
      <x:c r="G8775" s="0" t="s">
        <x:v>19</x:v>
      </x:c>
      <x:c r="H8775" s="0" t="s">
        <x:v>20</x:v>
      </x:c>
      <x:c r="I8775" s="0" t="s">
        <x:v>21</x:v>
      </x:c>
      <x:c r="K8775" s="0">
        <x:f>hyperlink("https://icd.who.int/dev11/l-ichi/en#/http%3A%2F%2Fid.who.int%2Ficd%2Fentity%2F853889675","browser")</x:f>
      </x:c>
      <x:c r="L8775" s="0">
        <x:f>hyperlink("https://icat2.azurewebsites.net/icat/?ontology=ICD&amp;tab=ClassesTab&amp;id=http%3A%2F%2Fwho.int%2Ficd%231681_7005c14c_2656_4f4b_85a0_8e71c99be967","iCat")</x:f>
      </x:c>
      <x:c r="M8775" s="0" t="s">
        <x:v>21</x:v>
      </x:c>
      <x:c r="N8775" s="0" t="s">
        <x:v>46</x:v>
      </x:c>
    </x:row>
    <x:row r="8776" spans="1:16">
      <x:c r="A8776" s="0" t="s">
        <x:v>34967</x:v>
      </x:c>
      <x:c r="B8776" s="0" t="s">
        <x:v>34968</x:v>
      </x:c>
      <x:c r="C8776" s="0" t="s">
        <x:v>34969</x:v>
      </x:c>
      <x:c r="E8776" s="0" t="s">
        <x:v>34970</x:v>
      </x:c>
      <x:c r="F8776" s="0" t="s">
        <x:v>45</x:v>
      </x:c>
      <x:c r="G8776" s="0" t="s">
        <x:v>19</x:v>
      </x:c>
      <x:c r="H8776" s="0" t="s">
        <x:v>20</x:v>
      </x:c>
      <x:c r="I8776" s="0" t="s">
        <x:v>21</x:v>
      </x:c>
      <x:c r="K8776" s="0">
        <x:f>hyperlink("https://icd.who.int/dev11/l-ichi/en#/http%3A%2F%2Fid.who.int%2Ficd%2Fentity%2F1654557500","browser")</x:f>
      </x:c>
      <x:c r="L8776" s="0">
        <x:f>hyperlink("https://icat2.azurewebsites.net/icat/?ontology=ICD&amp;tab=ClassesTab&amp;id=http%3A%2F%2Fwho.int%2Ficd%231687_7005c14c_2656_4f4b_85a0_8e71c99be967","iCat")</x:f>
      </x:c>
      <x:c r="M8776" s="0" t="s">
        <x:v>21</x:v>
      </x:c>
      <x:c r="N8776" s="0" t="s">
        <x:v>46</x:v>
      </x:c>
    </x:row>
    <x:row r="8777" spans="1:16">
      <x:c r="A8777" s="0" t="s">
        <x:v>34971</x:v>
      </x:c>
      <x:c r="B8777" s="0" t="s">
        <x:v>34972</x:v>
      </x:c>
      <x:c r="C8777" s="0" t="s">
        <x:v>34973</x:v>
      </x:c>
      <x:c r="E8777" s="0" t="s">
        <x:v>34974</x:v>
      </x:c>
      <x:c r="F8777" s="0" t="s">
        <x:v>45</x:v>
      </x:c>
      <x:c r="G8777" s="0" t="s">
        <x:v>19</x:v>
      </x:c>
      <x:c r="H8777" s="0" t="s">
        <x:v>20</x:v>
      </x:c>
      <x:c r="I8777" s="0" t="s">
        <x:v>21</x:v>
      </x:c>
      <x:c r="K8777" s="0">
        <x:f>hyperlink("https://icd.who.int/dev11/l-ichi/en#/http%3A%2F%2Fid.who.int%2Ficd%2Fentity%2F1029495321","browser")</x:f>
      </x:c>
      <x:c r="L8777" s="0">
        <x:f>hyperlink("https://icat2.azurewebsites.net/icat/?ontology=ICD&amp;tab=ClassesTab&amp;id=http%3A%2F%2Fwho.int%2Ficd%231693_7005c14c_2656_4f4b_85a0_8e71c99be967","iCat")</x:f>
      </x:c>
      <x:c r="M8777" s="0" t="s">
        <x:v>21</x:v>
      </x:c>
      <x:c r="N8777" s="0" t="s">
        <x:v>46</x:v>
      </x:c>
    </x:row>
    <x:row r="8778" spans="1:16">
      <x:c r="A8778" s="0" t="s">
        <x:v>34975</x:v>
      </x:c>
      <x:c r="B8778" s="0" t="s">
        <x:v>34976</x:v>
      </x:c>
      <x:c r="C8778" s="0" t="s">
        <x:v>34977</x:v>
      </x:c>
      <x:c r="E8778" s="0" t="s">
        <x:v>34978</x:v>
      </x:c>
      <x:c r="F8778" s="0" t="s">
        <x:v>45</x:v>
      </x:c>
      <x:c r="G8778" s="0" t="s">
        <x:v>19</x:v>
      </x:c>
      <x:c r="H8778" s="0" t="s">
        <x:v>20</x:v>
      </x:c>
      <x:c r="I8778" s="0" t="s">
        <x:v>21</x:v>
      </x:c>
      <x:c r="K8778" s="0">
        <x:f>hyperlink("https://icd.who.int/dev11/l-ichi/en#/http%3A%2F%2Fid.who.int%2Ficd%2Fentity%2F379696777","browser")</x:f>
      </x:c>
      <x:c r="L8778" s="0">
        <x:f>hyperlink("https://icat2.azurewebsites.net/icat/?ontology=ICD&amp;tab=ClassesTab&amp;id=http%3A%2F%2Fwho.int%2Ficd%231699_7005c14c_2656_4f4b_85a0_8e71c99be967","iCat")</x:f>
      </x:c>
      <x:c r="M8778" s="0" t="s">
        <x:v>21</x:v>
      </x:c>
      <x:c r="N8778" s="0" t="s">
        <x:v>46</x:v>
      </x:c>
    </x:row>
    <x:row r="8779" spans="1:16">
      <x:c r="A8779" s="0" t="s">
        <x:v>34979</x:v>
      </x:c>
      <x:c r="B8779" s="0" t="s">
        <x:v>34980</x:v>
      </x:c>
      <x:c r="C8779" s="0" t="s">
        <x:v>34981</x:v>
      </x:c>
      <x:c r="E8779" s="0" t="s">
        <x:v>34982</x:v>
      </x:c>
      <x:c r="F8779" s="0" t="s">
        <x:v>45</x:v>
      </x:c>
      <x:c r="G8779" s="0" t="s">
        <x:v>19</x:v>
      </x:c>
      <x:c r="H8779" s="0" t="s">
        <x:v>20</x:v>
      </x:c>
      <x:c r="I8779" s="0" t="s">
        <x:v>21</x:v>
      </x:c>
      <x:c r="K8779" s="0">
        <x:f>hyperlink("https://icd.who.int/dev11/l-ichi/en#/http%3A%2F%2Fid.who.int%2Ficd%2Fentity%2F1833699750","browser")</x:f>
      </x:c>
      <x:c r="L8779" s="0">
        <x:f>hyperlink("https://icat2.azurewebsites.net/icat/?ontology=ICD&amp;tab=ClassesTab&amp;id=http%3A%2F%2Fwho.int%2Ficd%231705_7005c14c_2656_4f4b_85a0_8e71c99be967","iCat")</x:f>
      </x:c>
      <x:c r="M8779" s="0" t="s">
        <x:v>21</x:v>
      </x:c>
      <x:c r="N8779" s="0" t="s">
        <x:v>46</x:v>
      </x:c>
    </x:row>
    <x:row r="8780" spans="1:16">
      <x:c r="A8780" s="0" t="s">
        <x:v>34983</x:v>
      </x:c>
      <x:c r="B8780" s="0" t="s">
        <x:v>34984</x:v>
      </x:c>
      <x:c r="C8780" s="0" t="s">
        <x:v>34985</x:v>
      </x:c>
      <x:c r="E8780" s="0" t="s">
        <x:v>34986</x:v>
      </x:c>
      <x:c r="F8780" s="0" t="s">
        <x:v>45</x:v>
      </x:c>
      <x:c r="G8780" s="0" t="s">
        <x:v>19</x:v>
      </x:c>
      <x:c r="H8780" s="0" t="s">
        <x:v>20</x:v>
      </x:c>
      <x:c r="I8780" s="0" t="s">
        <x:v>21</x:v>
      </x:c>
      <x:c r="K8780" s="0">
        <x:f>hyperlink("https://icd.who.int/dev11/l-ichi/en#/http%3A%2F%2Fid.who.int%2Ficd%2Fentity%2F1475495234","browser")</x:f>
      </x:c>
      <x:c r="L8780" s="0">
        <x:f>hyperlink("https://icat2.azurewebsites.net/icat/?ontology=ICD&amp;tab=ClassesTab&amp;id=http%3A%2F%2Fwho.int%2Ficd%231713_7005c14c_2656_4f4b_85a0_8e71c99be967","iCat")</x:f>
      </x:c>
      <x:c r="M8780" s="0" t="s">
        <x:v>21</x:v>
      </x:c>
      <x:c r="N8780" s="0" t="s">
        <x:v>46</x:v>
      </x:c>
    </x:row>
    <x:row r="8781" spans="1:16">
      <x:c r="A8781" s="0" t="s">
        <x:v>34987</x:v>
      </x:c>
      <x:c r="B8781" s="0" t="s">
        <x:v>34988</x:v>
      </x:c>
      <x:c r="C8781" s="0" t="s">
        <x:v>34989</x:v>
      </x:c>
      <x:c r="E8781" s="0" t="s">
        <x:v>34990</x:v>
      </x:c>
      <x:c r="F8781" s="0" t="s">
        <x:v>45</x:v>
      </x:c>
      <x:c r="G8781" s="0" t="s">
        <x:v>19</x:v>
      </x:c>
      <x:c r="H8781" s="0" t="s">
        <x:v>20</x:v>
      </x:c>
      <x:c r="I8781" s="0" t="s">
        <x:v>21</x:v>
      </x:c>
      <x:c r="K8781" s="0">
        <x:f>hyperlink("https://icd.who.int/dev11/l-ichi/en#/http%3A%2F%2Fid.who.int%2Ficd%2Fentity%2F2081368530","browser")</x:f>
      </x:c>
      <x:c r="L8781" s="0">
        <x:f>hyperlink("https://icat2.azurewebsites.net/icat/?ontology=ICD&amp;tab=ClassesTab&amp;id=http%3A%2F%2Fwho.int%2Ficd%231719_7005c14c_2656_4f4b_85a0_8e71c99be967","iCat")</x:f>
      </x:c>
      <x:c r="M8781" s="0" t="s">
        <x:v>21</x:v>
      </x:c>
      <x:c r="N8781" s="0" t="s">
        <x:v>46</x:v>
      </x:c>
    </x:row>
    <x:row r="8782" spans="1:16">
      <x:c r="A8782" s="0" t="s">
        <x:v>34991</x:v>
      </x:c>
      <x:c r="B8782" s="0" t="s">
        <x:v>34992</x:v>
      </x:c>
      <x:c r="C8782" s="0" t="s">
        <x:v>34993</x:v>
      </x:c>
      <x:c r="E8782" s="0" t="s">
        <x:v>34994</x:v>
      </x:c>
      <x:c r="F8782" s="0" t="s">
        <x:v>45</x:v>
      </x:c>
      <x:c r="G8782" s="0" t="s">
        <x:v>19</x:v>
      </x:c>
      <x:c r="H8782" s="0" t="s">
        <x:v>20</x:v>
      </x:c>
      <x:c r="I8782" s="0" t="s">
        <x:v>21</x:v>
      </x:c>
      <x:c r="K8782" s="0">
        <x:f>hyperlink("https://icd.who.int/dev11/l-ichi/en#/http%3A%2F%2Fid.who.int%2Ficd%2Fentity%2F1194908920","browser")</x:f>
      </x:c>
      <x:c r="L8782" s="0">
        <x:f>hyperlink("https://icat2.azurewebsites.net/icat/?ontology=ICD&amp;tab=ClassesTab&amp;id=http%3A%2F%2Fwho.int%2Ficd%231725_7005c14c_2656_4f4b_85a0_8e71c99be967","iCat")</x:f>
      </x:c>
      <x:c r="M8782" s="0" t="s">
        <x:v>21</x:v>
      </x:c>
      <x:c r="N8782" s="0" t="s">
        <x:v>46</x:v>
      </x:c>
    </x:row>
    <x:row r="8783" spans="1:16">
      <x:c r="A8783" s="0" t="s">
        <x:v>34995</x:v>
      </x:c>
      <x:c r="B8783" s="0" t="s">
        <x:v>34996</x:v>
      </x:c>
      <x:c r="C8783" s="0" t="s">
        <x:v>34997</x:v>
      </x:c>
      <x:c r="E8783" s="0" t="s">
        <x:v>34998</x:v>
      </x:c>
      <x:c r="F8783" s="0" t="s">
        <x:v>45</x:v>
      </x:c>
      <x:c r="G8783" s="0" t="s">
        <x:v>19</x:v>
      </x:c>
      <x:c r="H8783" s="0" t="s">
        <x:v>20</x:v>
      </x:c>
      <x:c r="I8783" s="0" t="s">
        <x:v>21</x:v>
      </x:c>
      <x:c r="K8783" s="0">
        <x:f>hyperlink("https://icd.who.int/dev11/l-ichi/en#/http%3A%2F%2Fid.who.int%2Ficd%2Fentity%2F419073493","browser")</x:f>
      </x:c>
      <x:c r="L8783" s="0">
        <x:f>hyperlink("https://icat2.azurewebsites.net/icat/?ontology=ICD&amp;tab=ClassesTab&amp;id=http%3A%2F%2Fwho.int%2Ficd%231731_7005c14c_2656_4f4b_85a0_8e71c99be967","iCat")</x:f>
      </x:c>
      <x:c r="M8783" s="0" t="s">
        <x:v>21</x:v>
      </x:c>
      <x:c r="N8783" s="0" t="s">
        <x:v>46</x:v>
      </x:c>
    </x:row>
    <x:row r="8784" spans="1:16">
      <x:c r="A8784" s="0" t="s">
        <x:v>34999</x:v>
      </x:c>
      <x:c r="B8784" s="0" t="s">
        <x:v>35000</x:v>
      </x:c>
      <x:c r="C8784" s="0" t="s">
        <x:v>35001</x:v>
      </x:c>
      <x:c r="E8784" s="0" t="s">
        <x:v>35002</x:v>
      </x:c>
      <x:c r="F8784" s="0" t="s">
        <x:v>45</x:v>
      </x:c>
      <x:c r="G8784" s="0" t="s">
        <x:v>19</x:v>
      </x:c>
      <x:c r="H8784" s="0" t="s">
        <x:v>20</x:v>
      </x:c>
      <x:c r="I8784" s="0" t="s">
        <x:v>21</x:v>
      </x:c>
      <x:c r="K8784" s="0">
        <x:f>hyperlink("https://icd.who.int/dev11/l-ichi/en#/http%3A%2F%2Fid.who.int%2Ficd%2Fentity%2F1216435302","browser")</x:f>
      </x:c>
      <x:c r="L8784" s="0">
        <x:f>hyperlink("https://icat2.azurewebsites.net/icat/?ontology=ICD&amp;tab=ClassesTab&amp;id=http%3A%2F%2Fwho.int%2Ficd%231737_7005c14c_2656_4f4b_85a0_8e71c99be967","iCat")</x:f>
      </x:c>
      <x:c r="M8784" s="0" t="s">
        <x:v>21</x:v>
      </x:c>
      <x:c r="N8784" s="0" t="s">
        <x:v>46</x:v>
      </x:c>
    </x:row>
    <x:row r="8785" spans="1:16">
      <x:c r="A8785" s="0" t="s">
        <x:v>35003</x:v>
      </x:c>
      <x:c r="B8785" s="0" t="s">
        <x:v>35004</x:v>
      </x:c>
      <x:c r="C8785" s="0" t="s">
        <x:v>35005</x:v>
      </x:c>
      <x:c r="E8785" s="0" t="s">
        <x:v>35006</x:v>
      </x:c>
      <x:c r="F8785" s="0" t="s">
        <x:v>45</x:v>
      </x:c>
      <x:c r="G8785" s="0" t="s">
        <x:v>19</x:v>
      </x:c>
      <x:c r="H8785" s="0" t="s">
        <x:v>20</x:v>
      </x:c>
      <x:c r="I8785" s="0" t="s">
        <x:v>21</x:v>
      </x:c>
      <x:c r="K8785" s="0">
        <x:f>hyperlink("https://icd.who.int/dev11/l-ichi/en#/http%3A%2F%2Fid.who.int%2Ficd%2Fentity%2F1297122060","browser")</x:f>
      </x:c>
      <x:c r="L8785" s="0">
        <x:f>hyperlink("https://icat2.azurewebsites.net/icat/?ontology=ICD&amp;tab=ClassesTab&amp;id=http%3A%2F%2Fwho.int%2Ficd%231743_7005c14c_2656_4f4b_85a0_8e71c99be967","iCat")</x:f>
      </x:c>
      <x:c r="M8785" s="0" t="s">
        <x:v>21</x:v>
      </x:c>
      <x:c r="N8785" s="0" t="s">
        <x:v>46</x:v>
      </x:c>
    </x:row>
    <x:row r="8786" spans="1:16">
      <x:c r="A8786" s="0" t="s">
        <x:v>35007</x:v>
      </x:c>
      <x:c r="B8786" s="0" t="s">
        <x:v>35008</x:v>
      </x:c>
      <x:c r="C8786" s="0" t="s">
        <x:v>35009</x:v>
      </x:c>
      <x:c r="E8786" s="0" t="s">
        <x:v>35010</x:v>
      </x:c>
      <x:c r="F8786" s="0" t="s">
        <x:v>45</x:v>
      </x:c>
      <x:c r="G8786" s="0" t="s">
        <x:v>19</x:v>
      </x:c>
      <x:c r="H8786" s="0" t="s">
        <x:v>20</x:v>
      </x:c>
      <x:c r="I8786" s="0" t="s">
        <x:v>21</x:v>
      </x:c>
      <x:c r="K8786" s="0">
        <x:f>hyperlink("https://icd.who.int/dev11/l-ichi/en#/http%3A%2F%2Fid.who.int%2Ficd%2Fentity%2F1722675100","browser")</x:f>
      </x:c>
      <x:c r="L8786" s="0">
        <x:f>hyperlink("https://icat2.azurewebsites.net/icat/?ontology=ICD&amp;tab=ClassesTab&amp;id=http%3A%2F%2Fwho.int%2Ficd%231749_7005c14c_2656_4f4b_85a0_8e71c99be967","iCat")</x:f>
      </x:c>
      <x:c r="M8786" s="0" t="s">
        <x:v>21</x:v>
      </x:c>
      <x:c r="N8786" s="0" t="s">
        <x:v>46</x:v>
      </x:c>
    </x:row>
    <x:row r="8787" spans="1:16">
      <x:c r="A8787" s="0" t="s">
        <x:v>35011</x:v>
      </x:c>
      <x:c r="B8787" s="0" t="s">
        <x:v>35012</x:v>
      </x:c>
      <x:c r="C8787" s="0" t="s">
        <x:v>35013</x:v>
      </x:c>
      <x:c r="E8787" s="0" t="s">
        <x:v>35014</x:v>
      </x:c>
      <x:c r="F8787" s="0" t="s">
        <x:v>45</x:v>
      </x:c>
      <x:c r="G8787" s="0" t="s">
        <x:v>19</x:v>
      </x:c>
      <x:c r="H8787" s="0" t="s">
        <x:v>20</x:v>
      </x:c>
      <x:c r="I8787" s="0" t="s">
        <x:v>21</x:v>
      </x:c>
      <x:c r="K8787" s="0">
        <x:f>hyperlink("https://icd.who.int/dev11/l-ichi/en#/http%3A%2F%2Fid.who.int%2Ficd%2Fentity%2F2012139500","browser")</x:f>
      </x:c>
      <x:c r="L8787" s="0">
        <x:f>hyperlink("https://icat2.azurewebsites.net/icat/?ontology=ICD&amp;tab=ClassesTab&amp;id=http%3A%2F%2Fwho.int%2Ficd%231755_7005c14c_2656_4f4b_85a0_8e71c99be967","iCat")</x:f>
      </x:c>
      <x:c r="M8787" s="0" t="s">
        <x:v>21</x:v>
      </x:c>
      <x:c r="N8787" s="0" t="s">
        <x:v>46</x:v>
      </x:c>
    </x:row>
    <x:row r="8788" spans="1:16">
      <x:c r="A8788" s="0" t="s">
        <x:v>35015</x:v>
      </x:c>
      <x:c r="B8788" s="0" t="s">
        <x:v>35016</x:v>
      </x:c>
      <x:c r="C8788" s="0" t="s">
        <x:v>35017</x:v>
      </x:c>
      <x:c r="E8788" s="0" t="s">
        <x:v>35018</x:v>
      </x:c>
      <x:c r="F8788" s="0" t="s">
        <x:v>45</x:v>
      </x:c>
      <x:c r="G8788" s="0" t="s">
        <x:v>19</x:v>
      </x:c>
      <x:c r="H8788" s="0" t="s">
        <x:v>20</x:v>
      </x:c>
      <x:c r="I8788" s="0" t="s">
        <x:v>21</x:v>
      </x:c>
      <x:c r="K8788" s="0">
        <x:f>hyperlink("https://icd.who.int/dev11/l-ichi/en#/http%3A%2F%2Fid.who.int%2Ficd%2Fentity%2F39340959","browser")</x:f>
      </x:c>
      <x:c r="L8788" s="0">
        <x:f>hyperlink("https://icat2.azurewebsites.net/icat/?ontology=ICD&amp;tab=ClassesTab&amp;id=http%3A%2F%2Fwho.int%2Ficd%231761_7005c14c_2656_4f4b_85a0_8e71c99be967","iCat")</x:f>
      </x:c>
      <x:c r="M8788" s="0" t="s">
        <x:v>21</x:v>
      </x:c>
      <x:c r="N8788" s="0" t="s">
        <x:v>46</x:v>
      </x:c>
    </x:row>
    <x:row r="8789" spans="1:16">
      <x:c r="A8789" s="0" t="s">
        <x:v>35019</x:v>
      </x:c>
      <x:c r="B8789" s="0" t="s">
        <x:v>35020</x:v>
      </x:c>
      <x:c r="C8789" s="0" t="s">
        <x:v>35021</x:v>
      </x:c>
      <x:c r="E8789" s="0" t="s">
        <x:v>35022</x:v>
      </x:c>
      <x:c r="F8789" s="0" t="s">
        <x:v>45</x:v>
      </x:c>
      <x:c r="G8789" s="0" t="s">
        <x:v>19</x:v>
      </x:c>
      <x:c r="H8789" s="0" t="s">
        <x:v>20</x:v>
      </x:c>
      <x:c r="I8789" s="0" t="s">
        <x:v>21</x:v>
      </x:c>
      <x:c r="K8789" s="0">
        <x:f>hyperlink("https://icd.who.int/dev11/l-ichi/en#/http%3A%2F%2Fid.who.int%2Ficd%2Fentity%2F1378062896","browser")</x:f>
      </x:c>
      <x:c r="L8789" s="0">
        <x:f>hyperlink("https://icat2.azurewebsites.net/icat/?ontology=ICD&amp;tab=ClassesTab&amp;id=http%3A%2F%2Fwho.int%2Ficd%231767_7005c14c_2656_4f4b_85a0_8e71c99be967","iCat")</x:f>
      </x:c>
      <x:c r="M8789" s="0" t="s">
        <x:v>21</x:v>
      </x:c>
      <x:c r="N8789" s="0" t="s">
        <x:v>46</x:v>
      </x:c>
    </x:row>
    <x:row r="8790" spans="1:16">
      <x:c r="A8790" s="0" t="s">
        <x:v>35023</x:v>
      </x:c>
      <x:c r="B8790" s="0" t="s">
        <x:v>35024</x:v>
      </x:c>
      <x:c r="C8790" s="0" t="s">
        <x:v>35025</x:v>
      </x:c>
      <x:c r="E8790" s="0" t="s">
        <x:v>35026</x:v>
      </x:c>
      <x:c r="F8790" s="0" t="s">
        <x:v>45</x:v>
      </x:c>
      <x:c r="G8790" s="0" t="s">
        <x:v>19</x:v>
      </x:c>
      <x:c r="H8790" s="0" t="s">
        <x:v>20</x:v>
      </x:c>
      <x:c r="I8790" s="0" t="s">
        <x:v>21</x:v>
      </x:c>
      <x:c r="K8790" s="0">
        <x:f>hyperlink("https://icd.who.int/dev11/l-ichi/en#/http%3A%2F%2Fid.who.int%2Ficd%2Fentity%2F232899341","browser")</x:f>
      </x:c>
      <x:c r="L8790" s="0">
        <x:f>hyperlink("https://icat2.azurewebsites.net/icat/?ontology=ICD&amp;tab=ClassesTab&amp;id=http%3A%2F%2Fwho.int%2Ficd%231773_7005c14c_2656_4f4b_85a0_8e71c99be967","iCat")</x:f>
      </x:c>
      <x:c r="M8790" s="0" t="s">
        <x:v>21</x:v>
      </x:c>
      <x:c r="N8790" s="0" t="s">
        <x:v>46</x:v>
      </x:c>
    </x:row>
    <x:row r="8791" spans="1:16">
      <x:c r="A8791" s="0" t="s">
        <x:v>35027</x:v>
      </x:c>
      <x:c r="B8791" s="0" t="s">
        <x:v>35028</x:v>
      </x:c>
      <x:c r="C8791" s="0" t="s">
        <x:v>35029</x:v>
      </x:c>
      <x:c r="E8791" s="0" t="s">
        <x:v>35030</x:v>
      </x:c>
      <x:c r="F8791" s="0" t="s">
        <x:v>45</x:v>
      </x:c>
      <x:c r="G8791" s="0" t="s">
        <x:v>19</x:v>
      </x:c>
      <x:c r="H8791" s="0" t="s">
        <x:v>20</x:v>
      </x:c>
      <x:c r="I8791" s="0" t="s">
        <x:v>21</x:v>
      </x:c>
      <x:c r="K8791" s="0">
        <x:f>hyperlink("https://icd.who.int/dev11/l-ichi/en#/http%3A%2F%2Fid.who.int%2Ficd%2Fentity%2F639414173","browser")</x:f>
      </x:c>
      <x:c r="L8791" s="0">
        <x:f>hyperlink("https://icat2.azurewebsites.net/icat/?ontology=ICD&amp;tab=ClassesTab&amp;id=http%3A%2F%2Fwho.int%2Ficd%231779_7005c14c_2656_4f4b_85a0_8e71c99be967","iCat")</x:f>
      </x:c>
      <x:c r="M8791" s="0" t="s">
        <x:v>21</x:v>
      </x:c>
      <x:c r="N8791" s="0" t="s">
        <x:v>46</x:v>
      </x:c>
    </x:row>
    <x:row r="8792" spans="1:16">
      <x:c r="A8792" s="0" t="s">
        <x:v>35031</x:v>
      </x:c>
      <x:c r="B8792" s="0" t="s">
        <x:v>35032</x:v>
      </x:c>
      <x:c r="C8792" s="0" t="s">
        <x:v>35033</x:v>
      </x:c>
      <x:c r="E8792" s="0" t="s">
        <x:v>35034</x:v>
      </x:c>
      <x:c r="F8792" s="0" t="s">
        <x:v>45</x:v>
      </x:c>
      <x:c r="G8792" s="0" t="s">
        <x:v>19</x:v>
      </x:c>
      <x:c r="H8792" s="0" t="s">
        <x:v>20</x:v>
      </x:c>
      <x:c r="I8792" s="0" t="s">
        <x:v>21</x:v>
      </x:c>
      <x:c r="K8792" s="0">
        <x:f>hyperlink("https://icd.who.int/dev11/l-ichi/en#/http%3A%2F%2Fid.who.int%2Ficd%2Fentity%2F1920815204","browser")</x:f>
      </x:c>
      <x:c r="L8792" s="0">
        <x:f>hyperlink("https://icat2.azurewebsites.net/icat/?ontology=ICD&amp;tab=ClassesTab&amp;id=http%3A%2F%2Fwho.int%2Ficd%231785_7005c14c_2656_4f4b_85a0_8e71c99be967","iCat")</x:f>
      </x:c>
      <x:c r="M8792" s="0" t="s">
        <x:v>21</x:v>
      </x:c>
      <x:c r="N8792" s="0" t="s">
        <x:v>46</x:v>
      </x:c>
    </x:row>
    <x:row r="8793" spans="1:16">
      <x:c r="A8793" s="0" t="s">
        <x:v>35035</x:v>
      </x:c>
      <x:c r="B8793" s="0" t="s">
        <x:v>35036</x:v>
      </x:c>
      <x:c r="C8793" s="0" t="s">
        <x:v>35037</x:v>
      </x:c>
      <x:c r="E8793" s="0" t="s">
        <x:v>35038</x:v>
      </x:c>
      <x:c r="F8793" s="0" t="s">
        <x:v>45</x:v>
      </x:c>
      <x:c r="G8793" s="0" t="s">
        <x:v>19</x:v>
      </x:c>
      <x:c r="H8793" s="0" t="s">
        <x:v>20</x:v>
      </x:c>
      <x:c r="I8793" s="0" t="s">
        <x:v>21</x:v>
      </x:c>
      <x:c r="K8793" s="0">
        <x:f>hyperlink("https://icd.who.int/dev11/l-ichi/en#/http%3A%2F%2Fid.who.int%2Ficd%2Fentity%2F767492417","browser")</x:f>
      </x:c>
      <x:c r="L8793" s="0">
        <x:f>hyperlink("https://icat2.azurewebsites.net/icat/?ontology=ICD&amp;tab=ClassesTab&amp;id=http%3A%2F%2Fwho.int%2Ficd%231791_7005c14c_2656_4f4b_85a0_8e71c99be967","iCat")</x:f>
      </x:c>
      <x:c r="M8793" s="0" t="s">
        <x:v>21</x:v>
      </x:c>
      <x:c r="N8793" s="0" t="s">
        <x:v>46</x:v>
      </x:c>
    </x:row>
    <x:row r="8794" spans="1:16">
      <x:c r="A8794" s="0" t="s">
        <x:v>35039</x:v>
      </x:c>
      <x:c r="B8794" s="0" t="s">
        <x:v>35040</x:v>
      </x:c>
      <x:c r="C8794" s="0" t="s">
        <x:v>35041</x:v>
      </x:c>
      <x:c r="E8794" s="0" t="s">
        <x:v>35042</x:v>
      </x:c>
      <x:c r="F8794" s="0" t="s">
        <x:v>45</x:v>
      </x:c>
      <x:c r="G8794" s="0" t="s">
        <x:v>19</x:v>
      </x:c>
      <x:c r="H8794" s="0" t="s">
        <x:v>20</x:v>
      </x:c>
      <x:c r="I8794" s="0" t="s">
        <x:v>21</x:v>
      </x:c>
      <x:c r="K8794" s="0">
        <x:f>hyperlink("https://icd.who.int/dev11/l-ichi/en#/http%3A%2F%2Fid.who.int%2Ficd%2Fentity%2F2110052594","browser")</x:f>
      </x:c>
      <x:c r="L8794" s="0">
        <x:f>hyperlink("https://icat2.azurewebsites.net/icat/?ontology=ICD&amp;tab=ClassesTab&amp;id=http%3A%2F%2Fwho.int%2Ficd%231797_7005c14c_2656_4f4b_85a0_8e71c99be967","iCat")</x:f>
      </x:c>
      <x:c r="M8794" s="0" t="s">
        <x:v>21</x:v>
      </x:c>
      <x:c r="N8794" s="0" t="s">
        <x:v>46</x:v>
      </x:c>
    </x:row>
    <x:row r="8795" spans="1:16">
      <x:c r="A8795" s="0" t="s">
        <x:v>35043</x:v>
      </x:c>
      <x:c r="B8795" s="0" t="s">
        <x:v>35044</x:v>
      </x:c>
      <x:c r="D8795" s="0" t="s">
        <x:v>35045</x:v>
      </x:c>
      <x:c r="E8795" s="0" t="s">
        <x:v>35046</x:v>
      </x:c>
      <x:c r="F8795" s="0" t="s">
        <x:v>26</x:v>
      </x:c>
      <x:c r="G8795" s="0" t="s">
        <x:v>35</x:v>
      </x:c>
      <x:c r="H8795" s="0" t="s">
        <x:v>20</x:v>
      </x:c>
      <x:c r="I8795" s="0" t="s">
        <x:v>21</x:v>
      </x:c>
      <x:c r="K8795" s="0">
        <x:f>hyperlink("https://icd.who.int/dev11/l-ichi/en#/http%3A%2F%2Fid.who.int%2Ficd%2Fentity%2F970508242","browser")</x:f>
      </x:c>
      <x:c r="L8795" s="0">
        <x:f>hyperlink("https://icat2.azurewebsites.net/icat/?ontology=ICD&amp;tab=ClassesTab&amp;id=http%3A%2F%2Fwho.int%2Ficd%2347924_512ebf36_bf6b_4d70_85da_cf2637062af4","iCat")</x:f>
      </x:c>
      <x:c r="M8795" s="0" t="s">
        <x:v>20</x:v>
      </x:c>
      <x:c r="N8795" s="0" t="s">
        <x:v>35047</x:v>
      </x:c>
    </x:row>
    <x:row r="8796" spans="1:16">
      <x:c r="A8796" s="0" t="s">
        <x:v>35048</x:v>
      </x:c>
      <x:c r="B8796" s="0" t="s">
        <x:v>35049</x:v>
      </x:c>
      <x:c r="C8796" s="0" t="s">
        <x:v>35050</x:v>
      </x:c>
      <x:c r="E8796" s="0" t="s">
        <x:v>35051</x:v>
      </x:c>
      <x:c r="F8796" s="0" t="s">
        <x:v>45</x:v>
      </x:c>
      <x:c r="G8796" s="0" t="s">
        <x:v>19</x:v>
      </x:c>
      <x:c r="H8796" s="0" t="s">
        <x:v>20</x:v>
      </x:c>
      <x:c r="I8796" s="0" t="s">
        <x:v>21</x:v>
      </x:c>
      <x:c r="K8796" s="0">
        <x:f>hyperlink("https://icd.who.int/dev11/l-ichi/en#/http%3A%2F%2Fid.who.int%2Ficd%2Fentity%2F1230662749","browser")</x:f>
      </x:c>
      <x:c r="L8796" s="0">
        <x:f>hyperlink("https://icat2.azurewebsites.net/icat/?ontology=ICD&amp;tab=ClassesTab&amp;id=http%3A%2F%2Fwho.int%2Ficd%2347923_512ebf36_bf6b_4d70_85da_cf2637062af4","iCat")</x:f>
      </x:c>
      <x:c r="M8796" s="0" t="s">
        <x:v>21</x:v>
      </x:c>
      <x:c r="N8796" s="0" t="s">
        <x:v>46</x:v>
      </x:c>
    </x:row>
    <x:row r="8797" spans="1:16">
      <x:c r="A8797" s="0" t="s">
        <x:v>35052</x:v>
      </x:c>
      <x:c r="B8797" s="0" t="s">
        <x:v>35053</x:v>
      </x:c>
      <x:c r="C8797" s="0" t="s">
        <x:v>35054</x:v>
      </x:c>
      <x:c r="E8797" s="0" t="s">
        <x:v>35055</x:v>
      </x:c>
      <x:c r="F8797" s="0" t="s">
        <x:v>45</x:v>
      </x:c>
      <x:c r="G8797" s="0" t="s">
        <x:v>19</x:v>
      </x:c>
      <x:c r="H8797" s="0" t="s">
        <x:v>20</x:v>
      </x:c>
      <x:c r="I8797" s="0" t="s">
        <x:v>21</x:v>
      </x:c>
      <x:c r="K8797" s="0">
        <x:f>hyperlink("https://icd.who.int/dev11/l-ichi/en#/http%3A%2F%2Fid.who.int%2Ficd%2Fentity%2F912346948","browser")</x:f>
      </x:c>
      <x:c r="L8797" s="0">
        <x:f>hyperlink("https://icat2.azurewebsites.net/icat/?ontology=ICD&amp;tab=ClassesTab&amp;id=http%3A%2F%2Fwho.int%2Ficd%2347936_512ebf36_bf6b_4d70_85da_cf2637062af4","iCat")</x:f>
      </x:c>
      <x:c r="M8797" s="0" t="s">
        <x:v>21</x:v>
      </x:c>
      <x:c r="N8797" s="0" t="s">
        <x:v>46</x:v>
      </x:c>
    </x:row>
    <x:row r="8798" spans="1:16">
      <x:c r="A8798" s="0" t="s">
        <x:v>35056</x:v>
      </x:c>
      <x:c r="B8798" s="0" t="s">
        <x:v>35057</x:v>
      </x:c>
      <x:c r="C8798" s="0" t="s">
        <x:v>35058</x:v>
      </x:c>
      <x:c r="E8798" s="0" t="s">
        <x:v>35059</x:v>
      </x:c>
      <x:c r="F8798" s="0" t="s">
        <x:v>45</x:v>
      </x:c>
      <x:c r="G8798" s="0" t="s">
        <x:v>19</x:v>
      </x:c>
      <x:c r="H8798" s="0" t="s">
        <x:v>20</x:v>
      </x:c>
      <x:c r="I8798" s="0" t="s">
        <x:v>21</x:v>
      </x:c>
      <x:c r="K8798" s="0">
        <x:f>hyperlink("https://icd.who.int/dev11/l-ichi/en#/http%3A%2F%2Fid.who.int%2Ficd%2Fentity%2F323611152","browser")</x:f>
      </x:c>
      <x:c r="L8798" s="0">
        <x:f>hyperlink("https://icat2.azurewebsites.net/icat/?ontology=ICD&amp;tab=ClassesTab&amp;id=http%3A%2F%2Fwho.int%2Ficd%2347943_512ebf36_bf6b_4d70_85da_cf2637062af4","iCat")</x:f>
      </x:c>
      <x:c r="M8798" s="0" t="s">
        <x:v>21</x:v>
      </x:c>
      <x:c r="N8798" s="0" t="s">
        <x:v>46</x:v>
      </x:c>
    </x:row>
    <x:row r="8799" spans="1:16">
      <x:c r="A8799" s="0" t="s">
        <x:v>35060</x:v>
      </x:c>
      <x:c r="B8799" s="0" t="s">
        <x:v>35061</x:v>
      </x:c>
      <x:c r="C8799" s="0" t="s">
        <x:v>35062</x:v>
      </x:c>
      <x:c r="E8799" s="0" t="s">
        <x:v>35063</x:v>
      </x:c>
      <x:c r="F8799" s="0" t="s">
        <x:v>45</x:v>
      </x:c>
      <x:c r="G8799" s="0" t="s">
        <x:v>19</x:v>
      </x:c>
      <x:c r="H8799" s="0" t="s">
        <x:v>20</x:v>
      </x:c>
      <x:c r="I8799" s="0" t="s">
        <x:v>21</x:v>
      </x:c>
      <x:c r="K8799" s="0">
        <x:f>hyperlink("https://icd.who.int/dev11/l-ichi/en#/http%3A%2F%2Fid.who.int%2Ficd%2Fentity%2F128511214","browser")</x:f>
      </x:c>
      <x:c r="L8799" s="0">
        <x:f>hyperlink("https://icat2.azurewebsites.net/icat/?ontology=ICD&amp;tab=ClassesTab&amp;id=http%3A%2F%2Fwho.int%2Ficd%2314235_4869915e_217e_423d_acb3_33c0f920ef4b","iCat")</x:f>
      </x:c>
      <x:c r="M8799" s="0" t="s">
        <x:v>21</x:v>
      </x:c>
      <x:c r="N8799" s="0" t="s">
        <x:v>46</x:v>
      </x:c>
    </x:row>
    <x:row r="8800" spans="1:16">
      <x:c r="A8800" s="0" t="s">
        <x:v>35064</x:v>
      </x:c>
      <x:c r="B8800" s="0" t="s">
        <x:v>35065</x:v>
      </x:c>
      <x:c r="C8800" s="0" t="s">
        <x:v>35066</x:v>
      </x:c>
      <x:c r="E8800" s="0" t="s">
        <x:v>35067</x:v>
      </x:c>
      <x:c r="F8800" s="0" t="s">
        <x:v>45</x:v>
      </x:c>
      <x:c r="G8800" s="0" t="s">
        <x:v>19</x:v>
      </x:c>
      <x:c r="H8800" s="0" t="s">
        <x:v>20</x:v>
      </x:c>
      <x:c r="I8800" s="0" t="s">
        <x:v>21</x:v>
      </x:c>
      <x:c r="K8800" s="0">
        <x:f>hyperlink("https://icd.who.int/dev11/l-ichi/en#/http%3A%2F%2Fid.who.int%2Ficd%2Fentity%2F1007227072","browser")</x:f>
      </x:c>
      <x:c r="L8800" s="0">
        <x:f>hyperlink("https://icat2.azurewebsites.net/icat/?ontology=ICD&amp;tab=ClassesTab&amp;id=http%3A%2F%2Fwho.int%2Ficd%2347950_512ebf36_bf6b_4d70_85da_cf2637062af4","iCat")</x:f>
      </x:c>
      <x:c r="M8800" s="0" t="s">
        <x:v>21</x:v>
      </x:c>
      <x:c r="N8800" s="0" t="s">
        <x:v>46</x:v>
      </x:c>
    </x:row>
    <x:row r="8801" spans="1:16">
      <x:c r="A8801" s="0" t="s">
        <x:v>35068</x:v>
      </x:c>
      <x:c r="B8801" s="0" t="s">
        <x:v>35069</x:v>
      </x:c>
      <x:c r="C8801" s="0" t="s">
        <x:v>35070</x:v>
      </x:c>
      <x:c r="E8801" s="0" t="s">
        <x:v>35071</x:v>
      </x:c>
      <x:c r="F8801" s="0" t="s">
        <x:v>45</x:v>
      </x:c>
      <x:c r="G8801" s="0" t="s">
        <x:v>19</x:v>
      </x:c>
      <x:c r="H8801" s="0" t="s">
        <x:v>20</x:v>
      </x:c>
      <x:c r="I8801" s="0" t="s">
        <x:v>21</x:v>
      </x:c>
      <x:c r="K8801" s="0">
        <x:f>hyperlink("https://icd.who.int/dev11/l-ichi/en#/http%3A%2F%2Fid.who.int%2Ficd%2Fentity%2F1921540587","browser")</x:f>
      </x:c>
      <x:c r="L8801" s="0">
        <x:f>hyperlink("https://icat2.azurewebsites.net/icat/?ontology=ICD&amp;tab=ClassesTab&amp;id=http%3A%2F%2Fwho.int%2Ficd%2347958_512ebf36_bf6b_4d70_85da_cf2637062af4","iCat")</x:f>
      </x:c>
      <x:c r="M8801" s="0" t="s">
        <x:v>21</x:v>
      </x:c>
      <x:c r="N8801" s="0" t="s">
        <x:v>46</x:v>
      </x:c>
    </x:row>
    <x:row r="8802" spans="1:16">
      <x:c r="A8802" s="0" t="s">
        <x:v>35072</x:v>
      </x:c>
      <x:c r="B8802" s="0" t="s">
        <x:v>35073</x:v>
      </x:c>
      <x:c r="C8802" s="0" t="s">
        <x:v>35074</x:v>
      </x:c>
      <x:c r="E8802" s="0" t="s">
        <x:v>35075</x:v>
      </x:c>
      <x:c r="F8802" s="0" t="s">
        <x:v>45</x:v>
      </x:c>
      <x:c r="G8802" s="0" t="s">
        <x:v>19</x:v>
      </x:c>
      <x:c r="H8802" s="0" t="s">
        <x:v>20</x:v>
      </x:c>
      <x:c r="I8802" s="0" t="s">
        <x:v>21</x:v>
      </x:c>
      <x:c r="K8802" s="0">
        <x:f>hyperlink("https://icd.who.int/dev11/l-ichi/en#/http%3A%2F%2Fid.who.int%2Ficd%2Fentity%2F1766254321","browser")</x:f>
      </x:c>
      <x:c r="L8802" s="0">
        <x:f>hyperlink("https://icat2.azurewebsites.net/icat/?ontology=ICD&amp;tab=ClassesTab&amp;id=http%3A%2F%2Fwho.int%2Ficd%2347965_512ebf36_bf6b_4d70_85da_cf2637062af4","iCat")</x:f>
      </x:c>
      <x:c r="M8802" s="0" t="s">
        <x:v>21</x:v>
      </x:c>
      <x:c r="N8802" s="0" t="s">
        <x:v>46</x:v>
      </x:c>
    </x:row>
    <x:row r="8803" spans="1:16">
      <x:c r="A8803" s="0" t="s">
        <x:v>35076</x:v>
      </x:c>
      <x:c r="B8803" s="0" t="s">
        <x:v>35077</x:v>
      </x:c>
      <x:c r="C8803" s="0" t="s">
        <x:v>35078</x:v>
      </x:c>
      <x:c r="E8803" s="0" t="s">
        <x:v>35079</x:v>
      </x:c>
      <x:c r="F8803" s="0" t="s">
        <x:v>45</x:v>
      </x:c>
      <x:c r="G8803" s="0" t="s">
        <x:v>19</x:v>
      </x:c>
      <x:c r="H8803" s="0" t="s">
        <x:v>20</x:v>
      </x:c>
      <x:c r="I8803" s="0" t="s">
        <x:v>21</x:v>
      </x:c>
      <x:c r="K8803" s="0">
        <x:f>hyperlink("https://icd.who.int/dev11/l-ichi/en#/http%3A%2F%2Fid.who.int%2Ficd%2Fentity%2F1929500715","browser")</x:f>
      </x:c>
      <x:c r="L8803" s="0">
        <x:f>hyperlink("https://icat2.azurewebsites.net/icat/?ontology=ICD&amp;tab=ClassesTab&amp;id=http%3A%2F%2Fwho.int%2Ficd%2347972_512ebf36_bf6b_4d70_85da_cf2637062af4","iCat")</x:f>
      </x:c>
      <x:c r="M8803" s="0" t="s">
        <x:v>21</x:v>
      </x:c>
      <x:c r="N8803" s="0" t="s">
        <x:v>46</x:v>
      </x:c>
    </x:row>
    <x:row r="8804" spans="1:16">
      <x:c r="A8804" s="0" t="s">
        <x:v>35080</x:v>
      </x:c>
      <x:c r="B8804" s="0" t="s">
        <x:v>35081</x:v>
      </x:c>
      <x:c r="C8804" s="0" t="s">
        <x:v>35082</x:v>
      </x:c>
      <x:c r="E8804" s="0" t="s">
        <x:v>35083</x:v>
      </x:c>
      <x:c r="F8804" s="0" t="s">
        <x:v>45</x:v>
      </x:c>
      <x:c r="G8804" s="0" t="s">
        <x:v>19</x:v>
      </x:c>
      <x:c r="H8804" s="0" t="s">
        <x:v>20</x:v>
      </x:c>
      <x:c r="I8804" s="0" t="s">
        <x:v>21</x:v>
      </x:c>
      <x:c r="K8804" s="0">
        <x:f>hyperlink("https://icd.who.int/dev11/l-ichi/en#/http%3A%2F%2Fid.who.int%2Ficd%2Fentity%2F2013644423","browser")</x:f>
      </x:c>
      <x:c r="L8804" s="0">
        <x:f>hyperlink("https://icat2.azurewebsites.net/icat/?ontology=ICD&amp;tab=ClassesTab&amp;id=http%3A%2F%2Fwho.int%2Ficd%2347979_512ebf36_bf6b_4d70_85da_cf2637062af4","iCat")</x:f>
      </x:c>
      <x:c r="M8804" s="0" t="s">
        <x:v>21</x:v>
      </x:c>
      <x:c r="N8804" s="0" t="s">
        <x:v>46</x:v>
      </x:c>
    </x:row>
    <x:row r="8805" spans="1:16">
      <x:c r="A8805" s="0" t="s">
        <x:v>35084</x:v>
      </x:c>
      <x:c r="B8805" s="0" t="s">
        <x:v>35085</x:v>
      </x:c>
      <x:c r="C8805" s="0" t="s">
        <x:v>35086</x:v>
      </x:c>
      <x:c r="E8805" s="0" t="s">
        <x:v>35087</x:v>
      </x:c>
      <x:c r="F8805" s="0" t="s">
        <x:v>45</x:v>
      </x:c>
      <x:c r="G8805" s="0" t="s">
        <x:v>19</x:v>
      </x:c>
      <x:c r="H8805" s="0" t="s">
        <x:v>20</x:v>
      </x:c>
      <x:c r="I8805" s="0" t="s">
        <x:v>21</x:v>
      </x:c>
      <x:c r="K8805" s="0">
        <x:f>hyperlink("https://icd.who.int/dev11/l-ichi/en#/http%3A%2F%2Fid.who.int%2Ficd%2Fentity%2F1998323301","browser")</x:f>
      </x:c>
      <x:c r="L8805" s="0">
        <x:f>hyperlink("https://icat2.azurewebsites.net/icat/?ontology=ICD&amp;tab=ClassesTab&amp;id=http%3A%2F%2Fwho.int%2Ficd%2347988_512ebf36_bf6b_4d70_85da_cf2637062af4","iCat")</x:f>
      </x:c>
      <x:c r="M8805" s="0" t="s">
        <x:v>21</x:v>
      </x:c>
      <x:c r="N8805" s="0" t="s">
        <x:v>46</x:v>
      </x:c>
    </x:row>
    <x:row r="8806" spans="1:16">
      <x:c r="A8806" s="0" t="s">
        <x:v>35088</x:v>
      </x:c>
      <x:c r="B8806" s="0" t="s">
        <x:v>35089</x:v>
      </x:c>
      <x:c r="C8806" s="0" t="s">
        <x:v>35090</x:v>
      </x:c>
      <x:c r="E8806" s="0" t="s">
        <x:v>35091</x:v>
      </x:c>
      <x:c r="F8806" s="0" t="s">
        <x:v>45</x:v>
      </x:c>
      <x:c r="G8806" s="0" t="s">
        <x:v>19</x:v>
      </x:c>
      <x:c r="H8806" s="0" t="s">
        <x:v>20</x:v>
      </x:c>
      <x:c r="I8806" s="0" t="s">
        <x:v>21</x:v>
      </x:c>
      <x:c r="K8806" s="0">
        <x:f>hyperlink("https://icd.who.int/dev11/l-ichi/en#/http%3A%2F%2Fid.who.int%2Ficd%2Fentity%2F601731562","browser")</x:f>
      </x:c>
      <x:c r="L8806" s="0">
        <x:f>hyperlink("https://icat2.azurewebsites.net/icat/?ontology=ICD&amp;tab=ClassesTab&amp;id=http%3A%2F%2Fwho.int%2Ficd%2347997_512ebf36_bf6b_4d70_85da_cf2637062af4","iCat")</x:f>
      </x:c>
      <x:c r="M8806" s="0" t="s">
        <x:v>21</x:v>
      </x:c>
      <x:c r="N8806" s="0" t="s">
        <x:v>46</x:v>
      </x:c>
    </x:row>
    <x:row r="8807" spans="1:16">
      <x:c r="A8807" s="0" t="s">
        <x:v>35092</x:v>
      </x:c>
      <x:c r="B8807" s="0" t="s">
        <x:v>35093</x:v>
      </x:c>
      <x:c r="C8807" s="0" t="s">
        <x:v>35094</x:v>
      </x:c>
      <x:c r="E8807" s="0" t="s">
        <x:v>35095</x:v>
      </x:c>
      <x:c r="F8807" s="0" t="s">
        <x:v>45</x:v>
      </x:c>
      <x:c r="G8807" s="0" t="s">
        <x:v>19</x:v>
      </x:c>
      <x:c r="H8807" s="0" t="s">
        <x:v>20</x:v>
      </x:c>
      <x:c r="I8807" s="0" t="s">
        <x:v>21</x:v>
      </x:c>
      <x:c r="K8807" s="0">
        <x:f>hyperlink("https://icd.who.int/dev11/l-ichi/en#/http%3A%2F%2Fid.who.int%2Ficd%2Fentity%2F952245570","browser")</x:f>
      </x:c>
      <x:c r="L8807" s="0">
        <x:f>hyperlink("https://icat2.azurewebsites.net/icat/?ontology=ICD&amp;tab=ClassesTab&amp;id=http%3A%2F%2Fwho.int%2Ficd%2348007_512ebf36_bf6b_4d70_85da_cf2637062af4","iCat")</x:f>
      </x:c>
      <x:c r="M8807" s="0" t="s">
        <x:v>21</x:v>
      </x:c>
      <x:c r="N8807" s="0" t="s">
        <x:v>46</x:v>
      </x:c>
    </x:row>
    <x:row r="8808" spans="1:16">
      <x:c r="A8808" s="0" t="s">
        <x:v>35096</x:v>
      </x:c>
      <x:c r="B8808" s="0" t="s">
        <x:v>35097</x:v>
      </x:c>
      <x:c r="C8808" s="0" t="s">
        <x:v>35098</x:v>
      </x:c>
      <x:c r="E8808" s="0" t="s">
        <x:v>35099</x:v>
      </x:c>
      <x:c r="F8808" s="0" t="s">
        <x:v>45</x:v>
      </x:c>
      <x:c r="G8808" s="0" t="s">
        <x:v>19</x:v>
      </x:c>
      <x:c r="H8808" s="0" t="s">
        <x:v>20</x:v>
      </x:c>
      <x:c r="I8808" s="0" t="s">
        <x:v>21</x:v>
      </x:c>
      <x:c r="K8808" s="0">
        <x:f>hyperlink("https://icd.who.int/dev11/l-ichi/en#/http%3A%2F%2Fid.who.int%2Ficd%2Fentity%2F394455022","browser")</x:f>
      </x:c>
      <x:c r="L8808" s="0">
        <x:f>hyperlink("https://icat2.azurewebsites.net/icat/?ontology=ICD&amp;tab=ClassesTab&amp;id=http%3A%2F%2Fwho.int%2Ficd%2348014_512ebf36_bf6b_4d70_85da_cf2637062af4","iCat")</x:f>
      </x:c>
      <x:c r="M8808" s="0" t="s">
        <x:v>21</x:v>
      </x:c>
      <x:c r="N8808" s="0" t="s">
        <x:v>46</x:v>
      </x:c>
    </x:row>
    <x:row r="8809" spans="1:16">
      <x:c r="A8809" s="0" t="s">
        <x:v>35100</x:v>
      </x:c>
      <x:c r="B8809" s="0" t="s">
        <x:v>35101</x:v>
      </x:c>
      <x:c r="C8809" s="0" t="s">
        <x:v>35102</x:v>
      </x:c>
      <x:c r="E8809" s="0" t="s">
        <x:v>35103</x:v>
      </x:c>
      <x:c r="F8809" s="0" t="s">
        <x:v>45</x:v>
      </x:c>
      <x:c r="G8809" s="0" t="s">
        <x:v>19</x:v>
      </x:c>
      <x:c r="H8809" s="0" t="s">
        <x:v>20</x:v>
      </x:c>
      <x:c r="I8809" s="0" t="s">
        <x:v>21</x:v>
      </x:c>
      <x:c r="K8809" s="0">
        <x:f>hyperlink("https://icd.who.int/dev11/l-ichi/en#/http%3A%2F%2Fid.who.int%2Ficd%2Fentity%2F1120735649","browser")</x:f>
      </x:c>
      <x:c r="L8809" s="0">
        <x:f>hyperlink("https://icat2.azurewebsites.net/icat/?ontology=ICD&amp;tab=ClassesTab&amp;id=http%3A%2F%2Fwho.int%2Ficd%2348021_512ebf36_bf6b_4d70_85da_cf2637062af4","iCat")</x:f>
      </x:c>
      <x:c r="M8809" s="0" t="s">
        <x:v>21</x:v>
      </x:c>
      <x:c r="N8809" s="0" t="s">
        <x:v>46</x:v>
      </x:c>
    </x:row>
    <x:row r="8810" spans="1:16">
      <x:c r="A8810" s="0" t="s">
        <x:v>35104</x:v>
      </x:c>
      <x:c r="B8810" s="0" t="s">
        <x:v>35105</x:v>
      </x:c>
      <x:c r="C8810" s="0" t="s">
        <x:v>35106</x:v>
      </x:c>
      <x:c r="E8810" s="0" t="s">
        <x:v>35107</x:v>
      </x:c>
      <x:c r="F8810" s="0" t="s">
        <x:v>45</x:v>
      </x:c>
      <x:c r="G8810" s="0" t="s">
        <x:v>19</x:v>
      </x:c>
      <x:c r="H8810" s="0" t="s">
        <x:v>20</x:v>
      </x:c>
      <x:c r="I8810" s="0" t="s">
        <x:v>21</x:v>
      </x:c>
      <x:c r="K8810" s="0">
        <x:f>hyperlink("https://icd.who.int/dev11/l-ichi/en#/http%3A%2F%2Fid.who.int%2Ficd%2Fentity%2F437669660","browser")</x:f>
      </x:c>
      <x:c r="L8810" s="0">
        <x:f>hyperlink("https://icat2.azurewebsites.net/icat/?ontology=ICD&amp;tab=ClassesTab&amp;id=http%3A%2F%2Fwho.int%2Ficd%23122_60b821c4_cabc_4b81_9563_cb99d74167d5","iCat")</x:f>
      </x:c>
      <x:c r="M8810" s="0" t="s">
        <x:v>21</x:v>
      </x:c>
      <x:c r="N8810" s="0" t="s">
        <x:v>46</x:v>
      </x:c>
    </x:row>
    <x:row r="8811" spans="1:16">
      <x:c r="A8811" s="0" t="s">
        <x:v>35108</x:v>
      </x:c>
      <x:c r="B8811" s="0" t="s">
        <x:v>35109</x:v>
      </x:c>
      <x:c r="C8811" s="0" t="s">
        <x:v>35110</x:v>
      </x:c>
      <x:c r="E8811" s="0" t="s">
        <x:v>35111</x:v>
      </x:c>
      <x:c r="F8811" s="0" t="s">
        <x:v>45</x:v>
      </x:c>
      <x:c r="G8811" s="0" t="s">
        <x:v>19</x:v>
      </x:c>
      <x:c r="H8811" s="0" t="s">
        <x:v>20</x:v>
      </x:c>
      <x:c r="I8811" s="0" t="s">
        <x:v>21</x:v>
      </x:c>
      <x:c r="K8811" s="0">
        <x:f>hyperlink("https://icd.who.int/dev11/l-ichi/en#/http%3A%2F%2Fid.who.int%2Ficd%2Fentity%2F1261595783","browser")</x:f>
      </x:c>
      <x:c r="L8811" s="0">
        <x:f>hyperlink("https://icat2.azurewebsites.net/icat/?ontology=ICD&amp;tab=ClassesTab&amp;id=http%3A%2F%2Fwho.int%2Ficd%232803_7005c14c_2656_4f4b_85a0_8e71c99be967","iCat")</x:f>
      </x:c>
      <x:c r="M8811" s="0" t="s">
        <x:v>21</x:v>
      </x:c>
      <x:c r="N8811" s="0" t="s">
        <x:v>46</x:v>
      </x:c>
    </x:row>
    <x:row r="8812" spans="1:16">
      <x:c r="A8812" s="0" t="s">
        <x:v>35112</x:v>
      </x:c>
      <x:c r="B8812" s="0" t="s">
        <x:v>35113</x:v>
      </x:c>
      <x:c r="C8812" s="0" t="s">
        <x:v>35114</x:v>
      </x:c>
      <x:c r="E8812" s="0" t="s">
        <x:v>35115</x:v>
      </x:c>
      <x:c r="F8812" s="0" t="s">
        <x:v>45</x:v>
      </x:c>
      <x:c r="G8812" s="0" t="s">
        <x:v>19</x:v>
      </x:c>
      <x:c r="H8812" s="0" t="s">
        <x:v>20</x:v>
      </x:c>
      <x:c r="I8812" s="0" t="s">
        <x:v>21</x:v>
      </x:c>
      <x:c r="K8812" s="0">
        <x:f>hyperlink("https://icd.who.int/dev11/l-ichi/en#/http%3A%2F%2Fid.who.int%2Ficd%2Fentity%2F1624178711","browser")</x:f>
      </x:c>
      <x:c r="L8812" s="0">
        <x:f>hyperlink("https://icat2.azurewebsites.net/icat/?ontology=ICD&amp;tab=ClassesTab&amp;id=http%3A%2F%2Fwho.int%2Ficd%232809_7005c14c_2656_4f4b_85a0_8e71c99be967","iCat")</x:f>
      </x:c>
      <x:c r="M8812" s="0" t="s">
        <x:v>21</x:v>
      </x:c>
      <x:c r="N8812" s="0" t="s">
        <x:v>46</x:v>
      </x:c>
    </x:row>
    <x:row r="8813" spans="1:16">
      <x:c r="A8813" s="0" t="s">
        <x:v>35116</x:v>
      </x:c>
      <x:c r="B8813" s="0" t="s">
        <x:v>35117</x:v>
      </x:c>
      <x:c r="C8813" s="0" t="s">
        <x:v>35118</x:v>
      </x:c>
      <x:c r="E8813" s="0" t="s">
        <x:v>35119</x:v>
      </x:c>
      <x:c r="F8813" s="0" t="s">
        <x:v>45</x:v>
      </x:c>
      <x:c r="G8813" s="0" t="s">
        <x:v>19</x:v>
      </x:c>
      <x:c r="H8813" s="0" t="s">
        <x:v>20</x:v>
      </x:c>
      <x:c r="I8813" s="0" t="s">
        <x:v>21</x:v>
      </x:c>
      <x:c r="K8813" s="0">
        <x:f>hyperlink("https://icd.who.int/dev11/l-ichi/en#/http%3A%2F%2Fid.who.int%2Ficd%2Fentity%2F1905008737","browser")</x:f>
      </x:c>
      <x:c r="L8813" s="0">
        <x:f>hyperlink("https://icat2.azurewebsites.net/icat/?ontology=ICD&amp;tab=ClassesTab&amp;id=http%3A%2F%2Fwho.int%2Ficd%232815_7005c14c_2656_4f4b_85a0_8e71c99be967","iCat")</x:f>
      </x:c>
      <x:c r="M8813" s="0" t="s">
        <x:v>21</x:v>
      </x:c>
      <x:c r="N8813" s="0" t="s">
        <x:v>46</x:v>
      </x:c>
    </x:row>
    <x:row r="8814" spans="1:16">
      <x:c r="A8814" s="0" t="s">
        <x:v>35120</x:v>
      </x:c>
      <x:c r="B8814" s="0" t="s">
        <x:v>35121</x:v>
      </x:c>
      <x:c r="C8814" s="0" t="s">
        <x:v>35122</x:v>
      </x:c>
      <x:c r="E8814" s="0" t="s">
        <x:v>35123</x:v>
      </x:c>
      <x:c r="F8814" s="0" t="s">
        <x:v>45</x:v>
      </x:c>
      <x:c r="G8814" s="0" t="s">
        <x:v>19</x:v>
      </x:c>
      <x:c r="H8814" s="0" t="s">
        <x:v>20</x:v>
      </x:c>
      <x:c r="I8814" s="0" t="s">
        <x:v>21</x:v>
      </x:c>
      <x:c r="K8814" s="0">
        <x:f>hyperlink("https://icd.who.int/dev11/l-ichi/en#/http%3A%2F%2Fid.who.int%2Ficd%2Fentity%2F70951956","browser")</x:f>
      </x:c>
      <x:c r="L8814" s="0">
        <x:f>hyperlink("https://icat2.azurewebsites.net/icat/?ontology=ICD&amp;tab=ClassesTab&amp;id=http%3A%2F%2Fwho.int%2Ficd%232821_7005c14c_2656_4f4b_85a0_8e71c99be967","iCat")</x:f>
      </x:c>
      <x:c r="M8814" s="0" t="s">
        <x:v>21</x:v>
      </x:c>
      <x:c r="N8814" s="0" t="s">
        <x:v>46</x:v>
      </x:c>
    </x:row>
    <x:row r="8815" spans="1:16">
      <x:c r="A8815" s="0" t="s">
        <x:v>35124</x:v>
      </x:c>
      <x:c r="B8815" s="0" t="s">
        <x:v>35125</x:v>
      </x:c>
      <x:c r="C8815" s="0" t="s">
        <x:v>35126</x:v>
      </x:c>
      <x:c r="E8815" s="0" t="s">
        <x:v>35127</x:v>
      </x:c>
      <x:c r="F8815" s="0" t="s">
        <x:v>45</x:v>
      </x:c>
      <x:c r="G8815" s="0" t="s">
        <x:v>19</x:v>
      </x:c>
      <x:c r="H8815" s="0" t="s">
        <x:v>20</x:v>
      </x:c>
      <x:c r="I8815" s="0" t="s">
        <x:v>21</x:v>
      </x:c>
      <x:c r="K8815" s="0">
        <x:f>hyperlink("https://icd.who.int/dev11/l-ichi/en#/http%3A%2F%2Fid.who.int%2Ficd%2Fentity%2F1330362403","browser")</x:f>
      </x:c>
      <x:c r="L8815" s="0">
        <x:f>hyperlink("https://icat2.azurewebsites.net/icat/?ontology=ICD&amp;tab=ClassesTab&amp;id=http%3A%2F%2Fwho.int%2Ficd%23240_eccaa62c_8889_4dc1_a4d9_71762327d0fc","iCat")</x:f>
      </x:c>
      <x:c r="M8815" s="0" t="s">
        <x:v>21</x:v>
      </x:c>
      <x:c r="N8815" s="0" t="s">
        <x:v>46</x:v>
      </x:c>
    </x:row>
    <x:row r="8816" spans="1:16">
      <x:c r="A8816" s="0" t="s">
        <x:v>35128</x:v>
      </x:c>
      <x:c r="B8816" s="0" t="s">
        <x:v>35129</x:v>
      </x:c>
      <x:c r="C8816" s="0" t="s">
        <x:v>35130</x:v>
      </x:c>
      <x:c r="E8816" s="0" t="s">
        <x:v>35131</x:v>
      </x:c>
      <x:c r="F8816" s="0" t="s">
        <x:v>45</x:v>
      </x:c>
      <x:c r="G8816" s="0" t="s">
        <x:v>19</x:v>
      </x:c>
      <x:c r="H8816" s="0" t="s">
        <x:v>20</x:v>
      </x:c>
      <x:c r="I8816" s="0" t="s">
        <x:v>21</x:v>
      </x:c>
      <x:c r="K8816" s="0">
        <x:f>hyperlink("https://icd.who.int/dev11/l-ichi/en#/http%3A%2F%2Fid.who.int%2Ficd%2Fentity%2F41499524","browser")</x:f>
      </x:c>
      <x:c r="L8816" s="0">
        <x:f>hyperlink("https://icat2.azurewebsites.net/icat/?ontology=ICD&amp;tab=ClassesTab&amp;id=http%3A%2F%2Fwho.int%2Ficd%2314241_4869915e_217e_423d_acb3_33c0f920ef4b","iCat")</x:f>
      </x:c>
      <x:c r="M8816" s="0" t="s">
        <x:v>21</x:v>
      </x:c>
      <x:c r="N8816" s="0" t="s">
        <x:v>46</x:v>
      </x:c>
    </x:row>
    <x:row r="8817" spans="1:16">
      <x:c r="A8817" s="0" t="s">
        <x:v>35132</x:v>
      </x:c>
      <x:c r="B8817" s="0" t="s">
        <x:v>35133</x:v>
      </x:c>
      <x:c r="C8817" s="0" t="s">
        <x:v>35134</x:v>
      </x:c>
      <x:c r="E8817" s="0" t="s">
        <x:v>35135</x:v>
      </x:c>
      <x:c r="F8817" s="0" t="s">
        <x:v>45</x:v>
      </x:c>
      <x:c r="G8817" s="0" t="s">
        <x:v>19</x:v>
      </x:c>
      <x:c r="H8817" s="0" t="s">
        <x:v>20</x:v>
      </x:c>
      <x:c r="I8817" s="0" t="s">
        <x:v>21</x:v>
      </x:c>
      <x:c r="K8817" s="0">
        <x:f>hyperlink("https://icd.who.int/dev11/l-ichi/en#/http%3A%2F%2Fid.who.int%2Ficd%2Fentity%2F235535712","browser")</x:f>
      </x:c>
      <x:c r="L8817" s="0">
        <x:f>hyperlink("https://icat2.azurewebsites.net/icat/?ontology=ICD&amp;tab=ClassesTab&amp;id=http%3A%2F%2Fwho.int%2Ficd%232050_7005c14c_2656_4f4b_85a0_8e71c99be967","iCat")</x:f>
      </x:c>
      <x:c r="M8817" s="0" t="s">
        <x:v>21</x:v>
      </x:c>
      <x:c r="N8817" s="0" t="s">
        <x:v>46</x:v>
      </x:c>
    </x:row>
    <x:row r="8818" spans="1:16">
      <x:c r="A8818" s="0" t="s">
        <x:v>35136</x:v>
      </x:c>
      <x:c r="B8818" s="0" t="s">
        <x:v>35137</x:v>
      </x:c>
      <x:c r="C8818" s="0" t="s">
        <x:v>35138</x:v>
      </x:c>
      <x:c r="E8818" s="0" t="s">
        <x:v>35139</x:v>
      </x:c>
      <x:c r="F8818" s="0" t="s">
        <x:v>45</x:v>
      </x:c>
      <x:c r="G8818" s="0" t="s">
        <x:v>19</x:v>
      </x:c>
      <x:c r="H8818" s="0" t="s">
        <x:v>20</x:v>
      </x:c>
      <x:c r="I8818" s="0" t="s">
        <x:v>21</x:v>
      </x:c>
      <x:c r="K8818" s="0">
        <x:f>hyperlink("https://icd.who.int/dev11/l-ichi/en#/http%3A%2F%2Fid.who.int%2Ficd%2Fentity%2F1584538863","browser")</x:f>
      </x:c>
      <x:c r="L8818" s="0">
        <x:f>hyperlink("https://icat2.azurewebsites.net/icat/?ontology=ICD&amp;tab=ClassesTab&amp;id=http%3A%2F%2Fwho.int%2Ficd%232056_7005c14c_2656_4f4b_85a0_8e71c99be967","iCat")</x:f>
      </x:c>
      <x:c r="M8818" s="0" t="s">
        <x:v>21</x:v>
      </x:c>
      <x:c r="N8818" s="0" t="s">
        <x:v>46</x:v>
      </x:c>
    </x:row>
    <x:row r="8819" spans="1:16">
      <x:c r="A8819" s="0" t="s">
        <x:v>35140</x:v>
      </x:c>
      <x:c r="B8819" s="0" t="s">
        <x:v>35141</x:v>
      </x:c>
      <x:c r="C8819" s="0" t="s">
        <x:v>35142</x:v>
      </x:c>
      <x:c r="E8819" s="0" t="s">
        <x:v>35143</x:v>
      </x:c>
      <x:c r="F8819" s="0" t="s">
        <x:v>45</x:v>
      </x:c>
      <x:c r="G8819" s="0" t="s">
        <x:v>19</x:v>
      </x:c>
      <x:c r="H8819" s="0" t="s">
        <x:v>20</x:v>
      </x:c>
      <x:c r="I8819" s="0" t="s">
        <x:v>21</x:v>
      </x:c>
      <x:c r="K8819" s="0">
        <x:f>hyperlink("https://icd.who.int/dev11/l-ichi/en#/http%3A%2F%2Fid.who.int%2Ficd%2Fentity%2F734306460","browser")</x:f>
      </x:c>
      <x:c r="L8819" s="0">
        <x:f>hyperlink("https://icat2.azurewebsites.net/icat/?ontology=ICD&amp;tab=ClassesTab&amp;id=http%3A%2F%2Fwho.int%2Ficd%232062_7005c14c_2656_4f4b_85a0_8e71c99be967","iCat")</x:f>
      </x:c>
      <x:c r="M8819" s="0" t="s">
        <x:v>21</x:v>
      </x:c>
      <x:c r="N8819" s="0" t="s">
        <x:v>46</x:v>
      </x:c>
    </x:row>
    <x:row r="8820" spans="1:16">
      <x:c r="A8820" s="0" t="s">
        <x:v>35144</x:v>
      </x:c>
      <x:c r="B8820" s="0" t="s">
        <x:v>35145</x:v>
      </x:c>
      <x:c r="C8820" s="0" t="s">
        <x:v>35146</x:v>
      </x:c>
      <x:c r="E8820" s="0" t="s">
        <x:v>35147</x:v>
      </x:c>
      <x:c r="F8820" s="0" t="s">
        <x:v>45</x:v>
      </x:c>
      <x:c r="G8820" s="0" t="s">
        <x:v>19</x:v>
      </x:c>
      <x:c r="H8820" s="0" t="s">
        <x:v>20</x:v>
      </x:c>
      <x:c r="I8820" s="0" t="s">
        <x:v>21</x:v>
      </x:c>
      <x:c r="K8820" s="0">
        <x:f>hyperlink("https://icd.who.int/dev11/l-ichi/en#/http%3A%2F%2Fid.who.int%2Ficd%2Fentity%2F3787788","browser")</x:f>
      </x:c>
      <x:c r="L8820" s="0">
        <x:f>hyperlink("https://icat2.azurewebsites.net/icat/?ontology=ICD&amp;tab=ClassesTab&amp;id=http%3A%2F%2Fwho.int%2Ficd%232068_7005c14c_2656_4f4b_85a0_8e71c99be967","iCat")</x:f>
      </x:c>
      <x:c r="M8820" s="0" t="s">
        <x:v>21</x:v>
      </x:c>
      <x:c r="N8820" s="0" t="s">
        <x:v>46</x:v>
      </x:c>
    </x:row>
    <x:row r="8821" spans="1:16">
      <x:c r="A8821" s="0" t="s">
        <x:v>35148</x:v>
      </x:c>
      <x:c r="B8821" s="0" t="s">
        <x:v>35149</x:v>
      </x:c>
      <x:c r="C8821" s="0" t="s">
        <x:v>35150</x:v>
      </x:c>
      <x:c r="E8821" s="0" t="s">
        <x:v>35151</x:v>
      </x:c>
      <x:c r="F8821" s="0" t="s">
        <x:v>45</x:v>
      </x:c>
      <x:c r="G8821" s="0" t="s">
        <x:v>19</x:v>
      </x:c>
      <x:c r="H8821" s="0" t="s">
        <x:v>20</x:v>
      </x:c>
      <x:c r="I8821" s="0" t="s">
        <x:v>21</x:v>
      </x:c>
      <x:c r="K8821" s="0">
        <x:f>hyperlink("https://icd.who.int/dev11/l-ichi/en#/http%3A%2F%2Fid.who.int%2Ficd%2Fentity%2F293268604","browser")</x:f>
      </x:c>
      <x:c r="L8821" s="0">
        <x:f>hyperlink("https://icat2.azurewebsites.net/icat/?ontology=ICD&amp;tab=ClassesTab&amp;id=http%3A%2F%2Fwho.int%2Ficd%232074_7005c14c_2656_4f4b_85a0_8e71c99be967","iCat")</x:f>
      </x:c>
      <x:c r="M8821" s="0" t="s">
        <x:v>21</x:v>
      </x:c>
      <x:c r="N8821" s="0" t="s">
        <x:v>46</x:v>
      </x:c>
    </x:row>
    <x:row r="8822" spans="1:16">
      <x:c r="A8822" s="0" t="s">
        <x:v>35152</x:v>
      </x:c>
      <x:c r="B8822" s="0" t="s">
        <x:v>35153</x:v>
      </x:c>
      <x:c r="C8822" s="0" t="s">
        <x:v>35154</x:v>
      </x:c>
      <x:c r="E8822" s="0" t="s">
        <x:v>35155</x:v>
      </x:c>
      <x:c r="F8822" s="0" t="s">
        <x:v>45</x:v>
      </x:c>
      <x:c r="G8822" s="0" t="s">
        <x:v>19</x:v>
      </x:c>
      <x:c r="H8822" s="0" t="s">
        <x:v>20</x:v>
      </x:c>
      <x:c r="I8822" s="0" t="s">
        <x:v>21</x:v>
      </x:c>
      <x:c r="K8822" s="0">
        <x:f>hyperlink("https://icd.who.int/dev11/l-ichi/en#/http%3A%2F%2Fid.who.int%2Ficd%2Fentity%2F194667216","browser")</x:f>
      </x:c>
      <x:c r="L8822" s="0">
        <x:f>hyperlink("https://icat2.azurewebsites.net/icat/?ontology=ICD&amp;tab=ClassesTab&amp;id=http%3A%2F%2Fwho.int%2Ficd%232080_7005c14c_2656_4f4b_85a0_8e71c99be967","iCat")</x:f>
      </x:c>
      <x:c r="M8822" s="0" t="s">
        <x:v>21</x:v>
      </x:c>
      <x:c r="N8822" s="0" t="s">
        <x:v>46</x:v>
      </x:c>
    </x:row>
    <x:row r="8823" spans="1:16">
      <x:c r="A8823" s="0" t="s">
        <x:v>35156</x:v>
      </x:c>
      <x:c r="B8823" s="0" t="s">
        <x:v>35157</x:v>
      </x:c>
      <x:c r="C8823" s="0" t="s">
        <x:v>35158</x:v>
      </x:c>
      <x:c r="E8823" s="0" t="s">
        <x:v>35159</x:v>
      </x:c>
      <x:c r="F8823" s="0" t="s">
        <x:v>45</x:v>
      </x:c>
      <x:c r="G8823" s="0" t="s">
        <x:v>19</x:v>
      </x:c>
      <x:c r="H8823" s="0" t="s">
        <x:v>20</x:v>
      </x:c>
      <x:c r="I8823" s="0" t="s">
        <x:v>21</x:v>
      </x:c>
      <x:c r="K8823" s="0">
        <x:f>hyperlink("https://icd.who.int/dev11/l-ichi/en#/http%3A%2F%2Fid.who.int%2Ficd%2Fentity%2F1541520225","browser")</x:f>
      </x:c>
      <x:c r="L8823" s="0">
        <x:f>hyperlink("https://icat2.azurewebsites.net/icat/?ontology=ICD&amp;tab=ClassesTab&amp;id=http%3A%2F%2Fwho.int%2Ficd%232086_7005c14c_2656_4f4b_85a0_8e71c99be967","iCat")</x:f>
      </x:c>
      <x:c r="M8823" s="0" t="s">
        <x:v>21</x:v>
      </x:c>
      <x:c r="N8823" s="0" t="s">
        <x:v>46</x:v>
      </x:c>
    </x:row>
    <x:row r="8824" spans="1:16">
      <x:c r="A8824" s="0" t="s">
        <x:v>35160</x:v>
      </x:c>
      <x:c r="B8824" s="0" t="s">
        <x:v>35161</x:v>
      </x:c>
      <x:c r="C8824" s="0" t="s">
        <x:v>35162</x:v>
      </x:c>
      <x:c r="E8824" s="0" t="s">
        <x:v>35163</x:v>
      </x:c>
      <x:c r="F8824" s="0" t="s">
        <x:v>45</x:v>
      </x:c>
      <x:c r="G8824" s="0" t="s">
        <x:v>19</x:v>
      </x:c>
      <x:c r="H8824" s="0" t="s">
        <x:v>20</x:v>
      </x:c>
      <x:c r="I8824" s="0" t="s">
        <x:v>21</x:v>
      </x:c>
      <x:c r="K8824" s="0">
        <x:f>hyperlink("https://icd.who.int/dev11/l-ichi/en#/http%3A%2F%2Fid.who.int%2Ficd%2Fentity%2F69462594","browser")</x:f>
      </x:c>
      <x:c r="L8824" s="0">
        <x:f>hyperlink("https://icat2.azurewebsites.net/icat/?ontology=ICD&amp;tab=ClassesTab&amp;id=http%3A%2F%2Fwho.int%2Ficd%232092_7005c14c_2656_4f4b_85a0_8e71c99be967","iCat")</x:f>
      </x:c>
      <x:c r="M8824" s="0" t="s">
        <x:v>21</x:v>
      </x:c>
      <x:c r="N8824" s="0" t="s">
        <x:v>46</x:v>
      </x:c>
    </x:row>
    <x:row r="8825" spans="1:16">
      <x:c r="A8825" s="0" t="s">
        <x:v>35164</x:v>
      </x:c>
      <x:c r="B8825" s="0" t="s">
        <x:v>35165</x:v>
      </x:c>
      <x:c r="C8825" s="0" t="s">
        <x:v>35166</x:v>
      </x:c>
      <x:c r="E8825" s="0" t="s">
        <x:v>35167</x:v>
      </x:c>
      <x:c r="F8825" s="0" t="s">
        <x:v>45</x:v>
      </x:c>
      <x:c r="G8825" s="0" t="s">
        <x:v>19</x:v>
      </x:c>
      <x:c r="H8825" s="0" t="s">
        <x:v>20</x:v>
      </x:c>
      <x:c r="I8825" s="0" t="s">
        <x:v>21</x:v>
      </x:c>
      <x:c r="K8825" s="0">
        <x:f>hyperlink("https://icd.who.int/dev11/l-ichi/en#/http%3A%2F%2Fid.who.int%2Ficd%2Fentity%2F803112658","browser")</x:f>
      </x:c>
      <x:c r="L8825" s="0">
        <x:f>hyperlink("https://icat2.azurewebsites.net/icat/?ontology=ICD&amp;tab=ClassesTab&amp;id=http%3A%2F%2Fwho.int%2Ficd%232098_7005c14c_2656_4f4b_85a0_8e71c99be967","iCat")</x:f>
      </x:c>
      <x:c r="M8825" s="0" t="s">
        <x:v>21</x:v>
      </x:c>
      <x:c r="N8825" s="0" t="s">
        <x:v>46</x:v>
      </x:c>
    </x:row>
    <x:row r="8826" spans="1:16">
      <x:c r="A8826" s="0" t="s">
        <x:v>35168</x:v>
      </x:c>
      <x:c r="B8826" s="0" t="s">
        <x:v>35169</x:v>
      </x:c>
      <x:c r="C8826" s="0" t="s">
        <x:v>35170</x:v>
      </x:c>
      <x:c r="E8826" s="0" t="s">
        <x:v>35171</x:v>
      </x:c>
      <x:c r="F8826" s="0" t="s">
        <x:v>45</x:v>
      </x:c>
      <x:c r="G8826" s="0" t="s">
        <x:v>19</x:v>
      </x:c>
      <x:c r="H8826" s="0" t="s">
        <x:v>20</x:v>
      </x:c>
      <x:c r="I8826" s="0" t="s">
        <x:v>21</x:v>
      </x:c>
      <x:c r="K8826" s="0">
        <x:f>hyperlink("https://icd.who.int/dev11/l-ichi/en#/http%3A%2F%2Fid.who.int%2Ficd%2Fentity%2F1412643325","browser")</x:f>
      </x:c>
      <x:c r="L8826" s="0">
        <x:f>hyperlink("https://icat2.azurewebsites.net/icat/?ontology=ICD&amp;tab=ClassesTab&amp;id=http%3A%2F%2Fwho.int%2Ficd%232104_7005c14c_2656_4f4b_85a0_8e71c99be967","iCat")</x:f>
      </x:c>
      <x:c r="M8826" s="0" t="s">
        <x:v>21</x:v>
      </x:c>
      <x:c r="N8826" s="0" t="s">
        <x:v>46</x:v>
      </x:c>
    </x:row>
    <x:row r="8827" spans="1:16">
      <x:c r="A8827" s="0" t="s">
        <x:v>35172</x:v>
      </x:c>
      <x:c r="B8827" s="0" t="s">
        <x:v>35173</x:v>
      </x:c>
      <x:c r="C8827" s="0" t="s">
        <x:v>35174</x:v>
      </x:c>
      <x:c r="E8827" s="0" t="s">
        <x:v>35175</x:v>
      </x:c>
      <x:c r="F8827" s="0" t="s">
        <x:v>45</x:v>
      </x:c>
      <x:c r="G8827" s="0" t="s">
        <x:v>19</x:v>
      </x:c>
      <x:c r="H8827" s="0" t="s">
        <x:v>20</x:v>
      </x:c>
      <x:c r="I8827" s="0" t="s">
        <x:v>21</x:v>
      </x:c>
      <x:c r="K8827" s="0">
        <x:f>hyperlink("https://icd.who.int/dev11/l-ichi/en#/http%3A%2F%2Fid.who.int%2Ficd%2Fentity%2F200370400","browser")</x:f>
      </x:c>
      <x:c r="L8827" s="0">
        <x:f>hyperlink("https://icat2.azurewebsites.net/icat/?ontology=ICD&amp;tab=ClassesTab&amp;id=http%3A%2F%2Fwho.int%2Ficd%232110_7005c14c_2656_4f4b_85a0_8e71c99be967","iCat")</x:f>
      </x:c>
      <x:c r="M8827" s="0" t="s">
        <x:v>21</x:v>
      </x:c>
      <x:c r="N8827" s="0" t="s">
        <x:v>46</x:v>
      </x:c>
    </x:row>
    <x:row r="8828" spans="1:16">
      <x:c r="A8828" s="0" t="s">
        <x:v>35176</x:v>
      </x:c>
      <x:c r="B8828" s="0" t="s">
        <x:v>35177</x:v>
      </x:c>
      <x:c r="C8828" s="0" t="s">
        <x:v>35178</x:v>
      </x:c>
      <x:c r="E8828" s="0" t="s">
        <x:v>35179</x:v>
      </x:c>
      <x:c r="F8828" s="0" t="s">
        <x:v>45</x:v>
      </x:c>
      <x:c r="G8828" s="0" t="s">
        <x:v>19</x:v>
      </x:c>
      <x:c r="H8828" s="0" t="s">
        <x:v>20</x:v>
      </x:c>
      <x:c r="I8828" s="0" t="s">
        <x:v>21</x:v>
      </x:c>
      <x:c r="K8828" s="0">
        <x:f>hyperlink("https://icd.who.int/dev11/l-ichi/en#/http%3A%2F%2Fid.who.int%2Ficd%2Fentity%2F1535816047","browser")</x:f>
      </x:c>
      <x:c r="L8828" s="0">
        <x:f>hyperlink("https://icat2.azurewebsites.net/icat/?ontology=ICD&amp;tab=ClassesTab&amp;id=http%3A%2F%2Fwho.int%2Ficd%232116_7005c14c_2656_4f4b_85a0_8e71c99be967","iCat")</x:f>
      </x:c>
      <x:c r="M8828" s="0" t="s">
        <x:v>21</x:v>
      </x:c>
      <x:c r="N8828" s="0" t="s">
        <x:v>46</x:v>
      </x:c>
    </x:row>
    <x:row r="8829" spans="1:16">
      <x:c r="A8829" s="0" t="s">
        <x:v>35180</x:v>
      </x:c>
      <x:c r="B8829" s="0" t="s">
        <x:v>35181</x:v>
      </x:c>
      <x:c r="C8829" s="0" t="s">
        <x:v>35182</x:v>
      </x:c>
      <x:c r="E8829" s="0" t="s">
        <x:v>35183</x:v>
      </x:c>
      <x:c r="F8829" s="0" t="s">
        <x:v>45</x:v>
      </x:c>
      <x:c r="G8829" s="0" t="s">
        <x:v>19</x:v>
      </x:c>
      <x:c r="H8829" s="0" t="s">
        <x:v>20</x:v>
      </x:c>
      <x:c r="I8829" s="0" t="s">
        <x:v>21</x:v>
      </x:c>
      <x:c r="K8829" s="0">
        <x:f>hyperlink("https://icd.who.int/dev11/l-ichi/en#/http%3A%2F%2Fid.who.int%2Ficd%2Fentity%2F523264404","browser")</x:f>
      </x:c>
      <x:c r="L8829" s="0">
        <x:f>hyperlink("https://icat2.azurewebsites.net/icat/?ontology=ICD&amp;tab=ClassesTab&amp;id=http%3A%2F%2Fwho.int%2Ficd%23246_eccaa62c_8889_4dc1_a4d9_71762327d0fc","iCat")</x:f>
      </x:c>
      <x:c r="M8829" s="0" t="s">
        <x:v>21</x:v>
      </x:c>
      <x:c r="N8829" s="0" t="s">
        <x:v>46</x:v>
      </x:c>
    </x:row>
    <x:row r="8830" spans="1:16">
      <x:c r="A8830" s="0" t="s">
        <x:v>35184</x:v>
      </x:c>
      <x:c r="B8830" s="0" t="s">
        <x:v>35185</x:v>
      </x:c>
      <x:c r="C8830" s="0" t="s">
        <x:v>35186</x:v>
      </x:c>
      <x:c r="E8830" s="0" t="s">
        <x:v>35187</x:v>
      </x:c>
      <x:c r="F8830" s="0" t="s">
        <x:v>45</x:v>
      </x:c>
      <x:c r="G8830" s="0" t="s">
        <x:v>19</x:v>
      </x:c>
      <x:c r="H8830" s="0" t="s">
        <x:v>20</x:v>
      </x:c>
      <x:c r="I8830" s="0" t="s">
        <x:v>21</x:v>
      </x:c>
      <x:c r="K8830" s="0">
        <x:f>hyperlink("https://icd.who.int/dev11/l-ichi/en#/http%3A%2F%2Fid.who.int%2Ficd%2Fentity%2F1089614001","browser")</x:f>
      </x:c>
      <x:c r="L8830" s="0">
        <x:f>hyperlink("https://icat2.azurewebsites.net/icat/?ontology=ICD&amp;tab=ClassesTab&amp;id=http%3A%2F%2Fwho.int%2Ficd%23252_eccaa62c_8889_4dc1_a4d9_71762327d0fc","iCat")</x:f>
      </x:c>
      <x:c r="M8830" s="0" t="s">
        <x:v>21</x:v>
      </x:c>
      <x:c r="N8830" s="0" t="s">
        <x:v>46</x:v>
      </x:c>
    </x:row>
    <x:row r="8831" spans="1:16">
      <x:c r="A8831" s="0" t="s">
        <x:v>35188</x:v>
      </x:c>
      <x:c r="B8831" s="0" t="s">
        <x:v>35189</x:v>
      </x:c>
      <x:c r="C8831" s="0" t="s">
        <x:v>35190</x:v>
      </x:c>
      <x:c r="E8831" s="0" t="s">
        <x:v>35191</x:v>
      </x:c>
      <x:c r="F8831" s="0" t="s">
        <x:v>45</x:v>
      </x:c>
      <x:c r="G8831" s="0" t="s">
        <x:v>19</x:v>
      </x:c>
      <x:c r="H8831" s="0" t="s">
        <x:v>20</x:v>
      </x:c>
      <x:c r="I8831" s="0" t="s">
        <x:v>21</x:v>
      </x:c>
      <x:c r="K8831" s="0">
        <x:f>hyperlink("https://icd.who.int/dev11/l-ichi/en#/http%3A%2F%2Fid.who.int%2Ficd%2Fentity%2F1796168737","browser")</x:f>
      </x:c>
      <x:c r="L8831" s="0">
        <x:f>hyperlink("https://icat2.azurewebsites.net/icat/?ontology=ICD&amp;tab=ClassesTab&amp;id=http%3A%2F%2Fwho.int%2Ficd%23258_eccaa62c_8889_4dc1_a4d9_71762327d0fc","iCat")</x:f>
      </x:c>
      <x:c r="M8831" s="0" t="s">
        <x:v>21</x:v>
      </x:c>
      <x:c r="N8831" s="0" t="s">
        <x:v>46</x:v>
      </x:c>
    </x:row>
    <x:row r="8832" spans="1:16">
      <x:c r="A8832" s="0" t="s">
        <x:v>35192</x:v>
      </x:c>
      <x:c r="B8832" s="0" t="s">
        <x:v>35193</x:v>
      </x:c>
      <x:c r="C8832" s="0" t="s">
        <x:v>35194</x:v>
      </x:c>
      <x:c r="E8832" s="0" t="s">
        <x:v>35195</x:v>
      </x:c>
      <x:c r="F8832" s="0" t="s">
        <x:v>45</x:v>
      </x:c>
      <x:c r="G8832" s="0" t="s">
        <x:v>19</x:v>
      </x:c>
      <x:c r="H8832" s="0" t="s">
        <x:v>20</x:v>
      </x:c>
      <x:c r="I8832" s="0" t="s">
        <x:v>21</x:v>
      </x:c>
      <x:c r="K8832" s="0">
        <x:f>hyperlink("https://icd.who.int/dev11/l-ichi/en#/http%3A%2F%2Fid.who.int%2Ficd%2Fentity%2F1345890567","browser")</x:f>
      </x:c>
      <x:c r="L8832" s="0">
        <x:f>hyperlink("https://icat2.azurewebsites.net/icat/?ontology=ICD&amp;tab=ClassesTab&amp;id=http%3A%2F%2Fwho.int%2Ficd%23264_eccaa62c_8889_4dc1_a4d9_71762327d0fc","iCat")</x:f>
      </x:c>
      <x:c r="M8832" s="0" t="s">
        <x:v>21</x:v>
      </x:c>
      <x:c r="N8832" s="0" t="s">
        <x:v>46</x:v>
      </x:c>
    </x:row>
    <x:row r="8833" spans="1:16">
      <x:c r="A8833" s="0" t="s">
        <x:v>35196</x:v>
      </x:c>
      <x:c r="B8833" s="0" t="s">
        <x:v>35197</x:v>
      </x:c>
      <x:c r="C8833" s="0" t="s">
        <x:v>35198</x:v>
      </x:c>
      <x:c r="E8833" s="0" t="s">
        <x:v>35199</x:v>
      </x:c>
      <x:c r="F8833" s="0" t="s">
        <x:v>45</x:v>
      </x:c>
      <x:c r="G8833" s="0" t="s">
        <x:v>19</x:v>
      </x:c>
      <x:c r="H8833" s="0" t="s">
        <x:v>20</x:v>
      </x:c>
      <x:c r="I8833" s="0" t="s">
        <x:v>21</x:v>
      </x:c>
      <x:c r="K8833" s="0">
        <x:f>hyperlink("https://icd.who.int/dev11/l-ichi/en#/http%3A%2F%2Fid.who.int%2Ficd%2Fentity%2F775697692","browser")</x:f>
      </x:c>
      <x:c r="L8833" s="0">
        <x:f>hyperlink("https://icat2.azurewebsites.net/icat/?ontology=ICD&amp;tab=ClassesTab&amp;id=http%3A%2F%2Fwho.int%2Ficd%232122_7005c14c_2656_4f4b_85a0_8e71c99be967","iCat")</x:f>
      </x:c>
      <x:c r="M8833" s="0" t="s">
        <x:v>21</x:v>
      </x:c>
      <x:c r="N8833" s="0" t="s">
        <x:v>46</x:v>
      </x:c>
    </x:row>
    <x:row r="8834" spans="1:16">
      <x:c r="A8834" s="0" t="s">
        <x:v>35200</x:v>
      </x:c>
      <x:c r="B8834" s="0" t="s">
        <x:v>35201</x:v>
      </x:c>
      <x:c r="C8834" s="0" t="s">
        <x:v>35202</x:v>
      </x:c>
      <x:c r="E8834" s="0" t="s">
        <x:v>35203</x:v>
      </x:c>
      <x:c r="F8834" s="0" t="s">
        <x:v>45</x:v>
      </x:c>
      <x:c r="G8834" s="0" t="s">
        <x:v>19</x:v>
      </x:c>
      <x:c r="H8834" s="0" t="s">
        <x:v>20</x:v>
      </x:c>
      <x:c r="I8834" s="0" t="s">
        <x:v>21</x:v>
      </x:c>
      <x:c r="K8834" s="0">
        <x:f>hyperlink("https://icd.who.int/dev11/l-ichi/en#/http%3A%2F%2Fid.who.int%2Ficd%2Fentity%2F96557452","browser")</x:f>
      </x:c>
      <x:c r="L8834" s="0">
        <x:f>hyperlink("https://icat2.azurewebsites.net/icat/?ontology=ICD&amp;tab=ClassesTab&amp;id=http%3A%2F%2Fwho.int%2Ficd%232128_7005c14c_2656_4f4b_85a0_8e71c99be967","iCat")</x:f>
      </x:c>
      <x:c r="M8834" s="0" t="s">
        <x:v>21</x:v>
      </x:c>
      <x:c r="N8834" s="0" t="s">
        <x:v>46</x:v>
      </x:c>
    </x:row>
    <x:row r="8835" spans="1:16">
      <x:c r="A8835" s="0" t="s">
        <x:v>35204</x:v>
      </x:c>
      <x:c r="B8835" s="0" t="s">
        <x:v>35205</x:v>
      </x:c>
      <x:c r="C8835" s="0" t="s">
        <x:v>35206</x:v>
      </x:c>
      <x:c r="E8835" s="0" t="s">
        <x:v>35207</x:v>
      </x:c>
      <x:c r="F8835" s="0" t="s">
        <x:v>45</x:v>
      </x:c>
      <x:c r="G8835" s="0" t="s">
        <x:v>19</x:v>
      </x:c>
      <x:c r="H8835" s="0" t="s">
        <x:v>20</x:v>
      </x:c>
      <x:c r="I8835" s="0" t="s">
        <x:v>21</x:v>
      </x:c>
      <x:c r="K8835" s="0">
        <x:f>hyperlink("https://icd.who.int/dev11/l-ichi/en#/http%3A%2F%2Fid.who.int%2Ficd%2Fentity%2F344095228","browser")</x:f>
      </x:c>
      <x:c r="L8835" s="0">
        <x:f>hyperlink("https://icat2.azurewebsites.net/icat/?ontology=ICD&amp;tab=ClassesTab&amp;id=http%3A%2F%2Fwho.int%2Ficd%232134_7005c14c_2656_4f4b_85a0_8e71c99be967","iCat")</x:f>
      </x:c>
      <x:c r="M8835" s="0" t="s">
        <x:v>21</x:v>
      </x:c>
      <x:c r="N8835" s="0" t="s">
        <x:v>46</x:v>
      </x:c>
    </x:row>
    <x:row r="8836" spans="1:16">
      <x:c r="A8836" s="0" t="s">
        <x:v>35208</x:v>
      </x:c>
      <x:c r="B8836" s="0" t="s">
        <x:v>35209</x:v>
      </x:c>
      <x:c r="C8836" s="0" t="s">
        <x:v>35210</x:v>
      </x:c>
      <x:c r="E8836" s="0" t="s">
        <x:v>35211</x:v>
      </x:c>
      <x:c r="F8836" s="0" t="s">
        <x:v>45</x:v>
      </x:c>
      <x:c r="G8836" s="0" t="s">
        <x:v>19</x:v>
      </x:c>
      <x:c r="H8836" s="0" t="s">
        <x:v>20</x:v>
      </x:c>
      <x:c r="I8836" s="0" t="s">
        <x:v>21</x:v>
      </x:c>
      <x:c r="K8836" s="0">
        <x:f>hyperlink("https://icd.who.int/dev11/l-ichi/en#/http%3A%2F%2Fid.who.int%2Ficd%2Fentity%2F290696854","browser")</x:f>
      </x:c>
      <x:c r="L8836" s="0">
        <x:f>hyperlink("https://icat2.azurewebsites.net/icat/?ontology=ICD&amp;tab=ClassesTab&amp;id=http%3A%2F%2Fwho.int%2Ficd%232140_7005c14c_2656_4f4b_85a0_8e71c99be967","iCat")</x:f>
      </x:c>
      <x:c r="M8836" s="0" t="s">
        <x:v>21</x:v>
      </x:c>
      <x:c r="N8836" s="0" t="s">
        <x:v>46</x:v>
      </x:c>
    </x:row>
    <x:row r="8837" spans="1:16">
      <x:c r="A8837" s="0" t="s">
        <x:v>35212</x:v>
      </x:c>
      <x:c r="B8837" s="0" t="s">
        <x:v>35213</x:v>
      </x:c>
      <x:c r="C8837" s="0" t="s">
        <x:v>35214</x:v>
      </x:c>
      <x:c r="E8837" s="0" t="s">
        <x:v>35215</x:v>
      </x:c>
      <x:c r="F8837" s="0" t="s">
        <x:v>45</x:v>
      </x:c>
      <x:c r="G8837" s="0" t="s">
        <x:v>19</x:v>
      </x:c>
      <x:c r="H8837" s="0" t="s">
        <x:v>20</x:v>
      </x:c>
      <x:c r="I8837" s="0" t="s">
        <x:v>21</x:v>
      </x:c>
      <x:c r="K8837" s="0">
        <x:f>hyperlink("https://icd.who.int/dev11/l-ichi/en#/http%3A%2F%2Fid.who.int%2Ficd%2Fentity%2F1093170981","browser")</x:f>
      </x:c>
      <x:c r="L8837" s="0">
        <x:f>hyperlink("https://icat2.azurewebsites.net/icat/?ontology=ICD&amp;tab=ClassesTab&amp;id=http%3A%2F%2Fwho.int%2Ficd%232146_7005c14c_2656_4f4b_85a0_8e71c99be967","iCat")</x:f>
      </x:c>
      <x:c r="M8837" s="0" t="s">
        <x:v>21</x:v>
      </x:c>
      <x:c r="N8837" s="0" t="s">
        <x:v>46</x:v>
      </x:c>
    </x:row>
    <x:row r="8838" spans="1:16">
      <x:c r="A8838" s="0" t="s">
        <x:v>35216</x:v>
      </x:c>
      <x:c r="B8838" s="0" t="s">
        <x:v>35217</x:v>
      </x:c>
      <x:c r="C8838" s="0" t="s">
        <x:v>35218</x:v>
      </x:c>
      <x:c r="E8838" s="0" t="s">
        <x:v>35219</x:v>
      </x:c>
      <x:c r="F8838" s="0" t="s">
        <x:v>45</x:v>
      </x:c>
      <x:c r="G8838" s="0" t="s">
        <x:v>19</x:v>
      </x:c>
      <x:c r="H8838" s="0" t="s">
        <x:v>20</x:v>
      </x:c>
      <x:c r="I8838" s="0" t="s">
        <x:v>21</x:v>
      </x:c>
      <x:c r="K8838" s="0">
        <x:f>hyperlink("https://icd.who.int/dev11/l-ichi/en#/http%3A%2F%2Fid.who.int%2Ficd%2Fentity%2F518661640","browser")</x:f>
      </x:c>
      <x:c r="L8838" s="0">
        <x:f>hyperlink("https://icat2.azurewebsites.net/icat/?ontology=ICD&amp;tab=ClassesTab&amp;id=http%3A%2F%2Fwho.int%2Ficd%232152_7005c14c_2656_4f4b_85a0_8e71c99be967","iCat")</x:f>
      </x:c>
      <x:c r="M8838" s="0" t="s">
        <x:v>21</x:v>
      </x:c>
      <x:c r="N8838" s="0" t="s">
        <x:v>46</x:v>
      </x:c>
    </x:row>
    <x:row r="8839" spans="1:16">
      <x:c r="A8839" s="0" t="s">
        <x:v>35220</x:v>
      </x:c>
      <x:c r="B8839" s="0" t="s">
        <x:v>35221</x:v>
      </x:c>
      <x:c r="C8839" s="0" t="s">
        <x:v>35222</x:v>
      </x:c>
      <x:c r="E8839" s="0" t="s">
        <x:v>35223</x:v>
      </x:c>
      <x:c r="F8839" s="0" t="s">
        <x:v>45</x:v>
      </x:c>
      <x:c r="G8839" s="0" t="s">
        <x:v>19</x:v>
      </x:c>
      <x:c r="H8839" s="0" t="s">
        <x:v>20</x:v>
      </x:c>
      <x:c r="I8839" s="0" t="s">
        <x:v>21</x:v>
      </x:c>
      <x:c r="K8839" s="0">
        <x:f>hyperlink("https://icd.who.int/dev11/l-ichi/en#/http%3A%2F%2Fid.who.int%2Ficd%2Fentity%2F1413578147","browser")</x:f>
      </x:c>
      <x:c r="L8839" s="0">
        <x:f>hyperlink("https://icat2.azurewebsites.net/icat/?ontology=ICD&amp;tab=ClassesTab&amp;id=http%3A%2F%2Fwho.int%2Ficd%232827_7005c14c_2656_4f4b_85a0_8e71c99be967","iCat")</x:f>
      </x:c>
      <x:c r="M8839" s="0" t="s">
        <x:v>21</x:v>
      </x:c>
      <x:c r="N8839" s="0" t="s">
        <x:v>46</x:v>
      </x:c>
    </x:row>
    <x:row r="8840" spans="1:16">
      <x:c r="A8840" s="0" t="s">
        <x:v>35224</x:v>
      </x:c>
      <x:c r="B8840" s="0" t="s">
        <x:v>35225</x:v>
      </x:c>
      <x:c r="C8840" s="0" t="s">
        <x:v>35226</x:v>
      </x:c>
      <x:c r="E8840" s="0" t="s">
        <x:v>35227</x:v>
      </x:c>
      <x:c r="F8840" s="0" t="s">
        <x:v>45</x:v>
      </x:c>
      <x:c r="G8840" s="0" t="s">
        <x:v>19</x:v>
      </x:c>
      <x:c r="H8840" s="0" t="s">
        <x:v>20</x:v>
      </x:c>
      <x:c r="I8840" s="0" t="s">
        <x:v>21</x:v>
      </x:c>
      <x:c r="K8840" s="0">
        <x:f>hyperlink("https://icd.who.int/dev11/l-ichi/en#/http%3A%2F%2Fid.who.int%2Ficd%2Fentity%2F193145986","browser")</x:f>
      </x:c>
      <x:c r="L8840" s="0">
        <x:f>hyperlink("https://icat2.azurewebsites.net/icat/?ontology=ICD&amp;tab=ClassesTab&amp;id=http%3A%2F%2Fwho.int%2Ficd%232833_7005c14c_2656_4f4b_85a0_8e71c99be967","iCat")</x:f>
      </x:c>
      <x:c r="M8840" s="0" t="s">
        <x:v>21</x:v>
      </x:c>
      <x:c r="N8840" s="0" t="s">
        <x:v>46</x:v>
      </x:c>
    </x:row>
    <x:row r="8841" spans="1:16">
      <x:c r="A8841" s="0" t="s">
        <x:v>35228</x:v>
      </x:c>
      <x:c r="B8841" s="0" t="s">
        <x:v>35229</x:v>
      </x:c>
      <x:c r="C8841" s="0" t="s">
        <x:v>35230</x:v>
      </x:c>
      <x:c r="E8841" s="0" t="s">
        <x:v>35231</x:v>
      </x:c>
      <x:c r="F8841" s="0" t="s">
        <x:v>45</x:v>
      </x:c>
      <x:c r="G8841" s="0" t="s">
        <x:v>19</x:v>
      </x:c>
      <x:c r="H8841" s="0" t="s">
        <x:v>20</x:v>
      </x:c>
      <x:c r="I8841" s="0" t="s">
        <x:v>21</x:v>
      </x:c>
      <x:c r="K8841" s="0">
        <x:f>hyperlink("https://icd.who.int/dev11/l-ichi/en#/http%3A%2F%2Fid.who.int%2Ficd%2Fentity%2F545144850","browser")</x:f>
      </x:c>
      <x:c r="L8841" s="0">
        <x:f>hyperlink("https://icat2.azurewebsites.net/icat/?ontology=ICD&amp;tab=ClassesTab&amp;id=http%3A%2F%2Fwho.int%2Ficd%232839_7005c14c_2656_4f4b_85a0_8e71c99be967","iCat")</x:f>
      </x:c>
      <x:c r="M8841" s="0" t="s">
        <x:v>21</x:v>
      </x:c>
      <x:c r="N8841" s="0" t="s">
        <x:v>46</x:v>
      </x:c>
    </x:row>
    <x:row r="8842" spans="1:16">
      <x:c r="A8842" s="0" t="s">
        <x:v>35232</x:v>
      </x:c>
      <x:c r="B8842" s="0" t="s">
        <x:v>35233</x:v>
      </x:c>
      <x:c r="C8842" s="0" t="s">
        <x:v>35234</x:v>
      </x:c>
      <x:c r="E8842" s="0" t="s">
        <x:v>35235</x:v>
      </x:c>
      <x:c r="F8842" s="0" t="s">
        <x:v>45</x:v>
      </x:c>
      <x:c r="G8842" s="0" t="s">
        <x:v>19</x:v>
      </x:c>
      <x:c r="H8842" s="0" t="s">
        <x:v>20</x:v>
      </x:c>
      <x:c r="I8842" s="0" t="s">
        <x:v>21</x:v>
      </x:c>
      <x:c r="K8842" s="0">
        <x:f>hyperlink("https://icd.who.int/dev11/l-ichi/en#/http%3A%2F%2Fid.who.int%2Ficd%2Fentity%2F1798235691","browser")</x:f>
      </x:c>
      <x:c r="L8842" s="0">
        <x:f>hyperlink("https://icat2.azurewebsites.net/icat/?ontology=ICD&amp;tab=ClassesTab&amp;id=http%3A%2F%2Fwho.int%2Ficd%232845_7005c14c_2656_4f4b_85a0_8e71c99be967","iCat")</x:f>
      </x:c>
      <x:c r="M8842" s="0" t="s">
        <x:v>21</x:v>
      </x:c>
      <x:c r="N8842" s="0" t="s">
        <x:v>46</x:v>
      </x:c>
    </x:row>
    <x:row r="8843" spans="1:16">
      <x:c r="A8843" s="0" t="s">
        <x:v>35236</x:v>
      </x:c>
      <x:c r="B8843" s="0" t="s">
        <x:v>35237</x:v>
      </x:c>
      <x:c r="C8843" s="0" t="s">
        <x:v>35238</x:v>
      </x:c>
      <x:c r="E8843" s="0" t="s">
        <x:v>35239</x:v>
      </x:c>
      <x:c r="F8843" s="0" t="s">
        <x:v>45</x:v>
      </x:c>
      <x:c r="G8843" s="0" t="s">
        <x:v>19</x:v>
      </x:c>
      <x:c r="H8843" s="0" t="s">
        <x:v>20</x:v>
      </x:c>
      <x:c r="I8843" s="0" t="s">
        <x:v>21</x:v>
      </x:c>
      <x:c r="K8843" s="0">
        <x:f>hyperlink("https://icd.who.int/dev11/l-ichi/en#/http%3A%2F%2Fid.who.int%2Ficd%2Fentity%2F887928584","browser")</x:f>
      </x:c>
      <x:c r="L8843" s="0">
        <x:f>hyperlink("https://icat2.azurewebsites.net/icat/?ontology=ICD&amp;tab=ClassesTab&amp;id=http%3A%2F%2Fwho.int%2Ficd%232851_7005c14c_2656_4f4b_85a0_8e71c99be967","iCat")</x:f>
      </x:c>
      <x:c r="M8843" s="0" t="s">
        <x:v>21</x:v>
      </x:c>
      <x:c r="N8843" s="0" t="s">
        <x:v>46</x:v>
      </x:c>
    </x:row>
    <x:row r="8844" spans="1:16">
      <x:c r="A8844" s="0" t="s">
        <x:v>35240</x:v>
      </x:c>
      <x:c r="B8844" s="0" t="s">
        <x:v>35241</x:v>
      </x:c>
      <x:c r="C8844" s="0" t="s">
        <x:v>35242</x:v>
      </x:c>
      <x:c r="E8844" s="0" t="s">
        <x:v>35243</x:v>
      </x:c>
      <x:c r="F8844" s="0" t="s">
        <x:v>45</x:v>
      </x:c>
      <x:c r="G8844" s="0" t="s">
        <x:v>19</x:v>
      </x:c>
      <x:c r="H8844" s="0" t="s">
        <x:v>20</x:v>
      </x:c>
      <x:c r="I8844" s="0" t="s">
        <x:v>21</x:v>
      </x:c>
      <x:c r="K8844" s="0">
        <x:f>hyperlink("https://icd.who.int/dev11/l-ichi/en#/http%3A%2F%2Fid.who.int%2Ficd%2Fentity%2F1375920691","browser")</x:f>
      </x:c>
      <x:c r="L8844" s="0">
        <x:f>hyperlink("https://icat2.azurewebsites.net/icat/?ontology=ICD&amp;tab=ClassesTab&amp;id=http%3A%2F%2Fwho.int%2Ficd%2314247_4869915e_217e_423d_acb3_33c0f920ef4b","iCat")</x:f>
      </x:c>
      <x:c r="M8844" s="0" t="s">
        <x:v>21</x:v>
      </x:c>
      <x:c r="N8844" s="0" t="s">
        <x:v>46</x:v>
      </x:c>
    </x:row>
    <x:row r="8845" spans="1:16">
      <x:c r="A8845" s="0" t="s">
        <x:v>35244</x:v>
      </x:c>
      <x:c r="B8845" s="0" t="s">
        <x:v>35245</x:v>
      </x:c>
      <x:c r="C8845" s="0" t="s">
        <x:v>35246</x:v>
      </x:c>
      <x:c r="E8845" s="0" t="s">
        <x:v>35247</x:v>
      </x:c>
      <x:c r="F8845" s="0" t="s">
        <x:v>45</x:v>
      </x:c>
      <x:c r="G8845" s="0" t="s">
        <x:v>19</x:v>
      </x:c>
      <x:c r="H8845" s="0" t="s">
        <x:v>20</x:v>
      </x:c>
      <x:c r="I8845" s="0" t="s">
        <x:v>21</x:v>
      </x:c>
      <x:c r="K8845" s="0">
        <x:f>hyperlink("https://icd.who.int/dev11/l-ichi/en#/http%3A%2F%2Fid.who.int%2Ficd%2Fentity%2F1158405817","browser")</x:f>
      </x:c>
      <x:c r="L8845" s="0">
        <x:f>hyperlink("https://icat2.azurewebsites.net/icat/?ontology=ICD&amp;tab=ClassesTab&amp;id=http%3A%2F%2Fwho.int%2Ficd%232244_7005c14c_2656_4f4b_85a0_8e71c99be967","iCat")</x:f>
      </x:c>
      <x:c r="M8845" s="0" t="s">
        <x:v>21</x:v>
      </x:c>
      <x:c r="N8845" s="0" t="s">
        <x:v>46</x:v>
      </x:c>
    </x:row>
    <x:row r="8846" spans="1:16">
      <x:c r="A8846" s="0" t="s">
        <x:v>35248</x:v>
      </x:c>
      <x:c r="B8846" s="0" t="s">
        <x:v>35249</x:v>
      </x:c>
      <x:c r="C8846" s="0" t="s">
        <x:v>35250</x:v>
      </x:c>
      <x:c r="E8846" s="0" t="s">
        <x:v>35251</x:v>
      </x:c>
      <x:c r="F8846" s="0" t="s">
        <x:v>45</x:v>
      </x:c>
      <x:c r="G8846" s="0" t="s">
        <x:v>19</x:v>
      </x:c>
      <x:c r="H8846" s="0" t="s">
        <x:v>20</x:v>
      </x:c>
      <x:c r="I8846" s="0" t="s">
        <x:v>21</x:v>
      </x:c>
      <x:c r="K8846" s="0">
        <x:f>hyperlink("https://icd.who.int/dev11/l-ichi/en#/http%3A%2F%2Fid.who.int%2Ficd%2Fentity%2F449417114","browser")</x:f>
      </x:c>
      <x:c r="L8846" s="0">
        <x:f>hyperlink("https://icat2.azurewebsites.net/icat/?ontology=ICD&amp;tab=ClassesTab&amp;id=http%3A%2F%2Fwho.int%2Ficd%232250_7005c14c_2656_4f4b_85a0_8e71c99be967","iCat")</x:f>
      </x:c>
      <x:c r="M8846" s="0" t="s">
        <x:v>21</x:v>
      </x:c>
      <x:c r="N8846" s="0" t="s">
        <x:v>46</x:v>
      </x:c>
    </x:row>
    <x:row r="8847" spans="1:16">
      <x:c r="A8847" s="0" t="s">
        <x:v>35252</x:v>
      </x:c>
      <x:c r="B8847" s="0" t="s">
        <x:v>35253</x:v>
      </x:c>
      <x:c r="C8847" s="0" t="s">
        <x:v>35254</x:v>
      </x:c>
      <x:c r="E8847" s="0" t="s">
        <x:v>35255</x:v>
      </x:c>
      <x:c r="F8847" s="0" t="s">
        <x:v>45</x:v>
      </x:c>
      <x:c r="G8847" s="0" t="s">
        <x:v>19</x:v>
      </x:c>
      <x:c r="H8847" s="0" t="s">
        <x:v>20</x:v>
      </x:c>
      <x:c r="I8847" s="0" t="s">
        <x:v>21</x:v>
      </x:c>
      <x:c r="K8847" s="0">
        <x:f>hyperlink("https://icd.who.int/dev11/l-ichi/en#/http%3A%2F%2Fid.who.int%2Ficd%2Fentity%2F1253201451","browser")</x:f>
      </x:c>
      <x:c r="L8847" s="0">
        <x:f>hyperlink("https://icat2.azurewebsites.net/icat/?ontology=ICD&amp;tab=ClassesTab&amp;id=http%3A%2F%2Fwho.int%2Ficd%232256_7005c14c_2656_4f4b_85a0_8e71c99be967","iCat")</x:f>
      </x:c>
      <x:c r="M8847" s="0" t="s">
        <x:v>21</x:v>
      </x:c>
      <x:c r="N8847" s="0" t="s">
        <x:v>46</x:v>
      </x:c>
    </x:row>
    <x:row r="8848" spans="1:16">
      <x:c r="A8848" s="0" t="s">
        <x:v>35256</x:v>
      </x:c>
      <x:c r="B8848" s="0" t="s">
        <x:v>35257</x:v>
      </x:c>
      <x:c r="C8848" s="0" t="s">
        <x:v>35258</x:v>
      </x:c>
      <x:c r="E8848" s="0" t="s">
        <x:v>35259</x:v>
      </x:c>
      <x:c r="F8848" s="0" t="s">
        <x:v>45</x:v>
      </x:c>
      <x:c r="G8848" s="0" t="s">
        <x:v>19</x:v>
      </x:c>
      <x:c r="H8848" s="0" t="s">
        <x:v>20</x:v>
      </x:c>
      <x:c r="I8848" s="0" t="s">
        <x:v>21</x:v>
      </x:c>
      <x:c r="K8848" s="0">
        <x:f>hyperlink("https://icd.who.int/dev11/l-ichi/en#/http%3A%2F%2Fid.who.int%2Ficd%2Fentity%2F1057280602","browser")</x:f>
      </x:c>
      <x:c r="L8848" s="0">
        <x:f>hyperlink("https://icat2.azurewebsites.net/icat/?ontology=ICD&amp;tab=ClassesTab&amp;id=http%3A%2F%2Fwho.int%2Ficd%232262_7005c14c_2656_4f4b_85a0_8e71c99be967","iCat")</x:f>
      </x:c>
      <x:c r="M8848" s="0" t="s">
        <x:v>21</x:v>
      </x:c>
      <x:c r="N8848" s="0" t="s">
        <x:v>46</x:v>
      </x:c>
    </x:row>
    <x:row r="8849" spans="1:16">
      <x:c r="A8849" s="0" t="s">
        <x:v>35260</x:v>
      </x:c>
      <x:c r="B8849" s="0" t="s">
        <x:v>35261</x:v>
      </x:c>
      <x:c r="C8849" s="0" t="s">
        <x:v>35262</x:v>
      </x:c>
      <x:c r="E8849" s="0" t="s">
        <x:v>35263</x:v>
      </x:c>
      <x:c r="F8849" s="0" t="s">
        <x:v>45</x:v>
      </x:c>
      <x:c r="G8849" s="0" t="s">
        <x:v>19</x:v>
      </x:c>
      <x:c r="H8849" s="0" t="s">
        <x:v>20</x:v>
      </x:c>
      <x:c r="I8849" s="0" t="s">
        <x:v>21</x:v>
      </x:c>
      <x:c r="K8849" s="0">
        <x:f>hyperlink("https://icd.who.int/dev11/l-ichi/en#/http%3A%2F%2Fid.who.int%2Ficd%2Fentity%2F351911626","browser")</x:f>
      </x:c>
      <x:c r="L8849" s="0">
        <x:f>hyperlink("https://icat2.azurewebsites.net/icat/?ontology=ICD&amp;tab=ClassesTab&amp;id=http%3A%2F%2Fwho.int%2Ficd%232268_7005c14c_2656_4f4b_85a0_8e71c99be967","iCat")</x:f>
      </x:c>
      <x:c r="M8849" s="0" t="s">
        <x:v>21</x:v>
      </x:c>
      <x:c r="N8849" s="0" t="s">
        <x:v>46</x:v>
      </x:c>
    </x:row>
    <x:row r="8850" spans="1:16">
      <x:c r="A8850" s="0" t="s">
        <x:v>35264</x:v>
      </x:c>
      <x:c r="B8850" s="0" t="s">
        <x:v>35265</x:v>
      </x:c>
      <x:c r="C8850" s="0" t="s">
        <x:v>35266</x:v>
      </x:c>
      <x:c r="E8850" s="0" t="s">
        <x:v>35267</x:v>
      </x:c>
      <x:c r="F8850" s="0" t="s">
        <x:v>45</x:v>
      </x:c>
      <x:c r="G8850" s="0" t="s">
        <x:v>19</x:v>
      </x:c>
      <x:c r="H8850" s="0" t="s">
        <x:v>20</x:v>
      </x:c>
      <x:c r="I8850" s="0" t="s">
        <x:v>21</x:v>
      </x:c>
      <x:c r="K8850" s="0">
        <x:f>hyperlink("https://icd.who.int/dev11/l-ichi/en#/http%3A%2F%2Fid.who.int%2Ficd%2Fentity%2F96116414","browser")</x:f>
      </x:c>
      <x:c r="L8850" s="0">
        <x:f>hyperlink("https://icat2.azurewebsites.net/icat/?ontology=ICD&amp;tab=ClassesTab&amp;id=http%3A%2F%2Fwho.int%2Ficd%232274_7005c14c_2656_4f4b_85a0_8e71c99be967","iCat")</x:f>
      </x:c>
      <x:c r="M8850" s="0" t="s">
        <x:v>21</x:v>
      </x:c>
      <x:c r="N8850" s="0" t="s">
        <x:v>46</x:v>
      </x:c>
    </x:row>
    <x:row r="8851" spans="1:16">
      <x:c r="A8851" s="0" t="s">
        <x:v>35268</x:v>
      </x:c>
      <x:c r="B8851" s="0" t="s">
        <x:v>35269</x:v>
      </x:c>
      <x:c r="C8851" s="0" t="s">
        <x:v>35270</x:v>
      </x:c>
      <x:c r="E8851" s="0" t="s">
        <x:v>35271</x:v>
      </x:c>
      <x:c r="F8851" s="0" t="s">
        <x:v>45</x:v>
      </x:c>
      <x:c r="G8851" s="0" t="s">
        <x:v>19</x:v>
      </x:c>
      <x:c r="H8851" s="0" t="s">
        <x:v>20</x:v>
      </x:c>
      <x:c r="I8851" s="0" t="s">
        <x:v>21</x:v>
      </x:c>
      <x:c r="K8851" s="0">
        <x:f>hyperlink("https://icd.who.int/dev11/l-ichi/en#/http%3A%2F%2Fid.who.int%2Ficd%2Fentity%2F525996054","browser")</x:f>
      </x:c>
      <x:c r="L8851" s="0">
        <x:f>hyperlink("https://icat2.azurewebsites.net/icat/?ontology=ICD&amp;tab=ClassesTab&amp;id=http%3A%2F%2Fwho.int%2Ficd%232280_7005c14c_2656_4f4b_85a0_8e71c99be967","iCat")</x:f>
      </x:c>
      <x:c r="M8851" s="0" t="s">
        <x:v>21</x:v>
      </x:c>
      <x:c r="N8851" s="0" t="s">
        <x:v>46</x:v>
      </x:c>
    </x:row>
    <x:row r="8852" spans="1:16">
      <x:c r="A8852" s="0" t="s">
        <x:v>35272</x:v>
      </x:c>
      <x:c r="B8852" s="0" t="s">
        <x:v>35273</x:v>
      </x:c>
      <x:c r="C8852" s="0" t="s">
        <x:v>35274</x:v>
      </x:c>
      <x:c r="E8852" s="0" t="s">
        <x:v>35275</x:v>
      </x:c>
      <x:c r="F8852" s="0" t="s">
        <x:v>45</x:v>
      </x:c>
      <x:c r="G8852" s="0" t="s">
        <x:v>19</x:v>
      </x:c>
      <x:c r="H8852" s="0" t="s">
        <x:v>20</x:v>
      </x:c>
      <x:c r="I8852" s="0" t="s">
        <x:v>21</x:v>
      </x:c>
      <x:c r="K8852" s="0">
        <x:f>hyperlink("https://icd.who.int/dev11/l-ichi/en#/http%3A%2F%2Fid.who.int%2Ficd%2Fentity%2F1327614373","browser")</x:f>
      </x:c>
      <x:c r="L8852" s="0">
        <x:f>hyperlink("https://icat2.azurewebsites.net/icat/?ontology=ICD&amp;tab=ClassesTab&amp;id=http%3A%2F%2Fwho.int%2Ficd%232286_7005c14c_2656_4f4b_85a0_8e71c99be967","iCat")</x:f>
      </x:c>
      <x:c r="M8852" s="0" t="s">
        <x:v>21</x:v>
      </x:c>
      <x:c r="N8852" s="0" t="s">
        <x:v>46</x:v>
      </x:c>
    </x:row>
    <x:row r="8853" spans="1:16">
      <x:c r="A8853" s="0" t="s">
        <x:v>35276</x:v>
      </x:c>
      <x:c r="B8853" s="0" t="s">
        <x:v>35277</x:v>
      </x:c>
      <x:c r="C8853" s="0" t="s">
        <x:v>35278</x:v>
      </x:c>
      <x:c r="E8853" s="0" t="s">
        <x:v>35279</x:v>
      </x:c>
      <x:c r="F8853" s="0" t="s">
        <x:v>45</x:v>
      </x:c>
      <x:c r="G8853" s="0" t="s">
        <x:v>19</x:v>
      </x:c>
      <x:c r="H8853" s="0" t="s">
        <x:v>20</x:v>
      </x:c>
      <x:c r="I8853" s="0" t="s">
        <x:v>21</x:v>
      </x:c>
      <x:c r="K8853" s="0">
        <x:f>hyperlink("https://icd.who.int/dev11/l-ichi/en#/http%3A%2F%2Fid.who.int%2Ficd%2Fentity%2F283351176","browser")</x:f>
      </x:c>
      <x:c r="L8853" s="0">
        <x:f>hyperlink("https://icat2.azurewebsites.net/icat/?ontology=ICD&amp;tab=ClassesTab&amp;id=http%3A%2F%2Fwho.int%2Ficd%232292_7005c14c_2656_4f4b_85a0_8e71c99be967","iCat")</x:f>
      </x:c>
      <x:c r="M8853" s="0" t="s">
        <x:v>21</x:v>
      </x:c>
      <x:c r="N8853" s="0" t="s">
        <x:v>46</x:v>
      </x:c>
    </x:row>
    <x:row r="8854" spans="1:16">
      <x:c r="A8854" s="0" t="s">
        <x:v>35280</x:v>
      </x:c>
      <x:c r="B8854" s="0" t="s">
        <x:v>35281</x:v>
      </x:c>
      <x:c r="C8854" s="0" t="s">
        <x:v>35282</x:v>
      </x:c>
      <x:c r="E8854" s="0" t="s">
        <x:v>35283</x:v>
      </x:c>
      <x:c r="F8854" s="0" t="s">
        <x:v>45</x:v>
      </x:c>
      <x:c r="G8854" s="0" t="s">
        <x:v>19</x:v>
      </x:c>
      <x:c r="H8854" s="0" t="s">
        <x:v>20</x:v>
      </x:c>
      <x:c r="I8854" s="0" t="s">
        <x:v>21</x:v>
      </x:c>
      <x:c r="K8854" s="0">
        <x:f>hyperlink("https://icd.who.int/dev11/l-ichi/en#/http%3A%2F%2Fid.who.int%2Ficd%2Fentity%2F991884312","browser")</x:f>
      </x:c>
      <x:c r="L8854" s="0">
        <x:f>hyperlink("https://icat2.azurewebsites.net/icat/?ontology=ICD&amp;tab=ClassesTab&amp;id=http%3A%2F%2Fwho.int%2Ficd%232298_7005c14c_2656_4f4b_85a0_8e71c99be967","iCat")</x:f>
      </x:c>
      <x:c r="M8854" s="0" t="s">
        <x:v>21</x:v>
      </x:c>
      <x:c r="N8854" s="0" t="s">
        <x:v>46</x:v>
      </x:c>
    </x:row>
    <x:row r="8855" spans="1:16">
      <x:c r="A8855" s="0" t="s">
        <x:v>35284</x:v>
      </x:c>
      <x:c r="B8855" s="0" t="s">
        <x:v>35285</x:v>
      </x:c>
      <x:c r="C8855" s="0" t="s">
        <x:v>35286</x:v>
      </x:c>
      <x:c r="E8855" s="0" t="s">
        <x:v>35287</x:v>
      </x:c>
      <x:c r="F8855" s="0" t="s">
        <x:v>45</x:v>
      </x:c>
      <x:c r="G8855" s="0" t="s">
        <x:v>19</x:v>
      </x:c>
      <x:c r="H8855" s="0" t="s">
        <x:v>20</x:v>
      </x:c>
      <x:c r="I8855" s="0" t="s">
        <x:v>21</x:v>
      </x:c>
      <x:c r="K8855" s="0">
        <x:f>hyperlink("https://icd.who.int/dev11/l-ichi/en#/http%3A%2F%2Fid.who.int%2Ficd%2Fentity%2F1089686329","browser")</x:f>
      </x:c>
      <x:c r="L8855" s="0">
        <x:f>hyperlink("https://icat2.azurewebsites.net/icat/?ontology=ICD&amp;tab=ClassesTab&amp;id=http%3A%2F%2Fwho.int%2Ficd%232304_7005c14c_2656_4f4b_85a0_8e71c99be967","iCat")</x:f>
      </x:c>
      <x:c r="M8855" s="0" t="s">
        <x:v>21</x:v>
      </x:c>
      <x:c r="N8855" s="0" t="s">
        <x:v>46</x:v>
      </x:c>
    </x:row>
    <x:row r="8856" spans="1:16">
      <x:c r="A8856" s="0" t="s">
        <x:v>35288</x:v>
      </x:c>
      <x:c r="B8856" s="0" t="s">
        <x:v>35289</x:v>
      </x:c>
      <x:c r="C8856" s="0" t="s">
        <x:v>35290</x:v>
      </x:c>
      <x:c r="E8856" s="0" t="s">
        <x:v>35291</x:v>
      </x:c>
      <x:c r="F8856" s="0" t="s">
        <x:v>45</x:v>
      </x:c>
      <x:c r="G8856" s="0" t="s">
        <x:v>19</x:v>
      </x:c>
      <x:c r="H8856" s="0" t="s">
        <x:v>20</x:v>
      </x:c>
      <x:c r="I8856" s="0" t="s">
        <x:v>21</x:v>
      </x:c>
      <x:c r="K8856" s="0">
        <x:f>hyperlink("https://icd.who.int/dev11/l-ichi/en#/http%3A%2F%2Fid.who.int%2Ficd%2Fentity%2F523311642","browser")</x:f>
      </x:c>
      <x:c r="L8856" s="0">
        <x:f>hyperlink("https://icat2.azurewebsites.net/icat/?ontology=ICD&amp;tab=ClassesTab&amp;id=http%3A%2F%2Fwho.int%2Ficd%232310_7005c14c_2656_4f4b_85a0_8e71c99be967","iCat")</x:f>
      </x:c>
      <x:c r="M8856" s="0" t="s">
        <x:v>21</x:v>
      </x:c>
      <x:c r="N8856" s="0" t="s">
        <x:v>46</x:v>
      </x:c>
    </x:row>
    <x:row r="8857" spans="1:16">
      <x:c r="A8857" s="0" t="s">
        <x:v>35292</x:v>
      </x:c>
      <x:c r="B8857" s="0" t="s">
        <x:v>35293</x:v>
      </x:c>
      <x:c r="C8857" s="0" t="s">
        <x:v>35294</x:v>
      </x:c>
      <x:c r="E8857" s="0" t="s">
        <x:v>35295</x:v>
      </x:c>
      <x:c r="F8857" s="0" t="s">
        <x:v>45</x:v>
      </x:c>
      <x:c r="G8857" s="0" t="s">
        <x:v>19</x:v>
      </x:c>
      <x:c r="H8857" s="0" t="s">
        <x:v>20</x:v>
      </x:c>
      <x:c r="I8857" s="0" t="s">
        <x:v>21</x:v>
      </x:c>
      <x:c r="K8857" s="0">
        <x:f>hyperlink("https://icd.who.int/dev11/l-ichi/en#/http%3A%2F%2Fid.who.int%2Ficd%2Fentity%2F1330299819","browser")</x:f>
      </x:c>
      <x:c r="L8857" s="0">
        <x:f>hyperlink("https://icat2.azurewebsites.net/icat/?ontology=ICD&amp;tab=ClassesTab&amp;id=http%3A%2F%2Fwho.int%2Ficd%232316_7005c14c_2656_4f4b_85a0_8e71c99be967","iCat")</x:f>
      </x:c>
      <x:c r="M8857" s="0" t="s">
        <x:v>21</x:v>
      </x:c>
      <x:c r="N8857" s="0" t="s">
        <x:v>46</x:v>
      </x:c>
    </x:row>
    <x:row r="8858" spans="1:16">
      <x:c r="A8858" s="0" t="s">
        <x:v>35296</x:v>
      </x:c>
      <x:c r="B8858" s="0" t="s">
        <x:v>35297</x:v>
      </x:c>
      <x:c r="C8858" s="0" t="s">
        <x:v>35298</x:v>
      </x:c>
      <x:c r="E8858" s="0" t="s">
        <x:v>35299</x:v>
      </x:c>
      <x:c r="F8858" s="0" t="s">
        <x:v>45</x:v>
      </x:c>
      <x:c r="G8858" s="0" t="s">
        <x:v>19</x:v>
      </x:c>
      <x:c r="H8858" s="0" t="s">
        <x:v>20</x:v>
      </x:c>
      <x:c r="I8858" s="0" t="s">
        <x:v>21</x:v>
      </x:c>
      <x:c r="K8858" s="0">
        <x:f>hyperlink("https://icd.who.int/dev11/l-ichi/en#/http%3A%2F%2Fid.who.int%2Ficd%2Fentity%2F989611994","browser")</x:f>
      </x:c>
      <x:c r="L8858" s="0">
        <x:f>hyperlink("https://icat2.azurewebsites.net/icat/?ontology=ICD&amp;tab=ClassesTab&amp;id=http%3A%2F%2Fwho.int%2Ficd%232322_7005c14c_2656_4f4b_85a0_8e71c99be967","iCat")</x:f>
      </x:c>
      <x:c r="M8858" s="0" t="s">
        <x:v>21</x:v>
      </x:c>
      <x:c r="N8858" s="0" t="s">
        <x:v>46</x:v>
      </x:c>
    </x:row>
    <x:row r="8859" spans="1:16">
      <x:c r="A8859" s="0" t="s">
        <x:v>35300</x:v>
      </x:c>
      <x:c r="B8859" s="0" t="s">
        <x:v>35301</x:v>
      </x:c>
      <x:c r="C8859" s="0" t="s">
        <x:v>35302</x:v>
      </x:c>
      <x:c r="E8859" s="0" t="s">
        <x:v>35303</x:v>
      </x:c>
      <x:c r="F8859" s="0" t="s">
        <x:v>45</x:v>
      </x:c>
      <x:c r="G8859" s="0" t="s">
        <x:v>19</x:v>
      </x:c>
      <x:c r="H8859" s="0" t="s">
        <x:v>20</x:v>
      </x:c>
      <x:c r="I8859" s="0" t="s">
        <x:v>21</x:v>
      </x:c>
      <x:c r="K8859" s="0">
        <x:f>hyperlink("https://icd.who.int/dev11/l-ichi/en#/http%3A%2F%2Fid.who.int%2Ficd%2Fentity%2F285289290","browser")</x:f>
      </x:c>
      <x:c r="L8859" s="0">
        <x:f>hyperlink("https://icat2.azurewebsites.net/icat/?ontology=ICD&amp;tab=ClassesTab&amp;id=http%3A%2F%2Fwho.int%2Ficd%232328_7005c14c_2656_4f4b_85a0_8e71c99be967","iCat")</x:f>
      </x:c>
      <x:c r="M8859" s="0" t="s">
        <x:v>21</x:v>
      </x:c>
      <x:c r="N8859" s="0" t="s">
        <x:v>46</x:v>
      </x:c>
    </x:row>
    <x:row r="8860" spans="1:16">
      <x:c r="A8860" s="0" t="s">
        <x:v>35304</x:v>
      </x:c>
      <x:c r="B8860" s="0" t="s">
        <x:v>35305</x:v>
      </x:c>
      <x:c r="C8860" s="0" t="s">
        <x:v>35306</x:v>
      </x:c>
      <x:c r="E8860" s="0" t="s">
        <x:v>35307</x:v>
      </x:c>
      <x:c r="F8860" s="0" t="s">
        <x:v>45</x:v>
      </x:c>
      <x:c r="G8860" s="0" t="s">
        <x:v>19</x:v>
      </x:c>
      <x:c r="H8860" s="0" t="s">
        <x:v>20</x:v>
      </x:c>
      <x:c r="I8860" s="0" t="s">
        <x:v>21</x:v>
      </x:c>
      <x:c r="K8860" s="0">
        <x:f>hyperlink("https://icd.who.int/dev11/l-ichi/en#/http%3A%2F%2Fid.who.int%2Ficd%2Fentity%2F4328254","browser")</x:f>
      </x:c>
      <x:c r="L8860" s="0">
        <x:f>hyperlink("https://icat2.azurewebsites.net/icat/?ontology=ICD&amp;tab=ClassesTab&amp;id=http%3A%2F%2Fwho.int%2Ficd%232334_7005c14c_2656_4f4b_85a0_8e71c99be967","iCat")</x:f>
      </x:c>
      <x:c r="M8860" s="0" t="s">
        <x:v>21</x:v>
      </x:c>
      <x:c r="N8860" s="0" t="s">
        <x:v>46</x:v>
      </x:c>
    </x:row>
    <x:row r="8861" spans="1:16">
      <x:c r="A8861" s="0" t="s">
        <x:v>35308</x:v>
      </x:c>
      <x:c r="B8861" s="0" t="s">
        <x:v>35309</x:v>
      </x:c>
      <x:c r="C8861" s="0" t="s">
        <x:v>35310</x:v>
      </x:c>
      <x:c r="E8861" s="0" t="s">
        <x:v>35311</x:v>
      </x:c>
      <x:c r="F8861" s="0" t="s">
        <x:v>45</x:v>
      </x:c>
      <x:c r="G8861" s="0" t="s">
        <x:v>19</x:v>
      </x:c>
      <x:c r="H8861" s="0" t="s">
        <x:v>20</x:v>
      </x:c>
      <x:c r="I8861" s="0" t="s">
        <x:v>21</x:v>
      </x:c>
      <x:c r="K8861" s="0">
        <x:f>hyperlink("https://icd.who.int/dev11/l-ichi/en#/http%3A%2F%2Fid.who.int%2Ficd%2Fentity%2F93576272","browser")</x:f>
      </x:c>
      <x:c r="L8861" s="0">
        <x:f>hyperlink("https://icat2.azurewebsites.net/icat/?ontology=ICD&amp;tab=ClassesTab&amp;id=http%3A%2F%2Fwho.int%2Ficd%232340_7005c14c_2656_4f4b_85a0_8e71c99be967","iCat")</x:f>
      </x:c>
      <x:c r="M8861" s="0" t="s">
        <x:v>21</x:v>
      </x:c>
      <x:c r="N8861" s="0" t="s">
        <x:v>46</x:v>
      </x:c>
    </x:row>
    <x:row r="8862" spans="1:16">
      <x:c r="A8862" s="0" t="s">
        <x:v>35312</x:v>
      </x:c>
      <x:c r="B8862" s="0" t="s">
        <x:v>35313</x:v>
      </x:c>
      <x:c r="C8862" s="0" t="s">
        <x:v>35314</x:v>
      </x:c>
      <x:c r="E8862" s="0" t="s">
        <x:v>35315</x:v>
      </x:c>
      <x:c r="F8862" s="0" t="s">
        <x:v>45</x:v>
      </x:c>
      <x:c r="G8862" s="0" t="s">
        <x:v>19</x:v>
      </x:c>
      <x:c r="H8862" s="0" t="s">
        <x:v>20</x:v>
      </x:c>
      <x:c r="I8862" s="0" t="s">
        <x:v>21</x:v>
      </x:c>
      <x:c r="K8862" s="0">
        <x:f>hyperlink("https://icd.who.int/dev11/l-ichi/en#/http%3A%2F%2Fid.who.int%2Ficd%2Fentity%2F1441269217","browser")</x:f>
      </x:c>
      <x:c r="L8862" s="0">
        <x:f>hyperlink("https://icat2.azurewebsites.net/icat/?ontology=ICD&amp;tab=ClassesTab&amp;id=http%3A%2F%2Fwho.int%2Ficd%232346_7005c14c_2656_4f4b_85a0_8e71c99be967","iCat")</x:f>
      </x:c>
      <x:c r="M8862" s="0" t="s">
        <x:v>21</x:v>
      </x:c>
      <x:c r="N8862" s="0" t="s">
        <x:v>46</x:v>
      </x:c>
    </x:row>
    <x:row r="8863" spans="1:16">
      <x:c r="A8863" s="0" t="s">
        <x:v>35316</x:v>
      </x:c>
      <x:c r="B8863" s="0" t="s">
        <x:v>35317</x:v>
      </x:c>
      <x:c r="C8863" s="0" t="s">
        <x:v>35318</x:v>
      </x:c>
      <x:c r="E8863" s="0" t="s">
        <x:v>35319</x:v>
      </x:c>
      <x:c r="F8863" s="0" t="s">
        <x:v>45</x:v>
      </x:c>
      <x:c r="G8863" s="0" t="s">
        <x:v>19</x:v>
      </x:c>
      <x:c r="H8863" s="0" t="s">
        <x:v>20</x:v>
      </x:c>
      <x:c r="I8863" s="0" t="s">
        <x:v>21</x:v>
      </x:c>
      <x:c r="K8863" s="0">
        <x:f>hyperlink("https://icd.who.int/dev11/l-ichi/en#/http%3A%2F%2Fid.who.int%2Ficd%2Fentity%2F170546370","browser")</x:f>
      </x:c>
      <x:c r="L8863" s="0">
        <x:f>hyperlink("https://icat2.azurewebsites.net/icat/?ontology=ICD&amp;tab=ClassesTab&amp;id=http%3A%2F%2Fwho.int%2Ficd%232352_7005c14c_2656_4f4b_85a0_8e71c99be967","iCat")</x:f>
      </x:c>
      <x:c r="M8863" s="0" t="s">
        <x:v>21</x:v>
      </x:c>
      <x:c r="N8863" s="0" t="s">
        <x:v>46</x:v>
      </x:c>
    </x:row>
    <x:row r="8864" spans="1:16">
      <x:c r="A8864" s="0" t="s">
        <x:v>35320</x:v>
      </x:c>
      <x:c r="B8864" s="0" t="s">
        <x:v>35321</x:v>
      </x:c>
      <x:c r="C8864" s="0" t="s">
        <x:v>35322</x:v>
      </x:c>
      <x:c r="E8864" s="0" t="s">
        <x:v>35323</x:v>
      </x:c>
      <x:c r="F8864" s="0" t="s">
        <x:v>45</x:v>
      </x:c>
      <x:c r="G8864" s="0" t="s">
        <x:v>19</x:v>
      </x:c>
      <x:c r="H8864" s="0" t="s">
        <x:v>20</x:v>
      </x:c>
      <x:c r="I8864" s="0" t="s">
        <x:v>21</x:v>
      </x:c>
      <x:c r="K8864" s="0">
        <x:f>hyperlink("https://icd.who.int/dev11/l-ichi/en#/http%3A%2F%2Fid.who.int%2Ficd%2Fentity%2F567752786","browser")</x:f>
      </x:c>
      <x:c r="L8864" s="0">
        <x:f>hyperlink("https://icat2.azurewebsites.net/icat/?ontology=ICD&amp;tab=ClassesTab&amp;id=http%3A%2F%2Fwho.int%2Ficd%232358_7005c14c_2656_4f4b_85a0_8e71c99be967","iCat")</x:f>
      </x:c>
      <x:c r="M8864" s="0" t="s">
        <x:v>21</x:v>
      </x:c>
      <x:c r="N8864" s="0" t="s">
        <x:v>46</x:v>
      </x:c>
    </x:row>
    <x:row r="8865" spans="1:16">
      <x:c r="A8865" s="0" t="s">
        <x:v>35324</x:v>
      </x:c>
      <x:c r="B8865" s="0" t="s">
        <x:v>35325</x:v>
      </x:c>
      <x:c r="C8865" s="0" t="s">
        <x:v>35326</x:v>
      </x:c>
      <x:c r="E8865" s="0" t="s">
        <x:v>35327</x:v>
      </x:c>
      <x:c r="F8865" s="0" t="s">
        <x:v>45</x:v>
      </x:c>
      <x:c r="G8865" s="0" t="s">
        <x:v>19</x:v>
      </x:c>
      <x:c r="H8865" s="0" t="s">
        <x:v>20</x:v>
      </x:c>
      <x:c r="I8865" s="0" t="s">
        <x:v>21</x:v>
      </x:c>
      <x:c r="K8865" s="0">
        <x:f>hyperlink("https://icd.who.int/dev11/l-ichi/en#/http%3A%2F%2Fid.who.int%2Ficd%2Fentity%2F450940276","browser")</x:f>
      </x:c>
      <x:c r="L8865" s="0">
        <x:f>hyperlink("https://icat2.azurewebsites.net/icat/?ontology=ICD&amp;tab=ClassesTab&amp;id=http%3A%2F%2Fwho.int%2Ficd%232364_7005c14c_2656_4f4b_85a0_8e71c99be967","iCat")</x:f>
      </x:c>
      <x:c r="M8865" s="0" t="s">
        <x:v>21</x:v>
      </x:c>
      <x:c r="N8865" s="0" t="s">
        <x:v>46</x:v>
      </x:c>
    </x:row>
    <x:row r="8866" spans="1:16">
      <x:c r="A8866" s="0" t="s">
        <x:v>35328</x:v>
      </x:c>
      <x:c r="B8866" s="0" t="s">
        <x:v>35329</x:v>
      </x:c>
      <x:c r="C8866" s="0" t="s">
        <x:v>35330</x:v>
      </x:c>
      <x:c r="E8866" s="0" t="s">
        <x:v>35331</x:v>
      </x:c>
      <x:c r="F8866" s="0" t="s">
        <x:v>45</x:v>
      </x:c>
      <x:c r="G8866" s="0" t="s">
        <x:v>19</x:v>
      </x:c>
      <x:c r="H8866" s="0" t="s">
        <x:v>20</x:v>
      </x:c>
      <x:c r="I8866" s="0" t="s">
        <x:v>21</x:v>
      </x:c>
      <x:c r="K8866" s="0">
        <x:f>hyperlink("https://icd.who.int/dev11/l-ichi/en#/http%3A%2F%2Fid.who.int%2Ficd%2Fentity%2F1159896151","browser")</x:f>
      </x:c>
      <x:c r="L8866" s="0">
        <x:f>hyperlink("https://icat2.azurewebsites.net/icat/?ontology=ICD&amp;tab=ClassesTab&amp;id=http%3A%2F%2Fwho.int%2Ficd%232370_7005c14c_2656_4f4b_85a0_8e71c99be967","iCat")</x:f>
      </x:c>
      <x:c r="M8866" s="0" t="s">
        <x:v>21</x:v>
      </x:c>
      <x:c r="N8866" s="0" t="s">
        <x:v>46</x:v>
      </x:c>
    </x:row>
    <x:row r="8867" spans="1:16">
      <x:c r="A8867" s="0" t="s">
        <x:v>35332</x:v>
      </x:c>
      <x:c r="B8867" s="0" t="s">
        <x:v>35333</x:v>
      </x:c>
      <x:c r="C8867" s="0" t="s">
        <x:v>35334</x:v>
      </x:c>
      <x:c r="E8867" s="0" t="s">
        <x:v>35335</x:v>
      </x:c>
      <x:c r="F8867" s="0" t="s">
        <x:v>45</x:v>
      </x:c>
      <x:c r="G8867" s="0" t="s">
        <x:v>19</x:v>
      </x:c>
      <x:c r="H8867" s="0" t="s">
        <x:v>20</x:v>
      </x:c>
      <x:c r="I8867" s="0" t="s">
        <x:v>21</x:v>
      </x:c>
      <x:c r="K8867" s="0">
        <x:f>hyperlink("https://icd.who.int/dev11/l-ichi/en#/http%3A%2F%2Fid.who.int%2Ficd%2Fentity%2F865319569","browser")</x:f>
      </x:c>
      <x:c r="L8867" s="0">
        <x:f>hyperlink("https://icat2.azurewebsites.net/icat/?ontology=ICD&amp;tab=ClassesTab&amp;id=http%3A%2F%2Fwho.int%2Ficd%232484_7005c14c_2656_4f4b_85a0_8e71c99be967","iCat")</x:f>
      </x:c>
      <x:c r="M8867" s="0" t="s">
        <x:v>21</x:v>
      </x:c>
      <x:c r="N8867" s="0" t="s">
        <x:v>46</x:v>
      </x:c>
    </x:row>
    <x:row r="8868" spans="1:16">
      <x:c r="A8868" s="0" t="s">
        <x:v>35336</x:v>
      </x:c>
      <x:c r="B8868" s="0" t="s">
        <x:v>35337</x:v>
      </x:c>
      <x:c r="C8868" s="0" t="s">
        <x:v>35338</x:v>
      </x:c>
      <x:c r="E8868" s="0" t="s">
        <x:v>35339</x:v>
      </x:c>
      <x:c r="F8868" s="0" t="s">
        <x:v>45</x:v>
      </x:c>
      <x:c r="G8868" s="0" t="s">
        <x:v>19</x:v>
      </x:c>
      <x:c r="H8868" s="0" t="s">
        <x:v>20</x:v>
      </x:c>
      <x:c r="I8868" s="0" t="s">
        <x:v>21</x:v>
      </x:c>
      <x:c r="K8868" s="0">
        <x:f>hyperlink("https://icd.who.int/dev11/l-ichi/en#/http%3A%2F%2Fid.who.int%2Ficd%2Fentity%2F1817308082","browser")</x:f>
      </x:c>
      <x:c r="L8868" s="0">
        <x:f>hyperlink("https://icat2.azurewebsites.net/icat/?ontology=ICD&amp;tab=ClassesTab&amp;id=http%3A%2F%2Fwho.int%2Ficd%232490_7005c14c_2656_4f4b_85a0_8e71c99be967","iCat")</x:f>
      </x:c>
      <x:c r="M8868" s="0" t="s">
        <x:v>21</x:v>
      </x:c>
      <x:c r="N8868" s="0" t="s">
        <x:v>46</x:v>
      </x:c>
    </x:row>
    <x:row r="8869" spans="1:16">
      <x:c r="A8869" s="0" t="s">
        <x:v>35340</x:v>
      </x:c>
      <x:c r="B8869" s="0" t="s">
        <x:v>35341</x:v>
      </x:c>
      <x:c r="C8869" s="0" t="s">
        <x:v>35342</x:v>
      </x:c>
      <x:c r="E8869" s="0" t="s">
        <x:v>35343</x:v>
      </x:c>
      <x:c r="F8869" s="0" t="s">
        <x:v>45</x:v>
      </x:c>
      <x:c r="G8869" s="0" t="s">
        <x:v>19</x:v>
      </x:c>
      <x:c r="H8869" s="0" t="s">
        <x:v>20</x:v>
      </x:c>
      <x:c r="I8869" s="0" t="s">
        <x:v>21</x:v>
      </x:c>
      <x:c r="K8869" s="0">
        <x:f>hyperlink("https://icd.who.int/dev11/l-ichi/en#/http%3A%2F%2Fid.who.int%2Ficd%2Fentity%2F1009398275","browser")</x:f>
      </x:c>
      <x:c r="L8869" s="0">
        <x:f>hyperlink("https://icat2.azurewebsites.net/icat/?ontology=ICD&amp;tab=ClassesTab&amp;id=http%3A%2F%2Fwho.int%2Ficd%232496_7005c14c_2656_4f4b_85a0_8e71c99be967","iCat")</x:f>
      </x:c>
      <x:c r="M8869" s="0" t="s">
        <x:v>21</x:v>
      </x:c>
      <x:c r="N8869" s="0" t="s">
        <x:v>46</x:v>
      </x:c>
    </x:row>
    <x:row r="8870" spans="1:16">
      <x:c r="A8870" s="0" t="s">
        <x:v>35344</x:v>
      </x:c>
      <x:c r="B8870" s="0" t="s">
        <x:v>35345</x:v>
      </x:c>
      <x:c r="C8870" s="0" t="s">
        <x:v>35346</x:v>
      </x:c>
      <x:c r="E8870" s="0" t="s">
        <x:v>35347</x:v>
      </x:c>
      <x:c r="F8870" s="0" t="s">
        <x:v>45</x:v>
      </x:c>
      <x:c r="G8870" s="0" t="s">
        <x:v>19</x:v>
      </x:c>
      <x:c r="H8870" s="0" t="s">
        <x:v>20</x:v>
      </x:c>
      <x:c r="I8870" s="0" t="s">
        <x:v>21</x:v>
      </x:c>
      <x:c r="K8870" s="0">
        <x:f>hyperlink("https://icd.who.int/dev11/l-ichi/en#/http%3A%2F%2Fid.who.int%2Ficd%2Fentity%2F155647097","browser")</x:f>
      </x:c>
      <x:c r="L8870" s="0">
        <x:f>hyperlink("https://icat2.azurewebsites.net/icat/?ontology=ICD&amp;tab=ClassesTab&amp;id=http%3A%2F%2Fwho.int%2Ficd%232502_7005c14c_2656_4f4b_85a0_8e71c99be967","iCat")</x:f>
      </x:c>
      <x:c r="M8870" s="0" t="s">
        <x:v>21</x:v>
      </x:c>
      <x:c r="N8870" s="0" t="s">
        <x:v>46</x:v>
      </x:c>
    </x:row>
    <x:row r="8871" spans="1:16">
      <x:c r="A8871" s="0" t="s">
        <x:v>35348</x:v>
      </x:c>
      <x:c r="B8871" s="0" t="s">
        <x:v>35349</x:v>
      </x:c>
      <x:c r="C8871" s="0" t="s">
        <x:v>35350</x:v>
      </x:c>
      <x:c r="E8871" s="0" t="s">
        <x:v>35351</x:v>
      </x:c>
      <x:c r="F8871" s="0" t="s">
        <x:v>45</x:v>
      </x:c>
      <x:c r="G8871" s="0" t="s">
        <x:v>19</x:v>
      </x:c>
      <x:c r="H8871" s="0" t="s">
        <x:v>20</x:v>
      </x:c>
      <x:c r="I8871" s="0" t="s">
        <x:v>21</x:v>
      </x:c>
      <x:c r="K8871" s="0">
        <x:f>hyperlink("https://icd.who.int/dev11/l-ichi/en#/http%3A%2F%2Fid.who.int%2Ficd%2Fentity%2F582717673","browser")</x:f>
      </x:c>
      <x:c r="L8871" s="0">
        <x:f>hyperlink("https://icat2.azurewebsites.net/icat/?ontology=ICD&amp;tab=ClassesTab&amp;id=http%3A%2F%2Fwho.int%2Ficd%232508_7005c14c_2656_4f4b_85a0_8e71c99be967","iCat")</x:f>
      </x:c>
      <x:c r="M8871" s="0" t="s">
        <x:v>21</x:v>
      </x:c>
      <x:c r="N8871" s="0" t="s">
        <x:v>46</x:v>
      </x:c>
    </x:row>
    <x:row r="8872" spans="1:16">
      <x:c r="A8872" s="0" t="s">
        <x:v>35352</x:v>
      </x:c>
      <x:c r="B8872" s="0" t="s">
        <x:v>35353</x:v>
      </x:c>
      <x:c r="C8872" s="0" t="s">
        <x:v>35354</x:v>
      </x:c>
      <x:c r="E8872" s="0" t="s">
        <x:v>35355</x:v>
      </x:c>
      <x:c r="F8872" s="0" t="s">
        <x:v>45</x:v>
      </x:c>
      <x:c r="G8872" s="0" t="s">
        <x:v>19</x:v>
      </x:c>
      <x:c r="H8872" s="0" t="s">
        <x:v>20</x:v>
      </x:c>
      <x:c r="I8872" s="0" t="s">
        <x:v>21</x:v>
      </x:c>
      <x:c r="K8872" s="0">
        <x:f>hyperlink("https://icd.who.int/dev11/l-ichi/en#/http%3A%2F%2Fid.who.int%2Ficd%2Fentity%2F871936159","browser")</x:f>
      </x:c>
      <x:c r="L8872" s="0">
        <x:f>hyperlink("https://icat2.azurewebsites.net/icat/?ontology=ICD&amp;tab=ClassesTab&amp;id=http%3A%2F%2Fwho.int%2Ficd%232514_7005c14c_2656_4f4b_85a0_8e71c99be967","iCat")</x:f>
      </x:c>
      <x:c r="M8872" s="0" t="s">
        <x:v>21</x:v>
      </x:c>
      <x:c r="N8872" s="0" t="s">
        <x:v>46</x:v>
      </x:c>
    </x:row>
    <x:row r="8873" spans="1:16">
      <x:c r="A8873" s="0" t="s">
        <x:v>35356</x:v>
      </x:c>
      <x:c r="B8873" s="0" t="s">
        <x:v>35357</x:v>
      </x:c>
      <x:c r="C8873" s="0" t="s">
        <x:v>35358</x:v>
      </x:c>
      <x:c r="E8873" s="0" t="s">
        <x:v>35359</x:v>
      </x:c>
      <x:c r="F8873" s="0" t="s">
        <x:v>45</x:v>
      </x:c>
      <x:c r="G8873" s="0" t="s">
        <x:v>19</x:v>
      </x:c>
      <x:c r="H8873" s="0" t="s">
        <x:v>20</x:v>
      </x:c>
      <x:c r="I8873" s="0" t="s">
        <x:v>21</x:v>
      </x:c>
      <x:c r="K8873" s="0">
        <x:f>hyperlink("https://icd.who.int/dev11/l-ichi/en#/http%3A%2F%2Fid.who.int%2Ficd%2Fentity%2F230732562","browser")</x:f>
      </x:c>
      <x:c r="L8873" s="0">
        <x:f>hyperlink("https://icat2.azurewebsites.net/icat/?ontology=ICD&amp;tab=ClassesTab&amp;id=http%3A%2F%2Fwho.int%2Ficd%2314253_4869915e_217e_423d_acb3_33c0f920ef4b","iCat")</x:f>
      </x:c>
      <x:c r="M8873" s="0" t="s">
        <x:v>21</x:v>
      </x:c>
      <x:c r="N8873" s="0" t="s">
        <x:v>46</x:v>
      </x:c>
    </x:row>
    <x:row r="8874" spans="1:16">
      <x:c r="A8874" s="0" t="s">
        <x:v>35360</x:v>
      </x:c>
      <x:c r="B8874" s="0" t="s">
        <x:v>35361</x:v>
      </x:c>
      <x:c r="C8874" s="0" t="s">
        <x:v>35362</x:v>
      </x:c>
      <x:c r="E8874" s="0" t="s">
        <x:v>35363</x:v>
      </x:c>
      <x:c r="F8874" s="0" t="s">
        <x:v>45</x:v>
      </x:c>
      <x:c r="G8874" s="0" t="s">
        <x:v>19</x:v>
      </x:c>
      <x:c r="H8874" s="0" t="s">
        <x:v>20</x:v>
      </x:c>
      <x:c r="I8874" s="0" t="s">
        <x:v>21</x:v>
      </x:c>
      <x:c r="K8874" s="0">
        <x:f>hyperlink("https://icd.who.int/dev11/l-ichi/en#/http%3A%2F%2Fid.who.int%2Ficd%2Fentity%2F372632925","browser")</x:f>
      </x:c>
      <x:c r="L8874" s="0">
        <x:f>hyperlink("https://icat2.azurewebsites.net/icat/?ontology=ICD&amp;tab=ClassesTab&amp;id=http%3A%2F%2Fwho.int%2Ficd%232526_7005c14c_2656_4f4b_85a0_8e71c99be967","iCat")</x:f>
      </x:c>
      <x:c r="M8874" s="0" t="s">
        <x:v>21</x:v>
      </x:c>
      <x:c r="N8874" s="0" t="s">
        <x:v>46</x:v>
      </x:c>
    </x:row>
    <x:row r="8875" spans="1:16">
      <x:c r="A8875" s="0" t="s">
        <x:v>35364</x:v>
      </x:c>
      <x:c r="B8875" s="0" t="s">
        <x:v>35365</x:v>
      </x:c>
      <x:c r="C8875" s="0" t="s">
        <x:v>35366</x:v>
      </x:c>
      <x:c r="E8875" s="0" t="s">
        <x:v>35367</x:v>
      </x:c>
      <x:c r="F8875" s="0" t="s">
        <x:v>45</x:v>
      </x:c>
      <x:c r="G8875" s="0" t="s">
        <x:v>19</x:v>
      </x:c>
      <x:c r="H8875" s="0" t="s">
        <x:v>20</x:v>
      </x:c>
      <x:c r="I8875" s="0" t="s">
        <x:v>21</x:v>
      </x:c>
      <x:c r="K8875" s="0">
        <x:f>hyperlink("https://icd.who.int/dev11/l-ichi/en#/http%3A%2F%2Fid.who.int%2Ficd%2Fentity%2F1240972414","browser")</x:f>
      </x:c>
      <x:c r="L8875" s="0">
        <x:f>hyperlink("https://icat2.azurewebsites.net/icat/?ontology=ICD&amp;tab=ClassesTab&amp;id=http%3A%2F%2Fwho.int%2Ficd%232532_7005c14c_2656_4f4b_85a0_8e71c99be967","iCat")</x:f>
      </x:c>
      <x:c r="M8875" s="0" t="s">
        <x:v>21</x:v>
      </x:c>
      <x:c r="N8875" s="0" t="s">
        <x:v>46</x:v>
      </x:c>
    </x:row>
    <x:row r="8876" spans="1:16">
      <x:c r="A8876" s="0" t="s">
        <x:v>35368</x:v>
      </x:c>
      <x:c r="B8876" s="0" t="s">
        <x:v>35369</x:v>
      </x:c>
      <x:c r="C8876" s="0" t="s">
        <x:v>35370</x:v>
      </x:c>
      <x:c r="E8876" s="0" t="s">
        <x:v>35371</x:v>
      </x:c>
      <x:c r="F8876" s="0" t="s">
        <x:v>45</x:v>
      </x:c>
      <x:c r="G8876" s="0" t="s">
        <x:v>19</x:v>
      </x:c>
      <x:c r="H8876" s="0" t="s">
        <x:v>20</x:v>
      </x:c>
      <x:c r="I8876" s="0" t="s">
        <x:v>21</x:v>
      </x:c>
      <x:c r="K8876" s="0">
        <x:f>hyperlink("https://icd.who.int/dev11/l-ichi/en#/http%3A%2F%2Fid.who.int%2Ficd%2Fentity%2F1644876014","browser")</x:f>
      </x:c>
      <x:c r="L8876" s="0">
        <x:f>hyperlink("https://icat2.azurewebsites.net/icat/?ontology=ICD&amp;tab=ClassesTab&amp;id=http%3A%2F%2Fwho.int%2Ficd%232538_7005c14c_2656_4f4b_85a0_8e71c99be967","iCat")</x:f>
      </x:c>
      <x:c r="M8876" s="0" t="s">
        <x:v>21</x:v>
      </x:c>
      <x:c r="N8876" s="0" t="s">
        <x:v>46</x:v>
      </x:c>
    </x:row>
    <x:row r="8877" spans="1:16">
      <x:c r="A8877" s="0" t="s">
        <x:v>35372</x:v>
      </x:c>
      <x:c r="B8877" s="0" t="s">
        <x:v>35373</x:v>
      </x:c>
      <x:c r="C8877" s="0" t="s">
        <x:v>35374</x:v>
      </x:c>
      <x:c r="E8877" s="0" t="s">
        <x:v>35375</x:v>
      </x:c>
      <x:c r="F8877" s="0" t="s">
        <x:v>45</x:v>
      </x:c>
      <x:c r="G8877" s="0" t="s">
        <x:v>19</x:v>
      </x:c>
      <x:c r="H8877" s="0" t="s">
        <x:v>20</x:v>
      </x:c>
      <x:c r="I8877" s="0" t="s">
        <x:v>21</x:v>
      </x:c>
      <x:c r="K8877" s="0">
        <x:f>hyperlink("https://icd.who.int/dev11/l-ichi/en#/http%3A%2F%2Fid.who.int%2Ficd%2Fentity%2F693794517","browser")</x:f>
      </x:c>
      <x:c r="L8877" s="0">
        <x:f>hyperlink("https://icat2.azurewebsites.net/icat/?ontology=ICD&amp;tab=ClassesTab&amp;id=http%3A%2F%2Fwho.int%2Ficd%232544_7005c14c_2656_4f4b_85a0_8e71c99be967","iCat")</x:f>
      </x:c>
      <x:c r="M8877" s="0" t="s">
        <x:v>21</x:v>
      </x:c>
      <x:c r="N8877" s="0" t="s">
        <x:v>46</x:v>
      </x:c>
    </x:row>
    <x:row r="8878" spans="1:16">
      <x:c r="A8878" s="0" t="s">
        <x:v>35376</x:v>
      </x:c>
      <x:c r="B8878" s="0" t="s">
        <x:v>35377</x:v>
      </x:c>
      <x:c r="C8878" s="0" t="s">
        <x:v>35378</x:v>
      </x:c>
      <x:c r="E8878" s="0" t="s">
        <x:v>35379</x:v>
      </x:c>
      <x:c r="F8878" s="0" t="s">
        <x:v>45</x:v>
      </x:c>
      <x:c r="G8878" s="0" t="s">
        <x:v>19</x:v>
      </x:c>
      <x:c r="H8878" s="0" t="s">
        <x:v>20</x:v>
      </x:c>
      <x:c r="I8878" s="0" t="s">
        <x:v>21</x:v>
      </x:c>
      <x:c r="K8878" s="0">
        <x:f>hyperlink("https://icd.who.int/dev11/l-ichi/en#/http%3A%2F%2Fid.who.int%2Ficd%2Fentity%2F1989683192","browser")</x:f>
      </x:c>
      <x:c r="L8878" s="0">
        <x:f>hyperlink("https://icat2.azurewebsites.net/icat/?ontology=ICD&amp;tab=ClassesTab&amp;id=http%3A%2F%2Fwho.int%2Ficd%232550_7005c14c_2656_4f4b_85a0_8e71c99be967","iCat")</x:f>
      </x:c>
      <x:c r="M8878" s="0" t="s">
        <x:v>21</x:v>
      </x:c>
      <x:c r="N8878" s="0" t="s">
        <x:v>46</x:v>
      </x:c>
    </x:row>
    <x:row r="8879" spans="1:16">
      <x:c r="A8879" s="0" t="s">
        <x:v>35380</x:v>
      </x:c>
      <x:c r="B8879" s="0" t="s">
        <x:v>35381</x:v>
      </x:c>
      <x:c r="C8879" s="0" t="s">
        <x:v>35382</x:v>
      </x:c>
      <x:c r="E8879" s="0" t="s">
        <x:v>35383</x:v>
      </x:c>
      <x:c r="F8879" s="0" t="s">
        <x:v>45</x:v>
      </x:c>
      <x:c r="G8879" s="0" t="s">
        <x:v>19</x:v>
      </x:c>
      <x:c r="H8879" s="0" t="s">
        <x:v>20</x:v>
      </x:c>
      <x:c r="I8879" s="0" t="s">
        <x:v>21</x:v>
      </x:c>
      <x:c r="K8879" s="0">
        <x:f>hyperlink("https://icd.who.int/dev11/l-ichi/en#/http%3A%2F%2Fid.who.int%2Ficd%2Fentity%2F652475975","browser")</x:f>
      </x:c>
      <x:c r="L8879" s="0">
        <x:f>hyperlink("https://icat2.azurewebsites.net/icat/?ontology=ICD&amp;tab=ClassesTab&amp;id=http%3A%2F%2Fwho.int%2Ficd%232556_7005c14c_2656_4f4b_85a0_8e71c99be967","iCat")</x:f>
      </x:c>
      <x:c r="M8879" s="0" t="s">
        <x:v>21</x:v>
      </x:c>
      <x:c r="N8879" s="0" t="s">
        <x:v>46</x:v>
      </x:c>
    </x:row>
    <x:row r="8880" spans="1:16">
      <x:c r="A8880" s="0" t="s">
        <x:v>35384</x:v>
      </x:c>
      <x:c r="B8880" s="0" t="s">
        <x:v>35385</x:v>
      </x:c>
      <x:c r="C8880" s="0" t="s">
        <x:v>35386</x:v>
      </x:c>
      <x:c r="E8880" s="0" t="s">
        <x:v>35387</x:v>
      </x:c>
      <x:c r="F8880" s="0" t="s">
        <x:v>45</x:v>
      </x:c>
      <x:c r="G8880" s="0" t="s">
        <x:v>19</x:v>
      </x:c>
      <x:c r="H8880" s="0" t="s">
        <x:v>20</x:v>
      </x:c>
      <x:c r="I8880" s="0" t="s">
        <x:v>21</x:v>
      </x:c>
      <x:c r="K8880" s="0">
        <x:f>hyperlink("https://icd.who.int/dev11/l-ichi/en#/http%3A%2F%2Fid.who.int%2Ficd%2Fentity%2F1398110772","browser")</x:f>
      </x:c>
      <x:c r="L8880" s="0">
        <x:f>hyperlink("https://icat2.azurewebsites.net/icat/?ontology=ICD&amp;tab=ClassesTab&amp;id=http%3A%2F%2Fwho.int%2Ficd%232562_7005c14c_2656_4f4b_85a0_8e71c99be967","iCat")</x:f>
      </x:c>
      <x:c r="M8880" s="0" t="s">
        <x:v>21</x:v>
      </x:c>
      <x:c r="N8880" s="0" t="s">
        <x:v>46</x:v>
      </x:c>
    </x:row>
    <x:row r="8881" spans="1:16">
      <x:c r="A8881" s="0" t="s">
        <x:v>35388</x:v>
      </x:c>
      <x:c r="B8881" s="0" t="s">
        <x:v>35389</x:v>
      </x:c>
      <x:c r="C8881" s="0" t="s">
        <x:v>35390</x:v>
      </x:c>
      <x:c r="E8881" s="0" t="s">
        <x:v>35391</x:v>
      </x:c>
      <x:c r="F8881" s="0" t="s">
        <x:v>45</x:v>
      </x:c>
      <x:c r="G8881" s="0" t="s">
        <x:v>19</x:v>
      </x:c>
      <x:c r="H8881" s="0" t="s">
        <x:v>20</x:v>
      </x:c>
      <x:c r="I8881" s="0" t="s">
        <x:v>21</x:v>
      </x:c>
      <x:c r="K8881" s="0">
        <x:f>hyperlink("https://icd.who.int/dev11/l-ichi/en#/http%3A%2F%2Fid.who.int%2Ficd%2Fentity%2F2024281764","browser")</x:f>
      </x:c>
      <x:c r="L8881" s="0">
        <x:f>hyperlink("https://icat2.azurewebsites.net/icat/?ontology=ICD&amp;tab=ClassesTab&amp;id=http%3A%2F%2Fwho.int%2Ficd%232568_7005c14c_2656_4f4b_85a0_8e71c99be967","iCat")</x:f>
      </x:c>
      <x:c r="M8881" s="0" t="s">
        <x:v>21</x:v>
      </x:c>
      <x:c r="N8881" s="0" t="s">
        <x:v>46</x:v>
      </x:c>
    </x:row>
    <x:row r="8882" spans="1:16">
      <x:c r="A8882" s="0" t="s">
        <x:v>35392</x:v>
      </x:c>
      <x:c r="B8882" s="0" t="s">
        <x:v>35393</x:v>
      </x:c>
      <x:c r="C8882" s="0" t="s">
        <x:v>35394</x:v>
      </x:c>
      <x:c r="E8882" s="0" t="s">
        <x:v>35395</x:v>
      </x:c>
      <x:c r="F8882" s="0" t="s">
        <x:v>45</x:v>
      </x:c>
      <x:c r="G8882" s="0" t="s">
        <x:v>19</x:v>
      </x:c>
      <x:c r="H8882" s="0" t="s">
        <x:v>20</x:v>
      </x:c>
      <x:c r="I8882" s="0" t="s">
        <x:v>21</x:v>
      </x:c>
      <x:c r="K8882" s="0">
        <x:f>hyperlink("https://icd.who.int/dev11/l-ichi/en#/http%3A%2F%2Fid.who.int%2Ficd%2Fentity%2F2092052714","browser")</x:f>
      </x:c>
      <x:c r="L8882" s="0">
        <x:f>hyperlink("https://icat2.azurewebsites.net/icat/?ontology=ICD&amp;tab=ClassesTab&amp;id=http%3A%2F%2Fwho.int%2Ficd%232592_7005c14c_2656_4f4b_85a0_8e71c99be967","iCat")</x:f>
      </x:c>
      <x:c r="M8882" s="0" t="s">
        <x:v>21</x:v>
      </x:c>
      <x:c r="N8882" s="0" t="s">
        <x:v>46</x:v>
      </x:c>
    </x:row>
    <x:row r="8883" spans="1:16">
      <x:c r="A8883" s="0" t="s">
        <x:v>35396</x:v>
      </x:c>
      <x:c r="B8883" s="0" t="s">
        <x:v>35397</x:v>
      </x:c>
      <x:c r="C8883" s="0" t="s">
        <x:v>35398</x:v>
      </x:c>
      <x:c r="E8883" s="0" t="s">
        <x:v>35399</x:v>
      </x:c>
      <x:c r="F8883" s="0" t="s">
        <x:v>45</x:v>
      </x:c>
      <x:c r="G8883" s="0" t="s">
        <x:v>19</x:v>
      </x:c>
      <x:c r="H8883" s="0" t="s">
        <x:v>20</x:v>
      </x:c>
      <x:c r="I8883" s="0" t="s">
        <x:v>21</x:v>
      </x:c>
      <x:c r="K8883" s="0">
        <x:f>hyperlink("https://icd.who.int/dev11/l-ichi/en#/http%3A%2F%2Fid.who.int%2Ficd%2Fentity%2F1464818810","browser")</x:f>
      </x:c>
      <x:c r="L8883" s="0">
        <x:f>hyperlink("https://icat2.azurewebsites.net/icat/?ontology=ICD&amp;tab=ClassesTab&amp;id=http%3A%2F%2Fwho.int%2Ficd%232598_7005c14c_2656_4f4b_85a0_8e71c99be967","iCat")</x:f>
      </x:c>
      <x:c r="M8883" s="0" t="s">
        <x:v>21</x:v>
      </x:c>
      <x:c r="N8883" s="0" t="s">
        <x:v>46</x:v>
      </x:c>
    </x:row>
    <x:row r="8884" spans="1:16">
      <x:c r="A8884" s="0" t="s">
        <x:v>35400</x:v>
      </x:c>
      <x:c r="B8884" s="0" t="s">
        <x:v>35401</x:v>
      </x:c>
      <x:c r="C8884" s="0" t="s">
        <x:v>35402</x:v>
      </x:c>
      <x:c r="E8884" s="0" t="s">
        <x:v>35403</x:v>
      </x:c>
      <x:c r="F8884" s="0" t="s">
        <x:v>45</x:v>
      </x:c>
      <x:c r="G8884" s="0" t="s">
        <x:v>19</x:v>
      </x:c>
      <x:c r="H8884" s="0" t="s">
        <x:v>20</x:v>
      </x:c>
      <x:c r="I8884" s="0" t="s">
        <x:v>21</x:v>
      </x:c>
      <x:c r="K8884" s="0">
        <x:f>hyperlink("https://icd.who.int/dev11/l-ichi/en#/http%3A%2F%2Fid.who.int%2Ficd%2Fentity%2F945983889","browser")</x:f>
      </x:c>
      <x:c r="L8884" s="0">
        <x:f>hyperlink("https://icat2.azurewebsites.net/icat/?ontology=ICD&amp;tab=ClassesTab&amp;id=http%3A%2F%2Fwho.int%2Ficd%232604_7005c14c_2656_4f4b_85a0_8e71c99be967","iCat")</x:f>
      </x:c>
      <x:c r="M8884" s="0" t="s">
        <x:v>21</x:v>
      </x:c>
      <x:c r="N8884" s="0" t="s">
        <x:v>46</x:v>
      </x:c>
    </x:row>
    <x:row r="8885" spans="1:16">
      <x:c r="A8885" s="0" t="s">
        <x:v>35404</x:v>
      </x:c>
      <x:c r="B8885" s="0" t="s">
        <x:v>35405</x:v>
      </x:c>
      <x:c r="C8885" s="0" t="s">
        <x:v>35406</x:v>
      </x:c>
      <x:c r="E8885" s="0" t="s">
        <x:v>35407</x:v>
      </x:c>
      <x:c r="F8885" s="0" t="s">
        <x:v>45</x:v>
      </x:c>
      <x:c r="G8885" s="0" t="s">
        <x:v>19</x:v>
      </x:c>
      <x:c r="H8885" s="0" t="s">
        <x:v>20</x:v>
      </x:c>
      <x:c r="I8885" s="0" t="s">
        <x:v>21</x:v>
      </x:c>
      <x:c r="K8885" s="0">
        <x:f>hyperlink("https://icd.who.int/dev11/l-ichi/en#/http%3A%2F%2Fid.who.int%2Ficd%2Fentity%2F1738588338","browser")</x:f>
      </x:c>
      <x:c r="L8885" s="0">
        <x:f>hyperlink("https://icat2.azurewebsites.net/icat/?ontology=ICD&amp;tab=ClassesTab&amp;id=http%3A%2F%2Fwho.int%2Ficd%232610_7005c14c_2656_4f4b_85a0_8e71c99be967","iCat")</x:f>
      </x:c>
      <x:c r="M8885" s="0" t="s">
        <x:v>21</x:v>
      </x:c>
      <x:c r="N8885" s="0" t="s">
        <x:v>46</x:v>
      </x:c>
    </x:row>
    <x:row r="8886" spans="1:16">
      <x:c r="A8886" s="0" t="s">
        <x:v>35408</x:v>
      </x:c>
      <x:c r="B8886" s="0" t="s">
        <x:v>35409</x:v>
      </x:c>
      <x:c r="C8886" s="0" t="s">
        <x:v>35410</x:v>
      </x:c>
      <x:c r="E8886" s="0" t="s">
        <x:v>35411</x:v>
      </x:c>
      <x:c r="F8886" s="0" t="s">
        <x:v>45</x:v>
      </x:c>
      <x:c r="G8886" s="0" t="s">
        <x:v>19</x:v>
      </x:c>
      <x:c r="H8886" s="0" t="s">
        <x:v>20</x:v>
      </x:c>
      <x:c r="I8886" s="0" t="s">
        <x:v>21</x:v>
      </x:c>
      <x:c r="K8886" s="0">
        <x:f>hyperlink("https://icd.who.int/dev11/l-ichi/en#/http%3A%2F%2Fid.who.int%2Ficd%2Fentity%2F937105667","browser")</x:f>
      </x:c>
      <x:c r="L8886" s="0">
        <x:f>hyperlink("https://icat2.azurewebsites.net/icat/?ontology=ICD&amp;tab=ClassesTab&amp;id=http%3A%2F%2Fwho.int%2Ficd%232616_7005c14c_2656_4f4b_85a0_8e71c99be967","iCat")</x:f>
      </x:c>
      <x:c r="M8886" s="0" t="s">
        <x:v>21</x:v>
      </x:c>
      <x:c r="N8886" s="0" t="s">
        <x:v>46</x:v>
      </x:c>
    </x:row>
    <x:row r="8887" spans="1:16">
      <x:c r="A8887" s="0" t="s">
        <x:v>35412</x:v>
      </x:c>
      <x:c r="B8887" s="0" t="s">
        <x:v>35413</x:v>
      </x:c>
      <x:c r="C8887" s="0" t="s">
        <x:v>35414</x:v>
      </x:c>
      <x:c r="E8887" s="0" t="s">
        <x:v>35415</x:v>
      </x:c>
      <x:c r="F8887" s="0" t="s">
        <x:v>45</x:v>
      </x:c>
      <x:c r="G8887" s="0" t="s">
        <x:v>19</x:v>
      </x:c>
      <x:c r="H8887" s="0" t="s">
        <x:v>20</x:v>
      </x:c>
      <x:c r="I8887" s="0" t="s">
        <x:v>21</x:v>
      </x:c>
      <x:c r="K8887" s="0">
        <x:f>hyperlink("https://icd.who.int/dev11/l-ichi/en#/http%3A%2F%2Fid.who.int%2Ficd%2Fentity%2F1114479986","browser")</x:f>
      </x:c>
      <x:c r="L8887" s="0">
        <x:f>hyperlink("https://icat2.azurewebsites.net/icat/?ontology=ICD&amp;tab=ClassesTab&amp;id=http%3A%2F%2Fwho.int%2Ficd%232622_7005c14c_2656_4f4b_85a0_8e71c99be967","iCat")</x:f>
      </x:c>
      <x:c r="M8887" s="0" t="s">
        <x:v>21</x:v>
      </x:c>
      <x:c r="N8887" s="0" t="s">
        <x:v>46</x:v>
      </x:c>
    </x:row>
    <x:row r="8888" spans="1:16">
      <x:c r="A8888" s="0" t="s">
        <x:v>35416</x:v>
      </x:c>
      <x:c r="B8888" s="0" t="s">
        <x:v>35417</x:v>
      </x:c>
      <x:c r="C8888" s="0" t="s">
        <x:v>35418</x:v>
      </x:c>
      <x:c r="E8888" s="0" t="s">
        <x:v>35419</x:v>
      </x:c>
      <x:c r="F8888" s="0" t="s">
        <x:v>45</x:v>
      </x:c>
      <x:c r="G8888" s="0" t="s">
        <x:v>19</x:v>
      </x:c>
      <x:c r="H8888" s="0" t="s">
        <x:v>20</x:v>
      </x:c>
      <x:c r="I8888" s="0" t="s">
        <x:v>21</x:v>
      </x:c>
      <x:c r="K8888" s="0">
        <x:f>hyperlink("https://icd.who.int/dev11/l-ichi/en#/http%3A%2F%2Fid.who.int%2Ficd%2Fentity%2F1771106786","browser")</x:f>
      </x:c>
      <x:c r="L8888" s="0">
        <x:f>hyperlink("https://icat2.azurewebsites.net/icat/?ontology=ICD&amp;tab=ClassesTab&amp;id=http%3A%2F%2Fwho.int%2Ficd%232628_7005c14c_2656_4f4b_85a0_8e71c99be967","iCat")</x:f>
      </x:c>
      <x:c r="M8888" s="0" t="s">
        <x:v>21</x:v>
      </x:c>
      <x:c r="N8888" s="0" t="s">
        <x:v>46</x:v>
      </x:c>
    </x:row>
    <x:row r="8889" spans="1:16">
      <x:c r="A8889" s="0" t="s">
        <x:v>35420</x:v>
      </x:c>
      <x:c r="B8889" s="0" t="s">
        <x:v>35421</x:v>
      </x:c>
      <x:c r="C8889" s="0" t="s">
        <x:v>35422</x:v>
      </x:c>
      <x:c r="E8889" s="0" t="s">
        <x:v>35423</x:v>
      </x:c>
      <x:c r="F8889" s="0" t="s">
        <x:v>45</x:v>
      </x:c>
      <x:c r="G8889" s="0" t="s">
        <x:v>19</x:v>
      </x:c>
      <x:c r="H8889" s="0" t="s">
        <x:v>20</x:v>
      </x:c>
      <x:c r="I8889" s="0" t="s">
        <x:v>21</x:v>
      </x:c>
      <x:c r="K8889" s="0">
        <x:f>hyperlink("https://icd.who.int/dev11/l-ichi/en#/http%3A%2F%2Fid.who.int%2Ficd%2Fentity%2F2027147670","browser")</x:f>
      </x:c>
      <x:c r="L8889" s="0">
        <x:f>hyperlink("https://icat2.azurewebsites.net/icat/?ontology=ICD&amp;tab=ClassesTab&amp;id=http%3A%2F%2Fwho.int%2Ficd%232634_7005c14c_2656_4f4b_85a0_8e71c99be967","iCat")</x:f>
      </x:c>
      <x:c r="M8889" s="0" t="s">
        <x:v>21</x:v>
      </x:c>
      <x:c r="N8889" s="0" t="s">
        <x:v>46</x:v>
      </x:c>
    </x:row>
    <x:row r="8890" spans="1:16">
      <x:c r="A8890" s="0" t="s">
        <x:v>35424</x:v>
      </x:c>
      <x:c r="B8890" s="0" t="s">
        <x:v>35425</x:v>
      </x:c>
      <x:c r="C8890" s="0" t="s">
        <x:v>35426</x:v>
      </x:c>
      <x:c r="E8890" s="0" t="s">
        <x:v>35427</x:v>
      </x:c>
      <x:c r="F8890" s="0" t="s">
        <x:v>45</x:v>
      </x:c>
      <x:c r="G8890" s="0" t="s">
        <x:v>19</x:v>
      </x:c>
      <x:c r="H8890" s="0" t="s">
        <x:v>20</x:v>
      </x:c>
      <x:c r="I8890" s="0" t="s">
        <x:v>21</x:v>
      </x:c>
      <x:c r="K8890" s="0">
        <x:f>hyperlink("https://icd.who.int/dev11/l-ichi/en#/http%3A%2F%2Fid.who.int%2Ficd%2Fentity%2F2097284856","browser")</x:f>
      </x:c>
      <x:c r="L8890" s="0">
        <x:f>hyperlink("https://icat2.azurewebsites.net/icat/?ontology=ICD&amp;tab=ClassesTab&amp;id=http%3A%2F%2Fwho.int%2Ficd%232640_7005c14c_2656_4f4b_85a0_8e71c99be967","iCat")</x:f>
      </x:c>
      <x:c r="M8890" s="0" t="s">
        <x:v>21</x:v>
      </x:c>
      <x:c r="N8890" s="0" t="s">
        <x:v>46</x:v>
      </x:c>
    </x:row>
    <x:row r="8891" spans="1:16">
      <x:c r="A8891" s="0" t="s">
        <x:v>35428</x:v>
      </x:c>
      <x:c r="B8891" s="0" t="s">
        <x:v>35429</x:v>
      </x:c>
      <x:c r="C8891" s="0" t="s">
        <x:v>35430</x:v>
      </x:c>
      <x:c r="E8891" s="0" t="s">
        <x:v>35431</x:v>
      </x:c>
      <x:c r="F8891" s="0" t="s">
        <x:v>45</x:v>
      </x:c>
      <x:c r="G8891" s="0" t="s">
        <x:v>19</x:v>
      </x:c>
      <x:c r="H8891" s="0" t="s">
        <x:v>20</x:v>
      </x:c>
      <x:c r="I8891" s="0" t="s">
        <x:v>21</x:v>
      </x:c>
      <x:c r="K8891" s="0">
        <x:f>hyperlink("https://icd.who.int/dev11/l-ichi/en#/http%3A%2F%2Fid.who.int%2Ficd%2Fentity%2F762961737","browser")</x:f>
      </x:c>
      <x:c r="L8891" s="0">
        <x:f>hyperlink("https://icat2.azurewebsites.net/icat/?ontology=ICD&amp;tab=ClassesTab&amp;id=http%3A%2F%2Fwho.int%2Ficd%232646_7005c14c_2656_4f4b_85a0_8e71c99be967","iCat")</x:f>
      </x:c>
      <x:c r="M8891" s="0" t="s">
        <x:v>21</x:v>
      </x:c>
      <x:c r="N8891" s="0" t="s">
        <x:v>46</x:v>
      </x:c>
    </x:row>
    <x:row r="8892" spans="1:16">
      <x:c r="A8892" s="0" t="s">
        <x:v>35432</x:v>
      </x:c>
      <x:c r="B8892" s="0" t="s">
        <x:v>35433</x:v>
      </x:c>
      <x:c r="C8892" s="0" t="s">
        <x:v>35434</x:v>
      </x:c>
      <x:c r="E8892" s="0" t="s">
        <x:v>35435</x:v>
      </x:c>
      <x:c r="F8892" s="0" t="s">
        <x:v>45</x:v>
      </x:c>
      <x:c r="G8892" s="0" t="s">
        <x:v>19</x:v>
      </x:c>
      <x:c r="H8892" s="0" t="s">
        <x:v>20</x:v>
      </x:c>
      <x:c r="I8892" s="0" t="s">
        <x:v>21</x:v>
      </x:c>
      <x:c r="K8892" s="0">
        <x:f>hyperlink("https://icd.who.int/dev11/l-ichi/en#/http%3A%2F%2Fid.who.int%2Ficd%2Fentity%2F1924894314","browser")</x:f>
      </x:c>
      <x:c r="L8892" s="0">
        <x:f>hyperlink("https://icat2.azurewebsites.net/icat/?ontology=ICD&amp;tab=ClassesTab&amp;id=http%3A%2F%2Fwho.int%2Ficd%232652_7005c14c_2656_4f4b_85a0_8e71c99be967","iCat")</x:f>
      </x:c>
      <x:c r="M8892" s="0" t="s">
        <x:v>21</x:v>
      </x:c>
      <x:c r="N8892" s="0" t="s">
        <x:v>46</x:v>
      </x:c>
    </x:row>
    <x:row r="8893" spans="1:16">
      <x:c r="A8893" s="0" t="s">
        <x:v>35436</x:v>
      </x:c>
      <x:c r="B8893" s="0" t="s">
        <x:v>35437</x:v>
      </x:c>
      <x:c r="C8893" s="0" t="s">
        <x:v>35438</x:v>
      </x:c>
      <x:c r="E8893" s="0" t="s">
        <x:v>35439</x:v>
      </x:c>
      <x:c r="F8893" s="0" t="s">
        <x:v>45</x:v>
      </x:c>
      <x:c r="G8893" s="0" t="s">
        <x:v>19</x:v>
      </x:c>
      <x:c r="H8893" s="0" t="s">
        <x:v>20</x:v>
      </x:c>
      <x:c r="I8893" s="0" t="s">
        <x:v>21</x:v>
      </x:c>
      <x:c r="K8893" s="0">
        <x:f>hyperlink("https://icd.who.int/dev11/l-ichi/en#/http%3A%2F%2Fid.who.int%2Ficd%2Fentity%2F1497817850","browser")</x:f>
      </x:c>
      <x:c r="L8893" s="0">
        <x:f>hyperlink("https://icat2.azurewebsites.net/icat/?ontology=ICD&amp;tab=ClassesTab&amp;id=http%3A%2F%2Fwho.int%2Ficd%232658_7005c14c_2656_4f4b_85a0_8e71c99be967","iCat")</x:f>
      </x:c>
      <x:c r="M8893" s="0" t="s">
        <x:v>21</x:v>
      </x:c>
      <x:c r="N8893" s="0" t="s">
        <x:v>46</x:v>
      </x:c>
    </x:row>
    <x:row r="8894" spans="1:16">
      <x:c r="A8894" s="0" t="s">
        <x:v>35440</x:v>
      </x:c>
      <x:c r="B8894" s="0" t="s">
        <x:v>35441</x:v>
      </x:c>
      <x:c r="C8894" s="0" t="s">
        <x:v>35442</x:v>
      </x:c>
      <x:c r="E8894" s="0" t="s">
        <x:v>35443</x:v>
      </x:c>
      <x:c r="F8894" s="0" t="s">
        <x:v>45</x:v>
      </x:c>
      <x:c r="G8894" s="0" t="s">
        <x:v>19</x:v>
      </x:c>
      <x:c r="H8894" s="0" t="s">
        <x:v>20</x:v>
      </x:c>
      <x:c r="I8894" s="0" t="s">
        <x:v>21</x:v>
      </x:c>
      <x:c r="K8894" s="0">
        <x:f>hyperlink("https://icd.who.int/dev11/l-ichi/en#/http%3A%2F%2Fid.who.int%2Ficd%2Fentity%2F750064328","browser")</x:f>
      </x:c>
      <x:c r="L8894" s="0">
        <x:f>hyperlink("https://icat2.azurewebsites.net/icat/?ontology=ICD&amp;tab=ClassesTab&amp;id=http%3A%2F%2Fwho.int%2Ficd%2348028_512ebf36_bf6b_4d70_85da_cf2637062af4","iCat")</x:f>
      </x:c>
      <x:c r="M8894" s="0" t="s">
        <x:v>21</x:v>
      </x:c>
      <x:c r="N8894" s="0" t="s">
        <x:v>46</x:v>
      </x:c>
    </x:row>
    <x:row r="8895" spans="1:16">
      <x:c r="A8895" s="0" t="s">
        <x:v>35444</x:v>
      </x:c>
      <x:c r="B8895" s="0" t="s">
        <x:v>35445</x:v>
      </x:c>
      <x:c r="C8895" s="0" t="s">
        <x:v>35446</x:v>
      </x:c>
      <x:c r="E8895" s="0" t="s">
        <x:v>35447</x:v>
      </x:c>
      <x:c r="F8895" s="0" t="s">
        <x:v>45</x:v>
      </x:c>
      <x:c r="G8895" s="0" t="s">
        <x:v>19</x:v>
      </x:c>
      <x:c r="H8895" s="0" t="s">
        <x:v>20</x:v>
      </x:c>
      <x:c r="I8895" s="0" t="s">
        <x:v>21</x:v>
      </x:c>
      <x:c r="K8895" s="0">
        <x:f>hyperlink("https://icd.who.int/dev11/l-ichi/en#/http%3A%2F%2Fid.who.int%2Ficd%2Fentity%2F1687645881","browser")</x:f>
      </x:c>
      <x:c r="L8895" s="0">
        <x:f>hyperlink("https://icat2.azurewebsites.net/icat/?ontology=ICD&amp;tab=ClassesTab&amp;id=http%3A%2F%2Fwho.int%2Ficd%232857_7005c14c_2656_4f4b_85a0_8e71c99be967","iCat")</x:f>
      </x:c>
      <x:c r="M8895" s="0" t="s">
        <x:v>21</x:v>
      </x:c>
      <x:c r="N8895" s="0" t="s">
        <x:v>46</x:v>
      </x:c>
    </x:row>
    <x:row r="8896" spans="1:16">
      <x:c r="A8896" s="0" t="s">
        <x:v>35448</x:v>
      </x:c>
      <x:c r="B8896" s="0" t="s">
        <x:v>35449</x:v>
      </x:c>
      <x:c r="C8896" s="0" t="s">
        <x:v>35450</x:v>
      </x:c>
      <x:c r="E8896" s="0" t="s">
        <x:v>35451</x:v>
      </x:c>
      <x:c r="F8896" s="0" t="s">
        <x:v>45</x:v>
      </x:c>
      <x:c r="G8896" s="0" t="s">
        <x:v>19</x:v>
      </x:c>
      <x:c r="H8896" s="0" t="s">
        <x:v>20</x:v>
      </x:c>
      <x:c r="I8896" s="0" t="s">
        <x:v>21</x:v>
      </x:c>
      <x:c r="K8896" s="0">
        <x:f>hyperlink("https://icd.who.int/dev11/l-ichi/en#/http%3A%2F%2Fid.who.int%2Ficd%2Fentity%2F487538818","browser")</x:f>
      </x:c>
      <x:c r="L8896" s="0">
        <x:f>hyperlink("https://icat2.azurewebsites.net/icat/?ontology=ICD&amp;tab=ClassesTab&amp;id=http%3A%2F%2Fwho.int%2Ficd%2348035_512ebf36_bf6b_4d70_85da_cf2637062af4","iCat")</x:f>
      </x:c>
      <x:c r="M8896" s="0" t="s">
        <x:v>21</x:v>
      </x:c>
      <x:c r="N8896" s="0" t="s">
        <x:v>46</x:v>
      </x:c>
    </x:row>
    <x:row r="8897" spans="1:16">
      <x:c r="A8897" s="0" t="s">
        <x:v>35452</x:v>
      </x:c>
      <x:c r="B8897" s="0" t="s">
        <x:v>35453</x:v>
      </x:c>
      <x:c r="C8897" s="0" t="s">
        <x:v>35454</x:v>
      </x:c>
      <x:c r="E8897" s="0" t="s">
        <x:v>35455</x:v>
      </x:c>
      <x:c r="F8897" s="0" t="s">
        <x:v>45</x:v>
      </x:c>
      <x:c r="G8897" s="0" t="s">
        <x:v>19</x:v>
      </x:c>
      <x:c r="H8897" s="0" t="s">
        <x:v>20</x:v>
      </x:c>
      <x:c r="I8897" s="0" t="s">
        <x:v>21</x:v>
      </x:c>
      <x:c r="K8897" s="0">
        <x:f>hyperlink("https://icd.who.int/dev11/l-ichi/en#/http%3A%2F%2Fid.who.int%2Ficd%2Fentity%2F1566308373","browser")</x:f>
      </x:c>
      <x:c r="L8897" s="0">
        <x:f>hyperlink("https://icat2.azurewebsites.net/icat/?ontology=ICD&amp;tab=ClassesTab&amp;id=http%3A%2F%2Fwho.int%2Ficd%2348042_512ebf36_bf6b_4d70_85da_cf2637062af4","iCat")</x:f>
      </x:c>
      <x:c r="M8897" s="0" t="s">
        <x:v>21</x:v>
      </x:c>
      <x:c r="N8897" s="0" t="s">
        <x:v>46</x:v>
      </x:c>
    </x:row>
    <x:row r="8898" spans="1:16">
      <x:c r="A8898" s="0" t="s">
        <x:v>35456</x:v>
      </x:c>
      <x:c r="B8898" s="0" t="s">
        <x:v>35457</x:v>
      </x:c>
      <x:c r="C8898" s="0" t="s">
        <x:v>35458</x:v>
      </x:c>
      <x:c r="E8898" s="0" t="s">
        <x:v>35459</x:v>
      </x:c>
      <x:c r="F8898" s="0" t="s">
        <x:v>45</x:v>
      </x:c>
      <x:c r="G8898" s="0" t="s">
        <x:v>19</x:v>
      </x:c>
      <x:c r="H8898" s="0" t="s">
        <x:v>20</x:v>
      </x:c>
      <x:c r="I8898" s="0" t="s">
        <x:v>21</x:v>
      </x:c>
      <x:c r="K8898" s="0">
        <x:f>hyperlink("https://icd.who.int/dev11/l-ichi/en#/http%3A%2F%2Fid.who.int%2Ficd%2Fentity%2F287435468","browser")</x:f>
      </x:c>
      <x:c r="L8898" s="0">
        <x:f>hyperlink("https://icat2.azurewebsites.net/icat/?ontology=ICD&amp;tab=ClassesTab&amp;id=http%3A%2F%2Fwho.int%2Ficd%232863_7005c14c_2656_4f4b_85a0_8e71c99be967","iCat")</x:f>
      </x:c>
      <x:c r="M8898" s="0" t="s">
        <x:v>21</x:v>
      </x:c>
      <x:c r="N8898" s="0" t="s">
        <x:v>46</x:v>
      </x:c>
    </x:row>
    <x:row r="8899" spans="1:16">
      <x:c r="A8899" s="0" t="s">
        <x:v>35460</x:v>
      </x:c>
      <x:c r="B8899" s="0" t="s">
        <x:v>35461</x:v>
      </x:c>
      <x:c r="C8899" s="0" t="s">
        <x:v>35462</x:v>
      </x:c>
      <x:c r="E8899" s="0" t="s">
        <x:v>35463</x:v>
      </x:c>
      <x:c r="F8899" s="0" t="s">
        <x:v>45</x:v>
      </x:c>
      <x:c r="G8899" s="0" t="s">
        <x:v>19</x:v>
      </x:c>
      <x:c r="H8899" s="0" t="s">
        <x:v>20</x:v>
      </x:c>
      <x:c r="I8899" s="0" t="s">
        <x:v>21</x:v>
      </x:c>
      <x:c r="K8899" s="0">
        <x:f>hyperlink("https://icd.who.int/dev11/l-ichi/en#/http%3A%2F%2Fid.who.int%2Ficd%2Fentity%2F987530844","browser")</x:f>
      </x:c>
      <x:c r="L8899" s="0">
        <x:f>hyperlink("https://icat2.azurewebsites.net/icat/?ontology=ICD&amp;tab=ClassesTab&amp;id=http%3A%2F%2Fwho.int%2Ficd%232869_7005c14c_2656_4f4b_85a0_8e71c99be967","iCat")</x:f>
      </x:c>
      <x:c r="M8899" s="0" t="s">
        <x:v>21</x:v>
      </x:c>
      <x:c r="N8899" s="0" t="s">
        <x:v>46</x:v>
      </x:c>
    </x:row>
    <x:row r="8900" spans="1:16">
      <x:c r="A8900" s="0" t="s">
        <x:v>35464</x:v>
      </x:c>
      <x:c r="B8900" s="0" t="s">
        <x:v>35465</x:v>
      </x:c>
      <x:c r="C8900" s="0" t="s">
        <x:v>35466</x:v>
      </x:c>
      <x:c r="E8900" s="0" t="s">
        <x:v>35467</x:v>
      </x:c>
      <x:c r="F8900" s="0" t="s">
        <x:v>45</x:v>
      </x:c>
      <x:c r="G8900" s="0" t="s">
        <x:v>19</x:v>
      </x:c>
      <x:c r="H8900" s="0" t="s">
        <x:v>20</x:v>
      </x:c>
      <x:c r="I8900" s="0" t="s">
        <x:v>21</x:v>
      </x:c>
      <x:c r="K8900" s="0">
        <x:f>hyperlink("https://icd.who.int/dev11/l-ichi/en#/http%3A%2F%2Fid.who.int%2Ficd%2Fentity%2F641589122","browser")</x:f>
      </x:c>
      <x:c r="L8900" s="0">
        <x:f>hyperlink("https://icat2.azurewebsites.net/icat/?ontology=ICD&amp;tab=ClassesTab&amp;id=http%3A%2F%2Fwho.int%2Ficd%2314259_4869915e_217e_423d_acb3_33c0f920ef4b","iCat")</x:f>
      </x:c>
      <x:c r="M8900" s="0" t="s">
        <x:v>21</x:v>
      </x:c>
      <x:c r="N8900" s="0" t="s">
        <x:v>46</x:v>
      </x:c>
    </x:row>
    <x:row r="8901" spans="1:16">
      <x:c r="A8901" s="0" t="s">
        <x:v>35468</x:v>
      </x:c>
      <x:c r="B8901" s="0" t="s">
        <x:v>35469</x:v>
      </x:c>
      <x:c r="C8901" s="0" t="s">
        <x:v>35470</x:v>
      </x:c>
      <x:c r="E8901" s="0" t="s">
        <x:v>35471</x:v>
      </x:c>
      <x:c r="F8901" s="0" t="s">
        <x:v>45</x:v>
      </x:c>
      <x:c r="G8901" s="0" t="s">
        <x:v>19</x:v>
      </x:c>
      <x:c r="H8901" s="0" t="s">
        <x:v>20</x:v>
      </x:c>
      <x:c r="I8901" s="0" t="s">
        <x:v>21</x:v>
      </x:c>
      <x:c r="K8901" s="0">
        <x:f>hyperlink("https://icd.who.int/dev11/l-ichi/en#/http%3A%2F%2Fid.who.int%2Ficd%2Fentity%2F731883052","browser")</x:f>
      </x:c>
      <x:c r="L8901" s="0">
        <x:f>hyperlink("https://icat2.azurewebsites.net/icat/?ontology=ICD&amp;tab=ClassesTab&amp;id=http%3A%2F%2Fwho.int%2Ficd%232875_7005c14c_2656_4f4b_85a0_8e71c99be967","iCat")</x:f>
      </x:c>
      <x:c r="M8901" s="0" t="s">
        <x:v>21</x:v>
      </x:c>
      <x:c r="N8901" s="0" t="s">
        <x:v>46</x:v>
      </x:c>
    </x:row>
    <x:row r="8902" spans="1:16">
      <x:c r="A8902" s="0" t="s">
        <x:v>35472</x:v>
      </x:c>
      <x:c r="B8902" s="0" t="s">
        <x:v>35473</x:v>
      </x:c>
      <x:c r="C8902" s="0" t="s">
        <x:v>35474</x:v>
      </x:c>
      <x:c r="E8902" s="0" t="s">
        <x:v>35475</x:v>
      </x:c>
      <x:c r="F8902" s="0" t="s">
        <x:v>45</x:v>
      </x:c>
      <x:c r="G8902" s="0" t="s">
        <x:v>19</x:v>
      </x:c>
      <x:c r="H8902" s="0" t="s">
        <x:v>20</x:v>
      </x:c>
      <x:c r="I8902" s="0" t="s">
        <x:v>21</x:v>
      </x:c>
      <x:c r="K8902" s="0">
        <x:f>hyperlink("https://icd.who.int/dev11/l-ichi/en#/http%3A%2F%2Fid.who.int%2Ficd%2Fentity%2F830417032","browser")</x:f>
      </x:c>
      <x:c r="L8902" s="0">
        <x:f>hyperlink("https://icat2.azurewebsites.net/icat/?ontology=ICD&amp;tab=ClassesTab&amp;id=http%3A%2F%2Fwho.int%2Ficd%232881_7005c14c_2656_4f4b_85a0_8e71c99be967","iCat")</x:f>
      </x:c>
      <x:c r="M8902" s="0" t="s">
        <x:v>21</x:v>
      </x:c>
      <x:c r="N8902" s="0" t="s">
        <x:v>46</x:v>
      </x:c>
    </x:row>
    <x:row r="8903" spans="1:16">
      <x:c r="A8903" s="0" t="s">
        <x:v>35476</x:v>
      </x:c>
      <x:c r="B8903" s="0" t="s">
        <x:v>35477</x:v>
      </x:c>
      <x:c r="C8903" s="0" t="s">
        <x:v>35478</x:v>
      </x:c>
      <x:c r="E8903" s="0" t="s">
        <x:v>35479</x:v>
      </x:c>
      <x:c r="F8903" s="0" t="s">
        <x:v>45</x:v>
      </x:c>
      <x:c r="G8903" s="0" t="s">
        <x:v>19</x:v>
      </x:c>
      <x:c r="H8903" s="0" t="s">
        <x:v>20</x:v>
      </x:c>
      <x:c r="I8903" s="0" t="s">
        <x:v>21</x:v>
      </x:c>
      <x:c r="K8903" s="0">
        <x:f>hyperlink("https://icd.who.int/dev11/l-ichi/en#/http%3A%2F%2Fid.who.int%2Ficd%2Fentity%2F1627713847","browser")</x:f>
      </x:c>
      <x:c r="L8903" s="0">
        <x:f>hyperlink("https://icat2.azurewebsites.net/icat/?ontology=ICD&amp;tab=ClassesTab&amp;id=http%3A%2F%2Fwho.int%2Ficd%232887_7005c14c_2656_4f4b_85a0_8e71c99be967","iCat")</x:f>
      </x:c>
      <x:c r="M8903" s="0" t="s">
        <x:v>21</x:v>
      </x:c>
      <x:c r="N8903" s="0" t="s">
        <x:v>46</x:v>
      </x:c>
    </x:row>
    <x:row r="8904" spans="1:16">
      <x:c r="A8904" s="0" t="s">
        <x:v>35480</x:v>
      </x:c>
      <x:c r="B8904" s="0" t="s">
        <x:v>35481</x:v>
      </x:c>
      <x:c r="C8904" s="0" t="s">
        <x:v>35482</x:v>
      </x:c>
      <x:c r="E8904" s="0" t="s">
        <x:v>35483</x:v>
      </x:c>
      <x:c r="F8904" s="0" t="s">
        <x:v>45</x:v>
      </x:c>
      <x:c r="G8904" s="0" t="s">
        <x:v>19</x:v>
      </x:c>
      <x:c r="H8904" s="0" t="s">
        <x:v>20</x:v>
      </x:c>
      <x:c r="I8904" s="0" t="s">
        <x:v>21</x:v>
      </x:c>
      <x:c r="K8904" s="0">
        <x:f>hyperlink("https://icd.who.int/dev11/l-ichi/en#/http%3A%2F%2Fid.who.int%2Ficd%2Fentity%2F1053204502","browser")</x:f>
      </x:c>
      <x:c r="L8904" s="0">
        <x:f>hyperlink("https://icat2.azurewebsites.net/icat/?ontology=ICD&amp;tab=ClassesTab&amp;id=http%3A%2F%2Fwho.int%2Ficd%232893_7005c14c_2656_4f4b_85a0_8e71c99be967","iCat")</x:f>
      </x:c>
      <x:c r="M8904" s="0" t="s">
        <x:v>21</x:v>
      </x:c>
      <x:c r="N8904" s="0" t="s">
        <x:v>46</x:v>
      </x:c>
    </x:row>
    <x:row r="8905" spans="1:16">
      <x:c r="A8905" s="0" t="s">
        <x:v>35484</x:v>
      </x:c>
      <x:c r="B8905" s="0" t="s">
        <x:v>35485</x:v>
      </x:c>
      <x:c r="C8905" s="0" t="s">
        <x:v>35486</x:v>
      </x:c>
      <x:c r="E8905" s="0" t="s">
        <x:v>35487</x:v>
      </x:c>
      <x:c r="F8905" s="0" t="s">
        <x:v>45</x:v>
      </x:c>
      <x:c r="G8905" s="0" t="s">
        <x:v>19</x:v>
      </x:c>
      <x:c r="H8905" s="0" t="s">
        <x:v>20</x:v>
      </x:c>
      <x:c r="I8905" s="0" t="s">
        <x:v>21</x:v>
      </x:c>
      <x:c r="K8905" s="0">
        <x:f>hyperlink("https://icd.who.int/dev11/l-ichi/en#/http%3A%2F%2Fid.who.int%2Ficd%2Fentity%2F356240518","browser")</x:f>
      </x:c>
      <x:c r="L8905" s="0">
        <x:f>hyperlink("https://icat2.azurewebsites.net/icat/?ontology=ICD&amp;tab=ClassesTab&amp;id=http%3A%2F%2Fwho.int%2Ficd%232899_7005c14c_2656_4f4b_85a0_8e71c99be967","iCat")</x:f>
      </x:c>
      <x:c r="M8905" s="0" t="s">
        <x:v>21</x:v>
      </x:c>
      <x:c r="N8905" s="0" t="s">
        <x:v>46</x:v>
      </x:c>
    </x:row>
    <x:row r="8906" spans="1:16">
      <x:c r="A8906" s="0" t="s">
        <x:v>35488</x:v>
      </x:c>
      <x:c r="B8906" s="0" t="s">
        <x:v>35489</x:v>
      </x:c>
      <x:c r="C8906" s="0" t="s">
        <x:v>35490</x:v>
      </x:c>
      <x:c r="E8906" s="0" t="s">
        <x:v>35491</x:v>
      </x:c>
      <x:c r="F8906" s="0" t="s">
        <x:v>45</x:v>
      </x:c>
      <x:c r="G8906" s="0" t="s">
        <x:v>19</x:v>
      </x:c>
      <x:c r="H8906" s="0" t="s">
        <x:v>20</x:v>
      </x:c>
      <x:c r="I8906" s="0" t="s">
        <x:v>21</x:v>
      </x:c>
      <x:c r="K8906" s="0">
        <x:f>hyperlink("https://icd.who.int/dev11/l-ichi/en#/http%3A%2F%2Fid.who.int%2Ficd%2Fentity%2F1859548075","browser")</x:f>
      </x:c>
      <x:c r="L8906" s="0">
        <x:f>hyperlink("https://icat2.azurewebsites.net/icat/?ontology=ICD&amp;tab=ClassesTab&amp;id=http%3A%2F%2Fwho.int%2Ficd%232905_7005c14c_2656_4f4b_85a0_8e71c99be967","iCat")</x:f>
      </x:c>
      <x:c r="M8906" s="0" t="s">
        <x:v>21</x:v>
      </x:c>
      <x:c r="N8906" s="0" t="s">
        <x:v>46</x:v>
      </x:c>
    </x:row>
    <x:row r="8907" spans="1:16">
      <x:c r="A8907" s="0" t="s">
        <x:v>35492</x:v>
      </x:c>
      <x:c r="B8907" s="0" t="s">
        <x:v>35493</x:v>
      </x:c>
      <x:c r="C8907" s="0" t="s">
        <x:v>35494</x:v>
      </x:c>
      <x:c r="E8907" s="0" t="s">
        <x:v>35495</x:v>
      </x:c>
      <x:c r="F8907" s="0" t="s">
        <x:v>45</x:v>
      </x:c>
      <x:c r="G8907" s="0" t="s">
        <x:v>19</x:v>
      </x:c>
      <x:c r="H8907" s="0" t="s">
        <x:v>20</x:v>
      </x:c>
      <x:c r="I8907" s="0" t="s">
        <x:v>21</x:v>
      </x:c>
      <x:c r="K8907" s="0">
        <x:f>hyperlink("https://icd.who.int/dev11/l-ichi/en#/http%3A%2F%2Fid.who.int%2Ficd%2Fentity%2F823403144","browser")</x:f>
      </x:c>
      <x:c r="L8907" s="0">
        <x:f>hyperlink("https://icat2.azurewebsites.net/icat/?ontology=ICD&amp;tab=ClassesTab&amp;id=http%3A%2F%2Fwho.int%2Ficd%232911_7005c14c_2656_4f4b_85a0_8e71c99be967","iCat")</x:f>
      </x:c>
      <x:c r="M8907" s="0" t="s">
        <x:v>21</x:v>
      </x:c>
      <x:c r="N8907" s="0" t="s">
        <x:v>46</x:v>
      </x:c>
    </x:row>
    <x:row r="8908" spans="1:16">
      <x:c r="A8908" s="0" t="s">
        <x:v>35496</x:v>
      </x:c>
      <x:c r="B8908" s="0" t="s">
        <x:v>35497</x:v>
      </x:c>
      <x:c r="C8908" s="0" t="s">
        <x:v>35498</x:v>
      </x:c>
      <x:c r="E8908" s="0" t="s">
        <x:v>35499</x:v>
      </x:c>
      <x:c r="F8908" s="0" t="s">
        <x:v>45</x:v>
      </x:c>
      <x:c r="G8908" s="0" t="s">
        <x:v>19</x:v>
      </x:c>
      <x:c r="H8908" s="0" t="s">
        <x:v>20</x:v>
      </x:c>
      <x:c r="I8908" s="0" t="s">
        <x:v>21</x:v>
      </x:c>
      <x:c r="K8908" s="0">
        <x:f>hyperlink("https://icd.who.int/dev11/l-ichi/en#/http%3A%2F%2Fid.who.int%2Ficd%2Fentity%2F1634728761","browser")</x:f>
      </x:c>
      <x:c r="L8908" s="0">
        <x:f>hyperlink("https://icat2.azurewebsites.net/icat/?ontology=ICD&amp;tab=ClassesTab&amp;id=http%3A%2F%2Fwho.int%2Ficd%232917_7005c14c_2656_4f4b_85a0_8e71c99be967","iCat")</x:f>
      </x:c>
      <x:c r="M8908" s="0" t="s">
        <x:v>21</x:v>
      </x:c>
      <x:c r="N8908" s="0" t="s">
        <x:v>46</x:v>
      </x:c>
    </x:row>
    <x:row r="8909" spans="1:16">
      <x:c r="A8909" s="0" t="s">
        <x:v>35500</x:v>
      </x:c>
      <x:c r="B8909" s="0" t="s">
        <x:v>35501</x:v>
      </x:c>
      <x:c r="C8909" s="0" t="s">
        <x:v>35502</x:v>
      </x:c>
      <x:c r="E8909" s="0" t="s">
        <x:v>35503</x:v>
      </x:c>
      <x:c r="F8909" s="0" t="s">
        <x:v>45</x:v>
      </x:c>
      <x:c r="G8909" s="0" t="s">
        <x:v>19</x:v>
      </x:c>
      <x:c r="H8909" s="0" t="s">
        <x:v>20</x:v>
      </x:c>
      <x:c r="I8909" s="0" t="s">
        <x:v>21</x:v>
      </x:c>
      <x:c r="K8909" s="0">
        <x:f>hyperlink("https://icd.who.int/dev11/l-ichi/en#/http%3A%2F%2Fid.who.int%2Ficd%2Fentity%2F349798220","browser")</x:f>
      </x:c>
      <x:c r="L8909" s="0">
        <x:f>hyperlink("https://icat2.azurewebsites.net/icat/?ontology=ICD&amp;tab=ClassesTab&amp;id=http%3A%2F%2Fwho.int%2Ficd%232923_7005c14c_2656_4f4b_85a0_8e71c99be967","iCat")</x:f>
      </x:c>
      <x:c r="M8909" s="0" t="s">
        <x:v>21</x:v>
      </x:c>
      <x:c r="N8909" s="0" t="s">
        <x:v>46</x:v>
      </x:c>
    </x:row>
    <x:row r="8910" spans="1:16">
      <x:c r="A8910" s="0" t="s">
        <x:v>35504</x:v>
      </x:c>
      <x:c r="B8910" s="0" t="s">
        <x:v>35505</x:v>
      </x:c>
      <x:c r="C8910" s="0" t="s">
        <x:v>35506</x:v>
      </x:c>
      <x:c r="E8910" s="0" t="s">
        <x:v>35507</x:v>
      </x:c>
      <x:c r="F8910" s="0" t="s">
        <x:v>45</x:v>
      </x:c>
      <x:c r="G8910" s="0" t="s">
        <x:v>19</x:v>
      </x:c>
      <x:c r="H8910" s="0" t="s">
        <x:v>20</x:v>
      </x:c>
      <x:c r="I8910" s="0" t="s">
        <x:v>21</x:v>
      </x:c>
      <x:c r="K8910" s="0">
        <x:f>hyperlink("https://icd.who.int/dev11/l-ichi/en#/http%3A%2F%2Fid.who.int%2Ficd%2Fentity%2F1059328988","browser")</x:f>
      </x:c>
      <x:c r="L8910" s="0">
        <x:f>hyperlink("https://icat2.azurewebsites.net/icat/?ontology=ICD&amp;tab=ClassesTab&amp;id=http%3A%2F%2Fwho.int%2Ficd%232929_7005c14c_2656_4f4b_85a0_8e71c99be967","iCat")</x:f>
      </x:c>
      <x:c r="M8910" s="0" t="s">
        <x:v>21</x:v>
      </x:c>
      <x:c r="N8910" s="0" t="s">
        <x:v>46</x:v>
      </x:c>
    </x:row>
    <x:row r="8911" spans="1:16">
      <x:c r="A8911" s="0" t="s">
        <x:v>35508</x:v>
      </x:c>
      <x:c r="B8911" s="0" t="s">
        <x:v>35509</x:v>
      </x:c>
      <x:c r="C8911" s="0" t="s">
        <x:v>35510</x:v>
      </x:c>
      <x:c r="E8911" s="0" t="s">
        <x:v>35511</x:v>
      </x:c>
      <x:c r="F8911" s="0" t="s">
        <x:v>45</x:v>
      </x:c>
      <x:c r="G8911" s="0" t="s">
        <x:v>19</x:v>
      </x:c>
      <x:c r="H8911" s="0" t="s">
        <x:v>20</x:v>
      </x:c>
      <x:c r="I8911" s="0" t="s">
        <x:v>21</x:v>
      </x:c>
      <x:c r="K8911" s="0">
        <x:f>hyperlink("https://icd.who.int/dev11/l-ichi/en#/http%3A%2F%2Fid.who.int%2Ficd%2Fentity%2F778515372","browser")</x:f>
      </x:c>
      <x:c r="L8911" s="0">
        <x:f>hyperlink("https://icat2.azurewebsites.net/icat/?ontology=ICD&amp;tab=ClassesTab&amp;id=http%3A%2F%2Fwho.int%2Ficd%232935_7005c14c_2656_4f4b_85a0_8e71c99be967","iCat")</x:f>
      </x:c>
      <x:c r="M8911" s="0" t="s">
        <x:v>21</x:v>
      </x:c>
      <x:c r="N8911" s="0" t="s">
        <x:v>46</x:v>
      </x:c>
    </x:row>
    <x:row r="8912" spans="1:16">
      <x:c r="A8912" s="0" t="s">
        <x:v>35512</x:v>
      </x:c>
      <x:c r="B8912" s="0" t="s">
        <x:v>35513</x:v>
      </x:c>
      <x:c r="C8912" s="0" t="s">
        <x:v>35514</x:v>
      </x:c>
      <x:c r="E8912" s="0" t="s">
        <x:v>35515</x:v>
      </x:c>
      <x:c r="F8912" s="0" t="s">
        <x:v>45</x:v>
      </x:c>
      <x:c r="G8912" s="0" t="s">
        <x:v>19</x:v>
      </x:c>
      <x:c r="H8912" s="0" t="s">
        <x:v>20</x:v>
      </x:c>
      <x:c r="I8912" s="0" t="s">
        <x:v>21</x:v>
      </x:c>
      <x:c r="K8912" s="0">
        <x:f>hyperlink("https://icd.who.int/dev11/l-ichi/en#/http%3A%2F%2Fid.who.int%2Ficd%2Fentity%2F733406402","browser")</x:f>
      </x:c>
      <x:c r="L8912" s="0">
        <x:f>hyperlink("https://icat2.azurewebsites.net/icat/?ontology=ICD&amp;tab=ClassesTab&amp;id=http%3A%2F%2Fwho.int%2Ficd%232941_7005c14c_2656_4f4b_85a0_8e71c99be967","iCat")</x:f>
      </x:c>
      <x:c r="M8912" s="0" t="s">
        <x:v>21</x:v>
      </x:c>
      <x:c r="N8912" s="0" t="s">
        <x:v>46</x:v>
      </x:c>
    </x:row>
    <x:row r="8913" spans="1:16">
      <x:c r="A8913" s="0" t="s">
        <x:v>35516</x:v>
      </x:c>
      <x:c r="B8913" s="0" t="s">
        <x:v>35517</x:v>
      </x:c>
      <x:c r="C8913" s="0" t="s">
        <x:v>35518</x:v>
      </x:c>
      <x:c r="E8913" s="0" t="s">
        <x:v>35519</x:v>
      </x:c>
      <x:c r="F8913" s="0" t="s">
        <x:v>45</x:v>
      </x:c>
      <x:c r="G8913" s="0" t="s">
        <x:v>19</x:v>
      </x:c>
      <x:c r="H8913" s="0" t="s">
        <x:v>20</x:v>
      </x:c>
      <x:c r="I8913" s="0" t="s">
        <x:v>21</x:v>
      </x:c>
      <x:c r="K8913" s="0">
        <x:f>hyperlink("https://icd.who.int/dev11/l-ichi/en#/http%3A%2F%2Fid.who.int%2Ficd%2Fentity%2F2077048179","browser")</x:f>
      </x:c>
      <x:c r="L8913" s="0">
        <x:f>hyperlink("https://icat2.azurewebsites.net/icat/?ontology=ICD&amp;tab=ClassesTab&amp;id=http%3A%2F%2Fwho.int%2Ficd%232947_7005c14c_2656_4f4b_85a0_8e71c99be967","iCat")</x:f>
      </x:c>
      <x:c r="M8913" s="0" t="s">
        <x:v>21</x:v>
      </x:c>
      <x:c r="N8913" s="0" t="s">
        <x:v>46</x:v>
      </x:c>
    </x:row>
    <x:row r="8914" spans="1:16">
      <x:c r="A8914" s="0" t="s">
        <x:v>35520</x:v>
      </x:c>
      <x:c r="B8914" s="0" t="s">
        <x:v>35521</x:v>
      </x:c>
      <x:c r="C8914" s="0" t="s">
        <x:v>35522</x:v>
      </x:c>
      <x:c r="E8914" s="0" t="s">
        <x:v>35523</x:v>
      </x:c>
      <x:c r="F8914" s="0" t="s">
        <x:v>45</x:v>
      </x:c>
      <x:c r="G8914" s="0" t="s">
        <x:v>19</x:v>
      </x:c>
      <x:c r="H8914" s="0" t="s">
        <x:v>20</x:v>
      </x:c>
      <x:c r="I8914" s="0" t="s">
        <x:v>21</x:v>
      </x:c>
      <x:c r="K8914" s="0">
        <x:f>hyperlink("https://icd.who.int/dev11/l-ichi/en#/http%3A%2F%2Fid.who.int%2Ficd%2Fentity%2F604990544","browser")</x:f>
      </x:c>
      <x:c r="L8914" s="0">
        <x:f>hyperlink("https://icat2.azurewebsites.net/icat/?ontology=ICD&amp;tab=ClassesTab&amp;id=http%3A%2F%2Fwho.int%2Ficd%232953_7005c14c_2656_4f4b_85a0_8e71c99be967","iCat")</x:f>
      </x:c>
      <x:c r="M8914" s="0" t="s">
        <x:v>21</x:v>
      </x:c>
      <x:c r="N8914" s="0" t="s">
        <x:v>46</x:v>
      </x:c>
    </x:row>
    <x:row r="8915" spans="1:16">
      <x:c r="A8915" s="0" t="s">
        <x:v>35524</x:v>
      </x:c>
      <x:c r="B8915" s="0" t="s">
        <x:v>35525</x:v>
      </x:c>
      <x:c r="C8915" s="0" t="s">
        <x:v>35526</x:v>
      </x:c>
      <x:c r="E8915" s="0" t="s">
        <x:v>35527</x:v>
      </x:c>
      <x:c r="F8915" s="0" t="s">
        <x:v>45</x:v>
      </x:c>
      <x:c r="G8915" s="0" t="s">
        <x:v>19</x:v>
      </x:c>
      <x:c r="H8915" s="0" t="s">
        <x:v>20</x:v>
      </x:c>
      <x:c r="I8915" s="0" t="s">
        <x:v>21</x:v>
      </x:c>
      <x:c r="K8915" s="0">
        <x:f>hyperlink("https://icd.who.int/dev11/l-ichi/en#/http%3A%2F%2Fid.who.int%2Ficd%2Fentity%2F267518144","browser")</x:f>
      </x:c>
      <x:c r="L8915" s="0">
        <x:f>hyperlink("https://icat2.azurewebsites.net/icat/?ontology=ICD&amp;tab=ClassesTab&amp;id=http%3A%2F%2Fwho.int%2Ficd%232959_7005c14c_2656_4f4b_85a0_8e71c99be967","iCat")</x:f>
      </x:c>
      <x:c r="M8915" s="0" t="s">
        <x:v>21</x:v>
      </x:c>
      <x:c r="N8915" s="0" t="s">
        <x:v>46</x:v>
      </x:c>
    </x:row>
    <x:row r="8916" spans="1:16">
      <x:c r="A8916" s="0" t="s">
        <x:v>35528</x:v>
      </x:c>
      <x:c r="B8916" s="0" t="s">
        <x:v>35529</x:v>
      </x:c>
      <x:c r="C8916" s="0" t="s">
        <x:v>35530</x:v>
      </x:c>
      <x:c r="E8916" s="0" t="s">
        <x:v>35531</x:v>
      </x:c>
      <x:c r="F8916" s="0" t="s">
        <x:v>45</x:v>
      </x:c>
      <x:c r="G8916" s="0" t="s">
        <x:v>19</x:v>
      </x:c>
      <x:c r="H8916" s="0" t="s">
        <x:v>20</x:v>
      </x:c>
      <x:c r="I8916" s="0" t="s">
        <x:v>21</x:v>
      </x:c>
      <x:c r="K8916" s="0">
        <x:f>hyperlink("https://icd.who.int/dev11/l-ichi/en#/http%3A%2F%2Fid.who.int%2Ficd%2Fentity%2F885388774","browser")</x:f>
      </x:c>
      <x:c r="L8916" s="0">
        <x:f>hyperlink("https://icat2.azurewebsites.net/icat/?ontology=ICD&amp;tab=ClassesTab&amp;id=http%3A%2F%2Fwho.int%2Ficd%232965_7005c14c_2656_4f4b_85a0_8e71c99be967","iCat")</x:f>
      </x:c>
      <x:c r="M8916" s="0" t="s">
        <x:v>21</x:v>
      </x:c>
      <x:c r="N8916" s="0" t="s">
        <x:v>46</x:v>
      </x:c>
    </x:row>
    <x:row r="8917" spans="1:16">
      <x:c r="A8917" s="0" t="s">
        <x:v>35532</x:v>
      </x:c>
      <x:c r="B8917" s="0" t="s">
        <x:v>35533</x:v>
      </x:c>
      <x:c r="C8917" s="0" t="s">
        <x:v>35534</x:v>
      </x:c>
      <x:c r="E8917" s="0" t="s">
        <x:v>35535</x:v>
      </x:c>
      <x:c r="F8917" s="0" t="s">
        <x:v>45</x:v>
      </x:c>
      <x:c r="G8917" s="0" t="s">
        <x:v>19</x:v>
      </x:c>
      <x:c r="H8917" s="0" t="s">
        <x:v>20</x:v>
      </x:c>
      <x:c r="I8917" s="0" t="s">
        <x:v>21</x:v>
      </x:c>
      <x:c r="K8917" s="0">
        <x:f>hyperlink("https://icd.who.int/dev11/l-ichi/en#/http%3A%2F%2Fid.who.int%2Ficd%2Fentity%2F1795663045","browser")</x:f>
      </x:c>
      <x:c r="L8917" s="0">
        <x:f>hyperlink("https://icat2.azurewebsites.net/icat/?ontology=ICD&amp;tab=ClassesTab&amp;id=http%3A%2F%2Fwho.int%2Ficd%232971_7005c14c_2656_4f4b_85a0_8e71c99be967","iCat")</x:f>
      </x:c>
      <x:c r="M8917" s="0" t="s">
        <x:v>21</x:v>
      </x:c>
      <x:c r="N8917" s="0" t="s">
        <x:v>46</x:v>
      </x:c>
    </x:row>
    <x:row r="8918" spans="1:16">
      <x:c r="A8918" s="0" t="s">
        <x:v>35536</x:v>
      </x:c>
      <x:c r="B8918" s="0" t="s">
        <x:v>35537</x:v>
      </x:c>
      <x:c r="C8918" s="0" t="s">
        <x:v>35538</x:v>
      </x:c>
      <x:c r="E8918" s="0" t="s">
        <x:v>35539</x:v>
      </x:c>
      <x:c r="F8918" s="0" t="s">
        <x:v>45</x:v>
      </x:c>
      <x:c r="G8918" s="0" t="s">
        <x:v>19</x:v>
      </x:c>
      <x:c r="H8918" s="0" t="s">
        <x:v>20</x:v>
      </x:c>
      <x:c r="I8918" s="0" t="s">
        <x:v>21</x:v>
      </x:c>
      <x:c r="K8918" s="0">
        <x:f>hyperlink("https://icd.who.int/dev11/l-ichi/en#/http%3A%2F%2Fid.who.int%2Ficd%2Fentity%2F998014324","browser")</x:f>
      </x:c>
      <x:c r="L8918" s="0">
        <x:f>hyperlink("https://icat2.azurewebsites.net/icat/?ontology=ICD&amp;tab=ClassesTab&amp;id=http%3A%2F%2Fwho.int%2Ficd%232977_7005c14c_2656_4f4b_85a0_8e71c99be967","iCat")</x:f>
      </x:c>
      <x:c r="M8918" s="0" t="s">
        <x:v>21</x:v>
      </x:c>
      <x:c r="N8918" s="0" t="s">
        <x:v>46</x:v>
      </x:c>
    </x:row>
    <x:row r="8919" spans="1:16">
      <x:c r="A8919" s="0" t="s">
        <x:v>35540</x:v>
      </x:c>
      <x:c r="B8919" s="0" t="s">
        <x:v>35541</x:v>
      </x:c>
      <x:c r="C8919" s="0" t="s">
        <x:v>35542</x:v>
      </x:c>
      <x:c r="E8919" s="0" t="s">
        <x:v>35543</x:v>
      </x:c>
      <x:c r="F8919" s="0" t="s">
        <x:v>45</x:v>
      </x:c>
      <x:c r="G8919" s="0" t="s">
        <x:v>19</x:v>
      </x:c>
      <x:c r="H8919" s="0" t="s">
        <x:v>20</x:v>
      </x:c>
      <x:c r="I8919" s="0" t="s">
        <x:v>21</x:v>
      </x:c>
      <x:c r="K8919" s="0">
        <x:f>hyperlink("https://icd.who.int/dev11/l-ichi/en#/http%3A%2F%2Fid.who.int%2Ficd%2Fentity%2F563934176","browser")</x:f>
      </x:c>
      <x:c r="L8919" s="0">
        <x:f>hyperlink("https://icat2.azurewebsites.net/icat/?ontology=ICD&amp;tab=ClassesTab&amp;id=http%3A%2F%2Fwho.int%2Ficd%232983_7005c14c_2656_4f4b_85a0_8e71c99be967","iCat")</x:f>
      </x:c>
      <x:c r="M8919" s="0" t="s">
        <x:v>21</x:v>
      </x:c>
      <x:c r="N8919" s="0" t="s">
        <x:v>46</x:v>
      </x:c>
    </x:row>
    <x:row r="8920" spans="1:16">
      <x:c r="A8920" s="0" t="s">
        <x:v>35544</x:v>
      </x:c>
      <x:c r="B8920" s="0" t="s">
        <x:v>35545</x:v>
      </x:c>
      <x:c r="C8920" s="0" t="s">
        <x:v>35546</x:v>
      </x:c>
      <x:c r="E8920" s="0" t="s">
        <x:v>35547</x:v>
      </x:c>
      <x:c r="F8920" s="0" t="s">
        <x:v>45</x:v>
      </x:c>
      <x:c r="G8920" s="0" t="s">
        <x:v>19</x:v>
      </x:c>
      <x:c r="H8920" s="0" t="s">
        <x:v>20</x:v>
      </x:c>
      <x:c r="I8920" s="0" t="s">
        <x:v>21</x:v>
      </x:c>
      <x:c r="K8920" s="0">
        <x:f>hyperlink("https://icd.who.int/dev11/l-ichi/en#/http%3A%2F%2Fid.who.int%2Ficd%2Fentity%2F174169936","browser")</x:f>
      </x:c>
      <x:c r="L8920" s="0">
        <x:f>hyperlink("https://icat2.azurewebsites.net/icat/?ontology=ICD&amp;tab=ClassesTab&amp;id=http%3A%2F%2Fwho.int%2Ficd%232989_7005c14c_2656_4f4b_85a0_8e71c99be967","iCat")</x:f>
      </x:c>
      <x:c r="M8920" s="0" t="s">
        <x:v>21</x:v>
      </x:c>
      <x:c r="N8920" s="0" t="s">
        <x:v>46</x:v>
      </x:c>
    </x:row>
    <x:row r="8921" spans="1:16">
      <x:c r="A8921" s="0" t="s">
        <x:v>35548</x:v>
      </x:c>
      <x:c r="B8921" s="0" t="s">
        <x:v>35549</x:v>
      </x:c>
      <x:c r="C8921" s="0" t="s">
        <x:v>35550</x:v>
      </x:c>
      <x:c r="E8921" s="0" t="s">
        <x:v>35551</x:v>
      </x:c>
      <x:c r="F8921" s="0" t="s">
        <x:v>45</x:v>
      </x:c>
      <x:c r="G8921" s="0" t="s">
        <x:v>19</x:v>
      </x:c>
      <x:c r="H8921" s="0" t="s">
        <x:v>20</x:v>
      </x:c>
      <x:c r="I8921" s="0" t="s">
        <x:v>21</x:v>
      </x:c>
      <x:c r="K8921" s="0">
        <x:f>hyperlink("https://icd.who.int/dev11/l-ichi/en#/http%3A%2F%2Fid.who.int%2Ficd%2Fentity%2F455262008","browser")</x:f>
      </x:c>
      <x:c r="L8921" s="0">
        <x:f>hyperlink("https://icat2.azurewebsites.net/icat/?ontology=ICD&amp;tab=ClassesTab&amp;id=http%3A%2F%2Fwho.int%2Ficd%232995_7005c14c_2656_4f4b_85a0_8e71c99be967","iCat")</x:f>
      </x:c>
      <x:c r="M8921" s="0" t="s">
        <x:v>21</x:v>
      </x:c>
      <x:c r="N8921" s="0" t="s">
        <x:v>46</x:v>
      </x:c>
    </x:row>
    <x:row r="8922" spans="1:16">
      <x:c r="A8922" s="0" t="s">
        <x:v>35552</x:v>
      </x:c>
      <x:c r="B8922" s="0" t="s">
        <x:v>35553</x:v>
      </x:c>
      <x:c r="C8922" s="0" t="s">
        <x:v>35554</x:v>
      </x:c>
      <x:c r="E8922" s="0" t="s">
        <x:v>35555</x:v>
      </x:c>
      <x:c r="F8922" s="0" t="s">
        <x:v>45</x:v>
      </x:c>
      <x:c r="G8922" s="0" t="s">
        <x:v>19</x:v>
      </x:c>
      <x:c r="H8922" s="0" t="s">
        <x:v>20</x:v>
      </x:c>
      <x:c r="I8922" s="0" t="s">
        <x:v>21</x:v>
      </x:c>
      <x:c r="K8922" s="0">
        <x:f>hyperlink("https://icd.who.int/dev11/l-ichi/en#/http%3A%2F%2Fid.who.int%2Ficd%2Fentity%2F2101694619","browser")</x:f>
      </x:c>
      <x:c r="L8922" s="0">
        <x:f>hyperlink("https://icat2.azurewebsites.net/icat/?ontology=ICD&amp;tab=ClassesTab&amp;id=http%3A%2F%2Fwho.int%2Ficd%233001_7005c14c_2656_4f4b_85a0_8e71c99be967","iCat")</x:f>
      </x:c>
      <x:c r="M8922" s="0" t="s">
        <x:v>21</x:v>
      </x:c>
      <x:c r="N8922" s="0" t="s">
        <x:v>46</x:v>
      </x:c>
    </x:row>
    <x:row r="8923" spans="1:16">
      <x:c r="A8923" s="0" t="s">
        <x:v>35556</x:v>
      </x:c>
      <x:c r="B8923" s="0" t="s">
        <x:v>35557</x:v>
      </x:c>
      <x:c r="C8923" s="0" t="s">
        <x:v>35558</x:v>
      </x:c>
      <x:c r="E8923" s="0" t="s">
        <x:v>35559</x:v>
      </x:c>
      <x:c r="F8923" s="0" t="s">
        <x:v>45</x:v>
      </x:c>
      <x:c r="G8923" s="0" t="s">
        <x:v>19</x:v>
      </x:c>
      <x:c r="H8923" s="0" t="s">
        <x:v>20</x:v>
      </x:c>
      <x:c r="I8923" s="0" t="s">
        <x:v>21</x:v>
      </x:c>
      <x:c r="K8923" s="0">
        <x:f>hyperlink("https://icd.who.int/dev11/l-ichi/en#/http%3A%2F%2Fid.who.int%2Ficd%2Fentity%2F759073066","browser")</x:f>
      </x:c>
      <x:c r="L8923" s="0">
        <x:f>hyperlink("https://icat2.azurewebsites.net/icat/?ontology=ICD&amp;tab=ClassesTab&amp;id=http%3A%2F%2Fwho.int%2Ficd%233007_7005c14c_2656_4f4b_85a0_8e71c99be967","iCat")</x:f>
      </x:c>
      <x:c r="M8923" s="0" t="s">
        <x:v>21</x:v>
      </x:c>
      <x:c r="N8923" s="0" t="s">
        <x:v>46</x:v>
      </x:c>
    </x:row>
    <x:row r="8924" spans="1:16">
      <x:c r="A8924" s="0" t="s">
        <x:v>35560</x:v>
      </x:c>
      <x:c r="B8924" s="0" t="s">
        <x:v>35561</x:v>
      </x:c>
      <x:c r="C8924" s="0" t="s">
        <x:v>35562</x:v>
      </x:c>
      <x:c r="E8924" s="0" t="s">
        <x:v>35563</x:v>
      </x:c>
      <x:c r="F8924" s="0" t="s">
        <x:v>45</x:v>
      </x:c>
      <x:c r="G8924" s="0" t="s">
        <x:v>19</x:v>
      </x:c>
      <x:c r="H8924" s="0" t="s">
        <x:v>20</x:v>
      </x:c>
      <x:c r="I8924" s="0" t="s">
        <x:v>21</x:v>
      </x:c>
      <x:c r="K8924" s="0">
        <x:f>hyperlink("https://icd.who.int/dev11/l-ichi/en#/http%3A%2F%2Fid.who.int%2Ficd%2Fentity%2F928175934","browser")</x:f>
      </x:c>
      <x:c r="L8924" s="0">
        <x:f>hyperlink("https://icat2.azurewebsites.net/icat/?ontology=ICD&amp;tab=ClassesTab&amp;id=http%3A%2F%2Fwho.int%2Ficd%2348121_512ebf36_bf6b_4d70_85da_cf2637062af4","iCat")</x:f>
      </x:c>
      <x:c r="M8924" s="0" t="s">
        <x:v>21</x:v>
      </x:c>
      <x:c r="N8924" s="0" t="s">
        <x:v>46</x:v>
      </x:c>
    </x:row>
    <x:row r="8925" spans="1:16">
      <x:c r="A8925" s="0" t="s">
        <x:v>35564</x:v>
      </x:c>
      <x:c r="B8925" s="0" t="s">
        <x:v>35565</x:v>
      </x:c>
      <x:c r="C8925" s="0" t="s">
        <x:v>35566</x:v>
      </x:c>
      <x:c r="E8925" s="0" t="s">
        <x:v>35567</x:v>
      </x:c>
      <x:c r="F8925" s="0" t="s">
        <x:v>45</x:v>
      </x:c>
      <x:c r="G8925" s="0" t="s">
        <x:v>19</x:v>
      </x:c>
      <x:c r="H8925" s="0" t="s">
        <x:v>20</x:v>
      </x:c>
      <x:c r="I8925" s="0" t="s">
        <x:v>21</x:v>
      </x:c>
      <x:c r="K8925" s="0">
        <x:f>hyperlink("https://icd.who.int/dev11/l-ichi/en#/http%3A%2F%2Fid.who.int%2Ficd%2Fentity%2F953986004","browser")</x:f>
      </x:c>
      <x:c r="L8925" s="0">
        <x:f>hyperlink("https://icat2.azurewebsites.net/icat/?ontology=ICD&amp;tab=ClassesTab&amp;id=http%3A%2F%2Fwho.int%2Ficd%2312_b334450b_0498_4e0b_ac78_eed6972cd32c","iCat")</x:f>
      </x:c>
      <x:c r="M8925" s="0" t="s">
        <x:v>21</x:v>
      </x:c>
      <x:c r="N8925" s="0" t="s">
        <x:v>46</x:v>
      </x:c>
    </x:row>
    <x:row r="8926" spans="1:16">
      <x:c r="A8926" s="0" t="s">
        <x:v>35568</x:v>
      </x:c>
      <x:c r="B8926" s="0" t="s">
        <x:v>35569</x:v>
      </x:c>
      <x:c r="C8926" s="0" t="s">
        <x:v>35570</x:v>
      </x:c>
      <x:c r="E8926" s="0" t="s">
        <x:v>35571</x:v>
      </x:c>
      <x:c r="F8926" s="0" t="s">
        <x:v>45</x:v>
      </x:c>
      <x:c r="G8926" s="0" t="s">
        <x:v>19</x:v>
      </x:c>
      <x:c r="H8926" s="0" t="s">
        <x:v>20</x:v>
      </x:c>
      <x:c r="I8926" s="0" t="s">
        <x:v>21</x:v>
      </x:c>
      <x:c r="K8926" s="0">
        <x:f>hyperlink("https://icd.who.int/dev11/l-ichi/en#/http%3A%2F%2Fid.who.int%2Ficd%2Fentity%2F1495979093","browser")</x:f>
      </x:c>
      <x:c r="L8926" s="0">
        <x:f>hyperlink("https://icat2.azurewebsites.net/icat/?ontology=ICD&amp;tab=ClassesTab&amp;id=http%3A%2F%2Fwho.int%2Ficd%2348128_512ebf36_bf6b_4d70_85da_cf2637062af4","iCat")</x:f>
      </x:c>
      <x:c r="M8926" s="0" t="s">
        <x:v>21</x:v>
      </x:c>
      <x:c r="N8926" s="0" t="s">
        <x:v>46</x:v>
      </x:c>
    </x:row>
    <x:row r="8927" spans="1:16">
      <x:c r="A8927" s="0" t="s">
        <x:v>35572</x:v>
      </x:c>
      <x:c r="B8927" s="0" t="s">
        <x:v>35573</x:v>
      </x:c>
      <x:c r="C8927" s="0" t="s">
        <x:v>35574</x:v>
      </x:c>
      <x:c r="E8927" s="0" t="s">
        <x:v>35575</x:v>
      </x:c>
      <x:c r="F8927" s="0" t="s">
        <x:v>45</x:v>
      </x:c>
      <x:c r="G8927" s="0" t="s">
        <x:v>19</x:v>
      </x:c>
      <x:c r="H8927" s="0" t="s">
        <x:v>20</x:v>
      </x:c>
      <x:c r="I8927" s="0" t="s">
        <x:v>21</x:v>
      </x:c>
      <x:c r="K8927" s="0">
        <x:f>hyperlink("https://icd.who.int/dev11/l-ichi/en#/http%3A%2F%2Fid.who.int%2Ficd%2Fentity%2F1754301983","browser")</x:f>
      </x:c>
      <x:c r="L8927" s="0">
        <x:f>hyperlink("https://icat2.azurewebsites.net/icat/?ontology=ICD&amp;tab=ClassesTab&amp;id=http%3A%2F%2Fwho.int%2Ficd%2348135_512ebf36_bf6b_4d70_85da_cf2637062af4","iCat")</x:f>
      </x:c>
      <x:c r="M8927" s="0" t="s">
        <x:v>21</x:v>
      </x:c>
      <x:c r="N8927" s="0" t="s">
        <x:v>46</x:v>
      </x:c>
    </x:row>
    <x:row r="8928" spans="1:16">
      <x:c r="A8928" s="0" t="s">
        <x:v>35576</x:v>
      </x:c>
      <x:c r="B8928" s="0" t="s">
        <x:v>35577</x:v>
      </x:c>
      <x:c r="C8928" s="0" t="s">
        <x:v>35578</x:v>
      </x:c>
      <x:c r="E8928" s="0" t="s">
        <x:v>35579</x:v>
      </x:c>
      <x:c r="F8928" s="0" t="s">
        <x:v>45</x:v>
      </x:c>
      <x:c r="G8928" s="0" t="s">
        <x:v>19</x:v>
      </x:c>
      <x:c r="H8928" s="0" t="s">
        <x:v>20</x:v>
      </x:c>
      <x:c r="I8928" s="0" t="s">
        <x:v>21</x:v>
      </x:c>
      <x:c r="K8928" s="0">
        <x:f>hyperlink("https://icd.who.int/dev11/l-ichi/en#/http%3A%2F%2Fid.who.int%2Ficd%2Fentity%2F320980804","browser")</x:f>
      </x:c>
      <x:c r="L8928" s="0">
        <x:f>hyperlink("https://icat2.azurewebsites.net/icat/?ontology=ICD&amp;tab=ClassesTab&amp;id=http%3A%2F%2Fwho.int%2Ficd%2318_b334450b_0498_4e0b_ac78_eed6972cd32c","iCat")</x:f>
      </x:c>
      <x:c r="M8928" s="0" t="s">
        <x:v>21</x:v>
      </x:c>
      <x:c r="N8928" s="0" t="s">
        <x:v>46</x:v>
      </x:c>
    </x:row>
    <x:row r="8929" spans="1:16">
      <x:c r="A8929" s="0" t="s">
        <x:v>35580</x:v>
      </x:c>
      <x:c r="B8929" s="0" t="s">
        <x:v>35581</x:v>
      </x:c>
      <x:c r="C8929" s="0" t="s">
        <x:v>35582</x:v>
      </x:c>
      <x:c r="E8929" s="0" t="s">
        <x:v>35583</x:v>
      </x:c>
      <x:c r="F8929" s="0" t="s">
        <x:v>45</x:v>
      </x:c>
      <x:c r="G8929" s="0" t="s">
        <x:v>19</x:v>
      </x:c>
      <x:c r="H8929" s="0" t="s">
        <x:v>20</x:v>
      </x:c>
      <x:c r="I8929" s="0" t="s">
        <x:v>21</x:v>
      </x:c>
      <x:c r="K8929" s="0">
        <x:f>hyperlink("https://icd.who.int/dev11/l-ichi/en#/http%3A%2F%2Fid.who.int%2Ficd%2Fentity%2F672543334","browser")</x:f>
      </x:c>
      <x:c r="L8929" s="0">
        <x:f>hyperlink("https://icat2.azurewebsites.net/icat/?ontology=ICD&amp;tab=ClassesTab&amp;id=http%3A%2F%2Fwho.int%2Ficd%2324_b334450b_0498_4e0b_ac78_eed6972cd32c","iCat")</x:f>
      </x:c>
      <x:c r="M8929" s="0" t="s">
        <x:v>21</x:v>
      </x:c>
      <x:c r="N8929" s="0" t="s">
        <x:v>46</x:v>
      </x:c>
    </x:row>
    <x:row r="8930" spans="1:16">
      <x:c r="A8930" s="0" t="s">
        <x:v>35584</x:v>
      </x:c>
      <x:c r="B8930" s="0" t="s">
        <x:v>35585</x:v>
      </x:c>
      <x:c r="C8930" s="0" t="s">
        <x:v>35586</x:v>
      </x:c>
      <x:c r="E8930" s="0" t="s">
        <x:v>35587</x:v>
      </x:c>
      <x:c r="F8930" s="0" t="s">
        <x:v>45</x:v>
      </x:c>
      <x:c r="G8930" s="0" t="s">
        <x:v>19</x:v>
      </x:c>
      <x:c r="H8930" s="0" t="s">
        <x:v>20</x:v>
      </x:c>
      <x:c r="I8930" s="0" t="s">
        <x:v>21</x:v>
      </x:c>
      <x:c r="K8930" s="0">
        <x:f>hyperlink("https://icd.who.int/dev11/l-ichi/en#/http%3A%2F%2Fid.who.int%2Ficd%2Fentity%2F122492030","browser")</x:f>
      </x:c>
      <x:c r="L8930" s="0">
        <x:f>hyperlink("https://icat2.azurewebsites.net/icat/?ontology=ICD&amp;tab=ClassesTab&amp;id=http%3A%2F%2Fwho.int%2Ficd%2314272_4869915e_217e_423d_acb3_33c0f920ef4b","iCat")</x:f>
      </x:c>
      <x:c r="M8930" s="0" t="s">
        <x:v>21</x:v>
      </x:c>
      <x:c r="N8930" s="0" t="s">
        <x:v>46</x:v>
      </x:c>
    </x:row>
    <x:row r="8931" spans="1:16">
      <x:c r="A8931" s="0" t="s">
        <x:v>35588</x:v>
      </x:c>
      <x:c r="B8931" s="0" t="s">
        <x:v>35589</x:v>
      </x:c>
      <x:c r="C8931" s="0" t="s">
        <x:v>35590</x:v>
      </x:c>
      <x:c r="E8931" s="0" t="s">
        <x:v>35591</x:v>
      </x:c>
      <x:c r="F8931" s="0" t="s">
        <x:v>45</x:v>
      </x:c>
      <x:c r="G8931" s="0" t="s">
        <x:v>19</x:v>
      </x:c>
      <x:c r="H8931" s="0" t="s">
        <x:v>20</x:v>
      </x:c>
      <x:c r="I8931" s="0" t="s">
        <x:v>21</x:v>
      </x:c>
      <x:c r="K8931" s="0">
        <x:f>hyperlink("https://icd.who.int/dev11/l-ichi/en#/http%3A%2F%2Fid.who.int%2Ficd%2Fentity%2F2010407751","browser")</x:f>
      </x:c>
      <x:c r="L8931" s="0">
        <x:f>hyperlink("https://icat2.azurewebsites.net/icat/?ontology=ICD&amp;tab=ClassesTab&amp;id=http%3A%2F%2Fwho.int%2Ficd%2330_b334450b_0498_4e0b_ac78_eed6972cd32c","iCat")</x:f>
      </x:c>
      <x:c r="M8931" s="0" t="s">
        <x:v>21</x:v>
      </x:c>
      <x:c r="N8931" s="0" t="s">
        <x:v>46</x:v>
      </x:c>
    </x:row>
    <x:row r="8932" spans="1:16">
      <x:c r="A8932" s="0" t="s">
        <x:v>35592</x:v>
      </x:c>
      <x:c r="B8932" s="0" t="s">
        <x:v>35593</x:v>
      </x:c>
      <x:c r="C8932" s="0" t="s">
        <x:v>35594</x:v>
      </x:c>
      <x:c r="E8932" s="0" t="s">
        <x:v>35595</x:v>
      </x:c>
      <x:c r="F8932" s="0" t="s">
        <x:v>45</x:v>
      </x:c>
      <x:c r="G8932" s="0" t="s">
        <x:v>19</x:v>
      </x:c>
      <x:c r="H8932" s="0" t="s">
        <x:v>20</x:v>
      </x:c>
      <x:c r="I8932" s="0" t="s">
        <x:v>21</x:v>
      </x:c>
      <x:c r="K8932" s="0">
        <x:f>hyperlink("https://icd.who.int/dev11/l-ichi/en#/http%3A%2F%2Fid.who.int%2Ficd%2Fentity%2F665828088","browser")</x:f>
      </x:c>
      <x:c r="L8932" s="0">
        <x:f>hyperlink("https://icat2.azurewebsites.net/icat/?ontology=ICD&amp;tab=ClassesTab&amp;id=http%3A%2F%2Fwho.int%2Ficd%2336_b334450b_0498_4e0b_ac78_eed6972cd32c","iCat")</x:f>
      </x:c>
      <x:c r="M8932" s="0" t="s">
        <x:v>21</x:v>
      </x:c>
      <x:c r="N8932" s="0" t="s">
        <x:v>46</x:v>
      </x:c>
    </x:row>
    <x:row r="8933" spans="1:16">
      <x:c r="A8933" s="0" t="s">
        <x:v>35596</x:v>
      </x:c>
      <x:c r="B8933" s="0" t="s">
        <x:v>35597</x:v>
      </x:c>
      <x:c r="C8933" s="0" t="s">
        <x:v>35598</x:v>
      </x:c>
      <x:c r="E8933" s="0" t="s">
        <x:v>35599</x:v>
      </x:c>
      <x:c r="F8933" s="0" t="s">
        <x:v>45</x:v>
      </x:c>
      <x:c r="G8933" s="0" t="s">
        <x:v>19</x:v>
      </x:c>
      <x:c r="H8933" s="0" t="s">
        <x:v>20</x:v>
      </x:c>
      <x:c r="I8933" s="0" t="s">
        <x:v>21</x:v>
      </x:c>
      <x:c r="K8933" s="0">
        <x:f>hyperlink("https://icd.who.int/dev11/l-ichi/en#/http%3A%2F%2Fid.who.int%2Ficd%2Fentity%2F578710938","browser")</x:f>
      </x:c>
      <x:c r="L8933" s="0">
        <x:f>hyperlink("https://icat2.azurewebsites.net/icat/?ontology=ICD&amp;tab=ClassesTab&amp;id=http%3A%2F%2Fwho.int%2Ficd%2342_b334450b_0498_4e0b_ac78_eed6972cd32c","iCat")</x:f>
      </x:c>
      <x:c r="M8933" s="0" t="s">
        <x:v>21</x:v>
      </x:c>
      <x:c r="N8933" s="0" t="s">
        <x:v>46</x:v>
      </x:c>
    </x:row>
    <x:row r="8934" spans="1:16">
      <x:c r="A8934" s="0" t="s">
        <x:v>35600</x:v>
      </x:c>
      <x:c r="B8934" s="0" t="s">
        <x:v>35601</x:v>
      </x:c>
      <x:c r="C8934" s="0" t="s">
        <x:v>35602</x:v>
      </x:c>
      <x:c r="E8934" s="0" t="s">
        <x:v>35603</x:v>
      </x:c>
      <x:c r="F8934" s="0" t="s">
        <x:v>45</x:v>
      </x:c>
      <x:c r="G8934" s="0" t="s">
        <x:v>19</x:v>
      </x:c>
      <x:c r="H8934" s="0" t="s">
        <x:v>20</x:v>
      </x:c>
      <x:c r="I8934" s="0" t="s">
        <x:v>21</x:v>
      </x:c>
      <x:c r="K8934" s="0">
        <x:f>hyperlink("https://icd.who.int/dev11/l-ichi/en#/http%3A%2F%2Fid.who.int%2Ficd%2Fentity%2F159580426","browser")</x:f>
      </x:c>
      <x:c r="L8934" s="0">
        <x:f>hyperlink("https://icat2.azurewebsites.net/icat/?ontology=ICD&amp;tab=ClassesTab&amp;id=http%3A%2F%2Fwho.int%2Ficd%2348_b334450b_0498_4e0b_ac78_eed6972cd32c","iCat")</x:f>
      </x:c>
      <x:c r="M8934" s="0" t="s">
        <x:v>21</x:v>
      </x:c>
      <x:c r="N8934" s="0" t="s">
        <x:v>46</x:v>
      </x:c>
    </x:row>
    <x:row r="8935" spans="1:16">
      <x:c r="A8935" s="0" t="s">
        <x:v>35604</x:v>
      </x:c>
      <x:c r="B8935" s="0" t="s">
        <x:v>35605</x:v>
      </x:c>
      <x:c r="C8935" s="0" t="s">
        <x:v>35606</x:v>
      </x:c>
      <x:c r="E8935" s="0" t="s">
        <x:v>35607</x:v>
      </x:c>
      <x:c r="F8935" s="0" t="s">
        <x:v>45</x:v>
      </x:c>
      <x:c r="G8935" s="0" t="s">
        <x:v>19</x:v>
      </x:c>
      <x:c r="H8935" s="0" t="s">
        <x:v>20</x:v>
      </x:c>
      <x:c r="I8935" s="0" t="s">
        <x:v>21</x:v>
      </x:c>
      <x:c r="K8935" s="0">
        <x:f>hyperlink("https://icd.who.int/dev11/l-ichi/en#/http%3A%2F%2Fid.who.int%2Ficd%2Fentity%2F415244670","browser")</x:f>
      </x:c>
      <x:c r="L8935" s="0">
        <x:f>hyperlink("https://icat2.azurewebsites.net/icat/?ontology=ICD&amp;tab=ClassesTab&amp;id=http%3A%2F%2Fwho.int%2Ficd%2354_b334450b_0498_4e0b_ac78_eed6972cd32c","iCat")</x:f>
      </x:c>
      <x:c r="M8935" s="0" t="s">
        <x:v>21</x:v>
      </x:c>
      <x:c r="N8935" s="0" t="s">
        <x:v>46</x:v>
      </x:c>
    </x:row>
    <x:row r="8936" spans="1:16">
      <x:c r="A8936" s="0" t="s">
        <x:v>35608</x:v>
      </x:c>
      <x:c r="B8936" s="0" t="s">
        <x:v>35609</x:v>
      </x:c>
      <x:c r="C8936" s="0" t="s">
        <x:v>35610</x:v>
      </x:c>
      <x:c r="E8936" s="0" t="s">
        <x:v>35611</x:v>
      </x:c>
      <x:c r="F8936" s="0" t="s">
        <x:v>45</x:v>
      </x:c>
      <x:c r="G8936" s="0" t="s">
        <x:v>19</x:v>
      </x:c>
      <x:c r="H8936" s="0" t="s">
        <x:v>20</x:v>
      </x:c>
      <x:c r="I8936" s="0" t="s">
        <x:v>21</x:v>
      </x:c>
      <x:c r="K8936" s="0">
        <x:f>hyperlink("https://icd.who.int/dev11/l-ichi/en#/http%3A%2F%2Fid.who.int%2Ficd%2Fentity%2F1836492045","browser")</x:f>
      </x:c>
      <x:c r="L8936" s="0">
        <x:f>hyperlink("https://icat2.azurewebsites.net/icat/?ontology=ICD&amp;tab=ClassesTab&amp;id=http%3A%2F%2Fwho.int%2Ficd%2360_b334450b_0498_4e0b_ac78_eed6972cd32c","iCat")</x:f>
      </x:c>
      <x:c r="M8936" s="0" t="s">
        <x:v>21</x:v>
      </x:c>
      <x:c r="N8936" s="0" t="s">
        <x:v>46</x:v>
      </x:c>
    </x:row>
    <x:row r="8937" spans="1:16">
      <x:c r="A8937" s="0" t="s">
        <x:v>35612</x:v>
      </x:c>
      <x:c r="B8937" s="0" t="s">
        <x:v>35613</x:v>
      </x:c>
      <x:c r="C8937" s="0" t="s">
        <x:v>35614</x:v>
      </x:c>
      <x:c r="E8937" s="0" t="s">
        <x:v>35615</x:v>
      </x:c>
      <x:c r="F8937" s="0" t="s">
        <x:v>45</x:v>
      </x:c>
      <x:c r="G8937" s="0" t="s">
        <x:v>19</x:v>
      </x:c>
      <x:c r="H8937" s="0" t="s">
        <x:v>20</x:v>
      </x:c>
      <x:c r="I8937" s="0" t="s">
        <x:v>21</x:v>
      </x:c>
      <x:c r="K8937" s="0">
        <x:f>hyperlink("https://icd.who.int/dev11/l-ichi/en#/http%3A%2F%2Fid.who.int%2Ficd%2Fentity%2F1024294078","browser")</x:f>
      </x:c>
      <x:c r="L8937" s="0">
        <x:f>hyperlink("https://icat2.azurewebsites.net/icat/?ontology=ICD&amp;tab=ClassesTab&amp;id=http%3A%2F%2Fwho.int%2Ficd%2366_b334450b_0498_4e0b_ac78_eed6972cd32c","iCat")</x:f>
      </x:c>
      <x:c r="M8937" s="0" t="s">
        <x:v>21</x:v>
      </x:c>
      <x:c r="N8937" s="0" t="s">
        <x:v>46</x:v>
      </x:c>
    </x:row>
    <x:row r="8938" spans="1:16">
      <x:c r="A8938" s="0" t="s">
        <x:v>35616</x:v>
      </x:c>
      <x:c r="B8938" s="0" t="s">
        <x:v>35617</x:v>
      </x:c>
      <x:c r="C8938" s="0" t="s">
        <x:v>35618</x:v>
      </x:c>
      <x:c r="E8938" s="0" t="s">
        <x:v>35619</x:v>
      </x:c>
      <x:c r="F8938" s="0" t="s">
        <x:v>45</x:v>
      </x:c>
      <x:c r="G8938" s="0" t="s">
        <x:v>19</x:v>
      </x:c>
      <x:c r="H8938" s="0" t="s">
        <x:v>20</x:v>
      </x:c>
      <x:c r="I8938" s="0" t="s">
        <x:v>21</x:v>
      </x:c>
      <x:c r="K8938" s="0">
        <x:f>hyperlink("https://icd.who.int/dev11/l-ichi/en#/http%3A%2F%2Fid.who.int%2Ficd%2Fentity%2F1657744799","browser")</x:f>
      </x:c>
      <x:c r="L8938" s="0">
        <x:f>hyperlink("https://icat2.azurewebsites.net/icat/?ontology=ICD&amp;tab=ClassesTab&amp;id=http%3A%2F%2Fwho.int%2Ficd%2372_b334450b_0498_4e0b_ac78_eed6972cd32c","iCat")</x:f>
      </x:c>
      <x:c r="M8938" s="0" t="s">
        <x:v>21</x:v>
      </x:c>
      <x:c r="N8938" s="0" t="s">
        <x:v>46</x:v>
      </x:c>
    </x:row>
    <x:row r="8939" spans="1:16">
      <x:c r="A8939" s="0" t="s">
        <x:v>35620</x:v>
      </x:c>
      <x:c r="B8939" s="0" t="s">
        <x:v>35621</x:v>
      </x:c>
      <x:c r="C8939" s="0" t="s">
        <x:v>35622</x:v>
      </x:c>
      <x:c r="E8939" s="0" t="s">
        <x:v>35623</x:v>
      </x:c>
      <x:c r="F8939" s="0" t="s">
        <x:v>45</x:v>
      </x:c>
      <x:c r="G8939" s="0" t="s">
        <x:v>19</x:v>
      </x:c>
      <x:c r="H8939" s="0" t="s">
        <x:v>20</x:v>
      </x:c>
      <x:c r="I8939" s="0" t="s">
        <x:v>21</x:v>
      </x:c>
      <x:c r="K8939" s="0">
        <x:f>hyperlink("https://icd.who.int/dev11/l-ichi/en#/http%3A%2F%2Fid.who.int%2Ficd%2Fentity%2F1228030223","browser")</x:f>
      </x:c>
      <x:c r="L8939" s="0">
        <x:f>hyperlink("https://icat2.azurewebsites.net/icat/?ontology=ICD&amp;tab=ClassesTab&amp;id=http%3A%2F%2Fwho.int%2Ficd%2378_b334450b_0498_4e0b_ac78_eed6972cd32c","iCat")</x:f>
      </x:c>
      <x:c r="M8939" s="0" t="s">
        <x:v>21</x:v>
      </x:c>
      <x:c r="N8939" s="0" t="s">
        <x:v>46</x:v>
      </x:c>
    </x:row>
    <x:row r="8940" spans="1:16">
      <x:c r="A8940" s="0" t="s">
        <x:v>35624</x:v>
      </x:c>
      <x:c r="B8940" s="0" t="s">
        <x:v>35625</x:v>
      </x:c>
      <x:c r="C8940" s="0" t="s">
        <x:v>35626</x:v>
      </x:c>
      <x:c r="E8940" s="0" t="s">
        <x:v>35627</x:v>
      </x:c>
      <x:c r="F8940" s="0" t="s">
        <x:v>45</x:v>
      </x:c>
      <x:c r="G8940" s="0" t="s">
        <x:v>19</x:v>
      </x:c>
      <x:c r="H8940" s="0" t="s">
        <x:v>20</x:v>
      </x:c>
      <x:c r="I8940" s="0" t="s">
        <x:v>21</x:v>
      </x:c>
      <x:c r="K8940" s="0">
        <x:f>hyperlink("https://icd.who.int/dev11/l-ichi/en#/http%3A%2F%2Fid.who.int%2Ficd%2Fentity%2F492027634","browser")</x:f>
      </x:c>
      <x:c r="L8940" s="0">
        <x:f>hyperlink("https://icat2.azurewebsites.net/icat/?ontology=ICD&amp;tab=ClassesTab&amp;id=http%3A%2F%2Fwho.int%2Ficd%2384_b334450b_0498_4e0b_ac78_eed6972cd32c","iCat")</x:f>
      </x:c>
      <x:c r="M8940" s="0" t="s">
        <x:v>21</x:v>
      </x:c>
      <x:c r="N8940" s="0" t="s">
        <x:v>46</x:v>
      </x:c>
    </x:row>
    <x:row r="8941" spans="1:16">
      <x:c r="A8941" s="0" t="s">
        <x:v>35628</x:v>
      </x:c>
      <x:c r="B8941" s="0" t="s">
        <x:v>35629</x:v>
      </x:c>
      <x:c r="C8941" s="0" t="s">
        <x:v>35630</x:v>
      </x:c>
      <x:c r="E8941" s="0" t="s">
        <x:v>35631</x:v>
      </x:c>
      <x:c r="F8941" s="0" t="s">
        <x:v>45</x:v>
      </x:c>
      <x:c r="G8941" s="0" t="s">
        <x:v>19</x:v>
      </x:c>
      <x:c r="H8941" s="0" t="s">
        <x:v>20</x:v>
      </x:c>
      <x:c r="I8941" s="0" t="s">
        <x:v>21</x:v>
      </x:c>
      <x:c r="K8941" s="0">
        <x:f>hyperlink("https://icd.who.int/dev11/l-ichi/en#/http%3A%2F%2Fid.who.int%2Ficd%2Fentity%2F1116860371","browser")</x:f>
      </x:c>
      <x:c r="L8941" s="0">
        <x:f>hyperlink("https://icat2.azurewebsites.net/icat/?ontology=ICD&amp;tab=ClassesTab&amp;id=http%3A%2F%2Fwho.int%2Ficd%2390_b334450b_0498_4e0b_ac78_eed6972cd32c","iCat")</x:f>
      </x:c>
      <x:c r="M8941" s="0" t="s">
        <x:v>21</x:v>
      </x:c>
      <x:c r="N8941" s="0" t="s">
        <x:v>46</x:v>
      </x:c>
    </x:row>
    <x:row r="8942" spans="1:16">
      <x:c r="A8942" s="0" t="s">
        <x:v>35632</x:v>
      </x:c>
      <x:c r="B8942" s="0" t="s">
        <x:v>35633</x:v>
      </x:c>
      <x:c r="C8942" s="0" t="s">
        <x:v>35634</x:v>
      </x:c>
      <x:c r="E8942" s="0" t="s">
        <x:v>35635</x:v>
      </x:c>
      <x:c r="F8942" s="0" t="s">
        <x:v>45</x:v>
      </x:c>
      <x:c r="G8942" s="0" t="s">
        <x:v>19</x:v>
      </x:c>
      <x:c r="H8942" s="0" t="s">
        <x:v>20</x:v>
      </x:c>
      <x:c r="I8942" s="0" t="s">
        <x:v>21</x:v>
      </x:c>
      <x:c r="K8942" s="0">
        <x:f>hyperlink("https://icd.who.int/dev11/l-ichi/en#/http%3A%2F%2Fid.who.int%2Ficd%2Fentity%2F317339236","browser")</x:f>
      </x:c>
      <x:c r="L8942" s="0">
        <x:f>hyperlink("https://icat2.azurewebsites.net/icat/?ontology=ICD&amp;tab=ClassesTab&amp;id=http%3A%2F%2Fwho.int%2Ficd%2396_b334450b_0498_4e0b_ac78_eed6972cd32c","iCat")</x:f>
      </x:c>
      <x:c r="M8942" s="0" t="s">
        <x:v>21</x:v>
      </x:c>
      <x:c r="N8942" s="0" t="s">
        <x:v>46</x:v>
      </x:c>
    </x:row>
    <x:row r="8943" spans="1:16">
      <x:c r="A8943" s="0" t="s">
        <x:v>35636</x:v>
      </x:c>
      <x:c r="B8943" s="0" t="s">
        <x:v>35637</x:v>
      </x:c>
      <x:c r="C8943" s="0" t="s">
        <x:v>35638</x:v>
      </x:c>
      <x:c r="E8943" s="0" t="s">
        <x:v>35639</x:v>
      </x:c>
      <x:c r="F8943" s="0" t="s">
        <x:v>45</x:v>
      </x:c>
      <x:c r="G8943" s="0" t="s">
        <x:v>19</x:v>
      </x:c>
      <x:c r="H8943" s="0" t="s">
        <x:v>20</x:v>
      </x:c>
      <x:c r="I8943" s="0" t="s">
        <x:v>21</x:v>
      </x:c>
      <x:c r="K8943" s="0">
        <x:f>hyperlink("https://icd.who.int/dev11/l-ichi/en#/http%3A%2F%2Fid.who.int%2Ficd%2Fentity%2F1492318033","browser")</x:f>
      </x:c>
      <x:c r="L8943" s="0">
        <x:f>hyperlink("https://icat2.azurewebsites.net/icat/?ontology=ICD&amp;tab=ClassesTab&amp;id=http%3A%2F%2Fwho.int%2Ficd%23102_b334450b_0498_4e0b_ac78_eed6972cd32c","iCat")</x:f>
      </x:c>
      <x:c r="M8943" s="0" t="s">
        <x:v>21</x:v>
      </x:c>
      <x:c r="N8943" s="0" t="s">
        <x:v>46</x:v>
      </x:c>
    </x:row>
    <x:row r="8944" spans="1:16">
      <x:c r="A8944" s="0" t="s">
        <x:v>35640</x:v>
      </x:c>
      <x:c r="B8944" s="0" t="s">
        <x:v>35641</x:v>
      </x:c>
      <x:c r="C8944" s="0" t="s">
        <x:v>35642</x:v>
      </x:c>
      <x:c r="E8944" s="0" t="s">
        <x:v>35643</x:v>
      </x:c>
      <x:c r="F8944" s="0" t="s">
        <x:v>45</x:v>
      </x:c>
      <x:c r="G8944" s="0" t="s">
        <x:v>19</x:v>
      </x:c>
      <x:c r="H8944" s="0" t="s">
        <x:v>20</x:v>
      </x:c>
      <x:c r="I8944" s="0" t="s">
        <x:v>21</x:v>
      </x:c>
      <x:c r="K8944" s="0">
        <x:f>hyperlink("https://icd.who.int/dev11/l-ichi/en#/http%3A%2F%2Fid.who.int%2Ficd%2Fentity%2F1930402753","browser")</x:f>
      </x:c>
      <x:c r="L8944" s="0">
        <x:f>hyperlink("https://icat2.azurewebsites.net/icat/?ontology=ICD&amp;tab=ClassesTab&amp;id=http%3A%2F%2Fwho.int%2Ficd%23108_b334450b_0498_4e0b_ac78_eed6972cd32c","iCat")</x:f>
      </x:c>
      <x:c r="M8944" s="0" t="s">
        <x:v>21</x:v>
      </x:c>
      <x:c r="N8944" s="0" t="s">
        <x:v>46</x:v>
      </x:c>
    </x:row>
    <x:row r="8945" spans="1:16">
      <x:c r="A8945" s="0" t="s">
        <x:v>35644</x:v>
      </x:c>
      <x:c r="B8945" s="0" t="s">
        <x:v>35645</x:v>
      </x:c>
      <x:c r="C8945" s="0" t="s">
        <x:v>35646</x:v>
      </x:c>
      <x:c r="E8945" s="0" t="s">
        <x:v>35647</x:v>
      </x:c>
      <x:c r="F8945" s="0" t="s">
        <x:v>45</x:v>
      </x:c>
      <x:c r="G8945" s="0" t="s">
        <x:v>19</x:v>
      </x:c>
      <x:c r="H8945" s="0" t="s">
        <x:v>20</x:v>
      </x:c>
      <x:c r="I8945" s="0" t="s">
        <x:v>21</x:v>
      </x:c>
      <x:c r="K8945" s="0">
        <x:f>hyperlink("https://icd.who.int/dev11/l-ichi/en#/http%3A%2F%2Fid.who.int%2Ficd%2Fentity%2F1649195959","browser")</x:f>
      </x:c>
      <x:c r="L8945" s="0">
        <x:f>hyperlink("https://icat2.azurewebsites.net/icat/?ontology=ICD&amp;tab=ClassesTab&amp;id=http%3A%2F%2Fwho.int%2Ficd%23114_b334450b_0498_4e0b_ac78_eed6972cd32c","iCat")</x:f>
      </x:c>
      <x:c r="M8945" s="0" t="s">
        <x:v>21</x:v>
      </x:c>
      <x:c r="N8945" s="0" t="s">
        <x:v>46</x:v>
      </x:c>
    </x:row>
    <x:row r="8946" spans="1:16">
      <x:c r="A8946" s="0" t="s">
        <x:v>35648</x:v>
      </x:c>
      <x:c r="B8946" s="0" t="s">
        <x:v>35649</x:v>
      </x:c>
      <x:c r="C8946" s="0" t="s">
        <x:v>35650</x:v>
      </x:c>
      <x:c r="E8946" s="0" t="s">
        <x:v>35651</x:v>
      </x:c>
      <x:c r="F8946" s="0" t="s">
        <x:v>45</x:v>
      </x:c>
      <x:c r="G8946" s="0" t="s">
        <x:v>19</x:v>
      </x:c>
      <x:c r="H8946" s="0" t="s">
        <x:v>20</x:v>
      </x:c>
      <x:c r="I8946" s="0" t="s">
        <x:v>21</x:v>
      </x:c>
      <x:c r="K8946" s="0">
        <x:f>hyperlink("https://icd.who.int/dev11/l-ichi/en#/http%3A%2F%2Fid.who.int%2Ficd%2Fentity%2F402276294","browser")</x:f>
      </x:c>
      <x:c r="L8946" s="0">
        <x:f>hyperlink("https://icat2.azurewebsites.net/icat/?ontology=ICD&amp;tab=ClassesTab&amp;id=http%3A%2F%2Fwho.int%2Ficd%23120_b334450b_0498_4e0b_ac78_eed6972cd32c","iCat")</x:f>
      </x:c>
      <x:c r="M8946" s="0" t="s">
        <x:v>21</x:v>
      </x:c>
      <x:c r="N8946" s="0" t="s">
        <x:v>46</x:v>
      </x:c>
    </x:row>
    <x:row r="8947" spans="1:16">
      <x:c r="A8947" s="0" t="s">
        <x:v>35652</x:v>
      </x:c>
      <x:c r="B8947" s="0" t="s">
        <x:v>35653</x:v>
      </x:c>
      <x:c r="C8947" s="0" t="s">
        <x:v>35654</x:v>
      </x:c>
      <x:c r="E8947" s="0" t="s">
        <x:v>35655</x:v>
      </x:c>
      <x:c r="F8947" s="0" t="s">
        <x:v>45</x:v>
      </x:c>
      <x:c r="G8947" s="0" t="s">
        <x:v>19</x:v>
      </x:c>
      <x:c r="H8947" s="0" t="s">
        <x:v>20</x:v>
      </x:c>
      <x:c r="I8947" s="0" t="s">
        <x:v>21</x:v>
      </x:c>
      <x:c r="K8947" s="0">
        <x:f>hyperlink("https://icd.who.int/dev11/l-ichi/en#/http%3A%2F%2Fid.who.int%2Ficd%2Fentity%2F1199695477","browser")</x:f>
      </x:c>
      <x:c r="L8947" s="0">
        <x:f>hyperlink("https://icat2.azurewebsites.net/icat/?ontology=ICD&amp;tab=ClassesTab&amp;id=http%3A%2F%2Fwho.int%2Ficd%23126_b334450b_0498_4e0b_ac78_eed6972cd32c","iCat")</x:f>
      </x:c>
      <x:c r="M8947" s="0" t="s">
        <x:v>21</x:v>
      </x:c>
      <x:c r="N8947" s="0" t="s">
        <x:v>46</x:v>
      </x:c>
    </x:row>
    <x:row r="8948" spans="1:16">
      <x:c r="A8948" s="0" t="s">
        <x:v>35656</x:v>
      </x:c>
      <x:c r="B8948" s="0" t="s">
        <x:v>35657</x:v>
      </x:c>
      <x:c r="C8948" s="0" t="s">
        <x:v>35658</x:v>
      </x:c>
      <x:c r="E8948" s="0" t="s">
        <x:v>35659</x:v>
      </x:c>
      <x:c r="F8948" s="0" t="s">
        <x:v>45</x:v>
      </x:c>
      <x:c r="G8948" s="0" t="s">
        <x:v>19</x:v>
      </x:c>
      <x:c r="H8948" s="0" t="s">
        <x:v>20</x:v>
      </x:c>
      <x:c r="I8948" s="0" t="s">
        <x:v>21</x:v>
      </x:c>
      <x:c r="K8948" s="0">
        <x:f>hyperlink("https://icd.who.int/dev11/l-ichi/en#/http%3A%2F%2Fid.who.int%2Ficd%2Fentity%2F407091032","browser")</x:f>
      </x:c>
      <x:c r="L8948" s="0">
        <x:f>hyperlink("https://icat2.azurewebsites.net/icat/?ontology=ICD&amp;tab=ClassesTab&amp;id=http%3A%2F%2Fwho.int%2Ficd%23132_b334450b_0498_4e0b_ac78_eed6972cd32c","iCat")</x:f>
      </x:c>
      <x:c r="M8948" s="0" t="s">
        <x:v>21</x:v>
      </x:c>
      <x:c r="N8948" s="0" t="s">
        <x:v>46</x:v>
      </x:c>
    </x:row>
    <x:row r="8949" spans="1:16">
      <x:c r="A8949" s="0" t="s">
        <x:v>35660</x:v>
      </x:c>
      <x:c r="B8949" s="0" t="s">
        <x:v>35661</x:v>
      </x:c>
      <x:c r="C8949" s="0" t="s">
        <x:v>35662</x:v>
      </x:c>
      <x:c r="E8949" s="0" t="s">
        <x:v>35663</x:v>
      </x:c>
      <x:c r="F8949" s="0" t="s">
        <x:v>45</x:v>
      </x:c>
      <x:c r="G8949" s="0" t="s">
        <x:v>19</x:v>
      </x:c>
      <x:c r="H8949" s="0" t="s">
        <x:v>20</x:v>
      </x:c>
      <x:c r="I8949" s="0" t="s">
        <x:v>21</x:v>
      </x:c>
      <x:c r="K8949" s="0">
        <x:f>hyperlink("https://icd.who.int/dev11/l-ichi/en#/http%3A%2F%2Fid.who.int%2Ficd%2Fentity%2F868146120","browser")</x:f>
      </x:c>
      <x:c r="L8949" s="0">
        <x:f>hyperlink("https://icat2.azurewebsites.net/icat/?ontology=ICD&amp;tab=ClassesTab&amp;id=http%3A%2F%2Fwho.int%2Ficd%23138_b334450b_0498_4e0b_ac78_eed6972cd32c","iCat")</x:f>
      </x:c>
      <x:c r="M8949" s="0" t="s">
        <x:v>21</x:v>
      </x:c>
      <x:c r="N8949" s="0" t="s">
        <x:v>46</x:v>
      </x:c>
    </x:row>
    <x:row r="8950" spans="1:16">
      <x:c r="A8950" s="0" t="s">
        <x:v>35664</x:v>
      </x:c>
      <x:c r="B8950" s="0" t="s">
        <x:v>35665</x:v>
      </x:c>
      <x:c r="C8950" s="0" t="s">
        <x:v>35666</x:v>
      </x:c>
      <x:c r="E8950" s="0" t="s">
        <x:v>35667</x:v>
      </x:c>
      <x:c r="F8950" s="0" t="s">
        <x:v>45</x:v>
      </x:c>
      <x:c r="G8950" s="0" t="s">
        <x:v>19</x:v>
      </x:c>
      <x:c r="H8950" s="0" t="s">
        <x:v>20</x:v>
      </x:c>
      <x:c r="I8950" s="0" t="s">
        <x:v>21</x:v>
      </x:c>
      <x:c r="K8950" s="0">
        <x:f>hyperlink("https://icd.who.int/dev11/l-ichi/en#/http%3A%2F%2Fid.who.int%2Ficd%2Fentity%2F2028895741","browser")</x:f>
      </x:c>
      <x:c r="L8950" s="0">
        <x:f>hyperlink("https://icat2.azurewebsites.net/icat/?ontology=ICD&amp;tab=ClassesTab&amp;id=http%3A%2F%2Fwho.int%2Ficd%23144_b334450b_0498_4e0b_ac78_eed6972cd32c","iCat")</x:f>
      </x:c>
      <x:c r="M8950" s="0" t="s">
        <x:v>21</x:v>
      </x:c>
      <x:c r="N8950" s="0" t="s">
        <x:v>46</x:v>
      </x:c>
    </x:row>
    <x:row r="8951" spans="1:16">
      <x:c r="A8951" s="0" t="s">
        <x:v>35668</x:v>
      </x:c>
      <x:c r="B8951" s="0" t="s">
        <x:v>35669</x:v>
      </x:c>
      <x:c r="C8951" s="0" t="s">
        <x:v>35670</x:v>
      </x:c>
      <x:c r="E8951" s="0" t="s">
        <x:v>35671</x:v>
      </x:c>
      <x:c r="F8951" s="0" t="s">
        <x:v>45</x:v>
      </x:c>
      <x:c r="G8951" s="0" t="s">
        <x:v>19</x:v>
      </x:c>
      <x:c r="H8951" s="0" t="s">
        <x:v>20</x:v>
      </x:c>
      <x:c r="I8951" s="0" t="s">
        <x:v>21</x:v>
      </x:c>
      <x:c r="K8951" s="0">
        <x:f>hyperlink("https://icd.who.int/dev11/l-ichi/en#/http%3A%2F%2Fid.who.int%2Ficd%2Fentity%2F657206494","browser")</x:f>
      </x:c>
      <x:c r="L8951" s="0">
        <x:f>hyperlink("https://icat2.azurewebsites.net/icat/?ontology=ICD&amp;tab=ClassesTab&amp;id=http%3A%2F%2Fwho.int%2Ficd%23150_b334450b_0498_4e0b_ac78_eed6972cd32c","iCat")</x:f>
      </x:c>
      <x:c r="M8951" s="0" t="s">
        <x:v>21</x:v>
      </x:c>
      <x:c r="N8951" s="0" t="s">
        <x:v>46</x:v>
      </x:c>
    </x:row>
    <x:row r="8952" spans="1:16">
      <x:c r="A8952" s="0" t="s">
        <x:v>35672</x:v>
      </x:c>
      <x:c r="B8952" s="0" t="s">
        <x:v>35673</x:v>
      </x:c>
      <x:c r="C8952" s="0" t="s">
        <x:v>35674</x:v>
      </x:c>
      <x:c r="E8952" s="0" t="s">
        <x:v>35675</x:v>
      </x:c>
      <x:c r="F8952" s="0" t="s">
        <x:v>45</x:v>
      </x:c>
      <x:c r="G8952" s="0" t="s">
        <x:v>19</x:v>
      </x:c>
      <x:c r="H8952" s="0" t="s">
        <x:v>20</x:v>
      </x:c>
      <x:c r="I8952" s="0" t="s">
        <x:v>21</x:v>
      </x:c>
      <x:c r="K8952" s="0">
        <x:f>hyperlink("https://icd.who.int/dev11/l-ichi/en#/http%3A%2F%2Fid.who.int%2Ficd%2Fentity%2F2002253167","browser")</x:f>
      </x:c>
      <x:c r="L8952" s="0">
        <x:f>hyperlink("https://icat2.azurewebsites.net/icat/?ontology=ICD&amp;tab=ClassesTab&amp;id=http%3A%2F%2Fwho.int%2Ficd%23156_b334450b_0498_4e0b_ac78_eed6972cd32c","iCat")</x:f>
      </x:c>
      <x:c r="M8952" s="0" t="s">
        <x:v>21</x:v>
      </x:c>
      <x:c r="N8952" s="0" t="s">
        <x:v>46</x:v>
      </x:c>
    </x:row>
    <x:row r="8953" spans="1:16">
      <x:c r="A8953" s="0" t="s">
        <x:v>35676</x:v>
      </x:c>
      <x:c r="B8953" s="0" t="s">
        <x:v>35677</x:v>
      </x:c>
      <x:c r="C8953" s="0" t="s">
        <x:v>35678</x:v>
      </x:c>
      <x:c r="E8953" s="0" t="s">
        <x:v>35679</x:v>
      </x:c>
      <x:c r="F8953" s="0" t="s">
        <x:v>45</x:v>
      </x:c>
      <x:c r="G8953" s="0" t="s">
        <x:v>19</x:v>
      </x:c>
      <x:c r="H8953" s="0" t="s">
        <x:v>20</x:v>
      </x:c>
      <x:c r="I8953" s="0" t="s">
        <x:v>21</x:v>
      </x:c>
      <x:c r="K8953" s="0">
        <x:f>hyperlink("https://icd.who.int/dev11/l-ichi/en#/http%3A%2F%2Fid.who.int%2Ficd%2Fentity%2F48328990","browser")</x:f>
      </x:c>
      <x:c r="L8953" s="0">
        <x:f>hyperlink("https://icat2.azurewebsites.net/icat/?ontology=ICD&amp;tab=ClassesTab&amp;id=http%3A%2F%2Fwho.int%2Ficd%23162_b334450b_0498_4e0b_ac78_eed6972cd32c","iCat")</x:f>
      </x:c>
      <x:c r="M8953" s="0" t="s">
        <x:v>21</x:v>
      </x:c>
      <x:c r="N8953" s="0" t="s">
        <x:v>46</x:v>
      </x:c>
    </x:row>
    <x:row r="8954" spans="1:16">
      <x:c r="A8954" s="0" t="s">
        <x:v>35680</x:v>
      </x:c>
      <x:c r="B8954" s="0" t="s">
        <x:v>35681</x:v>
      </x:c>
      <x:c r="C8954" s="0" t="s">
        <x:v>35682</x:v>
      </x:c>
      <x:c r="E8954" s="0" t="s">
        <x:v>35683</x:v>
      </x:c>
      <x:c r="F8954" s="0" t="s">
        <x:v>45</x:v>
      </x:c>
      <x:c r="G8954" s="0" t="s">
        <x:v>19</x:v>
      </x:c>
      <x:c r="H8954" s="0" t="s">
        <x:v>20</x:v>
      </x:c>
      <x:c r="I8954" s="0" t="s">
        <x:v>21</x:v>
      </x:c>
      <x:c r="K8954" s="0">
        <x:f>hyperlink("https://icd.who.int/dev11/l-ichi/en#/http%3A%2F%2Fid.who.int%2Ficd%2Fentity%2F270815017","browser")</x:f>
      </x:c>
      <x:c r="L8954" s="0">
        <x:f>hyperlink("https://icat2.azurewebsites.net/icat/?ontology=ICD&amp;tab=ClassesTab&amp;id=http%3A%2F%2Fwho.int%2Ficd%23166_075b017b_ac4c_42d7_a31d_f6f14e3ba684","iCat")</x:f>
      </x:c>
      <x:c r="M8954" s="0" t="s">
        <x:v>21</x:v>
      </x:c>
      <x:c r="N8954" s="0" t="s">
        <x:v>46</x:v>
      </x:c>
    </x:row>
    <x:row r="8955" spans="1:16">
      <x:c r="A8955" s="0" t="s">
        <x:v>35684</x:v>
      </x:c>
      <x:c r="B8955" s="0" t="s">
        <x:v>35685</x:v>
      </x:c>
      <x:c r="C8955" s="0" t="s">
        <x:v>35686</x:v>
      </x:c>
      <x:c r="E8955" s="0" t="s">
        <x:v>35687</x:v>
      </x:c>
      <x:c r="F8955" s="0" t="s">
        <x:v>45</x:v>
      </x:c>
      <x:c r="G8955" s="0" t="s">
        <x:v>19</x:v>
      </x:c>
      <x:c r="H8955" s="0" t="s">
        <x:v>20</x:v>
      </x:c>
      <x:c r="I8955" s="0" t="s">
        <x:v>21</x:v>
      </x:c>
      <x:c r="K8955" s="0">
        <x:f>hyperlink("https://icd.who.int/dev11/l-ichi/en#/http%3A%2F%2Fid.who.int%2Ficd%2Fentity%2F1340481036","browser")</x:f>
      </x:c>
      <x:c r="L8955" s="0">
        <x:f>hyperlink("https://icat2.azurewebsites.net/icat/?ontology=ICD&amp;tab=ClassesTab&amp;id=http%3A%2F%2Fwho.int%2Ficd%23172_075b017b_ac4c_42d7_a31d_f6f14e3ba684","iCat")</x:f>
      </x:c>
      <x:c r="M8955" s="0" t="s">
        <x:v>21</x:v>
      </x:c>
      <x:c r="N8955" s="0" t="s">
        <x:v>46</x:v>
      </x:c>
    </x:row>
    <x:row r="8956" spans="1:16">
      <x:c r="A8956" s="0" t="s">
        <x:v>35688</x:v>
      </x:c>
      <x:c r="B8956" s="0" t="s">
        <x:v>35689</x:v>
      </x:c>
      <x:c r="C8956" s="0" t="s">
        <x:v>35690</x:v>
      </x:c>
      <x:c r="E8956" s="0" t="s">
        <x:v>35691</x:v>
      </x:c>
      <x:c r="F8956" s="0" t="s">
        <x:v>45</x:v>
      </x:c>
      <x:c r="G8956" s="0" t="s">
        <x:v>19</x:v>
      </x:c>
      <x:c r="H8956" s="0" t="s">
        <x:v>20</x:v>
      </x:c>
      <x:c r="I8956" s="0" t="s">
        <x:v>21</x:v>
      </x:c>
      <x:c r="K8956" s="0">
        <x:f>hyperlink("https://icd.who.int/dev11/l-ichi/en#/http%3A%2F%2Fid.who.int%2Ficd%2Fentity%2F1679520412","browser")</x:f>
      </x:c>
      <x:c r="L8956" s="0">
        <x:f>hyperlink("https://icat2.azurewebsites.net/icat/?ontology=ICD&amp;tab=ClassesTab&amp;id=http%3A%2F%2Fwho.int%2Ficd%23178_075b017b_ac4c_42d7_a31d_f6f14e3ba684","iCat")</x:f>
      </x:c>
      <x:c r="M8956" s="0" t="s">
        <x:v>21</x:v>
      </x:c>
      <x:c r="N8956" s="0" t="s">
        <x:v>46</x:v>
      </x:c>
    </x:row>
    <x:row r="8957" spans="1:16">
      <x:c r="A8957" s="0" t="s">
        <x:v>35692</x:v>
      </x:c>
      <x:c r="B8957" s="0" t="s">
        <x:v>35693</x:v>
      </x:c>
      <x:c r="C8957" s="0" t="s">
        <x:v>35694</x:v>
      </x:c>
      <x:c r="E8957" s="0" t="s">
        <x:v>35695</x:v>
      </x:c>
      <x:c r="F8957" s="0" t="s">
        <x:v>45</x:v>
      </x:c>
      <x:c r="G8957" s="0" t="s">
        <x:v>19</x:v>
      </x:c>
      <x:c r="H8957" s="0" t="s">
        <x:v>20</x:v>
      </x:c>
      <x:c r="I8957" s="0" t="s">
        <x:v>21</x:v>
      </x:c>
      <x:c r="K8957" s="0">
        <x:f>hyperlink("https://icd.who.int/dev11/l-ichi/en#/http%3A%2F%2Fid.who.int%2Ficd%2Fentity%2F813337957","browser")</x:f>
      </x:c>
      <x:c r="L8957" s="0">
        <x:f>hyperlink("https://icat2.azurewebsites.net/icat/?ontology=ICD&amp;tab=ClassesTab&amp;id=http%3A%2F%2Fwho.int%2Ficd%23184_075b017b_ac4c_42d7_a31d_f6f14e3ba684","iCat")</x:f>
      </x:c>
      <x:c r="M8957" s="0" t="s">
        <x:v>21</x:v>
      </x:c>
      <x:c r="N8957" s="0" t="s">
        <x:v>46</x:v>
      </x:c>
    </x:row>
    <x:row r="8958" spans="1:16">
      <x:c r="A8958" s="0" t="s">
        <x:v>35696</x:v>
      </x:c>
      <x:c r="B8958" s="0" t="s">
        <x:v>35697</x:v>
      </x:c>
      <x:c r="C8958" s="0" t="s">
        <x:v>35698</x:v>
      </x:c>
      <x:c r="E8958" s="0" t="s">
        <x:v>35699</x:v>
      </x:c>
      <x:c r="F8958" s="0" t="s">
        <x:v>45</x:v>
      </x:c>
      <x:c r="G8958" s="0" t="s">
        <x:v>19</x:v>
      </x:c>
      <x:c r="H8958" s="0" t="s">
        <x:v>20</x:v>
      </x:c>
      <x:c r="I8958" s="0" t="s">
        <x:v>21</x:v>
      </x:c>
      <x:c r="K8958" s="0">
        <x:f>hyperlink("https://icd.who.int/dev11/l-ichi/en#/http%3A%2F%2Fid.who.int%2Ficd%2Fentity%2F1874385992","browser")</x:f>
      </x:c>
      <x:c r="L8958" s="0">
        <x:f>hyperlink("https://icat2.azurewebsites.net/icat/?ontology=ICD&amp;tab=ClassesTab&amp;id=http%3A%2F%2Fwho.int%2Ficd%23190_075b017b_ac4c_42d7_a31d_f6f14e3ba684","iCat")</x:f>
      </x:c>
      <x:c r="M8958" s="0" t="s">
        <x:v>21</x:v>
      </x:c>
      <x:c r="N8958" s="0" t="s">
        <x:v>46</x:v>
      </x:c>
    </x:row>
    <x:row r="8959" spans="1:16">
      <x:c r="A8959" s="0" t="s">
        <x:v>35700</x:v>
      </x:c>
      <x:c r="B8959" s="0" t="s">
        <x:v>35701</x:v>
      </x:c>
      <x:c r="C8959" s="0" t="s">
        <x:v>35702</x:v>
      </x:c>
      <x:c r="E8959" s="0" t="s">
        <x:v>35703</x:v>
      </x:c>
      <x:c r="F8959" s="0" t="s">
        <x:v>45</x:v>
      </x:c>
      <x:c r="G8959" s="0" t="s">
        <x:v>19</x:v>
      </x:c>
      <x:c r="H8959" s="0" t="s">
        <x:v>20</x:v>
      </x:c>
      <x:c r="I8959" s="0" t="s">
        <x:v>21</x:v>
      </x:c>
      <x:c r="K8959" s="0">
        <x:f>hyperlink("https://icd.who.int/dev11/l-ichi/en#/http%3A%2F%2Fid.who.int%2Ficd%2Fentity%2F1069745655","browser")</x:f>
      </x:c>
      <x:c r="L8959" s="0">
        <x:f>hyperlink("https://icat2.azurewebsites.net/icat/?ontology=ICD&amp;tab=ClassesTab&amp;id=http%3A%2F%2Fwho.int%2Ficd%23196_075b017b_ac4c_42d7_a31d_f6f14e3ba684","iCat")</x:f>
      </x:c>
      <x:c r="M8959" s="0" t="s">
        <x:v>21</x:v>
      </x:c>
      <x:c r="N8959" s="0" t="s">
        <x:v>46</x:v>
      </x:c>
    </x:row>
    <x:row r="8960" spans="1:16">
      <x:c r="A8960" s="0" t="s">
        <x:v>35704</x:v>
      </x:c>
      <x:c r="B8960" s="0" t="s">
        <x:v>35705</x:v>
      </x:c>
      <x:c r="C8960" s="0" t="s">
        <x:v>35706</x:v>
      </x:c>
      <x:c r="E8960" s="0" t="s">
        <x:v>35707</x:v>
      </x:c>
      <x:c r="F8960" s="0" t="s">
        <x:v>45</x:v>
      </x:c>
      <x:c r="G8960" s="0" t="s">
        <x:v>19</x:v>
      </x:c>
      <x:c r="H8960" s="0" t="s">
        <x:v>20</x:v>
      </x:c>
      <x:c r="I8960" s="0" t="s">
        <x:v>21</x:v>
      </x:c>
      <x:c r="K8960" s="0">
        <x:f>hyperlink("https://icd.who.int/dev11/l-ichi/en#/http%3A%2F%2Fid.who.int%2Ficd%2Fentity%2F510638409","browser")</x:f>
      </x:c>
      <x:c r="L8960" s="0">
        <x:f>hyperlink("https://icat2.azurewebsites.net/icat/?ontology=ICD&amp;tab=ClassesTab&amp;id=http%3A%2F%2Fwho.int%2Ficd%23202_075b017b_ac4c_42d7_a31d_f6f14e3ba684","iCat")</x:f>
      </x:c>
      <x:c r="M8960" s="0" t="s">
        <x:v>21</x:v>
      </x:c>
      <x:c r="N8960" s="0" t="s">
        <x:v>46</x:v>
      </x:c>
    </x:row>
    <x:row r="8961" spans="1:16">
      <x:c r="A8961" s="0" t="s">
        <x:v>35708</x:v>
      </x:c>
      <x:c r="B8961" s="0" t="s">
        <x:v>35709</x:v>
      </x:c>
      <x:c r="C8961" s="0" t="s">
        <x:v>35710</x:v>
      </x:c>
      <x:c r="E8961" s="0" t="s">
        <x:v>35711</x:v>
      </x:c>
      <x:c r="F8961" s="0" t="s">
        <x:v>45</x:v>
      </x:c>
      <x:c r="G8961" s="0" t="s">
        <x:v>19</x:v>
      </x:c>
      <x:c r="H8961" s="0" t="s">
        <x:v>20</x:v>
      </x:c>
      <x:c r="I8961" s="0" t="s">
        <x:v>21</x:v>
      </x:c>
      <x:c r="K8961" s="0">
        <x:f>hyperlink("https://icd.who.int/dev11/l-ichi/en#/http%3A%2F%2Fid.who.int%2Ficd%2Fentity%2F898815449","browser")</x:f>
      </x:c>
      <x:c r="L8961" s="0">
        <x:f>hyperlink("https://icat2.azurewebsites.net/icat/?ontology=ICD&amp;tab=ClassesTab&amp;id=http%3A%2F%2Fwho.int%2Ficd%23208_075b017b_ac4c_42d7_a31d_f6f14e3ba684","iCat")</x:f>
      </x:c>
      <x:c r="M8961" s="0" t="s">
        <x:v>21</x:v>
      </x:c>
      <x:c r="N8961" s="0" t="s">
        <x:v>46</x:v>
      </x:c>
    </x:row>
    <x:row r="8962" spans="1:16">
      <x:c r="A8962" s="0" t="s">
        <x:v>35712</x:v>
      </x:c>
      <x:c r="B8962" s="0" t="s">
        <x:v>35713</x:v>
      </x:c>
      <x:c r="C8962" s="0" t="s">
        <x:v>35714</x:v>
      </x:c>
      <x:c r="E8962" s="0" t="s">
        <x:v>35715</x:v>
      </x:c>
      <x:c r="F8962" s="0" t="s">
        <x:v>45</x:v>
      </x:c>
      <x:c r="G8962" s="0" t="s">
        <x:v>19</x:v>
      </x:c>
      <x:c r="H8962" s="0" t="s">
        <x:v>20</x:v>
      </x:c>
      <x:c r="I8962" s="0" t="s">
        <x:v>21</x:v>
      </x:c>
      <x:c r="K8962" s="0">
        <x:f>hyperlink("https://icd.who.int/dev11/l-ichi/en#/http%3A%2F%2Fid.who.int%2Ficd%2Fentity%2F617739695","browser")</x:f>
      </x:c>
      <x:c r="L8962" s="0">
        <x:f>hyperlink("https://icat2.azurewebsites.net/icat/?ontology=ICD&amp;tab=ClassesTab&amp;id=http%3A%2F%2Fwho.int%2Ficd%23214_075b017b_ac4c_42d7_a31d_f6f14e3ba684","iCat")</x:f>
      </x:c>
      <x:c r="M8962" s="0" t="s">
        <x:v>21</x:v>
      </x:c>
      <x:c r="N8962" s="0" t="s">
        <x:v>46</x:v>
      </x:c>
    </x:row>
    <x:row r="8963" spans="1:16">
      <x:c r="A8963" s="0" t="s">
        <x:v>35716</x:v>
      </x:c>
      <x:c r="B8963" s="0" t="s">
        <x:v>35717</x:v>
      </x:c>
      <x:c r="C8963" s="0" t="s">
        <x:v>35718</x:v>
      </x:c>
      <x:c r="E8963" s="0" t="s">
        <x:v>35719</x:v>
      </x:c>
      <x:c r="F8963" s="0" t="s">
        <x:v>45</x:v>
      </x:c>
      <x:c r="G8963" s="0" t="s">
        <x:v>19</x:v>
      </x:c>
      <x:c r="H8963" s="0" t="s">
        <x:v>20</x:v>
      </x:c>
      <x:c r="I8963" s="0" t="s">
        <x:v>21</x:v>
      </x:c>
      <x:c r="K8963" s="0">
        <x:f>hyperlink("https://icd.who.int/dev11/l-ichi/en#/http%3A%2F%2Fid.who.int%2Ficd%2Fentity%2F1365733852","browser")</x:f>
      </x:c>
      <x:c r="L8963" s="0">
        <x:f>hyperlink("https://icat2.azurewebsites.net/icat/?ontology=ICD&amp;tab=ClassesTab&amp;id=http%3A%2F%2Fwho.int%2Ficd%23220_075b017b_ac4c_42d7_a31d_f6f14e3ba684","iCat")</x:f>
      </x:c>
      <x:c r="M8963" s="0" t="s">
        <x:v>21</x:v>
      </x:c>
      <x:c r="N8963" s="0" t="s">
        <x:v>46</x:v>
      </x:c>
    </x:row>
    <x:row r="8964" spans="1:16">
      <x:c r="A8964" s="0" t="s">
        <x:v>35720</x:v>
      </x:c>
      <x:c r="B8964" s="0" t="s">
        <x:v>35721</x:v>
      </x:c>
      <x:c r="C8964" s="0" t="s">
        <x:v>35722</x:v>
      </x:c>
      <x:c r="E8964" s="0" t="s">
        <x:v>35723</x:v>
      </x:c>
      <x:c r="F8964" s="0" t="s">
        <x:v>45</x:v>
      </x:c>
      <x:c r="G8964" s="0" t="s">
        <x:v>19</x:v>
      </x:c>
      <x:c r="H8964" s="0" t="s">
        <x:v>20</x:v>
      </x:c>
      <x:c r="I8964" s="0" t="s">
        <x:v>21</x:v>
      </x:c>
      <x:c r="K8964" s="0">
        <x:f>hyperlink("https://icd.who.int/dev11/l-ichi/en#/http%3A%2F%2Fid.who.int%2Ficd%2Fentity%2F18655341","browser")</x:f>
      </x:c>
      <x:c r="L8964" s="0">
        <x:f>hyperlink("https://icat2.azurewebsites.net/icat/?ontology=ICD&amp;tab=ClassesTab&amp;id=http%3A%2F%2Fwho.int%2Ficd%23226_075b017b_ac4c_42d7_a31d_f6f14e3ba684","iCat")</x:f>
      </x:c>
      <x:c r="M8964" s="0" t="s">
        <x:v>21</x:v>
      </x:c>
      <x:c r="N8964" s="0" t="s">
        <x:v>46</x:v>
      </x:c>
    </x:row>
    <x:row r="8965" spans="1:16">
      <x:c r="A8965" s="0" t="s">
        <x:v>35724</x:v>
      </x:c>
      <x:c r="B8965" s="0" t="s">
        <x:v>35725</x:v>
      </x:c>
      <x:c r="C8965" s="0" t="s">
        <x:v>35726</x:v>
      </x:c>
      <x:c r="E8965" s="0" t="s">
        <x:v>35727</x:v>
      </x:c>
      <x:c r="F8965" s="0" t="s">
        <x:v>45</x:v>
      </x:c>
      <x:c r="G8965" s="0" t="s">
        <x:v>19</x:v>
      </x:c>
      <x:c r="H8965" s="0" t="s">
        <x:v>20</x:v>
      </x:c>
      <x:c r="I8965" s="0" t="s">
        <x:v>21</x:v>
      </x:c>
      <x:c r="K8965" s="0">
        <x:f>hyperlink("https://icd.who.int/dev11/l-ichi/en#/http%3A%2F%2Fid.who.int%2Ficd%2Fentity%2F1591671118","browser")</x:f>
      </x:c>
      <x:c r="L8965" s="0">
        <x:f>hyperlink("https://icat2.azurewebsites.net/icat/?ontology=ICD&amp;tab=ClassesTab&amp;id=http%3A%2F%2Fwho.int%2Ficd%23232_075b017b_ac4c_42d7_a31d_f6f14e3ba684","iCat")</x:f>
      </x:c>
      <x:c r="M8965" s="0" t="s">
        <x:v>21</x:v>
      </x:c>
      <x:c r="N8965" s="0" t="s">
        <x:v>46</x:v>
      </x:c>
    </x:row>
    <x:row r="8966" spans="1:16">
      <x:c r="A8966" s="0" t="s">
        <x:v>35728</x:v>
      </x:c>
      <x:c r="B8966" s="0" t="s">
        <x:v>35729</x:v>
      </x:c>
      <x:c r="C8966" s="0" t="s">
        <x:v>35730</x:v>
      </x:c>
      <x:c r="E8966" s="0" t="s">
        <x:v>35731</x:v>
      </x:c>
      <x:c r="F8966" s="0" t="s">
        <x:v>45</x:v>
      </x:c>
      <x:c r="G8966" s="0" t="s">
        <x:v>19</x:v>
      </x:c>
      <x:c r="H8966" s="0" t="s">
        <x:v>20</x:v>
      </x:c>
      <x:c r="I8966" s="0" t="s">
        <x:v>21</x:v>
      </x:c>
      <x:c r="K8966" s="0">
        <x:f>hyperlink("https://icd.who.int/dev11/l-ichi/en#/http%3A%2F%2Fid.who.int%2Ficd%2Fentity%2F1965266398","browser")</x:f>
      </x:c>
      <x:c r="L8966" s="0">
        <x:f>hyperlink("https://icat2.azurewebsites.net/icat/?ontology=ICD&amp;tab=ClassesTab&amp;id=http%3A%2F%2Fwho.int%2Ficd%23238_075b017b_ac4c_42d7_a31d_f6f14e3ba684","iCat")</x:f>
      </x:c>
      <x:c r="M8966" s="0" t="s">
        <x:v>21</x:v>
      </x:c>
      <x:c r="N8966" s="0" t="s">
        <x:v>46</x:v>
      </x:c>
    </x:row>
    <x:row r="8967" spans="1:16">
      <x:c r="A8967" s="0" t="s">
        <x:v>35732</x:v>
      </x:c>
      <x:c r="B8967" s="0" t="s">
        <x:v>35733</x:v>
      </x:c>
      <x:c r="C8967" s="0" t="s">
        <x:v>35734</x:v>
      </x:c>
      <x:c r="E8967" s="0" t="s">
        <x:v>35735</x:v>
      </x:c>
      <x:c r="F8967" s="0" t="s">
        <x:v>45</x:v>
      </x:c>
      <x:c r="G8967" s="0" t="s">
        <x:v>19</x:v>
      </x:c>
      <x:c r="H8967" s="0" t="s">
        <x:v>20</x:v>
      </x:c>
      <x:c r="I8967" s="0" t="s">
        <x:v>21</x:v>
      </x:c>
      <x:c r="K8967" s="0">
        <x:f>hyperlink("https://icd.who.int/dev11/l-ichi/en#/http%3A%2F%2Fid.who.int%2Ficd%2Fentity%2F1047737317","browser")</x:f>
      </x:c>
      <x:c r="L8967" s="0">
        <x:f>hyperlink("https://icat2.azurewebsites.net/icat/?ontology=ICD&amp;tab=ClassesTab&amp;id=http%3A%2F%2Fwho.int%2Ficd%23244_075b017b_ac4c_42d7_a31d_f6f14e3ba684","iCat")</x:f>
      </x:c>
      <x:c r="M8967" s="0" t="s">
        <x:v>21</x:v>
      </x:c>
      <x:c r="N8967" s="0" t="s">
        <x:v>46</x:v>
      </x:c>
    </x:row>
    <x:row r="8968" spans="1:16">
      <x:c r="A8968" s="0" t="s">
        <x:v>35736</x:v>
      </x:c>
      <x:c r="B8968" s="0" t="s">
        <x:v>35737</x:v>
      </x:c>
      <x:c r="C8968" s="0" t="s">
        <x:v>35738</x:v>
      </x:c>
      <x:c r="E8968" s="0" t="s">
        <x:v>35739</x:v>
      </x:c>
      <x:c r="F8968" s="0" t="s">
        <x:v>45</x:v>
      </x:c>
      <x:c r="G8968" s="0" t="s">
        <x:v>19</x:v>
      </x:c>
      <x:c r="H8968" s="0" t="s">
        <x:v>20</x:v>
      </x:c>
      <x:c r="I8968" s="0" t="s">
        <x:v>21</x:v>
      </x:c>
      <x:c r="K8968" s="0">
        <x:f>hyperlink("https://icd.who.int/dev11/l-ichi/en#/http%3A%2F%2Fid.who.int%2Ficd%2Fentity%2F1639015112","browser")</x:f>
      </x:c>
      <x:c r="L8968" s="0">
        <x:f>hyperlink("https://icat2.azurewebsites.net/icat/?ontology=ICD&amp;tab=ClassesTab&amp;id=http%3A%2F%2Fwho.int%2Ficd%23250_075b017b_ac4c_42d7_a31d_f6f14e3ba684","iCat")</x:f>
      </x:c>
      <x:c r="M8968" s="0" t="s">
        <x:v>21</x:v>
      </x:c>
      <x:c r="N8968" s="0" t="s">
        <x:v>46</x:v>
      </x:c>
    </x:row>
    <x:row r="8969" spans="1:16">
      <x:c r="A8969" s="0" t="s">
        <x:v>35740</x:v>
      </x:c>
      <x:c r="B8969" s="0" t="s">
        <x:v>35741</x:v>
      </x:c>
      <x:c r="C8969" s="0" t="s">
        <x:v>35742</x:v>
      </x:c>
      <x:c r="E8969" s="0" t="s">
        <x:v>35743</x:v>
      </x:c>
      <x:c r="F8969" s="0" t="s">
        <x:v>45</x:v>
      </x:c>
      <x:c r="G8969" s="0" t="s">
        <x:v>19</x:v>
      </x:c>
      <x:c r="H8969" s="0" t="s">
        <x:v>20</x:v>
      </x:c>
      <x:c r="I8969" s="0" t="s">
        <x:v>21</x:v>
      </x:c>
      <x:c r="K8969" s="0">
        <x:f>hyperlink("https://icd.who.int/dev11/l-ichi/en#/http%3A%2F%2Fid.who.int%2Ficd%2Fentity%2F835369847","browser")</x:f>
      </x:c>
      <x:c r="L8969" s="0">
        <x:f>hyperlink("https://icat2.azurewebsites.net/icat/?ontology=ICD&amp;tab=ClassesTab&amp;id=http%3A%2F%2Fwho.int%2Ficd%23256_075b017b_ac4c_42d7_a31d_f6f14e3ba684","iCat")</x:f>
      </x:c>
      <x:c r="M8969" s="0" t="s">
        <x:v>21</x:v>
      </x:c>
      <x:c r="N8969" s="0" t="s">
        <x:v>46</x:v>
      </x:c>
    </x:row>
    <x:row r="8970" spans="1:16">
      <x:c r="A8970" s="0" t="s">
        <x:v>35744</x:v>
      </x:c>
      <x:c r="B8970" s="0" t="s">
        <x:v>35745</x:v>
      </x:c>
      <x:c r="C8970" s="0" t="s">
        <x:v>35746</x:v>
      </x:c>
      <x:c r="E8970" s="0" t="s">
        <x:v>35747</x:v>
      </x:c>
      <x:c r="F8970" s="0" t="s">
        <x:v>45</x:v>
      </x:c>
      <x:c r="G8970" s="0" t="s">
        <x:v>19</x:v>
      </x:c>
      <x:c r="H8970" s="0" t="s">
        <x:v>20</x:v>
      </x:c>
      <x:c r="I8970" s="0" t="s">
        <x:v>21</x:v>
      </x:c>
      <x:c r="K8970" s="0">
        <x:f>hyperlink("https://icd.who.int/dev11/l-ichi/en#/http%3A%2F%2Fid.who.int%2Ficd%2Fentity%2F1148993284","browser")</x:f>
      </x:c>
      <x:c r="L8970" s="0">
        <x:f>hyperlink("https://icat2.azurewebsites.net/icat/?ontology=ICD&amp;tab=ClassesTab&amp;id=http%3A%2F%2Fwho.int%2Ficd%23262_075b017b_ac4c_42d7_a31d_f6f14e3ba684","iCat")</x:f>
      </x:c>
      <x:c r="M8970" s="0" t="s">
        <x:v>21</x:v>
      </x:c>
      <x:c r="N8970" s="0" t="s">
        <x:v>46</x:v>
      </x:c>
    </x:row>
    <x:row r="8971" spans="1:16">
      <x:c r="A8971" s="0" t="s">
        <x:v>35748</x:v>
      </x:c>
      <x:c r="B8971" s="0" t="s">
        <x:v>35749</x:v>
      </x:c>
      <x:c r="C8971" s="0" t="s">
        <x:v>35750</x:v>
      </x:c>
      <x:c r="E8971" s="0" t="s">
        <x:v>35751</x:v>
      </x:c>
      <x:c r="F8971" s="0" t="s">
        <x:v>45</x:v>
      </x:c>
      <x:c r="G8971" s="0" t="s">
        <x:v>19</x:v>
      </x:c>
      <x:c r="H8971" s="0" t="s">
        <x:v>20</x:v>
      </x:c>
      <x:c r="I8971" s="0" t="s">
        <x:v>21</x:v>
      </x:c>
      <x:c r="K8971" s="0">
        <x:f>hyperlink("https://icd.who.int/dev11/l-ichi/en#/http%3A%2F%2Fid.who.int%2Ficd%2Fentity%2F1870746516","browser")</x:f>
      </x:c>
      <x:c r="L8971" s="0">
        <x:f>hyperlink("https://icat2.azurewebsites.net/icat/?ontology=ICD&amp;tab=ClassesTab&amp;id=http%3A%2F%2Fwho.int%2Ficd%23268_075b017b_ac4c_42d7_a31d_f6f14e3ba684","iCat")</x:f>
      </x:c>
      <x:c r="M8971" s="0" t="s">
        <x:v>21</x:v>
      </x:c>
      <x:c r="N8971" s="0" t="s">
        <x:v>46</x:v>
      </x:c>
    </x:row>
    <x:row r="8972" spans="1:16">
      <x:c r="A8972" s="0" t="s">
        <x:v>35752</x:v>
      </x:c>
      <x:c r="B8972" s="0" t="s">
        <x:v>35753</x:v>
      </x:c>
      <x:c r="C8972" s="0" t="s">
        <x:v>35754</x:v>
      </x:c>
      <x:c r="E8972" s="0" t="s">
        <x:v>35755</x:v>
      </x:c>
      <x:c r="F8972" s="0" t="s">
        <x:v>45</x:v>
      </x:c>
      <x:c r="G8972" s="0" t="s">
        <x:v>19</x:v>
      </x:c>
      <x:c r="H8972" s="0" t="s">
        <x:v>20</x:v>
      </x:c>
      <x:c r="I8972" s="0" t="s">
        <x:v>21</x:v>
      </x:c>
      <x:c r="K8972" s="0">
        <x:f>hyperlink("https://icd.who.int/dev11/l-ichi/en#/http%3A%2F%2Fid.who.int%2Ficd%2Fentity%2F2126672868","browser")</x:f>
      </x:c>
      <x:c r="L8972" s="0">
        <x:f>hyperlink("https://icat2.azurewebsites.net/icat/?ontology=ICD&amp;tab=ClassesTab&amp;id=http%3A%2F%2Fwho.int%2Ficd%23274_075b017b_ac4c_42d7_a31d_f6f14e3ba684","iCat")</x:f>
      </x:c>
      <x:c r="M8972" s="0" t="s">
        <x:v>21</x:v>
      </x:c>
      <x:c r="N8972" s="0" t="s">
        <x:v>46</x:v>
      </x:c>
    </x:row>
    <x:row r="8973" spans="1:16">
      <x:c r="A8973" s="0" t="s">
        <x:v>35756</x:v>
      </x:c>
      <x:c r="B8973" s="0" t="s">
        <x:v>35757</x:v>
      </x:c>
      <x:c r="C8973" s="0" t="s">
        <x:v>35758</x:v>
      </x:c>
      <x:c r="E8973" s="0" t="s">
        <x:v>35759</x:v>
      </x:c>
      <x:c r="F8973" s="0" t="s">
        <x:v>45</x:v>
      </x:c>
      <x:c r="G8973" s="0" t="s">
        <x:v>19</x:v>
      </x:c>
      <x:c r="H8973" s="0" t="s">
        <x:v>20</x:v>
      </x:c>
      <x:c r="I8973" s="0" t="s">
        <x:v>21</x:v>
      </x:c>
      <x:c r="K8973" s="0">
        <x:f>hyperlink("https://icd.who.int/dev11/l-ichi/en#/http%3A%2F%2Fid.who.int%2Ficd%2Fentity%2F1680014664","browser")</x:f>
      </x:c>
      <x:c r="L8973" s="0">
        <x:f>hyperlink("https://icat2.azurewebsites.net/icat/?ontology=ICD&amp;tab=ClassesTab&amp;id=http%3A%2F%2Fwho.int%2Ficd%23280_075b017b_ac4c_42d7_a31d_f6f14e3ba684","iCat")</x:f>
      </x:c>
      <x:c r="M8973" s="0" t="s">
        <x:v>21</x:v>
      </x:c>
      <x:c r="N8973" s="0" t="s">
        <x:v>46</x:v>
      </x:c>
    </x:row>
    <x:row r="8974" spans="1:16">
      <x:c r="A8974" s="0" t="s">
        <x:v>35760</x:v>
      </x:c>
      <x:c r="B8974" s="0" t="s">
        <x:v>35761</x:v>
      </x:c>
      <x:c r="C8974" s="0" t="s">
        <x:v>35762</x:v>
      </x:c>
      <x:c r="E8974" s="0" t="s">
        <x:v>35763</x:v>
      </x:c>
      <x:c r="F8974" s="0" t="s">
        <x:v>45</x:v>
      </x:c>
      <x:c r="G8974" s="0" t="s">
        <x:v>19</x:v>
      </x:c>
      <x:c r="H8974" s="0" t="s">
        <x:v>20</x:v>
      </x:c>
      <x:c r="I8974" s="0" t="s">
        <x:v>21</x:v>
      </x:c>
      <x:c r="K8974" s="0">
        <x:f>hyperlink("https://icd.who.int/dev11/l-ichi/en#/http%3A%2F%2Fid.who.int%2Ficd%2Fentity%2F878257401","browser")</x:f>
      </x:c>
      <x:c r="L8974" s="0">
        <x:f>hyperlink("https://icat2.azurewebsites.net/icat/?ontology=ICD&amp;tab=ClassesTab&amp;id=http%3A%2F%2Fwho.int%2Ficd%23286_075b017b_ac4c_42d7_a31d_f6f14e3ba684","iCat")</x:f>
      </x:c>
      <x:c r="M8974" s="0" t="s">
        <x:v>21</x:v>
      </x:c>
      <x:c r="N8974" s="0" t="s">
        <x:v>46</x:v>
      </x:c>
    </x:row>
    <x:row r="8975" spans="1:16">
      <x:c r="A8975" s="0" t="s">
        <x:v>35764</x:v>
      </x:c>
      <x:c r="B8975" s="0" t="s">
        <x:v>35765</x:v>
      </x:c>
      <x:c r="C8975" s="0" t="s">
        <x:v>35766</x:v>
      </x:c>
      <x:c r="E8975" s="0" t="s">
        <x:v>35767</x:v>
      </x:c>
      <x:c r="F8975" s="0" t="s">
        <x:v>45</x:v>
      </x:c>
      <x:c r="G8975" s="0" t="s">
        <x:v>19</x:v>
      </x:c>
      <x:c r="H8975" s="0" t="s">
        <x:v>20</x:v>
      </x:c>
      <x:c r="I8975" s="0" t="s">
        <x:v>21</x:v>
      </x:c>
      <x:c r="K8975" s="0">
        <x:f>hyperlink("https://icd.who.int/dev11/l-ichi/en#/http%3A%2F%2Fid.who.int%2Ficd%2Fentity%2F1805350362","browser")</x:f>
      </x:c>
      <x:c r="L8975" s="0">
        <x:f>hyperlink("https://icat2.azurewebsites.net/icat/?ontology=ICD&amp;tab=ClassesTab&amp;id=http%3A%2F%2Fwho.int%2Ficd%23292_075b017b_ac4c_42d7_a31d_f6f14e3ba684","iCat")</x:f>
      </x:c>
      <x:c r="M8975" s="0" t="s">
        <x:v>21</x:v>
      </x:c>
      <x:c r="N8975" s="0" t="s">
        <x:v>46</x:v>
      </x:c>
    </x:row>
    <x:row r="8976" spans="1:16">
      <x:c r="A8976" s="0" t="s">
        <x:v>35768</x:v>
      </x:c>
      <x:c r="B8976" s="0" t="s">
        <x:v>35769</x:v>
      </x:c>
      <x:c r="C8976" s="0" t="s">
        <x:v>35770</x:v>
      </x:c>
      <x:c r="E8976" s="0" t="s">
        <x:v>35771</x:v>
      </x:c>
      <x:c r="F8976" s="0" t="s">
        <x:v>45</x:v>
      </x:c>
      <x:c r="G8976" s="0" t="s">
        <x:v>19</x:v>
      </x:c>
      <x:c r="H8976" s="0" t="s">
        <x:v>20</x:v>
      </x:c>
      <x:c r="I8976" s="0" t="s">
        <x:v>21</x:v>
      </x:c>
      <x:c r="K8976" s="0">
        <x:f>hyperlink("https://icd.who.int/dev11/l-ichi/en#/http%3A%2F%2Fid.who.int%2Ficd%2Fentity%2F1621060472","browser")</x:f>
      </x:c>
      <x:c r="L8976" s="0">
        <x:f>hyperlink("https://icat2.azurewebsites.net/icat/?ontology=ICD&amp;tab=ClassesTab&amp;id=http%3A%2F%2Fwho.int%2Ficd%23299_075b017b_ac4c_42d7_a31d_f6f14e3ba684","iCat")</x:f>
      </x:c>
      <x:c r="M8976" s="0" t="s">
        <x:v>21</x:v>
      </x:c>
      <x:c r="N8976" s="0" t="s">
        <x:v>46</x:v>
      </x:c>
    </x:row>
    <x:row r="8977" spans="1:16">
      <x:c r="A8977" s="0" t="s">
        <x:v>35772</x:v>
      </x:c>
      <x:c r="B8977" s="0" t="s">
        <x:v>35773</x:v>
      </x:c>
      <x:c r="C8977" s="0" t="s">
        <x:v>35774</x:v>
      </x:c>
      <x:c r="E8977" s="0" t="s">
        <x:v>35775</x:v>
      </x:c>
      <x:c r="F8977" s="0" t="s">
        <x:v>45</x:v>
      </x:c>
      <x:c r="G8977" s="0" t="s">
        <x:v>19</x:v>
      </x:c>
      <x:c r="H8977" s="0" t="s">
        <x:v>20</x:v>
      </x:c>
      <x:c r="I8977" s="0" t="s">
        <x:v>21</x:v>
      </x:c>
      <x:c r="K8977" s="0">
        <x:f>hyperlink("https://icd.who.int/dev11/l-ichi/en#/http%3A%2F%2Fid.who.int%2Ficd%2Fentity%2F1593293728","browser")</x:f>
      </x:c>
      <x:c r="L8977" s="0">
        <x:f>hyperlink("https://icat2.azurewebsites.net/icat/?ontology=ICD&amp;tab=ClassesTab&amp;id=http%3A%2F%2Fwho.int%2Ficd%23306_075b017b_ac4c_42d7_a31d_f6f14e3ba684","iCat")</x:f>
      </x:c>
      <x:c r="M8977" s="0" t="s">
        <x:v>21</x:v>
      </x:c>
      <x:c r="N8977" s="0" t="s">
        <x:v>46</x:v>
      </x:c>
    </x:row>
    <x:row r="8978" spans="1:16">
      <x:c r="A8978" s="0" t="s">
        <x:v>35776</x:v>
      </x:c>
      <x:c r="B8978" s="0" t="s">
        <x:v>35777</x:v>
      </x:c>
      <x:c r="C8978" s="0" t="s">
        <x:v>35778</x:v>
      </x:c>
      <x:c r="E8978" s="0" t="s">
        <x:v>35779</x:v>
      </x:c>
      <x:c r="F8978" s="0" t="s">
        <x:v>45</x:v>
      </x:c>
      <x:c r="G8978" s="0" t="s">
        <x:v>19</x:v>
      </x:c>
      <x:c r="H8978" s="0" t="s">
        <x:v>20</x:v>
      </x:c>
      <x:c r="I8978" s="0" t="s">
        <x:v>21</x:v>
      </x:c>
      <x:c r="K8978" s="0">
        <x:f>hyperlink("https://icd.who.int/dev11/l-ichi/en#/http%3A%2F%2Fid.who.int%2Ficd%2Fentity%2F20310659","browser")</x:f>
      </x:c>
      <x:c r="L8978" s="0">
        <x:f>hyperlink("https://icat2.azurewebsites.net/icat/?ontology=ICD&amp;tab=ClassesTab&amp;id=http%3A%2F%2Fwho.int%2Ficd%23312_075b017b_ac4c_42d7_a31d_f6f14e3ba684","iCat")</x:f>
      </x:c>
      <x:c r="M8978" s="0" t="s">
        <x:v>21</x:v>
      </x:c>
      <x:c r="N8978" s="0" t="s">
        <x:v>46</x:v>
      </x:c>
    </x:row>
    <x:row r="8979" spans="1:16">
      <x:c r="A8979" s="0" t="s">
        <x:v>35780</x:v>
      </x:c>
      <x:c r="B8979" s="0" t="s">
        <x:v>35781</x:v>
      </x:c>
      <x:c r="C8979" s="0" t="s">
        <x:v>35782</x:v>
      </x:c>
      <x:c r="E8979" s="0" t="s">
        <x:v>35783</x:v>
      </x:c>
      <x:c r="F8979" s="0" t="s">
        <x:v>45</x:v>
      </x:c>
      <x:c r="G8979" s="0" t="s">
        <x:v>19</x:v>
      </x:c>
      <x:c r="H8979" s="0" t="s">
        <x:v>20</x:v>
      </x:c>
      <x:c r="I8979" s="0" t="s">
        <x:v>21</x:v>
      </x:c>
      <x:c r="K8979" s="0">
        <x:f>hyperlink("https://icd.who.int/dev11/l-ichi/en#/http%3A%2F%2Fid.who.int%2Ficd%2Fentity%2F717784595","browser")</x:f>
      </x:c>
      <x:c r="L8979" s="0">
        <x:f>hyperlink("https://icat2.azurewebsites.net/icat/?ontology=ICD&amp;tab=ClassesTab&amp;id=http%3A%2F%2Fwho.int%2Ficd%23318_075b017b_ac4c_42d7_a31d_f6f14e3ba684","iCat")</x:f>
      </x:c>
      <x:c r="M8979" s="0" t="s">
        <x:v>21</x:v>
      </x:c>
      <x:c r="N8979" s="0" t="s">
        <x:v>46</x:v>
      </x:c>
    </x:row>
    <x:row r="8980" spans="1:16">
      <x:c r="A8980" s="0" t="s">
        <x:v>35784</x:v>
      </x:c>
      <x:c r="B8980" s="0" t="s">
        <x:v>35785</x:v>
      </x:c>
      <x:c r="C8980" s="0" t="s">
        <x:v>35786</x:v>
      </x:c>
      <x:c r="E8980" s="0" t="s">
        <x:v>35787</x:v>
      </x:c>
      <x:c r="F8980" s="0" t="s">
        <x:v>45</x:v>
      </x:c>
      <x:c r="G8980" s="0" t="s">
        <x:v>19</x:v>
      </x:c>
      <x:c r="H8980" s="0" t="s">
        <x:v>20</x:v>
      </x:c>
      <x:c r="I8980" s="0" t="s">
        <x:v>21</x:v>
      </x:c>
      <x:c r="K8980" s="0">
        <x:f>hyperlink("https://icd.who.int/dev11/l-ichi/en#/http%3A%2F%2Fid.who.int%2Ficd%2Fentity%2F301953845","browser")</x:f>
      </x:c>
      <x:c r="L8980" s="0">
        <x:f>hyperlink("https://icat2.azurewebsites.net/icat/?ontology=ICD&amp;tab=ClassesTab&amp;id=http%3A%2F%2Fwho.int%2Ficd%23324_075b017b_ac4c_42d7_a31d_f6f14e3ba684","iCat")</x:f>
      </x:c>
      <x:c r="M8980" s="0" t="s">
        <x:v>21</x:v>
      </x:c>
      <x:c r="N8980" s="0" t="s">
        <x:v>46</x:v>
      </x:c>
    </x:row>
    <x:row r="8981" spans="1:16">
      <x:c r="A8981" s="0" t="s">
        <x:v>35788</x:v>
      </x:c>
      <x:c r="B8981" s="0" t="s">
        <x:v>35789</x:v>
      </x:c>
      <x:c r="C8981" s="0" t="s">
        <x:v>35790</x:v>
      </x:c>
      <x:c r="E8981" s="0" t="s">
        <x:v>35791</x:v>
      </x:c>
      <x:c r="F8981" s="0" t="s">
        <x:v>45</x:v>
      </x:c>
      <x:c r="G8981" s="0" t="s">
        <x:v>19</x:v>
      </x:c>
      <x:c r="H8981" s="0" t="s">
        <x:v>20</x:v>
      </x:c>
      <x:c r="I8981" s="0" t="s">
        <x:v>21</x:v>
      </x:c>
      <x:c r="K8981" s="0">
        <x:f>hyperlink("https://icd.who.int/dev11/l-ichi/en#/http%3A%2F%2Fid.who.int%2Ficd%2Fentity%2F1312629270","browser")</x:f>
      </x:c>
      <x:c r="L8981" s="0">
        <x:f>hyperlink("https://icat2.azurewebsites.net/icat/?ontology=ICD&amp;tab=ClassesTab&amp;id=http%3A%2F%2Fwho.int%2Ficd%23330_075b017b_ac4c_42d7_a31d_f6f14e3ba684","iCat")</x:f>
      </x:c>
      <x:c r="M8981" s="0" t="s">
        <x:v>21</x:v>
      </x:c>
      <x:c r="N8981" s="0" t="s">
        <x:v>46</x:v>
      </x:c>
    </x:row>
    <x:row r="8982" spans="1:16">
      <x:c r="A8982" s="0" t="s">
        <x:v>35792</x:v>
      </x:c>
      <x:c r="B8982" s="0" t="s">
        <x:v>35793</x:v>
      </x:c>
      <x:c r="C8982" s="0" t="s">
        <x:v>35794</x:v>
      </x:c>
      <x:c r="E8982" s="0" t="s">
        <x:v>35795</x:v>
      </x:c>
      <x:c r="F8982" s="0" t="s">
        <x:v>45</x:v>
      </x:c>
      <x:c r="G8982" s="0" t="s">
        <x:v>19</x:v>
      </x:c>
      <x:c r="H8982" s="0" t="s">
        <x:v>20</x:v>
      </x:c>
      <x:c r="I8982" s="0" t="s">
        <x:v>21</x:v>
      </x:c>
      <x:c r="K8982" s="0">
        <x:f>hyperlink("https://icd.who.int/dev11/l-ichi/en#/http%3A%2F%2Fid.who.int%2Ficd%2Fentity%2F507968423","browser")</x:f>
      </x:c>
      <x:c r="L8982" s="0">
        <x:f>hyperlink("https://icat2.azurewebsites.net/icat/?ontology=ICD&amp;tab=ClassesTab&amp;id=http%3A%2F%2Fwho.int%2Ficd%23336_075b017b_ac4c_42d7_a31d_f6f14e3ba684","iCat")</x:f>
      </x:c>
      <x:c r="M8982" s="0" t="s">
        <x:v>21</x:v>
      </x:c>
      <x:c r="N8982" s="0" t="s">
        <x:v>46</x:v>
      </x:c>
    </x:row>
    <x:row r="8983" spans="1:16">
      <x:c r="A8983" s="0" t="s">
        <x:v>35796</x:v>
      </x:c>
      <x:c r="B8983" s="0" t="s">
        <x:v>35797</x:v>
      </x:c>
      <x:c r="C8983" s="0" t="s">
        <x:v>35798</x:v>
      </x:c>
      <x:c r="E8983" s="0" t="s">
        <x:v>35799</x:v>
      </x:c>
      <x:c r="F8983" s="0" t="s">
        <x:v>45</x:v>
      </x:c>
      <x:c r="G8983" s="0" t="s">
        <x:v>19</x:v>
      </x:c>
      <x:c r="H8983" s="0" t="s">
        <x:v>20</x:v>
      </x:c>
      <x:c r="I8983" s="0" t="s">
        <x:v>21</x:v>
      </x:c>
      <x:c r="K8983" s="0">
        <x:f>hyperlink("https://icd.who.int/dev11/l-ichi/en#/http%3A%2F%2Fid.who.int%2Ficd%2Fentity%2F462892233","browser")</x:f>
      </x:c>
      <x:c r="L8983" s="0">
        <x:f>hyperlink("https://icat2.azurewebsites.net/icat/?ontology=ICD&amp;tab=ClassesTab&amp;id=http%3A%2F%2Fwho.int%2Ficd%23342_075b017b_ac4c_42d7_a31d_f6f14e3ba684","iCat")</x:f>
      </x:c>
      <x:c r="M8983" s="0" t="s">
        <x:v>21</x:v>
      </x:c>
      <x:c r="N8983" s="0" t="s">
        <x:v>46</x:v>
      </x:c>
    </x:row>
    <x:row r="8984" spans="1:16">
      <x:c r="A8984" s="0" t="s">
        <x:v>35800</x:v>
      </x:c>
      <x:c r="B8984" s="0" t="s">
        <x:v>35801</x:v>
      </x:c>
      <x:c r="C8984" s="0" t="s">
        <x:v>35802</x:v>
      </x:c>
      <x:c r="E8984" s="0" t="s">
        <x:v>35803</x:v>
      </x:c>
      <x:c r="F8984" s="0" t="s">
        <x:v>45</x:v>
      </x:c>
      <x:c r="G8984" s="0" t="s">
        <x:v>19</x:v>
      </x:c>
      <x:c r="H8984" s="0" t="s">
        <x:v>20</x:v>
      </x:c>
      <x:c r="I8984" s="0" t="s">
        <x:v>21</x:v>
      </x:c>
      <x:c r="K8984" s="0">
        <x:f>hyperlink("https://icd.who.int/dev11/l-ichi/en#/http%3A%2F%2Fid.who.int%2Ficd%2Fentity%2F319467378","browser")</x:f>
      </x:c>
      <x:c r="L8984" s="0">
        <x:f>hyperlink("https://icat2.azurewebsites.net/icat/?ontology=ICD&amp;tab=ClassesTab&amp;id=http%3A%2F%2Fwho.int%2Ficd%23792_075b017b_ac4c_42d7_a31d_f6f14e3ba684","iCat")</x:f>
      </x:c>
      <x:c r="M8984" s="0" t="s">
        <x:v>21</x:v>
      </x:c>
      <x:c r="N8984" s="0" t="s">
        <x:v>46</x:v>
      </x:c>
    </x:row>
    <x:row r="8985" spans="1:16">
      <x:c r="A8985" s="0" t="s">
        <x:v>35804</x:v>
      </x:c>
      <x:c r="B8985" s="0" t="s">
        <x:v>35805</x:v>
      </x:c>
      <x:c r="C8985" s="0" t="s">
        <x:v>35806</x:v>
      </x:c>
      <x:c r="E8985" s="0" t="s">
        <x:v>35807</x:v>
      </x:c>
      <x:c r="F8985" s="0" t="s">
        <x:v>45</x:v>
      </x:c>
      <x:c r="G8985" s="0" t="s">
        <x:v>19</x:v>
      </x:c>
      <x:c r="H8985" s="0" t="s">
        <x:v>20</x:v>
      </x:c>
      <x:c r="I8985" s="0" t="s">
        <x:v>21</x:v>
      </x:c>
      <x:c r="K8985" s="0">
        <x:f>hyperlink("https://icd.who.int/dev11/l-ichi/en#/http%3A%2F%2Fid.who.int%2Ficd%2Fentity%2F955761634","browser")</x:f>
      </x:c>
      <x:c r="L8985" s="0">
        <x:f>hyperlink("https://icat2.azurewebsites.net/icat/?ontology=ICD&amp;tab=ClassesTab&amp;id=http%3A%2F%2Fwho.int%2Ficd%23798_075b017b_ac4c_42d7_a31d_f6f14e3ba684","iCat")</x:f>
      </x:c>
      <x:c r="M8985" s="0" t="s">
        <x:v>21</x:v>
      </x:c>
      <x:c r="N8985" s="0" t="s">
        <x:v>46</x:v>
      </x:c>
    </x:row>
    <x:row r="8986" spans="1:16">
      <x:c r="A8986" s="0" t="s">
        <x:v>35808</x:v>
      </x:c>
      <x:c r="B8986" s="0" t="s">
        <x:v>35809</x:v>
      </x:c>
      <x:c r="C8986" s="0" t="s">
        <x:v>35810</x:v>
      </x:c>
      <x:c r="E8986" s="0" t="s">
        <x:v>35811</x:v>
      </x:c>
      <x:c r="F8986" s="0" t="s">
        <x:v>45</x:v>
      </x:c>
      <x:c r="G8986" s="0" t="s">
        <x:v>19</x:v>
      </x:c>
      <x:c r="H8986" s="0" t="s">
        <x:v>20</x:v>
      </x:c>
      <x:c r="I8986" s="0" t="s">
        <x:v>21</x:v>
      </x:c>
      <x:c r="K8986" s="0">
        <x:f>hyperlink("https://icd.who.int/dev11/l-ichi/en#/http%3A%2F%2Fid.who.int%2Ficd%2Fentity%2F1086859864","browser")</x:f>
      </x:c>
      <x:c r="L8986" s="0">
        <x:f>hyperlink("https://icat2.azurewebsites.net/icat/?ontology=ICD&amp;tab=ClassesTab&amp;id=http%3A%2F%2Fwho.int%2Ficd%23804_075b017b_ac4c_42d7_a31d_f6f14e3ba684","iCat")</x:f>
      </x:c>
      <x:c r="M8986" s="0" t="s">
        <x:v>21</x:v>
      </x:c>
      <x:c r="N8986" s="0" t="s">
        <x:v>46</x:v>
      </x:c>
    </x:row>
    <x:row r="8987" spans="1:16">
      <x:c r="A8987" s="0" t="s">
        <x:v>35812</x:v>
      </x:c>
      <x:c r="B8987" s="0" t="s">
        <x:v>35813</x:v>
      </x:c>
      <x:c r="C8987" s="0" t="s">
        <x:v>35814</x:v>
      </x:c>
      <x:c r="E8987" s="0" t="s">
        <x:v>35815</x:v>
      </x:c>
      <x:c r="F8987" s="0" t="s">
        <x:v>45</x:v>
      </x:c>
      <x:c r="G8987" s="0" t="s">
        <x:v>19</x:v>
      </x:c>
      <x:c r="H8987" s="0" t="s">
        <x:v>20</x:v>
      </x:c>
      <x:c r="I8987" s="0" t="s">
        <x:v>21</x:v>
      </x:c>
      <x:c r="K8987" s="0">
        <x:f>hyperlink("https://icd.who.int/dev11/l-ichi/en#/http%3A%2F%2Fid.who.int%2Ficd%2Fentity%2F520780661","browser")</x:f>
      </x:c>
      <x:c r="L8987" s="0">
        <x:f>hyperlink("https://icat2.azurewebsites.net/icat/?ontology=ICD&amp;tab=ClassesTab&amp;id=http%3A%2F%2Fwho.int%2Ficd%23810_075b017b_ac4c_42d7_a31d_f6f14e3ba684","iCat")</x:f>
      </x:c>
      <x:c r="M8987" s="0" t="s">
        <x:v>21</x:v>
      </x:c>
      <x:c r="N8987" s="0" t="s">
        <x:v>46</x:v>
      </x:c>
    </x:row>
    <x:row r="8988" spans="1:16">
      <x:c r="A8988" s="0" t="s">
        <x:v>35816</x:v>
      </x:c>
      <x:c r="B8988" s="0" t="s">
        <x:v>35817</x:v>
      </x:c>
      <x:c r="C8988" s="0" t="s">
        <x:v>35818</x:v>
      </x:c>
      <x:c r="E8988" s="0" t="s">
        <x:v>35819</x:v>
      </x:c>
      <x:c r="F8988" s="0" t="s">
        <x:v>45</x:v>
      </x:c>
      <x:c r="G8988" s="0" t="s">
        <x:v>19</x:v>
      </x:c>
      <x:c r="H8988" s="0" t="s">
        <x:v>20</x:v>
      </x:c>
      <x:c r="I8988" s="0" t="s">
        <x:v>21</x:v>
      </x:c>
      <x:c r="K8988" s="0">
        <x:f>hyperlink("https://icd.who.int/dev11/l-ichi/en#/http%3A%2F%2Fid.who.int%2Ficd%2Fentity%2F1332847302","browser")</x:f>
      </x:c>
      <x:c r="L8988" s="0">
        <x:f>hyperlink("https://icat2.azurewebsites.net/icat/?ontology=ICD&amp;tab=ClassesTab&amp;id=http%3A%2F%2Fwho.int%2Ficd%23816_075b017b_ac4c_42d7_a31d_f6f14e3ba684","iCat")</x:f>
      </x:c>
      <x:c r="M8988" s="0" t="s">
        <x:v>21</x:v>
      </x:c>
      <x:c r="N8988" s="0" t="s">
        <x:v>46</x:v>
      </x:c>
    </x:row>
    <x:row r="8989" spans="1:16">
      <x:c r="A8989" s="0" t="s">
        <x:v>35820</x:v>
      </x:c>
      <x:c r="B8989" s="0" t="s">
        <x:v>35821</x:v>
      </x:c>
      <x:c r="C8989" s="0" t="s">
        <x:v>35822</x:v>
      </x:c>
      <x:c r="E8989" s="0" t="s">
        <x:v>35823</x:v>
      </x:c>
      <x:c r="F8989" s="0" t="s">
        <x:v>45</x:v>
      </x:c>
      <x:c r="G8989" s="0" t="s">
        <x:v>19</x:v>
      </x:c>
      <x:c r="H8989" s="0" t="s">
        <x:v>20</x:v>
      </x:c>
      <x:c r="I8989" s="0" t="s">
        <x:v>21</x:v>
      </x:c>
      <x:c r="K8989" s="0">
        <x:f>hyperlink("https://icd.who.int/dev11/l-ichi/en#/http%3A%2F%2Fid.who.int%2Ficd%2Fentity%2F986130103","browser")</x:f>
      </x:c>
      <x:c r="L8989" s="0">
        <x:f>hyperlink("https://icat2.azurewebsites.net/icat/?ontology=ICD&amp;tab=ClassesTab&amp;id=http%3A%2F%2Fwho.int%2Ficd%23822_075b017b_ac4c_42d7_a31d_f6f14e3ba684","iCat")</x:f>
      </x:c>
      <x:c r="M8989" s="0" t="s">
        <x:v>21</x:v>
      </x:c>
      <x:c r="N8989" s="0" t="s">
        <x:v>46</x:v>
      </x:c>
    </x:row>
    <x:row r="8990" spans="1:16">
      <x:c r="A8990" s="0" t="s">
        <x:v>35824</x:v>
      </x:c>
      <x:c r="B8990" s="0" t="s">
        <x:v>35825</x:v>
      </x:c>
      <x:c r="C8990" s="0" t="s">
        <x:v>35826</x:v>
      </x:c>
      <x:c r="E8990" s="0" t="s">
        <x:v>35827</x:v>
      </x:c>
      <x:c r="F8990" s="0" t="s">
        <x:v>45</x:v>
      </x:c>
      <x:c r="G8990" s="0" t="s">
        <x:v>19</x:v>
      </x:c>
      <x:c r="H8990" s="0" t="s">
        <x:v>20</x:v>
      </x:c>
      <x:c r="I8990" s="0" t="s">
        <x:v>21</x:v>
      </x:c>
      <x:c r="K8990" s="0">
        <x:f>hyperlink("https://icd.who.int/dev11/l-ichi/en#/http%3A%2F%2Fid.who.int%2Ficd%2Fentity%2F289032743","browser")</x:f>
      </x:c>
      <x:c r="L8990" s="0">
        <x:f>hyperlink("https://icat2.azurewebsites.net/icat/?ontology=ICD&amp;tab=ClassesTab&amp;id=http%3A%2F%2Fwho.int%2Ficd%23828_075b017b_ac4c_42d7_a31d_f6f14e3ba684","iCat")</x:f>
      </x:c>
      <x:c r="M8990" s="0" t="s">
        <x:v>21</x:v>
      </x:c>
      <x:c r="N8990" s="0" t="s">
        <x:v>46</x:v>
      </x:c>
    </x:row>
    <x:row r="8991" spans="1:16">
      <x:c r="A8991" s="0" t="s">
        <x:v>35828</x:v>
      </x:c>
      <x:c r="B8991" s="0" t="s">
        <x:v>35829</x:v>
      </x:c>
      <x:c r="C8991" s="0" t="s">
        <x:v>35830</x:v>
      </x:c>
      <x:c r="E8991" s="0" t="s">
        <x:v>35831</x:v>
      </x:c>
      <x:c r="F8991" s="0" t="s">
        <x:v>45</x:v>
      </x:c>
      <x:c r="G8991" s="0" t="s">
        <x:v>19</x:v>
      </x:c>
      <x:c r="H8991" s="0" t="s">
        <x:v>20</x:v>
      </x:c>
      <x:c r="I8991" s="0" t="s">
        <x:v>21</x:v>
      </x:c>
      <x:c r="K8991" s="0">
        <x:f>hyperlink("https://icd.who.int/dev11/l-ichi/en#/http%3A%2F%2Fid.who.int%2Ficd%2Fentity%2F7957073","browser")</x:f>
      </x:c>
      <x:c r="L8991" s="0">
        <x:f>hyperlink("https://icat2.azurewebsites.net/icat/?ontology=ICD&amp;tab=ClassesTab&amp;id=http%3A%2F%2Fwho.int%2Ficd%23834_075b017b_ac4c_42d7_a31d_f6f14e3ba684","iCat")</x:f>
      </x:c>
      <x:c r="M8991" s="0" t="s">
        <x:v>21</x:v>
      </x:c>
      <x:c r="N8991" s="0" t="s">
        <x:v>46</x:v>
      </x:c>
    </x:row>
    <x:row r="8992" spans="1:16">
      <x:c r="A8992" s="0" t="s">
        <x:v>35832</x:v>
      </x:c>
      <x:c r="B8992" s="0" t="s">
        <x:v>35833</x:v>
      </x:c>
      <x:c r="C8992" s="0" t="s">
        <x:v>35834</x:v>
      </x:c>
      <x:c r="E8992" s="0" t="s">
        <x:v>35835</x:v>
      </x:c>
      <x:c r="F8992" s="0" t="s">
        <x:v>45</x:v>
      </x:c>
      <x:c r="G8992" s="0" t="s">
        <x:v>19</x:v>
      </x:c>
      <x:c r="H8992" s="0" t="s">
        <x:v>20</x:v>
      </x:c>
      <x:c r="I8992" s="0" t="s">
        <x:v>21</x:v>
      </x:c>
      <x:c r="K8992" s="0">
        <x:f>hyperlink("https://icd.who.int/dev11/l-ichi/en#/http%3A%2F%2Fid.who.int%2Ficd%2Fentity%2F94944575","browser")</x:f>
      </x:c>
      <x:c r="L8992" s="0">
        <x:f>hyperlink("https://icat2.azurewebsites.net/icat/?ontology=ICD&amp;tab=ClassesTab&amp;id=http%3A%2F%2Fwho.int%2Ficd%23840_075b017b_ac4c_42d7_a31d_f6f14e3ba684","iCat")</x:f>
      </x:c>
      <x:c r="M8992" s="0" t="s">
        <x:v>21</x:v>
      </x:c>
      <x:c r="N8992" s="0" t="s">
        <x:v>46</x:v>
      </x:c>
    </x:row>
    <x:row r="8993" spans="1:16">
      <x:c r="A8993" s="0" t="s">
        <x:v>35836</x:v>
      </x:c>
      <x:c r="B8993" s="0" t="s">
        <x:v>35837</x:v>
      </x:c>
      <x:c r="C8993" s="0" t="s">
        <x:v>35838</x:v>
      </x:c>
      <x:c r="E8993" s="0" t="s">
        <x:v>35839</x:v>
      </x:c>
      <x:c r="F8993" s="0" t="s">
        <x:v>45</x:v>
      </x:c>
      <x:c r="G8993" s="0" t="s">
        <x:v>19</x:v>
      </x:c>
      <x:c r="H8993" s="0" t="s">
        <x:v>20</x:v>
      </x:c>
      <x:c r="I8993" s="0" t="s">
        <x:v>21</x:v>
      </x:c>
      <x:c r="K8993" s="0">
        <x:f>hyperlink("https://icd.who.int/dev11/l-ichi/en#/http%3A%2F%2Fid.who.int%2Ficd%2Fentity%2F1439917200","browser")</x:f>
      </x:c>
      <x:c r="L8993" s="0">
        <x:f>hyperlink("https://icat2.azurewebsites.net/icat/?ontology=ICD&amp;tab=ClassesTab&amp;id=http%3A%2F%2Fwho.int%2Ficd%23846_075b017b_ac4c_42d7_a31d_f6f14e3ba684","iCat")</x:f>
      </x:c>
      <x:c r="M8993" s="0" t="s">
        <x:v>21</x:v>
      </x:c>
      <x:c r="N8993" s="0" t="s">
        <x:v>46</x:v>
      </x:c>
    </x:row>
    <x:row r="8994" spans="1:16">
      <x:c r="A8994" s="0" t="s">
        <x:v>35840</x:v>
      </x:c>
      <x:c r="B8994" s="0" t="s">
        <x:v>35841</x:v>
      </x:c>
      <x:c r="C8994" s="0" t="s">
        <x:v>35842</x:v>
      </x:c>
      <x:c r="E8994" s="0" t="s">
        <x:v>35843</x:v>
      </x:c>
      <x:c r="F8994" s="0" t="s">
        <x:v>45</x:v>
      </x:c>
      <x:c r="G8994" s="0" t="s">
        <x:v>19</x:v>
      </x:c>
      <x:c r="H8994" s="0" t="s">
        <x:v>20</x:v>
      </x:c>
      <x:c r="I8994" s="0" t="s">
        <x:v>21</x:v>
      </x:c>
      <x:c r="K8994" s="0">
        <x:f>hyperlink("https://icd.who.int/dev11/l-ichi/en#/http%3A%2F%2Fid.who.int%2Ficd%2Fentity%2F168900013","browser")</x:f>
      </x:c>
      <x:c r="L8994" s="0">
        <x:f>hyperlink("https://icat2.azurewebsites.net/icat/?ontology=ICD&amp;tab=ClassesTab&amp;id=http%3A%2F%2Fwho.int%2Ficd%23852_075b017b_ac4c_42d7_a31d_f6f14e3ba684","iCat")</x:f>
      </x:c>
      <x:c r="M8994" s="0" t="s">
        <x:v>21</x:v>
      </x:c>
      <x:c r="N8994" s="0" t="s">
        <x:v>46</x:v>
      </x:c>
    </x:row>
    <x:row r="8995" spans="1:16">
      <x:c r="A8995" s="0" t="s">
        <x:v>35844</x:v>
      </x:c>
      <x:c r="B8995" s="0" t="s">
        <x:v>35845</x:v>
      </x:c>
      <x:c r="C8995" s="0" t="s">
        <x:v>35846</x:v>
      </x:c>
      <x:c r="E8995" s="0" t="s">
        <x:v>35847</x:v>
      </x:c>
      <x:c r="F8995" s="0" t="s">
        <x:v>45</x:v>
      </x:c>
      <x:c r="G8995" s="0" t="s">
        <x:v>19</x:v>
      </x:c>
      <x:c r="H8995" s="0" t="s">
        <x:v>20</x:v>
      </x:c>
      <x:c r="I8995" s="0" t="s">
        <x:v>21</x:v>
      </x:c>
      <x:c r="K8995" s="0">
        <x:f>hyperlink("https://icd.who.int/dev11/l-ichi/en#/http%3A%2F%2Fid.who.int%2Ficd%2Fentity%2F569137469","browser")</x:f>
      </x:c>
      <x:c r="L8995" s="0">
        <x:f>hyperlink("https://icat2.azurewebsites.net/icat/?ontology=ICD&amp;tab=ClassesTab&amp;id=http%3A%2F%2Fwho.int%2Ficd%23858_075b017b_ac4c_42d7_a31d_f6f14e3ba684","iCat")</x:f>
      </x:c>
      <x:c r="M8995" s="0" t="s">
        <x:v>21</x:v>
      </x:c>
      <x:c r="N8995" s="0" t="s">
        <x:v>46</x:v>
      </x:c>
    </x:row>
    <x:row r="8996" spans="1:16">
      <x:c r="A8996" s="0" t="s">
        <x:v>35848</x:v>
      </x:c>
      <x:c r="B8996" s="0" t="s">
        <x:v>35849</x:v>
      </x:c>
      <x:c r="C8996" s="0" t="s">
        <x:v>35850</x:v>
      </x:c>
      <x:c r="E8996" s="0" t="s">
        <x:v>35851</x:v>
      </x:c>
      <x:c r="F8996" s="0" t="s">
        <x:v>45</x:v>
      </x:c>
      <x:c r="G8996" s="0" t="s">
        <x:v>19</x:v>
      </x:c>
      <x:c r="H8996" s="0" t="s">
        <x:v>20</x:v>
      </x:c>
      <x:c r="I8996" s="0" t="s">
        <x:v>21</x:v>
      </x:c>
      <x:c r="K8996" s="0">
        <x:f>hyperlink("https://icd.who.int/dev11/l-ichi/en#/http%3A%2F%2Fid.who.int%2Ficd%2Fentity%2F450604059","browser")</x:f>
      </x:c>
      <x:c r="L8996" s="0">
        <x:f>hyperlink("https://icat2.azurewebsites.net/icat/?ontology=ICD&amp;tab=ClassesTab&amp;id=http%3A%2F%2Fwho.int%2Ficd%23864_075b017b_ac4c_42d7_a31d_f6f14e3ba684","iCat")</x:f>
      </x:c>
      <x:c r="M8996" s="0" t="s">
        <x:v>21</x:v>
      </x:c>
      <x:c r="N8996" s="0" t="s">
        <x:v>46</x:v>
      </x:c>
    </x:row>
    <x:row r="8997" spans="1:16">
      <x:c r="A8997" s="0" t="s">
        <x:v>35852</x:v>
      </x:c>
      <x:c r="B8997" s="0" t="s">
        <x:v>35853</x:v>
      </x:c>
      <x:c r="C8997" s="0" t="s">
        <x:v>35854</x:v>
      </x:c>
      <x:c r="E8997" s="0" t="s">
        <x:v>35855</x:v>
      </x:c>
      <x:c r="F8997" s="0" t="s">
        <x:v>45</x:v>
      </x:c>
      <x:c r="G8997" s="0" t="s">
        <x:v>19</x:v>
      </x:c>
      <x:c r="H8997" s="0" t="s">
        <x:v>20</x:v>
      </x:c>
      <x:c r="I8997" s="0" t="s">
        <x:v>21</x:v>
      </x:c>
      <x:c r="K8997" s="0">
        <x:f>hyperlink("https://icd.who.int/dev11/l-ichi/en#/http%3A%2F%2Fid.who.int%2Ficd%2Fentity%2F1159331130","browser")</x:f>
      </x:c>
      <x:c r="L8997" s="0">
        <x:f>hyperlink("https://icat2.azurewebsites.net/icat/?ontology=ICD&amp;tab=ClassesTab&amp;id=http%3A%2F%2Fwho.int%2Ficd%23870_075b017b_ac4c_42d7_a31d_f6f14e3ba684","iCat")</x:f>
      </x:c>
      <x:c r="M8997" s="0" t="s">
        <x:v>21</x:v>
      </x:c>
      <x:c r="N8997" s="0" t="s">
        <x:v>46</x:v>
      </x:c>
    </x:row>
    <x:row r="8998" spans="1:16">
      <x:c r="A8998" s="0" t="s">
        <x:v>35856</x:v>
      </x:c>
      <x:c r="B8998" s="0" t="s">
        <x:v>35857</x:v>
      </x:c>
      <x:c r="C8998" s="0" t="s">
        <x:v>35858</x:v>
      </x:c>
      <x:c r="E8998" s="0" t="s">
        <x:v>35859</x:v>
      </x:c>
      <x:c r="F8998" s="0" t="s">
        <x:v>45</x:v>
      </x:c>
      <x:c r="G8998" s="0" t="s">
        <x:v>19</x:v>
      </x:c>
      <x:c r="H8998" s="0" t="s">
        <x:v>20</x:v>
      </x:c>
      <x:c r="I8998" s="0" t="s">
        <x:v>21</x:v>
      </x:c>
      <x:c r="K8998" s="0">
        <x:f>hyperlink("https://icd.who.int/dev11/l-ichi/en#/http%3A%2F%2Fid.who.int%2Ficd%2Fentity%2F358753417","browser")</x:f>
      </x:c>
      <x:c r="L8998" s="0">
        <x:f>hyperlink("https://icat2.azurewebsites.net/icat/?ontology=ICD&amp;tab=ClassesTab&amp;id=http%3A%2F%2Fwho.int%2Ficd%23876_075b017b_ac4c_42d7_a31d_f6f14e3ba684","iCat")</x:f>
      </x:c>
      <x:c r="M8998" s="0" t="s">
        <x:v>21</x:v>
      </x:c>
      <x:c r="N8998" s="0" t="s">
        <x:v>46</x:v>
      </x:c>
    </x:row>
    <x:row r="8999" spans="1:16">
      <x:c r="A8999" s="0" t="s">
        <x:v>35860</x:v>
      </x:c>
      <x:c r="B8999" s="0" t="s">
        <x:v>35861</x:v>
      </x:c>
      <x:c r="C8999" s="0" t="s">
        <x:v>35862</x:v>
      </x:c>
      <x:c r="E8999" s="0" t="s">
        <x:v>35863</x:v>
      </x:c>
      <x:c r="F8999" s="0" t="s">
        <x:v>45</x:v>
      </x:c>
      <x:c r="G8999" s="0" t="s">
        <x:v>19</x:v>
      </x:c>
      <x:c r="H8999" s="0" t="s">
        <x:v>20</x:v>
      </x:c>
      <x:c r="I8999" s="0" t="s">
        <x:v>21</x:v>
      </x:c>
      <x:c r="K8999" s="0">
        <x:f>hyperlink("https://icd.who.int/dev11/l-ichi/en#/http%3A%2F%2Fid.who.int%2Ficd%2Fentity%2F260221475","browser")</x:f>
      </x:c>
      <x:c r="L8999" s="0">
        <x:f>hyperlink("https://icat2.azurewebsites.net/icat/?ontology=ICD&amp;tab=ClassesTab&amp;id=http%3A%2F%2Fwho.int%2Ficd%23882_075b017b_ac4c_42d7_a31d_f6f14e3ba684","iCat")</x:f>
      </x:c>
      <x:c r="M8999" s="0" t="s">
        <x:v>21</x:v>
      </x:c>
      <x:c r="N8999" s="0" t="s">
        <x:v>46</x:v>
      </x:c>
    </x:row>
    <x:row r="9000" spans="1:16">
      <x:c r="A9000" s="0" t="s">
        <x:v>35864</x:v>
      </x:c>
      <x:c r="B9000" s="0" t="s">
        <x:v>35865</x:v>
      </x:c>
      <x:c r="C9000" s="0" t="s">
        <x:v>35866</x:v>
      </x:c>
      <x:c r="E9000" s="0" t="s">
        <x:v>35867</x:v>
      </x:c>
      <x:c r="F9000" s="0" t="s">
        <x:v>45</x:v>
      </x:c>
      <x:c r="G9000" s="0" t="s">
        <x:v>19</x:v>
      </x:c>
      <x:c r="H9000" s="0" t="s">
        <x:v>20</x:v>
      </x:c>
      <x:c r="I9000" s="0" t="s">
        <x:v>21</x:v>
      </x:c>
      <x:c r="K9000" s="0">
        <x:f>hyperlink("https://icd.who.int/dev11/l-ichi/en#/http%3A%2F%2Fid.who.int%2Ficd%2Fentity%2F612353715","browser")</x:f>
      </x:c>
      <x:c r="L9000" s="0">
        <x:f>hyperlink("https://icat2.azurewebsites.net/icat/?ontology=ICD&amp;tab=ClassesTab&amp;id=http%3A%2F%2Fwho.int%2Ficd%23888_075b017b_ac4c_42d7_a31d_f6f14e3ba684","iCat")</x:f>
      </x:c>
      <x:c r="M9000" s="0" t="s">
        <x:v>21</x:v>
      </x:c>
      <x:c r="N9000" s="0" t="s">
        <x:v>46</x:v>
      </x:c>
    </x:row>
    <x:row r="9001" spans="1:16">
      <x:c r="A9001" s="0" t="s">
        <x:v>35868</x:v>
      </x:c>
      <x:c r="B9001" s="0" t="s">
        <x:v>35869</x:v>
      </x:c>
      <x:c r="C9001" s="0" t="s">
        <x:v>35870</x:v>
      </x:c>
      <x:c r="E9001" s="0" t="s">
        <x:v>35871</x:v>
      </x:c>
      <x:c r="F9001" s="0" t="s">
        <x:v>45</x:v>
      </x:c>
      <x:c r="G9001" s="0" t="s">
        <x:v>19</x:v>
      </x:c>
      <x:c r="H9001" s="0" t="s">
        <x:v>20</x:v>
      </x:c>
      <x:c r="I9001" s="0" t="s">
        <x:v>21</x:v>
      </x:c>
      <x:c r="K9001" s="0">
        <x:f>hyperlink("https://icd.who.int/dev11/l-ichi/en#/http%3A%2F%2Fid.who.int%2Ficd%2Fentity%2F893183685","browser")</x:f>
      </x:c>
      <x:c r="L9001" s="0">
        <x:f>hyperlink("https://icat2.azurewebsites.net/icat/?ontology=ICD&amp;tab=ClassesTab&amp;id=http%3A%2F%2Fwho.int%2Ficd%23894_075b017b_ac4c_42d7_a31d_f6f14e3ba684","iCat")</x:f>
      </x:c>
      <x:c r="M9001" s="0" t="s">
        <x:v>21</x:v>
      </x:c>
      <x:c r="N9001" s="0" t="s">
        <x:v>46</x:v>
      </x:c>
    </x:row>
    <x:row r="9002" spans="1:16">
      <x:c r="A9002" s="0" t="s">
        <x:v>35872</x:v>
      </x:c>
      <x:c r="B9002" s="0" t="s">
        <x:v>35873</x:v>
      </x:c>
      <x:c r="C9002" s="0" t="s">
        <x:v>35874</x:v>
      </x:c>
      <x:c r="E9002" s="0" t="s">
        <x:v>35875</x:v>
      </x:c>
      <x:c r="F9002" s="0" t="s">
        <x:v>45</x:v>
      </x:c>
      <x:c r="G9002" s="0" t="s">
        <x:v>19</x:v>
      </x:c>
      <x:c r="H9002" s="0" t="s">
        <x:v>20</x:v>
      </x:c>
      <x:c r="I9002" s="0" t="s">
        <x:v>21</x:v>
      </x:c>
      <x:c r="K9002" s="0">
        <x:f>hyperlink("https://icd.who.int/dev11/l-ichi/en#/http%3A%2F%2Fid.who.int%2Ficd%2Fentity%2F5253311","browser")</x:f>
      </x:c>
      <x:c r="L9002" s="0">
        <x:f>hyperlink("https://icat2.azurewebsites.net/icat/?ontology=ICD&amp;tab=ClassesTab&amp;id=http%3A%2F%2Fwho.int%2Ficd%23900_075b017b_ac4c_42d7_a31d_f6f14e3ba684","iCat")</x:f>
      </x:c>
      <x:c r="M9002" s="0" t="s">
        <x:v>21</x:v>
      </x:c>
      <x:c r="N9002" s="0" t="s">
        <x:v>46</x:v>
      </x:c>
    </x:row>
    <x:row r="9003" spans="1:16">
      <x:c r="A9003" s="0" t="s">
        <x:v>35876</x:v>
      </x:c>
      <x:c r="B9003" s="0" t="s">
        <x:v>35877</x:v>
      </x:c>
      <x:c r="C9003" s="0" t="s">
        <x:v>35878</x:v>
      </x:c>
      <x:c r="E9003" s="0" t="s">
        <x:v>35879</x:v>
      </x:c>
      <x:c r="F9003" s="0" t="s">
        <x:v>45</x:v>
      </x:c>
      <x:c r="G9003" s="0" t="s">
        <x:v>19</x:v>
      </x:c>
      <x:c r="H9003" s="0" t="s">
        <x:v>20</x:v>
      </x:c>
      <x:c r="I9003" s="0" t="s">
        <x:v>21</x:v>
      </x:c>
      <x:c r="K9003" s="0">
        <x:f>hyperlink("https://icd.who.int/dev11/l-ichi/en#/http%3A%2F%2Fid.who.int%2Ficd%2Fentity%2F1345057040","browser")</x:f>
      </x:c>
      <x:c r="L9003" s="0">
        <x:f>hyperlink("https://icat2.azurewebsites.net/icat/?ontology=ICD&amp;tab=ClassesTab&amp;id=http%3A%2F%2Fwho.int%2Ficd%23906_075b017b_ac4c_42d7_a31d_f6f14e3ba684","iCat")</x:f>
      </x:c>
      <x:c r="M9003" s="0" t="s">
        <x:v>21</x:v>
      </x:c>
      <x:c r="N9003" s="0" t="s">
        <x:v>46</x:v>
      </x:c>
    </x:row>
    <x:row r="9004" spans="1:16">
      <x:c r="A9004" s="0" t="s">
        <x:v>35880</x:v>
      </x:c>
      <x:c r="B9004" s="0" t="s">
        <x:v>35881</x:v>
      </x:c>
      <x:c r="C9004" s="0" t="s">
        <x:v>35882</x:v>
      </x:c>
      <x:c r="E9004" s="0" t="s">
        <x:v>35883</x:v>
      </x:c>
      <x:c r="F9004" s="0" t="s">
        <x:v>45</x:v>
      </x:c>
      <x:c r="G9004" s="0" t="s">
        <x:v>19</x:v>
      </x:c>
      <x:c r="H9004" s="0" t="s">
        <x:v>20</x:v>
      </x:c>
      <x:c r="I9004" s="0" t="s">
        <x:v>21</x:v>
      </x:c>
      <x:c r="K9004" s="0">
        <x:f>hyperlink("https://icd.who.int/dev11/l-ichi/en#/http%3A%2F%2Fid.who.int%2Ficd%2Fentity%2F266969133","browser")</x:f>
      </x:c>
      <x:c r="L9004" s="0">
        <x:f>hyperlink("https://icat2.azurewebsites.net/icat/?ontology=ICD&amp;tab=ClassesTab&amp;id=http%3A%2F%2Fwho.int%2Ficd%23912_075b017b_ac4c_42d7_a31d_f6f14e3ba684","iCat")</x:f>
      </x:c>
      <x:c r="M9004" s="0" t="s">
        <x:v>21</x:v>
      </x:c>
      <x:c r="N9004" s="0" t="s">
        <x:v>46</x:v>
      </x:c>
    </x:row>
    <x:row r="9005" spans="1:16">
      <x:c r="A9005" s="0" t="s">
        <x:v>35884</x:v>
      </x:c>
      <x:c r="B9005" s="0" t="s">
        <x:v>35885</x:v>
      </x:c>
      <x:c r="C9005" s="0" t="s">
        <x:v>35886</x:v>
      </x:c>
      <x:c r="E9005" s="0" t="s">
        <x:v>35887</x:v>
      </x:c>
      <x:c r="F9005" s="0" t="s">
        <x:v>45</x:v>
      </x:c>
      <x:c r="G9005" s="0" t="s">
        <x:v>19</x:v>
      </x:c>
      <x:c r="H9005" s="0" t="s">
        <x:v>20</x:v>
      </x:c>
      <x:c r="I9005" s="0" t="s">
        <x:v>21</x:v>
      </x:c>
      <x:c r="K9005" s="0">
        <x:f>hyperlink("https://icd.who.int/dev11/l-ichi/en#/http%3A%2F%2Fid.who.int%2Ficd%2Fentity%2F605342909","browser")</x:f>
      </x:c>
      <x:c r="L9005" s="0">
        <x:f>hyperlink("https://icat2.azurewebsites.net/icat/?ontology=ICD&amp;tab=ClassesTab&amp;id=http%3A%2F%2Fwho.int%2Ficd%23918_075b017b_ac4c_42d7_a31d_f6f14e3ba684","iCat")</x:f>
      </x:c>
      <x:c r="M9005" s="0" t="s">
        <x:v>21</x:v>
      </x:c>
      <x:c r="N9005" s="0" t="s">
        <x:v>46</x:v>
      </x:c>
    </x:row>
    <x:row r="9006" spans="1:16">
      <x:c r="A9006" s="0" t="s">
        <x:v>35888</x:v>
      </x:c>
      <x:c r="B9006" s="0" t="s">
        <x:v>35889</x:v>
      </x:c>
      <x:c r="C9006" s="0" t="s">
        <x:v>35890</x:v>
      </x:c>
      <x:c r="E9006" s="0" t="s">
        <x:v>35891</x:v>
      </x:c>
      <x:c r="F9006" s="0" t="s">
        <x:v>45</x:v>
      </x:c>
      <x:c r="G9006" s="0" t="s">
        <x:v>19</x:v>
      </x:c>
      <x:c r="H9006" s="0" t="s">
        <x:v>20</x:v>
      </x:c>
      <x:c r="I9006" s="0" t="s">
        <x:v>21</x:v>
      </x:c>
      <x:c r="K9006" s="0">
        <x:f>hyperlink("https://icd.who.int/dev11/l-ichi/en#/http%3A%2F%2Fid.who.int%2Ficd%2Fentity%2F522402203","browser")</x:f>
      </x:c>
      <x:c r="L9006" s="0">
        <x:f>hyperlink("https://icat2.azurewebsites.net/icat/?ontology=ICD&amp;tab=ClassesTab&amp;id=http%3A%2F%2Fwho.int%2Ficd%23924_075b017b_ac4c_42d7_a31d_f6f14e3ba684","iCat")</x:f>
      </x:c>
      <x:c r="M9006" s="0" t="s">
        <x:v>21</x:v>
      </x:c>
      <x:c r="N9006" s="0" t="s">
        <x:v>46</x:v>
      </x:c>
    </x:row>
    <x:row r="9007" spans="1:16">
      <x:c r="A9007" s="0" t="s">
        <x:v>35892</x:v>
      </x:c>
      <x:c r="B9007" s="0" t="s">
        <x:v>35893</x:v>
      </x:c>
      <x:c r="C9007" s="0" t="s">
        <x:v>35894</x:v>
      </x:c>
      <x:c r="E9007" s="0" t="s">
        <x:v>35895</x:v>
      </x:c>
      <x:c r="F9007" s="0" t="s">
        <x:v>45</x:v>
      </x:c>
      <x:c r="G9007" s="0" t="s">
        <x:v>19</x:v>
      </x:c>
      <x:c r="H9007" s="0" t="s">
        <x:v>20</x:v>
      </x:c>
      <x:c r="I9007" s="0" t="s">
        <x:v>21</x:v>
      </x:c>
      <x:c r="K9007" s="0">
        <x:f>hyperlink("https://icd.who.int/dev11/l-ichi/en#/http%3A%2F%2Fid.who.int%2Ficd%2Fentity%2F1088514234","browser")</x:f>
      </x:c>
      <x:c r="L9007" s="0">
        <x:f>hyperlink("https://icat2.azurewebsites.net/icat/?ontology=ICD&amp;tab=ClassesTab&amp;id=http%3A%2F%2Fwho.int%2Ficd%23930_075b017b_ac4c_42d7_a31d_f6f14e3ba684","iCat")</x:f>
      </x:c>
      <x:c r="M9007" s="0" t="s">
        <x:v>21</x:v>
      </x:c>
      <x:c r="N9007" s="0" t="s">
        <x:v>46</x:v>
      </x:c>
    </x:row>
    <x:row r="9008" spans="1:16">
      <x:c r="A9008" s="0" t="s">
        <x:v>35896</x:v>
      </x:c>
      <x:c r="B9008" s="0" t="s">
        <x:v>35897</x:v>
      </x:c>
      <x:c r="C9008" s="0" t="s">
        <x:v>35898</x:v>
      </x:c>
      <x:c r="E9008" s="0" t="s">
        <x:v>35899</x:v>
      </x:c>
      <x:c r="F9008" s="0" t="s">
        <x:v>45</x:v>
      </x:c>
      <x:c r="G9008" s="0" t="s">
        <x:v>19</x:v>
      </x:c>
      <x:c r="H9008" s="0" t="s">
        <x:v>20</x:v>
      </x:c>
      <x:c r="I9008" s="0" t="s">
        <x:v>21</x:v>
      </x:c>
      <x:c r="K9008" s="0">
        <x:f>hyperlink("https://icd.who.int/dev11/l-ichi/en#/http%3A%2F%2Fid.who.int%2Ficd%2Fentity%2F278573321","browser")</x:f>
      </x:c>
      <x:c r="L9008" s="0">
        <x:f>hyperlink("https://icat2.azurewebsites.net/icat/?ontology=ICD&amp;tab=ClassesTab&amp;id=http%3A%2F%2Fwho.int%2Ficd%23936_075b017b_ac4c_42d7_a31d_f6f14e3ba684","iCat")</x:f>
      </x:c>
      <x:c r="M9008" s="0" t="s">
        <x:v>21</x:v>
      </x:c>
      <x:c r="N9008" s="0" t="s">
        <x:v>46</x:v>
      </x:c>
    </x:row>
    <x:row r="9009" spans="1:16">
      <x:c r="A9009" s="0" t="s">
        <x:v>35900</x:v>
      </x:c>
      <x:c r="B9009" s="0" t="s">
        <x:v>35901</x:v>
      </x:c>
      <x:c r="C9009" s="0" t="s">
        <x:v>35902</x:v>
      </x:c>
      <x:c r="E9009" s="0" t="s">
        <x:v>35903</x:v>
      </x:c>
      <x:c r="F9009" s="0" t="s">
        <x:v>45</x:v>
      </x:c>
      <x:c r="G9009" s="0" t="s">
        <x:v>19</x:v>
      </x:c>
      <x:c r="H9009" s="0" t="s">
        <x:v>20</x:v>
      </x:c>
      <x:c r="I9009" s="0" t="s">
        <x:v>21</x:v>
      </x:c>
      <x:c r="K9009" s="0">
        <x:f>hyperlink("https://icd.who.int/dev11/l-ichi/en#/http%3A%2F%2Fid.who.int%2Ficd%2Fentity%2F357262951","browser")</x:f>
      </x:c>
      <x:c r="L9009" s="0">
        <x:f>hyperlink("https://icat2.azurewebsites.net/icat/?ontology=ICD&amp;tab=ClassesTab&amp;id=http%3A%2F%2Fwho.int%2Ficd%23942_075b017b_ac4c_42d7_a31d_f6f14e3ba684","iCat")</x:f>
      </x:c>
      <x:c r="M9009" s="0" t="s">
        <x:v>21</x:v>
      </x:c>
      <x:c r="N9009" s="0" t="s">
        <x:v>46</x:v>
      </x:c>
    </x:row>
    <x:row r="9010" spans="1:16">
      <x:c r="A9010" s="0" t="s">
        <x:v>35904</x:v>
      </x:c>
      <x:c r="B9010" s="0" t="s">
        <x:v>35905</x:v>
      </x:c>
      <x:c r="C9010" s="0" t="s">
        <x:v>35906</x:v>
      </x:c>
      <x:c r="E9010" s="0" t="s">
        <x:v>35907</x:v>
      </x:c>
      <x:c r="F9010" s="0" t="s">
        <x:v>45</x:v>
      </x:c>
      <x:c r="G9010" s="0" t="s">
        <x:v>19</x:v>
      </x:c>
      <x:c r="H9010" s="0" t="s">
        <x:v>20</x:v>
      </x:c>
      <x:c r="I9010" s="0" t="s">
        <x:v>21</x:v>
      </x:c>
      <x:c r="K9010" s="0">
        <x:f>hyperlink("https://icd.who.int/dev11/l-ichi/en#/http%3A%2F%2Fid.who.int%2Ficd%2Fentity%2F1052117751","browser")</x:f>
      </x:c>
      <x:c r="L9010" s="0">
        <x:f>hyperlink("https://icat2.azurewebsites.net/icat/?ontology=ICD&amp;tab=ClassesTab&amp;id=http%3A%2F%2Fwho.int%2Ficd%23948_075b017b_ac4c_42d7_a31d_f6f14e3ba684","iCat")</x:f>
      </x:c>
      <x:c r="M9010" s="0" t="s">
        <x:v>21</x:v>
      </x:c>
      <x:c r="N9010" s="0" t="s">
        <x:v>46</x:v>
      </x:c>
    </x:row>
    <x:row r="9011" spans="1:16">
      <x:c r="A9011" s="0" t="s">
        <x:v>35908</x:v>
      </x:c>
      <x:c r="B9011" s="0" t="s">
        <x:v>35909</x:v>
      </x:c>
      <x:c r="C9011" s="0" t="s">
        <x:v>35910</x:v>
      </x:c>
      <x:c r="E9011" s="0" t="s">
        <x:v>35911</x:v>
      </x:c>
      <x:c r="F9011" s="0" t="s">
        <x:v>45</x:v>
      </x:c>
      <x:c r="G9011" s="0" t="s">
        <x:v>19</x:v>
      </x:c>
      <x:c r="H9011" s="0" t="s">
        <x:v>20</x:v>
      </x:c>
      <x:c r="I9011" s="0" t="s">
        <x:v>21</x:v>
      </x:c>
      <x:c r="K9011" s="0">
        <x:f>hyperlink("https://icd.who.int/dev11/l-ichi/en#/http%3A%2F%2Fid.who.int%2Ficd%2Fentity%2F804596353","browser")</x:f>
      </x:c>
      <x:c r="L9011" s="0">
        <x:f>hyperlink("https://icat2.azurewebsites.net/icat/?ontology=ICD&amp;tab=ClassesTab&amp;id=http%3A%2F%2Fwho.int%2Ficd%23954_075b017b_ac4c_42d7_a31d_f6f14e3ba684","iCat")</x:f>
      </x:c>
      <x:c r="M9011" s="0" t="s">
        <x:v>21</x:v>
      </x:c>
      <x:c r="N9011" s="0" t="s">
        <x:v>46</x:v>
      </x:c>
    </x:row>
    <x:row r="9012" spans="1:16">
      <x:c r="A9012" s="0" t="s">
        <x:v>35912</x:v>
      </x:c>
      <x:c r="B9012" s="0" t="s">
        <x:v>35913</x:v>
      </x:c>
      <x:c r="C9012" s="0" t="s">
        <x:v>35914</x:v>
      </x:c>
      <x:c r="E9012" s="0" t="s">
        <x:v>35915</x:v>
      </x:c>
      <x:c r="F9012" s="0" t="s">
        <x:v>45</x:v>
      </x:c>
      <x:c r="G9012" s="0" t="s">
        <x:v>19</x:v>
      </x:c>
      <x:c r="H9012" s="0" t="s">
        <x:v>20</x:v>
      </x:c>
      <x:c r="I9012" s="0" t="s">
        <x:v>21</x:v>
      </x:c>
      <x:c r="K9012" s="0">
        <x:f>hyperlink("https://icd.who.int/dev11/l-ichi/en#/http%3A%2F%2Fid.who.int%2Ficd%2Fentity%2F1514385140","browser")</x:f>
      </x:c>
      <x:c r="L9012" s="0">
        <x:f>hyperlink("https://icat2.azurewebsites.net/icat/?ontology=ICD&amp;tab=ClassesTab&amp;id=http%3A%2F%2Fwho.int%2Ficd%23960_075b017b_ac4c_42d7_a31d_f6f14e3ba684","iCat")</x:f>
      </x:c>
      <x:c r="M9012" s="0" t="s">
        <x:v>21</x:v>
      </x:c>
      <x:c r="N9012" s="0" t="s">
        <x:v>46</x:v>
      </x:c>
    </x:row>
    <x:row r="9013" spans="1:16">
      <x:c r="A9013" s="0" t="s">
        <x:v>35916</x:v>
      </x:c>
      <x:c r="B9013" s="0" t="s">
        <x:v>35917</x:v>
      </x:c>
      <x:c r="C9013" s="0" t="s">
        <x:v>35918</x:v>
      </x:c>
      <x:c r="E9013" s="0" t="s">
        <x:v>35919</x:v>
      </x:c>
      <x:c r="F9013" s="0" t="s">
        <x:v>45</x:v>
      </x:c>
      <x:c r="G9013" s="0" t="s">
        <x:v>19</x:v>
      </x:c>
      <x:c r="H9013" s="0" t="s">
        <x:v>20</x:v>
      </x:c>
      <x:c r="I9013" s="0" t="s">
        <x:v>21</x:v>
      </x:c>
      <x:c r="K9013" s="0">
        <x:f>hyperlink("https://icd.who.int/dev11/l-ichi/en#/http%3A%2F%2Fid.who.int%2Ficd%2Fentity%2F171472707","browser")</x:f>
      </x:c>
      <x:c r="L9013" s="0">
        <x:f>hyperlink("https://icat2.azurewebsites.net/icat/?ontology=ICD&amp;tab=ClassesTab&amp;id=http%3A%2F%2Fwho.int%2Ficd%23966_075b017b_ac4c_42d7_a31d_f6f14e3ba684","iCat")</x:f>
      </x:c>
      <x:c r="M9013" s="0" t="s">
        <x:v>21</x:v>
      </x:c>
      <x:c r="N9013" s="0" t="s">
        <x:v>46</x:v>
      </x:c>
    </x:row>
    <x:row r="9014" spans="1:16">
      <x:c r="A9014" s="0" t="s">
        <x:v>35920</x:v>
      </x:c>
      <x:c r="B9014" s="0" t="s">
        <x:v>35921</x:v>
      </x:c>
      <x:c r="C9014" s="0" t="s">
        <x:v>35922</x:v>
      </x:c>
      <x:c r="E9014" s="0" t="s">
        <x:v>35923</x:v>
      </x:c>
      <x:c r="F9014" s="0" t="s">
        <x:v>45</x:v>
      </x:c>
      <x:c r="G9014" s="0" t="s">
        <x:v>19</x:v>
      </x:c>
      <x:c r="H9014" s="0" t="s">
        <x:v>20</x:v>
      </x:c>
      <x:c r="I9014" s="0" t="s">
        <x:v>21</x:v>
      </x:c>
      <x:c r="K9014" s="0">
        <x:f>hyperlink("https://icd.who.int/dev11/l-ichi/en#/http%3A%2F%2Fid.who.int%2Ficd%2Fentity%2F392344806","browser")</x:f>
      </x:c>
      <x:c r="L9014" s="0">
        <x:f>hyperlink("https://icat2.azurewebsites.net/icat/?ontology=ICD&amp;tab=ClassesTab&amp;id=http%3A%2F%2Fwho.int%2Ficd%231467_075b017b_ac4c_42d7_a31d_f6f14e3ba684","iCat")</x:f>
      </x:c>
      <x:c r="M9014" s="0" t="s">
        <x:v>21</x:v>
      </x:c>
      <x:c r="N9014" s="0" t="s">
        <x:v>46</x:v>
      </x:c>
    </x:row>
    <x:row r="9015" spans="1:16">
      <x:c r="A9015" s="0" t="s">
        <x:v>35924</x:v>
      </x:c>
      <x:c r="B9015" s="0" t="s">
        <x:v>35925</x:v>
      </x:c>
      <x:c r="C9015" s="0" t="s">
        <x:v>35926</x:v>
      </x:c>
      <x:c r="E9015" s="0" t="s">
        <x:v>35927</x:v>
      </x:c>
      <x:c r="F9015" s="0" t="s">
        <x:v>45</x:v>
      </x:c>
      <x:c r="G9015" s="0" t="s">
        <x:v>19</x:v>
      </x:c>
      <x:c r="H9015" s="0" t="s">
        <x:v>20</x:v>
      </x:c>
      <x:c r="I9015" s="0" t="s">
        <x:v>21</x:v>
      </x:c>
      <x:c r="K9015" s="0">
        <x:f>hyperlink("https://icd.who.int/dev11/l-ichi/en#/http%3A%2F%2Fid.who.int%2Ficd%2Fentity%2F1218504133","browser")</x:f>
      </x:c>
      <x:c r="L9015" s="0">
        <x:f>hyperlink("https://icat2.azurewebsites.net/icat/?ontology=ICD&amp;tab=ClassesTab&amp;id=http%3A%2F%2Fwho.int%2Ficd%231473_075b017b_ac4c_42d7_a31d_f6f14e3ba684","iCat")</x:f>
      </x:c>
      <x:c r="M9015" s="0" t="s">
        <x:v>21</x:v>
      </x:c>
      <x:c r="N9015" s="0" t="s">
        <x:v>46</x:v>
      </x:c>
    </x:row>
    <x:row r="9016" spans="1:16">
      <x:c r="A9016" s="0" t="s">
        <x:v>35928</x:v>
      </x:c>
      <x:c r="B9016" s="0" t="s">
        <x:v>35929</x:v>
      </x:c>
      <x:c r="C9016" s="0" t="s">
        <x:v>35930</x:v>
      </x:c>
      <x:c r="E9016" s="0" t="s">
        <x:v>35931</x:v>
      </x:c>
      <x:c r="F9016" s="0" t="s">
        <x:v>45</x:v>
      </x:c>
      <x:c r="G9016" s="0" t="s">
        <x:v>19</x:v>
      </x:c>
      <x:c r="H9016" s="0" t="s">
        <x:v>20</x:v>
      </x:c>
      <x:c r="I9016" s="0" t="s">
        <x:v>21</x:v>
      </x:c>
      <x:c r="K9016" s="0">
        <x:f>hyperlink("https://icd.who.int/dev11/l-ichi/en#/http%3A%2F%2Fid.who.int%2Ficd%2Fentity%2F1667074389","browser")</x:f>
      </x:c>
      <x:c r="L9016" s="0">
        <x:f>hyperlink("https://icat2.azurewebsites.net/icat/?ontology=ICD&amp;tab=ClassesTab&amp;id=http%3A%2F%2Fwho.int%2Ficd%231479_075b017b_ac4c_42d7_a31d_f6f14e3ba684","iCat")</x:f>
      </x:c>
      <x:c r="M9016" s="0" t="s">
        <x:v>21</x:v>
      </x:c>
      <x:c r="N9016" s="0" t="s">
        <x:v>46</x:v>
      </x:c>
    </x:row>
    <x:row r="9017" spans="1:16">
      <x:c r="A9017" s="0" t="s">
        <x:v>35932</x:v>
      </x:c>
      <x:c r="B9017" s="0" t="s">
        <x:v>35933</x:v>
      </x:c>
      <x:c r="C9017" s="0" t="s">
        <x:v>35934</x:v>
      </x:c>
      <x:c r="E9017" s="0" t="s">
        <x:v>35935</x:v>
      </x:c>
      <x:c r="F9017" s="0" t="s">
        <x:v>45</x:v>
      </x:c>
      <x:c r="G9017" s="0" t="s">
        <x:v>19</x:v>
      </x:c>
      <x:c r="H9017" s="0" t="s">
        <x:v>20</x:v>
      </x:c>
      <x:c r="I9017" s="0" t="s">
        <x:v>21</x:v>
      </x:c>
      <x:c r="K9017" s="0">
        <x:f>hyperlink("https://icd.who.int/dev11/l-ichi/en#/http%3A%2F%2Fid.who.int%2Ficd%2Fentity%2F926709418","browser")</x:f>
      </x:c>
      <x:c r="L9017" s="0">
        <x:f>hyperlink("https://icat2.azurewebsites.net/icat/?ontology=ICD&amp;tab=ClassesTab&amp;id=http%3A%2F%2Fwho.int%2Ficd%231485_075b017b_ac4c_42d7_a31d_f6f14e3ba684","iCat")</x:f>
      </x:c>
      <x:c r="M9017" s="0" t="s">
        <x:v>21</x:v>
      </x:c>
      <x:c r="N9017" s="0" t="s">
        <x:v>46</x:v>
      </x:c>
    </x:row>
    <x:row r="9018" spans="1:16">
      <x:c r="A9018" s="0" t="s">
        <x:v>35936</x:v>
      </x:c>
      <x:c r="B9018" s="0" t="s">
        <x:v>35937</x:v>
      </x:c>
      <x:c r="C9018" s="0" t="s">
        <x:v>35938</x:v>
      </x:c>
      <x:c r="E9018" s="0" t="s">
        <x:v>35939</x:v>
      </x:c>
      <x:c r="F9018" s="0" t="s">
        <x:v>45</x:v>
      </x:c>
      <x:c r="G9018" s="0" t="s">
        <x:v>19</x:v>
      </x:c>
      <x:c r="H9018" s="0" t="s">
        <x:v>20</x:v>
      </x:c>
      <x:c r="I9018" s="0" t="s">
        <x:v>21</x:v>
      </x:c>
      <x:c r="K9018" s="0">
        <x:f>hyperlink("https://icd.who.int/dev11/l-ichi/en#/http%3A%2F%2Fid.who.int%2Ficd%2Fentity%2F1761486729","browser")</x:f>
      </x:c>
      <x:c r="L9018" s="0">
        <x:f>hyperlink("https://icat2.azurewebsites.net/icat/?ontology=ICD&amp;tab=ClassesTab&amp;id=http%3A%2F%2Fwho.int%2Ficd%231491_075b017b_ac4c_42d7_a31d_f6f14e3ba684","iCat")</x:f>
      </x:c>
      <x:c r="M9018" s="0" t="s">
        <x:v>21</x:v>
      </x:c>
      <x:c r="N9018" s="0" t="s">
        <x:v>46</x:v>
      </x:c>
    </x:row>
    <x:row r="9019" spans="1:16">
      <x:c r="A9019" s="0" t="s">
        <x:v>35940</x:v>
      </x:c>
      <x:c r="B9019" s="0" t="s">
        <x:v>35941</x:v>
      </x:c>
      <x:c r="C9019" s="0" t="s">
        <x:v>35942</x:v>
      </x:c>
      <x:c r="E9019" s="0" t="s">
        <x:v>35943</x:v>
      </x:c>
      <x:c r="F9019" s="0" t="s">
        <x:v>45</x:v>
      </x:c>
      <x:c r="G9019" s="0" t="s">
        <x:v>19</x:v>
      </x:c>
      <x:c r="H9019" s="0" t="s">
        <x:v>20</x:v>
      </x:c>
      <x:c r="I9019" s="0" t="s">
        <x:v>21</x:v>
      </x:c>
      <x:c r="K9019" s="0">
        <x:f>hyperlink("https://icd.who.int/dev11/l-ichi/en#/http%3A%2F%2Fid.who.int%2Ficd%2Fentity%2F948305464","browser")</x:f>
      </x:c>
      <x:c r="L9019" s="0">
        <x:f>hyperlink("https://icat2.azurewebsites.net/icat/?ontology=ICD&amp;tab=ClassesTab&amp;id=http%3A%2F%2Fwho.int%2Ficd%231497_075b017b_ac4c_42d7_a31d_f6f14e3ba684","iCat")</x:f>
      </x:c>
      <x:c r="M9019" s="0" t="s">
        <x:v>21</x:v>
      </x:c>
      <x:c r="N9019" s="0" t="s">
        <x:v>46</x:v>
      </x:c>
    </x:row>
    <x:row r="9020" spans="1:16">
      <x:c r="A9020" s="0" t="s">
        <x:v>35944</x:v>
      </x:c>
      <x:c r="B9020" s="0" t="s">
        <x:v>35945</x:v>
      </x:c>
      <x:c r="C9020" s="0" t="s">
        <x:v>35946</x:v>
      </x:c>
      <x:c r="E9020" s="0" t="s">
        <x:v>35947</x:v>
      </x:c>
      <x:c r="F9020" s="0" t="s">
        <x:v>45</x:v>
      </x:c>
      <x:c r="G9020" s="0" t="s">
        <x:v>19</x:v>
      </x:c>
      <x:c r="H9020" s="0" t="s">
        <x:v>20</x:v>
      </x:c>
      <x:c r="I9020" s="0" t="s">
        <x:v>21</x:v>
      </x:c>
      <x:c r="K9020" s="0">
        <x:f>hyperlink("https://icd.who.int/dev11/l-ichi/en#/http%3A%2F%2Fid.who.int%2Ficd%2Fentity%2F233386050","browser")</x:f>
      </x:c>
      <x:c r="L9020" s="0">
        <x:f>hyperlink("https://icat2.azurewebsites.net/icat/?ontology=ICD&amp;tab=ClassesTab&amp;id=http%3A%2F%2Fwho.int%2Ficd%231503_075b017b_ac4c_42d7_a31d_f6f14e3ba684","iCat")</x:f>
      </x:c>
      <x:c r="M9020" s="0" t="s">
        <x:v>21</x:v>
      </x:c>
      <x:c r="N9020" s="0" t="s">
        <x:v>46</x:v>
      </x:c>
    </x:row>
    <x:row r="9021" spans="1:16">
      <x:c r="A9021" s="0" t="s">
        <x:v>35948</x:v>
      </x:c>
      <x:c r="B9021" s="0" t="s">
        <x:v>35949</x:v>
      </x:c>
      <x:c r="C9021" s="0" t="s">
        <x:v>35950</x:v>
      </x:c>
      <x:c r="E9021" s="0" t="s">
        <x:v>35951</x:v>
      </x:c>
      <x:c r="F9021" s="0" t="s">
        <x:v>45</x:v>
      </x:c>
      <x:c r="G9021" s="0" t="s">
        <x:v>19</x:v>
      </x:c>
      <x:c r="H9021" s="0" t="s">
        <x:v>20</x:v>
      </x:c>
      <x:c r="I9021" s="0" t="s">
        <x:v>21</x:v>
      </x:c>
      <x:c r="K9021" s="0">
        <x:f>hyperlink("https://icd.who.int/dev11/l-ichi/en#/http%3A%2F%2Fid.who.int%2Ficd%2Fentity%2F638868690","browser")</x:f>
      </x:c>
      <x:c r="L9021" s="0">
        <x:f>hyperlink("https://icat2.azurewebsites.net/icat/?ontology=ICD&amp;tab=ClassesTab&amp;id=http%3A%2F%2Fwho.int%2Ficd%231509_075b017b_ac4c_42d7_a31d_f6f14e3ba684","iCat")</x:f>
      </x:c>
      <x:c r="M9021" s="0" t="s">
        <x:v>21</x:v>
      </x:c>
      <x:c r="N9021" s="0" t="s">
        <x:v>46</x:v>
      </x:c>
    </x:row>
    <x:row r="9022" spans="1:16">
      <x:c r="A9022" s="0" t="s">
        <x:v>35952</x:v>
      </x:c>
      <x:c r="B9022" s="0" t="s">
        <x:v>35953</x:v>
      </x:c>
      <x:c r="C9022" s="0" t="s">
        <x:v>35954</x:v>
      </x:c>
      <x:c r="E9022" s="0" t="s">
        <x:v>35955</x:v>
      </x:c>
      <x:c r="F9022" s="0" t="s">
        <x:v>45</x:v>
      </x:c>
      <x:c r="G9022" s="0" t="s">
        <x:v>19</x:v>
      </x:c>
      <x:c r="H9022" s="0" t="s">
        <x:v>20</x:v>
      </x:c>
      <x:c r="I9022" s="0" t="s">
        <x:v>21</x:v>
      </x:c>
      <x:c r="K9022" s="0">
        <x:f>hyperlink("https://icd.who.int/dev11/l-ichi/en#/http%3A%2F%2Fid.who.int%2Ficd%2Fentity%2F928480422","browser")</x:f>
      </x:c>
      <x:c r="L9022" s="0">
        <x:f>hyperlink("https://icat2.azurewebsites.net/icat/?ontology=ICD&amp;tab=ClassesTab&amp;id=http%3A%2F%2Fwho.int%2Ficd%231515_075b017b_ac4c_42d7_a31d_f6f14e3ba684","iCat")</x:f>
      </x:c>
      <x:c r="M9022" s="0" t="s">
        <x:v>21</x:v>
      </x:c>
      <x:c r="N9022" s="0" t="s">
        <x:v>46</x:v>
      </x:c>
    </x:row>
    <x:row r="9023" spans="1:16">
      <x:c r="A9023" s="0" t="s">
        <x:v>35956</x:v>
      </x:c>
      <x:c r="B9023" s="0" t="s">
        <x:v>35957</x:v>
      </x:c>
      <x:c r="C9023" s="0" t="s">
        <x:v>35958</x:v>
      </x:c>
      <x:c r="E9023" s="0" t="s">
        <x:v>35959</x:v>
      </x:c>
      <x:c r="F9023" s="0" t="s">
        <x:v>45</x:v>
      </x:c>
      <x:c r="G9023" s="0" t="s">
        <x:v>19</x:v>
      </x:c>
      <x:c r="H9023" s="0" t="s">
        <x:v>20</x:v>
      </x:c>
      <x:c r="I9023" s="0" t="s">
        <x:v>21</x:v>
      </x:c>
      <x:c r="K9023" s="0">
        <x:f>hyperlink("https://icd.who.int/dev11/l-ichi/en#/http%3A%2F%2Fid.who.int%2Ficd%2Fentity%2F1122105559","browser")</x:f>
      </x:c>
      <x:c r="L9023" s="0">
        <x:f>hyperlink("https://icat2.azurewebsites.net/icat/?ontology=ICD&amp;tab=ClassesTab&amp;id=http%3A%2F%2Fwho.int%2Ficd%231521_075b017b_ac4c_42d7_a31d_f6f14e3ba684","iCat")</x:f>
      </x:c>
      <x:c r="M9023" s="0" t="s">
        <x:v>21</x:v>
      </x:c>
      <x:c r="N9023" s="0" t="s">
        <x:v>46</x:v>
      </x:c>
    </x:row>
    <x:row r="9024" spans="1:16">
      <x:c r="A9024" s="0" t="s">
        <x:v>35960</x:v>
      </x:c>
      <x:c r="B9024" s="0" t="s">
        <x:v>35961</x:v>
      </x:c>
      <x:c r="C9024" s="0" t="s">
        <x:v>35962</x:v>
      </x:c>
      <x:c r="E9024" s="0" t="s">
        <x:v>35963</x:v>
      </x:c>
      <x:c r="F9024" s="0" t="s">
        <x:v>45</x:v>
      </x:c>
      <x:c r="G9024" s="0" t="s">
        <x:v>19</x:v>
      </x:c>
      <x:c r="H9024" s="0" t="s">
        <x:v>20</x:v>
      </x:c>
      <x:c r="I9024" s="0" t="s">
        <x:v>21</x:v>
      </x:c>
      <x:c r="K9024" s="0">
        <x:f>hyperlink("https://icd.who.int/dev11/l-ichi/en#/http%3A%2F%2Fid.who.int%2Ficd%2Fentity%2F312090982","browser")</x:f>
      </x:c>
      <x:c r="L9024" s="0">
        <x:f>hyperlink("https://icat2.azurewebsites.net/icat/?ontology=ICD&amp;tab=ClassesTab&amp;id=http%3A%2F%2Fwho.int%2Ficd%231527_075b017b_ac4c_42d7_a31d_f6f14e3ba684","iCat")</x:f>
      </x:c>
      <x:c r="M9024" s="0" t="s">
        <x:v>21</x:v>
      </x:c>
      <x:c r="N9024" s="0" t="s">
        <x:v>46</x:v>
      </x:c>
    </x:row>
    <x:row r="9025" spans="1:16">
      <x:c r="A9025" s="0" t="s">
        <x:v>35964</x:v>
      </x:c>
      <x:c r="B9025" s="0" t="s">
        <x:v>35965</x:v>
      </x:c>
      <x:c r="C9025" s="0" t="s">
        <x:v>35966</x:v>
      </x:c>
      <x:c r="E9025" s="0" t="s">
        <x:v>35967</x:v>
      </x:c>
      <x:c r="F9025" s="0" t="s">
        <x:v>45</x:v>
      </x:c>
      <x:c r="G9025" s="0" t="s">
        <x:v>19</x:v>
      </x:c>
      <x:c r="H9025" s="0" t="s">
        <x:v>20</x:v>
      </x:c>
      <x:c r="I9025" s="0" t="s">
        <x:v>21</x:v>
      </x:c>
      <x:c r="K9025" s="0">
        <x:f>hyperlink("https://icd.who.int/dev11/l-ichi/en#/http%3A%2F%2Fid.who.int%2Ficd%2Fentity%2F1297641541","browser")</x:f>
      </x:c>
      <x:c r="L9025" s="0">
        <x:f>hyperlink("https://icat2.azurewebsites.net/icat/?ontology=ICD&amp;tab=ClassesTab&amp;id=http%3A%2F%2Fwho.int%2Ficd%231533_075b017b_ac4c_42d7_a31d_f6f14e3ba684","iCat")</x:f>
      </x:c>
      <x:c r="M9025" s="0" t="s">
        <x:v>21</x:v>
      </x:c>
      <x:c r="N9025" s="0" t="s">
        <x:v>46</x:v>
      </x:c>
    </x:row>
    <x:row r="9026" spans="1:16">
      <x:c r="A9026" s="0" t="s">
        <x:v>35968</x:v>
      </x:c>
      <x:c r="B9026" s="0" t="s">
        <x:v>35969</x:v>
      </x:c>
      <x:c r="C9026" s="0" t="s">
        <x:v>35970</x:v>
      </x:c>
      <x:c r="E9026" s="0" t="s">
        <x:v>35971</x:v>
      </x:c>
      <x:c r="F9026" s="0" t="s">
        <x:v>45</x:v>
      </x:c>
      <x:c r="G9026" s="0" t="s">
        <x:v>19</x:v>
      </x:c>
      <x:c r="H9026" s="0" t="s">
        <x:v>20</x:v>
      </x:c>
      <x:c r="I9026" s="0" t="s">
        <x:v>21</x:v>
      </x:c>
      <x:c r="K9026" s="0">
        <x:f>hyperlink("https://icd.who.int/dev11/l-ichi/en#/http%3A%2F%2Fid.who.int%2Ficd%2Fentity%2F1722096853","browser")</x:f>
      </x:c>
      <x:c r="L9026" s="0">
        <x:f>hyperlink("https://icat2.azurewebsites.net/icat/?ontology=ICD&amp;tab=ClassesTab&amp;id=http%3A%2F%2Fwho.int%2Ficd%231539_075b017b_ac4c_42d7_a31d_f6f14e3ba684","iCat")</x:f>
      </x:c>
      <x:c r="M9026" s="0" t="s">
        <x:v>21</x:v>
      </x:c>
      <x:c r="N9026" s="0" t="s">
        <x:v>46</x:v>
      </x:c>
    </x:row>
    <x:row r="9027" spans="1:16">
      <x:c r="A9027" s="0" t="s">
        <x:v>35972</x:v>
      </x:c>
      <x:c r="B9027" s="0" t="s">
        <x:v>35973</x:v>
      </x:c>
      <x:c r="C9027" s="0" t="s">
        <x:v>35974</x:v>
      </x:c>
      <x:c r="E9027" s="0" t="s">
        <x:v>35975</x:v>
      </x:c>
      <x:c r="F9027" s="0" t="s">
        <x:v>45</x:v>
      </x:c>
      <x:c r="G9027" s="0" t="s">
        <x:v>19</x:v>
      </x:c>
      <x:c r="H9027" s="0" t="s">
        <x:v>20</x:v>
      </x:c>
      <x:c r="I9027" s="0" t="s">
        <x:v>21</x:v>
      </x:c>
      <x:c r="K9027" s="0">
        <x:f>hyperlink("https://icd.who.int/dev11/l-ichi/en#/http%3A%2F%2Fid.who.int%2Ficd%2Fentity%2F771078896","browser")</x:f>
      </x:c>
      <x:c r="L9027" s="0">
        <x:f>hyperlink("https://icat2.azurewebsites.net/icat/?ontology=ICD&amp;tab=ClassesTab&amp;id=http%3A%2F%2Fwho.int%2Ficd%231545_075b017b_ac4c_42d7_a31d_f6f14e3ba684","iCat")</x:f>
      </x:c>
      <x:c r="M9027" s="0" t="s">
        <x:v>21</x:v>
      </x:c>
      <x:c r="N9027" s="0" t="s">
        <x:v>46</x:v>
      </x:c>
    </x:row>
    <x:row r="9028" spans="1:16">
      <x:c r="A9028" s="0" t="s">
        <x:v>35976</x:v>
      </x:c>
      <x:c r="B9028" s="0" t="s">
        <x:v>35977</x:v>
      </x:c>
      <x:c r="C9028" s="0" t="s">
        <x:v>35978</x:v>
      </x:c>
      <x:c r="E9028" s="0" t="s">
        <x:v>35979</x:v>
      </x:c>
      <x:c r="F9028" s="0" t="s">
        <x:v>45</x:v>
      </x:c>
      <x:c r="G9028" s="0" t="s">
        <x:v>19</x:v>
      </x:c>
      <x:c r="H9028" s="0" t="s">
        <x:v>20</x:v>
      </x:c>
      <x:c r="I9028" s="0" t="s">
        <x:v>21</x:v>
      </x:c>
      <x:c r="K9028" s="0">
        <x:f>hyperlink("https://icd.who.int/dev11/l-ichi/en#/http%3A%2F%2Fid.who.int%2Ficd%2Fentity%2F1916267469","browser")</x:f>
      </x:c>
      <x:c r="L9028" s="0">
        <x:f>hyperlink("https://icat2.azurewebsites.net/icat/?ontology=ICD&amp;tab=ClassesTab&amp;id=http%3A%2F%2Fwho.int%2Ficd%231551_075b017b_ac4c_42d7_a31d_f6f14e3ba684","iCat")</x:f>
      </x:c>
      <x:c r="M9028" s="0" t="s">
        <x:v>21</x:v>
      </x:c>
      <x:c r="N9028" s="0" t="s">
        <x:v>46</x:v>
      </x:c>
    </x:row>
    <x:row r="9029" spans="1:16">
      <x:c r="A9029" s="0" t="s">
        <x:v>35980</x:v>
      </x:c>
      <x:c r="B9029" s="0" t="s">
        <x:v>35981</x:v>
      </x:c>
      <x:c r="C9029" s="0" t="s">
        <x:v>35982</x:v>
      </x:c>
      <x:c r="E9029" s="0" t="s">
        <x:v>35983</x:v>
      </x:c>
      <x:c r="F9029" s="0" t="s">
        <x:v>45</x:v>
      </x:c>
      <x:c r="G9029" s="0" t="s">
        <x:v>19</x:v>
      </x:c>
      <x:c r="H9029" s="0" t="s">
        <x:v>20</x:v>
      </x:c>
      <x:c r="I9029" s="0" t="s">
        <x:v>21</x:v>
      </x:c>
      <x:c r="K9029" s="0">
        <x:f>hyperlink("https://icd.who.int/dev11/l-ichi/en#/http%3A%2F%2Fid.who.int%2Ficd%2Fentity%2F575419006","browser")</x:f>
      </x:c>
      <x:c r="L9029" s="0">
        <x:f>hyperlink("https://icat2.azurewebsites.net/icat/?ontology=ICD&amp;tab=ClassesTab&amp;id=http%3A%2F%2Fwho.int%2Ficd%231557_075b017b_ac4c_42d7_a31d_f6f14e3ba684","iCat")</x:f>
      </x:c>
      <x:c r="M9029" s="0" t="s">
        <x:v>21</x:v>
      </x:c>
      <x:c r="N9029" s="0" t="s">
        <x:v>46</x:v>
      </x:c>
    </x:row>
    <x:row r="9030" spans="1:16">
      <x:c r="A9030" s="0" t="s">
        <x:v>35984</x:v>
      </x:c>
      <x:c r="B9030" s="0" t="s">
        <x:v>35985</x:v>
      </x:c>
      <x:c r="C9030" s="0" t="s">
        <x:v>35986</x:v>
      </x:c>
      <x:c r="E9030" s="0" t="s">
        <x:v>35987</x:v>
      </x:c>
      <x:c r="F9030" s="0" t="s">
        <x:v>45</x:v>
      </x:c>
      <x:c r="G9030" s="0" t="s">
        <x:v>19</x:v>
      </x:c>
      <x:c r="H9030" s="0" t="s">
        <x:v>20</x:v>
      </x:c>
      <x:c r="I9030" s="0" t="s">
        <x:v>21</x:v>
      </x:c>
      <x:c r="K9030" s="0">
        <x:f>hyperlink("https://icd.who.int/dev11/l-ichi/en#/http%3A%2F%2Fid.who.int%2Ficd%2Fentity%2F1476048399","browser")</x:f>
      </x:c>
      <x:c r="L9030" s="0">
        <x:f>hyperlink("https://icat2.azurewebsites.net/icat/?ontology=ICD&amp;tab=ClassesTab&amp;id=http%3A%2F%2Fwho.int%2Ficd%231563_075b017b_ac4c_42d7_a31d_f6f14e3ba684","iCat")</x:f>
      </x:c>
      <x:c r="M9030" s="0" t="s">
        <x:v>21</x:v>
      </x:c>
      <x:c r="N9030" s="0" t="s">
        <x:v>46</x:v>
      </x:c>
    </x:row>
    <x:row r="9031" spans="1:16">
      <x:c r="A9031" s="0" t="s">
        <x:v>35988</x:v>
      </x:c>
      <x:c r="B9031" s="0" t="s">
        <x:v>35989</x:v>
      </x:c>
      <x:c r="C9031" s="0" t="s">
        <x:v>35990</x:v>
      </x:c>
      <x:c r="E9031" s="0" t="s">
        <x:v>35991</x:v>
      </x:c>
      <x:c r="F9031" s="0" t="s">
        <x:v>45</x:v>
      </x:c>
      <x:c r="G9031" s="0" t="s">
        <x:v>19</x:v>
      </x:c>
      <x:c r="H9031" s="0" t="s">
        <x:v>20</x:v>
      </x:c>
      <x:c r="I9031" s="0" t="s">
        <x:v>21</x:v>
      </x:c>
      <x:c r="K9031" s="0">
        <x:f>hyperlink("https://icd.who.int/dev11/l-ichi/en#/http%3A%2F%2Fid.who.int%2Ficd%2Fentity%2F2080889503","browser")</x:f>
      </x:c>
      <x:c r="L9031" s="0">
        <x:f>hyperlink("https://icat2.azurewebsites.net/icat/?ontology=ICD&amp;tab=ClassesTab&amp;id=http%3A%2F%2Fwho.int%2Ficd%231569_075b017b_ac4c_42d7_a31d_f6f14e3ba684","iCat")</x:f>
      </x:c>
      <x:c r="M9031" s="0" t="s">
        <x:v>21</x:v>
      </x:c>
      <x:c r="N9031" s="0" t="s">
        <x:v>46</x:v>
      </x:c>
    </x:row>
    <x:row r="9032" spans="1:16">
      <x:c r="A9032" s="0" t="s">
        <x:v>35992</x:v>
      </x:c>
      <x:c r="B9032" s="0" t="s">
        <x:v>35993</x:v>
      </x:c>
      <x:c r="C9032" s="0" t="s">
        <x:v>35994</x:v>
      </x:c>
      <x:c r="E9032" s="0" t="s">
        <x:v>35995</x:v>
      </x:c>
      <x:c r="F9032" s="0" t="s">
        <x:v>45</x:v>
      </x:c>
      <x:c r="G9032" s="0" t="s">
        <x:v>19</x:v>
      </x:c>
      <x:c r="H9032" s="0" t="s">
        <x:v>20</x:v>
      </x:c>
      <x:c r="I9032" s="0" t="s">
        <x:v>21</x:v>
      </x:c>
      <x:c r="K9032" s="0">
        <x:f>hyperlink("https://icd.who.int/dev11/l-ichi/en#/http%3A%2F%2Fid.who.int%2Ficd%2Fentity%2F1833237225","browser")</x:f>
      </x:c>
      <x:c r="L9032" s="0">
        <x:f>hyperlink("https://icat2.azurewebsites.net/icat/?ontology=ICD&amp;tab=ClassesTab&amp;id=http%3A%2F%2Fwho.int%2Ficd%231575_075b017b_ac4c_42d7_a31d_f6f14e3ba684","iCat")</x:f>
      </x:c>
      <x:c r="M9032" s="0" t="s">
        <x:v>21</x:v>
      </x:c>
      <x:c r="N9032" s="0" t="s">
        <x:v>46</x:v>
      </x:c>
    </x:row>
    <x:row r="9033" spans="1:16">
      <x:c r="A9033" s="0" t="s">
        <x:v>35996</x:v>
      </x:c>
      <x:c r="B9033" s="0" t="s">
        <x:v>35997</x:v>
      </x:c>
      <x:c r="C9033" s="0" t="s">
        <x:v>35998</x:v>
      </x:c>
      <x:c r="E9033" s="0" t="s">
        <x:v>35999</x:v>
      </x:c>
      <x:c r="F9033" s="0" t="s">
        <x:v>45</x:v>
      </x:c>
      <x:c r="G9033" s="0" t="s">
        <x:v>19</x:v>
      </x:c>
      <x:c r="H9033" s="0" t="s">
        <x:v>20</x:v>
      </x:c>
      <x:c r="I9033" s="0" t="s">
        <x:v>21</x:v>
      </x:c>
      <x:c r="K9033" s="0">
        <x:f>hyperlink("https://icd.who.int/dev11/l-ichi/en#/http%3A%2F%2Fid.who.int%2Ficd%2Fentity%2F2007266371","browser")</x:f>
      </x:c>
      <x:c r="L9033" s="0">
        <x:f>hyperlink("https://icat2.azurewebsites.net/icat/?ontology=ICD&amp;tab=ClassesTab&amp;id=http%3A%2F%2Fwho.int%2Ficd%231581_075b017b_ac4c_42d7_a31d_f6f14e3ba684","iCat")</x:f>
      </x:c>
      <x:c r="M9033" s="0" t="s">
        <x:v>21</x:v>
      </x:c>
      <x:c r="N9033" s="0" t="s">
        <x:v>46</x:v>
      </x:c>
    </x:row>
    <x:row r="9034" spans="1:16">
      <x:c r="A9034" s="0" t="s">
        <x:v>36000</x:v>
      </x:c>
      <x:c r="B9034" s="0" t="s">
        <x:v>36001</x:v>
      </x:c>
      <x:c r="C9034" s="0" t="s">
        <x:v>36002</x:v>
      </x:c>
      <x:c r="E9034" s="0" t="s">
        <x:v>36003</x:v>
      </x:c>
      <x:c r="F9034" s="0" t="s">
        <x:v>45</x:v>
      </x:c>
      <x:c r="G9034" s="0" t="s">
        <x:v>19</x:v>
      </x:c>
      <x:c r="H9034" s="0" t="s">
        <x:v>20</x:v>
      </x:c>
      <x:c r="I9034" s="0" t="s">
        <x:v>21</x:v>
      </x:c>
      <x:c r="K9034" s="0">
        <x:f>hyperlink("https://icd.who.int/dev11/l-ichi/en#/http%3A%2F%2Fid.who.int%2Ficd%2Fentity%2F668970482","browser")</x:f>
      </x:c>
      <x:c r="L9034" s="0">
        <x:f>hyperlink("https://icat2.azurewebsites.net/icat/?ontology=ICD&amp;tab=ClassesTab&amp;id=http%3A%2F%2Fwho.int%2Ficd%231587_075b017b_ac4c_42d7_a31d_f6f14e3ba684","iCat")</x:f>
      </x:c>
      <x:c r="M9034" s="0" t="s">
        <x:v>21</x:v>
      </x:c>
      <x:c r="N9034" s="0" t="s">
        <x:v>46</x:v>
      </x:c>
    </x:row>
    <x:row r="9035" spans="1:16">
      <x:c r="A9035" s="0" t="s">
        <x:v>36004</x:v>
      </x:c>
      <x:c r="B9035" s="0" t="s">
        <x:v>36005</x:v>
      </x:c>
      <x:c r="C9035" s="0" t="s">
        <x:v>36006</x:v>
      </x:c>
      <x:c r="E9035" s="0" t="s">
        <x:v>36007</x:v>
      </x:c>
      <x:c r="F9035" s="0" t="s">
        <x:v>45</x:v>
      </x:c>
      <x:c r="G9035" s="0" t="s">
        <x:v>19</x:v>
      </x:c>
      <x:c r="H9035" s="0" t="s">
        <x:v>20</x:v>
      </x:c>
      <x:c r="I9035" s="0" t="s">
        <x:v>21</x:v>
      </x:c>
      <x:c r="K9035" s="0">
        <x:f>hyperlink("https://icd.who.int/dev11/l-ichi/en#/http%3A%2F%2Fid.who.int%2Ficd%2Fentity%2F2015231185","browser")</x:f>
      </x:c>
      <x:c r="L9035" s="0">
        <x:f>hyperlink("https://icat2.azurewebsites.net/icat/?ontology=ICD&amp;tab=ClassesTab&amp;id=http%3A%2F%2Fwho.int%2Ficd%231593_075b017b_ac4c_42d7_a31d_f6f14e3ba684","iCat")</x:f>
      </x:c>
      <x:c r="M9035" s="0" t="s">
        <x:v>21</x:v>
      </x:c>
      <x:c r="N9035" s="0" t="s">
        <x:v>46</x:v>
      </x:c>
    </x:row>
    <x:row r="9036" spans="1:16">
      <x:c r="A9036" s="0" t="s">
        <x:v>36008</x:v>
      </x:c>
      <x:c r="B9036" s="0" t="s">
        <x:v>36009</x:v>
      </x:c>
      <x:c r="C9036" s="0" t="s">
        <x:v>36010</x:v>
      </x:c>
      <x:c r="E9036" s="0" t="s">
        <x:v>36011</x:v>
      </x:c>
      <x:c r="F9036" s="0" t="s">
        <x:v>45</x:v>
      </x:c>
      <x:c r="G9036" s="0" t="s">
        <x:v>19</x:v>
      </x:c>
      <x:c r="H9036" s="0" t="s">
        <x:v>20</x:v>
      </x:c>
      <x:c r="I9036" s="0" t="s">
        <x:v>21</x:v>
      </x:c>
      <x:c r="K9036" s="0">
        <x:f>hyperlink("https://icd.who.int/dev11/l-ichi/en#/http%3A%2F%2Fid.who.int%2Ficd%2Fentity%2F1407225921","browser")</x:f>
      </x:c>
      <x:c r="L9036" s="0">
        <x:f>hyperlink("https://icat2.azurewebsites.net/icat/?ontology=ICD&amp;tab=ClassesTab&amp;id=http%3A%2F%2Fwho.int%2Ficd%231599_075b017b_ac4c_42d7_a31d_f6f14e3ba684","iCat")</x:f>
      </x:c>
      <x:c r="M9036" s="0" t="s">
        <x:v>21</x:v>
      </x:c>
      <x:c r="N9036" s="0" t="s">
        <x:v>46</x:v>
      </x:c>
    </x:row>
    <x:row r="9037" spans="1:16">
      <x:c r="A9037" s="0" t="s">
        <x:v>36012</x:v>
      </x:c>
      <x:c r="B9037" s="0" t="s">
        <x:v>36013</x:v>
      </x:c>
      <x:c r="C9037" s="0" t="s">
        <x:v>36014</x:v>
      </x:c>
      <x:c r="E9037" s="0" t="s">
        <x:v>36015</x:v>
      </x:c>
      <x:c r="F9037" s="0" t="s">
        <x:v>45</x:v>
      </x:c>
      <x:c r="G9037" s="0" t="s">
        <x:v>19</x:v>
      </x:c>
      <x:c r="H9037" s="0" t="s">
        <x:v>20</x:v>
      </x:c>
      <x:c r="I9037" s="0" t="s">
        <x:v>21</x:v>
      </x:c>
      <x:c r="K9037" s="0">
        <x:f>hyperlink("https://icd.who.int/dev11/l-ichi/en#/http%3A%2F%2Fid.who.int%2Ficd%2Fentity%2F1020091818","browser")</x:f>
      </x:c>
      <x:c r="L9037" s="0">
        <x:f>hyperlink("https://icat2.azurewebsites.net/icat/?ontology=ICD&amp;tab=ClassesTab&amp;id=http%3A%2F%2Fwho.int%2Ficd%231605_075b017b_ac4c_42d7_a31d_f6f14e3ba684","iCat")</x:f>
      </x:c>
      <x:c r="M9037" s="0" t="s">
        <x:v>21</x:v>
      </x:c>
      <x:c r="N9037" s="0" t="s">
        <x:v>46</x:v>
      </x:c>
    </x:row>
    <x:row r="9038" spans="1:16">
      <x:c r="A9038" s="0" t="s">
        <x:v>36016</x:v>
      </x:c>
      <x:c r="B9038" s="0" t="s">
        <x:v>36017</x:v>
      </x:c>
      <x:c r="C9038" s="0" t="s">
        <x:v>36018</x:v>
      </x:c>
      <x:c r="E9038" s="0" t="s">
        <x:v>36019</x:v>
      </x:c>
      <x:c r="F9038" s="0" t="s">
        <x:v>45</x:v>
      </x:c>
      <x:c r="G9038" s="0" t="s">
        <x:v>19</x:v>
      </x:c>
      <x:c r="H9038" s="0" t="s">
        <x:v>20</x:v>
      </x:c>
      <x:c r="I9038" s="0" t="s">
        <x:v>21</x:v>
      </x:c>
      <x:c r="K9038" s="0">
        <x:f>hyperlink("https://icd.who.int/dev11/l-ichi/en#/http%3A%2F%2Fid.who.int%2Ficd%2Fentity%2F1661930633","browser")</x:f>
      </x:c>
      <x:c r="L9038" s="0">
        <x:f>hyperlink("https://icat2.azurewebsites.net/icat/?ontology=ICD&amp;tab=ClassesTab&amp;id=http%3A%2F%2Fwho.int%2Ficd%231611_075b017b_ac4c_42d7_a31d_f6f14e3ba684","iCat")</x:f>
      </x:c>
      <x:c r="M9038" s="0" t="s">
        <x:v>21</x:v>
      </x:c>
      <x:c r="N9038" s="0" t="s">
        <x:v>46</x:v>
      </x:c>
    </x:row>
    <x:row r="9039" spans="1:16">
      <x:c r="A9039" s="0" t="s">
        <x:v>36020</x:v>
      </x:c>
      <x:c r="B9039" s="0" t="s">
        <x:v>36021</x:v>
      </x:c>
      <x:c r="C9039" s="0" t="s">
        <x:v>36022</x:v>
      </x:c>
      <x:c r="E9039" s="0" t="s">
        <x:v>36023</x:v>
      </x:c>
      <x:c r="F9039" s="0" t="s">
        <x:v>45</x:v>
      </x:c>
      <x:c r="G9039" s="0" t="s">
        <x:v>19</x:v>
      </x:c>
      <x:c r="H9039" s="0" t="s">
        <x:v>20</x:v>
      </x:c>
      <x:c r="I9039" s="0" t="s">
        <x:v>21</x:v>
      </x:c>
      <x:c r="K9039" s="0">
        <x:f>hyperlink("https://icd.who.int/dev11/l-ichi/en#/http%3A%2F%2Fid.who.int%2Ficd%2Fentity%2F863294776","browser")</x:f>
      </x:c>
      <x:c r="L9039" s="0">
        <x:f>hyperlink("https://icat2.azurewebsites.net/icat/?ontology=ICD&amp;tab=ClassesTab&amp;id=http%3A%2F%2Fwho.int%2Ficd%231617_075b017b_ac4c_42d7_a31d_f6f14e3ba684","iCat")</x:f>
      </x:c>
      <x:c r="M9039" s="0" t="s">
        <x:v>21</x:v>
      </x:c>
      <x:c r="N9039" s="0" t="s">
        <x:v>46</x:v>
      </x:c>
    </x:row>
    <x:row r="9040" spans="1:16">
      <x:c r="A9040" s="0" t="s">
        <x:v>36024</x:v>
      </x:c>
      <x:c r="B9040" s="0" t="s">
        <x:v>36025</x:v>
      </x:c>
      <x:c r="C9040" s="0" t="s">
        <x:v>36026</x:v>
      </x:c>
      <x:c r="E9040" s="0" t="s">
        <x:v>36027</x:v>
      </x:c>
      <x:c r="F9040" s="0" t="s">
        <x:v>45</x:v>
      </x:c>
      <x:c r="G9040" s="0" t="s">
        <x:v>19</x:v>
      </x:c>
      <x:c r="H9040" s="0" t="s">
        <x:v>20</x:v>
      </x:c>
      <x:c r="I9040" s="0" t="s">
        <x:v>21</x:v>
      </x:c>
      <x:c r="K9040" s="0">
        <x:f>hyperlink("https://icd.who.int/dev11/l-ichi/en#/http%3A%2F%2Fid.who.int%2Ficd%2Fentity%2F1187139915","browser")</x:f>
      </x:c>
      <x:c r="L9040" s="0">
        <x:f>hyperlink("https://icat2.azurewebsites.net/icat/?ontology=ICD&amp;tab=ClassesTab&amp;id=http%3A%2F%2Fwho.int%2Ficd%231623_075b017b_ac4c_42d7_a31d_f6f14e3ba684","iCat")</x:f>
      </x:c>
      <x:c r="M9040" s="0" t="s">
        <x:v>21</x:v>
      </x:c>
      <x:c r="N9040" s="0" t="s">
        <x:v>46</x:v>
      </x:c>
    </x:row>
    <x:row r="9041" spans="1:16">
      <x:c r="A9041" s="0" t="s">
        <x:v>36028</x:v>
      </x:c>
      <x:c r="B9041" s="0" t="s">
        <x:v>36029</x:v>
      </x:c>
      <x:c r="C9041" s="0" t="s">
        <x:v>36030</x:v>
      </x:c>
      <x:c r="E9041" s="0" t="s">
        <x:v>36031</x:v>
      </x:c>
      <x:c r="F9041" s="0" t="s">
        <x:v>45</x:v>
      </x:c>
      <x:c r="G9041" s="0" t="s">
        <x:v>19</x:v>
      </x:c>
      <x:c r="H9041" s="0" t="s">
        <x:v>20</x:v>
      </x:c>
      <x:c r="I9041" s="0" t="s">
        <x:v>21</x:v>
      </x:c>
      <x:c r="K9041" s="0">
        <x:f>hyperlink("https://icd.who.int/dev11/l-ichi/en#/http%3A%2F%2Fid.who.int%2Ficd%2Fentity%2F1832861147","browser")</x:f>
      </x:c>
      <x:c r="L9041" s="0">
        <x:f>hyperlink("https://icat2.azurewebsites.net/icat/?ontology=ICD&amp;tab=ClassesTab&amp;id=http%3A%2F%2Fwho.int%2Ficd%231629_075b017b_ac4c_42d7_a31d_f6f14e3ba684","iCat")</x:f>
      </x:c>
      <x:c r="M9041" s="0" t="s">
        <x:v>21</x:v>
      </x:c>
      <x:c r="N9041" s="0" t="s">
        <x:v>46</x:v>
      </x:c>
    </x:row>
    <x:row r="9042" spans="1:16">
      <x:c r="A9042" s="0" t="s">
        <x:v>36032</x:v>
      </x:c>
      <x:c r="B9042" s="0" t="s">
        <x:v>36033</x:v>
      </x:c>
      <x:c r="C9042" s="0" t="s">
        <x:v>36034</x:v>
      </x:c>
      <x:c r="E9042" s="0" t="s">
        <x:v>36035</x:v>
      </x:c>
      <x:c r="F9042" s="0" t="s">
        <x:v>45</x:v>
      </x:c>
      <x:c r="G9042" s="0" t="s">
        <x:v>19</x:v>
      </x:c>
      <x:c r="H9042" s="0" t="s">
        <x:v>20</x:v>
      </x:c>
      <x:c r="I9042" s="0" t="s">
        <x:v>21</x:v>
      </x:c>
      <x:c r="K9042" s="0">
        <x:f>hyperlink("https://icd.who.int/dev11/l-ichi/en#/http%3A%2F%2Fid.who.int%2Ficd%2Fentity%2F2088508845","browser")</x:f>
      </x:c>
      <x:c r="L9042" s="0">
        <x:f>hyperlink("https://icat2.azurewebsites.net/icat/?ontology=ICD&amp;tab=ClassesTab&amp;id=http%3A%2F%2Fwho.int%2Ficd%231635_075b017b_ac4c_42d7_a31d_f6f14e3ba684","iCat")</x:f>
      </x:c>
      <x:c r="M9042" s="0" t="s">
        <x:v>21</x:v>
      </x:c>
      <x:c r="N9042" s="0" t="s">
        <x:v>46</x:v>
      </x:c>
    </x:row>
    <x:row r="9043" spans="1:16">
      <x:c r="A9043" s="0" t="s">
        <x:v>36036</x:v>
      </x:c>
      <x:c r="B9043" s="0" t="s">
        <x:v>36037</x:v>
      </x:c>
      <x:c r="C9043" s="0" t="s">
        <x:v>36038</x:v>
      </x:c>
      <x:c r="E9043" s="0" t="s">
        <x:v>36039</x:v>
      </x:c>
      <x:c r="F9043" s="0" t="s">
        <x:v>45</x:v>
      </x:c>
      <x:c r="G9043" s="0" t="s">
        <x:v>19</x:v>
      </x:c>
      <x:c r="H9043" s="0" t="s">
        <x:v>20</x:v>
      </x:c>
      <x:c r="I9043" s="0" t="s">
        <x:v>21</x:v>
      </x:c>
      <x:c r="K9043" s="0">
        <x:f>hyperlink("https://icd.who.int/dev11/l-ichi/en#/http%3A%2F%2Fid.who.int%2Ficd%2Fentity%2F2041432771","browser")</x:f>
      </x:c>
      <x:c r="L9043" s="0">
        <x:f>hyperlink("https://icat2.azurewebsites.net/icat/?ontology=ICD&amp;tab=ClassesTab&amp;id=http%3A%2F%2Fwho.int%2Ficd%231641_075b017b_ac4c_42d7_a31d_f6f14e3ba684","iCat")</x:f>
      </x:c>
      <x:c r="M9043" s="0" t="s">
        <x:v>21</x:v>
      </x:c>
      <x:c r="N9043" s="0" t="s">
        <x:v>46</x:v>
      </x:c>
    </x:row>
    <x:row r="9044" spans="1:16">
      <x:c r="A9044" s="0" t="s">
        <x:v>36040</x:v>
      </x:c>
      <x:c r="B9044" s="0" t="s">
        <x:v>36041</x:v>
      </x:c>
      <x:c r="C9044" s="0" t="s">
        <x:v>36042</x:v>
      </x:c>
      <x:c r="E9044" s="0" t="s">
        <x:v>36043</x:v>
      </x:c>
      <x:c r="F9044" s="0" t="s">
        <x:v>45</x:v>
      </x:c>
      <x:c r="G9044" s="0" t="s">
        <x:v>19</x:v>
      </x:c>
      <x:c r="H9044" s="0" t="s">
        <x:v>20</x:v>
      </x:c>
      <x:c r="I9044" s="0" t="s">
        <x:v>21</x:v>
      </x:c>
      <x:c r="K9044" s="0">
        <x:f>hyperlink("https://icd.who.int/dev11/l-ichi/en#/http%3A%2F%2Fid.who.int%2Ficd%2Fentity%2F2120209118","browser")</x:f>
      </x:c>
      <x:c r="L9044" s="0">
        <x:f>hyperlink("https://icat2.azurewebsites.net/icat/?ontology=ICD&amp;tab=ClassesTab&amp;id=http%3A%2F%2Fwho.int%2Ficd%232198_075b017b_ac4c_42d7_a31d_f6f14e3ba684","iCat")</x:f>
      </x:c>
      <x:c r="M9044" s="0" t="s">
        <x:v>21</x:v>
      </x:c>
      <x:c r="N9044" s="0" t="s">
        <x:v>46</x:v>
      </x:c>
    </x:row>
    <x:row r="9045" spans="1:16">
      <x:c r="A9045" s="0" t="s">
        <x:v>36044</x:v>
      </x:c>
      <x:c r="B9045" s="0" t="s">
        <x:v>36045</x:v>
      </x:c>
      <x:c r="C9045" s="0" t="s">
        <x:v>36046</x:v>
      </x:c>
      <x:c r="E9045" s="0" t="s">
        <x:v>36047</x:v>
      </x:c>
      <x:c r="F9045" s="0" t="s">
        <x:v>45</x:v>
      </x:c>
      <x:c r="G9045" s="0" t="s">
        <x:v>19</x:v>
      </x:c>
      <x:c r="H9045" s="0" t="s">
        <x:v>20</x:v>
      </x:c>
      <x:c r="I9045" s="0" t="s">
        <x:v>21</x:v>
      </x:c>
      <x:c r="K9045" s="0">
        <x:f>hyperlink("https://icd.who.int/dev11/l-ichi/en#/http%3A%2F%2Fid.who.int%2Ficd%2Fentity%2F292691765","browser")</x:f>
      </x:c>
      <x:c r="L9045" s="0">
        <x:f>hyperlink("https://icat2.azurewebsites.net/icat/?ontology=ICD&amp;tab=ClassesTab&amp;id=http%3A%2F%2Fwho.int%2Ficd%232204_075b017b_ac4c_42d7_a31d_f6f14e3ba684","iCat")</x:f>
      </x:c>
      <x:c r="M9045" s="0" t="s">
        <x:v>21</x:v>
      </x:c>
      <x:c r="N9045" s="0" t="s">
        <x:v>46</x:v>
      </x:c>
    </x:row>
    <x:row r="9046" spans="1:16">
      <x:c r="A9046" s="0" t="s">
        <x:v>36048</x:v>
      </x:c>
      <x:c r="B9046" s="0" t="s">
        <x:v>36049</x:v>
      </x:c>
      <x:c r="C9046" s="0" t="s">
        <x:v>36050</x:v>
      </x:c>
      <x:c r="E9046" s="0" t="s">
        <x:v>36051</x:v>
      </x:c>
      <x:c r="F9046" s="0" t="s">
        <x:v>45</x:v>
      </x:c>
      <x:c r="G9046" s="0" t="s">
        <x:v>19</x:v>
      </x:c>
      <x:c r="H9046" s="0" t="s">
        <x:v>20</x:v>
      </x:c>
      <x:c r="I9046" s="0" t="s">
        <x:v>21</x:v>
      </x:c>
      <x:c r="K9046" s="0">
        <x:f>hyperlink("https://icd.who.int/dev11/l-ichi/en#/http%3A%2F%2Fid.who.int%2Ficd%2Fentity%2F1320177174","browser")</x:f>
      </x:c>
      <x:c r="L9046" s="0">
        <x:f>hyperlink("https://icat2.azurewebsites.net/icat/?ontology=ICD&amp;tab=ClassesTab&amp;id=http%3A%2F%2Fwho.int%2Ficd%232210_075b017b_ac4c_42d7_a31d_f6f14e3ba684","iCat")</x:f>
      </x:c>
      <x:c r="M9046" s="0" t="s">
        <x:v>21</x:v>
      </x:c>
      <x:c r="N9046" s="0" t="s">
        <x:v>46</x:v>
      </x:c>
    </x:row>
    <x:row r="9047" spans="1:16">
      <x:c r="A9047" s="0" t="s">
        <x:v>36052</x:v>
      </x:c>
      <x:c r="B9047" s="0" t="s">
        <x:v>36053</x:v>
      </x:c>
      <x:c r="C9047" s="0" t="s">
        <x:v>36054</x:v>
      </x:c>
      <x:c r="E9047" s="0" t="s">
        <x:v>36055</x:v>
      </x:c>
      <x:c r="F9047" s="0" t="s">
        <x:v>45</x:v>
      </x:c>
      <x:c r="G9047" s="0" t="s">
        <x:v>19</x:v>
      </x:c>
      <x:c r="H9047" s="0" t="s">
        <x:v>20</x:v>
      </x:c>
      <x:c r="I9047" s="0" t="s">
        <x:v>21</x:v>
      </x:c>
      <x:c r="K9047" s="0">
        <x:f>hyperlink("https://icd.who.int/dev11/l-ichi/en#/http%3A%2F%2Fid.who.int%2Ficd%2Fentity%2F516659111","browser")</x:f>
      </x:c>
      <x:c r="L9047" s="0">
        <x:f>hyperlink("https://icat2.azurewebsites.net/icat/?ontology=ICD&amp;tab=ClassesTab&amp;id=http%3A%2F%2Fwho.int%2Ficd%232216_075b017b_ac4c_42d7_a31d_f6f14e3ba684","iCat")</x:f>
      </x:c>
      <x:c r="M9047" s="0" t="s">
        <x:v>21</x:v>
      </x:c>
      <x:c r="N9047" s="0" t="s">
        <x:v>46</x:v>
      </x:c>
    </x:row>
    <x:row r="9048" spans="1:16">
      <x:c r="A9048" s="0" t="s">
        <x:v>36056</x:v>
      </x:c>
      <x:c r="B9048" s="0" t="s">
        <x:v>36057</x:v>
      </x:c>
      <x:c r="C9048" s="0" t="s">
        <x:v>36058</x:v>
      </x:c>
      <x:c r="E9048" s="0" t="s">
        <x:v>36059</x:v>
      </x:c>
      <x:c r="F9048" s="0" t="s">
        <x:v>45</x:v>
      </x:c>
      <x:c r="G9048" s="0" t="s">
        <x:v>19</x:v>
      </x:c>
      <x:c r="H9048" s="0" t="s">
        <x:v>20</x:v>
      </x:c>
      <x:c r="I9048" s="0" t="s">
        <x:v>21</x:v>
      </x:c>
      <x:c r="K9048" s="0">
        <x:f>hyperlink("https://icd.who.int/dev11/l-ichi/en#/http%3A%2F%2Fid.who.int%2Ficd%2Fentity%2F1803359190","browser")</x:f>
      </x:c>
      <x:c r="L9048" s="0">
        <x:f>hyperlink("https://icat2.azurewebsites.net/icat/?ontology=ICD&amp;tab=ClassesTab&amp;id=http%3A%2F%2Fwho.int%2Ficd%232222_075b017b_ac4c_42d7_a31d_f6f14e3ba684","iCat")</x:f>
      </x:c>
      <x:c r="M9048" s="0" t="s">
        <x:v>21</x:v>
      </x:c>
      <x:c r="N9048" s="0" t="s">
        <x:v>46</x:v>
      </x:c>
    </x:row>
    <x:row r="9049" spans="1:16">
      <x:c r="A9049" s="0" t="s">
        <x:v>36060</x:v>
      </x:c>
      <x:c r="B9049" s="0" t="s">
        <x:v>36061</x:v>
      </x:c>
      <x:c r="C9049" s="0" t="s">
        <x:v>36062</x:v>
      </x:c>
      <x:c r="E9049" s="0" t="s">
        <x:v>36063</x:v>
      </x:c>
      <x:c r="F9049" s="0" t="s">
        <x:v>45</x:v>
      </x:c>
      <x:c r="G9049" s="0" t="s">
        <x:v>19</x:v>
      </x:c>
      <x:c r="H9049" s="0" t="s">
        <x:v>20</x:v>
      </x:c>
      <x:c r="I9049" s="0" t="s">
        <x:v>21</x:v>
      </x:c>
      <x:c r="K9049" s="0">
        <x:f>hyperlink("https://icd.who.int/dev11/l-ichi/en#/http%3A%2F%2Fid.who.int%2Ficd%2Fentity%2F1082163014","browser")</x:f>
      </x:c>
      <x:c r="L9049" s="0">
        <x:f>hyperlink("https://icat2.azurewebsites.net/icat/?ontology=ICD&amp;tab=ClassesTab&amp;id=http%3A%2F%2Fwho.int%2Ficd%232228_075b017b_ac4c_42d7_a31d_f6f14e3ba684","iCat")</x:f>
      </x:c>
      <x:c r="M9049" s="0" t="s">
        <x:v>21</x:v>
      </x:c>
      <x:c r="N9049" s="0" t="s">
        <x:v>46</x:v>
      </x:c>
    </x:row>
    <x:row r="9050" spans="1:16">
      <x:c r="A9050" s="0" t="s">
        <x:v>36064</x:v>
      </x:c>
      <x:c r="B9050" s="0" t="s">
        <x:v>36065</x:v>
      </x:c>
      <x:c r="C9050" s="0" t="s">
        <x:v>36066</x:v>
      </x:c>
      <x:c r="E9050" s="0" t="s">
        <x:v>36067</x:v>
      </x:c>
      <x:c r="F9050" s="0" t="s">
        <x:v>45</x:v>
      </x:c>
      <x:c r="G9050" s="0" t="s">
        <x:v>19</x:v>
      </x:c>
      <x:c r="H9050" s="0" t="s">
        <x:v>20</x:v>
      </x:c>
      <x:c r="I9050" s="0" t="s">
        <x:v>21</x:v>
      </x:c>
      <x:c r="K9050" s="0">
        <x:f>hyperlink("https://icd.who.int/dev11/l-ichi/en#/http%3A%2F%2Fid.who.int%2Ficd%2Fentity%2F1371758386","browser")</x:f>
      </x:c>
      <x:c r="L9050" s="0">
        <x:f>hyperlink("https://icat2.azurewebsites.net/icat/?ontology=ICD&amp;tab=ClassesTab&amp;id=http%3A%2F%2Fwho.int%2Ficd%232234_075b017b_ac4c_42d7_a31d_f6f14e3ba684","iCat")</x:f>
      </x:c>
      <x:c r="M9050" s="0" t="s">
        <x:v>21</x:v>
      </x:c>
      <x:c r="N9050" s="0" t="s">
        <x:v>46</x:v>
      </x:c>
    </x:row>
    <x:row r="9051" spans="1:16">
      <x:c r="A9051" s="0" t="s">
        <x:v>36068</x:v>
      </x:c>
      <x:c r="B9051" s="0" t="s">
        <x:v>36069</x:v>
      </x:c>
      <x:c r="C9051" s="0" t="s">
        <x:v>36070</x:v>
      </x:c>
      <x:c r="E9051" s="0" t="s">
        <x:v>36071</x:v>
      </x:c>
      <x:c r="F9051" s="0" t="s">
        <x:v>45</x:v>
      </x:c>
      <x:c r="G9051" s="0" t="s">
        <x:v>19</x:v>
      </x:c>
      <x:c r="H9051" s="0" t="s">
        <x:v>20</x:v>
      </x:c>
      <x:c r="I9051" s="0" t="s">
        <x:v>21</x:v>
      </x:c>
      <x:c r="K9051" s="0">
        <x:f>hyperlink("https://icd.who.int/dev11/l-ichi/en#/http%3A%2F%2Fid.who.int%2Ficd%2Fentity%2F1410500700","browser")</x:f>
      </x:c>
      <x:c r="L9051" s="0">
        <x:f>hyperlink("https://icat2.azurewebsites.net/icat/?ontology=ICD&amp;tab=ClassesTab&amp;id=http%3A%2F%2Fwho.int%2Ficd%232240_075b017b_ac4c_42d7_a31d_f6f14e3ba684","iCat")</x:f>
      </x:c>
      <x:c r="M9051" s="0" t="s">
        <x:v>21</x:v>
      </x:c>
      <x:c r="N9051" s="0" t="s">
        <x:v>46</x:v>
      </x:c>
    </x:row>
    <x:row r="9052" spans="1:16">
      <x:c r="A9052" s="0" t="s">
        <x:v>36072</x:v>
      </x:c>
      <x:c r="B9052" s="0" t="s">
        <x:v>36073</x:v>
      </x:c>
      <x:c r="C9052" s="0" t="s">
        <x:v>36074</x:v>
      </x:c>
      <x:c r="E9052" s="0" t="s">
        <x:v>36075</x:v>
      </x:c>
      <x:c r="F9052" s="0" t="s">
        <x:v>45</x:v>
      </x:c>
      <x:c r="G9052" s="0" t="s">
        <x:v>19</x:v>
      </x:c>
      <x:c r="H9052" s="0" t="s">
        <x:v>20</x:v>
      </x:c>
      <x:c r="I9052" s="0" t="s">
        <x:v>21</x:v>
      </x:c>
      <x:c r="K9052" s="0">
        <x:f>hyperlink("https://icd.who.int/dev11/l-ichi/en#/http%3A%2F%2Fid.who.int%2Ficd%2Fentity%2F74011117","browser")</x:f>
      </x:c>
      <x:c r="L9052" s="0">
        <x:f>hyperlink("https://icat2.azurewebsites.net/icat/?ontology=ICD&amp;tab=ClassesTab&amp;id=http%3A%2F%2Fwho.int%2Ficd%232246_075b017b_ac4c_42d7_a31d_f6f14e3ba684","iCat")</x:f>
      </x:c>
      <x:c r="M9052" s="0" t="s">
        <x:v>21</x:v>
      </x:c>
      <x:c r="N9052" s="0" t="s">
        <x:v>46</x:v>
      </x:c>
    </x:row>
    <x:row r="9053" spans="1:16">
      <x:c r="A9053" s="0" t="s">
        <x:v>36076</x:v>
      </x:c>
      <x:c r="B9053" s="0" t="s">
        <x:v>36077</x:v>
      </x:c>
      <x:c r="C9053" s="0" t="s">
        <x:v>36078</x:v>
      </x:c>
      <x:c r="E9053" s="0" t="s">
        <x:v>36079</x:v>
      </x:c>
      <x:c r="F9053" s="0" t="s">
        <x:v>45</x:v>
      </x:c>
      <x:c r="G9053" s="0" t="s">
        <x:v>19</x:v>
      </x:c>
      <x:c r="H9053" s="0" t="s">
        <x:v>20</x:v>
      </x:c>
      <x:c r="I9053" s="0" t="s">
        <x:v>21</x:v>
      </x:c>
      <x:c r="K9053" s="0">
        <x:f>hyperlink("https://icd.who.int/dev11/l-ichi/en#/http%3A%2F%2Fid.who.int%2Ficd%2Fentity%2F1537933518","browser")</x:f>
      </x:c>
      <x:c r="L9053" s="0">
        <x:f>hyperlink("https://icat2.azurewebsites.net/icat/?ontology=ICD&amp;tab=ClassesTab&amp;id=http%3A%2F%2Fwho.int%2Ficd%232252_075b017b_ac4c_42d7_a31d_f6f14e3ba684","iCat")</x:f>
      </x:c>
      <x:c r="M9053" s="0" t="s">
        <x:v>21</x:v>
      </x:c>
      <x:c r="N9053" s="0" t="s">
        <x:v>46</x:v>
      </x:c>
    </x:row>
    <x:row r="9054" spans="1:16">
      <x:c r="A9054" s="0" t="s">
        <x:v>36080</x:v>
      </x:c>
      <x:c r="B9054" s="0" t="s">
        <x:v>36081</x:v>
      </x:c>
      <x:c r="C9054" s="0" t="s">
        <x:v>36082</x:v>
      </x:c>
      <x:c r="E9054" s="0" t="s">
        <x:v>36083</x:v>
      </x:c>
      <x:c r="F9054" s="0" t="s">
        <x:v>45</x:v>
      </x:c>
      <x:c r="G9054" s="0" t="s">
        <x:v>19</x:v>
      </x:c>
      <x:c r="H9054" s="0" t="s">
        <x:v>20</x:v>
      </x:c>
      <x:c r="I9054" s="0" t="s">
        <x:v>21</x:v>
      </x:c>
      <x:c r="K9054" s="0">
        <x:f>hyperlink("https://icd.who.int/dev11/l-ichi/en#/http%3A%2F%2Fid.who.int%2Ficd%2Fentity%2F1884712030","browser")</x:f>
      </x:c>
      <x:c r="L9054" s="0">
        <x:f>hyperlink("https://icat2.azurewebsites.net/icat/?ontology=ICD&amp;tab=ClassesTab&amp;id=http%3A%2F%2Fwho.int%2Ficd%232258_075b017b_ac4c_42d7_a31d_f6f14e3ba684","iCat")</x:f>
      </x:c>
      <x:c r="M9054" s="0" t="s">
        <x:v>21</x:v>
      </x:c>
      <x:c r="N9054" s="0" t="s">
        <x:v>46</x:v>
      </x:c>
    </x:row>
    <x:row r="9055" spans="1:16">
      <x:c r="A9055" s="0" t="s">
        <x:v>36084</x:v>
      </x:c>
      <x:c r="B9055" s="0" t="s">
        <x:v>36085</x:v>
      </x:c>
      <x:c r="C9055" s="0" t="s">
        <x:v>36086</x:v>
      </x:c>
      <x:c r="E9055" s="0" t="s">
        <x:v>36087</x:v>
      </x:c>
      <x:c r="F9055" s="0" t="s">
        <x:v>45</x:v>
      </x:c>
      <x:c r="G9055" s="0" t="s">
        <x:v>19</x:v>
      </x:c>
      <x:c r="H9055" s="0" t="s">
        <x:v>20</x:v>
      </x:c>
      <x:c r="I9055" s="0" t="s">
        <x:v>21</x:v>
      </x:c>
      <x:c r="K9055" s="0">
        <x:f>hyperlink("https://icd.who.int/dev11/l-ichi/en#/http%3A%2F%2Fid.who.int%2Ficd%2Fentity%2F1264687480","browser")</x:f>
      </x:c>
      <x:c r="L9055" s="0">
        <x:f>hyperlink("https://icat2.azurewebsites.net/icat/?ontology=ICD&amp;tab=ClassesTab&amp;id=http%3A%2F%2Fwho.int%2Ficd%232264_075b017b_ac4c_42d7_a31d_f6f14e3ba684","iCat")</x:f>
      </x:c>
      <x:c r="M9055" s="0" t="s">
        <x:v>21</x:v>
      </x:c>
      <x:c r="N9055" s="0" t="s">
        <x:v>46</x:v>
      </x:c>
    </x:row>
    <x:row r="9056" spans="1:16">
      <x:c r="A9056" s="0" t="s">
        <x:v>36088</x:v>
      </x:c>
      <x:c r="B9056" s="0" t="s">
        <x:v>36089</x:v>
      </x:c>
      <x:c r="C9056" s="0" t="s">
        <x:v>36090</x:v>
      </x:c>
      <x:c r="E9056" s="0" t="s">
        <x:v>36091</x:v>
      </x:c>
      <x:c r="F9056" s="0" t="s">
        <x:v>45</x:v>
      </x:c>
      <x:c r="G9056" s="0" t="s">
        <x:v>19</x:v>
      </x:c>
      <x:c r="H9056" s="0" t="s">
        <x:v>20</x:v>
      </x:c>
      <x:c r="I9056" s="0" t="s">
        <x:v>21</x:v>
      </x:c>
      <x:c r="K9056" s="0">
        <x:f>hyperlink("https://icd.who.int/dev11/l-ichi/en#/http%3A%2F%2Fid.who.int%2Ficd%2Fentity%2F346277979","browser")</x:f>
      </x:c>
      <x:c r="L9056" s="0">
        <x:f>hyperlink("https://icat2.azurewebsites.net/icat/?ontology=ICD&amp;tab=ClassesTab&amp;id=http%3A%2F%2Fwho.int%2Ficd%232270_075b017b_ac4c_42d7_a31d_f6f14e3ba684","iCat")</x:f>
      </x:c>
      <x:c r="M9056" s="0" t="s">
        <x:v>21</x:v>
      </x:c>
      <x:c r="N9056" s="0" t="s">
        <x:v>46</x:v>
      </x:c>
    </x:row>
    <x:row r="9057" spans="1:16">
      <x:c r="A9057" s="0" t="s">
        <x:v>36092</x:v>
      </x:c>
      <x:c r="B9057" s="0" t="s">
        <x:v>36093</x:v>
      </x:c>
      <x:c r="C9057" s="0" t="s">
        <x:v>36094</x:v>
      </x:c>
      <x:c r="E9057" s="0" t="s">
        <x:v>36095</x:v>
      </x:c>
      <x:c r="F9057" s="0" t="s">
        <x:v>45</x:v>
      </x:c>
      <x:c r="G9057" s="0" t="s">
        <x:v>19</x:v>
      </x:c>
      <x:c r="H9057" s="0" t="s">
        <x:v>20</x:v>
      </x:c>
      <x:c r="I9057" s="0" t="s">
        <x:v>21</x:v>
      </x:c>
      <x:c r="K9057" s="0">
        <x:f>hyperlink("https://icd.who.int/dev11/l-ichi/en#/http%3A%2F%2Fid.who.int%2Ficd%2Fentity%2F1155011050","browser")</x:f>
      </x:c>
      <x:c r="L9057" s="0">
        <x:f>hyperlink("https://icat2.azurewebsites.net/icat/?ontology=ICD&amp;tab=ClassesTab&amp;id=http%3A%2F%2Fwho.int%2Ficd%232276_075b017b_ac4c_42d7_a31d_f6f14e3ba684","iCat")</x:f>
      </x:c>
      <x:c r="M9057" s="0" t="s">
        <x:v>21</x:v>
      </x:c>
      <x:c r="N9057" s="0" t="s">
        <x:v>46</x:v>
      </x:c>
    </x:row>
    <x:row r="9058" spans="1:16">
      <x:c r="A9058" s="0" t="s">
        <x:v>36096</x:v>
      </x:c>
      <x:c r="B9058" s="0" t="s">
        <x:v>36097</x:v>
      </x:c>
      <x:c r="C9058" s="0" t="s">
        <x:v>36098</x:v>
      </x:c>
      <x:c r="E9058" s="0" t="s">
        <x:v>36099</x:v>
      </x:c>
      <x:c r="F9058" s="0" t="s">
        <x:v>45</x:v>
      </x:c>
      <x:c r="G9058" s="0" t="s">
        <x:v>19</x:v>
      </x:c>
      <x:c r="H9058" s="0" t="s">
        <x:v>20</x:v>
      </x:c>
      <x:c r="I9058" s="0" t="s">
        <x:v>21</x:v>
      </x:c>
      <x:c r="K9058" s="0">
        <x:f>hyperlink("https://icd.who.int/dev11/l-ichi/en#/http%3A%2F%2Fid.who.int%2Ficd%2Fentity%2F1580769090","browser")</x:f>
      </x:c>
      <x:c r="L9058" s="0">
        <x:f>hyperlink("https://icat2.azurewebsites.net/icat/?ontology=ICD&amp;tab=ClassesTab&amp;id=http%3A%2F%2Fwho.int%2Ficd%232282_075b017b_ac4c_42d7_a31d_f6f14e3ba684","iCat")</x:f>
      </x:c>
      <x:c r="M9058" s="0" t="s">
        <x:v>21</x:v>
      </x:c>
      <x:c r="N9058" s="0" t="s">
        <x:v>46</x:v>
      </x:c>
    </x:row>
    <x:row r="9059" spans="1:16">
      <x:c r="A9059" s="0" t="s">
        <x:v>36100</x:v>
      </x:c>
      <x:c r="B9059" s="0" t="s">
        <x:v>36101</x:v>
      </x:c>
      <x:c r="C9059" s="0" t="s">
        <x:v>36102</x:v>
      </x:c>
      <x:c r="E9059" s="0" t="s">
        <x:v>36103</x:v>
      </x:c>
      <x:c r="F9059" s="0" t="s">
        <x:v>45</x:v>
      </x:c>
      <x:c r="G9059" s="0" t="s">
        <x:v>19</x:v>
      </x:c>
      <x:c r="H9059" s="0" t="s">
        <x:v>20</x:v>
      </x:c>
      <x:c r="I9059" s="0" t="s">
        <x:v>21</x:v>
      </x:c>
      <x:c r="K9059" s="0">
        <x:f>hyperlink("https://icd.who.int/dev11/l-ichi/en#/http%3A%2F%2Fid.who.int%2Ficd%2Fentity%2F1975907282","browser")</x:f>
      </x:c>
      <x:c r="L9059" s="0">
        <x:f>hyperlink("https://icat2.azurewebsites.net/icat/?ontology=ICD&amp;tab=ClassesTab&amp;id=http%3A%2F%2Fwho.int%2Ficd%232288_075b017b_ac4c_42d7_a31d_f6f14e3ba684","iCat")</x:f>
      </x:c>
      <x:c r="M9059" s="0" t="s">
        <x:v>21</x:v>
      </x:c>
      <x:c r="N9059" s="0" t="s">
        <x:v>46</x:v>
      </x:c>
    </x:row>
    <x:row r="9060" spans="1:16">
      <x:c r="A9060" s="0" t="s">
        <x:v>36104</x:v>
      </x:c>
      <x:c r="B9060" s="0" t="s">
        <x:v>36105</x:v>
      </x:c>
      <x:c r="C9060" s="0" t="s">
        <x:v>36106</x:v>
      </x:c>
      <x:c r="E9060" s="0" t="s">
        <x:v>36107</x:v>
      </x:c>
      <x:c r="F9060" s="0" t="s">
        <x:v>45</x:v>
      </x:c>
      <x:c r="G9060" s="0" t="s">
        <x:v>19</x:v>
      </x:c>
      <x:c r="H9060" s="0" t="s">
        <x:v>20</x:v>
      </x:c>
      <x:c r="I9060" s="0" t="s">
        <x:v>21</x:v>
      </x:c>
      <x:c r="K9060" s="0">
        <x:f>hyperlink("https://icd.who.int/dev11/l-ichi/en#/http%3A%2F%2Fid.who.int%2Ficd%2Fentity%2F1686557606","browser")</x:f>
      </x:c>
      <x:c r="L9060" s="0">
        <x:f>hyperlink("https://icat2.azurewebsites.net/icat/?ontology=ICD&amp;tab=ClassesTab&amp;id=http%3A%2F%2Fwho.int%2Ficd%232294_075b017b_ac4c_42d7_a31d_f6f14e3ba684","iCat")</x:f>
      </x:c>
      <x:c r="M9060" s="0" t="s">
        <x:v>21</x:v>
      </x:c>
      <x:c r="N9060" s="0" t="s">
        <x:v>46</x:v>
      </x:c>
    </x:row>
    <x:row r="9061" spans="1:16">
      <x:c r="A9061" s="0" t="s">
        <x:v>36108</x:v>
      </x:c>
      <x:c r="B9061" s="0" t="s">
        <x:v>36109</x:v>
      </x:c>
      <x:c r="C9061" s="0" t="s">
        <x:v>36110</x:v>
      </x:c>
      <x:c r="E9061" s="0" t="s">
        <x:v>36111</x:v>
      </x:c>
      <x:c r="F9061" s="0" t="s">
        <x:v>45</x:v>
      </x:c>
      <x:c r="G9061" s="0" t="s">
        <x:v>19</x:v>
      </x:c>
      <x:c r="H9061" s="0" t="s">
        <x:v>20</x:v>
      </x:c>
      <x:c r="I9061" s="0" t="s">
        <x:v>21</x:v>
      </x:c>
      <x:c r="K9061" s="0">
        <x:f>hyperlink("https://icd.who.int/dev11/l-ichi/en#/http%3A%2F%2Fid.who.int%2Ficd%2Fentity%2F1374297564","browser")</x:f>
      </x:c>
      <x:c r="L9061" s="0">
        <x:f>hyperlink("https://icat2.azurewebsites.net/icat/?ontology=ICD&amp;tab=ClassesTab&amp;id=http%3A%2F%2Fwho.int%2Ficd%232300_075b017b_ac4c_42d7_a31d_f6f14e3ba684","iCat")</x:f>
      </x:c>
      <x:c r="M9061" s="0" t="s">
        <x:v>21</x:v>
      </x:c>
      <x:c r="N9061" s="0" t="s">
        <x:v>46</x:v>
      </x:c>
    </x:row>
    <x:row r="9062" spans="1:16">
      <x:c r="A9062" s="0" t="s">
        <x:v>36112</x:v>
      </x:c>
      <x:c r="B9062" s="0" t="s">
        <x:v>36113</x:v>
      </x:c>
      <x:c r="C9062" s="0" t="s">
        <x:v>36114</x:v>
      </x:c>
      <x:c r="E9062" s="0" t="s">
        <x:v>36115</x:v>
      </x:c>
      <x:c r="F9062" s="0" t="s">
        <x:v>45</x:v>
      </x:c>
      <x:c r="G9062" s="0" t="s">
        <x:v>19</x:v>
      </x:c>
      <x:c r="H9062" s="0" t="s">
        <x:v>20</x:v>
      </x:c>
      <x:c r="I9062" s="0" t="s">
        <x:v>21</x:v>
      </x:c>
      <x:c r="K9062" s="0">
        <x:f>hyperlink("https://icd.who.int/dev11/l-ichi/en#/http%3A%2F%2Fid.who.int%2Ficd%2Fentity%2F26330221","browser")</x:f>
      </x:c>
      <x:c r="L9062" s="0">
        <x:f>hyperlink("https://icat2.azurewebsites.net/icat/?ontology=ICD&amp;tab=ClassesTab&amp;id=http%3A%2F%2Fwho.int%2Ficd%232306_075b017b_ac4c_42d7_a31d_f6f14e3ba684","iCat")</x:f>
      </x:c>
      <x:c r="M9062" s="0" t="s">
        <x:v>21</x:v>
      </x:c>
      <x:c r="N9062" s="0" t="s">
        <x:v>46</x:v>
      </x:c>
    </x:row>
    <x:row r="9063" spans="1:16">
      <x:c r="A9063" s="0" t="s">
        <x:v>36116</x:v>
      </x:c>
      <x:c r="B9063" s="0" t="s">
        <x:v>36117</x:v>
      </x:c>
      <x:c r="C9063" s="0" t="s">
        <x:v>36118</x:v>
      </x:c>
      <x:c r="E9063" s="0" t="s">
        <x:v>36119</x:v>
      </x:c>
      <x:c r="F9063" s="0" t="s">
        <x:v>45</x:v>
      </x:c>
      <x:c r="G9063" s="0" t="s">
        <x:v>19</x:v>
      </x:c>
      <x:c r="H9063" s="0" t="s">
        <x:v>20</x:v>
      </x:c>
      <x:c r="I9063" s="0" t="s">
        <x:v>21</x:v>
      </x:c>
      <x:c r="K9063" s="0">
        <x:f>hyperlink("https://icd.who.int/dev11/l-ichi/en#/http%3A%2F%2Fid.who.int%2Ficd%2Fentity%2F1582536014","browser")</x:f>
      </x:c>
      <x:c r="L9063" s="0">
        <x:f>hyperlink("https://icat2.azurewebsites.net/icat/?ontology=ICD&amp;tab=ClassesTab&amp;id=http%3A%2F%2Fwho.int%2Ficd%232312_075b017b_ac4c_42d7_a31d_f6f14e3ba684","iCat")</x:f>
      </x:c>
      <x:c r="M9063" s="0" t="s">
        <x:v>21</x:v>
      </x:c>
      <x:c r="N9063" s="0" t="s">
        <x:v>46</x:v>
      </x:c>
    </x:row>
    <x:row r="9064" spans="1:16">
      <x:c r="A9064" s="0" t="s">
        <x:v>36120</x:v>
      </x:c>
      <x:c r="B9064" s="0" t="s">
        <x:v>36121</x:v>
      </x:c>
      <x:c r="C9064" s="0" t="s">
        <x:v>36122</x:v>
      </x:c>
      <x:c r="E9064" s="0" t="s">
        <x:v>36123</x:v>
      </x:c>
      <x:c r="F9064" s="0" t="s">
        <x:v>45</x:v>
      </x:c>
      <x:c r="G9064" s="0" t="s">
        <x:v>19</x:v>
      </x:c>
      <x:c r="H9064" s="0" t="s">
        <x:v>20</x:v>
      </x:c>
      <x:c r="I9064" s="0" t="s">
        <x:v>21</x:v>
      </x:c>
      <x:c r="K9064" s="0">
        <x:f>hyperlink("https://icd.who.int/dev11/l-ichi/en#/http%3A%2F%2Fid.who.int%2Ficd%2Fentity%2F1974401502","browser")</x:f>
      </x:c>
      <x:c r="L9064" s="0">
        <x:f>hyperlink("https://icat2.azurewebsites.net/icat/?ontology=ICD&amp;tab=ClassesTab&amp;id=http%3A%2F%2Fwho.int%2Ficd%232318_075b017b_ac4c_42d7_a31d_f6f14e3ba684","iCat")</x:f>
      </x:c>
      <x:c r="M9064" s="0" t="s">
        <x:v>21</x:v>
      </x:c>
      <x:c r="N9064" s="0" t="s">
        <x:v>46</x:v>
      </x:c>
    </x:row>
    <x:row r="9065" spans="1:16">
      <x:c r="A9065" s="0" t="s">
        <x:v>36124</x:v>
      </x:c>
      <x:c r="B9065" s="0" t="s">
        <x:v>36125</x:v>
      </x:c>
      <x:c r="C9065" s="0" t="s">
        <x:v>36126</x:v>
      </x:c>
      <x:c r="E9065" s="0" t="s">
        <x:v>36127</x:v>
      </x:c>
      <x:c r="F9065" s="0" t="s">
        <x:v>45</x:v>
      </x:c>
      <x:c r="G9065" s="0" t="s">
        <x:v>19</x:v>
      </x:c>
      <x:c r="H9065" s="0" t="s">
        <x:v>20</x:v>
      </x:c>
      <x:c r="I9065" s="0" t="s">
        <x:v>21</x:v>
      </x:c>
      <x:c r="K9065" s="0">
        <x:f>hyperlink("https://icd.who.int/dev11/l-ichi/en#/http%3A%2F%2Fid.who.int%2Ficd%2Fentity%2F1318653176","browser")</x:f>
      </x:c>
      <x:c r="L9065" s="0">
        <x:f>hyperlink("https://icat2.azurewebsites.net/icat/?ontology=ICD&amp;tab=ClassesTab&amp;id=http%3A%2F%2Fwho.int%2Ficd%232324_075b017b_ac4c_42d7_a31d_f6f14e3ba684","iCat")</x:f>
      </x:c>
      <x:c r="M9065" s="0" t="s">
        <x:v>21</x:v>
      </x:c>
      <x:c r="N9065" s="0" t="s">
        <x:v>46</x:v>
      </x:c>
    </x:row>
    <x:row r="9066" spans="1:16">
      <x:c r="A9066" s="0" t="s">
        <x:v>36128</x:v>
      </x:c>
      <x:c r="B9066" s="0" t="s">
        <x:v>36129</x:v>
      </x:c>
      <x:c r="C9066" s="0" t="s">
        <x:v>36130</x:v>
      </x:c>
      <x:c r="E9066" s="0" t="s">
        <x:v>36131</x:v>
      </x:c>
      <x:c r="F9066" s="0" t="s">
        <x:v>45</x:v>
      </x:c>
      <x:c r="G9066" s="0" t="s">
        <x:v>19</x:v>
      </x:c>
      <x:c r="H9066" s="0" t="s">
        <x:v>20</x:v>
      </x:c>
      <x:c r="I9066" s="0" t="s">
        <x:v>21</x:v>
      </x:c>
      <x:c r="K9066" s="0">
        <x:f>hyperlink("https://icd.who.int/dev11/l-ichi/en#/http%3A%2F%2Fid.who.int%2Ficd%2Fentity%2F291200475","browser")</x:f>
      </x:c>
      <x:c r="L9066" s="0">
        <x:f>hyperlink("https://icat2.azurewebsites.net/icat/?ontology=ICD&amp;tab=ClassesTab&amp;id=http%3A%2F%2Fwho.int%2Ficd%232330_075b017b_ac4c_42d7_a31d_f6f14e3ba684","iCat")</x:f>
      </x:c>
      <x:c r="M9066" s="0" t="s">
        <x:v>21</x:v>
      </x:c>
      <x:c r="N9066" s="0" t="s">
        <x:v>46</x:v>
      </x:c>
    </x:row>
    <x:row r="9067" spans="1:16">
      <x:c r="A9067" s="0" t="s">
        <x:v>36132</x:v>
      </x:c>
      <x:c r="B9067" s="0" t="s">
        <x:v>36133</x:v>
      </x:c>
      <x:c r="C9067" s="0" t="s">
        <x:v>36134</x:v>
      </x:c>
      <x:c r="E9067" s="0" t="s">
        <x:v>36135</x:v>
      </x:c>
      <x:c r="F9067" s="0" t="s">
        <x:v>45</x:v>
      </x:c>
      <x:c r="G9067" s="0" t="s">
        <x:v>19</x:v>
      </x:c>
      <x:c r="H9067" s="0" t="s">
        <x:v>20</x:v>
      </x:c>
      <x:c r="I9067" s="0" t="s">
        <x:v>21</x:v>
      </x:c>
      <x:c r="K9067" s="0">
        <x:f>hyperlink("https://icd.who.int/dev11/l-ichi/en#/http%3A%2F%2Fid.who.int%2Ficd%2Fentity%2F1092650090","browser")</x:f>
      </x:c>
      <x:c r="L9067" s="0">
        <x:f>hyperlink("https://icat2.azurewebsites.net/icat/?ontology=ICD&amp;tab=ClassesTab&amp;id=http%3A%2F%2Fwho.int%2Ficd%232336_075b017b_ac4c_42d7_a31d_f6f14e3ba684","iCat")</x:f>
      </x:c>
      <x:c r="M9067" s="0" t="s">
        <x:v>21</x:v>
      </x:c>
      <x:c r="N9067" s="0" t="s">
        <x:v>46</x:v>
      </x:c>
    </x:row>
    <x:row r="9068" spans="1:16">
      <x:c r="A9068" s="0" t="s">
        <x:v>36136</x:v>
      </x:c>
      <x:c r="B9068" s="0" t="s">
        <x:v>36137</x:v>
      </x:c>
      <x:c r="C9068" s="0" t="s">
        <x:v>36138</x:v>
      </x:c>
      <x:c r="E9068" s="0" t="s">
        <x:v>36139</x:v>
      </x:c>
      <x:c r="F9068" s="0" t="s">
        <x:v>45</x:v>
      </x:c>
      <x:c r="G9068" s="0" t="s">
        <x:v>19</x:v>
      </x:c>
      <x:c r="H9068" s="0" t="s">
        <x:v>20</x:v>
      </x:c>
      <x:c r="I9068" s="0" t="s">
        <x:v>21</x:v>
      </x:c>
      <x:c r="K9068" s="0">
        <x:f>hyperlink("https://icd.who.int/dev11/l-ichi/en#/http%3A%2F%2Fid.who.int%2Ficd%2Fentity%2F1156666116","browser")</x:f>
      </x:c>
      <x:c r="L9068" s="0">
        <x:f>hyperlink("https://icat2.azurewebsites.net/icat/?ontology=ICD&amp;tab=ClassesTab&amp;id=http%3A%2F%2Fwho.int%2Ficd%232342_075b017b_ac4c_42d7_a31d_f6f14e3ba684","iCat")</x:f>
      </x:c>
      <x:c r="M9068" s="0" t="s">
        <x:v>21</x:v>
      </x:c>
      <x:c r="N9068" s="0" t="s">
        <x:v>46</x:v>
      </x:c>
    </x:row>
    <x:row r="9069" spans="1:16">
      <x:c r="A9069" s="0" t="s">
        <x:v>36140</x:v>
      </x:c>
      <x:c r="B9069" s="0" t="s">
        <x:v>36141</x:v>
      </x:c>
      <x:c r="C9069" s="0" t="s">
        <x:v>36142</x:v>
      </x:c>
      <x:c r="E9069" s="0" t="s">
        <x:v>36143</x:v>
      </x:c>
      <x:c r="F9069" s="0" t="s">
        <x:v>45</x:v>
      </x:c>
      <x:c r="G9069" s="0" t="s">
        <x:v>19</x:v>
      </x:c>
      <x:c r="H9069" s="0" t="s">
        <x:v>20</x:v>
      </x:c>
      <x:c r="I9069" s="0" t="s">
        <x:v>21</x:v>
      </x:c>
      <x:c r="K9069" s="0">
        <x:f>hyperlink("https://icd.who.int/dev11/l-ichi/en#/http%3A%2F%2Fid.who.int%2Ficd%2Fentity%2F1863073684","browser")</x:f>
      </x:c>
      <x:c r="L9069" s="0">
        <x:f>hyperlink("https://icat2.azurewebsites.net/icat/?ontology=ICD&amp;tab=ClassesTab&amp;id=http%3A%2F%2Fwho.int%2Ficd%232348_075b017b_ac4c_42d7_a31d_f6f14e3ba684","iCat")</x:f>
      </x:c>
      <x:c r="M9069" s="0" t="s">
        <x:v>21</x:v>
      </x:c>
      <x:c r="N9069" s="0" t="s">
        <x:v>46</x:v>
      </x:c>
    </x:row>
    <x:row r="9070" spans="1:16">
      <x:c r="A9070" s="0" t="s">
        <x:v>36144</x:v>
      </x:c>
      <x:c r="B9070" s="0" t="s">
        <x:v>36145</x:v>
      </x:c>
      <x:c r="C9070" s="0" t="s">
        <x:v>36146</x:v>
      </x:c>
      <x:c r="E9070" s="0" t="s">
        <x:v>36147</x:v>
      </x:c>
      <x:c r="F9070" s="0" t="s">
        <x:v>45</x:v>
      </x:c>
      <x:c r="G9070" s="0" t="s">
        <x:v>19</x:v>
      </x:c>
      <x:c r="H9070" s="0" t="s">
        <x:v>20</x:v>
      </x:c>
      <x:c r="I9070" s="0" t="s">
        <x:v>21</x:v>
      </x:c>
      <x:c r="K9070" s="0">
        <x:f>hyperlink("https://icd.who.int/dev11/l-ichi/en#/http%3A%2F%2Fid.who.int%2Ficd%2Fentity%2F2119114724","browser")</x:f>
      </x:c>
      <x:c r="L9070" s="0">
        <x:f>hyperlink("https://icat2.azurewebsites.net/icat/?ontology=ICD&amp;tab=ClassesTab&amp;id=http%3A%2F%2Fwho.int%2Ficd%232354_075b017b_ac4c_42d7_a31d_f6f14e3ba684","iCat")</x:f>
      </x:c>
      <x:c r="M9070" s="0" t="s">
        <x:v>21</x:v>
      </x:c>
      <x:c r="N9070" s="0" t="s">
        <x:v>46</x:v>
      </x:c>
    </x:row>
    <x:row r="9071" spans="1:16">
      <x:c r="A9071" s="0" t="s">
        <x:v>36148</x:v>
      </x:c>
      <x:c r="B9071" s="0" t="s">
        <x:v>36149</x:v>
      </x:c>
      <x:c r="C9071" s="0" t="s">
        <x:v>36150</x:v>
      </x:c>
      <x:c r="E9071" s="0" t="s">
        <x:v>36151</x:v>
      </x:c>
      <x:c r="F9071" s="0" t="s">
        <x:v>45</x:v>
      </x:c>
      <x:c r="G9071" s="0" t="s">
        <x:v>19</x:v>
      </x:c>
      <x:c r="H9071" s="0" t="s">
        <x:v>20</x:v>
      </x:c>
      <x:c r="I9071" s="0" t="s">
        <x:v>21</x:v>
      </x:c>
      <x:c r="K9071" s="0">
        <x:f>hyperlink("https://icd.who.int/dev11/l-ichi/en#/http%3A%2F%2Fid.who.int%2Ficd%2Fentity%2F200907665","browser")</x:f>
      </x:c>
      <x:c r="L9071" s="0">
        <x:f>hyperlink("https://icat2.azurewebsites.net/icat/?ontology=ICD&amp;tab=ClassesTab&amp;id=http%3A%2F%2Fwho.int%2Ficd%232360_075b017b_ac4c_42d7_a31d_f6f14e3ba684","iCat")</x:f>
      </x:c>
      <x:c r="M9071" s="0" t="s">
        <x:v>21</x:v>
      </x:c>
      <x:c r="N9071" s="0" t="s">
        <x:v>46</x:v>
      </x:c>
    </x:row>
    <x:row r="9072" spans="1:16">
      <x:c r="A9072" s="0" t="s">
        <x:v>36152</x:v>
      </x:c>
      <x:c r="B9072" s="0" t="s">
        <x:v>36153</x:v>
      </x:c>
      <x:c r="C9072" s="0" t="s">
        <x:v>36154</x:v>
      </x:c>
      <x:c r="E9072" s="0" t="s">
        <x:v>36155</x:v>
      </x:c>
      <x:c r="F9072" s="0" t="s">
        <x:v>45</x:v>
      </x:c>
      <x:c r="G9072" s="0" t="s">
        <x:v>19</x:v>
      </x:c>
      <x:c r="H9072" s="0" t="s">
        <x:v>20</x:v>
      </x:c>
      <x:c r="I9072" s="0" t="s">
        <x:v>21</x:v>
      </x:c>
      <x:c r="K9072" s="0">
        <x:f>hyperlink("https://icd.who.int/dev11/l-ichi/en#/http%3A%2F%2Fid.who.int%2Ficd%2Fentity%2F1535263264","browser")</x:f>
      </x:c>
      <x:c r="L9072" s="0">
        <x:f>hyperlink("https://icat2.azurewebsites.net/icat/?ontology=ICD&amp;tab=ClassesTab&amp;id=http%3A%2F%2Fwho.int%2Ficd%232366_075b017b_ac4c_42d7_a31d_f6f14e3ba684","iCat")</x:f>
      </x:c>
      <x:c r="M9072" s="0" t="s">
        <x:v>21</x:v>
      </x:c>
      <x:c r="N9072" s="0" t="s">
        <x:v>46</x:v>
      </x:c>
    </x:row>
    <x:row r="9073" spans="1:16">
      <x:c r="A9073" s="0" t="s">
        <x:v>36156</x:v>
      </x:c>
      <x:c r="B9073" s="0" t="s">
        <x:v>36157</x:v>
      </x:c>
      <x:c r="C9073" s="0" t="s">
        <x:v>36158</x:v>
      </x:c>
      <x:c r="E9073" s="0" t="s">
        <x:v>36159</x:v>
      </x:c>
      <x:c r="F9073" s="0" t="s">
        <x:v>45</x:v>
      </x:c>
      <x:c r="G9073" s="0" t="s">
        <x:v>19</x:v>
      </x:c>
      <x:c r="H9073" s="0" t="s">
        <x:v>20</x:v>
      </x:c>
      <x:c r="I9073" s="0" t="s">
        <x:v>21</x:v>
      </x:c>
      <x:c r="K9073" s="0">
        <x:f>hyperlink("https://icd.who.int/dev11/l-ichi/en#/http%3A%2F%2Fid.who.int%2Ficd%2Fentity%2F71308035","browser")</x:f>
      </x:c>
      <x:c r="L9073" s="0">
        <x:f>hyperlink("https://icat2.azurewebsites.net/icat/?ontology=ICD&amp;tab=ClassesTab&amp;id=http%3A%2F%2Fwho.int%2Ficd%232372_075b017b_ac4c_42d7_a31d_f6f14e3ba684","iCat")</x:f>
      </x:c>
      <x:c r="M9073" s="0" t="s">
        <x:v>21</x:v>
      </x:c>
      <x:c r="N9073" s="0" t="s">
        <x:v>46</x:v>
      </x:c>
    </x:row>
    <x:row r="9074" spans="1:16">
      <x:c r="A9074" s="0" t="s">
        <x:v>36160</x:v>
      </x:c>
      <x:c r="B9074" s="0" t="s">
        <x:v>36161</x:v>
      </x:c>
      <x:c r="C9074" s="0" t="s">
        <x:v>36162</x:v>
      </x:c>
      <x:c r="E9074" s="0" t="s">
        <x:v>36163</x:v>
      </x:c>
      <x:c r="F9074" s="0" t="s">
        <x:v>45</x:v>
      </x:c>
      <x:c r="G9074" s="0" t="s">
        <x:v>19</x:v>
      </x:c>
      <x:c r="H9074" s="0" t="s">
        <x:v>20</x:v>
      </x:c>
      <x:c r="I9074" s="0" t="s">
        <x:v>21</x:v>
      </x:c>
      <x:c r="K9074" s="0">
        <x:f>hyperlink("https://icd.who.int/dev11/l-ichi/en#/http%3A%2F%2Fid.who.int%2Ficd%2Fentity%2F717396961","browser")</x:f>
      </x:c>
      <x:c r="L9074" s="0">
        <x:f>hyperlink("https://icat2.azurewebsites.net/icat/?ontology=ICD&amp;tab=ClassesTab&amp;id=http%3A%2F%2Fwho.int%2Ficd%232990_075b017b_ac4c_42d7_a31d_f6f14e3ba684","iCat")</x:f>
      </x:c>
      <x:c r="M9074" s="0" t="s">
        <x:v>21</x:v>
      </x:c>
      <x:c r="N9074" s="0" t="s">
        <x:v>46</x:v>
      </x:c>
    </x:row>
    <x:row r="9075" spans="1:16">
      <x:c r="A9075" s="0" t="s">
        <x:v>36164</x:v>
      </x:c>
      <x:c r="B9075" s="0" t="s">
        <x:v>36165</x:v>
      </x:c>
      <x:c r="C9075" s="0" t="s">
        <x:v>36166</x:v>
      </x:c>
      <x:c r="E9075" s="0" t="s">
        <x:v>36167</x:v>
      </x:c>
      <x:c r="F9075" s="0" t="s">
        <x:v>45</x:v>
      </x:c>
      <x:c r="G9075" s="0" t="s">
        <x:v>19</x:v>
      </x:c>
      <x:c r="H9075" s="0" t="s">
        <x:v>20</x:v>
      </x:c>
      <x:c r="I9075" s="0" t="s">
        <x:v>21</x:v>
      </x:c>
      <x:c r="K9075" s="0">
        <x:f>hyperlink("https://icd.who.int/dev11/l-ichi/en#/http%3A%2F%2Fid.who.int%2Ficd%2Fentity%2F2058961490","browser")</x:f>
      </x:c>
      <x:c r="L9075" s="0">
        <x:f>hyperlink("https://icat2.azurewebsites.net/icat/?ontology=ICD&amp;tab=ClassesTab&amp;id=http%3A%2F%2Fwho.int%2Ficd%232996_075b017b_ac4c_42d7_a31d_f6f14e3ba684","iCat")</x:f>
      </x:c>
      <x:c r="M9075" s="0" t="s">
        <x:v>21</x:v>
      </x:c>
      <x:c r="N9075" s="0" t="s">
        <x:v>46</x:v>
      </x:c>
    </x:row>
    <x:row r="9076" spans="1:16">
      <x:c r="A9076" s="0" t="s">
        <x:v>36168</x:v>
      </x:c>
      <x:c r="B9076" s="0" t="s">
        <x:v>36169</x:v>
      </x:c>
      <x:c r="C9076" s="0" t="s">
        <x:v>36170</x:v>
      </x:c>
      <x:c r="E9076" s="0" t="s">
        <x:v>36171</x:v>
      </x:c>
      <x:c r="F9076" s="0" t="s">
        <x:v>45</x:v>
      </x:c>
      <x:c r="G9076" s="0" t="s">
        <x:v>19</x:v>
      </x:c>
      <x:c r="H9076" s="0" t="s">
        <x:v>20</x:v>
      </x:c>
      <x:c r="I9076" s="0" t="s">
        <x:v>21</x:v>
      </x:c>
      <x:c r="K9076" s="0">
        <x:f>hyperlink("https://icd.who.int/dev11/l-ichi/en#/http%3A%2F%2Fid.who.int%2Ficd%2Fentity%2F484355571","browser")</x:f>
      </x:c>
      <x:c r="L9076" s="0">
        <x:f>hyperlink("https://icat2.azurewebsites.net/icat/?ontology=ICD&amp;tab=ClassesTab&amp;id=http%3A%2F%2Fwho.int%2Ficd%233002_075b017b_ac4c_42d7_a31d_f6f14e3ba684","iCat")</x:f>
      </x:c>
      <x:c r="M9076" s="0" t="s">
        <x:v>21</x:v>
      </x:c>
      <x:c r="N9076" s="0" t="s">
        <x:v>46</x:v>
      </x:c>
    </x:row>
    <x:row r="9077" spans="1:16">
      <x:c r="A9077" s="0" t="s">
        <x:v>36172</x:v>
      </x:c>
      <x:c r="B9077" s="0" t="s">
        <x:v>36173</x:v>
      </x:c>
      <x:c r="C9077" s="0" t="s">
        <x:v>36174</x:v>
      </x:c>
      <x:c r="E9077" s="0" t="s">
        <x:v>36175</x:v>
      </x:c>
      <x:c r="F9077" s="0" t="s">
        <x:v>45</x:v>
      </x:c>
      <x:c r="G9077" s="0" t="s">
        <x:v>19</x:v>
      </x:c>
      <x:c r="H9077" s="0" t="s">
        <x:v>20</x:v>
      </x:c>
      <x:c r="I9077" s="0" t="s">
        <x:v>21</x:v>
      </x:c>
      <x:c r="K9077" s="0">
        <x:f>hyperlink("https://icd.who.int/dev11/l-ichi/en#/http%3A%2F%2Fid.who.int%2Ficd%2Fentity%2F925090147","browser")</x:f>
      </x:c>
      <x:c r="L9077" s="0">
        <x:f>hyperlink("https://icat2.azurewebsites.net/icat/?ontology=ICD&amp;tab=ClassesTab&amp;id=http%3A%2F%2Fwho.int%2Ficd%233008_075b017b_ac4c_42d7_a31d_f6f14e3ba684","iCat")</x:f>
      </x:c>
      <x:c r="M9077" s="0" t="s">
        <x:v>21</x:v>
      </x:c>
      <x:c r="N9077" s="0" t="s">
        <x:v>46</x:v>
      </x:c>
    </x:row>
    <x:row r="9078" spans="1:16">
      <x:c r="A9078" s="0" t="s">
        <x:v>36176</x:v>
      </x:c>
      <x:c r="B9078" s="0" t="s">
        <x:v>36177</x:v>
      </x:c>
      <x:c r="C9078" s="0" t="s">
        <x:v>36178</x:v>
      </x:c>
      <x:c r="E9078" s="0" t="s">
        <x:v>36179</x:v>
      </x:c>
      <x:c r="F9078" s="0" t="s">
        <x:v>45</x:v>
      </x:c>
      <x:c r="G9078" s="0" t="s">
        <x:v>19</x:v>
      </x:c>
      <x:c r="H9078" s="0" t="s">
        <x:v>20</x:v>
      </x:c>
      <x:c r="I9078" s="0" t="s">
        <x:v>21</x:v>
      </x:c>
      <x:c r="K9078" s="0">
        <x:f>hyperlink("https://icd.who.int/dev11/l-ichi/en#/http%3A%2F%2Fid.who.int%2Ficd%2Fentity%2F643883285","browser")</x:f>
      </x:c>
      <x:c r="L9078" s="0">
        <x:f>hyperlink("https://icat2.azurewebsites.net/icat/?ontology=ICD&amp;tab=ClassesTab&amp;id=http%3A%2F%2Fwho.int%2Ficd%233014_075b017b_ac4c_42d7_a31d_f6f14e3ba684","iCat")</x:f>
      </x:c>
      <x:c r="M9078" s="0" t="s">
        <x:v>21</x:v>
      </x:c>
      <x:c r="N9078" s="0" t="s">
        <x:v>46</x:v>
      </x:c>
    </x:row>
    <x:row r="9079" spans="1:16">
      <x:c r="A9079" s="0" t="s">
        <x:v>36180</x:v>
      </x:c>
      <x:c r="B9079" s="0" t="s">
        <x:v>36181</x:v>
      </x:c>
      <x:c r="C9079" s="0" t="s">
        <x:v>36182</x:v>
      </x:c>
      <x:c r="E9079" s="0" t="s">
        <x:v>36183</x:v>
      </x:c>
      <x:c r="F9079" s="0" t="s">
        <x:v>45</x:v>
      </x:c>
      <x:c r="G9079" s="0" t="s">
        <x:v>19</x:v>
      </x:c>
      <x:c r="H9079" s="0" t="s">
        <x:v>20</x:v>
      </x:c>
      <x:c r="I9079" s="0" t="s">
        <x:v>21</x:v>
      </x:c>
      <x:c r="K9079" s="0">
        <x:f>hyperlink("https://icd.who.int/dev11/l-ichi/en#/http%3A%2F%2Fid.who.int%2Ficd%2Fentity%2F1406559592","browser")</x:f>
      </x:c>
      <x:c r="L9079" s="0">
        <x:f>hyperlink("https://icat2.azurewebsites.net/icat/?ontology=ICD&amp;tab=ClassesTab&amp;id=http%3A%2F%2Fwho.int%2Ficd%233020_075b017b_ac4c_42d7_a31d_f6f14e3ba684","iCat")</x:f>
      </x:c>
      <x:c r="M9079" s="0" t="s">
        <x:v>21</x:v>
      </x:c>
      <x:c r="N9079" s="0" t="s">
        <x:v>46</x:v>
      </x:c>
    </x:row>
    <x:row r="9080" spans="1:16">
      <x:c r="A9080" s="0" t="s">
        <x:v>36184</x:v>
      </x:c>
      <x:c r="B9080" s="0" t="s">
        <x:v>36185</x:v>
      </x:c>
      <x:c r="C9080" s="0" t="s">
        <x:v>36186</x:v>
      </x:c>
      <x:c r="E9080" s="0" t="s">
        <x:v>36187</x:v>
      </x:c>
      <x:c r="F9080" s="0" t="s">
        <x:v>45</x:v>
      </x:c>
      <x:c r="G9080" s="0" t="s">
        <x:v>19</x:v>
      </x:c>
      <x:c r="H9080" s="0" t="s">
        <x:v>20</x:v>
      </x:c>
      <x:c r="I9080" s="0" t="s">
        <x:v>21</x:v>
      </x:c>
      <x:c r="K9080" s="0">
        <x:f>hyperlink("https://icd.who.int/dev11/l-ichi/en#/http%3A%2F%2Fid.who.int%2Ficd%2Fentity%2F61717719","browser")</x:f>
      </x:c>
      <x:c r="L9080" s="0">
        <x:f>hyperlink("https://icat2.azurewebsites.net/icat/?ontology=ICD&amp;tab=ClassesTab&amp;id=http%3A%2F%2Fwho.int%2Ficd%233026_075b017b_ac4c_42d7_a31d_f6f14e3ba684","iCat")</x:f>
      </x:c>
      <x:c r="M9080" s="0" t="s">
        <x:v>21</x:v>
      </x:c>
      <x:c r="N9080" s="0" t="s">
        <x:v>46</x:v>
      </x:c>
    </x:row>
    <x:row r="9081" spans="1:16">
      <x:c r="A9081" s="0" t="s">
        <x:v>36188</x:v>
      </x:c>
      <x:c r="B9081" s="0" t="s">
        <x:v>36189</x:v>
      </x:c>
      <x:c r="C9081" s="0" t="s">
        <x:v>36190</x:v>
      </x:c>
      <x:c r="E9081" s="0" t="s">
        <x:v>36191</x:v>
      </x:c>
      <x:c r="F9081" s="0" t="s">
        <x:v>45</x:v>
      </x:c>
      <x:c r="G9081" s="0" t="s">
        <x:v>19</x:v>
      </x:c>
      <x:c r="H9081" s="0" t="s">
        <x:v>20</x:v>
      </x:c>
      <x:c r="I9081" s="0" t="s">
        <x:v>21</x:v>
      </x:c>
      <x:c r="K9081" s="0">
        <x:f>hyperlink("https://icd.who.int/dev11/l-ichi/en#/http%3A%2F%2Fid.who.int%2Ficd%2Fentity%2F1550839286","browser")</x:f>
      </x:c>
      <x:c r="L9081" s="0">
        <x:f>hyperlink("https://icat2.azurewebsites.net/icat/?ontology=ICD&amp;tab=ClassesTab&amp;id=http%3A%2F%2Fwho.int%2Ficd%233032_075b017b_ac4c_42d7_a31d_f6f14e3ba684","iCat")</x:f>
      </x:c>
      <x:c r="M9081" s="0" t="s">
        <x:v>21</x:v>
      </x:c>
      <x:c r="N9081" s="0" t="s">
        <x:v>46</x:v>
      </x:c>
    </x:row>
    <x:row r="9082" spans="1:16">
      <x:c r="A9082" s="0" t="s">
        <x:v>36192</x:v>
      </x:c>
      <x:c r="B9082" s="0" t="s">
        <x:v>36193</x:v>
      </x:c>
      <x:c r="C9082" s="0" t="s">
        <x:v>36194</x:v>
      </x:c>
      <x:c r="E9082" s="0" t="s">
        <x:v>36195</x:v>
      </x:c>
      <x:c r="F9082" s="0" t="s">
        <x:v>45</x:v>
      </x:c>
      <x:c r="G9082" s="0" t="s">
        <x:v>19</x:v>
      </x:c>
      <x:c r="H9082" s="0" t="s">
        <x:v>20</x:v>
      </x:c>
      <x:c r="I9082" s="0" t="s">
        <x:v>21</x:v>
      </x:c>
      <x:c r="K9082" s="0">
        <x:f>hyperlink("https://icd.who.int/dev11/l-ichi/en#/http%3A%2F%2Fid.who.int%2Ficd%2Fentity%2F2006090086","browser")</x:f>
      </x:c>
      <x:c r="L9082" s="0">
        <x:f>hyperlink("https://icat2.azurewebsites.net/icat/?ontology=ICD&amp;tab=ClassesTab&amp;id=http%3A%2F%2Fwho.int%2Ficd%233038_075b017b_ac4c_42d7_a31d_f6f14e3ba684","iCat")</x:f>
      </x:c>
      <x:c r="M9082" s="0" t="s">
        <x:v>21</x:v>
      </x:c>
      <x:c r="N9082" s="0" t="s">
        <x:v>46</x:v>
      </x:c>
    </x:row>
    <x:row r="9083" spans="1:16">
      <x:c r="A9083" s="0" t="s">
        <x:v>36196</x:v>
      </x:c>
      <x:c r="B9083" s="0" t="s">
        <x:v>36197</x:v>
      </x:c>
      <x:c r="C9083" s="0" t="s">
        <x:v>36198</x:v>
      </x:c>
      <x:c r="E9083" s="0" t="s">
        <x:v>36199</x:v>
      </x:c>
      <x:c r="F9083" s="0" t="s">
        <x:v>45</x:v>
      </x:c>
      <x:c r="G9083" s="0" t="s">
        <x:v>19</x:v>
      </x:c>
      <x:c r="H9083" s="0" t="s">
        <x:v>20</x:v>
      </x:c>
      <x:c r="I9083" s="0" t="s">
        <x:v>21</x:v>
      </x:c>
      <x:c r="K9083" s="0">
        <x:f>hyperlink("https://icd.who.int/dev11/l-ichi/en#/http%3A%2F%2Fid.who.int%2Ficd%2Fentity%2F1019357023","browser")</x:f>
      </x:c>
      <x:c r="L9083" s="0">
        <x:f>hyperlink("https://icat2.azurewebsites.net/icat/?ontology=ICD&amp;tab=ClassesTab&amp;id=http%3A%2F%2Fwho.int%2Ficd%233044_075b017b_ac4c_42d7_a31d_f6f14e3ba684","iCat")</x:f>
      </x:c>
      <x:c r="M9083" s="0" t="s">
        <x:v>21</x:v>
      </x:c>
      <x:c r="N9083" s="0" t="s">
        <x:v>46</x:v>
      </x:c>
    </x:row>
    <x:row r="9084" spans="1:16">
      <x:c r="A9084" s="0" t="s">
        <x:v>36200</x:v>
      </x:c>
      <x:c r="B9084" s="0" t="s">
        <x:v>36201</x:v>
      </x:c>
      <x:c r="C9084" s="0" t="s">
        <x:v>36202</x:v>
      </x:c>
      <x:c r="E9084" s="0" t="s">
        <x:v>36203</x:v>
      </x:c>
      <x:c r="F9084" s="0" t="s">
        <x:v>45</x:v>
      </x:c>
      <x:c r="G9084" s="0" t="s">
        <x:v>19</x:v>
      </x:c>
      <x:c r="H9084" s="0" t="s">
        <x:v>20</x:v>
      </x:c>
      <x:c r="I9084" s="0" t="s">
        <x:v>21</x:v>
      </x:c>
      <x:c r="K9084" s="0">
        <x:f>hyperlink("https://icd.who.int/dev11/l-ichi/en#/http%3A%2F%2Fid.who.int%2Ficd%2Fentity%2F1660974716","browser")</x:f>
      </x:c>
      <x:c r="L9084" s="0">
        <x:f>hyperlink("https://icat2.azurewebsites.net/icat/?ontology=ICD&amp;tab=ClassesTab&amp;id=http%3A%2F%2Fwho.int%2Ficd%233050_075b017b_ac4c_42d7_a31d_f6f14e3ba684","iCat")</x:f>
      </x:c>
      <x:c r="M9084" s="0" t="s">
        <x:v>21</x:v>
      </x:c>
      <x:c r="N9084" s="0" t="s">
        <x:v>46</x:v>
      </x:c>
    </x:row>
    <x:row r="9085" spans="1:16">
      <x:c r="A9085" s="0" t="s">
        <x:v>36204</x:v>
      </x:c>
      <x:c r="B9085" s="0" t="s">
        <x:v>36205</x:v>
      </x:c>
      <x:c r="C9085" s="0" t="s">
        <x:v>36206</x:v>
      </x:c>
      <x:c r="E9085" s="0" t="s">
        <x:v>36207</x:v>
      </x:c>
      <x:c r="F9085" s="0" t="s">
        <x:v>45</x:v>
      </x:c>
      <x:c r="G9085" s="0" t="s">
        <x:v>19</x:v>
      </x:c>
      <x:c r="H9085" s="0" t="s">
        <x:v>20</x:v>
      </x:c>
      <x:c r="I9085" s="0" t="s">
        <x:v>21</x:v>
      </x:c>
      <x:c r="K9085" s="0">
        <x:f>hyperlink("https://icd.who.int/dev11/l-ichi/en#/http%3A%2F%2Fid.who.int%2Ficd%2Fentity%2F863743949","browser")</x:f>
      </x:c>
      <x:c r="L9085" s="0">
        <x:f>hyperlink("https://icat2.azurewebsites.net/icat/?ontology=ICD&amp;tab=ClassesTab&amp;id=http%3A%2F%2Fwho.int%2Ficd%233056_075b017b_ac4c_42d7_a31d_f6f14e3ba684","iCat")</x:f>
      </x:c>
      <x:c r="M9085" s="0" t="s">
        <x:v>21</x:v>
      </x:c>
      <x:c r="N9085" s="0" t="s">
        <x:v>46</x:v>
      </x:c>
    </x:row>
    <x:row r="9086" spans="1:16">
      <x:c r="A9086" s="0" t="s">
        <x:v>36208</x:v>
      </x:c>
      <x:c r="B9086" s="0" t="s">
        <x:v>36209</x:v>
      </x:c>
      <x:c r="C9086" s="0" t="s">
        <x:v>36210</x:v>
      </x:c>
      <x:c r="E9086" s="0" t="s">
        <x:v>36211</x:v>
      </x:c>
      <x:c r="F9086" s="0" t="s">
        <x:v>45</x:v>
      </x:c>
      <x:c r="G9086" s="0" t="s">
        <x:v>19</x:v>
      </x:c>
      <x:c r="H9086" s="0" t="s">
        <x:v>20</x:v>
      </x:c>
      <x:c r="I9086" s="0" t="s">
        <x:v>21</x:v>
      </x:c>
      <x:c r="K9086" s="0">
        <x:f>hyperlink("https://icd.who.int/dev11/l-ichi/en#/http%3A%2F%2Fid.who.int%2Ficd%2Fentity%2F1187851200","browser")</x:f>
      </x:c>
      <x:c r="L9086" s="0">
        <x:f>hyperlink("https://icat2.azurewebsites.net/icat/?ontology=ICD&amp;tab=ClassesTab&amp;id=http%3A%2F%2Fwho.int%2Ficd%233062_075b017b_ac4c_42d7_a31d_f6f14e3ba684","iCat")</x:f>
      </x:c>
      <x:c r="M9086" s="0" t="s">
        <x:v>21</x:v>
      </x:c>
      <x:c r="N9086" s="0" t="s">
        <x:v>46</x:v>
      </x:c>
    </x:row>
    <x:row r="9087" spans="1:16">
      <x:c r="A9087" s="0" t="s">
        <x:v>36212</x:v>
      </x:c>
      <x:c r="B9087" s="0" t="s">
        <x:v>36213</x:v>
      </x:c>
      <x:c r="C9087" s="0" t="s">
        <x:v>36214</x:v>
      </x:c>
      <x:c r="E9087" s="0" t="s">
        <x:v>36215</x:v>
      </x:c>
      <x:c r="F9087" s="0" t="s">
        <x:v>45</x:v>
      </x:c>
      <x:c r="G9087" s="0" t="s">
        <x:v>19</x:v>
      </x:c>
      <x:c r="H9087" s="0" t="s">
        <x:v>20</x:v>
      </x:c>
      <x:c r="I9087" s="0" t="s">
        <x:v>21</x:v>
      </x:c>
      <x:c r="K9087" s="0">
        <x:f>hyperlink("https://icd.who.int/dev11/l-ichi/en#/http%3A%2F%2Fid.who.int%2Ficd%2Fentity%2F1831880496","browser")</x:f>
      </x:c>
      <x:c r="L9087" s="0">
        <x:f>hyperlink("https://icat2.azurewebsites.net/icat/?ontology=ICD&amp;tab=ClassesTab&amp;id=http%3A%2F%2Fwho.int%2Ficd%233068_075b017b_ac4c_42d7_a31d_f6f14e3ba684","iCat")</x:f>
      </x:c>
      <x:c r="M9087" s="0" t="s">
        <x:v>21</x:v>
      </x:c>
      <x:c r="N9087" s="0" t="s">
        <x:v>46</x:v>
      </x:c>
    </x:row>
    <x:row r="9088" spans="1:16">
      <x:c r="A9088" s="0" t="s">
        <x:v>36216</x:v>
      </x:c>
      <x:c r="B9088" s="0" t="s">
        <x:v>36217</x:v>
      </x:c>
      <x:c r="C9088" s="0" t="s">
        <x:v>36218</x:v>
      </x:c>
      <x:c r="E9088" s="0" t="s">
        <x:v>36219</x:v>
      </x:c>
      <x:c r="F9088" s="0" t="s">
        <x:v>45</x:v>
      </x:c>
      <x:c r="G9088" s="0" t="s">
        <x:v>19</x:v>
      </x:c>
      <x:c r="H9088" s="0" t="s">
        <x:v>20</x:v>
      </x:c>
      <x:c r="I9088" s="0" t="s">
        <x:v>21</x:v>
      </x:c>
      <x:c r="K9088" s="0">
        <x:f>hyperlink("https://icd.who.int/dev11/l-ichi/en#/http%3A%2F%2Fid.who.int%2Ficd%2Fentity%2F2087937880","browser")</x:f>
      </x:c>
      <x:c r="L9088" s="0">
        <x:f>hyperlink("https://icat2.azurewebsites.net/icat/?ontology=ICD&amp;tab=ClassesTab&amp;id=http%3A%2F%2Fwho.int%2Ficd%233074_075b017b_ac4c_42d7_a31d_f6f14e3ba684","iCat")</x:f>
      </x:c>
      <x:c r="M9088" s="0" t="s">
        <x:v>21</x:v>
      </x:c>
      <x:c r="N9088" s="0" t="s">
        <x:v>46</x:v>
      </x:c>
    </x:row>
    <x:row r="9089" spans="1:16">
      <x:c r="A9089" s="0" t="s">
        <x:v>36220</x:v>
      </x:c>
      <x:c r="B9089" s="0" t="s">
        <x:v>36221</x:v>
      </x:c>
      <x:c r="C9089" s="0" t="s">
        <x:v>36222</x:v>
      </x:c>
      <x:c r="E9089" s="0" t="s">
        <x:v>36223</x:v>
      </x:c>
      <x:c r="F9089" s="0" t="s">
        <x:v>45</x:v>
      </x:c>
      <x:c r="G9089" s="0" t="s">
        <x:v>19</x:v>
      </x:c>
      <x:c r="H9089" s="0" t="s">
        <x:v>20</x:v>
      </x:c>
      <x:c r="I9089" s="0" t="s">
        <x:v>21</x:v>
      </x:c>
      <x:c r="K9089" s="0">
        <x:f>hyperlink("https://icd.who.int/dev11/l-ichi/en#/http%3A%2F%2Fid.who.int%2Ficd%2Fentity%2F1720969716","browser")</x:f>
      </x:c>
      <x:c r="L9089" s="0">
        <x:f>hyperlink("https://icat2.azurewebsites.net/icat/?ontology=ICD&amp;tab=ClassesTab&amp;id=http%3A%2F%2Fwho.int%2Ficd%233080_075b017b_ac4c_42d7_a31d_f6f14e3ba684","iCat")</x:f>
      </x:c>
      <x:c r="M9089" s="0" t="s">
        <x:v>21</x:v>
      </x:c>
      <x:c r="N9089" s="0" t="s">
        <x:v>46</x:v>
      </x:c>
    </x:row>
    <x:row r="9090" spans="1:16">
      <x:c r="A9090" s="0" t="s">
        <x:v>36224</x:v>
      </x:c>
      <x:c r="B9090" s="0" t="s">
        <x:v>36225</x:v>
      </x:c>
      <x:c r="C9090" s="0" t="s">
        <x:v>36226</x:v>
      </x:c>
      <x:c r="E9090" s="0" t="s">
        <x:v>36227</x:v>
      </x:c>
      <x:c r="F9090" s="0" t="s">
        <x:v>45</x:v>
      </x:c>
      <x:c r="G9090" s="0" t="s">
        <x:v>19</x:v>
      </x:c>
      <x:c r="H9090" s="0" t="s">
        <x:v>20</x:v>
      </x:c>
      <x:c r="I9090" s="0" t="s">
        <x:v>21</x:v>
      </x:c>
      <x:c r="K9090" s="0">
        <x:f>hyperlink("https://icd.who.int/dev11/l-ichi/en#/http%3A%2F%2Fid.who.int%2Ficd%2Fentity%2F1764385122","browser")</x:f>
      </x:c>
      <x:c r="L9090" s="0">
        <x:f>hyperlink("https://icat2.azurewebsites.net/icat/?ontology=ICD&amp;tab=ClassesTab&amp;id=http%3A%2F%2Fwho.int%2Ficd%233092_075b017b_ac4c_42d7_a31d_f6f14e3ba684","iCat")</x:f>
      </x:c>
      <x:c r="M9090" s="0" t="s">
        <x:v>21</x:v>
      </x:c>
      <x:c r="N9090" s="0" t="s">
        <x:v>46</x:v>
      </x:c>
    </x:row>
    <x:row r="9091" spans="1:16">
      <x:c r="A9091" s="0" t="s">
        <x:v>36228</x:v>
      </x:c>
      <x:c r="B9091" s="0" t="s">
        <x:v>36229</x:v>
      </x:c>
      <x:c r="C9091" s="0" t="s">
        <x:v>36230</x:v>
      </x:c>
      <x:c r="E9091" s="0" t="s">
        <x:v>36231</x:v>
      </x:c>
      <x:c r="F9091" s="0" t="s">
        <x:v>45</x:v>
      </x:c>
      <x:c r="G9091" s="0" t="s">
        <x:v>19</x:v>
      </x:c>
      <x:c r="H9091" s="0" t="s">
        <x:v>20</x:v>
      </x:c>
      <x:c r="I9091" s="0" t="s">
        <x:v>21</x:v>
      </x:c>
      <x:c r="K9091" s="0">
        <x:f>hyperlink("https://icd.who.int/dev11/l-ichi/en#/http%3A%2F%2Fid.who.int%2Ficd%2Fentity%2F1121390066","browser")</x:f>
      </x:c>
      <x:c r="L9091" s="0">
        <x:f>hyperlink("https://icat2.azurewebsites.net/icat/?ontology=ICD&amp;tab=ClassesTab&amp;id=http%3A%2F%2Fwho.int%2Ficd%233098_075b017b_ac4c_42d7_a31d_f6f14e3ba684","iCat")</x:f>
      </x:c>
      <x:c r="M9091" s="0" t="s">
        <x:v>21</x:v>
      </x:c>
      <x:c r="N9091" s="0" t="s">
        <x:v>46</x:v>
      </x:c>
    </x:row>
    <x:row r="9092" spans="1:16">
      <x:c r="A9092" s="0" t="s">
        <x:v>36232</x:v>
      </x:c>
      <x:c r="B9092" s="0" t="s">
        <x:v>36233</x:v>
      </x:c>
      <x:c r="C9092" s="0" t="s">
        <x:v>36234</x:v>
      </x:c>
      <x:c r="E9092" s="0" t="s">
        <x:v>36235</x:v>
      </x:c>
      <x:c r="F9092" s="0" t="s">
        <x:v>45</x:v>
      </x:c>
      <x:c r="G9092" s="0" t="s">
        <x:v>19</x:v>
      </x:c>
      <x:c r="H9092" s="0" t="s">
        <x:v>20</x:v>
      </x:c>
      <x:c r="I9092" s="0" t="s">
        <x:v>21</x:v>
      </x:c>
      <x:c r="K9092" s="0">
        <x:f>hyperlink("https://icd.who.int/dev11/l-ichi/en#/http%3A%2F%2Fid.who.int%2Ficd%2Fentity%2F960148191","browser")</x:f>
      </x:c>
      <x:c r="L9092" s="0">
        <x:f>hyperlink("https://icat2.azurewebsites.net/icat/?ontology=ICD&amp;tab=ClassesTab&amp;id=http%3A%2F%2Fwho.int%2Ficd%233104_075b017b_ac4c_42d7_a31d_f6f14e3ba684","iCat")</x:f>
      </x:c>
      <x:c r="M9092" s="0" t="s">
        <x:v>21</x:v>
      </x:c>
      <x:c r="N9092" s="0" t="s">
        <x:v>46</x:v>
      </x:c>
    </x:row>
    <x:row r="9093" spans="1:16">
      <x:c r="A9093" s="0" t="s">
        <x:v>36236</x:v>
      </x:c>
      <x:c r="B9093" s="0" t="s">
        <x:v>36237</x:v>
      </x:c>
      <x:c r="C9093" s="0" t="s">
        <x:v>36238</x:v>
      </x:c>
      <x:c r="E9093" s="0" t="s">
        <x:v>36239</x:v>
      </x:c>
      <x:c r="F9093" s="0" t="s">
        <x:v>45</x:v>
      </x:c>
      <x:c r="G9093" s="0" t="s">
        <x:v>19</x:v>
      </x:c>
      <x:c r="H9093" s="0" t="s">
        <x:v>20</x:v>
      </x:c>
      <x:c r="I9093" s="0" t="s">
        <x:v>21</x:v>
      </x:c>
      <x:c r="K9093" s="0">
        <x:f>hyperlink("https://icd.who.int/dev11/l-ichi/en#/http%3A%2F%2Fid.who.int%2Ficd%2Fentity%2F1727587324","browser")</x:f>
      </x:c>
      <x:c r="L9093" s="0">
        <x:f>hyperlink("https://icat2.azurewebsites.net/icat/?ontology=ICD&amp;tab=ClassesTab&amp;id=http%3A%2F%2Fwho.int%2Ficd%233110_075b017b_ac4c_42d7_a31d_f6f14e3ba684","iCat")</x:f>
      </x:c>
      <x:c r="M9093" s="0" t="s">
        <x:v>21</x:v>
      </x:c>
      <x:c r="N9093" s="0" t="s">
        <x:v>46</x:v>
      </x:c>
    </x:row>
    <x:row r="9094" spans="1:16">
      <x:c r="A9094" s="0" t="s">
        <x:v>36240</x:v>
      </x:c>
      <x:c r="B9094" s="0" t="s">
        <x:v>36241</x:v>
      </x:c>
      <x:c r="C9094" s="0" t="s">
        <x:v>36242</x:v>
      </x:c>
      <x:c r="E9094" s="0" t="s">
        <x:v>36243</x:v>
      </x:c>
      <x:c r="F9094" s="0" t="s">
        <x:v>45</x:v>
      </x:c>
      <x:c r="G9094" s="0" t="s">
        <x:v>19</x:v>
      </x:c>
      <x:c r="H9094" s="0" t="s">
        <x:v>20</x:v>
      </x:c>
      <x:c r="I9094" s="0" t="s">
        <x:v>21</x:v>
      </x:c>
      <x:c r="K9094" s="0">
        <x:f>hyperlink("https://icd.who.int/dev11/l-ichi/en#/http%3A%2F%2Fid.who.int%2Ficd%2Fentity%2F914569805","browser")</x:f>
      </x:c>
      <x:c r="L9094" s="0">
        <x:f>hyperlink("https://icat2.azurewebsites.net/icat/?ontology=ICD&amp;tab=ClassesTab&amp;id=http%3A%2F%2Fwho.int%2Ficd%233116_075b017b_ac4c_42d7_a31d_f6f14e3ba684","iCat")</x:f>
      </x:c>
      <x:c r="M9094" s="0" t="s">
        <x:v>21</x:v>
      </x:c>
      <x:c r="N9094" s="0" t="s">
        <x:v>46</x:v>
      </x:c>
    </x:row>
    <x:row r="9095" spans="1:16">
      <x:c r="A9095" s="0" t="s">
        <x:v>36244</x:v>
      </x:c>
      <x:c r="B9095" s="0" t="s">
        <x:v>36245</x:v>
      </x:c>
      <x:c r="C9095" s="0" t="s">
        <x:v>36246</x:v>
      </x:c>
      <x:c r="E9095" s="0" t="s">
        <x:v>36247</x:v>
      </x:c>
      <x:c r="F9095" s="0" t="s">
        <x:v>45</x:v>
      </x:c>
      <x:c r="G9095" s="0" t="s">
        <x:v>19</x:v>
      </x:c>
      <x:c r="H9095" s="0" t="s">
        <x:v>20</x:v>
      </x:c>
      <x:c r="I9095" s="0" t="s">
        <x:v>21</x:v>
      </x:c>
      <x:c r="K9095" s="0">
        <x:f>hyperlink("https://icd.who.int/dev11/l-ichi/en#/http%3A%2F%2Fid.who.int%2Ficd%2Fentity%2F1127595584","browser")</x:f>
      </x:c>
      <x:c r="L9095" s="0">
        <x:f>hyperlink("https://icat2.azurewebsites.net/icat/?ontology=ICD&amp;tab=ClassesTab&amp;id=http%3A%2F%2Fwho.int%2Ficd%233122_075b017b_ac4c_42d7_a31d_f6f14e3ba684","iCat")</x:f>
      </x:c>
      <x:c r="M9095" s="0" t="s">
        <x:v>21</x:v>
      </x:c>
      <x:c r="N9095" s="0" t="s">
        <x:v>46</x:v>
      </x:c>
    </x:row>
    <x:row r="9096" spans="1:16">
      <x:c r="A9096" s="0" t="s">
        <x:v>36248</x:v>
      </x:c>
      <x:c r="B9096" s="0" t="s">
        <x:v>36249</x:v>
      </x:c>
      <x:c r="C9096" s="0" t="s">
        <x:v>36250</x:v>
      </x:c>
      <x:c r="E9096" s="0" t="s">
        <x:v>36251</x:v>
      </x:c>
      <x:c r="F9096" s="0" t="s">
        <x:v>45</x:v>
      </x:c>
      <x:c r="G9096" s="0" t="s">
        <x:v>19</x:v>
      </x:c>
      <x:c r="H9096" s="0" t="s">
        <x:v>20</x:v>
      </x:c>
      <x:c r="I9096" s="0" t="s">
        <x:v>21</x:v>
      </x:c>
      <x:c r="K9096" s="0">
        <x:f>hyperlink("https://icd.who.int/dev11/l-ichi/en#/http%3A%2F%2Fid.who.int%2Ficd%2Fentity%2F1757991600","browser")</x:f>
      </x:c>
      <x:c r="L9096" s="0">
        <x:f>hyperlink("https://icat2.azurewebsites.net/icat/?ontology=ICD&amp;tab=ClassesTab&amp;id=http%3A%2F%2Fwho.int%2Ficd%233128_075b017b_ac4c_42d7_a31d_f6f14e3ba684","iCat")</x:f>
      </x:c>
      <x:c r="M9096" s="0" t="s">
        <x:v>21</x:v>
      </x:c>
      <x:c r="N9096" s="0" t="s">
        <x:v>46</x:v>
      </x:c>
    </x:row>
    <x:row r="9097" spans="1:16">
      <x:c r="A9097" s="0" t="s">
        <x:v>36252</x:v>
      </x:c>
      <x:c r="B9097" s="0" t="s">
        <x:v>36253</x:v>
      </x:c>
      <x:c r="C9097" s="0" t="s">
        <x:v>36254</x:v>
      </x:c>
      <x:c r="E9097" s="0" t="s">
        <x:v>36255</x:v>
      </x:c>
      <x:c r="F9097" s="0" t="s">
        <x:v>45</x:v>
      </x:c>
      <x:c r="G9097" s="0" t="s">
        <x:v>19</x:v>
      </x:c>
      <x:c r="H9097" s="0" t="s">
        <x:v>20</x:v>
      </x:c>
      <x:c r="I9097" s="0" t="s">
        <x:v>21</x:v>
      </x:c>
      <x:c r="K9097" s="0">
        <x:f>hyperlink("https://icd.who.int/dev11/l-ichi/en#/http%3A%2F%2Fid.who.int%2Ficd%2Fentity%2F2039214808","browser")</x:f>
      </x:c>
      <x:c r="L9097" s="0">
        <x:f>hyperlink("https://icat2.azurewebsites.net/icat/?ontology=ICD&amp;tab=ClassesTab&amp;id=http%3A%2F%2Fwho.int%2Ficd%233134_075b017b_ac4c_42d7_a31d_f6f14e3ba684","iCat")</x:f>
      </x:c>
      <x:c r="M9097" s="0" t="s">
        <x:v>21</x:v>
      </x:c>
      <x:c r="N9097" s="0" t="s">
        <x:v>46</x:v>
      </x:c>
    </x:row>
    <x:row r="9098" spans="1:16">
      <x:c r="A9098" s="0" t="s">
        <x:v>36256</x:v>
      </x:c>
      <x:c r="B9098" s="0" t="s">
        <x:v>36257</x:v>
      </x:c>
      <x:c r="C9098" s="0" t="s">
        <x:v>36258</x:v>
      </x:c>
      <x:c r="E9098" s="0" t="s">
        <x:v>36259</x:v>
      </x:c>
      <x:c r="F9098" s="0" t="s">
        <x:v>45</x:v>
      </x:c>
      <x:c r="G9098" s="0" t="s">
        <x:v>19</x:v>
      </x:c>
      <x:c r="H9098" s="0" t="s">
        <x:v>20</x:v>
      </x:c>
      <x:c r="I9098" s="0" t="s">
        <x:v>21</x:v>
      </x:c>
      <x:c r="K9098" s="0">
        <x:f>hyperlink("https://icd.who.int/dev11/l-ichi/en#/http%3A%2F%2Fid.who.int%2Ficd%2Fentity%2F2086282678","browser")</x:f>
      </x:c>
      <x:c r="L9098" s="0">
        <x:f>hyperlink("https://icat2.azurewebsites.net/icat/?ontology=ICD&amp;tab=ClassesTab&amp;id=http%3A%2F%2Fwho.int%2Ficd%233140_075b017b_ac4c_42d7_a31d_f6f14e3ba684","iCat")</x:f>
      </x:c>
      <x:c r="M9098" s="0" t="s">
        <x:v>21</x:v>
      </x:c>
      <x:c r="N9098" s="0" t="s">
        <x:v>46</x:v>
      </x:c>
    </x:row>
    <x:row r="9099" spans="1:16">
      <x:c r="A9099" s="0" t="s">
        <x:v>36260</x:v>
      </x:c>
      <x:c r="B9099" s="0" t="s">
        <x:v>36261</x:v>
      </x:c>
      <x:c r="C9099" s="0" t="s">
        <x:v>36262</x:v>
      </x:c>
      <x:c r="E9099" s="0" t="s">
        <x:v>36263</x:v>
      </x:c>
      <x:c r="F9099" s="0" t="s">
        <x:v>45</x:v>
      </x:c>
      <x:c r="G9099" s="0" t="s">
        <x:v>19</x:v>
      </x:c>
      <x:c r="H9099" s="0" t="s">
        <x:v>20</x:v>
      </x:c>
      <x:c r="I9099" s="0" t="s">
        <x:v>21</x:v>
      </x:c>
      <x:c r="K9099" s="0">
        <x:f>hyperlink("https://icd.who.int/dev11/l-ichi/en#/http%3A%2F%2Fid.who.int%2Ficd%2Fentity%2F740424711","browser")</x:f>
      </x:c>
      <x:c r="L9099" s="0">
        <x:f>hyperlink("https://icat2.azurewebsites.net/icat/?ontology=ICD&amp;tab=ClassesTab&amp;id=http%3A%2F%2Fwho.int%2Ficd%233146_075b017b_ac4c_42d7_a31d_f6f14e3ba684","iCat")</x:f>
      </x:c>
      <x:c r="M9099" s="0" t="s">
        <x:v>21</x:v>
      </x:c>
      <x:c r="N9099" s="0" t="s">
        <x:v>46</x:v>
      </x:c>
    </x:row>
    <x:row r="9100" spans="1:16">
      <x:c r="A9100" s="0" t="s">
        <x:v>36264</x:v>
      </x:c>
      <x:c r="B9100" s="0" t="s">
        <x:v>36265</x:v>
      </x:c>
      <x:c r="C9100" s="0" t="s">
        <x:v>36266</x:v>
      </x:c>
      <x:c r="E9100" s="0" t="s">
        <x:v>36267</x:v>
      </x:c>
      <x:c r="F9100" s="0" t="s">
        <x:v>45</x:v>
      </x:c>
      <x:c r="G9100" s="0" t="s">
        <x:v>19</x:v>
      </x:c>
      <x:c r="H9100" s="0" t="s">
        <x:v>20</x:v>
      </x:c>
      <x:c r="I9100" s="0" t="s">
        <x:v>21</x:v>
      </x:c>
      <x:c r="K9100" s="0">
        <x:f>hyperlink("https://icd.who.int/dev11/l-ichi/en#/http%3A%2F%2Fid.who.int%2Ficd%2Fentity%2F1944300836","browser")</x:f>
      </x:c>
      <x:c r="L9100" s="0">
        <x:f>hyperlink("https://icat2.azurewebsites.net/icat/?ontology=ICD&amp;tab=ClassesTab&amp;id=http%3A%2F%2Fwho.int%2Ficd%233152_075b017b_ac4c_42d7_a31d_f6f14e3ba684","iCat")</x:f>
      </x:c>
      <x:c r="M9100" s="0" t="s">
        <x:v>21</x:v>
      </x:c>
      <x:c r="N9100" s="0" t="s">
        <x:v>46</x:v>
      </x:c>
    </x:row>
    <x:row r="9101" spans="1:16">
      <x:c r="A9101" s="0" t="s">
        <x:v>36268</x:v>
      </x:c>
      <x:c r="B9101" s="0" t="s">
        <x:v>36269</x:v>
      </x:c>
      <x:c r="C9101" s="0" t="s">
        <x:v>36270</x:v>
      </x:c>
      <x:c r="E9101" s="0" t="s">
        <x:v>36271</x:v>
      </x:c>
      <x:c r="F9101" s="0" t="s">
        <x:v>45</x:v>
      </x:c>
      <x:c r="G9101" s="0" t="s">
        <x:v>19</x:v>
      </x:c>
      <x:c r="H9101" s="0" t="s">
        <x:v>20</x:v>
      </x:c>
      <x:c r="I9101" s="0" t="s">
        <x:v>21</x:v>
      </x:c>
      <x:c r="K9101" s="0">
        <x:f>hyperlink("https://icd.who.int/dev11/l-ichi/en#/http%3A%2F%2Fid.who.int%2Ficd%2Fentity%2F1478410676","browser")</x:f>
      </x:c>
      <x:c r="L9101" s="0">
        <x:f>hyperlink("https://icat2.azurewebsites.net/icat/?ontology=ICD&amp;tab=ClassesTab&amp;id=http%3A%2F%2Fwho.int%2Ficd%233158_075b017b_ac4c_42d7_a31d_f6f14e3ba684","iCat")</x:f>
      </x:c>
      <x:c r="M9101" s="0" t="s">
        <x:v>21</x:v>
      </x:c>
      <x:c r="N9101" s="0" t="s">
        <x:v>46</x:v>
      </x:c>
    </x:row>
    <x:row r="9102" spans="1:16">
      <x:c r="A9102" s="0" t="s">
        <x:v>36272</x:v>
      </x:c>
      <x:c r="B9102" s="0" t="s">
        <x:v>36273</x:v>
      </x:c>
      <x:c r="C9102" s="0" t="s">
        <x:v>36274</x:v>
      </x:c>
      <x:c r="E9102" s="0" t="s">
        <x:v>36275</x:v>
      </x:c>
      <x:c r="F9102" s="0" t="s">
        <x:v>45</x:v>
      </x:c>
      <x:c r="G9102" s="0" t="s">
        <x:v>19</x:v>
      </x:c>
      <x:c r="H9102" s="0" t="s">
        <x:v>20</x:v>
      </x:c>
      <x:c r="I9102" s="0" t="s">
        <x:v>21</x:v>
      </x:c>
      <x:c r="K9102" s="0">
        <x:f>hyperlink("https://icd.who.int/dev11/l-ichi/en#/http%3A%2F%2Fid.who.int%2Ficd%2Fentity%2F1663644818","browser")</x:f>
      </x:c>
      <x:c r="L9102" s="0">
        <x:f>hyperlink("https://icat2.azurewebsites.net/icat/?ontology=ICD&amp;tab=ClassesTab&amp;id=http%3A%2F%2Fwho.int%2Ficd%233164_075b017b_ac4c_42d7_a31d_f6f14e3ba684","iCat")</x:f>
      </x:c>
      <x:c r="M9102" s="0" t="s">
        <x:v>21</x:v>
      </x:c>
      <x:c r="N9102" s="0" t="s">
        <x:v>46</x:v>
      </x:c>
    </x:row>
    <x:row r="9103" spans="1:16">
      <x:c r="A9103" s="0" t="s">
        <x:v>36276</x:v>
      </x:c>
      <x:c r="B9103" s="0" t="s">
        <x:v>36277</x:v>
      </x:c>
      <x:c r="C9103" s="0" t="s">
        <x:v>36278</x:v>
      </x:c>
      <x:c r="E9103" s="0" t="s">
        <x:v>36279</x:v>
      </x:c>
      <x:c r="F9103" s="0" t="s">
        <x:v>45</x:v>
      </x:c>
      <x:c r="G9103" s="0" t="s">
        <x:v>19</x:v>
      </x:c>
      <x:c r="H9103" s="0" t="s">
        <x:v>20</x:v>
      </x:c>
      <x:c r="I9103" s="0" t="s">
        <x:v>21</x:v>
      </x:c>
      <x:c r="K9103" s="0">
        <x:f>hyperlink("https://icd.who.int/dev11/l-ichi/en#/http%3A%2F%2Fid.who.int%2Ficd%2Fentity%2F857778557","browser")</x:f>
      </x:c>
      <x:c r="L9103" s="0">
        <x:f>hyperlink("https://icat2.azurewebsites.net/icat/?ontology=ICD&amp;tab=ClassesTab&amp;id=http%3A%2F%2Fwho.int%2Ficd%233841_075b017b_ac4c_42d7_a31d_f6f14e3ba684","iCat")</x:f>
      </x:c>
      <x:c r="M9103" s="0" t="s">
        <x:v>21</x:v>
      </x:c>
      <x:c r="N9103" s="0" t="s">
        <x:v>46</x:v>
      </x:c>
    </x:row>
    <x:row r="9104" spans="1:16">
      <x:c r="A9104" s="0" t="s">
        <x:v>36280</x:v>
      </x:c>
      <x:c r="B9104" s="0" t="s">
        <x:v>36281</x:v>
      </x:c>
      <x:c r="C9104" s="0" t="s">
        <x:v>36282</x:v>
      </x:c>
      <x:c r="E9104" s="0" t="s">
        <x:v>36283</x:v>
      </x:c>
      <x:c r="F9104" s="0" t="s">
        <x:v>45</x:v>
      </x:c>
      <x:c r="G9104" s="0" t="s">
        <x:v>19</x:v>
      </x:c>
      <x:c r="H9104" s="0" t="s">
        <x:v>20</x:v>
      </x:c>
      <x:c r="I9104" s="0" t="s">
        <x:v>21</x:v>
      </x:c>
      <x:c r="K9104" s="0">
        <x:f>hyperlink("https://icd.who.int/dev11/l-ichi/en#/http%3A%2F%2Fid.who.int%2Ficd%2Fentity%2F1666937036","browser")</x:f>
      </x:c>
      <x:c r="L9104" s="0">
        <x:f>hyperlink("https://icat2.azurewebsites.net/icat/?ontology=ICD&amp;tab=ClassesTab&amp;id=http%3A%2F%2Fwho.int%2Ficd%233847_075b017b_ac4c_42d7_a31d_f6f14e3ba684","iCat")</x:f>
      </x:c>
      <x:c r="M9104" s="0" t="s">
        <x:v>21</x:v>
      </x:c>
      <x:c r="N9104" s="0" t="s">
        <x:v>46</x:v>
      </x:c>
    </x:row>
    <x:row r="9105" spans="1:16">
      <x:c r="A9105" s="0" t="s">
        <x:v>36284</x:v>
      </x:c>
      <x:c r="B9105" s="0" t="s">
        <x:v>36285</x:v>
      </x:c>
      <x:c r="C9105" s="0" t="s">
        <x:v>36286</x:v>
      </x:c>
      <x:c r="E9105" s="0" t="s">
        <x:v>36287</x:v>
      </x:c>
      <x:c r="F9105" s="0" t="s">
        <x:v>45</x:v>
      </x:c>
      <x:c r="G9105" s="0" t="s">
        <x:v>19</x:v>
      </x:c>
      <x:c r="H9105" s="0" t="s">
        <x:v>20</x:v>
      </x:c>
      <x:c r="I9105" s="0" t="s">
        <x:v>21</x:v>
      </x:c>
      <x:c r="K9105" s="0">
        <x:f>hyperlink("https://icd.who.int/dev11/l-ichi/en#/http%3A%2F%2Fid.who.int%2Ficd%2Fentity%2F1016668655","browser")</x:f>
      </x:c>
      <x:c r="L9105" s="0">
        <x:f>hyperlink("https://icat2.azurewebsites.net/icat/?ontology=ICD&amp;tab=ClassesTab&amp;id=http%3A%2F%2Fwho.int%2Ficd%233853_075b017b_ac4c_42d7_a31d_f6f14e3ba684","iCat")</x:f>
      </x:c>
      <x:c r="M9105" s="0" t="s">
        <x:v>21</x:v>
      </x:c>
      <x:c r="N9105" s="0" t="s">
        <x:v>46</x:v>
      </x:c>
    </x:row>
    <x:row r="9106" spans="1:16">
      <x:c r="A9106" s="0" t="s">
        <x:v>36288</x:v>
      </x:c>
      <x:c r="B9106" s="0" t="s">
        <x:v>36289</x:v>
      </x:c>
      <x:c r="C9106" s="0" t="s">
        <x:v>36290</x:v>
      </x:c>
      <x:c r="E9106" s="0" t="s">
        <x:v>36291</x:v>
      </x:c>
      <x:c r="F9106" s="0" t="s">
        <x:v>45</x:v>
      </x:c>
      <x:c r="G9106" s="0" t="s">
        <x:v>19</x:v>
      </x:c>
      <x:c r="H9106" s="0" t="s">
        <x:v>20</x:v>
      </x:c>
      <x:c r="I9106" s="0" t="s">
        <x:v>21</x:v>
      </x:c>
      <x:c r="K9106" s="0">
        <x:f>hyperlink("https://icd.who.int/dev11/l-ichi/en#/http%3A%2F%2Fid.who.int%2Ficd%2Fentity%2F392449407","browser")</x:f>
      </x:c>
      <x:c r="L9106" s="0">
        <x:f>hyperlink("https://icat2.azurewebsites.net/icat/?ontology=ICD&amp;tab=ClassesTab&amp;id=http%3A%2F%2Fwho.int%2Ficd%233859_075b017b_ac4c_42d7_a31d_f6f14e3ba684","iCat")</x:f>
      </x:c>
      <x:c r="M9106" s="0" t="s">
        <x:v>21</x:v>
      </x:c>
      <x:c r="N9106" s="0" t="s">
        <x:v>46</x:v>
      </x:c>
    </x:row>
    <x:row r="9107" spans="1:16">
      <x:c r="A9107" s="0" t="s">
        <x:v>36292</x:v>
      </x:c>
      <x:c r="B9107" s="0" t="s">
        <x:v>36293</x:v>
      </x:c>
      <x:c r="C9107" s="0" t="s">
        <x:v>36294</x:v>
      </x:c>
      <x:c r="E9107" s="0" t="s">
        <x:v>36295</x:v>
      </x:c>
      <x:c r="F9107" s="0" t="s">
        <x:v>45</x:v>
      </x:c>
      <x:c r="G9107" s="0" t="s">
        <x:v>19</x:v>
      </x:c>
      <x:c r="H9107" s="0" t="s">
        <x:v>20</x:v>
      </x:c>
      <x:c r="I9107" s="0" t="s">
        <x:v>21</x:v>
      </x:c>
      <x:c r="K9107" s="0">
        <x:f>hyperlink("https://icd.who.int/dev11/l-ichi/en#/http%3A%2F%2Fid.who.int%2Ficd%2Fentity%2F743684185","browser")</x:f>
      </x:c>
      <x:c r="L9107" s="0">
        <x:f>hyperlink("https://icat2.azurewebsites.net/icat/?ontology=ICD&amp;tab=ClassesTab&amp;id=http%3A%2F%2Fwho.int%2Ficd%233865_075b017b_ac4c_42d7_a31d_f6f14e3ba684","iCat")</x:f>
      </x:c>
      <x:c r="M9107" s="0" t="s">
        <x:v>21</x:v>
      </x:c>
      <x:c r="N9107" s="0" t="s">
        <x:v>46</x:v>
      </x:c>
    </x:row>
    <x:row r="9108" spans="1:16">
      <x:c r="A9108" s="0" t="s">
        <x:v>36296</x:v>
      </x:c>
      <x:c r="B9108" s="0" t="s">
        <x:v>36297</x:v>
      </x:c>
      <x:c r="C9108" s="0" t="s">
        <x:v>36298</x:v>
      </x:c>
      <x:c r="E9108" s="0" t="s">
        <x:v>36299</x:v>
      </x:c>
      <x:c r="F9108" s="0" t="s">
        <x:v>45</x:v>
      </x:c>
      <x:c r="G9108" s="0" t="s">
        <x:v>19</x:v>
      </x:c>
      <x:c r="H9108" s="0" t="s">
        <x:v>20</x:v>
      </x:c>
      <x:c r="I9108" s="0" t="s">
        <x:v>21</x:v>
      </x:c>
      <x:c r="K9108" s="0">
        <x:f>hyperlink("https://icd.who.int/dev11/l-ichi/en#/http%3A%2F%2Fid.who.int%2Ficd%2Fentity%2F1938942330","browser")</x:f>
      </x:c>
      <x:c r="L9108" s="0">
        <x:f>hyperlink("https://icat2.azurewebsites.net/icat/?ontology=ICD&amp;tab=ClassesTab&amp;id=http%3A%2F%2Fwho.int%2Ficd%233871_075b017b_ac4c_42d7_a31d_f6f14e3ba684","iCat")</x:f>
      </x:c>
      <x:c r="M9108" s="0" t="s">
        <x:v>21</x:v>
      </x:c>
      <x:c r="N9108" s="0" t="s">
        <x:v>46</x:v>
      </x:c>
    </x:row>
    <x:row r="9109" spans="1:16">
      <x:c r="A9109" s="0" t="s">
        <x:v>36300</x:v>
      </x:c>
      <x:c r="B9109" s="0" t="s">
        <x:v>36301</x:v>
      </x:c>
      <x:c r="C9109" s="0" t="s">
        <x:v>36302</x:v>
      </x:c>
      <x:c r="E9109" s="0" t="s">
        <x:v>36303</x:v>
      </x:c>
      <x:c r="F9109" s="0" t="s">
        <x:v>45</x:v>
      </x:c>
      <x:c r="G9109" s="0" t="s">
        <x:v>19</x:v>
      </x:c>
      <x:c r="H9109" s="0" t="s">
        <x:v>20</x:v>
      </x:c>
      <x:c r="I9109" s="0" t="s">
        <x:v>21</x:v>
      </x:c>
      <x:c r="K9109" s="0">
        <x:f>hyperlink("https://icd.who.int/dev11/l-ichi/en#/http%3A%2F%2Fid.who.int%2Ficd%2Fentity%2F602550475","browser")</x:f>
      </x:c>
      <x:c r="L9109" s="0">
        <x:f>hyperlink("https://icat2.azurewebsites.net/icat/?ontology=ICD&amp;tab=ClassesTab&amp;id=http%3A%2F%2Fwho.int%2Ficd%233877_075b017b_ac4c_42d7_a31d_f6f14e3ba684","iCat")</x:f>
      </x:c>
      <x:c r="M9109" s="0" t="s">
        <x:v>21</x:v>
      </x:c>
      <x:c r="N9109" s="0" t="s">
        <x:v>46</x:v>
      </x:c>
    </x:row>
    <x:row r="9110" spans="1:16">
      <x:c r="A9110" s="0" t="s">
        <x:v>36304</x:v>
      </x:c>
      <x:c r="B9110" s="0" t="s">
        <x:v>36305</x:v>
      </x:c>
      <x:c r="C9110" s="0" t="s">
        <x:v>36306</x:v>
      </x:c>
      <x:c r="E9110" s="0" t="s">
        <x:v>36307</x:v>
      </x:c>
      <x:c r="F9110" s="0" t="s">
        <x:v>45</x:v>
      </x:c>
      <x:c r="G9110" s="0" t="s">
        <x:v>19</x:v>
      </x:c>
      <x:c r="H9110" s="0" t="s">
        <x:v>20</x:v>
      </x:c>
      <x:c r="I9110" s="0" t="s">
        <x:v>21</x:v>
      </x:c>
      <x:c r="K9110" s="0">
        <x:f>hyperlink("https://icd.who.int/dev11/l-ichi/en#/http%3A%2F%2Fid.who.int%2Ficd%2Fentity%2F957005409","browser")</x:f>
      </x:c>
      <x:c r="L9110" s="0">
        <x:f>hyperlink("https://icat2.azurewebsites.net/icat/?ontology=ICD&amp;tab=ClassesTab&amp;id=http%3A%2F%2Fwho.int%2Ficd%233883_075b017b_ac4c_42d7_a31d_f6f14e3ba684","iCat")</x:f>
      </x:c>
      <x:c r="M9110" s="0" t="s">
        <x:v>21</x:v>
      </x:c>
      <x:c r="N9110" s="0" t="s">
        <x:v>46</x:v>
      </x:c>
    </x:row>
    <x:row r="9111" spans="1:16">
      <x:c r="A9111" s="0" t="s">
        <x:v>36308</x:v>
      </x:c>
      <x:c r="B9111" s="0" t="s">
        <x:v>36309</x:v>
      </x:c>
      <x:c r="C9111" s="0" t="s">
        <x:v>36310</x:v>
      </x:c>
      <x:c r="E9111" s="0" t="s">
        <x:v>36311</x:v>
      </x:c>
      <x:c r="F9111" s="0" t="s">
        <x:v>45</x:v>
      </x:c>
      <x:c r="G9111" s="0" t="s">
        <x:v>19</x:v>
      </x:c>
      <x:c r="H9111" s="0" t="s">
        <x:v>20</x:v>
      </x:c>
      <x:c r="I9111" s="0" t="s">
        <x:v>21</x:v>
      </x:c>
      <x:c r="K9111" s="0">
        <x:f>hyperlink("https://icd.who.int/dev11/l-ichi/en#/http%3A%2F%2Fid.who.int%2Ficd%2Fentity%2F318231281","browser")</x:f>
      </x:c>
      <x:c r="L9111" s="0">
        <x:f>hyperlink("https://icat2.azurewebsites.net/icat/?ontology=ICD&amp;tab=ClassesTab&amp;id=http%3A%2F%2Fwho.int%2Ficd%233889_075b017b_ac4c_42d7_a31d_f6f14e3ba684","iCat")</x:f>
      </x:c>
      <x:c r="M9111" s="0" t="s">
        <x:v>21</x:v>
      </x:c>
      <x:c r="N9111" s="0" t="s">
        <x:v>46</x:v>
      </x:c>
    </x:row>
    <x:row r="9112" spans="1:16">
      <x:c r="A9112" s="0" t="s">
        <x:v>36312</x:v>
      </x:c>
      <x:c r="B9112" s="0" t="s">
        <x:v>36313</x:v>
      </x:c>
      <x:c r="C9112" s="0" t="s">
        <x:v>36314</x:v>
      </x:c>
      <x:c r="E9112" s="0" t="s">
        <x:v>36315</x:v>
      </x:c>
      <x:c r="F9112" s="0" t="s">
        <x:v>45</x:v>
      </x:c>
      <x:c r="G9112" s="0" t="s">
        <x:v>19</x:v>
      </x:c>
      <x:c r="H9112" s="0" t="s">
        <x:v>20</x:v>
      </x:c>
      <x:c r="I9112" s="0" t="s">
        <x:v>21</x:v>
      </x:c>
      <x:c r="K9112" s="0">
        <x:f>hyperlink("https://icd.who.int/dev11/l-ichi/en#/http%3A%2F%2Fid.who.int%2Ficd%2Fentity%2F62190215","browser")</x:f>
      </x:c>
      <x:c r="L9112" s="0">
        <x:f>hyperlink("https://icat2.azurewebsites.net/icat/?ontology=ICD&amp;tab=ClassesTab&amp;id=http%3A%2F%2Fwho.int%2Ficd%233895_075b017b_ac4c_42d7_a31d_f6f14e3ba684","iCat")</x:f>
      </x:c>
      <x:c r="M9112" s="0" t="s">
        <x:v>21</x:v>
      </x:c>
      <x:c r="N9112" s="0" t="s">
        <x:v>46</x:v>
      </x:c>
    </x:row>
    <x:row r="9113" spans="1:16">
      <x:c r="A9113" s="0" t="s">
        <x:v>36316</x:v>
      </x:c>
      <x:c r="B9113" s="0" t="s">
        <x:v>36317</x:v>
      </x:c>
      <x:c r="C9113" s="0" t="s">
        <x:v>36318</x:v>
      </x:c>
      <x:c r="E9113" s="0" t="s">
        <x:v>36319</x:v>
      </x:c>
      <x:c r="F9113" s="0" t="s">
        <x:v>45</x:v>
      </x:c>
      <x:c r="G9113" s="0" t="s">
        <x:v>19</x:v>
      </x:c>
      <x:c r="H9113" s="0" t="s">
        <x:v>20</x:v>
      </x:c>
      <x:c r="I9113" s="0" t="s">
        <x:v>21</x:v>
      </x:c>
      <x:c r="K9113" s="0">
        <x:f>hyperlink("https://icd.who.int/dev11/l-ichi/en#/http%3A%2F%2Fid.who.int%2Ficd%2Fentity%2F920141053","browser")</x:f>
      </x:c>
      <x:c r="L9113" s="0">
        <x:f>hyperlink("https://icat2.azurewebsites.net/icat/?ontology=ICD&amp;tab=ClassesTab&amp;id=http%3A%2F%2Fwho.int%2Ficd%233901_075b017b_ac4c_42d7_a31d_f6f14e3ba684","iCat")</x:f>
      </x:c>
      <x:c r="M9113" s="0" t="s">
        <x:v>21</x:v>
      </x:c>
      <x:c r="N9113" s="0" t="s">
        <x:v>46</x:v>
      </x:c>
    </x:row>
    <x:row r="9114" spans="1:16">
      <x:c r="A9114" s="0" t="s">
        <x:v>36320</x:v>
      </x:c>
      <x:c r="B9114" s="0" t="s">
        <x:v>36321</x:v>
      </x:c>
      <x:c r="C9114" s="0" t="s">
        <x:v>36322</x:v>
      </x:c>
      <x:c r="E9114" s="0" t="s">
        <x:v>36323</x:v>
      </x:c>
      <x:c r="F9114" s="0" t="s">
        <x:v>45</x:v>
      </x:c>
      <x:c r="G9114" s="0" t="s">
        <x:v>19</x:v>
      </x:c>
      <x:c r="H9114" s="0" t="s">
        <x:v>20</x:v>
      </x:c>
      <x:c r="I9114" s="0" t="s">
        <x:v>21</x:v>
      </x:c>
      <x:c r="K9114" s="0">
        <x:f>hyperlink("https://icd.who.int/dev11/l-ichi/en#/http%3A%2F%2Fid.who.int%2Ficd%2Fentity%2F1722017100","browser")</x:f>
      </x:c>
      <x:c r="L9114" s="0">
        <x:f>hyperlink("https://icat2.azurewebsites.net/icat/?ontology=ICD&amp;tab=ClassesTab&amp;id=http%3A%2F%2Fwho.int%2Ficd%233907_075b017b_ac4c_42d7_a31d_f6f14e3ba684","iCat")</x:f>
      </x:c>
      <x:c r="M9114" s="0" t="s">
        <x:v>21</x:v>
      </x:c>
      <x:c r="N9114" s="0" t="s">
        <x:v>46</x:v>
      </x:c>
    </x:row>
    <x:row r="9115" spans="1:16">
      <x:c r="A9115" s="0" t="s">
        <x:v>36324</x:v>
      </x:c>
      <x:c r="B9115" s="0" t="s">
        <x:v>36325</x:v>
      </x:c>
      <x:c r="C9115" s="0" t="s">
        <x:v>36326</x:v>
      </x:c>
      <x:c r="E9115" s="0" t="s">
        <x:v>36327</x:v>
      </x:c>
      <x:c r="F9115" s="0" t="s">
        <x:v>45</x:v>
      </x:c>
      <x:c r="G9115" s="0" t="s">
        <x:v>19</x:v>
      </x:c>
      <x:c r="H9115" s="0" t="s">
        <x:v>20</x:v>
      </x:c>
      <x:c r="I9115" s="0" t="s">
        <x:v>21</x:v>
      </x:c>
      <x:c r="K9115" s="0">
        <x:f>hyperlink("https://icd.who.int/dev11/l-ichi/en#/http%3A%2F%2Fid.who.int%2Ficd%2Fentity%2F962704495","browser")</x:f>
      </x:c>
      <x:c r="L9115" s="0">
        <x:f>hyperlink("https://icat2.azurewebsites.net/icat/?ontology=ICD&amp;tab=ClassesTab&amp;id=http%3A%2F%2Fwho.int%2Ficd%233913_075b017b_ac4c_42d7_a31d_f6f14e3ba684","iCat")</x:f>
      </x:c>
      <x:c r="M9115" s="0" t="s">
        <x:v>21</x:v>
      </x:c>
      <x:c r="N9115" s="0" t="s">
        <x:v>46</x:v>
      </x:c>
    </x:row>
    <x:row r="9116" spans="1:16">
      <x:c r="A9116" s="0" t="s">
        <x:v>36328</x:v>
      </x:c>
      <x:c r="B9116" s="0" t="s">
        <x:v>36329</x:v>
      </x:c>
      <x:c r="C9116" s="0" t="s">
        <x:v>36330</x:v>
      </x:c>
      <x:c r="E9116" s="0" t="s">
        <x:v>36331</x:v>
      </x:c>
      <x:c r="F9116" s="0" t="s">
        <x:v>45</x:v>
      </x:c>
      <x:c r="G9116" s="0" t="s">
        <x:v>19</x:v>
      </x:c>
      <x:c r="H9116" s="0" t="s">
        <x:v>20</x:v>
      </x:c>
      <x:c r="I9116" s="0" t="s">
        <x:v>21</x:v>
      </x:c>
      <x:c r="K9116" s="0">
        <x:f>hyperlink("https://icd.who.int/dev11/l-ichi/en#/http%3A%2F%2Fid.who.int%2Ficd%2Fentity%2F312269055","browser")</x:f>
      </x:c>
      <x:c r="L9116" s="0">
        <x:f>hyperlink("https://icat2.azurewebsites.net/icat/?ontology=ICD&amp;tab=ClassesTab&amp;id=http%3A%2F%2Fwho.int%2Ficd%233919_075b017b_ac4c_42d7_a31d_f6f14e3ba684","iCat")</x:f>
      </x:c>
      <x:c r="M9116" s="0" t="s">
        <x:v>21</x:v>
      </x:c>
      <x:c r="N9116" s="0" t="s">
        <x:v>46</x:v>
      </x:c>
    </x:row>
    <x:row r="9117" spans="1:16">
      <x:c r="A9117" s="0" t="s">
        <x:v>36332</x:v>
      </x:c>
      <x:c r="B9117" s="0" t="s">
        <x:v>36333</x:v>
      </x:c>
      <x:c r="C9117" s="0" t="s">
        <x:v>36334</x:v>
      </x:c>
      <x:c r="E9117" s="0" t="s">
        <x:v>36335</x:v>
      </x:c>
      <x:c r="F9117" s="0" t="s">
        <x:v>45</x:v>
      </x:c>
      <x:c r="G9117" s="0" t="s">
        <x:v>19</x:v>
      </x:c>
      <x:c r="H9117" s="0" t="s">
        <x:v>20</x:v>
      </x:c>
      <x:c r="I9117" s="0" t="s">
        <x:v>21</x:v>
      </x:c>
      <x:c r="K9117" s="0">
        <x:f>hyperlink("https://icd.who.int/dev11/l-ichi/en#/http%3A%2F%2Fid.who.int%2Ficd%2Fentity%2F699084249","browser")</x:f>
      </x:c>
      <x:c r="L9117" s="0">
        <x:f>hyperlink("https://icat2.azurewebsites.net/icat/?ontology=ICD&amp;tab=ClassesTab&amp;id=http%3A%2F%2Fwho.int%2Ficd%233925_075b017b_ac4c_42d7_a31d_f6f14e3ba684","iCat")</x:f>
      </x:c>
      <x:c r="M9117" s="0" t="s">
        <x:v>21</x:v>
      </x:c>
      <x:c r="N9117" s="0" t="s">
        <x:v>46</x:v>
      </x:c>
    </x:row>
    <x:row r="9118" spans="1:16">
      <x:c r="A9118" s="0" t="s">
        <x:v>36336</x:v>
      </x:c>
      <x:c r="B9118" s="0" t="s">
        <x:v>36337</x:v>
      </x:c>
      <x:c r="C9118" s="0" t="s">
        <x:v>36338</x:v>
      </x:c>
      <x:c r="E9118" s="0" t="s">
        <x:v>36339</x:v>
      </x:c>
      <x:c r="F9118" s="0" t="s">
        <x:v>45</x:v>
      </x:c>
      <x:c r="G9118" s="0" t="s">
        <x:v>19</x:v>
      </x:c>
      <x:c r="H9118" s="0" t="s">
        <x:v>20</x:v>
      </x:c>
      <x:c r="I9118" s="0" t="s">
        <x:v>21</x:v>
      </x:c>
      <x:c r="K9118" s="0">
        <x:f>hyperlink("https://icd.who.int/dev11/l-ichi/en#/http%3A%2F%2Fid.who.int%2Ficd%2Fentity%2F1986624762","browser")</x:f>
      </x:c>
      <x:c r="L9118" s="0">
        <x:f>hyperlink("https://icat2.azurewebsites.net/icat/?ontology=ICD&amp;tab=ClassesTab&amp;id=http%3A%2F%2Fwho.int%2Ficd%233931_075b017b_ac4c_42d7_a31d_f6f14e3ba684","iCat")</x:f>
      </x:c>
      <x:c r="M9118" s="0" t="s">
        <x:v>21</x:v>
      </x:c>
      <x:c r="N9118" s="0" t="s">
        <x:v>46</x:v>
      </x:c>
    </x:row>
    <x:row r="9119" spans="1:16">
      <x:c r="A9119" s="0" t="s">
        <x:v>36340</x:v>
      </x:c>
      <x:c r="B9119" s="0" t="s">
        <x:v>36341</x:v>
      </x:c>
      <x:c r="C9119" s="0" t="s">
        <x:v>36342</x:v>
      </x:c>
      <x:c r="E9119" s="0" t="s">
        <x:v>36343</x:v>
      </x:c>
      <x:c r="F9119" s="0" t="s">
        <x:v>45</x:v>
      </x:c>
      <x:c r="G9119" s="0" t="s">
        <x:v>19</x:v>
      </x:c>
      <x:c r="H9119" s="0" t="s">
        <x:v>20</x:v>
      </x:c>
      <x:c r="I9119" s="0" t="s">
        <x:v>21</x:v>
      </x:c>
      <x:c r="K9119" s="0">
        <x:f>hyperlink("https://icd.who.int/dev11/l-ichi/en#/http%3A%2F%2Fid.who.int%2Ficd%2Fentity%2F638756171","browser")</x:f>
      </x:c>
      <x:c r="L9119" s="0">
        <x:f>hyperlink("https://icat2.azurewebsites.net/icat/?ontology=ICD&amp;tab=ClassesTab&amp;id=http%3A%2F%2Fwho.int%2Ficd%233937_075b017b_ac4c_42d7_a31d_f6f14e3ba684","iCat")</x:f>
      </x:c>
      <x:c r="M9119" s="0" t="s">
        <x:v>21</x:v>
      </x:c>
      <x:c r="N9119" s="0" t="s">
        <x:v>46</x:v>
      </x:c>
    </x:row>
    <x:row r="9120" spans="1:16">
      <x:c r="A9120" s="0" t="s">
        <x:v>36344</x:v>
      </x:c>
      <x:c r="B9120" s="0" t="s">
        <x:v>36345</x:v>
      </x:c>
      <x:c r="C9120" s="0" t="s">
        <x:v>36346</x:v>
      </x:c>
      <x:c r="E9120" s="0" t="s">
        <x:v>36347</x:v>
      </x:c>
      <x:c r="F9120" s="0" t="s">
        <x:v>45</x:v>
      </x:c>
      <x:c r="G9120" s="0" t="s">
        <x:v>19</x:v>
      </x:c>
      <x:c r="H9120" s="0" t="s">
        <x:v>20</x:v>
      </x:c>
      <x:c r="I9120" s="0" t="s">
        <x:v>21</x:v>
      </x:c>
      <x:c r="K9120" s="0">
        <x:f>hyperlink("https://icd.who.int/dev11/l-ichi/en#/http%3A%2F%2Fid.who.int%2Ficd%2Fentity%2F600011301","browser")</x:f>
      </x:c>
      <x:c r="L9120" s="0">
        <x:f>hyperlink("https://icat2.azurewebsites.net/icat/?ontology=ICD&amp;tab=ClassesTab&amp;id=http%3A%2F%2Fwho.int%2Ficd%233943_075b017b_ac4c_42d7_a31d_f6f14e3ba684","iCat")</x:f>
      </x:c>
      <x:c r="M9120" s="0" t="s">
        <x:v>21</x:v>
      </x:c>
      <x:c r="N9120" s="0" t="s">
        <x:v>46</x:v>
      </x:c>
    </x:row>
    <x:row r="9121" spans="1:16">
      <x:c r="A9121" s="0" t="s">
        <x:v>36348</x:v>
      </x:c>
      <x:c r="B9121" s="0" t="s">
        <x:v>36349</x:v>
      </x:c>
      <x:c r="C9121" s="0" t="s">
        <x:v>36350</x:v>
      </x:c>
      <x:c r="E9121" s="0" t="s">
        <x:v>36351</x:v>
      </x:c>
      <x:c r="F9121" s="0" t="s">
        <x:v>45</x:v>
      </x:c>
      <x:c r="G9121" s="0" t="s">
        <x:v>19</x:v>
      </x:c>
      <x:c r="H9121" s="0" t="s">
        <x:v>20</x:v>
      </x:c>
      <x:c r="I9121" s="0" t="s">
        <x:v>21</x:v>
      </x:c>
      <x:c r="K9121" s="0">
        <x:f>hyperlink("https://icd.who.int/dev11/l-ichi/en#/http%3A%2F%2Fid.who.int%2Ficd%2Fentity%2F138288821","browser")</x:f>
      </x:c>
      <x:c r="L9121" s="0">
        <x:f>hyperlink("https://icat2.azurewebsites.net/icat/?ontology=ICD&amp;tab=ClassesTab&amp;id=http%3A%2F%2Fwho.int%2Ficd%233949_075b017b_ac4c_42d7_a31d_f6f14e3ba684","iCat")</x:f>
      </x:c>
      <x:c r="M9121" s="0" t="s">
        <x:v>21</x:v>
      </x:c>
      <x:c r="N9121" s="0" t="s">
        <x:v>46</x:v>
      </x:c>
    </x:row>
    <x:row r="9122" spans="1:16">
      <x:c r="A9122" s="0" t="s">
        <x:v>36352</x:v>
      </x:c>
      <x:c r="B9122" s="0" t="s">
        <x:v>36353</x:v>
      </x:c>
      <x:c r="C9122" s="0" t="s">
        <x:v>36354</x:v>
      </x:c>
      <x:c r="E9122" s="0" t="s">
        <x:v>36355</x:v>
      </x:c>
      <x:c r="F9122" s="0" t="s">
        <x:v>45</x:v>
      </x:c>
      <x:c r="G9122" s="0" t="s">
        <x:v>19</x:v>
      </x:c>
      <x:c r="H9122" s="0" t="s">
        <x:v>20</x:v>
      </x:c>
      <x:c r="I9122" s="0" t="s">
        <x:v>21</x:v>
      </x:c>
      <x:c r="K9122" s="0">
        <x:f>hyperlink("https://icd.who.int/dev11/l-ichi/en#/http%3A%2F%2Fid.who.int%2Ficd%2Fentity%2F427638467","browser")</x:f>
      </x:c>
      <x:c r="L9122" s="0">
        <x:f>hyperlink("https://icat2.azurewebsites.net/icat/?ontology=ICD&amp;tab=ClassesTab&amp;id=http%3A%2F%2Fwho.int%2Ficd%233955_075b017b_ac4c_42d7_a31d_f6f14e3ba684","iCat")</x:f>
      </x:c>
      <x:c r="M9122" s="0" t="s">
        <x:v>21</x:v>
      </x:c>
      <x:c r="N9122" s="0" t="s">
        <x:v>46</x:v>
      </x:c>
    </x:row>
    <x:row r="9123" spans="1:16">
      <x:c r="A9123" s="0" t="s">
        <x:v>36356</x:v>
      </x:c>
      <x:c r="B9123" s="0" t="s">
        <x:v>36357</x:v>
      </x:c>
      <x:c r="C9123" s="0" t="s">
        <x:v>36358</x:v>
      </x:c>
      <x:c r="E9123" s="0" t="s">
        <x:v>36359</x:v>
      </x:c>
      <x:c r="F9123" s="0" t="s">
        <x:v>45</x:v>
      </x:c>
      <x:c r="G9123" s="0" t="s">
        <x:v>19</x:v>
      </x:c>
      <x:c r="H9123" s="0" t="s">
        <x:v>20</x:v>
      </x:c>
      <x:c r="I9123" s="0" t="s">
        <x:v>21</x:v>
      </x:c>
      <x:c r="K9123" s="0">
        <x:f>hyperlink("https://icd.who.int/dev11/l-ichi/en#/http%3A%2F%2Fid.who.int%2Ficd%2Fentity%2F1825290928","browser")</x:f>
      </x:c>
      <x:c r="L9123" s="0">
        <x:f>hyperlink("https://icat2.azurewebsites.net/icat/?ontology=ICD&amp;tab=ClassesTab&amp;id=http%3A%2F%2Fwho.int%2Ficd%233961_075b017b_ac4c_42d7_a31d_f6f14e3ba684","iCat")</x:f>
      </x:c>
      <x:c r="M9123" s="0" t="s">
        <x:v>21</x:v>
      </x:c>
      <x:c r="N9123" s="0" t="s">
        <x:v>46</x:v>
      </x:c>
    </x:row>
    <x:row r="9124" spans="1:16">
      <x:c r="A9124" s="0" t="s">
        <x:v>36360</x:v>
      </x:c>
      <x:c r="B9124" s="0" t="s">
        <x:v>36361</x:v>
      </x:c>
      <x:c r="C9124" s="0" t="s">
        <x:v>36362</x:v>
      </x:c>
      <x:c r="E9124" s="0" t="s">
        <x:v>36363</x:v>
      </x:c>
      <x:c r="F9124" s="0" t="s">
        <x:v>45</x:v>
      </x:c>
      <x:c r="G9124" s="0" t="s">
        <x:v>19</x:v>
      </x:c>
      <x:c r="H9124" s="0" t="s">
        <x:v>20</x:v>
      </x:c>
      <x:c r="I9124" s="0" t="s">
        <x:v>21</x:v>
      </x:c>
      <x:c r="K9124" s="0">
        <x:f>hyperlink("https://icd.who.int/dev11/l-ichi/en#/http%3A%2F%2Fid.who.int%2Ficd%2Fentity%2F1018192641","browser")</x:f>
      </x:c>
      <x:c r="L9124" s="0">
        <x:f>hyperlink("https://icat2.azurewebsites.net/icat/?ontology=ICD&amp;tab=ClassesTab&amp;id=http%3A%2F%2Fwho.int%2Ficd%233967_075b017b_ac4c_42d7_a31d_f6f14e3ba684","iCat")</x:f>
      </x:c>
      <x:c r="M9124" s="0" t="s">
        <x:v>21</x:v>
      </x:c>
      <x:c r="N9124" s="0" t="s">
        <x:v>46</x:v>
      </x:c>
    </x:row>
    <x:row r="9125" spans="1:16">
      <x:c r="A9125" s="0" t="s">
        <x:v>36364</x:v>
      </x:c>
      <x:c r="B9125" s="0" t="s">
        <x:v>36365</x:v>
      </x:c>
      <x:c r="C9125" s="0" t="s">
        <x:v>36366</x:v>
      </x:c>
      <x:c r="E9125" s="0" t="s">
        <x:v>36367</x:v>
      </x:c>
      <x:c r="F9125" s="0" t="s">
        <x:v>45</x:v>
      </x:c>
      <x:c r="G9125" s="0" t="s">
        <x:v>19</x:v>
      </x:c>
      <x:c r="H9125" s="0" t="s">
        <x:v>20</x:v>
      </x:c>
      <x:c r="I9125" s="0" t="s">
        <x:v>21</x:v>
      </x:c>
      <x:c r="K9125" s="0">
        <x:f>hyperlink("https://icd.who.int/dev11/l-ichi/en#/http%3A%2F%2Fid.who.int%2Ficd%2Fentity%2F1668428322","browser")</x:f>
      </x:c>
      <x:c r="L9125" s="0">
        <x:f>hyperlink("https://icat2.azurewebsites.net/icat/?ontology=ICD&amp;tab=ClassesTab&amp;id=http%3A%2F%2Fwho.int%2Ficd%233973_075b017b_ac4c_42d7_a31d_f6f14e3ba684","iCat")</x:f>
      </x:c>
      <x:c r="M9125" s="0" t="s">
        <x:v>21</x:v>
      </x:c>
      <x:c r="N9125" s="0" t="s">
        <x:v>46</x:v>
      </x:c>
    </x:row>
    <x:row r="9126" spans="1:16">
      <x:c r="A9126" s="0" t="s">
        <x:v>36368</x:v>
      </x:c>
      <x:c r="B9126" s="0" t="s">
        <x:v>36369</x:v>
      </x:c>
      <x:c r="C9126" s="0" t="s">
        <x:v>36370</x:v>
      </x:c>
      <x:c r="E9126" s="0" t="s">
        <x:v>36371</x:v>
      </x:c>
      <x:c r="F9126" s="0" t="s">
        <x:v>45</x:v>
      </x:c>
      <x:c r="G9126" s="0" t="s">
        <x:v>19</x:v>
      </x:c>
      <x:c r="H9126" s="0" t="s">
        <x:v>20</x:v>
      </x:c>
      <x:c r="I9126" s="0" t="s">
        <x:v>21</x:v>
      </x:c>
      <x:c r="K9126" s="0">
        <x:f>hyperlink("https://icd.who.int/dev11/l-ichi/en#/http%3A%2F%2Fid.who.int%2Ficd%2Fentity%2F1217355442","browser")</x:f>
      </x:c>
      <x:c r="L9126" s="0">
        <x:f>hyperlink("https://icat2.azurewebsites.net/icat/?ontology=ICD&amp;tab=ClassesTab&amp;id=http%3A%2F%2Fwho.int%2Ficd%233979_075b017b_ac4c_42d7_a31d_f6f14e3ba684","iCat")</x:f>
      </x:c>
      <x:c r="M9126" s="0" t="s">
        <x:v>21</x:v>
      </x:c>
      <x:c r="N9126" s="0" t="s">
        <x:v>46</x:v>
      </x:c>
    </x:row>
    <x:row r="9127" spans="1:16">
      <x:c r="A9127" s="0" t="s">
        <x:v>36372</x:v>
      </x:c>
      <x:c r="B9127" s="0" t="s">
        <x:v>36373</x:v>
      </x:c>
      <x:c r="C9127" s="0" t="s">
        <x:v>36374</x:v>
      </x:c>
      <x:c r="E9127" s="0" t="s">
        <x:v>36375</x:v>
      </x:c>
      <x:c r="F9127" s="0" t="s">
        <x:v>45</x:v>
      </x:c>
      <x:c r="G9127" s="0" t="s">
        <x:v>19</x:v>
      </x:c>
      <x:c r="H9127" s="0" t="s">
        <x:v>20</x:v>
      </x:c>
      <x:c r="I9127" s="0" t="s">
        <x:v>21</x:v>
      </x:c>
      <x:c r="K9127" s="0">
        <x:f>hyperlink("https://icd.who.int/dev11/l-ichi/en#/http%3A%2F%2Fid.who.int%2Ficd%2Fentity%2F485400909","browser")</x:f>
      </x:c>
      <x:c r="L9127" s="0">
        <x:f>hyperlink("https://icat2.azurewebsites.net/icat/?ontology=ICD&amp;tab=ClassesTab&amp;id=http%3A%2F%2Fwho.int%2Ficd%233985_075b017b_ac4c_42d7_a31d_f6f14e3ba684","iCat")</x:f>
      </x:c>
      <x:c r="M9127" s="0" t="s">
        <x:v>21</x:v>
      </x:c>
      <x:c r="N9127" s="0" t="s">
        <x:v>46</x:v>
      </x:c>
    </x:row>
    <x:row r="9128" spans="1:16">
      <x:c r="A9128" s="0" t="s">
        <x:v>36376</x:v>
      </x:c>
      <x:c r="B9128" s="0" t="s">
        <x:v>36377</x:v>
      </x:c>
      <x:c r="C9128" s="0" t="s">
        <x:v>36378</x:v>
      </x:c>
      <x:c r="E9128" s="0" t="s">
        <x:v>36379</x:v>
      </x:c>
      <x:c r="F9128" s="0" t="s">
        <x:v>45</x:v>
      </x:c>
      <x:c r="G9128" s="0" t="s">
        <x:v>19</x:v>
      </x:c>
      <x:c r="H9128" s="0" t="s">
        <x:v>20</x:v>
      </x:c>
      <x:c r="I9128" s="0" t="s">
        <x:v>21</x:v>
      </x:c>
      <x:c r="K9128" s="0">
        <x:f>hyperlink("https://icd.who.int/dev11/l-ichi/en#/http%3A%2F%2Fid.who.int%2Ficd%2Fentity%2F1127018606","browser")</x:f>
      </x:c>
      <x:c r="L9128" s="0">
        <x:f>hyperlink("https://icat2.azurewebsites.net/icat/?ontology=ICD&amp;tab=ClassesTab&amp;id=http%3A%2F%2Fwho.int%2Ficd%233991_075b017b_ac4c_42d7_a31d_f6f14e3ba684","iCat")</x:f>
      </x:c>
      <x:c r="M9128" s="0" t="s">
        <x:v>21</x:v>
      </x:c>
      <x:c r="N9128" s="0" t="s">
        <x:v>46</x:v>
      </x:c>
    </x:row>
    <x:row r="9129" spans="1:16">
      <x:c r="A9129" s="0" t="s">
        <x:v>36380</x:v>
      </x:c>
      <x:c r="B9129" s="0" t="s">
        <x:v>36381</x:v>
      </x:c>
      <x:c r="C9129" s="0" t="s">
        <x:v>36382</x:v>
      </x:c>
      <x:c r="E9129" s="0" t="s">
        <x:v>36383</x:v>
      </x:c>
      <x:c r="F9129" s="0" t="s">
        <x:v>45</x:v>
      </x:c>
      <x:c r="G9129" s="0" t="s">
        <x:v>19</x:v>
      </x:c>
      <x:c r="H9129" s="0" t="s">
        <x:v>20</x:v>
      </x:c>
      <x:c r="I9129" s="0" t="s">
        <x:v>21</x:v>
      </x:c>
      <x:c r="K9129" s="0">
        <x:f>hyperlink("https://icd.who.int/dev11/l-ichi/en#/http%3A%2F%2Fid.who.int%2Ficd%2Fentity%2F324479455","browser")</x:f>
      </x:c>
      <x:c r="L9129" s="0">
        <x:f>hyperlink("https://icat2.azurewebsites.net/icat/?ontology=ICD&amp;tab=ClassesTab&amp;id=http%3A%2F%2Fwho.int%2Ficd%233997_075b017b_ac4c_42d7_a31d_f6f14e3ba684","iCat")</x:f>
      </x:c>
      <x:c r="M9129" s="0" t="s">
        <x:v>21</x:v>
      </x:c>
      <x:c r="N9129" s="0" t="s">
        <x:v>46</x:v>
      </x:c>
    </x:row>
    <x:row r="9130" spans="1:16">
      <x:c r="A9130" s="0" t="s">
        <x:v>36384</x:v>
      </x:c>
      <x:c r="B9130" s="0" t="s">
        <x:v>36385</x:v>
      </x:c>
      <x:c r="C9130" s="0" t="s">
        <x:v>36386</x:v>
      </x:c>
      <x:c r="E9130" s="0" t="s">
        <x:v>36387</x:v>
      </x:c>
      <x:c r="F9130" s="0" t="s">
        <x:v>45</x:v>
      </x:c>
      <x:c r="G9130" s="0" t="s">
        <x:v>19</x:v>
      </x:c>
      <x:c r="H9130" s="0" t="s">
        <x:v>20</x:v>
      </x:c>
      <x:c r="I9130" s="0" t="s">
        <x:v>21</x:v>
      </x:c>
      <x:c r="K9130" s="0">
        <x:f>hyperlink("https://icd.who.int/dev11/l-ichi/en#/http%3A%2F%2Fid.who.int%2Ficd%2Fentity%2F1973460816","browser")</x:f>
      </x:c>
      <x:c r="L9130" s="0">
        <x:f>hyperlink("https://icat2.azurewebsites.net/icat/?ontology=ICD&amp;tab=ClassesTab&amp;id=http%3A%2F%2Fwho.int%2Ficd%234003_075b017b_ac4c_42d7_a31d_f6f14e3ba684","iCat")</x:f>
      </x:c>
      <x:c r="M9130" s="0" t="s">
        <x:v>21</x:v>
      </x:c>
      <x:c r="N9130" s="0" t="s">
        <x:v>46</x:v>
      </x:c>
    </x:row>
    <x:row r="9131" spans="1:16">
      <x:c r="A9131" s="0" t="s">
        <x:v>36388</x:v>
      </x:c>
      <x:c r="B9131" s="0" t="s">
        <x:v>36389</x:v>
      </x:c>
      <x:c r="C9131" s="0" t="s">
        <x:v>36390</x:v>
      </x:c>
      <x:c r="E9131" s="0" t="s">
        <x:v>36391</x:v>
      </x:c>
      <x:c r="F9131" s="0" t="s">
        <x:v>45</x:v>
      </x:c>
      <x:c r="G9131" s="0" t="s">
        <x:v>19</x:v>
      </x:c>
      <x:c r="H9131" s="0" t="s">
        <x:v>20</x:v>
      </x:c>
      <x:c r="I9131" s="0" t="s">
        <x:v>21</x:v>
      </x:c>
      <x:c r="K9131" s="0">
        <x:f>hyperlink("https://icd.who.int/dev11/l-ichi/en#/http%3A%2F%2Fid.who.int%2Ficd%2Fentity%2F1583215552","browser")</x:f>
      </x:c>
      <x:c r="L9131" s="0">
        <x:f>hyperlink("https://icat2.azurewebsites.net/icat/?ontology=ICD&amp;tab=ClassesTab&amp;id=http%3A%2F%2Fwho.int%2Ficd%234009_075b017b_ac4c_42d7_a31d_f6f14e3ba684","iCat")</x:f>
      </x:c>
      <x:c r="M9131" s="0" t="s">
        <x:v>21</x:v>
      </x:c>
      <x:c r="N9131" s="0" t="s">
        <x:v>46</x:v>
      </x:c>
    </x:row>
    <x:row r="9132" spans="1:16">
      <x:c r="A9132" s="0" t="s">
        <x:v>36392</x:v>
      </x:c>
      <x:c r="B9132" s="0" t="s">
        <x:v>36393</x:v>
      </x:c>
      <x:c r="C9132" s="0" t="s">
        <x:v>36394</x:v>
      </x:c>
      <x:c r="E9132" s="0" t="s">
        <x:v>36395</x:v>
      </x:c>
      <x:c r="F9132" s="0" t="s">
        <x:v>45</x:v>
      </x:c>
      <x:c r="G9132" s="0" t="s">
        <x:v>19</x:v>
      </x:c>
      <x:c r="H9132" s="0" t="s">
        <x:v>20</x:v>
      </x:c>
      <x:c r="I9132" s="0" t="s">
        <x:v>21</x:v>
      </x:c>
      <x:c r="K9132" s="0">
        <x:f>hyperlink("https://icd.who.int/dev11/l-ichi/en#/http%3A%2F%2Fid.who.int%2Ficd%2Fentity%2F1327420344","browser")</x:f>
      </x:c>
      <x:c r="L9132" s="0">
        <x:f>hyperlink("https://icat2.azurewebsites.net/icat/?ontology=ICD&amp;tab=ClassesTab&amp;id=http%3A%2F%2Fwho.int%2Ficd%234015_075b017b_ac4c_42d7_a31d_f6f14e3ba684","iCat")</x:f>
      </x:c>
      <x:c r="M9132" s="0" t="s">
        <x:v>21</x:v>
      </x:c>
      <x:c r="N9132" s="0" t="s">
        <x:v>46</x:v>
      </x:c>
    </x:row>
    <x:row r="9133" spans="1:16">
      <x:c r="A9133" s="0" t="s">
        <x:v>36396</x:v>
      </x:c>
      <x:c r="B9133" s="0" t="s">
        <x:v>36397</x:v>
      </x:c>
      <x:c r="C9133" s="0" t="s">
        <x:v>36398</x:v>
      </x:c>
      <x:c r="E9133" s="0" t="s">
        <x:v>36399</x:v>
      </x:c>
      <x:c r="F9133" s="0" t="s">
        <x:v>45</x:v>
      </x:c>
      <x:c r="G9133" s="0" t="s">
        <x:v>19</x:v>
      </x:c>
      <x:c r="H9133" s="0" t="s">
        <x:v>20</x:v>
      </x:c>
      <x:c r="I9133" s="0" t="s">
        <x:v>21</x:v>
      </x:c>
      <x:c r="K9133" s="0">
        <x:f>hyperlink("https://icd.who.int/dev11/l-ichi/en#/http%3A%2F%2Fid.who.int%2Ficd%2Fentity%2F683949706","browser")</x:f>
      </x:c>
      <x:c r="L9133" s="0">
        <x:f>hyperlink("https://icat2.azurewebsites.net/icat/?ontology=ICD&amp;tab=ClassesTab&amp;id=http%3A%2F%2Fwho.int%2Ficd%2348142_512ebf36_bf6b_4d70_85da_cf2637062af4","iCat")</x:f>
      </x:c>
      <x:c r="M9133" s="0" t="s">
        <x:v>21</x:v>
      </x:c>
      <x:c r="N9133" s="0" t="s">
        <x:v>46</x:v>
      </x:c>
    </x:row>
    <x:row r="9134" spans="1:16">
      <x:c r="A9134" s="0" t="s">
        <x:v>36400</x:v>
      </x:c>
      <x:c r="B9134" s="0" t="s">
        <x:v>36401</x:v>
      </x:c>
      <x:c r="C9134" s="0" t="s">
        <x:v>36402</x:v>
      </x:c>
      <x:c r="E9134" s="0" t="s">
        <x:v>36403</x:v>
      </x:c>
      <x:c r="F9134" s="0" t="s">
        <x:v>45</x:v>
      </x:c>
      <x:c r="G9134" s="0" t="s">
        <x:v>19</x:v>
      </x:c>
      <x:c r="H9134" s="0" t="s">
        <x:v>20</x:v>
      </x:c>
      <x:c r="I9134" s="0" t="s">
        <x:v>21</x:v>
      </x:c>
      <x:c r="K9134" s="0">
        <x:f>hyperlink("https://icd.who.int/dev11/l-ichi/en#/http%3A%2F%2Fid.who.int%2Ficd%2Fentity%2F598377290","browser")</x:f>
      </x:c>
      <x:c r="L9134" s="0">
        <x:f>hyperlink("https://icat2.azurewebsites.net/icat/?ontology=ICD&amp;tab=ClassesTab&amp;id=http%3A%2F%2Fwho.int%2Ficd%234752_075b017b_ac4c_42d7_a31d_f6f14e3ba684","iCat")</x:f>
      </x:c>
      <x:c r="M9134" s="0" t="s">
        <x:v>21</x:v>
      </x:c>
      <x:c r="N9134" s="0" t="s">
        <x:v>46</x:v>
      </x:c>
    </x:row>
    <x:row r="9135" spans="1:16">
      <x:c r="A9135" s="0" t="s">
        <x:v>36404</x:v>
      </x:c>
      <x:c r="B9135" s="0" t="s">
        <x:v>36405</x:v>
      </x:c>
      <x:c r="C9135" s="0" t="s">
        <x:v>36406</x:v>
      </x:c>
      <x:c r="E9135" s="0" t="s">
        <x:v>36407</x:v>
      </x:c>
      <x:c r="F9135" s="0" t="s">
        <x:v>45</x:v>
      </x:c>
      <x:c r="G9135" s="0" t="s">
        <x:v>19</x:v>
      </x:c>
      <x:c r="H9135" s="0" t="s">
        <x:v>20</x:v>
      </x:c>
      <x:c r="I9135" s="0" t="s">
        <x:v>21</x:v>
      </x:c>
      <x:c r="K9135" s="0">
        <x:f>hyperlink("https://icd.who.int/dev11/l-ichi/en#/http%3A%2F%2Fid.who.int%2Ficd%2Fentity%2F599793700","browser")</x:f>
      </x:c>
      <x:c r="L9135" s="0">
        <x:f>hyperlink("https://icat2.azurewebsites.net/icat/?ontology=ICD&amp;tab=ClassesTab&amp;id=http%3A%2F%2Fwho.int%2Ficd%2348149_512ebf36_bf6b_4d70_85da_cf2637062af4","iCat")</x:f>
      </x:c>
      <x:c r="M9135" s="0" t="s">
        <x:v>21</x:v>
      </x:c>
      <x:c r="N9135" s="0" t="s">
        <x:v>46</x:v>
      </x:c>
    </x:row>
    <x:row r="9136" spans="1:16">
      <x:c r="A9136" s="0" t="s">
        <x:v>36408</x:v>
      </x:c>
      <x:c r="B9136" s="0" t="s">
        <x:v>36409</x:v>
      </x:c>
      <x:c r="C9136" s="0" t="s">
        <x:v>36410</x:v>
      </x:c>
      <x:c r="E9136" s="0" t="s">
        <x:v>36411</x:v>
      </x:c>
      <x:c r="F9136" s="0" t="s">
        <x:v>45</x:v>
      </x:c>
      <x:c r="G9136" s="0" t="s">
        <x:v>19</x:v>
      </x:c>
      <x:c r="H9136" s="0" t="s">
        <x:v>20</x:v>
      </x:c>
      <x:c r="I9136" s="0" t="s">
        <x:v>21</x:v>
      </x:c>
      <x:c r="K9136" s="0">
        <x:f>hyperlink("https://icd.who.int/dev11/l-ichi/en#/http%3A%2F%2Fid.who.int%2Ficd%2Fentity%2F1996910507","browser")</x:f>
      </x:c>
      <x:c r="L9136" s="0">
        <x:f>hyperlink("https://icat2.azurewebsites.net/icat/?ontology=ICD&amp;tab=ClassesTab&amp;id=http%3A%2F%2Fwho.int%2Ficd%2348156_512ebf36_bf6b_4d70_85da_cf2637062af4","iCat")</x:f>
      </x:c>
      <x:c r="M9136" s="0" t="s">
        <x:v>21</x:v>
      </x:c>
      <x:c r="N9136" s="0" t="s">
        <x:v>46</x:v>
      </x:c>
    </x:row>
    <x:row r="9137" spans="1:16">
      <x:c r="A9137" s="0" t="s">
        <x:v>36412</x:v>
      </x:c>
      <x:c r="B9137" s="0" t="s">
        <x:v>36413</x:v>
      </x:c>
      <x:c r="C9137" s="0" t="s">
        <x:v>36414</x:v>
      </x:c>
      <x:c r="E9137" s="0" t="s">
        <x:v>36415</x:v>
      </x:c>
      <x:c r="F9137" s="0" t="s">
        <x:v>45</x:v>
      </x:c>
      <x:c r="G9137" s="0" t="s">
        <x:v>19</x:v>
      </x:c>
      <x:c r="H9137" s="0" t="s">
        <x:v>20</x:v>
      </x:c>
      <x:c r="I9137" s="0" t="s">
        <x:v>21</x:v>
      </x:c>
      <x:c r="K9137" s="0">
        <x:f>hyperlink("https://icd.who.int/dev11/l-ichi/en#/http%3A%2F%2Fid.who.int%2Ficd%2Fentity%2F139980762","browser")</x:f>
      </x:c>
      <x:c r="L9137" s="0">
        <x:f>hyperlink("https://icat2.azurewebsites.net/icat/?ontology=ICD&amp;tab=ClassesTab&amp;id=http%3A%2F%2Fwho.int%2Ficd%234758_075b017b_ac4c_42d7_a31d_f6f14e3ba684","iCat")</x:f>
      </x:c>
      <x:c r="M9137" s="0" t="s">
        <x:v>21</x:v>
      </x:c>
      <x:c r="N9137" s="0" t="s">
        <x:v>46</x:v>
      </x:c>
    </x:row>
    <x:row r="9138" spans="1:16">
      <x:c r="A9138" s="0" t="s">
        <x:v>36416</x:v>
      </x:c>
      <x:c r="B9138" s="0" t="s">
        <x:v>36417</x:v>
      </x:c>
      <x:c r="C9138" s="0" t="s">
        <x:v>36418</x:v>
      </x:c>
      <x:c r="E9138" s="0" t="s">
        <x:v>36419</x:v>
      </x:c>
      <x:c r="F9138" s="0" t="s">
        <x:v>45</x:v>
      </x:c>
      <x:c r="G9138" s="0" t="s">
        <x:v>19</x:v>
      </x:c>
      <x:c r="H9138" s="0" t="s">
        <x:v>20</x:v>
      </x:c>
      <x:c r="I9138" s="0" t="s">
        <x:v>21</x:v>
      </x:c>
      <x:c r="K9138" s="0">
        <x:f>hyperlink("https://icd.who.int/dev11/l-ichi/en#/http%3A%2F%2Fid.who.int%2Ficd%2Fentity%2F861936380","browser")</x:f>
      </x:c>
      <x:c r="L9138" s="0">
        <x:f>hyperlink("https://icat2.azurewebsites.net/icat/?ontology=ICD&amp;tab=ClassesTab&amp;id=http%3A%2F%2Fwho.int%2Ficd%234764_075b017b_ac4c_42d7_a31d_f6f14e3ba684","iCat")</x:f>
      </x:c>
      <x:c r="M9138" s="0" t="s">
        <x:v>21</x:v>
      </x:c>
      <x:c r="N9138" s="0" t="s">
        <x:v>46</x:v>
      </x:c>
    </x:row>
    <x:row r="9139" spans="1:16">
      <x:c r="A9139" s="0" t="s">
        <x:v>36420</x:v>
      </x:c>
      <x:c r="B9139" s="0" t="s">
        <x:v>36421</x:v>
      </x:c>
      <x:c r="C9139" s="0" t="s">
        <x:v>36422</x:v>
      </x:c>
      <x:c r="E9139" s="0" t="s">
        <x:v>36423</x:v>
      </x:c>
      <x:c r="F9139" s="0" t="s">
        <x:v>45</x:v>
      </x:c>
      <x:c r="G9139" s="0" t="s">
        <x:v>19</x:v>
      </x:c>
      <x:c r="H9139" s="0" t="s">
        <x:v>20</x:v>
      </x:c>
      <x:c r="I9139" s="0" t="s">
        <x:v>21</x:v>
      </x:c>
      <x:c r="K9139" s="0">
        <x:f>hyperlink("https://icd.who.int/dev11/l-ichi/en#/http%3A%2F%2Fid.who.int%2Ficd%2Fentity%2F749762798","browser")</x:f>
      </x:c>
      <x:c r="L9139" s="0">
        <x:f>hyperlink("https://icat2.azurewebsites.net/icat/?ontology=ICD&amp;tab=ClassesTab&amp;id=http%3A%2F%2Fwho.int%2Ficd%2314278_4869915e_217e_423d_acb3_33c0f920ef4b","iCat")</x:f>
      </x:c>
      <x:c r="M9139" s="0" t="s">
        <x:v>21</x:v>
      </x:c>
      <x:c r="N9139" s="0" t="s">
        <x:v>46</x:v>
      </x:c>
    </x:row>
    <x:row r="9140" spans="1:16">
      <x:c r="A9140" s="0" t="s">
        <x:v>36424</x:v>
      </x:c>
      <x:c r="B9140" s="0" t="s">
        <x:v>36425</x:v>
      </x:c>
      <x:c r="C9140" s="0" t="s">
        <x:v>36426</x:v>
      </x:c>
      <x:c r="E9140" s="0" t="s">
        <x:v>36427</x:v>
      </x:c>
      <x:c r="F9140" s="0" t="s">
        <x:v>45</x:v>
      </x:c>
      <x:c r="G9140" s="0" t="s">
        <x:v>19</x:v>
      </x:c>
      <x:c r="H9140" s="0" t="s">
        <x:v>20</x:v>
      </x:c>
      <x:c r="I9140" s="0" t="s">
        <x:v>21</x:v>
      </x:c>
      <x:c r="K9140" s="0">
        <x:f>hyperlink("https://icd.who.int/dev11/l-ichi/en#/http%3A%2F%2Fid.who.int%2Ficd%2Fentity%2F1822575583","browser")</x:f>
      </x:c>
      <x:c r="L9140" s="0">
        <x:f>hyperlink("https://icat2.azurewebsites.net/icat/?ontology=ICD&amp;tab=ClassesTab&amp;id=http%3A%2F%2Fwho.int%2Ficd%234770_075b017b_ac4c_42d7_a31d_f6f14e3ba684","iCat")</x:f>
      </x:c>
      <x:c r="M9140" s="0" t="s">
        <x:v>21</x:v>
      </x:c>
      <x:c r="N9140" s="0" t="s">
        <x:v>46</x:v>
      </x:c>
    </x:row>
    <x:row r="9141" spans="1:16">
      <x:c r="A9141" s="0" t="s">
        <x:v>36428</x:v>
      </x:c>
      <x:c r="B9141" s="0" t="s">
        <x:v>36429</x:v>
      </x:c>
      <x:c r="C9141" s="0" t="s">
        <x:v>36430</x:v>
      </x:c>
      <x:c r="E9141" s="0" t="s">
        <x:v>36431</x:v>
      </x:c>
      <x:c r="F9141" s="0" t="s">
        <x:v>45</x:v>
      </x:c>
      <x:c r="G9141" s="0" t="s">
        <x:v>19</x:v>
      </x:c>
      <x:c r="H9141" s="0" t="s">
        <x:v>20</x:v>
      </x:c>
      <x:c r="I9141" s="0" t="s">
        <x:v>21</x:v>
      </x:c>
      <x:c r="K9141" s="0">
        <x:f>hyperlink("https://icd.who.int/dev11/l-ichi/en#/http%3A%2F%2Fid.who.int%2Ficd%2Fentity%2F1020891758","browser")</x:f>
      </x:c>
      <x:c r="L9141" s="0">
        <x:f>hyperlink("https://icat2.azurewebsites.net/icat/?ontology=ICD&amp;tab=ClassesTab&amp;id=http%3A%2F%2Fwho.int%2Ficd%234776_075b017b_ac4c_42d7_a31d_f6f14e3ba684","iCat")</x:f>
      </x:c>
      <x:c r="M9141" s="0" t="s">
        <x:v>21</x:v>
      </x:c>
      <x:c r="N9141" s="0" t="s">
        <x:v>46</x:v>
      </x:c>
    </x:row>
    <x:row r="9142" spans="1:16">
      <x:c r="A9142" s="0" t="s">
        <x:v>36432</x:v>
      </x:c>
      <x:c r="B9142" s="0" t="s">
        <x:v>36433</x:v>
      </x:c>
      <x:c r="C9142" s="0" t="s">
        <x:v>36434</x:v>
      </x:c>
      <x:c r="E9142" s="0" t="s">
        <x:v>36435</x:v>
      </x:c>
      <x:c r="F9142" s="0" t="s">
        <x:v>45</x:v>
      </x:c>
      <x:c r="G9142" s="0" t="s">
        <x:v>19</x:v>
      </x:c>
      <x:c r="H9142" s="0" t="s">
        <x:v>20</x:v>
      </x:c>
      <x:c r="I9142" s="0" t="s">
        <x:v>21</x:v>
      </x:c>
      <x:c r="K9142" s="0">
        <x:f>hyperlink("https://icd.who.int/dev11/l-ichi/en#/http%3A%2F%2Fid.who.int%2Ficd%2Fentity%2F641277126","browser")</x:f>
      </x:c>
      <x:c r="L9142" s="0">
        <x:f>hyperlink("https://icat2.azurewebsites.net/icat/?ontology=ICD&amp;tab=ClassesTab&amp;id=http%3A%2F%2Fwho.int%2Ficd%234782_075b017b_ac4c_42d7_a31d_f6f14e3ba684","iCat")</x:f>
      </x:c>
      <x:c r="M9142" s="0" t="s">
        <x:v>21</x:v>
      </x:c>
      <x:c r="N9142" s="0" t="s">
        <x:v>46</x:v>
      </x:c>
    </x:row>
    <x:row r="9143" spans="1:16">
      <x:c r="A9143" s="0" t="s">
        <x:v>36436</x:v>
      </x:c>
      <x:c r="B9143" s="0" t="s">
        <x:v>36437</x:v>
      </x:c>
      <x:c r="C9143" s="0" t="s">
        <x:v>36438</x:v>
      </x:c>
      <x:c r="E9143" s="0" t="s">
        <x:v>36439</x:v>
      </x:c>
      <x:c r="F9143" s="0" t="s">
        <x:v>45</x:v>
      </x:c>
      <x:c r="G9143" s="0" t="s">
        <x:v>19</x:v>
      </x:c>
      <x:c r="H9143" s="0" t="s">
        <x:v>20</x:v>
      </x:c>
      <x:c r="I9143" s="0" t="s">
        <x:v>21</x:v>
      </x:c>
      <x:c r="K9143" s="0">
        <x:f>hyperlink("https://icd.who.int/dev11/l-ichi/en#/http%3A%2F%2Fid.who.int%2Ficd%2Fentity%2F230977622","browser")</x:f>
      </x:c>
      <x:c r="L9143" s="0">
        <x:f>hyperlink("https://icat2.azurewebsites.net/icat/?ontology=ICD&amp;tab=ClassesTab&amp;id=http%3A%2F%2Fwho.int%2Ficd%234788_075b017b_ac4c_42d7_a31d_f6f14e3ba684","iCat")</x:f>
      </x:c>
      <x:c r="M9143" s="0" t="s">
        <x:v>21</x:v>
      </x:c>
      <x:c r="N9143" s="0" t="s">
        <x:v>46</x:v>
      </x:c>
    </x:row>
    <x:row r="9144" spans="1:16">
      <x:c r="A9144" s="0" t="s">
        <x:v>36440</x:v>
      </x:c>
      <x:c r="B9144" s="0" t="s">
        <x:v>36441</x:v>
      </x:c>
      <x:c r="C9144" s="0" t="s">
        <x:v>36442</x:v>
      </x:c>
      <x:c r="E9144" s="0" t="s">
        <x:v>36443</x:v>
      </x:c>
      <x:c r="F9144" s="0" t="s">
        <x:v>45</x:v>
      </x:c>
      <x:c r="G9144" s="0" t="s">
        <x:v>19</x:v>
      </x:c>
      <x:c r="H9144" s="0" t="s">
        <x:v>20</x:v>
      </x:c>
      <x:c r="I9144" s="0" t="s">
        <x:v>21</x:v>
      </x:c>
      <x:c r="K9144" s="0">
        <x:f>hyperlink("https://icd.who.int/dev11/l-ichi/en#/http%3A%2F%2Fid.who.int%2Ficd%2Fentity%2F478629922","browser")</x:f>
      </x:c>
      <x:c r="L9144" s="0">
        <x:f>hyperlink("https://icat2.azurewebsites.net/icat/?ontology=ICD&amp;tab=ClassesTab&amp;id=http%3A%2F%2Fwho.int%2Ficd%234794_075b017b_ac4c_42d7_a31d_f6f14e3ba684","iCat")</x:f>
      </x:c>
      <x:c r="M9144" s="0" t="s">
        <x:v>21</x:v>
      </x:c>
      <x:c r="N9144" s="0" t="s">
        <x:v>46</x:v>
      </x:c>
    </x:row>
    <x:row r="9145" spans="1:16">
      <x:c r="A9145" s="0" t="s">
        <x:v>36444</x:v>
      </x:c>
      <x:c r="B9145" s="0" t="s">
        <x:v>36445</x:v>
      </x:c>
      <x:c r="C9145" s="0" t="s">
        <x:v>36446</x:v>
      </x:c>
      <x:c r="E9145" s="0" t="s">
        <x:v>36447</x:v>
      </x:c>
      <x:c r="F9145" s="0" t="s">
        <x:v>45</x:v>
      </x:c>
      <x:c r="G9145" s="0" t="s">
        <x:v>19</x:v>
      </x:c>
      <x:c r="H9145" s="0" t="s">
        <x:v>20</x:v>
      </x:c>
      <x:c r="I9145" s="0" t="s">
        <x:v>21</x:v>
      </x:c>
      <x:c r="K9145" s="0">
        <x:f>hyperlink("https://icd.who.int/dev11/l-ichi/en#/http%3A%2F%2Fid.who.int%2Ficd%2Fentity%2F708430019","browser")</x:f>
      </x:c>
      <x:c r="L9145" s="0">
        <x:f>hyperlink("https://icat2.azurewebsites.net/icat/?ontology=ICD&amp;tab=ClassesTab&amp;id=http%3A%2F%2Fwho.int%2Ficd%234800_075b017b_ac4c_42d7_a31d_f6f14e3ba684","iCat")</x:f>
      </x:c>
      <x:c r="M9145" s="0" t="s">
        <x:v>21</x:v>
      </x:c>
      <x:c r="N9145" s="0" t="s">
        <x:v>46</x:v>
      </x:c>
    </x:row>
    <x:row r="9146" spans="1:16">
      <x:c r="A9146" s="0" t="s">
        <x:v>36448</x:v>
      </x:c>
      <x:c r="B9146" s="0" t="s">
        <x:v>36449</x:v>
      </x:c>
      <x:c r="C9146" s="0" t="s">
        <x:v>36450</x:v>
      </x:c>
      <x:c r="E9146" s="0" t="s">
        <x:v>36451</x:v>
      </x:c>
      <x:c r="F9146" s="0" t="s">
        <x:v>45</x:v>
      </x:c>
      <x:c r="G9146" s="0" t="s">
        <x:v>19</x:v>
      </x:c>
      <x:c r="H9146" s="0" t="s">
        <x:v>20</x:v>
      </x:c>
      <x:c r="I9146" s="0" t="s">
        <x:v>21</x:v>
      </x:c>
      <x:c r="K9146" s="0">
        <x:f>hyperlink("https://icd.who.int/dev11/l-ichi/en#/http%3A%2F%2Fid.who.int%2Ficd%2Fentity%2F2051150194","browser")</x:f>
      </x:c>
      <x:c r="L9146" s="0">
        <x:f>hyperlink("https://icat2.azurewebsites.net/icat/?ontology=ICD&amp;tab=ClassesTab&amp;id=http%3A%2F%2Fwho.int%2Ficd%234806_075b017b_ac4c_42d7_a31d_f6f14e3ba684","iCat")</x:f>
      </x:c>
      <x:c r="M9146" s="0" t="s">
        <x:v>21</x:v>
      </x:c>
      <x:c r="N9146" s="0" t="s">
        <x:v>46</x:v>
      </x:c>
    </x:row>
    <x:row r="9147" spans="1:16">
      <x:c r="A9147" s="0" t="s">
        <x:v>36452</x:v>
      </x:c>
      <x:c r="B9147" s="0" t="s">
        <x:v>36453</x:v>
      </x:c>
      <x:c r="C9147" s="0" t="s">
        <x:v>36454</x:v>
      </x:c>
      <x:c r="E9147" s="0" t="s">
        <x:v>36455</x:v>
      </x:c>
      <x:c r="F9147" s="0" t="s">
        <x:v>45</x:v>
      </x:c>
      <x:c r="G9147" s="0" t="s">
        <x:v>19</x:v>
      </x:c>
      <x:c r="H9147" s="0" t="s">
        <x:v>20</x:v>
      </x:c>
      <x:c r="I9147" s="0" t="s">
        <x:v>21</x:v>
      </x:c>
      <x:c r="K9147" s="0">
        <x:f>hyperlink("https://icd.who.int/dev11/l-ichi/en#/http%3A%2F%2Fid.who.int%2Ficd%2Fentity%2F629162065","browser")</x:f>
      </x:c>
      <x:c r="L9147" s="0">
        <x:f>hyperlink("https://icat2.azurewebsites.net/icat/?ontology=ICD&amp;tab=ClassesTab&amp;id=http%3A%2F%2Fwho.int%2Ficd%234812_075b017b_ac4c_42d7_a31d_f6f14e3ba684","iCat")</x:f>
      </x:c>
      <x:c r="M9147" s="0" t="s">
        <x:v>21</x:v>
      </x:c>
      <x:c r="N9147" s="0" t="s">
        <x:v>46</x:v>
      </x:c>
    </x:row>
    <x:row r="9148" spans="1:16">
      <x:c r="A9148" s="0" t="s">
        <x:v>36456</x:v>
      </x:c>
      <x:c r="B9148" s="0" t="s">
        <x:v>36457</x:v>
      </x:c>
      <x:c r="C9148" s="0" t="s">
        <x:v>36458</x:v>
      </x:c>
      <x:c r="E9148" s="0" t="s">
        <x:v>36459</x:v>
      </x:c>
      <x:c r="F9148" s="0" t="s">
        <x:v>45</x:v>
      </x:c>
      <x:c r="G9148" s="0" t="s">
        <x:v>19</x:v>
      </x:c>
      <x:c r="H9148" s="0" t="s">
        <x:v>20</x:v>
      </x:c>
      <x:c r="I9148" s="0" t="s">
        <x:v>21</x:v>
      </x:c>
      <x:c r="K9148" s="0">
        <x:f>hyperlink("https://icd.who.int/dev11/l-ichi/en#/http%3A%2F%2Fid.who.int%2Ficd%2Fentity%2F243084481","browser")</x:f>
      </x:c>
      <x:c r="L9148" s="0">
        <x:f>hyperlink("https://icat2.azurewebsites.net/icat/?ontology=ICD&amp;tab=ClassesTab&amp;id=http%3A%2F%2Fwho.int%2Ficd%234818_075b017b_ac4c_42d7_a31d_f6f14e3ba684","iCat")</x:f>
      </x:c>
      <x:c r="M9148" s="0" t="s">
        <x:v>21</x:v>
      </x:c>
      <x:c r="N9148" s="0" t="s">
        <x:v>46</x:v>
      </x:c>
    </x:row>
    <x:row r="9149" spans="1:16">
      <x:c r="A9149" s="0" t="s">
        <x:v>36460</x:v>
      </x:c>
      <x:c r="B9149" s="0" t="s">
        <x:v>36461</x:v>
      </x:c>
      <x:c r="C9149" s="0" t="s">
        <x:v>36462</x:v>
      </x:c>
      <x:c r="E9149" s="0" t="s">
        <x:v>36463</x:v>
      </x:c>
      <x:c r="F9149" s="0" t="s">
        <x:v>45</x:v>
      </x:c>
      <x:c r="G9149" s="0" t="s">
        <x:v>19</x:v>
      </x:c>
      <x:c r="H9149" s="0" t="s">
        <x:v>20</x:v>
      </x:c>
      <x:c r="I9149" s="0" t="s">
        <x:v>21</x:v>
      </x:c>
      <x:c r="K9149" s="0">
        <x:f>hyperlink("https://icd.who.int/dev11/l-ichi/en#/http%3A%2F%2Fid.who.int%2Ficd%2Fentity%2F894097895","browser")</x:f>
      </x:c>
      <x:c r="L9149" s="0">
        <x:f>hyperlink("https://icat2.azurewebsites.net/icat/?ontology=ICD&amp;tab=ClassesTab&amp;id=http%3A%2F%2Fwho.int%2Ficd%234824_075b017b_ac4c_42d7_a31d_f6f14e3ba684","iCat")</x:f>
      </x:c>
      <x:c r="M9149" s="0" t="s">
        <x:v>21</x:v>
      </x:c>
      <x:c r="N9149" s="0" t="s">
        <x:v>46</x:v>
      </x:c>
    </x:row>
    <x:row r="9150" spans="1:16">
      <x:c r="A9150" s="0" t="s">
        <x:v>36464</x:v>
      </x:c>
      <x:c r="B9150" s="0" t="s">
        <x:v>36465</x:v>
      </x:c>
      <x:c r="C9150" s="0" t="s">
        <x:v>36466</x:v>
      </x:c>
      <x:c r="E9150" s="0" t="s">
        <x:v>36467</x:v>
      </x:c>
      <x:c r="F9150" s="0" t="s">
        <x:v>45</x:v>
      </x:c>
      <x:c r="G9150" s="0" t="s">
        <x:v>19</x:v>
      </x:c>
      <x:c r="H9150" s="0" t="s">
        <x:v>20</x:v>
      </x:c>
      <x:c r="I9150" s="0" t="s">
        <x:v>21</x:v>
      </x:c>
      <x:c r="K9150" s="0">
        <x:f>hyperlink("https://icd.who.int/dev11/l-ichi/en#/http%3A%2F%2Fid.who.int%2Ficd%2Fentity%2F1787332804","browser")</x:f>
      </x:c>
      <x:c r="L9150" s="0">
        <x:f>hyperlink("https://icat2.azurewebsites.net/icat/?ontology=ICD&amp;tab=ClassesTab&amp;id=http%3A%2F%2Fwho.int%2Ficd%234830_075b017b_ac4c_42d7_a31d_f6f14e3ba684","iCat")</x:f>
      </x:c>
      <x:c r="M9150" s="0" t="s">
        <x:v>21</x:v>
      </x:c>
      <x:c r="N9150" s="0" t="s">
        <x:v>46</x:v>
      </x:c>
    </x:row>
    <x:row r="9151" spans="1:16">
      <x:c r="A9151" s="0" t="s">
        <x:v>36468</x:v>
      </x:c>
      <x:c r="B9151" s="0" t="s">
        <x:v>36469</x:v>
      </x:c>
      <x:c r="C9151" s="0" t="s">
        <x:v>36470</x:v>
      </x:c>
      <x:c r="E9151" s="0" t="s">
        <x:v>36471</x:v>
      </x:c>
      <x:c r="F9151" s="0" t="s">
        <x:v>45</x:v>
      </x:c>
      <x:c r="G9151" s="0" t="s">
        <x:v>19</x:v>
      </x:c>
      <x:c r="H9151" s="0" t="s">
        <x:v>20</x:v>
      </x:c>
      <x:c r="I9151" s="0" t="s">
        <x:v>21</x:v>
      </x:c>
      <x:c r="K9151" s="0">
        <x:f>hyperlink("https://icd.who.int/dev11/l-ichi/en#/http%3A%2F%2Fid.who.int%2Ficd%2Fentity%2F989024629","browser")</x:f>
      </x:c>
      <x:c r="L9151" s="0">
        <x:f>hyperlink("https://icat2.azurewebsites.net/icat/?ontology=ICD&amp;tab=ClassesTab&amp;id=http%3A%2F%2Fwho.int%2Ficd%234836_075b017b_ac4c_42d7_a31d_f6f14e3ba684","iCat")</x:f>
      </x:c>
      <x:c r="M9151" s="0" t="s">
        <x:v>21</x:v>
      </x:c>
      <x:c r="N9151" s="0" t="s">
        <x:v>46</x:v>
      </x:c>
    </x:row>
    <x:row r="9152" spans="1:16">
      <x:c r="A9152" s="0" t="s">
        <x:v>36472</x:v>
      </x:c>
      <x:c r="B9152" s="0" t="s">
        <x:v>36473</x:v>
      </x:c>
      <x:c r="C9152" s="0" t="s">
        <x:v>36474</x:v>
      </x:c>
      <x:c r="E9152" s="0" t="s">
        <x:v>36475</x:v>
      </x:c>
      <x:c r="F9152" s="0" t="s">
        <x:v>45</x:v>
      </x:c>
      <x:c r="G9152" s="0" t="s">
        <x:v>19</x:v>
      </x:c>
      <x:c r="H9152" s="0" t="s">
        <x:v>20</x:v>
      </x:c>
      <x:c r="I9152" s="0" t="s">
        <x:v>21</x:v>
      </x:c>
      <x:c r="K9152" s="0">
        <x:f>hyperlink("https://icd.who.int/dev11/l-ichi/en#/http%3A%2F%2Fid.who.int%2Ficd%2Fentity%2F1059227163","browser")</x:f>
      </x:c>
      <x:c r="L9152" s="0">
        <x:f>hyperlink("https://icat2.azurewebsites.net/icat/?ontology=ICD&amp;tab=ClassesTab&amp;id=http%3A%2F%2Fwho.int%2Ficd%234842_075b017b_ac4c_42d7_a31d_f6f14e3ba684","iCat")</x:f>
      </x:c>
      <x:c r="M9152" s="0" t="s">
        <x:v>21</x:v>
      </x:c>
      <x:c r="N9152" s="0" t="s">
        <x:v>46</x:v>
      </x:c>
    </x:row>
    <x:row r="9153" spans="1:16">
      <x:c r="A9153" s="0" t="s">
        <x:v>36476</x:v>
      </x:c>
      <x:c r="B9153" s="0" t="s">
        <x:v>36477</x:v>
      </x:c>
      <x:c r="C9153" s="0" t="s">
        <x:v>36478</x:v>
      </x:c>
      <x:c r="E9153" s="0" t="s">
        <x:v>36479</x:v>
      </x:c>
      <x:c r="F9153" s="0" t="s">
        <x:v>45</x:v>
      </x:c>
      <x:c r="G9153" s="0" t="s">
        <x:v>19</x:v>
      </x:c>
      <x:c r="H9153" s="0" t="s">
        <x:v>20</x:v>
      </x:c>
      <x:c r="I9153" s="0" t="s">
        <x:v>21</x:v>
      </x:c>
      <x:c r="K9153" s="0">
        <x:f>hyperlink("https://icd.who.int/dev11/l-ichi/en#/http%3A%2F%2Fid.who.int%2Ficd%2Fentity%2F350218891","browser")</x:f>
      </x:c>
      <x:c r="L9153" s="0">
        <x:f>hyperlink("https://icat2.azurewebsites.net/icat/?ontology=ICD&amp;tab=ClassesTab&amp;id=http%3A%2F%2Fwho.int%2Ficd%234848_075b017b_ac4c_42d7_a31d_f6f14e3ba684","iCat")</x:f>
      </x:c>
      <x:c r="M9153" s="0" t="s">
        <x:v>21</x:v>
      </x:c>
      <x:c r="N9153" s="0" t="s">
        <x:v>46</x:v>
      </x:c>
    </x:row>
    <x:row r="9154" spans="1:16">
      <x:c r="A9154" s="0" t="s">
        <x:v>36480</x:v>
      </x:c>
      <x:c r="B9154" s="0" t="s">
        <x:v>36481</x:v>
      </x:c>
      <x:c r="C9154" s="0" t="s">
        <x:v>36482</x:v>
      </x:c>
      <x:c r="E9154" s="0" t="s">
        <x:v>36483</x:v>
      </x:c>
      <x:c r="F9154" s="0" t="s">
        <x:v>45</x:v>
      </x:c>
      <x:c r="G9154" s="0" t="s">
        <x:v>19</x:v>
      </x:c>
      <x:c r="H9154" s="0" t="s">
        <x:v>20</x:v>
      </x:c>
      <x:c r="I9154" s="0" t="s">
        <x:v>21</x:v>
      </x:c>
      <x:c r="K9154" s="0">
        <x:f>hyperlink("https://icd.who.int/dev11/l-ichi/en#/http%3A%2F%2Fid.who.int%2Ficd%2Fentity%2F94161661","browser")</x:f>
      </x:c>
      <x:c r="L9154" s="0">
        <x:f>hyperlink("https://icat2.azurewebsites.net/icat/?ontology=ICD&amp;tab=ClassesTab&amp;id=http%3A%2F%2Fwho.int%2Ficd%234854_075b017b_ac4c_42d7_a31d_f6f14e3ba684","iCat")</x:f>
      </x:c>
      <x:c r="M9154" s="0" t="s">
        <x:v>21</x:v>
      </x:c>
      <x:c r="N9154" s="0" t="s">
        <x:v>46</x:v>
      </x:c>
    </x:row>
    <x:row r="9155" spans="1:16">
      <x:c r="A9155" s="0" t="s">
        <x:v>36484</x:v>
      </x:c>
      <x:c r="B9155" s="0" t="s">
        <x:v>36485</x:v>
      </x:c>
      <x:c r="C9155" s="0" t="s">
        <x:v>36486</x:v>
      </x:c>
      <x:c r="E9155" s="0" t="s">
        <x:v>36487</x:v>
      </x:c>
      <x:c r="F9155" s="0" t="s">
        <x:v>45</x:v>
      </x:c>
      <x:c r="G9155" s="0" t="s">
        <x:v>19</x:v>
      </x:c>
      <x:c r="H9155" s="0" t="s">
        <x:v>20</x:v>
      </x:c>
      <x:c r="I9155" s="0" t="s">
        <x:v>21</x:v>
      </x:c>
      <x:c r="K9155" s="0">
        <x:f>hyperlink("https://icd.who.int/dev11/l-ichi/en#/http%3A%2F%2Fid.who.int%2Ficd%2Fentity%2F1881820814","browser")</x:f>
      </x:c>
      <x:c r="L9155" s="0">
        <x:f>hyperlink("https://icat2.azurewebsites.net/icat/?ontology=ICD&amp;tab=ClassesTab&amp;id=http%3A%2F%2Fwho.int%2Ficd%234860_075b017b_ac4c_42d7_a31d_f6f14e3ba684","iCat")</x:f>
      </x:c>
      <x:c r="M9155" s="0" t="s">
        <x:v>21</x:v>
      </x:c>
      <x:c r="N9155" s="0" t="s">
        <x:v>46</x:v>
      </x:c>
    </x:row>
    <x:row r="9156" spans="1:16">
      <x:c r="A9156" s="0" t="s">
        <x:v>36488</x:v>
      </x:c>
      <x:c r="B9156" s="0" t="s">
        <x:v>36489</x:v>
      </x:c>
      <x:c r="C9156" s="0" t="s">
        <x:v>36490</x:v>
      </x:c>
      <x:c r="E9156" s="0" t="s">
        <x:v>36491</x:v>
      </x:c>
      <x:c r="F9156" s="0" t="s">
        <x:v>45</x:v>
      </x:c>
      <x:c r="G9156" s="0" t="s">
        <x:v>19</x:v>
      </x:c>
      <x:c r="H9156" s="0" t="s">
        <x:v>20</x:v>
      </x:c>
      <x:c r="I9156" s="0" t="s">
        <x:v>21</x:v>
      </x:c>
      <x:c r="K9156" s="0">
        <x:f>hyperlink("https://icd.who.int/dev11/l-ichi/en#/http%3A%2F%2Fid.who.int%2Ficd%2Fentity%2F542218047","browser")</x:f>
      </x:c>
      <x:c r="L9156" s="0">
        <x:f>hyperlink("https://icat2.azurewebsites.net/icat/?ontology=ICD&amp;tab=ClassesTab&amp;id=http%3A%2F%2Fwho.int%2Ficd%234866_075b017b_ac4c_42d7_a31d_f6f14e3ba684","iCat")</x:f>
      </x:c>
      <x:c r="M9156" s="0" t="s">
        <x:v>21</x:v>
      </x:c>
      <x:c r="N9156" s="0" t="s">
        <x:v>46</x:v>
      </x:c>
    </x:row>
    <x:row r="9157" spans="1:16">
      <x:c r="A9157" s="0" t="s">
        <x:v>36492</x:v>
      </x:c>
      <x:c r="B9157" s="0" t="s">
        <x:v>36493</x:v>
      </x:c>
      <x:c r="C9157" s="0" t="s">
        <x:v>36494</x:v>
      </x:c>
      <x:c r="E9157" s="0" t="s">
        <x:v>36495</x:v>
      </x:c>
      <x:c r="F9157" s="0" t="s">
        <x:v>45</x:v>
      </x:c>
      <x:c r="G9157" s="0" t="s">
        <x:v>19</x:v>
      </x:c>
      <x:c r="H9157" s="0" t="s">
        <x:v>20</x:v>
      </x:c>
      <x:c r="I9157" s="0" t="s">
        <x:v>21</x:v>
      </x:c>
      <x:c r="K9157" s="0">
        <x:f>hyperlink("https://icd.who.int/dev11/l-ichi/en#/http%3A%2F%2Fid.who.int%2Ficd%2Fentity%2F2140390940","browser")</x:f>
      </x:c>
      <x:c r="L9157" s="0">
        <x:f>hyperlink("https://icat2.azurewebsites.net/icat/?ontology=ICD&amp;tab=ClassesTab&amp;id=http%3A%2F%2Fwho.int%2Ficd%234872_075b017b_ac4c_42d7_a31d_f6f14e3ba684","iCat")</x:f>
      </x:c>
      <x:c r="M9157" s="0" t="s">
        <x:v>21</x:v>
      </x:c>
      <x:c r="N9157" s="0" t="s">
        <x:v>46</x:v>
      </x:c>
    </x:row>
    <x:row r="9158" spans="1:16">
      <x:c r="A9158" s="0" t="s">
        <x:v>36496</x:v>
      </x:c>
      <x:c r="B9158" s="0" t="s">
        <x:v>36497</x:v>
      </x:c>
      <x:c r="C9158" s="0" t="s">
        <x:v>36498</x:v>
      </x:c>
      <x:c r="E9158" s="0" t="s">
        <x:v>36499</x:v>
      </x:c>
      <x:c r="F9158" s="0" t="s">
        <x:v>45</x:v>
      </x:c>
      <x:c r="G9158" s="0" t="s">
        <x:v>19</x:v>
      </x:c>
      <x:c r="H9158" s="0" t="s">
        <x:v>20</x:v>
      </x:c>
      <x:c r="I9158" s="0" t="s">
        <x:v>21</x:v>
      </x:c>
      <x:c r="K9158" s="0">
        <x:f>hyperlink("https://icd.who.int/dev11/l-ichi/en#/http%3A%2F%2Fid.who.int%2Ficd%2Fentity%2F1416538764","browser")</x:f>
      </x:c>
      <x:c r="L9158" s="0">
        <x:f>hyperlink("https://icat2.azurewebsites.net/icat/?ontology=ICD&amp;tab=ClassesTab&amp;id=http%3A%2F%2Fwho.int%2Ficd%234878_075b017b_ac4c_42d7_a31d_f6f14e3ba684","iCat")</x:f>
      </x:c>
      <x:c r="M9158" s="0" t="s">
        <x:v>21</x:v>
      </x:c>
      <x:c r="N9158" s="0" t="s">
        <x:v>46</x:v>
      </x:c>
    </x:row>
    <x:row r="9159" spans="1:16">
      <x:c r="A9159" s="0" t="s">
        <x:v>36500</x:v>
      </x:c>
      <x:c r="B9159" s="0" t="s">
        <x:v>36501</x:v>
      </x:c>
      <x:c r="C9159" s="0" t="s">
        <x:v>36502</x:v>
      </x:c>
      <x:c r="E9159" s="0" t="s">
        <x:v>36503</x:v>
      </x:c>
      <x:c r="F9159" s="0" t="s">
        <x:v>45</x:v>
      </x:c>
      <x:c r="G9159" s="0" t="s">
        <x:v>19</x:v>
      </x:c>
      <x:c r="H9159" s="0" t="s">
        <x:v>20</x:v>
      </x:c>
      <x:c r="I9159" s="0" t="s">
        <x:v>21</x:v>
      </x:c>
      <x:c r="K9159" s="0">
        <x:f>hyperlink("https://icd.who.int/dev11/l-ichi/en#/http%3A%2F%2Fid.who.int%2Ficd%2Fentity%2F1004915","browser")</x:f>
      </x:c>
      <x:c r="L9159" s="0">
        <x:f>hyperlink("https://icat2.azurewebsites.net/icat/?ontology=ICD&amp;tab=ClassesTab&amp;id=http%3A%2F%2Fwho.int%2Ficd%234884_075b017b_ac4c_42d7_a31d_f6f14e3ba684","iCat")</x:f>
      </x:c>
      <x:c r="M9159" s="0" t="s">
        <x:v>21</x:v>
      </x:c>
      <x:c r="N9159" s="0" t="s">
        <x:v>46</x:v>
      </x:c>
    </x:row>
    <x:row r="9160" spans="1:16">
      <x:c r="A9160" s="0" t="s">
        <x:v>36504</x:v>
      </x:c>
      <x:c r="B9160" s="0" t="s">
        <x:v>36505</x:v>
      </x:c>
      <x:c r="C9160" s="0" t="s">
        <x:v>36506</x:v>
      </x:c>
      <x:c r="E9160" s="0" t="s">
        <x:v>36507</x:v>
      </x:c>
      <x:c r="F9160" s="0" t="s">
        <x:v>45</x:v>
      </x:c>
      <x:c r="G9160" s="0" t="s">
        <x:v>19</x:v>
      </x:c>
      <x:c r="H9160" s="0" t="s">
        <x:v>20</x:v>
      </x:c>
      <x:c r="I9160" s="0" t="s">
        <x:v>21</x:v>
      </x:c>
      <x:c r="K9160" s="0">
        <x:f>hyperlink("https://icd.who.int/dev11/l-ichi/en#/http%3A%2F%2Fid.who.int%2Ficd%2Fentity%2F1607271504","browser")</x:f>
      </x:c>
      <x:c r="L9160" s="0">
        <x:f>hyperlink("https://icat2.azurewebsites.net/icat/?ontology=ICD&amp;tab=ClassesTab&amp;id=http%3A%2F%2Fwho.int%2Ficd%234890_075b017b_ac4c_42d7_a31d_f6f14e3ba684","iCat")</x:f>
      </x:c>
      <x:c r="M9160" s="0" t="s">
        <x:v>21</x:v>
      </x:c>
      <x:c r="N9160" s="0" t="s">
        <x:v>46</x:v>
      </x:c>
    </x:row>
    <x:row r="9161" spans="1:16">
      <x:c r="A9161" s="0" t="s">
        <x:v>36508</x:v>
      </x:c>
      <x:c r="B9161" s="0" t="s">
        <x:v>36509</x:v>
      </x:c>
      <x:c r="C9161" s="0" t="s">
        <x:v>36510</x:v>
      </x:c>
      <x:c r="E9161" s="0" t="s">
        <x:v>36511</x:v>
      </x:c>
      <x:c r="F9161" s="0" t="s">
        <x:v>45</x:v>
      </x:c>
      <x:c r="G9161" s="0" t="s">
        <x:v>19</x:v>
      </x:c>
      <x:c r="H9161" s="0" t="s">
        <x:v>20</x:v>
      </x:c>
      <x:c r="I9161" s="0" t="s">
        <x:v>21</x:v>
      </x:c>
      <x:c r="K9161" s="0">
        <x:f>hyperlink("https://icd.who.int/dev11/l-ichi/en#/http%3A%2F%2Fid.who.int%2Ficd%2Fentity%2F263642593","browser")</x:f>
      </x:c>
      <x:c r="L9161" s="0">
        <x:f>hyperlink("https://icat2.azurewebsites.net/icat/?ontology=ICD&amp;tab=ClassesTab&amp;id=http%3A%2F%2Fwho.int%2Ficd%234896_075b017b_ac4c_42d7_a31d_f6f14e3ba684","iCat")</x:f>
      </x:c>
      <x:c r="M9161" s="0" t="s">
        <x:v>21</x:v>
      </x:c>
      <x:c r="N9161" s="0" t="s">
        <x:v>46</x:v>
      </x:c>
    </x:row>
    <x:row r="9162" spans="1:16">
      <x:c r="A9162" s="0" t="s">
        <x:v>36512</x:v>
      </x:c>
      <x:c r="B9162" s="0" t="s">
        <x:v>36513</x:v>
      </x:c>
      <x:c r="C9162" s="0" t="s">
        <x:v>36514</x:v>
      </x:c>
      <x:c r="E9162" s="0" t="s">
        <x:v>36515</x:v>
      </x:c>
      <x:c r="F9162" s="0" t="s">
        <x:v>45</x:v>
      </x:c>
      <x:c r="G9162" s="0" t="s">
        <x:v>19</x:v>
      </x:c>
      <x:c r="H9162" s="0" t="s">
        <x:v>20</x:v>
      </x:c>
      <x:c r="I9162" s="0" t="s">
        <x:v>21</x:v>
      </x:c>
      <x:c r="K9162" s="0">
        <x:f>hyperlink("https://icd.who.int/dev11/l-ichi/en#/http%3A%2F%2Fid.who.int%2Ficd%2Fentity%2F987370395","browser")</x:f>
      </x:c>
      <x:c r="L9162" s="0">
        <x:f>hyperlink("https://icat2.azurewebsites.net/icat/?ontology=ICD&amp;tab=ClassesTab&amp;id=http%3A%2F%2Fwho.int%2Ficd%234902_075b017b_ac4c_42d7_a31d_f6f14e3ba684","iCat")</x:f>
      </x:c>
      <x:c r="M9162" s="0" t="s">
        <x:v>21</x:v>
      </x:c>
      <x:c r="N9162" s="0" t="s">
        <x:v>46</x:v>
      </x:c>
    </x:row>
    <x:row r="9163" spans="1:16">
      <x:c r="A9163" s="0" t="s">
        <x:v>36516</x:v>
      </x:c>
      <x:c r="B9163" s="0" t="s">
        <x:v>36517</x:v>
      </x:c>
      <x:c r="C9163" s="0" t="s">
        <x:v>36518</x:v>
      </x:c>
      <x:c r="E9163" s="0" t="s">
        <x:v>36519</x:v>
      </x:c>
      <x:c r="F9163" s="0" t="s">
        <x:v>45</x:v>
      </x:c>
      <x:c r="G9163" s="0" t="s">
        <x:v>19</x:v>
      </x:c>
      <x:c r="H9163" s="0" t="s">
        <x:v>20</x:v>
      </x:c>
      <x:c r="I9163" s="0" t="s">
        <x:v>21</x:v>
      </x:c>
      <x:c r="K9163" s="0">
        <x:f>hyperlink("https://icd.who.int/dev11/l-ichi/en#/http%3A%2F%2Fid.who.int%2Ficd%2Fentity%2F575248870","browser")</x:f>
      </x:c>
      <x:c r="L9163" s="0">
        <x:f>hyperlink("https://icat2.azurewebsites.net/icat/?ontology=ICD&amp;tab=ClassesTab&amp;id=http%3A%2F%2Fwho.int%2Ficd%2348163_512ebf36_bf6b_4d70_85da_cf2637062af4","iCat")</x:f>
      </x:c>
      <x:c r="M9163" s="0" t="s">
        <x:v>21</x:v>
      </x:c>
      <x:c r="N9163" s="0" t="s">
        <x:v>46</x:v>
      </x:c>
    </x:row>
    <x:row r="9164" spans="1:16">
      <x:c r="A9164" s="0" t="s">
        <x:v>36520</x:v>
      </x:c>
      <x:c r="B9164" s="0" t="s">
        <x:v>36521</x:v>
      </x:c>
      <x:c r="C9164" s="0" t="s">
        <x:v>36522</x:v>
      </x:c>
      <x:c r="E9164" s="0" t="s">
        <x:v>36523</x:v>
      </x:c>
      <x:c r="F9164" s="0" t="s">
        <x:v>45</x:v>
      </x:c>
      <x:c r="G9164" s="0" t="s">
        <x:v>19</x:v>
      </x:c>
      <x:c r="H9164" s="0" t="s">
        <x:v>20</x:v>
      </x:c>
      <x:c r="I9164" s="0" t="s">
        <x:v>21</x:v>
      </x:c>
      <x:c r="K9164" s="0">
        <x:f>hyperlink("https://icd.who.int/dev11/l-ichi/en#/http%3A%2F%2Fid.who.int%2Ficd%2Fentity%2F949235583","browser")</x:f>
      </x:c>
      <x:c r="L9164" s="0">
        <x:f>hyperlink("https://icat2.azurewebsites.net/icat/?ontology=ICD&amp;tab=ClassesTab&amp;id=http%3A%2F%2Fwho.int%2Ficd%235301_075b017b_ac4c_42d7_a31d_f6f14e3ba684","iCat")</x:f>
      </x:c>
      <x:c r="M9164" s="0" t="s">
        <x:v>21</x:v>
      </x:c>
      <x:c r="N9164" s="0" t="s">
        <x:v>46</x:v>
      </x:c>
    </x:row>
    <x:row r="9165" spans="1:16">
      <x:c r="A9165" s="0" t="s">
        <x:v>36524</x:v>
      </x:c>
      <x:c r="B9165" s="0" t="s">
        <x:v>36525</x:v>
      </x:c>
      <x:c r="C9165" s="0" t="s">
        <x:v>36526</x:v>
      </x:c>
      <x:c r="E9165" s="0" t="s">
        <x:v>36527</x:v>
      </x:c>
      <x:c r="F9165" s="0" t="s">
        <x:v>45</x:v>
      </x:c>
      <x:c r="G9165" s="0" t="s">
        <x:v>19</x:v>
      </x:c>
      <x:c r="H9165" s="0" t="s">
        <x:v>20</x:v>
      </x:c>
      <x:c r="I9165" s="0" t="s">
        <x:v>21</x:v>
      </x:c>
      <x:c r="K9165" s="0">
        <x:f>hyperlink("https://icd.who.int/dev11/l-ichi/en#/http%3A%2F%2Fid.who.int%2Ficd%2Fentity%2F218719050","browser")</x:f>
      </x:c>
      <x:c r="L9165" s="0">
        <x:f>hyperlink("https://icat2.azurewebsites.net/icat/?ontology=ICD&amp;tab=ClassesTab&amp;id=http%3A%2F%2Fwho.int%2Ficd%2348170_512ebf36_bf6b_4d70_85da_cf2637062af4","iCat")</x:f>
      </x:c>
      <x:c r="M9165" s="0" t="s">
        <x:v>21</x:v>
      </x:c>
      <x:c r="N9165" s="0" t="s">
        <x:v>46</x:v>
      </x:c>
    </x:row>
    <x:row r="9166" spans="1:16">
      <x:c r="A9166" s="0" t="s">
        <x:v>36528</x:v>
      </x:c>
      <x:c r="B9166" s="0" t="s">
        <x:v>36529</x:v>
      </x:c>
      <x:c r="C9166" s="0" t="s">
        <x:v>36530</x:v>
      </x:c>
      <x:c r="E9166" s="0" t="s">
        <x:v>36531</x:v>
      </x:c>
      <x:c r="F9166" s="0" t="s">
        <x:v>45</x:v>
      </x:c>
      <x:c r="G9166" s="0" t="s">
        <x:v>19</x:v>
      </x:c>
      <x:c r="H9166" s="0" t="s">
        <x:v>20</x:v>
      </x:c>
      <x:c r="I9166" s="0" t="s">
        <x:v>21</x:v>
      </x:c>
      <x:c r="K9166" s="0">
        <x:f>hyperlink("https://icd.who.int/dev11/l-ichi/en#/http%3A%2F%2Fid.who.int%2Ficd%2Fentity%2F2106312903","browser")</x:f>
      </x:c>
      <x:c r="L9166" s="0">
        <x:f>hyperlink("https://icat2.azurewebsites.net/icat/?ontology=ICD&amp;tab=ClassesTab&amp;id=http%3A%2F%2Fwho.int%2Ficd%2348177_512ebf36_bf6b_4d70_85da_cf2637062af4","iCat")</x:f>
      </x:c>
      <x:c r="M9166" s="0" t="s">
        <x:v>21</x:v>
      </x:c>
      <x:c r="N9166" s="0" t="s">
        <x:v>46</x:v>
      </x:c>
    </x:row>
    <x:row r="9167" spans="1:16">
      <x:c r="A9167" s="0" t="s">
        <x:v>36532</x:v>
      </x:c>
      <x:c r="B9167" s="0" t="s">
        <x:v>36533</x:v>
      </x:c>
      <x:c r="C9167" s="0" t="s">
        <x:v>36534</x:v>
      </x:c>
      <x:c r="E9167" s="0" t="s">
        <x:v>36535</x:v>
      </x:c>
      <x:c r="F9167" s="0" t="s">
        <x:v>45</x:v>
      </x:c>
      <x:c r="G9167" s="0" t="s">
        <x:v>19</x:v>
      </x:c>
      <x:c r="H9167" s="0" t="s">
        <x:v>20</x:v>
      </x:c>
      <x:c r="I9167" s="0" t="s">
        <x:v>21</x:v>
      </x:c>
      <x:c r="K9167" s="0">
        <x:f>hyperlink("https://icd.who.int/dev11/l-ichi/en#/http%3A%2F%2Fid.who.int%2Ficd%2Fentity%2F1760556752","browser")</x:f>
      </x:c>
      <x:c r="L9167" s="0">
        <x:f>hyperlink("https://icat2.azurewebsites.net/icat/?ontology=ICD&amp;tab=ClassesTab&amp;id=http%3A%2F%2Fwho.int%2Ficd%235307_075b017b_ac4c_42d7_a31d_f6f14e3ba684","iCat")</x:f>
      </x:c>
      <x:c r="M9167" s="0" t="s">
        <x:v>21</x:v>
      </x:c>
      <x:c r="N9167" s="0" t="s">
        <x:v>46</x:v>
      </x:c>
    </x:row>
    <x:row r="9168" spans="1:16">
      <x:c r="A9168" s="0" t="s">
        <x:v>36536</x:v>
      </x:c>
      <x:c r="B9168" s="0" t="s">
        <x:v>36537</x:v>
      </x:c>
      <x:c r="C9168" s="0" t="s">
        <x:v>36538</x:v>
      </x:c>
      <x:c r="E9168" s="0" t="s">
        <x:v>36539</x:v>
      </x:c>
      <x:c r="F9168" s="0" t="s">
        <x:v>45</x:v>
      </x:c>
      <x:c r="G9168" s="0" t="s">
        <x:v>19</x:v>
      </x:c>
      <x:c r="H9168" s="0" t="s">
        <x:v>20</x:v>
      </x:c>
      <x:c r="I9168" s="0" t="s">
        <x:v>21</x:v>
      </x:c>
      <x:c r="K9168" s="0">
        <x:f>hyperlink("https://icd.who.int/dev11/l-ichi/en#/http%3A%2F%2Fid.who.int%2Ficd%2Fentity%2F925738989","browser")</x:f>
      </x:c>
      <x:c r="L9168" s="0">
        <x:f>hyperlink("https://icat2.azurewebsites.net/icat/?ontology=ICD&amp;tab=ClassesTab&amp;id=http%3A%2F%2Fwho.int%2Ficd%235313_075b017b_ac4c_42d7_a31d_f6f14e3ba684","iCat")</x:f>
      </x:c>
      <x:c r="M9168" s="0" t="s">
        <x:v>21</x:v>
      </x:c>
      <x:c r="N9168" s="0" t="s">
        <x:v>46</x:v>
      </x:c>
    </x:row>
    <x:row r="9169" spans="1:16">
      <x:c r="A9169" s="0" t="s">
        <x:v>36540</x:v>
      </x:c>
      <x:c r="B9169" s="0" t="s">
        <x:v>36541</x:v>
      </x:c>
      <x:c r="C9169" s="0" t="s">
        <x:v>36542</x:v>
      </x:c>
      <x:c r="E9169" s="0" t="s">
        <x:v>36543</x:v>
      </x:c>
      <x:c r="F9169" s="0" t="s">
        <x:v>45</x:v>
      </x:c>
      <x:c r="G9169" s="0" t="s">
        <x:v>19</x:v>
      </x:c>
      <x:c r="H9169" s="0" t="s">
        <x:v>20</x:v>
      </x:c>
      <x:c r="I9169" s="0" t="s">
        <x:v>21</x:v>
      </x:c>
      <x:c r="K9169" s="0">
        <x:f>hyperlink("https://icd.who.int/dev11/l-ichi/en#/http%3A%2F%2Fid.who.int%2Ficd%2Fentity%2F2026997523","browser")</x:f>
      </x:c>
      <x:c r="L9169" s="0">
        <x:f>hyperlink("https://icat2.azurewebsites.net/icat/?ontology=ICD&amp;tab=ClassesTab&amp;id=http%3A%2F%2Fwho.int%2Ficd%2314284_4869915e_217e_423d_acb3_33c0f920ef4b","iCat")</x:f>
      </x:c>
      <x:c r="M9169" s="0" t="s">
        <x:v>21</x:v>
      </x:c>
      <x:c r="N9169" s="0" t="s">
        <x:v>46</x:v>
      </x:c>
    </x:row>
    <x:row r="9170" spans="1:16">
      <x:c r="A9170" s="0" t="s">
        <x:v>36544</x:v>
      </x:c>
      <x:c r="B9170" s="0" t="s">
        <x:v>36545</x:v>
      </x:c>
      <x:c r="C9170" s="0" t="s">
        <x:v>36546</x:v>
      </x:c>
      <x:c r="E9170" s="0" t="s">
        <x:v>36547</x:v>
      </x:c>
      <x:c r="F9170" s="0" t="s">
        <x:v>45</x:v>
      </x:c>
      <x:c r="G9170" s="0" t="s">
        <x:v>19</x:v>
      </x:c>
      <x:c r="H9170" s="0" t="s">
        <x:v>20</x:v>
      </x:c>
      <x:c r="I9170" s="0" t="s">
        <x:v>21</x:v>
      </x:c>
      <x:c r="K9170" s="0">
        <x:f>hyperlink("https://icd.who.int/dev11/l-ichi/en#/http%3A%2F%2Fid.who.int%2Ficd%2Fentity%2F483445629","browser")</x:f>
      </x:c>
      <x:c r="L9170" s="0">
        <x:f>hyperlink("https://icat2.azurewebsites.net/icat/?ontology=ICD&amp;tab=ClassesTab&amp;id=http%3A%2F%2Fwho.int%2Ficd%235319_075b017b_ac4c_42d7_a31d_f6f14e3ba684","iCat")</x:f>
      </x:c>
      <x:c r="M9170" s="0" t="s">
        <x:v>21</x:v>
      </x:c>
      <x:c r="N9170" s="0" t="s">
        <x:v>46</x:v>
      </x:c>
    </x:row>
    <x:row r="9171" spans="1:16">
      <x:c r="A9171" s="0" t="s">
        <x:v>36548</x:v>
      </x:c>
      <x:c r="B9171" s="0" t="s">
        <x:v>36549</x:v>
      </x:c>
      <x:c r="C9171" s="0" t="s">
        <x:v>36550</x:v>
      </x:c>
      <x:c r="E9171" s="0" t="s">
        <x:v>36551</x:v>
      </x:c>
      <x:c r="F9171" s="0" t="s">
        <x:v>45</x:v>
      </x:c>
      <x:c r="G9171" s="0" t="s">
        <x:v>19</x:v>
      </x:c>
      <x:c r="H9171" s="0" t="s">
        <x:v>20</x:v>
      </x:c>
      <x:c r="I9171" s="0" t="s">
        <x:v>21</x:v>
      </x:c>
      <x:c r="K9171" s="0">
        <x:f>hyperlink("https://icd.who.int/dev11/l-ichi/en#/http%3A%2F%2Fid.who.int%2Ficd%2Fentity%2F669466203","browser")</x:f>
      </x:c>
      <x:c r="L9171" s="0">
        <x:f>hyperlink("https://icat2.azurewebsites.net/icat/?ontology=ICD&amp;tab=ClassesTab&amp;id=http%3A%2F%2Fwho.int%2Ficd%235325_075b017b_ac4c_42d7_a31d_f6f14e3ba684","iCat")</x:f>
      </x:c>
      <x:c r="M9171" s="0" t="s">
        <x:v>21</x:v>
      </x:c>
      <x:c r="N9171" s="0" t="s">
        <x:v>46</x:v>
      </x:c>
    </x:row>
    <x:row r="9172" spans="1:16">
      <x:c r="A9172" s="0" t="s">
        <x:v>36552</x:v>
      </x:c>
      <x:c r="B9172" s="0" t="s">
        <x:v>36553</x:v>
      </x:c>
      <x:c r="C9172" s="0" t="s">
        <x:v>36554</x:v>
      </x:c>
      <x:c r="E9172" s="0" t="s">
        <x:v>36555</x:v>
      </x:c>
      <x:c r="F9172" s="0" t="s">
        <x:v>45</x:v>
      </x:c>
      <x:c r="G9172" s="0" t="s">
        <x:v>19</x:v>
      </x:c>
      <x:c r="H9172" s="0" t="s">
        <x:v>20</x:v>
      </x:c>
      <x:c r="I9172" s="0" t="s">
        <x:v>21</x:v>
      </x:c>
      <x:c r="K9172" s="0">
        <x:f>hyperlink("https://icd.who.int/dev11/l-ichi/en#/http%3A%2F%2Fid.who.int%2Ficd%2Fentity%2F2015719290","browser")</x:f>
      </x:c>
      <x:c r="L9172" s="0">
        <x:f>hyperlink("https://icat2.azurewebsites.net/icat/?ontology=ICD&amp;tab=ClassesTab&amp;id=http%3A%2F%2Fwho.int%2Ficd%235331_075b017b_ac4c_42d7_a31d_f6f14e3ba684","iCat")</x:f>
      </x:c>
      <x:c r="M9172" s="0" t="s">
        <x:v>21</x:v>
      </x:c>
      <x:c r="N9172" s="0" t="s">
        <x:v>46</x:v>
      </x:c>
    </x:row>
    <x:row r="9173" spans="1:16">
      <x:c r="A9173" s="0" t="s">
        <x:v>36556</x:v>
      </x:c>
      <x:c r="B9173" s="0" t="s">
        <x:v>36557</x:v>
      </x:c>
      <x:c r="C9173" s="0" t="s">
        <x:v>36558</x:v>
      </x:c>
      <x:c r="E9173" s="0" t="s">
        <x:v>36559</x:v>
      </x:c>
      <x:c r="F9173" s="0" t="s">
        <x:v>45</x:v>
      </x:c>
      <x:c r="G9173" s="0" t="s">
        <x:v>19</x:v>
      </x:c>
      <x:c r="H9173" s="0" t="s">
        <x:v>20</x:v>
      </x:c>
      <x:c r="I9173" s="0" t="s">
        <x:v>21</x:v>
      </x:c>
      <x:c r="K9173" s="0">
        <x:f>hyperlink("https://icd.who.int/dev11/l-ichi/en#/http%3A%2F%2Fid.who.int%2Ficd%2Fentity%2F677295817","browser")</x:f>
      </x:c>
      <x:c r="L9173" s="0">
        <x:f>hyperlink("https://icat2.azurewebsites.net/icat/?ontology=ICD&amp;tab=ClassesTab&amp;id=http%3A%2F%2Fwho.int%2Ficd%235337_075b017b_ac4c_42d7_a31d_f6f14e3ba684","iCat")</x:f>
      </x:c>
      <x:c r="M9173" s="0" t="s">
        <x:v>21</x:v>
      </x:c>
      <x:c r="N9173" s="0" t="s">
        <x:v>46</x:v>
      </x:c>
    </x:row>
    <x:row r="9174" spans="1:16">
      <x:c r="A9174" s="0" t="s">
        <x:v>36560</x:v>
      </x:c>
      <x:c r="B9174" s="0" t="s">
        <x:v>36561</x:v>
      </x:c>
      <x:c r="C9174" s="0" t="s">
        <x:v>36562</x:v>
      </x:c>
      <x:c r="E9174" s="0" t="s">
        <x:v>36563</x:v>
      </x:c>
      <x:c r="F9174" s="0" t="s">
        <x:v>45</x:v>
      </x:c>
      <x:c r="G9174" s="0" t="s">
        <x:v>19</x:v>
      </x:c>
      <x:c r="H9174" s="0" t="s">
        <x:v>20</x:v>
      </x:c>
      <x:c r="I9174" s="0" t="s">
        <x:v>21</x:v>
      </x:c>
      <x:c r="K9174" s="0">
        <x:f>hyperlink("https://icd.who.int/dev11/l-ichi/en#/http%3A%2F%2Fid.who.int%2Ficd%2Fentity%2F764371367","browser")</x:f>
      </x:c>
      <x:c r="L9174" s="0">
        <x:f>hyperlink("https://icat2.azurewebsites.net/icat/?ontology=ICD&amp;tab=ClassesTab&amp;id=http%3A%2F%2Fwho.int%2Ficd%235343_075b017b_ac4c_42d7_a31d_f6f14e3ba684","iCat")</x:f>
      </x:c>
      <x:c r="M9174" s="0" t="s">
        <x:v>21</x:v>
      </x:c>
      <x:c r="N9174" s="0" t="s">
        <x:v>46</x:v>
      </x:c>
    </x:row>
    <x:row r="9175" spans="1:16">
      <x:c r="A9175" s="0" t="s">
        <x:v>36564</x:v>
      </x:c>
      <x:c r="B9175" s="0" t="s">
        <x:v>36565</x:v>
      </x:c>
      <x:c r="C9175" s="0" t="s">
        <x:v>36566</x:v>
      </x:c>
      <x:c r="E9175" s="0" t="s">
        <x:v>36567</x:v>
      </x:c>
      <x:c r="F9175" s="0" t="s">
        <x:v>45</x:v>
      </x:c>
      <x:c r="G9175" s="0" t="s">
        <x:v>19</x:v>
      </x:c>
      <x:c r="H9175" s="0" t="s">
        <x:v>20</x:v>
      </x:c>
      <x:c r="I9175" s="0" t="s">
        <x:v>21</x:v>
      </x:c>
      <x:c r="K9175" s="0">
        <x:f>hyperlink("https://icd.who.int/dev11/l-ichi/en#/http%3A%2F%2Fid.who.int%2Ficd%2Fentity%2F108137783","browser")</x:f>
      </x:c>
      <x:c r="L9175" s="0">
        <x:f>hyperlink("https://icat2.azurewebsites.net/icat/?ontology=ICD&amp;tab=ClassesTab&amp;id=http%3A%2F%2Fwho.int%2Ficd%235349_075b017b_ac4c_42d7_a31d_f6f14e3ba684","iCat")</x:f>
      </x:c>
      <x:c r="M9175" s="0" t="s">
        <x:v>21</x:v>
      </x:c>
      <x:c r="N9175" s="0" t="s">
        <x:v>46</x:v>
      </x:c>
    </x:row>
    <x:row r="9176" spans="1:16">
      <x:c r="A9176" s="0" t="s">
        <x:v>36568</x:v>
      </x:c>
      <x:c r="B9176" s="0" t="s">
        <x:v>36569</x:v>
      </x:c>
      <x:c r="C9176" s="0" t="s">
        <x:v>36570</x:v>
      </x:c>
      <x:c r="E9176" s="0" t="s">
        <x:v>36571</x:v>
      </x:c>
      <x:c r="F9176" s="0" t="s">
        <x:v>45</x:v>
      </x:c>
      <x:c r="G9176" s="0" t="s">
        <x:v>19</x:v>
      </x:c>
      <x:c r="H9176" s="0" t="s">
        <x:v>20</x:v>
      </x:c>
      <x:c r="I9176" s="0" t="s">
        <x:v>21</x:v>
      </x:c>
      <x:c r="K9176" s="0">
        <x:f>hyperlink("https://icd.who.int/dev11/l-ichi/en#/http%3A%2F%2Fid.who.int%2Ficd%2Fentity%2F389098817","browser")</x:f>
      </x:c>
      <x:c r="L9176" s="0">
        <x:f>hyperlink("https://icat2.azurewebsites.net/icat/?ontology=ICD&amp;tab=ClassesTab&amp;id=http%3A%2F%2Fwho.int%2Ficd%235355_075b017b_ac4c_42d7_a31d_f6f14e3ba684","iCat")</x:f>
      </x:c>
      <x:c r="M9176" s="0" t="s">
        <x:v>21</x:v>
      </x:c>
      <x:c r="N9176" s="0" t="s">
        <x:v>46</x:v>
      </x:c>
    </x:row>
    <x:row r="9177" spans="1:16">
      <x:c r="A9177" s="0" t="s">
        <x:v>36572</x:v>
      </x:c>
      <x:c r="B9177" s="0" t="s">
        <x:v>36573</x:v>
      </x:c>
      <x:c r="C9177" s="0" t="s">
        <x:v>36574</x:v>
      </x:c>
      <x:c r="E9177" s="0" t="s">
        <x:v>36575</x:v>
      </x:c>
      <x:c r="F9177" s="0" t="s">
        <x:v>45</x:v>
      </x:c>
      <x:c r="G9177" s="0" t="s">
        <x:v>19</x:v>
      </x:c>
      <x:c r="H9177" s="0" t="s">
        <x:v>20</x:v>
      </x:c>
      <x:c r="I9177" s="0" t="s">
        <x:v>21</x:v>
      </x:c>
      <x:c r="K9177" s="0">
        <x:f>hyperlink("https://icd.who.int/dev11/l-ichi/en#/http%3A%2F%2Fid.who.int%2Ficd%2Fentity%2F1653057844","browser")</x:f>
      </x:c>
      <x:c r="L9177" s="0">
        <x:f>hyperlink("https://icat2.azurewebsites.net/icat/?ontology=ICD&amp;tab=ClassesTab&amp;id=http%3A%2F%2Fwho.int%2Ficd%235361_075b017b_ac4c_42d7_a31d_f6f14e3ba684","iCat")</x:f>
      </x:c>
      <x:c r="M9177" s="0" t="s">
        <x:v>21</x:v>
      </x:c>
      <x:c r="N9177" s="0" t="s">
        <x:v>46</x:v>
      </x:c>
    </x:row>
    <x:row r="9178" spans="1:16">
      <x:c r="A9178" s="0" t="s">
        <x:v>36576</x:v>
      </x:c>
      <x:c r="B9178" s="0" t="s">
        <x:v>36577</x:v>
      </x:c>
      <x:c r="C9178" s="0" t="s">
        <x:v>36578</x:v>
      </x:c>
      <x:c r="E9178" s="0" t="s">
        <x:v>36579</x:v>
      </x:c>
      <x:c r="F9178" s="0" t="s">
        <x:v>45</x:v>
      </x:c>
      <x:c r="G9178" s="0" t="s">
        <x:v>19</x:v>
      </x:c>
      <x:c r="H9178" s="0" t="s">
        <x:v>20</x:v>
      </x:c>
      <x:c r="I9178" s="0" t="s">
        <x:v>21</x:v>
      </x:c>
      <x:c r="K9178" s="0">
        <x:f>hyperlink("https://icd.who.int/dev11/l-ichi/en#/http%3A%2F%2Fid.who.int%2Ficd%2Fentity%2F855404675","browser")</x:f>
      </x:c>
      <x:c r="L9178" s="0">
        <x:f>hyperlink("https://icat2.azurewebsites.net/icat/?ontology=ICD&amp;tab=ClassesTab&amp;id=http%3A%2F%2Fwho.int%2Ficd%235367_075b017b_ac4c_42d7_a31d_f6f14e3ba684","iCat")</x:f>
      </x:c>
      <x:c r="M9178" s="0" t="s">
        <x:v>21</x:v>
      </x:c>
      <x:c r="N9178" s="0" t="s">
        <x:v>46</x:v>
      </x:c>
    </x:row>
    <x:row r="9179" spans="1:16">
      <x:c r="A9179" s="0" t="s">
        <x:v>36580</x:v>
      </x:c>
      <x:c r="B9179" s="0" t="s">
        <x:v>36581</x:v>
      </x:c>
      <x:c r="C9179" s="0" t="s">
        <x:v>36582</x:v>
      </x:c>
      <x:c r="E9179" s="0" t="s">
        <x:v>36583</x:v>
      </x:c>
      <x:c r="F9179" s="0" t="s">
        <x:v>45</x:v>
      </x:c>
      <x:c r="G9179" s="0" t="s">
        <x:v>19</x:v>
      </x:c>
      <x:c r="H9179" s="0" t="s">
        <x:v>20</x:v>
      </x:c>
      <x:c r="I9179" s="0" t="s">
        <x:v>21</x:v>
      </x:c>
      <x:c r="K9179" s="0">
        <x:f>hyperlink("https://icd.who.int/dev11/l-ichi/en#/http%3A%2F%2Fid.who.int%2Ficd%2Fentity%2F1832788386","browser")</x:f>
      </x:c>
      <x:c r="L9179" s="0">
        <x:f>hyperlink("https://icat2.azurewebsites.net/icat/?ontology=ICD&amp;tab=ClassesTab&amp;id=http%3A%2F%2Fwho.int%2Ficd%235373_075b017b_ac4c_42d7_a31d_f6f14e3ba684","iCat")</x:f>
      </x:c>
      <x:c r="M9179" s="0" t="s">
        <x:v>21</x:v>
      </x:c>
      <x:c r="N9179" s="0" t="s">
        <x:v>46</x:v>
      </x:c>
    </x:row>
    <x:row r="9180" spans="1:16">
      <x:c r="A9180" s="0" t="s">
        <x:v>36584</x:v>
      </x:c>
      <x:c r="B9180" s="0" t="s">
        <x:v>36585</x:v>
      </x:c>
      <x:c r="C9180" s="0" t="s">
        <x:v>36586</x:v>
      </x:c>
      <x:c r="E9180" s="0" t="s">
        <x:v>36587</x:v>
      </x:c>
      <x:c r="F9180" s="0" t="s">
        <x:v>45</x:v>
      </x:c>
      <x:c r="G9180" s="0" t="s">
        <x:v>19</x:v>
      </x:c>
      <x:c r="H9180" s="0" t="s">
        <x:v>20</x:v>
      </x:c>
      <x:c r="I9180" s="0" t="s">
        <x:v>21</x:v>
      </x:c>
      <x:c r="K9180" s="0">
        <x:f>hyperlink("https://icd.who.int/dev11/l-ichi/en#/http%3A%2F%2Fid.who.int%2Ficd%2Fentity%2F1187204402","browser")</x:f>
      </x:c>
      <x:c r="L9180" s="0">
        <x:f>hyperlink("https://icat2.azurewebsites.net/icat/?ontology=ICD&amp;tab=ClassesTab&amp;id=http%3A%2F%2Fwho.int%2Ficd%235379_075b017b_ac4c_42d7_a31d_f6f14e3ba684","iCat")</x:f>
      </x:c>
      <x:c r="M9180" s="0" t="s">
        <x:v>21</x:v>
      </x:c>
      <x:c r="N9180" s="0" t="s">
        <x:v>46</x:v>
      </x:c>
    </x:row>
    <x:row r="9181" spans="1:16">
      <x:c r="A9181" s="0" t="s">
        <x:v>36588</x:v>
      </x:c>
      <x:c r="B9181" s="0" t="s">
        <x:v>36589</x:v>
      </x:c>
      <x:c r="C9181" s="0" t="s">
        <x:v>36590</x:v>
      </x:c>
      <x:c r="E9181" s="0" t="s">
        <x:v>36591</x:v>
      </x:c>
      <x:c r="F9181" s="0" t="s">
        <x:v>45</x:v>
      </x:c>
      <x:c r="G9181" s="0" t="s">
        <x:v>19</x:v>
      </x:c>
      <x:c r="H9181" s="0" t="s">
        <x:v>20</x:v>
      </x:c>
      <x:c r="I9181" s="0" t="s">
        <x:v>21</x:v>
      </x:c>
      <x:c r="K9181" s="0">
        <x:f>hyperlink("https://icd.who.int/dev11/l-ichi/en#/http%3A%2F%2Fid.who.int%2Ficd%2Fentity%2F312652495","browser")</x:f>
      </x:c>
      <x:c r="L9181" s="0">
        <x:f>hyperlink("https://icat2.azurewebsites.net/icat/?ontology=ICD&amp;tab=ClassesTab&amp;id=http%3A%2F%2Fwho.int%2Ficd%235385_075b017b_ac4c_42d7_a31d_f6f14e3ba684","iCat")</x:f>
      </x:c>
      <x:c r="M9181" s="0" t="s">
        <x:v>21</x:v>
      </x:c>
      <x:c r="N9181" s="0" t="s">
        <x:v>46</x:v>
      </x:c>
    </x:row>
    <x:row r="9182" spans="1:16">
      <x:c r="A9182" s="0" t="s">
        <x:v>36592</x:v>
      </x:c>
      <x:c r="B9182" s="0" t="s">
        <x:v>36593</x:v>
      </x:c>
      <x:c r="C9182" s="0" t="s">
        <x:v>36594</x:v>
      </x:c>
      <x:c r="E9182" s="0" t="s">
        <x:v>36595</x:v>
      </x:c>
      <x:c r="F9182" s="0" t="s">
        <x:v>45</x:v>
      </x:c>
      <x:c r="G9182" s="0" t="s">
        <x:v>19</x:v>
      </x:c>
      <x:c r="H9182" s="0" t="s">
        <x:v>20</x:v>
      </x:c>
      <x:c r="I9182" s="0" t="s">
        <x:v>21</x:v>
      </x:c>
      <x:c r="K9182" s="0">
        <x:f>hyperlink("https://icd.who.int/dev11/l-ichi/en#/http%3A%2F%2Fid.who.int%2Ficd%2Fentity%2F1298195438","browser")</x:f>
      </x:c>
      <x:c r="L9182" s="0">
        <x:f>hyperlink("https://icat2.azurewebsites.net/icat/?ontology=ICD&amp;tab=ClassesTab&amp;id=http%3A%2F%2Fwho.int%2Ficd%235391_075b017b_ac4c_42d7_a31d_f6f14e3ba684","iCat")</x:f>
      </x:c>
      <x:c r="M9182" s="0" t="s">
        <x:v>21</x:v>
      </x:c>
      <x:c r="N9182" s="0" t="s">
        <x:v>46</x:v>
      </x:c>
    </x:row>
    <x:row r="9183" spans="1:16">
      <x:c r="A9183" s="0" t="s">
        <x:v>36596</x:v>
      </x:c>
      <x:c r="B9183" s="0" t="s">
        <x:v>36597</x:v>
      </x:c>
      <x:c r="C9183" s="0" t="s">
        <x:v>36598</x:v>
      </x:c>
      <x:c r="E9183" s="0" t="s">
        <x:v>36599</x:v>
      </x:c>
      <x:c r="F9183" s="0" t="s">
        <x:v>45</x:v>
      </x:c>
      <x:c r="G9183" s="0" t="s">
        <x:v>19</x:v>
      </x:c>
      <x:c r="H9183" s="0" t="s">
        <x:v>20</x:v>
      </x:c>
      <x:c r="I9183" s="0" t="s">
        <x:v>21</x:v>
      </x:c>
      <x:c r="K9183" s="0">
        <x:f>hyperlink("https://icd.who.int/dev11/l-ichi/en#/http%3A%2F%2Fid.who.int%2Ficd%2Fentity%2F488323677","browser")</x:f>
      </x:c>
      <x:c r="L9183" s="0">
        <x:f>hyperlink("https://icat2.azurewebsites.net/icat/?ontology=ICD&amp;tab=ClassesTab&amp;id=http%3A%2F%2Fwho.int%2Ficd%235397_075b017b_ac4c_42d7_a31d_f6f14e3ba684","iCat")</x:f>
      </x:c>
      <x:c r="M9183" s="0" t="s">
        <x:v>21</x:v>
      </x:c>
      <x:c r="N9183" s="0" t="s">
        <x:v>46</x:v>
      </x:c>
    </x:row>
    <x:row r="9184" spans="1:16">
      <x:c r="A9184" s="0" t="s">
        <x:v>36600</x:v>
      </x:c>
      <x:c r="B9184" s="0" t="s">
        <x:v>36601</x:v>
      </x:c>
      <x:c r="C9184" s="0" t="s">
        <x:v>36602</x:v>
      </x:c>
      <x:c r="E9184" s="0" t="s">
        <x:v>36603</x:v>
      </x:c>
      <x:c r="F9184" s="0" t="s">
        <x:v>45</x:v>
      </x:c>
      <x:c r="G9184" s="0" t="s">
        <x:v>19</x:v>
      </x:c>
      <x:c r="H9184" s="0" t="s">
        <x:v>20</x:v>
      </x:c>
      <x:c r="I9184" s="0" t="s">
        <x:v>21</x:v>
      </x:c>
      <x:c r="K9184" s="0">
        <x:f>hyperlink("https://icd.who.int/dev11/l-ichi/en#/http%3A%2F%2Fid.who.int%2Ficd%2Fentity%2F834247384","browser")</x:f>
      </x:c>
      <x:c r="L9184" s="0">
        <x:f>hyperlink("https://icat2.azurewebsites.net/icat/?ontology=ICD&amp;tab=ClassesTab&amp;id=http%3A%2F%2Fwho.int%2Ficd%235403_075b017b_ac4c_42d7_a31d_f6f14e3ba684","iCat")</x:f>
      </x:c>
      <x:c r="M9184" s="0" t="s">
        <x:v>21</x:v>
      </x:c>
      <x:c r="N9184" s="0" t="s">
        <x:v>46</x:v>
      </x:c>
    </x:row>
    <x:row r="9185" spans="1:16">
      <x:c r="A9185" s="0" t="s">
        <x:v>36604</x:v>
      </x:c>
      <x:c r="B9185" s="0" t="s">
        <x:v>36605</x:v>
      </x:c>
      <x:c r="C9185" s="0" t="s">
        <x:v>36606</x:v>
      </x:c>
      <x:c r="E9185" s="0" t="s">
        <x:v>36607</x:v>
      </x:c>
      <x:c r="F9185" s="0" t="s">
        <x:v>45</x:v>
      </x:c>
      <x:c r="G9185" s="0" t="s">
        <x:v>19</x:v>
      </x:c>
      <x:c r="H9185" s="0" t="s">
        <x:v>20</x:v>
      </x:c>
      <x:c r="I9185" s="0" t="s">
        <x:v>21</x:v>
      </x:c>
      <x:c r="K9185" s="0">
        <x:f>hyperlink("https://icd.who.int/dev11/l-ichi/en#/http%3A%2F%2Fid.who.int%2Ficd%2Fentity%2F440727112","browser")</x:f>
      </x:c>
      <x:c r="L9185" s="0">
        <x:f>hyperlink("https://icat2.azurewebsites.net/icat/?ontology=ICD&amp;tab=ClassesTab&amp;id=http%3A%2F%2Fwho.int%2Ficd%235409_075b017b_ac4c_42d7_a31d_f6f14e3ba684","iCat")</x:f>
      </x:c>
      <x:c r="M9185" s="0" t="s">
        <x:v>21</x:v>
      </x:c>
      <x:c r="N9185" s="0" t="s">
        <x:v>46</x:v>
      </x:c>
    </x:row>
    <x:row r="9186" spans="1:16">
      <x:c r="A9186" s="0" t="s">
        <x:v>36608</x:v>
      </x:c>
      <x:c r="B9186" s="0" t="s">
        <x:v>36609</x:v>
      </x:c>
      <x:c r="C9186" s="0" t="s">
        <x:v>36610</x:v>
      </x:c>
      <x:c r="E9186" s="0" t="s">
        <x:v>36611</x:v>
      </x:c>
      <x:c r="F9186" s="0" t="s">
        <x:v>45</x:v>
      </x:c>
      <x:c r="G9186" s="0" t="s">
        <x:v>19</x:v>
      </x:c>
      <x:c r="H9186" s="0" t="s">
        <x:v>20</x:v>
      </x:c>
      <x:c r="I9186" s="0" t="s">
        <x:v>21</x:v>
      </x:c>
      <x:c r="K9186" s="0">
        <x:f>hyperlink("https://icd.who.int/dev11/l-ichi/en#/http%3A%2F%2Fid.who.int%2Ficd%2Fentity%2F185062960","browser")</x:f>
      </x:c>
      <x:c r="L9186" s="0">
        <x:f>hyperlink("https://icat2.azurewebsites.net/icat/?ontology=ICD&amp;tab=ClassesTab&amp;id=http%3A%2F%2Fwho.int%2Ficd%235415_075b017b_ac4c_42d7_a31d_f6f14e3ba684","iCat")</x:f>
      </x:c>
      <x:c r="M9186" s="0" t="s">
        <x:v>21</x:v>
      </x:c>
      <x:c r="N9186" s="0" t="s">
        <x:v>46</x:v>
      </x:c>
    </x:row>
    <x:row r="9187" spans="1:16">
      <x:c r="A9187" s="0" t="s">
        <x:v>36612</x:v>
      </x:c>
      <x:c r="B9187" s="0" t="s">
        <x:v>36613</x:v>
      </x:c>
      <x:c r="C9187" s="0" t="s">
        <x:v>36614</x:v>
      </x:c>
      <x:c r="E9187" s="0" t="s">
        <x:v>36615</x:v>
      </x:c>
      <x:c r="F9187" s="0" t="s">
        <x:v>45</x:v>
      </x:c>
      <x:c r="G9187" s="0" t="s">
        <x:v>19</x:v>
      </x:c>
      <x:c r="H9187" s="0" t="s">
        <x:v>20</x:v>
      </x:c>
      <x:c r="I9187" s="0" t="s">
        <x:v>21</x:v>
      </x:c>
      <x:c r="K9187" s="0">
        <x:f>hyperlink("https://icd.who.int/dev11/l-ichi/en#/http%3A%2F%2Fid.who.int%2Ficd%2Fentity%2F2125550147","browser")</x:f>
      </x:c>
      <x:c r="L9187" s="0">
        <x:f>hyperlink("https://icat2.azurewebsites.net/icat/?ontology=ICD&amp;tab=ClassesTab&amp;id=http%3A%2F%2Fwho.int%2Ficd%235421_075b017b_ac4c_42d7_a31d_f6f14e3ba684","iCat")</x:f>
      </x:c>
      <x:c r="M9187" s="0" t="s">
        <x:v>21</x:v>
      </x:c>
      <x:c r="N9187" s="0" t="s">
        <x:v>46</x:v>
      </x:c>
    </x:row>
    <x:row r="9188" spans="1:16">
      <x:c r="A9188" s="0" t="s">
        <x:v>36616</x:v>
      </x:c>
      <x:c r="B9188" s="0" t="s">
        <x:v>36617</x:v>
      </x:c>
      <x:c r="C9188" s="0" t="s">
        <x:v>36618</x:v>
      </x:c>
      <x:c r="E9188" s="0" t="s">
        <x:v>36619</x:v>
      </x:c>
      <x:c r="F9188" s="0" t="s">
        <x:v>45</x:v>
      </x:c>
      <x:c r="G9188" s="0" t="s">
        <x:v>19</x:v>
      </x:c>
      <x:c r="H9188" s="0" t="s">
        <x:v>20</x:v>
      </x:c>
      <x:c r="I9188" s="0" t="s">
        <x:v>21</x:v>
      </x:c>
      <x:c r="K9188" s="0">
        <x:f>hyperlink("https://icd.who.int/dev11/l-ichi/en#/http%3A%2F%2Fid.who.int%2Ficd%2Fentity%2F785026036","browser")</x:f>
      </x:c>
      <x:c r="L9188" s="0">
        <x:f>hyperlink("https://icat2.azurewebsites.net/icat/?ontology=ICD&amp;tab=ClassesTab&amp;id=http%3A%2F%2Fwho.int%2Ficd%235427_075b017b_ac4c_42d7_a31d_f6f14e3ba684","iCat")</x:f>
      </x:c>
      <x:c r="M9188" s="0" t="s">
        <x:v>21</x:v>
      </x:c>
      <x:c r="N9188" s="0" t="s">
        <x:v>46</x:v>
      </x:c>
    </x:row>
    <x:row r="9189" spans="1:16">
      <x:c r="A9189" s="0" t="s">
        <x:v>36620</x:v>
      </x:c>
      <x:c r="B9189" s="0" t="s">
        <x:v>36621</x:v>
      </x:c>
      <x:c r="C9189" s="0" t="s">
        <x:v>36622</x:v>
      </x:c>
      <x:c r="E9189" s="0" t="s">
        <x:v>36623</x:v>
      </x:c>
      <x:c r="F9189" s="0" t="s">
        <x:v>45</x:v>
      </x:c>
      <x:c r="G9189" s="0" t="s">
        <x:v>19</x:v>
      </x:c>
      <x:c r="H9189" s="0" t="s">
        <x:v>20</x:v>
      </x:c>
      <x:c r="I9189" s="0" t="s">
        <x:v>21</x:v>
      </x:c>
      <x:c r="K9189" s="0">
        <x:f>hyperlink("https://icd.who.int/dev11/l-ichi/en#/http%3A%2F%2Fid.who.int%2Ficd%2Fentity%2F1896405713","browser")</x:f>
      </x:c>
      <x:c r="L9189" s="0">
        <x:f>hyperlink("https://icat2.azurewebsites.net/icat/?ontology=ICD&amp;tab=ClassesTab&amp;id=http%3A%2F%2Fwho.int%2Ficd%235433_075b017b_ac4c_42d7_a31d_f6f14e3ba684","iCat")</x:f>
      </x:c>
      <x:c r="M9189" s="0" t="s">
        <x:v>21</x:v>
      </x:c>
      <x:c r="N9189" s="0" t="s">
        <x:v>46</x:v>
      </x:c>
    </x:row>
    <x:row r="9190" spans="1:16">
      <x:c r="A9190" s="0" t="s">
        <x:v>36624</x:v>
      </x:c>
      <x:c r="B9190" s="0" t="s">
        <x:v>36625</x:v>
      </x:c>
      <x:c r="C9190" s="0" t="s">
        <x:v>36626</x:v>
      </x:c>
      <x:c r="E9190" s="0" t="s">
        <x:v>36627</x:v>
      </x:c>
      <x:c r="F9190" s="0" t="s">
        <x:v>45</x:v>
      </x:c>
      <x:c r="G9190" s="0" t="s">
        <x:v>19</x:v>
      </x:c>
      <x:c r="H9190" s="0" t="s">
        <x:v>20</x:v>
      </x:c>
      <x:c r="I9190" s="0" t="s">
        <x:v>21</x:v>
      </x:c>
      <x:c r="K9190" s="0">
        <x:f>hyperlink("https://icd.who.int/dev11/l-ichi/en#/http%3A%2F%2Fid.who.int%2Ficd%2Fentity%2F1526052417","browser")</x:f>
      </x:c>
      <x:c r="L9190" s="0">
        <x:f>hyperlink("https://icat2.azurewebsites.net/icat/?ontology=ICD&amp;tab=ClassesTab&amp;id=http%3A%2F%2Fwho.int%2Ficd%235439_075b017b_ac4c_42d7_a31d_f6f14e3ba684","iCat")</x:f>
      </x:c>
      <x:c r="M9190" s="0" t="s">
        <x:v>21</x:v>
      </x:c>
      <x:c r="N9190" s="0" t="s">
        <x:v>46</x:v>
      </x:c>
    </x:row>
    <x:row r="9191" spans="1:16">
      <x:c r="A9191" s="0" t="s">
        <x:v>36628</x:v>
      </x:c>
      <x:c r="B9191" s="0" t="s">
        <x:v>36629</x:v>
      </x:c>
      <x:c r="C9191" s="0" t="s">
        <x:v>36630</x:v>
      </x:c>
      <x:c r="E9191" s="0" t="s">
        <x:v>36631</x:v>
      </x:c>
      <x:c r="F9191" s="0" t="s">
        <x:v>45</x:v>
      </x:c>
      <x:c r="G9191" s="0" t="s">
        <x:v>19</x:v>
      </x:c>
      <x:c r="H9191" s="0" t="s">
        <x:v>20</x:v>
      </x:c>
      <x:c r="I9191" s="0" t="s">
        <x:v>21</x:v>
      </x:c>
      <x:c r="K9191" s="0">
        <x:f>hyperlink("https://icd.who.int/dev11/l-ichi/en#/http%3A%2F%2Fid.who.int%2Ficd%2Fentity%2F296030330","browser")</x:f>
      </x:c>
      <x:c r="L9191" s="0">
        <x:f>hyperlink("https://icat2.azurewebsites.net/icat/?ontology=ICD&amp;tab=ClassesTab&amp;id=http%3A%2F%2Fwho.int%2Ficd%235445_075b017b_ac4c_42d7_a31d_f6f14e3ba684","iCat")</x:f>
      </x:c>
      <x:c r="M9191" s="0" t="s">
        <x:v>21</x:v>
      </x:c>
      <x:c r="N9191" s="0" t="s">
        <x:v>46</x:v>
      </x:c>
    </x:row>
    <x:row r="9192" spans="1:16">
      <x:c r="A9192" s="0" t="s">
        <x:v>36632</x:v>
      </x:c>
      <x:c r="B9192" s="0" t="s">
        <x:v>36633</x:v>
      </x:c>
      <x:c r="C9192" s="0" t="s">
        <x:v>36634</x:v>
      </x:c>
      <x:c r="E9192" s="0" t="s">
        <x:v>36635</x:v>
      </x:c>
      <x:c r="F9192" s="0" t="s">
        <x:v>45</x:v>
      </x:c>
      <x:c r="G9192" s="0" t="s">
        <x:v>19</x:v>
      </x:c>
      <x:c r="H9192" s="0" t="s">
        <x:v>20</x:v>
      </x:c>
      <x:c r="I9192" s="0" t="s">
        <x:v>21</x:v>
      </x:c>
      <x:c r="K9192" s="0">
        <x:f>hyperlink("https://icd.who.int/dev11/l-ichi/en#/http%3A%2F%2Fid.who.int%2Ficd%2Fentity%2F1315389785","browser")</x:f>
      </x:c>
      <x:c r="L9192" s="0">
        <x:f>hyperlink("https://icat2.azurewebsites.net/icat/?ontology=ICD&amp;tab=ClassesTab&amp;id=http%3A%2F%2Fwho.int%2Ficd%235451_075b017b_ac4c_42d7_a31d_f6f14e3ba684","iCat")</x:f>
      </x:c>
      <x:c r="M9192" s="0" t="s">
        <x:v>21</x:v>
      </x:c>
      <x:c r="N9192" s="0" t="s">
        <x:v>46</x:v>
      </x:c>
    </x:row>
    <x:row r="9193" spans="1:16">
      <x:c r="A9193" s="0" t="s">
        <x:v>36636</x:v>
      </x:c>
      <x:c r="B9193" s="0" t="s">
        <x:v>36637</x:v>
      </x:c>
      <x:c r="C9193" s="0" t="s">
        <x:v>36638</x:v>
      </x:c>
      <x:c r="E9193" s="0" t="s">
        <x:v>36639</x:v>
      </x:c>
      <x:c r="F9193" s="0" t="s">
        <x:v>45</x:v>
      </x:c>
      <x:c r="G9193" s="0" t="s">
        <x:v>19</x:v>
      </x:c>
      <x:c r="H9193" s="0" t="s">
        <x:v>20</x:v>
      </x:c>
      <x:c r="I9193" s="0" t="s">
        <x:v>21</x:v>
      </x:c>
      <x:c r="K9193" s="0">
        <x:f>hyperlink("https://icd.who.int/dev11/l-ichi/en#/http%3A%2F%2Fid.who.int%2Ficd%2Fentity%2F401206754","browser")</x:f>
      </x:c>
      <x:c r="L9193" s="0">
        <x:f>hyperlink("https://icat2.azurewebsites.net/icat/?ontology=ICD&amp;tab=ClassesTab&amp;id=http%3A%2F%2Fwho.int%2Ficd%2348184_512ebf36_bf6b_4d70_85da_cf2637062af4","iCat")</x:f>
      </x:c>
      <x:c r="M9193" s="0" t="s">
        <x:v>21</x:v>
      </x:c>
      <x:c r="N9193" s="0" t="s">
        <x:v>46</x:v>
      </x:c>
    </x:row>
    <x:row r="9194" spans="1:16">
      <x:c r="A9194" s="0" t="s">
        <x:v>36640</x:v>
      </x:c>
      <x:c r="B9194" s="0" t="s">
        <x:v>36641</x:v>
      </x:c>
      <x:c r="C9194" s="0" t="s">
        <x:v>36642</x:v>
      </x:c>
      <x:c r="E9194" s="0" t="s">
        <x:v>36643</x:v>
      </x:c>
      <x:c r="F9194" s="0" t="s">
        <x:v>45</x:v>
      </x:c>
      <x:c r="G9194" s="0" t="s">
        <x:v>19</x:v>
      </x:c>
      <x:c r="H9194" s="0" t="s">
        <x:v>20</x:v>
      </x:c>
      <x:c r="I9194" s="0" t="s">
        <x:v>21</x:v>
      </x:c>
      <x:c r="K9194" s="0">
        <x:f>hyperlink("https://icd.who.int/dev11/l-ichi/en#/http%3A%2F%2Fid.who.int%2Ficd%2Fentity%2F58923995","browser")</x:f>
      </x:c>
      <x:c r="L9194" s="0">
        <x:f>hyperlink("https://icat2.azurewebsites.net/icat/?ontology=ICD&amp;tab=ClassesTab&amp;id=http%3A%2F%2Fwho.int%2Ficd%235876_075b017b_ac4c_42d7_a31d_f6f14e3ba684","iCat")</x:f>
      </x:c>
      <x:c r="M9194" s="0" t="s">
        <x:v>21</x:v>
      </x:c>
      <x:c r="N9194" s="0" t="s">
        <x:v>46</x:v>
      </x:c>
    </x:row>
    <x:row r="9195" spans="1:16">
      <x:c r="A9195" s="0" t="s">
        <x:v>36644</x:v>
      </x:c>
      <x:c r="B9195" s="0" t="s">
        <x:v>36645</x:v>
      </x:c>
      <x:c r="C9195" s="0" t="s">
        <x:v>36646</x:v>
      </x:c>
      <x:c r="E9195" s="0" t="s">
        <x:v>36647</x:v>
      </x:c>
      <x:c r="F9195" s="0" t="s">
        <x:v>45</x:v>
      </x:c>
      <x:c r="G9195" s="0" t="s">
        <x:v>19</x:v>
      </x:c>
      <x:c r="H9195" s="0" t="s">
        <x:v>20</x:v>
      </x:c>
      <x:c r="I9195" s="0" t="s">
        <x:v>21</x:v>
      </x:c>
      <x:c r="K9195" s="0">
        <x:f>hyperlink("https://icd.who.int/dev11/l-ichi/en#/http%3A%2F%2Fid.who.int%2Ficd%2Fentity%2F1758646015","browser")</x:f>
      </x:c>
      <x:c r="L9195" s="0">
        <x:f>hyperlink("https://icat2.azurewebsites.net/icat/?ontology=ICD&amp;tab=ClassesTab&amp;id=http%3A%2F%2Fwho.int%2Ficd%2348191_512ebf36_bf6b_4d70_85da_cf2637062af4","iCat")</x:f>
      </x:c>
      <x:c r="M9195" s="0" t="s">
        <x:v>21</x:v>
      </x:c>
      <x:c r="N9195" s="0" t="s">
        <x:v>46</x:v>
      </x:c>
    </x:row>
    <x:row r="9196" spans="1:16">
      <x:c r="A9196" s="0" t="s">
        <x:v>36648</x:v>
      </x:c>
      <x:c r="B9196" s="0" t="s">
        <x:v>36649</x:v>
      </x:c>
      <x:c r="C9196" s="0" t="s">
        <x:v>36650</x:v>
      </x:c>
      <x:c r="E9196" s="0" t="s">
        <x:v>36651</x:v>
      </x:c>
      <x:c r="F9196" s="0" t="s">
        <x:v>45</x:v>
      </x:c>
      <x:c r="G9196" s="0" t="s">
        <x:v>19</x:v>
      </x:c>
      <x:c r="H9196" s="0" t="s">
        <x:v>20</x:v>
      </x:c>
      <x:c r="I9196" s="0" t="s">
        <x:v>21</x:v>
      </x:c>
      <x:c r="K9196" s="0">
        <x:f>hyperlink("https://icd.who.int/dev11/l-ichi/en#/http%3A%2F%2Fid.who.int%2Ficd%2Fentity%2F1551942665","browser")</x:f>
      </x:c>
      <x:c r="L9196" s="0">
        <x:f>hyperlink("https://icat2.azurewebsites.net/icat/?ontology=ICD&amp;tab=ClassesTab&amp;id=http%3A%2F%2Fwho.int%2Ficd%2348200_512ebf36_bf6b_4d70_85da_cf2637062af4","iCat")</x:f>
      </x:c>
      <x:c r="M9196" s="0" t="s">
        <x:v>21</x:v>
      </x:c>
      <x:c r="N9196" s="0" t="s">
        <x:v>46</x:v>
      </x:c>
    </x:row>
    <x:row r="9197" spans="1:16">
      <x:c r="A9197" s="0" t="s">
        <x:v>36652</x:v>
      </x:c>
      <x:c r="B9197" s="0" t="s">
        <x:v>36653</x:v>
      </x:c>
      <x:c r="C9197" s="0" t="s">
        <x:v>36654</x:v>
      </x:c>
      <x:c r="E9197" s="0" t="s">
        <x:v>36655</x:v>
      </x:c>
      <x:c r="F9197" s="0" t="s">
        <x:v>45</x:v>
      </x:c>
      <x:c r="G9197" s="0" t="s">
        <x:v>19</x:v>
      </x:c>
      <x:c r="H9197" s="0" t="s">
        <x:v>20</x:v>
      </x:c>
      <x:c r="I9197" s="0" t="s">
        <x:v>21</x:v>
      </x:c>
      <x:c r="K9197" s="0">
        <x:f>hyperlink("https://icd.who.int/dev11/l-ichi/en#/http%3A%2F%2Fid.who.int%2Ficd%2Fentity%2F425956721","browser")</x:f>
      </x:c>
      <x:c r="L9197" s="0">
        <x:f>hyperlink("https://icat2.azurewebsites.net/icat/?ontology=ICD&amp;tab=ClassesTab&amp;id=http%3A%2F%2Fwho.int%2Ficd%235882_075b017b_ac4c_42d7_a31d_f6f14e3ba684","iCat")</x:f>
      </x:c>
      <x:c r="M9197" s="0" t="s">
        <x:v>21</x:v>
      </x:c>
      <x:c r="N9197" s="0" t="s">
        <x:v>46</x:v>
      </x:c>
    </x:row>
    <x:row r="9198" spans="1:16">
      <x:c r="A9198" s="0" t="s">
        <x:v>36656</x:v>
      </x:c>
      <x:c r="B9198" s="0" t="s">
        <x:v>36657</x:v>
      </x:c>
      <x:c r="C9198" s="0" t="s">
        <x:v>36658</x:v>
      </x:c>
      <x:c r="E9198" s="0" t="s">
        <x:v>36659</x:v>
      </x:c>
      <x:c r="F9198" s="0" t="s">
        <x:v>45</x:v>
      </x:c>
      <x:c r="G9198" s="0" t="s">
        <x:v>19</x:v>
      </x:c>
      <x:c r="H9198" s="0" t="s">
        <x:v>20</x:v>
      </x:c>
      <x:c r="I9198" s="0" t="s">
        <x:v>21</x:v>
      </x:c>
      <x:c r="K9198" s="0">
        <x:f>hyperlink("https://icd.who.int/dev11/l-ichi/en#/http%3A%2F%2Fid.who.int%2Ficd%2Fentity%2F849279457","browser")</x:f>
      </x:c>
      <x:c r="L9198" s="0">
        <x:f>hyperlink("https://icat2.azurewebsites.net/icat/?ontology=ICD&amp;tab=ClassesTab&amp;id=http%3A%2F%2Fwho.int%2Ficd%235888_075b017b_ac4c_42d7_a31d_f6f14e3ba684","iCat")</x:f>
      </x:c>
      <x:c r="M9198" s="0" t="s">
        <x:v>21</x:v>
      </x:c>
      <x:c r="N9198" s="0" t="s">
        <x:v>46</x:v>
      </x:c>
    </x:row>
    <x:row r="9199" spans="1:16">
      <x:c r="A9199" s="0" t="s">
        <x:v>36660</x:v>
      </x:c>
      <x:c r="B9199" s="0" t="s">
        <x:v>36661</x:v>
      </x:c>
      <x:c r="C9199" s="0" t="s">
        <x:v>36662</x:v>
      </x:c>
      <x:c r="E9199" s="0" t="s">
        <x:v>36663</x:v>
      </x:c>
      <x:c r="F9199" s="0" t="s">
        <x:v>45</x:v>
      </x:c>
      <x:c r="G9199" s="0" t="s">
        <x:v>19</x:v>
      </x:c>
      <x:c r="H9199" s="0" t="s">
        <x:v>20</x:v>
      </x:c>
      <x:c r="I9199" s="0" t="s">
        <x:v>21</x:v>
      </x:c>
      <x:c r="K9199" s="0">
        <x:f>hyperlink("https://icd.who.int/dev11/l-ichi/en#/http%3A%2F%2Fid.who.int%2Ficd%2Fentity%2F655611442","browser")</x:f>
      </x:c>
      <x:c r="L9199" s="0">
        <x:f>hyperlink("https://icat2.azurewebsites.net/icat/?ontology=ICD&amp;tab=ClassesTab&amp;id=http%3A%2F%2Fwho.int%2Ficd%2314290_4869915e_217e_423d_acb3_33c0f920ef4b","iCat")</x:f>
      </x:c>
      <x:c r="M9199" s="0" t="s">
        <x:v>21</x:v>
      </x:c>
      <x:c r="N9199" s="0" t="s">
        <x:v>46</x:v>
      </x:c>
    </x:row>
    <x:row r="9200" spans="1:16">
      <x:c r="A9200" s="0" t="s">
        <x:v>36664</x:v>
      </x:c>
      <x:c r="B9200" s="0" t="s">
        <x:v>36665</x:v>
      </x:c>
      <x:c r="C9200" s="0" t="s">
        <x:v>36666</x:v>
      </x:c>
      <x:c r="E9200" s="0" t="s">
        <x:v>36667</x:v>
      </x:c>
      <x:c r="F9200" s="0" t="s">
        <x:v>45</x:v>
      </x:c>
      <x:c r="G9200" s="0" t="s">
        <x:v>19</x:v>
      </x:c>
      <x:c r="H9200" s="0" t="s">
        <x:v>20</x:v>
      </x:c>
      <x:c r="I9200" s="0" t="s">
        <x:v>21</x:v>
      </x:c>
      <x:c r="K9200" s="0">
        <x:f>hyperlink("https://icd.who.int/dev11/l-ichi/en#/http%3A%2F%2Fid.who.int%2Ficd%2Fentity%2F601741719","browser")</x:f>
      </x:c>
      <x:c r="L9200" s="0">
        <x:f>hyperlink("https://icat2.azurewebsites.net/icat/?ontology=ICD&amp;tab=ClassesTab&amp;id=http%3A%2F%2Fwho.int%2Ficd%235894_075b017b_ac4c_42d7_a31d_f6f14e3ba684","iCat")</x:f>
      </x:c>
      <x:c r="M9200" s="0" t="s">
        <x:v>21</x:v>
      </x:c>
      <x:c r="N9200" s="0" t="s">
        <x:v>46</x:v>
      </x:c>
    </x:row>
    <x:row r="9201" spans="1:16">
      <x:c r="A9201" s="0" t="s">
        <x:v>36668</x:v>
      </x:c>
      <x:c r="B9201" s="0" t="s">
        <x:v>36669</x:v>
      </x:c>
      <x:c r="C9201" s="0" t="s">
        <x:v>36670</x:v>
      </x:c>
      <x:c r="E9201" s="0" t="s">
        <x:v>36671</x:v>
      </x:c>
      <x:c r="F9201" s="0" t="s">
        <x:v>45</x:v>
      </x:c>
      <x:c r="G9201" s="0" t="s">
        <x:v>19</x:v>
      </x:c>
      <x:c r="H9201" s="0" t="s">
        <x:v>20</x:v>
      </x:c>
      <x:c r="I9201" s="0" t="s">
        <x:v>21</x:v>
      </x:c>
      <x:c r="K9201" s="0">
        <x:f>hyperlink("https://icd.who.int/dev11/l-ichi/en#/http%3A%2F%2Fid.who.int%2Ficd%2Fentity%2F380704749","browser")</x:f>
      </x:c>
      <x:c r="L9201" s="0">
        <x:f>hyperlink("https://icat2.azurewebsites.net/icat/?ontology=ICD&amp;tab=ClassesTab&amp;id=http%3A%2F%2Fwho.int%2Ficd%235900_075b017b_ac4c_42d7_a31d_f6f14e3ba684","iCat")</x:f>
      </x:c>
      <x:c r="M9201" s="0" t="s">
        <x:v>21</x:v>
      </x:c>
      <x:c r="N9201" s="0" t="s">
        <x:v>46</x:v>
      </x:c>
    </x:row>
    <x:row r="9202" spans="1:16">
      <x:c r="A9202" s="0" t="s">
        <x:v>36672</x:v>
      </x:c>
      <x:c r="B9202" s="0" t="s">
        <x:v>36673</x:v>
      </x:c>
      <x:c r="C9202" s="0" t="s">
        <x:v>36674</x:v>
      </x:c>
      <x:c r="E9202" s="0" t="s">
        <x:v>36675</x:v>
      </x:c>
      <x:c r="F9202" s="0" t="s">
        <x:v>45</x:v>
      </x:c>
      <x:c r="G9202" s="0" t="s">
        <x:v>19</x:v>
      </x:c>
      <x:c r="H9202" s="0" t="s">
        <x:v>20</x:v>
      </x:c>
      <x:c r="I9202" s="0" t="s">
        <x:v>21</x:v>
      </x:c>
      <x:c r="K9202" s="0">
        <x:f>hyperlink("https://icd.who.int/dev11/l-ichi/en#/http%3A%2F%2Fid.who.int%2Ficd%2Fentity%2F1187696222","browser")</x:f>
      </x:c>
      <x:c r="L9202" s="0">
        <x:f>hyperlink("https://icat2.azurewebsites.net/icat/?ontology=ICD&amp;tab=ClassesTab&amp;id=http%3A%2F%2Fwho.int%2Ficd%235906_075b017b_ac4c_42d7_a31d_f6f14e3ba684","iCat")</x:f>
      </x:c>
      <x:c r="M9202" s="0" t="s">
        <x:v>21</x:v>
      </x:c>
      <x:c r="N9202" s="0" t="s">
        <x:v>46</x:v>
      </x:c>
    </x:row>
    <x:row r="9203" spans="1:16">
      <x:c r="A9203" s="0" t="s">
        <x:v>36676</x:v>
      </x:c>
      <x:c r="B9203" s="0" t="s">
        <x:v>36677</x:v>
      </x:c>
      <x:c r="C9203" s="0" t="s">
        <x:v>36678</x:v>
      </x:c>
      <x:c r="E9203" s="0" t="s">
        <x:v>36679</x:v>
      </x:c>
      <x:c r="F9203" s="0" t="s">
        <x:v>45</x:v>
      </x:c>
      <x:c r="G9203" s="0" t="s">
        <x:v>19</x:v>
      </x:c>
      <x:c r="H9203" s="0" t="s">
        <x:v>20</x:v>
      </x:c>
      <x:c r="I9203" s="0" t="s">
        <x:v>21</x:v>
      </x:c>
      <x:c r="K9203" s="0">
        <x:f>hyperlink("https://icd.who.int/dev11/l-ichi/en#/http%3A%2F%2Fid.who.int%2Ficd%2Fentity%2F738357124","browser")</x:f>
      </x:c>
      <x:c r="L9203" s="0">
        <x:f>hyperlink("https://icat2.azurewebsites.net/icat/?ontology=ICD&amp;tab=ClassesTab&amp;id=http%3A%2F%2Fwho.int%2Ficd%2348207_512ebf36_bf6b_4d70_85da_cf2637062af4","iCat")</x:f>
      </x:c>
      <x:c r="M9203" s="0" t="s">
        <x:v>21</x:v>
      </x:c>
      <x:c r="N9203" s="0" t="s">
        <x:v>46</x:v>
      </x:c>
    </x:row>
    <x:row r="9204" spans="1:16">
      <x:c r="A9204" s="0" t="s">
        <x:v>36680</x:v>
      </x:c>
      <x:c r="B9204" s="0" t="s">
        <x:v>36681</x:v>
      </x:c>
      <x:c r="C9204" s="0" t="s">
        <x:v>36682</x:v>
      </x:c>
      <x:c r="E9204" s="0" t="s">
        <x:v>36683</x:v>
      </x:c>
      <x:c r="F9204" s="0" t="s">
        <x:v>45</x:v>
      </x:c>
      <x:c r="G9204" s="0" t="s">
        <x:v>19</x:v>
      </x:c>
      <x:c r="H9204" s="0" t="s">
        <x:v>20</x:v>
      </x:c>
      <x:c r="I9204" s="0" t="s">
        <x:v>21</x:v>
      </x:c>
      <x:c r="K9204" s="0">
        <x:f>hyperlink("https://icd.who.int/dev11/l-ichi/en#/http%3A%2F%2Fid.who.int%2Ficd%2Fentity%2F419995519","browser")</x:f>
      </x:c>
      <x:c r="L9204" s="0">
        <x:f>hyperlink("https://icat2.azurewebsites.net/icat/?ontology=ICD&amp;tab=ClassesTab&amp;id=http%3A%2F%2Fwho.int%2Ficd%235912_075b017b_ac4c_42d7_a31d_f6f14e3ba684","iCat")</x:f>
      </x:c>
      <x:c r="M9204" s="0" t="s">
        <x:v>21</x:v>
      </x:c>
      <x:c r="N9204" s="0" t="s">
        <x:v>46</x:v>
      </x:c>
    </x:row>
    <x:row r="9205" spans="1:16">
      <x:c r="A9205" s="0" t="s">
        <x:v>36684</x:v>
      </x:c>
      <x:c r="B9205" s="0" t="s">
        <x:v>36685</x:v>
      </x:c>
      <x:c r="C9205" s="0" t="s">
        <x:v>36686</x:v>
      </x:c>
      <x:c r="E9205" s="0" t="s">
        <x:v>36687</x:v>
      </x:c>
      <x:c r="F9205" s="0" t="s">
        <x:v>45</x:v>
      </x:c>
      <x:c r="G9205" s="0" t="s">
        <x:v>19</x:v>
      </x:c>
      <x:c r="H9205" s="0" t="s">
        <x:v>20</x:v>
      </x:c>
      <x:c r="I9205" s="0" t="s">
        <x:v>21</x:v>
      </x:c>
      <x:c r="K9205" s="0">
        <x:f>hyperlink("https://icd.who.int/dev11/l-ichi/en#/http%3A%2F%2Fid.who.int%2Ficd%2Fentity%2F854979567","browser")</x:f>
      </x:c>
      <x:c r="L9205" s="0">
        <x:f>hyperlink("https://icat2.azurewebsites.net/icat/?ontology=ICD&amp;tab=ClassesTab&amp;id=http%3A%2F%2Fwho.int%2Ficd%235918_075b017b_ac4c_42d7_a31d_f6f14e3ba684","iCat")</x:f>
      </x:c>
      <x:c r="M9205" s="0" t="s">
        <x:v>21</x:v>
      </x:c>
      <x:c r="N9205" s="0" t="s">
        <x:v>46</x:v>
      </x:c>
    </x:row>
    <x:row r="9206" spans="1:16">
      <x:c r="A9206" s="0" t="s">
        <x:v>36688</x:v>
      </x:c>
      <x:c r="B9206" s="0" t="s">
        <x:v>36689</x:v>
      </x:c>
      <x:c r="C9206" s="0" t="s">
        <x:v>36690</x:v>
      </x:c>
      <x:c r="E9206" s="0" t="s">
        <x:v>36691</x:v>
      </x:c>
      <x:c r="F9206" s="0" t="s">
        <x:v>45</x:v>
      </x:c>
      <x:c r="G9206" s="0" t="s">
        <x:v>19</x:v>
      </x:c>
      <x:c r="H9206" s="0" t="s">
        <x:v>20</x:v>
      </x:c>
      <x:c r="I9206" s="0" t="s">
        <x:v>21</x:v>
      </x:c>
      <x:c r="K9206" s="0">
        <x:f>hyperlink("https://icd.who.int/dev11/l-ichi/en#/http%3A%2F%2Fid.who.int%2Ficd%2Fentity%2F599516950","browser")</x:f>
      </x:c>
      <x:c r="L9206" s="0">
        <x:f>hyperlink("https://icat2.azurewebsites.net/icat/?ontology=ICD&amp;tab=ClassesTab&amp;id=http%3A%2F%2Fwho.int%2Ficd%2348215_512ebf36_bf6b_4d70_85da_cf2637062af4","iCat")</x:f>
      </x:c>
      <x:c r="M9206" s="0" t="s">
        <x:v>21</x:v>
      </x:c>
      <x:c r="N9206" s="0" t="s">
        <x:v>46</x:v>
      </x:c>
    </x:row>
    <x:row r="9207" spans="1:16">
      <x:c r="A9207" s="0" t="s">
        <x:v>36692</x:v>
      </x:c>
      <x:c r="B9207" s="0" t="s">
        <x:v>36693</x:v>
      </x:c>
      <x:c r="C9207" s="0" t="s">
        <x:v>36694</x:v>
      </x:c>
      <x:c r="E9207" s="0" t="s">
        <x:v>36695</x:v>
      </x:c>
      <x:c r="F9207" s="0" t="s">
        <x:v>45</x:v>
      </x:c>
      <x:c r="G9207" s="0" t="s">
        <x:v>19</x:v>
      </x:c>
      <x:c r="H9207" s="0" t="s">
        <x:v>20</x:v>
      </x:c>
      <x:c r="I9207" s="0" t="s">
        <x:v>21</x:v>
      </x:c>
      <x:c r="K9207" s="0">
        <x:f>hyperlink("https://icd.who.int/dev11/l-ichi/en#/http%3A%2F%2Fid.who.int%2Ficd%2Fentity%2F163710665","browser")</x:f>
      </x:c>
      <x:c r="L9207" s="0">
        <x:f>hyperlink("https://icat2.azurewebsites.net/icat/?ontology=ICD&amp;tab=ClassesTab&amp;id=http%3A%2F%2Fwho.int%2Ficd%235924_075b017b_ac4c_42d7_a31d_f6f14e3ba684","iCat")</x:f>
      </x:c>
      <x:c r="M9207" s="0" t="s">
        <x:v>21</x:v>
      </x:c>
      <x:c r="N9207" s="0" t="s">
        <x:v>46</x:v>
      </x:c>
    </x:row>
    <x:row r="9208" spans="1:16">
      <x:c r="A9208" s="0" t="s">
        <x:v>36696</x:v>
      </x:c>
      <x:c r="B9208" s="0" t="s">
        <x:v>36697</x:v>
      </x:c>
      <x:c r="C9208" s="0" t="s">
        <x:v>36698</x:v>
      </x:c>
      <x:c r="E9208" s="0" t="s">
        <x:v>36699</x:v>
      </x:c>
      <x:c r="F9208" s="0" t="s">
        <x:v>45</x:v>
      </x:c>
      <x:c r="G9208" s="0" t="s">
        <x:v>19</x:v>
      </x:c>
      <x:c r="H9208" s="0" t="s">
        <x:v>20</x:v>
      </x:c>
      <x:c r="I9208" s="0" t="s">
        <x:v>21</x:v>
      </x:c>
      <x:c r="K9208" s="0">
        <x:f>hyperlink("https://icd.who.int/dev11/l-ichi/en#/http%3A%2F%2Fid.who.int%2Ficd%2Fentity%2F1442863084","browser")</x:f>
      </x:c>
      <x:c r="L9208" s="0">
        <x:f>hyperlink("https://icat2.azurewebsites.net/icat/?ontology=ICD&amp;tab=ClassesTab&amp;id=http%3A%2F%2Fwho.int%2Ficd%235930_075b017b_ac4c_42d7_a31d_f6f14e3ba684","iCat")</x:f>
      </x:c>
      <x:c r="M9208" s="0" t="s">
        <x:v>21</x:v>
      </x:c>
      <x:c r="N9208" s="0" t="s">
        <x:v>46</x:v>
      </x:c>
    </x:row>
    <x:row r="9209" spans="1:16">
      <x:c r="A9209" s="0" t="s">
        <x:v>36700</x:v>
      </x:c>
      <x:c r="B9209" s="0" t="s">
        <x:v>36701</x:v>
      </x:c>
      <x:c r="C9209" s="0" t="s">
        <x:v>36702</x:v>
      </x:c>
      <x:c r="E9209" s="0" t="s">
        <x:v>36703</x:v>
      </x:c>
      <x:c r="F9209" s="0" t="s">
        <x:v>45</x:v>
      </x:c>
      <x:c r="G9209" s="0" t="s">
        <x:v>19</x:v>
      </x:c>
      <x:c r="H9209" s="0" t="s">
        <x:v>20</x:v>
      </x:c>
      <x:c r="I9209" s="0" t="s">
        <x:v>21</x:v>
      </x:c>
      <x:c r="K9209" s="0">
        <x:f>hyperlink("https://icd.who.int/dev11/l-ichi/en#/http%3A%2F%2Fid.who.int%2Ficd%2Fentity%2F863076000","browser")</x:f>
      </x:c>
      <x:c r="L9209" s="0">
        <x:f>hyperlink("https://icat2.azurewebsites.net/icat/?ontology=ICD&amp;tab=ClassesTab&amp;id=http%3A%2F%2Fwho.int%2Ficd%2348223_512ebf36_bf6b_4d70_85da_cf2637062af4","iCat")</x:f>
      </x:c>
      <x:c r="M9209" s="0" t="s">
        <x:v>21</x:v>
      </x:c>
      <x:c r="N9209" s="0" t="s">
        <x:v>46</x:v>
      </x:c>
    </x:row>
    <x:row r="9210" spans="1:16">
      <x:c r="A9210" s="0" t="s">
        <x:v>36704</x:v>
      </x:c>
      <x:c r="B9210" s="0" t="s">
        <x:v>36705</x:v>
      </x:c>
      <x:c r="C9210" s="0" t="s">
        <x:v>36706</x:v>
      </x:c>
      <x:c r="E9210" s="0" t="s">
        <x:v>36707</x:v>
      </x:c>
      <x:c r="F9210" s="0" t="s">
        <x:v>45</x:v>
      </x:c>
      <x:c r="G9210" s="0" t="s">
        <x:v>19</x:v>
      </x:c>
      <x:c r="H9210" s="0" t="s">
        <x:v>20</x:v>
      </x:c>
      <x:c r="I9210" s="0" t="s">
        <x:v>21</x:v>
      </x:c>
      <x:c r="K9210" s="0">
        <x:f>hyperlink("https://icd.who.int/dev11/l-ichi/en#/http%3A%2F%2Fid.who.int%2Ficd%2Fentity%2F2035128779","browser")</x:f>
      </x:c>
      <x:c r="L9210" s="0">
        <x:f>hyperlink("https://icat2.azurewebsites.net/icat/?ontology=ICD&amp;tab=ClassesTab&amp;id=http%3A%2F%2Fwho.int%2Ficd%2348232_512ebf36_bf6b_4d70_85da_cf2637062af4","iCat")</x:f>
      </x:c>
      <x:c r="M9210" s="0" t="s">
        <x:v>21</x:v>
      </x:c>
      <x:c r="N9210" s="0" t="s">
        <x:v>46</x:v>
      </x:c>
    </x:row>
    <x:row r="9211" spans="1:16">
      <x:c r="A9211" s="0" t="s">
        <x:v>36708</x:v>
      </x:c>
      <x:c r="B9211" s="0" t="s">
        <x:v>36709</x:v>
      </x:c>
      <x:c r="C9211" s="0" t="s">
        <x:v>36710</x:v>
      </x:c>
      <x:c r="E9211" s="0" t="s">
        <x:v>36711</x:v>
      </x:c>
      <x:c r="F9211" s="0" t="s">
        <x:v>45</x:v>
      </x:c>
      <x:c r="G9211" s="0" t="s">
        <x:v>19</x:v>
      </x:c>
      <x:c r="H9211" s="0" t="s">
        <x:v>20</x:v>
      </x:c>
      <x:c r="I9211" s="0" t="s">
        <x:v>21</x:v>
      </x:c>
      <x:c r="K9211" s="0">
        <x:f>hyperlink("https://icd.who.int/dev11/l-ichi/en#/http%3A%2F%2Fid.who.int%2Ficd%2Fentity%2F108760667","browser")</x:f>
      </x:c>
      <x:c r="L9211" s="0">
        <x:f>hyperlink("https://icat2.azurewebsites.net/icat/?ontology=ICD&amp;tab=ClassesTab&amp;id=http%3A%2F%2Fwho.int%2Ficd%235936_075b017b_ac4c_42d7_a31d_f6f14e3ba684","iCat")</x:f>
      </x:c>
      <x:c r="M9211" s="0" t="s">
        <x:v>21</x:v>
      </x:c>
      <x:c r="N9211" s="0" t="s">
        <x:v>46</x:v>
      </x:c>
    </x:row>
    <x:row r="9212" spans="1:16">
      <x:c r="A9212" s="0" t="s">
        <x:v>36712</x:v>
      </x:c>
      <x:c r="B9212" s="0" t="s">
        <x:v>36713</x:v>
      </x:c>
      <x:c r="C9212" s="0" t="s">
        <x:v>36714</x:v>
      </x:c>
      <x:c r="E9212" s="0" t="s">
        <x:v>36715</x:v>
      </x:c>
      <x:c r="F9212" s="0" t="s">
        <x:v>45</x:v>
      </x:c>
      <x:c r="G9212" s="0" t="s">
        <x:v>19</x:v>
      </x:c>
      <x:c r="H9212" s="0" t="s">
        <x:v>20</x:v>
      </x:c>
      <x:c r="I9212" s="0" t="s">
        <x:v>21</x:v>
      </x:c>
      <x:c r="K9212" s="0">
        <x:f>hyperlink("https://icd.who.int/dev11/l-ichi/en#/http%3A%2F%2Fid.who.int%2Ficd%2Fentity%2F61495605","browser")</x:f>
      </x:c>
      <x:c r="L9212" s="0">
        <x:f>hyperlink("https://icat2.azurewebsites.net/icat/?ontology=ICD&amp;tab=ClassesTab&amp;id=http%3A%2F%2Fwho.int%2Ficd%235942_075b017b_ac4c_42d7_a31d_f6f14e3ba684","iCat")</x:f>
      </x:c>
      <x:c r="M9212" s="0" t="s">
        <x:v>21</x:v>
      </x:c>
      <x:c r="N9212" s="0" t="s">
        <x:v>46</x:v>
      </x:c>
    </x:row>
    <x:row r="9213" spans="1:16">
      <x:c r="A9213" s="0" t="s">
        <x:v>36716</x:v>
      </x:c>
      <x:c r="B9213" s="0" t="s">
        <x:v>36717</x:v>
      </x:c>
      <x:c r="C9213" s="0" t="s">
        <x:v>36718</x:v>
      </x:c>
      <x:c r="E9213" s="0" t="s">
        <x:v>36719</x:v>
      </x:c>
      <x:c r="F9213" s="0" t="s">
        <x:v>45</x:v>
      </x:c>
      <x:c r="G9213" s="0" t="s">
        <x:v>19</x:v>
      </x:c>
      <x:c r="H9213" s="0" t="s">
        <x:v>20</x:v>
      </x:c>
      <x:c r="I9213" s="0" t="s">
        <x:v>21</x:v>
      </x:c>
      <x:c r="K9213" s="0">
        <x:f>hyperlink("https://icd.who.int/dev11/l-ichi/en#/http%3A%2F%2Fid.who.int%2Ficd%2Fentity%2F676804005","browser")</x:f>
      </x:c>
      <x:c r="L9213" s="0">
        <x:f>hyperlink("https://icat2.azurewebsites.net/icat/?ontology=ICD&amp;tab=ClassesTab&amp;id=http%3A%2F%2Fwho.int%2Ficd%235948_075b017b_ac4c_42d7_a31d_f6f14e3ba684","iCat")</x:f>
      </x:c>
      <x:c r="M9213" s="0" t="s">
        <x:v>21</x:v>
      </x:c>
      <x:c r="N9213" s="0" t="s">
        <x:v>46</x:v>
      </x:c>
    </x:row>
    <x:row r="9214" spans="1:16">
      <x:c r="A9214" s="0" t="s">
        <x:v>36720</x:v>
      </x:c>
      <x:c r="B9214" s="0" t="s">
        <x:v>36721</x:v>
      </x:c>
      <x:c r="C9214" s="0" t="s">
        <x:v>36722</x:v>
      </x:c>
      <x:c r="E9214" s="0" t="s">
        <x:v>36723</x:v>
      </x:c>
      <x:c r="F9214" s="0" t="s">
        <x:v>45</x:v>
      </x:c>
      <x:c r="G9214" s="0" t="s">
        <x:v>19</x:v>
      </x:c>
      <x:c r="H9214" s="0" t="s">
        <x:v>20</x:v>
      </x:c>
      <x:c r="I9214" s="0" t="s">
        <x:v>21</x:v>
      </x:c>
      <x:c r="K9214" s="0">
        <x:f>hyperlink("https://icd.who.int/dev11/l-ichi/en#/http%3A%2F%2Fid.who.int%2Ficd%2Fentity%2F957617619","browser")</x:f>
      </x:c>
      <x:c r="L9214" s="0">
        <x:f>hyperlink("https://icat2.azurewebsites.net/icat/?ontology=ICD&amp;tab=ClassesTab&amp;id=http%3A%2F%2Fwho.int%2Ficd%235954_075b017b_ac4c_42d7_a31d_f6f14e3ba684","iCat")</x:f>
      </x:c>
      <x:c r="M9214" s="0" t="s">
        <x:v>21</x:v>
      </x:c>
      <x:c r="N9214" s="0" t="s">
        <x:v>46</x:v>
      </x:c>
    </x:row>
    <x:row r="9215" spans="1:16">
      <x:c r="A9215" s="0" t="s">
        <x:v>36724</x:v>
      </x:c>
      <x:c r="B9215" s="0" t="s">
        <x:v>36725</x:v>
      </x:c>
      <x:c r="C9215" s="0" t="s">
        <x:v>36726</x:v>
      </x:c>
      <x:c r="E9215" s="0" t="s">
        <x:v>36727</x:v>
      </x:c>
      <x:c r="F9215" s="0" t="s">
        <x:v>45</x:v>
      </x:c>
      <x:c r="G9215" s="0" t="s">
        <x:v>19</x:v>
      </x:c>
      <x:c r="H9215" s="0" t="s">
        <x:v>20</x:v>
      </x:c>
      <x:c r="I9215" s="0" t="s">
        <x:v>21</x:v>
      </x:c>
      <x:c r="K9215" s="0">
        <x:f>hyperlink("https://icd.who.int/dev11/l-ichi/en#/http%3A%2F%2Fid.who.int%2Ficd%2Fentity%2F1285722530","browser")</x:f>
      </x:c>
      <x:c r="L9215" s="0">
        <x:f>hyperlink("https://icat2.azurewebsites.net/icat/?ontology=ICD&amp;tab=ClassesTab&amp;id=http%3A%2F%2Fwho.int%2Ficd%235960_075b017b_ac4c_42d7_a31d_f6f14e3ba684","iCat")</x:f>
      </x:c>
      <x:c r="M9215" s="0" t="s">
        <x:v>21</x:v>
      </x:c>
      <x:c r="N9215" s="0" t="s">
        <x:v>46</x:v>
      </x:c>
    </x:row>
    <x:row r="9216" spans="1:16">
      <x:c r="A9216" s="0" t="s">
        <x:v>36728</x:v>
      </x:c>
      <x:c r="B9216" s="0" t="s">
        <x:v>36729</x:v>
      </x:c>
      <x:c r="C9216" s="0" t="s">
        <x:v>36730</x:v>
      </x:c>
      <x:c r="E9216" s="0" t="s">
        <x:v>36731</x:v>
      </x:c>
      <x:c r="F9216" s="0" t="s">
        <x:v>45</x:v>
      </x:c>
      <x:c r="G9216" s="0" t="s">
        <x:v>19</x:v>
      </x:c>
      <x:c r="H9216" s="0" t="s">
        <x:v>20</x:v>
      </x:c>
      <x:c r="I9216" s="0" t="s">
        <x:v>21</x:v>
      </x:c>
      <x:c r="K9216" s="0">
        <x:f>hyperlink("https://icd.who.int/dev11/l-ichi/en#/http%3A%2F%2Fid.who.int%2Ficd%2Fentity%2F484001809","browser")</x:f>
      </x:c>
      <x:c r="L9216" s="0">
        <x:f>hyperlink("https://icat2.azurewebsites.net/icat/?ontology=ICD&amp;tab=ClassesTab&amp;id=http%3A%2F%2Fwho.int%2Ficd%235966_075b017b_ac4c_42d7_a31d_f6f14e3ba684","iCat")</x:f>
      </x:c>
      <x:c r="M9216" s="0" t="s">
        <x:v>21</x:v>
      </x:c>
      <x:c r="N9216" s="0" t="s">
        <x:v>46</x:v>
      </x:c>
    </x:row>
    <x:row r="9217" spans="1:16">
      <x:c r="A9217" s="0" t="s">
        <x:v>36732</x:v>
      </x:c>
      <x:c r="B9217" s="0" t="s">
        <x:v>36733</x:v>
      </x:c>
      <x:c r="C9217" s="0" t="s">
        <x:v>36734</x:v>
      </x:c>
      <x:c r="E9217" s="0" t="s">
        <x:v>36735</x:v>
      </x:c>
      <x:c r="F9217" s="0" t="s">
        <x:v>45</x:v>
      </x:c>
      <x:c r="G9217" s="0" t="s">
        <x:v>19</x:v>
      </x:c>
      <x:c r="H9217" s="0" t="s">
        <x:v>20</x:v>
      </x:c>
      <x:c r="I9217" s="0" t="s">
        <x:v>21</x:v>
      </x:c>
      <x:c r="K9217" s="0">
        <x:f>hyperlink("https://icd.who.int/dev11/l-ichi/en#/http%3A%2F%2Fid.who.int%2Ficd%2Fentity%2F1125849396","browser")</x:f>
      </x:c>
      <x:c r="L9217" s="0">
        <x:f>hyperlink("https://icat2.azurewebsites.net/icat/?ontology=ICD&amp;tab=ClassesTab&amp;id=http%3A%2F%2Fwho.int%2Ficd%235972_075b017b_ac4c_42d7_a31d_f6f14e3ba684","iCat")</x:f>
      </x:c>
      <x:c r="M9217" s="0" t="s">
        <x:v>21</x:v>
      </x:c>
      <x:c r="N9217" s="0" t="s">
        <x:v>46</x:v>
      </x:c>
    </x:row>
    <x:row r="9218" spans="1:16">
      <x:c r="A9218" s="0" t="s">
        <x:v>36736</x:v>
      </x:c>
      <x:c r="B9218" s="0" t="s">
        <x:v>36737</x:v>
      </x:c>
      <x:c r="C9218" s="0" t="s">
        <x:v>36738</x:v>
      </x:c>
      <x:c r="E9218" s="0" t="s">
        <x:v>36739</x:v>
      </x:c>
      <x:c r="F9218" s="0" t="s">
        <x:v>45</x:v>
      </x:c>
      <x:c r="G9218" s="0" t="s">
        <x:v>19</x:v>
      </x:c>
      <x:c r="H9218" s="0" t="s">
        <x:v>20</x:v>
      </x:c>
      <x:c r="I9218" s="0" t="s">
        <x:v>21</x:v>
      </x:c>
      <x:c r="K9218" s="0">
        <x:f>hyperlink("https://icd.who.int/dev11/l-ichi/en#/http%3A%2F%2Fid.who.int%2Ficd%2Fentity%2F1759933860","browser")</x:f>
      </x:c>
      <x:c r="L9218" s="0">
        <x:f>hyperlink("https://icat2.azurewebsites.net/icat/?ontology=ICD&amp;tab=ClassesTab&amp;id=http%3A%2F%2Fwho.int%2Ficd%235978_075b017b_ac4c_42d7_a31d_f6f14e3ba684","iCat")</x:f>
      </x:c>
      <x:c r="M9218" s="0" t="s">
        <x:v>21</x:v>
      </x:c>
      <x:c r="N9218" s="0" t="s">
        <x:v>46</x:v>
      </x:c>
    </x:row>
    <x:row r="9219" spans="1:16">
      <x:c r="A9219" s="0" t="s">
        <x:v>36740</x:v>
      </x:c>
      <x:c r="B9219" s="0" t="s">
        <x:v>36741</x:v>
      </x:c>
      <x:c r="C9219" s="0" t="s">
        <x:v>36742</x:v>
      </x:c>
      <x:c r="E9219" s="0" t="s">
        <x:v>36743</x:v>
      </x:c>
      <x:c r="F9219" s="0" t="s">
        <x:v>45</x:v>
      </x:c>
      <x:c r="G9219" s="0" t="s">
        <x:v>19</x:v>
      </x:c>
      <x:c r="H9219" s="0" t="s">
        <x:v>20</x:v>
      </x:c>
      <x:c r="I9219" s="0" t="s">
        <x:v>21</x:v>
      </x:c>
      <x:c r="K9219" s="0">
        <x:f>hyperlink("https://icd.who.int/dev11/l-ichi/en#/http%3A%2F%2Fid.who.int%2Ficd%2Fentity%2F1015515741","browser")</x:f>
      </x:c>
      <x:c r="L9219" s="0">
        <x:f>hyperlink("https://icat2.azurewebsites.net/icat/?ontology=ICD&amp;tab=ClassesTab&amp;id=http%3A%2F%2Fwho.int%2Ficd%235984_075b017b_ac4c_42d7_a31d_f6f14e3ba684","iCat")</x:f>
      </x:c>
      <x:c r="M9219" s="0" t="s">
        <x:v>21</x:v>
      </x:c>
      <x:c r="N9219" s="0" t="s">
        <x:v>46</x:v>
      </x:c>
    </x:row>
    <x:row r="9220" spans="1:16">
      <x:c r="A9220" s="0" t="s">
        <x:v>36744</x:v>
      </x:c>
      <x:c r="B9220" s="0" t="s">
        <x:v>36745</x:v>
      </x:c>
      <x:c r="C9220" s="0" t="s">
        <x:v>36746</x:v>
      </x:c>
      <x:c r="E9220" s="0" t="s">
        <x:v>36747</x:v>
      </x:c>
      <x:c r="F9220" s="0" t="s">
        <x:v>45</x:v>
      </x:c>
      <x:c r="G9220" s="0" t="s">
        <x:v>19</x:v>
      </x:c>
      <x:c r="H9220" s="0" t="s">
        <x:v>20</x:v>
      </x:c>
      <x:c r="I9220" s="0" t="s">
        <x:v>21</x:v>
      </x:c>
      <x:c r="K9220" s="0">
        <x:f>hyperlink("https://icd.who.int/dev11/l-ichi/en#/http%3A%2F%2Fid.who.int%2Ficd%2Fentity%2F1665522560","browser")</x:f>
      </x:c>
      <x:c r="L9220" s="0">
        <x:f>hyperlink("https://icat2.azurewebsites.net/icat/?ontology=ICD&amp;tab=ClassesTab&amp;id=http%3A%2F%2Fwho.int%2Ficd%235990_075b017b_ac4c_42d7_a31d_f6f14e3ba684","iCat")</x:f>
      </x:c>
      <x:c r="M9220" s="0" t="s">
        <x:v>21</x:v>
      </x:c>
      <x:c r="N9220" s="0" t="s">
        <x:v>46</x:v>
      </x:c>
    </x:row>
    <x:row r="9221" spans="1:16">
      <x:c r="A9221" s="0" t="s">
        <x:v>36748</x:v>
      </x:c>
      <x:c r="B9221" s="0" t="s">
        <x:v>36749</x:v>
      </x:c>
      <x:c r="C9221" s="0" t="s">
        <x:v>36750</x:v>
      </x:c>
      <x:c r="E9221" s="0" t="s">
        <x:v>36751</x:v>
      </x:c>
      <x:c r="F9221" s="0" t="s">
        <x:v>45</x:v>
      </x:c>
      <x:c r="G9221" s="0" t="s">
        <x:v>19</x:v>
      </x:c>
      <x:c r="H9221" s="0" t="s">
        <x:v>20</x:v>
      </x:c>
      <x:c r="I9221" s="0" t="s">
        <x:v>21</x:v>
      </x:c>
      <x:c r="K9221" s="0">
        <x:f>hyperlink("https://icd.who.int/dev11/l-ichi/en#/http%3A%2F%2Fid.who.int%2Ficd%2Fentity%2F859701967","browser")</x:f>
      </x:c>
      <x:c r="L9221" s="0">
        <x:f>hyperlink("https://icat2.azurewebsites.net/icat/?ontology=ICD&amp;tab=ClassesTab&amp;id=http%3A%2F%2Fwho.int%2Ficd%235996_075b017b_ac4c_42d7_a31d_f6f14e3ba684","iCat")</x:f>
      </x:c>
      <x:c r="M9221" s="0" t="s">
        <x:v>21</x:v>
      </x:c>
      <x:c r="N9221" s="0" t="s">
        <x:v>46</x:v>
      </x:c>
    </x:row>
    <x:row r="9222" spans="1:16">
      <x:c r="A9222" s="0" t="s">
        <x:v>36752</x:v>
      </x:c>
      <x:c r="B9222" s="0" t="s">
        <x:v>36753</x:v>
      </x:c>
      <x:c r="C9222" s="0" t="s">
        <x:v>36754</x:v>
      </x:c>
      <x:c r="E9222" s="0" t="s">
        <x:v>36755</x:v>
      </x:c>
      <x:c r="F9222" s="0" t="s">
        <x:v>45</x:v>
      </x:c>
      <x:c r="G9222" s="0" t="s">
        <x:v>19</x:v>
      </x:c>
      <x:c r="H9222" s="0" t="s">
        <x:v>20</x:v>
      </x:c>
      <x:c r="I9222" s="0" t="s">
        <x:v>21</x:v>
      </x:c>
      <x:c r="K9222" s="0">
        <x:f>hyperlink("https://icd.who.int/dev11/l-ichi/en#/http%3A%2F%2Fid.who.int%2Ficd%2Fentity%2F470210633","browser")</x:f>
      </x:c>
      <x:c r="L9222" s="0">
        <x:f>hyperlink("https://icat2.azurewebsites.net/icat/?ontology=ICD&amp;tab=ClassesTab&amp;id=http%3A%2F%2Fwho.int%2Ficd%236002_075b017b_ac4c_42d7_a31d_f6f14e3ba684","iCat")</x:f>
      </x:c>
      <x:c r="M9222" s="0" t="s">
        <x:v>21</x:v>
      </x:c>
      <x:c r="N9222" s="0" t="s">
        <x:v>46</x:v>
      </x:c>
    </x:row>
    <x:row r="9223" spans="1:16">
      <x:c r="A9223" s="0" t="s">
        <x:v>36756</x:v>
      </x:c>
      <x:c r="B9223" s="0" t="s">
        <x:v>36757</x:v>
      </x:c>
      <x:c r="C9223" s="0" t="s">
        <x:v>36758</x:v>
      </x:c>
      <x:c r="E9223" s="0" t="s">
        <x:v>36759</x:v>
      </x:c>
      <x:c r="F9223" s="0" t="s">
        <x:v>45</x:v>
      </x:c>
      <x:c r="G9223" s="0" t="s">
        <x:v>19</x:v>
      </x:c>
      <x:c r="H9223" s="0" t="s">
        <x:v>20</x:v>
      </x:c>
      <x:c r="I9223" s="0" t="s">
        <x:v>21</x:v>
      </x:c>
      <x:c r="K9223" s="0">
        <x:f>hyperlink("https://icd.who.int/dev11/l-ichi/en#/http%3A%2F%2Fid.who.int%2Ficd%2Fentity%2F939242713","browser")</x:f>
      </x:c>
      <x:c r="L9223" s="0">
        <x:f>hyperlink("https://icat2.azurewebsites.net/icat/?ontology=ICD&amp;tab=ClassesTab&amp;id=http%3A%2F%2Fwho.int%2Ficd%236008_075b017b_ac4c_42d7_a31d_f6f14e3ba684","iCat")</x:f>
      </x:c>
      <x:c r="M9223" s="0" t="s">
        <x:v>21</x:v>
      </x:c>
      <x:c r="N9223" s="0" t="s">
        <x:v>46</x:v>
      </x:c>
    </x:row>
    <x:row r="9224" spans="1:16">
      <x:c r="A9224" s="0" t="s">
        <x:v>36760</x:v>
      </x:c>
      <x:c r="B9224" s="0" t="s">
        <x:v>36761</x:v>
      </x:c>
      <x:c r="C9224" s="0" t="s">
        <x:v>36762</x:v>
      </x:c>
      <x:c r="E9224" s="0" t="s">
        <x:v>36763</x:v>
      </x:c>
      <x:c r="F9224" s="0" t="s">
        <x:v>45</x:v>
      </x:c>
      <x:c r="G9224" s="0" t="s">
        <x:v>19</x:v>
      </x:c>
      <x:c r="H9224" s="0" t="s">
        <x:v>20</x:v>
      </x:c>
      <x:c r="I9224" s="0" t="s">
        <x:v>21</x:v>
      </x:c>
      <x:c r="K9224" s="0">
        <x:f>hyperlink("https://icd.who.int/dev11/l-ichi/en#/http%3A%2F%2Fid.who.int%2Ficd%2Fentity%2F649630895","browser")</x:f>
      </x:c>
      <x:c r="L9224" s="0">
        <x:f>hyperlink("https://icat2.azurewebsites.net/icat/?ontology=ICD&amp;tab=ClassesTab&amp;id=http%3A%2F%2Fwho.int%2Ficd%236014_075b017b_ac4c_42d7_a31d_f6f14e3ba684","iCat")</x:f>
      </x:c>
      <x:c r="M9224" s="0" t="s">
        <x:v>21</x:v>
      </x:c>
      <x:c r="N9224" s="0" t="s">
        <x:v>46</x:v>
      </x:c>
    </x:row>
    <x:row r="9225" spans="1:16">
      <x:c r="A9225" s="0" t="s">
        <x:v>36764</x:v>
      </x:c>
      <x:c r="B9225" s="0" t="s">
        <x:v>36765</x:v>
      </x:c>
      <x:c r="C9225" s="0" t="s">
        <x:v>36766</x:v>
      </x:c>
      <x:c r="E9225" s="0" t="s">
        <x:v>36767</x:v>
      </x:c>
      <x:c r="F9225" s="0" t="s">
        <x:v>45</x:v>
      </x:c>
      <x:c r="G9225" s="0" t="s">
        <x:v>19</x:v>
      </x:c>
      <x:c r="H9225" s="0" t="s">
        <x:v>20</x:v>
      </x:c>
      <x:c r="I9225" s="0" t="s">
        <x:v>21</x:v>
      </x:c>
      <x:c r="K9225" s="0">
        <x:f>hyperlink("https://icd.who.int/dev11/l-ichi/en#/http%3A%2F%2Fid.who.int%2Ficd%2Fentity%2F2090618533","browser")</x:f>
      </x:c>
      <x:c r="L9225" s="0">
        <x:f>hyperlink("https://icat2.azurewebsites.net/icat/?ontology=ICD&amp;tab=ClassesTab&amp;id=http%3A%2F%2Fwho.int%2Ficd%2348246_512ebf36_bf6b_4d70_85da_cf2637062af4","iCat")</x:f>
      </x:c>
      <x:c r="M9225" s="0" t="s">
        <x:v>21</x:v>
      </x:c>
      <x:c r="N9225" s="0" t="s">
        <x:v>46</x:v>
      </x:c>
    </x:row>
    <x:row r="9226" spans="1:16">
      <x:c r="A9226" s="0" t="s">
        <x:v>36768</x:v>
      </x:c>
      <x:c r="B9226" s="0" t="s">
        <x:v>36769</x:v>
      </x:c>
      <x:c r="C9226" s="0" t="s">
        <x:v>36770</x:v>
      </x:c>
      <x:c r="E9226" s="0" t="s">
        <x:v>36771</x:v>
      </x:c>
      <x:c r="F9226" s="0" t="s">
        <x:v>45</x:v>
      </x:c>
      <x:c r="G9226" s="0" t="s">
        <x:v>19</x:v>
      </x:c>
      <x:c r="H9226" s="0" t="s">
        <x:v>20</x:v>
      </x:c>
      <x:c r="I9226" s="0" t="s">
        <x:v>21</x:v>
      </x:c>
      <x:c r="K9226" s="0">
        <x:f>hyperlink("https://icd.who.int/dev11/l-ichi/en#/http%3A%2F%2Fid.who.int%2Ficd%2Fentity%2F1809985549","browser")</x:f>
      </x:c>
      <x:c r="L9226" s="0">
        <x:f>hyperlink("https://icat2.azurewebsites.net/icat/?ontology=ICD&amp;tab=ClassesTab&amp;id=http%3A%2F%2Fwho.int%2Ficd%236463_075b017b_ac4c_42d7_a31d_f6f14e3ba684","iCat")</x:f>
      </x:c>
      <x:c r="M9226" s="0" t="s">
        <x:v>21</x:v>
      </x:c>
      <x:c r="N9226" s="0" t="s">
        <x:v>46</x:v>
      </x:c>
    </x:row>
    <x:row r="9227" spans="1:16">
      <x:c r="A9227" s="0" t="s">
        <x:v>36772</x:v>
      </x:c>
      <x:c r="B9227" s="0" t="s">
        <x:v>36773</x:v>
      </x:c>
      <x:c r="C9227" s="0" t="s">
        <x:v>36774</x:v>
      </x:c>
      <x:c r="E9227" s="0" t="s">
        <x:v>36775</x:v>
      </x:c>
      <x:c r="F9227" s="0" t="s">
        <x:v>45</x:v>
      </x:c>
      <x:c r="G9227" s="0" t="s">
        <x:v>19</x:v>
      </x:c>
      <x:c r="H9227" s="0" t="s">
        <x:v>20</x:v>
      </x:c>
      <x:c r="I9227" s="0" t="s">
        <x:v>21</x:v>
      </x:c>
      <x:c r="K9227" s="0">
        <x:f>hyperlink("https://icd.who.int/dev11/l-ichi/en#/http%3A%2F%2Fid.who.int%2Ficd%2Fentity%2F61304252","browser")</x:f>
      </x:c>
      <x:c r="L9227" s="0">
        <x:f>hyperlink("https://icat2.azurewebsites.net/icat/?ontology=ICD&amp;tab=ClassesTab&amp;id=http%3A%2F%2Fwho.int%2Ficd%2348253_512ebf36_bf6b_4d70_85da_cf2637062af4","iCat")</x:f>
      </x:c>
      <x:c r="M9227" s="0" t="s">
        <x:v>21</x:v>
      </x:c>
      <x:c r="N9227" s="0" t="s">
        <x:v>46</x:v>
      </x:c>
    </x:row>
    <x:row r="9228" spans="1:16">
      <x:c r="A9228" s="0" t="s">
        <x:v>36776</x:v>
      </x:c>
      <x:c r="B9228" s="0" t="s">
        <x:v>36777</x:v>
      </x:c>
      <x:c r="C9228" s="0" t="s">
        <x:v>36778</x:v>
      </x:c>
      <x:c r="E9228" s="0" t="s">
        <x:v>36779</x:v>
      </x:c>
      <x:c r="F9228" s="0" t="s">
        <x:v>45</x:v>
      </x:c>
      <x:c r="G9228" s="0" t="s">
        <x:v>19</x:v>
      </x:c>
      <x:c r="H9228" s="0" t="s">
        <x:v>20</x:v>
      </x:c>
      <x:c r="I9228" s="0" t="s">
        <x:v>21</x:v>
      </x:c>
      <x:c r="K9228" s="0">
        <x:f>hyperlink("https://icd.who.int/dev11/l-ichi/en#/http%3A%2F%2Fid.who.int%2Ficd%2Fentity%2F110314054","browser")</x:f>
      </x:c>
      <x:c r="L9228" s="0">
        <x:f>hyperlink("https://icat2.azurewebsites.net/icat/?ontology=ICD&amp;tab=ClassesTab&amp;id=http%3A%2F%2Fwho.int%2Ficd%2348260_512ebf36_bf6b_4d70_85da_cf2637062af4","iCat")</x:f>
      </x:c>
      <x:c r="M9228" s="0" t="s">
        <x:v>21</x:v>
      </x:c>
      <x:c r="N9228" s="0" t="s">
        <x:v>46</x:v>
      </x:c>
    </x:row>
    <x:row r="9229" spans="1:16">
      <x:c r="A9229" s="0" t="s">
        <x:v>36780</x:v>
      </x:c>
      <x:c r="B9229" s="0" t="s">
        <x:v>36781</x:v>
      </x:c>
      <x:c r="C9229" s="0" t="s">
        <x:v>36782</x:v>
      </x:c>
      <x:c r="E9229" s="0" t="s">
        <x:v>36783</x:v>
      </x:c>
      <x:c r="F9229" s="0" t="s">
        <x:v>45</x:v>
      </x:c>
      <x:c r="G9229" s="0" t="s">
        <x:v>19</x:v>
      </x:c>
      <x:c r="H9229" s="0" t="s">
        <x:v>20</x:v>
      </x:c>
      <x:c r="I9229" s="0" t="s">
        <x:v>21</x:v>
      </x:c>
      <x:c r="K9229" s="0">
        <x:f>hyperlink("https://icd.who.int/dev11/l-ichi/en#/http%3A%2F%2Fid.who.int%2Ficd%2Fentity%2F1075797149","browser")</x:f>
      </x:c>
      <x:c r="L9229" s="0">
        <x:f>hyperlink("https://icat2.azurewebsites.net/icat/?ontology=ICD&amp;tab=ClassesTab&amp;id=http%3A%2F%2Fwho.int%2Ficd%236469_075b017b_ac4c_42d7_a31d_f6f14e3ba684","iCat")</x:f>
      </x:c>
      <x:c r="M9229" s="0" t="s">
        <x:v>21</x:v>
      </x:c>
      <x:c r="N9229" s="0" t="s">
        <x:v>46</x:v>
      </x:c>
    </x:row>
    <x:row r="9230" spans="1:16">
      <x:c r="A9230" s="0" t="s">
        <x:v>36784</x:v>
      </x:c>
      <x:c r="B9230" s="0" t="s">
        <x:v>36785</x:v>
      </x:c>
      <x:c r="C9230" s="0" t="s">
        <x:v>36786</x:v>
      </x:c>
      <x:c r="E9230" s="0" t="s">
        <x:v>36787</x:v>
      </x:c>
      <x:c r="F9230" s="0" t="s">
        <x:v>45</x:v>
      </x:c>
      <x:c r="G9230" s="0" t="s">
        <x:v>19</x:v>
      </x:c>
      <x:c r="H9230" s="0" t="s">
        <x:v>20</x:v>
      </x:c>
      <x:c r="I9230" s="0" t="s">
        <x:v>21</x:v>
      </x:c>
      <x:c r="K9230" s="0">
        <x:f>hyperlink("https://icd.who.int/dev11/l-ichi/en#/http%3A%2F%2Fid.who.int%2Ficd%2Fentity%2F1365015787","browser")</x:f>
      </x:c>
      <x:c r="L9230" s="0">
        <x:f>hyperlink("https://icat2.azurewebsites.net/icat/?ontology=ICD&amp;tab=ClassesTab&amp;id=http%3A%2F%2Fwho.int%2Ficd%236475_075b017b_ac4c_42d7_a31d_f6f14e3ba684","iCat")</x:f>
      </x:c>
      <x:c r="M9230" s="0" t="s">
        <x:v>21</x:v>
      </x:c>
      <x:c r="N9230" s="0" t="s">
        <x:v>46</x:v>
      </x:c>
    </x:row>
    <x:row r="9231" spans="1:16">
      <x:c r="A9231" s="0" t="s">
        <x:v>36788</x:v>
      </x:c>
      <x:c r="B9231" s="0" t="s">
        <x:v>36789</x:v>
      </x:c>
      <x:c r="C9231" s="0" t="s">
        <x:v>36790</x:v>
      </x:c>
      <x:c r="E9231" s="0" t="s">
        <x:v>36791</x:v>
      </x:c>
      <x:c r="F9231" s="0" t="s">
        <x:v>45</x:v>
      </x:c>
      <x:c r="G9231" s="0" t="s">
        <x:v>19</x:v>
      </x:c>
      <x:c r="H9231" s="0" t="s">
        <x:v>20</x:v>
      </x:c>
      <x:c r="I9231" s="0" t="s">
        <x:v>21</x:v>
      </x:c>
      <x:c r="K9231" s="0">
        <x:f>hyperlink("https://icd.who.int/dev11/l-ichi/en#/http%3A%2F%2Fid.who.int%2Ficd%2Fentity%2F2003308417","browser")</x:f>
      </x:c>
      <x:c r="L9231" s="0">
        <x:f>hyperlink("https://icat2.azurewebsites.net/icat/?ontology=ICD&amp;tab=ClassesTab&amp;id=http%3A%2F%2Fwho.int%2Ficd%2314296_4869915e_217e_423d_acb3_33c0f920ef4b","iCat")</x:f>
      </x:c>
      <x:c r="M9231" s="0" t="s">
        <x:v>21</x:v>
      </x:c>
      <x:c r="N9231" s="0" t="s">
        <x:v>46</x:v>
      </x:c>
    </x:row>
    <x:row r="9232" spans="1:16">
      <x:c r="A9232" s="0" t="s">
        <x:v>36792</x:v>
      </x:c>
      <x:c r="B9232" s="0" t="s">
        <x:v>36793</x:v>
      </x:c>
      <x:c r="C9232" s="0" t="s">
        <x:v>36794</x:v>
      </x:c>
      <x:c r="E9232" s="0" t="s">
        <x:v>36795</x:v>
      </x:c>
      <x:c r="F9232" s="0" t="s">
        <x:v>45</x:v>
      </x:c>
      <x:c r="G9232" s="0" t="s">
        <x:v>19</x:v>
      </x:c>
      <x:c r="H9232" s="0" t="s">
        <x:v>20</x:v>
      </x:c>
      <x:c r="I9232" s="0" t="s">
        <x:v>21</x:v>
      </x:c>
      <x:c r="K9232" s="0">
        <x:f>hyperlink("https://icd.who.int/dev11/l-ichi/en#/http%3A%2F%2Fid.who.int%2Ficd%2Fentity%2F1270673985","browser")</x:f>
      </x:c>
      <x:c r="L9232" s="0">
        <x:f>hyperlink("https://icat2.azurewebsites.net/icat/?ontology=ICD&amp;tab=ClassesTab&amp;id=http%3A%2F%2Fwho.int%2Ficd%236481_075b017b_ac4c_42d7_a31d_f6f14e3ba684","iCat")</x:f>
      </x:c>
      <x:c r="M9232" s="0" t="s">
        <x:v>21</x:v>
      </x:c>
      <x:c r="N9232" s="0" t="s">
        <x:v>46</x:v>
      </x:c>
    </x:row>
    <x:row r="9233" spans="1:16">
      <x:c r="A9233" s="0" t="s">
        <x:v>36796</x:v>
      </x:c>
      <x:c r="B9233" s="0" t="s">
        <x:v>36797</x:v>
      </x:c>
      <x:c r="C9233" s="0" t="s">
        <x:v>36798</x:v>
      </x:c>
      <x:c r="E9233" s="0" t="s">
        <x:v>36799</x:v>
      </x:c>
      <x:c r="F9233" s="0" t="s">
        <x:v>45</x:v>
      </x:c>
      <x:c r="G9233" s="0" t="s">
        <x:v>19</x:v>
      </x:c>
      <x:c r="H9233" s="0" t="s">
        <x:v>20</x:v>
      </x:c>
      <x:c r="I9233" s="0" t="s">
        <x:v>21</x:v>
      </x:c>
      <x:c r="K9233" s="0">
        <x:f>hyperlink("https://icd.who.int/dev11/l-ichi/en#/http%3A%2F%2Fid.who.int%2Ficd%2Fentity%2F466037746","browser")</x:f>
      </x:c>
      <x:c r="L9233" s="0">
        <x:f>hyperlink("https://icat2.azurewebsites.net/icat/?ontology=ICD&amp;tab=ClassesTab&amp;id=http%3A%2F%2Fwho.int%2Ficd%236487_075b017b_ac4c_42d7_a31d_f6f14e3ba684","iCat")</x:f>
      </x:c>
      <x:c r="M9233" s="0" t="s">
        <x:v>21</x:v>
      </x:c>
      <x:c r="N9233" s="0" t="s">
        <x:v>46</x:v>
      </x:c>
    </x:row>
    <x:row r="9234" spans="1:16">
      <x:c r="A9234" s="0" t="s">
        <x:v>36800</x:v>
      </x:c>
      <x:c r="B9234" s="0" t="s">
        <x:v>36801</x:v>
      </x:c>
      <x:c r="C9234" s="0" t="s">
        <x:v>36802</x:v>
      </x:c>
      <x:c r="E9234" s="0" t="s">
        <x:v>36803</x:v>
      </x:c>
      <x:c r="F9234" s="0" t="s">
        <x:v>45</x:v>
      </x:c>
      <x:c r="G9234" s="0" t="s">
        <x:v>19</x:v>
      </x:c>
      <x:c r="H9234" s="0" t="s">
        <x:v>20</x:v>
      </x:c>
      <x:c r="I9234" s="0" t="s">
        <x:v>21</x:v>
      </x:c>
      <x:c r="K9234" s="0">
        <x:f>hyperlink("https://icd.who.int/dev11/l-ichi/en#/http%3A%2F%2Fid.who.int%2Ficd%2Fentity%2F1141209811","browser")</x:f>
      </x:c>
      <x:c r="L9234" s="0">
        <x:f>hyperlink("https://icat2.azurewebsites.net/icat/?ontology=ICD&amp;tab=ClassesTab&amp;id=http%3A%2F%2Fwho.int%2Ficd%236493_075b017b_ac4c_42d7_a31d_f6f14e3ba684","iCat")</x:f>
      </x:c>
      <x:c r="M9234" s="0" t="s">
        <x:v>21</x:v>
      </x:c>
      <x:c r="N9234" s="0" t="s">
        <x:v>46</x:v>
      </x:c>
    </x:row>
    <x:row r="9235" spans="1:16">
      <x:c r="A9235" s="0" t="s">
        <x:v>36804</x:v>
      </x:c>
      <x:c r="B9235" s="0" t="s">
        <x:v>36805</x:v>
      </x:c>
      <x:c r="C9235" s="0" t="s">
        <x:v>36806</x:v>
      </x:c>
      <x:c r="E9235" s="0" t="s">
        <x:v>36807</x:v>
      </x:c>
      <x:c r="F9235" s="0" t="s">
        <x:v>45</x:v>
      </x:c>
      <x:c r="G9235" s="0" t="s">
        <x:v>19</x:v>
      </x:c>
      <x:c r="H9235" s="0" t="s">
        <x:v>20</x:v>
      </x:c>
      <x:c r="I9235" s="0" t="s">
        <x:v>21</x:v>
      </x:c>
      <x:c r="K9235" s="0">
        <x:f>hyperlink("https://icd.who.int/dev11/l-ichi/en#/http%3A%2F%2Fid.who.int%2Ficd%2Fentity%2F1878529603","browser")</x:f>
      </x:c>
      <x:c r="L9235" s="0">
        <x:f>hyperlink("https://icat2.azurewebsites.net/icat/?ontology=ICD&amp;tab=ClassesTab&amp;id=http%3A%2F%2Fwho.int%2Ficd%236499_075b017b_ac4c_42d7_a31d_f6f14e3ba684","iCat")</x:f>
      </x:c>
      <x:c r="M9235" s="0" t="s">
        <x:v>21</x:v>
      </x:c>
      <x:c r="N9235" s="0" t="s">
        <x:v>46</x:v>
      </x:c>
    </x:row>
    <x:row r="9236" spans="1:16">
      <x:c r="A9236" s="0" t="s">
        <x:v>36808</x:v>
      </x:c>
      <x:c r="B9236" s="0" t="s">
        <x:v>36809</x:v>
      </x:c>
      <x:c r="C9236" s="0" t="s">
        <x:v>36810</x:v>
      </x:c>
      <x:c r="E9236" s="0" t="s">
        <x:v>36811</x:v>
      </x:c>
      <x:c r="F9236" s="0" t="s">
        <x:v>45</x:v>
      </x:c>
      <x:c r="G9236" s="0" t="s">
        <x:v>19</x:v>
      </x:c>
      <x:c r="H9236" s="0" t="s">
        <x:v>20</x:v>
      </x:c>
      <x:c r="I9236" s="0" t="s">
        <x:v>21</x:v>
      </x:c>
      <x:c r="K9236" s="0">
        <x:f>hyperlink("https://icd.who.int/dev11/l-ichi/en#/http%3A%2F%2Fid.who.int%2Ficd%2Fentity%2F336963948","browser")</x:f>
      </x:c>
      <x:c r="L9236" s="0">
        <x:f>hyperlink("https://icat2.azurewebsites.net/icat/?ontology=ICD&amp;tab=ClassesTab&amp;id=http%3A%2F%2Fwho.int%2Ficd%236505_075b017b_ac4c_42d7_a31d_f6f14e3ba684","iCat")</x:f>
      </x:c>
      <x:c r="M9236" s="0" t="s">
        <x:v>21</x:v>
      </x:c>
      <x:c r="N9236" s="0" t="s">
        <x:v>46</x:v>
      </x:c>
    </x:row>
    <x:row r="9237" spans="1:16">
      <x:c r="A9237" s="0" t="s">
        <x:v>36812</x:v>
      </x:c>
      <x:c r="B9237" s="0" t="s">
        <x:v>36813</x:v>
      </x:c>
      <x:c r="C9237" s="0" t="s">
        <x:v>36814</x:v>
      </x:c>
      <x:c r="E9237" s="0" t="s">
        <x:v>36815</x:v>
      </x:c>
      <x:c r="F9237" s="0" t="s">
        <x:v>45</x:v>
      </x:c>
      <x:c r="G9237" s="0" t="s">
        <x:v>19</x:v>
      </x:c>
      <x:c r="H9237" s="0" t="s">
        <x:v>20</x:v>
      </x:c>
      <x:c r="I9237" s="0" t="s">
        <x:v>21</x:v>
      </x:c>
      <x:c r="K9237" s="0">
        <x:f>hyperlink("https://icd.who.int/dev11/l-ichi/en#/http%3A%2F%2Fid.who.int%2Ficd%2Fentity%2F1272445007","browser")</x:f>
      </x:c>
      <x:c r="L9237" s="0">
        <x:f>hyperlink("https://icat2.azurewebsites.net/icat/?ontology=ICD&amp;tab=ClassesTab&amp;id=http%3A%2F%2Fwho.int%2Ficd%236511_075b017b_ac4c_42d7_a31d_f6f14e3ba684","iCat")</x:f>
      </x:c>
      <x:c r="M9237" s="0" t="s">
        <x:v>21</x:v>
      </x:c>
      <x:c r="N9237" s="0" t="s">
        <x:v>46</x:v>
      </x:c>
    </x:row>
    <x:row r="9238" spans="1:16">
      <x:c r="A9238" s="0" t="s">
        <x:v>36816</x:v>
      </x:c>
      <x:c r="B9238" s="0" t="s">
        <x:v>36817</x:v>
      </x:c>
      <x:c r="C9238" s="0" t="s">
        <x:v>36818</x:v>
      </x:c>
      <x:c r="E9238" s="0" t="s">
        <x:v>36819</x:v>
      </x:c>
      <x:c r="F9238" s="0" t="s">
        <x:v>45</x:v>
      </x:c>
      <x:c r="G9238" s="0" t="s">
        <x:v>19</x:v>
      </x:c>
      <x:c r="H9238" s="0" t="s">
        <x:v>20</x:v>
      </x:c>
      <x:c r="I9238" s="0" t="s">
        <x:v>21</x:v>
      </x:c>
      <x:c r="K9238" s="0">
        <x:f>hyperlink("https://icd.who.int/dev11/l-ichi/en#/http%3A%2F%2Fid.who.int%2Ficd%2Fentity%2F464265726","browser")</x:f>
      </x:c>
      <x:c r="L9238" s="0">
        <x:f>hyperlink("https://icat2.azurewebsites.net/icat/?ontology=ICD&amp;tab=ClassesTab&amp;id=http%3A%2F%2Fwho.int%2Ficd%236517_075b017b_ac4c_42d7_a31d_f6f14e3ba684","iCat")</x:f>
      </x:c>
      <x:c r="M9238" s="0" t="s">
        <x:v>21</x:v>
      </x:c>
      <x:c r="N9238" s="0" t="s">
        <x:v>46</x:v>
      </x:c>
    </x:row>
    <x:row r="9239" spans="1:16">
      <x:c r="A9239" s="0" t="s">
        <x:v>36820</x:v>
      </x:c>
      <x:c r="B9239" s="0" t="s">
        <x:v>36821</x:v>
      </x:c>
      <x:c r="C9239" s="0" t="s">
        <x:v>36822</x:v>
      </x:c>
      <x:c r="E9239" s="0" t="s">
        <x:v>36823</x:v>
      </x:c>
      <x:c r="F9239" s="0" t="s">
        <x:v>45</x:v>
      </x:c>
      <x:c r="G9239" s="0" t="s">
        <x:v>19</x:v>
      </x:c>
      <x:c r="H9239" s="0" t="s">
        <x:v>20</x:v>
      </x:c>
      <x:c r="I9239" s="0" t="s">
        <x:v>21</x:v>
      </x:c>
      <x:c r="K9239" s="0">
        <x:f>hyperlink("https://icd.who.int/dev11/l-ichi/en#/http%3A%2F%2Fid.who.int%2Ficd%2Fentity%2F1847240077","browser")</x:f>
      </x:c>
      <x:c r="L9239" s="0">
        <x:f>hyperlink("https://icat2.azurewebsites.net/icat/?ontology=ICD&amp;tab=ClassesTab&amp;id=http%3A%2F%2Fwho.int%2Ficd%236523_075b017b_ac4c_42d7_a31d_f6f14e3ba684","iCat")</x:f>
      </x:c>
      <x:c r="M9239" s="0" t="s">
        <x:v>21</x:v>
      </x:c>
      <x:c r="N9239" s="0" t="s">
        <x:v>46</x:v>
      </x:c>
    </x:row>
    <x:row r="9240" spans="1:16">
      <x:c r="A9240" s="0" t="s">
        <x:v>36824</x:v>
      </x:c>
      <x:c r="B9240" s="0" t="s">
        <x:v>36825</x:v>
      </x:c>
      <x:c r="C9240" s="0" t="s">
        <x:v>36826</x:v>
      </x:c>
      <x:c r="E9240" s="0" t="s">
        <x:v>36827</x:v>
      </x:c>
      <x:c r="F9240" s="0" t="s">
        <x:v>45</x:v>
      </x:c>
      <x:c r="G9240" s="0" t="s">
        <x:v>19</x:v>
      </x:c>
      <x:c r="H9240" s="0" t="s">
        <x:v>20</x:v>
      </x:c>
      <x:c r="I9240" s="0" t="s">
        <x:v>21</x:v>
      </x:c>
      <x:c r="K9240" s="0">
        <x:f>hyperlink("https://icd.who.int/dev11/l-ichi/en#/http%3A%2F%2Fid.who.int%2Ficd%2Fentity%2F1172818205","browser")</x:f>
      </x:c>
      <x:c r="L9240" s="0">
        <x:f>hyperlink("https://icat2.azurewebsites.net/icat/?ontology=ICD&amp;tab=ClassesTab&amp;id=http%3A%2F%2Fwho.int%2Ficd%236529_075b017b_ac4c_42d7_a31d_f6f14e3ba684","iCat")</x:f>
      </x:c>
      <x:c r="M9240" s="0" t="s">
        <x:v>21</x:v>
      </x:c>
      <x:c r="N9240" s="0" t="s">
        <x:v>46</x:v>
      </x:c>
    </x:row>
    <x:row r="9241" spans="1:16">
      <x:c r="A9241" s="0" t="s">
        <x:v>36828</x:v>
      </x:c>
      <x:c r="B9241" s="0" t="s">
        <x:v>36829</x:v>
      </x:c>
      <x:c r="C9241" s="0" t="s">
        <x:v>36830</x:v>
      </x:c>
      <x:c r="E9241" s="0" t="s">
        <x:v>36831</x:v>
      </x:c>
      <x:c r="F9241" s="0" t="s">
        <x:v>45</x:v>
      </x:c>
      <x:c r="G9241" s="0" t="s">
        <x:v>19</x:v>
      </x:c>
      <x:c r="H9241" s="0" t="s">
        <x:v>20</x:v>
      </x:c>
      <x:c r="I9241" s="0" t="s">
        <x:v>21</x:v>
      </x:c>
      <x:c r="K9241" s="0">
        <x:f>hyperlink("https://icd.who.int/dev11/l-ichi/en#/http%3A%2F%2Fid.who.int%2Ficd%2Fentity%2F1420093803","browser")</x:f>
      </x:c>
      <x:c r="L9241" s="0">
        <x:f>hyperlink("https://icat2.azurewebsites.net/icat/?ontology=ICD&amp;tab=ClassesTab&amp;id=http%3A%2F%2Fwho.int%2Ficd%236535_075b017b_ac4c_42d7_a31d_f6f14e3ba684","iCat")</x:f>
      </x:c>
      <x:c r="M9241" s="0" t="s">
        <x:v>21</x:v>
      </x:c>
      <x:c r="N9241" s="0" t="s">
        <x:v>46</x:v>
      </x:c>
    </x:row>
    <x:row r="9242" spans="1:16">
      <x:c r="A9242" s="0" t="s">
        <x:v>36832</x:v>
      </x:c>
      <x:c r="B9242" s="0" t="s">
        <x:v>36833</x:v>
      </x:c>
      <x:c r="C9242" s="0" t="s">
        <x:v>36834</x:v>
      </x:c>
      <x:c r="E9242" s="0" t="s">
        <x:v>36835</x:v>
      </x:c>
      <x:c r="F9242" s="0" t="s">
        <x:v>45</x:v>
      </x:c>
      <x:c r="G9242" s="0" t="s">
        <x:v>19</x:v>
      </x:c>
      <x:c r="H9242" s="0" t="s">
        <x:v>20</x:v>
      </x:c>
      <x:c r="I9242" s="0" t="s">
        <x:v>21</x:v>
      </x:c>
      <x:c r="K9242" s="0">
        <x:f>hyperlink("https://icd.who.int/dev11/l-ichi/en#/http%3A%2F%2Fid.who.int%2Ficd%2Fentity%2F1366638085","browser")</x:f>
      </x:c>
      <x:c r="L9242" s="0">
        <x:f>hyperlink("https://icat2.azurewebsites.net/icat/?ontology=ICD&amp;tab=ClassesTab&amp;id=http%3A%2F%2Fwho.int%2Ficd%236541_075b017b_ac4c_42d7_a31d_f6f14e3ba684","iCat")</x:f>
      </x:c>
      <x:c r="M9242" s="0" t="s">
        <x:v>21</x:v>
      </x:c>
      <x:c r="N9242" s="0" t="s">
        <x:v>46</x:v>
      </x:c>
    </x:row>
    <x:row r="9243" spans="1:16">
      <x:c r="A9243" s="0" t="s">
        <x:v>36836</x:v>
      </x:c>
      <x:c r="B9243" s="0" t="s">
        <x:v>36837</x:v>
      </x:c>
      <x:c r="C9243" s="0" t="s">
        <x:v>36838</x:v>
      </x:c>
      <x:c r="E9243" s="0" t="s">
        <x:v>36839</x:v>
      </x:c>
      <x:c r="F9243" s="0" t="s">
        <x:v>45</x:v>
      </x:c>
      <x:c r="G9243" s="0" t="s">
        <x:v>19</x:v>
      </x:c>
      <x:c r="H9243" s="0" t="s">
        <x:v>20</x:v>
      </x:c>
      <x:c r="I9243" s="0" t="s">
        <x:v>21</x:v>
      </x:c>
      <x:c r="K9243" s="0">
        <x:f>hyperlink("https://icd.who.int/dev11/l-ichi/en#/http%3A%2F%2Fid.who.int%2Ficd%2Fentity%2F17754036","browser")</x:f>
      </x:c>
      <x:c r="L9243" s="0">
        <x:f>hyperlink("https://icat2.azurewebsites.net/icat/?ontology=ICD&amp;tab=ClassesTab&amp;id=http%3A%2F%2Fwho.int%2Ficd%236547_075b017b_ac4c_42d7_a31d_f6f14e3ba684","iCat")</x:f>
      </x:c>
      <x:c r="M9243" s="0" t="s">
        <x:v>21</x:v>
      </x:c>
      <x:c r="N9243" s="0" t="s">
        <x:v>46</x:v>
      </x:c>
    </x:row>
    <x:row r="9244" spans="1:16">
      <x:c r="A9244" s="0" t="s">
        <x:v>36840</x:v>
      </x:c>
      <x:c r="B9244" s="0" t="s">
        <x:v>36841</x:v>
      </x:c>
      <x:c r="C9244" s="0" t="s">
        <x:v>36842</x:v>
      </x:c>
      <x:c r="E9244" s="0" t="s">
        <x:v>36843</x:v>
      </x:c>
      <x:c r="F9244" s="0" t="s">
        <x:v>45</x:v>
      </x:c>
      <x:c r="G9244" s="0" t="s">
        <x:v>19</x:v>
      </x:c>
      <x:c r="H9244" s="0" t="s">
        <x:v>20</x:v>
      </x:c>
      <x:c r="I9244" s="0" t="s">
        <x:v>21</x:v>
      </x:c>
      <x:c r="K9244" s="0">
        <x:f>hyperlink("https://icd.who.int/dev11/l-ichi/en#/http%3A%2F%2Fid.who.int%2Ficd%2Fentity%2F1590474391","browser")</x:f>
      </x:c>
      <x:c r="L9244" s="0">
        <x:f>hyperlink("https://icat2.azurewebsites.net/icat/?ontology=ICD&amp;tab=ClassesTab&amp;id=http%3A%2F%2Fwho.int%2Ficd%236553_075b017b_ac4c_42d7_a31d_f6f14e3ba684","iCat")</x:f>
      </x:c>
      <x:c r="M9244" s="0" t="s">
        <x:v>21</x:v>
      </x:c>
      <x:c r="N9244" s="0" t="s">
        <x:v>46</x:v>
      </x:c>
    </x:row>
    <x:row r="9245" spans="1:16">
      <x:c r="A9245" s="0" t="s">
        <x:v>36844</x:v>
      </x:c>
      <x:c r="B9245" s="0" t="s">
        <x:v>36845</x:v>
      </x:c>
      <x:c r="C9245" s="0" t="s">
        <x:v>36846</x:v>
      </x:c>
      <x:c r="E9245" s="0" t="s">
        <x:v>36847</x:v>
      </x:c>
      <x:c r="F9245" s="0" t="s">
        <x:v>45</x:v>
      </x:c>
      <x:c r="G9245" s="0" t="s">
        <x:v>19</x:v>
      </x:c>
      <x:c r="H9245" s="0" t="s">
        <x:v>20</x:v>
      </x:c>
      <x:c r="I9245" s="0" t="s">
        <x:v>21</x:v>
      </x:c>
      <x:c r="K9245" s="0">
        <x:f>hyperlink("https://icd.who.int/dev11/l-ichi/en#/http%3A%2F%2Fid.who.int%2Ficd%2Fentity%2F1966201351","browser")</x:f>
      </x:c>
      <x:c r="L9245" s="0">
        <x:f>hyperlink("https://icat2.azurewebsites.net/icat/?ontology=ICD&amp;tab=ClassesTab&amp;id=http%3A%2F%2Fwho.int%2Ficd%236559_075b017b_ac4c_42d7_a31d_f6f14e3ba684","iCat")</x:f>
      </x:c>
      <x:c r="M9245" s="0" t="s">
        <x:v>21</x:v>
      </x:c>
      <x:c r="N9245" s="0" t="s">
        <x:v>46</x:v>
      </x:c>
    </x:row>
    <x:row r="9246" spans="1:16">
      <x:c r="A9246" s="0" t="s">
        <x:v>36848</x:v>
      </x:c>
      <x:c r="B9246" s="0" t="s">
        <x:v>36849</x:v>
      </x:c>
      <x:c r="C9246" s="0" t="s">
        <x:v>36850</x:v>
      </x:c>
      <x:c r="E9246" s="0" t="s">
        <x:v>36851</x:v>
      </x:c>
      <x:c r="F9246" s="0" t="s">
        <x:v>45</x:v>
      </x:c>
      <x:c r="G9246" s="0" t="s">
        <x:v>19</x:v>
      </x:c>
      <x:c r="H9246" s="0" t="s">
        <x:v>20</x:v>
      </x:c>
      <x:c r="I9246" s="0" t="s">
        <x:v>21</x:v>
      </x:c>
      <x:c r="K9246" s="0">
        <x:f>hyperlink("https://icd.who.int/dev11/l-ichi/en#/http%3A%2F%2Fid.who.int%2Ficd%2Fentity%2F1309028129","browser")</x:f>
      </x:c>
      <x:c r="L9246" s="0">
        <x:f>hyperlink("https://icat2.azurewebsites.net/icat/?ontology=ICD&amp;tab=ClassesTab&amp;id=http%3A%2F%2Fwho.int%2Ficd%236565_075b017b_ac4c_42d7_a31d_f6f14e3ba684","iCat")</x:f>
      </x:c>
      <x:c r="M9246" s="0" t="s">
        <x:v>21</x:v>
      </x:c>
      <x:c r="N9246" s="0" t="s">
        <x:v>46</x:v>
      </x:c>
    </x:row>
    <x:row r="9247" spans="1:16">
      <x:c r="A9247" s="0" t="s">
        <x:v>36852</x:v>
      </x:c>
      <x:c r="B9247" s="0" t="s">
        <x:v>36853</x:v>
      </x:c>
      <x:c r="C9247" s="0" t="s">
        <x:v>36854</x:v>
      </x:c>
      <x:c r="E9247" s="0" t="s">
        <x:v>36855</x:v>
      </x:c>
      <x:c r="F9247" s="0" t="s">
        <x:v>45</x:v>
      </x:c>
      <x:c r="G9247" s="0" t="s">
        <x:v>19</x:v>
      </x:c>
      <x:c r="H9247" s="0" t="s">
        <x:v>20</x:v>
      </x:c>
      <x:c r="I9247" s="0" t="s">
        <x:v>21</x:v>
      </x:c>
      <x:c r="K9247" s="0">
        <x:f>hyperlink("https://icd.who.int/dev11/l-ichi/en#/http%3A%2F%2Fid.who.int%2Ficd%2Fentity%2F298089986","browser")</x:f>
      </x:c>
      <x:c r="L9247" s="0">
        <x:f>hyperlink("https://icat2.azurewebsites.net/icat/?ontology=ICD&amp;tab=ClassesTab&amp;id=http%3A%2F%2Fwho.int%2Ficd%236571_075b017b_ac4c_42d7_a31d_f6f14e3ba684","iCat")</x:f>
      </x:c>
      <x:c r="M9247" s="0" t="s">
        <x:v>21</x:v>
      </x:c>
      <x:c r="N9247" s="0" t="s">
        <x:v>46</x:v>
      </x:c>
    </x:row>
    <x:row r="9248" spans="1:16">
      <x:c r="A9248" s="0" t="s">
        <x:v>36856</x:v>
      </x:c>
      <x:c r="B9248" s="0" t="s">
        <x:v>36857</x:v>
      </x:c>
      <x:c r="C9248" s="0" t="s">
        <x:v>36858</x:v>
      </x:c>
      <x:c r="E9248" s="0" t="s">
        <x:v>36859</x:v>
      </x:c>
      <x:c r="F9248" s="0" t="s">
        <x:v>45</x:v>
      </x:c>
      <x:c r="G9248" s="0" t="s">
        <x:v>19</x:v>
      </x:c>
      <x:c r="H9248" s="0" t="s">
        <x:v>20</x:v>
      </x:c>
      <x:c r="I9248" s="0" t="s">
        <x:v>21</x:v>
      </x:c>
      <x:c r="K9248" s="0">
        <x:f>hyperlink("https://icd.who.int/dev11/l-ichi/en#/http%3A%2F%2Fid.who.int%2Ficd%2Fentity%2F1103079347","browser")</x:f>
      </x:c>
      <x:c r="L9248" s="0">
        <x:f>hyperlink("https://icat2.azurewebsites.net/icat/?ontology=ICD&amp;tab=ClassesTab&amp;id=http%3A%2F%2Fwho.int%2Ficd%236577_075b017b_ac4c_42d7_a31d_f6f14e3ba684","iCat")</x:f>
      </x:c>
      <x:c r="M9248" s="0" t="s">
        <x:v>21</x:v>
      </x:c>
      <x:c r="N9248" s="0" t="s">
        <x:v>46</x:v>
      </x:c>
    </x:row>
    <x:row r="9249" spans="1:16">
      <x:c r="A9249" s="0" t="s">
        <x:v>36860</x:v>
      </x:c>
      <x:c r="B9249" s="0" t="s">
        <x:v>36861</x:v>
      </x:c>
      <x:c r="C9249" s="0" t="s">
        <x:v>36862</x:v>
      </x:c>
      <x:c r="E9249" s="0" t="s">
        <x:v>36863</x:v>
      </x:c>
      <x:c r="F9249" s="0" t="s">
        <x:v>45</x:v>
      </x:c>
      <x:c r="G9249" s="0" t="s">
        <x:v>19</x:v>
      </x:c>
      <x:c r="H9249" s="0" t="s">
        <x:v>20</x:v>
      </x:c>
      <x:c r="I9249" s="0" t="s">
        <x:v>21</x:v>
      </x:c>
      <x:c r="K9249" s="0">
        <x:f>hyperlink("https://icd.who.int/dev11/l-ichi/en#/http%3A%2F%2Fid.who.int%2Ficd%2Fentity%2F1532963097","browser")</x:f>
      </x:c>
      <x:c r="L9249" s="0">
        <x:f>hyperlink("https://icat2.azurewebsites.net/icat/?ontology=ICD&amp;tab=ClassesTab&amp;id=http%3A%2F%2Fwho.int%2Ficd%236583_075b017b_ac4c_42d7_a31d_f6f14e3ba684","iCat")</x:f>
      </x:c>
      <x:c r="M9249" s="0" t="s">
        <x:v>21</x:v>
      </x:c>
      <x:c r="N9249" s="0" t="s">
        <x:v>46</x:v>
      </x:c>
    </x:row>
    <x:row r="9250" spans="1:16">
      <x:c r="A9250" s="0" t="s">
        <x:v>36864</x:v>
      </x:c>
      <x:c r="B9250" s="0" t="s">
        <x:v>36865</x:v>
      </x:c>
      <x:c r="C9250" s="0" t="s">
        <x:v>36866</x:v>
      </x:c>
      <x:c r="E9250" s="0" t="s">
        <x:v>36867</x:v>
      </x:c>
      <x:c r="F9250" s="0" t="s">
        <x:v>45</x:v>
      </x:c>
      <x:c r="G9250" s="0" t="s">
        <x:v>19</x:v>
      </x:c>
      <x:c r="H9250" s="0" t="s">
        <x:v>20</x:v>
      </x:c>
      <x:c r="I9250" s="0" t="s">
        <x:v>21</x:v>
      </x:c>
      <x:c r="K9250" s="0">
        <x:f>hyperlink("https://icd.who.int/dev11/l-ichi/en#/http%3A%2F%2Fid.who.int%2Ficd%2Fentity%2F1889682825","browser")</x:f>
      </x:c>
      <x:c r="L9250" s="0">
        <x:f>hyperlink("https://icat2.azurewebsites.net/icat/?ontology=ICD&amp;tab=ClassesTab&amp;id=http%3A%2F%2Fwho.int%2Ficd%236589_075b017b_ac4c_42d7_a31d_f6f14e3ba684","iCat")</x:f>
      </x:c>
      <x:c r="M9250" s="0" t="s">
        <x:v>21</x:v>
      </x:c>
      <x:c r="N9250" s="0" t="s">
        <x:v>46</x:v>
      </x:c>
    </x:row>
    <x:row r="9251" spans="1:16">
      <x:c r="A9251" s="0" t="s">
        <x:v>36868</x:v>
      </x:c>
      <x:c r="B9251" s="0" t="s">
        <x:v>36869</x:v>
      </x:c>
      <x:c r="C9251" s="0" t="s">
        <x:v>36870</x:v>
      </x:c>
      <x:c r="E9251" s="0" t="s">
        <x:v>36871</x:v>
      </x:c>
      <x:c r="F9251" s="0" t="s">
        <x:v>45</x:v>
      </x:c>
      <x:c r="G9251" s="0" t="s">
        <x:v>19</x:v>
      </x:c>
      <x:c r="H9251" s="0" t="s">
        <x:v>20</x:v>
      </x:c>
      <x:c r="I9251" s="0" t="s">
        <x:v>21</x:v>
      </x:c>
      <x:c r="K9251" s="0">
        <x:f>hyperlink("https://icd.who.int/dev11/l-ichi/en#/http%3A%2F%2Fid.who.int%2Ficd%2Fentity%2F1642161663","browser")</x:f>
      </x:c>
      <x:c r="L9251" s="0">
        <x:f>hyperlink("https://icat2.azurewebsites.net/icat/?ontology=ICD&amp;tab=ClassesTab&amp;id=http%3A%2F%2Fwho.int%2Ficd%236595_075b017b_ac4c_42d7_a31d_f6f14e3ba684","iCat")</x:f>
      </x:c>
      <x:c r="M9251" s="0" t="s">
        <x:v>21</x:v>
      </x:c>
      <x:c r="N9251" s="0" t="s">
        <x:v>46</x:v>
      </x:c>
    </x:row>
    <x:row r="9252" spans="1:16">
      <x:c r="A9252" s="0" t="s">
        <x:v>36872</x:v>
      </x:c>
      <x:c r="B9252" s="0" t="s">
        <x:v>36873</x:v>
      </x:c>
      <x:c r="C9252" s="0" t="s">
        <x:v>36874</x:v>
      </x:c>
      <x:c r="E9252" s="0" t="s">
        <x:v>36875</x:v>
      </x:c>
      <x:c r="F9252" s="0" t="s">
        <x:v>45</x:v>
      </x:c>
      <x:c r="G9252" s="0" t="s">
        <x:v>19</x:v>
      </x:c>
      <x:c r="H9252" s="0" t="s">
        <x:v>20</x:v>
      </x:c>
      <x:c r="I9252" s="0" t="s">
        <x:v>21</x:v>
      </x:c>
      <x:c r="K9252" s="0">
        <x:f>hyperlink("https://icd.who.int/dev11/l-ichi/en#/http%3A%2F%2Fid.who.int%2Ficd%2Fentity%2F1078843713","browser")</x:f>
      </x:c>
      <x:c r="L9252" s="0">
        <x:f>hyperlink("https://icat2.azurewebsites.net/icat/?ontology=ICD&amp;tab=ClassesTab&amp;id=http%3A%2F%2Fwho.int%2Ficd%236601_075b017b_ac4c_42d7_a31d_f6f14e3ba684","iCat")</x:f>
      </x:c>
      <x:c r="M9252" s="0" t="s">
        <x:v>21</x:v>
      </x:c>
      <x:c r="N9252" s="0" t="s">
        <x:v>46</x:v>
      </x:c>
    </x:row>
    <x:row r="9253" spans="1:16">
      <x:c r="A9253" s="0" t="s">
        <x:v>36876</x:v>
      </x:c>
      <x:c r="B9253" s="0" t="s">
        <x:v>36877</x:v>
      </x:c>
      <x:c r="C9253" s="0" t="s">
        <x:v>36878</x:v>
      </x:c>
      <x:c r="E9253" s="0" t="s">
        <x:v>36879</x:v>
      </x:c>
      <x:c r="F9253" s="0" t="s">
        <x:v>45</x:v>
      </x:c>
      <x:c r="G9253" s="0" t="s">
        <x:v>19</x:v>
      </x:c>
      <x:c r="H9253" s="0" t="s">
        <x:v>20</x:v>
      </x:c>
      <x:c r="I9253" s="0" t="s">
        <x:v>21</x:v>
      </x:c>
      <x:c r="K9253" s="0">
        <x:f>hyperlink("https://icd.who.int/dev11/l-ichi/en#/http%3A%2F%2Fid.who.int%2Ficd%2Fentity%2F271974642","browser")</x:f>
      </x:c>
      <x:c r="L9253" s="0">
        <x:f>hyperlink("https://icat2.azurewebsites.net/icat/?ontology=ICD&amp;tab=ClassesTab&amp;id=http%3A%2F%2Fwho.int%2Ficd%236607_075b017b_ac4c_42d7_a31d_f6f14e3ba684","iCat")</x:f>
      </x:c>
      <x:c r="M9253" s="0" t="s">
        <x:v>21</x:v>
      </x:c>
      <x:c r="N9253" s="0" t="s">
        <x:v>46</x:v>
      </x:c>
    </x:row>
    <x:row r="9254" spans="1:16">
      <x:c r="A9254" s="0" t="s">
        <x:v>36880</x:v>
      </x:c>
      <x:c r="B9254" s="0" t="s">
        <x:v>36881</x:v>
      </x:c>
      <x:c r="C9254" s="0" t="s">
        <x:v>36882</x:v>
      </x:c>
      <x:c r="E9254" s="0" t="s">
        <x:v>36883</x:v>
      </x:c>
      <x:c r="F9254" s="0" t="s">
        <x:v>45</x:v>
      </x:c>
      <x:c r="G9254" s="0" t="s">
        <x:v>19</x:v>
      </x:c>
      <x:c r="H9254" s="0" t="s">
        <x:v>20</x:v>
      </x:c>
      <x:c r="I9254" s="0" t="s">
        <x:v>21</x:v>
      </x:c>
      <x:c r="K9254" s="0">
        <x:f>hyperlink("https://icd.who.int/dev11/l-ichi/en#/http%3A%2F%2Fid.who.int%2Ficd%2Fentity%2F1341411795","browser")</x:f>
      </x:c>
      <x:c r="L9254" s="0">
        <x:f>hyperlink("https://icat2.azurewebsites.net/icat/?ontology=ICD&amp;tab=ClassesTab&amp;id=http%3A%2F%2Fwho.int%2Ficd%236613_075b017b_ac4c_42d7_a31d_f6f14e3ba684","iCat")</x:f>
      </x:c>
      <x:c r="M9254" s="0" t="s">
        <x:v>21</x:v>
      </x:c>
      <x:c r="N9254" s="0" t="s">
        <x:v>46</x:v>
      </x:c>
    </x:row>
    <x:row r="9255" spans="1:16">
      <x:c r="A9255" s="0" t="s">
        <x:v>36884</x:v>
      </x:c>
      <x:c r="B9255" s="0" t="s">
        <x:v>36885</x:v>
      </x:c>
      <x:c r="C9255" s="0" t="s">
        <x:v>36886</x:v>
      </x:c>
      <x:c r="E9255" s="0" t="s">
        <x:v>36887</x:v>
      </x:c>
      <x:c r="F9255" s="0" t="s">
        <x:v>45</x:v>
      </x:c>
      <x:c r="G9255" s="0" t="s">
        <x:v>19</x:v>
      </x:c>
      <x:c r="H9255" s="0" t="s">
        <x:v>20</x:v>
      </x:c>
      <x:c r="I9255" s="0" t="s">
        <x:v>21</x:v>
      </x:c>
      <x:c r="K9255" s="0">
        <x:f>hyperlink("https://icd.who.int/dev11/l-ichi/en#/http%3A%2F%2Fid.who.int%2Ficd%2Fentity%2F1980885449","browser")</x:f>
      </x:c>
      <x:c r="L9255" s="0">
        <x:f>hyperlink("https://icat2.azurewebsites.net/icat/?ontology=ICD&amp;tab=ClassesTab&amp;id=http%3A%2F%2Fwho.int%2Ficd%2348267_512ebf36_bf6b_4d70_85da_cf2637062af4","iCat")</x:f>
      </x:c>
      <x:c r="M9255" s="0" t="s">
        <x:v>21</x:v>
      </x:c>
      <x:c r="N9255" s="0" t="s">
        <x:v>46</x:v>
      </x:c>
    </x:row>
    <x:row r="9256" spans="1:16">
      <x:c r="A9256" s="0" t="s">
        <x:v>36888</x:v>
      </x:c>
      <x:c r="B9256" s="0" t="s">
        <x:v>36889</x:v>
      </x:c>
      <x:c r="C9256" s="0" t="s">
        <x:v>36890</x:v>
      </x:c>
      <x:c r="E9256" s="0" t="s">
        <x:v>36891</x:v>
      </x:c>
      <x:c r="F9256" s="0" t="s">
        <x:v>45</x:v>
      </x:c>
      <x:c r="G9256" s="0" t="s">
        <x:v>19</x:v>
      </x:c>
      <x:c r="H9256" s="0" t="s">
        <x:v>20</x:v>
      </x:c>
      <x:c r="I9256" s="0" t="s">
        <x:v>21</x:v>
      </x:c>
      <x:c r="K9256" s="0">
        <x:f>hyperlink("https://icd.who.int/dev11/l-ichi/en#/http%3A%2F%2Fid.who.int%2Ficd%2Fentity%2F1641936046","browser")</x:f>
      </x:c>
      <x:c r="L9256" s="0">
        <x:f>hyperlink("https://icat2.azurewebsites.net/icat/?ontology=ICD&amp;tab=ClassesTab&amp;id=http%3A%2F%2Fwho.int%2Ficd%237088_075b017b_ac4c_42d7_a31d_f6f14e3ba684","iCat")</x:f>
      </x:c>
      <x:c r="M9256" s="0" t="s">
        <x:v>21</x:v>
      </x:c>
      <x:c r="N9256" s="0" t="s">
        <x:v>46</x:v>
      </x:c>
    </x:row>
    <x:row r="9257" spans="1:16">
      <x:c r="A9257" s="0" t="s">
        <x:v>36892</x:v>
      </x:c>
      <x:c r="B9257" s="0" t="s">
        <x:v>36893</x:v>
      </x:c>
      <x:c r="C9257" s="0" t="s">
        <x:v>36894</x:v>
      </x:c>
      <x:c r="E9257" s="0" t="s">
        <x:v>36895</x:v>
      </x:c>
      <x:c r="F9257" s="0" t="s">
        <x:v>45</x:v>
      </x:c>
      <x:c r="G9257" s="0" t="s">
        <x:v>19</x:v>
      </x:c>
      <x:c r="H9257" s="0" t="s">
        <x:v>20</x:v>
      </x:c>
      <x:c r="I9257" s="0" t="s">
        <x:v>21</x:v>
      </x:c>
      <x:c r="K9257" s="0">
        <x:f>hyperlink("https://icd.who.int/dev11/l-ichi/en#/http%3A%2F%2Fid.who.int%2Ficd%2Fentity%2F1498485607","browser")</x:f>
      </x:c>
      <x:c r="L9257" s="0">
        <x:f>hyperlink("https://icat2.azurewebsites.net/icat/?ontology=ICD&amp;tab=ClassesTab&amp;id=http%3A%2F%2Fwho.int%2Ficd%2348274_512ebf36_bf6b_4d70_85da_cf2637062af4","iCat")</x:f>
      </x:c>
      <x:c r="M9257" s="0" t="s">
        <x:v>21</x:v>
      </x:c>
      <x:c r="N9257" s="0" t="s">
        <x:v>46</x:v>
      </x:c>
    </x:row>
    <x:row r="9258" spans="1:16">
      <x:c r="A9258" s="0" t="s">
        <x:v>36896</x:v>
      </x:c>
      <x:c r="B9258" s="0" t="s">
        <x:v>36897</x:v>
      </x:c>
      <x:c r="C9258" s="0" t="s">
        <x:v>36898</x:v>
      </x:c>
      <x:c r="E9258" s="0" t="s">
        <x:v>36899</x:v>
      </x:c>
      <x:c r="F9258" s="0" t="s">
        <x:v>45</x:v>
      </x:c>
      <x:c r="G9258" s="0" t="s">
        <x:v>19</x:v>
      </x:c>
      <x:c r="H9258" s="0" t="s">
        <x:v>20</x:v>
      </x:c>
      <x:c r="I9258" s="0" t="s">
        <x:v>21</x:v>
      </x:c>
      <x:c r="K9258" s="0">
        <x:f>hyperlink("https://icd.who.int/dev11/l-ichi/en#/http%3A%2F%2Fid.who.int%2Ficd%2Fentity%2F1665724401","browser")</x:f>
      </x:c>
      <x:c r="L9258" s="0">
        <x:f>hyperlink("https://icat2.azurewebsites.net/icat/?ontology=ICD&amp;tab=ClassesTab&amp;id=http%3A%2F%2Fwho.int%2Ficd%2348281_512ebf36_bf6b_4d70_85da_cf2637062af4","iCat")</x:f>
      </x:c>
      <x:c r="M9258" s="0" t="s">
        <x:v>21</x:v>
      </x:c>
      <x:c r="N9258" s="0" t="s">
        <x:v>46</x:v>
      </x:c>
    </x:row>
    <x:row r="9259" spans="1:16">
      <x:c r="A9259" s="0" t="s">
        <x:v>36900</x:v>
      </x:c>
      <x:c r="B9259" s="0" t="s">
        <x:v>36901</x:v>
      </x:c>
      <x:c r="C9259" s="0" t="s">
        <x:v>36902</x:v>
      </x:c>
      <x:c r="E9259" s="0" t="s">
        <x:v>36903</x:v>
      </x:c>
      <x:c r="F9259" s="0" t="s">
        <x:v>45</x:v>
      </x:c>
      <x:c r="G9259" s="0" t="s">
        <x:v>19</x:v>
      </x:c>
      <x:c r="H9259" s="0" t="s">
        <x:v>20</x:v>
      </x:c>
      <x:c r="I9259" s="0" t="s">
        <x:v>21</x:v>
      </x:c>
      <x:c r="K9259" s="0">
        <x:f>hyperlink("https://icd.who.int/dev11/l-ichi/en#/http%3A%2F%2Fid.who.int%2Ficd%2Fentity%2F1889457370","browser")</x:f>
      </x:c>
      <x:c r="L9259" s="0">
        <x:f>hyperlink("https://icat2.azurewebsites.net/icat/?ontology=ICD&amp;tab=ClassesTab&amp;id=http%3A%2F%2Fwho.int%2Ficd%237094_075b017b_ac4c_42d7_a31d_f6f14e3ba684","iCat")</x:f>
      </x:c>
      <x:c r="M9259" s="0" t="s">
        <x:v>21</x:v>
      </x:c>
      <x:c r="N9259" s="0" t="s">
        <x:v>46</x:v>
      </x:c>
    </x:row>
    <x:row r="9260" spans="1:16">
      <x:c r="A9260" s="0" t="s">
        <x:v>36904</x:v>
      </x:c>
      <x:c r="B9260" s="0" t="s">
        <x:v>36905</x:v>
      </x:c>
      <x:c r="C9260" s="0" t="s">
        <x:v>36906</x:v>
      </x:c>
      <x:c r="E9260" s="0" t="s">
        <x:v>36907</x:v>
      </x:c>
      <x:c r="F9260" s="0" t="s">
        <x:v>45</x:v>
      </x:c>
      <x:c r="G9260" s="0" t="s">
        <x:v>19</x:v>
      </x:c>
      <x:c r="H9260" s="0" t="s">
        <x:v>20</x:v>
      </x:c>
      <x:c r="I9260" s="0" t="s">
        <x:v>21</x:v>
      </x:c>
      <x:c r="K9260" s="0">
        <x:f>hyperlink("https://icd.who.int/dev11/l-ichi/en#/http%3A%2F%2Fid.who.int%2Ficd%2Fentity%2F1173494436","browser")</x:f>
      </x:c>
      <x:c r="L9260" s="0">
        <x:f>hyperlink("https://icat2.azurewebsites.net/icat/?ontology=ICD&amp;tab=ClassesTab&amp;id=http%3A%2F%2Fwho.int%2Ficd%237100_075b017b_ac4c_42d7_a31d_f6f14e3ba684","iCat")</x:f>
      </x:c>
      <x:c r="M9260" s="0" t="s">
        <x:v>21</x:v>
      </x:c>
      <x:c r="N9260" s="0" t="s">
        <x:v>46</x:v>
      </x:c>
    </x:row>
    <x:row r="9261" spans="1:16">
      <x:c r="A9261" s="0" t="s">
        <x:v>36908</x:v>
      </x:c>
      <x:c r="B9261" s="0" t="s">
        <x:v>36909</x:v>
      </x:c>
      <x:c r="C9261" s="0" t="s">
        <x:v>36910</x:v>
      </x:c>
      <x:c r="E9261" s="0" t="s">
        <x:v>36911</x:v>
      </x:c>
      <x:c r="F9261" s="0" t="s">
        <x:v>45</x:v>
      </x:c>
      <x:c r="G9261" s="0" t="s">
        <x:v>19</x:v>
      </x:c>
      <x:c r="H9261" s="0" t="s">
        <x:v>20</x:v>
      </x:c>
      <x:c r="I9261" s="0" t="s">
        <x:v>21</x:v>
      </x:c>
      <x:c r="K9261" s="0">
        <x:f>hyperlink("https://icd.who.int/dev11/l-ichi/en#/http%3A%2F%2Fid.who.int%2Ficd%2Fentity%2F1107608059","browser")</x:f>
      </x:c>
      <x:c r="L9261" s="0">
        <x:f>hyperlink("https://icat2.azurewebsites.net/icat/?ontology=ICD&amp;tab=ClassesTab&amp;id=http%3A%2F%2Fwho.int%2Ficd%2314302_4869915e_217e_423d_acb3_33c0f920ef4b","iCat")</x:f>
      </x:c>
      <x:c r="M9261" s="0" t="s">
        <x:v>21</x:v>
      </x:c>
      <x:c r="N9261" s="0" t="s">
        <x:v>46</x:v>
      </x:c>
    </x:row>
    <x:row r="9262" spans="1:16">
      <x:c r="A9262" s="0" t="s">
        <x:v>36912</x:v>
      </x:c>
      <x:c r="B9262" s="0" t="s">
        <x:v>36913</x:v>
      </x:c>
      <x:c r="C9262" s="0" t="s">
        <x:v>36914</x:v>
      </x:c>
      <x:c r="E9262" s="0" t="s">
        <x:v>36915</x:v>
      </x:c>
      <x:c r="F9262" s="0" t="s">
        <x:v>45</x:v>
      </x:c>
      <x:c r="G9262" s="0" t="s">
        <x:v>19</x:v>
      </x:c>
      <x:c r="H9262" s="0" t="s">
        <x:v>20</x:v>
      </x:c>
      <x:c r="I9262" s="0" t="s">
        <x:v>21</x:v>
      </x:c>
      <x:c r="K9262" s="0">
        <x:f>hyperlink("https://icd.who.int/dev11/l-ichi/en#/http%3A%2F%2Fid.who.int%2Ficd%2Fentity%2F361349907","browser")</x:f>
      </x:c>
      <x:c r="L9262" s="0">
        <x:f>hyperlink("https://icat2.azurewebsites.net/icat/?ontology=ICD&amp;tab=ClassesTab&amp;id=http%3A%2F%2Fwho.int%2Ficd%237106_075b017b_ac4c_42d7_a31d_f6f14e3ba684","iCat")</x:f>
      </x:c>
      <x:c r="M9262" s="0" t="s">
        <x:v>21</x:v>
      </x:c>
      <x:c r="N9262" s="0" t="s">
        <x:v>46</x:v>
      </x:c>
    </x:row>
    <x:row r="9263" spans="1:16">
      <x:c r="A9263" s="0" t="s">
        <x:v>36916</x:v>
      </x:c>
      <x:c r="B9263" s="0" t="s">
        <x:v>36917</x:v>
      </x:c>
      <x:c r="C9263" s="0" t="s">
        <x:v>36918</x:v>
      </x:c>
      <x:c r="E9263" s="0" t="s">
        <x:v>36919</x:v>
      </x:c>
      <x:c r="F9263" s="0" t="s">
        <x:v>45</x:v>
      </x:c>
      <x:c r="G9263" s="0" t="s">
        <x:v>19</x:v>
      </x:c>
      <x:c r="H9263" s="0" t="s">
        <x:v>20</x:v>
      </x:c>
      <x:c r="I9263" s="0" t="s">
        <x:v>21</x:v>
      </x:c>
      <x:c r="K9263" s="0">
        <x:f>hyperlink("https://icd.who.int/dev11/l-ichi/en#/http%3A%2F%2Fid.who.int%2Ficd%2Fentity%2F1246466610","browser")</x:f>
      </x:c>
      <x:c r="L9263" s="0">
        <x:f>hyperlink("https://icat2.azurewebsites.net/icat/?ontology=ICD&amp;tab=ClassesTab&amp;id=http%3A%2F%2Fwho.int%2Ficd%237112_075b017b_ac4c_42d7_a31d_f6f14e3ba684","iCat")</x:f>
      </x:c>
      <x:c r="M9263" s="0" t="s">
        <x:v>21</x:v>
      </x:c>
      <x:c r="N9263" s="0" t="s">
        <x:v>46</x:v>
      </x:c>
    </x:row>
    <x:row r="9264" spans="1:16">
      <x:c r="A9264" s="0" t="s">
        <x:v>36920</x:v>
      </x:c>
      <x:c r="B9264" s="0" t="s">
        <x:v>36921</x:v>
      </x:c>
      <x:c r="C9264" s="0" t="s">
        <x:v>36922</x:v>
      </x:c>
      <x:c r="E9264" s="0" t="s">
        <x:v>36923</x:v>
      </x:c>
      <x:c r="F9264" s="0" t="s">
        <x:v>45</x:v>
      </x:c>
      <x:c r="G9264" s="0" t="s">
        <x:v>19</x:v>
      </x:c>
      <x:c r="H9264" s="0" t="s">
        <x:v>20</x:v>
      </x:c>
      <x:c r="I9264" s="0" t="s">
        <x:v>21</x:v>
      </x:c>
      <x:c r="K9264" s="0">
        <x:f>hyperlink("https://icd.who.int/dev11/l-ichi/en#/http%3A%2F%2Fid.who.int%2Ficd%2Fentity%2F1639382690","browser")</x:f>
      </x:c>
      <x:c r="L9264" s="0">
        <x:f>hyperlink("https://icat2.azurewebsites.net/icat/?ontology=ICD&amp;tab=ClassesTab&amp;id=http%3A%2F%2Fwho.int%2Ficd%237118_075b017b_ac4c_42d7_a31d_f6f14e3ba684","iCat")</x:f>
      </x:c>
      <x:c r="M9264" s="0" t="s">
        <x:v>21</x:v>
      </x:c>
      <x:c r="N9264" s="0" t="s">
        <x:v>46</x:v>
      </x:c>
    </x:row>
    <x:row r="9265" spans="1:16">
      <x:c r="A9265" s="0" t="s">
        <x:v>36924</x:v>
      </x:c>
      <x:c r="B9265" s="0" t="s">
        <x:v>36925</x:v>
      </x:c>
      <x:c r="C9265" s="0" t="s">
        <x:v>36926</x:v>
      </x:c>
      <x:c r="E9265" s="0" t="s">
        <x:v>36927</x:v>
      </x:c>
      <x:c r="F9265" s="0" t="s">
        <x:v>45</x:v>
      </x:c>
      <x:c r="G9265" s="0" t="s">
        <x:v>19</x:v>
      </x:c>
      <x:c r="H9265" s="0" t="s">
        <x:v>20</x:v>
      </x:c>
      <x:c r="I9265" s="0" t="s">
        <x:v>21</x:v>
      </x:c>
      <x:c r="K9265" s="0">
        <x:f>hyperlink("https://icd.who.int/dev11/l-ichi/en#/http%3A%2F%2Fid.who.int%2Ficd%2Fentity%2F1518406536","browser")</x:f>
      </x:c>
      <x:c r="L9265" s="0">
        <x:f>hyperlink("https://icat2.azurewebsites.net/icat/?ontology=ICD&amp;tab=ClassesTab&amp;id=http%3A%2F%2Fwho.int%2Ficd%237124_075b017b_ac4c_42d7_a31d_f6f14e3ba684","iCat")</x:f>
      </x:c>
      <x:c r="M9265" s="0" t="s">
        <x:v>21</x:v>
      </x:c>
      <x:c r="N9265" s="0" t="s">
        <x:v>46</x:v>
      </x:c>
    </x:row>
    <x:row r="9266" spans="1:16">
      <x:c r="A9266" s="0" t="s">
        <x:v>36928</x:v>
      </x:c>
      <x:c r="B9266" s="0" t="s">
        <x:v>36929</x:v>
      </x:c>
      <x:c r="C9266" s="0" t="s">
        <x:v>36930</x:v>
      </x:c>
      <x:c r="E9266" s="0" t="s">
        <x:v>36931</x:v>
      </x:c>
      <x:c r="F9266" s="0" t="s">
        <x:v>45</x:v>
      </x:c>
      <x:c r="G9266" s="0" t="s">
        <x:v>19</x:v>
      </x:c>
      <x:c r="H9266" s="0" t="s">
        <x:v>20</x:v>
      </x:c>
      <x:c r="I9266" s="0" t="s">
        <x:v>21</x:v>
      </x:c>
      <x:c r="K9266" s="0">
        <x:f>hyperlink("https://icd.who.int/dev11/l-ichi/en#/http%3A%2F%2Fid.who.int%2Ficd%2Fentity%2F88300197","browser")</x:f>
      </x:c>
      <x:c r="L9266" s="0">
        <x:f>hyperlink("https://icat2.azurewebsites.net/icat/?ontology=ICD&amp;tab=ClassesTab&amp;id=http%3A%2F%2Fwho.int%2Ficd%237130_075b017b_ac4c_42d7_a31d_f6f14e3ba684","iCat")</x:f>
      </x:c>
      <x:c r="M9266" s="0" t="s">
        <x:v>21</x:v>
      </x:c>
      <x:c r="N9266" s="0" t="s">
        <x:v>46</x:v>
      </x:c>
    </x:row>
    <x:row r="9267" spans="1:16">
      <x:c r="A9267" s="0" t="s">
        <x:v>36932</x:v>
      </x:c>
      <x:c r="B9267" s="0" t="s">
        <x:v>36933</x:v>
      </x:c>
      <x:c r="C9267" s="0" t="s">
        <x:v>36934</x:v>
      </x:c>
      <x:c r="E9267" s="0" t="s">
        <x:v>36935</x:v>
      </x:c>
      <x:c r="F9267" s="0" t="s">
        <x:v>45</x:v>
      </x:c>
      <x:c r="G9267" s="0" t="s">
        <x:v>19</x:v>
      </x:c>
      <x:c r="H9267" s="0" t="s">
        <x:v>20</x:v>
      </x:c>
      <x:c r="I9267" s="0" t="s">
        <x:v>21</x:v>
      </x:c>
      <x:c r="K9267" s="0">
        <x:f>hyperlink("https://icd.who.int/dev11/l-ichi/en#/http%3A%2F%2Fid.who.int%2Ficd%2Fentity%2F1429766934","browser")</x:f>
      </x:c>
      <x:c r="L9267" s="0">
        <x:f>hyperlink("https://icat2.azurewebsites.net/icat/?ontology=ICD&amp;tab=ClassesTab&amp;id=http%3A%2F%2Fwho.int%2Ficd%237136_075b017b_ac4c_42d7_a31d_f6f14e3ba684","iCat")</x:f>
      </x:c>
      <x:c r="M9267" s="0" t="s">
        <x:v>21</x:v>
      </x:c>
      <x:c r="N9267" s="0" t="s">
        <x:v>46</x:v>
      </x:c>
    </x:row>
    <x:row r="9268" spans="1:16">
      <x:c r="A9268" s="0" t="s">
        <x:v>36936</x:v>
      </x:c>
      <x:c r="B9268" s="0" t="s">
        <x:v>36937</x:v>
      </x:c>
      <x:c r="C9268" s="0" t="s">
        <x:v>36938</x:v>
      </x:c>
      <x:c r="E9268" s="0" t="s">
        <x:v>36939</x:v>
      </x:c>
      <x:c r="F9268" s="0" t="s">
        <x:v>45</x:v>
      </x:c>
      <x:c r="G9268" s="0" t="s">
        <x:v>19</x:v>
      </x:c>
      <x:c r="H9268" s="0" t="s">
        <x:v>20</x:v>
      </x:c>
      <x:c r="I9268" s="0" t="s">
        <x:v>21</x:v>
      </x:c>
      <x:c r="K9268" s="0">
        <x:f>hyperlink("https://icd.who.int/dev11/l-ichi/en#/http%3A%2F%2Fid.who.int%2Ficd%2Fentity%2F1357468796","browser")</x:f>
      </x:c>
      <x:c r="L9268" s="0">
        <x:f>hyperlink("https://icat2.azurewebsites.net/icat/?ontology=ICD&amp;tab=ClassesTab&amp;id=http%3A%2F%2Fwho.int%2Ficd%237142_075b017b_ac4c_42d7_a31d_f6f14e3ba684","iCat")</x:f>
      </x:c>
      <x:c r="M9268" s="0" t="s">
        <x:v>21</x:v>
      </x:c>
      <x:c r="N9268" s="0" t="s">
        <x:v>46</x:v>
      </x:c>
    </x:row>
    <x:row r="9269" spans="1:16">
      <x:c r="A9269" s="0" t="s">
        <x:v>36940</x:v>
      </x:c>
      <x:c r="B9269" s="0" t="s">
        <x:v>36941</x:v>
      </x:c>
      <x:c r="C9269" s="0" t="s">
        <x:v>36942</x:v>
      </x:c>
      <x:c r="E9269" s="0" t="s">
        <x:v>36943</x:v>
      </x:c>
      <x:c r="F9269" s="0" t="s">
        <x:v>45</x:v>
      </x:c>
      <x:c r="G9269" s="0" t="s">
        <x:v>19</x:v>
      </x:c>
      <x:c r="H9269" s="0" t="s">
        <x:v>20</x:v>
      </x:c>
      <x:c r="I9269" s="0" t="s">
        <x:v>21</x:v>
      </x:c>
      <x:c r="K9269" s="0">
        <x:f>hyperlink("https://icd.who.int/dev11/l-ichi/en#/http%3A%2F%2Fid.who.int%2Ficd%2Fentity%2F2064922860","browser")</x:f>
      </x:c>
      <x:c r="L9269" s="0">
        <x:f>hyperlink("https://icat2.azurewebsites.net/icat/?ontology=ICD&amp;tab=ClassesTab&amp;id=http%3A%2F%2Fwho.int%2Ficd%237148_075b017b_ac4c_42d7_a31d_f6f14e3ba684","iCat")</x:f>
      </x:c>
      <x:c r="M9269" s="0" t="s">
        <x:v>21</x:v>
      </x:c>
      <x:c r="N9269" s="0" t="s">
        <x:v>46</x:v>
      </x:c>
    </x:row>
    <x:row r="9270" spans="1:16">
      <x:c r="A9270" s="0" t="s">
        <x:v>36944</x:v>
      </x:c>
      <x:c r="B9270" s="0" t="s">
        <x:v>36945</x:v>
      </x:c>
      <x:c r="C9270" s="0" t="s">
        <x:v>36946</x:v>
      </x:c>
      <x:c r="E9270" s="0" t="s">
        <x:v>36947</x:v>
      </x:c>
      <x:c r="F9270" s="0" t="s">
        <x:v>45</x:v>
      </x:c>
      <x:c r="G9270" s="0" t="s">
        <x:v>19</x:v>
      </x:c>
      <x:c r="H9270" s="0" t="s">
        <x:v>20</x:v>
      </x:c>
      <x:c r="I9270" s="0" t="s">
        <x:v>21</x:v>
      </x:c>
      <x:c r="K9270" s="0">
        <x:f>hyperlink("https://icd.who.int/dev11/l-ichi/en#/http%3A%2F%2Fid.who.int%2Ficd%2Fentity%2F1784092828","browser")</x:f>
      </x:c>
      <x:c r="L9270" s="0">
        <x:f>hyperlink("https://icat2.azurewebsites.net/icat/?ontology=ICD&amp;tab=ClassesTab&amp;id=http%3A%2F%2Fwho.int%2Ficd%237154_075b017b_ac4c_42d7_a31d_f6f14e3ba684","iCat")</x:f>
      </x:c>
      <x:c r="M9270" s="0" t="s">
        <x:v>21</x:v>
      </x:c>
      <x:c r="N9270" s="0" t="s">
        <x:v>46</x:v>
      </x:c>
    </x:row>
    <x:row r="9271" spans="1:16">
      <x:c r="A9271" s="0" t="s">
        <x:v>36948</x:v>
      </x:c>
      <x:c r="B9271" s="0" t="s">
        <x:v>36949</x:v>
      </x:c>
      <x:c r="C9271" s="0" t="s">
        <x:v>36950</x:v>
      </x:c>
      <x:c r="E9271" s="0" t="s">
        <x:v>36951</x:v>
      </x:c>
      <x:c r="F9271" s="0" t="s">
        <x:v>45</x:v>
      </x:c>
      <x:c r="G9271" s="0" t="s">
        <x:v>19</x:v>
      </x:c>
      <x:c r="H9271" s="0" t="s">
        <x:v>20</x:v>
      </x:c>
      <x:c r="I9271" s="0" t="s">
        <x:v>21</x:v>
      </x:c>
      <x:c r="K9271" s="0">
        <x:f>hyperlink("https://icd.who.int/dev11/l-ichi/en#/http%3A%2F%2Fid.who.int%2Ficd%2Fentity%2F534879471","browser")</x:f>
      </x:c>
      <x:c r="L9271" s="0">
        <x:f>hyperlink("https://icat2.azurewebsites.net/icat/?ontology=ICD&amp;tab=ClassesTab&amp;id=http%3A%2F%2Fwho.int%2Ficd%237160_075b017b_ac4c_42d7_a31d_f6f14e3ba684","iCat")</x:f>
      </x:c>
      <x:c r="M9271" s="0" t="s">
        <x:v>21</x:v>
      </x:c>
      <x:c r="N9271" s="0" t="s">
        <x:v>46</x:v>
      </x:c>
    </x:row>
    <x:row r="9272" spans="1:16">
      <x:c r="A9272" s="0" t="s">
        <x:v>36952</x:v>
      </x:c>
      <x:c r="B9272" s="0" t="s">
        <x:v>36953</x:v>
      </x:c>
      <x:c r="C9272" s="0" t="s">
        <x:v>36954</x:v>
      </x:c>
      <x:c r="E9272" s="0" t="s">
        <x:v>36955</x:v>
      </x:c>
      <x:c r="F9272" s="0" t="s">
        <x:v>45</x:v>
      </x:c>
      <x:c r="G9272" s="0" t="s">
        <x:v>19</x:v>
      </x:c>
      <x:c r="H9272" s="0" t="s">
        <x:v>20</x:v>
      </x:c>
      <x:c r="I9272" s="0" t="s">
        <x:v>21</x:v>
      </x:c>
      <x:c r="K9272" s="0">
        <x:f>hyperlink("https://icd.who.int/dev11/l-ichi/en#/http%3A%2F%2Fid.who.int%2Ficd%2Fentity%2F1335510368","browser")</x:f>
      </x:c>
      <x:c r="L9272" s="0">
        <x:f>hyperlink("https://icat2.azurewebsites.net/icat/?ontology=ICD&amp;tab=ClassesTab&amp;id=http%3A%2F%2Fwho.int%2Ficd%237166_075b017b_ac4c_42d7_a31d_f6f14e3ba684","iCat")</x:f>
      </x:c>
      <x:c r="M9272" s="0" t="s">
        <x:v>21</x:v>
      </x:c>
      <x:c r="N9272" s="0" t="s">
        <x:v>46</x:v>
      </x:c>
    </x:row>
    <x:row r="9273" spans="1:16">
      <x:c r="A9273" s="0" t="s">
        <x:v>36956</x:v>
      </x:c>
      <x:c r="B9273" s="0" t="s">
        <x:v>36957</x:v>
      </x:c>
      <x:c r="C9273" s="0" t="s">
        <x:v>36958</x:v>
      </x:c>
      <x:c r="E9273" s="0" t="s">
        <x:v>36959</x:v>
      </x:c>
      <x:c r="F9273" s="0" t="s">
        <x:v>45</x:v>
      </x:c>
      <x:c r="G9273" s="0" t="s">
        <x:v>19</x:v>
      </x:c>
      <x:c r="H9273" s="0" t="s">
        <x:v>20</x:v>
      </x:c>
      <x:c r="I9273" s="0" t="s">
        <x:v>21</x:v>
      </x:c>
      <x:c r="K9273" s="0">
        <x:f>hyperlink("https://icd.who.int/dev11/l-ichi/en#/http%3A%2F%2Fid.who.int%2Ficd%2Fentity%2F274207869","browser")</x:f>
      </x:c>
      <x:c r="L9273" s="0">
        <x:f>hyperlink("https://icat2.azurewebsites.net/icat/?ontology=ICD&amp;tab=ClassesTab&amp;id=http%3A%2F%2Fwho.int%2Ficd%237172_075b017b_ac4c_42d7_a31d_f6f14e3ba684","iCat")</x:f>
      </x:c>
      <x:c r="M9273" s="0" t="s">
        <x:v>21</x:v>
      </x:c>
      <x:c r="N9273" s="0" t="s">
        <x:v>46</x:v>
      </x:c>
    </x:row>
    <x:row r="9274" spans="1:16">
      <x:c r="A9274" s="0" t="s">
        <x:v>36960</x:v>
      </x:c>
      <x:c r="B9274" s="0" t="s">
        <x:v>36961</x:v>
      </x:c>
      <x:c r="C9274" s="0" t="s">
        <x:v>36962</x:v>
      </x:c>
      <x:c r="E9274" s="0" t="s">
        <x:v>36963</x:v>
      </x:c>
      <x:c r="F9274" s="0" t="s">
        <x:v>45</x:v>
      </x:c>
      <x:c r="G9274" s="0" t="s">
        <x:v>19</x:v>
      </x:c>
      <x:c r="H9274" s="0" t="s">
        <x:v>20</x:v>
      </x:c>
      <x:c r="I9274" s="0" t="s">
        <x:v>21</x:v>
      </x:c>
      <x:c r="K9274" s="0">
        <x:f>hyperlink("https://icd.who.int/dev11/l-ichi/en#/http%3A%2F%2Fid.who.int%2Ficd%2Fentity%2F1000700141","browser")</x:f>
      </x:c>
      <x:c r="L9274" s="0">
        <x:f>hyperlink("https://icat2.azurewebsites.net/icat/?ontology=ICD&amp;tab=ClassesTab&amp;id=http%3A%2F%2Fwho.int%2Ficd%237178_075b017b_ac4c_42d7_a31d_f6f14e3ba684","iCat")</x:f>
      </x:c>
      <x:c r="M9274" s="0" t="s">
        <x:v>21</x:v>
      </x:c>
      <x:c r="N9274" s="0" t="s">
        <x:v>46</x:v>
      </x:c>
    </x:row>
    <x:row r="9275" spans="1:16">
      <x:c r="A9275" s="0" t="s">
        <x:v>36964</x:v>
      </x:c>
      <x:c r="B9275" s="0" t="s">
        <x:v>36965</x:v>
      </x:c>
      <x:c r="C9275" s="0" t="s">
        <x:v>36966</x:v>
      </x:c>
      <x:c r="E9275" s="0" t="s">
        <x:v>36967</x:v>
      </x:c>
      <x:c r="F9275" s="0" t="s">
        <x:v>45</x:v>
      </x:c>
      <x:c r="G9275" s="0" t="s">
        <x:v>19</x:v>
      </x:c>
      <x:c r="H9275" s="0" t="s">
        <x:v>20</x:v>
      </x:c>
      <x:c r="I9275" s="0" t="s">
        <x:v>21</x:v>
      </x:c>
      <x:c r="K9275" s="0">
        <x:f>hyperlink("https://icd.who.int/dev11/l-ichi/en#/http%3A%2F%2Fid.who.int%2Ficd%2Fentity%2F1875150612","browser")</x:f>
      </x:c>
      <x:c r="L9275" s="0">
        <x:f>hyperlink("https://icat2.azurewebsites.net/icat/?ontology=ICD&amp;tab=ClassesTab&amp;id=http%3A%2F%2Fwho.int%2Ficd%237184_075b017b_ac4c_42d7_a31d_f6f14e3ba684","iCat")</x:f>
      </x:c>
      <x:c r="M9275" s="0" t="s">
        <x:v>21</x:v>
      </x:c>
      <x:c r="N9275" s="0" t="s">
        <x:v>46</x:v>
      </x:c>
    </x:row>
    <x:row r="9276" spans="1:16">
      <x:c r="A9276" s="0" t="s">
        <x:v>36968</x:v>
      </x:c>
      <x:c r="B9276" s="0" t="s">
        <x:v>36969</x:v>
      </x:c>
      <x:c r="C9276" s="0" t="s">
        <x:v>36970</x:v>
      </x:c>
      <x:c r="E9276" s="0" t="s">
        <x:v>36971</x:v>
      </x:c>
      <x:c r="F9276" s="0" t="s">
        <x:v>45</x:v>
      </x:c>
      <x:c r="G9276" s="0" t="s">
        <x:v>19</x:v>
      </x:c>
      <x:c r="H9276" s="0" t="s">
        <x:v>20</x:v>
      </x:c>
      <x:c r="I9276" s="0" t="s">
        <x:v>21</x:v>
      </x:c>
      <x:c r="K9276" s="0">
        <x:f>hyperlink("https://icd.who.int/dev11/l-ichi/en#/http%3A%2F%2Fid.who.int%2Ficd%2Fentity%2F805754417","browser")</x:f>
      </x:c>
      <x:c r="L9276" s="0">
        <x:f>hyperlink("https://icat2.azurewebsites.net/icat/?ontology=ICD&amp;tab=ClassesTab&amp;id=http%3A%2F%2Fwho.int%2Ficd%237190_075b017b_ac4c_42d7_a31d_f6f14e3ba684","iCat")</x:f>
      </x:c>
      <x:c r="M9276" s="0" t="s">
        <x:v>21</x:v>
      </x:c>
      <x:c r="N9276" s="0" t="s">
        <x:v>46</x:v>
      </x:c>
    </x:row>
    <x:row r="9277" spans="1:16">
      <x:c r="A9277" s="0" t="s">
        <x:v>36972</x:v>
      </x:c>
      <x:c r="B9277" s="0" t="s">
        <x:v>36973</x:v>
      </x:c>
      <x:c r="C9277" s="0" t="s">
        <x:v>36974</x:v>
      </x:c>
      <x:c r="E9277" s="0" t="s">
        <x:v>36975</x:v>
      </x:c>
      <x:c r="F9277" s="0" t="s">
        <x:v>45</x:v>
      </x:c>
      <x:c r="G9277" s="0" t="s">
        <x:v>19</x:v>
      </x:c>
      <x:c r="H9277" s="0" t="s">
        <x:v>20</x:v>
      </x:c>
      <x:c r="I9277" s="0" t="s">
        <x:v>21</x:v>
      </x:c>
      <x:c r="K9277" s="0">
        <x:f>hyperlink("https://icd.who.int/dev11/l-ichi/en#/http%3A%2F%2Fid.who.int%2Ficd%2Fentity%2F1618808706","browser")</x:f>
      </x:c>
      <x:c r="L9277" s="0">
        <x:f>hyperlink("https://icat2.azurewebsites.net/icat/?ontology=ICD&amp;tab=ClassesTab&amp;id=http%3A%2F%2Fwho.int%2Ficd%237196_075b017b_ac4c_42d7_a31d_f6f14e3ba684","iCat")</x:f>
      </x:c>
      <x:c r="M9277" s="0" t="s">
        <x:v>21</x:v>
      </x:c>
      <x:c r="N9277" s="0" t="s">
        <x:v>46</x:v>
      </x:c>
    </x:row>
    <x:row r="9278" spans="1:16">
      <x:c r="A9278" s="0" t="s">
        <x:v>36976</x:v>
      </x:c>
      <x:c r="B9278" s="0" t="s">
        <x:v>36977</x:v>
      </x:c>
      <x:c r="C9278" s="0" t="s">
        <x:v>36978</x:v>
      </x:c>
      <x:c r="E9278" s="0" t="s">
        <x:v>36979</x:v>
      </x:c>
      <x:c r="F9278" s="0" t="s">
        <x:v>45</x:v>
      </x:c>
      <x:c r="G9278" s="0" t="s">
        <x:v>19</x:v>
      </x:c>
      <x:c r="H9278" s="0" t="s">
        <x:v>20</x:v>
      </x:c>
      <x:c r="I9278" s="0" t="s">
        <x:v>21</x:v>
      </x:c>
      <x:c r="K9278" s="0">
        <x:f>hyperlink("https://icd.who.int/dev11/l-ichi/en#/http%3A%2F%2Fid.who.int%2Ficd%2Fentity%2F1104261950","browser")</x:f>
      </x:c>
      <x:c r="L9278" s="0">
        <x:f>hyperlink("https://icat2.azurewebsites.net/icat/?ontology=ICD&amp;tab=ClassesTab&amp;id=http%3A%2F%2Fwho.int%2Ficd%237202_075b017b_ac4c_42d7_a31d_f6f14e3ba684","iCat")</x:f>
      </x:c>
      <x:c r="M9278" s="0" t="s">
        <x:v>21</x:v>
      </x:c>
      <x:c r="N9278" s="0" t="s">
        <x:v>46</x:v>
      </x:c>
    </x:row>
    <x:row r="9279" spans="1:16">
      <x:c r="A9279" s="0" t="s">
        <x:v>36980</x:v>
      </x:c>
      <x:c r="B9279" s="0" t="s">
        <x:v>36981</x:v>
      </x:c>
      <x:c r="C9279" s="0" t="s">
        <x:v>36982</x:v>
      </x:c>
      <x:c r="E9279" s="0" t="s">
        <x:v>36983</x:v>
      </x:c>
      <x:c r="F9279" s="0" t="s">
        <x:v>45</x:v>
      </x:c>
      <x:c r="G9279" s="0" t="s">
        <x:v>19</x:v>
      </x:c>
      <x:c r="H9279" s="0" t="s">
        <x:v>20</x:v>
      </x:c>
      <x:c r="I9279" s="0" t="s">
        <x:v>21</x:v>
      </x:c>
      <x:c r="K9279" s="0">
        <x:f>hyperlink("https://icd.who.int/dev11/l-ichi/en#/http%3A%2F%2Fid.who.int%2Ficd%2Fentity%2F1781325742","browser")</x:f>
      </x:c>
      <x:c r="L9279" s="0">
        <x:f>hyperlink("https://icat2.azurewebsites.net/icat/?ontology=ICD&amp;tab=ClassesTab&amp;id=http%3A%2F%2Fwho.int%2Ficd%237208_075b017b_ac4c_42d7_a31d_f6f14e3ba684","iCat")</x:f>
      </x:c>
      <x:c r="M9279" s="0" t="s">
        <x:v>21</x:v>
      </x:c>
      <x:c r="N9279" s="0" t="s">
        <x:v>46</x:v>
      </x:c>
    </x:row>
    <x:row r="9280" spans="1:16">
      <x:c r="A9280" s="0" t="s">
        <x:v>36984</x:v>
      </x:c>
      <x:c r="B9280" s="0" t="s">
        <x:v>36985</x:v>
      </x:c>
      <x:c r="C9280" s="0" t="s">
        <x:v>36986</x:v>
      </x:c>
      <x:c r="E9280" s="0" t="s">
        <x:v>36987</x:v>
      </x:c>
      <x:c r="F9280" s="0" t="s">
        <x:v>45</x:v>
      </x:c>
      <x:c r="G9280" s="0" t="s">
        <x:v>19</x:v>
      </x:c>
      <x:c r="H9280" s="0" t="s">
        <x:v>20</x:v>
      </x:c>
      <x:c r="I9280" s="0" t="s">
        <x:v>21</x:v>
      </x:c>
      <x:c r="K9280" s="0">
        <x:f>hyperlink("https://icd.who.int/dev11/l-ichi/en#/http%3A%2F%2Fid.who.int%2Ficd%2Fentity%2F2070937562","browser")</x:f>
      </x:c>
      <x:c r="L9280" s="0">
        <x:f>hyperlink("https://icat2.azurewebsites.net/icat/?ontology=ICD&amp;tab=ClassesTab&amp;id=http%3A%2F%2Fwho.int%2Ficd%237214_075b017b_ac4c_42d7_a31d_f6f14e3ba684","iCat")</x:f>
      </x:c>
      <x:c r="M9280" s="0" t="s">
        <x:v>21</x:v>
      </x:c>
      <x:c r="N9280" s="0" t="s">
        <x:v>46</x:v>
      </x:c>
    </x:row>
    <x:row r="9281" spans="1:16">
      <x:c r="A9281" s="0" t="s">
        <x:v>36988</x:v>
      </x:c>
      <x:c r="B9281" s="0" t="s">
        <x:v>36989</x:v>
      </x:c>
      <x:c r="C9281" s="0" t="s">
        <x:v>36990</x:v>
      </x:c>
      <x:c r="E9281" s="0" t="s">
        <x:v>36991</x:v>
      </x:c>
      <x:c r="F9281" s="0" t="s">
        <x:v>45</x:v>
      </x:c>
      <x:c r="G9281" s="0" t="s">
        <x:v>19</x:v>
      </x:c>
      <x:c r="H9281" s="0" t="s">
        <x:v>20</x:v>
      </x:c>
      <x:c r="I9281" s="0" t="s">
        <x:v>21</x:v>
      </x:c>
      <x:c r="K9281" s="0">
        <x:f>hyperlink("https://icd.who.int/dev11/l-ichi/en#/http%3A%2F%2Fid.who.int%2Ficd%2Fentity%2F249133995","browser")</x:f>
      </x:c>
      <x:c r="L9281" s="0">
        <x:f>hyperlink("https://icat2.azurewebsites.net/icat/?ontology=ICD&amp;tab=ClassesTab&amp;id=http%3A%2F%2Fwho.int%2Ficd%237220_075b017b_ac4c_42d7_a31d_f6f14e3ba684","iCat")</x:f>
      </x:c>
      <x:c r="M9281" s="0" t="s">
        <x:v>21</x:v>
      </x:c>
      <x:c r="N9281" s="0" t="s">
        <x:v>46</x:v>
      </x:c>
    </x:row>
    <x:row r="9282" spans="1:16">
      <x:c r="A9282" s="0" t="s">
        <x:v>36992</x:v>
      </x:c>
      <x:c r="B9282" s="0" t="s">
        <x:v>36993</x:v>
      </x:c>
      <x:c r="C9282" s="0" t="s">
        <x:v>36994</x:v>
      </x:c>
      <x:c r="E9282" s="0" t="s">
        <x:v>36995</x:v>
      </x:c>
      <x:c r="F9282" s="0" t="s">
        <x:v>45</x:v>
      </x:c>
      <x:c r="G9282" s="0" t="s">
        <x:v>19</x:v>
      </x:c>
      <x:c r="H9282" s="0" t="s">
        <x:v>20</x:v>
      </x:c>
      <x:c r="I9282" s="0" t="s">
        <x:v>21</x:v>
      </x:c>
      <x:c r="K9282" s="0">
        <x:f>hyperlink("https://icd.who.int/dev11/l-ichi/en#/http%3A%2F%2Fid.who.int%2Ficd%2Fentity%2F1587716634","browser")</x:f>
      </x:c>
      <x:c r="L9282" s="0">
        <x:f>hyperlink("https://icat2.azurewebsites.net/icat/?ontology=ICD&amp;tab=ClassesTab&amp;id=http%3A%2F%2Fwho.int%2Ficd%237226_075b017b_ac4c_42d7_a31d_f6f14e3ba684","iCat")</x:f>
      </x:c>
      <x:c r="M9282" s="0" t="s">
        <x:v>21</x:v>
      </x:c>
      <x:c r="N9282" s="0" t="s">
        <x:v>46</x:v>
      </x:c>
    </x:row>
    <x:row r="9283" spans="1:16">
      <x:c r="A9283" s="0" t="s">
        <x:v>36996</x:v>
      </x:c>
      <x:c r="B9283" s="0" t="s">
        <x:v>36997</x:v>
      </x:c>
      <x:c r="C9283" s="0" t="s">
        <x:v>36998</x:v>
      </x:c>
      <x:c r="E9283" s="0" t="s">
        <x:v>36999</x:v>
      </x:c>
      <x:c r="F9283" s="0" t="s">
        <x:v>45</x:v>
      </x:c>
      <x:c r="G9283" s="0" t="s">
        <x:v>19</x:v>
      </x:c>
      <x:c r="H9283" s="0" t="s">
        <x:v>20</x:v>
      </x:c>
      <x:c r="I9283" s="0" t="s">
        <x:v>21</x:v>
      </x:c>
      <x:c r="K9283" s="0">
        <x:f>hyperlink("https://icd.who.int/dev11/l-ichi/en#/http%3A%2F%2Fid.who.int%2Ficd%2Fentity%2F23130937","browser")</x:f>
      </x:c>
      <x:c r="L9283" s="0">
        <x:f>hyperlink("https://icat2.azurewebsites.net/icat/?ontology=ICD&amp;tab=ClassesTab&amp;id=http%3A%2F%2Fwho.int%2Ficd%237232_075b017b_ac4c_42d7_a31d_f6f14e3ba684","iCat")</x:f>
      </x:c>
      <x:c r="M9283" s="0" t="s">
        <x:v>21</x:v>
      </x:c>
      <x:c r="N9283" s="0" t="s">
        <x:v>46</x:v>
      </x:c>
    </x:row>
    <x:row r="9284" spans="1:16">
      <x:c r="A9284" s="0" t="s">
        <x:v>37000</x:v>
      </x:c>
      <x:c r="B9284" s="0" t="s">
        <x:v>37001</x:v>
      </x:c>
      <x:c r="C9284" s="0" t="s">
        <x:v>37002</x:v>
      </x:c>
      <x:c r="E9284" s="0" t="s">
        <x:v>37003</x:v>
      </x:c>
      <x:c r="F9284" s="0" t="s">
        <x:v>45</x:v>
      </x:c>
      <x:c r="G9284" s="0" t="s">
        <x:v>19</x:v>
      </x:c>
      <x:c r="H9284" s="0" t="s">
        <x:v>20</x:v>
      </x:c>
      <x:c r="I9284" s="0" t="s">
        <x:v>21</x:v>
      </x:c>
      <x:c r="K9284" s="0">
        <x:f>hyperlink("https://icd.who.int/dev11/l-ichi/en#/http%3A%2F%2Fid.who.int%2Ficd%2Fentity%2F714973097","browser")</x:f>
      </x:c>
      <x:c r="L9284" s="0">
        <x:f>hyperlink("https://icat2.azurewebsites.net/icat/?ontology=ICD&amp;tab=ClassesTab&amp;id=http%3A%2F%2Fwho.int%2Ficd%237238_075b017b_ac4c_42d7_a31d_f6f14e3ba684","iCat")</x:f>
      </x:c>
      <x:c r="M9284" s="0" t="s">
        <x:v>21</x:v>
      </x:c>
      <x:c r="N9284" s="0" t="s">
        <x:v>46</x:v>
      </x:c>
    </x:row>
    <x:row r="9285" spans="1:16">
      <x:c r="A9285" s="0" t="s">
        <x:v>37004</x:v>
      </x:c>
      <x:c r="B9285" s="0" t="s">
        <x:v>37005</x:v>
      </x:c>
      <x:c r="C9285" s="0" t="s">
        <x:v>37006</x:v>
      </x:c>
      <x:c r="E9285" s="0" t="s">
        <x:v>37007</x:v>
      </x:c>
      <x:c r="F9285" s="0" t="s">
        <x:v>45</x:v>
      </x:c>
      <x:c r="G9285" s="0" t="s">
        <x:v>19</x:v>
      </x:c>
      <x:c r="H9285" s="0" t="s">
        <x:v>20</x:v>
      </x:c>
      <x:c r="I9285" s="0" t="s">
        <x:v>21</x:v>
      </x:c>
      <x:c r="K9285" s="0">
        <x:f>hyperlink("https://icd.who.int/dev11/l-ichi/en#/http%3A%2F%2Fid.who.int%2Ficd%2Fentity%2F1928673085","browser")</x:f>
      </x:c>
      <x:c r="L9285" s="0">
        <x:f>hyperlink("https://icat2.azurewebsites.net/icat/?ontology=ICD&amp;tab=ClassesTab&amp;id=http%3A%2F%2Fwho.int%2Ficd%237739_075b017b_ac4c_42d7_a31d_f6f14e3ba684","iCat")</x:f>
      </x:c>
      <x:c r="M9285" s="0" t="s">
        <x:v>21</x:v>
      </x:c>
      <x:c r="N9285" s="0" t="s">
        <x:v>46</x:v>
      </x:c>
    </x:row>
    <x:row r="9286" spans="1:16">
      <x:c r="A9286" s="0" t="s">
        <x:v>37008</x:v>
      </x:c>
      <x:c r="B9286" s="0" t="s">
        <x:v>37009</x:v>
      </x:c>
      <x:c r="C9286" s="0" t="s">
        <x:v>37010</x:v>
      </x:c>
      <x:c r="E9286" s="0" t="s">
        <x:v>37011</x:v>
      </x:c>
      <x:c r="F9286" s="0" t="s">
        <x:v>45</x:v>
      </x:c>
      <x:c r="G9286" s="0" t="s">
        <x:v>19</x:v>
      </x:c>
      <x:c r="H9286" s="0" t="s">
        <x:v>20</x:v>
      </x:c>
      <x:c r="I9286" s="0" t="s">
        <x:v>21</x:v>
      </x:c>
      <x:c r="K9286" s="0">
        <x:f>hyperlink("https://icd.who.int/dev11/l-ichi/en#/http%3A%2F%2Fid.who.int%2Ficd%2Fentity%2F967151878","browser")</x:f>
      </x:c>
      <x:c r="L9286" s="0">
        <x:f>hyperlink("https://icat2.azurewebsites.net/icat/?ontology=ICD&amp;tab=ClassesTab&amp;id=http%3A%2F%2Fwho.int%2Ficd%237745_075b017b_ac4c_42d7_a31d_f6f14e3ba684","iCat")</x:f>
      </x:c>
      <x:c r="M9286" s="0" t="s">
        <x:v>21</x:v>
      </x:c>
      <x:c r="N9286" s="0" t="s">
        <x:v>46</x:v>
      </x:c>
    </x:row>
    <x:row r="9287" spans="1:16">
      <x:c r="A9287" s="0" t="s">
        <x:v>37012</x:v>
      </x:c>
      <x:c r="B9287" s="0" t="s">
        <x:v>37013</x:v>
      </x:c>
      <x:c r="C9287" s="0" t="s">
        <x:v>37014</x:v>
      </x:c>
      <x:c r="E9287" s="0" t="s">
        <x:v>37015</x:v>
      </x:c>
      <x:c r="F9287" s="0" t="s">
        <x:v>45</x:v>
      </x:c>
      <x:c r="G9287" s="0" t="s">
        <x:v>19</x:v>
      </x:c>
      <x:c r="H9287" s="0" t="s">
        <x:v>20</x:v>
      </x:c>
      <x:c r="I9287" s="0" t="s">
        <x:v>21</x:v>
      </x:c>
      <x:c r="K9287" s="0">
        <x:f>hyperlink("https://icd.who.int/dev11/l-ichi/en#/http%3A%2F%2Fid.who.int%2Ficd%2Fentity%2F1718075429","browser")</x:f>
      </x:c>
      <x:c r="L9287" s="0">
        <x:f>hyperlink("https://icat2.azurewebsites.net/icat/?ontology=ICD&amp;tab=ClassesTab&amp;id=http%3A%2F%2Fwho.int%2Ficd%237751_075b017b_ac4c_42d7_a31d_f6f14e3ba684","iCat")</x:f>
      </x:c>
      <x:c r="M9287" s="0" t="s">
        <x:v>21</x:v>
      </x:c>
      <x:c r="N9287" s="0" t="s">
        <x:v>46</x:v>
      </x:c>
    </x:row>
    <x:row r="9288" spans="1:16">
      <x:c r="A9288" s="0" t="s">
        <x:v>37016</x:v>
      </x:c>
      <x:c r="B9288" s="0" t="s">
        <x:v>37017</x:v>
      </x:c>
      <x:c r="C9288" s="0" t="s">
        <x:v>37018</x:v>
      </x:c>
      <x:c r="E9288" s="0" t="s">
        <x:v>37019</x:v>
      </x:c>
      <x:c r="F9288" s="0" t="s">
        <x:v>45</x:v>
      </x:c>
      <x:c r="G9288" s="0" t="s">
        <x:v>19</x:v>
      </x:c>
      <x:c r="H9288" s="0" t="s">
        <x:v>20</x:v>
      </x:c>
      <x:c r="I9288" s="0" t="s">
        <x:v>21</x:v>
      </x:c>
      <x:c r="K9288" s="0">
        <x:f>hyperlink("https://icd.who.int/dev11/l-ichi/en#/http%3A%2F%2Fid.who.int%2Ficd%2Fentity%2F907811220","browser")</x:f>
      </x:c>
      <x:c r="L9288" s="0">
        <x:f>hyperlink("https://icat2.azurewebsites.net/icat/?ontology=ICD&amp;tab=ClassesTab&amp;id=http%3A%2F%2Fwho.int%2Ficd%237757_075b017b_ac4c_42d7_a31d_f6f14e3ba684","iCat")</x:f>
      </x:c>
      <x:c r="M9288" s="0" t="s">
        <x:v>21</x:v>
      </x:c>
      <x:c r="N9288" s="0" t="s">
        <x:v>46</x:v>
      </x:c>
    </x:row>
    <x:row r="9289" spans="1:16">
      <x:c r="A9289" s="0" t="s">
        <x:v>37020</x:v>
      </x:c>
      <x:c r="B9289" s="0" t="s">
        <x:v>37021</x:v>
      </x:c>
      <x:c r="C9289" s="0" t="s">
        <x:v>37022</x:v>
      </x:c>
      <x:c r="E9289" s="0" t="s">
        <x:v>37023</x:v>
      </x:c>
      <x:c r="F9289" s="0" t="s">
        <x:v>45</x:v>
      </x:c>
      <x:c r="G9289" s="0" t="s">
        <x:v>19</x:v>
      </x:c>
      <x:c r="H9289" s="0" t="s">
        <x:v>20</x:v>
      </x:c>
      <x:c r="I9289" s="0" t="s">
        <x:v>21</x:v>
      </x:c>
      <x:c r="K9289" s="0">
        <x:f>hyperlink("https://icd.who.int/dev11/l-ichi/en#/http%3A%2F%2Fid.who.int%2Ficd%2Fentity%2F1135255015","browser")</x:f>
      </x:c>
      <x:c r="L9289" s="0">
        <x:f>hyperlink("https://icat2.azurewebsites.net/icat/?ontology=ICD&amp;tab=ClassesTab&amp;id=http%3A%2F%2Fwho.int%2Ficd%237763_075b017b_ac4c_42d7_a31d_f6f14e3ba684","iCat")</x:f>
      </x:c>
      <x:c r="M9289" s="0" t="s">
        <x:v>21</x:v>
      </x:c>
      <x:c r="N9289" s="0" t="s">
        <x:v>46</x:v>
      </x:c>
    </x:row>
    <x:row r="9290" spans="1:16">
      <x:c r="A9290" s="0" t="s">
        <x:v>37024</x:v>
      </x:c>
      <x:c r="B9290" s="0" t="s">
        <x:v>37025</x:v>
      </x:c>
      <x:c r="C9290" s="0" t="s">
        <x:v>37026</x:v>
      </x:c>
      <x:c r="E9290" s="0" t="s">
        <x:v>37027</x:v>
      </x:c>
      <x:c r="F9290" s="0" t="s">
        <x:v>45</x:v>
      </x:c>
      <x:c r="G9290" s="0" t="s">
        <x:v>19</x:v>
      </x:c>
      <x:c r="H9290" s="0" t="s">
        <x:v>20</x:v>
      </x:c>
      <x:c r="I9290" s="0" t="s">
        <x:v>21</x:v>
      </x:c>
      <x:c r="K9290" s="0">
        <x:f>hyperlink("https://icd.who.int/dev11/l-ichi/en#/http%3A%2F%2Fid.who.int%2Ficd%2Fentity%2F1750593911","browser")</x:f>
      </x:c>
      <x:c r="L9290" s="0">
        <x:f>hyperlink("https://icat2.azurewebsites.net/icat/?ontology=ICD&amp;tab=ClassesTab&amp;id=http%3A%2F%2Fwho.int%2Ficd%237769_075b017b_ac4c_42d7_a31d_f6f14e3ba684","iCat")</x:f>
      </x:c>
      <x:c r="M9290" s="0" t="s">
        <x:v>21</x:v>
      </x:c>
      <x:c r="N9290" s="0" t="s">
        <x:v>46</x:v>
      </x:c>
    </x:row>
    <x:row r="9291" spans="1:16">
      <x:c r="A9291" s="0" t="s">
        <x:v>37028</x:v>
      </x:c>
      <x:c r="B9291" s="0" t="s">
        <x:v>37029</x:v>
      </x:c>
      <x:c r="C9291" s="0" t="s">
        <x:v>37030</x:v>
      </x:c>
      <x:c r="E9291" s="0" t="s">
        <x:v>37031</x:v>
      </x:c>
      <x:c r="F9291" s="0" t="s">
        <x:v>45</x:v>
      </x:c>
      <x:c r="G9291" s="0" t="s">
        <x:v>19</x:v>
      </x:c>
      <x:c r="H9291" s="0" t="s">
        <x:v>20</x:v>
      </x:c>
      <x:c r="I9291" s="0" t="s">
        <x:v>21</x:v>
      </x:c>
      <x:c r="K9291" s="0">
        <x:f>hyperlink("https://icd.who.int/dev11/l-ichi/en#/http%3A%2F%2Fid.who.int%2Ficd%2Fentity%2F2031407361","browser")</x:f>
      </x:c>
      <x:c r="L9291" s="0">
        <x:f>hyperlink("https://icat2.azurewebsites.net/icat/?ontology=ICD&amp;tab=ClassesTab&amp;id=http%3A%2F%2Fwho.int%2Ficd%237775_075b017b_ac4c_42d7_a31d_f6f14e3ba684","iCat")</x:f>
      </x:c>
      <x:c r="M9291" s="0" t="s">
        <x:v>21</x:v>
      </x:c>
      <x:c r="N9291" s="0" t="s">
        <x:v>46</x:v>
      </x:c>
    </x:row>
    <x:row r="9292" spans="1:16">
      <x:c r="A9292" s="0" t="s">
        <x:v>37032</x:v>
      </x:c>
      <x:c r="B9292" s="0" t="s">
        <x:v>37033</x:v>
      </x:c>
      <x:c r="C9292" s="0" t="s">
        <x:v>37034</x:v>
      </x:c>
      <x:c r="E9292" s="0" t="s">
        <x:v>37035</x:v>
      </x:c>
      <x:c r="F9292" s="0" t="s">
        <x:v>45</x:v>
      </x:c>
      <x:c r="G9292" s="0" t="s">
        <x:v>19</x:v>
      </x:c>
      <x:c r="H9292" s="0" t="s">
        <x:v>20</x:v>
      </x:c>
      <x:c r="I9292" s="0" t="s">
        <x:v>21</x:v>
      </x:c>
      <x:c r="K9292" s="0">
        <x:f>hyperlink("https://icd.who.int/dev11/l-ichi/en#/http%3A%2F%2Fid.who.int%2Ficd%2Fentity%2F1676959659","browser")</x:f>
      </x:c>
      <x:c r="L9292" s="0">
        <x:f>hyperlink("https://icat2.azurewebsites.net/icat/?ontology=ICD&amp;tab=ClassesTab&amp;id=http%3A%2F%2Fwho.int%2Ficd%237781_075b017b_ac4c_42d7_a31d_f6f14e3ba684","iCat")</x:f>
      </x:c>
      <x:c r="M9292" s="0" t="s">
        <x:v>21</x:v>
      </x:c>
      <x:c r="N9292" s="0" t="s">
        <x:v>46</x:v>
      </x:c>
    </x:row>
    <x:row r="9293" spans="1:16">
      <x:c r="A9293" s="0" t="s">
        <x:v>37036</x:v>
      </x:c>
      <x:c r="B9293" s="0" t="s">
        <x:v>37037</x:v>
      </x:c>
      <x:c r="C9293" s="0" t="s">
        <x:v>37038</x:v>
      </x:c>
      <x:c r="E9293" s="0" t="s">
        <x:v>37039</x:v>
      </x:c>
      <x:c r="F9293" s="0" t="s">
        <x:v>45</x:v>
      </x:c>
      <x:c r="G9293" s="0" t="s">
        <x:v>19</x:v>
      </x:c>
      <x:c r="H9293" s="0" t="s">
        <x:v>20</x:v>
      </x:c>
      <x:c r="I9293" s="0" t="s">
        <x:v>21</x:v>
      </x:c>
      <x:c r="K9293" s="0">
        <x:f>hyperlink("https://icd.who.int/dev11/l-ichi/en#/http%3A%2F%2Fid.who.int%2Ficd%2Fentity%2F865043996","browser")</x:f>
      </x:c>
      <x:c r="L9293" s="0">
        <x:f>hyperlink("https://icat2.azurewebsites.net/icat/?ontology=ICD&amp;tab=ClassesTab&amp;id=http%3A%2F%2Fwho.int%2Ficd%237787_075b017b_ac4c_42d7_a31d_f6f14e3ba684","iCat")</x:f>
      </x:c>
      <x:c r="M9293" s="0" t="s">
        <x:v>21</x:v>
      </x:c>
      <x:c r="N9293" s="0" t="s">
        <x:v>46</x:v>
      </x:c>
    </x:row>
    <x:row r="9294" spans="1:16">
      <x:c r="A9294" s="0" t="s">
        <x:v>37040</x:v>
      </x:c>
      <x:c r="B9294" s="0" t="s">
        <x:v>37041</x:v>
      </x:c>
      <x:c r="C9294" s="0" t="s">
        <x:v>37042</x:v>
      </x:c>
      <x:c r="E9294" s="0" t="s">
        <x:v>37043</x:v>
      </x:c>
      <x:c r="F9294" s="0" t="s">
        <x:v>45</x:v>
      </x:c>
      <x:c r="G9294" s="0" t="s">
        <x:v>19</x:v>
      </x:c>
      <x:c r="H9294" s="0" t="s">
        <x:v>20</x:v>
      </x:c>
      <x:c r="I9294" s="0" t="s">
        <x:v>21</x:v>
      </x:c>
      <x:c r="K9294" s="0">
        <x:f>hyperlink("https://icd.who.int/dev11/l-ichi/en#/http%3A%2F%2Fid.who.int%2Ficd%2Fentity%2F1817040697","browser")</x:f>
      </x:c>
      <x:c r="L9294" s="0">
        <x:f>hyperlink("https://icat2.azurewebsites.net/icat/?ontology=ICD&amp;tab=ClassesTab&amp;id=http%3A%2F%2Fwho.int%2Ficd%237793_075b017b_ac4c_42d7_a31d_f6f14e3ba684","iCat")</x:f>
      </x:c>
      <x:c r="M9294" s="0" t="s">
        <x:v>21</x:v>
      </x:c>
      <x:c r="N9294" s="0" t="s">
        <x:v>46</x:v>
      </x:c>
    </x:row>
    <x:row r="9295" spans="1:16">
      <x:c r="A9295" s="0" t="s">
        <x:v>37044</x:v>
      </x:c>
      <x:c r="B9295" s="0" t="s">
        <x:v>37045</x:v>
      </x:c>
      <x:c r="C9295" s="0" t="s">
        <x:v>37046</x:v>
      </x:c>
      <x:c r="E9295" s="0" t="s">
        <x:v>37047</x:v>
      </x:c>
      <x:c r="F9295" s="0" t="s">
        <x:v>45</x:v>
      </x:c>
      <x:c r="G9295" s="0" t="s">
        <x:v>19</x:v>
      </x:c>
      <x:c r="H9295" s="0" t="s">
        <x:v>20</x:v>
      </x:c>
      <x:c r="I9295" s="0" t="s">
        <x:v>21</x:v>
      </x:c>
      <x:c r="K9295" s="0">
        <x:f>hyperlink("https://icd.who.int/dev11/l-ichi/en#/http%3A%2F%2Fid.who.int%2Ficd%2Fentity%2F1202764713","browser")</x:f>
      </x:c>
      <x:c r="L9295" s="0">
        <x:f>hyperlink("https://icat2.azurewebsites.net/icat/?ontology=ICD&amp;tab=ClassesTab&amp;id=http%3A%2F%2Fwho.int%2Ficd%237799_075b017b_ac4c_42d7_a31d_f6f14e3ba684","iCat")</x:f>
      </x:c>
      <x:c r="M9295" s="0" t="s">
        <x:v>21</x:v>
      </x:c>
      <x:c r="N9295" s="0" t="s">
        <x:v>46</x:v>
      </x:c>
    </x:row>
    <x:row r="9296" spans="1:16">
      <x:c r="A9296" s="0" t="s">
        <x:v>37048</x:v>
      </x:c>
      <x:c r="B9296" s="0" t="s">
        <x:v>37049</x:v>
      </x:c>
      <x:c r="C9296" s="0" t="s">
        <x:v>37050</x:v>
      </x:c>
      <x:c r="E9296" s="0" t="s">
        <x:v>37051</x:v>
      </x:c>
      <x:c r="F9296" s="0" t="s">
        <x:v>45</x:v>
      </x:c>
      <x:c r="G9296" s="0" t="s">
        <x:v>19</x:v>
      </x:c>
      <x:c r="H9296" s="0" t="s">
        <x:v>20</x:v>
      </x:c>
      <x:c r="I9296" s="0" t="s">
        <x:v>21</x:v>
      </x:c>
      <x:c r="K9296" s="0">
        <x:f>hyperlink("https://icd.who.int/dev11/l-ichi/en#/http%3A%2F%2Fid.who.int%2Ficd%2Fentity%2F1066357277","browser")</x:f>
      </x:c>
      <x:c r="L9296" s="0">
        <x:f>hyperlink("https://icat2.azurewebsites.net/icat/?ontology=ICD&amp;tab=ClassesTab&amp;id=http%3A%2F%2Fwho.int%2Ficd%237805_075b017b_ac4c_42d7_a31d_f6f14e3ba684","iCat")</x:f>
      </x:c>
      <x:c r="M9296" s="0" t="s">
        <x:v>21</x:v>
      </x:c>
      <x:c r="N9296" s="0" t="s">
        <x:v>46</x:v>
      </x:c>
    </x:row>
    <x:row r="9297" spans="1:16">
      <x:c r="A9297" s="0" t="s">
        <x:v>37052</x:v>
      </x:c>
      <x:c r="B9297" s="0" t="s">
        <x:v>37053</x:v>
      </x:c>
      <x:c r="C9297" s="0" t="s">
        <x:v>37054</x:v>
      </x:c>
      <x:c r="E9297" s="0" t="s">
        <x:v>37055</x:v>
      </x:c>
      <x:c r="F9297" s="0" t="s">
        <x:v>45</x:v>
      </x:c>
      <x:c r="G9297" s="0" t="s">
        <x:v>19</x:v>
      </x:c>
      <x:c r="H9297" s="0" t="s">
        <x:v>20</x:v>
      </x:c>
      <x:c r="I9297" s="0" t="s">
        <x:v>21</x:v>
      </x:c>
      <x:c r="K9297" s="0">
        <x:f>hyperlink("https://icd.who.int/dev11/l-ichi/en#/http%3A%2F%2Fid.who.int%2Ficd%2Fentity%2F1615659838","browser")</x:f>
      </x:c>
      <x:c r="L9297" s="0">
        <x:f>hyperlink("https://icat2.azurewebsites.net/icat/?ontology=ICD&amp;tab=ClassesTab&amp;id=http%3A%2F%2Fwho.int%2Ficd%237811_075b017b_ac4c_42d7_a31d_f6f14e3ba684","iCat")</x:f>
      </x:c>
      <x:c r="M9297" s="0" t="s">
        <x:v>21</x:v>
      </x:c>
      <x:c r="N9297" s="0" t="s">
        <x:v>46</x:v>
      </x:c>
    </x:row>
    <x:row r="9298" spans="1:16">
      <x:c r="A9298" s="0" t="s">
        <x:v>37056</x:v>
      </x:c>
      <x:c r="B9298" s="0" t="s">
        <x:v>37057</x:v>
      </x:c>
      <x:c r="C9298" s="0" t="s">
        <x:v>37058</x:v>
      </x:c>
      <x:c r="E9298" s="0" t="s">
        <x:v>37059</x:v>
      </x:c>
      <x:c r="F9298" s="0" t="s">
        <x:v>45</x:v>
      </x:c>
      <x:c r="G9298" s="0" t="s">
        <x:v>19</x:v>
      </x:c>
      <x:c r="H9298" s="0" t="s">
        <x:v>20</x:v>
      </x:c>
      <x:c r="I9298" s="0" t="s">
        <x:v>21</x:v>
      </x:c>
      <x:c r="K9298" s="0">
        <x:f>hyperlink("https://icd.who.int/dev11/l-ichi/en#/http%3A%2F%2Fid.who.int%2Ficd%2Fentity%2F808901263","browser")</x:f>
      </x:c>
      <x:c r="L9298" s="0">
        <x:f>hyperlink("https://icat2.azurewebsites.net/icat/?ontology=ICD&amp;tab=ClassesTab&amp;id=http%3A%2F%2Fwho.int%2Ficd%237817_075b017b_ac4c_42d7_a31d_f6f14e3ba684","iCat")</x:f>
      </x:c>
      <x:c r="M9298" s="0" t="s">
        <x:v>21</x:v>
      </x:c>
      <x:c r="N9298" s="0" t="s">
        <x:v>46</x:v>
      </x:c>
    </x:row>
    <x:row r="9299" spans="1:16">
      <x:c r="A9299" s="0" t="s">
        <x:v>37060</x:v>
      </x:c>
      <x:c r="B9299" s="0" t="s">
        <x:v>37061</x:v>
      </x:c>
      <x:c r="C9299" s="0" t="s">
        <x:v>37062</x:v>
      </x:c>
      <x:c r="E9299" s="0" t="s">
        <x:v>37063</x:v>
      </x:c>
      <x:c r="F9299" s="0" t="s">
        <x:v>45</x:v>
      </x:c>
      <x:c r="G9299" s="0" t="s">
        <x:v>19</x:v>
      </x:c>
      <x:c r="H9299" s="0" t="s">
        <x:v>20</x:v>
      </x:c>
      <x:c r="I9299" s="0" t="s">
        <x:v>21</x:v>
      </x:c>
      <x:c r="K9299" s="0">
        <x:f>hyperlink("https://icd.who.int/dev11/l-ichi/en#/http%3A%2F%2Fid.who.int%2Ficd%2Fentity%2F1166040830","browser")</x:f>
      </x:c>
      <x:c r="L9299" s="0">
        <x:f>hyperlink("https://icat2.azurewebsites.net/icat/?ontology=ICD&amp;tab=ClassesTab&amp;id=http%3A%2F%2Fwho.int%2Ficd%237823_075b017b_ac4c_42d7_a31d_f6f14e3ba684","iCat")</x:f>
      </x:c>
      <x:c r="M9299" s="0" t="s">
        <x:v>21</x:v>
      </x:c>
      <x:c r="N9299" s="0" t="s">
        <x:v>46</x:v>
      </x:c>
    </x:row>
    <x:row r="9300" spans="1:16">
      <x:c r="A9300" s="0" t="s">
        <x:v>37064</x:v>
      </x:c>
      <x:c r="B9300" s="0" t="s">
        <x:v>37065</x:v>
      </x:c>
      <x:c r="C9300" s="0" t="s">
        <x:v>37066</x:v>
      </x:c>
      <x:c r="E9300" s="0" t="s">
        <x:v>37067</x:v>
      </x:c>
      <x:c r="F9300" s="0" t="s">
        <x:v>45</x:v>
      </x:c>
      <x:c r="G9300" s="0" t="s">
        <x:v>19</x:v>
      </x:c>
      <x:c r="H9300" s="0" t="s">
        <x:v>20</x:v>
      </x:c>
      <x:c r="I9300" s="0" t="s">
        <x:v>21</x:v>
      </x:c>
      <x:c r="K9300" s="0">
        <x:f>hyperlink("https://icd.who.int/dev11/l-ichi/en#/http%3A%2F%2Fid.who.int%2Ficd%2Fentity%2F1853698670","browser")</x:f>
      </x:c>
      <x:c r="L9300" s="0">
        <x:f>hyperlink("https://icat2.azurewebsites.net/icat/?ontology=ICD&amp;tab=ClassesTab&amp;id=http%3A%2F%2Fwho.int%2Ficd%237829_075b017b_ac4c_42d7_a31d_f6f14e3ba684","iCat")</x:f>
      </x:c>
      <x:c r="M9300" s="0" t="s">
        <x:v>21</x:v>
      </x:c>
      <x:c r="N9300" s="0" t="s">
        <x:v>46</x:v>
      </x:c>
    </x:row>
    <x:row r="9301" spans="1:16">
      <x:c r="A9301" s="0" t="s">
        <x:v>37068</x:v>
      </x:c>
      <x:c r="B9301" s="0" t="s">
        <x:v>37069</x:v>
      </x:c>
      <x:c r="C9301" s="0" t="s">
        <x:v>37070</x:v>
      </x:c>
      <x:c r="E9301" s="0" t="s">
        <x:v>37071</x:v>
      </x:c>
      <x:c r="F9301" s="0" t="s">
        <x:v>45</x:v>
      </x:c>
      <x:c r="G9301" s="0" t="s">
        <x:v>19</x:v>
      </x:c>
      <x:c r="H9301" s="0" t="s">
        <x:v>20</x:v>
      </x:c>
      <x:c r="I9301" s="0" t="s">
        <x:v>21</x:v>
      </x:c>
      <x:c r="K9301" s="0">
        <x:f>hyperlink("https://icd.who.int/dev11/l-ichi/en#/http%3A%2F%2Fid.who.int%2Ficd%2Fentity%2F2134774298","browser")</x:f>
      </x:c>
      <x:c r="L9301" s="0">
        <x:f>hyperlink("https://icat2.azurewebsites.net/icat/?ontology=ICD&amp;tab=ClassesTab&amp;id=http%3A%2F%2Fwho.int%2Ficd%237835_075b017b_ac4c_42d7_a31d_f6f14e3ba684","iCat")</x:f>
      </x:c>
      <x:c r="M9301" s="0" t="s">
        <x:v>21</x:v>
      </x:c>
      <x:c r="N9301" s="0" t="s">
        <x:v>46</x:v>
      </x:c>
    </x:row>
    <x:row r="9302" spans="1:16">
      <x:c r="A9302" s="0" t="s">
        <x:v>37072</x:v>
      </x:c>
      <x:c r="B9302" s="0" t="s">
        <x:v>37073</x:v>
      </x:c>
      <x:c r="C9302" s="0" t="s">
        <x:v>37074</x:v>
      </x:c>
      <x:c r="E9302" s="0" t="s">
        <x:v>37075</x:v>
      </x:c>
      <x:c r="F9302" s="0" t="s">
        <x:v>45</x:v>
      </x:c>
      <x:c r="G9302" s="0" t="s">
        <x:v>19</x:v>
      </x:c>
      <x:c r="H9302" s="0" t="s">
        <x:v>20</x:v>
      </x:c>
      <x:c r="I9302" s="0" t="s">
        <x:v>21</x:v>
      </x:c>
      <x:c r="K9302" s="0">
        <x:f>hyperlink("https://icd.who.int/dev11/l-ichi/en#/http%3A%2F%2Fid.who.int%2Ficd%2Fentity%2F2062534004","browser")</x:f>
      </x:c>
      <x:c r="L9302" s="0">
        <x:f>hyperlink("https://icat2.azurewebsites.net/icat/?ontology=ICD&amp;tab=ClassesTab&amp;id=http%3A%2F%2Fwho.int%2Ficd%237841_075b017b_ac4c_42d7_a31d_f6f14e3ba684","iCat")</x:f>
      </x:c>
      <x:c r="M9302" s="0" t="s">
        <x:v>21</x:v>
      </x:c>
      <x:c r="N9302" s="0" t="s">
        <x:v>46</x:v>
      </x:c>
    </x:row>
    <x:row r="9303" spans="1:16">
      <x:c r="A9303" s="0" t="s">
        <x:v>37076</x:v>
      </x:c>
      <x:c r="B9303" s="0" t="s">
        <x:v>37077</x:v>
      </x:c>
      <x:c r="C9303" s="0" t="s">
        <x:v>37078</x:v>
      </x:c>
      <x:c r="E9303" s="0" t="s">
        <x:v>37079</x:v>
      </x:c>
      <x:c r="F9303" s="0" t="s">
        <x:v>45</x:v>
      </x:c>
      <x:c r="G9303" s="0" t="s">
        <x:v>19</x:v>
      </x:c>
      <x:c r="H9303" s="0" t="s">
        <x:v>20</x:v>
      </x:c>
      <x:c r="I9303" s="0" t="s">
        <x:v>21</x:v>
      </x:c>
      <x:c r="K9303" s="0">
        <x:f>hyperlink("https://icd.who.int/dev11/l-ichi/en#/http%3A%2F%2Fid.who.int%2Ficd%2Fentity%2F714349765","browser")</x:f>
      </x:c>
      <x:c r="L9303" s="0">
        <x:f>hyperlink("https://icat2.azurewebsites.net/icat/?ontology=ICD&amp;tab=ClassesTab&amp;id=http%3A%2F%2Fwho.int%2Ficd%237847_075b017b_ac4c_42d7_a31d_f6f14e3ba684","iCat")</x:f>
      </x:c>
      <x:c r="M9303" s="0" t="s">
        <x:v>21</x:v>
      </x:c>
      <x:c r="N9303" s="0" t="s">
        <x:v>46</x:v>
      </x:c>
    </x:row>
    <x:row r="9304" spans="1:16">
      <x:c r="A9304" s="0" t="s">
        <x:v>37080</x:v>
      </x:c>
      <x:c r="B9304" s="0" t="s">
        <x:v>37081</x:v>
      </x:c>
      <x:c r="C9304" s="0" t="s">
        <x:v>37082</x:v>
      </x:c>
      <x:c r="E9304" s="0" t="s">
        <x:v>37083</x:v>
      </x:c>
      <x:c r="F9304" s="0" t="s">
        <x:v>45</x:v>
      </x:c>
      <x:c r="G9304" s="0" t="s">
        <x:v>19</x:v>
      </x:c>
      <x:c r="H9304" s="0" t="s">
        <x:v>20</x:v>
      </x:c>
      <x:c r="I9304" s="0" t="s">
        <x:v>21</x:v>
      </x:c>
      <x:c r="K9304" s="0">
        <x:f>hyperlink("https://icd.who.int/dev11/l-ichi/en#/http%3A%2F%2Fid.who.int%2Ficd%2Fentity%2F1968590310","browser")</x:f>
      </x:c>
      <x:c r="L9304" s="0">
        <x:f>hyperlink("https://icat2.azurewebsites.net/icat/?ontology=ICD&amp;tab=ClassesTab&amp;id=http%3A%2F%2Fwho.int%2Ficd%237853_075b017b_ac4c_42d7_a31d_f6f14e3ba684","iCat")</x:f>
      </x:c>
      <x:c r="M9304" s="0" t="s">
        <x:v>21</x:v>
      </x:c>
      <x:c r="N9304" s="0" t="s">
        <x:v>46</x:v>
      </x:c>
    </x:row>
    <x:row r="9305" spans="1:16">
      <x:c r="A9305" s="0" t="s">
        <x:v>37084</x:v>
      </x:c>
      <x:c r="B9305" s="0" t="s">
        <x:v>37085</x:v>
      </x:c>
      <x:c r="C9305" s="0" t="s">
        <x:v>37086</x:v>
      </x:c>
      <x:c r="E9305" s="0" t="s">
        <x:v>37087</x:v>
      </x:c>
      <x:c r="F9305" s="0" t="s">
        <x:v>45</x:v>
      </x:c>
      <x:c r="G9305" s="0" t="s">
        <x:v>19</x:v>
      </x:c>
      <x:c r="H9305" s="0" t="s">
        <x:v>20</x:v>
      </x:c>
      <x:c r="I9305" s="0" t="s">
        <x:v>21</x:v>
      </x:c>
      <x:c r="K9305" s="0">
        <x:f>hyperlink("https://icd.who.int/dev11/l-ichi/en#/http%3A%2F%2Fid.who.int%2Ficd%2Fentity%2F1588273526","browser")</x:f>
      </x:c>
      <x:c r="L9305" s="0">
        <x:f>hyperlink("https://icat2.azurewebsites.net/icat/?ontology=ICD&amp;tab=ClassesTab&amp;id=http%3A%2F%2Fwho.int%2Ficd%237859_075b017b_ac4c_42d7_a31d_f6f14e3ba684","iCat")</x:f>
      </x:c>
      <x:c r="M9305" s="0" t="s">
        <x:v>21</x:v>
      </x:c>
      <x:c r="N9305" s="0" t="s">
        <x:v>46</x:v>
      </x:c>
    </x:row>
    <x:row r="9306" spans="1:16">
      <x:c r="A9306" s="0" t="s">
        <x:v>37088</x:v>
      </x:c>
      <x:c r="B9306" s="0" t="s">
        <x:v>37089</x:v>
      </x:c>
      <x:c r="C9306" s="0" t="s">
        <x:v>37090</x:v>
      </x:c>
      <x:c r="E9306" s="0" t="s">
        <x:v>37091</x:v>
      </x:c>
      <x:c r="F9306" s="0" t="s">
        <x:v>45</x:v>
      </x:c>
      <x:c r="G9306" s="0" t="s">
        <x:v>19</x:v>
      </x:c>
      <x:c r="H9306" s="0" t="s">
        <x:v>20</x:v>
      </x:c>
      <x:c r="I9306" s="0" t="s">
        <x:v>21</x:v>
      </x:c>
      <x:c r="K9306" s="0">
        <x:f>hyperlink("https://icd.who.int/dev11/l-ichi/en#/http%3A%2F%2Fid.who.int%2Ficd%2Fentity%2F1704776784","browser")</x:f>
      </x:c>
      <x:c r="L9306" s="0">
        <x:f>hyperlink("https://icat2.azurewebsites.net/icat/?ontology=ICD&amp;tab=ClassesTab&amp;id=http%3A%2F%2Fwho.int%2Ficd%237865_075b017b_ac4c_42d7_a31d_f6f14e3ba684","iCat")</x:f>
      </x:c>
      <x:c r="M9306" s="0" t="s">
        <x:v>21</x:v>
      </x:c>
      <x:c r="N9306" s="0" t="s">
        <x:v>46</x:v>
      </x:c>
    </x:row>
    <x:row r="9307" spans="1:16">
      <x:c r="A9307" s="0" t="s">
        <x:v>37092</x:v>
      </x:c>
      <x:c r="B9307" s="0" t="s">
        <x:v>37093</x:v>
      </x:c>
      <x:c r="C9307" s="0" t="s">
        <x:v>37094</x:v>
      </x:c>
      <x:c r="E9307" s="0" t="s">
        <x:v>37095</x:v>
      </x:c>
      <x:c r="F9307" s="0" t="s">
        <x:v>45</x:v>
      </x:c>
      <x:c r="G9307" s="0" t="s">
        <x:v>19</x:v>
      </x:c>
      <x:c r="H9307" s="0" t="s">
        <x:v>20</x:v>
      </x:c>
      <x:c r="I9307" s="0" t="s">
        <x:v>21</x:v>
      </x:c>
      <x:c r="K9307" s="0">
        <x:f>hyperlink("https://icd.who.int/dev11/l-ichi/en#/http%3A%2F%2Fid.who.int%2Ficd%2Fentity%2F979273075","browser")</x:f>
      </x:c>
      <x:c r="L9307" s="0">
        <x:f>hyperlink("https://icat2.azurewebsites.net/icat/?ontology=ICD&amp;tab=ClassesTab&amp;id=http%3A%2F%2Fwho.int%2Ficd%237871_075b017b_ac4c_42d7_a31d_f6f14e3ba684","iCat")</x:f>
      </x:c>
      <x:c r="M9307" s="0" t="s">
        <x:v>21</x:v>
      </x:c>
      <x:c r="N9307" s="0" t="s">
        <x:v>46</x:v>
      </x:c>
    </x:row>
    <x:row r="9308" spans="1:16">
      <x:c r="A9308" s="0" t="s">
        <x:v>37096</x:v>
      </x:c>
      <x:c r="B9308" s="0" t="s">
        <x:v>37097</x:v>
      </x:c>
      <x:c r="C9308" s="0" t="s">
        <x:v>37098</x:v>
      </x:c>
      <x:c r="E9308" s="0" t="s">
        <x:v>37099</x:v>
      </x:c>
      <x:c r="F9308" s="0" t="s">
        <x:v>45</x:v>
      </x:c>
      <x:c r="G9308" s="0" t="s">
        <x:v>19</x:v>
      </x:c>
      <x:c r="H9308" s="0" t="s">
        <x:v>20</x:v>
      </x:c>
      <x:c r="I9308" s="0" t="s">
        <x:v>21</x:v>
      </x:c>
      <x:c r="K9308" s="0">
        <x:f>hyperlink("https://icd.who.int/dev11/l-ichi/en#/http%3A%2F%2Fid.who.int%2Ficd%2Fentity%2F1780833474","browser")</x:f>
      </x:c>
      <x:c r="L9308" s="0">
        <x:f>hyperlink("https://icat2.azurewebsites.net/icat/?ontology=ICD&amp;tab=ClassesTab&amp;id=http%3A%2F%2Fwho.int%2Ficd%237877_075b017b_ac4c_42d7_a31d_f6f14e3ba684","iCat")</x:f>
      </x:c>
      <x:c r="M9308" s="0" t="s">
        <x:v>21</x:v>
      </x:c>
      <x:c r="N9308" s="0" t="s">
        <x:v>46</x:v>
      </x:c>
    </x:row>
    <x:row r="9309" spans="1:16">
      <x:c r="A9309" s="0" t="s">
        <x:v>37100</x:v>
      </x:c>
      <x:c r="B9309" s="0" t="s">
        <x:v>37101</x:v>
      </x:c>
      <x:c r="C9309" s="0" t="s">
        <x:v>37102</x:v>
      </x:c>
      <x:c r="E9309" s="0" t="s">
        <x:v>37103</x:v>
      </x:c>
      <x:c r="F9309" s="0" t="s">
        <x:v>45</x:v>
      </x:c>
      <x:c r="G9309" s="0" t="s">
        <x:v>19</x:v>
      </x:c>
      <x:c r="H9309" s="0" t="s">
        <x:v>20</x:v>
      </x:c>
      <x:c r="I9309" s="0" t="s">
        <x:v>21</x:v>
      </x:c>
      <x:c r="K9309" s="0">
        <x:f>hyperlink("https://icd.who.int/dev11/l-ichi/en#/http%3A%2F%2Fid.who.int%2Ficd%2Fentity%2F1892012650","browser")</x:f>
      </x:c>
      <x:c r="L9309" s="0">
        <x:f>hyperlink("https://icat2.azurewebsites.net/icat/?ontology=ICD&amp;tab=ClassesTab&amp;id=http%3A%2F%2Fwho.int%2Ficd%237883_075b017b_ac4c_42d7_a31d_f6f14e3ba684","iCat")</x:f>
      </x:c>
      <x:c r="M9309" s="0" t="s">
        <x:v>21</x:v>
      </x:c>
      <x:c r="N9309" s="0" t="s">
        <x:v>46</x:v>
      </x:c>
    </x:row>
    <x:row r="9310" spans="1:16">
      <x:c r="A9310" s="0" t="s">
        <x:v>37104</x:v>
      </x:c>
      <x:c r="B9310" s="0" t="s">
        <x:v>37105</x:v>
      </x:c>
      <x:c r="C9310" s="0" t="s">
        <x:v>37106</x:v>
      </x:c>
      <x:c r="E9310" s="0" t="s">
        <x:v>37107</x:v>
      </x:c>
      <x:c r="F9310" s="0" t="s">
        <x:v>45</x:v>
      </x:c>
      <x:c r="G9310" s="0" t="s">
        <x:v>19</x:v>
      </x:c>
      <x:c r="H9310" s="0" t="s">
        <x:v>20</x:v>
      </x:c>
      <x:c r="I9310" s="0" t="s">
        <x:v>21</x:v>
      </x:c>
      <x:c r="K9310" s="0">
        <x:f>hyperlink("https://icd.who.int/dev11/l-ichi/en#/http%3A%2F%2Fid.who.int%2Ficd%2Fentity%2F1530445562","browser")</x:f>
      </x:c>
      <x:c r="L9310" s="0">
        <x:f>hyperlink("https://icat2.azurewebsites.net/icat/?ontology=ICD&amp;tab=ClassesTab&amp;id=http%3A%2F%2Fwho.int%2Ficd%237889_075b017b_ac4c_42d7_a31d_f6f14e3ba684","iCat")</x:f>
      </x:c>
      <x:c r="M9310" s="0" t="s">
        <x:v>21</x:v>
      </x:c>
      <x:c r="N9310" s="0" t="s">
        <x:v>46</x:v>
      </x:c>
    </x:row>
    <x:row r="9311" spans="1:16">
      <x:c r="A9311" s="0" t="s">
        <x:v>37108</x:v>
      </x:c>
      <x:c r="B9311" s="0" t="s">
        <x:v>37109</x:v>
      </x:c>
      <x:c r="C9311" s="0" t="s">
        <x:v>37110</x:v>
      </x:c>
      <x:c r="E9311" s="0" t="s">
        <x:v>37111</x:v>
      </x:c>
      <x:c r="F9311" s="0" t="s">
        <x:v>45</x:v>
      </x:c>
      <x:c r="G9311" s="0" t="s">
        <x:v>19</x:v>
      </x:c>
      <x:c r="H9311" s="0" t="s">
        <x:v>20</x:v>
      </x:c>
      <x:c r="I9311" s="0" t="s">
        <x:v>21</x:v>
      </x:c>
      <x:c r="K9311" s="0">
        <x:f>hyperlink("https://icd.who.int/dev11/l-ichi/en#/http%3A%2F%2Fid.who.int%2Ficd%2Fentity%2F1249615502","browser")</x:f>
      </x:c>
      <x:c r="L9311" s="0">
        <x:f>hyperlink("https://icat2.azurewebsites.net/icat/?ontology=ICD&amp;tab=ClassesTab&amp;id=http%3A%2F%2Fwho.int%2Ficd%237895_075b017b_ac4c_42d7_a31d_f6f14e3ba684","iCat")</x:f>
      </x:c>
      <x:c r="M9311" s="0" t="s">
        <x:v>21</x:v>
      </x:c>
      <x:c r="N9311" s="0" t="s">
        <x:v>46</x:v>
      </x:c>
    </x:row>
    <x:row r="9312" spans="1:16">
      <x:c r="A9312" s="0" t="s">
        <x:v>37112</x:v>
      </x:c>
      <x:c r="B9312" s="0" t="s">
        <x:v>37113</x:v>
      </x:c>
      <x:c r="C9312" s="0" t="s">
        <x:v>37114</x:v>
      </x:c>
      <x:c r="E9312" s="0" t="s">
        <x:v>37115</x:v>
      </x:c>
      <x:c r="F9312" s="0" t="s">
        <x:v>45</x:v>
      </x:c>
      <x:c r="G9312" s="0" t="s">
        <x:v>19</x:v>
      </x:c>
      <x:c r="H9312" s="0" t="s">
        <x:v>20</x:v>
      </x:c>
      <x:c r="I9312" s="0" t="s">
        <x:v>21</x:v>
      </x:c>
      <x:c r="K9312" s="0">
        <x:f>hyperlink("https://icd.who.int/dev11/l-ichi/en#/http%3A%2F%2Fid.who.int%2Ficd%2Fentity%2F2132234484","browser")</x:f>
      </x:c>
      <x:c r="L9312" s="0">
        <x:f>hyperlink("https://icat2.azurewebsites.net/icat/?ontology=ICD&amp;tab=ClassesTab&amp;id=http%3A%2F%2Fwho.int%2Ficd%237901_075b017b_ac4c_42d7_a31d_f6f14e3ba684","iCat")</x:f>
      </x:c>
      <x:c r="M9312" s="0" t="s">
        <x:v>21</x:v>
      </x:c>
      <x:c r="N9312" s="0" t="s">
        <x:v>46</x:v>
      </x:c>
    </x:row>
    <x:row r="9313" spans="1:16">
      <x:c r="A9313" s="0" t="s">
        <x:v>37116</x:v>
      </x:c>
      <x:c r="B9313" s="0" t="s">
        <x:v>37117</x:v>
      </x:c>
      <x:c r="C9313" s="0" t="s">
        <x:v>37118</x:v>
      </x:c>
      <x:c r="E9313" s="0" t="s">
        <x:v>37119</x:v>
      </x:c>
      <x:c r="F9313" s="0" t="s">
        <x:v>45</x:v>
      </x:c>
      <x:c r="G9313" s="0" t="s">
        <x:v>19</x:v>
      </x:c>
      <x:c r="H9313" s="0" t="s">
        <x:v>20</x:v>
      </x:c>
      <x:c r="I9313" s="0" t="s">
        <x:v>21</x:v>
      </x:c>
      <x:c r="K9313" s="0">
        <x:f>hyperlink("https://icd.who.int/dev11/l-ichi/en#/http%3A%2F%2Fid.who.int%2Ficd%2Fentity%2F795642181","browser")</x:f>
      </x:c>
      <x:c r="L9313" s="0">
        <x:f>hyperlink("https://icat2.azurewebsites.net/icat/?ontology=ICD&amp;tab=ClassesTab&amp;id=http%3A%2F%2Fwho.int%2Ficd%237907_075b017b_ac4c_42d7_a31d_f6f14e3ba684","iCat")</x:f>
      </x:c>
      <x:c r="M9313" s="0" t="s">
        <x:v>21</x:v>
      </x:c>
      <x:c r="N9313" s="0" t="s">
        <x:v>46</x:v>
      </x:c>
    </x:row>
    <x:row r="9314" spans="1:16">
      <x:c r="A9314" s="0" t="s">
        <x:v>37120</x:v>
      </x:c>
      <x:c r="B9314" s="0" t="s">
        <x:v>37121</x:v>
      </x:c>
      <x:c r="C9314" s="0" t="s">
        <x:v>37122</x:v>
      </x:c>
      <x:c r="E9314" s="0" t="s">
        <x:v>37123</x:v>
      </x:c>
      <x:c r="F9314" s="0" t="s">
        <x:v>45</x:v>
      </x:c>
      <x:c r="G9314" s="0" t="s">
        <x:v>19</x:v>
      </x:c>
      <x:c r="H9314" s="0" t="s">
        <x:v>20</x:v>
      </x:c>
      <x:c r="I9314" s="0" t="s">
        <x:v>21</x:v>
      </x:c>
      <x:c r="K9314" s="0">
        <x:f>hyperlink("https://icd.who.int/dev11/l-ichi/en#/http%3A%2F%2Fid.who.int%2Ficd%2Fentity%2F1890506854","browser")</x:f>
      </x:c>
      <x:c r="L9314" s="0">
        <x:f>hyperlink("https://icat2.azurewebsites.net/icat/?ontology=ICD&amp;tab=ClassesTab&amp;id=http%3A%2F%2Fwho.int%2Ficd%237913_075b017b_ac4c_42d7_a31d_f6f14e3ba684","iCat")</x:f>
      </x:c>
      <x:c r="M9314" s="0" t="s">
        <x:v>21</x:v>
      </x:c>
      <x:c r="N9314" s="0" t="s">
        <x:v>46</x:v>
      </x:c>
    </x:row>
    <x:row r="9315" spans="1:16">
      <x:c r="A9315" s="0" t="s">
        <x:v>37124</x:v>
      </x:c>
      <x:c r="B9315" s="0" t="s">
        <x:v>37125</x:v>
      </x:c>
      <x:c r="C9315" s="0" t="s">
        <x:v>37126</x:v>
      </x:c>
      <x:c r="E9315" s="0" t="s">
        <x:v>37127</x:v>
      </x:c>
      <x:c r="F9315" s="0" t="s">
        <x:v>45</x:v>
      </x:c>
      <x:c r="G9315" s="0" t="s">
        <x:v>19</x:v>
      </x:c>
      <x:c r="H9315" s="0" t="s">
        <x:v>20</x:v>
      </x:c>
      <x:c r="I9315" s="0" t="s">
        <x:v>21</x:v>
      </x:c>
      <x:c r="K9315" s="0">
        <x:f>hyperlink("https://icd.who.int/dev11/l-ichi/en#/http%3A%2F%2Fid.who.int%2Ficd%2Fentity%2F2042056545","browser")</x:f>
      </x:c>
      <x:c r="L9315" s="0">
        <x:f>hyperlink("https://icat2.azurewebsites.net/icat/?ontology=ICD&amp;tab=ClassesTab&amp;id=http%3A%2F%2Fwho.int%2Ficd%232_289760b8_59e2_4c12_8227_8273a894742b","iCat")</x:f>
      </x:c>
      <x:c r="M9315" s="0" t="s">
        <x:v>21</x:v>
      </x:c>
      <x:c r="N9315" s="0" t="s">
        <x:v>46</x:v>
      </x:c>
    </x:row>
    <x:row r="9316" spans="1:16">
      <x:c r="A9316" s="0" t="s">
        <x:v>37128</x:v>
      </x:c>
      <x:c r="B9316" s="0" t="s">
        <x:v>37129</x:v>
      </x:c>
      <x:c r="C9316" s="0" t="s">
        <x:v>37130</x:v>
      </x:c>
      <x:c r="E9316" s="0" t="s">
        <x:v>37131</x:v>
      </x:c>
      <x:c r="F9316" s="0" t="s">
        <x:v>45</x:v>
      </x:c>
      <x:c r="G9316" s="0" t="s">
        <x:v>19</x:v>
      </x:c>
      <x:c r="H9316" s="0" t="s">
        <x:v>20</x:v>
      </x:c>
      <x:c r="I9316" s="0" t="s">
        <x:v>21</x:v>
      </x:c>
      <x:c r="K9316" s="0">
        <x:f>hyperlink("https://icd.who.int/dev11/l-ichi/en#/http%3A%2F%2Fid.who.int%2Ficd%2Fentity%2F1380590577","browser")</x:f>
      </x:c>
      <x:c r="L9316" s="0">
        <x:f>hyperlink("https://icat2.azurewebsites.net/icat/?ontology=ICD&amp;tab=ClassesTab&amp;id=http%3A%2F%2Fwho.int%2Ficd%238_289760b8_59e2_4c12_8227_8273a894742b","iCat")</x:f>
      </x:c>
      <x:c r="M9316" s="0" t="s">
        <x:v>21</x:v>
      </x:c>
      <x:c r="N9316" s="0" t="s">
        <x:v>46</x:v>
      </x:c>
    </x:row>
    <x:row r="9317" spans="1:16">
      <x:c r="A9317" s="0" t="s">
        <x:v>37132</x:v>
      </x:c>
      <x:c r="B9317" s="0" t="s">
        <x:v>37133</x:v>
      </x:c>
      <x:c r="C9317" s="0" t="s">
        <x:v>37134</x:v>
      </x:c>
      <x:c r="E9317" s="0" t="s">
        <x:v>37135</x:v>
      </x:c>
      <x:c r="F9317" s="0" t="s">
        <x:v>45</x:v>
      </x:c>
      <x:c r="G9317" s="0" t="s">
        <x:v>19</x:v>
      </x:c>
      <x:c r="H9317" s="0" t="s">
        <x:v>20</x:v>
      </x:c>
      <x:c r="I9317" s="0" t="s">
        <x:v>21</x:v>
      </x:c>
      <x:c r="K9317" s="0">
        <x:f>hyperlink("https://icd.who.int/dev11/l-ichi/en#/http%3A%2F%2Fid.who.int%2Ficd%2Fentity%2F636175739","browser")</x:f>
      </x:c>
      <x:c r="L9317" s="0">
        <x:f>hyperlink("https://icat2.azurewebsites.net/icat/?ontology=ICD&amp;tab=ClassesTab&amp;id=http%3A%2F%2Fwho.int%2Ficd%2314_289760b8_59e2_4c12_8227_8273a894742b","iCat")</x:f>
      </x:c>
      <x:c r="M9317" s="0" t="s">
        <x:v>21</x:v>
      </x:c>
      <x:c r="N9317" s="0" t="s">
        <x:v>46</x:v>
      </x:c>
    </x:row>
    <x:row r="9318" spans="1:16">
      <x:c r="A9318" s="0" t="s">
        <x:v>37136</x:v>
      </x:c>
      <x:c r="B9318" s="0" t="s">
        <x:v>37137</x:v>
      </x:c>
      <x:c r="C9318" s="0" t="s">
        <x:v>37138</x:v>
      </x:c>
      <x:c r="E9318" s="0" t="s">
        <x:v>37139</x:v>
      </x:c>
      <x:c r="F9318" s="0" t="s">
        <x:v>45</x:v>
      </x:c>
      <x:c r="G9318" s="0" t="s">
        <x:v>19</x:v>
      </x:c>
      <x:c r="H9318" s="0" t="s">
        <x:v>20</x:v>
      </x:c>
      <x:c r="I9318" s="0" t="s">
        <x:v>21</x:v>
      </x:c>
      <x:c r="K9318" s="0">
        <x:f>hyperlink("https://icd.who.int/dev11/l-ichi/en#/http%3A%2F%2Fid.who.int%2Ficd%2Fentity%2F1348321546","browser")</x:f>
      </x:c>
      <x:c r="L9318" s="0">
        <x:f>hyperlink("https://icat2.azurewebsites.net/icat/?ontology=ICD&amp;tab=ClassesTab&amp;id=http%3A%2F%2Fwho.int%2Ficd%2320_289760b8_59e2_4c12_8227_8273a894742b","iCat")</x:f>
      </x:c>
      <x:c r="M9318" s="0" t="s">
        <x:v>21</x:v>
      </x:c>
      <x:c r="N9318" s="0" t="s">
        <x:v>46</x:v>
      </x:c>
    </x:row>
    <x:row r="9319" spans="1:16">
      <x:c r="A9319" s="0" t="s">
        <x:v>37140</x:v>
      </x:c>
      <x:c r="B9319" s="0" t="s">
        <x:v>37141</x:v>
      </x:c>
      <x:c r="C9319" s="0" t="s">
        <x:v>37142</x:v>
      </x:c>
      <x:c r="E9319" s="0" t="s">
        <x:v>37143</x:v>
      </x:c>
      <x:c r="F9319" s="0" t="s">
        <x:v>45</x:v>
      </x:c>
      <x:c r="G9319" s="0" t="s">
        <x:v>19</x:v>
      </x:c>
      <x:c r="H9319" s="0" t="s">
        <x:v>20</x:v>
      </x:c>
      <x:c r="I9319" s="0" t="s">
        <x:v>21</x:v>
      </x:c>
      <x:c r="K9319" s="0">
        <x:f>hyperlink("https://icd.who.int/dev11/l-ichi/en#/http%3A%2F%2Fid.who.int%2Ficd%2Fentity%2F2496697","browser")</x:f>
      </x:c>
      <x:c r="L9319" s="0">
        <x:f>hyperlink("https://icat2.azurewebsites.net/icat/?ontology=ICD&amp;tab=ClassesTab&amp;id=http%3A%2F%2Fwho.int%2Ficd%2326_289760b8_59e2_4c12_8227_8273a894742b","iCat")</x:f>
      </x:c>
      <x:c r="M9319" s="0" t="s">
        <x:v>21</x:v>
      </x:c>
      <x:c r="N9319" s="0" t="s">
        <x:v>46</x:v>
      </x:c>
    </x:row>
    <x:row r="9320" spans="1:16">
      <x:c r="A9320" s="0" t="s">
        <x:v>37144</x:v>
      </x:c>
      <x:c r="B9320" s="0" t="s">
        <x:v>37145</x:v>
      </x:c>
      <x:c r="C9320" s="0" t="s">
        <x:v>37146</x:v>
      </x:c>
      <x:c r="E9320" s="0" t="s">
        <x:v>37147</x:v>
      </x:c>
      <x:c r="F9320" s="0" t="s">
        <x:v>45</x:v>
      </x:c>
      <x:c r="G9320" s="0" t="s">
        <x:v>19</x:v>
      </x:c>
      <x:c r="H9320" s="0" t="s">
        <x:v>20</x:v>
      </x:c>
      <x:c r="I9320" s="0" t="s">
        <x:v>21</x:v>
      </x:c>
      <x:c r="K9320" s="0">
        <x:f>hyperlink("https://icd.who.int/dev11/l-ichi/en#/http%3A%2F%2Fid.who.int%2Ficd%2Fentity%2F1608796572","browser")</x:f>
      </x:c>
      <x:c r="L9320" s="0">
        <x:f>hyperlink("https://icat2.azurewebsites.net/icat/?ontology=ICD&amp;tab=ClassesTab&amp;id=http%3A%2F%2Fwho.int%2Ficd%2332_289760b8_59e2_4c12_8227_8273a894742b","iCat")</x:f>
      </x:c>
      <x:c r="M9320" s="0" t="s">
        <x:v>21</x:v>
      </x:c>
      <x:c r="N9320" s="0" t="s">
        <x:v>46</x:v>
      </x:c>
    </x:row>
    <x:row r="9321" spans="1:16">
      <x:c r="A9321" s="0" t="s">
        <x:v>37148</x:v>
      </x:c>
      <x:c r="B9321" s="0" t="s">
        <x:v>37149</x:v>
      </x:c>
      <x:c r="C9321" s="0" t="s">
        <x:v>37150</x:v>
      </x:c>
      <x:c r="E9321" s="0" t="s">
        <x:v>37151</x:v>
      </x:c>
      <x:c r="F9321" s="0" t="s">
        <x:v>45</x:v>
      </x:c>
      <x:c r="G9321" s="0" t="s">
        <x:v>19</x:v>
      </x:c>
      <x:c r="H9321" s="0" t="s">
        <x:v>20</x:v>
      </x:c>
      <x:c r="I9321" s="0" t="s">
        <x:v>21</x:v>
      </x:c>
      <x:c r="K9321" s="0">
        <x:f>hyperlink("https://icd.who.int/dev11/l-ichi/en#/http%3A%2F%2Fid.who.int%2Ficd%2Fentity%2F482279991","browser")</x:f>
      </x:c>
      <x:c r="L9321" s="0">
        <x:f>hyperlink("https://icat2.azurewebsites.net/icat/?ontology=ICD&amp;tab=ClassesTab&amp;id=http%3A%2F%2Fwho.int%2Ficd%2315752_4869915e_217e_423d_acb3_33c0f920ef4b","iCat")</x:f>
      </x:c>
      <x:c r="M9321" s="0" t="s">
        <x:v>21</x:v>
      </x:c>
      <x:c r="N9321" s="0" t="s">
        <x:v>46</x:v>
      </x:c>
    </x:row>
    <x:row r="9322" spans="1:16">
      <x:c r="A9322" s="0" t="s">
        <x:v>37152</x:v>
      </x:c>
      <x:c r="B9322" s="0" t="s">
        <x:v>37153</x:v>
      </x:c>
      <x:c r="C9322" s="0" t="s">
        <x:v>37154</x:v>
      </x:c>
      <x:c r="E9322" s="0" t="s">
        <x:v>37155</x:v>
      </x:c>
      <x:c r="F9322" s="0" t="s">
        <x:v>45</x:v>
      </x:c>
      <x:c r="G9322" s="0" t="s">
        <x:v>19</x:v>
      </x:c>
      <x:c r="H9322" s="0" t="s">
        <x:v>20</x:v>
      </x:c>
      <x:c r="I9322" s="0" t="s">
        <x:v>21</x:v>
      </x:c>
      <x:c r="K9322" s="0">
        <x:f>hyperlink("https://icd.who.int/dev11/l-ichi/en#/http%3A%2F%2Fid.who.int%2Ficd%2Fentity%2F1947804940","browser")</x:f>
      </x:c>
      <x:c r="L9322" s="0">
        <x:f>hyperlink("https://icat2.azurewebsites.net/icat/?ontology=ICD&amp;tab=ClassesTab&amp;id=http%3A%2F%2Fwho.int%2Ficd%2338_289760b8_59e2_4c12_8227_8273a894742b","iCat")</x:f>
      </x:c>
      <x:c r="M9322" s="0" t="s">
        <x:v>21</x:v>
      </x:c>
      <x:c r="N9322" s="0" t="s">
        <x:v>46</x:v>
      </x:c>
    </x:row>
    <x:row r="9323" spans="1:16">
      <x:c r="A9323" s="0" t="s">
        <x:v>37156</x:v>
      </x:c>
      <x:c r="B9323" s="0" t="s">
        <x:v>37157</x:v>
      </x:c>
      <x:c r="C9323" s="0" t="s">
        <x:v>37158</x:v>
      </x:c>
      <x:c r="E9323" s="0" t="s">
        <x:v>37159</x:v>
      </x:c>
      <x:c r="F9323" s="0" t="s">
        <x:v>45</x:v>
      </x:c>
      <x:c r="G9323" s="0" t="s">
        <x:v>19</x:v>
      </x:c>
      <x:c r="H9323" s="0" t="s">
        <x:v>20</x:v>
      </x:c>
      <x:c r="I9323" s="0" t="s">
        <x:v>21</x:v>
      </x:c>
      <x:c r="K9323" s="0">
        <x:f>hyperlink("https://icd.who.int/dev11/l-ichi/en#/http%3A%2F%2Fid.who.int%2Ficd%2Fentity%2F1061782321","browser")</x:f>
      </x:c>
      <x:c r="L9323" s="0">
        <x:f>hyperlink("https://icat2.azurewebsites.net/icat/?ontology=ICD&amp;tab=ClassesTab&amp;id=http%3A%2F%2Fwho.int%2Ficd%2344_289760b8_59e2_4c12_8227_8273a894742b","iCat")</x:f>
      </x:c>
      <x:c r="M9323" s="0" t="s">
        <x:v>21</x:v>
      </x:c>
      <x:c r="N9323" s="0" t="s">
        <x:v>46</x:v>
      </x:c>
    </x:row>
    <x:row r="9324" spans="1:16">
      <x:c r="A9324" s="0" t="s">
        <x:v>37160</x:v>
      </x:c>
      <x:c r="B9324" s="0" t="s">
        <x:v>37161</x:v>
      </x:c>
      <x:c r="C9324" s="0" t="s">
        <x:v>37162</x:v>
      </x:c>
      <x:c r="E9324" s="0" t="s">
        <x:v>37163</x:v>
      </x:c>
      <x:c r="F9324" s="0" t="s">
        <x:v>45</x:v>
      </x:c>
      <x:c r="G9324" s="0" t="s">
        <x:v>19</x:v>
      </x:c>
      <x:c r="H9324" s="0" t="s">
        <x:v>20</x:v>
      </x:c>
      <x:c r="I9324" s="0" t="s">
        <x:v>21</x:v>
      </x:c>
      <x:c r="K9324" s="0">
        <x:f>hyperlink("https://icd.who.int/dev11/l-ichi/en#/http%3A%2F%2Fid.who.int%2Ficd%2Fentity%2F1619776018","browser")</x:f>
      </x:c>
      <x:c r="L9324" s="0">
        <x:f>hyperlink("https://icat2.azurewebsites.net/icat/?ontology=ICD&amp;tab=ClassesTab&amp;id=http%3A%2F%2Fwho.int%2Ficd%2350_289760b8_59e2_4c12_8227_8273a894742b","iCat")</x:f>
      </x:c>
      <x:c r="M9324" s="0" t="s">
        <x:v>21</x:v>
      </x:c>
      <x:c r="N9324" s="0" t="s">
        <x:v>46</x:v>
      </x:c>
    </x:row>
    <x:row r="9325" spans="1:16">
      <x:c r="A9325" s="0" t="s">
        <x:v>37164</x:v>
      </x:c>
      <x:c r="B9325" s="0" t="s">
        <x:v>37165</x:v>
      </x:c>
      <x:c r="C9325" s="0" t="s">
        <x:v>37166</x:v>
      </x:c>
      <x:c r="E9325" s="0" t="s">
        <x:v>37167</x:v>
      </x:c>
      <x:c r="F9325" s="0" t="s">
        <x:v>45</x:v>
      </x:c>
      <x:c r="G9325" s="0" t="s">
        <x:v>19</x:v>
      </x:c>
      <x:c r="H9325" s="0" t="s">
        <x:v>20</x:v>
      </x:c>
      <x:c r="I9325" s="0" t="s">
        <x:v>21</x:v>
      </x:c>
      <x:c r="K9325" s="0">
        <x:f>hyperlink("https://icd.who.int/dev11/l-ichi/en#/http%3A%2F%2Fid.who.int%2Ficd%2Fentity%2F821037987","browser")</x:f>
      </x:c>
      <x:c r="L9325" s="0">
        <x:f>hyperlink("https://icat2.azurewebsites.net/icat/?ontology=ICD&amp;tab=ClassesTab&amp;id=http%3A%2F%2Fwho.int%2Ficd%2356_289760b8_59e2_4c12_8227_8273a894742b","iCat")</x:f>
      </x:c>
      <x:c r="M9325" s="0" t="s">
        <x:v>21</x:v>
      </x:c>
      <x:c r="N9325" s="0" t="s">
        <x:v>46</x:v>
      </x:c>
    </x:row>
    <x:row r="9326" spans="1:16">
      <x:c r="A9326" s="0" t="s">
        <x:v>37168</x:v>
      </x:c>
      <x:c r="B9326" s="0" t="s">
        <x:v>37169</x:v>
      </x:c>
      <x:c r="C9326" s="0" t="s">
        <x:v>37170</x:v>
      </x:c>
      <x:c r="E9326" s="0" t="s">
        <x:v>37171</x:v>
      </x:c>
      <x:c r="F9326" s="0" t="s">
        <x:v>45</x:v>
      </x:c>
      <x:c r="G9326" s="0" t="s">
        <x:v>19</x:v>
      </x:c>
      <x:c r="H9326" s="0" t="s">
        <x:v>20</x:v>
      </x:c>
      <x:c r="I9326" s="0" t="s">
        <x:v>21</x:v>
      </x:c>
      <x:c r="K9326" s="0">
        <x:f>hyperlink("https://icd.who.int/dev11/l-ichi/en#/http%3A%2F%2Fid.who.int%2Ficd%2Fentity%2F1162252242","browser")</x:f>
      </x:c>
      <x:c r="L9326" s="0">
        <x:f>hyperlink("https://icat2.azurewebsites.net/icat/?ontology=ICD&amp;tab=ClassesTab&amp;id=http%3A%2F%2Fwho.int%2Ficd%2362_289760b8_59e2_4c12_8227_8273a894742b","iCat")</x:f>
      </x:c>
      <x:c r="M9326" s="0" t="s">
        <x:v>21</x:v>
      </x:c>
      <x:c r="N9326" s="0" t="s">
        <x:v>46</x:v>
      </x:c>
    </x:row>
    <x:row r="9327" spans="1:16">
      <x:c r="A9327" s="0" t="s">
        <x:v>37172</x:v>
      </x:c>
      <x:c r="B9327" s="0" t="s">
        <x:v>37173</x:v>
      </x:c>
      <x:c r="C9327" s="0" t="s">
        <x:v>37174</x:v>
      </x:c>
      <x:c r="E9327" s="0" t="s">
        <x:v>37175</x:v>
      </x:c>
      <x:c r="F9327" s="0" t="s">
        <x:v>45</x:v>
      </x:c>
      <x:c r="G9327" s="0" t="s">
        <x:v>19</x:v>
      </x:c>
      <x:c r="H9327" s="0" t="s">
        <x:v>20</x:v>
      </x:c>
      <x:c r="I9327" s="0" t="s">
        <x:v>21</x:v>
      </x:c>
      <x:c r="K9327" s="0">
        <x:f>hyperlink("https://icd.who.int/dev11/l-ichi/en#/http%3A%2F%2Fid.who.int%2Ficd%2Fentity%2F1857807170","browser")</x:f>
      </x:c>
      <x:c r="L9327" s="0">
        <x:f>hyperlink("https://icat2.azurewebsites.net/icat/?ontology=ICD&amp;tab=ClassesTab&amp;id=http%3A%2F%2Fwho.int%2Ficd%2368_289760b8_59e2_4c12_8227_8273a894742b","iCat")</x:f>
      </x:c>
      <x:c r="M9327" s="0" t="s">
        <x:v>21</x:v>
      </x:c>
      <x:c r="N9327" s="0" t="s">
        <x:v>46</x:v>
      </x:c>
    </x:row>
    <x:row r="9328" spans="1:16">
      <x:c r="A9328" s="0" t="s">
        <x:v>37176</x:v>
      </x:c>
      <x:c r="B9328" s="0" t="s">
        <x:v>37177</x:v>
      </x:c>
      <x:c r="C9328" s="0" t="s">
        <x:v>37178</x:v>
      </x:c>
      <x:c r="E9328" s="0" t="s">
        <x:v>37179</x:v>
      </x:c>
      <x:c r="F9328" s="0" t="s">
        <x:v>45</x:v>
      </x:c>
      <x:c r="G9328" s="0" t="s">
        <x:v>19</x:v>
      </x:c>
      <x:c r="H9328" s="0" t="s">
        <x:v>20</x:v>
      </x:c>
      <x:c r="I9328" s="0" t="s">
        <x:v>21</x:v>
      </x:c>
      <x:c r="K9328" s="0">
        <x:f>hyperlink("https://icd.who.int/dev11/l-ichi/en#/http%3A%2F%2Fid.who.int%2Ficd%2Fentity%2F2147009334","browser")</x:f>
      </x:c>
      <x:c r="L9328" s="0">
        <x:f>hyperlink("https://icat2.azurewebsites.net/icat/?ontology=ICD&amp;tab=ClassesTab&amp;id=http%3A%2F%2Fwho.int%2Ficd%2374_289760b8_59e2_4c12_8227_8273a894742b","iCat")</x:f>
      </x:c>
      <x:c r="M9328" s="0" t="s">
        <x:v>21</x:v>
      </x:c>
      <x:c r="N9328" s="0" t="s">
        <x:v>46</x:v>
      </x:c>
    </x:row>
    <x:row r="9329" spans="1:16">
      <x:c r="A9329" s="0" t="s">
        <x:v>37180</x:v>
      </x:c>
      <x:c r="B9329" s="0" t="s">
        <x:v>37181</x:v>
      </x:c>
      <x:c r="C9329" s="0" t="s">
        <x:v>37182</x:v>
      </x:c>
      <x:c r="E9329" s="0" t="s">
        <x:v>37183</x:v>
      </x:c>
      <x:c r="F9329" s="0" t="s">
        <x:v>45</x:v>
      </x:c>
      <x:c r="G9329" s="0" t="s">
        <x:v>19</x:v>
      </x:c>
      <x:c r="H9329" s="0" t="s">
        <x:v>20</x:v>
      </x:c>
      <x:c r="I9329" s="0" t="s">
        <x:v>21</x:v>
      </x:c>
      <x:c r="K9329" s="0">
        <x:f>hyperlink("https://icd.who.int/dev11/l-ichi/en#/http%3A%2F%2Fid.who.int%2Ficd%2Fentity%2F1696091550","browser")</x:f>
      </x:c>
      <x:c r="L9329" s="0">
        <x:f>hyperlink("https://icat2.azurewebsites.net/icat/?ontology=ICD&amp;tab=ClassesTab&amp;id=http%3A%2F%2Fwho.int%2Ficd%2380_289760b8_59e2_4c12_8227_8273a894742b","iCat")</x:f>
      </x:c>
      <x:c r="M9329" s="0" t="s">
        <x:v>21</x:v>
      </x:c>
      <x:c r="N9329" s="0" t="s">
        <x:v>46</x:v>
      </x:c>
    </x:row>
    <x:row r="9330" spans="1:16">
      <x:c r="A9330" s="0" t="s">
        <x:v>37184</x:v>
      </x:c>
      <x:c r="B9330" s="0" t="s">
        <x:v>37185</x:v>
      </x:c>
      <x:c r="C9330" s="0" t="s">
        <x:v>37186</x:v>
      </x:c>
      <x:c r="E9330" s="0" t="s">
        <x:v>37187</x:v>
      </x:c>
      <x:c r="F9330" s="0" t="s">
        <x:v>45</x:v>
      </x:c>
      <x:c r="G9330" s="0" t="s">
        <x:v>19</x:v>
      </x:c>
      <x:c r="H9330" s="0" t="s">
        <x:v>20</x:v>
      </x:c>
      <x:c r="I9330" s="0" t="s">
        <x:v>21</x:v>
      </x:c>
      <x:c r="K9330" s="0">
        <x:f>hyperlink("https://icd.who.int/dev11/l-ichi/en#/http%3A%2F%2Fid.who.int%2Ficd%2Fentity%2F895718445","browser")</x:f>
      </x:c>
      <x:c r="L9330" s="0">
        <x:f>hyperlink("https://icat2.azurewebsites.net/icat/?ontology=ICD&amp;tab=ClassesTab&amp;id=http%3A%2F%2Fwho.int%2Ficd%2386_289760b8_59e2_4c12_8227_8273a894742b","iCat")</x:f>
      </x:c>
      <x:c r="M9330" s="0" t="s">
        <x:v>21</x:v>
      </x:c>
      <x:c r="N9330" s="0" t="s">
        <x:v>46</x:v>
      </x:c>
    </x:row>
    <x:row r="9331" spans="1:16">
      <x:c r="A9331" s="0" t="s">
        <x:v>37188</x:v>
      </x:c>
      <x:c r="B9331" s="0" t="s">
        <x:v>37189</x:v>
      </x:c>
      <x:c r="C9331" s="0" t="s">
        <x:v>37190</x:v>
      </x:c>
      <x:c r="E9331" s="0" t="s">
        <x:v>37191</x:v>
      </x:c>
      <x:c r="F9331" s="0" t="s">
        <x:v>45</x:v>
      </x:c>
      <x:c r="G9331" s="0" t="s">
        <x:v>19</x:v>
      </x:c>
      <x:c r="H9331" s="0" t="s">
        <x:v>20</x:v>
      </x:c>
      <x:c r="I9331" s="0" t="s">
        <x:v>21</x:v>
      </x:c>
      <x:c r="K9331" s="0">
        <x:f>hyperlink("https://icd.who.int/dev11/l-ichi/en#/http%3A%2F%2Fid.who.int%2Ficd%2Fentity%2F298376996","browser")</x:f>
      </x:c>
      <x:c r="L9331" s="0">
        <x:f>hyperlink("https://icat2.azurewebsites.net/icat/?ontology=ICD&amp;tab=ClassesTab&amp;id=http%3A%2F%2Fwho.int%2Ficd%23184_3c64dd61_a787_4b69_a0aa_c26ee473e65a","iCat")</x:f>
      </x:c>
      <x:c r="M9331" s="0" t="s">
        <x:v>21</x:v>
      </x:c>
      <x:c r="N9331" s="0" t="s">
        <x:v>46</x:v>
      </x:c>
    </x:row>
    <x:row r="9332" spans="1:16">
      <x:c r="A9332" s="0" t="s">
        <x:v>37192</x:v>
      </x:c>
      <x:c r="B9332" s="0" t="s">
        <x:v>37193</x:v>
      </x:c>
      <x:c r="C9332" s="0" t="s">
        <x:v>37194</x:v>
      </x:c>
      <x:c r="E9332" s="0" t="s">
        <x:v>37195</x:v>
      </x:c>
      <x:c r="F9332" s="0" t="s">
        <x:v>45</x:v>
      </x:c>
      <x:c r="G9332" s="0" t="s">
        <x:v>19</x:v>
      </x:c>
      <x:c r="H9332" s="0" t="s">
        <x:v>20</x:v>
      </x:c>
      <x:c r="I9332" s="0" t="s">
        <x:v>21</x:v>
      </x:c>
      <x:c r="K9332" s="0">
        <x:f>hyperlink("https://icd.who.int/dev11/l-ichi/en#/http%3A%2F%2Fid.who.int%2Ficd%2Fentity%2F1788986640","browser")</x:f>
      </x:c>
      <x:c r="L9332" s="0">
        <x:f>hyperlink("https://icat2.azurewebsites.net/icat/?ontology=ICD&amp;tab=ClassesTab&amp;id=http%3A%2F%2Fwho.int%2Ficd%2392_289760b8_59e2_4c12_8227_8273a894742b","iCat")</x:f>
      </x:c>
      <x:c r="M9332" s="0" t="s">
        <x:v>21</x:v>
      </x:c>
      <x:c r="N9332" s="0" t="s">
        <x:v>46</x:v>
      </x:c>
    </x:row>
    <x:row r="9333" spans="1:16">
      <x:c r="A9333" s="0" t="s">
        <x:v>37196</x:v>
      </x:c>
      <x:c r="B9333" s="0" t="s">
        <x:v>37197</x:v>
      </x:c>
      <x:c r="C9333" s="0" t="s">
        <x:v>37198</x:v>
      </x:c>
      <x:c r="E9333" s="0" t="s">
        <x:v>37199</x:v>
      </x:c>
      <x:c r="F9333" s="0" t="s">
        <x:v>45</x:v>
      </x:c>
      <x:c r="G9333" s="0" t="s">
        <x:v>19</x:v>
      </x:c>
      <x:c r="H9333" s="0" t="s">
        <x:v>20</x:v>
      </x:c>
      <x:c r="I9333" s="0" t="s">
        <x:v>21</x:v>
      </x:c>
      <x:c r="K9333" s="0">
        <x:f>hyperlink("https://icd.who.int/dev11/l-ichi/en#/http%3A%2F%2Fid.who.int%2Ficd%2Fentity%2F1096591776","browser")</x:f>
      </x:c>
      <x:c r="L9333" s="0">
        <x:f>hyperlink("https://icat2.azurewebsites.net/icat/?ontology=ICD&amp;tab=ClassesTab&amp;id=http%3A%2F%2Fwho.int%2Ficd%2398_289760b8_59e2_4c12_8227_8273a894742b","iCat")</x:f>
      </x:c>
      <x:c r="M9333" s="0" t="s">
        <x:v>21</x:v>
      </x:c>
      <x:c r="N9333" s="0" t="s">
        <x:v>46</x:v>
      </x:c>
    </x:row>
    <x:row r="9334" spans="1:16">
      <x:c r="A9334" s="0" t="s">
        <x:v>37200</x:v>
      </x:c>
      <x:c r="B9334" s="0" t="s">
        <x:v>37201</x:v>
      </x:c>
      <x:c r="C9334" s="0" t="s">
        <x:v>37202</x:v>
      </x:c>
      <x:c r="E9334" s="0" t="s">
        <x:v>37203</x:v>
      </x:c>
      <x:c r="F9334" s="0" t="s">
        <x:v>45</x:v>
      </x:c>
      <x:c r="G9334" s="0" t="s">
        <x:v>19</x:v>
      </x:c>
      <x:c r="H9334" s="0" t="s">
        <x:v>20</x:v>
      </x:c>
      <x:c r="I9334" s="0" t="s">
        <x:v>21</x:v>
      </x:c>
      <x:c r="K9334" s="0">
        <x:f>hyperlink("https://icd.who.int/dev11/l-ichi/en#/http%3A%2F%2Fid.who.int%2Ficd%2Fentity%2F1170545144","browser")</x:f>
      </x:c>
      <x:c r="L9334" s="0">
        <x:f>hyperlink("https://icat2.azurewebsites.net/icat/?ontology=ICD&amp;tab=ClassesTab&amp;id=http%3A%2F%2Fwho.int%2Ficd%23104_289760b8_59e2_4c12_8227_8273a894742b","iCat")</x:f>
      </x:c>
      <x:c r="M9334" s="0" t="s">
        <x:v>21</x:v>
      </x:c>
      <x:c r="N9334" s="0" t="s">
        <x:v>46</x:v>
      </x:c>
    </x:row>
    <x:row r="9335" spans="1:16">
      <x:c r="A9335" s="0" t="s">
        <x:v>37204</x:v>
      </x:c>
      <x:c r="B9335" s="0" t="s">
        <x:v>37205</x:v>
      </x:c>
      <x:c r="C9335" s="0" t="s">
        <x:v>37206</x:v>
      </x:c>
      <x:c r="E9335" s="0" t="s">
        <x:v>37207</x:v>
      </x:c>
      <x:c r="F9335" s="0" t="s">
        <x:v>45</x:v>
      </x:c>
      <x:c r="G9335" s="0" t="s">
        <x:v>19</x:v>
      </x:c>
      <x:c r="H9335" s="0" t="s">
        <x:v>20</x:v>
      </x:c>
      <x:c r="I9335" s="0" t="s">
        <x:v>21</x:v>
      </x:c>
      <x:c r="K9335" s="0">
        <x:f>hyperlink("https://icd.who.int/dev11/l-ichi/en#/http%3A%2F%2Fid.who.int%2Ficd%2Fentity%2F436685019","browser")</x:f>
      </x:c>
      <x:c r="L9335" s="0">
        <x:f>hyperlink("https://icat2.azurewebsites.net/icat/?ontology=ICD&amp;tab=ClassesTab&amp;id=http%3A%2F%2Fwho.int%2Ficd%23110_289760b8_59e2_4c12_8227_8273a894742b","iCat")</x:f>
      </x:c>
      <x:c r="M9335" s="0" t="s">
        <x:v>21</x:v>
      </x:c>
      <x:c r="N9335" s="0" t="s">
        <x:v>46</x:v>
      </x:c>
    </x:row>
    <x:row r="9336" spans="1:16">
      <x:c r="A9336" s="0" t="s">
        <x:v>37208</x:v>
      </x:c>
      <x:c r="B9336" s="0" t="s">
        <x:v>37209</x:v>
      </x:c>
      <x:c r="C9336" s="0" t="s">
        <x:v>37210</x:v>
      </x:c>
      <x:c r="E9336" s="0" t="s">
        <x:v>37211</x:v>
      </x:c>
      <x:c r="F9336" s="0" t="s">
        <x:v>45</x:v>
      </x:c>
      <x:c r="G9336" s="0" t="s">
        <x:v>19</x:v>
      </x:c>
      <x:c r="H9336" s="0" t="s">
        <x:v>20</x:v>
      </x:c>
      <x:c r="I9336" s="0" t="s">
        <x:v>21</x:v>
      </x:c>
      <x:c r="K9336" s="0">
        <x:f>hyperlink("https://icd.who.int/dev11/l-ichi/en#/http%3A%2F%2Fid.who.int%2Ficd%2Fentity%2F1249677674","browser")</x:f>
      </x:c>
      <x:c r="L9336" s="0">
        <x:f>hyperlink("https://icat2.azurewebsites.net/icat/?ontology=ICD&amp;tab=ClassesTab&amp;id=http%3A%2F%2Fwho.int%2Ficd%23116_289760b8_59e2_4c12_8227_8273a894742b","iCat")</x:f>
      </x:c>
      <x:c r="M9336" s="0" t="s">
        <x:v>21</x:v>
      </x:c>
      <x:c r="N9336" s="0" t="s">
        <x:v>46</x:v>
      </x:c>
    </x:row>
    <x:row r="9337" spans="1:16">
      <x:c r="A9337" s="0" t="s">
        <x:v>37212</x:v>
      </x:c>
      <x:c r="B9337" s="0" t="s">
        <x:v>37213</x:v>
      </x:c>
      <x:c r="C9337" s="0" t="s">
        <x:v>37214</x:v>
      </x:c>
      <x:c r="E9337" s="0" t="s">
        <x:v>37215</x:v>
      </x:c>
      <x:c r="F9337" s="0" t="s">
        <x:v>45</x:v>
      </x:c>
      <x:c r="G9337" s="0" t="s">
        <x:v>19</x:v>
      </x:c>
      <x:c r="H9337" s="0" t="s">
        <x:v>20</x:v>
      </x:c>
      <x:c r="I9337" s="0" t="s">
        <x:v>21</x:v>
      </x:c>
      <x:c r="K9337" s="0">
        <x:f>hyperlink("https://icd.who.int/dev11/l-ichi/en#/http%3A%2F%2Fid.who.int%2Ficd%2Fentity%2F1070208281","browser")</x:f>
      </x:c>
      <x:c r="L9337" s="0">
        <x:f>hyperlink("https://icat2.azurewebsites.net/icat/?ontology=ICD&amp;tab=ClassesTab&amp;id=http%3A%2F%2Fwho.int%2Ficd%23122_289760b8_59e2_4c12_8227_8273a894742b","iCat")</x:f>
      </x:c>
      <x:c r="M9337" s="0" t="s">
        <x:v>21</x:v>
      </x:c>
      <x:c r="N9337" s="0" t="s">
        <x:v>46</x:v>
      </x:c>
    </x:row>
    <x:row r="9338" spans="1:16">
      <x:c r="A9338" s="0" t="s">
        <x:v>37216</x:v>
      </x:c>
      <x:c r="B9338" s="0" t="s">
        <x:v>37217</x:v>
      </x:c>
      <x:c r="C9338" s="0" t="s">
        <x:v>37218</x:v>
      </x:c>
      <x:c r="E9338" s="0" t="s">
        <x:v>37219</x:v>
      </x:c>
      <x:c r="F9338" s="0" t="s">
        <x:v>45</x:v>
      </x:c>
      <x:c r="G9338" s="0" t="s">
        <x:v>19</x:v>
      </x:c>
      <x:c r="H9338" s="0" t="s">
        <x:v>20</x:v>
      </x:c>
      <x:c r="I9338" s="0" t="s">
        <x:v>21</x:v>
      </x:c>
      <x:c r="K9338" s="0">
        <x:f>hyperlink("https://icd.who.int/dev11/l-ichi/en#/http%3A%2F%2Fid.who.int%2Ficd%2Fentity%2F339179913","browser")</x:f>
      </x:c>
      <x:c r="L9338" s="0">
        <x:f>hyperlink("https://icat2.azurewebsites.net/icat/?ontology=ICD&amp;tab=ClassesTab&amp;id=http%3A%2F%2Fwho.int%2Ficd%23128_289760b8_59e2_4c12_8227_8273a894742b","iCat")</x:f>
      </x:c>
      <x:c r="M9338" s="0" t="s">
        <x:v>21</x:v>
      </x:c>
      <x:c r="N9338" s="0" t="s">
        <x:v>46</x:v>
      </x:c>
    </x:row>
    <x:row r="9339" spans="1:16">
      <x:c r="A9339" s="0" t="s">
        <x:v>37220</x:v>
      </x:c>
      <x:c r="B9339" s="0" t="s">
        <x:v>37221</x:v>
      </x:c>
      <x:c r="C9339" s="0" t="s">
        <x:v>37222</x:v>
      </x:c>
      <x:c r="E9339" s="0" t="s">
        <x:v>37223</x:v>
      </x:c>
      <x:c r="F9339" s="0" t="s">
        <x:v>45</x:v>
      </x:c>
      <x:c r="G9339" s="0" t="s">
        <x:v>19</x:v>
      </x:c>
      <x:c r="H9339" s="0" t="s">
        <x:v>20</x:v>
      </x:c>
      <x:c r="I9339" s="0" t="s">
        <x:v>21</x:v>
      </x:c>
      <x:c r="K9339" s="0">
        <x:f>hyperlink("https://icd.who.int/dev11/l-ichi/en#/http%3A%2F%2Fid.who.int%2Ficd%2Fentity%2F91511295","browser")</x:f>
      </x:c>
      <x:c r="L9339" s="0">
        <x:f>hyperlink("https://icat2.azurewebsites.net/icat/?ontology=ICD&amp;tab=ClassesTab&amp;id=http%3A%2F%2Fwho.int%2Ficd%23134_289760b8_59e2_4c12_8227_8273a894742b","iCat")</x:f>
      </x:c>
      <x:c r="M9339" s="0" t="s">
        <x:v>21</x:v>
      </x:c>
      <x:c r="N9339" s="0" t="s">
        <x:v>46</x:v>
      </x:c>
    </x:row>
    <x:row r="9340" spans="1:16">
      <x:c r="A9340" s="0" t="s">
        <x:v>37224</x:v>
      </x:c>
      <x:c r="B9340" s="0" t="s">
        <x:v>37225</x:v>
      </x:c>
      <x:c r="C9340" s="0" t="s">
        <x:v>37226</x:v>
      </x:c>
      <x:c r="E9340" s="0" t="s">
        <x:v>37227</x:v>
      </x:c>
      <x:c r="F9340" s="0" t="s">
        <x:v>45</x:v>
      </x:c>
      <x:c r="G9340" s="0" t="s">
        <x:v>19</x:v>
      </x:c>
      <x:c r="H9340" s="0" t="s">
        <x:v>20</x:v>
      </x:c>
      <x:c r="I9340" s="0" t="s">
        <x:v>21</x:v>
      </x:c>
      <x:c r="K9340" s="0">
        <x:f>hyperlink("https://icd.who.int/dev11/l-ichi/en#/http%3A%2F%2Fid.who.int%2Ficd%2Fentity%2F10849937","browser")</x:f>
      </x:c>
      <x:c r="L9340" s="0">
        <x:f>hyperlink("https://icat2.azurewebsites.net/icat/?ontology=ICD&amp;tab=ClassesTab&amp;id=http%3A%2F%2Fwho.int%2Ficd%23140_289760b8_59e2_4c12_8227_8273a894742b","iCat")</x:f>
      </x:c>
      <x:c r="M9340" s="0" t="s">
        <x:v>21</x:v>
      </x:c>
      <x:c r="N9340" s="0" t="s">
        <x:v>46</x:v>
      </x:c>
    </x:row>
    <x:row r="9341" spans="1:16">
      <x:c r="A9341" s="0" t="s">
        <x:v>37228</x:v>
      </x:c>
      <x:c r="B9341" s="0" t="s">
        <x:v>37229</x:v>
      </x:c>
      <x:c r="C9341" s="0" t="s">
        <x:v>37230</x:v>
      </x:c>
      <x:c r="E9341" s="0" t="s">
        <x:v>37231</x:v>
      </x:c>
      <x:c r="F9341" s="0" t="s">
        <x:v>45</x:v>
      </x:c>
      <x:c r="G9341" s="0" t="s">
        <x:v>19</x:v>
      </x:c>
      <x:c r="H9341" s="0" t="s">
        <x:v>20</x:v>
      </x:c>
      <x:c r="I9341" s="0" t="s">
        <x:v>21</x:v>
      </x:c>
      <x:c r="K9341" s="0">
        <x:f>hyperlink("https://icd.who.int/dev11/l-ichi/en#/http%3A%2F%2Fid.who.int%2Ficd%2Fentity%2F1356748576","browser")</x:f>
      </x:c>
      <x:c r="L9341" s="0">
        <x:f>hyperlink("https://icat2.azurewebsites.net/icat/?ontology=ICD&amp;tab=ClassesTab&amp;id=http%3A%2F%2Fwho.int%2Ficd%23146_289760b8_59e2_4c12_8227_8273a894742b","iCat")</x:f>
      </x:c>
      <x:c r="M9341" s="0" t="s">
        <x:v>21</x:v>
      </x:c>
      <x:c r="N9341" s="0" t="s">
        <x:v>46</x:v>
      </x:c>
    </x:row>
    <x:row r="9342" spans="1:16">
      <x:c r="A9342" s="0" t="s">
        <x:v>37232</x:v>
      </x:c>
      <x:c r="B9342" s="0" t="s">
        <x:v>37233</x:v>
      </x:c>
      <x:c r="C9342" s="0" t="s">
        <x:v>37234</x:v>
      </x:c>
      <x:c r="E9342" s="0" t="s">
        <x:v>37235</x:v>
      </x:c>
      <x:c r="F9342" s="0" t="s">
        <x:v>45</x:v>
      </x:c>
      <x:c r="G9342" s="0" t="s">
        <x:v>19</x:v>
      </x:c>
      <x:c r="H9342" s="0" t="s">
        <x:v>20</x:v>
      </x:c>
      <x:c r="I9342" s="0" t="s">
        <x:v>21</x:v>
      </x:c>
      <x:c r="K9342" s="0">
        <x:f>hyperlink("https://icd.who.int/dev11/l-ichi/en#/http%3A%2F%2Fid.who.int%2Ficd%2Fentity%2F253494787","browser")</x:f>
      </x:c>
      <x:c r="L9342" s="0">
        <x:f>hyperlink("https://icat2.azurewebsites.net/icat/?ontology=ICD&amp;tab=ClassesTab&amp;id=http%3A%2F%2Fwho.int%2Ficd%23152_289760b8_59e2_4c12_8227_8273a894742b","iCat")</x:f>
      </x:c>
      <x:c r="M9342" s="0" t="s">
        <x:v>21</x:v>
      </x:c>
      <x:c r="N9342" s="0" t="s">
        <x:v>46</x:v>
      </x:c>
    </x:row>
    <x:row r="9343" spans="1:16">
      <x:c r="A9343" s="0" t="s">
        <x:v>37236</x:v>
      </x:c>
      <x:c r="B9343" s="0" t="s">
        <x:v>37237</x:v>
      </x:c>
      <x:c r="C9343" s="0" t="s">
        <x:v>37238</x:v>
      </x:c>
      <x:c r="E9343" s="0" t="s">
        <x:v>37239</x:v>
      </x:c>
      <x:c r="F9343" s="0" t="s">
        <x:v>45</x:v>
      </x:c>
      <x:c r="G9343" s="0" t="s">
        <x:v>19</x:v>
      </x:c>
      <x:c r="H9343" s="0" t="s">
        <x:v>20</x:v>
      </x:c>
      <x:c r="I9343" s="0" t="s">
        <x:v>21</x:v>
      </x:c>
      <x:c r="K9343" s="0">
        <x:f>hyperlink("https://icd.who.int/dev11/l-ichi/en#/http%3A%2F%2Fid.who.int%2Ficd%2Fentity%2F618752659","browser")</x:f>
      </x:c>
      <x:c r="L9343" s="0">
        <x:f>hyperlink("https://icat2.azurewebsites.net/icat/?ontology=ICD&amp;tab=ClassesTab&amp;id=http%3A%2F%2Fwho.int%2Ficd%23158_289760b8_59e2_4c12_8227_8273a894742b","iCat")</x:f>
      </x:c>
      <x:c r="M9343" s="0" t="s">
        <x:v>21</x:v>
      </x:c>
      <x:c r="N9343" s="0" t="s">
        <x:v>46</x:v>
      </x:c>
    </x:row>
    <x:row r="9344" spans="1:16">
      <x:c r="A9344" s="0" t="s">
        <x:v>37240</x:v>
      </x:c>
      <x:c r="B9344" s="0" t="s">
        <x:v>37241</x:v>
      </x:c>
      <x:c r="C9344" s="0" t="s">
        <x:v>37242</x:v>
      </x:c>
      <x:c r="E9344" s="0" t="s">
        <x:v>37243</x:v>
      </x:c>
      <x:c r="F9344" s="0" t="s">
        <x:v>45</x:v>
      </x:c>
      <x:c r="G9344" s="0" t="s">
        <x:v>19</x:v>
      </x:c>
      <x:c r="H9344" s="0" t="s">
        <x:v>20</x:v>
      </x:c>
      <x:c r="I9344" s="0" t="s">
        <x:v>21</x:v>
      </x:c>
      <x:c r="K9344" s="0">
        <x:f>hyperlink("https://icd.who.int/dev11/l-ichi/en#/http%3A%2F%2Fid.who.int%2Ficd%2Fentity%2F534159285","browser")</x:f>
      </x:c>
      <x:c r="L9344" s="0">
        <x:f>hyperlink("https://icat2.azurewebsites.net/icat/?ontology=ICD&amp;tab=ClassesTab&amp;id=http%3A%2F%2Fwho.int%2Ficd%23164_289760b8_59e2_4c12_8227_8273a894742b","iCat")</x:f>
      </x:c>
      <x:c r="M9344" s="0" t="s">
        <x:v>21</x:v>
      </x:c>
      <x:c r="N9344" s="0" t="s">
        <x:v>46</x:v>
      </x:c>
    </x:row>
    <x:row r="9345" spans="1:16">
      <x:c r="A9345" s="0" t="s">
        <x:v>37244</x:v>
      </x:c>
      <x:c r="B9345" s="0" t="s">
        <x:v>37245</x:v>
      </x:c>
      <x:c r="C9345" s="0" t="s">
        <x:v>37246</x:v>
      </x:c>
      <x:c r="E9345" s="0" t="s">
        <x:v>37247</x:v>
      </x:c>
      <x:c r="F9345" s="0" t="s">
        <x:v>45</x:v>
      </x:c>
      <x:c r="G9345" s="0" t="s">
        <x:v>19</x:v>
      </x:c>
      <x:c r="H9345" s="0" t="s">
        <x:v>20</x:v>
      </x:c>
      <x:c r="I9345" s="0" t="s">
        <x:v>21</x:v>
      </x:c>
      <x:c r="K9345" s="0">
        <x:f>hyperlink("https://icd.who.int/dev11/l-ichi/en#/http%3A%2F%2Fid.who.int%2Ficd%2Fentity%2F1075105430","browser")</x:f>
      </x:c>
      <x:c r="L9345" s="0">
        <x:f>hyperlink("https://icat2.azurewebsites.net/icat/?ontology=ICD&amp;tab=ClassesTab&amp;id=http%3A%2F%2Fwho.int%2Ficd%23170_289760b8_59e2_4c12_8227_8273a894742b","iCat")</x:f>
      </x:c>
      <x:c r="M9345" s="0" t="s">
        <x:v>21</x:v>
      </x:c>
      <x:c r="N9345" s="0" t="s">
        <x:v>46</x:v>
      </x:c>
    </x:row>
    <x:row r="9346" spans="1:16">
      <x:c r="A9346" s="0" t="s">
        <x:v>37248</x:v>
      </x:c>
      <x:c r="B9346" s="0" t="s">
        <x:v>37249</x:v>
      </x:c>
      <x:c r="C9346" s="0" t="s">
        <x:v>37250</x:v>
      </x:c>
      <x:c r="E9346" s="0" t="s">
        <x:v>37251</x:v>
      </x:c>
      <x:c r="F9346" s="0" t="s">
        <x:v>45</x:v>
      </x:c>
      <x:c r="G9346" s="0" t="s">
        <x:v>19</x:v>
      </x:c>
      <x:c r="H9346" s="0" t="s">
        <x:v>20</x:v>
      </x:c>
      <x:c r="I9346" s="0" t="s">
        <x:v>21</x:v>
      </x:c>
      <x:c r="K9346" s="0">
        <x:f>hyperlink("https://icd.who.int/dev11/l-ichi/en#/http%3A%2F%2Fid.who.int%2Ficd%2Fentity%2F700314492","browser")</x:f>
      </x:c>
      <x:c r="L9346" s="0">
        <x:f>hyperlink("https://icat2.azurewebsites.net/icat/?ontology=ICD&amp;tab=ClassesTab&amp;id=http%3A%2F%2Fwho.int%2Ficd%23730_289760b8_59e2_4c12_8227_8273a894742b","iCat")</x:f>
      </x:c>
      <x:c r="M9346" s="0" t="s">
        <x:v>21</x:v>
      </x:c>
      <x:c r="N9346" s="0" t="s">
        <x:v>46</x:v>
      </x:c>
    </x:row>
    <x:row r="9347" spans="1:16">
      <x:c r="A9347" s="0" t="s">
        <x:v>37252</x:v>
      </x:c>
      <x:c r="B9347" s="0" t="s">
        <x:v>37253</x:v>
      </x:c>
      <x:c r="C9347" s="0" t="s">
        <x:v>37254</x:v>
      </x:c>
      <x:c r="E9347" s="0" t="s">
        <x:v>37255</x:v>
      </x:c>
      <x:c r="F9347" s="0" t="s">
        <x:v>45</x:v>
      </x:c>
      <x:c r="G9347" s="0" t="s">
        <x:v>19</x:v>
      </x:c>
      <x:c r="H9347" s="0" t="s">
        <x:v>20</x:v>
      </x:c>
      <x:c r="I9347" s="0" t="s">
        <x:v>21</x:v>
      </x:c>
      <x:c r="K9347" s="0">
        <x:f>hyperlink("https://icd.who.int/dev11/l-ichi/en#/http%3A%2F%2Fid.who.int%2Ficd%2Fentity%2F2043030219","browser")</x:f>
      </x:c>
      <x:c r="L9347" s="0">
        <x:f>hyperlink("https://icat2.azurewebsites.net/icat/?ontology=ICD&amp;tab=ClassesTab&amp;id=http%3A%2F%2Fwho.int%2Ficd%23736_289760b8_59e2_4c12_8227_8273a894742b","iCat")</x:f>
      </x:c>
      <x:c r="M9347" s="0" t="s">
        <x:v>21</x:v>
      </x:c>
      <x:c r="N9347" s="0" t="s">
        <x:v>46</x:v>
      </x:c>
    </x:row>
    <x:row r="9348" spans="1:16">
      <x:c r="A9348" s="0" t="s">
        <x:v>37256</x:v>
      </x:c>
      <x:c r="B9348" s="0" t="s">
        <x:v>37257</x:v>
      </x:c>
      <x:c r="C9348" s="0" t="s">
        <x:v>37258</x:v>
      </x:c>
      <x:c r="E9348" s="0" t="s">
        <x:v>37259</x:v>
      </x:c>
      <x:c r="F9348" s="0" t="s">
        <x:v>45</x:v>
      </x:c>
      <x:c r="G9348" s="0" t="s">
        <x:v>19</x:v>
      </x:c>
      <x:c r="H9348" s="0" t="s">
        <x:v>20</x:v>
      </x:c>
      <x:c r="I9348" s="0" t="s">
        <x:v>21</x:v>
      </x:c>
      <x:c r="K9348" s="0">
        <x:f>hyperlink("https://icd.who.int/dev11/l-ichi/en#/http%3A%2F%2Fid.who.int%2Ficd%2Fentity%2F2081947045","browser")</x:f>
      </x:c>
      <x:c r="L9348" s="0">
        <x:f>hyperlink("https://icat2.azurewebsites.net/icat/?ontology=ICD&amp;tab=ClassesTab&amp;id=http%3A%2F%2Fwho.int%2Ficd%23742_289760b8_59e2_4c12_8227_8273a894742b","iCat")</x:f>
      </x:c>
      <x:c r="M9348" s="0" t="s">
        <x:v>21</x:v>
      </x:c>
      <x:c r="N9348" s="0" t="s">
        <x:v>46</x:v>
      </x:c>
    </x:row>
    <x:row r="9349" spans="1:16">
      <x:c r="A9349" s="0" t="s">
        <x:v>37260</x:v>
      </x:c>
      <x:c r="B9349" s="0" t="s">
        <x:v>37261</x:v>
      </x:c>
      <x:c r="C9349" s="0" t="s">
        <x:v>37262</x:v>
      </x:c>
      <x:c r="E9349" s="0" t="s">
        <x:v>37263</x:v>
      </x:c>
      <x:c r="F9349" s="0" t="s">
        <x:v>45</x:v>
      </x:c>
      <x:c r="G9349" s="0" t="s">
        <x:v>19</x:v>
      </x:c>
      <x:c r="H9349" s="0" t="s">
        <x:v>20</x:v>
      </x:c>
      <x:c r="I9349" s="0" t="s">
        <x:v>21</x:v>
      </x:c>
      <x:c r="K9349" s="0">
        <x:f>hyperlink("https://icd.who.int/dev11/l-ichi/en#/http%3A%2F%2Fid.who.int%2Ficd%2Fentity%2F1474990389","browser")</x:f>
      </x:c>
      <x:c r="L9349" s="0">
        <x:f>hyperlink("https://icat2.azurewebsites.net/icat/?ontology=ICD&amp;tab=ClassesTab&amp;id=http%3A%2F%2Fwho.int%2Ficd%23748_289760b8_59e2_4c12_8227_8273a894742b","iCat")</x:f>
      </x:c>
      <x:c r="M9349" s="0" t="s">
        <x:v>21</x:v>
      </x:c>
      <x:c r="N9349" s="0" t="s">
        <x:v>46</x:v>
      </x:c>
    </x:row>
    <x:row r="9350" spans="1:16">
      <x:c r="A9350" s="0" t="s">
        <x:v>37264</x:v>
      </x:c>
      <x:c r="B9350" s="0" t="s">
        <x:v>37265</x:v>
      </x:c>
      <x:c r="C9350" s="0" t="s">
        <x:v>37266</x:v>
      </x:c>
      <x:c r="E9350" s="0" t="s">
        <x:v>37267</x:v>
      </x:c>
      <x:c r="F9350" s="0" t="s">
        <x:v>45</x:v>
      </x:c>
      <x:c r="G9350" s="0" t="s">
        <x:v>19</x:v>
      </x:c>
      <x:c r="H9350" s="0" t="s">
        <x:v>20</x:v>
      </x:c>
      <x:c r="I9350" s="0" t="s">
        <x:v>21</x:v>
      </x:c>
      <x:c r="K9350" s="0">
        <x:f>hyperlink("https://icd.who.int/dev11/l-ichi/en#/http%3A%2F%2Fid.who.int%2Ficd%2Fentity%2F1185526083","browser")</x:f>
      </x:c>
      <x:c r="L9350" s="0">
        <x:f>hyperlink("https://icat2.azurewebsites.net/icat/?ontology=ICD&amp;tab=ClassesTab&amp;id=http%3A%2F%2Fwho.int%2Ficd%23754_289760b8_59e2_4c12_8227_8273a894742b","iCat")</x:f>
      </x:c>
      <x:c r="M9350" s="0" t="s">
        <x:v>21</x:v>
      </x:c>
      <x:c r="N9350" s="0" t="s">
        <x:v>46</x:v>
      </x:c>
    </x:row>
    <x:row r="9351" spans="1:16">
      <x:c r="A9351" s="0" t="s">
        <x:v>37268</x:v>
      </x:c>
      <x:c r="B9351" s="0" t="s">
        <x:v>37269</x:v>
      </x:c>
      <x:c r="C9351" s="0" t="s">
        <x:v>37270</x:v>
      </x:c>
      <x:c r="E9351" s="0" t="s">
        <x:v>37271</x:v>
      </x:c>
      <x:c r="F9351" s="0" t="s">
        <x:v>45</x:v>
      </x:c>
      <x:c r="G9351" s="0" t="s">
        <x:v>19</x:v>
      </x:c>
      <x:c r="H9351" s="0" t="s">
        <x:v>20</x:v>
      </x:c>
      <x:c r="I9351" s="0" t="s">
        <x:v>21</x:v>
      </x:c>
      <x:c r="K9351" s="0">
        <x:f>hyperlink("https://icd.who.int/dev11/l-ichi/en#/http%3A%2F%2Fid.who.int%2Ficd%2Fentity%2F857683250","browser")</x:f>
      </x:c>
      <x:c r="L9351" s="0">
        <x:f>hyperlink("https://icat2.azurewebsites.net/icat/?ontology=ICD&amp;tab=ClassesTab&amp;id=http%3A%2F%2Fwho.int%2Ficd%23760_289760b8_59e2_4c12_8227_8273a894742b","iCat")</x:f>
      </x:c>
      <x:c r="M9351" s="0" t="s">
        <x:v>21</x:v>
      </x:c>
      <x:c r="N9351" s="0" t="s">
        <x:v>46</x:v>
      </x:c>
    </x:row>
    <x:row r="9352" spans="1:16">
      <x:c r="A9352" s="0" t="s">
        <x:v>37272</x:v>
      </x:c>
      <x:c r="B9352" s="0" t="s">
        <x:v>37273</x:v>
      </x:c>
      <x:c r="C9352" s="0" t="s">
        <x:v>37274</x:v>
      </x:c>
      <x:c r="E9352" s="0" t="s">
        <x:v>37275</x:v>
      </x:c>
      <x:c r="F9352" s="0" t="s">
        <x:v>45</x:v>
      </x:c>
      <x:c r="G9352" s="0" t="s">
        <x:v>19</x:v>
      </x:c>
      <x:c r="H9352" s="0" t="s">
        <x:v>20</x:v>
      </x:c>
      <x:c r="I9352" s="0" t="s">
        <x:v>21</x:v>
      </x:c>
      <x:c r="K9352" s="0">
        <x:f>hyperlink("https://icd.who.int/dev11/l-ichi/en#/http%3A%2F%2Fid.who.int%2Ficd%2Fentity%2F927100583","browser")</x:f>
      </x:c>
      <x:c r="L9352" s="0">
        <x:f>hyperlink("https://icat2.azurewebsites.net/icat/?ontology=ICD&amp;tab=ClassesTab&amp;id=http%3A%2F%2Fwho.int%2Ficd%2315758_4869915e_217e_423d_acb3_33c0f920ef4b","iCat")</x:f>
      </x:c>
      <x:c r="M9352" s="0" t="s">
        <x:v>21</x:v>
      </x:c>
      <x:c r="N9352" s="0" t="s">
        <x:v>46</x:v>
      </x:c>
    </x:row>
    <x:row r="9353" spans="1:16">
      <x:c r="A9353" s="0" t="s">
        <x:v>37276</x:v>
      </x:c>
      <x:c r="B9353" s="0" t="s">
        <x:v>37277</x:v>
      </x:c>
      <x:c r="C9353" s="0" t="s">
        <x:v>37278</x:v>
      </x:c>
      <x:c r="E9353" s="0" t="s">
        <x:v>37279</x:v>
      </x:c>
      <x:c r="F9353" s="0" t="s">
        <x:v>45</x:v>
      </x:c>
      <x:c r="G9353" s="0" t="s">
        <x:v>19</x:v>
      </x:c>
      <x:c r="H9353" s="0" t="s">
        <x:v>20</x:v>
      </x:c>
      <x:c r="I9353" s="0" t="s">
        <x:v>21</x:v>
      </x:c>
      <x:c r="K9353" s="0">
        <x:f>hyperlink("https://icd.who.int/dev11/l-ichi/en#/http%3A%2F%2Fid.who.int%2Ficd%2Fentity%2F1667558529","browser")</x:f>
      </x:c>
      <x:c r="L9353" s="0">
        <x:f>hyperlink("https://icat2.azurewebsites.net/icat/?ontology=ICD&amp;tab=ClassesTab&amp;id=http%3A%2F%2Fwho.int%2Ficd%23766_289760b8_59e2_4c12_8227_8273a894742b","iCat")</x:f>
      </x:c>
      <x:c r="M9353" s="0" t="s">
        <x:v>21</x:v>
      </x:c>
      <x:c r="N9353" s="0" t="s">
        <x:v>46</x:v>
      </x:c>
    </x:row>
    <x:row r="9354" spans="1:16">
      <x:c r="A9354" s="0" t="s">
        <x:v>37280</x:v>
      </x:c>
      <x:c r="B9354" s="0" t="s">
        <x:v>37281</x:v>
      </x:c>
      <x:c r="C9354" s="0" t="s">
        <x:v>37282</x:v>
      </x:c>
      <x:c r="E9354" s="0" t="s">
        <x:v>37283</x:v>
      </x:c>
      <x:c r="F9354" s="0" t="s">
        <x:v>45</x:v>
      </x:c>
      <x:c r="G9354" s="0" t="s">
        <x:v>19</x:v>
      </x:c>
      <x:c r="H9354" s="0" t="s">
        <x:v>20</x:v>
      </x:c>
      <x:c r="I9354" s="0" t="s">
        <x:v>21</x:v>
      </x:c>
      <x:c r="K9354" s="0">
        <x:f>hyperlink("https://icd.who.int/dev11/l-ichi/en#/http%3A%2F%2Fid.who.int%2Ficd%2Fentity%2F1017560484","browser")</x:f>
      </x:c>
      <x:c r="L9354" s="0">
        <x:f>hyperlink("https://icat2.azurewebsites.net/icat/?ontology=ICD&amp;tab=ClassesTab&amp;id=http%3A%2F%2Fwho.int%2Ficd%23772_289760b8_59e2_4c12_8227_8273a894742b","iCat")</x:f>
      </x:c>
      <x:c r="M9354" s="0" t="s">
        <x:v>21</x:v>
      </x:c>
      <x:c r="N9354" s="0" t="s">
        <x:v>46</x:v>
      </x:c>
    </x:row>
    <x:row r="9355" spans="1:16">
      <x:c r="A9355" s="0" t="s">
        <x:v>37284</x:v>
      </x:c>
      <x:c r="B9355" s="0" t="s">
        <x:v>37285</x:v>
      </x:c>
      <x:c r="C9355" s="0" t="s">
        <x:v>37286</x:v>
      </x:c>
      <x:c r="E9355" s="0" t="s">
        <x:v>37287</x:v>
      </x:c>
      <x:c r="F9355" s="0" t="s">
        <x:v>45</x:v>
      </x:c>
      <x:c r="G9355" s="0" t="s">
        <x:v>19</x:v>
      </x:c>
      <x:c r="H9355" s="0" t="s">
        <x:v>20</x:v>
      </x:c>
      <x:c r="I9355" s="0" t="s">
        <x:v>21</x:v>
      </x:c>
      <x:c r="K9355" s="0">
        <x:f>hyperlink("https://icd.who.int/dev11/l-ichi/en#/http%3A%2F%2Fid.who.int%2Ficd%2Fentity%2F391893300","browser")</x:f>
      </x:c>
      <x:c r="L9355" s="0">
        <x:f>hyperlink("https://icat2.azurewebsites.net/icat/?ontology=ICD&amp;tab=ClassesTab&amp;id=http%3A%2F%2Fwho.int%2Ficd%23778_289760b8_59e2_4c12_8227_8273a894742b","iCat")</x:f>
      </x:c>
      <x:c r="M9355" s="0" t="s">
        <x:v>21</x:v>
      </x:c>
      <x:c r="N9355" s="0" t="s">
        <x:v>46</x:v>
      </x:c>
    </x:row>
    <x:row r="9356" spans="1:16">
      <x:c r="A9356" s="0" t="s">
        <x:v>37288</x:v>
      </x:c>
      <x:c r="B9356" s="0" t="s">
        <x:v>37289</x:v>
      </x:c>
      <x:c r="C9356" s="0" t="s">
        <x:v>37290</x:v>
      </x:c>
      <x:c r="E9356" s="0" t="s">
        <x:v>37291</x:v>
      </x:c>
      <x:c r="F9356" s="0" t="s">
        <x:v>45</x:v>
      </x:c>
      <x:c r="G9356" s="0" t="s">
        <x:v>19</x:v>
      </x:c>
      <x:c r="H9356" s="0" t="s">
        <x:v>20</x:v>
      </x:c>
      <x:c r="I9356" s="0" t="s">
        <x:v>21</x:v>
      </x:c>
      <x:c r="K9356" s="0">
        <x:f>hyperlink("https://icd.who.int/dev11/l-ichi/en#/http%3A%2F%2Fid.who.int%2Ficd%2Fentity%2F1127886541","browser")</x:f>
      </x:c>
      <x:c r="L9356" s="0">
        <x:f>hyperlink("https://icat2.azurewebsites.net/icat/?ontology=ICD&amp;tab=ClassesTab&amp;id=http%3A%2F%2Fwho.int%2Ficd%23784_289760b8_59e2_4c12_8227_8273a894742b","iCat")</x:f>
      </x:c>
      <x:c r="M9356" s="0" t="s">
        <x:v>21</x:v>
      </x:c>
      <x:c r="N9356" s="0" t="s">
        <x:v>46</x:v>
      </x:c>
    </x:row>
    <x:row r="9357" spans="1:16">
      <x:c r="A9357" s="0" t="s">
        <x:v>37292</x:v>
      </x:c>
      <x:c r="B9357" s="0" t="s">
        <x:v>37293</x:v>
      </x:c>
      <x:c r="C9357" s="0" t="s">
        <x:v>37294</x:v>
      </x:c>
      <x:c r="E9357" s="0" t="s">
        <x:v>37295</x:v>
      </x:c>
      <x:c r="F9357" s="0" t="s">
        <x:v>45</x:v>
      </x:c>
      <x:c r="G9357" s="0" t="s">
        <x:v>19</x:v>
      </x:c>
      <x:c r="H9357" s="0" t="s">
        <x:v>20</x:v>
      </x:c>
      <x:c r="I9357" s="0" t="s">
        <x:v>21</x:v>
      </x:c>
      <x:c r="K9357" s="0">
        <x:f>hyperlink("https://icd.who.int/dev11/l-ichi/en#/http%3A%2F%2Fid.who.int%2Ficd%2Fentity%2F486047728","browser")</x:f>
      </x:c>
      <x:c r="L9357" s="0">
        <x:f>hyperlink("https://icat2.azurewebsites.net/icat/?ontology=ICD&amp;tab=ClassesTab&amp;id=http%3A%2F%2Fwho.int%2Ficd%23790_289760b8_59e2_4c12_8227_8273a894742b","iCat")</x:f>
      </x:c>
      <x:c r="M9357" s="0" t="s">
        <x:v>21</x:v>
      </x:c>
      <x:c r="N9357" s="0" t="s">
        <x:v>46</x:v>
      </x:c>
    </x:row>
    <x:row r="9358" spans="1:16">
      <x:c r="A9358" s="0" t="s">
        <x:v>37296</x:v>
      </x:c>
      <x:c r="B9358" s="0" t="s">
        <x:v>37297</x:v>
      </x:c>
      <x:c r="C9358" s="0" t="s">
        <x:v>37298</x:v>
      </x:c>
      <x:c r="E9358" s="0" t="s">
        <x:v>37299</x:v>
      </x:c>
      <x:c r="F9358" s="0" t="s">
        <x:v>45</x:v>
      </x:c>
      <x:c r="G9358" s="0" t="s">
        <x:v>19</x:v>
      </x:c>
      <x:c r="H9358" s="0" t="s">
        <x:v>20</x:v>
      </x:c>
      <x:c r="I9358" s="0" t="s">
        <x:v>21</x:v>
      </x:c>
      <x:c r="K9358" s="0">
        <x:f>hyperlink("https://icd.who.int/dev11/l-ichi/en#/http%3A%2F%2Fid.who.int%2Ficd%2Fentity%2F1283696223","browser")</x:f>
      </x:c>
      <x:c r="L9358" s="0">
        <x:f>hyperlink("https://icat2.azurewebsites.net/icat/?ontology=ICD&amp;tab=ClassesTab&amp;id=http%3A%2F%2Fwho.int%2Ficd%23796_289760b8_59e2_4c12_8227_8273a894742b","iCat")</x:f>
      </x:c>
      <x:c r="M9358" s="0" t="s">
        <x:v>21</x:v>
      </x:c>
      <x:c r="N9358" s="0" t="s">
        <x:v>46</x:v>
      </x:c>
    </x:row>
    <x:row r="9359" spans="1:16">
      <x:c r="A9359" s="0" t="s">
        <x:v>37300</x:v>
      </x:c>
      <x:c r="B9359" s="0" t="s">
        <x:v>37301</x:v>
      </x:c>
      <x:c r="C9359" s="0" t="s">
        <x:v>37302</x:v>
      </x:c>
      <x:c r="E9359" s="0" t="s">
        <x:v>37303</x:v>
      </x:c>
      <x:c r="F9359" s="0" t="s">
        <x:v>45</x:v>
      </x:c>
      <x:c r="G9359" s="0" t="s">
        <x:v>19</x:v>
      </x:c>
      <x:c r="H9359" s="0" t="s">
        <x:v>20</x:v>
      </x:c>
      <x:c r="I9359" s="0" t="s">
        <x:v>21</x:v>
      </x:c>
      <x:c r="K9359" s="0">
        <x:f>hyperlink("https://icd.who.int/dev11/l-ichi/en#/http%3A%2F%2Fid.who.int%2Ficd%2Fentity%2F2050834112","browser")</x:f>
      </x:c>
      <x:c r="L9359" s="0">
        <x:f>hyperlink("https://icat2.azurewebsites.net/icat/?ontology=ICD&amp;tab=ClassesTab&amp;id=http%3A%2F%2Fwho.int%2Ficd%23802_289760b8_59e2_4c12_8227_8273a894742b","iCat")</x:f>
      </x:c>
      <x:c r="M9359" s="0" t="s">
        <x:v>21</x:v>
      </x:c>
      <x:c r="N9359" s="0" t="s">
        <x:v>46</x:v>
      </x:c>
    </x:row>
    <x:row r="9360" spans="1:16">
      <x:c r="A9360" s="0" t="s">
        <x:v>37304</x:v>
      </x:c>
      <x:c r="B9360" s="0" t="s">
        <x:v>37305</x:v>
      </x:c>
      <x:c r="C9360" s="0" t="s">
        <x:v>37306</x:v>
      </x:c>
      <x:c r="E9360" s="0" t="s">
        <x:v>37307</x:v>
      </x:c>
      <x:c r="F9360" s="0" t="s">
        <x:v>45</x:v>
      </x:c>
      <x:c r="G9360" s="0" t="s">
        <x:v>19</x:v>
      </x:c>
      <x:c r="H9360" s="0" t="s">
        <x:v>20</x:v>
      </x:c>
      <x:c r="I9360" s="0" t="s">
        <x:v>21</x:v>
      </x:c>
      <x:c r="K9360" s="0">
        <x:f>hyperlink("https://icd.who.int/dev11/l-ichi/en#/http%3A%2F%2Fid.who.int%2Ficd%2Fentity%2F1371558448","browser")</x:f>
      </x:c>
      <x:c r="L9360" s="0">
        <x:f>hyperlink("https://icat2.azurewebsites.net/icat/?ontology=ICD&amp;tab=ClassesTab&amp;id=http%3A%2F%2Fwho.int%2Ficd%23808_289760b8_59e2_4c12_8227_8273a894742b","iCat")</x:f>
      </x:c>
      <x:c r="M9360" s="0" t="s">
        <x:v>21</x:v>
      </x:c>
      <x:c r="N9360" s="0" t="s">
        <x:v>46</x:v>
      </x:c>
    </x:row>
    <x:row r="9361" spans="1:16">
      <x:c r="A9361" s="0" t="s">
        <x:v>37308</x:v>
      </x:c>
      <x:c r="B9361" s="0" t="s">
        <x:v>37309</x:v>
      </x:c>
      <x:c r="C9361" s="0" t="s">
        <x:v>37310</x:v>
      </x:c>
      <x:c r="E9361" s="0" t="s">
        <x:v>37311</x:v>
      </x:c>
      <x:c r="F9361" s="0" t="s">
        <x:v>45</x:v>
      </x:c>
      <x:c r="G9361" s="0" t="s">
        <x:v>19</x:v>
      </x:c>
      <x:c r="H9361" s="0" t="s">
        <x:v>20</x:v>
      </x:c>
      <x:c r="I9361" s="0" t="s">
        <x:v>21</x:v>
      </x:c>
      <x:c r="K9361" s="0">
        <x:f>hyperlink("https://icd.who.int/dev11/l-ichi/en#/http%3A%2F%2Fid.who.int%2Ficd%2Fentity%2F1082356312","browser")</x:f>
      </x:c>
      <x:c r="L9361" s="0">
        <x:f>hyperlink("https://icat2.azurewebsites.net/icat/?ontology=ICD&amp;tab=ClassesTab&amp;id=http%3A%2F%2Fwho.int%2Ficd%23814_289760b8_59e2_4c12_8227_8273a894742b","iCat")</x:f>
      </x:c>
      <x:c r="M9361" s="0" t="s">
        <x:v>21</x:v>
      </x:c>
      <x:c r="N9361" s="0" t="s">
        <x:v>46</x:v>
      </x:c>
    </x:row>
    <x:row r="9362" spans="1:16">
      <x:c r="A9362" s="0" t="s">
        <x:v>37312</x:v>
      </x:c>
      <x:c r="B9362" s="0" t="s">
        <x:v>37313</x:v>
      </x:c>
      <x:c r="C9362" s="0" t="s">
        <x:v>37314</x:v>
      </x:c>
      <x:c r="E9362" s="0" t="s">
        <x:v>37315</x:v>
      </x:c>
      <x:c r="F9362" s="0" t="s">
        <x:v>45</x:v>
      </x:c>
      <x:c r="G9362" s="0" t="s">
        <x:v>19</x:v>
      </x:c>
      <x:c r="H9362" s="0" t="s">
        <x:v>20</x:v>
      </x:c>
      <x:c r="I9362" s="0" t="s">
        <x:v>21</x:v>
      </x:c>
      <x:c r="K9362" s="0">
        <x:f>hyperlink("https://icd.who.int/dev11/l-ichi/en#/http%3A%2F%2Fid.who.int%2Ficd%2Fentity%2F892728875","browser")</x:f>
      </x:c>
      <x:c r="L9362" s="0">
        <x:f>hyperlink("https://icat2.azurewebsites.net/icat/?ontology=ICD&amp;tab=ClassesTab&amp;id=http%3A%2F%2Fwho.int%2Ficd%23820_289760b8_59e2_4c12_8227_8273a894742b","iCat")</x:f>
      </x:c>
      <x:c r="M9362" s="0" t="s">
        <x:v>21</x:v>
      </x:c>
      <x:c r="N9362" s="0" t="s">
        <x:v>46</x:v>
      </x:c>
    </x:row>
    <x:row r="9363" spans="1:16">
      <x:c r="A9363" s="0" t="s">
        <x:v>37316</x:v>
      </x:c>
      <x:c r="B9363" s="0" t="s">
        <x:v>37317</x:v>
      </x:c>
      <x:c r="C9363" s="0" t="s">
        <x:v>37318</x:v>
      </x:c>
      <x:c r="E9363" s="0" t="s">
        <x:v>37319</x:v>
      </x:c>
      <x:c r="F9363" s="0" t="s">
        <x:v>45</x:v>
      </x:c>
      <x:c r="G9363" s="0" t="s">
        <x:v>19</x:v>
      </x:c>
      <x:c r="H9363" s="0" t="s">
        <x:v>20</x:v>
      </x:c>
      <x:c r="I9363" s="0" t="s">
        <x:v>21</x:v>
      </x:c>
      <x:c r="K9363" s="0">
        <x:f>hyperlink("https://icd.who.int/dev11/l-ichi/en#/http%3A%2F%2Fid.who.int%2Ficd%2Fentity%2F1699622812","browser")</x:f>
      </x:c>
      <x:c r="L9363" s="0">
        <x:f>hyperlink("https://icat2.azurewebsites.net/icat/?ontology=ICD&amp;tab=ClassesTab&amp;id=http%3A%2F%2Fwho.int%2Ficd%23826_289760b8_59e2_4c12_8227_8273a894742b","iCat")</x:f>
      </x:c>
      <x:c r="M9363" s="0" t="s">
        <x:v>21</x:v>
      </x:c>
      <x:c r="N9363" s="0" t="s">
        <x:v>46</x:v>
      </x:c>
    </x:row>
    <x:row r="9364" spans="1:16">
      <x:c r="A9364" s="0" t="s">
        <x:v>37320</x:v>
      </x:c>
      <x:c r="B9364" s="0" t="s">
        <x:v>37321</x:v>
      </x:c>
      <x:c r="C9364" s="0" t="s">
        <x:v>37322</x:v>
      </x:c>
      <x:c r="E9364" s="0" t="s">
        <x:v>37323</x:v>
      </x:c>
      <x:c r="F9364" s="0" t="s">
        <x:v>45</x:v>
      </x:c>
      <x:c r="G9364" s="0" t="s">
        <x:v>19</x:v>
      </x:c>
      <x:c r="H9364" s="0" t="s">
        <x:v>20</x:v>
      </x:c>
      <x:c r="I9364" s="0" t="s">
        <x:v>21</x:v>
      </x:c>
      <x:c r="K9364" s="0">
        <x:f>hyperlink("https://icd.who.int/dev11/l-ichi/en#/http%3A%2F%2Fid.who.int%2Ficd%2Fentity%2F982286009","browser")</x:f>
      </x:c>
      <x:c r="L9364" s="0">
        <x:f>hyperlink("https://icat2.azurewebsites.net/icat/?ontology=ICD&amp;tab=ClassesTab&amp;id=http%3A%2F%2Fwho.int%2Ficd%23832_289760b8_59e2_4c12_8227_8273a894742b","iCat")</x:f>
      </x:c>
      <x:c r="M9364" s="0" t="s">
        <x:v>21</x:v>
      </x:c>
      <x:c r="N9364" s="0" t="s">
        <x:v>46</x:v>
      </x:c>
    </x:row>
    <x:row r="9365" spans="1:16">
      <x:c r="A9365" s="0" t="s">
        <x:v>37324</x:v>
      </x:c>
      <x:c r="B9365" s="0" t="s">
        <x:v>37325</x:v>
      </x:c>
      <x:c r="C9365" s="0" t="s">
        <x:v>37326</x:v>
      </x:c>
      <x:c r="E9365" s="0" t="s">
        <x:v>37327</x:v>
      </x:c>
      <x:c r="F9365" s="0" t="s">
        <x:v>45</x:v>
      </x:c>
      <x:c r="G9365" s="0" t="s">
        <x:v>19</x:v>
      </x:c>
      <x:c r="H9365" s="0" t="s">
        <x:v>20</x:v>
      </x:c>
      <x:c r="I9365" s="0" t="s">
        <x:v>21</x:v>
      </x:c>
      <x:c r="K9365" s="0">
        <x:f>hyperlink("https://icd.who.int/dev11/l-ichi/en#/http%3A%2F%2Fid.who.int%2Ficd%2Fentity%2F292622889","browser")</x:f>
      </x:c>
      <x:c r="L9365" s="0">
        <x:f>hyperlink("https://icat2.azurewebsites.net/icat/?ontology=ICD&amp;tab=ClassesTab&amp;id=http%3A%2F%2Fwho.int%2Ficd%23838_289760b8_59e2_4c12_8227_8273a894742b","iCat")</x:f>
      </x:c>
      <x:c r="M9365" s="0" t="s">
        <x:v>21</x:v>
      </x:c>
      <x:c r="N9365" s="0" t="s">
        <x:v>46</x:v>
      </x:c>
    </x:row>
    <x:row r="9366" spans="1:16">
      <x:c r="A9366" s="0" t="s">
        <x:v>37328</x:v>
      </x:c>
      <x:c r="B9366" s="0" t="s">
        <x:v>37329</x:v>
      </x:c>
      <x:c r="C9366" s="0" t="s">
        <x:v>37330</x:v>
      </x:c>
      <x:c r="E9366" s="0" t="s">
        <x:v>37331</x:v>
      </x:c>
      <x:c r="F9366" s="0" t="s">
        <x:v>45</x:v>
      </x:c>
      <x:c r="G9366" s="0" t="s">
        <x:v>19</x:v>
      </x:c>
      <x:c r="H9366" s="0" t="s">
        <x:v>20</x:v>
      </x:c>
      <x:c r="I9366" s="0" t="s">
        <x:v>21</x:v>
      </x:c>
      <x:c r="K9366" s="0">
        <x:f>hyperlink("https://icd.who.int/dev11/l-ichi/en#/http%3A%2F%2Fid.who.int%2Ficd%2Fentity%2F1512158226","browser")</x:f>
      </x:c>
      <x:c r="L9366" s="0">
        <x:f>hyperlink("https://icat2.azurewebsites.net/icat/?ontology=ICD&amp;tab=ClassesTab&amp;id=http%3A%2F%2Fwho.int%2Ficd%23844_289760b8_59e2_4c12_8227_8273a894742b","iCat")</x:f>
      </x:c>
      <x:c r="M9366" s="0" t="s">
        <x:v>21</x:v>
      </x:c>
      <x:c r="N9366" s="0" t="s">
        <x:v>46</x:v>
      </x:c>
    </x:row>
    <x:row r="9367" spans="1:16">
      <x:c r="A9367" s="0" t="s">
        <x:v>37332</x:v>
      </x:c>
      <x:c r="B9367" s="0" t="s">
        <x:v>37333</x:v>
      </x:c>
      <x:c r="C9367" s="0" t="s">
        <x:v>37334</x:v>
      </x:c>
      <x:c r="E9367" s="0" t="s">
        <x:v>37335</x:v>
      </x:c>
      <x:c r="F9367" s="0" t="s">
        <x:v>45</x:v>
      </x:c>
      <x:c r="G9367" s="0" t="s">
        <x:v>19</x:v>
      </x:c>
      <x:c r="H9367" s="0" t="s">
        <x:v>20</x:v>
      </x:c>
      <x:c r="I9367" s="0" t="s">
        <x:v>21</x:v>
      </x:c>
      <x:c r="K9367" s="0">
        <x:f>hyperlink("https://icd.who.int/dev11/l-ichi/en#/http%3A%2F%2Fid.who.int%2Ficd%2Fentity%2F98821425","browser")</x:f>
      </x:c>
      <x:c r="L9367" s="0">
        <x:f>hyperlink("https://icat2.azurewebsites.net/icat/?ontology=ICD&amp;tab=ClassesTab&amp;id=http%3A%2F%2Fwho.int%2Ficd%23850_289760b8_59e2_4c12_8227_8273a894742b","iCat")</x:f>
      </x:c>
      <x:c r="M9367" s="0" t="s">
        <x:v>21</x:v>
      </x:c>
      <x:c r="N9367" s="0" t="s">
        <x:v>46</x:v>
      </x:c>
    </x:row>
    <x:row r="9368" spans="1:16">
      <x:c r="A9368" s="0" t="s">
        <x:v>37336</x:v>
      </x:c>
      <x:c r="B9368" s="0" t="s">
        <x:v>37337</x:v>
      </x:c>
      <x:c r="C9368" s="0" t="s">
        <x:v>37338</x:v>
      </x:c>
      <x:c r="E9368" s="0" t="s">
        <x:v>37339</x:v>
      </x:c>
      <x:c r="F9368" s="0" t="s">
        <x:v>45</x:v>
      </x:c>
      <x:c r="G9368" s="0" t="s">
        <x:v>19</x:v>
      </x:c>
      <x:c r="H9368" s="0" t="s">
        <x:v>20</x:v>
      </x:c>
      <x:c r="I9368" s="0" t="s">
        <x:v>21</x:v>
      </x:c>
      <x:c r="K9368" s="0">
        <x:f>hyperlink("https://icd.who.int/dev11/l-ichi/en#/http%3A%2F%2Fid.who.int%2Ficd%2Fentity%2F1436040320","browser")</x:f>
      </x:c>
      <x:c r="L9368" s="0">
        <x:f>hyperlink("https://icat2.azurewebsites.net/icat/?ontology=ICD&amp;tab=ClassesTab&amp;id=http%3A%2F%2Fwho.int%2Ficd%23856_289760b8_59e2_4c12_8227_8273a894742b","iCat")</x:f>
      </x:c>
      <x:c r="M9368" s="0" t="s">
        <x:v>21</x:v>
      </x:c>
      <x:c r="N9368" s="0" t="s">
        <x:v>46</x:v>
      </x:c>
    </x:row>
    <x:row r="9369" spans="1:16">
      <x:c r="A9369" s="0" t="s">
        <x:v>37340</x:v>
      </x:c>
      <x:c r="B9369" s="0" t="s">
        <x:v>37341</x:v>
      </x:c>
      <x:c r="C9369" s="0" t="s">
        <x:v>37342</x:v>
      </x:c>
      <x:c r="E9369" s="0" t="s">
        <x:v>37343</x:v>
      </x:c>
      <x:c r="F9369" s="0" t="s">
        <x:v>45</x:v>
      </x:c>
      <x:c r="G9369" s="0" t="s">
        <x:v>19</x:v>
      </x:c>
      <x:c r="H9369" s="0" t="s">
        <x:v>20</x:v>
      </x:c>
      <x:c r="I9369" s="0" t="s">
        <x:v>21</x:v>
      </x:c>
      <x:c r="K9369" s="0">
        <x:f>hyperlink("https://icd.who.int/dev11/l-ichi/en#/http%3A%2F%2Fid.who.int%2Ficd%2Fentity%2F539932915","browser")</x:f>
      </x:c>
      <x:c r="L9369" s="0">
        <x:f>hyperlink("https://icat2.azurewebsites.net/icat/?ontology=ICD&amp;tab=ClassesTab&amp;id=http%3A%2F%2Fwho.int%2Ficd%23862_289760b8_59e2_4c12_8227_8273a894742b","iCat")</x:f>
      </x:c>
      <x:c r="M9369" s="0" t="s">
        <x:v>21</x:v>
      </x:c>
      <x:c r="N9369" s="0" t="s">
        <x:v>46</x:v>
      </x:c>
    </x:row>
    <x:row r="9370" spans="1:16">
      <x:c r="A9370" s="0" t="s">
        <x:v>37344</x:v>
      </x:c>
      <x:c r="B9370" s="0" t="s">
        <x:v>37345</x:v>
      </x:c>
      <x:c r="C9370" s="0" t="s">
        <x:v>37346</x:v>
      </x:c>
      <x:c r="E9370" s="0" t="s">
        <x:v>37347</x:v>
      </x:c>
      <x:c r="F9370" s="0" t="s">
        <x:v>45</x:v>
      </x:c>
      <x:c r="G9370" s="0" t="s">
        <x:v>19</x:v>
      </x:c>
      <x:c r="H9370" s="0" t="s">
        <x:v>20</x:v>
      </x:c>
      <x:c r="I9370" s="0" t="s">
        <x:v>21</x:v>
      </x:c>
      <x:c r="K9370" s="0">
        <x:f>hyperlink("https://icd.who.int/dev11/l-ichi/en#/http%3A%2F%2Fid.who.int%2Ficd%2Fentity%2F198431843","browser")</x:f>
      </x:c>
      <x:c r="L9370" s="0">
        <x:f>hyperlink("https://icat2.azurewebsites.net/icat/?ontology=ICD&amp;tab=ClassesTab&amp;id=http%3A%2F%2Fwho.int%2Ficd%23868_289760b8_59e2_4c12_8227_8273a894742b","iCat")</x:f>
      </x:c>
      <x:c r="M9370" s="0" t="s">
        <x:v>21</x:v>
      </x:c>
      <x:c r="N9370" s="0" t="s">
        <x:v>46</x:v>
      </x:c>
    </x:row>
    <x:row r="9371" spans="1:16">
      <x:c r="A9371" s="0" t="s">
        <x:v>37348</x:v>
      </x:c>
      <x:c r="B9371" s="0" t="s">
        <x:v>37349</x:v>
      </x:c>
      <x:c r="C9371" s="0" t="s">
        <x:v>37350</x:v>
      </x:c>
      <x:c r="E9371" s="0" t="s">
        <x:v>37351</x:v>
      </x:c>
      <x:c r="F9371" s="0" t="s">
        <x:v>45</x:v>
      </x:c>
      <x:c r="G9371" s="0" t="s">
        <x:v>19</x:v>
      </x:c>
      <x:c r="H9371" s="0" t="s">
        <x:v>20</x:v>
      </x:c>
      <x:c r="I9371" s="0" t="s">
        <x:v>21</x:v>
      </x:c>
      <x:c r="K9371" s="0">
        <x:f>hyperlink("https://icd.who.int/dev11/l-ichi/en#/http%3A%2F%2Fid.who.int%2Ficd%2Fentity%2F445707285","browser")</x:f>
      </x:c>
      <x:c r="L9371" s="0">
        <x:f>hyperlink("https://icat2.azurewebsites.net/icat/?ontology=ICD&amp;tab=ClassesTab&amp;id=http%3A%2F%2Fwho.int%2Ficd%23874_289760b8_59e2_4c12_8227_8273a894742b","iCat")</x:f>
      </x:c>
      <x:c r="M9371" s="0" t="s">
        <x:v>21</x:v>
      </x:c>
      <x:c r="N9371" s="0" t="s">
        <x:v>46</x:v>
      </x:c>
    </x:row>
    <x:row r="9372" spans="1:16">
      <x:c r="A9372" s="0" t="s">
        <x:v>37352</x:v>
      </x:c>
      <x:c r="B9372" s="0" t="s">
        <x:v>37353</x:v>
      </x:c>
      <x:c r="C9372" s="0" t="s">
        <x:v>37354</x:v>
      </x:c>
      <x:c r="E9372" s="0" t="s">
        <x:v>37355</x:v>
      </x:c>
      <x:c r="F9372" s="0" t="s">
        <x:v>45</x:v>
      </x:c>
      <x:c r="G9372" s="0" t="s">
        <x:v>19</x:v>
      </x:c>
      <x:c r="H9372" s="0" t="s">
        <x:v>20</x:v>
      </x:c>
      <x:c r="I9372" s="0" t="s">
        <x:v>21</x:v>
      </x:c>
      <x:c r="K9372" s="0">
        <x:f>hyperlink("https://icd.who.int/dev11/l-ichi/en#/http%3A%2F%2Fid.who.int%2Ficd%2Fentity%2F7371455","browser")</x:f>
      </x:c>
      <x:c r="L9372" s="0">
        <x:f>hyperlink("https://icat2.azurewebsites.net/icat/?ontology=ICD&amp;tab=ClassesTab&amp;id=http%3A%2F%2Fwho.int%2Ficd%23880_289760b8_59e2_4c12_8227_8273a894742b","iCat")</x:f>
      </x:c>
      <x:c r="M9372" s="0" t="s">
        <x:v>21</x:v>
      </x:c>
      <x:c r="N9372" s="0" t="s">
        <x:v>46</x:v>
      </x:c>
    </x:row>
    <x:row r="9373" spans="1:16">
      <x:c r="A9373" s="0" t="s">
        <x:v>37356</x:v>
      </x:c>
      <x:c r="B9373" s="0" t="s">
        <x:v>37357</x:v>
      </x:c>
      <x:c r="C9373" s="0" t="s">
        <x:v>37358</x:v>
      </x:c>
      <x:c r="E9373" s="0" t="s">
        <x:v>37359</x:v>
      </x:c>
      <x:c r="F9373" s="0" t="s">
        <x:v>45</x:v>
      </x:c>
      <x:c r="G9373" s="0" t="s">
        <x:v>19</x:v>
      </x:c>
      <x:c r="H9373" s="0" t="s">
        <x:v>20</x:v>
      </x:c>
      <x:c r="I9373" s="0" t="s">
        <x:v>21</x:v>
      </x:c>
      <x:c r="K9373" s="0">
        <x:f>hyperlink("https://icd.who.int/dev11/l-ichi/en#/http%3A%2F%2Fid.who.int%2Ficd%2Fentity%2F1342939920","browser")</x:f>
      </x:c>
      <x:c r="L9373" s="0">
        <x:f>hyperlink("https://icat2.azurewebsites.net/icat/?ontology=ICD&amp;tab=ClassesTab&amp;id=http%3A%2F%2Fwho.int%2Ficd%23886_289760b8_59e2_4c12_8227_8273a894742b","iCat")</x:f>
      </x:c>
      <x:c r="M9373" s="0" t="s">
        <x:v>21</x:v>
      </x:c>
      <x:c r="N9373" s="0" t="s">
        <x:v>46</x:v>
      </x:c>
    </x:row>
    <x:row r="9374" spans="1:16">
      <x:c r="A9374" s="0" t="s">
        <x:v>37360</x:v>
      </x:c>
      <x:c r="B9374" s="0" t="s">
        <x:v>37361</x:v>
      </x:c>
      <x:c r="C9374" s="0" t="s">
        <x:v>37362</x:v>
      </x:c>
      <x:c r="E9374" s="0" t="s">
        <x:v>37363</x:v>
      </x:c>
      <x:c r="F9374" s="0" t="s">
        <x:v>45</x:v>
      </x:c>
      <x:c r="G9374" s="0" t="s">
        <x:v>19</x:v>
      </x:c>
      <x:c r="H9374" s="0" t="s">
        <x:v>20</x:v>
      </x:c>
      <x:c r="I9374" s="0" t="s">
        <x:v>21</x:v>
      </x:c>
      <x:c r="K9374" s="0">
        <x:f>hyperlink("https://icd.who.int/dev11/l-ichi/en#/http%3A%2F%2Fid.who.int%2Ficd%2Fentity%2F264892973","browser")</x:f>
      </x:c>
      <x:c r="L9374" s="0">
        <x:f>hyperlink("https://icat2.azurewebsites.net/icat/?ontology=ICD&amp;tab=ClassesTab&amp;id=http%3A%2F%2Fwho.int%2Ficd%23892_289760b8_59e2_4c12_8227_8273a894742b","iCat")</x:f>
      </x:c>
      <x:c r="M9374" s="0" t="s">
        <x:v>21</x:v>
      </x:c>
      <x:c r="N9374" s="0" t="s">
        <x:v>46</x:v>
      </x:c>
    </x:row>
    <x:row r="9375" spans="1:16">
      <x:c r="A9375" s="0" t="s">
        <x:v>37364</x:v>
      </x:c>
      <x:c r="B9375" s="0" t="s">
        <x:v>37365</x:v>
      </x:c>
      <x:c r="C9375" s="0" t="s">
        <x:v>37366</x:v>
      </x:c>
      <x:c r="E9375" s="0" t="s">
        <x:v>37367</x:v>
      </x:c>
      <x:c r="F9375" s="0" t="s">
        <x:v>45</x:v>
      </x:c>
      <x:c r="G9375" s="0" t="s">
        <x:v>19</x:v>
      </x:c>
      <x:c r="H9375" s="0" t="s">
        <x:v>20</x:v>
      </x:c>
      <x:c r="I9375" s="0" t="s">
        <x:v>21</x:v>
      </x:c>
      <x:c r="K9375" s="0">
        <x:f>hyperlink("https://icd.who.int/dev11/l-ichi/en#/http%3A%2F%2Fid.who.int%2Ficd%2Fentity%2F607428285","browser")</x:f>
      </x:c>
      <x:c r="L9375" s="0">
        <x:f>hyperlink("https://icat2.azurewebsites.net/icat/?ontology=ICD&amp;tab=ClassesTab&amp;id=http%3A%2F%2Fwho.int%2Ficd%23898_289760b8_59e2_4c12_8227_8273a894742b","iCat")</x:f>
      </x:c>
      <x:c r="M9375" s="0" t="s">
        <x:v>21</x:v>
      </x:c>
      <x:c r="N9375" s="0" t="s">
        <x:v>46</x:v>
      </x:c>
    </x:row>
    <x:row r="9376" spans="1:16">
      <x:c r="A9376" s="0" t="s">
        <x:v>37368</x:v>
      </x:c>
      <x:c r="B9376" s="0" t="s">
        <x:v>37369</x:v>
      </x:c>
      <x:c r="C9376" s="0" t="s">
        <x:v>37370</x:v>
      </x:c>
      <x:c r="E9376" s="0" t="s">
        <x:v>37371</x:v>
      </x:c>
      <x:c r="F9376" s="0" t="s">
        <x:v>45</x:v>
      </x:c>
      <x:c r="G9376" s="0" t="s">
        <x:v>19</x:v>
      </x:c>
      <x:c r="H9376" s="0" t="s">
        <x:v>20</x:v>
      </x:c>
      <x:c r="I9376" s="0" t="s">
        <x:v>21</x:v>
      </x:c>
      <x:c r="K9376" s="0">
        <x:f>hyperlink("https://icd.who.int/dev11/l-ichi/en#/http%3A%2F%2Fid.who.int%2Ficd%2Fentity%2F1613287254","browser")</x:f>
      </x:c>
      <x:c r="L9376" s="0">
        <x:f>hyperlink("https://icat2.azurewebsites.net/icat/?ontology=ICD&amp;tab=ClassesTab&amp;id=http%3A%2F%2Fwho.int%2Ficd%230_93e359ba_c994_4d05_9c0e_aba87be97c6a","iCat")</x:f>
      </x:c>
      <x:c r="M9376" s="0" t="s">
        <x:v>21</x:v>
      </x:c>
      <x:c r="N9376" s="0" t="s">
        <x:v>46</x:v>
      </x:c>
    </x:row>
    <x:row r="9377" spans="1:16">
      <x:c r="A9377" s="0" t="s">
        <x:v>37372</x:v>
      </x:c>
      <x:c r="B9377" s="0" t="s">
        <x:v>37373</x:v>
      </x:c>
      <x:c r="C9377" s="0" t="s">
        <x:v>37374</x:v>
      </x:c>
      <x:c r="E9377" s="0" t="s">
        <x:v>37375</x:v>
      </x:c>
      <x:c r="F9377" s="0" t="s">
        <x:v>45</x:v>
      </x:c>
      <x:c r="G9377" s="0" t="s">
        <x:v>19</x:v>
      </x:c>
      <x:c r="H9377" s="0" t="s">
        <x:v>20</x:v>
      </x:c>
      <x:c r="I9377" s="0" t="s">
        <x:v>21</x:v>
      </x:c>
      <x:c r="K9377" s="0">
        <x:f>hyperlink("https://icd.who.int/dev11/l-ichi/en#/http%3A%2F%2Fid.who.int%2Ficd%2Fentity%2F810751719","browser")</x:f>
      </x:c>
      <x:c r="L9377" s="0">
        <x:f>hyperlink("https://icat2.azurewebsites.net/icat/?ontology=ICD&amp;tab=ClassesTab&amp;id=http%3A%2F%2Fwho.int%2Ficd%236_93e359ba_c994_4d05_9c0e_aba87be97c6a","iCat")</x:f>
      </x:c>
      <x:c r="M9377" s="0" t="s">
        <x:v>21</x:v>
      </x:c>
      <x:c r="N9377" s="0" t="s">
        <x:v>46</x:v>
      </x:c>
    </x:row>
    <x:row r="9378" spans="1:16">
      <x:c r="A9378" s="0" t="s">
        <x:v>37376</x:v>
      </x:c>
      <x:c r="B9378" s="0" t="s">
        <x:v>37377</x:v>
      </x:c>
      <x:c r="C9378" s="0" t="s">
        <x:v>37378</x:v>
      </x:c>
      <x:c r="E9378" s="0" t="s">
        <x:v>37379</x:v>
      </x:c>
      <x:c r="F9378" s="0" t="s">
        <x:v>45</x:v>
      </x:c>
      <x:c r="G9378" s="0" t="s">
        <x:v>19</x:v>
      </x:c>
      <x:c r="H9378" s="0" t="s">
        <x:v>20</x:v>
      </x:c>
      <x:c r="I9378" s="0" t="s">
        <x:v>21</x:v>
      </x:c>
      <x:c r="K9378" s="0">
        <x:f>hyperlink("https://icd.who.int/dev11/l-ichi/en#/http%3A%2F%2Fid.who.int%2Ficd%2Fentity%2F158531898","browser")</x:f>
      </x:c>
      <x:c r="L9378" s="0">
        <x:f>hyperlink("https://icat2.azurewebsites.net/icat/?ontology=ICD&amp;tab=ClassesTab&amp;id=http%3A%2F%2Fwho.int%2Ficd%2312_93e359ba_c994_4d05_9c0e_aba87be97c6a","iCat")</x:f>
      </x:c>
      <x:c r="M9378" s="0" t="s">
        <x:v>21</x:v>
      </x:c>
      <x:c r="N9378" s="0" t="s">
        <x:v>46</x:v>
      </x:c>
    </x:row>
    <x:row r="9379" spans="1:16">
      <x:c r="A9379" s="0" t="s">
        <x:v>37380</x:v>
      </x:c>
      <x:c r="B9379" s="0" t="s">
        <x:v>37381</x:v>
      </x:c>
      <x:c r="C9379" s="0" t="s">
        <x:v>37382</x:v>
      </x:c>
      <x:c r="E9379" s="0" t="s">
        <x:v>37383</x:v>
      </x:c>
      <x:c r="F9379" s="0" t="s">
        <x:v>45</x:v>
      </x:c>
      <x:c r="G9379" s="0" t="s">
        <x:v>19</x:v>
      </x:c>
      <x:c r="H9379" s="0" t="s">
        <x:v>20</x:v>
      </x:c>
      <x:c r="I9379" s="0" t="s">
        <x:v>21</x:v>
      </x:c>
      <x:c r="K9379" s="0">
        <x:f>hyperlink("https://icd.who.int/dev11/l-ichi/en#/http%3A%2F%2Fid.who.int%2Ficd%2Fentity%2F579759530","browser")</x:f>
      </x:c>
      <x:c r="L9379" s="0">
        <x:f>hyperlink("https://icat2.azurewebsites.net/icat/?ontology=ICD&amp;tab=ClassesTab&amp;id=http%3A%2F%2Fwho.int%2Ficd%2318_93e359ba_c994_4d05_9c0e_aba87be97c6a","iCat")</x:f>
      </x:c>
      <x:c r="M9379" s="0" t="s">
        <x:v>21</x:v>
      </x:c>
      <x:c r="N9379" s="0" t="s">
        <x:v>46</x:v>
      </x:c>
    </x:row>
    <x:row r="9380" spans="1:16">
      <x:c r="A9380" s="0" t="s">
        <x:v>37384</x:v>
      </x:c>
      <x:c r="B9380" s="0" t="s">
        <x:v>37385</x:v>
      </x:c>
      <x:c r="C9380" s="0" t="s">
        <x:v>37386</x:v>
      </x:c>
      <x:c r="E9380" s="0" t="s">
        <x:v>37387</x:v>
      </x:c>
      <x:c r="F9380" s="0" t="s">
        <x:v>45</x:v>
      </x:c>
      <x:c r="G9380" s="0" t="s">
        <x:v>19</x:v>
      </x:c>
      <x:c r="H9380" s="0" t="s">
        <x:v>20</x:v>
      </x:c>
      <x:c r="I9380" s="0" t="s">
        <x:v>21</x:v>
      </x:c>
      <x:c r="K9380" s="0">
        <x:f>hyperlink("https://icd.who.int/dev11/l-ichi/en#/http%3A%2F%2Fid.who.int%2Ficd%2Fentity%2F431593616","browser")</x:f>
      </x:c>
      <x:c r="L9380" s="0">
        <x:f>hyperlink("https://icat2.azurewebsites.net/icat/?ontology=ICD&amp;tab=ClassesTab&amp;id=http%3A%2F%2Fwho.int%2Ficd%2324_93e359ba_c994_4d05_9c0e_aba87be97c6a","iCat")</x:f>
      </x:c>
      <x:c r="M9380" s="0" t="s">
        <x:v>21</x:v>
      </x:c>
      <x:c r="N9380" s="0" t="s">
        <x:v>46</x:v>
      </x:c>
    </x:row>
    <x:row r="9381" spans="1:16">
      <x:c r="A9381" s="0" t="s">
        <x:v>37388</x:v>
      </x:c>
      <x:c r="B9381" s="0" t="s">
        <x:v>37389</x:v>
      </x:c>
      <x:c r="C9381" s="0" t="s">
        <x:v>37390</x:v>
      </x:c>
      <x:c r="E9381" s="0" t="s">
        <x:v>37391</x:v>
      </x:c>
      <x:c r="F9381" s="0" t="s">
        <x:v>45</x:v>
      </x:c>
      <x:c r="G9381" s="0" t="s">
        <x:v>19</x:v>
      </x:c>
      <x:c r="H9381" s="0" t="s">
        <x:v>20</x:v>
      </x:c>
      <x:c r="I9381" s="0" t="s">
        <x:v>21</x:v>
      </x:c>
      <x:c r="K9381" s="0">
        <x:f>hyperlink("https://icd.who.int/dev11/l-ichi/en#/http%3A%2F%2Fid.who.int%2Ficd%2Fentity%2F1182517677","browser")</x:f>
      </x:c>
      <x:c r="L9381" s="0">
        <x:f>hyperlink("https://icat2.azurewebsites.net/icat/?ontology=ICD&amp;tab=ClassesTab&amp;id=http%3A%2F%2Fwho.int%2Ficd%2330_93e359ba_c994_4d05_9c0e_aba87be97c6a","iCat")</x:f>
      </x:c>
      <x:c r="M9381" s="0" t="s">
        <x:v>21</x:v>
      </x:c>
      <x:c r="N9381" s="0" t="s">
        <x:v>46</x:v>
      </x:c>
    </x:row>
    <x:row r="9382" spans="1:16">
      <x:c r="A9382" s="0" t="s">
        <x:v>37392</x:v>
      </x:c>
      <x:c r="B9382" s="0" t="s">
        <x:v>37393</x:v>
      </x:c>
      <x:c r="C9382" s="0" t="s">
        <x:v>37394</x:v>
      </x:c>
      <x:c r="E9382" s="0" t="s">
        <x:v>37395</x:v>
      </x:c>
      <x:c r="F9382" s="0" t="s">
        <x:v>45</x:v>
      </x:c>
      <x:c r="G9382" s="0" t="s">
        <x:v>19</x:v>
      </x:c>
      <x:c r="H9382" s="0" t="s">
        <x:v>20</x:v>
      </x:c>
      <x:c r="I9382" s="0" t="s">
        <x:v>21</x:v>
      </x:c>
      <x:c r="K9382" s="0">
        <x:f>hyperlink("https://icd.who.int/dev11/l-ichi/en#/http%3A%2F%2Fid.who.int%2Ficd%2Fentity%2F209034113","browser")</x:f>
      </x:c>
      <x:c r="L9382" s="0">
        <x:f>hyperlink("https://icat2.azurewebsites.net/icat/?ontology=ICD&amp;tab=ClassesTab&amp;id=http%3A%2F%2Fwho.int%2Ficd%2315764_4869915e_217e_423d_acb3_33c0f920ef4b","iCat")</x:f>
      </x:c>
      <x:c r="M9382" s="0" t="s">
        <x:v>21</x:v>
      </x:c>
      <x:c r="N9382" s="0" t="s">
        <x:v>46</x:v>
      </x:c>
    </x:row>
    <x:row r="9383" spans="1:16">
      <x:c r="A9383" s="0" t="s">
        <x:v>37396</x:v>
      </x:c>
      <x:c r="B9383" s="0" t="s">
        <x:v>37397</x:v>
      </x:c>
      <x:c r="C9383" s="0" t="s">
        <x:v>37398</x:v>
      </x:c>
      <x:c r="E9383" s="0" t="s">
        <x:v>37399</x:v>
      </x:c>
      <x:c r="F9383" s="0" t="s">
        <x:v>45</x:v>
      </x:c>
      <x:c r="G9383" s="0" t="s">
        <x:v>19</x:v>
      </x:c>
      <x:c r="H9383" s="0" t="s">
        <x:v>20</x:v>
      </x:c>
      <x:c r="I9383" s="0" t="s">
        <x:v>21</x:v>
      </x:c>
      <x:c r="K9383" s="0">
        <x:f>hyperlink("https://icd.who.int/dev11/l-ichi/en#/http%3A%2F%2Fid.who.int%2Ficd%2Fentity%2F369102878","browser")</x:f>
      </x:c>
      <x:c r="L9383" s="0">
        <x:f>hyperlink("https://icat2.azurewebsites.net/icat/?ontology=ICD&amp;tab=ClassesTab&amp;id=http%3A%2F%2Fwho.int%2Ficd%2336_93e359ba_c994_4d05_9c0e_aba87be97c6a","iCat")</x:f>
      </x:c>
      <x:c r="M9383" s="0" t="s">
        <x:v>21</x:v>
      </x:c>
      <x:c r="N9383" s="0" t="s">
        <x:v>46</x:v>
      </x:c>
    </x:row>
    <x:row r="9384" spans="1:16">
      <x:c r="A9384" s="0" t="s">
        <x:v>37400</x:v>
      </x:c>
      <x:c r="B9384" s="0" t="s">
        <x:v>37401</x:v>
      </x:c>
      <x:c r="C9384" s="0" t="s">
        <x:v>37402</x:v>
      </x:c>
      <x:c r="E9384" s="0" t="s">
        <x:v>37403</x:v>
      </x:c>
      <x:c r="F9384" s="0" t="s">
        <x:v>45</x:v>
      </x:c>
      <x:c r="G9384" s="0" t="s">
        <x:v>19</x:v>
      </x:c>
      <x:c r="H9384" s="0" t="s">
        <x:v>20</x:v>
      </x:c>
      <x:c r="I9384" s="0" t="s">
        <x:v>21</x:v>
      </x:c>
      <x:c r="K9384" s="0">
        <x:f>hyperlink("https://icd.who.int/dev11/l-ichi/en#/http%3A%2F%2Fid.who.int%2Ficd%2Fentity%2F332515188","browser")</x:f>
      </x:c>
      <x:c r="L9384" s="0">
        <x:f>hyperlink("https://icat2.azurewebsites.net/icat/?ontology=ICD&amp;tab=ClassesTab&amp;id=http%3A%2F%2Fwho.int%2Ficd%2342_93e359ba_c994_4d05_9c0e_aba87be97c6a","iCat")</x:f>
      </x:c>
      <x:c r="M9384" s="0" t="s">
        <x:v>21</x:v>
      </x:c>
      <x:c r="N9384" s="0" t="s">
        <x:v>46</x:v>
      </x:c>
    </x:row>
    <x:row r="9385" spans="1:16">
      <x:c r="A9385" s="0" t="s">
        <x:v>37404</x:v>
      </x:c>
      <x:c r="B9385" s="0" t="s">
        <x:v>37405</x:v>
      </x:c>
      <x:c r="C9385" s="0" t="s">
        <x:v>37406</x:v>
      </x:c>
      <x:c r="E9385" s="0" t="s">
        <x:v>37407</x:v>
      </x:c>
      <x:c r="F9385" s="0" t="s">
        <x:v>45</x:v>
      </x:c>
      <x:c r="G9385" s="0" t="s">
        <x:v>19</x:v>
      </x:c>
      <x:c r="H9385" s="0" t="s">
        <x:v>20</x:v>
      </x:c>
      <x:c r="I9385" s="0" t="s">
        <x:v>21</x:v>
      </x:c>
      <x:c r="K9385" s="0">
        <x:f>hyperlink("https://icd.who.int/dev11/l-ichi/en#/http%3A%2F%2Fid.who.int%2Ficd%2Fentity%2F942451684","browser")</x:f>
      </x:c>
      <x:c r="L9385" s="0">
        <x:f>hyperlink("https://icat2.azurewebsites.net/icat/?ontology=ICD&amp;tab=ClassesTab&amp;id=http%3A%2F%2Fwho.int%2Ficd%2348_93e359ba_c994_4d05_9c0e_aba87be97c6a","iCat")</x:f>
      </x:c>
      <x:c r="M9385" s="0" t="s">
        <x:v>21</x:v>
      </x:c>
      <x:c r="N9385" s="0" t="s">
        <x:v>46</x:v>
      </x:c>
    </x:row>
    <x:row r="9386" spans="1:16">
      <x:c r="A9386" s="0" t="s">
        <x:v>37408</x:v>
      </x:c>
      <x:c r="B9386" s="0" t="s">
        <x:v>37409</x:v>
      </x:c>
      <x:c r="C9386" s="0" t="s">
        <x:v>37410</x:v>
      </x:c>
      <x:c r="E9386" s="0" t="s">
        <x:v>37411</x:v>
      </x:c>
      <x:c r="F9386" s="0" t="s">
        <x:v>45</x:v>
      </x:c>
      <x:c r="G9386" s="0" t="s">
        <x:v>19</x:v>
      </x:c>
      <x:c r="H9386" s="0" t="s">
        <x:v>20</x:v>
      </x:c>
      <x:c r="I9386" s="0" t="s">
        <x:v>21</x:v>
      </x:c>
      <x:c r="K9386" s="0">
        <x:f>hyperlink("https://icd.who.int/dev11/l-ichi/en#/http%3A%2F%2Fid.who.int%2Ficd%2Fentity%2F695176084","browser")</x:f>
      </x:c>
      <x:c r="L9386" s="0">
        <x:f>hyperlink("https://icat2.azurewebsites.net/icat/?ontology=ICD&amp;tab=ClassesTab&amp;id=http%3A%2F%2Fwho.int%2Ficd%2354_93e359ba_c994_4d05_9c0e_aba87be97c6a","iCat")</x:f>
      </x:c>
      <x:c r="M9386" s="0" t="s">
        <x:v>21</x:v>
      </x:c>
      <x:c r="N9386" s="0" t="s">
        <x:v>46</x:v>
      </x:c>
    </x:row>
    <x:row r="9387" spans="1:16">
      <x:c r="A9387" s="0" t="s">
        <x:v>37412</x:v>
      </x:c>
      <x:c r="B9387" s="0" t="s">
        <x:v>37413</x:v>
      </x:c>
      <x:c r="C9387" s="0" t="s">
        <x:v>37414</x:v>
      </x:c>
      <x:c r="E9387" s="0" t="s">
        <x:v>37415</x:v>
      </x:c>
      <x:c r="F9387" s="0" t="s">
        <x:v>45</x:v>
      </x:c>
      <x:c r="G9387" s="0" t="s">
        <x:v>19</x:v>
      </x:c>
      <x:c r="H9387" s="0" t="s">
        <x:v>20</x:v>
      </x:c>
      <x:c r="I9387" s="0" t="s">
        <x:v>21</x:v>
      </x:c>
      <x:c r="K9387" s="0">
        <x:f>hyperlink("https://icd.who.int/dev11/l-ichi/en#/http%3A%2F%2Fid.who.int%2Ficd%2Fentity%2F1557729255","browser")</x:f>
      </x:c>
      <x:c r="L9387" s="0">
        <x:f>hyperlink("https://icat2.azurewebsites.net/icat/?ontology=ICD&amp;tab=ClassesTab&amp;id=http%3A%2F%2Fwho.int%2Ficd%2360_93e359ba_c994_4d05_9c0e_aba87be97c6a","iCat")</x:f>
      </x:c>
      <x:c r="M9387" s="0" t="s">
        <x:v>21</x:v>
      </x:c>
      <x:c r="N9387" s="0" t="s">
        <x:v>46</x:v>
      </x:c>
    </x:row>
    <x:row r="9388" spans="1:16">
      <x:c r="A9388" s="0" t="s">
        <x:v>37416</x:v>
      </x:c>
      <x:c r="B9388" s="0" t="s">
        <x:v>37417</x:v>
      </x:c>
      <x:c r="C9388" s="0" t="s">
        <x:v>37418</x:v>
      </x:c>
      <x:c r="E9388" s="0" t="s">
        <x:v>37419</x:v>
      </x:c>
      <x:c r="F9388" s="0" t="s">
        <x:v>45</x:v>
      </x:c>
      <x:c r="G9388" s="0" t="s">
        <x:v>19</x:v>
      </x:c>
      <x:c r="H9388" s="0" t="s">
        <x:v>20</x:v>
      </x:c>
      <x:c r="I9388" s="0" t="s">
        <x:v>21</x:v>
      </x:c>
      <x:c r="K9388" s="0">
        <x:f>hyperlink("https://icd.who.int/dev11/l-ichi/en#/http%3A%2F%2Fid.who.int%2Ficd%2Fentity%2F211998296","browser")</x:f>
      </x:c>
      <x:c r="L9388" s="0">
        <x:f>hyperlink("https://icat2.azurewebsites.net/icat/?ontology=ICD&amp;tab=ClassesTab&amp;id=http%3A%2F%2Fwho.int%2Ficd%2366_93e359ba_c994_4d05_9c0e_aba87be97c6a","iCat")</x:f>
      </x:c>
      <x:c r="M9388" s="0" t="s">
        <x:v>21</x:v>
      </x:c>
      <x:c r="N9388" s="0" t="s">
        <x:v>46</x:v>
      </x:c>
    </x:row>
    <x:row r="9389" spans="1:16">
      <x:c r="A9389" s="0" t="s">
        <x:v>37420</x:v>
      </x:c>
      <x:c r="B9389" s="0" t="s">
        <x:v>37421</x:v>
      </x:c>
      <x:c r="C9389" s="0" t="s">
        <x:v>37422</x:v>
      </x:c>
      <x:c r="E9389" s="0" t="s">
        <x:v>37423</x:v>
      </x:c>
      <x:c r="F9389" s="0" t="s">
        <x:v>45</x:v>
      </x:c>
      <x:c r="G9389" s="0" t="s">
        <x:v>19</x:v>
      </x:c>
      <x:c r="H9389" s="0" t="s">
        <x:v>20</x:v>
      </x:c>
      <x:c r="I9389" s="0" t="s">
        <x:v>21</x:v>
      </x:c>
      <x:c r="K9389" s="0">
        <x:f>hyperlink("https://icd.who.int/dev11/l-ichi/en#/http%3A%2F%2Fid.who.int%2Ficd%2Fentity%2F1398835061","browser")</x:f>
      </x:c>
      <x:c r="L9389" s="0">
        <x:f>hyperlink("https://icat2.azurewebsites.net/icat/?ontology=ICD&amp;tab=ClassesTab&amp;id=http%3A%2F%2Fwho.int%2Ficd%2372_93e359ba_c994_4d05_9c0e_aba87be97c6a","iCat")</x:f>
      </x:c>
      <x:c r="M9389" s="0" t="s">
        <x:v>21</x:v>
      </x:c>
      <x:c r="N9389" s="0" t="s">
        <x:v>46</x:v>
      </x:c>
    </x:row>
    <x:row r="9390" spans="1:16">
      <x:c r="A9390" s="0" t="s">
        <x:v>37424</x:v>
      </x:c>
      <x:c r="B9390" s="0" t="s">
        <x:v>37425</x:v>
      </x:c>
      <x:c r="C9390" s="0" t="s">
        <x:v>37426</x:v>
      </x:c>
      <x:c r="E9390" s="0" t="s">
        <x:v>37427</x:v>
      </x:c>
      <x:c r="F9390" s="0" t="s">
        <x:v>45</x:v>
      </x:c>
      <x:c r="G9390" s="0" t="s">
        <x:v>19</x:v>
      </x:c>
      <x:c r="H9390" s="0" t="s">
        <x:v>20</x:v>
      </x:c>
      <x:c r="I9390" s="0" t="s">
        <x:v>21</x:v>
      </x:c>
      <x:c r="K9390" s="0">
        <x:f>hyperlink("https://icd.who.int/dev11/l-ichi/en#/http%3A%2F%2Fid.who.int%2Ficd%2Fentity%2F2023615461","browser")</x:f>
      </x:c>
      <x:c r="L9390" s="0">
        <x:f>hyperlink("https://icat2.azurewebsites.net/icat/?ontology=ICD&amp;tab=ClassesTab&amp;id=http%3A%2F%2Fwho.int%2Ficd%2378_93e359ba_c994_4d05_9c0e_aba87be97c6a","iCat")</x:f>
      </x:c>
      <x:c r="M9390" s="0" t="s">
        <x:v>21</x:v>
      </x:c>
      <x:c r="N9390" s="0" t="s">
        <x:v>46</x:v>
      </x:c>
    </x:row>
    <x:row r="9391" spans="1:16">
      <x:c r="A9391" s="0" t="s">
        <x:v>37428</x:v>
      </x:c>
      <x:c r="B9391" s="0" t="s">
        <x:v>37429</x:v>
      </x:c>
      <x:c r="C9391" s="0" t="s">
        <x:v>37430</x:v>
      </x:c>
      <x:c r="E9391" s="0" t="s">
        <x:v>37431</x:v>
      </x:c>
      <x:c r="F9391" s="0" t="s">
        <x:v>45</x:v>
      </x:c>
      <x:c r="G9391" s="0" t="s">
        <x:v>19</x:v>
      </x:c>
      <x:c r="H9391" s="0" t="s">
        <x:v>20</x:v>
      </x:c>
      <x:c r="I9391" s="0" t="s">
        <x:v>21</x:v>
      </x:c>
      <x:c r="K9391" s="0">
        <x:f>hyperlink("https://icd.who.int/dev11/l-ichi/en#/http%3A%2F%2Fid.who.int%2Ficd%2Fentity%2F754717724","browser")</x:f>
      </x:c>
      <x:c r="L9391" s="0">
        <x:f>hyperlink("https://icat2.azurewebsites.net/icat/?ontology=ICD&amp;tab=ClassesTab&amp;id=http%3A%2F%2Fwho.int%2Ficd%2384_93e359ba_c994_4d05_9c0e_aba87be97c6a","iCat")</x:f>
      </x:c>
      <x:c r="M9391" s="0" t="s">
        <x:v>21</x:v>
      </x:c>
      <x:c r="N9391" s="0" t="s">
        <x:v>46</x:v>
      </x:c>
    </x:row>
    <x:row r="9392" spans="1:16">
      <x:c r="A9392" s="0" t="s">
        <x:v>37432</x:v>
      </x:c>
      <x:c r="B9392" s="0" t="s">
        <x:v>37433</x:v>
      </x:c>
      <x:c r="C9392" s="0" t="s">
        <x:v>37434</x:v>
      </x:c>
      <x:c r="E9392" s="0" t="s">
        <x:v>37435</x:v>
      </x:c>
      <x:c r="F9392" s="0" t="s">
        <x:v>45</x:v>
      </x:c>
      <x:c r="G9392" s="0" t="s">
        <x:v>19</x:v>
      </x:c>
      <x:c r="H9392" s="0" t="s">
        <x:v>20</x:v>
      </x:c>
      <x:c r="I9392" s="0" t="s">
        <x:v>21</x:v>
      </x:c>
      <x:c r="K9392" s="0">
        <x:f>hyperlink("https://icd.who.int/dev11/l-ichi/en#/http%3A%2F%2Fid.who.int%2Ficd%2Fentity%2F1933460793","browser")</x:f>
      </x:c>
      <x:c r="L9392" s="0">
        <x:f>hyperlink("https://icat2.azurewebsites.net/icat/?ontology=ICD&amp;tab=ClassesTab&amp;id=http%3A%2F%2Fwho.int%2Ficd%2390_93e359ba_c994_4d05_9c0e_aba87be97c6a","iCat")</x:f>
      </x:c>
      <x:c r="M9392" s="0" t="s">
        <x:v>21</x:v>
      </x:c>
      <x:c r="N9392" s="0" t="s">
        <x:v>46</x:v>
      </x:c>
    </x:row>
    <x:row r="9393" spans="1:16">
      <x:c r="A9393" s="0" t="s">
        <x:v>37436</x:v>
      </x:c>
      <x:c r="B9393" s="0" t="s">
        <x:v>37437</x:v>
      </x:c>
      <x:c r="C9393" s="0" t="s">
        <x:v>37438</x:v>
      </x:c>
      <x:c r="E9393" s="0" t="s">
        <x:v>37439</x:v>
      </x:c>
      <x:c r="F9393" s="0" t="s">
        <x:v>45</x:v>
      </x:c>
      <x:c r="G9393" s="0" t="s">
        <x:v>19</x:v>
      </x:c>
      <x:c r="H9393" s="0" t="s">
        <x:v>20</x:v>
      </x:c>
      <x:c r="I9393" s="0" t="s">
        <x:v>21</x:v>
      </x:c>
      <x:c r="K9393" s="0">
        <x:f>hyperlink("https://icd.who.int/dev11/l-ichi/en#/http%3A%2F%2Fid.who.int%2Ficd%2Fentity%2F591764618","browser")</x:f>
      </x:c>
      <x:c r="L9393" s="0">
        <x:f>hyperlink("https://icat2.azurewebsites.net/icat/?ontology=ICD&amp;tab=ClassesTab&amp;id=http%3A%2F%2Fwho.int%2Ficd%2396_93e359ba_c994_4d05_9c0e_aba87be97c6a","iCat")</x:f>
      </x:c>
      <x:c r="M9393" s="0" t="s">
        <x:v>21</x:v>
      </x:c>
      <x:c r="N9393" s="0" t="s">
        <x:v>46</x:v>
      </x:c>
    </x:row>
    <x:row r="9394" spans="1:16">
      <x:c r="A9394" s="0" t="s">
        <x:v>37440</x:v>
      </x:c>
      <x:c r="B9394" s="0" t="s">
        <x:v>37441</x:v>
      </x:c>
      <x:c r="C9394" s="0" t="s">
        <x:v>37442</x:v>
      </x:c>
      <x:c r="E9394" s="0" t="s">
        <x:v>37443</x:v>
      </x:c>
      <x:c r="F9394" s="0" t="s">
        <x:v>45</x:v>
      </x:c>
      <x:c r="G9394" s="0" t="s">
        <x:v>19</x:v>
      </x:c>
      <x:c r="H9394" s="0" t="s">
        <x:v>20</x:v>
      </x:c>
      <x:c r="I9394" s="0" t="s">
        <x:v>21</x:v>
      </x:c>
      <x:c r="K9394" s="0">
        <x:f>hyperlink("https://icd.who.int/dev11/l-ichi/en#/http%3A%2F%2Fid.who.int%2Ficd%2Fentity%2F1767726523","browser")</x:f>
      </x:c>
      <x:c r="L9394" s="0">
        <x:f>hyperlink("https://icat2.azurewebsites.net/icat/?ontology=ICD&amp;tab=ClassesTab&amp;id=http%3A%2F%2Fwho.int%2Ficd%23102_93e359ba_c994_4d05_9c0e_aba87be97c6a","iCat")</x:f>
      </x:c>
      <x:c r="M9394" s="0" t="s">
        <x:v>21</x:v>
      </x:c>
      <x:c r="N9394" s="0" t="s">
        <x:v>46</x:v>
      </x:c>
    </x:row>
    <x:row r="9395" spans="1:16">
      <x:c r="A9395" s="0" t="s">
        <x:v>37444</x:v>
      </x:c>
      <x:c r="B9395" s="0" t="s">
        <x:v>37445</x:v>
      </x:c>
      <x:c r="C9395" s="0" t="s">
        <x:v>37446</x:v>
      </x:c>
      <x:c r="E9395" s="0" t="s">
        <x:v>37447</x:v>
      </x:c>
      <x:c r="F9395" s="0" t="s">
        <x:v>45</x:v>
      </x:c>
      <x:c r="G9395" s="0" t="s">
        <x:v>19</x:v>
      </x:c>
      <x:c r="H9395" s="0" t="s">
        <x:v>20</x:v>
      </x:c>
      <x:c r="I9395" s="0" t="s">
        <x:v>21</x:v>
      </x:c>
      <x:c r="K9395" s="0">
        <x:f>hyperlink("https://icd.who.int/dev11/l-ichi/en#/http%3A%2F%2Fid.who.int%2Ficd%2Fentity%2F1117794603","browser")</x:f>
      </x:c>
      <x:c r="L9395" s="0">
        <x:f>hyperlink("https://icat2.azurewebsites.net/icat/?ontology=ICD&amp;tab=ClassesTab&amp;id=http%3A%2F%2Fwho.int%2Ficd%23108_93e359ba_c994_4d05_9c0e_aba87be97c6a","iCat")</x:f>
      </x:c>
      <x:c r="M9395" s="0" t="s">
        <x:v>21</x:v>
      </x:c>
      <x:c r="N9395" s="0" t="s">
        <x:v>46</x:v>
      </x:c>
    </x:row>
    <x:row r="9396" spans="1:16">
      <x:c r="A9396" s="0" t="s">
        <x:v>37448</x:v>
      </x:c>
      <x:c r="B9396" s="0" t="s">
        <x:v>37449</x:v>
      </x:c>
      <x:c r="C9396" s="0" t="s">
        <x:v>37450</x:v>
      </x:c>
      <x:c r="E9396" s="0" t="s">
        <x:v>37451</x:v>
      </x:c>
      <x:c r="F9396" s="0" t="s">
        <x:v>45</x:v>
      </x:c>
      <x:c r="G9396" s="0" t="s">
        <x:v>19</x:v>
      </x:c>
      <x:c r="H9396" s="0" t="s">
        <x:v>20</x:v>
      </x:c>
      <x:c r="I9396" s="0" t="s">
        <x:v>21</x:v>
      </x:c>
      <x:c r="K9396" s="0">
        <x:f>hyperlink("https://icd.who.int/dev11/l-ichi/en#/http%3A%2F%2Fid.who.int%2Ficd%2Fentity%2F1407390045","browser")</x:f>
      </x:c>
      <x:c r="L9396" s="0">
        <x:f>hyperlink("https://icat2.azurewebsites.net/icat/?ontology=ICD&amp;tab=ClassesTab&amp;id=http%3A%2F%2Fwho.int%2Ficd%23114_93e359ba_c994_4d05_9c0e_aba87be97c6a","iCat")</x:f>
      </x:c>
      <x:c r="M9396" s="0" t="s">
        <x:v>21</x:v>
      </x:c>
      <x:c r="N9396" s="0" t="s">
        <x:v>46</x:v>
      </x:c>
    </x:row>
    <x:row r="9397" spans="1:16">
      <x:c r="A9397" s="0" t="s">
        <x:v>37452</x:v>
      </x:c>
      <x:c r="B9397" s="0" t="s">
        <x:v>37453</x:v>
      </x:c>
      <x:c r="C9397" s="0" t="s">
        <x:v>37454</x:v>
      </x:c>
      <x:c r="E9397" s="0" t="s">
        <x:v>37455</x:v>
      </x:c>
      <x:c r="F9397" s="0" t="s">
        <x:v>45</x:v>
      </x:c>
      <x:c r="G9397" s="0" t="s">
        <x:v>19</x:v>
      </x:c>
      <x:c r="H9397" s="0" t="s">
        <x:v>20</x:v>
      </x:c>
      <x:c r="I9397" s="0" t="s">
        <x:v>21</x:v>
      </x:c>
      <x:c r="K9397" s="0">
        <x:f>hyperlink("https://icd.who.int/dev11/l-ichi/en#/http%3A%2F%2Fid.who.int%2Ficd%2Fentity%2F643142960","browser")</x:f>
      </x:c>
      <x:c r="L9397" s="0">
        <x:f>hyperlink("https://icat2.azurewebsites.net/icat/?ontology=ICD&amp;tab=ClassesTab&amp;id=http%3A%2F%2Fwho.int%2Ficd%23120_93e359ba_c994_4d05_9c0e_aba87be97c6a","iCat")</x:f>
      </x:c>
      <x:c r="M9397" s="0" t="s">
        <x:v>21</x:v>
      </x:c>
      <x:c r="N9397" s="0" t="s">
        <x:v>46</x:v>
      </x:c>
    </x:row>
    <x:row r="9398" spans="1:16">
      <x:c r="A9398" s="0" t="s">
        <x:v>37456</x:v>
      </x:c>
      <x:c r="B9398" s="0" t="s">
        <x:v>37457</x:v>
      </x:c>
      <x:c r="C9398" s="0" t="s">
        <x:v>37458</x:v>
      </x:c>
      <x:c r="E9398" s="0" t="s">
        <x:v>37459</x:v>
      </x:c>
      <x:c r="F9398" s="0" t="s">
        <x:v>45</x:v>
      </x:c>
      <x:c r="G9398" s="0" t="s">
        <x:v>19</x:v>
      </x:c>
      <x:c r="H9398" s="0" t="s">
        <x:v>20</x:v>
      </x:c>
      <x:c r="I9398" s="0" t="s">
        <x:v>21</x:v>
      </x:c>
      <x:c r="K9398" s="0">
        <x:f>hyperlink("https://icd.who.int/dev11/l-ichi/en#/http%3A%2F%2Fid.who.int%2Ficd%2Fentity%2F1982745759","browser")</x:f>
      </x:c>
      <x:c r="L9398" s="0">
        <x:f>hyperlink("https://icat2.azurewebsites.net/icat/?ontology=ICD&amp;tab=ClassesTab&amp;id=http%3A%2F%2Fwho.int%2Ficd%23126_93e359ba_c994_4d05_9c0e_aba87be97c6a","iCat")</x:f>
      </x:c>
      <x:c r="M9398" s="0" t="s">
        <x:v>21</x:v>
      </x:c>
      <x:c r="N9398" s="0" t="s">
        <x:v>46</x:v>
      </x:c>
    </x:row>
    <x:row r="9399" spans="1:16">
      <x:c r="A9399" s="0" t="s">
        <x:v>37460</x:v>
      </x:c>
      <x:c r="B9399" s="0" t="s">
        <x:v>37461</x:v>
      </x:c>
      <x:c r="C9399" s="0" t="s">
        <x:v>37462</x:v>
      </x:c>
      <x:c r="E9399" s="0" t="s">
        <x:v>37463</x:v>
      </x:c>
      <x:c r="F9399" s="0" t="s">
        <x:v>45</x:v>
      </x:c>
      <x:c r="G9399" s="0" t="s">
        <x:v>19</x:v>
      </x:c>
      <x:c r="H9399" s="0" t="s">
        <x:v>20</x:v>
      </x:c>
      <x:c r="I9399" s="0" t="s">
        <x:v>21</x:v>
      </x:c>
      <x:c r="K9399" s="0">
        <x:f>hyperlink("https://icd.who.int/dev11/l-ichi/en#/http%3A%2F%2Fid.who.int%2Ficd%2Fentity%2F703339966","browser")</x:f>
      </x:c>
      <x:c r="L9399" s="0">
        <x:f>hyperlink("https://icat2.azurewebsites.net/icat/?ontology=ICD&amp;tab=ClassesTab&amp;id=http%3A%2F%2Fwho.int%2Ficd%23132_93e359ba_c994_4d05_9c0e_aba87be97c6a","iCat")</x:f>
      </x:c>
      <x:c r="M9399" s="0" t="s">
        <x:v>21</x:v>
      </x:c>
      <x:c r="N9399" s="0" t="s">
        <x:v>46</x:v>
      </x:c>
    </x:row>
    <x:row r="9400" spans="1:16">
      <x:c r="A9400" s="0" t="s">
        <x:v>37464</x:v>
      </x:c>
      <x:c r="B9400" s="0" t="s">
        <x:v>37465</x:v>
      </x:c>
      <x:c r="C9400" s="0" t="s">
        <x:v>37466</x:v>
      </x:c>
      <x:c r="E9400" s="0" t="s">
        <x:v>37467</x:v>
      </x:c>
      <x:c r="F9400" s="0" t="s">
        <x:v>45</x:v>
      </x:c>
      <x:c r="G9400" s="0" t="s">
        <x:v>19</x:v>
      </x:c>
      <x:c r="H9400" s="0" t="s">
        <x:v>20</x:v>
      </x:c>
      <x:c r="I9400" s="0" t="s">
        <x:v>21</x:v>
      </x:c>
      <x:c r="K9400" s="0">
        <x:f>hyperlink("https://icd.who.int/dev11/l-ichi/en#/http%3A%2F%2Fid.who.int%2Ficd%2Fentity%2F34697518","browser")</x:f>
      </x:c>
      <x:c r="L9400" s="0">
        <x:f>hyperlink("https://icat2.azurewebsites.net/icat/?ontology=ICD&amp;tab=ClassesTab&amp;id=http%3A%2F%2Fwho.int%2Ficd%23138_93e359ba_c994_4d05_9c0e_aba87be97c6a","iCat")</x:f>
      </x:c>
      <x:c r="M9400" s="0" t="s">
        <x:v>21</x:v>
      </x:c>
      <x:c r="N9400" s="0" t="s">
        <x:v>46</x:v>
      </x:c>
    </x:row>
    <x:row r="9401" spans="1:16">
      <x:c r="A9401" s="0" t="s">
        <x:v>37468</x:v>
      </x:c>
      <x:c r="B9401" s="0" t="s">
        <x:v>37469</x:v>
      </x:c>
      <x:c r="C9401" s="0" t="s">
        <x:v>37470</x:v>
      </x:c>
      <x:c r="E9401" s="0" t="s">
        <x:v>37471</x:v>
      </x:c>
      <x:c r="F9401" s="0" t="s">
        <x:v>45</x:v>
      </x:c>
      <x:c r="G9401" s="0" t="s">
        <x:v>19</x:v>
      </x:c>
      <x:c r="H9401" s="0" t="s">
        <x:v>20</x:v>
      </x:c>
      <x:c r="I9401" s="0" t="s">
        <x:v>21</x:v>
      </x:c>
      <x:c r="K9401" s="0">
        <x:f>hyperlink("https://icd.who.int/dev11/l-ichi/en#/http%3A%2F%2Fid.who.int%2Ficd%2Fentity%2F1229051671","browser")</x:f>
      </x:c>
      <x:c r="L9401" s="0">
        <x:f>hyperlink("https://icat2.azurewebsites.net/icat/?ontology=ICD&amp;tab=ClassesTab&amp;id=http%3A%2F%2Fwho.int%2Ficd%23144_93e359ba_c994_4d05_9c0e_aba87be97c6a","iCat")</x:f>
      </x:c>
      <x:c r="M9401" s="0" t="s">
        <x:v>21</x:v>
      </x:c>
      <x:c r="N9401" s="0" t="s">
        <x:v>46</x:v>
      </x:c>
    </x:row>
    <x:row r="9402" spans="1:16">
      <x:c r="A9402" s="0" t="s">
        <x:v>37472</x:v>
      </x:c>
      <x:c r="B9402" s="0" t="s">
        <x:v>37473</x:v>
      </x:c>
      <x:c r="C9402" s="0" t="s">
        <x:v>37474</x:v>
      </x:c>
      <x:c r="E9402" s="0" t="s">
        <x:v>37475</x:v>
      </x:c>
      <x:c r="F9402" s="0" t="s">
        <x:v>45</x:v>
      </x:c>
      <x:c r="G9402" s="0" t="s">
        <x:v>19</x:v>
      </x:c>
      <x:c r="H9402" s="0" t="s">
        <x:v>20</x:v>
      </x:c>
      <x:c r="I9402" s="0" t="s">
        <x:v>21</x:v>
      </x:c>
      <x:c r="K9402" s="0">
        <x:f>hyperlink("https://icd.who.int/dev11/l-ichi/en#/http%3A%2F%2Fid.who.int%2Ficd%2Fentity%2F377718324","browser")</x:f>
      </x:c>
      <x:c r="L9402" s="0">
        <x:f>hyperlink("https://icat2.azurewebsites.net/icat/?ontology=ICD&amp;tab=ClassesTab&amp;id=http%3A%2F%2Fwho.int%2Ficd%23150_93e359ba_c994_4d05_9c0e_aba87be97c6a","iCat")</x:f>
      </x:c>
      <x:c r="M9402" s="0" t="s">
        <x:v>21</x:v>
      </x:c>
      <x:c r="N9402" s="0" t="s">
        <x:v>46</x:v>
      </x:c>
    </x:row>
    <x:row r="9403" spans="1:16">
      <x:c r="A9403" s="0" t="s">
        <x:v>37476</x:v>
      </x:c>
      <x:c r="B9403" s="0" t="s">
        <x:v>37477</x:v>
      </x:c>
      <x:c r="C9403" s="0" t="s">
        <x:v>37478</x:v>
      </x:c>
      <x:c r="E9403" s="0" t="s">
        <x:v>37479</x:v>
      </x:c>
      <x:c r="F9403" s="0" t="s">
        <x:v>45</x:v>
      </x:c>
      <x:c r="G9403" s="0" t="s">
        <x:v>19</x:v>
      </x:c>
      <x:c r="H9403" s="0" t="s">
        <x:v>20</x:v>
      </x:c>
      <x:c r="I9403" s="0" t="s">
        <x:v>21</x:v>
      </x:c>
      <x:c r="K9403" s="0">
        <x:f>hyperlink("https://icd.who.int/dev11/l-ichi/en#/http%3A%2F%2Fid.who.int%2Ficd%2Fentity%2F1190682501","browser")</x:f>
      </x:c>
      <x:c r="L9403" s="0">
        <x:f>hyperlink("https://icat2.azurewebsites.net/icat/?ontology=ICD&amp;tab=ClassesTab&amp;id=http%3A%2F%2Fwho.int%2Ficd%23156_93e359ba_c994_4d05_9c0e_aba87be97c6a","iCat")</x:f>
      </x:c>
      <x:c r="M9403" s="0" t="s">
        <x:v>21</x:v>
      </x:c>
      <x:c r="N9403" s="0" t="s">
        <x:v>46</x:v>
      </x:c>
    </x:row>
    <x:row r="9404" spans="1:16">
      <x:c r="A9404" s="0" t="s">
        <x:v>37480</x:v>
      </x:c>
      <x:c r="B9404" s="0" t="s">
        <x:v>37481</x:v>
      </x:c>
      <x:c r="C9404" s="0" t="s">
        <x:v>37482</x:v>
      </x:c>
      <x:c r="E9404" s="0" t="s">
        <x:v>37483</x:v>
      </x:c>
      <x:c r="F9404" s="0" t="s">
        <x:v>45</x:v>
      </x:c>
      <x:c r="G9404" s="0" t="s">
        <x:v>19</x:v>
      </x:c>
      <x:c r="H9404" s="0" t="s">
        <x:v>20</x:v>
      </x:c>
      <x:c r="I9404" s="0" t="s">
        <x:v>21</x:v>
      </x:c>
      <x:c r="K9404" s="0">
        <x:f>hyperlink("https://icd.who.int/dev11/l-ichi/en#/http%3A%2F%2Fid.who.int%2Ficd%2Fentity%2F860806136","browser")</x:f>
      </x:c>
      <x:c r="L9404" s="0">
        <x:f>hyperlink("https://icat2.azurewebsites.net/icat/?ontology=ICD&amp;tab=ClassesTab&amp;id=http%3A%2F%2Fwho.int%2Ficd%23162_93e359ba_c994_4d05_9c0e_aba87be97c6a","iCat")</x:f>
      </x:c>
      <x:c r="M9404" s="0" t="s">
        <x:v>21</x:v>
      </x:c>
      <x:c r="N9404" s="0" t="s">
        <x:v>46</x:v>
      </x:c>
    </x:row>
    <x:row r="9405" spans="1:16">
      <x:c r="A9405" s="0" t="s">
        <x:v>37484</x:v>
      </x:c>
      <x:c r="B9405" s="0" t="s">
        <x:v>37485</x:v>
      </x:c>
      <x:c r="C9405" s="0" t="s">
        <x:v>37486</x:v>
      </x:c>
      <x:c r="E9405" s="0" t="s">
        <x:v>37487</x:v>
      </x:c>
      <x:c r="F9405" s="0" t="s">
        <x:v>45</x:v>
      </x:c>
      <x:c r="G9405" s="0" t="s">
        <x:v>19</x:v>
      </x:c>
      <x:c r="H9405" s="0" t="s">
        <x:v>20</x:v>
      </x:c>
      <x:c r="I9405" s="0" t="s">
        <x:v>21</x:v>
      </x:c>
      <x:c r="K9405" s="0">
        <x:f>hyperlink("https://icd.who.int/dev11/l-ichi/en#/http%3A%2F%2Fid.who.int%2Ficd%2Fentity%2F414431080","browser")</x:f>
      </x:c>
      <x:c r="L9405" s="0">
        <x:f>hyperlink("https://icat2.azurewebsites.net/icat/?ontology=ICD&amp;tab=ClassesTab&amp;id=http%3A%2F%2Fwho.int%2Ficd%23168_93e359ba_c994_4d05_9c0e_aba87be97c6a","iCat")</x:f>
      </x:c>
      <x:c r="M9405" s="0" t="s">
        <x:v>21</x:v>
      </x:c>
      <x:c r="N9405" s="0" t="s">
        <x:v>46</x:v>
      </x:c>
    </x:row>
    <x:row r="9406" spans="1:16">
      <x:c r="A9406" s="0" t="s">
        <x:v>37488</x:v>
      </x:c>
      <x:c r="B9406" s="0" t="s">
        <x:v>37489</x:v>
      </x:c>
      <x:c r="C9406" s="0" t="s">
        <x:v>37490</x:v>
      </x:c>
      <x:c r="E9406" s="0" t="s">
        <x:v>37491</x:v>
      </x:c>
      <x:c r="F9406" s="0" t="s">
        <x:v>45</x:v>
      </x:c>
      <x:c r="G9406" s="0" t="s">
        <x:v>19</x:v>
      </x:c>
      <x:c r="H9406" s="0" t="s">
        <x:v>20</x:v>
      </x:c>
      <x:c r="I9406" s="0" t="s">
        <x:v>21</x:v>
      </x:c>
      <x:c r="K9406" s="0">
        <x:f>hyperlink("https://icd.who.int/dev11/l-ichi/en#/http%3A%2F%2Fid.who.int%2Ficd%2Fentity%2F1801292987","browser")</x:f>
      </x:c>
      <x:c r="L9406" s="0">
        <x:f>hyperlink("https://icat2.azurewebsites.net/icat/?ontology=ICD&amp;tab=ClassesTab&amp;id=http%3A%2F%2Fwho.int%2Ficd%2311_79f1b8c6_94b7_4498_8183_6c7f9549bd22","iCat")</x:f>
      </x:c>
      <x:c r="M9406" s="0" t="s">
        <x:v>21</x:v>
      </x:c>
      <x:c r="N9406" s="0" t="s">
        <x:v>46</x:v>
      </x:c>
    </x:row>
    <x:row r="9407" spans="1:16">
      <x:c r="A9407" s="0" t="s">
        <x:v>37492</x:v>
      </x:c>
      <x:c r="B9407" s="0" t="s">
        <x:v>37493</x:v>
      </x:c>
      <x:c r="C9407" s="0" t="s">
        <x:v>37494</x:v>
      </x:c>
      <x:c r="E9407" s="0" t="s">
        <x:v>37495</x:v>
      </x:c>
      <x:c r="F9407" s="0" t="s">
        <x:v>45</x:v>
      </x:c>
      <x:c r="G9407" s="0" t="s">
        <x:v>19</x:v>
      </x:c>
      <x:c r="H9407" s="0" t="s">
        <x:v>20</x:v>
      </x:c>
      <x:c r="I9407" s="0" t="s">
        <x:v>21</x:v>
      </x:c>
      <x:c r="K9407" s="0">
        <x:f>hyperlink("https://icd.who.int/dev11/l-ichi/en#/http%3A%2F%2Fid.who.int%2Ficd%2Fentity%2F992367884","browser")</x:f>
      </x:c>
      <x:c r="L9407" s="0">
        <x:f>hyperlink("https://icat2.azurewebsites.net/icat/?ontology=ICD&amp;tab=ClassesTab&amp;id=http%3A%2F%2Fwho.int%2Ficd%2317_79f1b8c6_94b7_4498_8183_6c7f9549bd22","iCat")</x:f>
      </x:c>
      <x:c r="M9407" s="0" t="s">
        <x:v>21</x:v>
      </x:c>
      <x:c r="N9407" s="0" t="s">
        <x:v>46</x:v>
      </x:c>
    </x:row>
    <x:row r="9408" spans="1:16">
      <x:c r="A9408" s="0" t="s">
        <x:v>37496</x:v>
      </x:c>
      <x:c r="B9408" s="0" t="s">
        <x:v>37497</x:v>
      </x:c>
      <x:c r="C9408" s="0" t="s">
        <x:v>37498</x:v>
      </x:c>
      <x:c r="E9408" s="0" t="s">
        <x:v>37499</x:v>
      </x:c>
      <x:c r="F9408" s="0" t="s">
        <x:v>45</x:v>
      </x:c>
      <x:c r="G9408" s="0" t="s">
        <x:v>19</x:v>
      </x:c>
      <x:c r="H9408" s="0" t="s">
        <x:v>20</x:v>
      </x:c>
      <x:c r="I9408" s="0" t="s">
        <x:v>21</x:v>
      </x:c>
      <x:c r="K9408" s="0">
        <x:f>hyperlink("https://icd.who.int/dev11/l-ichi/en#/http%3A%2F%2Fid.who.int%2Ficd%2Fentity%2F1318113657","browser")</x:f>
      </x:c>
      <x:c r="L9408" s="0">
        <x:f>hyperlink("https://icat2.azurewebsites.net/icat/?ontology=ICD&amp;tab=ClassesTab&amp;id=http%3A%2F%2Fwho.int%2Ficd%2323_79f1b8c6_94b7_4498_8183_6c7f9549bd22","iCat")</x:f>
      </x:c>
      <x:c r="M9408" s="0" t="s">
        <x:v>21</x:v>
      </x:c>
      <x:c r="N9408" s="0" t="s">
        <x:v>46</x:v>
      </x:c>
    </x:row>
    <x:row r="9409" spans="1:16">
      <x:c r="A9409" s="0" t="s">
        <x:v>37500</x:v>
      </x:c>
      <x:c r="B9409" s="0" t="s">
        <x:v>37501</x:v>
      </x:c>
      <x:c r="C9409" s="0" t="s">
        <x:v>37502</x:v>
      </x:c>
      <x:c r="E9409" s="0" t="s">
        <x:v>37503</x:v>
      </x:c>
      <x:c r="F9409" s="0" t="s">
        <x:v>45</x:v>
      </x:c>
      <x:c r="G9409" s="0" t="s">
        <x:v>19</x:v>
      </x:c>
      <x:c r="H9409" s="0" t="s">
        <x:v>20</x:v>
      </x:c>
      <x:c r="I9409" s="0" t="s">
        <x:v>21</x:v>
      </x:c>
      <x:c r="K9409" s="0">
        <x:f>hyperlink("https://icd.who.int/dev11/l-ichi/en#/http%3A%2F%2Fid.who.int%2Ficd%2Fentity%2F1701690857","browser")</x:f>
      </x:c>
      <x:c r="L9409" s="0">
        <x:f>hyperlink("https://icat2.azurewebsites.net/icat/?ontology=ICD&amp;tab=ClassesTab&amp;id=http%3A%2F%2Fwho.int%2Ficd%2329_79f1b8c6_94b7_4498_8183_6c7f9549bd22","iCat")</x:f>
      </x:c>
      <x:c r="M9409" s="0" t="s">
        <x:v>21</x:v>
      </x:c>
      <x:c r="N9409" s="0" t="s">
        <x:v>46</x:v>
      </x:c>
    </x:row>
    <x:row r="9410" spans="1:16">
      <x:c r="A9410" s="0" t="s">
        <x:v>37504</x:v>
      </x:c>
      <x:c r="B9410" s="0" t="s">
        <x:v>37505</x:v>
      </x:c>
      <x:c r="C9410" s="0" t="s">
        <x:v>37506</x:v>
      </x:c>
      <x:c r="E9410" s="0" t="s">
        <x:v>37507</x:v>
      </x:c>
      <x:c r="F9410" s="0" t="s">
        <x:v>45</x:v>
      </x:c>
      <x:c r="G9410" s="0" t="s">
        <x:v>19</x:v>
      </x:c>
      <x:c r="H9410" s="0" t="s">
        <x:v>20</x:v>
      </x:c>
      <x:c r="I9410" s="0" t="s">
        <x:v>21</x:v>
      </x:c>
      <x:c r="K9410" s="0">
        <x:f>hyperlink("https://icd.who.int/dev11/l-ichi/en#/http%3A%2F%2Fid.who.int%2Ficd%2Fentity%2F1949212063","browser")</x:f>
      </x:c>
      <x:c r="L9410" s="0">
        <x:f>hyperlink("https://icat2.azurewebsites.net/icat/?ontology=ICD&amp;tab=ClassesTab&amp;id=http%3A%2F%2Fwho.int%2Ficd%2335_79f1b8c6_94b7_4498_8183_6c7f9549bd22","iCat")</x:f>
      </x:c>
      <x:c r="M9410" s="0" t="s">
        <x:v>21</x:v>
      </x:c>
      <x:c r="N9410" s="0" t="s">
        <x:v>46</x:v>
      </x:c>
    </x:row>
    <x:row r="9411" spans="1:16">
      <x:c r="A9411" s="0" t="s">
        <x:v>37508</x:v>
      </x:c>
      <x:c r="B9411" s="0" t="s">
        <x:v>37509</x:v>
      </x:c>
      <x:c r="C9411" s="0" t="s">
        <x:v>37510</x:v>
      </x:c>
      <x:c r="E9411" s="0" t="s">
        <x:v>37511</x:v>
      </x:c>
      <x:c r="F9411" s="0" t="s">
        <x:v>45</x:v>
      </x:c>
      <x:c r="G9411" s="0" t="s">
        <x:v>19</x:v>
      </x:c>
      <x:c r="H9411" s="0" t="s">
        <x:v>20</x:v>
      </x:c>
      <x:c r="I9411" s="0" t="s">
        <x:v>21</x:v>
      </x:c>
      <x:c r="K9411" s="0">
        <x:f>hyperlink("https://icd.who.int/dev11/l-ichi/en#/http%3A%2F%2Fid.who.int%2Ficd%2Fentity%2F1912556273","browser")</x:f>
      </x:c>
      <x:c r="L9411" s="0">
        <x:f>hyperlink("https://icat2.azurewebsites.net/icat/?ontology=ICD&amp;tab=ClassesTab&amp;id=http%3A%2F%2Fwho.int%2Ficd%2341_79f1b8c6_94b7_4498_8183_6c7f9549bd22","iCat")</x:f>
      </x:c>
      <x:c r="M9411" s="0" t="s">
        <x:v>21</x:v>
      </x:c>
      <x:c r="N9411" s="0" t="s">
        <x:v>46</x:v>
      </x:c>
    </x:row>
    <x:row r="9412" spans="1:16">
      <x:c r="A9412" s="0" t="s">
        <x:v>37512</x:v>
      </x:c>
      <x:c r="B9412" s="0" t="s">
        <x:v>37513</x:v>
      </x:c>
      <x:c r="C9412" s="0" t="s">
        <x:v>37514</x:v>
      </x:c>
      <x:c r="E9412" s="0" t="s">
        <x:v>37515</x:v>
      </x:c>
      <x:c r="F9412" s="0" t="s">
        <x:v>45</x:v>
      </x:c>
      <x:c r="G9412" s="0" t="s">
        <x:v>19</x:v>
      </x:c>
      <x:c r="H9412" s="0" t="s">
        <x:v>20</x:v>
      </x:c>
      <x:c r="I9412" s="0" t="s">
        <x:v>21</x:v>
      </x:c>
      <x:c r="K9412" s="0">
        <x:f>hyperlink("https://icd.who.int/dev11/l-ichi/en#/http%3A%2F%2Fid.who.int%2Ficd%2Fentity%2F1404553890","browser")</x:f>
      </x:c>
      <x:c r="L9412" s="0">
        <x:f>hyperlink("https://icat2.azurewebsites.net/icat/?ontology=ICD&amp;tab=ClassesTab&amp;id=http%3A%2F%2Fwho.int%2Ficd%2315770_4869915e_217e_423d_acb3_33c0f920ef4b","iCat")</x:f>
      </x:c>
      <x:c r="M9412" s="0" t="s">
        <x:v>21</x:v>
      </x:c>
      <x:c r="N9412" s="0" t="s">
        <x:v>46</x:v>
      </x:c>
    </x:row>
    <x:row r="9413" spans="1:16">
      <x:c r="A9413" s="0" t="s">
        <x:v>37516</x:v>
      </x:c>
      <x:c r="B9413" s="0" t="s">
        <x:v>37517</x:v>
      </x:c>
      <x:c r="C9413" s="0" t="s">
        <x:v>37518</x:v>
      </x:c>
      <x:c r="E9413" s="0" t="s">
        <x:v>37519</x:v>
      </x:c>
      <x:c r="F9413" s="0" t="s">
        <x:v>45</x:v>
      </x:c>
      <x:c r="G9413" s="0" t="s">
        <x:v>19</x:v>
      </x:c>
      <x:c r="H9413" s="0" t="s">
        <x:v>20</x:v>
      </x:c>
      <x:c r="I9413" s="0" t="s">
        <x:v>21</x:v>
      </x:c>
      <x:c r="K9413" s="0">
        <x:f>hyperlink("https://icd.who.int/dev11/l-ichi/en#/http%3A%2F%2Fid.who.int%2Ficd%2Fentity%2F562336578","browser")</x:f>
      </x:c>
      <x:c r="L9413" s="0">
        <x:f>hyperlink("https://icat2.azurewebsites.net/icat/?ontology=ICD&amp;tab=ClassesTab&amp;id=http%3A%2F%2Fwho.int%2Ficd%2347_79f1b8c6_94b7_4498_8183_6c7f9549bd22","iCat")</x:f>
      </x:c>
      <x:c r="M9413" s="0" t="s">
        <x:v>21</x:v>
      </x:c>
      <x:c r="N9413" s="0" t="s">
        <x:v>46</x:v>
      </x:c>
    </x:row>
    <x:row r="9414" spans="1:16">
      <x:c r="A9414" s="0" t="s">
        <x:v>37520</x:v>
      </x:c>
      <x:c r="B9414" s="0" t="s">
        <x:v>37521</x:v>
      </x:c>
      <x:c r="C9414" s="0" t="s">
        <x:v>37522</x:v>
      </x:c>
      <x:c r="E9414" s="0" t="s">
        <x:v>37523</x:v>
      </x:c>
      <x:c r="F9414" s="0" t="s">
        <x:v>45</x:v>
      </x:c>
      <x:c r="G9414" s="0" t="s">
        <x:v>19</x:v>
      </x:c>
      <x:c r="H9414" s="0" t="s">
        <x:v>20</x:v>
      </x:c>
      <x:c r="I9414" s="0" t="s">
        <x:v>21</x:v>
      </x:c>
      <x:c r="K9414" s="0">
        <x:f>hyperlink("https://icd.who.int/dev11/l-ichi/en#/http%3A%2F%2Fid.who.int%2Ficd%2Fentity%2F2118566499","browser")</x:f>
      </x:c>
      <x:c r="L9414" s="0">
        <x:f>hyperlink("https://icat2.azurewebsites.net/icat/?ontology=ICD&amp;tab=ClassesTab&amp;id=http%3A%2F%2Fwho.int%2Ficd%2353_79f1b8c6_94b7_4498_8183_6c7f9549bd22","iCat")</x:f>
      </x:c>
      <x:c r="M9414" s="0" t="s">
        <x:v>21</x:v>
      </x:c>
      <x:c r="N9414" s="0" t="s">
        <x:v>46</x:v>
      </x:c>
    </x:row>
    <x:row r="9415" spans="1:16">
      <x:c r="A9415" s="0" t="s">
        <x:v>37524</x:v>
      </x:c>
      <x:c r="B9415" s="0" t="s">
        <x:v>37525</x:v>
      </x:c>
      <x:c r="C9415" s="0" t="s">
        <x:v>37526</x:v>
      </x:c>
      <x:c r="E9415" s="0" t="s">
        <x:v>37527</x:v>
      </x:c>
      <x:c r="F9415" s="0" t="s">
        <x:v>45</x:v>
      </x:c>
      <x:c r="G9415" s="0" t="s">
        <x:v>19</x:v>
      </x:c>
      <x:c r="H9415" s="0" t="s">
        <x:v>20</x:v>
      </x:c>
      <x:c r="I9415" s="0" t="s">
        <x:v>21</x:v>
      </x:c>
      <x:c r="K9415" s="0">
        <x:f>hyperlink("https://icd.who.int/dev11/l-ichi/en#/http%3A%2F%2Fid.who.int%2Ficd%2Fentity%2F1438363379","browser")</x:f>
      </x:c>
      <x:c r="L9415" s="0">
        <x:f>hyperlink("https://icat2.azurewebsites.net/icat/?ontology=ICD&amp;tab=ClassesTab&amp;id=http%3A%2F%2Fwho.int%2Ficd%2359_79f1b8c6_94b7_4498_8183_6c7f9549bd22","iCat")</x:f>
      </x:c>
      <x:c r="M9415" s="0" t="s">
        <x:v>21</x:v>
      </x:c>
      <x:c r="N9415" s="0" t="s">
        <x:v>46</x:v>
      </x:c>
    </x:row>
    <x:row r="9416" spans="1:16">
      <x:c r="A9416" s="0" t="s">
        <x:v>37528</x:v>
      </x:c>
      <x:c r="B9416" s="0" t="s">
        <x:v>37529</x:v>
      </x:c>
      <x:c r="C9416" s="0" t="s">
        <x:v>37530</x:v>
      </x:c>
      <x:c r="E9416" s="0" t="s">
        <x:v>37531</x:v>
      </x:c>
      <x:c r="F9416" s="0" t="s">
        <x:v>45</x:v>
      </x:c>
      <x:c r="G9416" s="0" t="s">
        <x:v>19</x:v>
      </x:c>
      <x:c r="H9416" s="0" t="s">
        <x:v>20</x:v>
      </x:c>
      <x:c r="I9416" s="0" t="s">
        <x:v>21</x:v>
      </x:c>
      <x:c r="K9416" s="0">
        <x:f>hyperlink("https://icd.who.int/dev11/l-ichi/en#/http%3A%2F%2Fid.who.int%2Ficd%2Fentity%2F1854692309","browser")</x:f>
      </x:c>
      <x:c r="L9416" s="0">
        <x:f>hyperlink("https://icat2.azurewebsites.net/icat/?ontology=ICD&amp;tab=ClassesTab&amp;id=http%3A%2F%2Fwho.int%2Ficd%2365_79f1b8c6_94b7_4498_8183_6c7f9549bd22","iCat")</x:f>
      </x:c>
      <x:c r="M9416" s="0" t="s">
        <x:v>21</x:v>
      </x:c>
      <x:c r="N9416" s="0" t="s">
        <x:v>46</x:v>
      </x:c>
    </x:row>
    <x:row r="9417" spans="1:16">
      <x:c r="A9417" s="0" t="s">
        <x:v>37532</x:v>
      </x:c>
      <x:c r="B9417" s="0" t="s">
        <x:v>37533</x:v>
      </x:c>
      <x:c r="C9417" s="0" t="s">
        <x:v>37534</x:v>
      </x:c>
      <x:c r="E9417" s="0" t="s">
        <x:v>37535</x:v>
      </x:c>
      <x:c r="F9417" s="0" t="s">
        <x:v>45</x:v>
      </x:c>
      <x:c r="G9417" s="0" t="s">
        <x:v>19</x:v>
      </x:c>
      <x:c r="H9417" s="0" t="s">
        <x:v>20</x:v>
      </x:c>
      <x:c r="I9417" s="0" t="s">
        <x:v>21</x:v>
      </x:c>
      <x:c r="K9417" s="0">
        <x:f>hyperlink("https://icd.who.int/dev11/l-ichi/en#/http%3A%2F%2Fid.who.int%2Ficd%2Fentity%2F827198200","browser")</x:f>
      </x:c>
      <x:c r="L9417" s="0">
        <x:f>hyperlink("https://icat2.azurewebsites.net/icat/?ontology=ICD&amp;tab=ClassesTab&amp;id=http%3A%2F%2Fwho.int%2Ficd%2371_79f1b8c6_94b7_4498_8183_6c7f9549bd22","iCat")</x:f>
      </x:c>
      <x:c r="M9417" s="0" t="s">
        <x:v>21</x:v>
      </x:c>
      <x:c r="N9417" s="0" t="s">
        <x:v>46</x:v>
      </x:c>
    </x:row>
    <x:row r="9418" spans="1:16">
      <x:c r="A9418" s="0" t="s">
        <x:v>37536</x:v>
      </x:c>
      <x:c r="B9418" s="0" t="s">
        <x:v>37537</x:v>
      </x:c>
      <x:c r="C9418" s="0" t="s">
        <x:v>37538</x:v>
      </x:c>
      <x:c r="E9418" s="0" t="s">
        <x:v>37539</x:v>
      </x:c>
      <x:c r="F9418" s="0" t="s">
        <x:v>45</x:v>
      </x:c>
      <x:c r="G9418" s="0" t="s">
        <x:v>19</x:v>
      </x:c>
      <x:c r="H9418" s="0" t="s">
        <x:v>20</x:v>
      </x:c>
      <x:c r="I9418" s="0" t="s">
        <x:v>21</x:v>
      </x:c>
      <x:c r="K9418" s="0">
        <x:f>hyperlink("https://icd.who.int/dev11/l-ichi/en#/http%3A%2F%2Fid.who.int%2Ficd%2Fentity%2F1630917447","browser")</x:f>
      </x:c>
      <x:c r="L9418" s="0">
        <x:f>hyperlink("https://icat2.azurewebsites.net/icat/?ontology=ICD&amp;tab=ClassesTab&amp;id=http%3A%2F%2Fwho.int%2Ficd%2377_79f1b8c6_94b7_4498_8183_6c7f9549bd22","iCat")</x:f>
      </x:c>
      <x:c r="M9418" s="0" t="s">
        <x:v>21</x:v>
      </x:c>
      <x:c r="N9418" s="0" t="s">
        <x:v>46</x:v>
      </x:c>
    </x:row>
    <x:row r="9419" spans="1:16">
      <x:c r="A9419" s="0" t="s">
        <x:v>37540</x:v>
      </x:c>
      <x:c r="B9419" s="0" t="s">
        <x:v>37541</x:v>
      </x:c>
      <x:c r="C9419" s="0" t="s">
        <x:v>37542</x:v>
      </x:c>
      <x:c r="E9419" s="0" t="s">
        <x:v>37543</x:v>
      </x:c>
      <x:c r="F9419" s="0" t="s">
        <x:v>45</x:v>
      </x:c>
      <x:c r="G9419" s="0" t="s">
        <x:v>19</x:v>
      </x:c>
      <x:c r="H9419" s="0" t="s">
        <x:v>20</x:v>
      </x:c>
      <x:c r="I9419" s="0" t="s">
        <x:v>21</x:v>
      </x:c>
      <x:c r="K9419" s="0">
        <x:f>hyperlink("https://icd.who.int/dev11/l-ichi/en#/http%3A%2F%2Fid.who.int%2Ficd%2Fentity%2F2077580781","browser")</x:f>
      </x:c>
      <x:c r="L9419" s="0">
        <x:f>hyperlink("https://icat2.azurewebsites.net/icat/?ontology=ICD&amp;tab=ClassesTab&amp;id=http%3A%2F%2Fwho.int%2Ficd%2383_79f1b8c6_94b7_4498_8183_6c7f9549bd22","iCat")</x:f>
      </x:c>
      <x:c r="M9419" s="0" t="s">
        <x:v>21</x:v>
      </x:c>
      <x:c r="N9419" s="0" t="s">
        <x:v>46</x:v>
      </x:c>
    </x:row>
    <x:row r="9420" spans="1:16">
      <x:c r="A9420" s="0" t="s">
        <x:v>37544</x:v>
      </x:c>
      <x:c r="B9420" s="0" t="s">
        <x:v>37545</x:v>
      </x:c>
      <x:c r="C9420" s="0" t="s">
        <x:v>37546</x:v>
      </x:c>
      <x:c r="E9420" s="0" t="s">
        <x:v>37547</x:v>
      </x:c>
      <x:c r="F9420" s="0" t="s">
        <x:v>45</x:v>
      </x:c>
      <x:c r="G9420" s="0" t="s">
        <x:v>19</x:v>
      </x:c>
      <x:c r="H9420" s="0" t="s">
        <x:v>20</x:v>
      </x:c>
      <x:c r="I9420" s="0" t="s">
        <x:v>21</x:v>
      </x:c>
      <x:c r="K9420" s="0">
        <x:f>hyperlink("https://icd.who.int/dev11/l-ichi/en#/http%3A%2F%2Fid.who.int%2Ficd%2Fentity%2F1344811389","browser")</x:f>
      </x:c>
      <x:c r="L9420" s="0">
        <x:f>hyperlink("https://icat2.azurewebsites.net/icat/?ontology=ICD&amp;tab=ClassesTab&amp;id=http%3A%2F%2Fwho.int%2Ficd%2389_79f1b8c6_94b7_4498_8183_6c7f9549bd22","iCat")</x:f>
      </x:c>
      <x:c r="M9420" s="0" t="s">
        <x:v>21</x:v>
      </x:c>
      <x:c r="N9420" s="0" t="s">
        <x:v>46</x:v>
      </x:c>
    </x:row>
    <x:row r="9421" spans="1:16">
      <x:c r="A9421" s="0" t="s">
        <x:v>37548</x:v>
      </x:c>
      <x:c r="B9421" s="0" t="s">
        <x:v>37549</x:v>
      </x:c>
      <x:c r="C9421" s="0" t="s">
        <x:v>37550</x:v>
      </x:c>
      <x:c r="E9421" s="0" t="s">
        <x:v>37551</x:v>
      </x:c>
      <x:c r="F9421" s="0" t="s">
        <x:v>45</x:v>
      </x:c>
      <x:c r="G9421" s="0" t="s">
        <x:v>19</x:v>
      </x:c>
      <x:c r="H9421" s="0" t="s">
        <x:v>20</x:v>
      </x:c>
      <x:c r="I9421" s="0" t="s">
        <x:v>21</x:v>
      </x:c>
      <x:c r="K9421" s="0">
        <x:f>hyperlink("https://icd.who.int/dev11/l-ichi/en#/http%3A%2F%2Fid.who.int%2Ficd%2Fentity%2F1097535755","browser")</x:f>
      </x:c>
      <x:c r="L9421" s="0">
        <x:f>hyperlink("https://icat2.azurewebsites.net/icat/?ontology=ICD&amp;tab=ClassesTab&amp;id=http%3A%2F%2Fwho.int%2Ficd%2395_79f1b8c6_94b7_4498_8183_6c7f9549bd22","iCat")</x:f>
      </x:c>
      <x:c r="M9421" s="0" t="s">
        <x:v>21</x:v>
      </x:c>
      <x:c r="N9421" s="0" t="s">
        <x:v>46</x:v>
      </x:c>
    </x:row>
    <x:row r="9422" spans="1:16">
      <x:c r="A9422" s="0" t="s">
        <x:v>37552</x:v>
      </x:c>
      <x:c r="B9422" s="0" t="s">
        <x:v>37553</x:v>
      </x:c>
      <x:c r="C9422" s="0" t="s">
        <x:v>37554</x:v>
      </x:c>
      <x:c r="E9422" s="0" t="s">
        <x:v>37555</x:v>
      </x:c>
      <x:c r="F9422" s="0" t="s">
        <x:v>45</x:v>
      </x:c>
      <x:c r="G9422" s="0" t="s">
        <x:v>19</x:v>
      </x:c>
      <x:c r="H9422" s="0" t="s">
        <x:v>20</x:v>
      </x:c>
      <x:c r="I9422" s="0" t="s">
        <x:v>21</x:v>
      </x:c>
      <x:c r="K9422" s="0">
        <x:f>hyperlink("https://icd.who.int/dev11/l-ichi/en#/http%3A%2F%2Fid.who.int%2Ficd%2Fentity%2F192139322","browser")</x:f>
      </x:c>
      <x:c r="L9422" s="0">
        <x:f>hyperlink("https://icat2.azurewebsites.net/icat/?ontology=ICD&amp;tab=ClassesTab&amp;id=http%3A%2F%2Fwho.int%2Ficd%23101_79f1b8c6_94b7_4498_8183_6c7f9549bd22","iCat")</x:f>
      </x:c>
      <x:c r="M9422" s="0" t="s">
        <x:v>21</x:v>
      </x:c>
      <x:c r="N9422" s="0" t="s">
        <x:v>46</x:v>
      </x:c>
    </x:row>
    <x:row r="9423" spans="1:16">
      <x:c r="A9423" s="0" t="s">
        <x:v>37556</x:v>
      </x:c>
      <x:c r="B9423" s="0" t="s">
        <x:v>37557</x:v>
      </x:c>
      <x:c r="C9423" s="0" t="s">
        <x:v>37558</x:v>
      </x:c>
      <x:c r="E9423" s="0" t="s">
        <x:v>37559</x:v>
      </x:c>
      <x:c r="F9423" s="0" t="s">
        <x:v>45</x:v>
      </x:c>
      <x:c r="G9423" s="0" t="s">
        <x:v>19</x:v>
      </x:c>
      <x:c r="H9423" s="0" t="s">
        <x:v>20</x:v>
      </x:c>
      <x:c r="I9423" s="0" t="s">
        <x:v>21</x:v>
      </x:c>
      <x:c r="K9423" s="0">
        <x:f>hyperlink("https://icd.who.int/dev11/l-ichi/en#/http%3A%2F%2Fid.who.int%2Ficd%2Fentity%2F1527253385","browser")</x:f>
      </x:c>
      <x:c r="L9423" s="0">
        <x:f>hyperlink("https://icat2.azurewebsites.net/icat/?ontology=ICD&amp;tab=ClassesTab&amp;id=http%3A%2F%2Fwho.int%2Ficd%23107_79f1b8c6_94b7_4498_8183_6c7f9549bd22","iCat")</x:f>
      </x:c>
      <x:c r="M9423" s="0" t="s">
        <x:v>21</x:v>
      </x:c>
      <x:c r="N9423" s="0" t="s">
        <x:v>46</x:v>
      </x:c>
    </x:row>
    <x:row r="9424" spans="1:16">
      <x:c r="A9424" s="0" t="s">
        <x:v>37560</x:v>
      </x:c>
      <x:c r="B9424" s="0" t="s">
        <x:v>37561</x:v>
      </x:c>
      <x:c r="C9424" s="0" t="s">
        <x:v>37562</x:v>
      </x:c>
      <x:c r="E9424" s="0" t="s">
        <x:v>37563</x:v>
      </x:c>
      <x:c r="F9424" s="0" t="s">
        <x:v>45</x:v>
      </x:c>
      <x:c r="G9424" s="0" t="s">
        <x:v>19</x:v>
      </x:c>
      <x:c r="H9424" s="0" t="s">
        <x:v>20</x:v>
      </x:c>
      <x:c r="I9424" s="0" t="s">
        <x:v>21</x:v>
      </x:c>
      <x:c r="K9424" s="0">
        <x:f>hyperlink("https://icd.who.int/dev11/l-ichi/en#/http%3A%2F%2Fid.who.int%2Ficd%2Fentity%2F80369836","browser")</x:f>
      </x:c>
      <x:c r="L9424" s="0">
        <x:f>hyperlink("https://icat2.azurewebsites.net/icat/?ontology=ICD&amp;tab=ClassesTab&amp;id=http%3A%2F%2Fwho.int%2Ficd%23113_79f1b8c6_94b7_4498_8183_6c7f9549bd22","iCat")</x:f>
      </x:c>
      <x:c r="M9424" s="0" t="s">
        <x:v>21</x:v>
      </x:c>
      <x:c r="N9424" s="0" t="s">
        <x:v>46</x:v>
      </x:c>
    </x:row>
    <x:row r="9425" spans="1:16">
      <x:c r="A9425" s="0" t="s">
        <x:v>37564</x:v>
      </x:c>
      <x:c r="B9425" s="0" t="s">
        <x:v>37565</x:v>
      </x:c>
      <x:c r="C9425" s="0" t="s">
        <x:v>37566</x:v>
      </x:c>
      <x:c r="E9425" s="0" t="s">
        <x:v>37567</x:v>
      </x:c>
      <x:c r="F9425" s="0" t="s">
        <x:v>45</x:v>
      </x:c>
      <x:c r="G9425" s="0" t="s">
        <x:v>19</x:v>
      </x:c>
      <x:c r="H9425" s="0" t="s">
        <x:v>20</x:v>
      </x:c>
      <x:c r="I9425" s="0" t="s">
        <x:v>21</x:v>
      </x:c>
      <x:c r="K9425" s="0">
        <x:f>hyperlink("https://icd.who.int/dev11/l-ichi/en#/http%3A%2F%2Fid.who.int%2Ficd%2Fentity%2F792147004","browser")</x:f>
      </x:c>
      <x:c r="L9425" s="0">
        <x:f>hyperlink("https://icat2.azurewebsites.net/icat/?ontology=ICD&amp;tab=ClassesTab&amp;id=http%3A%2F%2Fwho.int%2Ficd%23119_79f1b8c6_94b7_4498_8183_6c7f9549bd22","iCat")</x:f>
      </x:c>
      <x:c r="M9425" s="0" t="s">
        <x:v>21</x:v>
      </x:c>
      <x:c r="N9425" s="0" t="s">
        <x:v>46</x:v>
      </x:c>
    </x:row>
    <x:row r="9426" spans="1:16">
      <x:c r="A9426" s="0" t="s">
        <x:v>37568</x:v>
      </x:c>
      <x:c r="B9426" s="0" t="s">
        <x:v>37569</x:v>
      </x:c>
      <x:c r="C9426" s="0" t="s">
        <x:v>37570</x:v>
      </x:c>
      <x:c r="E9426" s="0" t="s">
        <x:v>37571</x:v>
      </x:c>
      <x:c r="F9426" s="0" t="s">
        <x:v>45</x:v>
      </x:c>
      <x:c r="G9426" s="0" t="s">
        <x:v>19</x:v>
      </x:c>
      <x:c r="H9426" s="0" t="s">
        <x:v>20</x:v>
      </x:c>
      <x:c r="I9426" s="0" t="s">
        <x:v>21</x:v>
      </x:c>
      <x:c r="K9426" s="0">
        <x:f>hyperlink("https://icd.who.int/dev11/l-ichi/en#/http%3A%2F%2Fid.who.int%2Ficd%2Fentity%2F335593758","browser")</x:f>
      </x:c>
      <x:c r="L9426" s="0">
        <x:f>hyperlink("https://icat2.azurewebsites.net/icat/?ontology=ICD&amp;tab=ClassesTab&amp;id=http%3A%2F%2Fwho.int%2Ficd%23125_79f1b8c6_94b7_4498_8183_6c7f9549bd22","iCat")</x:f>
      </x:c>
      <x:c r="M9426" s="0" t="s">
        <x:v>21</x:v>
      </x:c>
      <x:c r="N9426" s="0" t="s">
        <x:v>46</x:v>
      </x:c>
    </x:row>
    <x:row r="9427" spans="1:16">
      <x:c r="A9427" s="0" t="s">
        <x:v>37572</x:v>
      </x:c>
      <x:c r="B9427" s="0" t="s">
        <x:v>37573</x:v>
      </x:c>
      <x:c r="C9427" s="0" t="s">
        <x:v>37574</x:v>
      </x:c>
      <x:c r="E9427" s="0" t="s">
        <x:v>37575</x:v>
      </x:c>
      <x:c r="F9427" s="0" t="s">
        <x:v>45</x:v>
      </x:c>
      <x:c r="G9427" s="0" t="s">
        <x:v>19</x:v>
      </x:c>
      <x:c r="H9427" s="0" t="s">
        <x:v>20</x:v>
      </x:c>
      <x:c r="I9427" s="0" t="s">
        <x:v>21</x:v>
      </x:c>
      <x:c r="K9427" s="0">
        <x:f>hyperlink("https://icd.who.int/dev11/l-ichi/en#/http%3A%2F%2Fid.who.int%2Ficd%2Fentity%2F1271042111","browser")</x:f>
      </x:c>
      <x:c r="L9427" s="0">
        <x:f>hyperlink("https://icat2.azurewebsites.net/icat/?ontology=ICD&amp;tab=ClassesTab&amp;id=http%3A%2F%2Fwho.int%2Ficd%23131_79f1b8c6_94b7_4498_8183_6c7f9549bd22","iCat")</x:f>
      </x:c>
      <x:c r="M9427" s="0" t="s">
        <x:v>21</x:v>
      </x:c>
      <x:c r="N9427" s="0" t="s">
        <x:v>46</x:v>
      </x:c>
    </x:row>
    <x:row r="9428" spans="1:16">
      <x:c r="A9428" s="0" t="s">
        <x:v>37576</x:v>
      </x:c>
      <x:c r="B9428" s="0" t="s">
        <x:v>37577</x:v>
      </x:c>
      <x:c r="C9428" s="0" t="s">
        <x:v>37578</x:v>
      </x:c>
      <x:c r="E9428" s="0" t="s">
        <x:v>37579</x:v>
      </x:c>
      <x:c r="F9428" s="0" t="s">
        <x:v>45</x:v>
      </x:c>
      <x:c r="G9428" s="0" t="s">
        <x:v>19</x:v>
      </x:c>
      <x:c r="H9428" s="0" t="s">
        <x:v>20</x:v>
      </x:c>
      <x:c r="I9428" s="0" t="s">
        <x:v>21</x:v>
      </x:c>
      <x:c r="K9428" s="0">
        <x:f>hyperlink("https://icd.who.int/dev11/l-ichi/en#/http%3A%2F%2Fid.who.int%2Ficd%2Fentity%2F465127824","browser")</x:f>
      </x:c>
      <x:c r="L9428" s="0">
        <x:f>hyperlink("https://icat2.azurewebsites.net/icat/?ontology=ICD&amp;tab=ClassesTab&amp;id=http%3A%2F%2Fwho.int%2Ficd%23137_79f1b8c6_94b7_4498_8183_6c7f9549bd22","iCat")</x:f>
      </x:c>
      <x:c r="M9428" s="0" t="s">
        <x:v>21</x:v>
      </x:c>
      <x:c r="N9428" s="0" t="s">
        <x:v>46</x:v>
      </x:c>
    </x:row>
    <x:row r="9429" spans="1:16">
      <x:c r="A9429" s="0" t="s">
        <x:v>37580</x:v>
      </x:c>
      <x:c r="B9429" s="0" t="s">
        <x:v>37581</x:v>
      </x:c>
      <x:c r="C9429" s="0" t="s">
        <x:v>37582</x:v>
      </x:c>
      <x:c r="E9429" s="0" t="s">
        <x:v>37583</x:v>
      </x:c>
      <x:c r="F9429" s="0" t="s">
        <x:v>45</x:v>
      </x:c>
      <x:c r="G9429" s="0" t="s">
        <x:v>19</x:v>
      </x:c>
      <x:c r="H9429" s="0" t="s">
        <x:v>20</x:v>
      </x:c>
      <x:c r="I9429" s="0" t="s">
        <x:v>21</x:v>
      </x:c>
      <x:c r="K9429" s="0">
        <x:f>hyperlink("https://icd.who.int/dev11/l-ichi/en#/http%3A%2F%2Fid.who.int%2Ficd%2Fentity%2F510172898","browser")</x:f>
      </x:c>
      <x:c r="L9429" s="0">
        <x:f>hyperlink("https://icat2.azurewebsites.net/icat/?ontology=ICD&amp;tab=ClassesTab&amp;id=http%3A%2F%2Fwho.int%2Ficd%23143_79f1b8c6_94b7_4498_8183_6c7f9549bd22","iCat")</x:f>
      </x:c>
      <x:c r="M9429" s="0" t="s">
        <x:v>21</x:v>
      </x:c>
      <x:c r="N9429" s="0" t="s">
        <x:v>46</x:v>
      </x:c>
    </x:row>
    <x:row r="9430" spans="1:16">
      <x:c r="A9430" s="0" t="s">
        <x:v>37584</x:v>
      </x:c>
      <x:c r="B9430" s="0" t="s">
        <x:v>37585</x:v>
      </x:c>
      <x:c r="C9430" s="0" t="s">
        <x:v>37586</x:v>
      </x:c>
      <x:c r="E9430" s="0" t="s">
        <x:v>37587</x:v>
      </x:c>
      <x:c r="F9430" s="0" t="s">
        <x:v>45</x:v>
      </x:c>
      <x:c r="G9430" s="0" t="s">
        <x:v>19</x:v>
      </x:c>
      <x:c r="H9430" s="0" t="s">
        <x:v>20</x:v>
      </x:c>
      <x:c r="I9430" s="0" t="s">
        <x:v>21</x:v>
      </x:c>
      <x:c r="K9430" s="0">
        <x:f>hyperlink("https://icd.who.int/dev11/l-ichi/en#/http%3A%2F%2Fid.who.int%2Ficd%2Fentity%2F899019378","browser")</x:f>
      </x:c>
      <x:c r="L9430" s="0">
        <x:f>hyperlink("https://icat2.azurewebsites.net/icat/?ontology=ICD&amp;tab=ClassesTab&amp;id=http%3A%2F%2Fwho.int%2Ficd%23149_79f1b8c6_94b7_4498_8183_6c7f9549bd22","iCat")</x:f>
      </x:c>
      <x:c r="M9430" s="0" t="s">
        <x:v>21</x:v>
      </x:c>
      <x:c r="N9430" s="0" t="s">
        <x:v>46</x:v>
      </x:c>
    </x:row>
    <x:row r="9431" spans="1:16">
      <x:c r="A9431" s="0" t="s">
        <x:v>37588</x:v>
      </x:c>
      <x:c r="B9431" s="0" t="s">
        <x:v>37589</x:v>
      </x:c>
      <x:c r="C9431" s="0" t="s">
        <x:v>37590</x:v>
      </x:c>
      <x:c r="E9431" s="0" t="s">
        <x:v>37591</x:v>
      </x:c>
      <x:c r="F9431" s="0" t="s">
        <x:v>45</x:v>
      </x:c>
      <x:c r="G9431" s="0" t="s">
        <x:v>19</x:v>
      </x:c>
      <x:c r="H9431" s="0" t="s">
        <x:v>20</x:v>
      </x:c>
      <x:c r="I9431" s="0" t="s">
        <x:v>21</x:v>
      </x:c>
      <x:c r="K9431" s="0">
        <x:f>hyperlink("https://icd.who.int/dev11/l-ichi/en#/http%3A%2F%2Fid.who.int%2Ficd%2Fentity%2F618058246","browser")</x:f>
      </x:c>
      <x:c r="L9431" s="0">
        <x:f>hyperlink("https://icat2.azurewebsites.net/icat/?ontology=ICD&amp;tab=ClassesTab&amp;id=http%3A%2F%2Fwho.int%2Ficd%23155_79f1b8c6_94b7_4498_8183_6c7f9549bd22","iCat")</x:f>
      </x:c>
      <x:c r="M9431" s="0" t="s">
        <x:v>21</x:v>
      </x:c>
      <x:c r="N9431" s="0" t="s">
        <x:v>46</x:v>
      </x:c>
    </x:row>
    <x:row r="9432" spans="1:16">
      <x:c r="A9432" s="0" t="s">
        <x:v>37592</x:v>
      </x:c>
      <x:c r="B9432" s="0" t="s">
        <x:v>37593</x:v>
      </x:c>
      <x:c r="C9432" s="0" t="s">
        <x:v>37594</x:v>
      </x:c>
      <x:c r="E9432" s="0" t="s">
        <x:v>37595</x:v>
      </x:c>
      <x:c r="F9432" s="0" t="s">
        <x:v>45</x:v>
      </x:c>
      <x:c r="G9432" s="0" t="s">
        <x:v>19</x:v>
      </x:c>
      <x:c r="H9432" s="0" t="s">
        <x:v>20</x:v>
      </x:c>
      <x:c r="I9432" s="0" t="s">
        <x:v>21</x:v>
      </x:c>
      <x:c r="K9432" s="0">
        <x:f>hyperlink("https://icd.who.int/dev11/l-ichi/en#/http%3A%2F%2Fid.who.int%2Ficd%2Fentity%2F1365268085","browser")</x:f>
      </x:c>
      <x:c r="L9432" s="0">
        <x:f>hyperlink("https://icat2.azurewebsites.net/icat/?ontology=ICD&amp;tab=ClassesTab&amp;id=http%3A%2F%2Fwho.int%2Ficd%23161_79f1b8c6_94b7_4498_8183_6c7f9549bd22","iCat")</x:f>
      </x:c>
      <x:c r="M9432" s="0" t="s">
        <x:v>21</x:v>
      </x:c>
      <x:c r="N9432" s="0" t="s">
        <x:v>46</x:v>
      </x:c>
    </x:row>
    <x:row r="9433" spans="1:16">
      <x:c r="A9433" s="0" t="s">
        <x:v>37596</x:v>
      </x:c>
      <x:c r="B9433" s="0" t="s">
        <x:v>37597</x:v>
      </x:c>
      <x:c r="C9433" s="0" t="s">
        <x:v>37598</x:v>
      </x:c>
      <x:c r="E9433" s="0" t="s">
        <x:v>37599</x:v>
      </x:c>
      <x:c r="F9433" s="0" t="s">
        <x:v>45</x:v>
      </x:c>
      <x:c r="G9433" s="0" t="s">
        <x:v>19</x:v>
      </x:c>
      <x:c r="H9433" s="0" t="s">
        <x:v>20</x:v>
      </x:c>
      <x:c r="I9433" s="0" t="s">
        <x:v>21</x:v>
      </x:c>
      <x:c r="K9433" s="0">
        <x:f>hyperlink("https://icd.who.int/dev11/l-ichi/en#/http%3A%2F%2Fid.who.int%2Ficd%2Fentity%2F18583494","browser")</x:f>
      </x:c>
      <x:c r="L9433" s="0">
        <x:f>hyperlink("https://icat2.azurewebsites.net/icat/?ontology=ICD&amp;tab=ClassesTab&amp;id=http%3A%2F%2Fwho.int%2Ficd%23167_79f1b8c6_94b7_4498_8183_6c7f9549bd22","iCat")</x:f>
      </x:c>
      <x:c r="M9433" s="0" t="s">
        <x:v>21</x:v>
      </x:c>
      <x:c r="N9433" s="0" t="s">
        <x:v>46</x:v>
      </x:c>
    </x:row>
    <x:row r="9434" spans="1:16">
      <x:c r="A9434" s="0" t="s">
        <x:v>37600</x:v>
      </x:c>
      <x:c r="B9434" s="0" t="s">
        <x:v>37601</x:v>
      </x:c>
      <x:c r="C9434" s="0" t="s">
        <x:v>37602</x:v>
      </x:c>
      <x:c r="E9434" s="0" t="s">
        <x:v>37603</x:v>
      </x:c>
      <x:c r="F9434" s="0" t="s">
        <x:v>45</x:v>
      </x:c>
      <x:c r="G9434" s="0" t="s">
        <x:v>19</x:v>
      </x:c>
      <x:c r="H9434" s="0" t="s">
        <x:v>20</x:v>
      </x:c>
      <x:c r="I9434" s="0" t="s">
        <x:v>21</x:v>
      </x:c>
      <x:c r="K9434" s="0">
        <x:f>hyperlink("https://icd.who.int/dev11/l-ichi/en#/http%3A%2F%2Fid.who.int%2Ficd%2Fentity%2F1591336679","browser")</x:f>
      </x:c>
      <x:c r="L9434" s="0">
        <x:f>hyperlink("https://icat2.azurewebsites.net/icat/?ontology=ICD&amp;tab=ClassesTab&amp;id=http%3A%2F%2Fwho.int%2Ficd%23173_79f1b8c6_94b7_4498_8183_6c7f9549bd22","iCat")</x:f>
      </x:c>
      <x:c r="M9434" s="0" t="s">
        <x:v>21</x:v>
      </x:c>
      <x:c r="N9434" s="0" t="s">
        <x:v>46</x:v>
      </x:c>
    </x:row>
    <x:row r="9435" spans="1:16">
      <x:c r="A9435" s="0" t="s">
        <x:v>37604</x:v>
      </x:c>
      <x:c r="B9435" s="0" t="s">
        <x:v>37605</x:v>
      </x:c>
      <x:c r="C9435" s="0" t="s">
        <x:v>37606</x:v>
      </x:c>
      <x:c r="E9435" s="0" t="s">
        <x:v>37607</x:v>
      </x:c>
      <x:c r="F9435" s="0" t="s">
        <x:v>45</x:v>
      </x:c>
      <x:c r="G9435" s="0" t="s">
        <x:v>19</x:v>
      </x:c>
      <x:c r="H9435" s="0" t="s">
        <x:v>20</x:v>
      </x:c>
      <x:c r="I9435" s="0" t="s">
        <x:v>21</x:v>
      </x:c>
      <x:c r="K9435" s="0">
        <x:f>hyperlink("https://icd.who.int/dev11/l-ichi/en#/http%3A%2F%2Fid.who.int%2Ficd%2Fentity%2F1965339255","browser")</x:f>
      </x:c>
      <x:c r="L9435" s="0">
        <x:f>hyperlink("https://icat2.azurewebsites.net/icat/?ontology=ICD&amp;tab=ClassesTab&amp;id=http%3A%2F%2Fwho.int%2Ficd%23179_79f1b8c6_94b7_4498_8183_6c7f9549bd22","iCat")</x:f>
      </x:c>
      <x:c r="M9435" s="0" t="s">
        <x:v>21</x:v>
      </x:c>
      <x:c r="N9435" s="0" t="s">
        <x:v>46</x:v>
      </x:c>
    </x:row>
    <x:row r="9436" spans="1:16">
      <x:c r="A9436" s="0" t="s">
        <x:v>37608</x:v>
      </x:c>
      <x:c r="B9436" s="0" t="s">
        <x:v>37609</x:v>
      </x:c>
      <x:c r="D9436" s="0" t="s">
        <x:v>37610</x:v>
      </x:c>
      <x:c r="E9436" s="0" t="s">
        <x:v>37611</x:v>
      </x:c>
      <x:c r="F9436" s="0" t="s">
        <x:v>26</x:v>
      </x:c>
      <x:c r="G9436" s="0" t="s">
        <x:v>35</x:v>
      </x:c>
      <x:c r="H9436" s="0" t="s">
        <x:v>20</x:v>
      </x:c>
      <x:c r="I9436" s="0" t="s">
        <x:v>21</x:v>
      </x:c>
      <x:c r="K9436" s="0">
        <x:f>hyperlink("https://icd.who.int/dev11/l-ichi/en#/http%3A%2F%2Fid.who.int%2Ficd%2Fentity%2F742386422","browser")</x:f>
      </x:c>
      <x:c r="L9436" s="0">
        <x:f>hyperlink("https://icat2.azurewebsites.net/icat/?ontology=ICD&amp;tab=ClassesTab&amp;id=http%3A%2F%2Fwho.int%2Ficd%23545_94acc4f6_b696_4796_914a_62879ddd4f65","iCat")</x:f>
      </x:c>
      <x:c r="M9436" s="0" t="s">
        <x:v>20</x:v>
      </x:c>
      <x:c r="N9436" s="0" t="s">
        <x:v>37612</x:v>
      </x:c>
    </x:row>
    <x:row r="9437" spans="1:16">
      <x:c r="A9437" s="0" t="s">
        <x:v>37613</x:v>
      </x:c>
      <x:c r="B9437" s="0" t="s">
        <x:v>37614</x:v>
      </x:c>
      <x:c r="C9437" s="0" t="s">
        <x:v>37615</x:v>
      </x:c>
      <x:c r="E9437" s="0" t="s">
        <x:v>37616</x:v>
      </x:c>
      <x:c r="F9437" s="0" t="s">
        <x:v>45</x:v>
      </x:c>
      <x:c r="G9437" s="0" t="s">
        <x:v>19</x:v>
      </x:c>
      <x:c r="H9437" s="0" t="s">
        <x:v>20</x:v>
      </x:c>
      <x:c r="I9437" s="0" t="s">
        <x:v>21</x:v>
      </x:c>
      <x:c r="K9437" s="0">
        <x:f>hyperlink("https://icd.who.int/dev11/l-ichi/en#/http%3A%2F%2Fid.who.int%2Ficd%2Fentity%2F1622909331","browser")</x:f>
      </x:c>
      <x:c r="L9437" s="0">
        <x:f>hyperlink("https://icat2.azurewebsites.net/icat/?ontology=ICD&amp;tab=ClassesTab&amp;id=http%3A%2F%2Fwho.int%2Ficd%233290_287df7d3_8979_4bc5_b232_cc0fd1045cd6","iCat")</x:f>
      </x:c>
      <x:c r="M9437" s="0" t="s">
        <x:v>21</x:v>
      </x:c>
      <x:c r="N9437" s="0" t="s">
        <x:v>46</x:v>
      </x:c>
    </x:row>
    <x:row r="9438" spans="1:16">
      <x:c r="A9438" s="0" t="s">
        <x:v>37617</x:v>
      </x:c>
      <x:c r="B9438" s="0" t="s">
        <x:v>37618</x:v>
      </x:c>
      <x:c r="C9438" s="0" t="s">
        <x:v>37619</x:v>
      </x:c>
      <x:c r="E9438" s="0" t="s">
        <x:v>37620</x:v>
      </x:c>
      <x:c r="F9438" s="0" t="s">
        <x:v>45</x:v>
      </x:c>
      <x:c r="G9438" s="0" t="s">
        <x:v>19</x:v>
      </x:c>
      <x:c r="H9438" s="0" t="s">
        <x:v>20</x:v>
      </x:c>
      <x:c r="I9438" s="0" t="s">
        <x:v>21</x:v>
      </x:c>
      <x:c r="K9438" s="0">
        <x:f>hyperlink("https://icd.who.int/dev11/l-ichi/en#/http%3A%2F%2Fid.who.int%2Ficd%2Fentity%2F817920036","browser")</x:f>
      </x:c>
      <x:c r="L9438" s="0">
        <x:f>hyperlink("https://icat2.azurewebsites.net/icat/?ontology=ICD&amp;tab=ClassesTab&amp;id=http%3A%2F%2Fwho.int%2Ficd%233296_287df7d3_8979_4bc5_b232_cc0fd1045cd6","iCat")</x:f>
      </x:c>
      <x:c r="M9438" s="0" t="s">
        <x:v>21</x:v>
      </x:c>
      <x:c r="N9438" s="0" t="s">
        <x:v>46</x:v>
      </x:c>
    </x:row>
    <x:row r="9439" spans="1:16">
      <x:c r="A9439" s="0" t="s">
        <x:v>37621</x:v>
      </x:c>
      <x:c r="B9439" s="0" t="s">
        <x:v>37622</x:v>
      </x:c>
      <x:c r="C9439" s="0" t="s">
        <x:v>37623</x:v>
      </x:c>
      <x:c r="E9439" s="0" t="s">
        <x:v>37624</x:v>
      </x:c>
      <x:c r="F9439" s="0" t="s">
        <x:v>45</x:v>
      </x:c>
      <x:c r="G9439" s="0" t="s">
        <x:v>19</x:v>
      </x:c>
      <x:c r="H9439" s="0" t="s">
        <x:v>20</x:v>
      </x:c>
      <x:c r="I9439" s="0" t="s">
        <x:v>21</x:v>
      </x:c>
      <x:c r="K9439" s="0">
        <x:f>hyperlink("https://icd.who.int/dev11/l-ichi/en#/http%3A%2F%2Fid.who.int%2Ficd%2Fentity%2F95204954","browser")</x:f>
      </x:c>
      <x:c r="L9439" s="0">
        <x:f>hyperlink("https://icat2.azurewebsites.net/icat/?ontology=ICD&amp;tab=ClassesTab&amp;id=http%3A%2F%2Fwho.int%2Ficd%233302_287df7d3_8979_4bc5_b232_cc0fd1045cd6","iCat")</x:f>
      </x:c>
      <x:c r="M9439" s="0" t="s">
        <x:v>21</x:v>
      </x:c>
      <x:c r="N9439" s="0" t="s">
        <x:v>46</x:v>
      </x:c>
    </x:row>
    <x:row r="9440" spans="1:16">
      <x:c r="A9440" s="0" t="s">
        <x:v>37625</x:v>
      </x:c>
      <x:c r="B9440" s="0" t="s">
        <x:v>37626</x:v>
      </x:c>
      <x:c r="C9440" s="0" t="s">
        <x:v>37627</x:v>
      </x:c>
      <x:c r="E9440" s="0" t="s">
        <x:v>37628</x:v>
      </x:c>
      <x:c r="F9440" s="0" t="s">
        <x:v>45</x:v>
      </x:c>
      <x:c r="G9440" s="0" t="s">
        <x:v>19</x:v>
      </x:c>
      <x:c r="H9440" s="0" t="s">
        <x:v>20</x:v>
      </x:c>
      <x:c r="I9440" s="0" t="s">
        <x:v>21</x:v>
      </x:c>
      <x:c r="K9440" s="0">
        <x:f>hyperlink("https://icd.who.int/dev11/l-ichi/en#/http%3A%2F%2Fid.who.int%2Ficd%2Fentity%2F777116362","browser")</x:f>
      </x:c>
      <x:c r="L9440" s="0">
        <x:f>hyperlink("https://icat2.azurewebsites.net/icat/?ontology=ICD&amp;tab=ClassesTab&amp;id=http%3A%2F%2Fwho.int%2Ficd%233308_287df7d3_8979_4bc5_b232_cc0fd1045cd6","iCat")</x:f>
      </x:c>
      <x:c r="M9440" s="0" t="s">
        <x:v>21</x:v>
      </x:c>
      <x:c r="N9440" s="0" t="s">
        <x:v>46</x:v>
      </x:c>
    </x:row>
    <x:row r="9441" spans="1:16">
      <x:c r="A9441" s="0" t="s">
        <x:v>37629</x:v>
      </x:c>
      <x:c r="B9441" s="0" t="s">
        <x:v>37630</x:v>
      </x:c>
      <x:c r="C9441" s="0" t="s">
        <x:v>37631</x:v>
      </x:c>
      <x:c r="E9441" s="0" t="s">
        <x:v>37632</x:v>
      </x:c>
      <x:c r="F9441" s="0" t="s">
        <x:v>45</x:v>
      </x:c>
      <x:c r="G9441" s="0" t="s">
        <x:v>19</x:v>
      </x:c>
      <x:c r="H9441" s="0" t="s">
        <x:v>20</x:v>
      </x:c>
      <x:c r="I9441" s="0" t="s">
        <x:v>21</x:v>
      </x:c>
      <x:c r="K9441" s="0">
        <x:f>hyperlink("https://icd.who.int/dev11/l-ichi/en#/http%3A%2F%2Fid.who.int%2Ficd%2Fentity%2F1058208446","browser")</x:f>
      </x:c>
      <x:c r="L9441" s="0">
        <x:f>hyperlink("https://icat2.azurewebsites.net/icat/?ontology=ICD&amp;tab=ClassesTab&amp;id=http%3A%2F%2Fwho.int%2Ficd%233314_287df7d3_8979_4bc5_b232_cc0fd1045cd6","iCat")</x:f>
      </x:c>
      <x:c r="M9441" s="0" t="s">
        <x:v>21</x:v>
      </x:c>
      <x:c r="N9441" s="0" t="s">
        <x:v>46</x:v>
      </x:c>
    </x:row>
    <x:row r="9442" spans="1:16">
      <x:c r="A9442" s="0" t="s">
        <x:v>37633</x:v>
      </x:c>
      <x:c r="B9442" s="0" t="s">
        <x:v>37634</x:v>
      </x:c>
      <x:c r="C9442" s="0" t="s">
        <x:v>37635</x:v>
      </x:c>
      <x:c r="E9442" s="0" t="s">
        <x:v>37636</x:v>
      </x:c>
      <x:c r="F9442" s="0" t="s">
        <x:v>45</x:v>
      </x:c>
      <x:c r="G9442" s="0" t="s">
        <x:v>19</x:v>
      </x:c>
      <x:c r="H9442" s="0" t="s">
        <x:v>20</x:v>
      </x:c>
      <x:c r="I9442" s="0" t="s">
        <x:v>21</x:v>
      </x:c>
      <x:c r="K9442" s="0">
        <x:f>hyperlink("https://icd.who.int/dev11/l-ichi/en#/http%3A%2F%2Fid.who.int%2Ficd%2Fentity%2F1252294349","browser")</x:f>
      </x:c>
      <x:c r="L9442" s="0">
        <x:f>hyperlink("https://icat2.azurewebsites.net/icat/?ontology=ICD&amp;tab=ClassesTab&amp;id=http%3A%2F%2Fwho.int%2Ficd%233320_287df7d3_8979_4bc5_b232_cc0fd1045cd6","iCat")</x:f>
      </x:c>
      <x:c r="M9442" s="0" t="s">
        <x:v>21</x:v>
      </x:c>
      <x:c r="N9442" s="0" t="s">
        <x:v>46</x:v>
      </x:c>
    </x:row>
    <x:row r="9443" spans="1:16">
      <x:c r="A9443" s="0" t="s">
        <x:v>37637</x:v>
      </x:c>
      <x:c r="B9443" s="0" t="s">
        <x:v>37638</x:v>
      </x:c>
      <x:c r="C9443" s="0" t="s">
        <x:v>37639</x:v>
      </x:c>
      <x:c r="E9443" s="0" t="s">
        <x:v>37640</x:v>
      </x:c>
      <x:c r="F9443" s="0" t="s">
        <x:v>45</x:v>
      </x:c>
      <x:c r="G9443" s="0" t="s">
        <x:v>19</x:v>
      </x:c>
      <x:c r="H9443" s="0" t="s">
        <x:v>20</x:v>
      </x:c>
      <x:c r="I9443" s="0" t="s">
        <x:v>21</x:v>
      </x:c>
      <x:c r="K9443" s="0">
        <x:f>hyperlink("https://icd.who.int/dev11/l-ichi/en#/http%3A%2F%2Fid.who.int%2Ficd%2Fentity%2F450865022","browser")</x:f>
      </x:c>
      <x:c r="L9443" s="0">
        <x:f>hyperlink("https://icat2.azurewebsites.net/icat/?ontology=ICD&amp;tab=ClassesTab&amp;id=http%3A%2F%2Fwho.int%2Ficd%233326_287df7d3_8979_4bc5_b232_cc0fd1045cd6","iCat")</x:f>
      </x:c>
      <x:c r="M9443" s="0" t="s">
        <x:v>21</x:v>
      </x:c>
      <x:c r="N9443" s="0" t="s">
        <x:v>46</x:v>
      </x:c>
    </x:row>
    <x:row r="9444" spans="1:16">
      <x:c r="A9444" s="0" t="s">
        <x:v>37641</x:v>
      </x:c>
      <x:c r="B9444" s="0" t="s">
        <x:v>37642</x:v>
      </x:c>
      <x:c r="C9444" s="0" t="s">
        <x:v>37643</x:v>
      </x:c>
      <x:c r="E9444" s="0" t="s">
        <x:v>37644</x:v>
      </x:c>
      <x:c r="F9444" s="0" t="s">
        <x:v>45</x:v>
      </x:c>
      <x:c r="G9444" s="0" t="s">
        <x:v>19</x:v>
      </x:c>
      <x:c r="H9444" s="0" t="s">
        <x:v>20</x:v>
      </x:c>
      <x:c r="I9444" s="0" t="s">
        <x:v>21</x:v>
      </x:c>
      <x:c r="K9444" s="0">
        <x:f>hyperlink("https://icd.who.int/dev11/l-ichi/en#/http%3A%2F%2Fid.who.int%2Ficd%2Fentity%2F1159591519","browser")</x:f>
      </x:c>
      <x:c r="L9444" s="0">
        <x:f>hyperlink("https://icat2.azurewebsites.net/icat/?ontology=ICD&amp;tab=ClassesTab&amp;id=http%3A%2F%2Fwho.int%2Ficd%233332_287df7d3_8979_4bc5_b232_cc0fd1045cd6","iCat")</x:f>
      </x:c>
      <x:c r="M9444" s="0" t="s">
        <x:v>21</x:v>
      </x:c>
      <x:c r="N9444" s="0" t="s">
        <x:v>46</x:v>
      </x:c>
    </x:row>
    <x:row r="9445" spans="1:16">
      <x:c r="A9445" s="0" t="s">
        <x:v>37645</x:v>
      </x:c>
      <x:c r="B9445" s="0" t="s">
        <x:v>37646</x:v>
      </x:c>
      <x:c r="C9445" s="0" t="s">
        <x:v>37647</x:v>
      </x:c>
      <x:c r="E9445" s="0" t="s">
        <x:v>37648</x:v>
      </x:c>
      <x:c r="F9445" s="0" t="s">
        <x:v>45</x:v>
      </x:c>
      <x:c r="G9445" s="0" t="s">
        <x:v>19</x:v>
      </x:c>
      <x:c r="H9445" s="0" t="s">
        <x:v>20</x:v>
      </x:c>
      <x:c r="I9445" s="0" t="s">
        <x:v>21</x:v>
      </x:c>
      <x:c r="K9445" s="0">
        <x:f>hyperlink("https://icd.who.int/dev11/l-ichi/en#/http%3A%2F%2Fid.who.int%2Ficd%2Fentity%2F1860213455","browser")</x:f>
      </x:c>
      <x:c r="L9445" s="0">
        <x:f>hyperlink("https://icat2.azurewebsites.net/icat/?ontology=ICD&amp;tab=ClassesTab&amp;id=http%3A%2F%2Fwho.int%2Ficd%233338_287df7d3_8979_4bc5_b232_cc0fd1045cd6","iCat")</x:f>
      </x:c>
      <x:c r="M9445" s="0" t="s">
        <x:v>21</x:v>
      </x:c>
      <x:c r="N9445" s="0" t="s">
        <x:v>46</x:v>
      </x:c>
    </x:row>
    <x:row r="9446" spans="1:16">
      <x:c r="A9446" s="0" t="s">
        <x:v>37649</x:v>
      </x:c>
      <x:c r="B9446" s="0" t="s">
        <x:v>37650</x:v>
      </x:c>
      <x:c r="C9446" s="0" t="s">
        <x:v>37651</x:v>
      </x:c>
      <x:c r="E9446" s="0" t="s">
        <x:v>37652</x:v>
      </x:c>
      <x:c r="F9446" s="0" t="s">
        <x:v>45</x:v>
      </x:c>
      <x:c r="G9446" s="0" t="s">
        <x:v>19</x:v>
      </x:c>
      <x:c r="H9446" s="0" t="s">
        <x:v>20</x:v>
      </x:c>
      <x:c r="I9446" s="0" t="s">
        <x:v>21</x:v>
      </x:c>
      <x:c r="K9446" s="0">
        <x:f>hyperlink("https://icd.who.int/dev11/l-ichi/en#/http%3A%2F%2Fid.who.int%2Ficd%2Fentity%2F632306932","browser")</x:f>
      </x:c>
      <x:c r="L9446" s="0">
        <x:f>hyperlink("https://icat2.azurewebsites.net/icat/?ontology=ICD&amp;tab=ClassesTab&amp;id=http%3A%2F%2Fwho.int%2Ficd%233344_287df7d3_8979_4bc5_b232_cc0fd1045cd6","iCat")</x:f>
      </x:c>
      <x:c r="M9446" s="0" t="s">
        <x:v>21</x:v>
      </x:c>
      <x:c r="N9446" s="0" t="s">
        <x:v>46</x:v>
      </x:c>
    </x:row>
    <x:row r="9447" spans="1:16">
      <x:c r="A9447" s="0" t="s">
        <x:v>37653</x:v>
      </x:c>
      <x:c r="B9447" s="0" t="s">
        <x:v>37654</x:v>
      </x:c>
      <x:c r="C9447" s="0" t="s">
        <x:v>37655</x:v>
      </x:c>
      <x:c r="E9447" s="0" t="s">
        <x:v>37656</x:v>
      </x:c>
      <x:c r="F9447" s="0" t="s">
        <x:v>45</x:v>
      </x:c>
      <x:c r="G9447" s="0" t="s">
        <x:v>19</x:v>
      </x:c>
      <x:c r="H9447" s="0" t="s">
        <x:v>20</x:v>
      </x:c>
      <x:c r="I9447" s="0" t="s">
        <x:v>21</x:v>
      </x:c>
      <x:c r="K9447" s="0">
        <x:f>hyperlink("https://icd.who.int/dev11/l-ichi/en#/http%3A%2F%2Fid.who.int%2Ficd%2Fentity%2F2054319575","browser")</x:f>
      </x:c>
      <x:c r="L9447" s="0">
        <x:f>hyperlink("https://icat2.azurewebsites.net/icat/?ontology=ICD&amp;tab=ClassesTab&amp;id=http%3A%2F%2Fwho.int%2Ficd%233350_287df7d3_8979_4bc5_b232_cc0fd1045cd6","iCat")</x:f>
      </x:c>
      <x:c r="M9447" s="0" t="s">
        <x:v>21</x:v>
      </x:c>
      <x:c r="N9447" s="0" t="s">
        <x:v>46</x:v>
      </x:c>
    </x:row>
    <x:row r="9448" spans="1:16">
      <x:c r="A9448" s="0" t="s">
        <x:v>37657</x:v>
      </x:c>
      <x:c r="B9448" s="0" t="s">
        <x:v>37658</x:v>
      </x:c>
      <x:c r="C9448" s="0" t="s">
        <x:v>37659</x:v>
      </x:c>
      <x:c r="E9448" s="0" t="s">
        <x:v>37660</x:v>
      </x:c>
      <x:c r="F9448" s="0" t="s">
        <x:v>45</x:v>
      </x:c>
      <x:c r="G9448" s="0" t="s">
        <x:v>19</x:v>
      </x:c>
      <x:c r="H9448" s="0" t="s">
        <x:v>20</x:v>
      </x:c>
      <x:c r="I9448" s="0" t="s">
        <x:v>21</x:v>
      </x:c>
      <x:c r="K9448" s="0">
        <x:f>hyperlink("https://icd.who.int/dev11/l-ichi/en#/http%3A%2F%2Fid.who.int%2Ficd%2Fentity%2F705279078","browser")</x:f>
      </x:c>
      <x:c r="L9448" s="0">
        <x:f>hyperlink("https://icat2.azurewebsites.net/icat/?ontology=ICD&amp;tab=ClassesTab&amp;id=http%3A%2F%2Fwho.int%2Ficd%233356_287df7d3_8979_4bc5_b232_cc0fd1045cd6","iCat")</x:f>
      </x:c>
      <x:c r="M9448" s="0" t="s">
        <x:v>21</x:v>
      </x:c>
      <x:c r="N9448" s="0" t="s">
        <x:v>46</x:v>
      </x:c>
    </x:row>
    <x:row r="9449" spans="1:16">
      <x:c r="A9449" s="0" t="s">
        <x:v>37661</x:v>
      </x:c>
      <x:c r="B9449" s="0" t="s">
        <x:v>37662</x:v>
      </x:c>
      <x:c r="C9449" s="0" t="s">
        <x:v>37663</x:v>
      </x:c>
      <x:c r="E9449" s="0" t="s">
        <x:v>37664</x:v>
      </x:c>
      <x:c r="F9449" s="0" t="s">
        <x:v>45</x:v>
      </x:c>
      <x:c r="G9449" s="0" t="s">
        <x:v>19</x:v>
      </x:c>
      <x:c r="H9449" s="0" t="s">
        <x:v>20</x:v>
      </x:c>
      <x:c r="I9449" s="0" t="s">
        <x:v>21</x:v>
      </x:c>
      <x:c r="K9449" s="0">
        <x:f>hyperlink("https://icd.who.int/dev11/l-ichi/en#/http%3A%2F%2Fid.who.int%2Ficd%2Fentity%2F1606365205","browser")</x:f>
      </x:c>
      <x:c r="L9449" s="0">
        <x:f>hyperlink("https://icat2.azurewebsites.net/icat/?ontology=ICD&amp;tab=ClassesTab&amp;id=http%3A%2F%2Fwho.int%2Ficd%233362_287df7d3_8979_4bc5_b232_cc0fd1045cd6","iCat")</x:f>
      </x:c>
      <x:c r="M9449" s="0" t="s">
        <x:v>21</x:v>
      </x:c>
      <x:c r="N9449" s="0" t="s">
        <x:v>46</x:v>
      </x:c>
    </x:row>
    <x:row r="9450" spans="1:16">
      <x:c r="A9450" s="0" t="s">
        <x:v>37665</x:v>
      </x:c>
      <x:c r="B9450" s="0" t="s">
        <x:v>37666</x:v>
      </x:c>
      <x:c r="C9450" s="0" t="s">
        <x:v>37667</x:v>
      </x:c>
      <x:c r="E9450" s="0" t="s">
        <x:v>37668</x:v>
      </x:c>
      <x:c r="F9450" s="0" t="s">
        <x:v>45</x:v>
      </x:c>
      <x:c r="G9450" s="0" t="s">
        <x:v>19</x:v>
      </x:c>
      <x:c r="H9450" s="0" t="s">
        <x:v>20</x:v>
      </x:c>
      <x:c r="I9450" s="0" t="s">
        <x:v>21</x:v>
      </x:c>
      <x:c r="K9450" s="0">
        <x:f>hyperlink("https://icd.who.int/dev11/l-ichi/en#/http%3A%2F%2Fid.who.int%2Ficd%2Fentity%2F1950506117","browser")</x:f>
      </x:c>
      <x:c r="L9450" s="0">
        <x:f>hyperlink("https://icat2.azurewebsites.net/icat/?ontology=ICD&amp;tab=ClassesTab&amp;id=http%3A%2F%2Fwho.int%2Ficd%233368_287df7d3_8979_4bc5_b232_cc0fd1045cd6","iCat")</x:f>
      </x:c>
      <x:c r="M9450" s="0" t="s">
        <x:v>21</x:v>
      </x:c>
      <x:c r="N9450" s="0" t="s">
        <x:v>46</x:v>
      </x:c>
    </x:row>
    <x:row r="9451" spans="1:16">
      <x:c r="A9451" s="0" t="s">
        <x:v>37669</x:v>
      </x:c>
      <x:c r="B9451" s="0" t="s">
        <x:v>37670</x:v>
      </x:c>
      <x:c r="C9451" s="0" t="s">
        <x:v>37671</x:v>
      </x:c>
      <x:c r="E9451" s="0" t="s">
        <x:v>37672</x:v>
      </x:c>
      <x:c r="F9451" s="0" t="s">
        <x:v>45</x:v>
      </x:c>
      <x:c r="G9451" s="0" t="s">
        <x:v>19</x:v>
      </x:c>
      <x:c r="H9451" s="0" t="s">
        <x:v>20</x:v>
      </x:c>
      <x:c r="I9451" s="0" t="s">
        <x:v>21</x:v>
      </x:c>
      <x:c r="K9451" s="0">
        <x:f>hyperlink("https://icd.who.int/dev11/l-ichi/en#/http%3A%2F%2Fid.who.int%2Ficd%2Fentity%2F2145514073","browser")</x:f>
      </x:c>
      <x:c r="L9451" s="0">
        <x:f>hyperlink("https://icat2.azurewebsites.net/icat/?ontology=ICD&amp;tab=ClassesTab&amp;id=http%3A%2F%2Fwho.int%2Ficd%233380_287df7d3_8979_4bc5_b232_cc0fd1045cd6","iCat")</x:f>
      </x:c>
      <x:c r="M9451" s="0" t="s">
        <x:v>21</x:v>
      </x:c>
      <x:c r="N9451" s="0" t="s">
        <x:v>46</x:v>
      </x:c>
    </x:row>
    <x:row r="9452" spans="1:16">
      <x:c r="A9452" s="0" t="s">
        <x:v>37673</x:v>
      </x:c>
      <x:c r="B9452" s="0" t="s">
        <x:v>37674</x:v>
      </x:c>
      <x:c r="C9452" s="0" t="s">
        <x:v>37675</x:v>
      </x:c>
      <x:c r="E9452" s="0" t="s">
        <x:v>37676</x:v>
      </x:c>
      <x:c r="F9452" s="0" t="s">
        <x:v>45</x:v>
      </x:c>
      <x:c r="G9452" s="0" t="s">
        <x:v>19</x:v>
      </x:c>
      <x:c r="H9452" s="0" t="s">
        <x:v>20</x:v>
      </x:c>
      <x:c r="I9452" s="0" t="s">
        <x:v>21</x:v>
      </x:c>
      <x:c r="K9452" s="0">
        <x:f>hyperlink("https://icd.who.int/dev11/l-ichi/en#/http%3A%2F%2Fid.who.int%2Ficd%2Fentity%2F1884846795","browser")</x:f>
      </x:c>
      <x:c r="L9452" s="0">
        <x:f>hyperlink("https://icat2.azurewebsites.net/icat/?ontology=ICD&amp;tab=ClassesTab&amp;id=http%3A%2F%2Fwho.int%2Ficd%233392_287df7d3_8979_4bc5_b232_cc0fd1045cd6","iCat")</x:f>
      </x:c>
      <x:c r="M9452" s="0" t="s">
        <x:v>21</x:v>
      </x:c>
      <x:c r="N9452" s="0" t="s">
        <x:v>46</x:v>
      </x:c>
    </x:row>
    <x:row r="9453" spans="1:16">
      <x:c r="A9453" s="0" t="s">
        <x:v>37677</x:v>
      </x:c>
      <x:c r="B9453" s="0" t="s">
        <x:v>37678</x:v>
      </x:c>
      <x:c r="C9453" s="0" t="s">
        <x:v>37679</x:v>
      </x:c>
      <x:c r="E9453" s="0" t="s">
        <x:v>37680</x:v>
      </x:c>
      <x:c r="F9453" s="0" t="s">
        <x:v>45</x:v>
      </x:c>
      <x:c r="G9453" s="0" t="s">
        <x:v>19</x:v>
      </x:c>
      <x:c r="H9453" s="0" t="s">
        <x:v>20</x:v>
      </x:c>
      <x:c r="I9453" s="0" t="s">
        <x:v>21</x:v>
      </x:c>
      <x:c r="K9453" s="0">
        <x:f>hyperlink("https://icd.who.int/dev11/l-ichi/en#/http%3A%2F%2Fid.who.int%2Ficd%2Fentity%2F1537545819","browser")</x:f>
      </x:c>
      <x:c r="L9453" s="0">
        <x:f>hyperlink("https://icat2.azurewebsites.net/icat/?ontology=ICD&amp;tab=ClassesTab&amp;id=http%3A%2F%2Fwho.int%2Ficd%233398_287df7d3_8979_4bc5_b232_cc0fd1045cd6","iCat")</x:f>
      </x:c>
      <x:c r="M9453" s="0" t="s">
        <x:v>21</x:v>
      </x:c>
      <x:c r="N9453" s="0" t="s">
        <x:v>46</x:v>
      </x:c>
    </x:row>
    <x:row r="9454" spans="1:16">
      <x:c r="A9454" s="0" t="s">
        <x:v>37681</x:v>
      </x:c>
      <x:c r="B9454" s="0" t="s">
        <x:v>37682</x:v>
      </x:c>
      <x:c r="C9454" s="0" t="s">
        <x:v>37683</x:v>
      </x:c>
      <x:c r="E9454" s="0" t="s">
        <x:v>37684</x:v>
      </x:c>
      <x:c r="F9454" s="0" t="s">
        <x:v>45</x:v>
      </x:c>
      <x:c r="G9454" s="0" t="s">
        <x:v>19</x:v>
      </x:c>
      <x:c r="H9454" s="0" t="s">
        <x:v>20</x:v>
      </x:c>
      <x:c r="I9454" s="0" t="s">
        <x:v>21</x:v>
      </x:c>
      <x:c r="K9454" s="0">
        <x:f>hyperlink("https://icd.who.int/dev11/l-ichi/en#/http%3A%2F%2Fid.who.int%2Ficd%2Fentity%2F965134213","browser")</x:f>
      </x:c>
      <x:c r="L9454" s="0">
        <x:f>hyperlink("https://icat2.azurewebsites.net/icat/?ontology=ICD&amp;tab=ClassesTab&amp;id=http%3A%2F%2Fwho.int%2Ficd%233404_287df7d3_8979_4bc5_b232_cc0fd1045cd6","iCat")</x:f>
      </x:c>
      <x:c r="M9454" s="0" t="s">
        <x:v>21</x:v>
      </x:c>
      <x:c r="N9454" s="0" t="s">
        <x:v>46</x:v>
      </x:c>
    </x:row>
    <x:row r="9455" spans="1:16">
      <x:c r="A9455" s="0" t="s">
        <x:v>37685</x:v>
      </x:c>
      <x:c r="B9455" s="0" t="s">
        <x:v>37686</x:v>
      </x:c>
      <x:c r="C9455" s="0" t="s">
        <x:v>37687</x:v>
      </x:c>
      <x:c r="E9455" s="0" t="s">
        <x:v>37688</x:v>
      </x:c>
      <x:c r="F9455" s="0" t="s">
        <x:v>45</x:v>
      </x:c>
      <x:c r="G9455" s="0" t="s">
        <x:v>19</x:v>
      </x:c>
      <x:c r="H9455" s="0" t="s">
        <x:v>20</x:v>
      </x:c>
      <x:c r="I9455" s="0" t="s">
        <x:v>21</x:v>
      </x:c>
      <x:c r="K9455" s="0">
        <x:f>hyperlink("https://icd.who.int/dev11/l-ichi/en#/http%3A%2F%2Fid.who.int%2Ficd%2Fentity%2F1715771046","browser")</x:f>
      </x:c>
      <x:c r="L9455" s="0">
        <x:f>hyperlink("https://icat2.azurewebsites.net/icat/?ontology=ICD&amp;tab=ClassesTab&amp;id=http%3A%2F%2Fwho.int%2Ficd%233410_287df7d3_8979_4bc5_b232_cc0fd1045cd6","iCat")</x:f>
      </x:c>
      <x:c r="M9455" s="0" t="s">
        <x:v>21</x:v>
      </x:c>
      <x:c r="N9455" s="0" t="s">
        <x:v>46</x:v>
      </x:c>
    </x:row>
    <x:row r="9456" spans="1:16">
      <x:c r="A9456" s="0" t="s">
        <x:v>37689</x:v>
      </x:c>
      <x:c r="B9456" s="0" t="s">
        <x:v>37690</x:v>
      </x:c>
      <x:c r="C9456" s="0" t="s">
        <x:v>37691</x:v>
      </x:c>
      <x:c r="E9456" s="0" t="s">
        <x:v>37692</x:v>
      </x:c>
      <x:c r="F9456" s="0" t="s">
        <x:v>45</x:v>
      </x:c>
      <x:c r="G9456" s="0" t="s">
        <x:v>19</x:v>
      </x:c>
      <x:c r="H9456" s="0" t="s">
        <x:v>20</x:v>
      </x:c>
      <x:c r="I9456" s="0" t="s">
        <x:v>21</x:v>
      </x:c>
      <x:c r="K9456" s="0">
        <x:f>hyperlink("https://icd.who.int/dev11/l-ichi/en#/http%3A%2F%2Fid.who.int%2Ficd%2Fentity%2F910118679","browser")</x:f>
      </x:c>
      <x:c r="L9456" s="0">
        <x:f>hyperlink("https://icat2.azurewebsites.net/icat/?ontology=ICD&amp;tab=ClassesTab&amp;id=http%3A%2F%2Fwho.int%2Ficd%233416_287df7d3_8979_4bc5_b232_cc0fd1045cd6","iCat")</x:f>
      </x:c>
      <x:c r="M9456" s="0" t="s">
        <x:v>21</x:v>
      </x:c>
      <x:c r="N9456" s="0" t="s">
        <x:v>46</x:v>
      </x:c>
    </x:row>
    <x:row r="9457" spans="1:16">
      <x:c r="A9457" s="0" t="s">
        <x:v>37693</x:v>
      </x:c>
      <x:c r="B9457" s="0" t="s">
        <x:v>37694</x:v>
      </x:c>
      <x:c r="C9457" s="0" t="s">
        <x:v>37695</x:v>
      </x:c>
      <x:c r="E9457" s="0" t="s">
        <x:v>37696</x:v>
      </x:c>
      <x:c r="F9457" s="0" t="s">
        <x:v>45</x:v>
      </x:c>
      <x:c r="G9457" s="0" t="s">
        <x:v>19</x:v>
      </x:c>
      <x:c r="H9457" s="0" t="s">
        <x:v>20</x:v>
      </x:c>
      <x:c r="I9457" s="0" t="s">
        <x:v>21</x:v>
      </x:c>
      <x:c r="K9457" s="0">
        <x:f>hyperlink("https://icd.who.int/dev11/l-ichi/en#/http%3A%2F%2Fid.who.int%2Ficd%2Fentity%2F1133103974","browser")</x:f>
      </x:c>
      <x:c r="L9457" s="0">
        <x:f>hyperlink("https://icat2.azurewebsites.net/icat/?ontology=ICD&amp;tab=ClassesTab&amp;id=http%3A%2F%2Fwho.int%2Ficd%233422_287df7d3_8979_4bc5_b232_cc0fd1045cd6","iCat")</x:f>
      </x:c>
      <x:c r="M9457" s="0" t="s">
        <x:v>21</x:v>
      </x:c>
      <x:c r="N9457" s="0" t="s">
        <x:v>46</x:v>
      </x:c>
    </x:row>
    <x:row r="9458" spans="1:16">
      <x:c r="A9458" s="0" t="s">
        <x:v>37697</x:v>
      </x:c>
      <x:c r="B9458" s="0" t="s">
        <x:v>37698</x:v>
      </x:c>
      <x:c r="C9458" s="0" t="s">
        <x:v>37699</x:v>
      </x:c>
      <x:c r="E9458" s="0" t="s">
        <x:v>37700</x:v>
      </x:c>
      <x:c r="F9458" s="0" t="s">
        <x:v>45</x:v>
      </x:c>
      <x:c r="G9458" s="0" t="s">
        <x:v>19</x:v>
      </x:c>
      <x:c r="H9458" s="0" t="s">
        <x:v>20</x:v>
      </x:c>
      <x:c r="I9458" s="0" t="s">
        <x:v>21</x:v>
      </x:c>
      <x:c r="K9458" s="0">
        <x:f>hyperlink("https://icd.who.int/dev11/l-ichi/en#/http%3A%2F%2Fid.who.int%2Ficd%2Fentity%2F1752475638","browser")</x:f>
      </x:c>
      <x:c r="L9458" s="0">
        <x:f>hyperlink("https://icat2.azurewebsites.net/icat/?ontology=ICD&amp;tab=ClassesTab&amp;id=http%3A%2F%2Fwho.int%2Ficd%233428_287df7d3_8979_4bc5_b232_cc0fd1045cd6","iCat")</x:f>
      </x:c>
      <x:c r="M9458" s="0" t="s">
        <x:v>21</x:v>
      </x:c>
      <x:c r="N9458" s="0" t="s">
        <x:v>46</x:v>
      </x:c>
    </x:row>
    <x:row r="9459" spans="1:16">
      <x:c r="A9459" s="0" t="s">
        <x:v>37701</x:v>
      </x:c>
      <x:c r="B9459" s="0" t="s">
        <x:v>37702</x:v>
      </x:c>
      <x:c r="C9459" s="0" t="s">
        <x:v>37703</x:v>
      </x:c>
      <x:c r="E9459" s="0" t="s">
        <x:v>37704</x:v>
      </x:c>
      <x:c r="F9459" s="0" t="s">
        <x:v>45</x:v>
      </x:c>
      <x:c r="G9459" s="0" t="s">
        <x:v>19</x:v>
      </x:c>
      <x:c r="H9459" s="0" t="s">
        <x:v>20</x:v>
      </x:c>
      <x:c r="I9459" s="0" t="s">
        <x:v>21</x:v>
      </x:c>
      <x:c r="K9459" s="0">
        <x:f>hyperlink("https://icd.who.int/dev11/l-ichi/en#/http%3A%2F%2Fid.who.int%2Ficd%2Fentity%2F2033682306","browser")</x:f>
      </x:c>
      <x:c r="L9459" s="0">
        <x:f>hyperlink("https://icat2.azurewebsites.net/icat/?ontology=ICD&amp;tab=ClassesTab&amp;id=http%3A%2F%2Fwho.int%2Ficd%233434_287df7d3_8979_4bc5_b232_cc0fd1045cd6","iCat")</x:f>
      </x:c>
      <x:c r="M9459" s="0" t="s">
        <x:v>21</x:v>
      </x:c>
      <x:c r="N9459" s="0" t="s">
        <x:v>46</x:v>
      </x:c>
    </x:row>
    <x:row r="9460" spans="1:16">
      <x:c r="A9460" s="0" t="s">
        <x:v>37705</x:v>
      </x:c>
      <x:c r="B9460" s="0" t="s">
        <x:v>37706</x:v>
      </x:c>
      <x:c r="C9460" s="0" t="s">
        <x:v>37707</x:v>
      </x:c>
      <x:c r="E9460" s="0" t="s">
        <x:v>37708</x:v>
      </x:c>
      <x:c r="F9460" s="0" t="s">
        <x:v>45</x:v>
      </x:c>
      <x:c r="G9460" s="0" t="s">
        <x:v>19</x:v>
      </x:c>
      <x:c r="H9460" s="0" t="s">
        <x:v>20</x:v>
      </x:c>
      <x:c r="I9460" s="0" t="s">
        <x:v>21</x:v>
      </x:c>
      <x:c r="K9460" s="0">
        <x:f>hyperlink("https://icd.who.int/dev11/l-ichi/en#/http%3A%2F%2Fid.who.int%2Ficd%2Fentity%2F2095468780","browser")</x:f>
      </x:c>
      <x:c r="L9460" s="0">
        <x:f>hyperlink("https://icat2.azurewebsites.net/icat/?ontology=ICD&amp;tab=ClassesTab&amp;id=http%3A%2F%2Fwho.int%2Ficd%233440_287df7d3_8979_4bc5_b232_cc0fd1045cd6","iCat")</x:f>
      </x:c>
      <x:c r="M9460" s="0" t="s">
        <x:v>21</x:v>
      </x:c>
      <x:c r="N9460" s="0" t="s">
        <x:v>46</x:v>
      </x:c>
    </x:row>
    <x:row r="9461" spans="1:16">
      <x:c r="A9461" s="0" t="s">
        <x:v>37709</x:v>
      </x:c>
      <x:c r="B9461" s="0" t="s">
        <x:v>37710</x:v>
      </x:c>
      <x:c r="C9461" s="0" t="s">
        <x:v>37711</x:v>
      </x:c>
      <x:c r="E9461" s="0" t="s">
        <x:v>37712</x:v>
      </x:c>
      <x:c r="F9461" s="0" t="s">
        <x:v>45</x:v>
      </x:c>
      <x:c r="G9461" s="0" t="s">
        <x:v>19</x:v>
      </x:c>
      <x:c r="H9461" s="0" t="s">
        <x:v>20</x:v>
      </x:c>
      <x:c r="I9461" s="0" t="s">
        <x:v>21</x:v>
      </x:c>
      <x:c r="K9461" s="0">
        <x:f>hyperlink("https://icd.who.int/dev11/l-ichi/en#/http%3A%2F%2Fid.who.int%2Ficd%2Fentity%2F748521821","browser")</x:f>
      </x:c>
      <x:c r="L9461" s="0">
        <x:f>hyperlink("https://icat2.azurewebsites.net/icat/?ontology=ICD&amp;tab=ClassesTab&amp;id=http%3A%2F%2Fwho.int%2Ficd%233446_287df7d3_8979_4bc5_b232_cc0fd1045cd6","iCat")</x:f>
      </x:c>
      <x:c r="M9461" s="0" t="s">
        <x:v>21</x:v>
      </x:c>
      <x:c r="N9461" s="0" t="s">
        <x:v>46</x:v>
      </x:c>
    </x:row>
    <x:row r="9462" spans="1:16">
      <x:c r="A9462" s="0" t="s">
        <x:v>37713</x:v>
      </x:c>
      <x:c r="B9462" s="0" t="s">
        <x:v>37714</x:v>
      </x:c>
      <x:c r="C9462" s="0" t="s">
        <x:v>37715</x:v>
      </x:c>
      <x:c r="E9462" s="0" t="s">
        <x:v>37716</x:v>
      </x:c>
      <x:c r="F9462" s="0" t="s">
        <x:v>45</x:v>
      </x:c>
      <x:c r="G9462" s="0" t="s">
        <x:v>19</x:v>
      </x:c>
      <x:c r="H9462" s="0" t="s">
        <x:v>20</x:v>
      </x:c>
      <x:c r="I9462" s="0" t="s">
        <x:v>21</x:v>
      </x:c>
      <x:c r="K9462" s="0">
        <x:f>hyperlink("https://icd.who.int/dev11/l-ichi/en#/http%3A%2F%2Fid.who.int%2Ficd%2Fentity%2F1935661182","browser")</x:f>
      </x:c>
      <x:c r="L9462" s="0">
        <x:f>hyperlink("https://icat2.azurewebsites.net/icat/?ontology=ICD&amp;tab=ClassesTab&amp;id=http%3A%2F%2Fwho.int%2Ficd%233452_287df7d3_8979_4bc5_b232_cc0fd1045cd6","iCat")</x:f>
      </x:c>
      <x:c r="M9462" s="0" t="s">
        <x:v>21</x:v>
      </x:c>
      <x:c r="N9462" s="0" t="s">
        <x:v>46</x:v>
      </x:c>
    </x:row>
    <x:row r="9463" spans="1:16">
      <x:c r="A9463" s="0" t="s">
        <x:v>37717</x:v>
      </x:c>
      <x:c r="B9463" s="0" t="s">
        <x:v>37718</x:v>
      </x:c>
      <x:c r="C9463" s="0" t="s">
        <x:v>37719</x:v>
      </x:c>
      <x:c r="E9463" s="0" t="s">
        <x:v>37720</x:v>
      </x:c>
      <x:c r="F9463" s="0" t="s">
        <x:v>45</x:v>
      </x:c>
      <x:c r="G9463" s="0" t="s">
        <x:v>19</x:v>
      </x:c>
      <x:c r="H9463" s="0" t="s">
        <x:v>20</x:v>
      </x:c>
      <x:c r="I9463" s="0" t="s">
        <x:v>21</x:v>
      </x:c>
      <x:c r="K9463" s="0">
        <x:f>hyperlink("https://icd.who.int/dev11/l-ichi/en#/http%3A%2F%2Fid.who.int%2Ficd%2Fentity%2F1487058158","browser")</x:f>
      </x:c>
      <x:c r="L9463" s="0">
        <x:f>hyperlink("https://icat2.azurewebsites.net/icat/?ontology=ICD&amp;tab=ClassesTab&amp;id=http%3A%2F%2Fwho.int%2Ficd%233458_287df7d3_8979_4bc5_b232_cc0fd1045cd6","iCat")</x:f>
      </x:c>
      <x:c r="M9463" s="0" t="s">
        <x:v>21</x:v>
      </x:c>
      <x:c r="N9463" s="0" t="s">
        <x:v>46</x:v>
      </x:c>
    </x:row>
    <x:row r="9464" spans="1:16">
      <x:c r="A9464" s="0" t="s">
        <x:v>37721</x:v>
      </x:c>
      <x:c r="B9464" s="0" t="s">
        <x:v>37722</x:v>
      </x:c>
      <x:c r="C9464" s="0" t="s">
        <x:v>37723</x:v>
      </x:c>
      <x:c r="E9464" s="0" t="s">
        <x:v>37724</x:v>
      </x:c>
      <x:c r="F9464" s="0" t="s">
        <x:v>45</x:v>
      </x:c>
      <x:c r="G9464" s="0" t="s">
        <x:v>19</x:v>
      </x:c>
      <x:c r="H9464" s="0" t="s">
        <x:v>20</x:v>
      </x:c>
      <x:c r="I9464" s="0" t="s">
        <x:v>21</x:v>
      </x:c>
      <x:c r="K9464" s="0">
        <x:f>hyperlink("https://icd.who.int/dev11/l-ichi/en#/http%3A%2F%2Fid.who.int%2Ficd%2Fentity%2F1670726088","browser")</x:f>
      </x:c>
      <x:c r="L9464" s="0">
        <x:f>hyperlink("https://icat2.azurewebsites.net/icat/?ontology=ICD&amp;tab=ClassesTab&amp;id=http%3A%2F%2Fwho.int%2Ficd%233464_287df7d3_8979_4bc5_b232_cc0fd1045cd6","iCat")</x:f>
      </x:c>
      <x:c r="M9464" s="0" t="s">
        <x:v>21</x:v>
      </x:c>
      <x:c r="N9464" s="0" t="s">
        <x:v>46</x:v>
      </x:c>
    </x:row>
    <x:row r="9465" spans="1:16">
      <x:c r="A9465" s="0" t="s">
        <x:v>37725</x:v>
      </x:c>
      <x:c r="B9465" s="0" t="s">
        <x:v>37726</x:v>
      </x:c>
      <x:c r="C9465" s="0" t="s">
        <x:v>37727</x:v>
      </x:c>
      <x:c r="E9465" s="0" t="s">
        <x:v>37728</x:v>
      </x:c>
      <x:c r="F9465" s="0" t="s">
        <x:v>45</x:v>
      </x:c>
      <x:c r="G9465" s="0" t="s">
        <x:v>19</x:v>
      </x:c>
      <x:c r="H9465" s="0" t="s">
        <x:v>20</x:v>
      </x:c>
      <x:c r="I9465" s="0" t="s">
        <x:v>21</x:v>
      </x:c>
      <x:c r="K9465" s="0">
        <x:f>hyperlink("https://icd.who.int/dev11/l-ichi/en#/http%3A%2F%2Fid.who.int%2Ficd%2Fentity%2F1012338923","browser")</x:f>
      </x:c>
      <x:c r="L9465" s="0">
        <x:f>hyperlink("https://icat2.azurewebsites.net/icat/?ontology=ICD&amp;tab=ClassesTab&amp;id=http%3A%2F%2Fwho.int%2Ficd%233470_287df7d3_8979_4bc5_b232_cc0fd1045cd6","iCat")</x:f>
      </x:c>
      <x:c r="M9465" s="0" t="s">
        <x:v>21</x:v>
      </x:c>
      <x:c r="N9465" s="0" t="s">
        <x:v>46</x:v>
      </x:c>
    </x:row>
    <x:row r="9466" spans="1:16">
      <x:c r="A9466" s="0" t="s">
        <x:v>37729</x:v>
      </x:c>
      <x:c r="B9466" s="0" t="s">
        <x:v>37730</x:v>
      </x:c>
      <x:c r="C9466" s="0" t="s">
        <x:v>37731</x:v>
      </x:c>
      <x:c r="E9466" s="0" t="s">
        <x:v>37732</x:v>
      </x:c>
      <x:c r="F9466" s="0" t="s">
        <x:v>45</x:v>
      </x:c>
      <x:c r="G9466" s="0" t="s">
        <x:v>19</x:v>
      </x:c>
      <x:c r="H9466" s="0" t="s">
        <x:v>20</x:v>
      </x:c>
      <x:c r="I9466" s="0" t="s">
        <x:v>21</x:v>
      </x:c>
      <x:c r="K9466" s="0">
        <x:f>hyperlink("https://icd.who.int/dev11/l-ichi/en#/http%3A%2F%2Fid.who.int%2Ficd%2Fentity%2F837493644","browser")</x:f>
      </x:c>
      <x:c r="L9466" s="0">
        <x:f>hyperlink("https://icat2.azurewebsites.net/icat/?ontology=ICD&amp;tab=ClassesTab&amp;id=http%3A%2F%2Fwho.int%2Ficd%23128_60b821c4_cabc_4b81_9563_cb99d74167d5","iCat")</x:f>
      </x:c>
      <x:c r="M9466" s="0" t="s">
        <x:v>21</x:v>
      </x:c>
      <x:c r="N9466" s="0" t="s">
        <x:v>46</x:v>
      </x:c>
    </x:row>
    <x:row r="9467" spans="1:16">
      <x:c r="A9467" s="0" t="s">
        <x:v>37733</x:v>
      </x:c>
      <x:c r="B9467" s="0" t="s">
        <x:v>37734</x:v>
      </x:c>
      <x:c r="C9467" s="0" t="s">
        <x:v>37735</x:v>
      </x:c>
      <x:c r="E9467" s="0" t="s">
        <x:v>37736</x:v>
      </x:c>
      <x:c r="F9467" s="0" t="s">
        <x:v>45</x:v>
      </x:c>
      <x:c r="G9467" s="0" t="s">
        <x:v>19</x:v>
      </x:c>
      <x:c r="H9467" s="0" t="s">
        <x:v>20</x:v>
      </x:c>
      <x:c r="I9467" s="0" t="s">
        <x:v>21</x:v>
      </x:c>
      <x:c r="K9467" s="0">
        <x:f>hyperlink("https://icd.who.int/dev11/l-ichi/en#/http%3A%2F%2Fid.who.int%2Ficd%2Fentity%2F625334117","browser")</x:f>
      </x:c>
      <x:c r="L9467" s="0">
        <x:f>hyperlink("https://icat2.azurewebsites.net/icat/?ontology=ICD&amp;tab=ClassesTab&amp;id=http%3A%2F%2Fwho.int%2Ficd%230_b929cd40_1812_4e2b_8d98_622273bc31b1","iCat")</x:f>
      </x:c>
      <x:c r="M9467" s="0" t="s">
        <x:v>21</x:v>
      </x:c>
      <x:c r="N9467" s="0" t="s">
        <x:v>46</x:v>
      </x:c>
    </x:row>
    <x:row r="9468" spans="1:16">
      <x:c r="A9468" s="0" t="s">
        <x:v>37737</x:v>
      </x:c>
      <x:c r="B9468" s="0" t="s">
        <x:v>37738</x:v>
      </x:c>
      <x:c r="C9468" s="0" t="s">
        <x:v>37739</x:v>
      </x:c>
      <x:c r="E9468" s="0" t="s">
        <x:v>37740</x:v>
      </x:c>
      <x:c r="F9468" s="0" t="s">
        <x:v>45</x:v>
      </x:c>
      <x:c r="G9468" s="0" t="s">
        <x:v>19</x:v>
      </x:c>
      <x:c r="H9468" s="0" t="s">
        <x:v>20</x:v>
      </x:c>
      <x:c r="I9468" s="0" t="s">
        <x:v>21</x:v>
      </x:c>
      <x:c r="K9468" s="0">
        <x:f>hyperlink("https://icd.who.int/dev11/l-ichi/en#/http%3A%2F%2Fid.who.int%2Ficd%2Fentity%2F1967001300","browser")</x:f>
      </x:c>
      <x:c r="L9468" s="0">
        <x:f>hyperlink("https://icat2.azurewebsites.net/icat/?ontology=ICD&amp;tab=ClassesTab&amp;id=http%3A%2F%2Fwho.int%2Ficd%236_b929cd40_1812_4e2b_8d98_622273bc31b1","iCat")</x:f>
      </x:c>
      <x:c r="M9468" s="0" t="s">
        <x:v>21</x:v>
      </x:c>
      <x:c r="N9468" s="0" t="s">
        <x:v>46</x:v>
      </x:c>
    </x:row>
    <x:row r="9469" spans="1:16">
      <x:c r="A9469" s="0" t="s">
        <x:v>37741</x:v>
      </x:c>
      <x:c r="B9469" s="0" t="s">
        <x:v>37742</x:v>
      </x:c>
      <x:c r="C9469" s="0" t="s">
        <x:v>37743</x:v>
      </x:c>
      <x:c r="E9469" s="0" t="s">
        <x:v>37744</x:v>
      </x:c>
      <x:c r="F9469" s="0" t="s">
        <x:v>45</x:v>
      </x:c>
      <x:c r="G9469" s="0" t="s">
        <x:v>19</x:v>
      </x:c>
      <x:c r="H9469" s="0" t="s">
        <x:v>20</x:v>
      </x:c>
      <x:c r="I9469" s="0" t="s">
        <x:v>21</x:v>
      </x:c>
      <x:c r="K9469" s="0">
        <x:f>hyperlink("https://icd.who.int/dev11/l-ichi/en#/http%3A%2F%2Fid.who.int%2Ficd%2Fentity%2F487162346","browser")</x:f>
      </x:c>
      <x:c r="L9469" s="0">
        <x:f>hyperlink("https://icat2.azurewebsites.net/icat/?ontology=ICD&amp;tab=ClassesTab&amp;id=http%3A%2F%2Fwho.int%2Ficd%2379_b929cd40_1812_4e2b_8d98_622273bc31b1","iCat")</x:f>
      </x:c>
      <x:c r="M9469" s="0" t="s">
        <x:v>21</x:v>
      </x:c>
      <x:c r="N9469" s="0" t="s">
        <x:v>46</x:v>
      </x:c>
    </x:row>
    <x:row r="9470" spans="1:16">
      <x:c r="A9470" s="0" t="s">
        <x:v>37745</x:v>
      </x:c>
      <x:c r="B9470" s="0" t="s">
        <x:v>37746</x:v>
      </x:c>
      <x:c r="C9470" s="0" t="s">
        <x:v>37747</x:v>
      </x:c>
      <x:c r="E9470" s="0" t="s">
        <x:v>37748</x:v>
      </x:c>
      <x:c r="F9470" s="0" t="s">
        <x:v>45</x:v>
      </x:c>
      <x:c r="G9470" s="0" t="s">
        <x:v>19</x:v>
      </x:c>
      <x:c r="H9470" s="0" t="s">
        <x:v>20</x:v>
      </x:c>
      <x:c r="I9470" s="0" t="s">
        <x:v>21</x:v>
      </x:c>
      <x:c r="K9470" s="0">
        <x:f>hyperlink("https://icd.who.int/dev11/l-ichi/en#/http%3A%2F%2Fid.who.int%2Ficd%2Fentity%2F1231584789","browser")</x:f>
      </x:c>
      <x:c r="L9470" s="0">
        <x:f>hyperlink("https://icat2.azurewebsites.net/icat/?ontology=ICD&amp;tab=ClassesTab&amp;id=http%3A%2F%2Fwho.int%2Ficd%2385_b929cd40_1812_4e2b_8d98_622273bc31b1","iCat")</x:f>
      </x:c>
      <x:c r="M9470" s="0" t="s">
        <x:v>21</x:v>
      </x:c>
      <x:c r="N9470" s="0" t="s">
        <x:v>46</x:v>
      </x:c>
    </x:row>
    <x:row r="9471" spans="1:16">
      <x:c r="A9471" s="0" t="s">
        <x:v>37749</x:v>
      </x:c>
      <x:c r="B9471" s="0" t="s">
        <x:v>37750</x:v>
      </x:c>
      <x:c r="C9471" s="0" t="s">
        <x:v>37751</x:v>
      </x:c>
      <x:c r="E9471" s="0" t="s">
        <x:v>37752</x:v>
      </x:c>
      <x:c r="F9471" s="0" t="s">
        <x:v>45</x:v>
      </x:c>
      <x:c r="G9471" s="0" t="s">
        <x:v>19</x:v>
      </x:c>
      <x:c r="H9471" s="0" t="s">
        <x:v>20</x:v>
      </x:c>
      <x:c r="I9471" s="0" t="s">
        <x:v>21</x:v>
      </x:c>
      <x:c r="K9471" s="0">
        <x:f>hyperlink("https://icd.who.int/dev11/l-ichi/en#/http%3A%2F%2Fid.who.int%2Ficd%2Fentity%2F380251958","browser")</x:f>
      </x:c>
      <x:c r="L9471" s="0">
        <x:f>hyperlink("https://icat2.azurewebsites.net/icat/?ontology=ICD&amp;tab=ClassesTab&amp;id=http%3A%2F%2Fwho.int%2Ficd%2391_b929cd40_1812_4e2b_8d98_622273bc31b1","iCat")</x:f>
      </x:c>
      <x:c r="M9471" s="0" t="s">
        <x:v>21</x:v>
      </x:c>
      <x:c r="N9471" s="0" t="s">
        <x:v>46</x:v>
      </x:c>
    </x:row>
    <x:row r="9472" spans="1:16">
      <x:c r="A9472" s="0" t="s">
        <x:v>37753</x:v>
      </x:c>
      <x:c r="B9472" s="0" t="s">
        <x:v>37754</x:v>
      </x:c>
      <x:c r="C9472" s="0" t="s">
        <x:v>37755</x:v>
      </x:c>
      <x:c r="E9472" s="0" t="s">
        <x:v>37756</x:v>
      </x:c>
      <x:c r="F9472" s="0" t="s">
        <x:v>45</x:v>
      </x:c>
      <x:c r="G9472" s="0" t="s">
        <x:v>19</x:v>
      </x:c>
      <x:c r="H9472" s="0" t="s">
        <x:v>20</x:v>
      </x:c>
      <x:c r="I9472" s="0" t="s">
        <x:v>21</x:v>
      </x:c>
      <x:c r="K9472" s="0">
        <x:f>hyperlink("https://icd.who.int/dev11/l-ichi/en#/http%3A%2F%2Fid.who.int%2Ficd%2Fentity%2F1188165255","browser")</x:f>
      </x:c>
      <x:c r="L9472" s="0">
        <x:f>hyperlink("https://icat2.azurewebsites.net/icat/?ontology=ICD&amp;tab=ClassesTab&amp;id=http%3A%2F%2Fwho.int%2Ficd%2397_b929cd40_1812_4e2b_8d98_622273bc31b1","iCat")</x:f>
      </x:c>
      <x:c r="M9472" s="0" t="s">
        <x:v>21</x:v>
      </x:c>
      <x:c r="N9472" s="0" t="s">
        <x:v>46</x:v>
      </x:c>
    </x:row>
    <x:row r="9473" spans="1:16">
      <x:c r="A9473" s="0" t="s">
        <x:v>37757</x:v>
      </x:c>
      <x:c r="B9473" s="0" t="s">
        <x:v>37758</x:v>
      </x:c>
      <x:c r="C9473" s="0" t="s">
        <x:v>37759</x:v>
      </x:c>
      <x:c r="E9473" s="0" t="s">
        <x:v>37760</x:v>
      </x:c>
      <x:c r="F9473" s="0" t="s">
        <x:v>45</x:v>
      </x:c>
      <x:c r="G9473" s="0" t="s">
        <x:v>19</x:v>
      </x:c>
      <x:c r="H9473" s="0" t="s">
        <x:v>20</x:v>
      </x:c>
      <x:c r="I9473" s="0" t="s">
        <x:v>21</x:v>
      </x:c>
      <x:c r="K9473" s="0">
        <x:f>hyperlink("https://icd.who.int/dev11/l-ichi/en#/http%3A%2F%2Fid.who.int%2Ficd%2Fentity%2F214513588","browser")</x:f>
      </x:c>
      <x:c r="L9473" s="0">
        <x:f>hyperlink("https://icat2.azurewebsites.net/icat/?ontology=ICD&amp;tab=ClassesTab&amp;id=http%3A%2F%2Fwho.int%2Ficd%23103_b929cd40_1812_4e2b_8d98_622273bc31b1","iCat")</x:f>
      </x:c>
      <x:c r="M9473" s="0" t="s">
        <x:v>21</x:v>
      </x:c>
      <x:c r="N9473" s="0" t="s">
        <x:v>46</x:v>
      </x:c>
    </x:row>
    <x:row r="9474" spans="1:16">
      <x:c r="A9474" s="0" t="s">
        <x:v>37761</x:v>
      </x:c>
      <x:c r="B9474" s="0" t="s">
        <x:v>37762</x:v>
      </x:c>
      <x:c r="C9474" s="0" t="s">
        <x:v>37763</x:v>
      </x:c>
      <x:c r="E9474" s="0" t="s">
        <x:v>37764</x:v>
      </x:c>
      <x:c r="F9474" s="0" t="s">
        <x:v>45</x:v>
      </x:c>
      <x:c r="G9474" s="0" t="s">
        <x:v>19</x:v>
      </x:c>
      <x:c r="H9474" s="0" t="s">
        <x:v>20</x:v>
      </x:c>
      <x:c r="I9474" s="0" t="s">
        <x:v>21</x:v>
      </x:c>
      <x:c r="K9474" s="0">
        <x:f>hyperlink("https://icd.who.int/dev11/l-ichi/en#/http%3A%2F%2Fid.who.int%2Ficd%2Fentity%2F657742628","browser")</x:f>
      </x:c>
      <x:c r="L9474" s="0">
        <x:f>hyperlink("https://icat2.azurewebsites.net/icat/?ontology=ICD&amp;tab=ClassesTab&amp;id=http%3A%2F%2Fwho.int%2Ficd%23109_b929cd40_1812_4e2b_8d98_622273bc31b1","iCat")</x:f>
      </x:c>
      <x:c r="M9474" s="0" t="s">
        <x:v>21</x:v>
      </x:c>
      <x:c r="N9474" s="0" t="s">
        <x:v>46</x:v>
      </x:c>
    </x:row>
    <x:row r="9475" spans="1:16">
      <x:c r="A9475" s="0" t="s">
        <x:v>37765</x:v>
      </x:c>
      <x:c r="B9475" s="0" t="s">
        <x:v>37766</x:v>
      </x:c>
      <x:c r="C9475" s="0" t="s">
        <x:v>37767</x:v>
      </x:c>
      <x:c r="E9475" s="0" t="s">
        <x:v>37768</x:v>
      </x:c>
      <x:c r="F9475" s="0" t="s">
        <x:v>45</x:v>
      </x:c>
      <x:c r="G9475" s="0" t="s">
        <x:v>19</x:v>
      </x:c>
      <x:c r="H9475" s="0" t="s">
        <x:v>20</x:v>
      </x:c>
      <x:c r="I9475" s="0" t="s">
        <x:v>21</x:v>
      </x:c>
      <x:c r="K9475" s="0">
        <x:f>hyperlink("https://icd.who.int/dev11/l-ichi/en#/http%3A%2F%2Fid.who.int%2Ficd%2Fentity%2F913800020","browser")</x:f>
      </x:c>
      <x:c r="L9475" s="0">
        <x:f>hyperlink("https://icat2.azurewebsites.net/icat/?ontology=ICD&amp;tab=ClassesTab&amp;id=http%3A%2F%2Fwho.int%2Ficd%23115_b929cd40_1812_4e2b_8d98_622273bc31b1","iCat")</x:f>
      </x:c>
      <x:c r="M9475" s="0" t="s">
        <x:v>21</x:v>
      </x:c>
      <x:c r="N9475" s="0" t="s">
        <x:v>46</x:v>
      </x:c>
    </x:row>
    <x:row r="9476" spans="1:16">
      <x:c r="A9476" s="0" t="s">
        <x:v>37769</x:v>
      </x:c>
      <x:c r="B9476" s="0" t="s">
        <x:v>37770</x:v>
      </x:c>
      <x:c r="C9476" s="0" t="s">
        <x:v>37771</x:v>
      </x:c>
      <x:c r="E9476" s="0" t="s">
        <x:v>37772</x:v>
      </x:c>
      <x:c r="F9476" s="0" t="s">
        <x:v>45</x:v>
      </x:c>
      <x:c r="G9476" s="0" t="s">
        <x:v>19</x:v>
      </x:c>
      <x:c r="H9476" s="0" t="s">
        <x:v>20</x:v>
      </x:c>
      <x:c r="I9476" s="0" t="s">
        <x:v>21</x:v>
      </x:c>
      <x:c r="K9476" s="0">
        <x:f>hyperlink("https://icd.who.int/dev11/l-ichi/en#/http%3A%2F%2Fid.who.int%2Ficd%2Fentity%2F1136787233","browser")</x:f>
      </x:c>
      <x:c r="L9476" s="0">
        <x:f>hyperlink("https://icat2.azurewebsites.net/icat/?ontology=ICD&amp;tab=ClassesTab&amp;id=http%3A%2F%2Fwho.int%2Ficd%23121_b929cd40_1812_4e2b_8d98_622273bc31b1","iCat")</x:f>
      </x:c>
      <x:c r="M9476" s="0" t="s">
        <x:v>21</x:v>
      </x:c>
      <x:c r="N9476" s="0" t="s">
        <x:v>46</x:v>
      </x:c>
    </x:row>
    <x:row r="9477" spans="1:16">
      <x:c r="A9477" s="0" t="s">
        <x:v>37773</x:v>
      </x:c>
      <x:c r="B9477" s="0" t="s">
        <x:v>37774</x:v>
      </x:c>
      <x:c r="C9477" s="0" t="s">
        <x:v>37775</x:v>
      </x:c>
      <x:c r="E9477" s="0" t="s">
        <x:v>37776</x:v>
      </x:c>
      <x:c r="F9477" s="0" t="s">
        <x:v>45</x:v>
      </x:c>
      <x:c r="G9477" s="0" t="s">
        <x:v>19</x:v>
      </x:c>
      <x:c r="H9477" s="0" t="s">
        <x:v>20</x:v>
      </x:c>
      <x:c r="I9477" s="0" t="s">
        <x:v>21</x:v>
      </x:c>
      <x:c r="K9477" s="0">
        <x:f>hyperlink("https://icd.who.int/dev11/l-ichi/en#/http%3A%2F%2Fid.who.int%2Ficd%2Fentity%2F330966672","browser")</x:f>
      </x:c>
      <x:c r="L9477" s="0">
        <x:f>hyperlink("https://icat2.azurewebsites.net/icat/?ontology=ICD&amp;tab=ClassesTab&amp;id=http%3A%2F%2Fwho.int%2Ficd%23127_b929cd40_1812_4e2b_8d98_622273bc31b1","iCat")</x:f>
      </x:c>
      <x:c r="M9477" s="0" t="s">
        <x:v>21</x:v>
      </x:c>
      <x:c r="N9477" s="0" t="s">
        <x:v>46</x:v>
      </x:c>
    </x:row>
    <x:row r="9478" spans="1:16">
      <x:c r="A9478" s="0" t="s">
        <x:v>37777</x:v>
      </x:c>
      <x:c r="B9478" s="0" t="s">
        <x:v>37778</x:v>
      </x:c>
      <x:c r="C9478" s="0" t="s">
        <x:v>37779</x:v>
      </x:c>
      <x:c r="E9478" s="0" t="s">
        <x:v>37780</x:v>
      </x:c>
      <x:c r="F9478" s="0" t="s">
        <x:v>45</x:v>
      </x:c>
      <x:c r="G9478" s="0" t="s">
        <x:v>19</x:v>
      </x:c>
      <x:c r="H9478" s="0" t="s">
        <x:v>20</x:v>
      </x:c>
      <x:c r="I9478" s="0" t="s">
        <x:v>21</x:v>
      </x:c>
      <x:c r="K9478" s="0">
        <x:f>hyperlink("https://icd.who.int/dev11/l-ichi/en#/http%3A%2F%2Fid.who.int%2Ficd%2Fentity%2F1282963379","browser")</x:f>
      </x:c>
      <x:c r="L9478" s="0">
        <x:f>hyperlink("https://icat2.azurewebsites.net/icat/?ontology=ICD&amp;tab=ClassesTab&amp;id=http%3A%2F%2Fwho.int%2Ficd%23133_b929cd40_1812_4e2b_8d98_622273bc31b1","iCat")</x:f>
      </x:c>
      <x:c r="M9478" s="0" t="s">
        <x:v>21</x:v>
      </x:c>
      <x:c r="N9478" s="0" t="s">
        <x:v>46</x:v>
      </x:c>
    </x:row>
    <x:row r="9479" spans="1:16">
      <x:c r="A9479" s="0" t="s">
        <x:v>37781</x:v>
      </x:c>
      <x:c r="B9479" s="0" t="s">
        <x:v>37782</x:v>
      </x:c>
      <x:c r="C9479" s="0" t="s">
        <x:v>37783</x:v>
      </x:c>
      <x:c r="E9479" s="0" t="s">
        <x:v>37784</x:v>
      </x:c>
      <x:c r="F9479" s="0" t="s">
        <x:v>45</x:v>
      </x:c>
      <x:c r="G9479" s="0" t="s">
        <x:v>19</x:v>
      </x:c>
      <x:c r="H9479" s="0" t="s">
        <x:v>20</x:v>
      </x:c>
      <x:c r="I9479" s="0" t="s">
        <x:v>21</x:v>
      </x:c>
      <x:c r="K9479" s="0">
        <x:f>hyperlink("https://icd.who.int/dev11/l-ichi/en#/http%3A%2F%2Fid.who.int%2Ficd%2Fentity%2F1736776483","browser")</x:f>
      </x:c>
      <x:c r="L9479" s="0">
        <x:f>hyperlink("https://icat2.azurewebsites.net/icat/?ontology=ICD&amp;tab=ClassesTab&amp;id=http%3A%2F%2Fwho.int%2Ficd%23139_b929cd40_1812_4e2b_8d98_622273bc31b1","iCat")</x:f>
      </x:c>
      <x:c r="M9479" s="0" t="s">
        <x:v>21</x:v>
      </x:c>
      <x:c r="N9479" s="0" t="s">
        <x:v>46</x:v>
      </x:c>
    </x:row>
    <x:row r="9480" spans="1:16">
      <x:c r="A9480" s="0" t="s">
        <x:v>37785</x:v>
      </x:c>
      <x:c r="B9480" s="0" t="s">
        <x:v>37786</x:v>
      </x:c>
      <x:c r="C9480" s="0" t="s">
        <x:v>37787</x:v>
      </x:c>
      <x:c r="E9480" s="0" t="s">
        <x:v>37788</x:v>
      </x:c>
      <x:c r="F9480" s="0" t="s">
        <x:v>45</x:v>
      </x:c>
      <x:c r="G9480" s="0" t="s">
        <x:v>19</x:v>
      </x:c>
      <x:c r="H9480" s="0" t="s">
        <x:v>20</x:v>
      </x:c>
      <x:c r="I9480" s="0" t="s">
        <x:v>21</x:v>
      </x:c>
      <x:c r="K9480" s="0">
        <x:f>hyperlink("https://icd.who.int/dev11/l-ichi/en#/http%3A%2F%2Fid.who.int%2Ficd%2Fentity%2F752205082","browser")</x:f>
      </x:c>
      <x:c r="L9480" s="0">
        <x:f>hyperlink("https://icat2.azurewebsites.net/icat/?ontology=ICD&amp;tab=ClassesTab&amp;id=http%3A%2F%2Fwho.int%2Ficd%23145_b929cd40_1812_4e2b_8d98_622273bc31b1","iCat")</x:f>
      </x:c>
      <x:c r="M9480" s="0" t="s">
        <x:v>21</x:v>
      </x:c>
      <x:c r="N9480" s="0" t="s">
        <x:v>46</x:v>
      </x:c>
    </x:row>
    <x:row r="9481" spans="1:16">
      <x:c r="A9481" s="0" t="s">
        <x:v>37789</x:v>
      </x:c>
      <x:c r="B9481" s="0" t="s">
        <x:v>37790</x:v>
      </x:c>
      <x:c r="C9481" s="0" t="s">
        <x:v>37791</x:v>
      </x:c>
      <x:c r="E9481" s="0" t="s">
        <x:v>37792</x:v>
      </x:c>
      <x:c r="F9481" s="0" t="s">
        <x:v>45</x:v>
      </x:c>
      <x:c r="G9481" s="0" t="s">
        <x:v>19</x:v>
      </x:c>
      <x:c r="H9481" s="0" t="s">
        <x:v>20</x:v>
      </x:c>
      <x:c r="I9481" s="0" t="s">
        <x:v>21</x:v>
      </x:c>
      <x:c r="K9481" s="0">
        <x:f>hyperlink("https://icd.who.int/dev11/l-ichi/en#/http%3A%2F%2Fid.who.int%2Ficd%2Fentity%2F1930947643","browser")</x:f>
      </x:c>
      <x:c r="L9481" s="0">
        <x:f>hyperlink("https://icat2.azurewebsites.net/icat/?ontology=ICD&amp;tab=ClassesTab&amp;id=http%3A%2F%2Fwho.int%2Ficd%23151_b929cd40_1812_4e2b_8d98_622273bc31b1","iCat")</x:f>
      </x:c>
      <x:c r="M9481" s="0" t="s">
        <x:v>21</x:v>
      </x:c>
      <x:c r="N9481" s="0" t="s">
        <x:v>46</x:v>
      </x:c>
    </x:row>
    <x:row r="9482" spans="1:16">
      <x:c r="A9482" s="0" t="s">
        <x:v>37793</x:v>
      </x:c>
      <x:c r="B9482" s="0" t="s">
        <x:v>37794</x:v>
      </x:c>
      <x:c r="C9482" s="0" t="s">
        <x:v>37795</x:v>
      </x:c>
      <x:c r="E9482" s="0" t="s">
        <x:v>37796</x:v>
      </x:c>
      <x:c r="F9482" s="0" t="s">
        <x:v>45</x:v>
      </x:c>
      <x:c r="G9482" s="0" t="s">
        <x:v>19</x:v>
      </x:c>
      <x:c r="H9482" s="0" t="s">
        <x:v>20</x:v>
      </x:c>
      <x:c r="I9482" s="0" t="s">
        <x:v>21</x:v>
      </x:c>
      <x:c r="K9482" s="0">
        <x:f>hyperlink("https://icd.who.int/dev11/l-ichi/en#/http%3A%2F%2Fid.who.int%2Ficd%2Fentity%2F594294156","browser")</x:f>
      </x:c>
      <x:c r="L9482" s="0">
        <x:f>hyperlink("https://icat2.azurewebsites.net/icat/?ontology=ICD&amp;tab=ClassesTab&amp;id=http%3A%2F%2Fwho.int%2Ficd%23157_b929cd40_1812_4e2b_8d98_622273bc31b1","iCat")</x:f>
      </x:c>
      <x:c r="M9482" s="0" t="s">
        <x:v>21</x:v>
      </x:c>
      <x:c r="N9482" s="0" t="s">
        <x:v>46</x:v>
      </x:c>
    </x:row>
    <x:row r="9483" spans="1:16">
      <x:c r="A9483" s="0" t="s">
        <x:v>37797</x:v>
      </x:c>
      <x:c r="B9483" s="0" t="s">
        <x:v>37798</x:v>
      </x:c>
      <x:c r="C9483" s="0" t="s">
        <x:v>37799</x:v>
      </x:c>
      <x:c r="E9483" s="0" t="s">
        <x:v>37800</x:v>
      </x:c>
      <x:c r="F9483" s="0" t="s">
        <x:v>45</x:v>
      </x:c>
      <x:c r="G9483" s="0" t="s">
        <x:v>19</x:v>
      </x:c>
      <x:c r="H9483" s="0" t="s">
        <x:v>20</x:v>
      </x:c>
      <x:c r="I9483" s="0" t="s">
        <x:v>21</x:v>
      </x:c>
      <x:c r="K9483" s="0">
        <x:f>hyperlink("https://icd.who.int/dev11/l-ichi/en#/http%3A%2F%2Fid.who.int%2Ficd%2Fentity%2F1457172985","browser")</x:f>
      </x:c>
      <x:c r="L9483" s="0">
        <x:f>hyperlink("https://icat2.azurewebsites.net/icat/?ontology=ICD&amp;tab=ClassesTab&amp;id=http%3A%2F%2Fwho.int%2Ficd%23163_b929cd40_1812_4e2b_8d98_622273bc31b1","iCat")</x:f>
      </x:c>
      <x:c r="M9483" s="0" t="s">
        <x:v>21</x:v>
      </x:c>
      <x:c r="N9483" s="0" t="s">
        <x:v>46</x:v>
      </x:c>
    </x:row>
    <x:row r="9484" spans="1:16">
      <x:c r="A9484" s="0" t="s">
        <x:v>37801</x:v>
      </x:c>
      <x:c r="B9484" s="0" t="s">
        <x:v>37802</x:v>
      </x:c>
      <x:c r="C9484" s="0" t="s">
        <x:v>37803</x:v>
      </x:c>
      <x:c r="E9484" s="0" t="s">
        <x:v>37804</x:v>
      </x:c>
      <x:c r="F9484" s="0" t="s">
        <x:v>45</x:v>
      </x:c>
      <x:c r="G9484" s="0" t="s">
        <x:v>19</x:v>
      </x:c>
      <x:c r="H9484" s="0" t="s">
        <x:v>20</x:v>
      </x:c>
      <x:c r="I9484" s="0" t="s">
        <x:v>21</x:v>
      </x:c>
      <x:c r="K9484" s="0">
        <x:f>hyperlink("https://icd.who.int/dev11/l-ichi/en#/http%3A%2F%2Fid.who.int%2Ficd%2Fentity%2F2099764585","browser")</x:f>
      </x:c>
      <x:c r="L9484" s="0">
        <x:f>hyperlink("https://icat2.azurewebsites.net/icat/?ontology=ICD&amp;tab=ClassesTab&amp;id=http%3A%2F%2Fwho.int%2Ficd%23169_b929cd40_1812_4e2b_8d98_622273bc31b1","iCat")</x:f>
      </x:c>
      <x:c r="M9484" s="0" t="s">
        <x:v>21</x:v>
      </x:c>
      <x:c r="N9484" s="0" t="s">
        <x:v>46</x:v>
      </x:c>
    </x:row>
    <x:row r="9485" spans="1:16">
      <x:c r="A9485" s="0" t="s">
        <x:v>37805</x:v>
      </x:c>
      <x:c r="B9485" s="0" t="s">
        <x:v>37806</x:v>
      </x:c>
      <x:c r="C9485" s="0" t="s">
        <x:v>37807</x:v>
      </x:c>
      <x:c r="E9485" s="0" t="s">
        <x:v>37808</x:v>
      </x:c>
      <x:c r="F9485" s="0" t="s">
        <x:v>45</x:v>
      </x:c>
      <x:c r="G9485" s="0" t="s">
        <x:v>19</x:v>
      </x:c>
      <x:c r="H9485" s="0" t="s">
        <x:v>20</x:v>
      </x:c>
      <x:c r="I9485" s="0" t="s">
        <x:v>21</x:v>
      </x:c>
      <x:c r="K9485" s="0">
        <x:f>hyperlink("https://icd.who.int/dev11/l-ichi/en#/http%3A%2F%2Fid.who.int%2Ficd%2Fentity%2F1818557727","browser")</x:f>
      </x:c>
      <x:c r="L9485" s="0">
        <x:f>hyperlink("https://icat2.azurewebsites.net/icat/?ontology=ICD&amp;tab=ClassesTab&amp;id=http%3A%2F%2Fwho.int%2Ficd%23175_b929cd40_1812_4e2b_8d98_622273bc31b1","iCat")</x:f>
      </x:c>
      <x:c r="M9485" s="0" t="s">
        <x:v>21</x:v>
      </x:c>
      <x:c r="N9485" s="0" t="s">
        <x:v>46</x:v>
      </x:c>
    </x:row>
    <x:row r="9486" spans="1:16">
      <x:c r="A9486" s="0" t="s">
        <x:v>37809</x:v>
      </x:c>
      <x:c r="B9486" s="0" t="s">
        <x:v>37810</x:v>
      </x:c>
      <x:c r="C9486" s="0" t="s">
        <x:v>37811</x:v>
      </x:c>
      <x:c r="E9486" s="0" t="s">
        <x:v>37812</x:v>
      </x:c>
      <x:c r="F9486" s="0" t="s">
        <x:v>45</x:v>
      </x:c>
      <x:c r="G9486" s="0" t="s">
        <x:v>19</x:v>
      </x:c>
      <x:c r="H9486" s="0" t="s">
        <x:v>20</x:v>
      </x:c>
      <x:c r="I9486" s="0" t="s">
        <x:v>21</x:v>
      </x:c>
      <x:c r="K9486" s="0">
        <x:f>hyperlink("https://icd.who.int/dev11/l-ichi/en#/http%3A%2F%2Fid.who.int%2Ficd%2Fentity%2F1988391861","browser")</x:f>
      </x:c>
      <x:c r="L9486" s="0">
        <x:f>hyperlink("https://icat2.azurewebsites.net/icat/?ontology=ICD&amp;tab=ClassesTab&amp;id=http%3A%2F%2Fwho.int%2Ficd%23181_b929cd40_1812_4e2b_8d98_622273bc31b1","iCat")</x:f>
      </x:c>
      <x:c r="M9486" s="0" t="s">
        <x:v>21</x:v>
      </x:c>
      <x:c r="N9486" s="0" t="s">
        <x:v>46</x:v>
      </x:c>
    </x:row>
    <x:row r="9487" spans="1:16">
      <x:c r="A9487" s="0" t="s">
        <x:v>37813</x:v>
      </x:c>
      <x:c r="B9487" s="0" t="s">
        <x:v>37814</x:v>
      </x:c>
      <x:c r="C9487" s="0" t="s">
        <x:v>37815</x:v>
      </x:c>
      <x:c r="E9487" s="0" t="s">
        <x:v>37816</x:v>
      </x:c>
      <x:c r="F9487" s="0" t="s">
        <x:v>45</x:v>
      </x:c>
      <x:c r="G9487" s="0" t="s">
        <x:v>19</x:v>
      </x:c>
      <x:c r="H9487" s="0" t="s">
        <x:v>20</x:v>
      </x:c>
      <x:c r="I9487" s="0" t="s">
        <x:v>21</x:v>
      </x:c>
      <x:c r="K9487" s="0">
        <x:f>hyperlink("https://icd.who.int/dev11/l-ichi/en#/http%3A%2F%2Fid.who.int%2Ficd%2Fentity%2F654289412","browser")</x:f>
      </x:c>
      <x:c r="L9487" s="0">
        <x:f>hyperlink("https://icat2.azurewebsites.net/icat/?ontology=ICD&amp;tab=ClassesTab&amp;id=http%3A%2F%2Fwho.int%2Ficd%23187_b929cd40_1812_4e2b_8d98_622273bc31b1","iCat")</x:f>
      </x:c>
      <x:c r="M9487" s="0" t="s">
        <x:v>21</x:v>
      </x:c>
      <x:c r="N9487" s="0" t="s">
        <x:v>46</x:v>
      </x:c>
    </x:row>
    <x:row r="9488" spans="1:16">
      <x:c r="A9488" s="0" t="s">
        <x:v>37817</x:v>
      </x:c>
      <x:c r="B9488" s="0" t="s">
        <x:v>37818</x:v>
      </x:c>
      <x:c r="C9488" s="0" t="s">
        <x:v>37819</x:v>
      </x:c>
      <x:c r="E9488" s="0" t="s">
        <x:v>37820</x:v>
      </x:c>
      <x:c r="F9488" s="0" t="s">
        <x:v>45</x:v>
      </x:c>
      <x:c r="G9488" s="0" t="s">
        <x:v>19</x:v>
      </x:c>
      <x:c r="H9488" s="0" t="s">
        <x:v>20</x:v>
      </x:c>
      <x:c r="I9488" s="0" t="s">
        <x:v>21</x:v>
      </x:c>
      <x:c r="K9488" s="0">
        <x:f>hyperlink("https://icd.who.int/dev11/l-ichi/en#/http%3A%2F%2Fid.who.int%2Ficd%2Fentity%2F2034105127","browser")</x:f>
      </x:c>
      <x:c r="L9488" s="0">
        <x:f>hyperlink("https://icat2.azurewebsites.net/icat/?ontology=ICD&amp;tab=ClassesTab&amp;id=http%3A%2F%2Fwho.int%2Ficd%23193_b929cd40_1812_4e2b_8d98_622273bc31b1","iCat")</x:f>
      </x:c>
      <x:c r="M9488" s="0" t="s">
        <x:v>21</x:v>
      </x:c>
      <x:c r="N9488" s="0" t="s">
        <x:v>46</x:v>
      </x:c>
    </x:row>
    <x:row r="9489" spans="1:16">
      <x:c r="A9489" s="0" t="s">
        <x:v>37821</x:v>
      </x:c>
      <x:c r="B9489" s="0" t="s">
        <x:v>37822</x:v>
      </x:c>
      <x:c r="C9489" s="0" t="s">
        <x:v>37823</x:v>
      </x:c>
      <x:c r="E9489" s="0" t="s">
        <x:v>37824</x:v>
      </x:c>
      <x:c r="F9489" s="0" t="s">
        <x:v>45</x:v>
      </x:c>
      <x:c r="G9489" s="0" t="s">
        <x:v>19</x:v>
      </x:c>
      <x:c r="H9489" s="0" t="s">
        <x:v>20</x:v>
      </x:c>
      <x:c r="I9489" s="0" t="s">
        <x:v>21</x:v>
      </x:c>
      <x:c r="K9489" s="0">
        <x:f>hyperlink("https://icd.who.int/dev11/l-ichi/en#/http%3A%2F%2Fid.who.int%2Ficd%2Fentity%2F1388353463","browser")</x:f>
      </x:c>
      <x:c r="L9489" s="0">
        <x:f>hyperlink("https://icat2.azurewebsites.net/icat/?ontology=ICD&amp;tab=ClassesTab&amp;id=http%3A%2F%2Fwho.int%2Ficd%23199_b929cd40_1812_4e2b_8d98_622273bc31b1","iCat")</x:f>
      </x:c>
      <x:c r="M9489" s="0" t="s">
        <x:v>21</x:v>
      </x:c>
      <x:c r="N9489" s="0" t="s">
        <x:v>46</x:v>
      </x:c>
    </x:row>
    <x:row r="9490" spans="1:16">
      <x:c r="A9490" s="0" t="s">
        <x:v>37825</x:v>
      </x:c>
      <x:c r="B9490" s="0" t="s">
        <x:v>37826</x:v>
      </x:c>
      <x:c r="C9490" s="0" t="s">
        <x:v>37827</x:v>
      </x:c>
      <x:c r="E9490" s="0" t="s">
        <x:v>37828</x:v>
      </x:c>
      <x:c r="F9490" s="0" t="s">
        <x:v>45</x:v>
      </x:c>
      <x:c r="G9490" s="0" t="s">
        <x:v>19</x:v>
      </x:c>
      <x:c r="H9490" s="0" t="s">
        <x:v>20</x:v>
      </x:c>
      <x:c r="I9490" s="0" t="s">
        <x:v>21</x:v>
      </x:c>
      <x:c r="K9490" s="0">
        <x:f>hyperlink("https://icd.who.int/dev11/l-ichi/en#/http%3A%2F%2Fid.who.int%2Ficd%2Fentity%2F1038965340","browser")</x:f>
      </x:c>
      <x:c r="L9490" s="0">
        <x:f>hyperlink("https://icat2.azurewebsites.net/icat/?ontology=ICD&amp;tab=ClassesTab&amp;id=http%3A%2F%2Fwho.int%2Ficd%23205_b929cd40_1812_4e2b_8d98_622273bc31b1","iCat")</x:f>
      </x:c>
      <x:c r="M9490" s="0" t="s">
        <x:v>21</x:v>
      </x:c>
      <x:c r="N9490" s="0" t="s">
        <x:v>46</x:v>
      </x:c>
    </x:row>
    <x:row r="9491" spans="1:16">
      <x:c r="A9491" s="0" t="s">
        <x:v>37829</x:v>
      </x:c>
      <x:c r="B9491" s="0" t="s">
        <x:v>37830</x:v>
      </x:c>
      <x:c r="C9491" s="0" t="s">
        <x:v>37831</x:v>
      </x:c>
      <x:c r="E9491" s="0" t="s">
        <x:v>37832</x:v>
      </x:c>
      <x:c r="F9491" s="0" t="s">
        <x:v>45</x:v>
      </x:c>
      <x:c r="G9491" s="0" t="s">
        <x:v>19</x:v>
      </x:c>
      <x:c r="H9491" s="0" t="s">
        <x:v>20</x:v>
      </x:c>
      <x:c r="I9491" s="0" t="s">
        <x:v>21</x:v>
      </x:c>
      <x:c r="K9491" s="0">
        <x:f>hyperlink("https://icd.who.int/dev11/l-ichi/en#/http%3A%2F%2Fid.who.int%2Ficd%2Fentity%2F1647250303","browser")</x:f>
      </x:c>
      <x:c r="L9491" s="0">
        <x:f>hyperlink("https://icat2.azurewebsites.net/icat/?ontology=ICD&amp;tab=ClassesTab&amp;id=http%3A%2F%2Fwho.int%2Ficd%23211_b929cd40_1812_4e2b_8d98_622273bc31b1","iCat")</x:f>
      </x:c>
      <x:c r="M9491" s="0" t="s">
        <x:v>21</x:v>
      </x:c>
      <x:c r="N9491" s="0" t="s">
        <x:v>46</x:v>
      </x:c>
    </x:row>
    <x:row r="9492" spans="1:16">
      <x:c r="A9492" s="0" t="s">
        <x:v>37833</x:v>
      </x:c>
      <x:c r="B9492" s="0" t="s">
        <x:v>37834</x:v>
      </x:c>
      <x:c r="C9492" s="0" t="s">
        <x:v>37835</x:v>
      </x:c>
      <x:c r="E9492" s="0" t="s">
        <x:v>37836</x:v>
      </x:c>
      <x:c r="F9492" s="0" t="s">
        <x:v>45</x:v>
      </x:c>
      <x:c r="G9492" s="0" t="s">
        <x:v>19</x:v>
      </x:c>
      <x:c r="H9492" s="0" t="s">
        <x:v>20</x:v>
      </x:c>
      <x:c r="I9492" s="0" t="s">
        <x:v>21</x:v>
      </x:c>
      <x:c r="K9492" s="0">
        <x:f>hyperlink("https://icd.who.int/dev11/l-ichi/en#/http%3A%2F%2Fid.who.int%2Ficd%2Fentity%2F844419790","browser")</x:f>
      </x:c>
      <x:c r="L9492" s="0">
        <x:f>hyperlink("https://icat2.azurewebsites.net/icat/?ontology=ICD&amp;tab=ClassesTab&amp;id=http%3A%2F%2Fwho.int%2Ficd%23217_b929cd40_1812_4e2b_8d98_622273bc31b1","iCat")</x:f>
      </x:c>
      <x:c r="M9492" s="0" t="s">
        <x:v>21</x:v>
      </x:c>
      <x:c r="N9492" s="0" t="s">
        <x:v>46</x:v>
      </x:c>
    </x:row>
    <x:row r="9493" spans="1:16">
      <x:c r="A9493" s="0" t="s">
        <x:v>37837</x:v>
      </x:c>
      <x:c r="B9493" s="0" t="s">
        <x:v>37838</x:v>
      </x:c>
      <x:c r="C9493" s="0" t="s">
        <x:v>37839</x:v>
      </x:c>
      <x:c r="E9493" s="0" t="s">
        <x:v>37840</x:v>
      </x:c>
      <x:c r="F9493" s="0" t="s">
        <x:v>45</x:v>
      </x:c>
      <x:c r="G9493" s="0" t="s">
        <x:v>19</x:v>
      </x:c>
      <x:c r="H9493" s="0" t="s">
        <x:v>20</x:v>
      </x:c>
      <x:c r="I9493" s="0" t="s">
        <x:v>21</x:v>
      </x:c>
      <x:c r="K9493" s="0">
        <x:f>hyperlink("https://icd.who.int/dev11/l-ichi/en#/http%3A%2F%2Fid.who.int%2Ficd%2Fentity%2F1206015677","browser")</x:f>
      </x:c>
      <x:c r="L9493" s="0">
        <x:f>hyperlink("https://icat2.azurewebsites.net/icat/?ontology=ICD&amp;tab=ClassesTab&amp;id=http%3A%2F%2Fwho.int%2Ficd%23223_b929cd40_1812_4e2b_8d98_622273bc31b1","iCat")</x:f>
      </x:c>
      <x:c r="M9493" s="0" t="s">
        <x:v>21</x:v>
      </x:c>
      <x:c r="N9493" s="0" t="s">
        <x:v>46</x:v>
      </x:c>
    </x:row>
    <x:row r="9494" spans="1:16">
      <x:c r="A9494" s="0" t="s">
        <x:v>37841</x:v>
      </x:c>
      <x:c r="B9494" s="0" t="s">
        <x:v>37842</x:v>
      </x:c>
      <x:c r="C9494" s="0" t="s">
        <x:v>37843</x:v>
      </x:c>
      <x:c r="E9494" s="0" t="s">
        <x:v>37844</x:v>
      </x:c>
      <x:c r="F9494" s="0" t="s">
        <x:v>45</x:v>
      </x:c>
      <x:c r="G9494" s="0" t="s">
        <x:v>19</x:v>
      </x:c>
      <x:c r="H9494" s="0" t="s">
        <x:v>20</x:v>
      </x:c>
      <x:c r="I9494" s="0" t="s">
        <x:v>21</x:v>
      </x:c>
      <x:c r="K9494" s="0">
        <x:f>hyperlink("https://icd.who.int/dev11/l-ichi/en#/http%3A%2F%2Fid.who.int%2Ficd%2Fentity%2F1813985837","browser")</x:f>
      </x:c>
      <x:c r="L9494" s="0">
        <x:f>hyperlink("https://icat2.azurewebsites.net/icat/?ontology=ICD&amp;tab=ClassesTab&amp;id=http%3A%2F%2Fwho.int%2Ficd%23229_b929cd40_1812_4e2b_8d98_622273bc31b1","iCat")</x:f>
      </x:c>
      <x:c r="M9494" s="0" t="s">
        <x:v>21</x:v>
      </x:c>
      <x:c r="N9494" s="0" t="s">
        <x:v>46</x:v>
      </x:c>
    </x:row>
    <x:row r="9495" spans="1:16">
      <x:c r="A9495" s="0" t="s">
        <x:v>37845</x:v>
      </x:c>
      <x:c r="B9495" s="0" t="s">
        <x:v>37846</x:v>
      </x:c>
      <x:c r="C9495" s="0" t="s">
        <x:v>37847</x:v>
      </x:c>
      <x:c r="E9495" s="0" t="s">
        <x:v>37848</x:v>
      </x:c>
      <x:c r="F9495" s="0" t="s">
        <x:v>45</x:v>
      </x:c>
      <x:c r="G9495" s="0" t="s">
        <x:v>19</x:v>
      </x:c>
      <x:c r="H9495" s="0" t="s">
        <x:v>20</x:v>
      </x:c>
      <x:c r="I9495" s="0" t="s">
        <x:v>21</x:v>
      </x:c>
      <x:c r="K9495" s="0">
        <x:f>hyperlink("https://icd.who.int/dev11/l-ichi/en#/http%3A%2F%2Fid.who.int%2Ficd%2Fentity%2F2103188059","browser")</x:f>
      </x:c>
      <x:c r="L9495" s="0">
        <x:f>hyperlink("https://icat2.azurewebsites.net/icat/?ontology=ICD&amp;tab=ClassesTab&amp;id=http%3A%2F%2Fwho.int%2Ficd%23235_b929cd40_1812_4e2b_8d98_622273bc31b1","iCat")</x:f>
      </x:c>
      <x:c r="M9495" s="0" t="s">
        <x:v>21</x:v>
      </x:c>
      <x:c r="N9495" s="0" t="s">
        <x:v>46</x:v>
      </x:c>
    </x:row>
    <x:row r="9496" spans="1:16">
      <x:c r="A9496" s="0" t="s">
        <x:v>37849</x:v>
      </x:c>
      <x:c r="B9496" s="0" t="s">
        <x:v>37850</x:v>
      </x:c>
      <x:c r="C9496" s="0" t="s">
        <x:v>37851</x:v>
      </x:c>
      <x:c r="E9496" s="0" t="s">
        <x:v>37852</x:v>
      </x:c>
      <x:c r="F9496" s="0" t="s">
        <x:v>45</x:v>
      </x:c>
      <x:c r="G9496" s="0" t="s">
        <x:v>19</x:v>
      </x:c>
      <x:c r="H9496" s="0" t="s">
        <x:v>20</x:v>
      </x:c>
      <x:c r="I9496" s="0" t="s">
        <x:v>21</x:v>
      </x:c>
      <x:c r="K9496" s="0">
        <x:f>hyperlink("https://icd.who.int/dev11/l-ichi/en#/http%3A%2F%2Fid.who.int%2Ficd%2Fentity%2F2022559029","browser")</x:f>
      </x:c>
      <x:c r="L9496" s="0">
        <x:f>hyperlink("https://icat2.azurewebsites.net/icat/?ontology=ICD&amp;tab=ClassesTab&amp;id=http%3A%2F%2Fwho.int%2Ficd%23241_b929cd40_1812_4e2b_8d98_622273bc31b1","iCat")</x:f>
      </x:c>
      <x:c r="M9496" s="0" t="s">
        <x:v>21</x:v>
      </x:c>
      <x:c r="N9496" s="0" t="s">
        <x:v>46</x:v>
      </x:c>
    </x:row>
    <x:row r="9497" spans="1:16">
      <x:c r="A9497" s="0" t="s">
        <x:v>37853</x:v>
      </x:c>
      <x:c r="B9497" s="0" t="s">
        <x:v>37854</x:v>
      </x:c>
      <x:c r="C9497" s="0" t="s">
        <x:v>37855</x:v>
      </x:c>
      <x:c r="E9497" s="0" t="s">
        <x:v>37856</x:v>
      </x:c>
      <x:c r="F9497" s="0" t="s">
        <x:v>45</x:v>
      </x:c>
      <x:c r="G9497" s="0" t="s">
        <x:v>19</x:v>
      </x:c>
      <x:c r="H9497" s="0" t="s">
        <x:v>20</x:v>
      </x:c>
      <x:c r="I9497" s="0" t="s">
        <x:v>21</x:v>
      </x:c>
      <x:c r="K9497" s="0">
        <x:f>hyperlink("https://icd.who.int/dev11/l-ichi/en#/http%3A%2F%2Fid.who.int%2Ficd%2Fentity%2F1827105591","browser")</x:f>
      </x:c>
      <x:c r="L9497" s="0">
        <x:f>hyperlink("https://icat2.azurewebsites.net/icat/?ontology=ICD&amp;tab=ClassesTab&amp;id=http%3A%2F%2Fwho.int%2Ficd%2313_b929cd40_1812_4e2b_8d98_622273bc31b1","iCat")</x:f>
      </x:c>
      <x:c r="M9497" s="0" t="s">
        <x:v>21</x:v>
      </x:c>
      <x:c r="N9497" s="0" t="s">
        <x:v>46</x:v>
      </x:c>
    </x:row>
    <x:row r="9498" spans="1:16">
      <x:c r="A9498" s="0" t="s">
        <x:v>37857</x:v>
      </x:c>
      <x:c r="B9498" s="0" t="s">
        <x:v>37858</x:v>
      </x:c>
      <x:c r="C9498" s="0" t="s">
        <x:v>37859</x:v>
      </x:c>
      <x:c r="E9498" s="0" t="s">
        <x:v>37860</x:v>
      </x:c>
      <x:c r="F9498" s="0" t="s">
        <x:v>45</x:v>
      </x:c>
      <x:c r="G9498" s="0" t="s">
        <x:v>19</x:v>
      </x:c>
      <x:c r="H9498" s="0" t="s">
        <x:v>20</x:v>
      </x:c>
      <x:c r="I9498" s="0" t="s">
        <x:v>21</x:v>
      </x:c>
      <x:c r="K9498" s="0">
        <x:f>hyperlink("https://icd.who.int/dev11/l-ichi/en#/http%3A%2F%2Fid.who.int%2Ficd%2Fentity%2F1192888231","browser")</x:f>
      </x:c>
      <x:c r="L9498" s="0">
        <x:f>hyperlink("https://icat2.azurewebsites.net/icat/?ontology=ICD&amp;tab=ClassesTab&amp;id=http%3A%2F%2Fwho.int%2Ficd%2319_b929cd40_1812_4e2b_8d98_622273bc31b1","iCat")</x:f>
      </x:c>
      <x:c r="M9498" s="0" t="s">
        <x:v>21</x:v>
      </x:c>
      <x:c r="N9498" s="0" t="s">
        <x:v>46</x:v>
      </x:c>
    </x:row>
    <x:row r="9499" spans="1:16">
      <x:c r="A9499" s="0" t="s">
        <x:v>37861</x:v>
      </x:c>
      <x:c r="B9499" s="0" t="s">
        <x:v>37862</x:v>
      </x:c>
      <x:c r="C9499" s="0" t="s">
        <x:v>37863</x:v>
      </x:c>
      <x:c r="E9499" s="0" t="s">
        <x:v>37864</x:v>
      </x:c>
      <x:c r="F9499" s="0" t="s">
        <x:v>45</x:v>
      </x:c>
      <x:c r="G9499" s="0" t="s">
        <x:v>19</x:v>
      </x:c>
      <x:c r="H9499" s="0" t="s">
        <x:v>20</x:v>
      </x:c>
      <x:c r="I9499" s="0" t="s">
        <x:v>21</x:v>
      </x:c>
      <x:c r="K9499" s="0">
        <x:f>hyperlink("https://icd.who.int/dev11/l-ichi/en#/http%3A%2F%2Fid.who.int%2Ficd%2Fentity%2F2083385985","browser")</x:f>
      </x:c>
      <x:c r="L9499" s="0">
        <x:f>hyperlink("https://icat2.azurewebsites.net/icat/?ontology=ICD&amp;tab=ClassesTab&amp;id=http%3A%2F%2Fwho.int%2Ficd%2325_b929cd40_1812_4e2b_8d98_622273bc31b1","iCat")</x:f>
      </x:c>
      <x:c r="M9499" s="0" t="s">
        <x:v>21</x:v>
      </x:c>
      <x:c r="N9499" s="0" t="s">
        <x:v>46</x:v>
      </x:c>
    </x:row>
    <x:row r="9500" spans="1:16">
      <x:c r="A9500" s="0" t="s">
        <x:v>37865</x:v>
      </x:c>
      <x:c r="B9500" s="0" t="s">
        <x:v>37866</x:v>
      </x:c>
      <x:c r="C9500" s="0" t="s">
        <x:v>37867</x:v>
      </x:c>
      <x:c r="E9500" s="0" t="s">
        <x:v>37868</x:v>
      </x:c>
      <x:c r="F9500" s="0" t="s">
        <x:v>45</x:v>
      </x:c>
      <x:c r="G9500" s="0" t="s">
        <x:v>19</x:v>
      </x:c>
      <x:c r="H9500" s="0" t="s">
        <x:v>20</x:v>
      </x:c>
      <x:c r="I9500" s="0" t="s">
        <x:v>21</x:v>
      </x:c>
      <x:c r="K9500" s="0">
        <x:f>hyperlink("https://icd.who.int/dev11/l-ichi/en#/http%3A%2F%2Fid.who.int%2Ficd%2Fentity%2F602907554","browser")</x:f>
      </x:c>
      <x:c r="L9500" s="0">
        <x:f>hyperlink("https://icat2.azurewebsites.net/icat/?ontology=ICD&amp;tab=ClassesTab&amp;id=http%3A%2F%2Fwho.int%2Ficd%2331_b929cd40_1812_4e2b_8d98_622273bc31b1","iCat")</x:f>
      </x:c>
      <x:c r="M9500" s="0" t="s">
        <x:v>21</x:v>
      </x:c>
      <x:c r="N9500" s="0" t="s">
        <x:v>46</x:v>
      </x:c>
    </x:row>
    <x:row r="9501" spans="1:16">
      <x:c r="A9501" s="0" t="s">
        <x:v>37869</x:v>
      </x:c>
      <x:c r="B9501" s="0" t="s">
        <x:v>37870</x:v>
      </x:c>
      <x:c r="C9501" s="0" t="s">
        <x:v>37871</x:v>
      </x:c>
      <x:c r="E9501" s="0" t="s">
        <x:v>37872</x:v>
      </x:c>
      <x:c r="F9501" s="0" t="s">
        <x:v>45</x:v>
      </x:c>
      <x:c r="G9501" s="0" t="s">
        <x:v>19</x:v>
      </x:c>
      <x:c r="H9501" s="0" t="s">
        <x:v>20</x:v>
      </x:c>
      <x:c r="I9501" s="0" t="s">
        <x:v>21</x:v>
      </x:c>
      <x:c r="K9501" s="0">
        <x:f>hyperlink("https://icd.who.int/dev11/l-ichi/en#/http%3A%2F%2Fid.who.int%2Ficd%2Fentity%2F1939110419","browser")</x:f>
      </x:c>
      <x:c r="L9501" s="0">
        <x:f>hyperlink("https://icat2.azurewebsites.net/icat/?ontology=ICD&amp;tab=ClassesTab&amp;id=http%3A%2F%2Fwho.int%2Ficd%2337_b929cd40_1812_4e2b_8d98_622273bc31b1","iCat")</x:f>
      </x:c>
      <x:c r="M9501" s="0" t="s">
        <x:v>21</x:v>
      </x:c>
      <x:c r="N9501" s="0" t="s">
        <x:v>46</x:v>
      </x:c>
    </x:row>
    <x:row r="9502" spans="1:16">
      <x:c r="A9502" s="0" t="s">
        <x:v>37873</x:v>
      </x:c>
      <x:c r="B9502" s="0" t="s">
        <x:v>37874</x:v>
      </x:c>
      <x:c r="C9502" s="0" t="s">
        <x:v>37875</x:v>
      </x:c>
      <x:c r="E9502" s="0" t="s">
        <x:v>37876</x:v>
      </x:c>
      <x:c r="F9502" s="0" t="s">
        <x:v>45</x:v>
      </x:c>
      <x:c r="G9502" s="0" t="s">
        <x:v>19</x:v>
      </x:c>
      <x:c r="H9502" s="0" t="s">
        <x:v>20</x:v>
      </x:c>
      <x:c r="I9502" s="0" t="s">
        <x:v>21</x:v>
      </x:c>
      <x:c r="K9502" s="0">
        <x:f>hyperlink("https://icd.who.int/dev11/l-ichi/en#/http%3A%2F%2Fid.who.int%2Ficd%2Fentity%2F1984277885","browser")</x:f>
      </x:c>
      <x:c r="L9502" s="0">
        <x:f>hyperlink("https://icat2.azurewebsites.net/icat/?ontology=ICD&amp;tab=ClassesTab&amp;id=http%3A%2F%2Fwho.int%2Ficd%2343_b929cd40_1812_4e2b_8d98_622273bc31b1","iCat")</x:f>
      </x:c>
      <x:c r="M9502" s="0" t="s">
        <x:v>21</x:v>
      </x:c>
      <x:c r="N9502" s="0" t="s">
        <x:v>46</x:v>
      </x:c>
    </x:row>
    <x:row r="9503" spans="1:16">
      <x:c r="A9503" s="0" t="s">
        <x:v>37877</x:v>
      </x:c>
      <x:c r="B9503" s="0" t="s">
        <x:v>37878</x:v>
      </x:c>
      <x:c r="C9503" s="0" t="s">
        <x:v>37879</x:v>
      </x:c>
      <x:c r="E9503" s="0" t="s">
        <x:v>37880</x:v>
      </x:c>
      <x:c r="F9503" s="0" t="s">
        <x:v>45</x:v>
      </x:c>
      <x:c r="G9503" s="0" t="s">
        <x:v>19</x:v>
      </x:c>
      <x:c r="H9503" s="0" t="s">
        <x:v>20</x:v>
      </x:c>
      <x:c r="I9503" s="0" t="s">
        <x:v>21</x:v>
      </x:c>
      <x:c r="K9503" s="0">
        <x:f>hyperlink("https://icd.who.int/dev11/l-ichi/en#/http%3A%2F%2Fid.who.int%2Ficd%2Fentity%2F1572389357","browser")</x:f>
      </x:c>
      <x:c r="L9503" s="0">
        <x:f>hyperlink("https://icat2.azurewebsites.net/icat/?ontology=ICD&amp;tab=ClassesTab&amp;id=http%3A%2F%2Fwho.int%2Ficd%2349_b929cd40_1812_4e2b_8d98_622273bc31b1","iCat")</x:f>
      </x:c>
      <x:c r="M9503" s="0" t="s">
        <x:v>21</x:v>
      </x:c>
      <x:c r="N9503" s="0" t="s">
        <x:v>46</x:v>
      </x:c>
    </x:row>
    <x:row r="9504" spans="1:16">
      <x:c r="A9504" s="0" t="s">
        <x:v>37881</x:v>
      </x:c>
      <x:c r="B9504" s="0" t="s">
        <x:v>37882</x:v>
      </x:c>
      <x:c r="C9504" s="0" t="s">
        <x:v>37883</x:v>
      </x:c>
      <x:c r="E9504" s="0" t="s">
        <x:v>37884</x:v>
      </x:c>
      <x:c r="F9504" s="0" t="s">
        <x:v>45</x:v>
      </x:c>
      <x:c r="G9504" s="0" t="s">
        <x:v>19</x:v>
      </x:c>
      <x:c r="H9504" s="0" t="s">
        <x:v>20</x:v>
      </x:c>
      <x:c r="I9504" s="0" t="s">
        <x:v>21</x:v>
      </x:c>
      <x:c r="K9504" s="0">
        <x:f>hyperlink("https://icd.who.int/dev11/l-ichi/en#/http%3A%2F%2Fid.who.int%2Ficd%2Fentity%2F1291575707","browser")</x:f>
      </x:c>
      <x:c r="L9504" s="0">
        <x:f>hyperlink("https://icat2.azurewebsites.net/icat/?ontology=ICD&amp;tab=ClassesTab&amp;id=http%3A%2F%2Fwho.int%2Ficd%2355_b929cd40_1812_4e2b_8d98_622273bc31b1","iCat")</x:f>
      </x:c>
      <x:c r="M9504" s="0" t="s">
        <x:v>21</x:v>
      </x:c>
      <x:c r="N9504" s="0" t="s">
        <x:v>46</x:v>
      </x:c>
    </x:row>
    <x:row r="9505" spans="1:16">
      <x:c r="A9505" s="0" t="s">
        <x:v>37885</x:v>
      </x:c>
      <x:c r="B9505" s="0" t="s">
        <x:v>37886</x:v>
      </x:c>
      <x:c r="C9505" s="0" t="s">
        <x:v>37887</x:v>
      </x:c>
      <x:c r="E9505" s="0" t="s">
        <x:v>37888</x:v>
      </x:c>
      <x:c r="F9505" s="0" t="s">
        <x:v>45</x:v>
      </x:c>
      <x:c r="G9505" s="0" t="s">
        <x:v>19</x:v>
      </x:c>
      <x:c r="H9505" s="0" t="s">
        <x:v>20</x:v>
      </x:c>
      <x:c r="I9505" s="0" t="s">
        <x:v>21</x:v>
      </x:c>
      <x:c r="K9505" s="0">
        <x:f>hyperlink("https://icd.who.int/dev11/l-ichi/en#/http%3A%2F%2Fid.who.int%2Ficd%2Fentity%2F961373672","browser")</x:f>
      </x:c>
      <x:c r="L9505" s="0">
        <x:f>hyperlink("https://icat2.azurewebsites.net/icat/?ontology=ICD&amp;tab=ClassesTab&amp;id=http%3A%2F%2Fwho.int%2Ficd%2361_b929cd40_1812_4e2b_8d98_622273bc31b1","iCat")</x:f>
      </x:c>
      <x:c r="M9505" s="0" t="s">
        <x:v>21</x:v>
      </x:c>
      <x:c r="N9505" s="0" t="s">
        <x:v>46</x:v>
      </x:c>
    </x:row>
    <x:row r="9506" spans="1:16">
      <x:c r="A9506" s="0" t="s">
        <x:v>37889</x:v>
      </x:c>
      <x:c r="B9506" s="0" t="s">
        <x:v>37890</x:v>
      </x:c>
      <x:c r="C9506" s="0" t="s">
        <x:v>37891</x:v>
      </x:c>
      <x:c r="E9506" s="0" t="s">
        <x:v>37892</x:v>
      </x:c>
      <x:c r="F9506" s="0" t="s">
        <x:v>45</x:v>
      </x:c>
      <x:c r="G9506" s="0" t="s">
        <x:v>19</x:v>
      </x:c>
      <x:c r="H9506" s="0" t="s">
        <x:v>20</x:v>
      </x:c>
      <x:c r="I9506" s="0" t="s">
        <x:v>21</x:v>
      </x:c>
      <x:c r="K9506" s="0">
        <x:f>hyperlink("https://icd.who.int/dev11/l-ichi/en#/http%3A%2F%2Fid.who.int%2Ficd%2Fentity%2F1765194841","browser")</x:f>
      </x:c>
      <x:c r="L9506" s="0">
        <x:f>hyperlink("https://icat2.azurewebsites.net/icat/?ontology=ICD&amp;tab=ClassesTab&amp;id=http%3A%2F%2Fwho.int%2Ficd%2367_b929cd40_1812_4e2b_8d98_622273bc31b1","iCat")</x:f>
      </x:c>
      <x:c r="M9506" s="0" t="s">
        <x:v>21</x:v>
      </x:c>
      <x:c r="N9506" s="0" t="s">
        <x:v>46</x:v>
      </x:c>
    </x:row>
    <x:row r="9507" spans="1:16">
      <x:c r="A9507" s="0" t="s">
        <x:v>37893</x:v>
      </x:c>
      <x:c r="B9507" s="0" t="s">
        <x:v>37894</x:v>
      </x:c>
      <x:c r="C9507" s="0" t="s">
        <x:v>37895</x:v>
      </x:c>
      <x:c r="E9507" s="0" t="s">
        <x:v>37896</x:v>
      </x:c>
      <x:c r="F9507" s="0" t="s">
        <x:v>45</x:v>
      </x:c>
      <x:c r="G9507" s="0" t="s">
        <x:v>19</x:v>
      </x:c>
      <x:c r="H9507" s="0" t="s">
        <x:v>20</x:v>
      </x:c>
      <x:c r="I9507" s="0" t="s">
        <x:v>21</x:v>
      </x:c>
      <x:c r="K9507" s="0">
        <x:f>hyperlink("https://icd.who.int/dev11/l-ichi/en#/http%3A%2F%2Fid.who.int%2Ficd%2Fentity%2F922021242","browser")</x:f>
      </x:c>
      <x:c r="L9507" s="0">
        <x:f>hyperlink("https://icat2.azurewebsites.net/icat/?ontology=ICD&amp;tab=ClassesTab&amp;id=http%3A%2F%2Fwho.int%2Ficd%2373_b929cd40_1812_4e2b_8d98_622273bc31b1","iCat")</x:f>
      </x:c>
      <x:c r="M9507" s="0" t="s">
        <x:v>21</x:v>
      </x:c>
      <x:c r="N9507" s="0" t="s">
        <x:v>46</x:v>
      </x:c>
    </x:row>
    <x:row r="9508" spans="1:16">
      <x:c r="A9508" s="0" t="s">
        <x:v>37897</x:v>
      </x:c>
      <x:c r="B9508" s="0" t="s">
        <x:v>37898</x:v>
      </x:c>
      <x:c r="C9508" s="0" t="s">
        <x:v>37899</x:v>
      </x:c>
      <x:c r="E9508" s="0" t="s">
        <x:v>37900</x:v>
      </x:c>
      <x:c r="F9508" s="0" t="s">
        <x:v>45</x:v>
      </x:c>
      <x:c r="G9508" s="0" t="s">
        <x:v>19</x:v>
      </x:c>
      <x:c r="H9508" s="0" t="s">
        <x:v>20</x:v>
      </x:c>
      <x:c r="I9508" s="0" t="s">
        <x:v>21</x:v>
      </x:c>
      <x:c r="K9508" s="0">
        <x:f>hyperlink("https://icd.who.int/dev11/l-ichi/en#/http%3A%2F%2Fid.who.int%2Ficd%2Fentity%2F142709798","browser")</x:f>
      </x:c>
      <x:c r="L9508" s="0">
        <x:f>hyperlink("https://icat2.azurewebsites.net/icat/?ontology=ICD&amp;tab=ClassesTab&amp;id=http%3A%2F%2Fwho.int%2Ficd%23391_b929cd40_1812_4e2b_8d98_622273bc31b1","iCat")</x:f>
      </x:c>
      <x:c r="M9508" s="0" t="s">
        <x:v>21</x:v>
      </x:c>
      <x:c r="N9508" s="0" t="s">
        <x:v>46</x:v>
      </x:c>
    </x:row>
    <x:row r="9509" spans="1:16">
      <x:c r="A9509" s="0" t="s">
        <x:v>37901</x:v>
      </x:c>
      <x:c r="B9509" s="0" t="s">
        <x:v>37902</x:v>
      </x:c>
      <x:c r="C9509" s="0" t="s">
        <x:v>37903</x:v>
      </x:c>
      <x:c r="E9509" s="0" t="s">
        <x:v>37904</x:v>
      </x:c>
      <x:c r="F9509" s="0" t="s">
        <x:v>45</x:v>
      </x:c>
      <x:c r="G9509" s="0" t="s">
        <x:v>19</x:v>
      </x:c>
      <x:c r="H9509" s="0" t="s">
        <x:v>20</x:v>
      </x:c>
      <x:c r="I9509" s="0" t="s">
        <x:v>21</x:v>
      </x:c>
      <x:c r="K9509" s="0">
        <x:f>hyperlink("https://icd.who.int/dev11/l-ichi/en#/http%3A%2F%2Fid.who.int%2Ficd%2Fentity%2F995108233","browser")</x:f>
      </x:c>
      <x:c r="L9509" s="0">
        <x:f>hyperlink("https://icat2.azurewebsites.net/icat/?ontology=ICD&amp;tab=ClassesTab&amp;id=http%3A%2F%2Fwho.int%2Ficd%23421_b929cd40_1812_4e2b_8d98_622273bc31b1","iCat")</x:f>
      </x:c>
      <x:c r="M9509" s="0" t="s">
        <x:v>21</x:v>
      </x:c>
      <x:c r="N9509" s="0" t="s">
        <x:v>46</x:v>
      </x:c>
    </x:row>
    <x:row r="9510" spans="1:16">
      <x:c r="A9510" s="0" t="s">
        <x:v>37905</x:v>
      </x:c>
      <x:c r="B9510" s="0" t="s">
        <x:v>37906</x:v>
      </x:c>
      <x:c r="C9510" s="0" t="s">
        <x:v>37907</x:v>
      </x:c>
      <x:c r="E9510" s="0" t="s">
        <x:v>37908</x:v>
      </x:c>
      <x:c r="F9510" s="0" t="s">
        <x:v>45</x:v>
      </x:c>
      <x:c r="G9510" s="0" t="s">
        <x:v>19</x:v>
      </x:c>
      <x:c r="H9510" s="0" t="s">
        <x:v>20</x:v>
      </x:c>
      <x:c r="I9510" s="0" t="s">
        <x:v>21</x:v>
      </x:c>
      <x:c r="K9510" s="0">
        <x:f>hyperlink("https://icd.who.int/dev11/l-ichi/en#/http%3A%2F%2Fid.who.int%2Ficd%2Fentity%2F1798044728","browser")</x:f>
      </x:c>
      <x:c r="L9510" s="0">
        <x:f>hyperlink("https://icat2.azurewebsites.net/icat/?ontology=ICD&amp;tab=ClassesTab&amp;id=http%3A%2F%2Fwho.int%2Ficd%23427_b929cd40_1812_4e2b_8d98_622273bc31b1","iCat")</x:f>
      </x:c>
      <x:c r="M9510" s="0" t="s">
        <x:v>21</x:v>
      </x:c>
      <x:c r="N9510" s="0" t="s">
        <x:v>46</x:v>
      </x:c>
    </x:row>
    <x:row r="9511" spans="1:16">
      <x:c r="A9511" s="0" t="s">
        <x:v>37909</x:v>
      </x:c>
      <x:c r="B9511" s="0" t="s">
        <x:v>37910</x:v>
      </x:c>
      <x:c r="C9511" s="0" t="s">
        <x:v>37911</x:v>
      </x:c>
      <x:c r="E9511" s="0" t="s">
        <x:v>37912</x:v>
      </x:c>
      <x:c r="F9511" s="0" t="s">
        <x:v>45</x:v>
      </x:c>
      <x:c r="G9511" s="0" t="s">
        <x:v>19</x:v>
      </x:c>
      <x:c r="H9511" s="0" t="s">
        <x:v>20</x:v>
      </x:c>
      <x:c r="I9511" s="0" t="s">
        <x:v>21</x:v>
      </x:c>
      <x:c r="K9511" s="0">
        <x:f>hyperlink("https://icd.who.int/dev11/l-ichi/en#/http%3A%2F%2Fid.who.int%2Ficd%2Fentity%2F887729435","browser")</x:f>
      </x:c>
      <x:c r="L9511" s="0">
        <x:f>hyperlink("https://icat2.azurewebsites.net/icat/?ontology=ICD&amp;tab=ClassesTab&amp;id=http%3A%2F%2Fwho.int%2Ficd%23433_b929cd40_1812_4e2b_8d98_622273bc31b1","iCat")</x:f>
      </x:c>
      <x:c r="M9511" s="0" t="s">
        <x:v>21</x:v>
      </x:c>
      <x:c r="N9511" s="0" t="s">
        <x:v>46</x:v>
      </x:c>
    </x:row>
    <x:row r="9512" spans="1:16">
      <x:c r="A9512" s="0" t="s">
        <x:v>37913</x:v>
      </x:c>
      <x:c r="B9512" s="0" t="s">
        <x:v>37914</x:v>
      </x:c>
      <x:c r="C9512" s="0" t="s">
        <x:v>37915</x:v>
      </x:c>
      <x:c r="E9512" s="0" t="s">
        <x:v>37916</x:v>
      </x:c>
      <x:c r="F9512" s="0" t="s">
        <x:v>45</x:v>
      </x:c>
      <x:c r="G9512" s="0" t="s">
        <x:v>19</x:v>
      </x:c>
      <x:c r="H9512" s="0" t="s">
        <x:v>20</x:v>
      </x:c>
      <x:c r="I9512" s="0" t="s">
        <x:v>21</x:v>
      </x:c>
      <x:c r="K9512" s="0">
        <x:f>hyperlink("https://icd.who.int/dev11/l-ichi/en#/http%3A%2F%2Fid.who.int%2Ficd%2Fentity%2F521453963","browser")</x:f>
      </x:c>
      <x:c r="L9512" s="0">
        <x:f>hyperlink("https://icat2.azurewebsites.net/icat/?ontology=ICD&amp;tab=ClassesTab&amp;id=http%3A%2F%2Fwho.int%2Ficd%23439_b929cd40_1812_4e2b_8d98_622273bc31b1","iCat")</x:f>
      </x:c>
      <x:c r="M9512" s="0" t="s">
        <x:v>21</x:v>
      </x:c>
      <x:c r="N9512" s="0" t="s">
        <x:v>46</x:v>
      </x:c>
    </x:row>
    <x:row r="9513" spans="1:16">
      <x:c r="A9513" s="0" t="s">
        <x:v>37917</x:v>
      </x:c>
      <x:c r="B9513" s="0" t="s">
        <x:v>37918</x:v>
      </x:c>
      <x:c r="C9513" s="0" t="s">
        <x:v>37919</x:v>
      </x:c>
      <x:c r="E9513" s="0" t="s">
        <x:v>37920</x:v>
      </x:c>
      <x:c r="F9513" s="0" t="s">
        <x:v>45</x:v>
      </x:c>
      <x:c r="G9513" s="0" t="s">
        <x:v>19</x:v>
      </x:c>
      <x:c r="H9513" s="0" t="s">
        <x:v>20</x:v>
      </x:c>
      <x:c r="I9513" s="0" t="s">
        <x:v>21</x:v>
      </x:c>
      <x:c r="K9513" s="0">
        <x:f>hyperlink("https://icd.who.int/dev11/l-ichi/en#/http%3A%2F%2Fid.who.int%2Ficd%2Fentity%2F351610807","browser")</x:f>
      </x:c>
      <x:c r="L9513" s="0">
        <x:f>hyperlink("https://icat2.azurewebsites.net/icat/?ontology=ICD&amp;tab=ClassesTab&amp;id=http%3A%2F%2Fwho.int%2Ficd%23475_b929cd40_1812_4e2b_8d98_622273bc31b1","iCat")</x:f>
      </x:c>
      <x:c r="M9513" s="0" t="s">
        <x:v>21</x:v>
      </x:c>
      <x:c r="N9513" s="0" t="s">
        <x:v>46</x:v>
      </x:c>
    </x:row>
    <x:row r="9514" spans="1:16">
      <x:c r="A9514" s="0" t="s">
        <x:v>37921</x:v>
      </x:c>
      <x:c r="B9514" s="0" t="s">
        <x:v>37922</x:v>
      </x:c>
      <x:c r="C9514" s="0" t="s">
        <x:v>37923</x:v>
      </x:c>
      <x:c r="E9514" s="0" t="s">
        <x:v>37924</x:v>
      </x:c>
      <x:c r="F9514" s="0" t="s">
        <x:v>45</x:v>
      </x:c>
      <x:c r="G9514" s="0" t="s">
        <x:v>19</x:v>
      </x:c>
      <x:c r="H9514" s="0" t="s">
        <x:v>20</x:v>
      </x:c>
      <x:c r="I9514" s="0" t="s">
        <x:v>21</x:v>
      </x:c>
      <x:c r="K9514" s="0">
        <x:f>hyperlink("https://icd.who.int/dev11/l-ichi/en#/http%3A%2F%2Fid.who.int%2Ficd%2Fentity%2F236300573","browser")</x:f>
      </x:c>
      <x:c r="L9514" s="0">
        <x:f>hyperlink("https://icat2.azurewebsites.net/icat/?ontology=ICD&amp;tab=ClassesTab&amp;id=http%3A%2F%2Fwho.int%2Ficd%23481_b929cd40_1812_4e2b_8d98_622273bc31b1","iCat")</x:f>
      </x:c>
      <x:c r="M9514" s="0" t="s">
        <x:v>21</x:v>
      </x:c>
      <x:c r="N9514" s="0" t="s">
        <x:v>46</x:v>
      </x:c>
    </x:row>
    <x:row r="9515" spans="1:16">
      <x:c r="A9515" s="0" t="s">
        <x:v>37925</x:v>
      </x:c>
      <x:c r="B9515" s="0" t="s">
        <x:v>37926</x:v>
      </x:c>
      <x:c r="C9515" s="0" t="s">
        <x:v>37927</x:v>
      </x:c>
      <x:c r="E9515" s="0" t="s">
        <x:v>37928</x:v>
      </x:c>
      <x:c r="F9515" s="0" t="s">
        <x:v>45</x:v>
      </x:c>
      <x:c r="G9515" s="0" t="s">
        <x:v>19</x:v>
      </x:c>
      <x:c r="H9515" s="0" t="s">
        <x:v>20</x:v>
      </x:c>
      <x:c r="I9515" s="0" t="s">
        <x:v>21</x:v>
      </x:c>
      <x:c r="K9515" s="0">
        <x:f>hyperlink("https://icd.who.int/dev11/l-ichi/en#/http%3A%2F%2Fid.who.int%2Ficd%2Fentity%2F1584296108","browser")</x:f>
      </x:c>
      <x:c r="L9515" s="0">
        <x:f>hyperlink("https://icat2.azurewebsites.net/icat/?ontology=ICD&amp;tab=ClassesTab&amp;id=http%3A%2F%2Fwho.int%2Ficd%23487_b929cd40_1812_4e2b_8d98_622273bc31b1","iCat")</x:f>
      </x:c>
      <x:c r="M9515" s="0" t="s">
        <x:v>21</x:v>
      </x:c>
      <x:c r="N9515" s="0" t="s">
        <x:v>46</x:v>
      </x:c>
    </x:row>
    <x:row r="9516" spans="1:16">
      <x:c r="A9516" s="0" t="s">
        <x:v>37929</x:v>
      </x:c>
      <x:c r="B9516" s="0" t="s">
        <x:v>37930</x:v>
      </x:c>
      <x:c r="C9516" s="0" t="s">
        <x:v>37931</x:v>
      </x:c>
      <x:c r="E9516" s="0" t="s">
        <x:v>37932</x:v>
      </x:c>
      <x:c r="F9516" s="0" t="s">
        <x:v>45</x:v>
      </x:c>
      <x:c r="G9516" s="0" t="s">
        <x:v>19</x:v>
      </x:c>
      <x:c r="H9516" s="0" t="s">
        <x:v>20</x:v>
      </x:c>
      <x:c r="I9516" s="0" t="s">
        <x:v>21</x:v>
      </x:c>
      <x:c r="K9516" s="0">
        <x:f>hyperlink("https://icd.who.int/dev11/l-ichi/en#/http%3A%2F%2Fid.who.int%2Ficd%2Fentity%2F28057999","browser")</x:f>
      </x:c>
      <x:c r="L9516" s="0">
        <x:f>hyperlink("https://icat2.azurewebsites.net/icat/?ontology=ICD&amp;tab=ClassesTab&amp;id=http%3A%2F%2Fwho.int%2Ficd%23493_b929cd40_1812_4e2b_8d98_622273bc31b1","iCat")</x:f>
      </x:c>
      <x:c r="M9516" s="0" t="s">
        <x:v>21</x:v>
      </x:c>
      <x:c r="N9516" s="0" t="s">
        <x:v>46</x:v>
      </x:c>
    </x:row>
    <x:row r="9517" spans="1:16">
      <x:c r="A9517" s="0" t="s">
        <x:v>37933</x:v>
      </x:c>
      <x:c r="B9517" s="0" t="s">
        <x:v>37934</x:v>
      </x:c>
      <x:c r="C9517" s="0" t="s">
        <x:v>37935</x:v>
      </x:c>
      <x:c r="E9517" s="0" t="s">
        <x:v>37936</x:v>
      </x:c>
      <x:c r="F9517" s="0" t="s">
        <x:v>45</x:v>
      </x:c>
      <x:c r="G9517" s="0" t="s">
        <x:v>19</x:v>
      </x:c>
      <x:c r="H9517" s="0" t="s">
        <x:v>20</x:v>
      </x:c>
      <x:c r="I9517" s="0" t="s">
        <x:v>21</x:v>
      </x:c>
      <x:c r="K9517" s="0">
        <x:f>hyperlink("https://icd.who.int/dev11/l-ichi/en#/http%3A%2F%2Fid.who.int%2Ficd%2Fentity%2F709971231","browser")</x:f>
      </x:c>
      <x:c r="L9517" s="0">
        <x:f>hyperlink("https://icat2.azurewebsites.net/icat/?ontology=ICD&amp;tab=ClassesTab&amp;id=http%3A%2F%2Fwho.int%2Ficd%23499_b929cd40_1812_4e2b_8d98_622273bc31b1","iCat")</x:f>
      </x:c>
      <x:c r="M9517" s="0" t="s">
        <x:v>21</x:v>
      </x:c>
      <x:c r="N9517" s="0" t="s">
        <x:v>46</x:v>
      </x:c>
    </x:row>
    <x:row r="9518" spans="1:16">
      <x:c r="A9518" s="0" t="s">
        <x:v>37937</x:v>
      </x:c>
      <x:c r="B9518" s="0" t="s">
        <x:v>37938</x:v>
      </x:c>
      <x:c r="C9518" s="0" t="s">
        <x:v>37939</x:v>
      </x:c>
      <x:c r="E9518" s="0" t="s">
        <x:v>37940</x:v>
      </x:c>
      <x:c r="F9518" s="0" t="s">
        <x:v>45</x:v>
      </x:c>
      <x:c r="G9518" s="0" t="s">
        <x:v>19</x:v>
      </x:c>
      <x:c r="H9518" s="0" t="s">
        <x:v>20</x:v>
      </x:c>
      <x:c r="I9518" s="0" t="s">
        <x:v>21</x:v>
      </x:c>
      <x:c r="K9518" s="0">
        <x:f>hyperlink("https://icd.who.int/dev11/l-ichi/en#/http%3A%2F%2Fid.who.int%2Ficd%2Fentity%2F1371337266","browser")</x:f>
      </x:c>
      <x:c r="L9518" s="0">
        <x:f>hyperlink("https://icat2.azurewebsites.net/icat/?ontology=ICD&amp;tab=ClassesTab&amp;id=http%3A%2F%2Fwho.int%2Ficd%23505_b929cd40_1812_4e2b_8d98_622273bc31b1","iCat")</x:f>
      </x:c>
      <x:c r="M9518" s="0" t="s">
        <x:v>21</x:v>
      </x:c>
      <x:c r="N9518" s="0" t="s">
        <x:v>46</x:v>
      </x:c>
    </x:row>
    <x:row r="9519" spans="1:16">
      <x:c r="A9519" s="0" t="s">
        <x:v>37941</x:v>
      </x:c>
      <x:c r="B9519" s="0" t="s">
        <x:v>37942</x:v>
      </x:c>
      <x:c r="C9519" s="0" t="s">
        <x:v>37943</x:v>
      </x:c>
      <x:c r="E9519" s="0" t="s">
        <x:v>37944</x:v>
      </x:c>
      <x:c r="F9519" s="0" t="s">
        <x:v>45</x:v>
      </x:c>
      <x:c r="G9519" s="0" t="s">
        <x:v>19</x:v>
      </x:c>
      <x:c r="H9519" s="0" t="s">
        <x:v>20</x:v>
      </x:c>
      <x:c r="I9519" s="0" t="s">
        <x:v>21</x:v>
      </x:c>
      <x:c r="K9519" s="0">
        <x:f>hyperlink("https://icd.who.int/dev11/l-ichi/en#/http%3A%2F%2Fid.who.int%2Ficd%2Fentity%2F243180307","browser")</x:f>
      </x:c>
      <x:c r="L9519" s="0">
        <x:f>hyperlink("https://icat2.azurewebsites.net/icat/?ontology=ICD&amp;tab=ClassesTab&amp;id=http%3A%2F%2Fwho.int%2Ficd%23511_b929cd40_1812_4e2b_8d98_622273bc31b1","iCat")</x:f>
      </x:c>
      <x:c r="M9519" s="0" t="s">
        <x:v>21</x:v>
      </x:c>
      <x:c r="N9519" s="0" t="s">
        <x:v>46</x:v>
      </x:c>
    </x:row>
    <x:row r="9520" spans="1:16">
      <x:c r="A9520" s="0" t="s">
        <x:v>37945</x:v>
      </x:c>
      <x:c r="B9520" s="0" t="s">
        <x:v>37946</x:v>
      </x:c>
      <x:c r="C9520" s="0" t="s">
        <x:v>37947</x:v>
      </x:c>
      <x:c r="E9520" s="0" t="s">
        <x:v>37948</x:v>
      </x:c>
      <x:c r="F9520" s="0" t="s">
        <x:v>45</x:v>
      </x:c>
      <x:c r="G9520" s="0" t="s">
        <x:v>19</x:v>
      </x:c>
      <x:c r="H9520" s="0" t="s">
        <x:v>20</x:v>
      </x:c>
      <x:c r="I9520" s="0" t="s">
        <x:v>21</x:v>
      </x:c>
      <x:c r="K9520" s="0">
        <x:f>hyperlink("https://icd.who.int/dev11/l-ichi/en#/http%3A%2F%2Fid.who.int%2Ficd%2Fentity%2F1805418868","browser")</x:f>
      </x:c>
      <x:c r="L9520" s="0">
        <x:f>hyperlink("https://icat2.azurewebsites.net/icat/?ontology=ICD&amp;tab=ClassesTab&amp;id=http%3A%2F%2Fwho.int%2Ficd%23608_b929cd40_1812_4e2b_8d98_622273bc31b1","iCat")</x:f>
      </x:c>
      <x:c r="M9520" s="0" t="s">
        <x:v>21</x:v>
      </x:c>
      <x:c r="N9520" s="0" t="s">
        <x:v>46</x:v>
      </x:c>
    </x:row>
    <x:row r="9521" spans="1:16">
      <x:c r="A9521" s="0" t="s">
        <x:v>37949</x:v>
      </x:c>
      <x:c r="B9521" s="0" t="s">
        <x:v>37950</x:v>
      </x:c>
      <x:c r="C9521" s="0" t="s">
        <x:v>37951</x:v>
      </x:c>
      <x:c r="E9521" s="0" t="s">
        <x:v>37952</x:v>
      </x:c>
      <x:c r="F9521" s="0" t="s">
        <x:v>45</x:v>
      </x:c>
      <x:c r="G9521" s="0" t="s">
        <x:v>19</x:v>
      </x:c>
      <x:c r="H9521" s="0" t="s">
        <x:v>20</x:v>
      </x:c>
      <x:c r="I9521" s="0" t="s">
        <x:v>21</x:v>
      </x:c>
      <x:c r="K9521" s="0">
        <x:f>hyperlink("https://icd.who.int/dev11/l-ichi/en#/http%3A%2F%2Fid.who.int%2Ficd%2Fentity%2F2061476100","browser")</x:f>
      </x:c>
      <x:c r="L9521" s="0">
        <x:f>hyperlink("https://icat2.azurewebsites.net/icat/?ontology=ICD&amp;tab=ClassesTab&amp;id=http%3A%2F%2Fwho.int%2Ficd%23614_b929cd40_1812_4e2b_8d98_622273bc31b1","iCat")</x:f>
      </x:c>
      <x:c r="M9521" s="0" t="s">
        <x:v>21</x:v>
      </x:c>
      <x:c r="N9521" s="0" t="s">
        <x:v>46</x:v>
      </x:c>
    </x:row>
    <x:row r="9522" spans="1:16">
      <x:c r="A9522" s="0" t="s">
        <x:v>37953</x:v>
      </x:c>
      <x:c r="B9522" s="0" t="s">
        <x:v>37954</x:v>
      </x:c>
      <x:c r="C9522" s="0" t="s">
        <x:v>37955</x:v>
      </x:c>
      <x:c r="E9522" s="0" t="s">
        <x:v>37956</x:v>
      </x:c>
      <x:c r="F9522" s="0" t="s">
        <x:v>45</x:v>
      </x:c>
      <x:c r="G9522" s="0" t="s">
        <x:v>19</x:v>
      </x:c>
      <x:c r="H9522" s="0" t="s">
        <x:v>20</x:v>
      </x:c>
      <x:c r="I9522" s="0" t="s">
        <x:v>21</x:v>
      </x:c>
      <x:c r="K9522" s="0">
        <x:f>hyperlink("https://icd.who.int/dev11/l-ichi/en#/http%3A%2F%2Fid.who.int%2Ficd%2Fentity%2F258549105","browser")</x:f>
      </x:c>
      <x:c r="L9522" s="0">
        <x:f>hyperlink("https://icat2.azurewebsites.net/icat/?ontology=ICD&amp;tab=ClassesTab&amp;id=http%3A%2F%2Fwho.int%2Ficd%23620_b929cd40_1812_4e2b_8d98_622273bc31b1","iCat")</x:f>
      </x:c>
      <x:c r="M9522" s="0" t="s">
        <x:v>21</x:v>
      </x:c>
      <x:c r="N9522" s="0" t="s">
        <x:v>46</x:v>
      </x:c>
    </x:row>
    <x:row r="9523" spans="1:16">
      <x:c r="A9523" s="0" t="s">
        <x:v>37957</x:v>
      </x:c>
      <x:c r="B9523" s="0" t="s">
        <x:v>37958</x:v>
      </x:c>
      <x:c r="C9523" s="0" t="s">
        <x:v>37959</x:v>
      </x:c>
      <x:c r="E9523" s="0" t="s">
        <x:v>37960</x:v>
      </x:c>
      <x:c r="F9523" s="0" t="s">
        <x:v>45</x:v>
      </x:c>
      <x:c r="G9523" s="0" t="s">
        <x:v>19</x:v>
      </x:c>
      <x:c r="H9523" s="0" t="s">
        <x:v>20</x:v>
      </x:c>
      <x:c r="I9523" s="0" t="s">
        <x:v>21</x:v>
      </x:c>
      <x:c r="K9523" s="0">
        <x:f>hyperlink("https://icd.who.int/dev11/l-ichi/en#/http%3A%2F%2Fid.who.int%2Ficd%2Fentity%2F1595079872","browser")</x:f>
      </x:c>
      <x:c r="L9523" s="0">
        <x:f>hyperlink("https://icat2.azurewebsites.net/icat/?ontology=ICD&amp;tab=ClassesTab&amp;id=http%3A%2F%2Fwho.int%2Ficd%23626_b929cd40_1812_4e2b_8d98_622273bc31b1","iCat")</x:f>
      </x:c>
      <x:c r="M9523" s="0" t="s">
        <x:v>21</x:v>
      </x:c>
      <x:c r="N9523" s="0" t="s">
        <x:v>46</x:v>
      </x:c>
    </x:row>
    <x:row r="9524" spans="1:16">
      <x:c r="A9524" s="0" t="s">
        <x:v>37961</x:v>
      </x:c>
      <x:c r="B9524" s="0" t="s">
        <x:v>37962</x:v>
      </x:c>
      <x:c r="C9524" s="0" t="s">
        <x:v>37963</x:v>
      </x:c>
      <x:c r="E9524" s="0" t="s">
        <x:v>37964</x:v>
      </x:c>
      <x:c r="F9524" s="0" t="s">
        <x:v>45</x:v>
      </x:c>
      <x:c r="G9524" s="0" t="s">
        <x:v>19</x:v>
      </x:c>
      <x:c r="H9524" s="0" t="s">
        <x:v>20</x:v>
      </x:c>
      <x:c r="I9524" s="0" t="s">
        <x:v>21</x:v>
      </x:c>
      <x:c r="K9524" s="0">
        <x:f>hyperlink("https://icd.who.int/dev11/l-ichi/en#/http%3A%2F%2Fid.who.int%2Ficd%2Fentity%2F13676003","browser")</x:f>
      </x:c>
      <x:c r="L9524" s="0">
        <x:f>hyperlink("https://icat2.azurewebsites.net/icat/?ontology=ICD&amp;tab=ClassesTab&amp;id=http%3A%2F%2Fwho.int%2Ficd%23632_b929cd40_1812_4e2b_8d98_622273bc31b1","iCat")</x:f>
      </x:c>
      <x:c r="M9524" s="0" t="s">
        <x:v>21</x:v>
      </x:c>
      <x:c r="N9524" s="0" t="s">
        <x:v>46</x:v>
      </x:c>
    </x:row>
    <x:row r="9525" spans="1:16">
      <x:c r="A9525" s="0" t="s">
        <x:v>37965</x:v>
      </x:c>
      <x:c r="B9525" s="0" t="s">
        <x:v>37966</x:v>
      </x:c>
      <x:c r="C9525" s="0" t="s">
        <x:v>37967</x:v>
      </x:c>
      <x:c r="E9525" s="0" t="s">
        <x:v>37968</x:v>
      </x:c>
      <x:c r="F9525" s="0" t="s">
        <x:v>45</x:v>
      </x:c>
      <x:c r="G9525" s="0" t="s">
        <x:v>19</x:v>
      </x:c>
      <x:c r="H9525" s="0" t="s">
        <x:v>20</x:v>
      </x:c>
      <x:c r="I9525" s="0" t="s">
        <x:v>21</x:v>
      </x:c>
      <x:c r="K9525" s="0">
        <x:f>hyperlink("https://icd.who.int/dev11/l-ichi/en#/http%3A%2F%2Fid.who.int%2Ficd%2Fentity%2F724418931","browser")</x:f>
      </x:c>
      <x:c r="L9525" s="0">
        <x:f>hyperlink("https://icat2.azurewebsites.net/icat/?ontology=ICD&amp;tab=ClassesTab&amp;id=http%3A%2F%2Fwho.int%2Ficd%23638_b929cd40_1812_4e2b_8d98_622273bc31b1","iCat")</x:f>
      </x:c>
      <x:c r="M9525" s="0" t="s">
        <x:v>21</x:v>
      </x:c>
      <x:c r="N9525" s="0" t="s">
        <x:v>46</x:v>
      </x:c>
    </x:row>
    <x:row r="9526" spans="1:16">
      <x:c r="A9526" s="0" t="s">
        <x:v>37969</x:v>
      </x:c>
      <x:c r="B9526" s="0" t="s">
        <x:v>37970</x:v>
      </x:c>
      <x:c r="C9526" s="0" t="s">
        <x:v>37971</x:v>
      </x:c>
      <x:c r="E9526" s="0" t="s">
        <x:v>37972</x:v>
      </x:c>
      <x:c r="F9526" s="0" t="s">
        <x:v>45</x:v>
      </x:c>
      <x:c r="G9526" s="0" t="s">
        <x:v>19</x:v>
      </x:c>
      <x:c r="H9526" s="0" t="s">
        <x:v>20</x:v>
      </x:c>
      <x:c r="I9526" s="0" t="s">
        <x:v>21</x:v>
      </x:c>
      <x:c r="K9526" s="0">
        <x:f>hyperlink("https://icd.who.int/dev11/l-ichi/en#/http%3A%2F%2Fid.who.int%2Ficd%2Fentity%2F1618831178","browser")</x:f>
      </x:c>
      <x:c r="L9526" s="0">
        <x:f>hyperlink("https://icat2.azurewebsites.net/icat/?ontology=ICD&amp;tab=ClassesTab&amp;id=http%3A%2F%2Fwho.int%2Ficd%23644_b929cd40_1812_4e2b_8d98_622273bc31b1","iCat")</x:f>
      </x:c>
      <x:c r="M9526" s="0" t="s">
        <x:v>21</x:v>
      </x:c>
      <x:c r="N9526" s="0" t="s">
        <x:v>46</x:v>
      </x:c>
    </x:row>
    <x:row r="9527" spans="1:16">
      <x:c r="A9527" s="0" t="s">
        <x:v>37973</x:v>
      </x:c>
      <x:c r="B9527" s="0" t="s">
        <x:v>37974</x:v>
      </x:c>
      <x:c r="C9527" s="0" t="s">
        <x:v>37975</x:v>
      </x:c>
      <x:c r="E9527" s="0" t="s">
        <x:v>37976</x:v>
      </x:c>
      <x:c r="F9527" s="0" t="s">
        <x:v>45</x:v>
      </x:c>
      <x:c r="G9527" s="0" t="s">
        <x:v>19</x:v>
      </x:c>
      <x:c r="H9527" s="0" t="s">
        <x:v>20</x:v>
      </x:c>
      <x:c r="I9527" s="0" t="s">
        <x:v>21</x:v>
      </x:c>
      <x:c r="K9527" s="0">
        <x:f>hyperlink("https://icd.who.int/dev11/l-ichi/en#/http%3A%2F%2Fid.who.int%2Ficd%2Fentity%2F1464059141","browser")</x:f>
      </x:c>
      <x:c r="L9527" s="0">
        <x:f>hyperlink("https://icat2.azurewebsites.net/icat/?ontology=ICD&amp;tab=ClassesTab&amp;id=http%3A%2F%2Fwho.int%2Ficd%23385_b929cd40_1812_4e2b_8d98_622273bc31b1","iCat")</x:f>
      </x:c>
      <x:c r="M9527" s="0" t="s">
        <x:v>21</x:v>
      </x:c>
      <x:c r="N9527" s="0" t="s">
        <x:v>46</x:v>
      </x:c>
    </x:row>
    <x:row r="9528" spans="1:16">
      <x:c r="A9528" s="0" t="s">
        <x:v>37977</x:v>
      </x:c>
      <x:c r="B9528" s="0" t="s">
        <x:v>37978</x:v>
      </x:c>
      <x:c r="C9528" s="0" t="s">
        <x:v>37979</x:v>
      </x:c>
      <x:c r="E9528" s="0" t="s">
        <x:v>37980</x:v>
      </x:c>
      <x:c r="F9528" s="0" t="s">
        <x:v>45</x:v>
      </x:c>
      <x:c r="G9528" s="0" t="s">
        <x:v>19</x:v>
      </x:c>
      <x:c r="H9528" s="0" t="s">
        <x:v>20</x:v>
      </x:c>
      <x:c r="I9528" s="0" t="s">
        <x:v>21</x:v>
      </x:c>
      <x:c r="K9528" s="0">
        <x:f>hyperlink("https://icd.who.int/dev11/l-ichi/en#/http%3A%2F%2Fid.who.int%2Ficd%2Fentity%2F1492798871","browser")</x:f>
      </x:c>
      <x:c r="L9528" s="0">
        <x:f>hyperlink("https://icat2.azurewebsites.net/icat/?ontology=ICD&amp;tab=ClassesTab&amp;id=http%3A%2F%2Fwho.int%2Ficd%23397_b929cd40_1812_4e2b_8d98_622273bc31b1","iCat")</x:f>
      </x:c>
      <x:c r="M9528" s="0" t="s">
        <x:v>21</x:v>
      </x:c>
      <x:c r="N9528" s="0" t="s">
        <x:v>46</x:v>
      </x:c>
    </x:row>
    <x:row r="9529" spans="1:16">
      <x:c r="A9529" s="0" t="s">
        <x:v>37981</x:v>
      </x:c>
      <x:c r="B9529" s="0" t="s">
        <x:v>37982</x:v>
      </x:c>
      <x:c r="C9529" s="0" t="s">
        <x:v>37983</x:v>
      </x:c>
      <x:c r="E9529" s="0" t="s">
        <x:v>37984</x:v>
      </x:c>
      <x:c r="F9529" s="0" t="s">
        <x:v>45</x:v>
      </x:c>
      <x:c r="G9529" s="0" t="s">
        <x:v>19</x:v>
      </x:c>
      <x:c r="H9529" s="0" t="s">
        <x:v>20</x:v>
      </x:c>
      <x:c r="I9529" s="0" t="s">
        <x:v>21</x:v>
      </x:c>
      <x:c r="K9529" s="0">
        <x:f>hyperlink("https://icd.who.int/dev11/l-ichi/en#/http%3A%2F%2Fid.who.int%2Ficd%2Fentity%2F1951984924","browser")</x:f>
      </x:c>
      <x:c r="L9529" s="0">
        <x:f>hyperlink("https://icat2.azurewebsites.net/icat/?ontology=ICD&amp;tab=ClassesTab&amp;id=http%3A%2F%2Fwho.int%2Ficd%23403_b929cd40_1812_4e2b_8d98_622273bc31b1","iCat")</x:f>
      </x:c>
      <x:c r="M9529" s="0" t="s">
        <x:v>21</x:v>
      </x:c>
      <x:c r="N9529" s="0" t="s">
        <x:v>46</x:v>
      </x:c>
    </x:row>
    <x:row r="9530" spans="1:16">
      <x:c r="A9530" s="0" t="s">
        <x:v>37985</x:v>
      </x:c>
      <x:c r="B9530" s="0" t="s">
        <x:v>37986</x:v>
      </x:c>
      <x:c r="C9530" s="0" t="s">
        <x:v>37987</x:v>
      </x:c>
      <x:c r="E9530" s="0" t="s">
        <x:v>37988</x:v>
      </x:c>
      <x:c r="F9530" s="0" t="s">
        <x:v>45</x:v>
      </x:c>
      <x:c r="G9530" s="0" t="s">
        <x:v>19</x:v>
      </x:c>
      <x:c r="H9530" s="0" t="s">
        <x:v>20</x:v>
      </x:c>
      <x:c r="I9530" s="0" t="s">
        <x:v>21</x:v>
      </x:c>
      <x:c r="K9530" s="0">
        <x:f>hyperlink("https://icd.who.int/dev11/l-ichi/en#/http%3A%2F%2Fid.who.int%2Ficd%2Fentity%2F1604682124","browser")</x:f>
      </x:c>
      <x:c r="L9530" s="0">
        <x:f>hyperlink("https://icat2.azurewebsites.net/icat/?ontology=ICD&amp;tab=ClassesTab&amp;id=http%3A%2F%2Fwho.int%2Ficd%23409_b929cd40_1812_4e2b_8d98_622273bc31b1","iCat")</x:f>
      </x:c>
      <x:c r="M9530" s="0" t="s">
        <x:v>21</x:v>
      </x:c>
      <x:c r="N9530" s="0" t="s">
        <x:v>46</x:v>
      </x:c>
    </x:row>
    <x:row r="9531" spans="1:16">
      <x:c r="A9531" s="0" t="s">
        <x:v>37989</x:v>
      </x:c>
      <x:c r="B9531" s="0" t="s">
        <x:v>37990</x:v>
      </x:c>
      <x:c r="C9531" s="0" t="s">
        <x:v>37991</x:v>
      </x:c>
      <x:c r="E9531" s="0" t="s">
        <x:v>37992</x:v>
      </x:c>
      <x:c r="F9531" s="0" t="s">
        <x:v>45</x:v>
      </x:c>
      <x:c r="G9531" s="0" t="s">
        <x:v>19</x:v>
      </x:c>
      <x:c r="H9531" s="0" t="s">
        <x:v>20</x:v>
      </x:c>
      <x:c r="I9531" s="0" t="s">
        <x:v>21</x:v>
      </x:c>
      <x:c r="K9531" s="0">
        <x:f>hyperlink("https://icd.who.int/dev11/l-ichi/en#/http%3A%2F%2Fid.who.int%2Ficd%2Fentity%2F1323737596","browser")</x:f>
      </x:c>
      <x:c r="L9531" s="0">
        <x:f>hyperlink("https://icat2.azurewebsites.net/icat/?ontology=ICD&amp;tab=ClassesTab&amp;id=http%3A%2F%2Fwho.int%2Ficd%23415_b929cd40_1812_4e2b_8d98_622273bc31b1","iCat")</x:f>
      </x:c>
      <x:c r="M9531" s="0" t="s">
        <x:v>21</x:v>
      </x:c>
      <x:c r="N9531" s="0" t="s">
        <x:v>46</x:v>
      </x:c>
    </x:row>
    <x:row r="9532" spans="1:16">
      <x:c r="A9532" s="0" t="s">
        <x:v>37993</x:v>
      </x:c>
      <x:c r="B9532" s="0" t="s">
        <x:v>37994</x:v>
      </x:c>
      <x:c r="C9532" s="0" t="s">
        <x:v>37995</x:v>
      </x:c>
      <x:c r="E9532" s="0" t="s">
        <x:v>37996</x:v>
      </x:c>
      <x:c r="F9532" s="0" t="s">
        <x:v>45</x:v>
      </x:c>
      <x:c r="G9532" s="0" t="s">
        <x:v>19</x:v>
      </x:c>
      <x:c r="H9532" s="0" t="s">
        <x:v>20</x:v>
      </x:c>
      <x:c r="I9532" s="0" t="s">
        <x:v>21</x:v>
      </x:c>
      <x:c r="K9532" s="0">
        <x:f>hyperlink("https://icd.who.int/dev11/l-ichi/en#/http%3A%2F%2Fid.who.int%2Ficd%2Fentity%2F1413769138","browser")</x:f>
      </x:c>
      <x:c r="L9532" s="0">
        <x:f>hyperlink("https://icat2.azurewebsites.net/icat/?ontology=ICD&amp;tab=ClassesTab&amp;id=http%3A%2F%2Fwho.int%2Ficd%23445_b929cd40_1812_4e2b_8d98_622273bc31b1","iCat")</x:f>
      </x:c>
      <x:c r="M9532" s="0" t="s">
        <x:v>21</x:v>
      </x:c>
      <x:c r="N9532" s="0" t="s">
        <x:v>46</x:v>
      </x:c>
    </x:row>
    <x:row r="9533" spans="1:16">
      <x:c r="A9533" s="0" t="s">
        <x:v>37997</x:v>
      </x:c>
      <x:c r="B9533" s="0" t="s">
        <x:v>37998</x:v>
      </x:c>
      <x:c r="C9533" s="0" t="s">
        <x:v>37999</x:v>
      </x:c>
      <x:c r="E9533" s="0" t="s">
        <x:v>38000</x:v>
      </x:c>
      <x:c r="F9533" s="0" t="s">
        <x:v>45</x:v>
      </x:c>
      <x:c r="G9533" s="0" t="s">
        <x:v>19</x:v>
      </x:c>
      <x:c r="H9533" s="0" t="s">
        <x:v>20</x:v>
      </x:c>
      <x:c r="I9533" s="0" t="s">
        <x:v>21</x:v>
      </x:c>
      <x:c r="K9533" s="0">
        <x:f>hyperlink("https://icd.who.int/dev11/l-ichi/en#/http%3A%2F%2Fid.who.int%2Ficd%2Fentity%2F193345171","browser")</x:f>
      </x:c>
      <x:c r="L9533" s="0">
        <x:f>hyperlink("https://icat2.azurewebsites.net/icat/?ontology=ICD&amp;tab=ClassesTab&amp;id=http%3A%2F%2Fwho.int%2Ficd%23451_b929cd40_1812_4e2b_8d98_622273bc31b1","iCat")</x:f>
      </x:c>
      <x:c r="M9533" s="0" t="s">
        <x:v>21</x:v>
      </x:c>
      <x:c r="N9533" s="0" t="s">
        <x:v>46</x:v>
      </x:c>
    </x:row>
    <x:row r="9534" spans="1:16">
      <x:c r="A9534" s="0" t="s">
        <x:v>38001</x:v>
      </x:c>
      <x:c r="B9534" s="0" t="s">
        <x:v>38002</x:v>
      </x:c>
      <x:c r="C9534" s="0" t="s">
        <x:v>38003</x:v>
      </x:c>
      <x:c r="E9534" s="0" t="s">
        <x:v>38004</x:v>
      </x:c>
      <x:c r="F9534" s="0" t="s">
        <x:v>45</x:v>
      </x:c>
      <x:c r="G9534" s="0" t="s">
        <x:v>19</x:v>
      </x:c>
      <x:c r="H9534" s="0" t="s">
        <x:v>20</x:v>
      </x:c>
      <x:c r="I9534" s="0" t="s">
        <x:v>21</x:v>
      </x:c>
      <x:c r="K9534" s="0">
        <x:f>hyperlink("https://icd.who.int/dev11/l-ichi/en#/http%3A%2F%2Fid.who.int%2Ficd%2Fentity%2F1543368484","browser")</x:f>
      </x:c>
      <x:c r="L9534" s="0">
        <x:f>hyperlink("https://icat2.azurewebsites.net/icat/?ontology=ICD&amp;tab=ClassesTab&amp;id=http%3A%2F%2Fwho.int%2Ficd%23457_b929cd40_1812_4e2b_8d98_622273bc31b1","iCat")</x:f>
      </x:c>
      <x:c r="M9534" s="0" t="s">
        <x:v>21</x:v>
      </x:c>
      <x:c r="N9534" s="0" t="s">
        <x:v>46</x:v>
      </x:c>
    </x:row>
    <x:row r="9535" spans="1:16">
      <x:c r="A9535" s="0" t="s">
        <x:v>38005</x:v>
      </x:c>
      <x:c r="B9535" s="0" t="s">
        <x:v>38006</x:v>
      </x:c>
      <x:c r="C9535" s="0" t="s">
        <x:v>38007</x:v>
      </x:c>
      <x:c r="E9535" s="0" t="s">
        <x:v>38008</x:v>
      </x:c>
      <x:c r="F9535" s="0" t="s">
        <x:v>45</x:v>
      </x:c>
      <x:c r="G9535" s="0" t="s">
        <x:v>19</x:v>
      </x:c>
      <x:c r="H9535" s="0" t="s">
        <x:v>20</x:v>
      </x:c>
      <x:c r="I9535" s="0" t="s">
        <x:v>21</x:v>
      </x:c>
      <x:c r="K9535" s="0">
        <x:f>hyperlink("https://icd.who.int/dev11/l-ichi/en#/http%3A%2F%2Fid.who.int%2Ficd%2Fentity%2F776694609","browser")</x:f>
      </x:c>
      <x:c r="L9535" s="0">
        <x:f>hyperlink("https://icat2.azurewebsites.net/icat/?ontology=ICD&amp;tab=ClassesTab&amp;id=http%3A%2F%2Fwho.int%2Ficd%23463_b929cd40_1812_4e2b_8d98_622273bc31b1","iCat")</x:f>
      </x:c>
      <x:c r="M9535" s="0" t="s">
        <x:v>21</x:v>
      </x:c>
      <x:c r="N9535" s="0" t="s">
        <x:v>46</x:v>
      </x:c>
    </x:row>
    <x:row r="9536" spans="1:16">
      <x:c r="A9536" s="0" t="s">
        <x:v>38009</x:v>
      </x:c>
      <x:c r="B9536" s="0" t="s">
        <x:v>38010</x:v>
      </x:c>
      <x:c r="C9536" s="0" t="s">
        <x:v>38011</x:v>
      </x:c>
      <x:c r="E9536" s="0" t="s">
        <x:v>38012</x:v>
      </x:c>
      <x:c r="F9536" s="0" t="s">
        <x:v>45</x:v>
      </x:c>
      <x:c r="G9536" s="0" t="s">
        <x:v>19</x:v>
      </x:c>
      <x:c r="H9536" s="0" t="s">
        <x:v>20</x:v>
      </x:c>
      <x:c r="I9536" s="0" t="s">
        <x:v>21</x:v>
      </x:c>
      <x:c r="K9536" s="0">
        <x:f>hyperlink("https://icd.who.int/dev11/l-ichi/en#/http%3A%2F%2Fid.who.int%2Ficd%2Fentity%2F95815617","browser")</x:f>
      </x:c>
      <x:c r="L9536" s="0">
        <x:f>hyperlink("https://icat2.azurewebsites.net/icat/?ontology=ICD&amp;tab=ClassesTab&amp;id=http%3A%2F%2Fwho.int%2Ficd%23469_b929cd40_1812_4e2b_8d98_622273bc31b1","iCat")</x:f>
      </x:c>
      <x:c r="M9536" s="0" t="s">
        <x:v>21</x:v>
      </x:c>
      <x:c r="N9536" s="0" t="s">
        <x:v>46</x:v>
      </x:c>
    </x:row>
    <x:row r="9537" spans="1:16">
      <x:c r="A9537" s="0" t="s">
        <x:v>38013</x:v>
      </x:c>
      <x:c r="B9537" s="0" t="s">
        <x:v>38014</x:v>
      </x:c>
      <x:c r="C9537" s="0" t="s">
        <x:v>38015</x:v>
      </x:c>
      <x:c r="E9537" s="0" t="s">
        <x:v>38016</x:v>
      </x:c>
      <x:c r="F9537" s="0" t="s">
        <x:v>45</x:v>
      </x:c>
      <x:c r="G9537" s="0" t="s">
        <x:v>19</x:v>
      </x:c>
      <x:c r="H9537" s="0" t="s">
        <x:v>20</x:v>
      </x:c>
      <x:c r="I9537" s="0" t="s">
        <x:v>21</x:v>
      </x:c>
      <x:c r="K9537" s="0">
        <x:f>hyperlink("https://icd.who.int/dev11/l-ichi/en#/http%3A%2F%2Fid.who.int%2Ficd%2Fentity%2F529202729","browser")</x:f>
      </x:c>
      <x:c r="L9537" s="0">
        <x:f>hyperlink("https://icat2.azurewebsites.net/icat/?ontology=ICD&amp;tab=ClassesTab&amp;id=http%3A%2F%2Fwho.int%2Ficd%23722_b929cd40_1812_4e2b_8d98_622273bc31b1","iCat")</x:f>
      </x:c>
      <x:c r="M9537" s="0" t="s">
        <x:v>21</x:v>
      </x:c>
      <x:c r="N9537" s="0" t="s">
        <x:v>46</x:v>
      </x:c>
    </x:row>
    <x:row r="9538" spans="1:16">
      <x:c r="A9538" s="0" t="s">
        <x:v>38017</x:v>
      </x:c>
      <x:c r="B9538" s="0" t="s">
        <x:v>38018</x:v>
      </x:c>
      <x:c r="C9538" s="0" t="s">
        <x:v>38019</x:v>
      </x:c>
      <x:c r="E9538" s="0" t="s">
        <x:v>38020</x:v>
      </x:c>
      <x:c r="F9538" s="0" t="s">
        <x:v>45</x:v>
      </x:c>
      <x:c r="G9538" s="0" t="s">
        <x:v>19</x:v>
      </x:c>
      <x:c r="H9538" s="0" t="s">
        <x:v>20</x:v>
      </x:c>
      <x:c r="I9538" s="0" t="s">
        <x:v>21</x:v>
      </x:c>
      <x:c r="K9538" s="0">
        <x:f>hyperlink("https://icd.who.int/dev11/l-ichi/en#/http%3A%2F%2Fid.who.int%2Ficd%2Fentity%2F880251577","browser")</x:f>
      </x:c>
      <x:c r="L9538" s="0">
        <x:f>hyperlink("https://icat2.azurewebsites.net/icat/?ontology=ICD&amp;tab=ClassesTab&amp;id=http%3A%2F%2Fwho.int%2Ficd%23728_b929cd40_1812_4e2b_8d98_622273bc31b1","iCat")</x:f>
      </x:c>
      <x:c r="M9538" s="0" t="s">
        <x:v>21</x:v>
      </x:c>
      <x:c r="N9538" s="0" t="s">
        <x:v>46</x:v>
      </x:c>
    </x:row>
    <x:row r="9539" spans="1:16">
      <x:c r="A9539" s="0" t="s">
        <x:v>38021</x:v>
      </x:c>
      <x:c r="B9539" s="0" t="s">
        <x:v>38022</x:v>
      </x:c>
      <x:c r="C9539" s="0" t="s">
        <x:v>38023</x:v>
      </x:c>
      <x:c r="E9539" s="0" t="s">
        <x:v>38024</x:v>
      </x:c>
      <x:c r="F9539" s="0" t="s">
        <x:v>45</x:v>
      </x:c>
      <x:c r="G9539" s="0" t="s">
        <x:v>19</x:v>
      </x:c>
      <x:c r="H9539" s="0" t="s">
        <x:v>20</x:v>
      </x:c>
      <x:c r="I9539" s="0" t="s">
        <x:v>21</x:v>
      </x:c>
      <x:c r="K9539" s="0">
        <x:f>hyperlink("https://icd.who.int/dev11/l-ichi/en#/http%3A%2F%2Fid.who.int%2Ficd%2Fentity%2F624210639","browser")</x:f>
      </x:c>
      <x:c r="L9539" s="0">
        <x:f>hyperlink("https://icat2.azurewebsites.net/icat/?ontology=ICD&amp;tab=ClassesTab&amp;id=http%3A%2F%2Fwho.int%2Ficd%23734_b929cd40_1812_4e2b_8d98_622273bc31b1","iCat")</x:f>
      </x:c>
      <x:c r="M9539" s="0" t="s">
        <x:v>21</x:v>
      </x:c>
      <x:c r="N9539" s="0" t="s">
        <x:v>46</x:v>
      </x:c>
    </x:row>
    <x:row r="9540" spans="1:16">
      <x:c r="A9540" s="0" t="s">
        <x:v>38025</x:v>
      </x:c>
      <x:c r="B9540" s="0" t="s">
        <x:v>38026</x:v>
      </x:c>
      <x:c r="C9540" s="0" t="s">
        <x:v>38027</x:v>
      </x:c>
      <x:c r="E9540" s="0" t="s">
        <x:v>38028</x:v>
      </x:c>
      <x:c r="F9540" s="0" t="s">
        <x:v>45</x:v>
      </x:c>
      <x:c r="G9540" s="0" t="s">
        <x:v>19</x:v>
      </x:c>
      <x:c r="H9540" s="0" t="s">
        <x:v>20</x:v>
      </x:c>
      <x:c r="I9540" s="0" t="s">
        <x:v>21</x:v>
      </x:c>
      <x:c r="K9540" s="0">
        <x:f>hyperlink("https://icd.who.int/dev11/l-ichi/en#/http%3A%2F%2Fid.who.int%2Ficd%2Fentity%2F551904673","browser")</x:f>
      </x:c>
      <x:c r="L9540" s="0">
        <x:f>hyperlink("https://icat2.azurewebsites.net/icat/?ontology=ICD&amp;tab=ClassesTab&amp;id=http%3A%2F%2Fwho.int%2Ficd%23740_b929cd40_1812_4e2b_8d98_622273bc31b1","iCat")</x:f>
      </x:c>
      <x:c r="M9540" s="0" t="s">
        <x:v>21</x:v>
      </x:c>
      <x:c r="N9540" s="0" t="s">
        <x:v>46</x:v>
      </x:c>
    </x:row>
    <x:row r="9541" spans="1:16">
      <x:c r="A9541" s="0" t="s">
        <x:v>38029</x:v>
      </x:c>
      <x:c r="B9541" s="0" t="s">
        <x:v>38030</x:v>
      </x:c>
      <x:c r="C9541" s="0" t="s">
        <x:v>38031</x:v>
      </x:c>
      <x:c r="E9541" s="0" t="s">
        <x:v>38032</x:v>
      </x:c>
      <x:c r="F9541" s="0" t="s">
        <x:v>45</x:v>
      </x:c>
      <x:c r="G9541" s="0" t="s">
        <x:v>19</x:v>
      </x:c>
      <x:c r="H9541" s="0" t="s">
        <x:v>20</x:v>
      </x:c>
      <x:c r="I9541" s="0" t="s">
        <x:v>21</x:v>
      </x:c>
      <x:c r="K9541" s="0">
        <x:f>hyperlink("https://icd.who.int/dev11/l-ichi/en#/http%3A%2F%2Fid.who.int%2Ficd%2Fentity%2F1889451026","browser")</x:f>
      </x:c>
      <x:c r="L9541" s="0">
        <x:f>hyperlink("https://icat2.azurewebsites.net/icat/?ontology=ICD&amp;tab=ClassesTab&amp;id=http%3A%2F%2Fwho.int%2Ficd%23746_b929cd40_1812_4e2b_8d98_622273bc31b1","iCat")</x:f>
      </x:c>
      <x:c r="M9541" s="0" t="s">
        <x:v>21</x:v>
      </x:c>
      <x:c r="N9541" s="0" t="s">
        <x:v>46</x:v>
      </x:c>
    </x:row>
    <x:row r="9542" spans="1:16">
      <x:c r="A9542" s="0" t="s">
        <x:v>38033</x:v>
      </x:c>
      <x:c r="B9542" s="0" t="s">
        <x:v>38034</x:v>
      </x:c>
      <x:c r="C9542" s="0" t="s">
        <x:v>38035</x:v>
      </x:c>
      <x:c r="E9542" s="0" t="s">
        <x:v>38036</x:v>
      </x:c>
      <x:c r="F9542" s="0" t="s">
        <x:v>45</x:v>
      </x:c>
      <x:c r="G9542" s="0" t="s">
        <x:v>19</x:v>
      </x:c>
      <x:c r="H9542" s="0" t="s">
        <x:v>20</x:v>
      </x:c>
      <x:c r="I9542" s="0" t="s">
        <x:v>21</x:v>
      </x:c>
      <x:c r="K9542" s="0">
        <x:f>hyperlink("https://icd.who.int/dev11/l-ichi/en#/http%3A%2F%2Fid.who.int%2Ficd%2Fentity%2F794619187","browser")</x:f>
      </x:c>
      <x:c r="L9542" s="0">
        <x:f>hyperlink("https://icat2.azurewebsites.net/icat/?ontology=ICD&amp;tab=ClassesTab&amp;id=http%3A%2F%2Fwho.int%2Ficd%23752_b929cd40_1812_4e2b_8d98_622273bc31b1","iCat")</x:f>
      </x:c>
      <x:c r="M9542" s="0" t="s">
        <x:v>21</x:v>
      </x:c>
      <x:c r="N9542" s="0" t="s">
        <x:v>46</x:v>
      </x:c>
    </x:row>
    <x:row r="9543" spans="1:16">
      <x:c r="A9543" s="0" t="s">
        <x:v>38037</x:v>
      </x:c>
      <x:c r="B9543" s="0" t="s">
        <x:v>38038</x:v>
      </x:c>
      <x:c r="C9543" s="0" t="s">
        <x:v>38039</x:v>
      </x:c>
      <x:c r="E9543" s="0" t="s">
        <x:v>38040</x:v>
      </x:c>
      <x:c r="F9543" s="0" t="s">
        <x:v>45</x:v>
      </x:c>
      <x:c r="G9543" s="0" t="s">
        <x:v>19</x:v>
      </x:c>
      <x:c r="H9543" s="0" t="s">
        <x:v>20</x:v>
      </x:c>
      <x:c r="I9543" s="0" t="s">
        <x:v>21</x:v>
      </x:c>
      <x:c r="K9543" s="0">
        <x:f>hyperlink("https://icd.who.int/dev11/l-ichi/en#/http%3A%2F%2Fid.who.int%2Ficd%2Fentity%2F77693347","browser")</x:f>
      </x:c>
      <x:c r="L9543" s="0">
        <x:f>hyperlink("https://icat2.azurewebsites.net/icat/?ontology=ICD&amp;tab=ClassesTab&amp;id=http%3A%2F%2Fwho.int%2Ficd%23758_b929cd40_1812_4e2b_8d98_622273bc31b1","iCat")</x:f>
      </x:c>
      <x:c r="M9543" s="0" t="s">
        <x:v>21</x:v>
      </x:c>
      <x:c r="N9543" s="0" t="s">
        <x:v>46</x:v>
      </x:c>
    </x:row>
    <x:row r="9544" spans="1:16">
      <x:c r="A9544" s="0" t="s">
        <x:v>38041</x:v>
      </x:c>
      <x:c r="B9544" s="0" t="s">
        <x:v>38042</x:v>
      </x:c>
      <x:c r="C9544" s="0" t="s">
        <x:v>38043</x:v>
      </x:c>
      <x:c r="E9544" s="0" t="s">
        <x:v>38044</x:v>
      </x:c>
      <x:c r="F9544" s="0" t="s">
        <x:v>45</x:v>
      </x:c>
      <x:c r="G9544" s="0" t="s">
        <x:v>19</x:v>
      </x:c>
      <x:c r="H9544" s="0" t="s">
        <x:v>20</x:v>
      </x:c>
      <x:c r="I9544" s="0" t="s">
        <x:v>21</x:v>
      </x:c>
      <x:c r="K9544" s="0">
        <x:f>hyperlink("https://icd.who.int/dev11/l-ichi/en#/http%3A%2F%2Fid.who.int%2Ficd%2Fentity%2F1066824837","browser")</x:f>
      </x:c>
      <x:c r="L9544" s="0">
        <x:f>hyperlink("https://icat2.azurewebsites.net/icat/?ontology=ICD&amp;tab=ClassesTab&amp;id=http%3A%2F%2Fwho.int%2Ficd%23764_b929cd40_1812_4e2b_8d98_622273bc31b1","iCat")</x:f>
      </x:c>
      <x:c r="M9544" s="0" t="s">
        <x:v>21</x:v>
      </x:c>
      <x:c r="N9544" s="0" t="s">
        <x:v>46</x:v>
      </x:c>
    </x:row>
    <x:row r="9545" spans="1:16">
      <x:c r="A9545" s="0" t="s">
        <x:v>38045</x:v>
      </x:c>
      <x:c r="B9545" s="0" t="s">
        <x:v>38046</x:v>
      </x:c>
      <x:c r="C9545" s="0" t="s">
        <x:v>38047</x:v>
      </x:c>
      <x:c r="E9545" s="0" t="s">
        <x:v>38048</x:v>
      </x:c>
      <x:c r="F9545" s="0" t="s">
        <x:v>45</x:v>
      </x:c>
      <x:c r="G9545" s="0" t="s">
        <x:v>19</x:v>
      </x:c>
      <x:c r="H9545" s="0" t="s">
        <x:v>20</x:v>
      </x:c>
      <x:c r="I9545" s="0" t="s">
        <x:v>21</x:v>
      </x:c>
      <x:c r="K9545" s="0">
        <x:f>hyperlink("https://icd.who.int/dev11/l-ichi/en#/http%3A%2F%2Fid.who.int%2Ficd%2Fentity%2F1616127400","browser")</x:f>
      </x:c>
      <x:c r="L9545" s="0">
        <x:f>hyperlink("https://icat2.azurewebsites.net/icat/?ontology=ICD&amp;tab=ClassesTab&amp;id=http%3A%2F%2Fwho.int%2Ficd%23770_b929cd40_1812_4e2b_8d98_622273bc31b1","iCat")</x:f>
      </x:c>
      <x:c r="M9545" s="0" t="s">
        <x:v>21</x:v>
      </x:c>
      <x:c r="N9545" s="0" t="s">
        <x:v>46</x:v>
      </x:c>
    </x:row>
    <x:row r="9546" spans="1:16">
      <x:c r="A9546" s="0" t="s">
        <x:v>38049</x:v>
      </x:c>
      <x:c r="B9546" s="0" t="s">
        <x:v>38050</x:v>
      </x:c>
      <x:c r="C9546" s="0" t="s">
        <x:v>38051</x:v>
      </x:c>
      <x:c r="E9546" s="0" t="s">
        <x:v>38052</x:v>
      </x:c>
      <x:c r="F9546" s="0" t="s">
        <x:v>45</x:v>
      </x:c>
      <x:c r="G9546" s="0" t="s">
        <x:v>19</x:v>
      </x:c>
      <x:c r="H9546" s="0" t="s">
        <x:v>20</x:v>
      </x:c>
      <x:c r="I9546" s="0" t="s">
        <x:v>21</x:v>
      </x:c>
      <x:c r="K9546" s="0">
        <x:f>hyperlink("https://icd.who.int/dev11/l-ichi/en#/http%3A%2F%2Fid.who.int%2Ficd%2Fentity%2F808451095","browser")</x:f>
      </x:c>
      <x:c r="L9546" s="0">
        <x:f>hyperlink("https://icat2.azurewebsites.net/icat/?ontology=ICD&amp;tab=ClassesTab&amp;id=http%3A%2F%2Fwho.int%2Ficd%23776_b929cd40_1812_4e2b_8d98_622273bc31b1","iCat")</x:f>
      </x:c>
      <x:c r="M9546" s="0" t="s">
        <x:v>21</x:v>
      </x:c>
      <x:c r="N9546" s="0" t="s">
        <x:v>46</x:v>
      </x:c>
    </x:row>
    <x:row r="9547" spans="1:16">
      <x:c r="A9547" s="0" t="s">
        <x:v>38053</x:v>
      </x:c>
      <x:c r="B9547" s="0" t="s">
        <x:v>38054</x:v>
      </x:c>
      <x:c r="C9547" s="0" t="s">
        <x:v>38055</x:v>
      </x:c>
      <x:c r="E9547" s="0" t="s">
        <x:v>38056</x:v>
      </x:c>
      <x:c r="F9547" s="0" t="s">
        <x:v>45</x:v>
      </x:c>
      <x:c r="G9547" s="0" t="s">
        <x:v>19</x:v>
      </x:c>
      <x:c r="H9547" s="0" t="s">
        <x:v>20</x:v>
      </x:c>
      <x:c r="I9547" s="0" t="s">
        <x:v>21</x:v>
      </x:c>
      <x:c r="K9547" s="0">
        <x:f>hyperlink("https://icd.who.int/dev11/l-ichi/en#/http%3A%2F%2Fid.who.int%2Ficd%2Fentity%2F718238397","browser")</x:f>
      </x:c>
      <x:c r="L9547" s="0">
        <x:f>hyperlink("https://icat2.azurewebsites.net/icat/?ontology=ICD&amp;tab=ClassesTab&amp;id=http%3A%2F%2Fwho.int%2Ficd%23782_b929cd40_1812_4e2b_8d98_622273bc31b1","iCat")</x:f>
      </x:c>
      <x:c r="M9547" s="0" t="s">
        <x:v>21</x:v>
      </x:c>
      <x:c r="N9547" s="0" t="s">
        <x:v>46</x:v>
      </x:c>
    </x:row>
    <x:row r="9548" spans="1:16">
      <x:c r="A9548" s="0" t="s">
        <x:v>38057</x:v>
      </x:c>
      <x:c r="B9548" s="0" t="s">
        <x:v>38058</x:v>
      </x:c>
      <x:c r="C9548" s="0" t="s">
        <x:v>38059</x:v>
      </x:c>
      <x:c r="E9548" s="0" t="s">
        <x:v>38060</x:v>
      </x:c>
      <x:c r="F9548" s="0" t="s">
        <x:v>45</x:v>
      </x:c>
      <x:c r="G9548" s="0" t="s">
        <x:v>19</x:v>
      </x:c>
      <x:c r="H9548" s="0" t="s">
        <x:v>20</x:v>
      </x:c>
      <x:c r="I9548" s="0" t="s">
        <x:v>21</x:v>
      </x:c>
      <x:c r="K9548" s="0">
        <x:f>hyperlink("https://icd.who.int/dev11/l-ichi/en#/http%3A%2F%2Fid.who.int%2Ficd%2Fentity%2F20061741","browser")</x:f>
      </x:c>
      <x:c r="L9548" s="0">
        <x:f>hyperlink("https://icat2.azurewebsites.net/icat/?ontology=ICD&amp;tab=ClassesTab&amp;id=http%3A%2F%2Fwho.int%2Ficd%23788_b929cd40_1812_4e2b_8d98_622273bc31b1","iCat")</x:f>
      </x:c>
      <x:c r="M9548" s="0" t="s">
        <x:v>21</x:v>
      </x:c>
      <x:c r="N9548" s="0" t="s">
        <x:v>46</x:v>
      </x:c>
    </x:row>
    <x:row r="9549" spans="1:16">
      <x:c r="A9549" s="0" t="s">
        <x:v>38061</x:v>
      </x:c>
      <x:c r="B9549" s="0" t="s">
        <x:v>38062</x:v>
      </x:c>
      <x:c r="C9549" s="0" t="s">
        <x:v>38063</x:v>
      </x:c>
      <x:c r="E9549" s="0" t="s">
        <x:v>38064</x:v>
      </x:c>
      <x:c r="F9549" s="0" t="s">
        <x:v>45</x:v>
      </x:c>
      <x:c r="G9549" s="0" t="s">
        <x:v>19</x:v>
      </x:c>
      <x:c r="H9549" s="0" t="s">
        <x:v>20</x:v>
      </x:c>
      <x:c r="I9549" s="0" t="s">
        <x:v>21</x:v>
      </x:c>
      <x:c r="K9549" s="0">
        <x:f>hyperlink("https://icd.who.int/dev11/l-ichi/en#/http%3A%2F%2Fid.who.int%2Ficd%2Fentity%2F275856987","browser")</x:f>
      </x:c>
      <x:c r="L9549" s="0">
        <x:f>hyperlink("https://icat2.azurewebsites.net/icat/?ontology=ICD&amp;tab=ClassesTab&amp;id=http%3A%2F%2Fwho.int%2Ficd%23794_b929cd40_1812_4e2b_8d98_622273bc31b1","iCat")</x:f>
      </x:c>
      <x:c r="M9549" s="0" t="s">
        <x:v>21</x:v>
      </x:c>
      <x:c r="N9549" s="0" t="s">
        <x:v>46</x:v>
      </x:c>
    </x:row>
    <x:row r="9550" spans="1:16">
      <x:c r="A9550" s="0" t="s">
        <x:v>38065</x:v>
      </x:c>
      <x:c r="B9550" s="0" t="s">
        <x:v>38066</x:v>
      </x:c>
      <x:c r="C9550" s="0" t="s">
        <x:v>38067</x:v>
      </x:c>
      <x:c r="E9550" s="0" t="s">
        <x:v>38068</x:v>
      </x:c>
      <x:c r="F9550" s="0" t="s">
        <x:v>45</x:v>
      </x:c>
      <x:c r="G9550" s="0" t="s">
        <x:v>19</x:v>
      </x:c>
      <x:c r="H9550" s="0" t="s">
        <x:v>20</x:v>
      </x:c>
      <x:c r="I9550" s="0" t="s">
        <x:v>21</x:v>
      </x:c>
      <x:c r="K9550" s="0">
        <x:f>hyperlink("https://icd.who.int/dev11/l-ichi/en#/http%3A%2F%2Fid.who.int%2Ficd%2Fentity%2F651142844","browser")</x:f>
      </x:c>
      <x:c r="L9550" s="0">
        <x:f>hyperlink("https://icat2.azurewebsites.net/icat/?ontology=ICD&amp;tab=ClassesTab&amp;id=http%3A%2F%2Fwho.int%2Ficd%23800_b929cd40_1812_4e2b_8d98_622273bc31b1","iCat")</x:f>
      </x:c>
      <x:c r="M9550" s="0" t="s">
        <x:v>21</x:v>
      </x:c>
      <x:c r="N9550" s="0" t="s">
        <x:v>46</x:v>
      </x:c>
    </x:row>
    <x:row r="9551" spans="1:16">
      <x:c r="A9551" s="0" t="s">
        <x:v>38069</x:v>
      </x:c>
      <x:c r="B9551" s="0" t="s">
        <x:v>38070</x:v>
      </x:c>
      <x:c r="C9551" s="0" t="s">
        <x:v>38071</x:v>
      </x:c>
      <x:c r="E9551" s="0" t="s">
        <x:v>38072</x:v>
      </x:c>
      <x:c r="F9551" s="0" t="s">
        <x:v>45</x:v>
      </x:c>
      <x:c r="G9551" s="0" t="s">
        <x:v>19</x:v>
      </x:c>
      <x:c r="H9551" s="0" t="s">
        <x:v>20</x:v>
      </x:c>
      <x:c r="I9551" s="0" t="s">
        <x:v>21</x:v>
      </x:c>
      <x:c r="K9551" s="0">
        <x:f>hyperlink("https://icd.who.int/dev11/l-ichi/en#/http%3A%2F%2Fid.who.int%2Ficd%2Fentity%2F1991540491","browser")</x:f>
      </x:c>
      <x:c r="L9551" s="0">
        <x:f>hyperlink("https://icat2.azurewebsites.net/icat/?ontology=ICD&amp;tab=ClassesTab&amp;id=http%3A%2F%2Fwho.int%2Ficd%23806_b929cd40_1812_4e2b_8d98_622273bc31b1","iCat")</x:f>
      </x:c>
      <x:c r="M9551" s="0" t="s">
        <x:v>21</x:v>
      </x:c>
      <x:c r="N9551" s="0" t="s">
        <x:v>46</x:v>
      </x:c>
    </x:row>
    <x:row r="9552" spans="1:16">
      <x:c r="A9552" s="0" t="s">
        <x:v>38073</x:v>
      </x:c>
      <x:c r="B9552" s="0" t="s">
        <x:v>38074</x:v>
      </x:c>
      <x:c r="C9552" s="0" t="s">
        <x:v>38075</x:v>
      </x:c>
      <x:c r="E9552" s="0" t="s">
        <x:v>38076</x:v>
      </x:c>
      <x:c r="F9552" s="0" t="s">
        <x:v>45</x:v>
      </x:c>
      <x:c r="G9552" s="0" t="s">
        <x:v>19</x:v>
      </x:c>
      <x:c r="H9552" s="0" t="s">
        <x:v>20</x:v>
      </x:c>
      <x:c r="I9552" s="0" t="s">
        <x:v>21</x:v>
      </x:c>
      <x:c r="K9552" s="0">
        <x:f>hyperlink("https://icd.who.int/dev11/l-ichi/en#/http%3A%2F%2Fid.who.int%2Ficd%2Fentity%2F695610922","browser")</x:f>
      </x:c>
      <x:c r="L9552" s="0">
        <x:f>hyperlink("https://icat2.azurewebsites.net/icat/?ontology=ICD&amp;tab=ClassesTab&amp;id=http%3A%2F%2Fwho.int%2Ficd%23812_b929cd40_1812_4e2b_8d98_622273bc31b1","iCat")</x:f>
      </x:c>
      <x:c r="M9552" s="0" t="s">
        <x:v>21</x:v>
      </x:c>
      <x:c r="N9552" s="0" t="s">
        <x:v>46</x:v>
      </x:c>
    </x:row>
    <x:row r="9553" spans="1:16">
      <x:c r="A9553" s="0" t="s">
        <x:v>38077</x:v>
      </x:c>
      <x:c r="B9553" s="0" t="s">
        <x:v>38078</x:v>
      </x:c>
      <x:c r="C9553" s="0" t="s">
        <x:v>38079</x:v>
      </x:c>
      <x:c r="E9553" s="0" t="s">
        <x:v>38080</x:v>
      </x:c>
      <x:c r="F9553" s="0" t="s">
        <x:v>45</x:v>
      </x:c>
      <x:c r="G9553" s="0" t="s">
        <x:v>19</x:v>
      </x:c>
      <x:c r="H9553" s="0" t="s">
        <x:v>20</x:v>
      </x:c>
      <x:c r="I9553" s="0" t="s">
        <x:v>21</x:v>
      </x:c>
      <x:c r="K9553" s="0">
        <x:f>hyperlink("https://icd.who.int/dev11/l-ichi/en#/http%3A%2F%2Fid.who.int%2Ficd%2Fentity%2F42681018","browser")</x:f>
      </x:c>
      <x:c r="L9553" s="0">
        <x:f>hyperlink("https://icat2.azurewebsites.net/icat/?ontology=ICD&amp;tab=ClassesTab&amp;id=http%3A%2F%2Fwho.int%2Ficd%23818_b929cd40_1812_4e2b_8d98_622273bc31b1","iCat")</x:f>
      </x:c>
      <x:c r="M9553" s="0" t="s">
        <x:v>21</x:v>
      </x:c>
      <x:c r="N9553" s="0" t="s">
        <x:v>46</x:v>
      </x:c>
    </x:row>
    <x:row r="9554" spans="1:16">
      <x:c r="A9554" s="0" t="s">
        <x:v>38081</x:v>
      </x:c>
      <x:c r="B9554" s="0" t="s">
        <x:v>38082</x:v>
      </x:c>
      <x:c r="C9554" s="0" t="s">
        <x:v>38083</x:v>
      </x:c>
      <x:c r="E9554" s="0" t="s">
        <x:v>38084</x:v>
      </x:c>
      <x:c r="F9554" s="0" t="s">
        <x:v>45</x:v>
      </x:c>
      <x:c r="G9554" s="0" t="s">
        <x:v>19</x:v>
      </x:c>
      <x:c r="H9554" s="0" t="s">
        <x:v>20</x:v>
      </x:c>
      <x:c r="I9554" s="0" t="s">
        <x:v>21</x:v>
      </x:c>
      <x:c r="K9554" s="0">
        <x:f>hyperlink("https://icd.who.int/dev11/l-ichi/en#/http%3A%2F%2Fid.who.int%2Ficd%2Fentity%2F968669088","browser")</x:f>
      </x:c>
      <x:c r="L9554" s="0">
        <x:f>hyperlink("https://icat2.azurewebsites.net/icat/?ontology=ICD&amp;tab=ClassesTab&amp;id=http%3A%2F%2Fwho.int%2Ficd%23824_b929cd40_1812_4e2b_8d98_622273bc31b1","iCat")</x:f>
      </x:c>
      <x:c r="M9554" s="0" t="s">
        <x:v>21</x:v>
      </x:c>
      <x:c r="N9554" s="0" t="s">
        <x:v>46</x:v>
      </x:c>
    </x:row>
    <x:row r="9555" spans="1:16">
      <x:c r="A9555" s="0" t="s">
        <x:v>38085</x:v>
      </x:c>
      <x:c r="B9555" s="0" t="s">
        <x:v>38086</x:v>
      </x:c>
      <x:c r="C9555" s="0" t="s">
        <x:v>38087</x:v>
      </x:c>
      <x:c r="E9555" s="0" t="s">
        <x:v>38088</x:v>
      </x:c>
      <x:c r="F9555" s="0" t="s">
        <x:v>45</x:v>
      </x:c>
      <x:c r="G9555" s="0" t="s">
        <x:v>19</x:v>
      </x:c>
      <x:c r="H9555" s="0" t="s">
        <x:v>20</x:v>
      </x:c>
      <x:c r="I9555" s="0" t="s">
        <x:v>21</x:v>
      </x:c>
      <x:c r="K9555" s="0">
        <x:f>hyperlink("https://icd.who.int/dev11/l-ichi/en#/http%3A%2F%2Fid.who.int%2Ficd%2Fentity%2F1719592637","browser")</x:f>
      </x:c>
      <x:c r="L9555" s="0">
        <x:f>hyperlink("https://icat2.azurewebsites.net/icat/?ontology=ICD&amp;tab=ClassesTab&amp;id=http%3A%2F%2Fwho.int%2Ficd%23830_b929cd40_1812_4e2b_8d98_622273bc31b1","iCat")</x:f>
      </x:c>
      <x:c r="M9555" s="0" t="s">
        <x:v>21</x:v>
      </x:c>
      <x:c r="N9555" s="0" t="s">
        <x:v>46</x:v>
      </x:c>
    </x:row>
    <x:row r="9556" spans="1:16">
      <x:c r="A9556" s="0" t="s">
        <x:v>38089</x:v>
      </x:c>
      <x:c r="B9556" s="0" t="s">
        <x:v>38090</x:v>
      </x:c>
      <x:c r="C9556" s="0" t="s">
        <x:v>38091</x:v>
      </x:c>
      <x:c r="E9556" s="0" t="s">
        <x:v>38092</x:v>
      </x:c>
      <x:c r="F9556" s="0" t="s">
        <x:v>45</x:v>
      </x:c>
      <x:c r="G9556" s="0" t="s">
        <x:v>19</x:v>
      </x:c>
      <x:c r="H9556" s="0" t="s">
        <x:v>20</x:v>
      </x:c>
      <x:c r="I9556" s="0" t="s">
        <x:v>21</x:v>
      </x:c>
      <x:c r="K9556" s="0">
        <x:f>hyperlink("https://icd.who.int/dev11/l-ichi/en#/http%3A%2F%2Fid.who.int%2Ficd%2Fentity%2F906313486","browser")</x:f>
      </x:c>
      <x:c r="L9556" s="0">
        <x:f>hyperlink("https://icat2.azurewebsites.net/icat/?ontology=ICD&amp;tab=ClassesTab&amp;id=http%3A%2F%2Fwho.int%2Ficd%23836_b929cd40_1812_4e2b_8d98_622273bc31b1","iCat")</x:f>
      </x:c>
      <x:c r="M9556" s="0" t="s">
        <x:v>21</x:v>
      </x:c>
      <x:c r="N9556" s="0" t="s">
        <x:v>46</x:v>
      </x:c>
    </x:row>
    <x:row r="9557" spans="1:16">
      <x:c r="A9557" s="0" t="s">
        <x:v>38093</x:v>
      </x:c>
      <x:c r="B9557" s="0" t="s">
        <x:v>38094</x:v>
      </x:c>
      <x:c r="C9557" s="0" t="s">
        <x:v>38095</x:v>
      </x:c>
      <x:c r="E9557" s="0" t="s">
        <x:v>38096</x:v>
      </x:c>
      <x:c r="F9557" s="0" t="s">
        <x:v>45</x:v>
      </x:c>
      <x:c r="G9557" s="0" t="s">
        <x:v>19</x:v>
      </x:c>
      <x:c r="H9557" s="0" t="s">
        <x:v>20</x:v>
      </x:c>
      <x:c r="I9557" s="0" t="s">
        <x:v>21</x:v>
      </x:c>
      <x:c r="K9557" s="0">
        <x:f>hyperlink("https://icd.who.int/dev11/l-ichi/en#/http%3A%2F%2Fid.who.int%2Ficd%2Fentity%2F1069495915","browser")</x:f>
      </x:c>
      <x:c r="L9557" s="0">
        <x:f>hyperlink("https://icat2.azurewebsites.net/icat/?ontology=ICD&amp;tab=ClassesTab&amp;id=http%3A%2F%2Fwho.int%2Ficd%23650_b929cd40_1812_4e2b_8d98_622273bc31b1","iCat")</x:f>
      </x:c>
      <x:c r="M9557" s="0" t="s">
        <x:v>21</x:v>
      </x:c>
      <x:c r="N9557" s="0" t="s">
        <x:v>46</x:v>
      </x:c>
    </x:row>
    <x:row r="9558" spans="1:16">
      <x:c r="A9558" s="0" t="s">
        <x:v>38097</x:v>
      </x:c>
      <x:c r="B9558" s="0" t="s">
        <x:v>38098</x:v>
      </x:c>
      <x:c r="C9558" s="0" t="s">
        <x:v>38099</x:v>
      </x:c>
      <x:c r="E9558" s="0" t="s">
        <x:v>38100</x:v>
      </x:c>
      <x:c r="F9558" s="0" t="s">
        <x:v>45</x:v>
      </x:c>
      <x:c r="G9558" s="0" t="s">
        <x:v>19</x:v>
      </x:c>
      <x:c r="H9558" s="0" t="s">
        <x:v>20</x:v>
      </x:c>
      <x:c r="I9558" s="0" t="s">
        <x:v>21</x:v>
      </x:c>
      <x:c r="K9558" s="0">
        <x:f>hyperlink("https://icd.who.int/dev11/l-ichi/en#/http%3A%2F%2Fid.who.int%2Ficd%2Fentity%2F1875177436","browser")</x:f>
      </x:c>
      <x:c r="L9558" s="0">
        <x:f>hyperlink("https://icat2.azurewebsites.net/icat/?ontology=ICD&amp;tab=ClassesTab&amp;id=http%3A%2F%2Fwho.int%2Ficd%23656_b929cd40_1812_4e2b_8d98_622273bc31b1","iCat")</x:f>
      </x:c>
      <x:c r="M9558" s="0" t="s">
        <x:v>21</x:v>
      </x:c>
      <x:c r="N9558" s="0" t="s">
        <x:v>46</x:v>
      </x:c>
    </x:row>
    <x:row r="9559" spans="1:16">
      <x:c r="A9559" s="0" t="s">
        <x:v>38101</x:v>
      </x:c>
      <x:c r="B9559" s="0" t="s">
        <x:v>38102</x:v>
      </x:c>
      <x:c r="C9559" s="0" t="s">
        <x:v>38103</x:v>
      </x:c>
      <x:c r="E9559" s="0" t="s">
        <x:v>38104</x:v>
      </x:c>
      <x:c r="F9559" s="0" t="s">
        <x:v>45</x:v>
      </x:c>
      <x:c r="G9559" s="0" t="s">
        <x:v>19</x:v>
      </x:c>
      <x:c r="H9559" s="0" t="s">
        <x:v>20</x:v>
      </x:c>
      <x:c r="I9559" s="0" t="s">
        <x:v>21</x:v>
      </x:c>
      <x:c r="K9559" s="0">
        <x:f>hyperlink("https://icd.who.int/dev11/l-ichi/en#/http%3A%2F%2Fid.who.int%2Ficd%2Fentity%2F443706281","browser")</x:f>
      </x:c>
      <x:c r="L9559" s="0">
        <x:f>hyperlink("https://icat2.azurewebsites.net/icat/?ontology=ICD&amp;tab=ClassesTab&amp;id=http%3A%2F%2Fwho.int%2Ficd%23662_b929cd40_1812_4e2b_8d98_622273bc31b1","iCat")</x:f>
      </x:c>
      <x:c r="M9559" s="0" t="s">
        <x:v>21</x:v>
      </x:c>
      <x:c r="N9559" s="0" t="s">
        <x:v>46</x:v>
      </x:c>
    </x:row>
    <x:row r="9560" spans="1:16">
      <x:c r="A9560" s="0" t="s">
        <x:v>38105</x:v>
      </x:c>
      <x:c r="B9560" s="0" t="s">
        <x:v>38106</x:v>
      </x:c>
      <x:c r="C9560" s="0" t="s">
        <x:v>38107</x:v>
      </x:c>
      <x:c r="E9560" s="0" t="s">
        <x:v>38108</x:v>
      </x:c>
      <x:c r="F9560" s="0" t="s">
        <x:v>45</x:v>
      </x:c>
      <x:c r="G9560" s="0" t="s">
        <x:v>19</x:v>
      </x:c>
      <x:c r="H9560" s="0" t="s">
        <x:v>20</x:v>
      </x:c>
      <x:c r="I9560" s="0" t="s">
        <x:v>21</x:v>
      </x:c>
      <x:c r="K9560" s="0">
        <x:f>hyperlink("https://icd.who.int/dev11/l-ichi/en#/http%3A%2F%2Fid.who.int%2Ficd%2Fentity%2F831457081","browser")</x:f>
      </x:c>
      <x:c r="L9560" s="0">
        <x:f>hyperlink("https://icat2.azurewebsites.net/icat/?ontology=ICD&amp;tab=ClassesTab&amp;id=http%3A%2F%2Fwho.int%2Ficd%23668_b929cd40_1812_4e2b_8d98_622273bc31b1","iCat")</x:f>
      </x:c>
      <x:c r="M9560" s="0" t="s">
        <x:v>21</x:v>
      </x:c>
      <x:c r="N9560" s="0" t="s">
        <x:v>46</x:v>
      </x:c>
    </x:row>
    <x:row r="9561" spans="1:16">
      <x:c r="A9561" s="0" t="s">
        <x:v>38109</x:v>
      </x:c>
      <x:c r="B9561" s="0" t="s">
        <x:v>38110</x:v>
      </x:c>
      <x:c r="C9561" s="0" t="s">
        <x:v>38111</x:v>
      </x:c>
      <x:c r="E9561" s="0" t="s">
        <x:v>38112</x:v>
      </x:c>
      <x:c r="F9561" s="0" t="s">
        <x:v>45</x:v>
      </x:c>
      <x:c r="G9561" s="0" t="s">
        <x:v>19</x:v>
      </x:c>
      <x:c r="H9561" s="0" t="s">
        <x:v>20</x:v>
      </x:c>
      <x:c r="I9561" s="0" t="s">
        <x:v>21</x:v>
      </x:c>
      <x:c r="K9561" s="0">
        <x:f>hyperlink("https://icd.who.int/dev11/l-ichi/en#/http%3A%2F%2Fid.who.int%2Ficd%2Fentity%2F550250319","browser")</x:f>
      </x:c>
      <x:c r="L9561" s="0">
        <x:f>hyperlink("https://icat2.azurewebsites.net/icat/?ontology=ICD&amp;tab=ClassesTab&amp;id=http%3A%2F%2Fwho.int%2Ficd%23674_b929cd40_1812_4e2b_8d98_622273bc31b1","iCat")</x:f>
      </x:c>
      <x:c r="M9561" s="0" t="s">
        <x:v>21</x:v>
      </x:c>
      <x:c r="N9561" s="0" t="s">
        <x:v>46</x:v>
      </x:c>
    </x:row>
    <x:row r="9562" spans="1:16">
      <x:c r="A9562" s="0" t="s">
        <x:v>38113</x:v>
      </x:c>
      <x:c r="B9562" s="0" t="s">
        <x:v>38114</x:v>
      </x:c>
      <x:c r="C9562" s="0" t="s">
        <x:v>38115</x:v>
      </x:c>
      <x:c r="E9562" s="0" t="s">
        <x:v>38116</x:v>
      </x:c>
      <x:c r="F9562" s="0" t="s">
        <x:v>45</x:v>
      </x:c>
      <x:c r="G9562" s="0" t="s">
        <x:v>19</x:v>
      </x:c>
      <x:c r="H9562" s="0" t="s">
        <x:v>20</x:v>
      </x:c>
      <x:c r="I9562" s="0" t="s">
        <x:v>21</x:v>
      </x:c>
      <x:c r="K9562" s="0">
        <x:f>hyperlink("https://icd.who.int/dev11/l-ichi/en#/http%3A%2F%2Fid.who.int%2Ficd%2Fentity%2F976005605","browser")</x:f>
      </x:c>
      <x:c r="L9562" s="0">
        <x:f>hyperlink("https://icat2.azurewebsites.net/icat/?ontology=ICD&amp;tab=ClassesTab&amp;id=http%3A%2F%2Fwho.int%2Ficd%23680_b929cd40_1812_4e2b_8d98_622273bc31b1","iCat")</x:f>
      </x:c>
      <x:c r="M9562" s="0" t="s">
        <x:v>21</x:v>
      </x:c>
      <x:c r="N9562" s="0" t="s">
        <x:v>46</x:v>
      </x:c>
    </x:row>
    <x:row r="9563" spans="1:16">
      <x:c r="A9563" s="0" t="s">
        <x:v>38117</x:v>
      </x:c>
      <x:c r="B9563" s="0" t="s">
        <x:v>38118</x:v>
      </x:c>
      <x:c r="C9563" s="0" t="s">
        <x:v>38119</x:v>
      </x:c>
      <x:c r="E9563" s="0" t="s">
        <x:v>38120</x:v>
      </x:c>
      <x:c r="F9563" s="0" t="s">
        <x:v>45</x:v>
      </x:c>
      <x:c r="G9563" s="0" t="s">
        <x:v>19</x:v>
      </x:c>
      <x:c r="H9563" s="0" t="s">
        <x:v>20</x:v>
      </x:c>
      <x:c r="I9563" s="0" t="s">
        <x:v>21</x:v>
      </x:c>
      <x:c r="K9563" s="0">
        <x:f>hyperlink("https://icd.who.int/dev11/l-ichi/en#/http%3A%2F%2Fid.who.int%2Ficd%2Fentity%2F1784115284","browser")</x:f>
      </x:c>
      <x:c r="L9563" s="0">
        <x:f>hyperlink("https://icat2.azurewebsites.net/icat/?ontology=ICD&amp;tab=ClassesTab&amp;id=http%3A%2F%2Fwho.int%2Ficd%23686_b929cd40_1812_4e2b_8d98_622273bc31b1","iCat")</x:f>
      </x:c>
      <x:c r="M9563" s="0" t="s">
        <x:v>21</x:v>
      </x:c>
      <x:c r="N9563" s="0" t="s">
        <x:v>46</x:v>
      </x:c>
    </x:row>
    <x:row r="9564" spans="1:16">
      <x:c r="A9564" s="0" t="s">
        <x:v>38121</x:v>
      </x:c>
      <x:c r="B9564" s="0" t="s">
        <x:v>38122</x:v>
      </x:c>
      <x:c r="C9564" s="0" t="s">
        <x:v>38123</x:v>
      </x:c>
      <x:c r="E9564" s="0" t="s">
        <x:v>38124</x:v>
      </x:c>
      <x:c r="F9564" s="0" t="s">
        <x:v>45</x:v>
      </x:c>
      <x:c r="G9564" s="0" t="s">
        <x:v>19</x:v>
      </x:c>
      <x:c r="H9564" s="0" t="s">
        <x:v>20</x:v>
      </x:c>
      <x:c r="I9564" s="0" t="s">
        <x:v>21</x:v>
      </x:c>
      <x:c r="K9564" s="0">
        <x:f>hyperlink("https://icd.who.int/dev11/l-ichi/en#/http%3A%2F%2Fid.who.int%2Ficd%2Fentity%2F898965879","browser")</x:f>
      </x:c>
      <x:c r="L9564" s="0">
        <x:f>hyperlink("https://icat2.azurewebsites.net/icat/?ontology=ICD&amp;tab=ClassesTab&amp;id=http%3A%2F%2Fwho.int%2Ficd%23692_b929cd40_1812_4e2b_8d98_622273bc31b1","iCat")</x:f>
      </x:c>
      <x:c r="M9564" s="0" t="s">
        <x:v>21</x:v>
      </x:c>
      <x:c r="N9564" s="0" t="s">
        <x:v>46</x:v>
      </x:c>
    </x:row>
    <x:row r="9565" spans="1:16">
      <x:c r="A9565" s="0" t="s">
        <x:v>38125</x:v>
      </x:c>
      <x:c r="B9565" s="0" t="s">
        <x:v>38126</x:v>
      </x:c>
      <x:c r="C9565" s="0" t="s">
        <x:v>38127</x:v>
      </x:c>
      <x:c r="E9565" s="0" t="s">
        <x:v>38128</x:v>
      </x:c>
      <x:c r="F9565" s="0" t="s">
        <x:v>45</x:v>
      </x:c>
      <x:c r="G9565" s="0" t="s">
        <x:v>19</x:v>
      </x:c>
      <x:c r="H9565" s="0" t="s">
        <x:v>20</x:v>
      </x:c>
      <x:c r="I9565" s="0" t="s">
        <x:v>21</x:v>
      </x:c>
      <x:c r="K9565" s="0">
        <x:f>hyperlink("https://icd.who.int/dev11/l-ichi/en#/http%3A%2F%2Fid.who.int%2Ficd%2Fentity%2F510152167","browser")</x:f>
      </x:c>
      <x:c r="L9565" s="0">
        <x:f>hyperlink("https://icat2.azurewebsites.net/icat/?ontology=ICD&amp;tab=ClassesTab&amp;id=http%3A%2F%2Fwho.int%2Ficd%23698_b929cd40_1812_4e2b_8d98_622273bc31b1","iCat")</x:f>
      </x:c>
      <x:c r="M9565" s="0" t="s">
        <x:v>21</x:v>
      </x:c>
      <x:c r="N9565" s="0" t="s">
        <x:v>46</x:v>
      </x:c>
    </x:row>
    <x:row r="9566" spans="1:16">
      <x:c r="A9566" s="0" t="s">
        <x:v>38129</x:v>
      </x:c>
      <x:c r="B9566" s="0" t="s">
        <x:v>38130</x:v>
      </x:c>
      <x:c r="C9566" s="0" t="s">
        <x:v>38131</x:v>
      </x:c>
      <x:c r="E9566" s="0" t="s">
        <x:v>38132</x:v>
      </x:c>
      <x:c r="F9566" s="0" t="s">
        <x:v>45</x:v>
      </x:c>
      <x:c r="G9566" s="0" t="s">
        <x:v>19</x:v>
      </x:c>
      <x:c r="H9566" s="0" t="s">
        <x:v>20</x:v>
      </x:c>
      <x:c r="I9566" s="0" t="s">
        <x:v>21</x:v>
      </x:c>
      <x:c r="K9566" s="0">
        <x:f>hyperlink("https://icd.who.int/dev11/l-ichi/en#/http%3A%2F%2Fid.who.int%2Ficd%2Fentity%2F1703277258","browser")</x:f>
      </x:c>
      <x:c r="L9566" s="0">
        <x:f>hyperlink("https://icat2.azurewebsites.net/icat/?ontology=ICD&amp;tab=ClassesTab&amp;id=http%3A%2F%2Fwho.int%2Ficd%23704_b929cd40_1812_4e2b_8d98_622273bc31b1","iCat")</x:f>
      </x:c>
      <x:c r="M9566" s="0" t="s">
        <x:v>21</x:v>
      </x:c>
      <x:c r="N9566" s="0" t="s">
        <x:v>46</x:v>
      </x:c>
    </x:row>
    <x:row r="9567" spans="1:16">
      <x:c r="A9567" s="0" t="s">
        <x:v>38133</x:v>
      </x:c>
      <x:c r="B9567" s="0" t="s">
        <x:v>38134</x:v>
      </x:c>
      <x:c r="C9567" s="0" t="s">
        <x:v>38135</x:v>
      </x:c>
      <x:c r="E9567" s="0" t="s">
        <x:v>38136</x:v>
      </x:c>
      <x:c r="F9567" s="0" t="s">
        <x:v>45</x:v>
      </x:c>
      <x:c r="G9567" s="0" t="s">
        <x:v>19</x:v>
      </x:c>
      <x:c r="H9567" s="0" t="s">
        <x:v>20</x:v>
      </x:c>
      <x:c r="I9567" s="0" t="s">
        <x:v>21</x:v>
      </x:c>
      <x:c r="K9567" s="0">
        <x:f>hyperlink("https://icd.who.int/dev11/l-ichi/en#/http%3A%2F%2Fid.who.int%2Ficd%2Fentity%2F977773547","browser")</x:f>
      </x:c>
      <x:c r="L9567" s="0">
        <x:f>hyperlink("https://icat2.azurewebsites.net/icat/?ontology=ICD&amp;tab=ClassesTab&amp;id=http%3A%2F%2Fwho.int%2Ficd%23710_b929cd40_1812_4e2b_8d98_622273bc31b1","iCat")</x:f>
      </x:c>
      <x:c r="M9567" s="0" t="s">
        <x:v>21</x:v>
      </x:c>
      <x:c r="N9567" s="0" t="s">
        <x:v>46</x:v>
      </x:c>
    </x:row>
    <x:row r="9568" spans="1:16">
      <x:c r="A9568" s="0" t="s">
        <x:v>38137</x:v>
      </x:c>
      <x:c r="B9568" s="0" t="s">
        <x:v>38138</x:v>
      </x:c>
      <x:c r="C9568" s="0" t="s">
        <x:v>38139</x:v>
      </x:c>
      <x:c r="E9568" s="0" t="s">
        <x:v>38140</x:v>
      </x:c>
      <x:c r="F9568" s="0" t="s">
        <x:v>45</x:v>
      </x:c>
      <x:c r="G9568" s="0" t="s">
        <x:v>19</x:v>
      </x:c>
      <x:c r="H9568" s="0" t="s">
        <x:v>20</x:v>
      </x:c>
      <x:c r="I9568" s="0" t="s">
        <x:v>21</x:v>
      </x:c>
      <x:c r="K9568" s="0">
        <x:f>hyperlink("https://icd.who.int/dev11/l-ichi/en#/http%3A%2F%2Fid.who.int%2Ficd%2Fentity%2F1782348380","browser")</x:f>
      </x:c>
      <x:c r="L9568" s="0">
        <x:f>hyperlink("https://icat2.azurewebsites.net/icat/?ontology=ICD&amp;tab=ClassesTab&amp;id=http%3A%2F%2Fwho.int%2Ficd%23716_b929cd40_1812_4e2b_8d98_622273bc31b1","iCat")</x:f>
      </x:c>
      <x:c r="M9568" s="0" t="s">
        <x:v>21</x:v>
      </x:c>
      <x:c r="N9568" s="0" t="s">
        <x:v>46</x:v>
      </x:c>
    </x:row>
    <x:row r="9569" spans="1:16">
      <x:c r="A9569" s="0" t="s">
        <x:v>38141</x:v>
      </x:c>
      <x:c r="B9569" s="0" t="s">
        <x:v>38142</x:v>
      </x:c>
      <x:c r="C9569" s="0" t="s">
        <x:v>38143</x:v>
      </x:c>
      <x:c r="E9569" s="0" t="s">
        <x:v>38144</x:v>
      </x:c>
      <x:c r="F9569" s="0" t="s">
        <x:v>45</x:v>
      </x:c>
      <x:c r="G9569" s="0" t="s">
        <x:v>19</x:v>
      </x:c>
      <x:c r="H9569" s="0" t="s">
        <x:v>20</x:v>
      </x:c>
      <x:c r="I9569" s="0" t="s">
        <x:v>21</x:v>
      </x:c>
      <x:c r="K9569" s="0">
        <x:f>hyperlink("https://icd.who.int/dev11/l-ichi/en#/http%3A%2F%2Fid.who.int%2Ficd%2Fentity%2F1753978745","browser")</x:f>
      </x:c>
      <x:c r="L9569" s="0">
        <x:f>hyperlink("https://icat2.azurewebsites.net/icat/?ontology=ICD&amp;tab=ClassesTab&amp;id=http%3A%2F%2Fwho.int%2Ficd%231928_b929cd40_1812_4e2b_8d98_622273bc31b1","iCat")</x:f>
      </x:c>
      <x:c r="M9569" s="0" t="s">
        <x:v>21</x:v>
      </x:c>
      <x:c r="N9569" s="0" t="s">
        <x:v>46</x:v>
      </x:c>
    </x:row>
    <x:row r="9570" spans="1:16">
      <x:c r="A9570" s="0" t="s">
        <x:v>38145</x:v>
      </x:c>
      <x:c r="B9570" s="0" t="s">
        <x:v>38146</x:v>
      </x:c>
      <x:c r="C9570" s="0" t="s">
        <x:v>38147</x:v>
      </x:c>
      <x:c r="E9570" s="0" t="s">
        <x:v>38148</x:v>
      </x:c>
      <x:c r="F9570" s="0" t="s">
        <x:v>45</x:v>
      </x:c>
      <x:c r="G9570" s="0" t="s">
        <x:v>19</x:v>
      </x:c>
      <x:c r="H9570" s="0" t="s">
        <x:v>20</x:v>
      </x:c>
      <x:c r="I9570" s="0" t="s">
        <x:v>21</x:v>
      </x:c>
      <x:c r="K9570" s="0">
        <x:f>hyperlink("https://icd.who.int/dev11/l-ichi/en#/http%3A%2F%2Fid.who.int%2Ficd%2Fentity%2F1017651304","browser")</x:f>
      </x:c>
      <x:c r="L9570" s="0">
        <x:f>hyperlink("https://icat2.azurewebsites.net/icat/?ontology=ICD&amp;tab=ClassesTab&amp;id=http%3A%2F%2Fwho.int%2Ficd%231970_b929cd40_1812_4e2b_8d98_622273bc31b1","iCat")</x:f>
      </x:c>
      <x:c r="M9570" s="0" t="s">
        <x:v>21</x:v>
      </x:c>
      <x:c r="N9570" s="0" t="s">
        <x:v>46</x:v>
      </x:c>
    </x:row>
    <x:row r="9571" spans="1:16">
      <x:c r="A9571" s="0" t="s">
        <x:v>38149</x:v>
      </x:c>
      <x:c r="B9571" s="0" t="s">
        <x:v>38150</x:v>
      </x:c>
      <x:c r="C9571" s="0" t="s">
        <x:v>38151</x:v>
      </x:c>
      <x:c r="E9571" s="0" t="s">
        <x:v>38152</x:v>
      </x:c>
      <x:c r="F9571" s="0" t="s">
        <x:v>45</x:v>
      </x:c>
      <x:c r="G9571" s="0" t="s">
        <x:v>19</x:v>
      </x:c>
      <x:c r="H9571" s="0" t="s">
        <x:v>20</x:v>
      </x:c>
      <x:c r="I9571" s="0" t="s">
        <x:v>21</x:v>
      </x:c>
      <x:c r="K9571" s="0">
        <x:f>hyperlink("https://icd.who.int/dev11/l-ichi/en#/http%3A%2F%2Fid.who.int%2Ficd%2Fentity%2F1825831383","browser")</x:f>
      </x:c>
      <x:c r="L9571" s="0">
        <x:f>hyperlink("https://icat2.azurewebsites.net/icat/?ontology=ICD&amp;tab=ClassesTab&amp;id=http%3A%2F%2Fwho.int%2Ficd%231976_b929cd40_1812_4e2b_8d98_622273bc31b1","iCat")</x:f>
      </x:c>
      <x:c r="M9571" s="0" t="s">
        <x:v>21</x:v>
      </x:c>
      <x:c r="N9571" s="0" t="s">
        <x:v>46</x:v>
      </x:c>
    </x:row>
    <x:row r="9572" spans="1:16">
      <x:c r="A9572" s="0" t="s">
        <x:v>38153</x:v>
      </x:c>
      <x:c r="B9572" s="0" t="s">
        <x:v>38154</x:v>
      </x:c>
      <x:c r="C9572" s="0" t="s">
        <x:v>38155</x:v>
      </x:c>
      <x:c r="E9572" s="0" t="s">
        <x:v>38156</x:v>
      </x:c>
      <x:c r="F9572" s="0" t="s">
        <x:v>45</x:v>
      </x:c>
      <x:c r="G9572" s="0" t="s">
        <x:v>19</x:v>
      </x:c>
      <x:c r="H9572" s="0" t="s">
        <x:v>20</x:v>
      </x:c>
      <x:c r="I9572" s="0" t="s">
        <x:v>21</x:v>
      </x:c>
      <x:c r="K9572" s="0">
        <x:f>hyperlink("https://icd.who.int/dev11/l-ichi/en#/http%3A%2F%2Fid.who.int%2Ficd%2Fentity%2F1983084413","browser")</x:f>
      </x:c>
      <x:c r="L9572" s="0">
        <x:f>hyperlink("https://icat2.azurewebsites.net/icat/?ontology=ICD&amp;tab=ClassesTab&amp;id=http%3A%2F%2Fwho.int%2Ficd%231982_b929cd40_1812_4e2b_8d98_622273bc31b1","iCat")</x:f>
      </x:c>
      <x:c r="M9572" s="0" t="s">
        <x:v>21</x:v>
      </x:c>
      <x:c r="N9572" s="0" t="s">
        <x:v>46</x:v>
      </x:c>
    </x:row>
    <x:row r="9573" spans="1:16">
      <x:c r="A9573" s="0" t="s">
        <x:v>38157</x:v>
      </x:c>
      <x:c r="B9573" s="0" t="s">
        <x:v>38158</x:v>
      </x:c>
      <x:c r="C9573" s="0" t="s">
        <x:v>38159</x:v>
      </x:c>
      <x:c r="E9573" s="0" t="s">
        <x:v>38160</x:v>
      </x:c>
      <x:c r="F9573" s="0" t="s">
        <x:v>45</x:v>
      </x:c>
      <x:c r="G9573" s="0" t="s">
        <x:v>19</x:v>
      </x:c>
      <x:c r="H9573" s="0" t="s">
        <x:v>20</x:v>
      </x:c>
      <x:c r="I9573" s="0" t="s">
        <x:v>21</x:v>
      </x:c>
      <x:c r="K9573" s="0">
        <x:f>hyperlink("https://icd.who.int/dev11/l-ichi/en#/http%3A%2F%2Fid.who.int%2Ficd%2Fentity%2F1573788653","browser")</x:f>
      </x:c>
      <x:c r="L9573" s="0">
        <x:f>hyperlink("https://icat2.azurewebsites.net/icat/?ontology=ICD&amp;tab=ClassesTab&amp;id=http%3A%2F%2Fwho.int%2Ficd%231988_b929cd40_1812_4e2b_8d98_622273bc31b1","iCat")</x:f>
      </x:c>
      <x:c r="M9573" s="0" t="s">
        <x:v>21</x:v>
      </x:c>
      <x:c r="N9573" s="0" t="s">
        <x:v>46</x:v>
      </x:c>
    </x:row>
    <x:row r="9574" spans="1:16">
      <x:c r="A9574" s="0" t="s">
        <x:v>38161</x:v>
      </x:c>
      <x:c r="B9574" s="0" t="s">
        <x:v>38162</x:v>
      </x:c>
      <x:c r="C9574" s="0" t="s">
        <x:v>38163</x:v>
      </x:c>
      <x:c r="E9574" s="0" t="s">
        <x:v>38164</x:v>
      </x:c>
      <x:c r="F9574" s="0" t="s">
        <x:v>45</x:v>
      </x:c>
      <x:c r="G9574" s="0" t="s">
        <x:v>19</x:v>
      </x:c>
      <x:c r="H9574" s="0" t="s">
        <x:v>20</x:v>
      </x:c>
      <x:c r="I9574" s="0" t="s">
        <x:v>21</x:v>
      </x:c>
      <x:c r="K9574" s="0">
        <x:f>hyperlink("https://icd.who.int/dev11/l-ichi/en#/http%3A%2F%2Fid.who.int%2Ficd%2Fentity%2F1284324251","browser")</x:f>
      </x:c>
      <x:c r="L9574" s="0">
        <x:f>hyperlink("https://icat2.azurewebsites.net/icat/?ontology=ICD&amp;tab=ClassesTab&amp;id=http%3A%2F%2Fwho.int%2Ficd%231994_b929cd40_1812_4e2b_8d98_622273bc31b1","iCat")</x:f>
      </x:c>
      <x:c r="M9574" s="0" t="s">
        <x:v>21</x:v>
      </x:c>
      <x:c r="N9574" s="0" t="s">
        <x:v>46</x:v>
      </x:c>
    </x:row>
    <x:row r="9575" spans="1:16">
      <x:c r="A9575" s="0" t="s">
        <x:v>38165</x:v>
      </x:c>
      <x:c r="B9575" s="0" t="s">
        <x:v>38166</x:v>
      </x:c>
      <x:c r="C9575" s="0" t="s">
        <x:v>38167</x:v>
      </x:c>
      <x:c r="E9575" s="0" t="s">
        <x:v>38168</x:v>
      </x:c>
      <x:c r="F9575" s="0" t="s">
        <x:v>45</x:v>
      </x:c>
      <x:c r="G9575" s="0" t="s">
        <x:v>19</x:v>
      </x:c>
      <x:c r="H9575" s="0" t="s">
        <x:v>20</x:v>
      </x:c>
      <x:c r="I9575" s="0" t="s">
        <x:v>21</x:v>
      </x:c>
      <x:c r="K9575" s="0">
        <x:f>hyperlink("https://icd.who.int/dev11/l-ichi/en#/http%3A%2F%2Fid.who.int%2Ficd%2Fentity%2F1672864029","browser")</x:f>
      </x:c>
      <x:c r="L9575" s="0">
        <x:f>hyperlink("https://icat2.azurewebsites.net/icat/?ontology=ICD&amp;tab=ClassesTab&amp;id=http%3A%2F%2Fwho.int%2Ficd%232000_b929cd40_1812_4e2b_8d98_622273bc31b1","iCat")</x:f>
      </x:c>
      <x:c r="M9575" s="0" t="s">
        <x:v>21</x:v>
      </x:c>
      <x:c r="N9575" s="0" t="s">
        <x:v>46</x:v>
      </x:c>
    </x:row>
    <x:row r="9576" spans="1:16">
      <x:c r="A9576" s="0" t="s">
        <x:v>38169</x:v>
      </x:c>
      <x:c r="B9576" s="0" t="s">
        <x:v>38170</x:v>
      </x:c>
      <x:c r="C9576" s="0" t="s">
        <x:v>38171</x:v>
      </x:c>
      <x:c r="E9576" s="0" t="s">
        <x:v>38172</x:v>
      </x:c>
      <x:c r="F9576" s="0" t="s">
        <x:v>45</x:v>
      </x:c>
      <x:c r="G9576" s="0" t="s">
        <x:v>19</x:v>
      </x:c>
      <x:c r="H9576" s="0" t="s">
        <x:v>20</x:v>
      </x:c>
      <x:c r="I9576" s="0" t="s">
        <x:v>21</x:v>
      </x:c>
      <x:c r="K9576" s="0">
        <x:f>hyperlink("https://icd.who.int/dev11/l-ichi/en#/http%3A%2F%2Fid.who.int%2Ficd%2Fentity%2F869152942","browser")</x:f>
      </x:c>
      <x:c r="L9576" s="0">
        <x:f>hyperlink("https://icat2.azurewebsites.net/icat/?ontology=ICD&amp;tab=ClassesTab&amp;id=http%3A%2F%2Fwho.int%2Ficd%232006_b929cd40_1812_4e2b_8d98_622273bc31b1","iCat")</x:f>
      </x:c>
      <x:c r="M9576" s="0" t="s">
        <x:v>21</x:v>
      </x:c>
      <x:c r="N9576" s="0" t="s">
        <x:v>46</x:v>
      </x:c>
    </x:row>
    <x:row r="9577" spans="1:16">
      <x:c r="A9577" s="0" t="s">
        <x:v>38173</x:v>
      </x:c>
      <x:c r="B9577" s="0" t="s">
        <x:v>38174</x:v>
      </x:c>
      <x:c r="C9577" s="0" t="s">
        <x:v>38175</x:v>
      </x:c>
      <x:c r="E9577" s="0" t="s">
        <x:v>38176</x:v>
      </x:c>
      <x:c r="F9577" s="0" t="s">
        <x:v>45</x:v>
      </x:c>
      <x:c r="G9577" s="0" t="s">
        <x:v>19</x:v>
      </x:c>
      <x:c r="H9577" s="0" t="s">
        <x:v>20</x:v>
      </x:c>
      <x:c r="I9577" s="0" t="s">
        <x:v>21</x:v>
      </x:c>
      <x:c r="K9577" s="0">
        <x:f>hyperlink("https://icd.who.int/dev11/l-ichi/en#/http%3A%2F%2Fid.who.int%2Ficd%2Fentity%2F1812752783","browser")</x:f>
      </x:c>
      <x:c r="L9577" s="0">
        <x:f>hyperlink("https://icat2.azurewebsites.net/icat/?ontology=ICD&amp;tab=ClassesTab&amp;id=http%3A%2F%2Fwho.int%2Ficd%232012_b929cd40_1812_4e2b_8d98_622273bc31b1","iCat")</x:f>
      </x:c>
      <x:c r="M9577" s="0" t="s">
        <x:v>21</x:v>
      </x:c>
      <x:c r="N9577" s="0" t="s">
        <x:v>46</x:v>
      </x:c>
    </x:row>
    <x:row r="9578" spans="1:16">
      <x:c r="A9578" s="0" t="s">
        <x:v>38177</x:v>
      </x:c>
      <x:c r="B9578" s="0" t="s">
        <x:v>38178</x:v>
      </x:c>
      <x:c r="C9578" s="0" t="s">
        <x:v>38179</x:v>
      </x:c>
      <x:c r="E9578" s="0" t="s">
        <x:v>38180</x:v>
      </x:c>
      <x:c r="F9578" s="0" t="s">
        <x:v>45</x:v>
      </x:c>
      <x:c r="G9578" s="0" t="s">
        <x:v>19</x:v>
      </x:c>
      <x:c r="H9578" s="0" t="s">
        <x:v>20</x:v>
      </x:c>
      <x:c r="I9578" s="0" t="s">
        <x:v>21</x:v>
      </x:c>
      <x:c r="K9578" s="0">
        <x:f>hyperlink("https://icd.who.int/dev11/l-ichi/en#/http%3A%2F%2Fid.who.int%2Ficd%2Fentity%2F1206977823","browser")</x:f>
      </x:c>
      <x:c r="L9578" s="0">
        <x:f>hyperlink("https://icat2.azurewebsites.net/icat/?ontology=ICD&amp;tab=ClassesTab&amp;id=http%3A%2F%2Fwho.int%2Ficd%232018_b929cd40_1812_4e2b_8d98_622273bc31b1","iCat")</x:f>
      </x:c>
      <x:c r="M9578" s="0" t="s">
        <x:v>21</x:v>
      </x:c>
      <x:c r="N9578" s="0" t="s">
        <x:v>46</x:v>
      </x:c>
    </x:row>
    <x:row r="9579" spans="1:16">
      <x:c r="A9579" s="0" t="s">
        <x:v>38181</x:v>
      </x:c>
      <x:c r="B9579" s="0" t="s">
        <x:v>38182</x:v>
      </x:c>
      <x:c r="C9579" s="0" t="s">
        <x:v>38183</x:v>
      </x:c>
      <x:c r="E9579" s="0" t="s">
        <x:v>38184</x:v>
      </x:c>
      <x:c r="F9579" s="0" t="s">
        <x:v>45</x:v>
      </x:c>
      <x:c r="G9579" s="0" t="s">
        <x:v>19</x:v>
      </x:c>
      <x:c r="H9579" s="0" t="s">
        <x:v>20</x:v>
      </x:c>
      <x:c r="I9579" s="0" t="s">
        <x:v>21</x:v>
      </x:c>
      <x:c r="K9579" s="0">
        <x:f>hyperlink("https://icd.who.int/dev11/l-ichi/en#/http%3A%2F%2Fid.who.int%2Ficd%2Fentity%2F2093412409","browser")</x:f>
      </x:c>
      <x:c r="L9579" s="0">
        <x:f>hyperlink("https://icat2.azurewebsites.net/icat/?ontology=ICD&amp;tab=ClassesTab&amp;id=http%3A%2F%2Fwho.int%2Ficd%232024_b929cd40_1812_4e2b_8d98_622273bc31b1","iCat")</x:f>
      </x:c>
      <x:c r="M9579" s="0" t="s">
        <x:v>21</x:v>
      </x:c>
      <x:c r="N9579" s="0" t="s">
        <x:v>46</x:v>
      </x:c>
    </x:row>
    <x:row r="9580" spans="1:16">
      <x:c r="A9580" s="0" t="s">
        <x:v>38185</x:v>
      </x:c>
      <x:c r="B9580" s="0" t="s">
        <x:v>38186</x:v>
      </x:c>
      <x:c r="C9580" s="0" t="s">
        <x:v>38187</x:v>
      </x:c>
      <x:c r="E9580" s="0" t="s">
        <x:v>38188</x:v>
      </x:c>
      <x:c r="F9580" s="0" t="s">
        <x:v>45</x:v>
      </x:c>
      <x:c r="G9580" s="0" t="s">
        <x:v>19</x:v>
      </x:c>
      <x:c r="H9580" s="0" t="s">
        <x:v>20</x:v>
      </x:c>
      <x:c r="I9580" s="0" t="s">
        <x:v>21</x:v>
      </x:c>
      <x:c r="K9580" s="0">
        <x:f>hyperlink("https://icd.who.int/dev11/l-ichi/en#/http%3A%2F%2Fid.who.int%2Ficd%2Fentity%2F587505948","browser")</x:f>
      </x:c>
      <x:c r="L9580" s="0">
        <x:f>hyperlink("https://icat2.azurewebsites.net/icat/?ontology=ICD&amp;tab=ClassesTab&amp;id=http%3A%2F%2Fwho.int%2Ficd%232030_b929cd40_1812_4e2b_8d98_622273bc31b1","iCat")</x:f>
      </x:c>
      <x:c r="M9580" s="0" t="s">
        <x:v>21</x:v>
      </x:c>
      <x:c r="N9580" s="0" t="s">
        <x:v>46</x:v>
      </x:c>
    </x:row>
    <x:row r="9581" spans="1:16">
      <x:c r="A9581" s="0" t="s">
        <x:v>38189</x:v>
      </x:c>
      <x:c r="B9581" s="0" t="s">
        <x:v>38190</x:v>
      </x:c>
      <x:c r="C9581" s="0" t="s">
        <x:v>38191</x:v>
      </x:c>
      <x:c r="E9581" s="0" t="s">
        <x:v>38192</x:v>
      </x:c>
      <x:c r="F9581" s="0" t="s">
        <x:v>45</x:v>
      </x:c>
      <x:c r="G9581" s="0" t="s">
        <x:v>19</x:v>
      </x:c>
      <x:c r="H9581" s="0" t="s">
        <x:v>20</x:v>
      </x:c>
      <x:c r="I9581" s="0" t="s">
        <x:v>21</x:v>
      </x:c>
      <x:c r="K9581" s="0">
        <x:f>hyperlink("https://icd.who.int/dev11/l-ichi/en#/http%3A%2F%2Fid.who.int%2Ficd%2Fentity%2F117075704","browser")</x:f>
      </x:c>
      <x:c r="L9581" s="0">
        <x:f>hyperlink("https://icat2.azurewebsites.net/icat/?ontology=ICD&amp;tab=ClassesTab&amp;id=http%3A%2F%2Fwho.int%2Ficd%23972_b929cd40_1812_4e2b_8d98_622273bc31b1","iCat")</x:f>
      </x:c>
      <x:c r="M9581" s="0" t="s">
        <x:v>21</x:v>
      </x:c>
      <x:c r="N9581" s="0" t="s">
        <x:v>46</x:v>
      </x:c>
    </x:row>
    <x:row r="9582" spans="1:16">
      <x:c r="A9582" s="0" t="s">
        <x:v>38193</x:v>
      </x:c>
      <x:c r="B9582" s="0" t="s">
        <x:v>38194</x:v>
      </x:c>
      <x:c r="C9582" s="0" t="s">
        <x:v>38195</x:v>
      </x:c>
      <x:c r="E9582" s="0" t="s">
        <x:v>38196</x:v>
      </x:c>
      <x:c r="F9582" s="0" t="s">
        <x:v>45</x:v>
      </x:c>
      <x:c r="G9582" s="0" t="s">
        <x:v>19</x:v>
      </x:c>
      <x:c r="H9582" s="0" t="s">
        <x:v>20</x:v>
      </x:c>
      <x:c r="I9582" s="0" t="s">
        <x:v>21</x:v>
      </x:c>
      <x:c r="K9582" s="0">
        <x:f>hyperlink("https://icd.who.int/dev11/l-ichi/en#/http%3A%2F%2Fid.who.int%2Ficd%2Fentity%2F755434088","browser")</x:f>
      </x:c>
      <x:c r="L9582" s="0">
        <x:f>hyperlink("https://icat2.azurewebsites.net/icat/?ontology=ICD&amp;tab=ClassesTab&amp;id=http%3A%2F%2Fwho.int%2Ficd%23978_b929cd40_1812_4e2b_8d98_622273bc31b1","iCat")</x:f>
      </x:c>
      <x:c r="M9582" s="0" t="s">
        <x:v>21</x:v>
      </x:c>
      <x:c r="N9582" s="0" t="s">
        <x:v>46</x:v>
      </x:c>
    </x:row>
    <x:row r="9583" spans="1:16">
      <x:c r="A9583" s="0" t="s">
        <x:v>38197</x:v>
      </x:c>
      <x:c r="B9583" s="0" t="s">
        <x:v>38198</x:v>
      </x:c>
      <x:c r="C9583" s="0" t="s">
        <x:v>38199</x:v>
      </x:c>
      <x:c r="E9583" s="0" t="s">
        <x:v>38200</x:v>
      </x:c>
      <x:c r="F9583" s="0" t="s">
        <x:v>45</x:v>
      </x:c>
      <x:c r="G9583" s="0" t="s">
        <x:v>19</x:v>
      </x:c>
      <x:c r="H9583" s="0" t="s">
        <x:v>20</x:v>
      </x:c>
      <x:c r="I9583" s="0" t="s">
        <x:v>21</x:v>
      </x:c>
      <x:c r="K9583" s="0">
        <x:f>hyperlink("https://icd.who.int/dev11/l-ichi/en#/http%3A%2F%2Fid.who.int%2Ficd%2Fentity%2F2036792727","browser")</x:f>
      </x:c>
      <x:c r="L9583" s="0">
        <x:f>hyperlink("https://icat2.azurewebsites.net/icat/?ontology=ICD&amp;tab=ClassesTab&amp;id=http%3A%2F%2Fwho.int%2Ficd%23984_b929cd40_1812_4e2b_8d98_622273bc31b1","iCat")</x:f>
      </x:c>
      <x:c r="M9583" s="0" t="s">
        <x:v>21</x:v>
      </x:c>
      <x:c r="N9583" s="0" t="s">
        <x:v>46</x:v>
      </x:c>
    </x:row>
    <x:row r="9584" spans="1:16">
      <x:c r="A9584" s="0" t="s">
        <x:v>38201</x:v>
      </x:c>
      <x:c r="B9584" s="0" t="s">
        <x:v>38202</x:v>
      </x:c>
      <x:c r="C9584" s="0" t="s">
        <x:v>38203</x:v>
      </x:c>
      <x:c r="E9584" s="0" t="s">
        <x:v>38204</x:v>
      </x:c>
      <x:c r="F9584" s="0" t="s">
        <x:v>45</x:v>
      </x:c>
      <x:c r="G9584" s="0" t="s">
        <x:v>19</x:v>
      </x:c>
      <x:c r="H9584" s="0" t="s">
        <x:v>20</x:v>
      </x:c>
      <x:c r="I9584" s="0" t="s">
        <x:v>21</x:v>
      </x:c>
      <x:c r="K9584" s="0">
        <x:f>hyperlink("https://icd.who.int/dev11/l-ichi/en#/http%3A%2F%2Fid.who.int%2Ficd%2Fentity%2F648326324","browser")</x:f>
      </x:c>
      <x:c r="L9584" s="0">
        <x:f>hyperlink("https://icat2.azurewebsites.net/icat/?ontology=ICD&amp;tab=ClassesTab&amp;id=http%3A%2F%2Fwho.int%2Ficd%23990_b929cd40_1812_4e2b_8d98_622273bc31b1","iCat")</x:f>
      </x:c>
      <x:c r="M9584" s="0" t="s">
        <x:v>21</x:v>
      </x:c>
      <x:c r="N9584" s="0" t="s">
        <x:v>46</x:v>
      </x:c>
    </x:row>
    <x:row r="9585" spans="1:16">
      <x:c r="A9585" s="0" t="s">
        <x:v>38205</x:v>
      </x:c>
      <x:c r="B9585" s="0" t="s">
        <x:v>38206</x:v>
      </x:c>
      <x:c r="C9585" s="0" t="s">
        <x:v>38207</x:v>
      </x:c>
      <x:c r="E9585" s="0" t="s">
        <x:v>38208</x:v>
      </x:c>
      <x:c r="F9585" s="0" t="s">
        <x:v>45</x:v>
      </x:c>
      <x:c r="G9585" s="0" t="s">
        <x:v>19</x:v>
      </x:c>
      <x:c r="H9585" s="0" t="s">
        <x:v>20</x:v>
      </x:c>
      <x:c r="I9585" s="0" t="s">
        <x:v>21</x:v>
      </x:c>
      <x:c r="K9585" s="0">
        <x:f>hyperlink("https://icd.who.int/dev11/l-ichi/en#/http%3A%2F%2Fid.who.int%2Ficd%2Fentity%2F1994355973","browser")</x:f>
      </x:c>
      <x:c r="L9585" s="0">
        <x:f>hyperlink("https://icat2.azurewebsites.net/icat/?ontology=ICD&amp;tab=ClassesTab&amp;id=http%3A%2F%2Fwho.int%2Ficd%23996_b929cd40_1812_4e2b_8d98_622273bc31b1","iCat")</x:f>
      </x:c>
      <x:c r="M9585" s="0" t="s">
        <x:v>21</x:v>
      </x:c>
      <x:c r="N9585" s="0" t="s">
        <x:v>46</x:v>
      </x:c>
    </x:row>
    <x:row r="9586" spans="1:16">
      <x:c r="A9586" s="0" t="s">
        <x:v>38209</x:v>
      </x:c>
      <x:c r="B9586" s="0" t="s">
        <x:v>38210</x:v>
      </x:c>
      <x:c r="C9586" s="0" t="s">
        <x:v>38211</x:v>
      </x:c>
      <x:c r="E9586" s="0" t="s">
        <x:v>38212</x:v>
      </x:c>
      <x:c r="F9586" s="0" t="s">
        <x:v>45</x:v>
      </x:c>
      <x:c r="G9586" s="0" t="s">
        <x:v>19</x:v>
      </x:c>
      <x:c r="H9586" s="0" t="s">
        <x:v>20</x:v>
      </x:c>
      <x:c r="I9586" s="0" t="s">
        <x:v>21</x:v>
      </x:c>
      <x:c r="K9586" s="0">
        <x:f>hyperlink("https://icd.who.int/dev11/l-ichi/en#/http%3A%2F%2Fid.who.int%2Ficd%2Fentity%2F109170766","browser")</x:f>
      </x:c>
      <x:c r="L9586" s="0">
        <x:f>hyperlink("https://icat2.azurewebsites.net/icat/?ontology=ICD&amp;tab=ClassesTab&amp;id=http%3A%2F%2Fwho.int%2Ficd%231002_b929cd40_1812_4e2b_8d98_622273bc31b1","iCat")</x:f>
      </x:c>
      <x:c r="M9586" s="0" t="s">
        <x:v>21</x:v>
      </x:c>
      <x:c r="N9586" s="0" t="s">
        <x:v>46</x:v>
      </x:c>
    </x:row>
    <x:row r="9587" spans="1:16">
      <x:c r="A9587" s="0" t="s">
        <x:v>38213</x:v>
      </x:c>
      <x:c r="B9587" s="0" t="s">
        <x:v>38214</x:v>
      </x:c>
      <x:c r="C9587" s="0" t="s">
        <x:v>38215</x:v>
      </x:c>
      <x:c r="E9587" s="0" t="s">
        <x:v>38216</x:v>
      </x:c>
      <x:c r="F9587" s="0" t="s">
        <x:v>45</x:v>
      </x:c>
      <x:c r="G9587" s="0" t="s">
        <x:v>19</x:v>
      </x:c>
      <x:c r="H9587" s="0" t="s">
        <x:v>20</x:v>
      </x:c>
      <x:c r="I9587" s="0" t="s">
        <x:v>21</x:v>
      </x:c>
      <x:c r="K9587" s="0">
        <x:f>hyperlink("https://icd.who.int/dev11/l-ichi/en#/http%3A%2F%2Fid.who.int%2Ficd%2Fentity%2F763149534","browser")</x:f>
      </x:c>
      <x:c r="L9587" s="0">
        <x:f>hyperlink("https://icat2.azurewebsites.net/icat/?ontology=ICD&amp;tab=ClassesTab&amp;id=http%3A%2F%2Fwho.int%2Ficd%231008_b929cd40_1812_4e2b_8d98_622273bc31b1","iCat")</x:f>
      </x:c>
      <x:c r="M9587" s="0" t="s">
        <x:v>21</x:v>
      </x:c>
      <x:c r="N9587" s="0" t="s">
        <x:v>46</x:v>
      </x:c>
    </x:row>
    <x:row r="9588" spans="1:16">
      <x:c r="A9588" s="0" t="s">
        <x:v>38217</x:v>
      </x:c>
      <x:c r="B9588" s="0" t="s">
        <x:v>38218</x:v>
      </x:c>
      <x:c r="C9588" s="0" t="s">
        <x:v>38219</x:v>
      </x:c>
      <x:c r="E9588" s="0" t="s">
        <x:v>38220</x:v>
      </x:c>
      <x:c r="F9588" s="0" t="s">
        <x:v>45</x:v>
      </x:c>
      <x:c r="G9588" s="0" t="s">
        <x:v>19</x:v>
      </x:c>
      <x:c r="H9588" s="0" t="s">
        <x:v>20</x:v>
      </x:c>
      <x:c r="I9588" s="0" t="s">
        <x:v>21</x:v>
      </x:c>
      <x:c r="K9588" s="0">
        <x:f>hyperlink("https://icd.who.int/dev11/l-ichi/en#/http%3A%2F%2Fid.who.int%2Ficd%2Fentity%2F1010801834","browser")</x:f>
      </x:c>
      <x:c r="L9588" s="0">
        <x:f>hyperlink("https://icat2.azurewebsites.net/icat/?ontology=ICD&amp;tab=ClassesTab&amp;id=http%3A%2F%2Fwho.int%2Ficd%231014_b929cd40_1812_4e2b_8d98_622273bc31b1","iCat")</x:f>
      </x:c>
      <x:c r="M9588" s="0" t="s">
        <x:v>21</x:v>
      </x:c>
      <x:c r="N9588" s="0" t="s">
        <x:v>46</x:v>
      </x:c>
    </x:row>
    <x:row r="9589" spans="1:16">
      <x:c r="A9589" s="0" t="s">
        <x:v>38221</x:v>
      </x:c>
      <x:c r="B9589" s="0" t="s">
        <x:v>38222</x:v>
      </x:c>
      <x:c r="C9589" s="0" t="s">
        <x:v>38223</x:v>
      </x:c>
      <x:c r="E9589" s="0" t="s">
        <x:v>38224</x:v>
      </x:c>
      <x:c r="F9589" s="0" t="s">
        <x:v>45</x:v>
      </x:c>
      <x:c r="G9589" s="0" t="s">
        <x:v>19</x:v>
      </x:c>
      <x:c r="H9589" s="0" t="s">
        <x:v>20</x:v>
      </x:c>
      <x:c r="I9589" s="0" t="s">
        <x:v>21</x:v>
      </x:c>
      <x:c r="K9589" s="0">
        <x:f>hyperlink("https://icd.who.int/dev11/l-ichi/en#/http%3A%2F%2Fid.who.int%2Ficd%2Fentity%2F1233721563","browser")</x:f>
      </x:c>
      <x:c r="L9589" s="0">
        <x:f>hyperlink("https://icat2.azurewebsites.net/icat/?ontology=ICD&amp;tab=ClassesTab&amp;id=http%3A%2F%2Fwho.int%2Ficd%231020_b929cd40_1812_4e2b_8d98_622273bc31b1","iCat")</x:f>
      </x:c>
      <x:c r="M9589" s="0" t="s">
        <x:v>21</x:v>
      </x:c>
      <x:c r="N9589" s="0" t="s">
        <x:v>46</x:v>
      </x:c>
    </x:row>
    <x:row r="9590" spans="1:16">
      <x:c r="A9590" s="0" t="s">
        <x:v>38225</x:v>
      </x:c>
      <x:c r="B9590" s="0" t="s">
        <x:v>38226</x:v>
      </x:c>
      <x:c r="C9590" s="0" t="s">
        <x:v>38227</x:v>
      </x:c>
      <x:c r="E9590" s="0" t="s">
        <x:v>38228</x:v>
      </x:c>
      <x:c r="F9590" s="0" t="s">
        <x:v>45</x:v>
      </x:c>
      <x:c r="G9590" s="0" t="s">
        <x:v>19</x:v>
      </x:c>
      <x:c r="H9590" s="0" t="s">
        <x:v>20</x:v>
      </x:c>
      <x:c r="I9590" s="0" t="s">
        <x:v>21</x:v>
      </x:c>
      <x:c r="K9590" s="0">
        <x:f>hyperlink("https://icd.who.int/dev11/l-ichi/en#/http%3A%2F%2Fid.who.int%2Ficd%2Fentity%2F435339626","browser")</x:f>
      </x:c>
      <x:c r="L9590" s="0">
        <x:f>hyperlink("https://icat2.azurewebsites.net/icat/?ontology=ICD&amp;tab=ClassesTab&amp;id=http%3A%2F%2Fwho.int%2Ficd%231026_b929cd40_1812_4e2b_8d98_622273bc31b1","iCat")</x:f>
      </x:c>
      <x:c r="M9590" s="0" t="s">
        <x:v>21</x:v>
      </x:c>
      <x:c r="N9590" s="0" t="s">
        <x:v>46</x:v>
      </x:c>
    </x:row>
    <x:row r="9591" spans="1:16">
      <x:c r="A9591" s="0" t="s">
        <x:v>38229</x:v>
      </x:c>
      <x:c r="B9591" s="0" t="s">
        <x:v>38230</x:v>
      </x:c>
      <x:c r="C9591" s="0" t="s">
        <x:v>38231</x:v>
      </x:c>
      <x:c r="E9591" s="0" t="s">
        <x:v>38232</x:v>
      </x:c>
      <x:c r="F9591" s="0" t="s">
        <x:v>45</x:v>
      </x:c>
      <x:c r="G9591" s="0" t="s">
        <x:v>19</x:v>
      </x:c>
      <x:c r="H9591" s="0" t="s">
        <x:v>20</x:v>
      </x:c>
      <x:c r="I9591" s="0" t="s">
        <x:v>21</x:v>
      </x:c>
      <x:c r="K9591" s="0">
        <x:f>hyperlink("https://icd.who.int/dev11/l-ichi/en#/http%3A%2F%2Fid.who.int%2Ficd%2Fentity%2F1177587785","browser")</x:f>
      </x:c>
      <x:c r="L9591" s="0">
        <x:f>hyperlink("https://icat2.azurewebsites.net/icat/?ontology=ICD&amp;tab=ClassesTab&amp;id=http%3A%2F%2Fwho.int%2Ficd%231032_b929cd40_1812_4e2b_8d98_622273bc31b1","iCat")</x:f>
      </x:c>
      <x:c r="M9591" s="0" t="s">
        <x:v>21</x:v>
      </x:c>
      <x:c r="N9591" s="0" t="s">
        <x:v>46</x:v>
      </x:c>
    </x:row>
    <x:row r="9592" spans="1:16">
      <x:c r="A9592" s="0" t="s">
        <x:v>38233</x:v>
      </x:c>
      <x:c r="B9592" s="0" t="s">
        <x:v>38234</x:v>
      </x:c>
      <x:c r="C9592" s="0" t="s">
        <x:v>38235</x:v>
      </x:c>
      <x:c r="E9592" s="0" t="s">
        <x:v>38236</x:v>
      </x:c>
      <x:c r="F9592" s="0" t="s">
        <x:v>45</x:v>
      </x:c>
      <x:c r="G9592" s="0" t="s">
        <x:v>19</x:v>
      </x:c>
      <x:c r="H9592" s="0" t="s">
        <x:v>20</x:v>
      </x:c>
      <x:c r="I9592" s="0" t="s">
        <x:v>21</x:v>
      </x:c>
      <x:c r="K9592" s="0">
        <x:f>hyperlink("https://icd.who.int/dev11/l-ichi/en#/http%3A%2F%2Fid.who.int%2Ficd%2Fentity%2F1842216153","browser")</x:f>
      </x:c>
      <x:c r="L9592" s="0">
        <x:f>hyperlink("https://icat2.azurewebsites.net/icat/?ontology=ICD&amp;tab=ClassesTab&amp;id=http%3A%2F%2Fwho.int%2Ficd%231038_b929cd40_1812_4e2b_8d98_622273bc31b1","iCat")</x:f>
      </x:c>
      <x:c r="M9592" s="0" t="s">
        <x:v>21</x:v>
      </x:c>
      <x:c r="N9592" s="0" t="s">
        <x:v>46</x:v>
      </x:c>
    </x:row>
    <x:row r="9593" spans="1:16">
      <x:c r="A9593" s="0" t="s">
        <x:v>38237</x:v>
      </x:c>
      <x:c r="B9593" s="0" t="s">
        <x:v>38238</x:v>
      </x:c>
      <x:c r="C9593" s="0" t="s">
        <x:v>38239</x:v>
      </x:c>
      <x:c r="E9593" s="0" t="s">
        <x:v>38240</x:v>
      </x:c>
      <x:c r="F9593" s="0" t="s">
        <x:v>45</x:v>
      </x:c>
      <x:c r="G9593" s="0" t="s">
        <x:v>19</x:v>
      </x:c>
      <x:c r="H9593" s="0" t="s">
        <x:v>20</x:v>
      </x:c>
      <x:c r="I9593" s="0" t="s">
        <x:v>21</x:v>
      </x:c>
      <x:c r="K9593" s="0">
        <x:f>hyperlink("https://icd.who.int/dev11/l-ichi/en#/http%3A%2F%2Fid.who.int%2Ficd%2Fentity%2F647846628","browser")</x:f>
      </x:c>
      <x:c r="L9593" s="0">
        <x:f>hyperlink("https://icat2.azurewebsites.net/icat/?ontology=ICD&amp;tab=ClassesTab&amp;id=http%3A%2F%2Fwho.int%2Ficd%231044_b929cd40_1812_4e2b_8d98_622273bc31b1","iCat")</x:f>
      </x:c>
      <x:c r="M9593" s="0" t="s">
        <x:v>21</x:v>
      </x:c>
      <x:c r="N9593" s="0" t="s">
        <x:v>46</x:v>
      </x:c>
    </x:row>
    <x:row r="9594" spans="1:16">
      <x:c r="A9594" s="0" t="s">
        <x:v>38241</x:v>
      </x:c>
      <x:c r="B9594" s="0" t="s">
        <x:v>38242</x:v>
      </x:c>
      <x:c r="C9594" s="0" t="s">
        <x:v>38239</x:v>
      </x:c>
      <x:c r="E9594" s="0" t="s">
        <x:v>38243</x:v>
      </x:c>
      <x:c r="F9594" s="0" t="s">
        <x:v>45</x:v>
      </x:c>
      <x:c r="G9594" s="0" t="s">
        <x:v>19</x:v>
      </x:c>
      <x:c r="H9594" s="0" t="s">
        <x:v>20</x:v>
      </x:c>
      <x:c r="I9594" s="0" t="s">
        <x:v>21</x:v>
      </x:c>
      <x:c r="K9594" s="0">
        <x:f>hyperlink("https://icd.who.int/dev11/l-ichi/en#/http%3A%2F%2Fid.who.int%2Ficd%2Fentity%2F262956519","browser")</x:f>
      </x:c>
      <x:c r="L9594" s="0">
        <x:f>hyperlink("https://icat2.azurewebsites.net/icat/?ontology=ICD&amp;tab=ClassesTab&amp;id=http%3A%2F%2Fwho.int%2Ficd%231700_b929cd40_1812_4e2b_8d98_622273bc31b1","iCat")</x:f>
      </x:c>
      <x:c r="M9594" s="0" t="s">
        <x:v>21</x:v>
      </x:c>
      <x:c r="N9594" s="0" t="s">
        <x:v>46</x:v>
      </x:c>
    </x:row>
    <x:row r="9595" spans="1:16">
      <x:c r="A9595" s="0" t="s">
        <x:v>38244</x:v>
      </x:c>
      <x:c r="B9595" s="0" t="s">
        <x:v>38245</x:v>
      </x:c>
      <x:c r="C9595" s="0" t="s">
        <x:v>38246</x:v>
      </x:c>
      <x:c r="E9595" s="0" t="s">
        <x:v>38247</x:v>
      </x:c>
      <x:c r="F9595" s="0" t="s">
        <x:v>45</x:v>
      </x:c>
      <x:c r="G9595" s="0" t="s">
        <x:v>19</x:v>
      </x:c>
      <x:c r="H9595" s="0" t="s">
        <x:v>20</x:v>
      </x:c>
      <x:c r="I9595" s="0" t="s">
        <x:v>21</x:v>
      </x:c>
      <x:c r="K9595" s="0">
        <x:f>hyperlink("https://icd.who.int/dev11/l-ichi/en#/http%3A%2F%2Fid.who.int%2Ficd%2Fentity%2F2036272065","browser")</x:f>
      </x:c>
      <x:c r="L9595" s="0">
        <x:f>hyperlink("https://icat2.azurewebsites.net/icat/?ontology=ICD&amp;tab=ClassesTab&amp;id=http%3A%2F%2Fwho.int%2Ficd%231050_b929cd40_1812_4e2b_8d98_622273bc31b1","iCat")</x:f>
      </x:c>
      <x:c r="M9595" s="0" t="s">
        <x:v>21</x:v>
      </x:c>
      <x:c r="N9595" s="0" t="s">
        <x:v>46</x:v>
      </x:c>
    </x:row>
    <x:row r="9596" spans="1:16">
      <x:c r="A9596" s="0" t="s">
        <x:v>38248</x:v>
      </x:c>
      <x:c r="B9596" s="0" t="s">
        <x:v>38249</x:v>
      </x:c>
      <x:c r="C9596" s="0" t="s">
        <x:v>38250</x:v>
      </x:c>
      <x:c r="E9596" s="0" t="s">
        <x:v>38251</x:v>
      </x:c>
      <x:c r="F9596" s="0" t="s">
        <x:v>45</x:v>
      </x:c>
      <x:c r="G9596" s="0" t="s">
        <x:v>19</x:v>
      </x:c>
      <x:c r="H9596" s="0" t="s">
        <x:v>20</x:v>
      </x:c>
      <x:c r="I9596" s="0" t="s">
        <x:v>21</x:v>
      </x:c>
      <x:c r="K9596" s="0">
        <x:f>hyperlink("https://icd.who.int/dev11/l-ichi/en#/http%3A%2F%2Fid.who.int%2Ficd%2Fentity%2F690279026","browser")</x:f>
      </x:c>
      <x:c r="L9596" s="0">
        <x:f>hyperlink("https://icat2.azurewebsites.net/icat/?ontology=ICD&amp;tab=ClassesTab&amp;id=http%3A%2F%2Fwho.int%2Ficd%231056_b929cd40_1812_4e2b_8d98_622273bc31b1","iCat")</x:f>
      </x:c>
      <x:c r="M9596" s="0" t="s">
        <x:v>21</x:v>
      </x:c>
      <x:c r="N9596" s="0" t="s">
        <x:v>46</x:v>
      </x:c>
    </x:row>
    <x:row r="9597" spans="1:16">
      <x:c r="A9597" s="0" t="s">
        <x:v>38252</x:v>
      </x:c>
      <x:c r="B9597" s="0" t="s">
        <x:v>38253</x:v>
      </x:c>
      <x:c r="C9597" s="0" t="s">
        <x:v>38254</x:v>
      </x:c>
      <x:c r="E9597" s="0" t="s">
        <x:v>38255</x:v>
      </x:c>
      <x:c r="F9597" s="0" t="s">
        <x:v>45</x:v>
      </x:c>
      <x:c r="G9597" s="0" t="s">
        <x:v>19</x:v>
      </x:c>
      <x:c r="H9597" s="0" t="s">
        <x:v>20</x:v>
      </x:c>
      <x:c r="I9597" s="0" t="s">
        <x:v>21</x:v>
      </x:c>
      <x:c r="K9597" s="0">
        <x:f>hyperlink("https://icd.who.int/dev11/l-ichi/en#/http%3A%2F%2Fid.who.int%2Ficd%2Fentity%2F1553094147","browser")</x:f>
      </x:c>
      <x:c r="L9597" s="0">
        <x:f>hyperlink("https://icat2.azurewebsites.net/icat/?ontology=ICD&amp;tab=ClassesTab&amp;id=http%3A%2F%2Fwho.int%2Ficd%231062_b929cd40_1812_4e2b_8d98_622273bc31b1","iCat")</x:f>
      </x:c>
      <x:c r="M9597" s="0" t="s">
        <x:v>21</x:v>
      </x:c>
      <x:c r="N9597" s="0" t="s">
        <x:v>46</x:v>
      </x:c>
    </x:row>
    <x:row r="9598" spans="1:16">
      <x:c r="A9598" s="0" t="s">
        <x:v>38256</x:v>
      </x:c>
      <x:c r="B9598" s="0" t="s">
        <x:v>38257</x:v>
      </x:c>
      <x:c r="C9598" s="0" t="s">
        <x:v>38258</x:v>
      </x:c>
      <x:c r="E9598" s="0" t="s">
        <x:v>38259</x:v>
      </x:c>
      <x:c r="F9598" s="0" t="s">
        <x:v>45</x:v>
      </x:c>
      <x:c r="G9598" s="0" t="s">
        <x:v>19</x:v>
      </x:c>
      <x:c r="H9598" s="0" t="s">
        <x:v>20</x:v>
      </x:c>
      <x:c r="I9598" s="0" t="s">
        <x:v>21</x:v>
      </x:c>
      <x:c r="K9598" s="0">
        <x:f>hyperlink("https://icd.who.int/dev11/l-ichi/en#/http%3A%2F%2Fid.who.int%2Ficd%2Fentity%2F687861356","browser")</x:f>
      </x:c>
      <x:c r="L9598" s="0">
        <x:f>hyperlink("https://icat2.azurewebsites.net/icat/?ontology=ICD&amp;tab=ClassesTab&amp;id=http%3A%2F%2Fwho.int%2Ficd%231214_b929cd40_1812_4e2b_8d98_622273bc31b1","iCat")</x:f>
      </x:c>
      <x:c r="M9598" s="0" t="s">
        <x:v>21</x:v>
      </x:c>
      <x:c r="N9598" s="0" t="s">
        <x:v>46</x:v>
      </x:c>
    </x:row>
    <x:row r="9599" spans="1:16">
      <x:c r="A9599" s="0" t="s">
        <x:v>38260</x:v>
      </x:c>
      <x:c r="B9599" s="0" t="s">
        <x:v>38261</x:v>
      </x:c>
      <x:c r="C9599" s="0" t="s">
        <x:v>38262</x:v>
      </x:c>
      <x:c r="E9599" s="0" t="s">
        <x:v>38263</x:v>
      </x:c>
      <x:c r="F9599" s="0" t="s">
        <x:v>45</x:v>
      </x:c>
      <x:c r="G9599" s="0" t="s">
        <x:v>19</x:v>
      </x:c>
      <x:c r="H9599" s="0" t="s">
        <x:v>20</x:v>
      </x:c>
      <x:c r="I9599" s="0" t="s">
        <x:v>21</x:v>
      </x:c>
      <x:c r="K9599" s="0">
        <x:f>hyperlink("https://icd.who.int/dev11/l-ichi/en#/http%3A%2F%2Fid.who.int%2Ficd%2Fentity%2F1565092383","browser")</x:f>
      </x:c>
      <x:c r="L9599" s="0">
        <x:f>hyperlink("https://icat2.azurewebsites.net/icat/?ontology=ICD&amp;tab=ClassesTab&amp;id=http%3A%2F%2Fwho.int%2Ficd%231220_b929cd40_1812_4e2b_8d98_622273bc31b1","iCat")</x:f>
      </x:c>
      <x:c r="M9599" s="0" t="s">
        <x:v>21</x:v>
      </x:c>
      <x:c r="N9599" s="0" t="s">
        <x:v>46</x:v>
      </x:c>
    </x:row>
    <x:row r="9600" spans="1:16">
      <x:c r="A9600" s="0" t="s">
        <x:v>38264</x:v>
      </x:c>
      <x:c r="B9600" s="0" t="s">
        <x:v>38265</x:v>
      </x:c>
      <x:c r="C9600" s="0" t="s">
        <x:v>38266</x:v>
      </x:c>
      <x:c r="E9600" s="0" t="s">
        <x:v>38267</x:v>
      </x:c>
      <x:c r="F9600" s="0" t="s">
        <x:v>45</x:v>
      </x:c>
      <x:c r="G9600" s="0" t="s">
        <x:v>19</x:v>
      </x:c>
      <x:c r="H9600" s="0" t="s">
        <x:v>20</x:v>
      </x:c>
      <x:c r="I9600" s="0" t="s">
        <x:v>21</x:v>
      </x:c>
      <x:c r="K9600" s="0">
        <x:f>hyperlink("https://icd.who.int/dev11/l-ichi/en#/http%3A%2F%2Fid.who.int%2Ficd%2Fentity%2F221426608","browser")</x:f>
      </x:c>
      <x:c r="L9600" s="0">
        <x:f>hyperlink("https://icat2.azurewebsites.net/icat/?ontology=ICD&amp;tab=ClassesTab&amp;id=http%3A%2F%2Fwho.int%2Ficd%231226_b929cd40_1812_4e2b_8d98_622273bc31b1","iCat")</x:f>
      </x:c>
      <x:c r="M9600" s="0" t="s">
        <x:v>21</x:v>
      </x:c>
      <x:c r="N9600" s="0" t="s">
        <x:v>46</x:v>
      </x:c>
    </x:row>
    <x:row r="9601" spans="1:16">
      <x:c r="A9601" s="0" t="s">
        <x:v>38268</x:v>
      </x:c>
      <x:c r="B9601" s="0" t="s">
        <x:v>38269</x:v>
      </x:c>
      <x:c r="C9601" s="0" t="s">
        <x:v>38270</x:v>
      </x:c>
      <x:c r="E9601" s="0" t="s">
        <x:v>38271</x:v>
      </x:c>
      <x:c r="F9601" s="0" t="s">
        <x:v>45</x:v>
      </x:c>
      <x:c r="G9601" s="0" t="s">
        <x:v>19</x:v>
      </x:c>
      <x:c r="H9601" s="0" t="s">
        <x:v>20</x:v>
      </x:c>
      <x:c r="I9601" s="0" t="s">
        <x:v>21</x:v>
      </x:c>
      <x:c r="K9601" s="0">
        <x:f>hyperlink("https://icd.who.int/dev11/l-ichi/en#/http%3A%2F%2Fid.who.int%2Ficd%2Fentity%2F1391518349","browser")</x:f>
      </x:c>
      <x:c r="L9601" s="0">
        <x:f>hyperlink("https://icat2.azurewebsites.net/icat/?ontology=ICD&amp;tab=ClassesTab&amp;id=http%3A%2F%2Fwho.int%2Ficd%231232_b929cd40_1812_4e2b_8d98_622273bc31b1","iCat")</x:f>
      </x:c>
      <x:c r="M9601" s="0" t="s">
        <x:v>21</x:v>
      </x:c>
      <x:c r="N9601" s="0" t="s">
        <x:v>46</x:v>
      </x:c>
    </x:row>
    <x:row r="9602" spans="1:16">
      <x:c r="A9602" s="0" t="s">
        <x:v>38272</x:v>
      </x:c>
      <x:c r="B9602" s="0" t="s">
        <x:v>38273</x:v>
      </x:c>
      <x:c r="C9602" s="0" t="s">
        <x:v>38274</x:v>
      </x:c>
      <x:c r="E9602" s="0" t="s">
        <x:v>38275</x:v>
      </x:c>
      <x:c r="F9602" s="0" t="s">
        <x:v>45</x:v>
      </x:c>
      <x:c r="G9602" s="0" t="s">
        <x:v>19</x:v>
      </x:c>
      <x:c r="H9602" s="0" t="s">
        <x:v>20</x:v>
      </x:c>
      <x:c r="I9602" s="0" t="s">
        <x:v>21</x:v>
      </x:c>
      <x:c r="K9602" s="0">
        <x:f>hyperlink("https://icd.who.int/dev11/l-ichi/en#/http%3A%2F%2Fid.who.int%2Ficd%2Fentity%2F2030931485","browser")</x:f>
      </x:c>
      <x:c r="L9602" s="0">
        <x:f>hyperlink("https://icat2.azurewebsites.net/icat/?ontology=ICD&amp;tab=ClassesTab&amp;id=http%3A%2F%2Fwho.int%2Ficd%231238_b929cd40_1812_4e2b_8d98_622273bc31b1","iCat")</x:f>
      </x:c>
      <x:c r="M9602" s="0" t="s">
        <x:v>21</x:v>
      </x:c>
      <x:c r="N9602" s="0" t="s">
        <x:v>46</x:v>
      </x:c>
    </x:row>
    <x:row r="9603" spans="1:16">
      <x:c r="A9603" s="0" t="s">
        <x:v>38276</x:v>
      </x:c>
      <x:c r="B9603" s="0" t="s">
        <x:v>38277</x:v>
      </x:c>
      <x:c r="C9603" s="0" t="s">
        <x:v>38278</x:v>
      </x:c>
      <x:c r="E9603" s="0" t="s">
        <x:v>38279</x:v>
      </x:c>
      <x:c r="F9603" s="0" t="s">
        <x:v>45</x:v>
      </x:c>
      <x:c r="G9603" s="0" t="s">
        <x:v>19</x:v>
      </x:c>
      <x:c r="H9603" s="0" t="s">
        <x:v>20</x:v>
      </x:c>
      <x:c r="I9603" s="0" t="s">
        <x:v>21</x:v>
      </x:c>
      <x:c r="K9603" s="0">
        <x:f>hyperlink("https://icd.who.int/dev11/l-ichi/en#/http%3A%2F%2Fid.who.int%2Ficd%2Fentity%2F844965926","browser")</x:f>
      </x:c>
      <x:c r="L9603" s="0">
        <x:f>hyperlink("https://icat2.azurewebsites.net/icat/?ontology=ICD&amp;tab=ClassesTab&amp;id=http%3A%2F%2Fwho.int%2Ficd%231244_b929cd40_1812_4e2b_8d98_622273bc31b1","iCat")</x:f>
      </x:c>
      <x:c r="M9603" s="0" t="s">
        <x:v>21</x:v>
      </x:c>
      <x:c r="N9603" s="0" t="s">
        <x:v>46</x:v>
      </x:c>
    </x:row>
    <x:row r="9604" spans="1:16">
      <x:c r="A9604" s="0" t="s">
        <x:v>38280</x:v>
      </x:c>
      <x:c r="B9604" s="0" t="s">
        <x:v>38281</x:v>
      </x:c>
      <x:c r="C9604" s="0" t="s">
        <x:v>38282</x:v>
      </x:c>
      <x:c r="E9604" s="0" t="s">
        <x:v>38283</x:v>
      </x:c>
      <x:c r="F9604" s="0" t="s">
        <x:v>45</x:v>
      </x:c>
      <x:c r="G9604" s="0" t="s">
        <x:v>19</x:v>
      </x:c>
      <x:c r="H9604" s="0" t="s">
        <x:v>20</x:v>
      </x:c>
      <x:c r="I9604" s="0" t="s">
        <x:v>21</x:v>
      </x:c>
      <x:c r="K9604" s="0">
        <x:f>hyperlink("https://icd.who.int/dev11/l-ichi/en#/http%3A%2F%2Fid.who.int%2Ficd%2Fentity%2F1839167749","browser")</x:f>
      </x:c>
      <x:c r="L9604" s="0">
        <x:f>hyperlink("https://icat2.azurewebsites.net/icat/?ontology=ICD&amp;tab=ClassesTab&amp;id=http%3A%2F%2Fwho.int%2Ficd%231250_b929cd40_1812_4e2b_8d98_622273bc31b1","iCat")</x:f>
      </x:c>
      <x:c r="M9604" s="0" t="s">
        <x:v>21</x:v>
      </x:c>
      <x:c r="N9604" s="0" t="s">
        <x:v>46</x:v>
      </x:c>
    </x:row>
    <x:row r="9605" spans="1:16">
      <x:c r="A9605" s="0" t="s">
        <x:v>38284</x:v>
      </x:c>
      <x:c r="B9605" s="0" t="s">
        <x:v>38285</x:v>
      </x:c>
      <x:c r="C9605" s="0" t="s">
        <x:v>38286</x:v>
      </x:c>
      <x:c r="E9605" s="0" t="s">
        <x:v>38287</x:v>
      </x:c>
      <x:c r="F9605" s="0" t="s">
        <x:v>45</x:v>
      </x:c>
      <x:c r="G9605" s="0" t="s">
        <x:v>19</x:v>
      </x:c>
      <x:c r="H9605" s="0" t="s">
        <x:v>20</x:v>
      </x:c>
      <x:c r="I9605" s="0" t="s">
        <x:v>21</x:v>
      </x:c>
      <x:c r="K9605" s="0">
        <x:f>hyperlink("https://icd.who.int/dev11/l-ichi/en#/http%3A%2F%2Fid.who.int%2Ficd%2Fentity%2F1038393524","browser")</x:f>
      </x:c>
      <x:c r="L9605" s="0">
        <x:f>hyperlink("https://icat2.azurewebsites.net/icat/?ontology=ICD&amp;tab=ClassesTab&amp;id=http%3A%2F%2Fwho.int%2Ficd%231256_b929cd40_1812_4e2b_8d98_622273bc31b1","iCat")</x:f>
      </x:c>
      <x:c r="M9605" s="0" t="s">
        <x:v>21</x:v>
      </x:c>
      <x:c r="N9605" s="0" t="s">
        <x:v>46</x:v>
      </x:c>
    </x:row>
    <x:row r="9606" spans="1:16">
      <x:c r="A9606" s="0" t="s">
        <x:v>38288</x:v>
      </x:c>
      <x:c r="B9606" s="0" t="s">
        <x:v>38289</x:v>
      </x:c>
      <x:c r="C9606" s="0" t="s">
        <x:v>38290</x:v>
      </x:c>
      <x:c r="E9606" s="0" t="s">
        <x:v>38291</x:v>
      </x:c>
      <x:c r="F9606" s="0" t="s">
        <x:v>45</x:v>
      </x:c>
      <x:c r="G9606" s="0" t="s">
        <x:v>19</x:v>
      </x:c>
      <x:c r="H9606" s="0" t="s">
        <x:v>20</x:v>
      </x:c>
      <x:c r="I9606" s="0" t="s">
        <x:v>21</x:v>
      </x:c>
      <x:c r="K9606" s="0">
        <x:f>hyperlink("https://icd.who.int/dev11/l-ichi/en#/http%3A%2F%2Fid.who.int%2Ficd%2Fentity%2F1213342919","browser")</x:f>
      </x:c>
      <x:c r="L9606" s="0">
        <x:f>hyperlink("https://icat2.azurewebsites.net/icat/?ontology=ICD&amp;tab=ClassesTab&amp;id=http%3A%2F%2Fwho.int%2Ficd%231262_b929cd40_1812_4e2b_8d98_622273bc31b1","iCat")</x:f>
      </x:c>
      <x:c r="M9606" s="0" t="s">
        <x:v>21</x:v>
      </x:c>
      <x:c r="N9606" s="0" t="s">
        <x:v>46</x:v>
      </x:c>
    </x:row>
    <x:row r="9607" spans="1:16">
      <x:c r="A9607" s="0" t="s">
        <x:v>38292</x:v>
      </x:c>
      <x:c r="B9607" s="0" t="s">
        <x:v>38293</x:v>
      </x:c>
      <x:c r="C9607" s="0" t="s">
        <x:v>38294</x:v>
      </x:c>
      <x:c r="E9607" s="0" t="s">
        <x:v>38295</x:v>
      </x:c>
      <x:c r="F9607" s="0" t="s">
        <x:v>45</x:v>
      </x:c>
      <x:c r="G9607" s="0" t="s">
        <x:v>19</x:v>
      </x:c>
      <x:c r="H9607" s="0" t="s">
        <x:v>20</x:v>
      </x:c>
      <x:c r="I9607" s="0" t="s">
        <x:v>21</x:v>
      </x:c>
      <x:c r="K9607" s="0">
        <x:f>hyperlink("https://icd.who.int/dev11/l-ichi/en#/http%3A%2F%2Fid.who.int%2Ficd%2Fentity%2F1672431703","browser")</x:f>
      </x:c>
      <x:c r="L9607" s="0">
        <x:f>hyperlink("https://icat2.azurewebsites.net/icat/?ontology=ICD&amp;tab=ClassesTab&amp;id=http%3A%2F%2Fwho.int%2Ficd%231268_b929cd40_1812_4e2b_8d98_622273bc31b1","iCat")</x:f>
      </x:c>
      <x:c r="M9607" s="0" t="s">
        <x:v>21</x:v>
      </x:c>
      <x:c r="N9607" s="0" t="s">
        <x:v>46</x:v>
      </x:c>
    </x:row>
    <x:row r="9608" spans="1:16">
      <x:c r="A9608" s="0" t="s">
        <x:v>38296</x:v>
      </x:c>
      <x:c r="B9608" s="0" t="s">
        <x:v>38297</x:v>
      </x:c>
      <x:c r="C9608" s="0" t="s">
        <x:v>38298</x:v>
      </x:c>
      <x:c r="E9608" s="0" t="s">
        <x:v>38299</x:v>
      </x:c>
      <x:c r="F9608" s="0" t="s">
        <x:v>45</x:v>
      </x:c>
      <x:c r="G9608" s="0" t="s">
        <x:v>19</x:v>
      </x:c>
      <x:c r="H9608" s="0" t="s">
        <x:v>20</x:v>
      </x:c>
      <x:c r="I9608" s="0" t="s">
        <x:v>21</x:v>
      </x:c>
      <x:c r="K9608" s="0">
        <x:f>hyperlink("https://icd.who.int/dev11/l-ichi/en#/http%3A%2F%2Fid.who.int%2Ficd%2Fentity%2F1928095777","browser")</x:f>
      </x:c>
      <x:c r="L9608" s="0">
        <x:f>hyperlink("https://icat2.azurewebsites.net/icat/?ontology=ICD&amp;tab=ClassesTab&amp;id=http%3A%2F%2Fwho.int%2Ficd%231274_b929cd40_1812_4e2b_8d98_622273bc31b1","iCat")</x:f>
      </x:c>
      <x:c r="M9608" s="0" t="s">
        <x:v>21</x:v>
      </x:c>
      <x:c r="N9608" s="0" t="s">
        <x:v>46</x:v>
      </x:c>
    </x:row>
    <x:row r="9609" spans="1:16">
      <x:c r="A9609" s="0" t="s">
        <x:v>38300</x:v>
      </x:c>
      <x:c r="B9609" s="0" t="s">
        <x:v>38301</x:v>
      </x:c>
      <x:c r="C9609" s="0" t="s">
        <x:v>38302</x:v>
      </x:c>
      <x:c r="E9609" s="0" t="s">
        <x:v>38303</x:v>
      </x:c>
      <x:c r="F9609" s="0" t="s">
        <x:v>45</x:v>
      </x:c>
      <x:c r="G9609" s="0" t="s">
        <x:v>19</x:v>
      </x:c>
      <x:c r="H9609" s="0" t="s">
        <x:v>20</x:v>
      </x:c>
      <x:c r="I9609" s="0" t="s">
        <x:v>21</x:v>
      </x:c>
      <x:c r="K9609" s="0">
        <x:f>hyperlink("https://icd.who.int/dev11/l-ichi/en#/http%3A%2F%2Fid.who.int%2Ficd%2Fentity%2F1745675915","browser")</x:f>
      </x:c>
      <x:c r="L9609" s="0">
        <x:f>hyperlink("https://icat2.azurewebsites.net/icat/?ontology=ICD&amp;tab=ClassesTab&amp;id=http%3A%2F%2Fwho.int%2Ficd%231280_b929cd40_1812_4e2b_8d98_622273bc31b1","iCat")</x:f>
      </x:c>
      <x:c r="M9609" s="0" t="s">
        <x:v>21</x:v>
      </x:c>
      <x:c r="N9609" s="0" t="s">
        <x:v>46</x:v>
      </x:c>
    </x:row>
    <x:row r="9610" spans="1:16">
      <x:c r="A9610" s="0" t="s">
        <x:v>38304</x:v>
      </x:c>
      <x:c r="B9610" s="0" t="s">
        <x:v>38305</x:v>
      </x:c>
      <x:c r="C9610" s="0" t="s">
        <x:v>38306</x:v>
      </x:c>
      <x:c r="E9610" s="0" t="s">
        <x:v>38307</x:v>
      </x:c>
      <x:c r="F9610" s="0" t="s">
        <x:v>45</x:v>
      </x:c>
      <x:c r="G9610" s="0" t="s">
        <x:v>19</x:v>
      </x:c>
      <x:c r="H9610" s="0" t="s">
        <x:v>20</x:v>
      </x:c>
      <x:c r="I9610" s="0" t="s">
        <x:v>21</x:v>
      </x:c>
      <x:c r="K9610" s="0">
        <x:f>hyperlink("https://icd.who.int/dev11/l-ichi/en#/http%3A%2F%2Fid.who.int%2Ficd%2Fentity%2F947339068","browser")</x:f>
      </x:c>
      <x:c r="L9610" s="0">
        <x:f>hyperlink("https://icat2.azurewebsites.net/icat/?ontology=ICD&amp;tab=ClassesTab&amp;id=http%3A%2F%2Fwho.int%2Ficd%231286_b929cd40_1812_4e2b_8d98_622273bc31b1","iCat")</x:f>
      </x:c>
      <x:c r="M9610" s="0" t="s">
        <x:v>21</x:v>
      </x:c>
      <x:c r="N9610" s="0" t="s">
        <x:v>46</x:v>
      </x:c>
    </x:row>
    <x:row r="9611" spans="1:16">
      <x:c r="A9611" s="0" t="s">
        <x:v>38308</x:v>
      </x:c>
      <x:c r="B9611" s="0" t="s">
        <x:v>38309</x:v>
      </x:c>
      <x:c r="C9611" s="0" t="s">
        <x:v>38310</x:v>
      </x:c>
      <x:c r="E9611" s="0" t="s">
        <x:v>38311</x:v>
      </x:c>
      <x:c r="F9611" s="0" t="s">
        <x:v>45</x:v>
      </x:c>
      <x:c r="G9611" s="0" t="s">
        <x:v>19</x:v>
      </x:c>
      <x:c r="H9611" s="0" t="s">
        <x:v>20</x:v>
      </x:c>
      <x:c r="I9611" s="0" t="s">
        <x:v>21</x:v>
      </x:c>
      <x:c r="K9611" s="0">
        <x:f>hyperlink("https://icd.who.int/dev11/l-ichi/en#/http%3A%2F%2Fid.who.int%2Ficd%2Fentity%2F1739943449","browser")</x:f>
      </x:c>
      <x:c r="L9611" s="0">
        <x:f>hyperlink("https://icat2.azurewebsites.net/icat/?ontology=ICD&amp;tab=ClassesTab&amp;id=http%3A%2F%2Fwho.int%2Ficd%231292_b929cd40_1812_4e2b_8d98_622273bc31b1","iCat")</x:f>
      </x:c>
      <x:c r="M9611" s="0" t="s">
        <x:v>21</x:v>
      </x:c>
      <x:c r="N9611" s="0" t="s">
        <x:v>46</x:v>
      </x:c>
    </x:row>
    <x:row r="9612" spans="1:16">
      <x:c r="A9612" s="0" t="s">
        <x:v>38312</x:v>
      </x:c>
      <x:c r="B9612" s="0" t="s">
        <x:v>38313</x:v>
      </x:c>
      <x:c r="C9612" s="0" t="s">
        <x:v>38314</x:v>
      </x:c>
      <x:c r="E9612" s="0" t="s">
        <x:v>38315</x:v>
      </x:c>
      <x:c r="F9612" s="0" t="s">
        <x:v>45</x:v>
      </x:c>
      <x:c r="G9612" s="0" t="s">
        <x:v>19</x:v>
      </x:c>
      <x:c r="H9612" s="0" t="s">
        <x:v>20</x:v>
      </x:c>
      <x:c r="I9612" s="0" t="s">
        <x:v>21</x:v>
      </x:c>
      <x:c r="K9612" s="0">
        <x:f>hyperlink("https://icd.who.int/dev11/l-ichi/en#/http%3A%2F%2Fid.who.int%2Ficd%2Fentity%2F986736289","browser")</x:f>
      </x:c>
      <x:c r="L9612" s="0">
        <x:f>hyperlink("https://icat2.azurewebsites.net/icat/?ontology=ICD&amp;tab=ClassesTab&amp;id=http%3A%2F%2Fwho.int%2Ficd%231458_b929cd40_1812_4e2b_8d98_622273bc31b1","iCat")</x:f>
      </x:c>
      <x:c r="M9612" s="0" t="s">
        <x:v>21</x:v>
      </x:c>
      <x:c r="N9612" s="0" t="s">
        <x:v>46</x:v>
      </x:c>
    </x:row>
    <x:row r="9613" spans="1:16">
      <x:c r="A9613" s="0" t="s">
        <x:v>38316</x:v>
      </x:c>
      <x:c r="B9613" s="0" t="s">
        <x:v>38317</x:v>
      </x:c>
      <x:c r="C9613" s="0" t="s">
        <x:v>38318</x:v>
      </x:c>
      <x:c r="E9613" s="0" t="s">
        <x:v>38319</x:v>
      </x:c>
      <x:c r="F9613" s="0" t="s">
        <x:v>45</x:v>
      </x:c>
      <x:c r="G9613" s="0" t="s">
        <x:v>19</x:v>
      </x:c>
      <x:c r="H9613" s="0" t="s">
        <x:v>20</x:v>
      </x:c>
      <x:c r="I9613" s="0" t="s">
        <x:v>21</x:v>
      </x:c>
      <x:c r="K9613" s="0">
        <x:f>hyperlink("https://icd.who.int/dev11/l-ichi/en#/http%3A%2F%2Fid.who.int%2Ficd%2Fentity%2F31953799","browser")</x:f>
      </x:c>
      <x:c r="L9613" s="0">
        <x:f>hyperlink("https://icat2.azurewebsites.net/icat/?ontology=ICD&amp;tab=ClassesTab&amp;id=http%3A%2F%2Fwho.int%2Ficd%231464_b929cd40_1812_4e2b_8d98_622273bc31b1","iCat")</x:f>
      </x:c>
      <x:c r="M9613" s="0" t="s">
        <x:v>21</x:v>
      </x:c>
      <x:c r="N9613" s="0" t="s">
        <x:v>46</x:v>
      </x:c>
    </x:row>
    <x:row r="9614" spans="1:16">
      <x:c r="A9614" s="0" t="s">
        <x:v>38320</x:v>
      </x:c>
      <x:c r="B9614" s="0" t="s">
        <x:v>38321</x:v>
      </x:c>
      <x:c r="C9614" s="0" t="s">
        <x:v>38322</x:v>
      </x:c>
      <x:c r="E9614" s="0" t="s">
        <x:v>38323</x:v>
      </x:c>
      <x:c r="F9614" s="0" t="s">
        <x:v>45</x:v>
      </x:c>
      <x:c r="G9614" s="0" t="s">
        <x:v>19</x:v>
      </x:c>
      <x:c r="H9614" s="0" t="s">
        <x:v>20</x:v>
      </x:c>
      <x:c r="I9614" s="0" t="s">
        <x:v>21</x:v>
      </x:c>
      <x:c r="K9614" s="0">
        <x:f>hyperlink("https://icd.who.int/dev11/l-ichi/en#/http%3A%2F%2Fid.who.int%2Ficd%2Fentity%2F1579532966","browser")</x:f>
      </x:c>
      <x:c r="L9614" s="0">
        <x:f>hyperlink("https://icat2.azurewebsites.net/icat/?ontology=ICD&amp;tab=ClassesTab&amp;id=http%3A%2F%2Fwho.int%2Ficd%231470_b929cd40_1812_4e2b_8d98_622273bc31b1","iCat")</x:f>
      </x:c>
      <x:c r="M9614" s="0" t="s">
        <x:v>21</x:v>
      </x:c>
      <x:c r="N9614" s="0" t="s">
        <x:v>46</x:v>
      </x:c>
    </x:row>
    <x:row r="9615" spans="1:16">
      <x:c r="A9615" s="0" t="s">
        <x:v>38324</x:v>
      </x:c>
      <x:c r="B9615" s="0" t="s">
        <x:v>38325</x:v>
      </x:c>
      <x:c r="C9615" s="0" t="s">
        <x:v>38326</x:v>
      </x:c>
      <x:c r="E9615" s="0" t="s">
        <x:v>38327</x:v>
      </x:c>
      <x:c r="F9615" s="0" t="s">
        <x:v>45</x:v>
      </x:c>
      <x:c r="G9615" s="0" t="s">
        <x:v>19</x:v>
      </x:c>
      <x:c r="H9615" s="0" t="s">
        <x:v>20</x:v>
      </x:c>
      <x:c r="I9615" s="0" t="s">
        <x:v>21</x:v>
      </x:c>
      <x:c r="K9615" s="0">
        <x:f>hyperlink("https://icd.who.int/dev11/l-ichi/en#/http%3A%2F%2Fid.who.int%2Ficd%2Fentity%2F241048341","browser")</x:f>
      </x:c>
      <x:c r="L9615" s="0">
        <x:f>hyperlink("https://icat2.azurewebsites.net/icat/?ontology=ICD&amp;tab=ClassesTab&amp;id=http%3A%2F%2Fwho.int%2Ficd%231476_b929cd40_1812_4e2b_8d98_622273bc31b1","iCat")</x:f>
      </x:c>
      <x:c r="M9615" s="0" t="s">
        <x:v>21</x:v>
      </x:c>
      <x:c r="N9615" s="0" t="s">
        <x:v>46</x:v>
      </x:c>
    </x:row>
    <x:row r="9616" spans="1:16">
      <x:c r="A9616" s="0" t="s">
        <x:v>38328</x:v>
      </x:c>
      <x:c r="B9616" s="0" t="s">
        <x:v>38329</x:v>
      </x:c>
      <x:c r="C9616" s="0" t="s">
        <x:v>38330</x:v>
      </x:c>
      <x:c r="E9616" s="0" t="s">
        <x:v>38331</x:v>
      </x:c>
      <x:c r="F9616" s="0" t="s">
        <x:v>45</x:v>
      </x:c>
      <x:c r="G9616" s="0" t="s">
        <x:v>19</x:v>
      </x:c>
      <x:c r="H9616" s="0" t="s">
        <x:v>20</x:v>
      </x:c>
      <x:c r="I9616" s="0" t="s">
        <x:v>21</x:v>
      </x:c>
      <x:c r="K9616" s="0">
        <x:f>hyperlink("https://icd.who.int/dev11/l-ichi/en#/http%3A%2F%2Fid.who.int%2Ficd%2Fentity%2F348034495","browser")</x:f>
      </x:c>
      <x:c r="L9616" s="0">
        <x:f>hyperlink("https://icat2.azurewebsites.net/icat/?ontology=ICD&amp;tab=ClassesTab&amp;id=http%3A%2F%2Fwho.int%2Ficd%231482_b929cd40_1812_4e2b_8d98_622273bc31b1","iCat")</x:f>
      </x:c>
      <x:c r="M9616" s="0" t="s">
        <x:v>21</x:v>
      </x:c>
      <x:c r="N9616" s="0" t="s">
        <x:v>46</x:v>
      </x:c>
    </x:row>
    <x:row r="9617" spans="1:16">
      <x:c r="A9617" s="0" t="s">
        <x:v>38332</x:v>
      </x:c>
      <x:c r="B9617" s="0" t="s">
        <x:v>38333</x:v>
      </x:c>
      <x:c r="C9617" s="0" t="s">
        <x:v>38334</x:v>
      </x:c>
      <x:c r="E9617" s="0" t="s">
        <x:v>38335</x:v>
      </x:c>
      <x:c r="F9617" s="0" t="s">
        <x:v>45</x:v>
      </x:c>
      <x:c r="G9617" s="0" t="s">
        <x:v>19</x:v>
      </x:c>
      <x:c r="H9617" s="0" t="s">
        <x:v>20</x:v>
      </x:c>
      <x:c r="I9617" s="0" t="s">
        <x:v>21</x:v>
      </x:c>
      <x:c r="K9617" s="0">
        <x:f>hyperlink("https://icd.who.int/dev11/l-ichi/en#/http%3A%2F%2Fid.who.int%2Ficd%2Fentity%2F1061419311","browser")</x:f>
      </x:c>
      <x:c r="L9617" s="0">
        <x:f>hyperlink("https://icat2.azurewebsites.net/icat/?ontology=ICD&amp;tab=ClassesTab&amp;id=http%3A%2F%2Fwho.int%2Ficd%231488_b929cd40_1812_4e2b_8d98_622273bc31b1","iCat")</x:f>
      </x:c>
      <x:c r="M9617" s="0" t="s">
        <x:v>21</x:v>
      </x:c>
      <x:c r="N9617" s="0" t="s">
        <x:v>46</x:v>
      </x:c>
    </x:row>
    <x:row r="9618" spans="1:16">
      <x:c r="A9618" s="0" t="s">
        <x:v>38336</x:v>
      </x:c>
      <x:c r="B9618" s="0" t="s">
        <x:v>38337</x:v>
      </x:c>
      <x:c r="C9618" s="0" t="s">
        <x:v>38338</x:v>
      </x:c>
      <x:c r="E9618" s="0" t="s">
        <x:v>38339</x:v>
      </x:c>
      <x:c r="F9618" s="0" t="s">
        <x:v>45</x:v>
      </x:c>
      <x:c r="G9618" s="0" t="s">
        <x:v>19</x:v>
      </x:c>
      <x:c r="H9618" s="0" t="s">
        <x:v>20</x:v>
      </x:c>
      <x:c r="I9618" s="0" t="s">
        <x:v>21</x:v>
      </x:c>
      <x:c r="K9618" s="0">
        <x:f>hyperlink("https://icd.who.int/dev11/l-ichi/en#/http%3A%2F%2Fid.who.int%2Ficd%2Fentity%2F771807577","browser")</x:f>
      </x:c>
      <x:c r="L9618" s="0">
        <x:f>hyperlink("https://icat2.azurewebsites.net/icat/?ontology=ICD&amp;tab=ClassesTab&amp;id=http%3A%2F%2Fwho.int%2Ficd%231494_b929cd40_1812_4e2b_8d98_622273bc31b1","iCat")</x:f>
      </x:c>
      <x:c r="M9618" s="0" t="s">
        <x:v>21</x:v>
      </x:c>
      <x:c r="N9618" s="0" t="s">
        <x:v>46</x:v>
      </x:c>
    </x:row>
    <x:row r="9619" spans="1:16">
      <x:c r="A9619" s="0" t="s">
        <x:v>38340</x:v>
      </x:c>
      <x:c r="B9619" s="0" t="s">
        <x:v>38341</x:v>
      </x:c>
      <x:c r="C9619" s="0" t="s">
        <x:v>38342</x:v>
      </x:c>
      <x:c r="E9619" s="0" t="s">
        <x:v>38343</x:v>
      </x:c>
      <x:c r="F9619" s="0" t="s">
        <x:v>45</x:v>
      </x:c>
      <x:c r="G9619" s="0" t="s">
        <x:v>19</x:v>
      </x:c>
      <x:c r="H9619" s="0" t="s">
        <x:v>20</x:v>
      </x:c>
      <x:c r="I9619" s="0" t="s">
        <x:v>21</x:v>
      </x:c>
      <x:c r="K9619" s="0">
        <x:f>hyperlink("https://icd.who.int/dev11/l-ichi/en#/http%3A%2F%2Fid.who.int%2Ficd%2Fentity%2F460068643","browser")</x:f>
      </x:c>
      <x:c r="L9619" s="0">
        <x:f>hyperlink("https://icat2.azurewebsites.net/icat/?ontology=ICD&amp;tab=ClassesTab&amp;id=http%3A%2F%2Fwho.int%2Ficd%231500_b929cd40_1812_4e2b_8d98_622273bc31b1","iCat")</x:f>
      </x:c>
      <x:c r="M9619" s="0" t="s">
        <x:v>21</x:v>
      </x:c>
      <x:c r="N9619" s="0" t="s">
        <x:v>46</x:v>
      </x:c>
    </x:row>
    <x:row r="9620" spans="1:16">
      <x:c r="A9620" s="0" t="s">
        <x:v>38344</x:v>
      </x:c>
      <x:c r="B9620" s="0" t="s">
        <x:v>38345</x:v>
      </x:c>
      <x:c r="C9620" s="0" t="s">
        <x:v>38346</x:v>
      </x:c>
      <x:c r="E9620" s="0" t="s">
        <x:v>38347</x:v>
      </x:c>
      <x:c r="F9620" s="0" t="s">
        <x:v>45</x:v>
      </x:c>
      <x:c r="G9620" s="0" t="s">
        <x:v>19</x:v>
      </x:c>
      <x:c r="H9620" s="0" t="s">
        <x:v>20</x:v>
      </x:c>
      <x:c r="I9620" s="0" t="s">
        <x:v>21</x:v>
      </x:c>
      <x:c r="K9620" s="0">
        <x:f>hyperlink("https://icd.who.int/dev11/l-ichi/en#/http%3A%2F%2Fid.who.int%2Ficd%2Fentity%2F1259851412","browser")</x:f>
      </x:c>
      <x:c r="L9620" s="0">
        <x:f>hyperlink("https://icat2.azurewebsites.net/icat/?ontology=ICD&amp;tab=ClassesTab&amp;id=http%3A%2F%2Fwho.int%2Ficd%231506_b929cd40_1812_4e2b_8d98_622273bc31b1","iCat")</x:f>
      </x:c>
      <x:c r="M9620" s="0" t="s">
        <x:v>21</x:v>
      </x:c>
      <x:c r="N9620" s="0" t="s">
        <x:v>46</x:v>
      </x:c>
    </x:row>
    <x:row r="9621" spans="1:16">
      <x:c r="A9621" s="0" t="s">
        <x:v>38348</x:v>
      </x:c>
      <x:c r="B9621" s="0" t="s">
        <x:v>38349</x:v>
      </x:c>
      <x:c r="C9621" s="0" t="s">
        <x:v>38350</x:v>
      </x:c>
      <x:c r="E9621" s="0" t="s">
        <x:v>38351</x:v>
      </x:c>
      <x:c r="F9621" s="0" t="s">
        <x:v>45</x:v>
      </x:c>
      <x:c r="G9621" s="0" t="s">
        <x:v>19</x:v>
      </x:c>
      <x:c r="H9621" s="0" t="s">
        <x:v>20</x:v>
      </x:c>
      <x:c r="I9621" s="0" t="s">
        <x:v>21</x:v>
      </x:c>
      <x:c r="K9621" s="0">
        <x:f>hyperlink("https://icd.who.int/dev11/l-ichi/en#/http%3A%2F%2Fid.who.int%2Ficd%2Fentity%2F349544369","browser")</x:f>
      </x:c>
      <x:c r="L9621" s="0">
        <x:f>hyperlink("https://icat2.azurewebsites.net/icat/?ontology=ICD&amp;tab=ClassesTab&amp;id=http%3A%2F%2Fwho.int%2Ficd%231512_b929cd40_1812_4e2b_8d98_622273bc31b1","iCat")</x:f>
      </x:c>
      <x:c r="M9621" s="0" t="s">
        <x:v>21</x:v>
      </x:c>
      <x:c r="N9621" s="0" t="s">
        <x:v>46</x:v>
      </x:c>
    </x:row>
    <x:row r="9622" spans="1:16">
      <x:c r="A9622" s="0" t="s">
        <x:v>38352</x:v>
      </x:c>
      <x:c r="B9622" s="0" t="s">
        <x:v>38353</x:v>
      </x:c>
      <x:c r="C9622" s="0" t="s">
        <x:v>38354</x:v>
      </x:c>
      <x:c r="E9622" s="0" t="s">
        <x:v>38355</x:v>
      </x:c>
      <x:c r="F9622" s="0" t="s">
        <x:v>45</x:v>
      </x:c>
      <x:c r="G9622" s="0" t="s">
        <x:v>19</x:v>
      </x:c>
      <x:c r="H9622" s="0" t="s">
        <x:v>20</x:v>
      </x:c>
      <x:c r="I9622" s="0" t="s">
        <x:v>21</x:v>
      </x:c>
      <x:c r="K9622" s="0">
        <x:f>hyperlink("https://icd.who.int/dev11/l-ichi/en#/http%3A%2F%2Fid.who.int%2Ficd%2Fentity%2F730041323","browser")</x:f>
      </x:c>
      <x:c r="L9622" s="0">
        <x:f>hyperlink("https://icat2.azurewebsites.net/icat/?ontology=ICD&amp;tab=ClassesTab&amp;id=http%3A%2F%2Fwho.int%2Ficd%231688_b929cd40_1812_4e2b_8d98_622273bc31b1","iCat")</x:f>
      </x:c>
      <x:c r="M9622" s="0" t="s">
        <x:v>21</x:v>
      </x:c>
      <x:c r="N9622" s="0" t="s">
        <x:v>46</x:v>
      </x:c>
    </x:row>
    <x:row r="9623" spans="1:16">
      <x:c r="A9623" s="0" t="s">
        <x:v>38356</x:v>
      </x:c>
      <x:c r="B9623" s="0" t="s">
        <x:v>38357</x:v>
      </x:c>
      <x:c r="C9623" s="0" t="s">
        <x:v>38358</x:v>
      </x:c>
      <x:c r="E9623" s="0" t="s">
        <x:v>38359</x:v>
      </x:c>
      <x:c r="F9623" s="0" t="s">
        <x:v>45</x:v>
      </x:c>
      <x:c r="G9623" s="0" t="s">
        <x:v>19</x:v>
      </x:c>
      <x:c r="H9623" s="0" t="s">
        <x:v>20</x:v>
      </x:c>
      <x:c r="I9623" s="0" t="s">
        <x:v>21</x:v>
      </x:c>
      <x:c r="K9623" s="0">
        <x:f>hyperlink("https://icd.who.int/dev11/l-ichi/en#/http%3A%2F%2Fid.who.int%2Ficd%2Fentity%2F985705373","browser")</x:f>
      </x:c>
      <x:c r="L9623" s="0">
        <x:f>hyperlink("https://icat2.azurewebsites.net/icat/?ontology=ICD&amp;tab=ClassesTab&amp;id=http%3A%2F%2Fwho.int%2Ficd%231694_b929cd40_1812_4e2b_8d98_622273bc31b1","iCat")</x:f>
      </x:c>
      <x:c r="M9623" s="0" t="s">
        <x:v>21</x:v>
      </x:c>
      <x:c r="N9623" s="0" t="s">
        <x:v>46</x:v>
      </x:c>
    </x:row>
    <x:row r="9624" spans="1:16">
      <x:c r="A9624" s="0" t="s">
        <x:v>38360</x:v>
      </x:c>
      <x:c r="B9624" s="0" t="s">
        <x:v>38361</x:v>
      </x:c>
      <x:c r="C9624" s="0" t="s">
        <x:v>38362</x:v>
      </x:c>
      <x:c r="E9624" s="0" t="s">
        <x:v>38363</x:v>
      </x:c>
      <x:c r="F9624" s="0" t="s">
        <x:v>45</x:v>
      </x:c>
      <x:c r="G9624" s="0" t="s">
        <x:v>19</x:v>
      </x:c>
      <x:c r="H9624" s="0" t="s">
        <x:v>20</x:v>
      </x:c>
      <x:c r="I9624" s="0" t="s">
        <x:v>21</x:v>
      </x:c>
      <x:c r="K9624" s="0">
        <x:f>hyperlink("https://icd.who.int/dev11/l-ichi/en#/http%3A%2F%2Fid.who.int%2Ficd%2Fentity%2F1607973974","browser")</x:f>
      </x:c>
      <x:c r="L9624" s="0">
        <x:f>hyperlink("https://icat2.azurewebsites.net/icat/?ontology=ICD&amp;tab=ClassesTab&amp;id=http%3A%2F%2Fwho.int%2Ficd%231706_b929cd40_1812_4e2b_8d98_622273bc31b1","iCat")</x:f>
      </x:c>
      <x:c r="M9624" s="0" t="s">
        <x:v>21</x:v>
      </x:c>
      <x:c r="N9624" s="0" t="s">
        <x:v>46</x:v>
      </x:c>
    </x:row>
    <x:row r="9625" spans="1:16">
      <x:c r="A9625" s="0" t="s">
        <x:v>38364</x:v>
      </x:c>
      <x:c r="B9625" s="0" t="s">
        <x:v>38365</x:v>
      </x:c>
      <x:c r="C9625" s="0" t="s">
        <x:v>38366</x:v>
      </x:c>
      <x:c r="E9625" s="0" t="s">
        <x:v>38367</x:v>
      </x:c>
      <x:c r="F9625" s="0" t="s">
        <x:v>45</x:v>
      </x:c>
      <x:c r="G9625" s="0" t="s">
        <x:v>19</x:v>
      </x:c>
      <x:c r="H9625" s="0" t="s">
        <x:v>20</x:v>
      </x:c>
      <x:c r="I9625" s="0" t="s">
        <x:v>21</x:v>
      </x:c>
      <x:c r="K9625" s="0">
        <x:f>hyperlink("https://icd.who.int/dev11/l-ichi/en#/http%3A%2F%2Fid.who.int%2Ficd%2Fentity%2F1437045","browser")</x:f>
      </x:c>
      <x:c r="L9625" s="0">
        <x:f>hyperlink("https://icat2.azurewebsites.net/icat/?ontology=ICD&amp;tab=ClassesTab&amp;id=http%3A%2F%2Fwho.int%2Ficd%231712_b929cd40_1812_4e2b_8d98_622273bc31b1","iCat")</x:f>
      </x:c>
      <x:c r="M9625" s="0" t="s">
        <x:v>21</x:v>
      </x:c>
      <x:c r="N9625" s="0" t="s">
        <x:v>46</x:v>
      </x:c>
    </x:row>
    <x:row r="9626" spans="1:16">
      <x:c r="A9626" s="0" t="s">
        <x:v>38368</x:v>
      </x:c>
      <x:c r="B9626" s="0" t="s">
        <x:v>38369</x:v>
      </x:c>
      <x:c r="C9626" s="0" t="s">
        <x:v>38370</x:v>
      </x:c>
      <x:c r="E9626" s="0" t="s">
        <x:v>38371</x:v>
      </x:c>
      <x:c r="F9626" s="0" t="s">
        <x:v>45</x:v>
      </x:c>
      <x:c r="G9626" s="0" t="s">
        <x:v>19</x:v>
      </x:c>
      <x:c r="H9626" s="0" t="s">
        <x:v>20</x:v>
      </x:c>
      <x:c r="I9626" s="0" t="s">
        <x:v>21</x:v>
      </x:c>
      <x:c r="K9626" s="0">
        <x:f>hyperlink("https://icd.who.int/dev11/l-ichi/en#/http%3A%2F%2Fid.who.int%2Ficd%2Fentity%2F736657893","browser")</x:f>
      </x:c>
      <x:c r="L9626" s="0">
        <x:f>hyperlink("https://icat2.azurewebsites.net/icat/?ontology=ICD&amp;tab=ClassesTab&amp;id=http%3A%2F%2Fwho.int%2Ficd%231718_b929cd40_1812_4e2b_8d98_622273bc31b1","iCat")</x:f>
      </x:c>
      <x:c r="M9626" s="0" t="s">
        <x:v>21</x:v>
      </x:c>
      <x:c r="N9626" s="0" t="s">
        <x:v>46</x:v>
      </x:c>
    </x:row>
    <x:row r="9627" spans="1:16">
      <x:c r="A9627" s="0" t="s">
        <x:v>38372</x:v>
      </x:c>
      <x:c r="B9627" s="0" t="s">
        <x:v>38373</x:v>
      </x:c>
      <x:c r="C9627" s="0" t="s">
        <x:v>38374</x:v>
      </x:c>
      <x:c r="E9627" s="0" t="s">
        <x:v>38375</x:v>
      </x:c>
      <x:c r="F9627" s="0" t="s">
        <x:v>45</x:v>
      </x:c>
      <x:c r="G9627" s="0" t="s">
        <x:v>19</x:v>
      </x:c>
      <x:c r="H9627" s="0" t="s">
        <x:v>20</x:v>
      </x:c>
      <x:c r="I9627" s="0" t="s">
        <x:v>21</x:v>
      </x:c>
      <x:c r="K9627" s="0">
        <x:f>hyperlink("https://icd.who.int/dev11/l-ichi/en#/http%3A%2F%2Fid.who.int%2Ficd%2Fentity%2F283079875","browser")</x:f>
      </x:c>
      <x:c r="L9627" s="0">
        <x:f>hyperlink("https://icat2.azurewebsites.net/icat/?ontology=ICD&amp;tab=ClassesTab&amp;id=http%3A%2F%2Fwho.int%2Ficd%231724_b929cd40_1812_4e2b_8d98_622273bc31b1","iCat")</x:f>
      </x:c>
      <x:c r="M9627" s="0" t="s">
        <x:v>21</x:v>
      </x:c>
      <x:c r="N9627" s="0" t="s">
        <x:v>46</x:v>
      </x:c>
    </x:row>
    <x:row r="9628" spans="1:16">
      <x:c r="A9628" s="0" t="s">
        <x:v>38376</x:v>
      </x:c>
      <x:c r="B9628" s="0" t="s">
        <x:v>38377</x:v>
      </x:c>
      <x:c r="C9628" s="0" t="s">
        <x:v>38378</x:v>
      </x:c>
      <x:c r="E9628" s="0" t="s">
        <x:v>38379</x:v>
      </x:c>
      <x:c r="F9628" s="0" t="s">
        <x:v>45</x:v>
      </x:c>
      <x:c r="G9628" s="0" t="s">
        <x:v>19</x:v>
      </x:c>
      <x:c r="H9628" s="0" t="s">
        <x:v>20</x:v>
      </x:c>
      <x:c r="I9628" s="0" t="s">
        <x:v>21</x:v>
      </x:c>
      <x:c r="K9628" s="0">
        <x:f>hyperlink("https://icd.who.int/dev11/l-ichi/en#/http%3A%2F%2Fid.who.int%2Ficd%2Fentity%2F1327310304","browser")</x:f>
      </x:c>
      <x:c r="L9628" s="0">
        <x:f>hyperlink("https://icat2.azurewebsites.net/icat/?ontology=ICD&amp;tab=ClassesTab&amp;id=http%3A%2F%2Fwho.int%2Ficd%231730_b929cd40_1812_4e2b_8d98_622273bc31b1","iCat")</x:f>
      </x:c>
      <x:c r="M9628" s="0" t="s">
        <x:v>21</x:v>
      </x:c>
      <x:c r="N9628" s="0" t="s">
        <x:v>46</x:v>
      </x:c>
    </x:row>
    <x:row r="9629" spans="1:16">
      <x:c r="A9629" s="0" t="s">
        <x:v>38380</x:v>
      </x:c>
      <x:c r="B9629" s="0" t="s">
        <x:v>38381</x:v>
      </x:c>
      <x:c r="C9629" s="0" t="s">
        <x:v>38382</x:v>
      </x:c>
      <x:c r="E9629" s="0" t="s">
        <x:v>38383</x:v>
      </x:c>
      <x:c r="F9629" s="0" t="s">
        <x:v>45</x:v>
      </x:c>
      <x:c r="G9629" s="0" t="s">
        <x:v>19</x:v>
      </x:c>
      <x:c r="H9629" s="0" t="s">
        <x:v>20</x:v>
      </x:c>
      <x:c r="I9629" s="0" t="s">
        <x:v>21</x:v>
      </x:c>
      <x:c r="K9629" s="0">
        <x:f>hyperlink("https://icd.who.int/dev11/l-ichi/en#/http%3A%2F%2Fid.who.int%2Ficd%2Fentity%2F526842961","browser")</x:f>
      </x:c>
      <x:c r="L9629" s="0">
        <x:f>hyperlink("https://icat2.azurewebsites.net/icat/?ontology=ICD&amp;tab=ClassesTab&amp;id=http%3A%2F%2Fwho.int%2Ficd%231736_b929cd40_1812_4e2b_8d98_622273bc31b1","iCat")</x:f>
      </x:c>
      <x:c r="M9629" s="0" t="s">
        <x:v>21</x:v>
      </x:c>
      <x:c r="N9629" s="0" t="s">
        <x:v>46</x:v>
      </x:c>
    </x:row>
    <x:row r="9630" spans="1:16">
      <x:c r="A9630" s="0" t="s">
        <x:v>38384</x:v>
      </x:c>
      <x:c r="B9630" s="0" t="s">
        <x:v>38385</x:v>
      </x:c>
      <x:c r="C9630" s="0" t="s">
        <x:v>38386</x:v>
      </x:c>
      <x:c r="E9630" s="0" t="s">
        <x:v>38387</x:v>
      </x:c>
      <x:c r="F9630" s="0" t="s">
        <x:v>45</x:v>
      </x:c>
      <x:c r="G9630" s="0" t="s">
        <x:v>19</x:v>
      </x:c>
      <x:c r="H9630" s="0" t="s">
        <x:v>20</x:v>
      </x:c>
      <x:c r="I9630" s="0" t="s">
        <x:v>21</x:v>
      </x:c>
      <x:c r="K9630" s="0">
        <x:f>hyperlink("https://icd.who.int/dev11/l-ichi/en#/http%3A%2F%2Fid.who.int%2Ficd%2Fentity%2F448211775","browser")</x:f>
      </x:c>
      <x:c r="L9630" s="0">
        <x:f>hyperlink("https://icat2.azurewebsites.net/icat/?ontology=ICD&amp;tab=ClassesTab&amp;id=http%3A%2F%2Fwho.int%2Ficd%231742_b929cd40_1812_4e2b_8d98_622273bc31b1","iCat")</x:f>
      </x:c>
      <x:c r="M9630" s="0" t="s">
        <x:v>21</x:v>
      </x:c>
      <x:c r="N9630" s="0" t="s">
        <x:v>46</x:v>
      </x:c>
    </x:row>
    <x:row r="9631" spans="1:16">
      <x:c r="A9631" s="0" t="s">
        <x:v>38388</x:v>
      </x:c>
      <x:c r="B9631" s="0" t="s">
        <x:v>38389</x:v>
      </x:c>
      <x:c r="C9631" s="0" t="s">
        <x:v>38390</x:v>
      </x:c>
      <x:c r="E9631" s="0" t="s">
        <x:v>38391</x:v>
      </x:c>
      <x:c r="F9631" s="0" t="s">
        <x:v>45</x:v>
      </x:c>
      <x:c r="G9631" s="0" t="s">
        <x:v>19</x:v>
      </x:c>
      <x:c r="H9631" s="0" t="s">
        <x:v>20</x:v>
      </x:c>
      <x:c r="I9631" s="0" t="s">
        <x:v>21</x:v>
      </x:c>
      <x:c r="K9631" s="0">
        <x:f>hyperlink("https://icd.who.int/dev11/l-ichi/en#/http%3A%2F%2Fid.who.int%2Ficd%2Fentity%2F1937733803","browser")</x:f>
      </x:c>
      <x:c r="L9631" s="0">
        <x:f>hyperlink("https://icat2.azurewebsites.net/icat/?ontology=ICD&amp;tab=ClassesTab&amp;id=http%3A%2F%2Fwho.int%2Ficd%232036_b929cd40_1812_4e2b_8d98_622273bc31b1","iCat")</x:f>
      </x:c>
      <x:c r="M9631" s="0" t="s">
        <x:v>21</x:v>
      </x:c>
      <x:c r="N9631" s="0" t="s">
        <x:v>46</x:v>
      </x:c>
    </x:row>
    <x:row r="9632" spans="1:16">
      <x:c r="A9632" s="0" t="s">
        <x:v>38392</x:v>
      </x:c>
      <x:c r="B9632" s="0" t="s">
        <x:v>38393</x:v>
      </x:c>
      <x:c r="C9632" s="0" t="s">
        <x:v>38394</x:v>
      </x:c>
      <x:c r="E9632" s="0" t="s">
        <x:v>38395</x:v>
      </x:c>
      <x:c r="F9632" s="0" t="s">
        <x:v>45</x:v>
      </x:c>
      <x:c r="G9632" s="0" t="s">
        <x:v>19</x:v>
      </x:c>
      <x:c r="H9632" s="0" t="s">
        <x:v>20</x:v>
      </x:c>
      <x:c r="I9632" s="0" t="s">
        <x:v>21</x:v>
      </x:c>
      <x:c r="K9632" s="0">
        <x:f>hyperlink("https://icd.who.int/dev11/l-ichi/en#/http%3A%2F%2Fid.who.int%2Ficd%2Fentity%2F1991159749","browser")</x:f>
      </x:c>
      <x:c r="L9632" s="0">
        <x:f>hyperlink("https://icat2.azurewebsites.net/icat/?ontology=ICD&amp;tab=ClassesTab&amp;id=http%3A%2F%2Fwho.int%2Ficd%232042_b929cd40_1812_4e2b_8d98_622273bc31b1","iCat")</x:f>
      </x:c>
      <x:c r="M9632" s="0" t="s">
        <x:v>21</x:v>
      </x:c>
      <x:c r="N9632" s="0" t="s">
        <x:v>46</x:v>
      </x:c>
    </x:row>
    <x:row r="9633" spans="1:16">
      <x:c r="A9633" s="0" t="s">
        <x:v>38396</x:v>
      </x:c>
      <x:c r="B9633" s="0" t="s">
        <x:v>38397</x:v>
      </x:c>
      <x:c r="C9633" s="0" t="s">
        <x:v>38398</x:v>
      </x:c>
      <x:c r="E9633" s="0" t="s">
        <x:v>38399</x:v>
      </x:c>
      <x:c r="F9633" s="0" t="s">
        <x:v>45</x:v>
      </x:c>
      <x:c r="G9633" s="0" t="s">
        <x:v>19</x:v>
      </x:c>
      <x:c r="H9633" s="0" t="s">
        <x:v>20</x:v>
      </x:c>
      <x:c r="I9633" s="0" t="s">
        <x:v>21</x:v>
      </x:c>
      <x:c r="K9633" s="0">
        <x:f>hyperlink("https://icd.who.int/dev11/l-ichi/en#/http%3A%2F%2Fid.who.int%2Ficd%2Fentity%2F1565770581","browser")</x:f>
      </x:c>
      <x:c r="L9633" s="0">
        <x:f>hyperlink("https://icat2.azurewebsites.net/icat/?ontology=ICD&amp;tab=ClassesTab&amp;id=http%3A%2F%2Fwho.int%2Ficd%232048_b929cd40_1812_4e2b_8d98_622273bc31b1","iCat")</x:f>
      </x:c>
      <x:c r="M9633" s="0" t="s">
        <x:v>21</x:v>
      </x:c>
      <x:c r="N9633" s="0" t="s">
        <x:v>46</x:v>
      </x:c>
    </x:row>
    <x:row r="9634" spans="1:16">
      <x:c r="A9634" s="0" t="s">
        <x:v>38400</x:v>
      </x:c>
      <x:c r="B9634" s="0" t="s">
        <x:v>38401</x:v>
      </x:c>
      <x:c r="C9634" s="0" t="s">
        <x:v>38402</x:v>
      </x:c>
      <x:c r="E9634" s="0" t="s">
        <x:v>38403</x:v>
      </x:c>
      <x:c r="F9634" s="0" t="s">
        <x:v>45</x:v>
      </x:c>
      <x:c r="G9634" s="0" t="s">
        <x:v>19</x:v>
      </x:c>
      <x:c r="H9634" s="0" t="s">
        <x:v>20</x:v>
      </x:c>
      <x:c r="I9634" s="0" t="s">
        <x:v>21</x:v>
      </x:c>
      <x:c r="K9634" s="0">
        <x:f>hyperlink("https://icd.who.int/dev11/l-ichi/en#/http%3A%2F%2Fid.who.int%2Ficd%2Fentity%2F1276175139","browser")</x:f>
      </x:c>
      <x:c r="L9634" s="0">
        <x:f>hyperlink("https://icat2.azurewebsites.net/icat/?ontology=ICD&amp;tab=ClassesTab&amp;id=http%3A%2F%2Fwho.int%2Ficd%232054_b929cd40_1812_4e2b_8d98_622273bc31b1","iCat")</x:f>
      </x:c>
      <x:c r="M9634" s="0" t="s">
        <x:v>21</x:v>
      </x:c>
      <x:c r="N9634" s="0" t="s">
        <x:v>46</x:v>
      </x:c>
    </x:row>
    <x:row r="9635" spans="1:16">
      <x:c r="A9635" s="0" t="s">
        <x:v>38404</x:v>
      </x:c>
      <x:c r="B9635" s="0" t="s">
        <x:v>38405</x:v>
      </x:c>
      <x:c r="C9635" s="0" t="s">
        <x:v>38406</x:v>
      </x:c>
      <x:c r="E9635" s="0" t="s">
        <x:v>38407</x:v>
      </x:c>
      <x:c r="F9635" s="0" t="s">
        <x:v>45</x:v>
      </x:c>
      <x:c r="G9635" s="0" t="s">
        <x:v>19</x:v>
      </x:c>
      <x:c r="H9635" s="0" t="s">
        <x:v>20</x:v>
      </x:c>
      <x:c r="I9635" s="0" t="s">
        <x:v>21</x:v>
      </x:c>
      <x:c r="K9635" s="0">
        <x:f>hyperlink("https://icd.who.int/dev11/l-ichi/en#/http%3A%2F%2Fid.who.int%2Ficd%2Fentity%2F967206738","browser")</x:f>
      </x:c>
      <x:c r="L9635" s="0">
        <x:f>hyperlink("https://icat2.azurewebsites.net/icat/?ontology=ICD&amp;tab=ClassesTab&amp;id=http%3A%2F%2Fwho.int%2Ficd%232060_b929cd40_1812_4e2b_8d98_622273bc31b1","iCat")</x:f>
      </x:c>
      <x:c r="M9635" s="0" t="s">
        <x:v>21</x:v>
      </x:c>
      <x:c r="N9635" s="0" t="s">
        <x:v>46</x:v>
      </x:c>
    </x:row>
    <x:row r="9636" spans="1:16">
      <x:c r="A9636" s="0" t="s">
        <x:v>38408</x:v>
      </x:c>
      <x:c r="B9636" s="0" t="s">
        <x:v>38409</x:v>
      </x:c>
      <x:c r="C9636" s="0" t="s">
        <x:v>38410</x:v>
      </x:c>
      <x:c r="E9636" s="0" t="s">
        <x:v>38411</x:v>
      </x:c>
      <x:c r="F9636" s="0" t="s">
        <x:v>45</x:v>
      </x:c>
      <x:c r="G9636" s="0" t="s">
        <x:v>19</x:v>
      </x:c>
      <x:c r="H9636" s="0" t="s">
        <x:v>20</x:v>
      </x:c>
      <x:c r="I9636" s="0" t="s">
        <x:v>21</x:v>
      </x:c>
      <x:c r="K9636" s="0">
        <x:f>hyperlink("https://icd.who.int/dev11/l-ichi/en#/http%3A%2F%2Fid.who.int%2Ficd%2Fentity%2F1126045437","browser")</x:f>
      </x:c>
      <x:c r="L9636" s="0">
        <x:f>hyperlink("https://icat2.azurewebsites.net/icat/?ontology=ICD&amp;tab=ClassesTab&amp;id=http%3A%2F%2Fwho.int%2Ficd%232269_b929cd40_1812_4e2b_8d98_622273bc31b1","iCat")</x:f>
      </x:c>
      <x:c r="M9636" s="0" t="s">
        <x:v>21</x:v>
      </x:c>
      <x:c r="N9636" s="0" t="s">
        <x:v>46</x:v>
      </x:c>
    </x:row>
    <x:row r="9637" spans="1:16">
      <x:c r="A9637" s="0" t="s">
        <x:v>38412</x:v>
      </x:c>
      <x:c r="B9637" s="0" t="s">
        <x:v>38413</x:v>
      </x:c>
      <x:c r="C9637" s="0" t="s">
        <x:v>38414</x:v>
      </x:c>
      <x:c r="E9637" s="0" t="s">
        <x:v>38415</x:v>
      </x:c>
      <x:c r="F9637" s="0" t="s">
        <x:v>45</x:v>
      </x:c>
      <x:c r="G9637" s="0" t="s">
        <x:v>19</x:v>
      </x:c>
      <x:c r="H9637" s="0" t="s">
        <x:v>20</x:v>
      </x:c>
      <x:c r="I9637" s="0" t="s">
        <x:v>21</x:v>
      </x:c>
      <x:c r="K9637" s="0">
        <x:f>hyperlink("https://icd.who.int/dev11/l-ichi/en#/http%3A%2F%2Fid.who.int%2Ficd%2Fentity%2F1381840523","browser")</x:f>
      </x:c>
      <x:c r="L9637" s="0">
        <x:f>hyperlink("https://icat2.azurewebsites.net/icat/?ontology=ICD&amp;tab=ClassesTab&amp;id=http%3A%2F%2Fwho.int%2Ficd%232275_b929cd40_1812_4e2b_8d98_622273bc31b1","iCat")</x:f>
      </x:c>
      <x:c r="M9637" s="0" t="s">
        <x:v>21</x:v>
      </x:c>
      <x:c r="N9637" s="0" t="s">
        <x:v>46</x:v>
      </x:c>
    </x:row>
    <x:row r="9638" spans="1:16">
      <x:c r="A9638" s="0" t="s">
        <x:v>38416</x:v>
      </x:c>
      <x:c r="B9638" s="0" t="s">
        <x:v>38417</x:v>
      </x:c>
      <x:c r="C9638" s="0" t="s">
        <x:v>38418</x:v>
      </x:c>
      <x:c r="E9638" s="0" t="s">
        <x:v>38419</x:v>
      </x:c>
      <x:c r="F9638" s="0" t="s">
        <x:v>45</x:v>
      </x:c>
      <x:c r="G9638" s="0" t="s">
        <x:v>19</x:v>
      </x:c>
      <x:c r="H9638" s="0" t="s">
        <x:v>20</x:v>
      </x:c>
      <x:c r="I9638" s="0" t="s">
        <x:v>21</x:v>
      </x:c>
      <x:c r="K9638" s="0">
        <x:f>hyperlink("https://icd.who.int/dev11/l-ichi/en#/http%3A%2F%2Fid.who.int%2Ficd%2Fentity%2F1220392993","browser")</x:f>
      </x:c>
      <x:c r="L9638" s="0">
        <x:f>hyperlink("https://icat2.azurewebsites.net/icat/?ontology=ICD&amp;tab=ClassesTab&amp;id=http%3A%2F%2Fwho.int%2Ficd%232281_b929cd40_1812_4e2b_8d98_622273bc31b1","iCat")</x:f>
      </x:c>
      <x:c r="M9638" s="0" t="s">
        <x:v>21</x:v>
      </x:c>
      <x:c r="N9638" s="0" t="s">
        <x:v>46</x:v>
      </x:c>
    </x:row>
    <x:row r="9639" spans="1:16">
      <x:c r="A9639" s="0" t="s">
        <x:v>38420</x:v>
      </x:c>
      <x:c r="B9639" s="0" t="s">
        <x:v>38421</x:v>
      </x:c>
      <x:c r="C9639" s="0" t="s">
        <x:v>38422</x:v>
      </x:c>
      <x:c r="E9639" s="0" t="s">
        <x:v>38423</x:v>
      </x:c>
      <x:c r="F9639" s="0" t="s">
        <x:v>45</x:v>
      </x:c>
      <x:c r="G9639" s="0" t="s">
        <x:v>19</x:v>
      </x:c>
      <x:c r="H9639" s="0" t="s">
        <x:v>20</x:v>
      </x:c>
      <x:c r="I9639" s="0" t="s">
        <x:v>21</x:v>
      </x:c>
      <x:c r="K9639" s="0">
        <x:f>hyperlink("https://icd.who.int/dev11/l-ichi/en#/http%3A%2F%2Fid.who.int%2Ficd%2Fentity%2F415654288","browser")</x:f>
      </x:c>
      <x:c r="L9639" s="0">
        <x:f>hyperlink("https://icat2.azurewebsites.net/icat/?ontology=ICD&amp;tab=ClassesTab&amp;id=http%3A%2F%2Fwho.int%2Ficd%232287_b929cd40_1812_4e2b_8d98_622273bc31b1","iCat")</x:f>
      </x:c>
      <x:c r="M9639" s="0" t="s">
        <x:v>21</x:v>
      </x:c>
      <x:c r="N9639" s="0" t="s">
        <x:v>46</x:v>
      </x:c>
    </x:row>
    <x:row r="9640" spans="1:16">
      <x:c r="A9640" s="0" t="s">
        <x:v>38424</x:v>
      </x:c>
      <x:c r="B9640" s="0" t="s">
        <x:v>38425</x:v>
      </x:c>
      <x:c r="C9640" s="0" t="s">
        <x:v>38426</x:v>
      </x:c>
      <x:c r="E9640" s="0" t="s">
        <x:v>38427</x:v>
      </x:c>
      <x:c r="F9640" s="0" t="s">
        <x:v>45</x:v>
      </x:c>
      <x:c r="G9640" s="0" t="s">
        <x:v>19</x:v>
      </x:c>
      <x:c r="H9640" s="0" t="s">
        <x:v>20</x:v>
      </x:c>
      <x:c r="I9640" s="0" t="s">
        <x:v>21</x:v>
      </x:c>
      <x:c r="K9640" s="0">
        <x:f>hyperlink("https://icd.who.int/dev11/l-ichi/en#/http%3A%2F%2Fid.who.int%2Ficd%2Fentity%2F1191456947","browser")</x:f>
      </x:c>
      <x:c r="L9640" s="0">
        <x:f>hyperlink("https://icat2.azurewebsites.net/icat/?ontology=ICD&amp;tab=ClassesTab&amp;id=http%3A%2F%2Fwho.int%2Ficd%232293_b929cd40_1812_4e2b_8d98_622273bc31b1","iCat")</x:f>
      </x:c>
      <x:c r="M9640" s="0" t="s">
        <x:v>21</x:v>
      </x:c>
      <x:c r="N9640" s="0" t="s">
        <x:v>46</x:v>
      </x:c>
    </x:row>
    <x:row r="9641" spans="1:16">
      <x:c r="A9641" s="0" t="s">
        <x:v>38428</x:v>
      </x:c>
      <x:c r="B9641" s="0" t="s">
        <x:v>38429</x:v>
      </x:c>
      <x:c r="C9641" s="0" t="s">
        <x:v>38430</x:v>
      </x:c>
      <x:c r="E9641" s="0" t="s">
        <x:v>38431</x:v>
      </x:c>
      <x:c r="F9641" s="0" t="s">
        <x:v>45</x:v>
      </x:c>
      <x:c r="G9641" s="0" t="s">
        <x:v>19</x:v>
      </x:c>
      <x:c r="H9641" s="0" t="s">
        <x:v>20</x:v>
      </x:c>
      <x:c r="I9641" s="0" t="s">
        <x:v>21</x:v>
      </x:c>
      <x:c r="K9641" s="0">
        <x:f>hyperlink("https://icd.who.int/dev11/l-ichi/en#/http%3A%2F%2Fid.who.int%2Ficd%2Fentity%2F1828281379","browser")</x:f>
      </x:c>
      <x:c r="L9641" s="0">
        <x:f>hyperlink("https://icat2.azurewebsites.net/icat/?ontology=ICD&amp;tab=ClassesTab&amp;id=http%3A%2F%2Fwho.int%2Ficd%232299_b929cd40_1812_4e2b_8d98_622273bc31b1","iCat")</x:f>
      </x:c>
      <x:c r="M9641" s="0" t="s">
        <x:v>21</x:v>
      </x:c>
      <x:c r="N9641" s="0" t="s">
        <x:v>46</x:v>
      </x:c>
    </x:row>
    <x:row r="9642" spans="1:16">
      <x:c r="A9642" s="0" t="s">
        <x:v>38432</x:v>
      </x:c>
      <x:c r="B9642" s="0" t="s">
        <x:v>38433</x:v>
      </x:c>
      <x:c r="C9642" s="0" t="s">
        <x:v>38434</x:v>
      </x:c>
      <x:c r="E9642" s="0" t="s">
        <x:v>38435</x:v>
      </x:c>
      <x:c r="F9642" s="0" t="s">
        <x:v>45</x:v>
      </x:c>
      <x:c r="G9642" s="0" t="s">
        <x:v>19</x:v>
      </x:c>
      <x:c r="H9642" s="0" t="s">
        <x:v>20</x:v>
      </x:c>
      <x:c r="I9642" s="0" t="s">
        <x:v>21</x:v>
      </x:c>
      <x:c r="K9642" s="0">
        <x:f>hyperlink("https://icd.who.int/dev11/l-ichi/en#/http%3A%2F%2Fid.who.int%2Ficd%2Fentity%2F387244814","browser")</x:f>
      </x:c>
      <x:c r="L9642" s="0">
        <x:f>hyperlink("https://icat2.azurewebsites.net/icat/?ontology=ICD&amp;tab=ClassesTab&amp;id=http%3A%2F%2Fwho.int%2Ficd%232305_b929cd40_1812_4e2b_8d98_622273bc31b1","iCat")</x:f>
      </x:c>
      <x:c r="M9642" s="0" t="s">
        <x:v>21</x:v>
      </x:c>
      <x:c r="N9642" s="0" t="s">
        <x:v>46</x:v>
      </x:c>
    </x:row>
    <x:row r="9643" spans="1:16">
      <x:c r="A9643" s="0" t="s">
        <x:v>38436</x:v>
      </x:c>
      <x:c r="B9643" s="0" t="s">
        <x:v>38437</x:v>
      </x:c>
      <x:c r="C9643" s="0" t="s">
        <x:v>38438</x:v>
      </x:c>
      <x:c r="E9643" s="0" t="s">
        <x:v>38439</x:v>
      </x:c>
      <x:c r="F9643" s="0" t="s">
        <x:v>45</x:v>
      </x:c>
      <x:c r="G9643" s="0" t="s">
        <x:v>19</x:v>
      </x:c>
      <x:c r="H9643" s="0" t="s">
        <x:v>20</x:v>
      </x:c>
      <x:c r="I9643" s="0" t="s">
        <x:v>21</x:v>
      </x:c>
      <x:c r="K9643" s="0">
        <x:f>hyperlink("https://icd.who.int/dev11/l-ichi/en#/http%3A%2F%2Fid.who.int%2Ficd%2Fentity%2F1222029871","browser")</x:f>
      </x:c>
      <x:c r="L9643" s="0">
        <x:f>hyperlink("https://icat2.azurewebsites.net/icat/?ontology=ICD&amp;tab=ClassesTab&amp;id=http%3A%2F%2Fwho.int%2Ficd%232311_b929cd40_1812_4e2b_8d98_622273bc31b1","iCat")</x:f>
      </x:c>
      <x:c r="M9643" s="0" t="s">
        <x:v>21</x:v>
      </x:c>
      <x:c r="N9643" s="0" t="s">
        <x:v>46</x:v>
      </x:c>
    </x:row>
    <x:row r="9644" spans="1:16">
      <x:c r="A9644" s="0" t="s">
        <x:v>38440</x:v>
      </x:c>
      <x:c r="B9644" s="0" t="s">
        <x:v>38441</x:v>
      </x:c>
      <x:c r="C9644" s="0" t="s">
        <x:v>38442</x:v>
      </x:c>
      <x:c r="E9644" s="0" t="s">
        <x:v>38443</x:v>
      </x:c>
      <x:c r="F9644" s="0" t="s">
        <x:v>45</x:v>
      </x:c>
      <x:c r="G9644" s="0" t="s">
        <x:v>19</x:v>
      </x:c>
      <x:c r="H9644" s="0" t="s">
        <x:v>20</x:v>
      </x:c>
      <x:c r="I9644" s="0" t="s">
        <x:v>21</x:v>
      </x:c>
      <x:c r="K9644" s="0">
        <x:f>hyperlink("https://icd.who.int/dev11/l-ichi/en#/http%3A%2F%2Fid.who.int%2Ficd%2Fentity%2F1830547437","browser")</x:f>
      </x:c>
      <x:c r="L9644" s="0">
        <x:f>hyperlink("https://icat2.azurewebsites.net/icat/?ontology=ICD&amp;tab=ClassesTab&amp;id=http%3A%2F%2Fwho.int%2Ficd%232323_b929cd40_1812_4e2b_8d98_622273bc31b1","iCat")</x:f>
      </x:c>
      <x:c r="M9644" s="0" t="s">
        <x:v>21</x:v>
      </x:c>
      <x:c r="N9644" s="0" t="s">
        <x:v>46</x:v>
      </x:c>
    </x:row>
    <x:row r="9645" spans="1:16">
      <x:c r="A9645" s="0" t="s">
        <x:v>38444</x:v>
      </x:c>
      <x:c r="B9645" s="0" t="s">
        <x:v>38445</x:v>
      </x:c>
      <x:c r="C9645" s="0" t="s">
        <x:v>38446</x:v>
      </x:c>
      <x:c r="E9645" s="0" t="s">
        <x:v>38447</x:v>
      </x:c>
      <x:c r="F9645" s="0" t="s">
        <x:v>45</x:v>
      </x:c>
      <x:c r="G9645" s="0" t="s">
        <x:v>19</x:v>
      </x:c>
      <x:c r="H9645" s="0" t="s">
        <x:v>20</x:v>
      </x:c>
      <x:c r="I9645" s="0" t="s">
        <x:v>21</x:v>
      </x:c>
      <x:c r="K9645" s="0">
        <x:f>hyperlink("https://icd.who.int/dev11/l-ichi/en#/http%3A%2F%2Fid.who.int%2Ficd%2Fentity%2F1189512061","browser")</x:f>
      </x:c>
      <x:c r="L9645" s="0">
        <x:f>hyperlink("https://icat2.azurewebsites.net/icat/?ontology=ICD&amp;tab=ClassesTab&amp;id=http%3A%2F%2Fwho.int%2Ficd%232329_b929cd40_1812_4e2b_8d98_622273bc31b1","iCat")</x:f>
      </x:c>
      <x:c r="M9645" s="0" t="s">
        <x:v>21</x:v>
      </x:c>
      <x:c r="N9645" s="0" t="s">
        <x:v>46</x:v>
      </x:c>
    </x:row>
    <x:row r="9646" spans="1:16">
      <x:c r="A9646" s="0" t="s">
        <x:v>38448</x:v>
      </x:c>
      <x:c r="B9646" s="0" t="s">
        <x:v>38449</x:v>
      </x:c>
      <x:c r="C9646" s="0" t="s">
        <x:v>38450</x:v>
      </x:c>
      <x:c r="E9646" s="0" t="s">
        <x:v>38451</x:v>
      </x:c>
      <x:c r="F9646" s="0" t="s">
        <x:v>45</x:v>
      </x:c>
      <x:c r="G9646" s="0" t="s">
        <x:v>19</x:v>
      </x:c>
      <x:c r="H9646" s="0" t="s">
        <x:v>20</x:v>
      </x:c>
      <x:c r="I9646" s="0" t="s">
        <x:v>21</x:v>
      </x:c>
      <x:c r="K9646" s="0">
        <x:f>hyperlink("https://icd.who.int/dev11/l-ichi/en#/http%3A%2F%2Fid.who.int%2Ficd%2Fentity%2F1470472971","browser")</x:f>
      </x:c>
      <x:c r="L9646" s="0">
        <x:f>hyperlink("https://icat2.azurewebsites.net/icat/?ontology=ICD&amp;tab=ClassesTab&amp;id=http%3A%2F%2Fwho.int%2Ficd%232335_b929cd40_1812_4e2b_8d98_622273bc31b1","iCat")</x:f>
      </x:c>
      <x:c r="M9646" s="0" t="s">
        <x:v>21</x:v>
      </x:c>
      <x:c r="N9646" s="0" t="s">
        <x:v>46</x:v>
      </x:c>
    </x:row>
    <x:row r="9647" spans="1:16">
      <x:c r="A9647" s="0" t="s">
        <x:v>38452</x:v>
      </x:c>
      <x:c r="B9647" s="0" t="s">
        <x:v>38453</x:v>
      </x:c>
      <x:c r="C9647" s="0" t="s">
        <x:v>38454</x:v>
      </x:c>
      <x:c r="E9647" s="0" t="s">
        <x:v>38455</x:v>
      </x:c>
      <x:c r="F9647" s="0" t="s">
        <x:v>45</x:v>
      </x:c>
      <x:c r="G9647" s="0" t="s">
        <x:v>19</x:v>
      </x:c>
      <x:c r="H9647" s="0" t="s">
        <x:v>20</x:v>
      </x:c>
      <x:c r="I9647" s="0" t="s">
        <x:v>21</x:v>
      </x:c>
      <x:c r="K9647" s="0">
        <x:f>hyperlink("https://icd.who.int/dev11/l-ichi/en#/http%3A%2F%2Fid.who.int%2Ficd%2Fentity%2F414018464","browser")</x:f>
      </x:c>
      <x:c r="L9647" s="0">
        <x:f>hyperlink("https://icat2.azurewebsites.net/icat/?ontology=ICD&amp;tab=ClassesTab&amp;id=http%3A%2F%2Fwho.int%2Ficd%232317_b929cd40_1812_4e2b_8d98_622273bc31b1","iCat")</x:f>
      </x:c>
      <x:c r="M9647" s="0" t="s">
        <x:v>21</x:v>
      </x:c>
      <x:c r="N9647" s="0" t="s">
        <x:v>46</x:v>
      </x:c>
    </x:row>
    <x:row r="9648" spans="1:16">
      <x:c r="A9648" s="0" t="s">
        <x:v>38456</x:v>
      </x:c>
      <x:c r="B9648" s="0" t="s">
        <x:v>38457</x:v>
      </x:c>
      <x:c r="C9648" s="0" t="s">
        <x:v>38454</x:v>
      </x:c>
      <x:c r="E9648" s="0" t="s">
        <x:v>38458</x:v>
      </x:c>
      <x:c r="F9648" s="0" t="s">
        <x:v>45</x:v>
      </x:c>
      <x:c r="G9648" s="0" t="s">
        <x:v>19</x:v>
      </x:c>
      <x:c r="H9648" s="0" t="s">
        <x:v>20</x:v>
      </x:c>
      <x:c r="I9648" s="0" t="s">
        <x:v>21</x:v>
      </x:c>
      <x:c r="K9648" s="0">
        <x:f>hyperlink("https://icd.who.int/dev11/l-ichi/en#/http%3A%2F%2Fid.who.int%2Ficd%2Fentity%2F1383363685","browser")</x:f>
      </x:c>
      <x:c r="L9648" s="0">
        <x:f>hyperlink("https://icat2.azurewebsites.net/icat/?ontology=ICD&amp;tab=ClassesTab&amp;id=http%3A%2F%2Fwho.int%2Ficd%232341_b929cd40_1812_4e2b_8d98_622273bc31b1","iCat")</x:f>
      </x:c>
      <x:c r="M9648" s="0" t="s">
        <x:v>21</x:v>
      </x:c>
      <x:c r="N9648" s="0" t="s">
        <x:v>46</x:v>
      </x:c>
    </x:row>
    <x:row r="9649" spans="1:16">
      <x:c r="A9649" s="0" t="s">
        <x:v>38459</x:v>
      </x:c>
      <x:c r="B9649" s="0" t="s">
        <x:v>38460</x:v>
      </x:c>
      <x:c r="C9649" s="0" t="s">
        <x:v>38461</x:v>
      </x:c>
      <x:c r="E9649" s="0" t="s">
        <x:v>38462</x:v>
      </x:c>
      <x:c r="F9649" s="0" t="s">
        <x:v>45</x:v>
      </x:c>
      <x:c r="G9649" s="0" t="s">
        <x:v>19</x:v>
      </x:c>
      <x:c r="H9649" s="0" t="s">
        <x:v>20</x:v>
      </x:c>
      <x:c r="I9649" s="0" t="s">
        <x:v>21</x:v>
      </x:c>
      <x:c r="K9649" s="0">
        <x:f>hyperlink("https://icd.who.int/dev11/l-ichi/en#/http%3A%2F%2Fid.who.int%2Ficd%2Fentity%2F34581974","browser")</x:f>
      </x:c>
      <x:c r="L9649" s="0">
        <x:f>hyperlink("https://icat2.azurewebsites.net/icat/?ontology=ICD&amp;tab=ClassesTab&amp;id=http%3A%2F%2Fwho.int%2Ficd%232347_b929cd40_1812_4e2b_8d98_622273bc31b1","iCat")</x:f>
      </x:c>
      <x:c r="M9649" s="0" t="s">
        <x:v>21</x:v>
      </x:c>
      <x:c r="N9649" s="0" t="s">
        <x:v>46</x:v>
      </x:c>
    </x:row>
    <x:row r="9650" spans="1:16">
      <x:c r="A9650" s="0" t="s">
        <x:v>38463</x:v>
      </x:c>
      <x:c r="B9650" s="0" t="s">
        <x:v>38464</x:v>
      </x:c>
      <x:c r="C9650" s="0" t="s">
        <x:v>38465</x:v>
      </x:c>
      <x:c r="E9650" s="0" t="s">
        <x:v>38466</x:v>
      </x:c>
      <x:c r="F9650" s="0" t="s">
        <x:v>45</x:v>
      </x:c>
      <x:c r="G9650" s="0" t="s">
        <x:v>19</x:v>
      </x:c>
      <x:c r="H9650" s="0" t="s">
        <x:v>20</x:v>
      </x:c>
      <x:c r="I9650" s="0" t="s">
        <x:v>21</x:v>
      </x:c>
      <x:c r="K9650" s="0">
        <x:f>hyperlink("https://icd.who.int/dev11/l-ichi/en#/http%3A%2F%2Fid.who.int%2Ficd%2Fentity%2F1573780727","browser")</x:f>
      </x:c>
      <x:c r="L9650" s="0">
        <x:f>hyperlink("https://icat2.azurewebsites.net/icat/?ontology=ICD&amp;tab=ClassesTab&amp;id=http%3A%2F%2Fwho.int%2Ficd%232353_b929cd40_1812_4e2b_8d98_622273bc31b1","iCat")</x:f>
      </x:c>
      <x:c r="M9650" s="0" t="s">
        <x:v>21</x:v>
      </x:c>
      <x:c r="N9650" s="0" t="s">
        <x:v>46</x:v>
      </x:c>
    </x:row>
    <x:row r="9651" spans="1:16">
      <x:c r="A9651" s="0" t="s">
        <x:v>38467</x:v>
      </x:c>
      <x:c r="B9651" s="0" t="s">
        <x:v>38468</x:v>
      </x:c>
      <x:c r="C9651" s="0" t="s">
        <x:v>38469</x:v>
      </x:c>
      <x:c r="E9651" s="0" t="s">
        <x:v>38470</x:v>
      </x:c>
      <x:c r="F9651" s="0" t="s">
        <x:v>45</x:v>
      </x:c>
      <x:c r="G9651" s="0" t="s">
        <x:v>19</x:v>
      </x:c>
      <x:c r="H9651" s="0" t="s">
        <x:v>20</x:v>
      </x:c>
      <x:c r="I9651" s="0" t="s">
        <x:v>21</x:v>
      </x:c>
      <x:c r="K9651" s="0">
        <x:f>hyperlink("https://icd.who.int/dev11/l-ichi/en#/http%3A%2F%2Fid.who.int%2Ficd%2Fentity%2F1534100260","browser")</x:f>
      </x:c>
      <x:c r="L9651" s="0">
        <x:f>hyperlink("https://icat2.azurewebsites.net/icat/?ontology=ICD&amp;tab=ClassesTab&amp;id=http%3A%2F%2Fwho.int%2Ficd%232577_b929cd40_1812_4e2b_8d98_622273bc31b1","iCat")</x:f>
      </x:c>
      <x:c r="M9651" s="0" t="s">
        <x:v>21</x:v>
      </x:c>
      <x:c r="N9651" s="0" t="s">
        <x:v>46</x:v>
      </x:c>
    </x:row>
    <x:row r="9652" spans="1:16">
      <x:c r="A9652" s="0" t="s">
        <x:v>38471</x:v>
      </x:c>
      <x:c r="B9652" s="0" t="s">
        <x:v>38472</x:v>
      </x:c>
      <x:c r="C9652" s="0" t="s">
        <x:v>38473</x:v>
      </x:c>
      <x:c r="E9652" s="0" t="s">
        <x:v>38474</x:v>
      </x:c>
      <x:c r="F9652" s="0" t="s">
        <x:v>45</x:v>
      </x:c>
      <x:c r="G9652" s="0" t="s">
        <x:v>19</x:v>
      </x:c>
      <x:c r="H9652" s="0" t="s">
        <x:v>20</x:v>
      </x:c>
      <x:c r="I9652" s="0" t="s">
        <x:v>21</x:v>
      </x:c>
      <x:c r="K9652" s="0">
        <x:f>hyperlink("https://icd.who.int/dev11/l-ichi/en#/http%3A%2F%2Fid.who.int%2Ficd%2Fentity%2F1099959688","browser")</x:f>
      </x:c>
      <x:c r="L9652" s="0">
        <x:f>hyperlink("https://icat2.azurewebsites.net/icat/?ontology=ICD&amp;tab=ClassesTab&amp;id=http%3A%2F%2Fwho.int%2Ficd%232583_b929cd40_1812_4e2b_8d98_622273bc31b1","iCat")</x:f>
      </x:c>
      <x:c r="M9652" s="0" t="s">
        <x:v>21</x:v>
      </x:c>
      <x:c r="N9652" s="0" t="s">
        <x:v>46</x:v>
      </x:c>
    </x:row>
    <x:row r="9653" spans="1:16">
      <x:c r="A9653" s="0" t="s">
        <x:v>38475</x:v>
      </x:c>
      <x:c r="B9653" s="0" t="s">
        <x:v>38476</x:v>
      </x:c>
      <x:c r="C9653" s="0" t="s">
        <x:v>38477</x:v>
      </x:c>
      <x:c r="E9653" s="0" t="s">
        <x:v>38478</x:v>
      </x:c>
      <x:c r="F9653" s="0" t="s">
        <x:v>45</x:v>
      </x:c>
      <x:c r="G9653" s="0" t="s">
        <x:v>19</x:v>
      </x:c>
      <x:c r="H9653" s="0" t="s">
        <x:v>20</x:v>
      </x:c>
      <x:c r="I9653" s="0" t="s">
        <x:v>21</x:v>
      </x:c>
      <x:c r="K9653" s="0">
        <x:f>hyperlink("https://icd.who.int/dev11/l-ichi/en#/http%3A%2F%2Fid.who.int%2Ficd%2Fentity%2F1785553176","browser")</x:f>
      </x:c>
      <x:c r="L9653" s="0">
        <x:f>hyperlink("https://icat2.azurewebsites.net/icat/?ontology=ICD&amp;tab=ClassesTab&amp;id=http%3A%2F%2Fwho.int%2Ficd%232589_b929cd40_1812_4e2b_8d98_622273bc31b1","iCat")</x:f>
      </x:c>
      <x:c r="M9653" s="0" t="s">
        <x:v>21</x:v>
      </x:c>
      <x:c r="N9653" s="0" t="s">
        <x:v>46</x:v>
      </x:c>
    </x:row>
    <x:row r="9654" spans="1:16">
      <x:c r="A9654" s="0" t="s">
        <x:v>38479</x:v>
      </x:c>
      <x:c r="B9654" s="0" t="s">
        <x:v>38480</x:v>
      </x:c>
      <x:c r="C9654" s="0" t="s">
        <x:v>38481</x:v>
      </x:c>
      <x:c r="E9654" s="0" t="s">
        <x:v>38482</x:v>
      </x:c>
      <x:c r="F9654" s="0" t="s">
        <x:v>45</x:v>
      </x:c>
      <x:c r="G9654" s="0" t="s">
        <x:v>19</x:v>
      </x:c>
      <x:c r="H9654" s="0" t="s">
        <x:v>20</x:v>
      </x:c>
      <x:c r="I9654" s="0" t="s">
        <x:v>21</x:v>
      </x:c>
      <x:c r="K9654" s="0">
        <x:f>hyperlink("https://icd.who.int/dev11/l-ichi/en#/http%3A%2F%2Fid.who.int%2Ficd%2Fentity%2F2066628976","browser")</x:f>
      </x:c>
      <x:c r="L9654" s="0">
        <x:f>hyperlink("https://icat2.azurewebsites.net/icat/?ontology=ICD&amp;tab=ClassesTab&amp;id=http%3A%2F%2Fwho.int%2Ficd%232595_b929cd40_1812_4e2b_8d98_622273bc31b1","iCat")</x:f>
      </x:c>
      <x:c r="M9654" s="0" t="s">
        <x:v>21</x:v>
      </x:c>
      <x:c r="N9654" s="0" t="s">
        <x:v>46</x:v>
      </x:c>
    </x:row>
    <x:row r="9655" spans="1:16">
      <x:c r="A9655" s="0" t="s">
        <x:v>38483</x:v>
      </x:c>
      <x:c r="B9655" s="0" t="s">
        <x:v>38484</x:v>
      </x:c>
      <x:c r="C9655" s="0" t="s">
        <x:v>38485</x:v>
      </x:c>
      <x:c r="E9655" s="0" t="s">
        <x:v>38486</x:v>
      </x:c>
      <x:c r="F9655" s="0" t="s">
        <x:v>45</x:v>
      </x:c>
      <x:c r="G9655" s="0" t="s">
        <x:v>19</x:v>
      </x:c>
      <x:c r="H9655" s="0" t="s">
        <x:v>20</x:v>
      </x:c>
      <x:c r="I9655" s="0" t="s">
        <x:v>21</x:v>
      </x:c>
      <x:c r="K9655" s="0">
        <x:f>hyperlink("https://icd.who.int/dev11/l-ichi/en#/http%3A%2F%2Fid.who.int%2Ficd%2Fentity%2F1518534096","browser")</x:f>
      </x:c>
      <x:c r="L9655" s="0">
        <x:f>hyperlink("https://icat2.azurewebsites.net/icat/?ontology=ICD&amp;tab=ClassesTab&amp;id=http%3A%2F%2Fwho.int%2Ficd%232601_b929cd40_1812_4e2b_8d98_622273bc31b1","iCat")</x:f>
      </x:c>
      <x:c r="M9655" s="0" t="s">
        <x:v>21</x:v>
      </x:c>
      <x:c r="N9655" s="0" t="s">
        <x:v>46</x:v>
      </x:c>
    </x:row>
    <x:row r="9656" spans="1:16">
      <x:c r="A9656" s="0" t="s">
        <x:v>38487</x:v>
      </x:c>
      <x:c r="B9656" s="0" t="s">
        <x:v>38488</x:v>
      </x:c>
      <x:c r="C9656" s="0" t="s">
        <x:v>38489</x:v>
      </x:c>
      <x:c r="E9656" s="0" t="s">
        <x:v>38490</x:v>
      </x:c>
      <x:c r="F9656" s="0" t="s">
        <x:v>45</x:v>
      </x:c>
      <x:c r="G9656" s="0" t="s">
        <x:v>19</x:v>
      </x:c>
      <x:c r="H9656" s="0" t="s">
        <x:v>20</x:v>
      </x:c>
      <x:c r="I9656" s="0" t="s">
        <x:v>21</x:v>
      </x:c>
      <x:c r="K9656" s="0">
        <x:f>hyperlink("https://icd.who.int/dev11/l-ichi/en#/http%3A%2F%2Fid.who.int%2Ficd%2Fentity%2F184099937","browser")</x:f>
      </x:c>
      <x:c r="L9656" s="0">
        <x:f>hyperlink("https://icat2.azurewebsites.net/icat/?ontology=ICD&amp;tab=ClassesTab&amp;id=http%3A%2F%2Fwho.int%2Ficd%232607_b929cd40_1812_4e2b_8d98_622273bc31b1","iCat")</x:f>
      </x:c>
      <x:c r="M9656" s="0" t="s">
        <x:v>21</x:v>
      </x:c>
      <x:c r="N9656" s="0" t="s">
        <x:v>46</x:v>
      </x:c>
    </x:row>
    <x:row r="9657" spans="1:16">
      <x:c r="A9657" s="0" t="s">
        <x:v>38491</x:v>
      </x:c>
      <x:c r="B9657" s="0" t="s">
        <x:v>38492</x:v>
      </x:c>
      <x:c r="C9657" s="0" t="s">
        <x:v>38493</x:v>
      </x:c>
      <x:c r="E9657" s="0" t="s">
        <x:v>38494</x:v>
      </x:c>
      <x:c r="F9657" s="0" t="s">
        <x:v>45</x:v>
      </x:c>
      <x:c r="G9657" s="0" t="s">
        <x:v>19</x:v>
      </x:c>
      <x:c r="H9657" s="0" t="s">
        <x:v>20</x:v>
      </x:c>
      <x:c r="I9657" s="0" t="s">
        <x:v>21</x:v>
      </x:c>
      <x:c r="K9657" s="0">
        <x:f>hyperlink("https://icd.who.int/dev11/l-ichi/en#/http%3A%2F%2Fid.who.int%2Ficd%2Fentity%2F274457131","browser")</x:f>
      </x:c>
      <x:c r="L9657" s="0">
        <x:f>hyperlink("https://icat2.azurewebsites.net/icat/?ontology=ICD&amp;tab=ClassesTab&amp;id=http%3A%2F%2Fwho.int%2Ficd%232657_b929cd40_1812_4e2b_8d98_622273bc31b1","iCat")</x:f>
      </x:c>
      <x:c r="M9657" s="0" t="s">
        <x:v>21</x:v>
      </x:c>
      <x:c r="N9657" s="0" t="s">
        <x:v>46</x:v>
      </x:c>
    </x:row>
    <x:row r="9658" spans="1:16">
      <x:c r="A9658" s="0" t="s">
        <x:v>38495</x:v>
      </x:c>
      <x:c r="B9658" s="0" t="s">
        <x:v>38496</x:v>
      </x:c>
      <x:c r="C9658" s="0" t="s">
        <x:v>38497</x:v>
      </x:c>
      <x:c r="E9658" s="0" t="s">
        <x:v>38498</x:v>
      </x:c>
      <x:c r="F9658" s="0" t="s">
        <x:v>45</x:v>
      </x:c>
      <x:c r="G9658" s="0" t="s">
        <x:v>19</x:v>
      </x:c>
      <x:c r="H9658" s="0" t="s">
        <x:v>20</x:v>
      </x:c>
      <x:c r="I9658" s="0" t="s">
        <x:v>21</x:v>
      </x:c>
      <x:c r="K9658" s="0">
        <x:f>hyperlink("https://icd.who.int/dev11/l-ichi/en#/http%3A%2F%2Fid.who.int%2Ficd%2Fentity%2F1710057050","browser")</x:f>
      </x:c>
      <x:c r="L9658" s="0">
        <x:f>hyperlink("https://icat2.azurewebsites.net/icat/?ontology=ICD&amp;tab=ClassesTab&amp;id=http%3A%2F%2Fwho.int%2Ficd%232663_b929cd40_1812_4e2b_8d98_622273bc31b1","iCat")</x:f>
      </x:c>
      <x:c r="M9658" s="0" t="s">
        <x:v>21</x:v>
      </x:c>
      <x:c r="N9658" s="0" t="s">
        <x:v>46</x:v>
      </x:c>
    </x:row>
    <x:row r="9659" spans="1:16">
      <x:c r="A9659" s="0" t="s">
        <x:v>38499</x:v>
      </x:c>
      <x:c r="B9659" s="0" t="s">
        <x:v>38500</x:v>
      </x:c>
      <x:c r="C9659" s="0" t="s">
        <x:v>38501</x:v>
      </x:c>
      <x:c r="E9659" s="0" t="s">
        <x:v>38502</x:v>
      </x:c>
      <x:c r="F9659" s="0" t="s">
        <x:v>45</x:v>
      </x:c>
      <x:c r="G9659" s="0" t="s">
        <x:v>19</x:v>
      </x:c>
      <x:c r="H9659" s="0" t="s">
        <x:v>20</x:v>
      </x:c>
      <x:c r="I9659" s="0" t="s">
        <x:v>21</x:v>
      </x:c>
      <x:c r="K9659" s="0">
        <x:f>hyperlink("https://icd.who.int/dev11/l-ichi/en#/http%3A%2F%2Fid.who.int%2Ficd%2Fentity%2F1309674186","browser")</x:f>
      </x:c>
      <x:c r="L9659" s="0">
        <x:f>hyperlink("https://icat2.azurewebsites.net/icat/?ontology=ICD&amp;tab=ClassesTab&amp;id=http%3A%2F%2Fwho.int%2Ficd%232669_b929cd40_1812_4e2b_8d98_622273bc31b1","iCat")</x:f>
      </x:c>
      <x:c r="M9659" s="0" t="s">
        <x:v>21</x:v>
      </x:c>
      <x:c r="N9659" s="0" t="s">
        <x:v>46</x:v>
      </x:c>
    </x:row>
    <x:row r="9660" spans="1:16">
      <x:c r="A9660" s="0" t="s">
        <x:v>38503</x:v>
      </x:c>
      <x:c r="B9660" s="0" t="s">
        <x:v>38504</x:v>
      </x:c>
      <x:c r="C9660" s="0" t="s">
        <x:v>38505</x:v>
      </x:c>
      <x:c r="E9660" s="0" t="s">
        <x:v>38506</x:v>
      </x:c>
      <x:c r="F9660" s="0" t="s">
        <x:v>45</x:v>
      </x:c>
      <x:c r="G9660" s="0" t="s">
        <x:v>19</x:v>
      </x:c>
      <x:c r="H9660" s="0" t="s">
        <x:v>20</x:v>
      </x:c>
      <x:c r="I9660" s="0" t="s">
        <x:v>21</x:v>
      </x:c>
      <x:c r="K9660" s="0">
        <x:f>hyperlink("https://icd.who.int/dev11/l-ichi/en#/http%3A%2F%2Fid.who.int%2Ficd%2Fentity%2F1599285950","browser")</x:f>
      </x:c>
      <x:c r="L9660" s="0">
        <x:f>hyperlink("https://icat2.azurewebsites.net/icat/?ontology=ICD&amp;tab=ClassesTab&amp;id=http%3A%2F%2Fwho.int%2Ficd%232675_b929cd40_1812_4e2b_8d98_622273bc31b1","iCat")</x:f>
      </x:c>
      <x:c r="M9660" s="0" t="s">
        <x:v>21</x:v>
      </x:c>
      <x:c r="N9660" s="0" t="s">
        <x:v>46</x:v>
      </x:c>
    </x:row>
    <x:row r="9661" spans="1:16">
      <x:c r="A9661" s="0" t="s">
        <x:v>38507</x:v>
      </x:c>
      <x:c r="B9661" s="0" t="s">
        <x:v>38508</x:v>
      </x:c>
      <x:c r="C9661" s="0" t="s">
        <x:v>38509</x:v>
      </x:c>
      <x:c r="E9661" s="0" t="s">
        <x:v>38510</x:v>
      </x:c>
      <x:c r="F9661" s="0" t="s">
        <x:v>45</x:v>
      </x:c>
      <x:c r="G9661" s="0" t="s">
        <x:v>19</x:v>
      </x:c>
      <x:c r="H9661" s="0" t="s">
        <x:v>20</x:v>
      </x:c>
      <x:c r="I9661" s="0" t="s">
        <x:v>21</x:v>
      </x:c>
      <x:c r="K9661" s="0">
        <x:f>hyperlink("https://icd.who.int/dev11/l-ichi/en#/http%3A%2F%2Fid.who.int%2Ficd%2Fentity%2F1169400854","browser")</x:f>
      </x:c>
      <x:c r="L9661" s="0">
        <x:f>hyperlink("https://icat2.azurewebsites.net/icat/?ontology=ICD&amp;tab=ClassesTab&amp;id=http%3A%2F%2Fwho.int%2Ficd%232681_b929cd40_1812_4e2b_8d98_622273bc31b1","iCat")</x:f>
      </x:c>
      <x:c r="M9661" s="0" t="s">
        <x:v>21</x:v>
      </x:c>
      <x:c r="N9661" s="0" t="s">
        <x:v>46</x:v>
      </x:c>
    </x:row>
    <x:row r="9662" spans="1:16">
      <x:c r="A9662" s="0" t="s">
        <x:v>38511</x:v>
      </x:c>
      <x:c r="B9662" s="0" t="s">
        <x:v>38512</x:v>
      </x:c>
      <x:c r="C9662" s="0" t="s">
        <x:v>38513</x:v>
      </x:c>
      <x:c r="E9662" s="0" t="s">
        <x:v>38514</x:v>
      </x:c>
      <x:c r="F9662" s="0" t="s">
        <x:v>45</x:v>
      </x:c>
      <x:c r="G9662" s="0" t="s">
        <x:v>19</x:v>
      </x:c>
      <x:c r="H9662" s="0" t="s">
        <x:v>20</x:v>
      </x:c>
      <x:c r="I9662" s="0" t="s">
        <x:v>21</x:v>
      </x:c>
      <x:c r="K9662" s="0">
        <x:f>hyperlink("https://icd.who.int/dev11/l-ichi/en#/http%3A%2F%2Fid.who.int%2Ficd%2Fentity%2F365460901","browser")</x:f>
      </x:c>
      <x:c r="L9662" s="0">
        <x:f>hyperlink("https://icat2.azurewebsites.net/icat/?ontology=ICD&amp;tab=ClassesTab&amp;id=http%3A%2F%2Fwho.int%2Ficd%232687_b929cd40_1812_4e2b_8d98_622273bc31b1","iCat")</x:f>
      </x:c>
      <x:c r="M9662" s="0" t="s">
        <x:v>21</x:v>
      </x:c>
      <x:c r="N9662" s="0" t="s">
        <x:v>46</x:v>
      </x:c>
    </x:row>
    <x:row r="9663" spans="1:16">
      <x:c r="A9663" s="0" t="s">
        <x:v>38515</x:v>
      </x:c>
      <x:c r="B9663" s="0" t="s">
        <x:v>38516</x:v>
      </x:c>
      <x:c r="C9663" s="0" t="s">
        <x:v>38517</x:v>
      </x:c>
      <x:c r="E9663" s="0" t="s">
        <x:v>38518</x:v>
      </x:c>
      <x:c r="F9663" s="0" t="s">
        <x:v>45</x:v>
      </x:c>
      <x:c r="G9663" s="0" t="s">
        <x:v>19</x:v>
      </x:c>
      <x:c r="H9663" s="0" t="s">
        <x:v>20</x:v>
      </x:c>
      <x:c r="I9663" s="0" t="s">
        <x:v>21</x:v>
      </x:c>
      <x:c r="K9663" s="0">
        <x:f>hyperlink("https://icd.who.int/dev11/l-ichi/en#/http%3A%2F%2Fid.who.int%2Ficd%2Fentity%2F1242180744","browser")</x:f>
      </x:c>
      <x:c r="L9663" s="0">
        <x:f>hyperlink("https://icat2.azurewebsites.net/icat/?ontology=ICD&amp;tab=ClassesTab&amp;id=http%3A%2F%2Fwho.int%2Ficd%232693_b929cd40_1812_4e2b_8d98_622273bc31b1","iCat")</x:f>
      </x:c>
      <x:c r="M9663" s="0" t="s">
        <x:v>21</x:v>
      </x:c>
      <x:c r="N9663" s="0" t="s">
        <x:v>46</x:v>
      </x:c>
    </x:row>
    <x:row r="9664" spans="1:16">
      <x:c r="A9664" s="0" t="s">
        <x:v>38519</x:v>
      </x:c>
      <x:c r="B9664" s="0" t="s">
        <x:v>38520</x:v>
      </x:c>
      <x:c r="C9664" s="0" t="s">
        <x:v>38521</x:v>
      </x:c>
      <x:c r="E9664" s="0" t="s">
        <x:v>38522</x:v>
      </x:c>
      <x:c r="F9664" s="0" t="s">
        <x:v>45</x:v>
      </x:c>
      <x:c r="G9664" s="0" t="s">
        <x:v>19</x:v>
      </x:c>
      <x:c r="H9664" s="0" t="s">
        <x:v>20</x:v>
      </x:c>
      <x:c r="I9664" s="0" t="s">
        <x:v>21</x:v>
      </x:c>
      <x:c r="K9664" s="0">
        <x:f>hyperlink("https://icd.who.int/dev11/l-ichi/en#/http%3A%2F%2Fid.who.int%2Ficd%2Fentity%2F1643593752","browser")</x:f>
      </x:c>
      <x:c r="L9664" s="0">
        <x:f>hyperlink("https://icat2.azurewebsites.net/icat/?ontology=ICD&amp;tab=ClassesTab&amp;id=http%3A%2F%2Fwho.int%2Ficd%232699_b929cd40_1812_4e2b_8d98_622273bc31b1","iCat")</x:f>
      </x:c>
      <x:c r="M9664" s="0" t="s">
        <x:v>21</x:v>
      </x:c>
      <x:c r="N9664" s="0" t="s">
        <x:v>46</x:v>
      </x:c>
    </x:row>
    <x:row r="9665" spans="1:16">
      <x:c r="A9665" s="0" t="s">
        <x:v>38523</x:v>
      </x:c>
      <x:c r="B9665" s="0" t="s">
        <x:v>38524</x:v>
      </x:c>
      <x:c r="C9665" s="0" t="s">
        <x:v>38525</x:v>
      </x:c>
      <x:c r="E9665" s="0" t="s">
        <x:v>38526</x:v>
      </x:c>
      <x:c r="F9665" s="0" t="s">
        <x:v>45</x:v>
      </x:c>
      <x:c r="G9665" s="0" t="s">
        <x:v>19</x:v>
      </x:c>
      <x:c r="H9665" s="0" t="s">
        <x:v>20</x:v>
      </x:c>
      <x:c r="I9665" s="0" t="s">
        <x:v>21</x:v>
      </x:c>
      <x:c r="K9665" s="0">
        <x:f>hyperlink("https://icd.who.int/dev11/l-ichi/en#/http%3A%2F%2Fid.who.int%2Ficd%2Fentity%2F437976889","browser")</x:f>
      </x:c>
      <x:c r="L9665" s="0">
        <x:f>hyperlink("https://icat2.azurewebsites.net/icat/?ontology=ICD&amp;tab=ClassesTab&amp;id=http%3A%2F%2Fwho.int%2Ficd%232705_b929cd40_1812_4e2b_8d98_622273bc31b1","iCat")</x:f>
      </x:c>
      <x:c r="M9665" s="0" t="s">
        <x:v>21</x:v>
      </x:c>
      <x:c r="N9665" s="0" t="s">
        <x:v>46</x:v>
      </x:c>
    </x:row>
    <x:row r="9666" spans="1:16">
      <x:c r="A9666" s="0" t="s">
        <x:v>38527</x:v>
      </x:c>
      <x:c r="B9666" s="0" t="s">
        <x:v>38528</x:v>
      </x:c>
      <x:c r="C9666" s="0" t="s">
        <x:v>38529</x:v>
      </x:c>
      <x:c r="E9666" s="0" t="s">
        <x:v>38530</x:v>
      </x:c>
      <x:c r="F9666" s="0" t="s">
        <x:v>45</x:v>
      </x:c>
      <x:c r="G9666" s="0" t="s">
        <x:v>19</x:v>
      </x:c>
      <x:c r="H9666" s="0" t="s">
        <x:v>20</x:v>
      </x:c>
      <x:c r="I9666" s="0" t="s">
        <x:v>21</x:v>
      </x:c>
      <x:c r="K9666" s="0">
        <x:f>hyperlink("https://icd.who.int/dev11/l-ichi/en#/http%3A%2F%2Fid.who.int%2Ficd%2Fentity%2F1171828250","browser")</x:f>
      </x:c>
      <x:c r="L9666" s="0">
        <x:f>hyperlink("https://icat2.azurewebsites.net/icat/?ontology=ICD&amp;tab=ClassesTab&amp;id=http%3A%2F%2Fwho.int%2Ficd%232711_b929cd40_1812_4e2b_8d98_622273bc31b1","iCat")</x:f>
      </x:c>
      <x:c r="M9666" s="0" t="s">
        <x:v>21</x:v>
      </x:c>
      <x:c r="N9666" s="0" t="s">
        <x:v>46</x:v>
      </x:c>
    </x:row>
    <x:row r="9667" spans="1:16">
      <x:c r="A9667" s="0" t="s">
        <x:v>38531</x:v>
      </x:c>
      <x:c r="B9667" s="0" t="s">
        <x:v>38532</x:v>
      </x:c>
      <x:c r="C9667" s="0" t="s">
        <x:v>38533</x:v>
      </x:c>
      <x:c r="E9667" s="0" t="s">
        <x:v>38534</x:v>
      </x:c>
      <x:c r="F9667" s="0" t="s">
        <x:v>45</x:v>
      </x:c>
      <x:c r="G9667" s="0" t="s">
        <x:v>19</x:v>
      </x:c>
      <x:c r="H9667" s="0" t="s">
        <x:v>20</x:v>
      </x:c>
      <x:c r="I9667" s="0" t="s">
        <x:v>21</x:v>
      </x:c>
      <x:c r="K9667" s="0">
        <x:f>hyperlink("https://icd.who.int/dev11/l-ichi/en#/http%3A%2F%2Fid.who.int%2Ficd%2Fentity%2F363034539","browser")</x:f>
      </x:c>
      <x:c r="L9667" s="0">
        <x:f>hyperlink("https://icat2.azurewebsites.net/icat/?ontology=ICD&amp;tab=ClassesTab&amp;id=http%3A%2F%2Fwho.int%2Ficd%232717_b929cd40_1812_4e2b_8d98_622273bc31b1","iCat")</x:f>
      </x:c>
      <x:c r="M9667" s="0" t="s">
        <x:v>21</x:v>
      </x:c>
      <x:c r="N9667" s="0" t="s">
        <x:v>46</x:v>
      </x:c>
    </x:row>
    <x:row r="9668" spans="1:16">
      <x:c r="A9668" s="0" t="s">
        <x:v>38535</x:v>
      </x:c>
      <x:c r="B9668" s="0" t="s">
        <x:v>38536</x:v>
      </x:c>
      <x:c r="C9668" s="0" t="s">
        <x:v>38537</x:v>
      </x:c>
      <x:c r="E9668" s="0" t="s">
        <x:v>38538</x:v>
      </x:c>
      <x:c r="F9668" s="0" t="s">
        <x:v>45</x:v>
      </x:c>
      <x:c r="G9668" s="0" t="s">
        <x:v>19</x:v>
      </x:c>
      <x:c r="H9668" s="0" t="s">
        <x:v>20</x:v>
      </x:c>
      <x:c r="I9668" s="0" t="s">
        <x:v>21</x:v>
      </x:c>
      <x:c r="K9668" s="0">
        <x:f>hyperlink("https://icd.who.int/dev11/l-ichi/en#/http%3A%2F%2Fid.who.int%2Ficd%2Fentity%2F1612051418","browser")</x:f>
      </x:c>
      <x:c r="L9668" s="0">
        <x:f>hyperlink("https://icat2.azurewebsites.net/icat/?ontology=ICD&amp;tab=ClassesTab&amp;id=http%3A%2F%2Fwho.int%2Ficd%232723_b929cd40_1812_4e2b_8d98_622273bc31b1","iCat")</x:f>
      </x:c>
      <x:c r="M9668" s="0" t="s">
        <x:v>21</x:v>
      </x:c>
      <x:c r="N9668" s="0" t="s">
        <x:v>46</x:v>
      </x:c>
    </x:row>
    <x:row r="9669" spans="1:16">
      <x:c r="A9669" s="0" t="s">
        <x:v>38539</x:v>
      </x:c>
      <x:c r="B9669" s="0" t="s">
        <x:v>38540</x:v>
      </x:c>
      <x:c r="C9669" s="0" t="s">
        <x:v>38541</x:v>
      </x:c>
      <x:c r="E9669" s="0" t="s">
        <x:v>38542</x:v>
      </x:c>
      <x:c r="F9669" s="0" t="s">
        <x:v>45</x:v>
      </x:c>
      <x:c r="G9669" s="0" t="s">
        <x:v>19</x:v>
      </x:c>
      <x:c r="H9669" s="0" t="s">
        <x:v>20</x:v>
      </x:c>
      <x:c r="I9669" s="0" t="s">
        <x:v>21</x:v>
      </x:c>
      <x:c r="K9669" s="0">
        <x:f>hyperlink("https://icd.who.int/dev11/l-ichi/en#/http%3A%2F%2Fid.who.int%2Ficd%2Fentity%2F1273536330","browser")</x:f>
      </x:c>
      <x:c r="L9669" s="0">
        <x:f>hyperlink("https://icat2.azurewebsites.net/icat/?ontology=ICD&amp;tab=ClassesTab&amp;id=http%3A%2F%2Fwho.int%2Ficd%232729_b929cd40_1812_4e2b_8d98_622273bc31b1","iCat")</x:f>
      </x:c>
      <x:c r="M9669" s="0" t="s">
        <x:v>21</x:v>
      </x:c>
      <x:c r="N9669" s="0" t="s">
        <x:v>46</x:v>
      </x:c>
    </x:row>
    <x:row r="9670" spans="1:16">
      <x:c r="A9670" s="0" t="s">
        <x:v>38543</x:v>
      </x:c>
      <x:c r="B9670" s="0" t="s">
        <x:v>38544</x:v>
      </x:c>
      <x:c r="C9670" s="0" t="s">
        <x:v>38545</x:v>
      </x:c>
      <x:c r="E9670" s="0" t="s">
        <x:v>38546</x:v>
      </x:c>
      <x:c r="F9670" s="0" t="s">
        <x:v>45</x:v>
      </x:c>
      <x:c r="G9670" s="0" t="s">
        <x:v>19</x:v>
      </x:c>
      <x:c r="H9670" s="0" t="s">
        <x:v>20</x:v>
      </x:c>
      <x:c r="I9670" s="0" t="s">
        <x:v>21</x:v>
      </x:c>
      <x:c r="K9670" s="0">
        <x:f>hyperlink("https://icd.who.int/dev11/l-ichi/en#/http%3A%2F%2Fid.who.int%2Ficd%2Fentity%2F1521205054","browser")</x:f>
      </x:c>
      <x:c r="L9670" s="0">
        <x:f>hyperlink("https://icat2.azurewebsites.net/icat/?ontology=ICD&amp;tab=ClassesTab&amp;id=http%3A%2F%2Fwho.int%2Ficd%232735_b929cd40_1812_4e2b_8d98_622273bc31b1","iCat")</x:f>
      </x:c>
      <x:c r="M9670" s="0" t="s">
        <x:v>21</x:v>
      </x:c>
      <x:c r="N9670" s="0" t="s">
        <x:v>46</x:v>
      </x:c>
    </x:row>
    <x:row r="9671" spans="1:16">
      <x:c r="A9671" s="0" t="s">
        <x:v>38547</x:v>
      </x:c>
      <x:c r="B9671" s="0" t="s">
        <x:v>38548</x:v>
      </x:c>
      <x:c r="C9671" s="0" t="s">
        <x:v>38549</x:v>
      </x:c>
      <x:c r="E9671" s="0" t="s">
        <x:v>38550</x:v>
      </x:c>
      <x:c r="F9671" s="0" t="s">
        <x:v>45</x:v>
      </x:c>
      <x:c r="G9671" s="0" t="s">
        <x:v>19</x:v>
      </x:c>
      <x:c r="H9671" s="0" t="s">
        <x:v>20</x:v>
      </x:c>
      <x:c r="I9671" s="0" t="s">
        <x:v>21</x:v>
      </x:c>
      <x:c r="K9671" s="0">
        <x:f>hyperlink("https://icd.who.int/dev11/l-ichi/en#/http%3A%2F%2Fid.who.int%2Ficd%2Fentity%2F1385697177","browser")</x:f>
      </x:c>
      <x:c r="L9671" s="0">
        <x:f>hyperlink("https://icat2.azurewebsites.net/icat/?ontology=ICD&amp;tab=ClassesTab&amp;id=http%3A%2F%2Fwho.int%2Ficd%232979_b929cd40_1812_4e2b_8d98_622273bc31b1","iCat")</x:f>
      </x:c>
      <x:c r="M9671" s="0" t="s">
        <x:v>21</x:v>
      </x:c>
      <x:c r="N9671" s="0" t="s">
        <x:v>46</x:v>
      </x:c>
    </x:row>
    <x:row r="9672" spans="1:16">
      <x:c r="A9672" s="0" t="s">
        <x:v>38551</x:v>
      </x:c>
      <x:c r="B9672" s="0" t="s">
        <x:v>38552</x:v>
      </x:c>
      <x:c r="C9672" s="0" t="s">
        <x:v>38553</x:v>
      </x:c>
      <x:c r="E9672" s="0" t="s">
        <x:v>38554</x:v>
      </x:c>
      <x:c r="F9672" s="0" t="s">
        <x:v>45</x:v>
      </x:c>
      <x:c r="G9672" s="0" t="s">
        <x:v>19</x:v>
      </x:c>
      <x:c r="H9672" s="0" t="s">
        <x:v>20</x:v>
      </x:c>
      <x:c r="I9672" s="0" t="s">
        <x:v>21</x:v>
      </x:c>
      <x:c r="K9672" s="0">
        <x:f>hyperlink("https://icd.who.int/dev11/l-ichi/en#/http%3A%2F%2Fid.who.int%2Ficd%2Fentity%2F117043304","browser")</x:f>
      </x:c>
      <x:c r="L9672" s="0">
        <x:f>hyperlink("https://icat2.azurewebsites.net/icat/?ontology=ICD&amp;tab=ClassesTab&amp;id=http%3A%2F%2Fwho.int%2Ficd%232985_b929cd40_1812_4e2b_8d98_622273bc31b1","iCat")</x:f>
      </x:c>
      <x:c r="M9672" s="0" t="s">
        <x:v>21</x:v>
      </x:c>
      <x:c r="N9672" s="0" t="s">
        <x:v>46</x:v>
      </x:c>
    </x:row>
    <x:row r="9673" spans="1:16">
      <x:c r="A9673" s="0" t="s">
        <x:v>38555</x:v>
      </x:c>
      <x:c r="B9673" s="0" t="s">
        <x:v>38556</x:v>
      </x:c>
      <x:c r="C9673" s="0" t="s">
        <x:v>38557</x:v>
      </x:c>
      <x:c r="E9673" s="0" t="s">
        <x:v>38558</x:v>
      </x:c>
      <x:c r="F9673" s="0" t="s">
        <x:v>45</x:v>
      </x:c>
      <x:c r="G9673" s="0" t="s">
        <x:v>19</x:v>
      </x:c>
      <x:c r="H9673" s="0" t="s">
        <x:v>20</x:v>
      </x:c>
      <x:c r="I9673" s="0" t="s">
        <x:v>21</x:v>
      </x:c>
      <x:c r="K9673" s="0">
        <x:f>hyperlink("https://icd.who.int/dev11/l-ichi/en#/http%3A%2F%2Fid.who.int%2Ficd%2Fentity%2F1497080133","browser")</x:f>
      </x:c>
      <x:c r="L9673" s="0">
        <x:f>hyperlink("https://icat2.azurewebsites.net/icat/?ontology=ICD&amp;tab=ClassesTab&amp;id=http%3A%2F%2Fwho.int%2Ficd%232991_b929cd40_1812_4e2b_8d98_622273bc31b1","iCat")</x:f>
      </x:c>
      <x:c r="M9673" s="0" t="s">
        <x:v>21</x:v>
      </x:c>
      <x:c r="N9673" s="0" t="s">
        <x:v>46</x:v>
      </x:c>
    </x:row>
    <x:row r="9674" spans="1:16">
      <x:c r="A9674" s="0" t="s">
        <x:v>38559</x:v>
      </x:c>
      <x:c r="B9674" s="0" t="s">
        <x:v>38560</x:v>
      </x:c>
      <x:c r="C9674" s="0" t="s">
        <x:v>38561</x:v>
      </x:c>
      <x:c r="E9674" s="0" t="s">
        <x:v>38562</x:v>
      </x:c>
      <x:c r="F9674" s="0" t="s">
        <x:v>45</x:v>
      </x:c>
      <x:c r="G9674" s="0" t="s">
        <x:v>19</x:v>
      </x:c>
      <x:c r="H9674" s="0" t="s">
        <x:v>20</x:v>
      </x:c>
      <x:c r="I9674" s="0" t="s">
        <x:v>21</x:v>
      </x:c>
      <x:c r="K9674" s="0">
        <x:f>hyperlink("https://icd.who.int/dev11/l-ichi/en#/http%3A%2F%2Fid.who.int%2Ficd%2Fentity%2F155220214","browser")</x:f>
      </x:c>
      <x:c r="L9674" s="0">
        <x:f>hyperlink("https://icat2.azurewebsites.net/icat/?ontology=ICD&amp;tab=ClassesTab&amp;id=http%3A%2F%2Fwho.int%2Ficd%232997_b929cd40_1812_4e2b_8d98_622273bc31b1","iCat")</x:f>
      </x:c>
      <x:c r="M9674" s="0" t="s">
        <x:v>21</x:v>
      </x:c>
      <x:c r="N9674" s="0" t="s">
        <x:v>46</x:v>
      </x:c>
    </x:row>
    <x:row r="9675" spans="1:16">
      <x:c r="A9675" s="0" t="s">
        <x:v>38563</x:v>
      </x:c>
      <x:c r="B9675" s="0" t="s">
        <x:v>38564</x:v>
      </x:c>
      <x:c r="C9675" s="0" t="s">
        <x:v>38565</x:v>
      </x:c>
      <x:c r="E9675" s="0" t="s">
        <x:v>38566</x:v>
      </x:c>
      <x:c r="F9675" s="0" t="s">
        <x:v>45</x:v>
      </x:c>
      <x:c r="G9675" s="0" t="s">
        <x:v>19</x:v>
      </x:c>
      <x:c r="H9675" s="0" t="s">
        <x:v>20</x:v>
      </x:c>
      <x:c r="I9675" s="0" t="s">
        <x:v>21</x:v>
      </x:c>
      <x:c r="K9675" s="0">
        <x:f>hyperlink("https://icd.who.int/dev11/l-ichi/en#/http%3A%2F%2Fid.who.int%2Ficd%2Fentity%2F1864865623","browser")</x:f>
      </x:c>
      <x:c r="L9675" s="0">
        <x:f>hyperlink("https://icat2.azurewebsites.net/icat/?ontology=ICD&amp;tab=ClassesTab&amp;id=http%3A%2F%2Fwho.int%2Ficd%233003_b929cd40_1812_4e2b_8d98_622273bc31b1","iCat")</x:f>
      </x:c>
      <x:c r="M9675" s="0" t="s">
        <x:v>21</x:v>
      </x:c>
      <x:c r="N9675" s="0" t="s">
        <x:v>46</x:v>
      </x:c>
    </x:row>
    <x:row r="9676" spans="1:16">
      <x:c r="A9676" s="0" t="s">
        <x:v>38567</x:v>
      </x:c>
      <x:c r="B9676" s="0" t="s">
        <x:v>38568</x:v>
      </x:c>
      <x:c r="C9676" s="0" t="s">
        <x:v>38569</x:v>
      </x:c>
      <x:c r="E9676" s="0" t="s">
        <x:v>38570</x:v>
      </x:c>
      <x:c r="F9676" s="0" t="s">
        <x:v>45</x:v>
      </x:c>
      <x:c r="G9676" s="0" t="s">
        <x:v>19</x:v>
      </x:c>
      <x:c r="H9676" s="0" t="s">
        <x:v>20</x:v>
      </x:c>
      <x:c r="I9676" s="0" t="s">
        <x:v>21</x:v>
      </x:c>
      <x:c r="K9676" s="0">
        <x:f>hyperlink("https://icd.who.int/dev11/l-ichi/en#/http%3A%2F%2Fid.who.int%2Ficd%2Fentity%2F1155201991","browser")</x:f>
      </x:c>
      <x:c r="L9676" s="0">
        <x:f>hyperlink("https://icat2.azurewebsites.net/icat/?ontology=ICD&amp;tab=ClassesTab&amp;id=http%3A%2F%2Fwho.int%2Ficd%233009_b929cd40_1812_4e2b_8d98_622273bc31b1","iCat")</x:f>
      </x:c>
      <x:c r="M9676" s="0" t="s">
        <x:v>21</x:v>
      </x:c>
      <x:c r="N9676" s="0" t="s">
        <x:v>46</x:v>
      </x:c>
    </x:row>
    <x:row r="9677" spans="1:16">
      <x:c r="A9677" s="0" t="s">
        <x:v>38571</x:v>
      </x:c>
      <x:c r="B9677" s="0" t="s">
        <x:v>38572</x:v>
      </x:c>
      <x:c r="C9677" s="0" t="s">
        <x:v>38573</x:v>
      </x:c>
      <x:c r="E9677" s="0" t="s">
        <x:v>38574</x:v>
      </x:c>
      <x:c r="F9677" s="0" t="s">
        <x:v>45</x:v>
      </x:c>
      <x:c r="G9677" s="0" t="s">
        <x:v>19</x:v>
      </x:c>
      <x:c r="H9677" s="0" t="s">
        <x:v>20</x:v>
      </x:c>
      <x:c r="I9677" s="0" t="s">
        <x:v>21</x:v>
      </x:c>
      <x:c r="K9677" s="0">
        <x:f>hyperlink("https://icd.who.int/dev11/l-ichi/en#/http%3A%2F%2Fid.who.int%2Ficd%2Fentity%2F1436146609","browser")</x:f>
      </x:c>
      <x:c r="L9677" s="0">
        <x:f>hyperlink("https://icat2.azurewebsites.net/icat/?ontology=ICD&amp;tab=ClassesTab&amp;id=http%3A%2F%2Fwho.int%2Ficd%233015_b929cd40_1812_4e2b_8d98_622273bc31b1","iCat")</x:f>
      </x:c>
      <x:c r="M9677" s="0" t="s">
        <x:v>21</x:v>
      </x:c>
      <x:c r="N9677" s="0" t="s">
        <x:v>46</x:v>
      </x:c>
    </x:row>
    <x:row r="9678" spans="1:16">
      <x:c r="A9678" s="0" t="s">
        <x:v>38575</x:v>
      </x:c>
      <x:c r="B9678" s="0" t="s">
        <x:v>38576</x:v>
      </x:c>
      <x:c r="C9678" s="0" t="s">
        <x:v>38577</x:v>
      </x:c>
      <x:c r="E9678" s="0" t="s">
        <x:v>38578</x:v>
      </x:c>
      <x:c r="F9678" s="0" t="s">
        <x:v>45</x:v>
      </x:c>
      <x:c r="G9678" s="0" t="s">
        <x:v>19</x:v>
      </x:c>
      <x:c r="H9678" s="0" t="s">
        <x:v>20</x:v>
      </x:c>
      <x:c r="I9678" s="0" t="s">
        <x:v>21</x:v>
      </x:c>
      <x:c r="K9678" s="0">
        <x:f>hyperlink("https://icd.who.int/dev11/l-ichi/en#/http%3A%2F%2Fid.who.int%2Ficd%2Fentity%2F539975620","browser")</x:f>
      </x:c>
      <x:c r="L9678" s="0">
        <x:f>hyperlink("https://icat2.azurewebsites.net/icat/?ontology=ICD&amp;tab=ClassesTab&amp;id=http%3A%2F%2Fwho.int%2Ficd%233021_b929cd40_1812_4e2b_8d98_622273bc31b1","iCat")</x:f>
      </x:c>
      <x:c r="M9678" s="0" t="s">
        <x:v>21</x:v>
      </x:c>
      <x:c r="N9678" s="0" t="s">
        <x:v>46</x:v>
      </x:c>
    </x:row>
    <x:row r="9679" spans="1:16">
      <x:c r="A9679" s="0" t="s">
        <x:v>38579</x:v>
      </x:c>
      <x:c r="B9679" s="0" t="s">
        <x:v>38580</x:v>
      </x:c>
      <x:c r="C9679" s="0" t="s">
        <x:v>38581</x:v>
      </x:c>
      <x:c r="E9679" s="0" t="s">
        <x:v>38582</x:v>
      </x:c>
      <x:c r="F9679" s="0" t="s">
        <x:v>45</x:v>
      </x:c>
      <x:c r="G9679" s="0" t="s">
        <x:v>19</x:v>
      </x:c>
      <x:c r="H9679" s="0" t="s">
        <x:v>20</x:v>
      </x:c>
      <x:c r="I9679" s="0" t="s">
        <x:v>21</x:v>
      </x:c>
      <x:c r="K9679" s="0">
        <x:f>hyperlink("https://icd.who.int/dev11/l-ichi/en#/http%3A%2F%2Fid.who.int%2Ficd%2Fentity%2F1884587635","browser")</x:f>
      </x:c>
      <x:c r="L9679" s="0">
        <x:f>hyperlink("https://icat2.azurewebsites.net/icat/?ontology=ICD&amp;tab=ClassesTab&amp;id=http%3A%2F%2Fwho.int%2Ficd%233027_b929cd40_1812_4e2b_8d98_622273bc31b1","iCat")</x:f>
      </x:c>
      <x:c r="M9679" s="0" t="s">
        <x:v>21</x:v>
      </x:c>
      <x:c r="N9679" s="0" t="s">
        <x:v>46</x:v>
      </x:c>
    </x:row>
    <x:row r="9680" spans="1:16">
      <x:c r="A9680" s="0" t="s">
        <x:v>38583</x:v>
      </x:c>
      <x:c r="B9680" s="0" t="s">
        <x:v>38584</x:v>
      </x:c>
      <x:c r="C9680" s="0" t="s">
        <x:v>38585</x:v>
      </x:c>
      <x:c r="E9680" s="0" t="s">
        <x:v>38586</x:v>
      </x:c>
      <x:c r="F9680" s="0" t="s">
        <x:v>45</x:v>
      </x:c>
      <x:c r="G9680" s="0" t="s">
        <x:v>19</x:v>
      </x:c>
      <x:c r="H9680" s="0" t="s">
        <x:v>20</x:v>
      </x:c>
      <x:c r="I9680" s="0" t="s">
        <x:v>21</x:v>
      </x:c>
      <x:c r="K9680" s="0">
        <x:f>hyperlink("https://icd.who.int/dev11/l-ichi/en#/http%3A%2F%2Fid.who.int%2Ficd%2Fentity%2F798414674","browser")</x:f>
      </x:c>
      <x:c r="L9680" s="0">
        <x:f>hyperlink("https://icat2.azurewebsites.net/icat/?ontology=ICD&amp;tab=ClassesTab&amp;id=http%3A%2F%2Fwho.int%2Ficd%233033_b929cd40_1812_4e2b_8d98_622273bc31b1","iCat")</x:f>
      </x:c>
      <x:c r="M9680" s="0" t="s">
        <x:v>21</x:v>
      </x:c>
      <x:c r="N9680" s="0" t="s">
        <x:v>46</x:v>
      </x:c>
    </x:row>
    <x:row r="9681" spans="1:16">
      <x:c r="A9681" s="0" t="s">
        <x:v>38587</x:v>
      </x:c>
      <x:c r="B9681" s="0" t="s">
        <x:v>38588</x:v>
      </x:c>
      <x:c r="C9681" s="0" t="s">
        <x:v>38589</x:v>
      </x:c>
      <x:c r="E9681" s="0" t="s">
        <x:v>38590</x:v>
      </x:c>
      <x:c r="F9681" s="0" t="s">
        <x:v>45</x:v>
      </x:c>
      <x:c r="G9681" s="0" t="s">
        <x:v>19</x:v>
      </x:c>
      <x:c r="H9681" s="0" t="s">
        <x:v>20</x:v>
      </x:c>
      <x:c r="I9681" s="0" t="s">
        <x:v>21</x:v>
      </x:c>
      <x:c r="K9681" s="0">
        <x:f>hyperlink("https://icd.who.int/dev11/l-ichi/en#/http%3A%2F%2Fid.who.int%2Ficd%2Fentity%2F74169282","browser")</x:f>
      </x:c>
      <x:c r="L9681" s="0">
        <x:f>hyperlink("https://icat2.azurewebsites.net/icat/?ontology=ICD&amp;tab=ClassesTab&amp;id=http%3A%2F%2Fwho.int%2Ficd%233039_b929cd40_1812_4e2b_8d98_622273bc31b1","iCat")</x:f>
      </x:c>
      <x:c r="M9681" s="0" t="s">
        <x:v>21</x:v>
      </x:c>
      <x:c r="N9681" s="0" t="s">
        <x:v>46</x:v>
      </x:c>
    </x:row>
    <x:row r="9682" spans="1:16">
      <x:c r="A9682" s="0" t="s">
        <x:v>38591</x:v>
      </x:c>
      <x:c r="B9682" s="0" t="s">
        <x:v>38592</x:v>
      </x:c>
      <x:c r="C9682" s="0" t="s">
        <x:v>38593</x:v>
      </x:c>
      <x:c r="E9682" s="0" t="s">
        <x:v>38594</x:v>
      </x:c>
      <x:c r="F9682" s="0" t="s">
        <x:v>45</x:v>
      </x:c>
      <x:c r="G9682" s="0" t="s">
        <x:v>19</x:v>
      </x:c>
      <x:c r="H9682" s="0" t="s">
        <x:v>20</x:v>
      </x:c>
      <x:c r="I9682" s="0" t="s">
        <x:v>21</x:v>
      </x:c>
      <x:c r="K9682" s="0">
        <x:f>hyperlink("https://icd.who.int/dev11/l-ichi/en#/http%3A%2F%2Fid.who.int%2Ficd%2Fentity%2F1329274363","browser")</x:f>
      </x:c>
      <x:c r="L9682" s="0">
        <x:f>hyperlink("https://icat2.azurewebsites.net/icat/?ontology=ICD&amp;tab=ClassesTab&amp;id=http%3A%2F%2Fwho.int%2Ficd%233045_b929cd40_1812_4e2b_8d98_622273bc31b1","iCat")</x:f>
      </x:c>
      <x:c r="M9682" s="0" t="s">
        <x:v>21</x:v>
      </x:c>
      <x:c r="N9682" s="0" t="s">
        <x:v>46</x:v>
      </x:c>
    </x:row>
    <x:row r="9683" spans="1:16">
      <x:c r="A9683" s="0" t="s">
        <x:v>38595</x:v>
      </x:c>
      <x:c r="B9683" s="0" t="s">
        <x:v>38596</x:v>
      </x:c>
      <x:c r="C9683" s="0" t="s">
        <x:v>38597</x:v>
      </x:c>
      <x:c r="E9683" s="0" t="s">
        <x:v>38598</x:v>
      </x:c>
      <x:c r="F9683" s="0" t="s">
        <x:v>45</x:v>
      </x:c>
      <x:c r="G9683" s="0" t="s">
        <x:v>19</x:v>
      </x:c>
      <x:c r="H9683" s="0" t="s">
        <x:v>20</x:v>
      </x:c>
      <x:c r="I9683" s="0" t="s">
        <x:v>21</x:v>
      </x:c>
      <x:c r="K9683" s="0">
        <x:f>hyperlink("https://icd.who.int/dev11/l-ichi/en#/http%3A%2F%2Fid.who.int%2Ficd%2Fentity%2F284773592","browser")</x:f>
      </x:c>
      <x:c r="L9683" s="0">
        <x:f>hyperlink("https://icat2.azurewebsites.net/icat/?ontology=ICD&amp;tab=ClassesTab&amp;id=http%3A%2F%2Fwho.int%2Ficd%233051_b929cd40_1812_4e2b_8d98_622273bc31b1","iCat")</x:f>
      </x:c>
      <x:c r="M9683" s="0" t="s">
        <x:v>21</x:v>
      </x:c>
      <x:c r="N9683" s="0" t="s">
        <x:v>46</x:v>
      </x:c>
    </x:row>
    <x:row r="9684" spans="1:16">
      <x:c r="A9684" s="0" t="s">
        <x:v>38599</x:v>
      </x:c>
      <x:c r="B9684" s="0" t="s">
        <x:v>38600</x:v>
      </x:c>
      <x:c r="C9684" s="0" t="s">
        <x:v>38601</x:v>
      </x:c>
      <x:c r="E9684" s="0" t="s">
        <x:v>38602</x:v>
      </x:c>
      <x:c r="F9684" s="0" t="s">
        <x:v>45</x:v>
      </x:c>
      <x:c r="G9684" s="0" t="s">
        <x:v>19</x:v>
      </x:c>
      <x:c r="H9684" s="0" t="s">
        <x:v>20</x:v>
      </x:c>
      <x:c r="I9684" s="0" t="s">
        <x:v>21</x:v>
      </x:c>
      <x:c r="K9684" s="0">
        <x:f>hyperlink("https://icd.who.int/dev11/l-ichi/en#/http%3A%2F%2Fid.who.int%2Ficd%2Fentity%2F1082299753","browser")</x:f>
      </x:c>
      <x:c r="L9684" s="0">
        <x:f>hyperlink("https://icat2.azurewebsites.net/icat/?ontology=ICD&amp;tab=ClassesTab&amp;id=http%3A%2F%2Fwho.int%2Ficd%233057_b929cd40_1812_4e2b_8d98_622273bc31b1","iCat")</x:f>
      </x:c>
      <x:c r="M9684" s="0" t="s">
        <x:v>21</x:v>
      </x:c>
      <x:c r="N9684" s="0" t="s">
        <x:v>46</x:v>
      </x:c>
    </x:row>
    <x:row r="9685" spans="1:16">
      <x:c r="A9685" s="0" t="s">
        <x:v>38603</x:v>
      </x:c>
      <x:c r="B9685" s="0" t="s">
        <x:v>38604</x:v>
      </x:c>
      <x:c r="C9685" s="0" t="s">
        <x:v>38605</x:v>
      </x:c>
      <x:c r="E9685" s="0" t="s">
        <x:v>38606</x:v>
      </x:c>
      <x:c r="F9685" s="0" t="s">
        <x:v>45</x:v>
      </x:c>
      <x:c r="G9685" s="0" t="s">
        <x:v>19</x:v>
      </x:c>
      <x:c r="H9685" s="0" t="s">
        <x:v>20</x:v>
      </x:c>
      <x:c r="I9685" s="0" t="s">
        <x:v>21</x:v>
      </x:c>
      <x:c r="K9685" s="0">
        <x:f>hyperlink("https://icd.who.int/dev11/l-ichi/en#/http%3A%2F%2Fid.who.int%2Ficd%2Fentity%2F1838154736","browser")</x:f>
      </x:c>
      <x:c r="L9685" s="0">
        <x:f>hyperlink("https://icat2.azurewebsites.net/icat/?ontology=ICD&amp;tab=ClassesTab&amp;id=http%3A%2F%2Fwho.int%2Ficd%233411_b929cd40_1812_4e2b_8d98_622273bc31b1","iCat")</x:f>
      </x:c>
      <x:c r="M9685" s="0" t="s">
        <x:v>21</x:v>
      </x:c>
      <x:c r="N9685" s="0" t="s">
        <x:v>46</x:v>
      </x:c>
    </x:row>
    <x:row r="9686" spans="1:16">
      <x:c r="A9686" s="0" t="s">
        <x:v>38607</x:v>
      </x:c>
      <x:c r="B9686" s="0" t="s">
        <x:v>38608</x:v>
      </x:c>
      <x:c r="C9686" s="0" t="s">
        <x:v>38609</x:v>
      </x:c>
      <x:c r="E9686" s="0" t="s">
        <x:v>38610</x:v>
      </x:c>
      <x:c r="F9686" s="0" t="s">
        <x:v>45</x:v>
      </x:c>
      <x:c r="G9686" s="0" t="s">
        <x:v>19</x:v>
      </x:c>
      <x:c r="H9686" s="0" t="s">
        <x:v>20</x:v>
      </x:c>
      <x:c r="I9686" s="0" t="s">
        <x:v>21</x:v>
      </x:c>
      <x:c r="K9686" s="0">
        <x:f>hyperlink("https://icd.who.int/dev11/l-ichi/en#/http%3A%2F%2Fid.who.int%2Ficd%2Fentity%2F1038867009","browser")</x:f>
      </x:c>
      <x:c r="L9686" s="0">
        <x:f>hyperlink("https://icat2.azurewebsites.net/icat/?ontology=ICD&amp;tab=ClassesTab&amp;id=http%3A%2F%2Fwho.int%2Ficd%233417_b929cd40_1812_4e2b_8d98_622273bc31b1","iCat")</x:f>
      </x:c>
      <x:c r="M9686" s="0" t="s">
        <x:v>21</x:v>
      </x:c>
      <x:c r="N9686" s="0" t="s">
        <x:v>46</x:v>
      </x:c>
    </x:row>
    <x:row r="9687" spans="1:16">
      <x:c r="A9687" s="0" t="s">
        <x:v>38611</x:v>
      </x:c>
      <x:c r="B9687" s="0" t="s">
        <x:v>38612</x:v>
      </x:c>
      <x:c r="C9687" s="0" t="s">
        <x:v>38613</x:v>
      </x:c>
      <x:c r="E9687" s="0" t="s">
        <x:v>38614</x:v>
      </x:c>
      <x:c r="F9687" s="0" t="s">
        <x:v>45</x:v>
      </x:c>
      <x:c r="G9687" s="0" t="s">
        <x:v>19</x:v>
      </x:c>
      <x:c r="H9687" s="0" t="s">
        <x:v>20</x:v>
      </x:c>
      <x:c r="I9687" s="0" t="s">
        <x:v>21</x:v>
      </x:c>
      <x:c r="K9687" s="0">
        <x:f>hyperlink("https://icd.who.int/dev11/l-ichi/en#/http%3A%2F%2Fid.who.int%2Ficd%2Fentity%2F1214078516","browser")</x:f>
      </x:c>
      <x:c r="L9687" s="0">
        <x:f>hyperlink("https://icat2.azurewebsites.net/icat/?ontology=ICD&amp;tab=ClassesTab&amp;id=http%3A%2F%2Fwho.int%2Ficd%233423_b929cd40_1812_4e2b_8d98_622273bc31b1","iCat")</x:f>
      </x:c>
      <x:c r="M9687" s="0" t="s">
        <x:v>21</x:v>
      </x:c>
      <x:c r="N9687" s="0" t="s">
        <x:v>46</x:v>
      </x:c>
    </x:row>
    <x:row r="9688" spans="1:16">
      <x:c r="A9688" s="0" t="s">
        <x:v>38615</x:v>
      </x:c>
      <x:c r="B9688" s="0" t="s">
        <x:v>38616</x:v>
      </x:c>
      <x:c r="C9688" s="0" t="s">
        <x:v>38617</x:v>
      </x:c>
      <x:c r="E9688" s="0" t="s">
        <x:v>38618</x:v>
      </x:c>
      <x:c r="F9688" s="0" t="s">
        <x:v>45</x:v>
      </x:c>
      <x:c r="G9688" s="0" t="s">
        <x:v>19</x:v>
      </x:c>
      <x:c r="H9688" s="0" t="s">
        <x:v>20</x:v>
      </x:c>
      <x:c r="I9688" s="0" t="s">
        <x:v>21</x:v>
      </x:c>
      <x:c r="K9688" s="0">
        <x:f>hyperlink("https://icd.who.int/dev11/l-ichi/en#/http%3A%2F%2Fid.who.int%2Ficd%2Fentity%2F1190351042","browser")</x:f>
      </x:c>
      <x:c r="L9688" s="0">
        <x:f>hyperlink("https://icat2.azurewebsites.net/icat/?ontology=ICD&amp;tab=ClassesTab&amp;id=http%3A%2F%2Fwho.int%2Ficd%233700_b929cd40_1812_4e2b_8d98_622273bc31b1","iCat")</x:f>
      </x:c>
      <x:c r="M9688" s="0" t="s">
        <x:v>21</x:v>
      </x:c>
      <x:c r="N9688" s="0" t="s">
        <x:v>46</x:v>
      </x:c>
    </x:row>
    <x:row r="9689" spans="1:16">
      <x:c r="A9689" s="0" t="s">
        <x:v>38619</x:v>
      </x:c>
      <x:c r="B9689" s="0" t="s">
        <x:v>38620</x:v>
      </x:c>
      <x:c r="C9689" s="0" t="s">
        <x:v>38621</x:v>
      </x:c>
      <x:c r="E9689" s="0" t="s">
        <x:v>38622</x:v>
      </x:c>
      <x:c r="F9689" s="0" t="s">
        <x:v>45</x:v>
      </x:c>
      <x:c r="G9689" s="0" t="s">
        <x:v>19</x:v>
      </x:c>
      <x:c r="H9689" s="0" t="s">
        <x:v>20</x:v>
      </x:c>
      <x:c r="I9689" s="0" t="s">
        <x:v>21</x:v>
      </x:c>
      <x:c r="K9689" s="0">
        <x:f>hyperlink("https://icd.who.int/dev11/l-ichi/en#/http%3A%2F%2Fid.who.int%2Ficd%2Fentity%2F378046835","browser")</x:f>
      </x:c>
      <x:c r="L9689" s="0">
        <x:f>hyperlink("https://icat2.azurewebsites.net/icat/?ontology=ICD&amp;tab=ClassesTab&amp;id=http%3A%2F%2Fwho.int%2Ficd%233706_b929cd40_1812_4e2b_8d98_622273bc31b1","iCat")</x:f>
      </x:c>
      <x:c r="M9689" s="0" t="s">
        <x:v>21</x:v>
      </x:c>
      <x:c r="N9689" s="0" t="s">
        <x:v>46</x:v>
      </x:c>
    </x:row>
    <x:row r="9690" spans="1:16">
      <x:c r="A9690" s="0" t="s">
        <x:v>38623</x:v>
      </x:c>
      <x:c r="B9690" s="0" t="s">
        <x:v>38624</x:v>
      </x:c>
      <x:c r="C9690" s="0" t="s">
        <x:v>38625</x:v>
      </x:c>
      <x:c r="E9690" s="0" t="s">
        <x:v>38626</x:v>
      </x:c>
      <x:c r="F9690" s="0" t="s">
        <x:v>45</x:v>
      </x:c>
      <x:c r="G9690" s="0" t="s">
        <x:v>19</x:v>
      </x:c>
      <x:c r="H9690" s="0" t="s">
        <x:v>20</x:v>
      </x:c>
      <x:c r="I9690" s="0" t="s">
        <x:v>21</x:v>
      </x:c>
      <x:c r="K9690" s="0">
        <x:f>hyperlink("https://icd.who.int/dev11/l-ichi/en#/http%3A%2F%2Fid.who.int%2Ficd%2Fentity%2F1229641808","browser")</x:f>
      </x:c>
      <x:c r="L9690" s="0">
        <x:f>hyperlink("https://icat2.azurewebsites.net/icat/?ontology=ICD&amp;tab=ClassesTab&amp;id=http%3A%2F%2Fwho.int%2Ficd%233712_b929cd40_1812_4e2b_8d98_622273bc31b1","iCat")</x:f>
      </x:c>
      <x:c r="M9690" s="0" t="s">
        <x:v>21</x:v>
      </x:c>
      <x:c r="N9690" s="0" t="s">
        <x:v>46</x:v>
      </x:c>
    </x:row>
    <x:row r="9691" spans="1:16">
      <x:c r="A9691" s="0" t="s">
        <x:v>38627</x:v>
      </x:c>
      <x:c r="B9691" s="0" t="s">
        <x:v>38628</x:v>
      </x:c>
      <x:c r="C9691" s="0" t="s">
        <x:v>38629</x:v>
      </x:c>
      <x:c r="E9691" s="0" t="s">
        <x:v>38630</x:v>
      </x:c>
      <x:c r="F9691" s="0" t="s">
        <x:v>45</x:v>
      </x:c>
      <x:c r="G9691" s="0" t="s">
        <x:v>19</x:v>
      </x:c>
      <x:c r="H9691" s="0" t="s">
        <x:v>20</x:v>
      </x:c>
      <x:c r="I9691" s="0" t="s">
        <x:v>21</x:v>
      </x:c>
      <x:c r="K9691" s="0">
        <x:f>hyperlink("https://icd.who.int/dev11/l-ichi/en#/http%3A%2F%2Fid.who.int%2Ficd%2Fentity%2F1656206528","browser")</x:f>
      </x:c>
      <x:c r="L9691" s="0">
        <x:f>hyperlink("https://icat2.azurewebsites.net/icat/?ontology=ICD&amp;tab=ClassesTab&amp;id=http%3A%2F%2Fwho.int%2Ficd%233718_b929cd40_1812_4e2b_8d98_622273bc31b1","iCat")</x:f>
      </x:c>
      <x:c r="M9691" s="0" t="s">
        <x:v>21</x:v>
      </x:c>
      <x:c r="N9691" s="0" t="s">
        <x:v>46</x:v>
      </x:c>
    </x:row>
    <x:row r="9692" spans="1:16">
      <x:c r="A9692" s="0" t="s">
        <x:v>38631</x:v>
      </x:c>
      <x:c r="B9692" s="0" t="s">
        <x:v>38632</x:v>
      </x:c>
      <x:c r="C9692" s="0" t="s">
        <x:v>38633</x:v>
      </x:c>
      <x:c r="E9692" s="0" t="s">
        <x:v>38634</x:v>
      </x:c>
      <x:c r="F9692" s="0" t="s">
        <x:v>45</x:v>
      </x:c>
      <x:c r="G9692" s="0" t="s">
        <x:v>19</x:v>
      </x:c>
      <x:c r="H9692" s="0" t="s">
        <x:v>20</x:v>
      </x:c>
      <x:c r="I9692" s="0" t="s">
        <x:v>21</x:v>
      </x:c>
      <x:c r="K9692" s="0">
        <x:f>hyperlink("https://icd.who.int/dev11/l-ichi/en#/http%3A%2F%2Fid.who.int%2Ficd%2Fentity%2F1501577702","browser")</x:f>
      </x:c>
      <x:c r="L9692" s="0">
        <x:f>hyperlink("https://icat2.azurewebsites.net/icat/?ontology=ICD&amp;tab=ClassesTab&amp;id=http%3A%2F%2Fwho.int%2Ficd%233724_b929cd40_1812_4e2b_8d98_622273bc31b1","iCat")</x:f>
      </x:c>
      <x:c r="M9692" s="0" t="s">
        <x:v>21</x:v>
      </x:c>
      <x:c r="N9692" s="0" t="s">
        <x:v>46</x:v>
      </x:c>
    </x:row>
    <x:row r="9693" spans="1:16">
      <x:c r="A9693" s="0" t="s">
        <x:v>38635</x:v>
      </x:c>
      <x:c r="B9693" s="0" t="s">
        <x:v>38636</x:v>
      </x:c>
      <x:c r="C9693" s="0" t="s">
        <x:v>38637</x:v>
      </x:c>
      <x:c r="E9693" s="0" t="s">
        <x:v>38638</x:v>
      </x:c>
      <x:c r="F9693" s="0" t="s">
        <x:v>45</x:v>
      </x:c>
      <x:c r="G9693" s="0" t="s">
        <x:v>19</x:v>
      </x:c>
      <x:c r="H9693" s="0" t="s">
        <x:v>20</x:v>
      </x:c>
      <x:c r="I9693" s="0" t="s">
        <x:v>21</x:v>
      </x:c>
      <x:c r="K9693" s="0">
        <x:f>hyperlink("https://icd.who.int/dev11/l-ichi/en#/http%3A%2F%2Fid.who.int%2Ficd%2Fentity%2F104992965","browser")</x:f>
      </x:c>
      <x:c r="L9693" s="0">
        <x:f>hyperlink("https://icat2.azurewebsites.net/icat/?ontology=ICD&amp;tab=ClassesTab&amp;id=http%3A%2F%2Fwho.int%2Ficd%233730_b929cd40_1812_4e2b_8d98_622273bc31b1","iCat")</x:f>
      </x:c>
      <x:c r="M9693" s="0" t="s">
        <x:v>21</x:v>
      </x:c>
      <x:c r="N9693" s="0" t="s">
        <x:v>46</x:v>
      </x:c>
    </x:row>
    <x:row r="9694" spans="1:16">
      <x:c r="A9694" s="0" t="s">
        <x:v>38639</x:v>
      </x:c>
      <x:c r="B9694" s="0" t="s">
        <x:v>38640</x:v>
      </x:c>
      <x:c r="C9694" s="0" t="s">
        <x:v>38641</x:v>
      </x:c>
      <x:c r="E9694" s="0" t="s">
        <x:v>38642</x:v>
      </x:c>
      <x:c r="F9694" s="0" t="s">
        <x:v>45</x:v>
      </x:c>
      <x:c r="G9694" s="0" t="s">
        <x:v>19</x:v>
      </x:c>
      <x:c r="H9694" s="0" t="s">
        <x:v>20</x:v>
      </x:c>
      <x:c r="I9694" s="0" t="s">
        <x:v>21</x:v>
      </x:c>
      <x:c r="K9694" s="0">
        <x:f>hyperlink("https://icd.who.int/dev11/l-ichi/en#/http%3A%2F%2Fid.who.int%2Ficd%2Fentity%2F1446627700","browser")</x:f>
      </x:c>
      <x:c r="L9694" s="0">
        <x:f>hyperlink("https://icat2.azurewebsites.net/icat/?ontology=ICD&amp;tab=ClassesTab&amp;id=http%3A%2F%2Fwho.int%2Ficd%233736_b929cd40_1812_4e2b_8d98_622273bc31b1","iCat")</x:f>
      </x:c>
      <x:c r="M9694" s="0" t="s">
        <x:v>21</x:v>
      </x:c>
      <x:c r="N9694" s="0" t="s">
        <x:v>46</x:v>
      </x:c>
    </x:row>
    <x:row r="9695" spans="1:16">
      <x:c r="A9695" s="0" t="s">
        <x:v>38643</x:v>
      </x:c>
      <x:c r="B9695" s="0" t="s">
        <x:v>38644</x:v>
      </x:c>
      <x:c r="C9695" s="0" t="s">
        <x:v>38645</x:v>
      </x:c>
      <x:c r="E9695" s="0" t="s">
        <x:v>38646</x:v>
      </x:c>
      <x:c r="F9695" s="0" t="s">
        <x:v>45</x:v>
      </x:c>
      <x:c r="G9695" s="0" t="s">
        <x:v>19</x:v>
      </x:c>
      <x:c r="H9695" s="0" t="s">
        <x:v>20</x:v>
      </x:c>
      <x:c r="I9695" s="0" t="s">
        <x:v>21</x:v>
      </x:c>
      <x:c r="K9695" s="0">
        <x:f>hyperlink("https://icd.who.int/dev11/l-ichi/en#/http%3A%2F%2Fid.who.int%2Ficd%2Fentity%2F1407720986","browser")</x:f>
      </x:c>
      <x:c r="L9695" s="0">
        <x:f>hyperlink("https://icat2.azurewebsites.net/icat/?ontology=ICD&amp;tab=ClassesTab&amp;id=http%3A%2F%2Fwho.int%2Ficd%233742_b929cd40_1812_4e2b_8d98_622273bc31b1","iCat")</x:f>
      </x:c>
      <x:c r="M9695" s="0" t="s">
        <x:v>21</x:v>
      </x:c>
      <x:c r="N9695" s="0" t="s">
        <x:v>46</x:v>
      </x:c>
    </x:row>
    <x:row r="9696" spans="1:16">
      <x:c r="A9696" s="0" t="s">
        <x:v>38647</x:v>
      </x:c>
      <x:c r="B9696" s="0" t="s">
        <x:v>38648</x:v>
      </x:c>
      <x:c r="C9696" s="0" t="s">
        <x:v>38649</x:v>
      </x:c>
      <x:c r="E9696" s="0" t="s">
        <x:v>38650</x:v>
      </x:c>
      <x:c r="F9696" s="0" t="s">
        <x:v>45</x:v>
      </x:c>
      <x:c r="G9696" s="0" t="s">
        <x:v>19</x:v>
      </x:c>
      <x:c r="H9696" s="0" t="s">
        <x:v>20</x:v>
      </x:c>
      <x:c r="I9696" s="0" t="s">
        <x:v>21</x:v>
      </x:c>
      <x:c r="K9696" s="0">
        <x:f>hyperlink("https://icd.who.int/dev11/l-ichi/en#/http%3A%2F%2Fid.who.int%2Ficd%2Fentity%2F2014671498","browser")</x:f>
      </x:c>
      <x:c r="L9696" s="0">
        <x:f>hyperlink("https://icat2.azurewebsites.net/icat/?ontology=ICD&amp;tab=ClassesTab&amp;id=http%3A%2F%2Fwho.int%2Ficd%233748_b929cd40_1812_4e2b_8d98_622273bc31b1","iCat")</x:f>
      </x:c>
      <x:c r="M9696" s="0" t="s">
        <x:v>21</x:v>
      </x:c>
      <x:c r="N9696" s="0" t="s">
        <x:v>46</x:v>
      </x:c>
    </x:row>
    <x:row r="9697" spans="1:16">
      <x:c r="A9697" s="0" t="s">
        <x:v>38651</x:v>
      </x:c>
      <x:c r="B9697" s="0" t="s">
        <x:v>38652</x:v>
      </x:c>
      <x:c r="C9697" s="0" t="s">
        <x:v>38653</x:v>
      </x:c>
      <x:c r="E9697" s="0" t="s">
        <x:v>38654</x:v>
      </x:c>
      <x:c r="F9697" s="0" t="s">
        <x:v>45</x:v>
      </x:c>
      <x:c r="G9697" s="0" t="s">
        <x:v>19</x:v>
      </x:c>
      <x:c r="H9697" s="0" t="s">
        <x:v>20</x:v>
      </x:c>
      <x:c r="I9697" s="0" t="s">
        <x:v>21</x:v>
      </x:c>
      <x:c r="K9697" s="0">
        <x:f>hyperlink("https://icd.who.int/dev11/l-ichi/en#/http%3A%2F%2Fid.who.int%2Ficd%2Fentity%2F1767265022","browser")</x:f>
      </x:c>
      <x:c r="L9697" s="0">
        <x:f>hyperlink("https://icat2.azurewebsites.net/icat/?ontology=ICD&amp;tab=ClassesTab&amp;id=http%3A%2F%2Fwho.int%2Ficd%233754_b929cd40_1812_4e2b_8d98_622273bc31b1","iCat")</x:f>
      </x:c>
      <x:c r="M9697" s="0" t="s">
        <x:v>21</x:v>
      </x:c>
      <x:c r="N9697" s="0" t="s">
        <x:v>46</x:v>
      </x:c>
    </x:row>
    <x:row r="9698" spans="1:16">
      <x:c r="A9698" s="0" t="s">
        <x:v>38655</x:v>
      </x:c>
      <x:c r="B9698" s="0" t="s">
        <x:v>38656</x:v>
      </x:c>
      <x:c r="C9698" s="0" t="s">
        <x:v>38657</x:v>
      </x:c>
      <x:c r="E9698" s="0" t="s">
        <x:v>38658</x:v>
      </x:c>
      <x:c r="F9698" s="0" t="s">
        <x:v>45</x:v>
      </x:c>
      <x:c r="G9698" s="0" t="s">
        <x:v>19</x:v>
      </x:c>
      <x:c r="H9698" s="0" t="s">
        <x:v>20</x:v>
      </x:c>
      <x:c r="I9698" s="0" t="s">
        <x:v>21</x:v>
      </x:c>
      <x:c r="K9698" s="0">
        <x:f>hyperlink("https://icd.who.int/dev11/l-ichi/en#/http%3A%2F%2Fid.who.int%2Ficd%2Fentity%2F484497039","browser")</x:f>
      </x:c>
      <x:c r="L9698" s="0">
        <x:f>hyperlink("https://icat2.azurewebsites.net/icat/?ontology=ICD&amp;tab=ClassesTab&amp;id=http%3A%2F%2Fwho.int%2Ficd%233760_b929cd40_1812_4e2b_8d98_622273bc31b1","iCat")</x:f>
      </x:c>
      <x:c r="M9698" s="0" t="s">
        <x:v>21</x:v>
      </x:c>
      <x:c r="N9698" s="0" t="s">
        <x:v>46</x:v>
      </x:c>
    </x:row>
    <x:row r="9699" spans="1:16">
      <x:c r="A9699" s="0" t="s">
        <x:v>38659</x:v>
      </x:c>
      <x:c r="B9699" s="0" t="s">
        <x:v>38660</x:v>
      </x:c>
      <x:c r="C9699" s="0" t="s">
        <x:v>38661</x:v>
      </x:c>
      <x:c r="E9699" s="0" t="s">
        <x:v>38662</x:v>
      </x:c>
      <x:c r="F9699" s="0" t="s">
        <x:v>45</x:v>
      </x:c>
      <x:c r="G9699" s="0" t="s">
        <x:v>19</x:v>
      </x:c>
      <x:c r="H9699" s="0" t="s">
        <x:v>20</x:v>
      </x:c>
      <x:c r="I9699" s="0" t="s">
        <x:v>21</x:v>
      </x:c>
      <x:c r="K9699" s="0">
        <x:f>hyperlink("https://icd.who.int/dev11/l-ichi/en#/http%3A%2F%2Fid.who.int%2Ficd%2Fentity%2F1285230398","browser")</x:f>
      </x:c>
      <x:c r="L9699" s="0">
        <x:f>hyperlink("https://icat2.azurewebsites.net/icat/?ontology=ICD&amp;tab=ClassesTab&amp;id=http%3A%2F%2Fwho.int%2Ficd%233766_b929cd40_1812_4e2b_8d98_622273bc31b1","iCat")</x:f>
      </x:c>
      <x:c r="M9699" s="0" t="s">
        <x:v>21</x:v>
      </x:c>
      <x:c r="N9699" s="0" t="s">
        <x:v>46</x:v>
      </x:c>
    </x:row>
    <x:row r="9700" spans="1:16">
      <x:c r="A9700" s="0" t="s">
        <x:v>38663</x:v>
      </x:c>
      <x:c r="B9700" s="0" t="s">
        <x:v>38664</x:v>
      </x:c>
      <x:c r="C9700" s="0" t="s">
        <x:v>38665</x:v>
      </x:c>
      <x:c r="E9700" s="0" t="s">
        <x:v>38666</x:v>
      </x:c>
      <x:c r="F9700" s="0" t="s">
        <x:v>45</x:v>
      </x:c>
      <x:c r="G9700" s="0" t="s">
        <x:v>19</x:v>
      </x:c>
      <x:c r="H9700" s="0" t="s">
        <x:v>20</x:v>
      </x:c>
      <x:c r="I9700" s="0" t="s">
        <x:v>21</x:v>
      </x:c>
      <x:c r="K9700" s="0">
        <x:f>hyperlink("https://icd.who.int/dev11/l-ichi/en#/http%3A%2F%2Fid.who.int%2Ficd%2Fentity%2F324623901","browser")</x:f>
      </x:c>
      <x:c r="L9700" s="0">
        <x:f>hyperlink("https://icat2.azurewebsites.net/icat/?ontology=ICD&amp;tab=ClassesTab&amp;id=http%3A%2F%2Fwho.int%2Ficd%233772_b929cd40_1812_4e2b_8d98_622273bc31b1","iCat")</x:f>
      </x:c>
      <x:c r="M9700" s="0" t="s">
        <x:v>21</x:v>
      </x:c>
      <x:c r="N9700" s="0" t="s">
        <x:v>46</x:v>
      </x:c>
    </x:row>
    <x:row r="9701" spans="1:16">
      <x:c r="A9701" s="0" t="s">
        <x:v>38667</x:v>
      </x:c>
      <x:c r="B9701" s="0" t="s">
        <x:v>38668</x:v>
      </x:c>
      <x:c r="C9701" s="0" t="s">
        <x:v>38669</x:v>
      </x:c>
      <x:c r="E9701" s="0" t="s">
        <x:v>38670</x:v>
      </x:c>
      <x:c r="F9701" s="0" t="s">
        <x:v>45</x:v>
      </x:c>
      <x:c r="G9701" s="0" t="s">
        <x:v>19</x:v>
      </x:c>
      <x:c r="H9701" s="0" t="s">
        <x:v>20</x:v>
      </x:c>
      <x:c r="I9701" s="0" t="s">
        <x:v>21</x:v>
      </x:c>
      <x:c r="K9701" s="0">
        <x:f>hyperlink("https://icd.who.int/dev11/l-ichi/en#/http%3A%2F%2Fid.who.int%2Ficd%2Fentity%2F885420008","browser")</x:f>
      </x:c>
      <x:c r="L9701" s="0">
        <x:f>hyperlink("https://icat2.azurewebsites.net/icat/?ontology=ICD&amp;tab=ClassesTab&amp;id=http%3A%2F%2Fwho.int%2Ficd%233315_b929cd40_1812_4e2b_8d98_622273bc31b1","iCat")</x:f>
      </x:c>
      <x:c r="M9701" s="0" t="s">
        <x:v>21</x:v>
      </x:c>
      <x:c r="N9701" s="0" t="s">
        <x:v>46</x:v>
      </x:c>
    </x:row>
    <x:row r="9702" spans="1:16">
      <x:c r="A9702" s="0" t="s">
        <x:v>38671</x:v>
      </x:c>
      <x:c r="B9702" s="0" t="s">
        <x:v>38672</x:v>
      </x:c>
      <x:c r="C9702" s="0" t="s">
        <x:v>38673</x:v>
      </x:c>
      <x:c r="E9702" s="0" t="s">
        <x:v>38674</x:v>
      </x:c>
      <x:c r="F9702" s="0" t="s">
        <x:v>45</x:v>
      </x:c>
      <x:c r="G9702" s="0" t="s">
        <x:v>19</x:v>
      </x:c>
      <x:c r="H9702" s="0" t="s">
        <x:v>20</x:v>
      </x:c>
      <x:c r="I9702" s="0" t="s">
        <x:v>21</x:v>
      </x:c>
      <x:c r="K9702" s="0">
        <x:f>hyperlink("https://icd.who.int/dev11/l-ichi/en#/http%3A%2F%2Fid.who.int%2Ficd%2Fentity%2F1097919387","browser")</x:f>
      </x:c>
      <x:c r="L9702" s="0">
        <x:f>hyperlink("https://icat2.azurewebsites.net/icat/?ontology=ICD&amp;tab=ClassesTab&amp;id=http%3A%2F%2Fwho.int%2Ficd%233321_b929cd40_1812_4e2b_8d98_622273bc31b1","iCat")</x:f>
      </x:c>
      <x:c r="M9702" s="0" t="s">
        <x:v>21</x:v>
      </x:c>
      <x:c r="N9702" s="0" t="s">
        <x:v>46</x:v>
      </x:c>
    </x:row>
    <x:row r="9703" spans="1:16">
      <x:c r="A9703" s="0" t="s">
        <x:v>38675</x:v>
      </x:c>
      <x:c r="B9703" s="0" t="s">
        <x:v>38676</x:v>
      </x:c>
      <x:c r="C9703" s="0" t="s">
        <x:v>38677</x:v>
      </x:c>
      <x:c r="E9703" s="0" t="s">
        <x:v>38678</x:v>
      </x:c>
      <x:c r="F9703" s="0" t="s">
        <x:v>45</x:v>
      </x:c>
      <x:c r="G9703" s="0" t="s">
        <x:v>19</x:v>
      </x:c>
      <x:c r="H9703" s="0" t="s">
        <x:v>20</x:v>
      </x:c>
      <x:c r="I9703" s="0" t="s">
        <x:v>21</x:v>
      </x:c>
      <x:c r="K9703" s="0">
        <x:f>hyperlink("https://icd.who.int/dev11/l-ichi/en#/http%3A%2F%2Fid.who.int%2Ficd%2Fentity%2F285946412","browser")</x:f>
      </x:c>
      <x:c r="L9703" s="0">
        <x:f>hyperlink("https://icat2.azurewebsites.net/icat/?ontology=ICD&amp;tab=ClassesTab&amp;id=http%3A%2F%2Fwho.int%2Ficd%233327_b929cd40_1812_4e2b_8d98_622273bc31b1","iCat")</x:f>
      </x:c>
      <x:c r="M9703" s="0" t="s">
        <x:v>21</x:v>
      </x:c>
      <x:c r="N9703" s="0" t="s">
        <x:v>46</x:v>
      </x:c>
    </x:row>
    <x:row r="9704" spans="1:16">
      <x:c r="A9704" s="0" t="s">
        <x:v>38679</x:v>
      </x:c>
      <x:c r="B9704" s="0" t="s">
        <x:v>38680</x:v>
      </x:c>
      <x:c r="C9704" s="0" t="s">
        <x:v>38681</x:v>
      </x:c>
      <x:c r="E9704" s="0" t="s">
        <x:v>38682</x:v>
      </x:c>
      <x:c r="F9704" s="0" t="s">
        <x:v>45</x:v>
      </x:c>
      <x:c r="G9704" s="0" t="s">
        <x:v>19</x:v>
      </x:c>
      <x:c r="H9704" s="0" t="s">
        <x:v>20</x:v>
      </x:c>
      <x:c r="I9704" s="0" t="s">
        <x:v>21</x:v>
      </x:c>
      <x:c r="K9704" s="0">
        <x:f>hyperlink("https://icd.who.int/dev11/l-ichi/en#/http%3A%2F%2Fid.who.int%2Ficd%2Fentity%2F1321820937","browser")</x:f>
      </x:c>
      <x:c r="L9704" s="0">
        <x:f>hyperlink("https://icat2.azurewebsites.net/icat/?ontology=ICD&amp;tab=ClassesTab&amp;id=http%3A%2F%2Fwho.int%2Ficd%233333_b929cd40_1812_4e2b_8d98_622273bc31b1","iCat")</x:f>
      </x:c>
      <x:c r="M9704" s="0" t="s">
        <x:v>21</x:v>
      </x:c>
      <x:c r="N9704" s="0" t="s">
        <x:v>46</x:v>
      </x:c>
    </x:row>
    <x:row r="9705" spans="1:16">
      <x:c r="A9705" s="0" t="s">
        <x:v>38683</x:v>
      </x:c>
      <x:c r="B9705" s="0" t="s">
        <x:v>38684</x:v>
      </x:c>
      <x:c r="C9705" s="0" t="s">
        <x:v>38685</x:v>
      </x:c>
      <x:c r="E9705" s="0" t="s">
        <x:v>38686</x:v>
      </x:c>
      <x:c r="F9705" s="0" t="s">
        <x:v>45</x:v>
      </x:c>
      <x:c r="G9705" s="0" t="s">
        <x:v>19</x:v>
      </x:c>
      <x:c r="H9705" s="0" t="s">
        <x:v>20</x:v>
      </x:c>
      <x:c r="I9705" s="0" t="s">
        <x:v>21</x:v>
      </x:c>
      <x:c r="K9705" s="0">
        <x:f>hyperlink("https://icd.who.int/dev11/l-ichi/en#/http%3A%2F%2Fid.who.int%2Ficd%2Fentity%2F1697910681","browser")</x:f>
      </x:c>
      <x:c r="L9705" s="0">
        <x:f>hyperlink("https://icat2.azurewebsites.net/icat/?ontology=ICD&amp;tab=ClassesTab&amp;id=http%3A%2F%2Fwho.int%2Ficd%233339_b929cd40_1812_4e2b_8d98_622273bc31b1","iCat")</x:f>
      </x:c>
      <x:c r="M9705" s="0" t="s">
        <x:v>21</x:v>
      </x:c>
      <x:c r="N9705" s="0" t="s">
        <x:v>46</x:v>
      </x:c>
    </x:row>
    <x:row r="9706" spans="1:16">
      <x:c r="A9706" s="0" t="s">
        <x:v>38687</x:v>
      </x:c>
      <x:c r="B9706" s="0" t="s">
        <x:v>38688</x:v>
      </x:c>
      <x:c r="C9706" s="0" t="s">
        <x:v>38689</x:v>
      </x:c>
      <x:c r="E9706" s="0" t="s">
        <x:v>38690</x:v>
      </x:c>
      <x:c r="F9706" s="0" t="s">
        <x:v>45</x:v>
      </x:c>
      <x:c r="G9706" s="0" t="s">
        <x:v>19</x:v>
      </x:c>
      <x:c r="H9706" s="0" t="s">
        <x:v>20</x:v>
      </x:c>
      <x:c r="I9706" s="0" t="s">
        <x:v>21</x:v>
      </x:c>
      <x:c r="K9706" s="0">
        <x:f>hyperlink("https://icd.who.int/dev11/l-ichi/en#/http%3A%2F%2Fid.who.int%2Ficd%2Fentity%2F778348962","browser")</x:f>
      </x:c>
      <x:c r="L9706" s="0">
        <x:f>hyperlink("https://icat2.azurewebsites.net/icat/?ontology=ICD&amp;tab=ClassesTab&amp;id=http%3A%2F%2Fwho.int%2Ficd%233345_b929cd40_1812_4e2b_8d98_622273bc31b1","iCat")</x:f>
      </x:c>
      <x:c r="M9706" s="0" t="s">
        <x:v>21</x:v>
      </x:c>
      <x:c r="N9706" s="0" t="s">
        <x:v>46</x:v>
      </x:c>
    </x:row>
    <x:row r="9707" spans="1:16">
      <x:c r="A9707" s="0" t="s">
        <x:v>38691</x:v>
      </x:c>
      <x:c r="B9707" s="0" t="s">
        <x:v>38692</x:v>
      </x:c>
      <x:c r="C9707" s="0" t="s">
        <x:v>38693</x:v>
      </x:c>
      <x:c r="E9707" s="0" t="s">
        <x:v>38694</x:v>
      </x:c>
      <x:c r="F9707" s="0" t="s">
        <x:v>45</x:v>
      </x:c>
      <x:c r="G9707" s="0" t="s">
        <x:v>19</x:v>
      </x:c>
      <x:c r="H9707" s="0" t="s">
        <x:v>20</x:v>
      </x:c>
      <x:c r="I9707" s="0" t="s">
        <x:v>21</x:v>
      </x:c>
      <x:c r="K9707" s="0">
        <x:f>hyperlink("https://icd.who.int/dev11/l-ichi/en#/http%3A%2F%2Fid.who.int%2Ficd%2Fentity%2F1906768001","browser")</x:f>
      </x:c>
      <x:c r="L9707" s="0">
        <x:f>hyperlink("https://icat2.azurewebsites.net/icat/?ontology=ICD&amp;tab=ClassesTab&amp;id=http%3A%2F%2Fwho.int%2Ficd%233351_b929cd40_1812_4e2b_8d98_622273bc31b1","iCat")</x:f>
      </x:c>
      <x:c r="M9707" s="0" t="s">
        <x:v>21</x:v>
      </x:c>
      <x:c r="N9707" s="0" t="s">
        <x:v>46</x:v>
      </x:c>
    </x:row>
    <x:row r="9708" spans="1:16">
      <x:c r="A9708" s="0" t="s">
        <x:v>38695</x:v>
      </x:c>
      <x:c r="B9708" s="0" t="s">
        <x:v>38696</x:v>
      </x:c>
      <x:c r="C9708" s="0" t="s">
        <x:v>38697</x:v>
      </x:c>
      <x:c r="E9708" s="0" t="s">
        <x:v>38698</x:v>
      </x:c>
      <x:c r="F9708" s="0" t="s">
        <x:v>45</x:v>
      </x:c>
      <x:c r="G9708" s="0" t="s">
        <x:v>19</x:v>
      </x:c>
      <x:c r="H9708" s="0" t="s">
        <x:v>20</x:v>
      </x:c>
      <x:c r="I9708" s="0" t="s">
        <x:v>21</x:v>
      </x:c>
      <x:c r="K9708" s="0">
        <x:f>hyperlink("https://icd.who.int/dev11/l-ichi/en#/http%3A%2F%2Fid.who.int%2Ficd%2Fentity%2F568140080","browser")</x:f>
      </x:c>
      <x:c r="L9708" s="0">
        <x:f>hyperlink("https://icat2.azurewebsites.net/icat/?ontology=ICD&amp;tab=ClassesTab&amp;id=http%3A%2F%2Fwho.int%2Ficd%233357_b929cd40_1812_4e2b_8d98_622273bc31b1","iCat")</x:f>
      </x:c>
      <x:c r="M9708" s="0" t="s">
        <x:v>21</x:v>
      </x:c>
      <x:c r="N9708" s="0" t="s">
        <x:v>46</x:v>
      </x:c>
    </x:row>
    <x:row r="9709" spans="1:16">
      <x:c r="A9709" s="0" t="s">
        <x:v>38699</x:v>
      </x:c>
      <x:c r="B9709" s="0" t="s">
        <x:v>38700</x:v>
      </x:c>
      <x:c r="C9709" s="0" t="s">
        <x:v>38701</x:v>
      </x:c>
      <x:c r="E9709" s="0" t="s">
        <x:v>38702</x:v>
      </x:c>
      <x:c r="F9709" s="0" t="s">
        <x:v>45</x:v>
      </x:c>
      <x:c r="G9709" s="0" t="s">
        <x:v>19</x:v>
      </x:c>
      <x:c r="H9709" s="0" t="s">
        <x:v>20</x:v>
      </x:c>
      <x:c r="I9709" s="0" t="s">
        <x:v>21</x:v>
      </x:c>
      <x:c r="K9709" s="0">
        <x:f>hyperlink("https://icd.who.int/dev11/l-ichi/en#/http%3A%2F%2Fid.who.int%2Ficd%2Fentity%2F1416340803","browser")</x:f>
      </x:c>
      <x:c r="L9709" s="0">
        <x:f>hyperlink("https://icat2.azurewebsites.net/icat/?ontology=ICD&amp;tab=ClassesTab&amp;id=http%3A%2F%2Fwho.int%2Ficd%233363_b929cd40_1812_4e2b_8d98_622273bc31b1","iCat")</x:f>
      </x:c>
      <x:c r="M9709" s="0" t="s">
        <x:v>21</x:v>
      </x:c>
      <x:c r="N9709" s="0" t="s">
        <x:v>46</x:v>
      </x:c>
    </x:row>
    <x:row r="9710" spans="1:16">
      <x:c r="A9710" s="0" t="s">
        <x:v>38703</x:v>
      </x:c>
      <x:c r="B9710" s="0" t="s">
        <x:v>38704</x:v>
      </x:c>
      <x:c r="C9710" s="0" t="s">
        <x:v>38705</x:v>
      </x:c>
      <x:c r="E9710" s="0" t="s">
        <x:v>38706</x:v>
      </x:c>
      <x:c r="F9710" s="0" t="s">
        <x:v>45</x:v>
      </x:c>
      <x:c r="G9710" s="0" t="s">
        <x:v>19</x:v>
      </x:c>
      <x:c r="H9710" s="0" t="s">
        <x:v>20</x:v>
      </x:c>
      <x:c r="I9710" s="0" t="s">
        <x:v>21</x:v>
      </x:c>
      <x:c r="K9710" s="0">
        <x:f>hyperlink("https://icd.who.int/dev11/l-ichi/en#/http%3A%2F%2Fid.who.int%2Ficd%2Fentity%2F2140588499","browser")</x:f>
      </x:c>
      <x:c r="L9710" s="0">
        <x:f>hyperlink("https://icat2.azurewebsites.net/icat/?ontology=ICD&amp;tab=ClassesTab&amp;id=http%3A%2F%2Fwho.int%2Ficd%233369_b929cd40_1812_4e2b_8d98_622273bc31b1","iCat")</x:f>
      </x:c>
      <x:c r="M9710" s="0" t="s">
        <x:v>21</x:v>
      </x:c>
      <x:c r="N9710" s="0" t="s">
        <x:v>46</x:v>
      </x:c>
    </x:row>
    <x:row r="9711" spans="1:16">
      <x:c r="A9711" s="0" t="s">
        <x:v>38707</x:v>
      </x:c>
      <x:c r="B9711" s="0" t="s">
        <x:v>38708</x:v>
      </x:c>
      <x:c r="C9711" s="0" t="s">
        <x:v>38709</x:v>
      </x:c>
      <x:c r="E9711" s="0" t="s">
        <x:v>38710</x:v>
      </x:c>
      <x:c r="F9711" s="0" t="s">
        <x:v>45</x:v>
      </x:c>
      <x:c r="G9711" s="0" t="s">
        <x:v>19</x:v>
      </x:c>
      <x:c r="H9711" s="0" t="s">
        <x:v>20</x:v>
      </x:c>
      <x:c r="I9711" s="0" t="s">
        <x:v>21</x:v>
      </x:c>
      <x:c r="K9711" s="0">
        <x:f>hyperlink("https://icd.who.int/dev11/l-ichi/en#/http%3A%2F%2Fid.who.int%2Ficd%2Fentity%2F1859512741","browser")</x:f>
      </x:c>
      <x:c r="L9711" s="0">
        <x:f>hyperlink("https://icat2.azurewebsites.net/icat/?ontology=ICD&amp;tab=ClassesTab&amp;id=http%3A%2F%2Fwho.int%2Ficd%233375_b929cd40_1812_4e2b_8d98_622273bc31b1","iCat")</x:f>
      </x:c>
      <x:c r="M9711" s="0" t="s">
        <x:v>21</x:v>
      </x:c>
      <x:c r="N9711" s="0" t="s">
        <x:v>46</x:v>
      </x:c>
    </x:row>
    <x:row r="9712" spans="1:16">
      <x:c r="A9712" s="0" t="s">
        <x:v>38711</x:v>
      </x:c>
      <x:c r="B9712" s="0" t="s">
        <x:v>38712</x:v>
      </x:c>
      <x:c r="C9712" s="0" t="s">
        <x:v>38713</x:v>
      </x:c>
      <x:c r="E9712" s="0" t="s">
        <x:v>38714</x:v>
      </x:c>
      <x:c r="F9712" s="0" t="s">
        <x:v>45</x:v>
      </x:c>
      <x:c r="G9712" s="0" t="s">
        <x:v>19</x:v>
      </x:c>
      <x:c r="H9712" s="0" t="s">
        <x:v>20</x:v>
      </x:c>
      <x:c r="I9712" s="0" t="s">
        <x:v>21</x:v>
      </x:c>
      <x:c r="K9712" s="0">
        <x:f>hyperlink("https://icd.who.int/dev11/l-ichi/en#/http%3A%2F%2Fid.who.int%2Ficd%2Fentity%2F1949656847","browser")</x:f>
      </x:c>
      <x:c r="L9712" s="0">
        <x:f>hyperlink("https://icat2.azurewebsites.net/icat/?ontology=ICD&amp;tab=ClassesTab&amp;id=http%3A%2F%2Fwho.int%2Ficd%233381_b929cd40_1812_4e2b_8d98_622273bc31b1","iCat")</x:f>
      </x:c>
      <x:c r="M9712" s="0" t="s">
        <x:v>21</x:v>
      </x:c>
      <x:c r="N9712" s="0" t="s">
        <x:v>46</x:v>
      </x:c>
    </x:row>
    <x:row r="9713" spans="1:16">
      <x:c r="A9713" s="0" t="s">
        <x:v>38715</x:v>
      </x:c>
      <x:c r="B9713" s="0" t="s">
        <x:v>38716</x:v>
      </x:c>
      <x:c r="C9713" s="0" t="s">
        <x:v>38717</x:v>
      </x:c>
      <x:c r="E9713" s="0" t="s">
        <x:v>38718</x:v>
      </x:c>
      <x:c r="F9713" s="0" t="s">
        <x:v>45</x:v>
      </x:c>
      <x:c r="G9713" s="0" t="s">
        <x:v>19</x:v>
      </x:c>
      <x:c r="H9713" s="0" t="s">
        <x:v>20</x:v>
      </x:c>
      <x:c r="I9713" s="0" t="s">
        <x:v>21</x:v>
      </x:c>
      <x:c r="K9713" s="0">
        <x:f>hyperlink("https://icd.who.int/dev11/l-ichi/en#/http%3A%2F%2Fid.who.int%2Ficd%2Fentity%2F609140416","browser")</x:f>
      </x:c>
      <x:c r="L9713" s="0">
        <x:f>hyperlink("https://icat2.azurewebsites.net/icat/?ontology=ICD&amp;tab=ClassesTab&amp;id=http%3A%2F%2Fwho.int%2Ficd%233387_b929cd40_1812_4e2b_8d98_622273bc31b1","iCat")</x:f>
      </x:c>
      <x:c r="M9713" s="0" t="s">
        <x:v>21</x:v>
      </x:c>
      <x:c r="N9713" s="0" t="s">
        <x:v>46</x:v>
      </x:c>
    </x:row>
    <x:row r="9714" spans="1:16">
      <x:c r="A9714" s="0" t="s">
        <x:v>38719</x:v>
      </x:c>
      <x:c r="B9714" s="0" t="s">
        <x:v>38720</x:v>
      </x:c>
      <x:c r="C9714" s="0" t="s">
        <x:v>38721</x:v>
      </x:c>
      <x:c r="E9714" s="0" t="s">
        <x:v>38722</x:v>
      </x:c>
      <x:c r="F9714" s="0" t="s">
        <x:v>45</x:v>
      </x:c>
      <x:c r="G9714" s="0" t="s">
        <x:v>19</x:v>
      </x:c>
      <x:c r="H9714" s="0" t="s">
        <x:v>20</x:v>
      </x:c>
      <x:c r="I9714" s="0" t="s">
        <x:v>21</x:v>
      </x:c>
      <x:c r="K9714" s="0">
        <x:f>hyperlink("https://icd.who.int/dev11/l-ichi/en#/http%3A%2F%2Fid.who.int%2Ficd%2Fentity%2F2072833949","browser")</x:f>
      </x:c>
      <x:c r="L9714" s="0">
        <x:f>hyperlink("https://icat2.azurewebsites.net/icat/?ontology=ICD&amp;tab=ClassesTab&amp;id=http%3A%2F%2Fwho.int%2Ficd%233393_b929cd40_1812_4e2b_8d98_622273bc31b1","iCat")</x:f>
      </x:c>
      <x:c r="M9714" s="0" t="s">
        <x:v>21</x:v>
      </x:c>
      <x:c r="N9714" s="0" t="s">
        <x:v>46</x:v>
      </x:c>
    </x:row>
    <x:row r="9715" spans="1:16">
      <x:c r="A9715" s="0" t="s">
        <x:v>38723</x:v>
      </x:c>
      <x:c r="B9715" s="0" t="s">
        <x:v>38724</x:v>
      </x:c>
      <x:c r="C9715" s="0" t="s">
        <x:v>38725</x:v>
      </x:c>
      <x:c r="E9715" s="0" t="s">
        <x:v>38726</x:v>
      </x:c>
      <x:c r="F9715" s="0" t="s">
        <x:v>45</x:v>
      </x:c>
      <x:c r="G9715" s="0" t="s">
        <x:v>19</x:v>
      </x:c>
      <x:c r="H9715" s="0" t="s">
        <x:v>20</x:v>
      </x:c>
      <x:c r="I9715" s="0" t="s">
        <x:v>21</x:v>
      </x:c>
      <x:c r="K9715" s="0">
        <x:f>hyperlink("https://icd.who.int/dev11/l-ichi/en#/http%3A%2F%2Fid.who.int%2Ficd%2Fentity%2F1349616397","browser")</x:f>
      </x:c>
      <x:c r="L9715" s="0">
        <x:f>hyperlink("https://icat2.azurewebsites.net/icat/?ontology=ICD&amp;tab=ClassesTab&amp;id=http%3A%2F%2Fwho.int%2Ficd%233399_b929cd40_1812_4e2b_8d98_622273bc31b1","iCat")</x:f>
      </x:c>
      <x:c r="M9715" s="0" t="s">
        <x:v>21</x:v>
      </x:c>
      <x:c r="N9715" s="0" t="s">
        <x:v>46</x:v>
      </x:c>
    </x:row>
    <x:row r="9716" spans="1:16">
      <x:c r="A9716" s="0" t="s">
        <x:v>38727</x:v>
      </x:c>
      <x:c r="B9716" s="0" t="s">
        <x:v>38728</x:v>
      </x:c>
      <x:c r="C9716" s="0" t="s">
        <x:v>38729</x:v>
      </x:c>
      <x:c r="E9716" s="0" t="s">
        <x:v>38730</x:v>
      </x:c>
      <x:c r="F9716" s="0" t="s">
        <x:v>45</x:v>
      </x:c>
      <x:c r="G9716" s="0" t="s">
        <x:v>19</x:v>
      </x:c>
      <x:c r="H9716" s="0" t="s">
        <x:v>20</x:v>
      </x:c>
      <x:c r="I9716" s="0" t="s">
        <x:v>21</x:v>
      </x:c>
      <x:c r="K9716" s="0">
        <x:f>hyperlink("https://icd.who.int/dev11/l-ichi/en#/http%3A%2F%2Fid.who.int%2Ficd%2Fentity%2F844255955","browser")</x:f>
      </x:c>
      <x:c r="L9716" s="0">
        <x:f>hyperlink("https://icat2.azurewebsites.net/icat/?ontology=ICD&amp;tab=ClassesTab&amp;id=http%3A%2F%2Fwho.int%2Ficd%233405_b929cd40_1812_4e2b_8d98_622273bc31b1","iCat")</x:f>
      </x:c>
      <x:c r="M9716" s="0" t="s">
        <x:v>21</x:v>
      </x:c>
      <x:c r="N9716" s="0" t="s">
        <x:v>46</x:v>
      </x:c>
    </x:row>
    <x:row r="9717" spans="1:16">
      <x:c r="A9717" s="0" t="s">
        <x:v>38731</x:v>
      </x:c>
      <x:c r="B9717" s="0" t="s">
        <x:v>38732</x:v>
      </x:c>
      <x:c r="C9717" s="0" t="s">
        <x:v>38733</x:v>
      </x:c>
      <x:c r="E9717" s="0" t="s">
        <x:v>38734</x:v>
      </x:c>
      <x:c r="F9717" s="0" t="s">
        <x:v>45</x:v>
      </x:c>
      <x:c r="G9717" s="0" t="s">
        <x:v>19</x:v>
      </x:c>
      <x:c r="H9717" s="0" t="s">
        <x:v>20</x:v>
      </x:c>
      <x:c r="I9717" s="0" t="s">
        <x:v>21</x:v>
      </x:c>
      <x:c r="K9717" s="0">
        <x:f>hyperlink("https://icd.who.int/dev11/l-ichi/en#/http%3A%2F%2Fid.who.int%2Ficd%2Fentity%2F577144516","browser")</x:f>
      </x:c>
      <x:c r="L9717" s="0">
        <x:f>hyperlink("https://icat2.azurewebsites.net/icat/?ontology=ICD&amp;tab=ClassesTab&amp;id=http%3A%2F%2Fwho.int%2Ficd%234346_b929cd40_1812_4e2b_8d98_622273bc31b1","iCat")</x:f>
      </x:c>
      <x:c r="M9717" s="0" t="s">
        <x:v>21</x:v>
      </x:c>
      <x:c r="N9717" s="0" t="s">
        <x:v>46</x:v>
      </x:c>
    </x:row>
    <x:row r="9718" spans="1:16">
      <x:c r="A9718" s="0" t="s">
        <x:v>38735</x:v>
      </x:c>
      <x:c r="B9718" s="0" t="s">
        <x:v>38736</x:v>
      </x:c>
      <x:c r="C9718" s="0" t="s">
        <x:v>38737</x:v>
      </x:c>
      <x:c r="E9718" s="0" t="s">
        <x:v>38738</x:v>
      </x:c>
      <x:c r="F9718" s="0" t="s">
        <x:v>45</x:v>
      </x:c>
      <x:c r="G9718" s="0" t="s">
        <x:v>19</x:v>
      </x:c>
      <x:c r="H9718" s="0" t="s">
        <x:v>20</x:v>
      </x:c>
      <x:c r="I9718" s="0" t="s">
        <x:v>21</x:v>
      </x:c>
      <x:c r="K9718" s="0">
        <x:f>hyperlink("https://icd.who.int/dev11/l-ichi/en#/http%3A%2F%2Fid.who.int%2Ficd%2Fentity%2F2107955175","browser")</x:f>
      </x:c>
      <x:c r="L9718" s="0">
        <x:f>hyperlink("https://icat2.azurewebsites.net/icat/?ontology=ICD&amp;tab=ClassesTab&amp;id=http%3A%2F%2Fwho.int%2Ficd%234352_b929cd40_1812_4e2b_8d98_622273bc31b1","iCat")</x:f>
      </x:c>
      <x:c r="M9718" s="0" t="s">
        <x:v>21</x:v>
      </x:c>
      <x:c r="N9718" s="0" t="s">
        <x:v>46</x:v>
      </x:c>
    </x:row>
    <x:row r="9719" spans="1:16">
      <x:c r="A9719" s="0" t="s">
        <x:v>38739</x:v>
      </x:c>
      <x:c r="B9719" s="0" t="s">
        <x:v>38740</x:v>
      </x:c>
      <x:c r="C9719" s="0" t="s">
        <x:v>38741</x:v>
      </x:c>
      <x:c r="E9719" s="0" t="s">
        <x:v>38742</x:v>
      </x:c>
      <x:c r="F9719" s="0" t="s">
        <x:v>45</x:v>
      </x:c>
      <x:c r="G9719" s="0" t="s">
        <x:v>19</x:v>
      </x:c>
      <x:c r="H9719" s="0" t="s">
        <x:v>20</x:v>
      </x:c>
      <x:c r="I9719" s="0" t="s">
        <x:v>21</x:v>
      </x:c>
      <x:c r="K9719" s="0">
        <x:f>hyperlink("https://icd.who.int/dev11/l-ichi/en#/http%3A%2F%2Fid.who.int%2Ficd%2Fentity%2F1448721271","browser")</x:f>
      </x:c>
      <x:c r="L9719" s="0">
        <x:f>hyperlink("https://icat2.azurewebsites.net/icat/?ontology=ICD&amp;tab=ClassesTab&amp;id=http%3A%2F%2Fwho.int%2Ficd%234358_b929cd40_1812_4e2b_8d98_622273bc31b1","iCat")</x:f>
      </x:c>
      <x:c r="M9719" s="0" t="s">
        <x:v>21</x:v>
      </x:c>
      <x:c r="N9719" s="0" t="s">
        <x:v>46</x:v>
      </x:c>
    </x:row>
    <x:row r="9720" spans="1:16">
      <x:c r="A9720" s="0" t="s">
        <x:v>38743</x:v>
      </x:c>
      <x:c r="B9720" s="0" t="s">
        <x:v>38744</x:v>
      </x:c>
      <x:c r="C9720" s="0" t="s">
        <x:v>38745</x:v>
      </x:c>
      <x:c r="E9720" s="0" t="s">
        <x:v>38746</x:v>
      </x:c>
      <x:c r="F9720" s="0" t="s">
        <x:v>45</x:v>
      </x:c>
      <x:c r="G9720" s="0" t="s">
        <x:v>19</x:v>
      </x:c>
      <x:c r="H9720" s="0" t="s">
        <x:v>20</x:v>
      </x:c>
      <x:c r="I9720" s="0" t="s">
        <x:v>21</x:v>
      </x:c>
      <x:c r="K9720" s="0">
        <x:f>hyperlink("https://icd.who.int/dev11/l-ichi/en#/http%3A%2F%2Fid.who.int%2Ficd%2Fentity%2F1835945553","browser")</x:f>
      </x:c>
      <x:c r="L9720" s="0">
        <x:f>hyperlink("https://icat2.azurewebsites.net/icat/?ontology=ICD&amp;tab=ClassesTab&amp;id=http%3A%2F%2Fwho.int%2Ficd%234364_b929cd40_1812_4e2b_8d98_622273bc31b1","iCat")</x:f>
      </x:c>
      <x:c r="M9720" s="0" t="s">
        <x:v>21</x:v>
      </x:c>
      <x:c r="N9720" s="0" t="s">
        <x:v>46</x:v>
      </x:c>
    </x:row>
    <x:row r="9721" spans="1:16">
      <x:c r="A9721" s="0" t="s">
        <x:v>38747</x:v>
      </x:c>
      <x:c r="B9721" s="0" t="s">
        <x:v>38748</x:v>
      </x:c>
      <x:c r="C9721" s="0" t="s">
        <x:v>38749</x:v>
      </x:c>
      <x:c r="E9721" s="0" t="s">
        <x:v>38750</x:v>
      </x:c>
      <x:c r="F9721" s="0" t="s">
        <x:v>45</x:v>
      </x:c>
      <x:c r="G9721" s="0" t="s">
        <x:v>19</x:v>
      </x:c>
      <x:c r="H9721" s="0" t="s">
        <x:v>20</x:v>
      </x:c>
      <x:c r="I9721" s="0" t="s">
        <x:v>21</x:v>
      </x:c>
      <x:c r="K9721" s="0">
        <x:f>hyperlink("https://icd.who.int/dev11/l-ichi/en#/http%3A%2F%2Fid.who.int%2Ficd%2Fentity%2F850141042","browser")</x:f>
      </x:c>
      <x:c r="L9721" s="0">
        <x:f>hyperlink("https://icat2.azurewebsites.net/icat/?ontology=ICD&amp;tab=ClassesTab&amp;id=http%3A%2F%2Fwho.int%2Ficd%234370_b929cd40_1812_4e2b_8d98_622273bc31b1","iCat")</x:f>
      </x:c>
      <x:c r="M9721" s="0" t="s">
        <x:v>21</x:v>
      </x:c>
      <x:c r="N9721" s="0" t="s">
        <x:v>46</x:v>
      </x:c>
    </x:row>
    <x:row r="9722" spans="1:16">
      <x:c r="A9722" s="0" t="s">
        <x:v>38751</x:v>
      </x:c>
      <x:c r="B9722" s="0" t="s">
        <x:v>38752</x:v>
      </x:c>
      <x:c r="C9722" s="0" t="s">
        <x:v>38753</x:v>
      </x:c>
      <x:c r="E9722" s="0" t="s">
        <x:v>38754</x:v>
      </x:c>
      <x:c r="F9722" s="0" t="s">
        <x:v>45</x:v>
      </x:c>
      <x:c r="G9722" s="0" t="s">
        <x:v>19</x:v>
      </x:c>
      <x:c r="H9722" s="0" t="s">
        <x:v>20</x:v>
      </x:c>
      <x:c r="I9722" s="0" t="s">
        <x:v>21</x:v>
      </x:c>
      <x:c r="K9722" s="0">
        <x:f>hyperlink("https://icd.who.int/dev11/l-ichi/en#/http%3A%2F%2Fid.who.int%2Ficd%2Fentity%2F1658308291","browser")</x:f>
      </x:c>
      <x:c r="L9722" s="0">
        <x:f>hyperlink("https://icat2.azurewebsites.net/icat/?ontology=ICD&amp;tab=ClassesTab&amp;id=http%3A%2F%2Fwho.int%2Ficd%234376_b929cd40_1812_4e2b_8d98_622273bc31b1","iCat")</x:f>
      </x:c>
      <x:c r="M9722" s="0" t="s">
        <x:v>21</x:v>
      </x:c>
      <x:c r="N9722" s="0" t="s">
        <x:v>46</x:v>
      </x:c>
    </x:row>
    <x:row r="9723" spans="1:16">
      <x:c r="A9723" s="0" t="s">
        <x:v>38755</x:v>
      </x:c>
      <x:c r="B9723" s="0" t="s">
        <x:v>38756</x:v>
      </x:c>
      <x:c r="C9723" s="0" t="s">
        <x:v>38757</x:v>
      </x:c>
      <x:c r="E9723" s="0" t="s">
        <x:v>38758</x:v>
      </x:c>
      <x:c r="F9723" s="0" t="s">
        <x:v>45</x:v>
      </x:c>
      <x:c r="G9723" s="0" t="s">
        <x:v>19</x:v>
      </x:c>
      <x:c r="H9723" s="0" t="s">
        <x:v>20</x:v>
      </x:c>
      <x:c r="I9723" s="0" t="s">
        <x:v>21</x:v>
      </x:c>
      <x:c r="K9723" s="0">
        <x:f>hyperlink("https://icd.who.int/dev11/l-ichi/en#/http%3A%2F%2Fid.who.int%2Ficd%2Fentity%2F2016888937","browser")</x:f>
      </x:c>
      <x:c r="L9723" s="0">
        <x:f>hyperlink("https://icat2.azurewebsites.net/icat/?ontology=ICD&amp;tab=ClassesTab&amp;id=http%3A%2F%2Fwho.int%2Ficd%234382_b929cd40_1812_4e2b_8d98_622273bc31b1","iCat")</x:f>
      </x:c>
      <x:c r="M9723" s="0" t="s">
        <x:v>21</x:v>
      </x:c>
      <x:c r="N9723" s="0" t="s">
        <x:v>46</x:v>
      </x:c>
    </x:row>
    <x:row r="9724" spans="1:16">
      <x:c r="A9724" s="0" t="s">
        <x:v>38759</x:v>
      </x:c>
      <x:c r="B9724" s="0" t="s">
        <x:v>38760</x:v>
      </x:c>
      <x:c r="C9724" s="0" t="s">
        <x:v>38761</x:v>
      </x:c>
      <x:c r="E9724" s="0" t="s">
        <x:v>38762</x:v>
      </x:c>
      <x:c r="F9724" s="0" t="s">
        <x:v>45</x:v>
      </x:c>
      <x:c r="G9724" s="0" t="s">
        <x:v>19</x:v>
      </x:c>
      <x:c r="H9724" s="0" t="s">
        <x:v>20</x:v>
      </x:c>
      <x:c r="I9724" s="0" t="s">
        <x:v>21</x:v>
      </x:c>
      <x:c r="K9724" s="0">
        <x:f>hyperlink("https://icd.who.int/dev11/l-ichi/en#/http%3A%2F%2Fid.who.int%2Ficd%2Fentity%2F1405756665","browser")</x:f>
      </x:c>
      <x:c r="L9724" s="0">
        <x:f>hyperlink("https://icat2.azurewebsites.net/icat/?ontology=ICD&amp;tab=ClassesTab&amp;id=http%3A%2F%2Fwho.int%2Ficd%234388_b929cd40_1812_4e2b_8d98_622273bc31b1","iCat")</x:f>
      </x:c>
      <x:c r="M9724" s="0" t="s">
        <x:v>21</x:v>
      </x:c>
      <x:c r="N9724" s="0" t="s">
        <x:v>46</x:v>
      </x:c>
    </x:row>
    <x:row r="9725" spans="1:16">
      <x:c r="A9725" s="0" t="s">
        <x:v>38763</x:v>
      </x:c>
      <x:c r="B9725" s="0" t="s">
        <x:v>38764</x:v>
      </x:c>
      <x:c r="C9725" s="0" t="s">
        <x:v>38765</x:v>
      </x:c>
      <x:c r="E9725" s="0" t="s">
        <x:v>38766</x:v>
      </x:c>
      <x:c r="F9725" s="0" t="s">
        <x:v>45</x:v>
      </x:c>
      <x:c r="G9725" s="0" t="s">
        <x:v>19</x:v>
      </x:c>
      <x:c r="H9725" s="0" t="s">
        <x:v>20</x:v>
      </x:c>
      <x:c r="I9725" s="0" t="s">
        <x:v>21</x:v>
      </x:c>
      <x:c r="K9725" s="0">
        <x:f>hyperlink("https://icd.who.int/dev11/l-ichi/en#/http%3A%2F%2Fid.who.int%2Ficd%2Fentity%2F1116275855","browser")</x:f>
      </x:c>
      <x:c r="L9725" s="0">
        <x:f>hyperlink("https://icat2.azurewebsites.net/icat/?ontology=ICD&amp;tab=ClassesTab&amp;id=http%3A%2F%2Fwho.int%2Ficd%234394_b929cd40_1812_4e2b_8d98_622273bc31b1","iCat")</x:f>
      </x:c>
      <x:c r="M9725" s="0" t="s">
        <x:v>21</x:v>
      </x:c>
      <x:c r="N9725" s="0" t="s">
        <x:v>46</x:v>
      </x:c>
    </x:row>
    <x:row r="9726" spans="1:16">
      <x:c r="A9726" s="0" t="s">
        <x:v>38767</x:v>
      </x:c>
      <x:c r="B9726" s="0" t="s">
        <x:v>38768</x:v>
      </x:c>
      <x:c r="C9726" s="0" t="s">
        <x:v>38769</x:v>
      </x:c>
      <x:c r="E9726" s="0" t="s">
        <x:v>38770</x:v>
      </x:c>
      <x:c r="F9726" s="0" t="s">
        <x:v>45</x:v>
      </x:c>
      <x:c r="G9726" s="0" t="s">
        <x:v>19</x:v>
      </x:c>
      <x:c r="H9726" s="0" t="s">
        <x:v>20</x:v>
      </x:c>
      <x:c r="I9726" s="0" t="s">
        <x:v>21</x:v>
      </x:c>
      <x:c r="K9726" s="0">
        <x:f>hyperlink("https://icd.who.int/dev11/l-ichi/en#/http%3A%2F%2Fid.who.int%2Ficd%2Fentity%2F1848353796","browser")</x:f>
      </x:c>
      <x:c r="L9726" s="0">
        <x:f>hyperlink("https://icat2.azurewebsites.net/icat/?ontology=ICD&amp;tab=ClassesTab&amp;id=http%3A%2F%2Fwho.int%2Ficd%234400_b929cd40_1812_4e2b_8d98_622273bc31b1","iCat")</x:f>
      </x:c>
      <x:c r="M9726" s="0" t="s">
        <x:v>21</x:v>
      </x:c>
      <x:c r="N9726" s="0" t="s">
        <x:v>46</x:v>
      </x:c>
    </x:row>
    <x:row r="9727" spans="1:16">
      <x:c r="A9727" s="0" t="s">
        <x:v>38771</x:v>
      </x:c>
      <x:c r="B9727" s="0" t="s">
        <x:v>38772</x:v>
      </x:c>
      <x:c r="C9727" s="0" t="s">
        <x:v>38773</x:v>
      </x:c>
      <x:c r="E9727" s="0" t="s">
        <x:v>38774</x:v>
      </x:c>
      <x:c r="F9727" s="0" t="s">
        <x:v>45</x:v>
      </x:c>
      <x:c r="G9727" s="0" t="s">
        <x:v>19</x:v>
      </x:c>
      <x:c r="H9727" s="0" t="s">
        <x:v>20</x:v>
      </x:c>
      <x:c r="I9727" s="0" t="s">
        <x:v>21</x:v>
      </x:c>
      <x:c r="K9727" s="0">
        <x:f>hyperlink("https://icd.who.int/dev11/l-ichi/en#/http%3A%2F%2Fid.who.int%2Ficd%2Fentity%2F1045462453","browser")</x:f>
      </x:c>
      <x:c r="L9727" s="0">
        <x:f>hyperlink("https://icat2.azurewebsites.net/icat/?ontology=ICD&amp;tab=ClassesTab&amp;id=http%3A%2F%2Fwho.int%2Ficd%234406_b929cd40_1812_4e2b_8d98_622273bc31b1","iCat")</x:f>
      </x:c>
      <x:c r="M9727" s="0" t="s">
        <x:v>21</x:v>
      </x:c>
      <x:c r="N9727" s="0" t="s">
        <x:v>46</x:v>
      </x:c>
    </x:row>
    <x:row r="9728" spans="1:16">
      <x:c r="A9728" s="0" t="s">
        <x:v>38775</x:v>
      </x:c>
      <x:c r="B9728" s="0" t="s">
        <x:v>38776</x:v>
      </x:c>
      <x:c r="C9728" s="0" t="s">
        <x:v>38777</x:v>
      </x:c>
      <x:c r="E9728" s="0" t="s">
        <x:v>38778</x:v>
      </x:c>
      <x:c r="F9728" s="0" t="s">
        <x:v>45</x:v>
      </x:c>
      <x:c r="G9728" s="0" t="s">
        <x:v>19</x:v>
      </x:c>
      <x:c r="H9728" s="0" t="s">
        <x:v>20</x:v>
      </x:c>
      <x:c r="I9728" s="0" t="s">
        <x:v>21</x:v>
      </x:c>
      <x:c r="K9728" s="0">
        <x:f>hyperlink("https://icd.who.int/dev11/l-ichi/en#/http%3A%2F%2Fid.who.int%2Ficd%2Fentity%2F1636969622","browser")</x:f>
      </x:c>
      <x:c r="L9728" s="0">
        <x:f>hyperlink("https://icat2.azurewebsites.net/icat/?ontology=ICD&amp;tab=ClassesTab&amp;id=http%3A%2F%2Fwho.int%2Ficd%234412_b929cd40_1812_4e2b_8d98_622273bc31b1","iCat")</x:f>
      </x:c>
      <x:c r="M9728" s="0" t="s">
        <x:v>21</x:v>
      </x:c>
      <x:c r="N9728" s="0" t="s">
        <x:v>46</x:v>
      </x:c>
    </x:row>
    <x:row r="9729" spans="1:16">
      <x:c r="A9729" s="0" t="s">
        <x:v>38779</x:v>
      </x:c>
      <x:c r="B9729" s="0" t="s">
        <x:v>38780</x:v>
      </x:c>
      <x:c r="C9729" s="0" t="s">
        <x:v>38781</x:v>
      </x:c>
      <x:c r="E9729" s="0" t="s">
        <x:v>38782</x:v>
      </x:c>
      <x:c r="F9729" s="0" t="s">
        <x:v>45</x:v>
      </x:c>
      <x:c r="G9729" s="0" t="s">
        <x:v>19</x:v>
      </x:c>
      <x:c r="H9729" s="0" t="s">
        <x:v>20</x:v>
      </x:c>
      <x:c r="I9729" s="0" t="s">
        <x:v>21</x:v>
      </x:c>
      <x:c r="K9729" s="0">
        <x:f>hyperlink("https://icd.who.int/dev11/l-ichi/en#/http%3A%2F%2Fid.who.int%2Ficd%2Fentity%2F1248804870","browser")</x:f>
      </x:c>
      <x:c r="L9729" s="0">
        <x:f>hyperlink("https://icat2.azurewebsites.net/icat/?ontology=ICD&amp;tab=ClassesTab&amp;id=http%3A%2F%2Fwho.int%2Ficd%234418_b929cd40_1812_4e2b_8d98_622273bc31b1","iCat")</x:f>
      </x:c>
      <x:c r="M9729" s="0" t="s">
        <x:v>21</x:v>
      </x:c>
      <x:c r="N9729" s="0" t="s">
        <x:v>46</x:v>
      </x:c>
    </x:row>
    <x:row r="9730" spans="1:16">
      <x:c r="A9730" s="0" t="s">
        <x:v>38783</x:v>
      </x:c>
      <x:c r="B9730" s="0" t="s">
        <x:v>38784</x:v>
      </x:c>
      <x:c r="C9730" s="0" t="s">
        <x:v>38785</x:v>
      </x:c>
      <x:c r="E9730" s="0" t="s">
        <x:v>38786</x:v>
      </x:c>
      <x:c r="F9730" s="0" t="s">
        <x:v>45</x:v>
      </x:c>
      <x:c r="G9730" s="0" t="s">
        <x:v>19</x:v>
      </x:c>
      <x:c r="H9730" s="0" t="s">
        <x:v>20</x:v>
      </x:c>
      <x:c r="I9730" s="0" t="s">
        <x:v>21</x:v>
      </x:c>
      <x:c r="K9730" s="0">
        <x:f>hyperlink("https://icd.who.int/dev11/l-ichi/en#/http%3A%2F%2Fid.who.int%2Ficd%2Fentity%2F1901638944","browser")</x:f>
      </x:c>
      <x:c r="L9730" s="0">
        <x:f>hyperlink("https://icat2.azurewebsites.net/icat/?ontology=ICD&amp;tab=ClassesTab&amp;id=http%3A%2F%2Fwho.int%2Ficd%234424_b929cd40_1812_4e2b_8d98_622273bc31b1","iCat")</x:f>
      </x:c>
      <x:c r="M9730" s="0" t="s">
        <x:v>21</x:v>
      </x:c>
      <x:c r="N9730" s="0" t="s">
        <x:v>46</x:v>
      </x:c>
    </x:row>
    <x:row r="9731" spans="1:16">
      <x:c r="A9731" s="0" t="s">
        <x:v>38787</x:v>
      </x:c>
      <x:c r="B9731" s="0" t="s">
        <x:v>38788</x:v>
      </x:c>
      <x:c r="C9731" s="0" t="s">
        <x:v>38789</x:v>
      </x:c>
      <x:c r="E9731" s="0" t="s">
        <x:v>38790</x:v>
      </x:c>
      <x:c r="F9731" s="0" t="s">
        <x:v>45</x:v>
      </x:c>
      <x:c r="G9731" s="0" t="s">
        <x:v>19</x:v>
      </x:c>
      <x:c r="H9731" s="0" t="s">
        <x:v>20</x:v>
      </x:c>
      <x:c r="I9731" s="0" t="s">
        <x:v>21</x:v>
      </x:c>
      <x:c r="K9731" s="0">
        <x:f>hyperlink("https://icd.who.int/dev11/l-ichi/en#/http%3A%2F%2Fid.who.int%2Ficd%2Fentity%2F1515582111","browser")</x:f>
      </x:c>
      <x:c r="L9731" s="0">
        <x:f>hyperlink("https://icat2.azurewebsites.net/icat/?ontology=ICD&amp;tab=ClassesTab&amp;id=http%3A%2F%2Fwho.int%2Ficd%235040_b929cd40_1812_4e2b_8d98_622273bc31b1","iCat")</x:f>
      </x:c>
      <x:c r="M9731" s="0" t="s">
        <x:v>21</x:v>
      </x:c>
      <x:c r="N9731" s="0" t="s">
        <x:v>46</x:v>
      </x:c>
    </x:row>
    <x:row r="9732" spans="1:16">
      <x:c r="A9732" s="0" t="s">
        <x:v>38791</x:v>
      </x:c>
      <x:c r="B9732" s="0" t="s">
        <x:v>38792</x:v>
      </x:c>
      <x:c r="C9732" s="0" t="s">
        <x:v>38793</x:v>
      </x:c>
      <x:c r="E9732" s="0" t="s">
        <x:v>38794</x:v>
      </x:c>
      <x:c r="F9732" s="0" t="s">
        <x:v>45</x:v>
      </x:c>
      <x:c r="G9732" s="0" t="s">
        <x:v>19</x:v>
      </x:c>
      <x:c r="H9732" s="0" t="s">
        <x:v>20</x:v>
      </x:c>
      <x:c r="I9732" s="0" t="s">
        <x:v>21</x:v>
      </x:c>
      <x:c r="K9732" s="0">
        <x:f>hyperlink("https://icd.who.int/dev11/l-ichi/en#/http%3A%2F%2Fid.who.int%2Ficd%2Fentity%2F170797870","browser")</x:f>
      </x:c>
      <x:c r="L9732" s="0">
        <x:f>hyperlink("https://icat2.azurewebsites.net/icat/?ontology=ICD&amp;tab=ClassesTab&amp;id=http%3A%2F%2Fwho.int%2Ficd%235046_b929cd40_1812_4e2b_8d98_622273bc31b1","iCat")</x:f>
      </x:c>
      <x:c r="M9732" s="0" t="s">
        <x:v>21</x:v>
      </x:c>
      <x:c r="N9732" s="0" t="s">
        <x:v>46</x:v>
      </x:c>
    </x:row>
    <x:row r="9733" spans="1:16">
      <x:c r="A9733" s="0" t="s">
        <x:v>38795</x:v>
      </x:c>
      <x:c r="B9733" s="0" t="s">
        <x:v>38796</x:v>
      </x:c>
      <x:c r="C9733" s="0" t="s">
        <x:v>38797</x:v>
      </x:c>
      <x:c r="E9733" s="0" t="s">
        <x:v>38798</x:v>
      </x:c>
      <x:c r="F9733" s="0" t="s">
        <x:v>45</x:v>
      </x:c>
      <x:c r="G9733" s="0" t="s">
        <x:v>19</x:v>
      </x:c>
      <x:c r="H9733" s="0" t="s">
        <x:v>20</x:v>
      </x:c>
      <x:c r="I9733" s="0" t="s">
        <x:v>21</x:v>
      </x:c>
      <x:c r="K9733" s="0">
        <x:f>hyperlink("https://icd.who.int/dev11/l-ichi/en#/http%3A%2F%2Fid.who.int%2Ficd%2Fentity%2F1441561101","browser")</x:f>
      </x:c>
      <x:c r="L9733" s="0">
        <x:f>hyperlink("https://icat2.azurewebsites.net/icat/?ontology=ICD&amp;tab=ClassesTab&amp;id=http%3A%2F%2Fwho.int%2Ficd%235052_b929cd40_1812_4e2b_8d98_622273bc31b1","iCat")</x:f>
      </x:c>
      <x:c r="M9733" s="0" t="s">
        <x:v>21</x:v>
      </x:c>
      <x:c r="N9733" s="0" t="s">
        <x:v>46</x:v>
      </x:c>
    </x:row>
    <x:row r="9734" spans="1:16">
      <x:c r="A9734" s="0" t="s">
        <x:v>38799</x:v>
      </x:c>
      <x:c r="B9734" s="0" t="s">
        <x:v>38800</x:v>
      </x:c>
      <x:c r="C9734" s="0" t="s">
        <x:v>38801</x:v>
      </x:c>
      <x:c r="E9734" s="0" t="s">
        <x:v>38802</x:v>
      </x:c>
      <x:c r="F9734" s="0" t="s">
        <x:v>45</x:v>
      </x:c>
      <x:c r="G9734" s="0" t="s">
        <x:v>19</x:v>
      </x:c>
      <x:c r="H9734" s="0" t="s">
        <x:v>20</x:v>
      </x:c>
      <x:c r="I9734" s="0" t="s">
        <x:v>21</x:v>
      </x:c>
      <x:c r="K9734" s="0">
        <x:f>hyperlink("https://icd.who.int/dev11/l-ichi/en#/http%3A%2F%2Fid.who.int%2Ficd%2Fentity%2F2115049117","browser")</x:f>
      </x:c>
      <x:c r="L9734" s="0">
        <x:f>hyperlink("https://icat2.azurewebsites.net/icat/?ontology=ICD&amp;tab=ClassesTab&amp;id=http%3A%2F%2Fwho.int%2Ficd%235058_b929cd40_1812_4e2b_8d98_622273bc31b1","iCat")</x:f>
      </x:c>
      <x:c r="M9734" s="0" t="s">
        <x:v>21</x:v>
      </x:c>
      <x:c r="N9734" s="0" t="s">
        <x:v>46</x:v>
      </x:c>
    </x:row>
    <x:row r="9735" spans="1:16">
      <x:c r="A9735" s="0" t="s">
        <x:v>38803</x:v>
      </x:c>
      <x:c r="B9735" s="0" t="s">
        <x:v>38804</x:v>
      </x:c>
      <x:c r="C9735" s="0" t="s">
        <x:v>38805</x:v>
      </x:c>
      <x:c r="E9735" s="0" t="s">
        <x:v>38806</x:v>
      </x:c>
      <x:c r="F9735" s="0" t="s">
        <x:v>45</x:v>
      </x:c>
      <x:c r="G9735" s="0" t="s">
        <x:v>19</x:v>
      </x:c>
      <x:c r="H9735" s="0" t="s">
        <x:v>20</x:v>
      </x:c>
      <x:c r="I9735" s="0" t="s">
        <x:v>21</x:v>
      </x:c>
      <x:c r="K9735" s="0">
        <x:f>hyperlink("https://icd.who.int/dev11/l-ichi/en#/http%3A%2F%2Fid.who.int%2Ficd%2Fentity%2F1160176571","browser")</x:f>
      </x:c>
      <x:c r="L9735" s="0">
        <x:f>hyperlink("https://icat2.azurewebsites.net/icat/?ontology=ICD&amp;tab=ClassesTab&amp;id=http%3A%2F%2Fwho.int%2Ficd%235064_b929cd40_1812_4e2b_8d98_622273bc31b1","iCat")</x:f>
      </x:c>
      <x:c r="M9735" s="0" t="s">
        <x:v>21</x:v>
      </x:c>
      <x:c r="N9735" s="0" t="s">
        <x:v>46</x:v>
      </x:c>
    </x:row>
    <x:row r="9736" spans="1:16">
      <x:c r="A9736" s="0" t="s">
        <x:v>38807</x:v>
      </x:c>
      <x:c r="B9736" s="0" t="s">
        <x:v>38808</x:v>
      </x:c>
      <x:c r="C9736" s="0" t="s">
        <x:v>38809</x:v>
      </x:c>
      <x:c r="E9736" s="0" t="s">
        <x:v>38810</x:v>
      </x:c>
      <x:c r="F9736" s="0" t="s">
        <x:v>45</x:v>
      </x:c>
      <x:c r="G9736" s="0" t="s">
        <x:v>19</x:v>
      </x:c>
      <x:c r="H9736" s="0" t="s">
        <x:v>20</x:v>
      </x:c>
      <x:c r="I9736" s="0" t="s">
        <x:v>21</x:v>
      </x:c>
      <x:c r="K9736" s="0">
        <x:f>hyperlink("https://icd.who.int/dev11/l-ichi/en#/http%3A%2F%2Fid.who.int%2Ficd%2Fentity%2F451195544","browser")</x:f>
      </x:c>
      <x:c r="L9736" s="0">
        <x:f>hyperlink("https://icat2.azurewebsites.net/icat/?ontology=ICD&amp;tab=ClassesTab&amp;id=http%3A%2F%2Fwho.int%2Ficd%235070_b929cd40_1812_4e2b_8d98_622273bc31b1","iCat")</x:f>
      </x:c>
      <x:c r="M9736" s="0" t="s">
        <x:v>21</x:v>
      </x:c>
      <x:c r="N9736" s="0" t="s">
        <x:v>46</x:v>
      </x:c>
    </x:row>
    <x:row r="9737" spans="1:16">
      <x:c r="A9737" s="0" t="s">
        <x:v>38811</x:v>
      </x:c>
      <x:c r="B9737" s="0" t="s">
        <x:v>38812</x:v>
      </x:c>
      <x:c r="C9737" s="0" t="s">
        <x:v>38813</x:v>
      </x:c>
      <x:c r="E9737" s="0" t="s">
        <x:v>38814</x:v>
      </x:c>
      <x:c r="F9737" s="0" t="s">
        <x:v>45</x:v>
      </x:c>
      <x:c r="G9737" s="0" t="s">
        <x:v>19</x:v>
      </x:c>
      <x:c r="H9737" s="0" t="s">
        <x:v>20</x:v>
      </x:c>
      <x:c r="I9737" s="0" t="s">
        <x:v>21</x:v>
      </x:c>
      <x:c r="K9737" s="0">
        <x:f>hyperlink("https://icd.who.int/dev11/l-ichi/en#/http%3A%2F%2Fid.who.int%2Ficd%2Fentity%2F1251961641","browser")</x:f>
      </x:c>
      <x:c r="L9737" s="0">
        <x:f>hyperlink("https://icat2.azurewebsites.net/icat/?ontology=ICD&amp;tab=ClassesTab&amp;id=http%3A%2F%2Fwho.int%2Ficd%235076_b929cd40_1812_4e2b_8d98_622273bc31b1","iCat")</x:f>
      </x:c>
      <x:c r="M9737" s="0" t="s">
        <x:v>21</x:v>
      </x:c>
      <x:c r="N9737" s="0" t="s">
        <x:v>46</x:v>
      </x:c>
    </x:row>
    <x:row r="9738" spans="1:16">
      <x:c r="A9738" s="0" t="s">
        <x:v>38815</x:v>
      </x:c>
      <x:c r="B9738" s="0" t="s">
        <x:v>38816</x:v>
      </x:c>
      <x:c r="C9738" s="0" t="s">
        <x:v>38817</x:v>
      </x:c>
      <x:c r="E9738" s="0" t="s">
        <x:v>38818</x:v>
      </x:c>
      <x:c r="F9738" s="0" t="s">
        <x:v>45</x:v>
      </x:c>
      <x:c r="G9738" s="0" t="s">
        <x:v>19</x:v>
      </x:c>
      <x:c r="H9738" s="0" t="s">
        <x:v>20</x:v>
      </x:c>
      <x:c r="I9738" s="0" t="s">
        <x:v>21</x:v>
      </x:c>
      <x:c r="K9738" s="0">
        <x:f>hyperlink("https://icd.who.int/dev11/l-ichi/en#/http%3A%2F%2Fid.who.int%2Ficd%2Fentity%2F1350559107","browser")</x:f>
      </x:c>
      <x:c r="L9738" s="0">
        <x:f>hyperlink("https://icat2.azurewebsites.net/icat/?ontology=ICD&amp;tab=ClassesTab&amp;id=http%3A%2F%2Fwho.int%2Ficd%235082_b929cd40_1812_4e2b_8d98_622273bc31b1","iCat")</x:f>
      </x:c>
      <x:c r="M9738" s="0" t="s">
        <x:v>21</x:v>
      </x:c>
      <x:c r="N9738" s="0" t="s">
        <x:v>46</x:v>
      </x:c>
    </x:row>
    <x:row r="9739" spans="1:16">
      <x:c r="A9739" s="0" t="s">
        <x:v>38819</x:v>
      </x:c>
      <x:c r="B9739" s="0" t="s">
        <x:v>38820</x:v>
      </x:c>
      <x:c r="C9739" s="0" t="s">
        <x:v>38821</x:v>
      </x:c>
      <x:c r="E9739" s="0" t="s">
        <x:v>38822</x:v>
      </x:c>
      <x:c r="F9739" s="0" t="s">
        <x:v>45</x:v>
      </x:c>
      <x:c r="G9739" s="0" t="s">
        <x:v>19</x:v>
      </x:c>
      <x:c r="H9739" s="0" t="s">
        <x:v>20</x:v>
      </x:c>
      <x:c r="I9739" s="0" t="s">
        <x:v>21</x:v>
      </x:c>
      <x:c r="K9739" s="0">
        <x:f>hyperlink("https://icd.who.int/dev11/l-ichi/en#/http%3A%2F%2Fid.who.int%2Ficd%2Fentity%2F2072152339","browser")</x:f>
      </x:c>
      <x:c r="L9739" s="0">
        <x:f>hyperlink("https://icat2.azurewebsites.net/icat/?ontology=ICD&amp;tab=ClassesTab&amp;id=http%3A%2F%2Fwho.int%2Ficd%235088_b929cd40_1812_4e2b_8d98_622273bc31b1","iCat")</x:f>
      </x:c>
      <x:c r="M9739" s="0" t="s">
        <x:v>21</x:v>
      </x:c>
      <x:c r="N9739" s="0" t="s">
        <x:v>46</x:v>
      </x:c>
    </x:row>
    <x:row r="9740" spans="1:16">
      <x:c r="A9740" s="0" t="s">
        <x:v>38823</x:v>
      </x:c>
      <x:c r="B9740" s="0" t="s">
        <x:v>38824</x:v>
      </x:c>
      <x:c r="C9740" s="0" t="s">
        <x:v>38825</x:v>
      </x:c>
      <x:c r="E9740" s="0" t="s">
        <x:v>38826</x:v>
      </x:c>
      <x:c r="F9740" s="0" t="s">
        <x:v>45</x:v>
      </x:c>
      <x:c r="G9740" s="0" t="s">
        <x:v>19</x:v>
      </x:c>
      <x:c r="H9740" s="0" t="s">
        <x:v>20</x:v>
      </x:c>
      <x:c r="I9740" s="0" t="s">
        <x:v>21</x:v>
      </x:c>
      <x:c r="K9740" s="0">
        <x:f>hyperlink("https://icd.who.int/dev11/l-ichi/en#/http%3A%2F%2Fid.who.int%2Ficd%2Fentity%2F1791076709","browser")</x:f>
      </x:c>
      <x:c r="L9740" s="0">
        <x:f>hyperlink("https://icat2.azurewebsites.net/icat/?ontology=ICD&amp;tab=ClassesTab&amp;id=http%3A%2F%2Fwho.int%2Ficd%235094_b929cd40_1812_4e2b_8d98_622273bc31b1","iCat")</x:f>
      </x:c>
      <x:c r="M9740" s="0" t="s">
        <x:v>21</x:v>
      </x:c>
      <x:c r="N9740" s="0" t="s">
        <x:v>46</x:v>
      </x:c>
    </x:row>
    <x:row r="9741" spans="1:16">
      <x:c r="A9741" s="0" t="s">
        <x:v>38827</x:v>
      </x:c>
      <x:c r="B9741" s="0" t="s">
        <x:v>38828</x:v>
      </x:c>
      <x:c r="C9741" s="0" t="s">
        <x:v>38829</x:v>
      </x:c>
      <x:c r="E9741" s="0" t="s">
        <x:v>38830</x:v>
      </x:c>
      <x:c r="F9741" s="0" t="s">
        <x:v>45</x:v>
      </x:c>
      <x:c r="G9741" s="0" t="s">
        <x:v>19</x:v>
      </x:c>
      <x:c r="H9741" s="0" t="s">
        <x:v>20</x:v>
      </x:c>
      <x:c r="I9741" s="0" t="s">
        <x:v>21</x:v>
      </x:c>
      <x:c r="K9741" s="0">
        <x:f>hyperlink("https://icd.who.int/dev11/l-ichi/en#/http%3A%2F%2Fid.who.int%2Ficd%2Fentity%2F1605199647","browser")</x:f>
      </x:c>
      <x:c r="L9741" s="0">
        <x:f>hyperlink("https://icat2.azurewebsites.net/icat/?ontology=ICD&amp;tab=ClassesTab&amp;id=http%3A%2F%2Fwho.int%2Ficd%235100_b929cd40_1812_4e2b_8d98_622273bc31b1","iCat")</x:f>
      </x:c>
      <x:c r="M9741" s="0" t="s">
        <x:v>21</x:v>
      </x:c>
      <x:c r="N9741" s="0" t="s">
        <x:v>46</x:v>
      </x:c>
    </x:row>
    <x:row r="9742" spans="1:16">
      <x:c r="A9742" s="0" t="s">
        <x:v>38831</x:v>
      </x:c>
      <x:c r="B9742" s="0" t="s">
        <x:v>38832</x:v>
      </x:c>
      <x:c r="C9742" s="0" t="s">
        <x:v>38833</x:v>
      </x:c>
      <x:c r="E9742" s="0" t="s">
        <x:v>38834</x:v>
      </x:c>
      <x:c r="F9742" s="0" t="s">
        <x:v>45</x:v>
      </x:c>
      <x:c r="G9742" s="0" t="s">
        <x:v>19</x:v>
      </x:c>
      <x:c r="H9742" s="0" t="s">
        <x:v>20</x:v>
      </x:c>
      <x:c r="I9742" s="0" t="s">
        <x:v>21</x:v>
      </x:c>
      <x:c r="K9742" s="0">
        <x:f>hyperlink("https://icd.who.int/dev11/l-ichi/en#/http%3A%2F%2Fid.who.int%2Ficd%2Fentity%2F265731758","browser")</x:f>
      </x:c>
      <x:c r="L9742" s="0">
        <x:f>hyperlink("https://icat2.azurewebsites.net/icat/?ontology=ICD&amp;tab=ClassesTab&amp;id=http%3A%2F%2Fwho.int%2Ficd%235106_b929cd40_1812_4e2b_8d98_622273bc31b1","iCat")</x:f>
      </x:c>
      <x:c r="M9742" s="0" t="s">
        <x:v>21</x:v>
      </x:c>
      <x:c r="N9742" s="0" t="s">
        <x:v>46</x:v>
      </x:c>
    </x:row>
    <x:row r="9743" spans="1:16">
      <x:c r="A9743" s="0" t="s">
        <x:v>38835</x:v>
      </x:c>
      <x:c r="B9743" s="0" t="s">
        <x:v>38836</x:v>
      </x:c>
      <x:c r="C9743" s="0" t="s">
        <x:v>38837</x:v>
      </x:c>
      <x:c r="E9743" s="0" t="s">
        <x:v>38838</x:v>
      </x:c>
      <x:c r="F9743" s="0" t="s">
        <x:v>45</x:v>
      </x:c>
      <x:c r="G9743" s="0" t="s">
        <x:v>19</x:v>
      </x:c>
      <x:c r="H9743" s="0" t="s">
        <x:v>20</x:v>
      </x:c>
      <x:c r="I9743" s="0" t="s">
        <x:v>21</x:v>
      </x:c>
      <x:c r="K9743" s="0">
        <x:f>hyperlink("https://icd.who.int/dev11/l-ichi/en#/http%3A%2F%2Fid.who.int%2Ficd%2Fentity%2F1343549325","browser")</x:f>
      </x:c>
      <x:c r="L9743" s="0">
        <x:f>hyperlink("https://icat2.azurewebsites.net/icat/?ontology=ICD&amp;tab=ClassesTab&amp;id=http%3A%2F%2Fwho.int%2Ficd%235112_b929cd40_1812_4e2b_8d98_622273bc31b1","iCat")</x:f>
      </x:c>
      <x:c r="M9743" s="0" t="s">
        <x:v>21</x:v>
      </x:c>
      <x:c r="N9743" s="0" t="s">
        <x:v>46</x:v>
      </x:c>
    </x:row>
    <x:row r="9744" spans="1:16">
      <x:c r="A9744" s="0" t="s">
        <x:v>38839</x:v>
      </x:c>
      <x:c r="B9744" s="0" t="s">
        <x:v>38840</x:v>
      </x:c>
      <x:c r="C9744" s="0" t="s">
        <x:v>38841</x:v>
      </x:c>
      <x:c r="E9744" s="0" t="s">
        <x:v>38842</x:v>
      </x:c>
      <x:c r="F9744" s="0" t="s">
        <x:v>45</x:v>
      </x:c>
      <x:c r="G9744" s="0" t="s">
        <x:v>19</x:v>
      </x:c>
      <x:c r="H9744" s="0" t="s">
        <x:v>20</x:v>
      </x:c>
      <x:c r="I9744" s="0" t="s">
        <x:v>21</x:v>
      </x:c>
      <x:c r="K9744" s="0">
        <x:f>hyperlink("https://icd.who.int/dev11/l-ichi/en#/http%3A%2F%2Fid.who.int%2Ficd%2Fentity%2F2078901021","browser")</x:f>
      </x:c>
      <x:c r="L9744" s="0">
        <x:f>hyperlink("https://icat2.azurewebsites.net/icat/?ontology=ICD&amp;tab=ClassesTab&amp;id=http%3A%2F%2Fwho.int%2Ficd%235118_b929cd40_1812_4e2b_8d98_622273bc31b1","iCat")</x:f>
      </x:c>
      <x:c r="M9744" s="0" t="s">
        <x:v>21</x:v>
      </x:c>
      <x:c r="N9744" s="0" t="s">
        <x:v>46</x:v>
      </x:c>
    </x:row>
    <x:row r="9745" spans="1:16">
      <x:c r="A9745" s="0" t="s">
        <x:v>38843</x:v>
      </x:c>
      <x:c r="B9745" s="0" t="s">
        <x:v>38844</x:v>
      </x:c>
      <x:c r="C9745" s="0" t="s">
        <x:v>38845</x:v>
      </x:c>
      <x:c r="E9745" s="0" t="s">
        <x:v>38846</x:v>
      </x:c>
      <x:c r="F9745" s="0" t="s">
        <x:v>45</x:v>
      </x:c>
      <x:c r="G9745" s="0" t="s">
        <x:v>19</x:v>
      </x:c>
      <x:c r="H9745" s="0" t="s">
        <x:v>20</x:v>
      </x:c>
      <x:c r="I9745" s="0" t="s">
        <x:v>21</x:v>
      </x:c>
      <x:c r="K9745" s="0">
        <x:f>hyperlink("https://icd.who.int/dev11/l-ichi/en#/http%3A%2F%2Fid.who.int%2Ficd%2Fentity%2F316571987","browser")</x:f>
      </x:c>
      <x:c r="L9745" s="0">
        <x:f>hyperlink("https://icat2.azurewebsites.net/icat/?ontology=ICD&amp;tab=ClassesTab&amp;id=http%3A%2F%2Fwho.int%2Ficd%235443_b929cd40_1812_4e2b_8d98_622273bc31b1","iCat")</x:f>
      </x:c>
      <x:c r="M9745" s="0" t="s">
        <x:v>21</x:v>
      </x:c>
      <x:c r="N9745" s="0" t="s">
        <x:v>46</x:v>
      </x:c>
    </x:row>
    <x:row r="9746" spans="1:16">
      <x:c r="A9746" s="0" t="s">
        <x:v>38847</x:v>
      </x:c>
      <x:c r="B9746" s="0" t="s">
        <x:v>38848</x:v>
      </x:c>
      <x:c r="C9746" s="0" t="s">
        <x:v>38849</x:v>
      </x:c>
      <x:c r="E9746" s="0" t="s">
        <x:v>38850</x:v>
      </x:c>
      <x:c r="F9746" s="0" t="s">
        <x:v>45</x:v>
      </x:c>
      <x:c r="G9746" s="0" t="s">
        <x:v>19</x:v>
      </x:c>
      <x:c r="H9746" s="0" t="s">
        <x:v>20</x:v>
      </x:c>
      <x:c r="I9746" s="0" t="s">
        <x:v>21</x:v>
      </x:c>
      <x:c r="K9746" s="0">
        <x:f>hyperlink("https://icd.who.int/dev11/l-ichi/en#/http%3A%2F%2Fid.who.int%2Ficd%2Fentity%2F958655939","browser")</x:f>
      </x:c>
      <x:c r="L9746" s="0">
        <x:f>hyperlink("https://icat2.azurewebsites.net/icat/?ontology=ICD&amp;tab=ClassesTab&amp;id=http%3A%2F%2Fwho.int%2Ficd%235449_b929cd40_1812_4e2b_8d98_622273bc31b1","iCat")</x:f>
      </x:c>
      <x:c r="M9746" s="0" t="s">
        <x:v>21</x:v>
      </x:c>
      <x:c r="N9746" s="0" t="s">
        <x:v>46</x:v>
      </x:c>
    </x:row>
    <x:row r="9747" spans="1:16">
      <x:c r="A9747" s="0" t="s">
        <x:v>38851</x:v>
      </x:c>
      <x:c r="B9747" s="0" t="s">
        <x:v>38852</x:v>
      </x:c>
      <x:c r="C9747" s="0" t="s">
        <x:v>38853</x:v>
      </x:c>
      <x:c r="E9747" s="0" t="s">
        <x:v>38854</x:v>
      </x:c>
      <x:c r="F9747" s="0" t="s">
        <x:v>45</x:v>
      </x:c>
      <x:c r="G9747" s="0" t="s">
        <x:v>19</x:v>
      </x:c>
      <x:c r="H9747" s="0" t="s">
        <x:v>20</x:v>
      </x:c>
      <x:c r="I9747" s="0" t="s">
        <x:v>21</x:v>
      </x:c>
      <x:c r="K9747" s="0">
        <x:f>hyperlink("https://icd.who.int/dev11/l-ichi/en#/http%3A%2F%2Fid.who.int%2Ficd%2Fentity%2F677432757","browser")</x:f>
      </x:c>
      <x:c r="L9747" s="0">
        <x:f>hyperlink("https://icat2.azurewebsites.net/icat/?ontology=ICD&amp;tab=ClassesTab&amp;id=http%3A%2F%2Fwho.int%2Ficd%235455_b929cd40_1812_4e2b_8d98_622273bc31b1","iCat")</x:f>
      </x:c>
      <x:c r="M9747" s="0" t="s">
        <x:v>21</x:v>
      </x:c>
      <x:c r="N9747" s="0" t="s">
        <x:v>46</x:v>
      </x:c>
    </x:row>
    <x:row r="9748" spans="1:16">
      <x:c r="A9748" s="0" t="s">
        <x:v>38855</x:v>
      </x:c>
      <x:c r="B9748" s="0" t="s">
        <x:v>38856</x:v>
      </x:c>
      <x:c r="C9748" s="0" t="s">
        <x:v>38857</x:v>
      </x:c>
      <x:c r="E9748" s="0" t="s">
        <x:v>38858</x:v>
      </x:c>
      <x:c r="F9748" s="0" t="s">
        <x:v>45</x:v>
      </x:c>
      <x:c r="G9748" s="0" t="s">
        <x:v>19</x:v>
      </x:c>
      <x:c r="H9748" s="0" t="s">
        <x:v>20</x:v>
      </x:c>
      <x:c r="I9748" s="0" t="s">
        <x:v>21</x:v>
      </x:c>
      <x:c r="K9748" s="0">
        <x:f>hyperlink("https://icd.who.int/dev11/l-ichi/en#/http%3A%2F%2Fid.who.int%2Ficd%2Fentity%2F1574324680","browser")</x:f>
      </x:c>
      <x:c r="L9748" s="0">
        <x:f>hyperlink("https://icat2.azurewebsites.net/icat/?ontology=ICD&amp;tab=ClassesTab&amp;id=http%3A%2F%2Fwho.int%2Ficd%235461_b929cd40_1812_4e2b_8d98_622273bc31b1","iCat")</x:f>
      </x:c>
      <x:c r="M9748" s="0" t="s">
        <x:v>21</x:v>
      </x:c>
      <x:c r="N9748" s="0" t="s">
        <x:v>46</x:v>
      </x:c>
    </x:row>
    <x:row r="9749" spans="1:16">
      <x:c r="A9749" s="0" t="s">
        <x:v>38859</x:v>
      </x:c>
      <x:c r="B9749" s="0" t="s">
        <x:v>38860</x:v>
      </x:c>
      <x:c r="C9749" s="0" t="s">
        <x:v>38861</x:v>
      </x:c>
      <x:c r="E9749" s="0" t="s">
        <x:v>38862</x:v>
      </x:c>
      <x:c r="F9749" s="0" t="s">
        <x:v>45</x:v>
      </x:c>
      <x:c r="G9749" s="0" t="s">
        <x:v>19</x:v>
      </x:c>
      <x:c r="H9749" s="0" t="s">
        <x:v>20</x:v>
      </x:c>
      <x:c r="I9749" s="0" t="s">
        <x:v>21</x:v>
      </x:c>
      <x:c r="K9749" s="0">
        <x:f>hyperlink("https://icd.who.int/dev11/l-ichi/en#/http%3A%2F%2Fid.who.int%2Ficd%2Fentity%2F867060399","browser")</x:f>
      </x:c>
      <x:c r="L9749" s="0">
        <x:f>hyperlink("https://icat2.azurewebsites.net/icat/?ontology=ICD&amp;tab=ClassesTab&amp;id=http%3A%2F%2Fwho.int%2Ficd%235468_b929cd40_1812_4e2b_8d98_622273bc31b1","iCat")</x:f>
      </x:c>
      <x:c r="M9749" s="0" t="s">
        <x:v>21</x:v>
      </x:c>
      <x:c r="N9749" s="0" t="s">
        <x:v>46</x:v>
      </x:c>
    </x:row>
    <x:row r="9750" spans="1:16">
      <x:c r="A9750" s="0" t="s">
        <x:v>38863</x:v>
      </x:c>
      <x:c r="B9750" s="0" t="s">
        <x:v>38864</x:v>
      </x:c>
      <x:c r="C9750" s="0" t="s">
        <x:v>38865</x:v>
      </x:c>
      <x:c r="E9750" s="0" t="s">
        <x:v>38866</x:v>
      </x:c>
      <x:c r="F9750" s="0" t="s">
        <x:v>45</x:v>
      </x:c>
      <x:c r="G9750" s="0" t="s">
        <x:v>19</x:v>
      </x:c>
      <x:c r="H9750" s="0" t="s">
        <x:v>20</x:v>
      </x:c>
      <x:c r="I9750" s="0" t="s">
        <x:v>21</x:v>
      </x:c>
      <x:c r="K9750" s="0">
        <x:f>hyperlink("https://icd.who.int/dev11/l-ichi/en#/http%3A%2F%2Fid.who.int%2Ficd%2Fentity%2F34871525","browser")</x:f>
      </x:c>
      <x:c r="L9750" s="0">
        <x:f>hyperlink("https://icat2.azurewebsites.net/icat/?ontology=ICD&amp;tab=ClassesTab&amp;id=http%3A%2F%2Fwho.int%2Ficd%235475_b929cd40_1812_4e2b_8d98_622273bc31b1","iCat")</x:f>
      </x:c>
      <x:c r="M9750" s="0" t="s">
        <x:v>21</x:v>
      </x:c>
      <x:c r="N9750" s="0" t="s">
        <x:v>46</x:v>
      </x:c>
    </x:row>
    <x:row r="9751" spans="1:16">
      <x:c r="A9751" s="0" t="s">
        <x:v>38867</x:v>
      </x:c>
      <x:c r="B9751" s="0" t="s">
        <x:v>38868</x:v>
      </x:c>
      <x:c r="C9751" s="0" t="s">
        <x:v>38869</x:v>
      </x:c>
      <x:c r="E9751" s="0" t="s">
        <x:v>38870</x:v>
      </x:c>
      <x:c r="F9751" s="0" t="s">
        <x:v>45</x:v>
      </x:c>
      <x:c r="G9751" s="0" t="s">
        <x:v>19</x:v>
      </x:c>
      <x:c r="H9751" s="0" t="s">
        <x:v>20</x:v>
      </x:c>
      <x:c r="I9751" s="0" t="s">
        <x:v>21</x:v>
      </x:c>
      <x:c r="K9751" s="0">
        <x:f>hyperlink("https://icd.who.int/dev11/l-ichi/en#/http%3A%2F%2Fid.who.int%2Ficd%2Fentity%2F1567750582","browser")</x:f>
      </x:c>
      <x:c r="L9751" s="0">
        <x:f>hyperlink("https://icat2.azurewebsites.net/icat/?ontology=ICD&amp;tab=ClassesTab&amp;id=http%3A%2F%2Fwho.int%2Ficd%235482_b929cd40_1812_4e2b_8d98_622273bc31b1","iCat")</x:f>
      </x:c>
      <x:c r="M9751" s="0" t="s">
        <x:v>21</x:v>
      </x:c>
      <x:c r="N9751" s="0" t="s">
        <x:v>46</x:v>
      </x:c>
    </x:row>
    <x:row r="9752" spans="1:16">
      <x:c r="A9752" s="0" t="s">
        <x:v>38871</x:v>
      </x:c>
      <x:c r="B9752" s="0" t="s">
        <x:v>38872</x:v>
      </x:c>
      <x:c r="C9752" s="0" t="s">
        <x:v>38873</x:v>
      </x:c>
      <x:c r="E9752" s="0" t="s">
        <x:v>38874</x:v>
      </x:c>
      <x:c r="F9752" s="0" t="s">
        <x:v>45</x:v>
      </x:c>
      <x:c r="G9752" s="0" t="s">
        <x:v>19</x:v>
      </x:c>
      <x:c r="H9752" s="0" t="s">
        <x:v>20</x:v>
      </x:c>
      <x:c r="I9752" s="0" t="s">
        <x:v>21</x:v>
      </x:c>
      <x:c r="K9752" s="0">
        <x:f>hyperlink("https://icd.who.int/dev11/l-ichi/en#/http%3A%2F%2Fid.who.int%2Ficd%2Fentity%2F1450567452","browser")</x:f>
      </x:c>
      <x:c r="L9752" s="0">
        <x:f>hyperlink("https://icat2.azurewebsites.net/icat/?ontology=ICD&amp;tab=ClassesTab&amp;id=http%3A%2F%2Fwho.int%2Ficd%235489_b929cd40_1812_4e2b_8d98_622273bc31b1","iCat")</x:f>
      </x:c>
      <x:c r="M9752" s="0" t="s">
        <x:v>21</x:v>
      </x:c>
      <x:c r="N9752" s="0" t="s">
        <x:v>46</x:v>
      </x:c>
    </x:row>
    <x:row r="9753" spans="1:16">
      <x:c r="A9753" s="0" t="s">
        <x:v>38875</x:v>
      </x:c>
      <x:c r="B9753" s="0" t="s">
        <x:v>38876</x:v>
      </x:c>
      <x:c r="C9753" s="0" t="s">
        <x:v>38877</x:v>
      </x:c>
      <x:c r="E9753" s="0" t="s">
        <x:v>38878</x:v>
      </x:c>
      <x:c r="F9753" s="0" t="s">
        <x:v>45</x:v>
      </x:c>
      <x:c r="G9753" s="0" t="s">
        <x:v>19</x:v>
      </x:c>
      <x:c r="H9753" s="0" t="s">
        <x:v>20</x:v>
      </x:c>
      <x:c r="I9753" s="0" t="s">
        <x:v>21</x:v>
      </x:c>
      <x:c r="K9753" s="0">
        <x:f>hyperlink("https://icd.who.int/dev11/l-ichi/en#/http%3A%2F%2Fid.who.int%2Ficd%2Fentity%2F1194772332","browser")</x:f>
      </x:c>
      <x:c r="L9753" s="0">
        <x:f>hyperlink("https://icat2.azurewebsites.net/icat/?ontology=ICD&amp;tab=ClassesTab&amp;id=http%3A%2F%2Fwho.int%2Ficd%235495_b929cd40_1812_4e2b_8d98_622273bc31b1","iCat")</x:f>
      </x:c>
      <x:c r="M9753" s="0" t="s">
        <x:v>21</x:v>
      </x:c>
      <x:c r="N9753" s="0" t="s">
        <x:v>46</x:v>
      </x:c>
    </x:row>
    <x:row r="9754" spans="1:16">
      <x:c r="A9754" s="0" t="s">
        <x:v>38879</x:v>
      </x:c>
      <x:c r="B9754" s="0" t="s">
        <x:v>38880</x:v>
      </x:c>
      <x:c r="C9754" s="0" t="s">
        <x:v>38881</x:v>
      </x:c>
      <x:c r="E9754" s="0" t="s">
        <x:v>38882</x:v>
      </x:c>
      <x:c r="F9754" s="0" t="s">
        <x:v>45</x:v>
      </x:c>
      <x:c r="G9754" s="0" t="s">
        <x:v>19</x:v>
      </x:c>
      <x:c r="H9754" s="0" t="s">
        <x:v>20</x:v>
      </x:c>
      <x:c r="I9754" s="0" t="s">
        <x:v>21</x:v>
      </x:c>
      <x:c r="K9754" s="0">
        <x:f>hyperlink("https://icd.who.int/dev11/l-ichi/en#/http%3A%2F%2Fid.who.int%2Ficd%2Fentity%2F937387759","browser")</x:f>
      </x:c>
      <x:c r="L9754" s="0">
        <x:f>hyperlink("https://icat2.azurewebsites.net/icat/?ontology=ICD&amp;tab=ClassesTab&amp;id=http%3A%2F%2Fwho.int%2Ficd%235502_b929cd40_1812_4e2b_8d98_622273bc31b1","iCat")</x:f>
      </x:c>
      <x:c r="M9754" s="0" t="s">
        <x:v>21</x:v>
      </x:c>
      <x:c r="N9754" s="0" t="s">
        <x:v>46</x:v>
      </x:c>
    </x:row>
    <x:row r="9755" spans="1:16">
      <x:c r="A9755" s="0" t="s">
        <x:v>38883</x:v>
      </x:c>
      <x:c r="B9755" s="0" t="s">
        <x:v>38884</x:v>
      </x:c>
      <x:c r="C9755" s="0" t="s">
        <x:v>38885</x:v>
      </x:c>
      <x:c r="E9755" s="0" t="s">
        <x:v>38886</x:v>
      </x:c>
      <x:c r="F9755" s="0" t="s">
        <x:v>45</x:v>
      </x:c>
      <x:c r="G9755" s="0" t="s">
        <x:v>19</x:v>
      </x:c>
      <x:c r="H9755" s="0" t="s">
        <x:v>20</x:v>
      </x:c>
      <x:c r="I9755" s="0" t="s">
        <x:v>21</x:v>
      </x:c>
      <x:c r="K9755" s="0">
        <x:f>hyperlink("https://icd.who.int/dev11/l-ichi/en#/http%3A%2F%2Fid.who.int%2Ficd%2Fentity%2F471992959","browser")</x:f>
      </x:c>
      <x:c r="L9755" s="0">
        <x:f>hyperlink("https://icat2.azurewebsites.net/icat/?ontology=ICD&amp;tab=ClassesTab&amp;id=http%3A%2F%2Fwho.int%2Ficd%235508_b929cd40_1812_4e2b_8d98_622273bc31b1","iCat")</x:f>
      </x:c>
      <x:c r="M9755" s="0" t="s">
        <x:v>21</x:v>
      </x:c>
      <x:c r="N9755" s="0" t="s">
        <x:v>46</x:v>
      </x:c>
    </x:row>
    <x:row r="9756" spans="1:16">
      <x:c r="A9756" s="0" t="s">
        <x:v>38887</x:v>
      </x:c>
      <x:c r="B9756" s="0" t="s">
        <x:v>38888</x:v>
      </x:c>
      <x:c r="C9756" s="0" t="s">
        <x:v>38889</x:v>
      </x:c>
      <x:c r="E9756" s="0" t="s">
        <x:v>38890</x:v>
      </x:c>
      <x:c r="F9756" s="0" t="s">
        <x:v>45</x:v>
      </x:c>
      <x:c r="G9756" s="0" t="s">
        <x:v>19</x:v>
      </x:c>
      <x:c r="H9756" s="0" t="s">
        <x:v>20</x:v>
      </x:c>
      <x:c r="I9756" s="0" t="s">
        <x:v>21</x:v>
      </x:c>
      <x:c r="K9756" s="0">
        <x:f>hyperlink("https://icd.who.int/dev11/l-ichi/en#/http%3A%2F%2Fid.who.int%2Ficd%2Fentity%2F764958773","browser")</x:f>
      </x:c>
      <x:c r="L9756" s="0">
        <x:f>hyperlink("https://icat2.azurewebsites.net/icat/?ontology=ICD&amp;tab=ClassesTab&amp;id=http%3A%2F%2Fwho.int%2Ficd%235515_b929cd40_1812_4e2b_8d98_622273bc31b1","iCat")</x:f>
      </x:c>
      <x:c r="M9756" s="0" t="s">
        <x:v>21</x:v>
      </x:c>
      <x:c r="N9756" s="0" t="s">
        <x:v>46</x:v>
      </x:c>
    </x:row>
    <x:row r="9757" spans="1:16">
      <x:c r="A9757" s="0" t="s">
        <x:v>38891</x:v>
      </x:c>
      <x:c r="B9757" s="0" t="s">
        <x:v>38892</x:v>
      </x:c>
      <x:c r="C9757" s="0" t="s">
        <x:v>38893</x:v>
      </x:c>
      <x:c r="E9757" s="0" t="s">
        <x:v>38894</x:v>
      </x:c>
      <x:c r="F9757" s="0" t="s">
        <x:v>45</x:v>
      </x:c>
      <x:c r="G9757" s="0" t="s">
        <x:v>19</x:v>
      </x:c>
      <x:c r="H9757" s="0" t="s">
        <x:v>20</x:v>
      </x:c>
      <x:c r="I9757" s="0" t="s">
        <x:v>21</x:v>
      </x:c>
      <x:c r="K9757" s="0">
        <x:f>hyperlink("https://icd.who.int/dev11/l-ichi/en#/http%3A%2F%2Fid.who.int%2Ficd%2Fentity%2F1479466056","browser")</x:f>
      </x:c>
      <x:c r="L9757" s="0">
        <x:f>hyperlink("https://icat2.azurewebsites.net/icat/?ontology=ICD&amp;tab=ClassesTab&amp;id=http%3A%2F%2Fwho.int%2Ficd%235521_b929cd40_1812_4e2b_8d98_622273bc31b1","iCat")</x:f>
      </x:c>
      <x:c r="M9757" s="0" t="s">
        <x:v>21</x:v>
      </x:c>
      <x:c r="N9757" s="0" t="s">
        <x:v>46</x:v>
      </x:c>
    </x:row>
    <x:row r="9758" spans="1:16">
      <x:c r="A9758" s="0" t="s">
        <x:v>38895</x:v>
      </x:c>
      <x:c r="B9758" s="0" t="s">
        <x:v>38896</x:v>
      </x:c>
      <x:c r="C9758" s="0" t="s">
        <x:v>38897</x:v>
      </x:c>
      <x:c r="E9758" s="0" t="s">
        <x:v>38898</x:v>
      </x:c>
      <x:c r="F9758" s="0" t="s">
        <x:v>45</x:v>
      </x:c>
      <x:c r="G9758" s="0" t="s">
        <x:v>19</x:v>
      </x:c>
      <x:c r="H9758" s="0" t="s">
        <x:v>20</x:v>
      </x:c>
      <x:c r="I9758" s="0" t="s">
        <x:v>21</x:v>
      </x:c>
      <x:c r="K9758" s="0">
        <x:f>hyperlink("https://icd.who.int/dev11/l-ichi/en#/http%3A%2F%2Fid.who.int%2Ficd%2Fentity%2F139789815","browser")</x:f>
      </x:c>
      <x:c r="L9758" s="0">
        <x:f>hyperlink("https://icat2.azurewebsites.net/icat/?ontology=ICD&amp;tab=ClassesTab&amp;id=http%3A%2F%2Fwho.int%2Ficd%235527_b929cd40_1812_4e2b_8d98_622273bc31b1","iCat")</x:f>
      </x:c>
      <x:c r="M9758" s="0" t="s">
        <x:v>21</x:v>
      </x:c>
      <x:c r="N9758" s="0" t="s">
        <x:v>46</x:v>
      </x:c>
    </x:row>
    <x:row r="9759" spans="1:16">
      <x:c r="A9759" s="0" t="s">
        <x:v>38899</x:v>
      </x:c>
      <x:c r="B9759" s="0" t="s">
        <x:v>38900</x:v>
      </x:c>
      <x:c r="C9759" s="0" t="s">
        <x:v>38901</x:v>
      </x:c>
      <x:c r="E9759" s="0" t="s">
        <x:v>38902</x:v>
      </x:c>
      <x:c r="F9759" s="0" t="s">
        <x:v>45</x:v>
      </x:c>
      <x:c r="G9759" s="0" t="s">
        <x:v>19</x:v>
      </x:c>
      <x:c r="H9759" s="0" t="s">
        <x:v>20</x:v>
      </x:c>
      <x:c r="I9759" s="0" t="s">
        <x:v>21</x:v>
      </x:c>
      <x:c r="K9759" s="0">
        <x:f>hyperlink("https://icd.who.int/dev11/l-ichi/en#/http%3A%2F%2Fid.who.int%2Ficd%2Fentity%2F655753049","browser")</x:f>
      </x:c>
      <x:c r="L9759" s="0">
        <x:f>hyperlink("https://icat2.azurewebsites.net/icat/?ontology=ICD&amp;tab=ClassesTab&amp;id=http%3A%2F%2Fwho.int%2Ficd%235534_b929cd40_1812_4e2b_8d98_622273bc31b1","iCat")</x:f>
      </x:c>
      <x:c r="M9759" s="0" t="s">
        <x:v>21</x:v>
      </x:c>
      <x:c r="N9759" s="0" t="s">
        <x:v>46</x:v>
      </x:c>
    </x:row>
    <x:row r="9760" spans="1:16">
      <x:c r="A9760" s="0" t="s">
        <x:v>38903</x:v>
      </x:c>
      <x:c r="B9760" s="0" t="s">
        <x:v>38904</x:v>
      </x:c>
      <x:c r="C9760" s="0" t="s">
        <x:v>38905</x:v>
      </x:c>
      <x:c r="E9760" s="0" t="s">
        <x:v>38906</x:v>
      </x:c>
      <x:c r="F9760" s="0" t="s">
        <x:v>45</x:v>
      </x:c>
      <x:c r="G9760" s="0" t="s">
        <x:v>19</x:v>
      </x:c>
      <x:c r="H9760" s="0" t="s">
        <x:v>20</x:v>
      </x:c>
      <x:c r="I9760" s="0" t="s">
        <x:v>21</x:v>
      </x:c>
      <x:c r="K9760" s="0">
        <x:f>hyperlink("https://icd.who.int/dev11/l-ichi/en#/http%3A%2F%2Fid.who.int%2Ficd%2Fentity%2F583280695","browser")</x:f>
      </x:c>
      <x:c r="L9760" s="0">
        <x:f>hyperlink("https://icat2.azurewebsites.net/icat/?ontology=ICD&amp;tab=ClassesTab&amp;id=http%3A%2F%2Fwho.int%2Ficd%235540_b929cd40_1812_4e2b_8d98_622273bc31b1","iCat")</x:f>
      </x:c>
      <x:c r="M9760" s="0" t="s">
        <x:v>21</x:v>
      </x:c>
      <x:c r="N9760" s="0" t="s">
        <x:v>46</x:v>
      </x:c>
    </x:row>
    <x:row r="9761" spans="1:16">
      <x:c r="A9761" s="0" t="s">
        <x:v>38907</x:v>
      </x:c>
      <x:c r="B9761" s="0" t="s">
        <x:v>38908</x:v>
      </x:c>
      <x:c r="C9761" s="0" t="s">
        <x:v>38909</x:v>
      </x:c>
      <x:c r="E9761" s="0" t="s">
        <x:v>38910</x:v>
      </x:c>
      <x:c r="F9761" s="0" t="s">
        <x:v>45</x:v>
      </x:c>
      <x:c r="G9761" s="0" t="s">
        <x:v>19</x:v>
      </x:c>
      <x:c r="H9761" s="0" t="s">
        <x:v>20</x:v>
      </x:c>
      <x:c r="I9761" s="0" t="s">
        <x:v>21</x:v>
      </x:c>
      <x:c r="K9761" s="0">
        <x:f>hyperlink("https://icd.who.int/dev11/l-ichi/en#/http%3A%2F%2Fid.who.int%2Ficd%2Fentity%2F1946008533","browser")</x:f>
      </x:c>
      <x:c r="L9761" s="0">
        <x:f>hyperlink("https://icat2.azurewebsites.net/icat/?ontology=ICD&amp;tab=ClassesTab&amp;id=http%3A%2F%2Fwho.int%2Ficd%23551_94acc4f6_b696_4796_914a_62879ddd4f65","iCat")</x:f>
      </x:c>
      <x:c r="M9761" s="0" t="s">
        <x:v>21</x:v>
      </x:c>
      <x:c r="N9761" s="0" t="s">
        <x:v>46</x:v>
      </x:c>
    </x:row>
    <x:row r="9762" spans="1:16">
      <x:c r="A9762" s="0" t="s">
        <x:v>38911</x:v>
      </x:c>
      <x:c r="B9762" s="0" t="s">
        <x:v>38912</x:v>
      </x:c>
      <x:c r="C9762" s="0" t="s">
        <x:v>38913</x:v>
      </x:c>
      <x:c r="E9762" s="0" t="s">
        <x:v>38914</x:v>
      </x:c>
      <x:c r="F9762" s="0" t="s">
        <x:v>45</x:v>
      </x:c>
      <x:c r="G9762" s="0" t="s">
        <x:v>19</x:v>
      </x:c>
      <x:c r="H9762" s="0" t="s">
        <x:v>20</x:v>
      </x:c>
      <x:c r="I9762" s="0" t="s">
        <x:v>21</x:v>
      </x:c>
      <x:c r="K9762" s="0">
        <x:f>hyperlink("https://icd.who.int/dev11/l-ichi/en#/http%3A%2F%2Fid.who.int%2Ficd%2Fentity%2F596009572","browser")</x:f>
      </x:c>
      <x:c r="L9762" s="0">
        <x:f>hyperlink("https://icat2.azurewebsites.net/icat/?ontology=ICD&amp;tab=ClassesTab&amp;id=http%3A%2F%2Fwho.int%2Ficd%23557_94acc4f6_b696_4796_914a_62879ddd4f65","iCat")</x:f>
      </x:c>
      <x:c r="M9762" s="0" t="s">
        <x:v>21</x:v>
      </x:c>
      <x:c r="N9762" s="0" t="s">
        <x:v>46</x:v>
      </x:c>
    </x:row>
    <x:row r="9763" spans="1:16">
      <x:c r="A9763" s="0" t="s">
        <x:v>38915</x:v>
      </x:c>
      <x:c r="B9763" s="0" t="s">
        <x:v>38916</x:v>
      </x:c>
      <x:c r="C9763" s="0" t="s">
        <x:v>38917</x:v>
      </x:c>
      <x:c r="E9763" s="0" t="s">
        <x:v>38918</x:v>
      </x:c>
      <x:c r="F9763" s="0" t="s">
        <x:v>45</x:v>
      </x:c>
      <x:c r="G9763" s="0" t="s">
        <x:v>19</x:v>
      </x:c>
      <x:c r="H9763" s="0" t="s">
        <x:v>20</x:v>
      </x:c>
      <x:c r="I9763" s="0" t="s">
        <x:v>21</x:v>
      </x:c>
      <x:c r="K9763" s="0">
        <x:f>hyperlink("https://icd.who.int/dev11/l-ichi/en#/http%3A%2F%2Fid.who.int%2Ficd%2Fentity%2F1446045207","browser")</x:f>
      </x:c>
      <x:c r="L9763" s="0">
        <x:f>hyperlink("https://icat2.azurewebsites.net/icat/?ontology=ICD&amp;tab=ClassesTab&amp;id=http%3A%2F%2Fwho.int%2Ficd%23563_94acc4f6_b696_4796_914a_62879ddd4f65","iCat")</x:f>
      </x:c>
      <x:c r="M9763" s="0" t="s">
        <x:v>21</x:v>
      </x:c>
      <x:c r="N9763" s="0" t="s">
        <x:v>46</x:v>
      </x:c>
    </x:row>
    <x:row r="9764" spans="1:16">
      <x:c r="A9764" s="0" t="s">
        <x:v>38919</x:v>
      </x:c>
      <x:c r="B9764" s="0" t="s">
        <x:v>38920</x:v>
      </x:c>
      <x:c r="C9764" s="0" t="s">
        <x:v>38921</x:v>
      </x:c>
      <x:c r="E9764" s="0" t="s">
        <x:v>38922</x:v>
      </x:c>
      <x:c r="F9764" s="0" t="s">
        <x:v>45</x:v>
      </x:c>
      <x:c r="G9764" s="0" t="s">
        <x:v>19</x:v>
      </x:c>
      <x:c r="H9764" s="0" t="s">
        <x:v>20</x:v>
      </x:c>
      <x:c r="I9764" s="0" t="s">
        <x:v>21</x:v>
      </x:c>
      <x:c r="K9764" s="0">
        <x:f>hyperlink("https://icd.who.int/dev11/l-ichi/en#/http%3A%2F%2Fid.who.int%2Ficd%2Fentity%2F2110622343","browser")</x:f>
      </x:c>
      <x:c r="L9764" s="0">
        <x:f>hyperlink("https://icat2.azurewebsites.net/icat/?ontology=ICD&amp;tab=ClassesTab&amp;id=http%3A%2F%2Fwho.int%2Ficd%23569_94acc4f6_b696_4796_914a_62879ddd4f65","iCat")</x:f>
      </x:c>
      <x:c r="M9764" s="0" t="s">
        <x:v>21</x:v>
      </x:c>
      <x:c r="N9764" s="0" t="s">
        <x:v>46</x:v>
      </x:c>
    </x:row>
    <x:row r="9765" spans="1:16">
      <x:c r="A9765" s="0" t="s">
        <x:v>38923</x:v>
      </x:c>
      <x:c r="B9765" s="0" t="s">
        <x:v>38924</x:v>
      </x:c>
      <x:c r="C9765" s="0" t="s">
        <x:v>38925</x:v>
      </x:c>
      <x:c r="E9765" s="0" t="s">
        <x:v>38926</x:v>
      </x:c>
      <x:c r="F9765" s="0" t="s">
        <x:v>45</x:v>
      </x:c>
      <x:c r="G9765" s="0" t="s">
        <x:v>19</x:v>
      </x:c>
      <x:c r="H9765" s="0" t="s">
        <x:v>20</x:v>
      </x:c>
      <x:c r="I9765" s="0" t="s">
        <x:v>21</x:v>
      </x:c>
      <x:c r="K9765" s="0">
        <x:f>hyperlink("https://icd.who.int/dev11/l-ichi/en#/http%3A%2F%2Fid.who.int%2Ficd%2Fentity%2F802200906","browser")</x:f>
      </x:c>
      <x:c r="L9765" s="0">
        <x:f>hyperlink("https://icat2.azurewebsites.net/icat/?ontology=ICD&amp;tab=ClassesTab&amp;id=http%3A%2F%2Fwho.int%2Ficd%236328_b929cd40_1812_4e2b_8d98_622273bc31b1","iCat")</x:f>
      </x:c>
      <x:c r="M9765" s="0" t="s">
        <x:v>21</x:v>
      </x:c>
      <x:c r="N9765" s="0" t="s">
        <x:v>46</x:v>
      </x:c>
    </x:row>
    <x:row r="9766" spans="1:16">
      <x:c r="A9766" s="0" t="s">
        <x:v>38927</x:v>
      </x:c>
      <x:c r="B9766" s="0" t="s">
        <x:v>38928</x:v>
      </x:c>
      <x:c r="C9766" s="0" t="s">
        <x:v>38929</x:v>
      </x:c>
      <x:c r="E9766" s="0" t="s">
        <x:v>38930</x:v>
      </x:c>
      <x:c r="F9766" s="0" t="s">
        <x:v>45</x:v>
      </x:c>
      <x:c r="G9766" s="0" t="s">
        <x:v>19</x:v>
      </x:c>
      <x:c r="H9766" s="0" t="s">
        <x:v>20</x:v>
      </x:c>
      <x:c r="I9766" s="0" t="s">
        <x:v>21</x:v>
      </x:c>
      <x:c r="K9766" s="0">
        <x:f>hyperlink("https://icd.who.int/dev11/l-ichi/en#/http%3A%2F%2Fid.who.int%2Ficd%2Fentity%2F1821289201","browser")</x:f>
      </x:c>
      <x:c r="L9766" s="0">
        <x:f>hyperlink("https://icat2.azurewebsites.net/icat/?ontology=ICD&amp;tab=ClassesTab&amp;id=http%3A%2F%2Fwho.int%2Ficd%23575_94acc4f6_b696_4796_914a_62879ddd4f65","iCat")</x:f>
      </x:c>
      <x:c r="M9766" s="0" t="s">
        <x:v>21</x:v>
      </x:c>
      <x:c r="N9766" s="0" t="s">
        <x:v>46</x:v>
      </x:c>
    </x:row>
    <x:row r="9767" spans="1:16">
      <x:c r="A9767" s="0" t="s">
        <x:v>38931</x:v>
      </x:c>
      <x:c r="B9767" s="0" t="s">
        <x:v>38932</x:v>
      </x:c>
      <x:c r="C9767" s="0" t="s">
        <x:v>38933</x:v>
      </x:c>
      <x:c r="E9767" s="0" t="s">
        <x:v>38934</x:v>
      </x:c>
      <x:c r="F9767" s="0" t="s">
        <x:v>45</x:v>
      </x:c>
      <x:c r="G9767" s="0" t="s">
        <x:v>19</x:v>
      </x:c>
      <x:c r="H9767" s="0" t="s">
        <x:v>20</x:v>
      </x:c>
      <x:c r="I9767" s="0" t="s">
        <x:v>21</x:v>
      </x:c>
      <x:c r="K9767" s="0">
        <x:f>hyperlink("https://icd.who.int/dev11/l-ichi/en#/http%3A%2F%2Fid.who.int%2Ficd%2Fentity%2F1986929755","browser")</x:f>
      </x:c>
      <x:c r="L9767" s="0">
        <x:f>hyperlink("https://icat2.azurewebsites.net/icat/?ontology=ICD&amp;tab=ClassesTab&amp;id=http%3A%2F%2Fwho.int%2Ficd%23581_94acc4f6_b696_4796_914a_62879ddd4f65","iCat")</x:f>
      </x:c>
      <x:c r="M9767" s="0" t="s">
        <x:v>21</x:v>
      </x:c>
      <x:c r="N9767" s="0" t="s">
        <x:v>46</x:v>
      </x:c>
    </x:row>
    <x:row r="9768" spans="1:16">
      <x:c r="A9768" s="0" t="s">
        <x:v>38935</x:v>
      </x:c>
      <x:c r="B9768" s="0" t="s">
        <x:v>38936</x:v>
      </x:c>
      <x:c r="C9768" s="0" t="s">
        <x:v>38937</x:v>
      </x:c>
      <x:c r="E9768" s="0" t="s">
        <x:v>38938</x:v>
      </x:c>
      <x:c r="F9768" s="0" t="s">
        <x:v>45</x:v>
      </x:c>
      <x:c r="G9768" s="0" t="s">
        <x:v>19</x:v>
      </x:c>
      <x:c r="H9768" s="0" t="s">
        <x:v>20</x:v>
      </x:c>
      <x:c r="I9768" s="0" t="s">
        <x:v>21</x:v>
      </x:c>
      <x:c r="K9768" s="0">
        <x:f>hyperlink("https://icd.who.int/dev11/l-ichi/en#/http%3A%2F%2Fid.who.int%2Ficd%2Fentity%2F638975468","browser")</x:f>
      </x:c>
      <x:c r="L9768" s="0">
        <x:f>hyperlink("https://icat2.azurewebsites.net/icat/?ontology=ICD&amp;tab=ClassesTab&amp;id=http%3A%2F%2Fwho.int%2Ficd%23587_94acc4f6_b696_4796_914a_62879ddd4f65","iCat")</x:f>
      </x:c>
      <x:c r="M9768" s="0" t="s">
        <x:v>21</x:v>
      </x:c>
      <x:c r="N9768" s="0" t="s">
        <x:v>46</x:v>
      </x:c>
    </x:row>
    <x:row r="9769" spans="1:16">
      <x:c r="A9769" s="0" t="s">
        <x:v>38939</x:v>
      </x:c>
      <x:c r="B9769" s="0" t="s">
        <x:v>38940</x:v>
      </x:c>
      <x:c r="C9769" s="0" t="s">
        <x:v>38941</x:v>
      </x:c>
      <x:c r="E9769" s="0" t="s">
        <x:v>38942</x:v>
      </x:c>
      <x:c r="F9769" s="0" t="s">
        <x:v>45</x:v>
      </x:c>
      <x:c r="G9769" s="0" t="s">
        <x:v>19</x:v>
      </x:c>
      <x:c r="H9769" s="0" t="s">
        <x:v>20</x:v>
      </x:c>
      <x:c r="I9769" s="0" t="s">
        <x:v>21</x:v>
      </x:c>
      <x:c r="K9769" s="0">
        <x:f>hyperlink("https://icd.who.int/dev11/l-ichi/en#/http%3A%2F%2Fid.who.int%2Ficd%2Fentity%2F2044177609","browser")</x:f>
      </x:c>
      <x:c r="L9769" s="0">
        <x:f>hyperlink("https://icat2.azurewebsites.net/icat/?ontology=ICD&amp;tab=ClassesTab&amp;id=http%3A%2F%2Fwho.int%2Ficd%23593_94acc4f6_b696_4796_914a_62879ddd4f65","iCat")</x:f>
      </x:c>
      <x:c r="M9769" s="0" t="s">
        <x:v>21</x:v>
      </x:c>
      <x:c r="N9769" s="0" t="s">
        <x:v>46</x:v>
      </x:c>
    </x:row>
    <x:row r="9770" spans="1:16">
      <x:c r="A9770" s="0" t="s">
        <x:v>38943</x:v>
      </x:c>
      <x:c r="B9770" s="0" t="s">
        <x:v>38944</x:v>
      </x:c>
      <x:c r="C9770" s="0" t="s">
        <x:v>38945</x:v>
      </x:c>
      <x:c r="E9770" s="0" t="s">
        <x:v>38946</x:v>
      </x:c>
      <x:c r="F9770" s="0" t="s">
        <x:v>45</x:v>
      </x:c>
      <x:c r="G9770" s="0" t="s">
        <x:v>19</x:v>
      </x:c>
      <x:c r="H9770" s="0" t="s">
        <x:v>20</x:v>
      </x:c>
      <x:c r="I9770" s="0" t="s">
        <x:v>21</x:v>
      </x:c>
      <x:c r="K9770" s="0">
        <x:f>hyperlink("https://icd.who.int/dev11/l-ichi/en#/http%3A%2F%2Fid.who.int%2Ficd%2Fentity%2F994208336","browser")</x:f>
      </x:c>
      <x:c r="L9770" s="0">
        <x:f>hyperlink("https://icat2.azurewebsites.net/icat/?ontology=ICD&amp;tab=ClassesTab&amp;id=http%3A%2F%2Fwho.int%2Ficd%236340_b929cd40_1812_4e2b_8d98_622273bc31b1","iCat")</x:f>
      </x:c>
      <x:c r="M9770" s="0" t="s">
        <x:v>21</x:v>
      </x:c>
      <x:c r="N9770" s="0" t="s">
        <x:v>46</x:v>
      </x:c>
    </x:row>
    <x:row r="9771" spans="1:16">
      <x:c r="A9771" s="0" t="s">
        <x:v>38947</x:v>
      </x:c>
      <x:c r="B9771" s="0" t="s">
        <x:v>38948</x:v>
      </x:c>
      <x:c r="C9771" s="0" t="s">
        <x:v>38949</x:v>
      </x:c>
      <x:c r="E9771" s="0" t="s">
        <x:v>38950</x:v>
      </x:c>
      <x:c r="F9771" s="0" t="s">
        <x:v>45</x:v>
      </x:c>
      <x:c r="G9771" s="0" t="s">
        <x:v>19</x:v>
      </x:c>
      <x:c r="H9771" s="0" t="s">
        <x:v>20</x:v>
      </x:c>
      <x:c r="I9771" s="0" t="s">
        <x:v>21</x:v>
      </x:c>
      <x:c r="K9771" s="0">
        <x:f>hyperlink("https://icd.who.int/dev11/l-ichi/en#/http%3A%2F%2Fid.who.int%2Ficd%2Fentity%2F1798943713","browser")</x:f>
      </x:c>
      <x:c r="L9771" s="0">
        <x:f>hyperlink("https://icat2.azurewebsites.net/icat/?ontology=ICD&amp;tab=ClassesTab&amp;id=http%3A%2F%2Fwho.int%2Ficd%236346_b929cd40_1812_4e2b_8d98_622273bc31b1","iCat")</x:f>
      </x:c>
      <x:c r="M9771" s="0" t="s">
        <x:v>21</x:v>
      </x:c>
      <x:c r="N9771" s="0" t="s">
        <x:v>46</x:v>
      </x:c>
    </x:row>
    <x:row r="9772" spans="1:16">
      <x:c r="A9772" s="0" t="s">
        <x:v>38951</x:v>
      </x:c>
      <x:c r="B9772" s="0" t="s">
        <x:v>38952</x:v>
      </x:c>
      <x:c r="C9772" s="0" t="s">
        <x:v>38953</x:v>
      </x:c>
      <x:c r="E9772" s="0" t="s">
        <x:v>38954</x:v>
      </x:c>
      <x:c r="F9772" s="0" t="s">
        <x:v>45</x:v>
      </x:c>
      <x:c r="G9772" s="0" t="s">
        <x:v>19</x:v>
      </x:c>
      <x:c r="H9772" s="0" t="s">
        <x:v>20</x:v>
      </x:c>
      <x:c r="I9772" s="0" t="s">
        <x:v>21</x:v>
      </x:c>
      <x:c r="K9772" s="0">
        <x:f>hyperlink("https://icd.who.int/dev11/l-ichi/en#/http%3A%2F%2Fid.who.int%2Ficd%2Fentity%2F1545830105","browser")</x:f>
      </x:c>
      <x:c r="L9772" s="0">
        <x:f>hyperlink("https://icat2.azurewebsites.net/icat/?ontology=ICD&amp;tab=ClassesTab&amp;id=http%3A%2F%2Fwho.int%2Ficd%23659_94acc4f6_b696_4796_914a_62879ddd4f65","iCat")</x:f>
      </x:c>
      <x:c r="M9772" s="0" t="s">
        <x:v>21</x:v>
      </x:c>
      <x:c r="N9772" s="0" t="s">
        <x:v>46</x:v>
      </x:c>
    </x:row>
    <x:row r="9773" spans="1:16">
      <x:c r="A9773" s="0" t="s">
        <x:v>38955</x:v>
      </x:c>
      <x:c r="B9773" s="0" t="s">
        <x:v>38956</x:v>
      </x:c>
      <x:c r="C9773" s="0" t="s">
        <x:v>38957</x:v>
      </x:c>
      <x:c r="E9773" s="0" t="s">
        <x:v>38958</x:v>
      </x:c>
      <x:c r="F9773" s="0" t="s">
        <x:v>45</x:v>
      </x:c>
      <x:c r="G9773" s="0" t="s">
        <x:v>19</x:v>
      </x:c>
      <x:c r="H9773" s="0" t="s">
        <x:v>20</x:v>
      </x:c>
      <x:c r="I9773" s="0" t="s">
        <x:v>21</x:v>
      </x:c>
      <x:c r="K9773" s="0">
        <x:f>hyperlink("https://icd.who.int/dev11/l-ichi/en#/http%3A%2F%2Fid.who.int%2Ficd%2Fentity%2F1378533465","browser")</x:f>
      </x:c>
      <x:c r="L9773" s="0">
        <x:f>hyperlink("https://icat2.azurewebsites.net/icat/?ontology=ICD&amp;tab=ClassesTab&amp;id=http%3A%2F%2Fwho.int%2Ficd%23599_94acc4f6_b696_4796_914a_62879ddd4f65","iCat")</x:f>
      </x:c>
      <x:c r="M9773" s="0" t="s">
        <x:v>21</x:v>
      </x:c>
      <x:c r="N9773" s="0" t="s">
        <x:v>46</x:v>
      </x:c>
    </x:row>
    <x:row r="9774" spans="1:16">
      <x:c r="A9774" s="0" t="s">
        <x:v>38959</x:v>
      </x:c>
      <x:c r="B9774" s="0" t="s">
        <x:v>38960</x:v>
      </x:c>
      <x:c r="C9774" s="0" t="s">
        <x:v>38961</x:v>
      </x:c>
      <x:c r="E9774" s="0" t="s">
        <x:v>38962</x:v>
      </x:c>
      <x:c r="F9774" s="0" t="s">
        <x:v>45</x:v>
      </x:c>
      <x:c r="G9774" s="0" t="s">
        <x:v>19</x:v>
      </x:c>
      <x:c r="H9774" s="0" t="s">
        <x:v>20</x:v>
      </x:c>
      <x:c r="I9774" s="0" t="s">
        <x:v>21</x:v>
      </x:c>
      <x:c r="K9774" s="0">
        <x:f>hyperlink("https://icd.who.int/dev11/l-ichi/en#/http%3A%2F%2Fid.who.int%2Ficd%2Fentity%2F1729399807","browser")</x:f>
      </x:c>
      <x:c r="L9774" s="0">
        <x:f>hyperlink("https://icat2.azurewebsites.net/icat/?ontology=ICD&amp;tab=ClassesTab&amp;id=http%3A%2F%2Fwho.int%2Ficd%23665_94acc4f6_b696_4796_914a_62879ddd4f65","iCat")</x:f>
      </x:c>
      <x:c r="M9774" s="0" t="s">
        <x:v>21</x:v>
      </x:c>
      <x:c r="N9774" s="0" t="s">
        <x:v>46</x:v>
      </x:c>
    </x:row>
    <x:row r="9775" spans="1:16">
      <x:c r="A9775" s="0" t="s">
        <x:v>38963</x:v>
      </x:c>
      <x:c r="B9775" s="0" t="s">
        <x:v>38964</x:v>
      </x:c>
      <x:c r="C9775" s="0" t="s">
        <x:v>38965</x:v>
      </x:c>
      <x:c r="E9775" s="0" t="s">
        <x:v>38966</x:v>
      </x:c>
      <x:c r="F9775" s="0" t="s">
        <x:v>45</x:v>
      </x:c>
      <x:c r="G9775" s="0" t="s">
        <x:v>19</x:v>
      </x:c>
      <x:c r="H9775" s="0" t="s">
        <x:v>20</x:v>
      </x:c>
      <x:c r="I9775" s="0" t="s">
        <x:v>21</x:v>
      </x:c>
      <x:c r="K9775" s="0">
        <x:f>hyperlink("https://icd.who.int/dev11/l-ichi/en#/http%3A%2F%2Fid.who.int%2Ficd%2Fentity%2F1023872436","browser")</x:f>
      </x:c>
      <x:c r="L9775" s="0">
        <x:f>hyperlink("https://icat2.azurewebsites.net/icat/?ontology=ICD&amp;tab=ClassesTab&amp;id=http%3A%2F%2Fwho.int%2Ficd%23605_94acc4f6_b696_4796_914a_62879ddd4f65","iCat")</x:f>
      </x:c>
      <x:c r="M9775" s="0" t="s">
        <x:v>21</x:v>
      </x:c>
      <x:c r="N9775" s="0" t="s">
        <x:v>46</x:v>
      </x:c>
    </x:row>
    <x:row r="9776" spans="1:16">
      <x:c r="A9776" s="0" t="s">
        <x:v>38967</x:v>
      </x:c>
      <x:c r="B9776" s="0" t="s">
        <x:v>38968</x:v>
      </x:c>
      <x:c r="C9776" s="0" t="s">
        <x:v>38969</x:v>
      </x:c>
      <x:c r="E9776" s="0" t="s">
        <x:v>38970</x:v>
      </x:c>
      <x:c r="F9776" s="0" t="s">
        <x:v>45</x:v>
      </x:c>
      <x:c r="G9776" s="0" t="s">
        <x:v>19</x:v>
      </x:c>
      <x:c r="H9776" s="0" t="s">
        <x:v>20</x:v>
      </x:c>
      <x:c r="I9776" s="0" t="s">
        <x:v>21</x:v>
      </x:c>
      <x:c r="K9776" s="0">
        <x:f>hyperlink("https://icd.who.int/dev11/l-ichi/en#/http%3A%2F%2Fid.who.int%2Ficd%2Fentity%2F953604830","browser")</x:f>
      </x:c>
      <x:c r="L9776" s="0">
        <x:f>hyperlink("https://icat2.azurewebsites.net/icat/?ontology=ICD&amp;tab=ClassesTab&amp;id=http%3A%2F%2Fwho.int%2Ficd%23671_94acc4f6_b696_4796_914a_62879ddd4f65","iCat")</x:f>
      </x:c>
      <x:c r="M9776" s="0" t="s">
        <x:v>21</x:v>
      </x:c>
      <x:c r="N9776" s="0" t="s">
        <x:v>46</x:v>
      </x:c>
    </x:row>
    <x:row r="9777" spans="1:16">
      <x:c r="A9777" s="0" t="s">
        <x:v>38971</x:v>
      </x:c>
      <x:c r="B9777" s="0" t="s">
        <x:v>38972</x:v>
      </x:c>
      <x:c r="C9777" s="0" t="s">
        <x:v>38973</x:v>
      </x:c>
      <x:c r="E9777" s="0" t="s">
        <x:v>38974</x:v>
      </x:c>
      <x:c r="F9777" s="0" t="s">
        <x:v>45</x:v>
      </x:c>
      <x:c r="G9777" s="0" t="s">
        <x:v>19</x:v>
      </x:c>
      <x:c r="H9777" s="0" t="s">
        <x:v>20</x:v>
      </x:c>
      <x:c r="I9777" s="0" t="s">
        <x:v>21</x:v>
      </x:c>
      <x:c r="K9777" s="0">
        <x:f>hyperlink("https://icd.who.int/dev11/l-ichi/en#/http%3A%2F%2Fid.who.int%2Ficd%2Fentity%2F1756169069","browser")</x:f>
      </x:c>
      <x:c r="L9777" s="0">
        <x:f>hyperlink("https://icat2.azurewebsites.net/icat/?ontology=ICD&amp;tab=ClassesTab&amp;id=http%3A%2F%2Fwho.int%2Ficd%23677_94acc4f6_b696_4796_914a_62879ddd4f65","iCat")</x:f>
      </x:c>
      <x:c r="M9777" s="0" t="s">
        <x:v>21</x:v>
      </x:c>
      <x:c r="N9777" s="0" t="s">
        <x:v>46</x:v>
      </x:c>
    </x:row>
    <x:row r="9778" spans="1:16">
      <x:c r="A9778" s="0" t="s">
        <x:v>38975</x:v>
      </x:c>
      <x:c r="B9778" s="0" t="s">
        <x:v>38976</x:v>
      </x:c>
      <x:c r="C9778" s="0" t="s">
        <x:v>38977</x:v>
      </x:c>
      <x:c r="E9778" s="0" t="s">
        <x:v>38978</x:v>
      </x:c>
      <x:c r="F9778" s="0" t="s">
        <x:v>45</x:v>
      </x:c>
      <x:c r="G9778" s="0" t="s">
        <x:v>19</x:v>
      </x:c>
      <x:c r="H9778" s="0" t="s">
        <x:v>20</x:v>
      </x:c>
      <x:c r="I9778" s="0" t="s">
        <x:v>21</x:v>
      </x:c>
      <x:c r="K9778" s="0">
        <x:f>hyperlink("https://icd.who.int/dev11/l-ichi/en#/http%3A%2F%2Fid.who.int%2Ficd%2Fentity%2F1917685191","browser")</x:f>
      </x:c>
      <x:c r="L9778" s="0">
        <x:f>hyperlink("https://icat2.azurewebsites.net/icat/?ontology=ICD&amp;tab=ClassesTab&amp;id=http%3A%2F%2Fwho.int%2Ficd%23683_94acc4f6_b696_4796_914a_62879ddd4f65","iCat")</x:f>
      </x:c>
      <x:c r="M9778" s="0" t="s">
        <x:v>21</x:v>
      </x:c>
      <x:c r="N9778" s="0" t="s">
        <x:v>46</x:v>
      </x:c>
    </x:row>
    <x:row r="9779" spans="1:16">
      <x:c r="A9779" s="0" t="s">
        <x:v>38979</x:v>
      </x:c>
      <x:c r="B9779" s="0" t="s">
        <x:v>38980</x:v>
      </x:c>
      <x:c r="C9779" s="0" t="s">
        <x:v>38981</x:v>
      </x:c>
      <x:c r="E9779" s="0" t="s">
        <x:v>38982</x:v>
      </x:c>
      <x:c r="F9779" s="0" t="s">
        <x:v>45</x:v>
      </x:c>
      <x:c r="G9779" s="0" t="s">
        <x:v>19</x:v>
      </x:c>
      <x:c r="H9779" s="0" t="s">
        <x:v>20</x:v>
      </x:c>
      <x:c r="I9779" s="0" t="s">
        <x:v>21</x:v>
      </x:c>
      <x:c r="K9779" s="0">
        <x:f>hyperlink("https://icd.who.int/dev11/l-ichi/en#/http%3A%2F%2Fid.who.int%2Ficd%2Fentity%2F888922818","browser")</x:f>
      </x:c>
      <x:c r="L9779" s="0">
        <x:f>hyperlink("https://icat2.azurewebsites.net/icat/?ontology=ICD&amp;tab=ClassesTab&amp;id=http%3A%2F%2Fwho.int%2Ficd%236352_b929cd40_1812_4e2b_8d98_622273bc31b1","iCat")</x:f>
      </x:c>
      <x:c r="M9779" s="0" t="s">
        <x:v>21</x:v>
      </x:c>
      <x:c r="N9779" s="0" t="s">
        <x:v>46</x:v>
      </x:c>
    </x:row>
    <x:row r="9780" spans="1:16">
      <x:c r="A9780" s="0" t="s">
        <x:v>38983</x:v>
      </x:c>
      <x:c r="B9780" s="0" t="s">
        <x:v>38984</x:v>
      </x:c>
      <x:c r="C9780" s="0" t="s">
        <x:v>38985</x:v>
      </x:c>
      <x:c r="E9780" s="0" t="s">
        <x:v>38986</x:v>
      </x:c>
      <x:c r="F9780" s="0" t="s">
        <x:v>45</x:v>
      </x:c>
      <x:c r="G9780" s="0" t="s">
        <x:v>19</x:v>
      </x:c>
      <x:c r="H9780" s="0" t="s">
        <x:v>20</x:v>
      </x:c>
      <x:c r="I9780" s="0" t="s">
        <x:v>21</x:v>
      </x:c>
      <x:c r="K9780" s="0">
        <x:f>hyperlink("https://icd.who.int/dev11/l-ichi/en#/http%3A%2F%2Fid.who.int%2Ficd%2Fentity%2F520523346","browser")</x:f>
      </x:c>
      <x:c r="L9780" s="0">
        <x:f>hyperlink("https://icat2.azurewebsites.net/icat/?ontology=ICD&amp;tab=ClassesTab&amp;id=http%3A%2F%2Fwho.int%2Ficd%236358_b929cd40_1812_4e2b_8d98_622273bc31b1","iCat")</x:f>
      </x:c>
      <x:c r="M9780" s="0" t="s">
        <x:v>21</x:v>
      </x:c>
      <x:c r="N9780" s="0" t="s">
        <x:v>46</x:v>
      </x:c>
    </x:row>
    <x:row r="9781" spans="1:16">
      <x:c r="A9781" s="0" t="s">
        <x:v>38987</x:v>
      </x:c>
      <x:c r="B9781" s="0" t="s">
        <x:v>38988</x:v>
      </x:c>
      <x:c r="C9781" s="0" t="s">
        <x:v>38989</x:v>
      </x:c>
      <x:c r="E9781" s="0" t="s">
        <x:v>38990</x:v>
      </x:c>
      <x:c r="F9781" s="0" t="s">
        <x:v>45</x:v>
      </x:c>
      <x:c r="G9781" s="0" t="s">
        <x:v>19</x:v>
      </x:c>
      <x:c r="H9781" s="0" t="s">
        <x:v>20</x:v>
      </x:c>
      <x:c r="I9781" s="0" t="s">
        <x:v>21</x:v>
      </x:c>
      <x:c r="K9781" s="0">
        <x:f>hyperlink("https://icd.who.int/dev11/l-ichi/en#/http%3A%2F%2Fid.who.int%2Ficd%2Fentity%2F1657101457","browser")</x:f>
      </x:c>
      <x:c r="L9781" s="0">
        <x:f>hyperlink("https://icat2.azurewebsites.net/icat/?ontology=ICD&amp;tab=ClassesTab&amp;id=http%3A%2F%2Fwho.int%2Ficd%23611_94acc4f6_b696_4796_914a_62879ddd4f65","iCat")</x:f>
      </x:c>
      <x:c r="M9781" s="0" t="s">
        <x:v>21</x:v>
      </x:c>
      <x:c r="N9781" s="0" t="s">
        <x:v>46</x:v>
      </x:c>
    </x:row>
    <x:row r="9782" spans="1:16">
      <x:c r="A9782" s="0" t="s">
        <x:v>38991</x:v>
      </x:c>
      <x:c r="B9782" s="0" t="s">
        <x:v>38992</x:v>
      </x:c>
      <x:c r="C9782" s="0" t="s">
        <x:v>38993</x:v>
      </x:c>
      <x:c r="E9782" s="0" t="s">
        <x:v>38994</x:v>
      </x:c>
      <x:c r="F9782" s="0" t="s">
        <x:v>45</x:v>
      </x:c>
      <x:c r="G9782" s="0" t="s">
        <x:v>19</x:v>
      </x:c>
      <x:c r="H9782" s="0" t="s">
        <x:v>20</x:v>
      </x:c>
      <x:c r="I9782" s="0" t="s">
        <x:v>21</x:v>
      </x:c>
      <x:c r="K9782" s="0">
        <x:f>hyperlink("https://icd.who.int/dev11/l-ichi/en#/http%3A%2F%2Fid.who.int%2Ficd%2Fentity%2F607222644","browser")</x:f>
      </x:c>
      <x:c r="L9782" s="0">
        <x:f>hyperlink("https://icat2.azurewebsites.net/icat/?ontology=ICD&amp;tab=ClassesTab&amp;id=http%3A%2F%2Fwho.int%2Ficd%236364_b929cd40_1812_4e2b_8d98_622273bc31b1","iCat")</x:f>
      </x:c>
      <x:c r="M9782" s="0" t="s">
        <x:v>21</x:v>
      </x:c>
      <x:c r="N9782" s="0" t="s">
        <x:v>46</x:v>
      </x:c>
    </x:row>
    <x:row r="9783" spans="1:16">
      <x:c r="A9783" s="0" t="s">
        <x:v>38995</x:v>
      </x:c>
      <x:c r="B9783" s="0" t="s">
        <x:v>38996</x:v>
      </x:c>
      <x:c r="C9783" s="0" t="s">
        <x:v>38997</x:v>
      </x:c>
      <x:c r="E9783" s="0" t="s">
        <x:v>38998</x:v>
      </x:c>
      <x:c r="F9783" s="0" t="s">
        <x:v>45</x:v>
      </x:c>
      <x:c r="G9783" s="0" t="s">
        <x:v>19</x:v>
      </x:c>
      <x:c r="H9783" s="0" t="s">
        <x:v>20</x:v>
      </x:c>
      <x:c r="I9783" s="0" t="s">
        <x:v>21</x:v>
      </x:c>
      <x:c r="K9783" s="0">
        <x:f>hyperlink("https://icd.who.int/dev11/l-ichi/en#/http%3A%2F%2Fid.who.int%2Ficd%2Fentity%2F851346722","browser")</x:f>
      </x:c>
      <x:c r="L9783" s="0">
        <x:f>hyperlink("https://icat2.azurewebsites.net/icat/?ontology=ICD&amp;tab=ClassesTab&amp;id=http%3A%2F%2Fwho.int%2Ficd%23617_94acc4f6_b696_4796_914a_62879ddd4f65","iCat")</x:f>
      </x:c>
      <x:c r="M9783" s="0" t="s">
        <x:v>21</x:v>
      </x:c>
      <x:c r="N9783" s="0" t="s">
        <x:v>46</x:v>
      </x:c>
    </x:row>
    <x:row r="9784" spans="1:16">
      <x:c r="A9784" s="0" t="s">
        <x:v>38999</x:v>
      </x:c>
      <x:c r="B9784" s="0" t="s">
        <x:v>39000</x:v>
      </x:c>
      <x:c r="C9784" s="0" t="s">
        <x:v>39001</x:v>
      </x:c>
      <x:c r="E9784" s="0" t="s">
        <x:v>39002</x:v>
      </x:c>
      <x:c r="F9784" s="0" t="s">
        <x:v>45</x:v>
      </x:c>
      <x:c r="G9784" s="0" t="s">
        <x:v>19</x:v>
      </x:c>
      <x:c r="H9784" s="0" t="s">
        <x:v>20</x:v>
      </x:c>
      <x:c r="I9784" s="0" t="s">
        <x:v>21</x:v>
      </x:c>
      <x:c r="K9784" s="0">
        <x:f>hyperlink("https://icd.who.int/dev11/l-ichi/en#/http%3A%2F%2Fid.who.int%2Ficd%2Fentity%2F1191706963","browser")</x:f>
      </x:c>
      <x:c r="L9784" s="0">
        <x:f>hyperlink("https://icat2.azurewebsites.net/icat/?ontology=ICD&amp;tab=ClassesTab&amp;id=http%3A%2F%2Fwho.int%2Ficd%23623_94acc4f6_b696_4796_914a_62879ddd4f65","iCat")</x:f>
      </x:c>
      <x:c r="M9784" s="0" t="s">
        <x:v>21</x:v>
      </x:c>
      <x:c r="N9784" s="0" t="s">
        <x:v>46</x:v>
      </x:c>
    </x:row>
    <x:row r="9785" spans="1:16">
      <x:c r="A9785" s="0" t="s">
        <x:v>39003</x:v>
      </x:c>
      <x:c r="B9785" s="0" t="s">
        <x:v>39004</x:v>
      </x:c>
      <x:c r="C9785" s="0" t="s">
        <x:v>39005</x:v>
      </x:c>
      <x:c r="E9785" s="0" t="s">
        <x:v>39006</x:v>
      </x:c>
      <x:c r="F9785" s="0" t="s">
        <x:v>45</x:v>
      </x:c>
      <x:c r="G9785" s="0" t="s">
        <x:v>19</x:v>
      </x:c>
      <x:c r="H9785" s="0" t="s">
        <x:v>20</x:v>
      </x:c>
      <x:c r="I9785" s="0" t="s">
        <x:v>21</x:v>
      </x:c>
      <x:c r="K9785" s="0">
        <x:f>hyperlink("https://icd.who.int/dev11/l-ichi/en#/http%3A%2F%2Fid.who.int%2Ficd%2Fentity%2F1828023747","browser")</x:f>
      </x:c>
      <x:c r="L9785" s="0">
        <x:f>hyperlink("https://icat2.azurewebsites.net/icat/?ontology=ICD&amp;tab=ClassesTab&amp;id=http%3A%2F%2Fwho.int%2Ficd%23629_94acc4f6_b696_4796_914a_62879ddd4f65","iCat")</x:f>
      </x:c>
      <x:c r="M9785" s="0" t="s">
        <x:v>21</x:v>
      </x:c>
      <x:c r="N9785" s="0" t="s">
        <x:v>46</x:v>
      </x:c>
    </x:row>
    <x:row r="9786" spans="1:16">
      <x:c r="A9786" s="0" t="s">
        <x:v>39007</x:v>
      </x:c>
      <x:c r="B9786" s="0" t="s">
        <x:v>39008</x:v>
      </x:c>
      <x:c r="C9786" s="0" t="s">
        <x:v>39009</x:v>
      </x:c>
      <x:c r="E9786" s="0" t="s">
        <x:v>39010</x:v>
      </x:c>
      <x:c r="F9786" s="0" t="s">
        <x:v>45</x:v>
      </x:c>
      <x:c r="G9786" s="0" t="s">
        <x:v>19</x:v>
      </x:c>
      <x:c r="H9786" s="0" t="s">
        <x:v>20</x:v>
      </x:c>
      <x:c r="I9786" s="0" t="s">
        <x:v>21</x:v>
      </x:c>
      <x:c r="K9786" s="0">
        <x:f>hyperlink("https://icd.who.int/dev11/l-ichi/en#/http%3A%2F%2Fid.who.int%2Ficd%2Fentity%2F2079533655","browser")</x:f>
      </x:c>
      <x:c r="L9786" s="0">
        <x:f>hyperlink("https://icat2.azurewebsites.net/icat/?ontology=ICD&amp;tab=ClassesTab&amp;id=http%3A%2F%2Fwho.int%2Ficd%236370_b929cd40_1812_4e2b_8d98_622273bc31b1","iCat")</x:f>
      </x:c>
      <x:c r="M9786" s="0" t="s">
        <x:v>21</x:v>
      </x:c>
      <x:c r="N9786" s="0" t="s">
        <x:v>46</x:v>
      </x:c>
    </x:row>
    <x:row r="9787" spans="1:16">
      <x:c r="A9787" s="0" t="s">
        <x:v>39011</x:v>
      </x:c>
      <x:c r="B9787" s="0" t="s">
        <x:v>39012</x:v>
      </x:c>
      <x:c r="C9787" s="0" t="s">
        <x:v>39013</x:v>
      </x:c>
      <x:c r="E9787" s="0" t="s">
        <x:v>39014</x:v>
      </x:c>
      <x:c r="F9787" s="0" t="s">
        <x:v>45</x:v>
      </x:c>
      <x:c r="G9787" s="0" t="s">
        <x:v>19</x:v>
      </x:c>
      <x:c r="H9787" s="0" t="s">
        <x:v>20</x:v>
      </x:c>
      <x:c r="I9787" s="0" t="s">
        <x:v>21</x:v>
      </x:c>
      <x:c r="K9787" s="0">
        <x:f>hyperlink("https://icd.who.int/dev11/l-ichi/en#/http%3A%2F%2Fid.who.int%2Ficd%2Fentity%2F730395622","browser")</x:f>
      </x:c>
      <x:c r="L9787" s="0">
        <x:f>hyperlink("https://icat2.azurewebsites.net/icat/?ontology=ICD&amp;tab=ClassesTab&amp;id=http%3A%2F%2Fwho.int%2Ficd%236376_b929cd40_1812_4e2b_8d98_622273bc31b1","iCat")</x:f>
      </x:c>
      <x:c r="M9787" s="0" t="s">
        <x:v>21</x:v>
      </x:c>
      <x:c r="N9787" s="0" t="s">
        <x:v>46</x:v>
      </x:c>
    </x:row>
    <x:row r="9788" spans="1:16">
      <x:c r="A9788" s="0" t="s">
        <x:v>39015</x:v>
      </x:c>
      <x:c r="B9788" s="0" t="s">
        <x:v>39016</x:v>
      </x:c>
      <x:c r="C9788" s="0" t="s">
        <x:v>39017</x:v>
      </x:c>
      <x:c r="E9788" s="0" t="s">
        <x:v>39018</x:v>
      </x:c>
      <x:c r="F9788" s="0" t="s">
        <x:v>45</x:v>
      </x:c>
      <x:c r="G9788" s="0" t="s">
        <x:v>19</x:v>
      </x:c>
      <x:c r="H9788" s="0" t="s">
        <x:v>20</x:v>
      </x:c>
      <x:c r="I9788" s="0" t="s">
        <x:v>21</x:v>
      </x:c>
      <x:c r="K9788" s="0">
        <x:f>hyperlink("https://icd.who.int/dev11/l-ichi/en#/http%3A%2F%2Fid.who.int%2Ficd%2Fentity%2F2109099445","browser")</x:f>
      </x:c>
      <x:c r="L9788" s="0">
        <x:f>hyperlink("https://icat2.azurewebsites.net/icat/?ontology=ICD&amp;tab=ClassesTab&amp;id=http%3A%2F%2Fwho.int%2Ficd%23635_94acc4f6_b696_4796_914a_62879ddd4f65","iCat")</x:f>
      </x:c>
      <x:c r="M9788" s="0" t="s">
        <x:v>21</x:v>
      </x:c>
      <x:c r="N9788" s="0" t="s">
        <x:v>46</x:v>
      </x:c>
    </x:row>
    <x:row r="9789" spans="1:16">
      <x:c r="A9789" s="0" t="s">
        <x:v>39019</x:v>
      </x:c>
      <x:c r="B9789" s="0" t="s">
        <x:v>39020</x:v>
      </x:c>
      <x:c r="C9789" s="0" t="s">
        <x:v>39021</x:v>
      </x:c>
      <x:c r="E9789" s="0" t="s">
        <x:v>39022</x:v>
      </x:c>
      <x:c r="F9789" s="0" t="s">
        <x:v>45</x:v>
      </x:c>
      <x:c r="G9789" s="0" t="s">
        <x:v>19</x:v>
      </x:c>
      <x:c r="H9789" s="0" t="s">
        <x:v>20</x:v>
      </x:c>
      <x:c r="I9789" s="0" t="s">
        <x:v>21</x:v>
      </x:c>
      <x:c r="K9789" s="0">
        <x:f>hyperlink("https://icd.who.int/dev11/l-ichi/en#/http%3A%2F%2Fid.who.int%2Ficd%2Fentity%2F2020055771","browser")</x:f>
      </x:c>
      <x:c r="L9789" s="0">
        <x:f>hyperlink("https://icat2.azurewebsites.net/icat/?ontology=ICD&amp;tab=ClassesTab&amp;id=http%3A%2F%2Fwho.int%2Ficd%23641_94acc4f6_b696_4796_914a_62879ddd4f65","iCat")</x:f>
      </x:c>
      <x:c r="M9789" s="0" t="s">
        <x:v>21</x:v>
      </x:c>
      <x:c r="N9789" s="0" t="s">
        <x:v>46</x:v>
      </x:c>
    </x:row>
    <x:row r="9790" spans="1:16">
      <x:c r="A9790" s="0" t="s">
        <x:v>39023</x:v>
      </x:c>
      <x:c r="B9790" s="0" t="s">
        <x:v>39024</x:v>
      </x:c>
      <x:c r="C9790" s="0" t="s">
        <x:v>39025</x:v>
      </x:c>
      <x:c r="E9790" s="0" t="s">
        <x:v>39026</x:v>
      </x:c>
      <x:c r="F9790" s="0" t="s">
        <x:v>45</x:v>
      </x:c>
      <x:c r="G9790" s="0" t="s">
        <x:v>19</x:v>
      </x:c>
      <x:c r="H9790" s="0" t="s">
        <x:v>20</x:v>
      </x:c>
      <x:c r="I9790" s="0" t="s">
        <x:v>21</x:v>
      </x:c>
      <x:c r="K9790" s="0">
        <x:f>hyperlink("https://icd.who.int/dev11/l-ichi/en#/http%3A%2F%2Fid.who.int%2Ficd%2Fentity%2F672940908","browser")</x:f>
      </x:c>
      <x:c r="L9790" s="0">
        <x:f>hyperlink("https://icat2.azurewebsites.net/icat/?ontology=ICD&amp;tab=ClassesTab&amp;id=http%3A%2F%2Fwho.int%2Ficd%23647_94acc4f6_b696_4796_914a_62879ddd4f65","iCat")</x:f>
      </x:c>
      <x:c r="M9790" s="0" t="s">
        <x:v>21</x:v>
      </x:c>
      <x:c r="N9790" s="0" t="s">
        <x:v>46</x:v>
      </x:c>
    </x:row>
    <x:row r="9791" spans="1:16">
      <x:c r="A9791" s="0" t="s">
        <x:v>39027</x:v>
      </x:c>
      <x:c r="B9791" s="0" t="s">
        <x:v>39028</x:v>
      </x:c>
      <x:c r="C9791" s="0" t="s">
        <x:v>39029</x:v>
      </x:c>
      <x:c r="E9791" s="0" t="s">
        <x:v>39030</x:v>
      </x:c>
      <x:c r="F9791" s="0" t="s">
        <x:v>45</x:v>
      </x:c>
      <x:c r="G9791" s="0" t="s">
        <x:v>19</x:v>
      </x:c>
      <x:c r="H9791" s="0" t="s">
        <x:v>20</x:v>
      </x:c>
      <x:c r="I9791" s="0" t="s">
        <x:v>21</x:v>
      </x:c>
      <x:c r="K9791" s="0">
        <x:f>hyperlink("https://icd.who.int/dev11/l-ichi/en#/http%3A%2F%2Fid.who.int%2Ficd%2Fentity%2F2011042377","browser")</x:f>
      </x:c>
      <x:c r="L9791" s="0">
        <x:f>hyperlink("https://icat2.azurewebsites.net/icat/?ontology=ICD&amp;tab=ClassesTab&amp;id=http%3A%2F%2Fwho.int%2Ficd%23653_94acc4f6_b696_4796_914a_62879ddd4f65","iCat")</x:f>
      </x:c>
      <x:c r="M9791" s="0" t="s">
        <x:v>21</x:v>
      </x:c>
      <x:c r="N9791" s="0" t="s">
        <x:v>46</x:v>
      </x:c>
    </x:row>
    <x:row r="9792" spans="1:16">
      <x:c r="A9792" s="0" t="s">
        <x:v>39031</x:v>
      </x:c>
      <x:c r="B9792" s="0" t="s">
        <x:v>39032</x:v>
      </x:c>
      <x:c r="C9792" s="0" t="s">
        <x:v>39033</x:v>
      </x:c>
      <x:c r="E9792" s="0" t="s">
        <x:v>39034</x:v>
      </x:c>
      <x:c r="F9792" s="0" t="s">
        <x:v>45</x:v>
      </x:c>
      <x:c r="G9792" s="0" t="s">
        <x:v>19</x:v>
      </x:c>
      <x:c r="H9792" s="0" t="s">
        <x:v>20</x:v>
      </x:c>
      <x:c r="I9792" s="0" t="s">
        <x:v>21</x:v>
      </x:c>
      <x:c r="K9792" s="0">
        <x:f>hyperlink("https://icd.who.int/dev11/l-ichi/en#/http%3A%2F%2Fid.who.int%2Ficd%2Fentity%2F828931406","browser")</x:f>
      </x:c>
      <x:c r="L9792" s="0">
        <x:f>hyperlink("https://icat2.azurewebsites.net/icat/?ontology=ICD&amp;tab=ClassesTab&amp;id=http%3A%2F%2Fwho.int%2Ficd%236382_b929cd40_1812_4e2b_8d98_622273bc31b1","iCat")</x:f>
      </x:c>
      <x:c r="M9792" s="0" t="s">
        <x:v>21</x:v>
      </x:c>
      <x:c r="N9792" s="0" t="s">
        <x:v>46</x:v>
      </x:c>
    </x:row>
    <x:row r="9793" spans="1:16">
      <x:c r="A9793" s="0" t="s">
        <x:v>39035</x:v>
      </x:c>
      <x:c r="B9793" s="0" t="s">
        <x:v>39036</x:v>
      </x:c>
      <x:c r="C9793" s="0" t="s">
        <x:v>39037</x:v>
      </x:c>
      <x:c r="E9793" s="0" t="s">
        <x:v>39038</x:v>
      </x:c>
      <x:c r="F9793" s="0" t="s">
        <x:v>45</x:v>
      </x:c>
      <x:c r="G9793" s="0" t="s">
        <x:v>19</x:v>
      </x:c>
      <x:c r="H9793" s="0" t="s">
        <x:v>20</x:v>
      </x:c>
      <x:c r="I9793" s="0" t="s">
        <x:v>21</x:v>
      </x:c>
      <x:c r="K9793" s="0">
        <x:f>hyperlink("https://icd.who.int/dev11/l-ichi/en#/http%3A%2F%2Fid.who.int%2Ficd%2Fentity%2F445977054","browser")</x:f>
      </x:c>
      <x:c r="L9793" s="0">
        <x:f>hyperlink("https://icat2.azurewebsites.net/icat/?ontology=ICD&amp;tab=ClassesTab&amp;id=http%3A%2F%2Fwho.int%2Ficd%236388_b929cd40_1812_4e2b_8d98_622273bc31b1","iCat")</x:f>
      </x:c>
      <x:c r="M9793" s="0" t="s">
        <x:v>21</x:v>
      </x:c>
      <x:c r="N9793" s="0" t="s">
        <x:v>46</x:v>
      </x:c>
    </x:row>
    <x:row r="9794" spans="1:16">
      <x:c r="A9794" s="0" t="s">
        <x:v>39039</x:v>
      </x:c>
      <x:c r="B9794" s="0" t="s">
        <x:v>39040</x:v>
      </x:c>
      <x:c r="C9794" s="0" t="s">
        <x:v>39041</x:v>
      </x:c>
      <x:c r="E9794" s="0" t="s">
        <x:v>39042</x:v>
      </x:c>
      <x:c r="F9794" s="0" t="s">
        <x:v>45</x:v>
      </x:c>
      <x:c r="G9794" s="0" t="s">
        <x:v>19</x:v>
      </x:c>
      <x:c r="H9794" s="0" t="s">
        <x:v>20</x:v>
      </x:c>
      <x:c r="I9794" s="0" t="s">
        <x:v>21</x:v>
      </x:c>
      <x:c r="K9794" s="0">
        <x:f>hyperlink("https://icd.who.int/dev11/l-ichi/en#/http%3A%2F%2Fid.who.int%2Ficd%2Fentity%2F198586794","browser")</x:f>
      </x:c>
      <x:c r="L9794" s="0">
        <x:f>hyperlink("https://icat2.azurewebsites.net/icat/?ontology=ICD&amp;tab=ClassesTab&amp;id=http%3A%2F%2Fwho.int%2Ficd%236394_b929cd40_1812_4e2b_8d98_622273bc31b1","iCat")</x:f>
      </x:c>
      <x:c r="M9794" s="0" t="s">
        <x:v>21</x:v>
      </x:c>
      <x:c r="N9794" s="0" t="s">
        <x:v>46</x:v>
      </x:c>
    </x:row>
    <x:row r="9795" spans="1:16">
      <x:c r="A9795" s="0" t="s">
        <x:v>39043</x:v>
      </x:c>
      <x:c r="B9795" s="0" t="s">
        <x:v>39044</x:v>
      </x:c>
      <x:c r="C9795" s="0" t="s">
        <x:v>39045</x:v>
      </x:c>
      <x:c r="E9795" s="0" t="s">
        <x:v>39046</x:v>
      </x:c>
      <x:c r="F9795" s="0" t="s">
        <x:v>45</x:v>
      </x:c>
      <x:c r="G9795" s="0" t="s">
        <x:v>19</x:v>
      </x:c>
      <x:c r="H9795" s="0" t="s">
        <x:v>20</x:v>
      </x:c>
      <x:c r="I9795" s="0" t="s">
        <x:v>21</x:v>
      </x:c>
      <x:c r="K9795" s="0">
        <x:f>hyperlink("https://icd.who.int/dev11/l-ichi/en#/http%3A%2F%2Fid.who.int%2Ficd%2Fentity%2F661950753","browser")</x:f>
      </x:c>
      <x:c r="L9795" s="0">
        <x:f>hyperlink("https://icat2.azurewebsites.net/icat/?ontology=ICD&amp;tab=ClassesTab&amp;id=http%3A%2F%2Fwho.int%2Ficd%236400_b929cd40_1812_4e2b_8d98_622273bc31b1","iCat")</x:f>
      </x:c>
      <x:c r="M9795" s="0" t="s">
        <x:v>21</x:v>
      </x:c>
      <x:c r="N9795" s="0" t="s">
        <x:v>46</x:v>
      </x:c>
    </x:row>
    <x:row r="9796" spans="1:16">
      <x:c r="A9796" s="0" t="s">
        <x:v>39047</x:v>
      </x:c>
      <x:c r="B9796" s="0" t="s">
        <x:v>39048</x:v>
      </x:c>
      <x:c r="C9796" s="0" t="s">
        <x:v>39049</x:v>
      </x:c>
      <x:c r="E9796" s="0" t="s">
        <x:v>39050</x:v>
      </x:c>
      <x:c r="F9796" s="0" t="s">
        <x:v>45</x:v>
      </x:c>
      <x:c r="G9796" s="0" t="s">
        <x:v>19</x:v>
      </x:c>
      <x:c r="H9796" s="0" t="s">
        <x:v>20</x:v>
      </x:c>
      <x:c r="I9796" s="0" t="s">
        <x:v>21</x:v>
      </x:c>
      <x:c r="K9796" s="0">
        <x:f>hyperlink("https://icd.who.int/dev11/l-ichi/en#/http%3A%2F%2Fid.who.int%2Ficd%2Fentity%2F1997490320","browser")</x:f>
      </x:c>
      <x:c r="L9796" s="0">
        <x:f>hyperlink("https://icat2.azurewebsites.net/icat/?ontology=ICD&amp;tab=ClassesTab&amp;id=http%3A%2F%2Fwho.int%2Ficd%236406_b929cd40_1812_4e2b_8d98_622273bc31b1","iCat")</x:f>
      </x:c>
      <x:c r="M9796" s="0" t="s">
        <x:v>21</x:v>
      </x:c>
      <x:c r="N9796" s="0" t="s">
        <x:v>46</x:v>
      </x:c>
    </x:row>
    <x:row r="9797" spans="1:16">
      <x:c r="A9797" s="0" t="s">
        <x:v>39051</x:v>
      </x:c>
      <x:c r="B9797" s="0" t="s">
        <x:v>39052</x:v>
      </x:c>
      <x:c r="C9797" s="0" t="s">
        <x:v>39053</x:v>
      </x:c>
      <x:c r="E9797" s="0" t="s">
        <x:v>39054</x:v>
      </x:c>
      <x:c r="F9797" s="0" t="s">
        <x:v>45</x:v>
      </x:c>
      <x:c r="G9797" s="0" t="s">
        <x:v>19</x:v>
      </x:c>
      <x:c r="H9797" s="0" t="s">
        <x:v>20</x:v>
      </x:c>
      <x:c r="I9797" s="0" t="s">
        <x:v>21</x:v>
      </x:c>
      <x:c r="K9797" s="0">
        <x:f>hyperlink("https://icd.who.int/dev11/l-ichi/en#/http%3A%2F%2Fid.who.int%2Ficd%2Fentity%2F684530099","browser")</x:f>
      </x:c>
      <x:c r="L9797" s="0">
        <x:f>hyperlink("https://icat2.azurewebsites.net/icat/?ontology=ICD&amp;tab=ClassesTab&amp;id=http%3A%2F%2Fwho.int%2Ficd%236412_b929cd40_1812_4e2b_8d98_622273bc31b1","iCat")</x:f>
      </x:c>
      <x:c r="M9797" s="0" t="s">
        <x:v>21</x:v>
      </x:c>
      <x:c r="N9797" s="0" t="s">
        <x:v>46</x:v>
      </x:c>
    </x:row>
    <x:row r="9798" spans="1:16">
      <x:c r="A9798" s="0" t="s">
        <x:v>39055</x:v>
      </x:c>
      <x:c r="B9798" s="0" t="s">
        <x:v>39056</x:v>
      </x:c>
      <x:c r="C9798" s="0" t="s">
        <x:v>39057</x:v>
      </x:c>
      <x:c r="E9798" s="0" t="s">
        <x:v>39058</x:v>
      </x:c>
      <x:c r="F9798" s="0" t="s">
        <x:v>45</x:v>
      </x:c>
      <x:c r="G9798" s="0" t="s">
        <x:v>19</x:v>
      </x:c>
      <x:c r="H9798" s="0" t="s">
        <x:v>20</x:v>
      </x:c>
      <x:c r="I9798" s="0" t="s">
        <x:v>21</x:v>
      </x:c>
      <x:c r="K9798" s="0">
        <x:f>hyperlink("https://icd.who.int/dev11/l-ichi/en#/http%3A%2F%2Fid.who.int%2Ficd%2Fentity%2F53507363","browser")</x:f>
      </x:c>
      <x:c r="L9798" s="0">
        <x:f>hyperlink("https://icat2.azurewebsites.net/icat/?ontology=ICD&amp;tab=ClassesTab&amp;id=http%3A%2F%2Fwho.int%2Ficd%236418_b929cd40_1812_4e2b_8d98_622273bc31b1","iCat")</x:f>
      </x:c>
      <x:c r="M9798" s="0" t="s">
        <x:v>21</x:v>
      </x:c>
      <x:c r="N9798" s="0" t="s">
        <x:v>46</x:v>
      </x:c>
    </x:row>
    <x:row r="9799" spans="1:16">
      <x:c r="A9799" s="0" t="s">
        <x:v>39059</x:v>
      </x:c>
      <x:c r="B9799" s="0" t="s">
        <x:v>39060</x:v>
      </x:c>
      <x:c r="C9799" s="0" t="s">
        <x:v>39061</x:v>
      </x:c>
      <x:c r="E9799" s="0" t="s">
        <x:v>39062</x:v>
      </x:c>
      <x:c r="F9799" s="0" t="s">
        <x:v>45</x:v>
      </x:c>
      <x:c r="G9799" s="0" t="s">
        <x:v>19</x:v>
      </x:c>
      <x:c r="H9799" s="0" t="s">
        <x:v>20</x:v>
      </x:c>
      <x:c r="I9799" s="0" t="s">
        <x:v>21</x:v>
      </x:c>
      <x:c r="K9799" s="0">
        <x:f>hyperlink("https://icd.who.int/dev11/l-ichi/en#/http%3A%2F%2Fid.who.int%2Ficd%2Fentity%2F940015621","browser")</x:f>
      </x:c>
      <x:c r="L9799" s="0">
        <x:f>hyperlink("https://icat2.azurewebsites.net/icat/?ontology=ICD&amp;tab=ClassesTab&amp;id=http%3A%2F%2Fwho.int%2Ficd%236424_b929cd40_1812_4e2b_8d98_622273bc31b1","iCat")</x:f>
      </x:c>
      <x:c r="M9799" s="0" t="s">
        <x:v>21</x:v>
      </x:c>
      <x:c r="N9799" s="0" t="s">
        <x:v>46</x:v>
      </x:c>
    </x:row>
    <x:row r="9800" spans="1:16">
      <x:c r="A9800" s="0" t="s">
        <x:v>39063</x:v>
      </x:c>
      <x:c r="B9800" s="0" t="s">
        <x:v>39064</x:v>
      </x:c>
      <x:c r="C9800" s="0" t="s">
        <x:v>39065</x:v>
      </x:c>
      <x:c r="E9800" s="0" t="s">
        <x:v>39066</x:v>
      </x:c>
      <x:c r="F9800" s="0" t="s">
        <x:v>45</x:v>
      </x:c>
      <x:c r="G9800" s="0" t="s">
        <x:v>19</x:v>
      </x:c>
      <x:c r="H9800" s="0" t="s">
        <x:v>20</x:v>
      </x:c>
      <x:c r="I9800" s="0" t="s">
        <x:v>21</x:v>
      </x:c>
      <x:c r="K9800" s="0">
        <x:f>hyperlink("https://icd.who.int/dev11/l-ichi/en#/http%3A%2F%2Fid.who.int%2Ficd%2Fentity%2F1741017382","browser")</x:f>
      </x:c>
      <x:c r="L9800" s="0">
        <x:f>hyperlink("https://icat2.azurewebsites.net/icat/?ontology=ICD&amp;tab=ClassesTab&amp;id=http%3A%2F%2Fwho.int%2Ficd%236430_b929cd40_1812_4e2b_8d98_622273bc31b1","iCat")</x:f>
      </x:c>
      <x:c r="M9800" s="0" t="s">
        <x:v>21</x:v>
      </x:c>
      <x:c r="N9800" s="0" t="s">
        <x:v>46</x:v>
      </x:c>
    </x:row>
    <x:row r="9801" spans="1:16">
      <x:c r="A9801" s="0" t="s">
        <x:v>39067</x:v>
      </x:c>
      <x:c r="B9801" s="0" t="s">
        <x:v>39068</x:v>
      </x:c>
      <x:c r="C9801" s="0" t="s">
        <x:v>39069</x:v>
      </x:c>
      <x:c r="E9801" s="0" t="s">
        <x:v>39070</x:v>
      </x:c>
      <x:c r="F9801" s="0" t="s">
        <x:v>45</x:v>
      </x:c>
      <x:c r="G9801" s="0" t="s">
        <x:v>19</x:v>
      </x:c>
      <x:c r="H9801" s="0" t="s">
        <x:v>20</x:v>
      </x:c>
      <x:c r="I9801" s="0" t="s">
        <x:v>21</x:v>
      </x:c>
      <x:c r="K9801" s="0">
        <x:f>hyperlink("https://icd.who.int/dev11/l-ichi/en#/http%3A%2F%2Fid.who.int%2Ficd%2Fentity%2F935200919","browser")</x:f>
      </x:c>
      <x:c r="L9801" s="0">
        <x:f>hyperlink("https://icat2.azurewebsites.net/icat/?ontology=ICD&amp;tab=ClassesTab&amp;id=http%3A%2F%2Fwho.int%2Ficd%236436_b929cd40_1812_4e2b_8d98_622273bc31b1","iCat")</x:f>
      </x:c>
      <x:c r="M9801" s="0" t="s">
        <x:v>21</x:v>
      </x:c>
      <x:c r="N9801" s="0" t="s">
        <x:v>46</x:v>
      </x:c>
    </x:row>
    <x:row r="9802" spans="1:16">
      <x:c r="A9802" s="0" t="s">
        <x:v>39071</x:v>
      </x:c>
      <x:c r="B9802" s="0" t="s">
        <x:v>39072</x:v>
      </x:c>
      <x:c r="C9802" s="0" t="s">
        <x:v>39073</x:v>
      </x:c>
      <x:c r="E9802" s="0" t="s">
        <x:v>39074</x:v>
      </x:c>
      <x:c r="F9802" s="0" t="s">
        <x:v>45</x:v>
      </x:c>
      <x:c r="G9802" s="0" t="s">
        <x:v>19</x:v>
      </x:c>
      <x:c r="H9802" s="0" t="s">
        <x:v>20</x:v>
      </x:c>
      <x:c r="I9802" s="0" t="s">
        <x:v>21</x:v>
      </x:c>
      <x:c r="K9802" s="0">
        <x:f>hyperlink("https://icd.who.int/dev11/l-ichi/en#/http%3A%2F%2Fid.who.int%2Ficd%2Fentity%2F846192633","browser")</x:f>
      </x:c>
      <x:c r="L9802" s="0">
        <x:f>hyperlink("https://icat2.azurewebsites.net/icat/?ontology=ICD&amp;tab=ClassesTab&amp;id=http%3A%2F%2Fwho.int%2Ficd%236442_b929cd40_1812_4e2b_8d98_622273bc31b1","iCat")</x:f>
      </x:c>
      <x:c r="M9802" s="0" t="s">
        <x:v>21</x:v>
      </x:c>
      <x:c r="N9802" s="0" t="s">
        <x:v>46</x:v>
      </x:c>
    </x:row>
    <x:row r="9803" spans="1:16">
      <x:c r="A9803" s="0" t="s">
        <x:v>39075</x:v>
      </x:c>
      <x:c r="B9803" s="0" t="s">
        <x:v>39076</x:v>
      </x:c>
      <x:c r="C9803" s="0" t="s">
        <x:v>39077</x:v>
      </x:c>
      <x:c r="E9803" s="0" t="s">
        <x:v>39078</x:v>
      </x:c>
      <x:c r="F9803" s="0" t="s">
        <x:v>45</x:v>
      </x:c>
      <x:c r="G9803" s="0" t="s">
        <x:v>19</x:v>
      </x:c>
      <x:c r="H9803" s="0" t="s">
        <x:v>20</x:v>
      </x:c>
      <x:c r="I9803" s="0" t="s">
        <x:v>21</x:v>
      </x:c>
      <x:c r="K9803" s="0">
        <x:f>hyperlink("https://icd.who.int/dev11/l-ichi/en#/http%3A%2F%2Fid.who.int%2Ficd%2Fentity%2F429044585","browser")</x:f>
      </x:c>
      <x:c r="L9803" s="0">
        <x:f>hyperlink("https://icat2.azurewebsites.net/icat/?ontology=ICD&amp;tab=ClassesTab&amp;id=http%3A%2F%2Fwho.int%2Ficd%236448_b929cd40_1812_4e2b_8d98_622273bc31b1","iCat")</x:f>
      </x:c>
      <x:c r="M9803" s="0" t="s">
        <x:v>21</x:v>
      </x:c>
      <x:c r="N9803" s="0" t="s">
        <x:v>46</x:v>
      </x:c>
    </x:row>
    <x:row r="9804" spans="1:16">
      <x:c r="A9804" s="0" t="s">
        <x:v>39079</x:v>
      </x:c>
      <x:c r="B9804" s="0" t="s">
        <x:v>39080</x:v>
      </x:c>
      <x:c r="C9804" s="0" t="s">
        <x:v>39081</x:v>
      </x:c>
      <x:c r="E9804" s="0" t="s">
        <x:v>39082</x:v>
      </x:c>
      <x:c r="F9804" s="0" t="s">
        <x:v>45</x:v>
      </x:c>
      <x:c r="G9804" s="0" t="s">
        <x:v>19</x:v>
      </x:c>
      <x:c r="H9804" s="0" t="s">
        <x:v>20</x:v>
      </x:c>
      <x:c r="I9804" s="0" t="s">
        <x:v>21</x:v>
      </x:c>
      <x:c r="K9804" s="0">
        <x:f>hyperlink("https://icd.who.int/dev11/l-ichi/en#/http%3A%2F%2Fid.who.int%2Ficd%2Fentity%2F147952415","browser")</x:f>
      </x:c>
      <x:c r="L9804" s="0">
        <x:f>hyperlink("https://icat2.azurewebsites.net/icat/?ontology=ICD&amp;tab=ClassesTab&amp;id=http%3A%2F%2Fwho.int%2Ficd%236454_b929cd40_1812_4e2b_8d98_622273bc31b1","iCat")</x:f>
      </x:c>
      <x:c r="M9804" s="0" t="s">
        <x:v>21</x:v>
      </x:c>
      <x:c r="N9804" s="0" t="s">
        <x:v>46</x:v>
      </x:c>
    </x:row>
    <x:row r="9805" spans="1:16">
      <x:c r="A9805" s="0" t="s">
        <x:v>39083</x:v>
      </x:c>
      <x:c r="B9805" s="0" t="s">
        <x:v>39084</x:v>
      </x:c>
      <x:c r="C9805" s="0" t="s">
        <x:v>39085</x:v>
      </x:c>
      <x:c r="E9805" s="0" t="s">
        <x:v>39086</x:v>
      </x:c>
      <x:c r="F9805" s="0" t="s">
        <x:v>45</x:v>
      </x:c>
      <x:c r="G9805" s="0" t="s">
        <x:v>19</x:v>
      </x:c>
      <x:c r="H9805" s="0" t="s">
        <x:v>20</x:v>
      </x:c>
      <x:c r="I9805" s="0" t="s">
        <x:v>21</x:v>
      </x:c>
      <x:c r="K9805" s="0">
        <x:f>hyperlink("https://icd.who.int/dev11/l-ichi/en#/http%3A%2F%2Fid.who.int%2Ficd%2Fentity%2F2103908204","browser")</x:f>
      </x:c>
      <x:c r="L9805" s="0">
        <x:f>hyperlink("https://icat2.azurewebsites.net/icat/?ontology=ICD&amp;tab=ClassesTab&amp;id=http%3A%2F%2Fwho.int%2Ficd%236460_b929cd40_1812_4e2b_8d98_622273bc31b1","iCat")</x:f>
      </x:c>
      <x:c r="M9805" s="0" t="s">
        <x:v>21</x:v>
      </x:c>
      <x:c r="N9805" s="0" t="s">
        <x:v>46</x:v>
      </x:c>
    </x:row>
    <x:row r="9806" spans="1:16">
      <x:c r="A9806" s="0" t="s">
        <x:v>39087</x:v>
      </x:c>
      <x:c r="B9806" s="0" t="s">
        <x:v>39088</x:v>
      </x:c>
      <x:c r="C9806" s="0" t="s">
        <x:v>39089</x:v>
      </x:c>
      <x:c r="E9806" s="0" t="s">
        <x:v>39090</x:v>
      </x:c>
      <x:c r="F9806" s="0" t="s">
        <x:v>45</x:v>
      </x:c>
      <x:c r="G9806" s="0" t="s">
        <x:v>19</x:v>
      </x:c>
      <x:c r="H9806" s="0" t="s">
        <x:v>20</x:v>
      </x:c>
      <x:c r="I9806" s="0" t="s">
        <x:v>21</x:v>
      </x:c>
      <x:c r="K9806" s="0">
        <x:f>hyperlink("https://icd.who.int/dev11/l-ichi/en#/http%3A%2F%2Fid.who.int%2Ficd%2Fentity%2F267179622","browser")</x:f>
      </x:c>
      <x:c r="L9806" s="0">
        <x:f>hyperlink("https://icat2.azurewebsites.net/icat/?ontology=ICD&amp;tab=ClassesTab&amp;id=http%3A%2F%2Fwho.int%2Ficd%236825_b929cd40_1812_4e2b_8d98_622273bc31b1","iCat")</x:f>
      </x:c>
      <x:c r="M9806" s="0" t="s">
        <x:v>21</x:v>
      </x:c>
      <x:c r="N9806" s="0" t="s">
        <x:v>46</x:v>
      </x:c>
    </x:row>
    <x:row r="9807" spans="1:16">
      <x:c r="A9807" s="0" t="s">
        <x:v>39091</x:v>
      </x:c>
      <x:c r="B9807" s="0" t="s">
        <x:v>39092</x:v>
      </x:c>
      <x:c r="C9807" s="0" t="s">
        <x:v>39093</x:v>
      </x:c>
      <x:c r="E9807" s="0" t="s">
        <x:v>39094</x:v>
      </x:c>
      <x:c r="F9807" s="0" t="s">
        <x:v>45</x:v>
      </x:c>
      <x:c r="G9807" s="0" t="s">
        <x:v>19</x:v>
      </x:c>
      <x:c r="H9807" s="0" t="s">
        <x:v>20</x:v>
      </x:c>
      <x:c r="I9807" s="0" t="s">
        <x:v>21</x:v>
      </x:c>
      <x:c r="K9807" s="0">
        <x:f>hyperlink("https://icd.who.int/dev11/l-ichi/en#/http%3A%2F%2Fid.who.int%2Ficd%2Fentity%2F1345226565","browser")</x:f>
      </x:c>
      <x:c r="L9807" s="0">
        <x:f>hyperlink("https://icat2.azurewebsites.net/icat/?ontology=ICD&amp;tab=ClassesTab&amp;id=http%3A%2F%2Fwho.int%2Ficd%236831_b929cd40_1812_4e2b_8d98_622273bc31b1","iCat")</x:f>
      </x:c>
      <x:c r="M9807" s="0" t="s">
        <x:v>21</x:v>
      </x:c>
      <x:c r="N9807" s="0" t="s">
        <x:v>46</x:v>
      </x:c>
    </x:row>
    <x:row r="9808" spans="1:16">
      <x:c r="A9808" s="0" t="s">
        <x:v>39095</x:v>
      </x:c>
      <x:c r="B9808" s="0" t="s">
        <x:v>39096</x:v>
      </x:c>
      <x:c r="C9808" s="0" t="s">
        <x:v>39097</x:v>
      </x:c>
      <x:c r="E9808" s="0" t="s">
        <x:v>39098</x:v>
      </x:c>
      <x:c r="F9808" s="0" t="s">
        <x:v>45</x:v>
      </x:c>
      <x:c r="G9808" s="0" t="s">
        <x:v>19</x:v>
      </x:c>
      <x:c r="H9808" s="0" t="s">
        <x:v>20</x:v>
      </x:c>
      <x:c r="I9808" s="0" t="s">
        <x:v>21</x:v>
      </x:c>
      <x:c r="K9808" s="0">
        <x:f>hyperlink("https://icd.who.int/dev11/l-ichi/en#/http%3A%2F%2Fid.who.int%2Ficd%2Fentity%2F5594868","browser")</x:f>
      </x:c>
      <x:c r="L9808" s="0">
        <x:f>hyperlink("https://icat2.azurewebsites.net/icat/?ontology=ICD&amp;tab=ClassesTab&amp;id=http%3A%2F%2Fwho.int%2Ficd%236837_b929cd40_1812_4e2b_8d98_622273bc31b1","iCat")</x:f>
      </x:c>
      <x:c r="M9808" s="0" t="s">
        <x:v>21</x:v>
      </x:c>
      <x:c r="N9808" s="0" t="s">
        <x:v>46</x:v>
      </x:c>
    </x:row>
    <x:row r="9809" spans="1:16">
      <x:c r="A9809" s="0" t="s">
        <x:v>39099</x:v>
      </x:c>
      <x:c r="B9809" s="0" t="s">
        <x:v>39100</x:v>
      </x:c>
      <x:c r="C9809" s="0" t="s">
        <x:v>39101</x:v>
      </x:c>
      <x:c r="E9809" s="0" t="s">
        <x:v>39102</x:v>
      </x:c>
      <x:c r="F9809" s="0" t="s">
        <x:v>45</x:v>
      </x:c>
      <x:c r="G9809" s="0" t="s">
        <x:v>19</x:v>
      </x:c>
      <x:c r="H9809" s="0" t="s">
        <x:v>20</x:v>
      </x:c>
      <x:c r="I9809" s="0" t="s">
        <x:v>21</x:v>
      </x:c>
      <x:c r="K9809" s="0">
        <x:f>hyperlink("https://icd.who.int/dev11/l-ichi/en#/http%3A%2F%2Fid.who.int%2Ficd%2Fentity%2F92572058","browser")</x:f>
      </x:c>
      <x:c r="L9809" s="0">
        <x:f>hyperlink("https://icat2.azurewebsites.net/icat/?ontology=ICD&amp;tab=ClassesTab&amp;id=http%3A%2F%2Fwho.int%2Ficd%236843_b929cd40_1812_4e2b_8d98_622273bc31b1","iCat")</x:f>
      </x:c>
      <x:c r="M9809" s="0" t="s">
        <x:v>21</x:v>
      </x:c>
      <x:c r="N9809" s="0" t="s">
        <x:v>46</x:v>
      </x:c>
    </x:row>
    <x:row r="9810" spans="1:16">
      <x:c r="A9810" s="0" t="s">
        <x:v>39103</x:v>
      </x:c>
      <x:c r="B9810" s="0" t="s">
        <x:v>39104</x:v>
      </x:c>
      <x:c r="C9810" s="0" t="s">
        <x:v>39105</x:v>
      </x:c>
      <x:c r="E9810" s="0" t="s">
        <x:v>39106</x:v>
      </x:c>
      <x:c r="F9810" s="0" t="s">
        <x:v>45</x:v>
      </x:c>
      <x:c r="G9810" s="0" t="s">
        <x:v>19</x:v>
      </x:c>
      <x:c r="H9810" s="0" t="s">
        <x:v>20</x:v>
      </x:c>
      <x:c r="I9810" s="0" t="s">
        <x:v>21</x:v>
      </x:c>
      <x:c r="K9810" s="0">
        <x:f>hyperlink("https://icd.who.int/dev11/l-ichi/en#/http%3A%2F%2Fid.who.int%2Ficd%2Fentity%2F779740426","browser")</x:f>
      </x:c>
      <x:c r="L9810" s="0">
        <x:f>hyperlink("https://icat2.azurewebsites.net/icat/?ontology=ICD&amp;tab=ClassesTab&amp;id=http%3A%2F%2Fwho.int%2Ficd%236849_b929cd40_1812_4e2b_8d98_622273bc31b1","iCat")</x:f>
      </x:c>
      <x:c r="M9810" s="0" t="s">
        <x:v>21</x:v>
      </x:c>
      <x:c r="N9810" s="0" t="s">
        <x:v>46</x:v>
      </x:c>
    </x:row>
    <x:row r="9811" spans="1:16">
      <x:c r="A9811" s="0" t="s">
        <x:v>39107</x:v>
      </x:c>
      <x:c r="B9811" s="0" t="s">
        <x:v>39108</x:v>
      </x:c>
      <x:c r="C9811" s="0" t="s">
        <x:v>39109</x:v>
      </x:c>
      <x:c r="E9811" s="0" t="s">
        <x:v>39110</x:v>
      </x:c>
      <x:c r="F9811" s="0" t="s">
        <x:v>45</x:v>
      </x:c>
      <x:c r="G9811" s="0" t="s">
        <x:v>19</x:v>
      </x:c>
      <x:c r="H9811" s="0" t="s">
        <x:v>20</x:v>
      </x:c>
      <x:c r="I9811" s="0" t="s">
        <x:v>21</x:v>
      </x:c>
      <x:c r="K9811" s="0">
        <x:f>hyperlink("https://icd.who.int/dev11/l-ichi/en#/http%3A%2F%2Fid.who.int%2Ficd%2Fentity%2F1060816254","browser")</x:f>
      </x:c>
      <x:c r="L9811" s="0">
        <x:f>hyperlink("https://icat2.azurewebsites.net/icat/?ontology=ICD&amp;tab=ClassesTab&amp;id=http%3A%2F%2Fwho.int%2Ficd%236855_b929cd40_1812_4e2b_8d98_622273bc31b1","iCat")</x:f>
      </x:c>
      <x:c r="M9811" s="0" t="s">
        <x:v>21</x:v>
      </x:c>
      <x:c r="N9811" s="0" t="s">
        <x:v>46</x:v>
      </x:c>
    </x:row>
    <x:row r="9812" spans="1:16">
      <x:c r="A9812" s="0" t="s">
        <x:v>39111</x:v>
      </x:c>
      <x:c r="B9812" s="0" t="s">
        <x:v>39112</x:v>
      </x:c>
      <x:c r="C9812" s="0" t="s">
        <x:v>39113</x:v>
      </x:c>
      <x:c r="E9812" s="0" t="s">
        <x:v>39114</x:v>
      </x:c>
      <x:c r="F9812" s="0" t="s">
        <x:v>45</x:v>
      </x:c>
      <x:c r="G9812" s="0" t="s">
        <x:v>19</x:v>
      </x:c>
      <x:c r="H9812" s="0" t="s">
        <x:v>20</x:v>
      </x:c>
      <x:c r="I9812" s="0" t="s">
        <x:v>21</x:v>
      </x:c>
      <x:c r="K9812" s="0">
        <x:f>hyperlink("https://icd.who.int/dev11/l-ichi/en#/http%3A%2F%2Fid.who.int%2Ficd%2Fentity%2F1250705679","browser")</x:f>
      </x:c>
      <x:c r="L9812" s="0">
        <x:f>hyperlink("https://icat2.azurewebsites.net/icat/?ontology=ICD&amp;tab=ClassesTab&amp;id=http%3A%2F%2Fwho.int%2Ficd%236861_b929cd40_1812_4e2b_8d98_622273bc31b1","iCat")</x:f>
      </x:c>
      <x:c r="M9812" s="0" t="s">
        <x:v>21</x:v>
      </x:c>
      <x:c r="N9812" s="0" t="s">
        <x:v>46</x:v>
      </x:c>
    </x:row>
    <x:row r="9813" spans="1:16">
      <x:c r="A9813" s="0" t="s">
        <x:v>39115</x:v>
      </x:c>
      <x:c r="B9813" s="0" t="s">
        <x:v>39116</x:v>
      </x:c>
      <x:c r="C9813" s="0" t="s">
        <x:v>39117</x:v>
      </x:c>
      <x:c r="E9813" s="0" t="s">
        <x:v>39118</x:v>
      </x:c>
      <x:c r="F9813" s="0" t="s">
        <x:v>45</x:v>
      </x:c>
      <x:c r="G9813" s="0" t="s">
        <x:v>19</x:v>
      </x:c>
      <x:c r="H9813" s="0" t="s">
        <x:v>20</x:v>
      </x:c>
      <x:c r="I9813" s="0" t="s">
        <x:v>21</x:v>
      </x:c>
      <x:c r="K9813" s="0">
        <x:f>hyperlink("https://icd.who.int/dev11/l-ichi/en#/http%3A%2F%2Fid.who.int%2Ficd%2Fentity%2F452434110","browser")</x:f>
      </x:c>
      <x:c r="L9813" s="0">
        <x:f>hyperlink("https://icat2.azurewebsites.net/icat/?ontology=ICD&amp;tab=ClassesTab&amp;id=http%3A%2F%2Fwho.int%2Ficd%236867_b929cd40_1812_4e2b_8d98_622273bc31b1","iCat")</x:f>
      </x:c>
      <x:c r="M9813" s="0" t="s">
        <x:v>21</x:v>
      </x:c>
      <x:c r="N9813" s="0" t="s">
        <x:v>46</x:v>
      </x:c>
    </x:row>
    <x:row r="9814" spans="1:16">
      <x:c r="A9814" s="0" t="s">
        <x:v>39119</x:v>
      </x:c>
      <x:c r="B9814" s="0" t="s">
        <x:v>39120</x:v>
      </x:c>
      <x:c r="C9814" s="0" t="s">
        <x:v>39121</x:v>
      </x:c>
      <x:c r="E9814" s="0" t="s">
        <x:v>39122</x:v>
      </x:c>
      <x:c r="F9814" s="0" t="s">
        <x:v>45</x:v>
      </x:c>
      <x:c r="G9814" s="0" t="s">
        <x:v>19</x:v>
      </x:c>
      <x:c r="H9814" s="0" t="s">
        <x:v>20</x:v>
      </x:c>
      <x:c r="I9814" s="0" t="s">
        <x:v>21</x:v>
      </x:c>
      <x:c r="K9814" s="0">
        <x:f>hyperlink("https://icd.who.int/dev11/l-ichi/en#/http%3A%2F%2Fid.who.int%2Ficd%2Fentity%2F1161152925","browser")</x:f>
      </x:c>
      <x:c r="L9814" s="0">
        <x:f>hyperlink("https://icat2.azurewebsites.net/icat/?ontology=ICD&amp;tab=ClassesTab&amp;id=http%3A%2F%2Fwho.int%2Ficd%236873_b929cd40_1812_4e2b_8d98_622273bc31b1","iCat")</x:f>
      </x:c>
      <x:c r="M9814" s="0" t="s">
        <x:v>21</x:v>
      </x:c>
      <x:c r="N9814" s="0" t="s">
        <x:v>46</x:v>
      </x:c>
    </x:row>
    <x:row r="9815" spans="1:16">
      <x:c r="A9815" s="0" t="s">
        <x:v>39123</x:v>
      </x:c>
      <x:c r="B9815" s="0" t="s">
        <x:v>39124</x:v>
      </x:c>
      <x:c r="C9815" s="0" t="s">
        <x:v>39125</x:v>
      </x:c>
      <x:c r="E9815" s="0" t="s">
        <x:v>39126</x:v>
      </x:c>
      <x:c r="F9815" s="0" t="s">
        <x:v>45</x:v>
      </x:c>
      <x:c r="G9815" s="0" t="s">
        <x:v>19</x:v>
      </x:c>
      <x:c r="H9815" s="0" t="s">
        <x:v>20</x:v>
      </x:c>
      <x:c r="I9815" s="0" t="s">
        <x:v>21</x:v>
      </x:c>
      <x:c r="K9815" s="0">
        <x:f>hyperlink("https://icd.who.int/dev11/l-ichi/en#/http%3A%2F%2Fid.who.int%2Ficd%2Fentity%2F1858643213","browser")</x:f>
      </x:c>
      <x:c r="L9815" s="0">
        <x:f>hyperlink("https://icat2.azurewebsites.net/icat/?ontology=ICD&amp;tab=ClassesTab&amp;id=http%3A%2F%2Fwho.int%2Ficd%236879_b929cd40_1812_4e2b_8d98_622273bc31b1","iCat")</x:f>
      </x:c>
      <x:c r="M9815" s="0" t="s">
        <x:v>21</x:v>
      </x:c>
      <x:c r="N9815" s="0" t="s">
        <x:v>46</x:v>
      </x:c>
    </x:row>
    <x:row r="9816" spans="1:16">
      <x:c r="A9816" s="0" t="s">
        <x:v>39127</x:v>
      </x:c>
      <x:c r="B9816" s="0" t="s">
        <x:v>39128</x:v>
      </x:c>
      <x:c r="C9816" s="0" t="s">
        <x:v>39129</x:v>
      </x:c>
      <x:c r="E9816" s="0" t="s">
        <x:v>39130</x:v>
      </x:c>
      <x:c r="F9816" s="0" t="s">
        <x:v>45</x:v>
      </x:c>
      <x:c r="G9816" s="0" t="s">
        <x:v>19</x:v>
      </x:c>
      <x:c r="H9816" s="0" t="s">
        <x:v>20</x:v>
      </x:c>
      <x:c r="I9816" s="0" t="s">
        <x:v>21</x:v>
      </x:c>
      <x:c r="K9816" s="0">
        <x:f>hyperlink("https://icd.who.int/dev11/l-ichi/en#/http%3A%2F%2Fid.who.int%2Ficd%2Fentity%2F984177394","browser")</x:f>
      </x:c>
      <x:c r="L9816" s="0">
        <x:f>hyperlink("https://icat2.azurewebsites.net/icat/?ontology=ICD&amp;tab=ClassesTab&amp;id=http%3A%2F%2Fwho.int%2Ficd%236885_b929cd40_1812_4e2b_8d98_622273bc31b1","iCat")</x:f>
      </x:c>
      <x:c r="M9816" s="0" t="s">
        <x:v>21</x:v>
      </x:c>
      <x:c r="N9816" s="0" t="s">
        <x:v>46</x:v>
      </x:c>
    </x:row>
    <x:row r="9817" spans="1:16">
      <x:c r="A9817" s="0" t="s">
        <x:v>39131</x:v>
      </x:c>
      <x:c r="B9817" s="0" t="s">
        <x:v>39132</x:v>
      </x:c>
      <x:c r="C9817" s="0" t="s">
        <x:v>39133</x:v>
      </x:c>
      <x:c r="E9817" s="0" t="s">
        <x:v>39134</x:v>
      </x:c>
      <x:c r="F9817" s="0" t="s">
        <x:v>45</x:v>
      </x:c>
      <x:c r="G9817" s="0" t="s">
        <x:v>19</x:v>
      </x:c>
      <x:c r="H9817" s="0" t="s">
        <x:v>20</x:v>
      </x:c>
      <x:c r="I9817" s="0" t="s">
        <x:v>21</x:v>
      </x:c>
      <x:c r="K9817" s="0">
        <x:f>hyperlink("https://icd.who.int/dev11/l-ichi/en#/http%3A%2F%2Fid.who.int%2Ficd%2Fentity%2F1701514193","browser")</x:f>
      </x:c>
      <x:c r="L9817" s="0">
        <x:f>hyperlink("https://icat2.azurewebsites.net/icat/?ontology=ICD&amp;tab=ClassesTab&amp;id=http%3A%2F%2Fwho.int%2Ficd%236891_b929cd40_1812_4e2b_8d98_622273bc31b1","iCat")</x:f>
      </x:c>
      <x:c r="M9817" s="0" t="s">
        <x:v>21</x:v>
      </x:c>
      <x:c r="N9817" s="0" t="s">
        <x:v>46</x:v>
      </x:c>
    </x:row>
    <x:row r="9818" spans="1:16">
      <x:c r="A9818" s="0" t="s">
        <x:v>39135</x:v>
      </x:c>
      <x:c r="B9818" s="0" t="s">
        <x:v>39136</x:v>
      </x:c>
      <x:c r="C9818" s="0" t="s">
        <x:v>39137</x:v>
      </x:c>
      <x:c r="E9818" s="0" t="s">
        <x:v>39138</x:v>
      </x:c>
      <x:c r="F9818" s="0" t="s">
        <x:v>45</x:v>
      </x:c>
      <x:c r="G9818" s="0" t="s">
        <x:v>19</x:v>
      </x:c>
      <x:c r="H9818" s="0" t="s">
        <x:v>20</x:v>
      </x:c>
      <x:c r="I9818" s="0" t="s">
        <x:v>21</x:v>
      </x:c>
      <x:c r="K9818" s="0">
        <x:f>hyperlink("https://icd.who.int/dev11/l-ichi/en#/http%3A%2F%2Fid.who.int%2Ficd%2Fentity%2F890294880","browser")</x:f>
      </x:c>
      <x:c r="L9818" s="0">
        <x:f>hyperlink("https://icat2.azurewebsites.net/icat/?ontology=ICD&amp;tab=ClassesTab&amp;id=http%3A%2F%2Fwho.int%2Ficd%236897_b929cd40_1812_4e2b_8d98_622273bc31b1","iCat")</x:f>
      </x:c>
      <x:c r="M9818" s="0" t="s">
        <x:v>21</x:v>
      </x:c>
      <x:c r="N9818" s="0" t="s">
        <x:v>46</x:v>
      </x:c>
    </x:row>
    <x:row r="9819" spans="1:16">
      <x:c r="A9819" s="0" t="s">
        <x:v>39139</x:v>
      </x:c>
      <x:c r="B9819" s="0" t="s">
        <x:v>39140</x:v>
      </x:c>
      <x:c r="C9819" s="0" t="s">
        <x:v>39141</x:v>
      </x:c>
      <x:c r="E9819" s="0" t="s">
        <x:v>39142</x:v>
      </x:c>
      <x:c r="F9819" s="0" t="s">
        <x:v>45</x:v>
      </x:c>
      <x:c r="G9819" s="0" t="s">
        <x:v>19</x:v>
      </x:c>
      <x:c r="H9819" s="0" t="s">
        <x:v>20</x:v>
      </x:c>
      <x:c r="I9819" s="0" t="s">
        <x:v>21</x:v>
      </x:c>
      <x:c r="K9819" s="0">
        <x:f>hyperlink("https://icd.who.int/dev11/l-ichi/en#/http%3A%2F%2Fid.who.int%2Ficd%2Fentity%2F8133658","browser")</x:f>
      </x:c>
      <x:c r="L9819" s="0">
        <x:f>hyperlink("https://icat2.azurewebsites.net/icat/?ontology=ICD&amp;tab=ClassesTab&amp;id=http%3A%2F%2Fwho.int%2Ficd%236903_b929cd40_1812_4e2b_8d98_622273bc31b1","iCat")</x:f>
      </x:c>
      <x:c r="M9819" s="0" t="s">
        <x:v>21</x:v>
      </x:c>
      <x:c r="N9819" s="0" t="s">
        <x:v>46</x:v>
      </x:c>
    </x:row>
    <x:row r="9820" spans="1:16">
      <x:c r="A9820" s="0" t="s">
        <x:v>39143</x:v>
      </x:c>
      <x:c r="B9820" s="0" t="s">
        <x:v>39144</x:v>
      </x:c>
      <x:c r="C9820" s="0" t="s">
        <x:v>39145</x:v>
      </x:c>
      <x:c r="E9820" s="0" t="s">
        <x:v>39146</x:v>
      </x:c>
      <x:c r="F9820" s="0" t="s">
        <x:v>45</x:v>
      </x:c>
      <x:c r="G9820" s="0" t="s">
        <x:v>19</x:v>
      </x:c>
      <x:c r="H9820" s="0" t="s">
        <x:v>20</x:v>
      </x:c>
      <x:c r="I9820" s="0" t="s">
        <x:v>21</x:v>
      </x:c>
      <x:c r="K9820" s="0">
        <x:f>hyperlink("https://icd.who.int/dev11/l-ichi/en#/http%3A%2F%2Fid.who.int%2Ficd%2Fentity%2F729903242","browser")</x:f>
      </x:c>
      <x:c r="L9820" s="0">
        <x:f>hyperlink("https://icat2.azurewebsites.net/icat/?ontology=ICD&amp;tab=ClassesTab&amp;id=http%3A%2F%2Fwho.int%2Ficd%236909_b929cd40_1812_4e2b_8d98_622273bc31b1","iCat")</x:f>
      </x:c>
      <x:c r="M9820" s="0" t="s">
        <x:v>21</x:v>
      </x:c>
      <x:c r="N9820" s="0" t="s">
        <x:v>46</x:v>
      </x:c>
    </x:row>
    <x:row r="9821" spans="1:16">
      <x:c r="A9821" s="0" t="s">
        <x:v>39147</x:v>
      </x:c>
      <x:c r="B9821" s="0" t="s">
        <x:v>39148</x:v>
      </x:c>
      <x:c r="C9821" s="0" t="s">
        <x:v>39149</x:v>
      </x:c>
      <x:c r="E9821" s="0" t="s">
        <x:v>39150</x:v>
      </x:c>
      <x:c r="F9821" s="0" t="s">
        <x:v>45</x:v>
      </x:c>
      <x:c r="G9821" s="0" t="s">
        <x:v>19</x:v>
      </x:c>
      <x:c r="H9821" s="0" t="s">
        <x:v>20</x:v>
      </x:c>
      <x:c r="I9821" s="0" t="s">
        <x:v>21</x:v>
      </x:c>
      <x:c r="K9821" s="0">
        <x:f>hyperlink("https://icd.who.int/dev11/l-ichi/en#/http%3A%2F%2Fid.who.int%2Ficd%2Fentity%2F232825442","browser")</x:f>
      </x:c>
      <x:c r="L9821" s="0">
        <x:f>hyperlink("https://icat2.azurewebsites.net/icat/?ontology=ICD&amp;tab=ClassesTab&amp;id=http%3A%2F%2Fwho.int%2Ficd%237282_b929cd40_1812_4e2b_8d98_622273bc31b1","iCat")</x:f>
      </x:c>
      <x:c r="M9821" s="0" t="s">
        <x:v>21</x:v>
      </x:c>
      <x:c r="N9821" s="0" t="s">
        <x:v>46</x:v>
      </x:c>
    </x:row>
    <x:row r="9822" spans="1:16">
      <x:c r="A9822" s="0" t="s">
        <x:v>39151</x:v>
      </x:c>
      <x:c r="B9822" s="0" t="s">
        <x:v>39152</x:v>
      </x:c>
      <x:c r="C9822" s="0" t="s">
        <x:v>39153</x:v>
      </x:c>
      <x:c r="E9822" s="0" t="s">
        <x:v>39154</x:v>
      </x:c>
      <x:c r="F9822" s="0" t="s">
        <x:v>45</x:v>
      </x:c>
      <x:c r="G9822" s="0" t="s">
        <x:v>19</x:v>
      </x:c>
      <x:c r="H9822" s="0" t="s">
        <x:v>20</x:v>
      </x:c>
      <x:c r="I9822" s="0" t="s">
        <x:v>21</x:v>
      </x:c>
      <x:c r="K9822" s="0">
        <x:f>hyperlink("https://icd.who.int/dev11/l-ichi/en#/http%3A%2F%2Fid.who.int%2Ficd%2Fentity%2F639487730","browser")</x:f>
      </x:c>
      <x:c r="L9822" s="0">
        <x:f>hyperlink("https://icat2.azurewebsites.net/icat/?ontology=ICD&amp;tab=ClassesTab&amp;id=http%3A%2F%2Fwho.int%2Ficd%237288_b929cd40_1812_4e2b_8d98_622273bc31b1","iCat")</x:f>
      </x:c>
      <x:c r="M9822" s="0" t="s">
        <x:v>21</x:v>
      </x:c>
      <x:c r="N9822" s="0" t="s">
        <x:v>46</x:v>
      </x:c>
    </x:row>
    <x:row r="9823" spans="1:16">
      <x:c r="A9823" s="0" t="s">
        <x:v>39155</x:v>
      </x:c>
      <x:c r="B9823" s="0" t="s">
        <x:v>39156</x:v>
      </x:c>
      <x:c r="C9823" s="0" t="s">
        <x:v>39157</x:v>
      </x:c>
      <x:c r="E9823" s="0" t="s">
        <x:v>39158</x:v>
      </x:c>
      <x:c r="F9823" s="0" t="s">
        <x:v>45</x:v>
      </x:c>
      <x:c r="G9823" s="0" t="s">
        <x:v>19</x:v>
      </x:c>
      <x:c r="H9823" s="0" t="s">
        <x:v>20</x:v>
      </x:c>
      <x:c r="I9823" s="0" t="s">
        <x:v>21</x:v>
      </x:c>
      <x:c r="K9823" s="0">
        <x:f>hyperlink("https://icd.who.int/dev11/l-ichi/en#/http%3A%2F%2Fid.who.int%2Ficd%2Fentity%2F928968326","browser")</x:f>
      </x:c>
      <x:c r="L9823" s="0">
        <x:f>hyperlink("https://icat2.azurewebsites.net/icat/?ontology=ICD&amp;tab=ClassesTab&amp;id=http%3A%2F%2Fwho.int%2Ficd%237294_b929cd40_1812_4e2b_8d98_622273bc31b1","iCat")</x:f>
      </x:c>
      <x:c r="M9823" s="0" t="s">
        <x:v>21</x:v>
      </x:c>
      <x:c r="N9823" s="0" t="s">
        <x:v>46</x:v>
      </x:c>
    </x:row>
    <x:row r="9824" spans="1:16">
      <x:c r="A9824" s="0" t="s">
        <x:v>39159</x:v>
      </x:c>
      <x:c r="B9824" s="0" t="s">
        <x:v>39160</x:v>
      </x:c>
      <x:c r="C9824" s="0" t="s">
        <x:v>39161</x:v>
      </x:c>
      <x:c r="E9824" s="0" t="s">
        <x:v>39162</x:v>
      </x:c>
      <x:c r="F9824" s="0" t="s">
        <x:v>45</x:v>
      </x:c>
      <x:c r="G9824" s="0" t="s">
        <x:v>19</x:v>
      </x:c>
      <x:c r="H9824" s="0" t="s">
        <x:v>20</x:v>
      </x:c>
      <x:c r="I9824" s="0" t="s">
        <x:v>21</x:v>
      </x:c>
      <x:c r="K9824" s="0">
        <x:f>hyperlink("https://icd.who.int/dev11/l-ichi/en#/http%3A%2F%2Fid.who.int%2Ficd%2Fentity%2F36839680","browser")</x:f>
      </x:c>
      <x:c r="L9824" s="0">
        <x:f>hyperlink("https://icat2.azurewebsites.net/icat/?ontology=ICD&amp;tab=ClassesTab&amp;id=http%3A%2F%2Fwho.int%2Ficd%237300_b929cd40_1812_4e2b_8d98_622273bc31b1","iCat")</x:f>
      </x:c>
      <x:c r="M9824" s="0" t="s">
        <x:v>21</x:v>
      </x:c>
      <x:c r="N9824" s="0" t="s">
        <x:v>46</x:v>
      </x:c>
    </x:row>
    <x:row r="9825" spans="1:16">
      <x:c r="A9825" s="0" t="s">
        <x:v>39163</x:v>
      </x:c>
      <x:c r="B9825" s="0" t="s">
        <x:v>39164</x:v>
      </x:c>
      <x:c r="C9825" s="0" t="s">
        <x:v>39165</x:v>
      </x:c>
      <x:c r="E9825" s="0" t="s">
        <x:v>39166</x:v>
      </x:c>
      <x:c r="F9825" s="0" t="s">
        <x:v>45</x:v>
      </x:c>
      <x:c r="G9825" s="0" t="s">
        <x:v>19</x:v>
      </x:c>
      <x:c r="H9825" s="0" t="s">
        <x:v>20</x:v>
      </x:c>
      <x:c r="I9825" s="0" t="s">
        <x:v>21</x:v>
      </x:c>
      <x:c r="K9825" s="0">
        <x:f>hyperlink("https://icd.who.int/dev11/l-ichi/en#/http%3A%2F%2Fid.who.int%2Ficd%2Fentity%2F1380579663","browser")</x:f>
      </x:c>
      <x:c r="L9825" s="0">
        <x:f>hyperlink("https://icat2.azurewebsites.net/icat/?ontology=ICD&amp;tab=ClassesTab&amp;id=http%3A%2F%2Fwho.int%2Ficd%237306_b929cd40_1812_4e2b_8d98_622273bc31b1","iCat")</x:f>
      </x:c>
      <x:c r="M9825" s="0" t="s">
        <x:v>21</x:v>
      </x:c>
      <x:c r="N9825" s="0" t="s">
        <x:v>46</x:v>
      </x:c>
    </x:row>
    <x:row r="9826" spans="1:16">
      <x:c r="A9826" s="0" t="s">
        <x:v>39167</x:v>
      </x:c>
      <x:c r="B9826" s="0" t="s">
        <x:v>39168</x:v>
      </x:c>
      <x:c r="C9826" s="0" t="s">
        <x:v>39169</x:v>
      </x:c>
      <x:c r="E9826" s="0" t="s">
        <x:v>39170</x:v>
      </x:c>
      <x:c r="F9826" s="0" t="s">
        <x:v>45</x:v>
      </x:c>
      <x:c r="G9826" s="0" t="s">
        <x:v>19</x:v>
      </x:c>
      <x:c r="H9826" s="0" t="s">
        <x:v>20</x:v>
      </x:c>
      <x:c r="I9826" s="0" t="s">
        <x:v>21</x:v>
      </x:c>
      <x:c r="K9826" s="0">
        <x:f>hyperlink("https://icd.who.int/dev11/l-ichi/en#/http%3A%2F%2Fid.who.int%2Ficd%2Fentity%2F227256430","browser")</x:f>
      </x:c>
      <x:c r="L9826" s="0">
        <x:f>hyperlink("https://icat2.azurewebsites.net/icat/?ontology=ICD&amp;tab=ClassesTab&amp;id=http%3A%2F%2Fwho.int%2Ficd%237312_b929cd40_1812_4e2b_8d98_622273bc31b1","iCat")</x:f>
      </x:c>
      <x:c r="M9826" s="0" t="s">
        <x:v>21</x:v>
      </x:c>
      <x:c r="N9826" s="0" t="s">
        <x:v>46</x:v>
      </x:c>
    </x:row>
    <x:row r="9827" spans="1:16">
      <x:c r="A9827" s="0" t="s">
        <x:v>39171</x:v>
      </x:c>
      <x:c r="B9827" s="0" t="s">
        <x:v>39172</x:v>
      </x:c>
      <x:c r="C9827" s="0" t="s">
        <x:v>39173</x:v>
      </x:c>
      <x:c r="E9827" s="0" t="s">
        <x:v>39174</x:v>
      </x:c>
      <x:c r="F9827" s="0" t="s">
        <x:v>45</x:v>
      </x:c>
      <x:c r="G9827" s="0" t="s">
        <x:v>19</x:v>
      </x:c>
      <x:c r="H9827" s="0" t="s">
        <x:v>20</x:v>
      </x:c>
      <x:c r="I9827" s="0" t="s">
        <x:v>21</x:v>
      </x:c>
      <x:c r="K9827" s="0">
        <x:f>hyperlink("https://icd.who.int/dev11/l-ichi/en#/http%3A%2F%2Fid.who.int%2Ficd%2Fentity%2F645317886","browser")</x:f>
      </x:c>
      <x:c r="L9827" s="0">
        <x:f>hyperlink("https://icat2.azurewebsites.net/icat/?ontology=ICD&amp;tab=ClassesTab&amp;id=http%3A%2F%2Fwho.int%2Ficd%237318_b929cd40_1812_4e2b_8d98_622273bc31b1","iCat")</x:f>
      </x:c>
      <x:c r="M9827" s="0" t="s">
        <x:v>21</x:v>
      </x:c>
      <x:c r="N9827" s="0" t="s">
        <x:v>46</x:v>
      </x:c>
    </x:row>
    <x:row r="9828" spans="1:16">
      <x:c r="A9828" s="0" t="s">
        <x:v>39175</x:v>
      </x:c>
      <x:c r="B9828" s="0" t="s">
        <x:v>39176</x:v>
      </x:c>
      <x:c r="C9828" s="0" t="s">
        <x:v>39177</x:v>
      </x:c>
      <x:c r="E9828" s="0" t="s">
        <x:v>39178</x:v>
      </x:c>
      <x:c r="F9828" s="0" t="s">
        <x:v>45</x:v>
      </x:c>
      <x:c r="G9828" s="0" t="s">
        <x:v>19</x:v>
      </x:c>
      <x:c r="H9828" s="0" t="s">
        <x:v>20</x:v>
      </x:c>
      <x:c r="I9828" s="0" t="s">
        <x:v>21</x:v>
      </x:c>
      <x:c r="K9828" s="0">
        <x:f>hyperlink("https://icd.who.int/dev11/l-ichi/en#/http%3A%2F%2Fid.who.int%2Ficd%2Fentity%2F490811868","browser")</x:f>
      </x:c>
      <x:c r="L9828" s="0">
        <x:f>hyperlink("https://icat2.azurewebsites.net/icat/?ontology=ICD&amp;tab=ClassesTab&amp;id=http%3A%2F%2Fwho.int%2Ficd%237324_b929cd40_1812_4e2b_8d98_622273bc31b1","iCat")</x:f>
      </x:c>
      <x:c r="M9828" s="0" t="s">
        <x:v>21</x:v>
      </x:c>
      <x:c r="N9828" s="0" t="s">
        <x:v>46</x:v>
      </x:c>
    </x:row>
    <x:row r="9829" spans="1:16">
      <x:c r="A9829" s="0" t="s">
        <x:v>39179</x:v>
      </x:c>
      <x:c r="B9829" s="0" t="s">
        <x:v>39180</x:v>
      </x:c>
      <x:c r="C9829" s="0" t="s">
        <x:v>39181</x:v>
      </x:c>
      <x:c r="E9829" s="0" t="s">
        <x:v>39182</x:v>
      </x:c>
      <x:c r="F9829" s="0" t="s">
        <x:v>45</x:v>
      </x:c>
      <x:c r="G9829" s="0" t="s">
        <x:v>19</x:v>
      </x:c>
      <x:c r="H9829" s="0" t="s">
        <x:v>20</x:v>
      </x:c>
      <x:c r="I9829" s="0" t="s">
        <x:v>21</x:v>
      </x:c>
      <x:c r="K9829" s="0">
        <x:f>hyperlink("https://icd.who.int/dev11/l-ichi/en#/http%3A%2F%2Fid.who.int%2Ficd%2Fentity%2F1115906297","browser")</x:f>
      </x:c>
      <x:c r="L9829" s="0">
        <x:f>hyperlink("https://icat2.azurewebsites.net/icat/?ontology=ICD&amp;tab=ClassesTab&amp;id=http%3A%2F%2Fwho.int%2Ficd%237330_b929cd40_1812_4e2b_8d98_622273bc31b1","iCat")</x:f>
      </x:c>
      <x:c r="M9829" s="0" t="s">
        <x:v>21</x:v>
      </x:c>
      <x:c r="N9829" s="0" t="s">
        <x:v>46</x:v>
      </x:c>
    </x:row>
    <x:row r="9830" spans="1:16">
      <x:c r="A9830" s="0" t="s">
        <x:v>39183</x:v>
      </x:c>
      <x:c r="B9830" s="0" t="s">
        <x:v>39184</x:v>
      </x:c>
      <x:c r="C9830" s="0" t="s">
        <x:v>39185</x:v>
      </x:c>
      <x:c r="E9830" s="0" t="s">
        <x:v>39186</x:v>
      </x:c>
      <x:c r="F9830" s="0" t="s">
        <x:v>45</x:v>
      </x:c>
      <x:c r="G9830" s="0" t="s">
        <x:v>19</x:v>
      </x:c>
      <x:c r="H9830" s="0" t="s">
        <x:v>20</x:v>
      </x:c>
      <x:c r="I9830" s="0" t="s">
        <x:v>21</x:v>
      </x:c>
      <x:c r="K9830" s="0">
        <x:f>hyperlink("https://icd.who.int/dev11/l-ichi/en#/http%3A%2F%2Fid.who.int%2Ficd%2Fentity%2F318290250","browser")</x:f>
      </x:c>
      <x:c r="L9830" s="0">
        <x:f>hyperlink("https://icat2.azurewebsites.net/icat/?ontology=ICD&amp;tab=ClassesTab&amp;id=http%3A%2F%2Fwho.int%2Ficd%237336_b929cd40_1812_4e2b_8d98_622273bc31b1","iCat")</x:f>
      </x:c>
      <x:c r="M9830" s="0" t="s">
        <x:v>21</x:v>
      </x:c>
      <x:c r="N9830" s="0" t="s">
        <x:v>46</x:v>
      </x:c>
    </x:row>
    <x:row r="9831" spans="1:16">
      <x:c r="A9831" s="0" t="s">
        <x:v>39187</x:v>
      </x:c>
      <x:c r="B9831" s="0" t="s">
        <x:v>39188</x:v>
      </x:c>
      <x:c r="C9831" s="0" t="s">
        <x:v>39189</x:v>
      </x:c>
      <x:c r="E9831" s="0" t="s">
        <x:v>39190</x:v>
      </x:c>
      <x:c r="F9831" s="0" t="s">
        <x:v>45</x:v>
      </x:c>
      <x:c r="G9831" s="0" t="s">
        <x:v>19</x:v>
      </x:c>
      <x:c r="H9831" s="0" t="s">
        <x:v>20</x:v>
      </x:c>
      <x:c r="I9831" s="0" t="s">
        <x:v>21</x:v>
      </x:c>
      <x:c r="K9831" s="0">
        <x:f>hyperlink("https://icd.who.int/dev11/l-ichi/en#/http%3A%2F%2Fid.who.int%2Ficd%2Fentity%2F388591144","browser")</x:f>
      </x:c>
      <x:c r="L9831" s="0">
        <x:f>hyperlink("https://icat2.azurewebsites.net/icat/?ontology=ICD&amp;tab=ClassesTab&amp;id=http%3A%2F%2Fwho.int%2Ficd%237342_b929cd40_1812_4e2b_8d98_622273bc31b1","iCat")</x:f>
      </x:c>
      <x:c r="M9831" s="0" t="s">
        <x:v>21</x:v>
      </x:c>
      <x:c r="N9831" s="0" t="s">
        <x:v>46</x:v>
      </x:c>
    </x:row>
    <x:row r="9832" spans="1:16">
      <x:c r="A9832" s="0" t="s">
        <x:v>39191</x:v>
      </x:c>
      <x:c r="B9832" s="0" t="s">
        <x:v>39192</x:v>
      </x:c>
      <x:c r="C9832" s="0" t="s">
        <x:v>39193</x:v>
      </x:c>
      <x:c r="E9832" s="0" t="s">
        <x:v>39194</x:v>
      </x:c>
      <x:c r="F9832" s="0" t="s">
        <x:v>45</x:v>
      </x:c>
      <x:c r="G9832" s="0" t="s">
        <x:v>19</x:v>
      </x:c>
      <x:c r="H9832" s="0" t="s">
        <x:v>20</x:v>
      </x:c>
      <x:c r="I9832" s="0" t="s">
        <x:v>21</x:v>
      </x:c>
      <x:c r="K9832" s="0">
        <x:f>hyperlink("https://icd.who.int/dev11/l-ichi/en#/http%3A%2F%2Fid.who.int%2Ficd%2Fentity%2F1020527288","browser")</x:f>
      </x:c>
      <x:c r="L9832" s="0">
        <x:f>hyperlink("https://icat2.azurewebsites.net/icat/?ontology=ICD&amp;tab=ClassesTab&amp;id=http%3A%2F%2Fwho.int%2Ficd%237348_b929cd40_1812_4e2b_8d98_622273bc31b1","iCat")</x:f>
      </x:c>
      <x:c r="M9832" s="0" t="s">
        <x:v>21</x:v>
      </x:c>
      <x:c r="N9832" s="0" t="s">
        <x:v>46</x:v>
      </x:c>
    </x:row>
    <x:row r="9833" spans="1:16">
      <x:c r="A9833" s="0" t="s">
        <x:v>39195</x:v>
      </x:c>
      <x:c r="B9833" s="0" t="s">
        <x:v>39196</x:v>
      </x:c>
      <x:c r="C9833" s="0" t="s">
        <x:v>39197</x:v>
      </x:c>
      <x:c r="E9833" s="0" t="s">
        <x:v>39198</x:v>
      </x:c>
      <x:c r="F9833" s="0" t="s">
        <x:v>45</x:v>
      </x:c>
      <x:c r="G9833" s="0" t="s">
        <x:v>19</x:v>
      </x:c>
      <x:c r="H9833" s="0" t="s">
        <x:v>20</x:v>
      </x:c>
      <x:c r="I9833" s="0" t="s">
        <x:v>21</x:v>
      </x:c>
      <x:c r="K9833" s="0">
        <x:f>hyperlink("https://icd.who.int/dev11/l-ichi/en#/http%3A%2F%2Fid.who.int%2Ficd%2Fentity%2F764879552","browser")</x:f>
      </x:c>
      <x:c r="L9833" s="0">
        <x:f>hyperlink("https://icat2.azurewebsites.net/icat/?ontology=ICD&amp;tab=ClassesTab&amp;id=http%3A%2F%2Fwho.int%2Ficd%237354_b929cd40_1812_4e2b_8d98_622273bc31b1","iCat")</x:f>
      </x:c>
      <x:c r="M9833" s="0" t="s">
        <x:v>21</x:v>
      </x:c>
      <x:c r="N9833" s="0" t="s">
        <x:v>46</x:v>
      </x:c>
    </x:row>
    <x:row r="9834" spans="1:16">
      <x:c r="A9834" s="0" t="s">
        <x:v>39199</x:v>
      </x:c>
      <x:c r="B9834" s="0" t="s">
        <x:v>39200</x:v>
      </x:c>
      <x:c r="C9834" s="0" t="s">
        <x:v>39201</x:v>
      </x:c>
      <x:c r="E9834" s="0" t="s">
        <x:v>39202</x:v>
      </x:c>
      <x:c r="F9834" s="0" t="s">
        <x:v>45</x:v>
      </x:c>
      <x:c r="G9834" s="0" t="s">
        <x:v>19</x:v>
      </x:c>
      <x:c r="H9834" s="0" t="s">
        <x:v>20</x:v>
      </x:c>
      <x:c r="I9834" s="0" t="s">
        <x:v>21</x:v>
      </x:c>
      <x:c r="K9834" s="0">
        <x:f>hyperlink("https://icd.who.int/dev11/l-ichi/en#/http%3A%2F%2Fid.who.int%2Ficd%2Fentity%2F1478600371","browser")</x:f>
      </x:c>
      <x:c r="L9834" s="0">
        <x:f>hyperlink("https://icat2.azurewebsites.net/icat/?ontology=ICD&amp;tab=ClassesTab&amp;id=http%3A%2F%2Fwho.int%2Ficd%237360_b929cd40_1812_4e2b_8d98_622273bc31b1","iCat")</x:f>
      </x:c>
      <x:c r="M9834" s="0" t="s">
        <x:v>21</x:v>
      </x:c>
      <x:c r="N9834" s="0" t="s">
        <x:v>46</x:v>
      </x:c>
    </x:row>
    <x:row r="9835" spans="1:16">
      <x:c r="A9835" s="0" t="s">
        <x:v>39203</x:v>
      </x:c>
      <x:c r="B9835" s="0" t="s">
        <x:v>39204</x:v>
      </x:c>
      <x:c r="C9835" s="0" t="s">
        <x:v>39205</x:v>
      </x:c>
      <x:c r="E9835" s="0" t="s">
        <x:v>39206</x:v>
      </x:c>
      <x:c r="F9835" s="0" t="s">
        <x:v>45</x:v>
      </x:c>
      <x:c r="G9835" s="0" t="s">
        <x:v>19</x:v>
      </x:c>
      <x:c r="H9835" s="0" t="s">
        <x:v>20</x:v>
      </x:c>
      <x:c r="I9835" s="0" t="s">
        <x:v>21</x:v>
      </x:c>
      <x:c r="K9835" s="0">
        <x:f>hyperlink("https://icd.who.int/dev11/l-ichi/en#/http%3A%2F%2Fid.who.int%2Ficd%2Fentity%2F177613975","browser")</x:f>
      </x:c>
      <x:c r="L9835" s="0">
        <x:f>hyperlink("https://icat2.azurewebsites.net/icat/?ontology=ICD&amp;tab=ClassesTab&amp;id=http%3A%2F%2Fwho.int%2Ficd%237428_b929cd40_1812_4e2b_8d98_622273bc31b1","iCat")</x:f>
      </x:c>
      <x:c r="M9835" s="0" t="s">
        <x:v>21</x:v>
      </x:c>
      <x:c r="N9835" s="0" t="s">
        <x:v>46</x:v>
      </x:c>
    </x:row>
    <x:row r="9836" spans="1:16">
      <x:c r="A9836" s="0" t="s">
        <x:v>39207</x:v>
      </x:c>
      <x:c r="B9836" s="0" t="s">
        <x:v>39208</x:v>
      </x:c>
      <x:c r="C9836" s="0" t="s">
        <x:v>39209</x:v>
      </x:c>
      <x:c r="E9836" s="0" t="s">
        <x:v>39210</x:v>
      </x:c>
      <x:c r="F9836" s="0" t="s">
        <x:v>45</x:v>
      </x:c>
      <x:c r="G9836" s="0" t="s">
        <x:v>19</x:v>
      </x:c>
      <x:c r="H9836" s="0" t="s">
        <x:v>20</x:v>
      </x:c>
      <x:c r="I9836" s="0" t="s">
        <x:v>21</x:v>
      </x:c>
      <x:c r="K9836" s="0">
        <x:f>hyperlink("https://icd.who.int/dev11/l-ichi/en#/http%3A%2F%2Fid.who.int%2Ficd%2Fentity%2F466947297","browser")</x:f>
      </x:c>
      <x:c r="L9836" s="0">
        <x:f>hyperlink("https://icat2.azurewebsites.net/icat/?ontology=ICD&amp;tab=ClassesTab&amp;id=http%3A%2F%2Fwho.int%2Ficd%237434_b929cd40_1812_4e2b_8d98_622273bc31b1","iCat")</x:f>
      </x:c>
      <x:c r="M9836" s="0" t="s">
        <x:v>21</x:v>
      </x:c>
      <x:c r="N9836" s="0" t="s">
        <x:v>46</x:v>
      </x:c>
    </x:row>
    <x:row r="9837" spans="1:16">
      <x:c r="A9837" s="0" t="s">
        <x:v>39211</x:v>
      </x:c>
      <x:c r="B9837" s="0" t="s">
        <x:v>39212</x:v>
      </x:c>
      <x:c r="C9837" s="0" t="s">
        <x:v>39213</x:v>
      </x:c>
      <x:c r="E9837" s="0" t="s">
        <x:v>39214</x:v>
      </x:c>
      <x:c r="F9837" s="0" t="s">
        <x:v>45</x:v>
      </x:c>
      <x:c r="G9837" s="0" t="s">
        <x:v>19</x:v>
      </x:c>
      <x:c r="H9837" s="0" t="s">
        <x:v>20</x:v>
      </x:c>
      <x:c r="I9837" s="0" t="s">
        <x:v>21</x:v>
      </x:c>
      <x:c r="K9837" s="0">
        <x:f>hyperlink("https://icd.who.int/dev11/l-ichi/en#/http%3A%2F%2Fid.who.int%2Ficd%2Fentity%2F503634831","browser")</x:f>
      </x:c>
      <x:c r="L9837" s="0">
        <x:f>hyperlink("https://icat2.azurewebsites.net/icat/?ontology=ICD&amp;tab=ClassesTab&amp;id=http%3A%2F%2Fwho.int%2Ficd%237440_b929cd40_1812_4e2b_8d98_622273bc31b1","iCat")</x:f>
      </x:c>
      <x:c r="M9837" s="0" t="s">
        <x:v>21</x:v>
      </x:c>
      <x:c r="N9837" s="0" t="s">
        <x:v>46</x:v>
      </x:c>
    </x:row>
    <x:row r="9838" spans="1:16">
      <x:c r="A9838" s="0" t="s">
        <x:v>39215</x:v>
      </x:c>
      <x:c r="B9838" s="0" t="s">
        <x:v>39216</x:v>
      </x:c>
      <x:c r="C9838" s="0" t="s">
        <x:v>39217</x:v>
      </x:c>
      <x:c r="E9838" s="0" t="s">
        <x:v>39218</x:v>
      </x:c>
      <x:c r="F9838" s="0" t="s">
        <x:v>45</x:v>
      </x:c>
      <x:c r="G9838" s="0" t="s">
        <x:v>19</x:v>
      </x:c>
      <x:c r="H9838" s="0" t="s">
        <x:v>20</x:v>
      </x:c>
      <x:c r="I9838" s="0" t="s">
        <x:v>21</x:v>
      </x:c>
      <x:c r="K9838" s="0">
        <x:f>hyperlink("https://icd.who.int/dev11/l-ichi/en#/http%3A%2F%2Fid.who.int%2Ficd%2Fentity%2F1316946496","browser")</x:f>
      </x:c>
      <x:c r="L9838" s="0">
        <x:f>hyperlink("https://icat2.azurewebsites.net/icat/?ontology=ICD&amp;tab=ClassesTab&amp;id=http%3A%2F%2Fwho.int%2Ficd%237446_b929cd40_1812_4e2b_8d98_622273bc31b1","iCat")</x:f>
      </x:c>
      <x:c r="M9838" s="0" t="s">
        <x:v>21</x:v>
      </x:c>
      <x:c r="N9838" s="0" t="s">
        <x:v>46</x:v>
      </x:c>
    </x:row>
    <x:row r="9839" spans="1:16">
      <x:c r="A9839" s="0" t="s">
        <x:v>39219</x:v>
      </x:c>
      <x:c r="B9839" s="0" t="s">
        <x:v>39220</x:v>
      </x:c>
      <x:c r="C9839" s="0" t="s">
        <x:v>39221</x:v>
      </x:c>
      <x:c r="E9839" s="0" t="s">
        <x:v>39222</x:v>
      </x:c>
      <x:c r="F9839" s="0" t="s">
        <x:v>45</x:v>
      </x:c>
      <x:c r="G9839" s="0" t="s">
        <x:v>19</x:v>
      </x:c>
      <x:c r="H9839" s="0" t="s">
        <x:v>20</x:v>
      </x:c>
      <x:c r="I9839" s="0" t="s">
        <x:v>21</x:v>
      </x:c>
      <x:c r="K9839" s="0">
        <x:f>hyperlink("https://icd.who.int/dev11/l-ichi/en#/http%3A%2F%2Fid.who.int%2Ficd%2Fentity%2F297620253","browser")</x:f>
      </x:c>
      <x:c r="L9839" s="0">
        <x:f>hyperlink("https://icat2.azurewebsites.net/icat/?ontology=ICD&amp;tab=ClassesTab&amp;id=http%3A%2F%2Fwho.int%2Ficd%237452_b929cd40_1812_4e2b_8d98_622273bc31b1","iCat")</x:f>
      </x:c>
      <x:c r="M9839" s="0" t="s">
        <x:v>21</x:v>
      </x:c>
      <x:c r="N9839" s="0" t="s">
        <x:v>46</x:v>
      </x:c>
    </x:row>
    <x:row r="9840" spans="1:16">
      <x:c r="A9840" s="0" t="s">
        <x:v>39223</x:v>
      </x:c>
      <x:c r="B9840" s="0" t="s">
        <x:v>39224</x:v>
      </x:c>
      <x:c r="C9840" s="0" t="s">
        <x:v>39225</x:v>
      </x:c>
      <x:c r="E9840" s="0" t="s">
        <x:v>39226</x:v>
      </x:c>
      <x:c r="F9840" s="0" t="s">
        <x:v>45</x:v>
      </x:c>
      <x:c r="G9840" s="0" t="s">
        <x:v>19</x:v>
      </x:c>
      <x:c r="H9840" s="0" t="s">
        <x:v>20</x:v>
      </x:c>
      <x:c r="I9840" s="0" t="s">
        <x:v>21</x:v>
      </x:c>
      <x:c r="K9840" s="0">
        <x:f>hyperlink("https://icd.who.int/dev11/l-ichi/en#/http%3A%2F%2Fid.who.int%2Ficd%2Fentity%2F977289101","browser")</x:f>
      </x:c>
      <x:c r="L9840" s="0">
        <x:f>hyperlink("https://icat2.azurewebsites.net/icat/?ontology=ICD&amp;tab=ClassesTab&amp;id=http%3A%2F%2Fwho.int%2Ficd%237458_b929cd40_1812_4e2b_8d98_622273bc31b1","iCat")</x:f>
      </x:c>
      <x:c r="M9840" s="0" t="s">
        <x:v>21</x:v>
      </x:c>
      <x:c r="N9840" s="0" t="s">
        <x:v>46</x:v>
      </x:c>
    </x:row>
    <x:row r="9841" spans="1:16">
      <x:c r="A9841" s="0" t="s">
        <x:v>39227</x:v>
      </x:c>
      <x:c r="B9841" s="0" t="s">
        <x:v>39228</x:v>
      </x:c>
      <x:c r="C9841" s="0" t="s">
        <x:v>39229</x:v>
      </x:c>
      <x:c r="E9841" s="0" t="s">
        <x:v>39230</x:v>
      </x:c>
      <x:c r="F9841" s="0" t="s">
        <x:v>45</x:v>
      </x:c>
      <x:c r="G9841" s="0" t="s">
        <x:v>19</x:v>
      </x:c>
      <x:c r="H9841" s="0" t="s">
        <x:v>20</x:v>
      </x:c>
      <x:c r="I9841" s="0" t="s">
        <x:v>21</x:v>
      </x:c>
      <x:c r="K9841" s="0">
        <x:f>hyperlink("https://icd.who.int/dev11/l-ichi/en#/http%3A%2F%2Fid.who.int%2Ficd%2Fentity%2F24627883","browser")</x:f>
      </x:c>
      <x:c r="L9841" s="0">
        <x:f>hyperlink("https://icat2.azurewebsites.net/icat/?ontology=ICD&amp;tab=ClassesTab&amp;id=http%3A%2F%2Fwho.int%2Ficd%237464_b929cd40_1812_4e2b_8d98_622273bc31b1","iCat")</x:f>
      </x:c>
      <x:c r="M9841" s="0" t="s">
        <x:v>21</x:v>
      </x:c>
      <x:c r="N9841" s="0" t="s">
        <x:v>46</x:v>
      </x:c>
    </x:row>
    <x:row r="9842" spans="1:16">
      <x:c r="A9842" s="0" t="s">
        <x:v>39231</x:v>
      </x:c>
      <x:c r="B9842" s="0" t="s">
        <x:v>39232</x:v>
      </x:c>
      <x:c r="C9842" s="0" t="s">
        <x:v>39233</x:v>
      </x:c>
      <x:c r="E9842" s="0" t="s">
        <x:v>39234</x:v>
      </x:c>
      <x:c r="F9842" s="0" t="s">
        <x:v>45</x:v>
      </x:c>
      <x:c r="G9842" s="0" t="s">
        <x:v>19</x:v>
      </x:c>
      <x:c r="H9842" s="0" t="s">
        <x:v>20</x:v>
      </x:c>
      <x:c r="I9842" s="0" t="s">
        <x:v>21</x:v>
      </x:c>
      <x:c r="K9842" s="0">
        <x:f>hyperlink("https://icd.who.int/dev11/l-ichi/en#/http%3A%2F%2Fid.who.int%2Ficd%2Fentity%2F1588960138","browser")</x:f>
      </x:c>
      <x:c r="L9842" s="0">
        <x:f>hyperlink("https://icat2.azurewebsites.net/icat/?ontology=ICD&amp;tab=ClassesTab&amp;id=http%3A%2F%2Fwho.int%2Ficd%237470_b929cd40_1812_4e2b_8d98_622273bc31b1","iCat")</x:f>
      </x:c>
      <x:c r="M9842" s="0" t="s">
        <x:v>21</x:v>
      </x:c>
      <x:c r="N9842" s="0" t="s">
        <x:v>46</x:v>
      </x:c>
    </x:row>
    <x:row r="9843" spans="1:16">
      <x:c r="A9843" s="0" t="s">
        <x:v>39235</x:v>
      </x:c>
      <x:c r="B9843" s="0" t="s">
        <x:v>39236</x:v>
      </x:c>
      <x:c r="C9843" s="0" t="s">
        <x:v>39237</x:v>
      </x:c>
      <x:c r="E9843" s="0" t="s">
        <x:v>39238</x:v>
      </x:c>
      <x:c r="F9843" s="0" t="s">
        <x:v>45</x:v>
      </x:c>
      <x:c r="G9843" s="0" t="s">
        <x:v>19</x:v>
      </x:c>
      <x:c r="H9843" s="0" t="s">
        <x:v>20</x:v>
      </x:c>
      <x:c r="I9843" s="0" t="s">
        <x:v>21</x:v>
      </x:c>
      <x:c r="K9843" s="0">
        <x:f>hyperlink("https://icd.who.int/dev11/l-ichi/en#/http%3A%2F%2Fid.who.int%2Ficd%2Fentity%2F248398393","browser")</x:f>
      </x:c>
      <x:c r="L9843" s="0">
        <x:f>hyperlink("https://icat2.azurewebsites.net/icat/?ontology=ICD&amp;tab=ClassesTab&amp;id=http%3A%2F%2Fwho.int%2Ficd%237476_b929cd40_1812_4e2b_8d98_622273bc31b1","iCat")</x:f>
      </x:c>
      <x:c r="M9843" s="0" t="s">
        <x:v>21</x:v>
      </x:c>
      <x:c r="N9843" s="0" t="s">
        <x:v>46</x:v>
      </x:c>
    </x:row>
    <x:row r="9844" spans="1:16">
      <x:c r="A9844" s="0" t="s">
        <x:v>39239</x:v>
      </x:c>
      <x:c r="B9844" s="0" t="s">
        <x:v>39240</x:v>
      </x:c>
      <x:c r="C9844" s="0" t="s">
        <x:v>39241</x:v>
      </x:c>
      <x:c r="E9844" s="0" t="s">
        <x:v>39242</x:v>
      </x:c>
      <x:c r="F9844" s="0" t="s">
        <x:v>45</x:v>
      </x:c>
      <x:c r="G9844" s="0" t="s">
        <x:v>19</x:v>
      </x:c>
      <x:c r="H9844" s="0" t="s">
        <x:v>20</x:v>
      </x:c>
      <x:c r="I9844" s="0" t="s">
        <x:v>21</x:v>
      </x:c>
      <x:c r="K9844" s="0">
        <x:f>hyperlink("https://icd.who.int/dev11/l-ichi/en#/http%3A%2F%2Fid.who.int%2Ficd%2Fentity%2F338611347","browser")</x:f>
      </x:c>
      <x:c r="L9844" s="0">
        <x:f>hyperlink("https://icat2.azurewebsites.net/icat/?ontology=ICD&amp;tab=ClassesTab&amp;id=http%3A%2F%2Fwho.int%2Ficd%237482_b929cd40_1812_4e2b_8d98_622273bc31b1","iCat")</x:f>
      </x:c>
      <x:c r="M9844" s="0" t="s">
        <x:v>21</x:v>
      </x:c>
      <x:c r="N9844" s="0" t="s">
        <x:v>46</x:v>
      </x:c>
    </x:row>
    <x:row r="9845" spans="1:16">
      <x:c r="A9845" s="0" t="s">
        <x:v>39243</x:v>
      </x:c>
      <x:c r="B9845" s="0" t="s">
        <x:v>39244</x:v>
      </x:c>
      <x:c r="C9845" s="0" t="s">
        <x:v>39245</x:v>
      </x:c>
      <x:c r="E9845" s="0" t="s">
        <x:v>39246</x:v>
      </x:c>
      <x:c r="F9845" s="0" t="s">
        <x:v>45</x:v>
      </x:c>
      <x:c r="G9845" s="0" t="s">
        <x:v>19</x:v>
      </x:c>
      <x:c r="H9845" s="0" t="s">
        <x:v>20</x:v>
      </x:c>
      <x:c r="I9845" s="0" t="s">
        <x:v>21</x:v>
      </x:c>
      <x:c r="K9845" s="0">
        <x:f>hyperlink("https://icd.who.int/dev11/l-ichi/en#/http%3A%2F%2Fid.who.int%2Ficd%2Fentity%2F1070833667","browser")</x:f>
      </x:c>
      <x:c r="L9845" s="0">
        <x:f>hyperlink("https://icat2.azurewebsites.net/icat/?ontology=ICD&amp;tab=ClassesTab&amp;id=http%3A%2F%2Fwho.int%2Ficd%237488_b929cd40_1812_4e2b_8d98_622273bc31b1","iCat")</x:f>
      </x:c>
      <x:c r="M9845" s="0" t="s">
        <x:v>21</x:v>
      </x:c>
      <x:c r="N9845" s="0" t="s">
        <x:v>46</x:v>
      </x:c>
    </x:row>
    <x:row r="9846" spans="1:16">
      <x:c r="A9846" s="0" t="s">
        <x:v>39247</x:v>
      </x:c>
      <x:c r="B9846" s="0" t="s">
        <x:v>39248</x:v>
      </x:c>
      <x:c r="C9846" s="0" t="s">
        <x:v>39249</x:v>
      </x:c>
      <x:c r="E9846" s="0" t="s">
        <x:v>39250</x:v>
      </x:c>
      <x:c r="F9846" s="0" t="s">
        <x:v>45</x:v>
      </x:c>
      <x:c r="G9846" s="0" t="s">
        <x:v>19</x:v>
      </x:c>
      <x:c r="H9846" s="0" t="s">
        <x:v>20</x:v>
      </x:c>
      <x:c r="I9846" s="0" t="s">
        <x:v>21</x:v>
      </x:c>
      <x:c r="K9846" s="0">
        <x:f>hyperlink("https://icd.who.int/dev11/l-ichi/en#/http%3A%2F%2Fid.who.int%2Ficd%2Fentity%2F781222005","browser")</x:f>
      </x:c>
      <x:c r="L9846" s="0">
        <x:f>hyperlink("https://icat2.azurewebsites.net/icat/?ontology=ICD&amp;tab=ClassesTab&amp;id=http%3A%2F%2Fwho.int%2Ficd%237494_b929cd40_1812_4e2b_8d98_622273bc31b1","iCat")</x:f>
      </x:c>
      <x:c r="M9846" s="0" t="s">
        <x:v>21</x:v>
      </x:c>
      <x:c r="N9846" s="0" t="s">
        <x:v>46</x:v>
      </x:c>
    </x:row>
    <x:row r="9847" spans="1:16">
      <x:c r="A9847" s="0" t="s">
        <x:v>39251</x:v>
      </x:c>
      <x:c r="B9847" s="0" t="s">
        <x:v>39252</x:v>
      </x:c>
      <x:c r="C9847" s="0" t="s">
        <x:v>39253</x:v>
      </x:c>
      <x:c r="E9847" s="0" t="s">
        <x:v>39254</x:v>
      </x:c>
      <x:c r="F9847" s="0" t="s">
        <x:v>45</x:v>
      </x:c>
      <x:c r="G9847" s="0" t="s">
        <x:v>19</x:v>
      </x:c>
      <x:c r="H9847" s="0" t="s">
        <x:v>20</x:v>
      </x:c>
      <x:c r="I9847" s="0" t="s">
        <x:v>21</x:v>
      </x:c>
      <x:c r="K9847" s="0">
        <x:f>hyperlink("https://icd.who.int/dev11/l-ichi/en#/http%3A%2F%2Fid.who.int%2Ficd%2Fentity%2F469519887","browser")</x:f>
      </x:c>
      <x:c r="L9847" s="0">
        <x:f>hyperlink("https://icat2.azurewebsites.net/icat/?ontology=ICD&amp;tab=ClassesTab&amp;id=http%3A%2F%2Fwho.int%2Ficd%237500_b929cd40_1812_4e2b_8d98_622273bc31b1","iCat")</x:f>
      </x:c>
      <x:c r="M9847" s="0" t="s">
        <x:v>21</x:v>
      </x:c>
      <x:c r="N9847" s="0" t="s">
        <x:v>46</x:v>
      </x:c>
    </x:row>
    <x:row r="9848" spans="1:16">
      <x:c r="A9848" s="0" t="s">
        <x:v>39255</x:v>
      </x:c>
      <x:c r="B9848" s="0" t="s">
        <x:v>39256</x:v>
      </x:c>
      <x:c r="C9848" s="0" t="s">
        <x:v>39257</x:v>
      </x:c>
      <x:c r="E9848" s="0" t="s">
        <x:v>39258</x:v>
      </x:c>
      <x:c r="F9848" s="0" t="s">
        <x:v>45</x:v>
      </x:c>
      <x:c r="G9848" s="0" t="s">
        <x:v>19</x:v>
      </x:c>
      <x:c r="H9848" s="0" t="s">
        <x:v>20</x:v>
      </x:c>
      <x:c r="I9848" s="0" t="s">
        <x:v>21</x:v>
      </x:c>
      <x:c r="K9848" s="0">
        <x:f>hyperlink("https://icd.who.int/dev11/l-ichi/en#/http%3A%2F%2Fid.who.int%2Ficd%2Fentity%2F1267177408","browser")</x:f>
      </x:c>
      <x:c r="L9848" s="0">
        <x:f>hyperlink("https://icat2.azurewebsites.net/icat/?ontology=ICD&amp;tab=ClassesTab&amp;id=http%3A%2F%2Fwho.int%2Ficd%237506_b929cd40_1812_4e2b_8d98_622273bc31b1","iCat")</x:f>
      </x:c>
      <x:c r="M9848" s="0" t="s">
        <x:v>21</x:v>
      </x:c>
      <x:c r="N9848" s="0" t="s">
        <x:v>46</x:v>
      </x:c>
    </x:row>
    <x:row r="9849" spans="1:16">
      <x:c r="A9849" s="0" t="s">
        <x:v>39259</x:v>
      </x:c>
      <x:c r="B9849" s="0" t="s">
        <x:v>39260</x:v>
      </x:c>
      <x:c r="C9849" s="0" t="s">
        <x:v>39261</x:v>
      </x:c>
      <x:c r="E9849" s="0" t="s">
        <x:v>39262</x:v>
      </x:c>
      <x:c r="F9849" s="0" t="s">
        <x:v>45</x:v>
      </x:c>
      <x:c r="G9849" s="0" t="s">
        <x:v>19</x:v>
      </x:c>
      <x:c r="H9849" s="0" t="s">
        <x:v>20</x:v>
      </x:c>
      <x:c r="I9849" s="0" t="s">
        <x:v>21</x:v>
      </x:c>
      <x:c r="K9849" s="0">
        <x:f>hyperlink("https://icd.who.int/dev11/l-ichi/en#/http%3A%2F%2Fid.who.int%2Ficd%2Fentity%2F340117149","browser")</x:f>
      </x:c>
      <x:c r="L9849" s="0">
        <x:f>hyperlink("https://icat2.azurewebsites.net/icat/?ontology=ICD&amp;tab=ClassesTab&amp;id=http%3A%2F%2Fwho.int%2Ficd%237512_b929cd40_1812_4e2b_8d98_622273bc31b1","iCat")</x:f>
      </x:c>
      <x:c r="M9849" s="0" t="s">
        <x:v>21</x:v>
      </x:c>
      <x:c r="N9849" s="0" t="s">
        <x:v>46</x:v>
      </x:c>
    </x:row>
    <x:row r="9850" spans="1:16">
      <x:c r="A9850" s="0" t="s">
        <x:v>39263</x:v>
      </x:c>
      <x:c r="B9850" s="0" t="s">
        <x:v>39264</x:v>
      </x:c>
      <x:c r="C9850" s="0" t="s">
        <x:v>39265</x:v>
      </x:c>
      <x:c r="E9850" s="0" t="s">
        <x:v>39266</x:v>
      </x:c>
      <x:c r="F9850" s="0" t="s">
        <x:v>45</x:v>
      </x:c>
      <x:c r="G9850" s="0" t="s">
        <x:v>19</x:v>
      </x:c>
      <x:c r="H9850" s="0" t="s">
        <x:v>20</x:v>
      </x:c>
      <x:c r="I9850" s="0" t="s">
        <x:v>21</x:v>
      </x:c>
      <x:c r="K9850" s="0">
        <x:f>hyperlink("https://icd.who.int/dev11/l-ichi/en#/http%3A%2F%2Fid.who.int%2Ficd%2Fentity%2F1069066765","browser")</x:f>
      </x:c>
      <x:c r="L9850" s="0">
        <x:f>hyperlink("https://icat2.azurewebsites.net/icat/?ontology=ICD&amp;tab=ClassesTab&amp;id=http%3A%2F%2Fwho.int%2Ficd%237518_b929cd40_1812_4e2b_8d98_622273bc31b1","iCat")</x:f>
      </x:c>
      <x:c r="M9850" s="0" t="s">
        <x:v>21</x:v>
      </x:c>
      <x:c r="N9850" s="0" t="s">
        <x:v>46</x:v>
      </x:c>
    </x:row>
    <x:row r="9851" spans="1:16">
      <x:c r="A9851" s="0" t="s">
        <x:v>39267</x:v>
      </x:c>
      <x:c r="B9851" s="0" t="s">
        <x:v>39268</x:v>
      </x:c>
      <x:c r="C9851" s="0" t="s">
        <x:v>39269</x:v>
      </x:c>
      <x:c r="E9851" s="0" t="s">
        <x:v>39270</x:v>
      </x:c>
      <x:c r="F9851" s="0" t="s">
        <x:v>45</x:v>
      </x:c>
      <x:c r="G9851" s="0" t="s">
        <x:v>19</x:v>
      </x:c>
      <x:c r="H9851" s="0" t="s">
        <x:v>20</x:v>
      </x:c>
      <x:c r="I9851" s="0" t="s">
        <x:v>21</x:v>
      </x:c>
      <x:c r="K9851" s="0">
        <x:f>hyperlink("https://icd.who.int/dev11/l-ichi/en#/http%3A%2F%2Fid.who.int%2Ficd%2Fentity%2F379639782","browser")</x:f>
      </x:c>
      <x:c r="L9851" s="0">
        <x:f>hyperlink("https://icat2.azurewebsites.net/icat/?ontology=ICD&amp;tab=ClassesTab&amp;id=http%3A%2F%2Fwho.int%2Ficd%237368_b929cd40_1812_4e2b_8d98_622273bc31b1","iCat")</x:f>
      </x:c>
      <x:c r="M9851" s="0" t="s">
        <x:v>21</x:v>
      </x:c>
      <x:c r="N9851" s="0" t="s">
        <x:v>46</x:v>
      </x:c>
    </x:row>
    <x:row r="9852" spans="1:16">
      <x:c r="A9852" s="0" t="s">
        <x:v>39271</x:v>
      </x:c>
      <x:c r="B9852" s="0" t="s">
        <x:v>39272</x:v>
      </x:c>
      <x:c r="C9852" s="0" t="s">
        <x:v>39273</x:v>
      </x:c>
      <x:c r="E9852" s="0" t="s">
        <x:v>39274</x:v>
      </x:c>
      <x:c r="F9852" s="0" t="s">
        <x:v>45</x:v>
      </x:c>
      <x:c r="G9852" s="0" t="s">
        <x:v>19</x:v>
      </x:c>
      <x:c r="H9852" s="0" t="s">
        <x:v>20</x:v>
      </x:c>
      <x:c r="I9852" s="0" t="s">
        <x:v>21</x:v>
      </x:c>
      <x:c r="K9852" s="0">
        <x:f>hyperlink("https://icd.who.int/dev11/l-ichi/en#/http%3A%2F%2Fid.who.int%2Ficd%2Fentity%2F132380562","browser")</x:f>
      </x:c>
      <x:c r="L9852" s="0">
        <x:f>hyperlink("https://icat2.azurewebsites.net/icat/?ontology=ICD&amp;tab=ClassesTab&amp;id=http%3A%2F%2Fwho.int%2Ficd%237374_b929cd40_1812_4e2b_8d98_622273bc31b1","iCat")</x:f>
      </x:c>
      <x:c r="M9852" s="0" t="s">
        <x:v>21</x:v>
      </x:c>
      <x:c r="N9852" s="0" t="s">
        <x:v>46</x:v>
      </x:c>
    </x:row>
    <x:row r="9853" spans="1:16">
      <x:c r="A9853" s="0" t="s">
        <x:v>39275</x:v>
      </x:c>
      <x:c r="B9853" s="0" t="s">
        <x:v>39276</x:v>
      </x:c>
      <x:c r="C9853" s="0" t="s">
        <x:v>39277</x:v>
      </x:c>
      <x:c r="E9853" s="0" t="s">
        <x:v>39278</x:v>
      </x:c>
      <x:c r="F9853" s="0" t="s">
        <x:v>45</x:v>
      </x:c>
      <x:c r="G9853" s="0" t="s">
        <x:v>19</x:v>
      </x:c>
      <x:c r="H9853" s="0" t="s">
        <x:v>20</x:v>
      </x:c>
      <x:c r="I9853" s="0" t="s">
        <x:v>21</x:v>
      </x:c>
      <x:c r="K9853" s="0">
        <x:f>hyperlink("https://icd.who.int/dev11/l-ichi/en#/http%3A%2F%2Fid.who.int%2Ficd%2Fentity%2F486766906","browser")</x:f>
      </x:c>
      <x:c r="L9853" s="0">
        <x:f>hyperlink("https://icat2.azurewebsites.net/icat/?ontology=ICD&amp;tab=ClassesTab&amp;id=http%3A%2F%2Fwho.int%2Ficd%237380_b929cd40_1812_4e2b_8d98_622273bc31b1","iCat")</x:f>
      </x:c>
      <x:c r="M9853" s="0" t="s">
        <x:v>21</x:v>
      </x:c>
      <x:c r="N9853" s="0" t="s">
        <x:v>46</x:v>
      </x:c>
    </x:row>
    <x:row r="9854" spans="1:16">
      <x:c r="A9854" s="0" t="s">
        <x:v>39279</x:v>
      </x:c>
      <x:c r="B9854" s="0" t="s">
        <x:v>39280</x:v>
      </x:c>
      <x:c r="C9854" s="0" t="s">
        <x:v>39281</x:v>
      </x:c>
      <x:c r="E9854" s="0" t="s">
        <x:v>39282</x:v>
      </x:c>
      <x:c r="F9854" s="0" t="s">
        <x:v>45</x:v>
      </x:c>
      <x:c r="G9854" s="0" t="s">
        <x:v>19</x:v>
      </x:c>
      <x:c r="H9854" s="0" t="s">
        <x:v>20</x:v>
      </x:c>
      <x:c r="I9854" s="0" t="s">
        <x:v>21</x:v>
      </x:c>
      <x:c r="K9854" s="0">
        <x:f>hyperlink("https://icd.who.int/dev11/l-ichi/en#/http%3A%2F%2Fid.who.int%2Ficd%2Fentity%2F1299751051","browser")</x:f>
      </x:c>
      <x:c r="L9854" s="0">
        <x:f>hyperlink("https://icat2.azurewebsites.net/icat/?ontology=ICD&amp;tab=ClassesTab&amp;id=http%3A%2F%2Fwho.int%2Ficd%237386_b929cd40_1812_4e2b_8d98_622273bc31b1","iCat")</x:f>
      </x:c>
      <x:c r="M9854" s="0" t="s">
        <x:v>21</x:v>
      </x:c>
      <x:c r="N9854" s="0" t="s">
        <x:v>46</x:v>
      </x:c>
    </x:row>
    <x:row r="9855" spans="1:16">
      <x:c r="A9855" s="0" t="s">
        <x:v>39283</x:v>
      </x:c>
      <x:c r="B9855" s="0" t="s">
        <x:v>39284</x:v>
      </x:c>
      <x:c r="C9855" s="0" t="s">
        <x:v>39285</x:v>
      </x:c>
      <x:c r="E9855" s="0" t="s">
        <x:v>39286</x:v>
      </x:c>
      <x:c r="F9855" s="0" t="s">
        <x:v>45</x:v>
      </x:c>
      <x:c r="G9855" s="0" t="s">
        <x:v>19</x:v>
      </x:c>
      <x:c r="H9855" s="0" t="s">
        <x:v>20</x:v>
      </x:c>
      <x:c r="I9855" s="0" t="s">
        <x:v>21</x:v>
      </x:c>
      <x:c r="K9855" s="0">
        <x:f>hyperlink("https://icd.who.int/dev11/l-ichi/en#/http%3A%2F%2Fid.who.int%2Ficd%2Fentity%2F314241448","browser")</x:f>
      </x:c>
      <x:c r="L9855" s="0">
        <x:f>hyperlink("https://icat2.azurewebsites.net/icat/?ontology=ICD&amp;tab=ClassesTab&amp;id=http%3A%2F%2Fwho.int%2Ficd%237392_b929cd40_1812_4e2b_8d98_622273bc31b1","iCat")</x:f>
      </x:c>
      <x:c r="M9855" s="0" t="s">
        <x:v>21</x:v>
      </x:c>
      <x:c r="N9855" s="0" t="s">
        <x:v>46</x:v>
      </x:c>
    </x:row>
    <x:row r="9856" spans="1:16">
      <x:c r="A9856" s="0" t="s">
        <x:v>39287</x:v>
      </x:c>
      <x:c r="B9856" s="0" t="s">
        <x:v>39288</x:v>
      </x:c>
      <x:c r="C9856" s="0" t="s">
        <x:v>39289</x:v>
      </x:c>
      <x:c r="E9856" s="0" t="s">
        <x:v>39290</x:v>
      </x:c>
      <x:c r="F9856" s="0" t="s">
        <x:v>45</x:v>
      </x:c>
      <x:c r="G9856" s="0" t="s">
        <x:v>19</x:v>
      </x:c>
      <x:c r="H9856" s="0" t="s">
        <x:v>20</x:v>
      </x:c>
      <x:c r="I9856" s="0" t="s">
        <x:v>21</x:v>
      </x:c>
      <x:c r="K9856" s="0">
        <x:f>hyperlink("https://icd.who.int/dev11/l-ichi/en#/http%3A%2F%2Fid.who.int%2Ficd%2Fentity%2F960994616","browser")</x:f>
      </x:c>
      <x:c r="L9856" s="0">
        <x:f>hyperlink("https://icat2.azurewebsites.net/icat/?ontology=ICD&amp;tab=ClassesTab&amp;id=http%3A%2F%2Fwho.int%2Ficd%237398_b929cd40_1812_4e2b_8d98_622273bc31b1","iCat")</x:f>
      </x:c>
      <x:c r="M9856" s="0" t="s">
        <x:v>21</x:v>
      </x:c>
      <x:c r="N9856" s="0" t="s">
        <x:v>46</x:v>
      </x:c>
    </x:row>
    <x:row r="9857" spans="1:16">
      <x:c r="A9857" s="0" t="s">
        <x:v>39291</x:v>
      </x:c>
      <x:c r="B9857" s="0" t="s">
        <x:v>39292</x:v>
      </x:c>
      <x:c r="C9857" s="0" t="s">
        <x:v>39293</x:v>
      </x:c>
      <x:c r="E9857" s="0" t="s">
        <x:v>39294</x:v>
      </x:c>
      <x:c r="F9857" s="0" t="s">
        <x:v>45</x:v>
      </x:c>
      <x:c r="G9857" s="0" t="s">
        <x:v>19</x:v>
      </x:c>
      <x:c r="H9857" s="0" t="s">
        <x:v>20</x:v>
      </x:c>
      <x:c r="I9857" s="0" t="s">
        <x:v>21</x:v>
      </x:c>
      <x:c r="K9857" s="0">
        <x:f>hyperlink("https://icd.who.int/dev11/l-ichi/en#/http%3A%2F%2Fid.who.int%2Ficd%2Fentity%2F1533299944","browser")</x:f>
      </x:c>
      <x:c r="L9857" s="0">
        <x:f>hyperlink("https://icat2.azurewebsites.net/icat/?ontology=ICD&amp;tab=ClassesTab&amp;id=http%3A%2F%2Fwho.int%2Ficd%237404_b929cd40_1812_4e2b_8d98_622273bc31b1","iCat")</x:f>
      </x:c>
      <x:c r="M9857" s="0" t="s">
        <x:v>21</x:v>
      </x:c>
      <x:c r="N9857" s="0" t="s">
        <x:v>46</x:v>
      </x:c>
    </x:row>
    <x:row r="9858" spans="1:16">
      <x:c r="A9858" s="0" t="s">
        <x:v>39295</x:v>
      </x:c>
      <x:c r="B9858" s="0" t="s">
        <x:v>39296</x:v>
      </x:c>
      <x:c r="C9858" s="0" t="s">
        <x:v>39297</x:v>
      </x:c>
      <x:c r="E9858" s="0" t="s">
        <x:v>39298</x:v>
      </x:c>
      <x:c r="F9858" s="0" t="s">
        <x:v>45</x:v>
      </x:c>
      <x:c r="G9858" s="0" t="s">
        <x:v>19</x:v>
      </x:c>
      <x:c r="H9858" s="0" t="s">
        <x:v>20</x:v>
      </x:c>
      <x:c r="I9858" s="0" t="s">
        <x:v>21</x:v>
      </x:c>
      <x:c r="K9858" s="0">
        <x:f>hyperlink("https://icd.who.int/dev11/l-ichi/en#/http%3A%2F%2Fid.who.int%2Ficd%2Fentity%2F77995461","browser")</x:f>
      </x:c>
      <x:c r="L9858" s="0">
        <x:f>hyperlink("https://icat2.azurewebsites.net/icat/?ontology=ICD&amp;tab=ClassesTab&amp;id=http%3A%2F%2Fwho.int%2Ficd%237410_b929cd40_1812_4e2b_8d98_622273bc31b1","iCat")</x:f>
      </x:c>
      <x:c r="M9858" s="0" t="s">
        <x:v>21</x:v>
      </x:c>
      <x:c r="N9858" s="0" t="s">
        <x:v>46</x:v>
      </x:c>
    </x:row>
    <x:row r="9859" spans="1:16">
      <x:c r="A9859" s="0" t="s">
        <x:v>39299</x:v>
      </x:c>
      <x:c r="B9859" s="0" t="s">
        <x:v>39300</x:v>
      </x:c>
      <x:c r="C9859" s="0" t="s">
        <x:v>39301</x:v>
      </x:c>
      <x:c r="E9859" s="0" t="s">
        <x:v>39302</x:v>
      </x:c>
      <x:c r="F9859" s="0" t="s">
        <x:v>45</x:v>
      </x:c>
      <x:c r="G9859" s="0" t="s">
        <x:v>19</x:v>
      </x:c>
      <x:c r="H9859" s="0" t="s">
        <x:v>20</x:v>
      </x:c>
      <x:c r="I9859" s="0" t="s">
        <x:v>21</x:v>
      </x:c>
      <x:c r="K9859" s="0">
        <x:f>hyperlink("https://icd.who.int/dev11/l-ichi/en#/http%3A%2F%2Fid.who.int%2Ficd%2Fentity%2F1423819894","browser")</x:f>
      </x:c>
      <x:c r="L9859" s="0">
        <x:f>hyperlink("https://icat2.azurewebsites.net/icat/?ontology=ICD&amp;tab=ClassesTab&amp;id=http%3A%2F%2Fwho.int%2Ficd%237416_b929cd40_1812_4e2b_8d98_622273bc31b1","iCat")</x:f>
      </x:c>
      <x:c r="M9859" s="0" t="s">
        <x:v>21</x:v>
      </x:c>
      <x:c r="N9859" s="0" t="s">
        <x:v>46</x:v>
      </x:c>
    </x:row>
    <x:row r="9860" spans="1:16">
      <x:c r="A9860" s="0" t="s">
        <x:v>39303</x:v>
      </x:c>
      <x:c r="B9860" s="0" t="s">
        <x:v>39304</x:v>
      </x:c>
      <x:c r="C9860" s="0" t="s">
        <x:v>39305</x:v>
      </x:c>
      <x:c r="E9860" s="0" t="s">
        <x:v>39306</x:v>
      </x:c>
      <x:c r="F9860" s="0" t="s">
        <x:v>45</x:v>
      </x:c>
      <x:c r="G9860" s="0" t="s">
        <x:v>19</x:v>
      </x:c>
      <x:c r="H9860" s="0" t="s">
        <x:v>20</x:v>
      </x:c>
      <x:c r="I9860" s="0" t="s">
        <x:v>21</x:v>
      </x:c>
      <x:c r="K9860" s="0">
        <x:f>hyperlink("https://icd.who.int/dev11/l-ichi/en#/http%3A%2F%2Fid.who.int%2Ficd%2Fentity%2F560676871","browser")</x:f>
      </x:c>
      <x:c r="L9860" s="0">
        <x:f>hyperlink("https://icat2.azurewebsites.net/icat/?ontology=ICD&amp;tab=ClassesTab&amp;id=http%3A%2F%2Fwho.int%2Ficd%237422_b929cd40_1812_4e2b_8d98_622273bc31b1","iCat")</x:f>
      </x:c>
      <x:c r="M9860" s="0" t="s">
        <x:v>21</x:v>
      </x:c>
      <x:c r="N9860" s="0" t="s">
        <x:v>46</x:v>
      </x:c>
    </x:row>
    <x:row r="9861" spans="1:16">
      <x:c r="A9861" s="0" t="s">
        <x:v>39307</x:v>
      </x:c>
      <x:c r="B9861" s="0" t="s">
        <x:v>39308</x:v>
      </x:c>
      <x:c r="C9861" s="0" t="s">
        <x:v>39309</x:v>
      </x:c>
      <x:c r="E9861" s="0" t="s">
        <x:v>39310</x:v>
      </x:c>
      <x:c r="F9861" s="0" t="s">
        <x:v>45</x:v>
      </x:c>
      <x:c r="G9861" s="0" t="s">
        <x:v>19</x:v>
      </x:c>
      <x:c r="H9861" s="0" t="s">
        <x:v>20</x:v>
      </x:c>
      <x:c r="I9861" s="0" t="s">
        <x:v>21</x:v>
      </x:c>
      <x:c r="K9861" s="0">
        <x:f>hyperlink("https://icd.who.int/dev11/l-ichi/en#/http%3A%2F%2Fid.who.int%2Ficd%2Fentity%2F1927999727","browser")</x:f>
      </x:c>
      <x:c r="L9861" s="0">
        <x:f>hyperlink("https://icat2.azurewebsites.net/icat/?ontology=ICD&amp;tab=ClassesTab&amp;id=http%3A%2F%2Fwho.int%2Ficd%232165_287df7d3_8979_4bc5_b232_cc0fd1045cd6","iCat")</x:f>
      </x:c>
      <x:c r="M9861" s="0" t="s">
        <x:v>21</x:v>
      </x:c>
      <x:c r="N9861" s="0" t="s">
        <x:v>46</x:v>
      </x:c>
    </x:row>
    <x:row r="9862" spans="1:16">
      <x:c r="A9862" s="0" t="s">
        <x:v>39311</x:v>
      </x:c>
      <x:c r="B9862" s="0" t="s">
        <x:v>39312</x:v>
      </x:c>
      <x:c r="C9862" s="0" t="s">
        <x:v>39313</x:v>
      </x:c>
      <x:c r="E9862" s="0" t="s">
        <x:v>39314</x:v>
      </x:c>
      <x:c r="F9862" s="0" t="s">
        <x:v>45</x:v>
      </x:c>
      <x:c r="G9862" s="0" t="s">
        <x:v>19</x:v>
      </x:c>
      <x:c r="H9862" s="0" t="s">
        <x:v>20</x:v>
      </x:c>
      <x:c r="I9862" s="0" t="s">
        <x:v>21</x:v>
      </x:c>
      <x:c r="K9862" s="0">
        <x:f>hyperlink("https://icd.who.int/dev11/l-ichi/en#/http%3A%2F%2Fid.who.int%2Ficd%2Fentity%2F757637582","browser")</x:f>
      </x:c>
      <x:c r="L9862" s="0">
        <x:f>hyperlink("https://icat2.azurewebsites.net/icat/?ontology=ICD&amp;tab=ClassesTab&amp;id=http%3A%2F%2Fwho.int%2Ficd%232171_287df7d3_8979_4bc5_b232_cc0fd1045cd6","iCat")</x:f>
      </x:c>
      <x:c r="M9862" s="0" t="s">
        <x:v>21</x:v>
      </x:c>
      <x:c r="N9862" s="0" t="s">
        <x:v>46</x:v>
      </x:c>
    </x:row>
    <x:row r="9863" spans="1:16">
      <x:c r="A9863" s="0" t="s">
        <x:v>39315</x:v>
      </x:c>
      <x:c r="B9863" s="0" t="s">
        <x:v>39316</x:v>
      </x:c>
      <x:c r="C9863" s="0" t="s">
        <x:v>39317</x:v>
      </x:c>
      <x:c r="E9863" s="0" t="s">
        <x:v>39318</x:v>
      </x:c>
      <x:c r="F9863" s="0" t="s">
        <x:v>45</x:v>
      </x:c>
      <x:c r="G9863" s="0" t="s">
        <x:v>19</x:v>
      </x:c>
      <x:c r="H9863" s="0" t="s">
        <x:v>20</x:v>
      </x:c>
      <x:c r="I9863" s="0" t="s">
        <x:v>21</x:v>
      </x:c>
      <x:c r="K9863" s="0">
        <x:f>hyperlink("https://icd.who.int/dev11/l-ichi/en#/http%3A%2F%2Fid.who.int%2Ficd%2Fentity%2F2102622333","browser")</x:f>
      </x:c>
      <x:c r="L9863" s="0">
        <x:f>hyperlink("https://icat2.azurewebsites.net/icat/?ontology=ICD&amp;tab=ClassesTab&amp;id=http%3A%2F%2Fwho.int%2Ficd%232177_287df7d3_8979_4bc5_b232_cc0fd1045cd6","iCat")</x:f>
      </x:c>
      <x:c r="M9863" s="0" t="s">
        <x:v>21</x:v>
      </x:c>
      <x:c r="N9863" s="0" t="s">
        <x:v>46</x:v>
      </x:c>
    </x:row>
    <x:row r="9864" spans="1:16">
      <x:c r="A9864" s="0" t="s">
        <x:v>39319</x:v>
      </x:c>
      <x:c r="B9864" s="0" t="s">
        <x:v>39320</x:v>
      </x:c>
      <x:c r="C9864" s="0" t="s">
        <x:v>39321</x:v>
      </x:c>
      <x:c r="E9864" s="0" t="s">
        <x:v>39322</x:v>
      </x:c>
      <x:c r="F9864" s="0" t="s">
        <x:v>45</x:v>
      </x:c>
      <x:c r="G9864" s="0" t="s">
        <x:v>19</x:v>
      </x:c>
      <x:c r="H9864" s="0" t="s">
        <x:v>20</x:v>
      </x:c>
      <x:c r="I9864" s="0" t="s">
        <x:v>21</x:v>
      </x:c>
      <x:c r="K9864" s="0">
        <x:f>hyperlink("https://icd.who.int/dev11/l-ichi/en#/http%3A%2F%2Fid.who.int%2Ficd%2Fentity%2F1739847383","browser")</x:f>
      </x:c>
      <x:c r="L9864" s="0">
        <x:f>hyperlink("https://icat2.azurewebsites.net/icat/?ontology=ICD&amp;tab=ClassesTab&amp;id=http%3A%2F%2Fwho.int%2Ficd%232183_287df7d3_8979_4bc5_b232_cc0fd1045cd6","iCat")</x:f>
      </x:c>
      <x:c r="M9864" s="0" t="s">
        <x:v>21</x:v>
      </x:c>
      <x:c r="N9864" s="0" t="s">
        <x:v>46</x:v>
      </x:c>
    </x:row>
    <x:row r="9865" spans="1:16">
      <x:c r="A9865" s="0" t="s">
        <x:v>39323</x:v>
      </x:c>
      <x:c r="B9865" s="0" t="s">
        <x:v>39324</x:v>
      </x:c>
      <x:c r="C9865" s="0" t="s">
        <x:v>39325</x:v>
      </x:c>
      <x:c r="E9865" s="0" t="s">
        <x:v>39326</x:v>
      </x:c>
      <x:c r="F9865" s="0" t="s">
        <x:v>45</x:v>
      </x:c>
      <x:c r="G9865" s="0" t="s">
        <x:v>19</x:v>
      </x:c>
      <x:c r="H9865" s="0" t="s">
        <x:v>20</x:v>
      </x:c>
      <x:c r="I9865" s="0" t="s">
        <x:v>21</x:v>
      </x:c>
      <x:c r="K9865" s="0">
        <x:f>hyperlink("https://icd.who.int/dev11/l-ichi/en#/http%3A%2F%2Fid.who.int%2Ficd%2Fentity%2F1280219719","browser")</x:f>
      </x:c>
      <x:c r="L9865" s="0">
        <x:f>hyperlink("https://icat2.azurewebsites.net/icat/?ontology=ICD&amp;tab=ClassesTab&amp;id=http%3A%2F%2Fwho.int%2Ficd%232189_287df7d3_8979_4bc5_b232_cc0fd1045cd6","iCat")</x:f>
      </x:c>
      <x:c r="M9865" s="0" t="s">
        <x:v>21</x:v>
      </x:c>
      <x:c r="N9865" s="0" t="s">
        <x:v>46</x:v>
      </x:c>
    </x:row>
    <x:row r="9866" spans="1:16">
      <x:c r="A9866" s="0" t="s">
        <x:v>39327</x:v>
      </x:c>
      <x:c r="B9866" s="0" t="s">
        <x:v>39328</x:v>
      </x:c>
      <x:c r="C9866" s="0" t="s">
        <x:v>39329</x:v>
      </x:c>
      <x:c r="E9866" s="0" t="s">
        <x:v>39330</x:v>
      </x:c>
      <x:c r="F9866" s="0" t="s">
        <x:v>45</x:v>
      </x:c>
      <x:c r="G9866" s="0" t="s">
        <x:v>19</x:v>
      </x:c>
      <x:c r="H9866" s="0" t="s">
        <x:v>20</x:v>
      </x:c>
      <x:c r="I9866" s="0" t="s">
        <x:v>21</x:v>
      </x:c>
      <x:c r="K9866" s="0">
        <x:f>hyperlink("https://icd.who.int/dev11/l-ichi/en#/http%3A%2F%2Fid.who.int%2Ficd%2Fentity%2F1561180721","browser")</x:f>
      </x:c>
      <x:c r="L9866" s="0">
        <x:f>hyperlink("https://icat2.azurewebsites.net/icat/?ontology=ICD&amp;tab=ClassesTab&amp;id=http%3A%2F%2Fwho.int%2Ficd%232195_287df7d3_8979_4bc5_b232_cc0fd1045cd6","iCat")</x:f>
      </x:c>
      <x:c r="M9866" s="0" t="s">
        <x:v>21</x:v>
      </x:c>
      <x:c r="N9866" s="0" t="s">
        <x:v>46</x:v>
      </x:c>
    </x:row>
    <x:row r="9867" spans="1:16">
      <x:c r="A9867" s="0" t="s">
        <x:v>39331</x:v>
      </x:c>
      <x:c r="B9867" s="0" t="s">
        <x:v>39332</x:v>
      </x:c>
      <x:c r="C9867" s="0" t="s">
        <x:v>39333</x:v>
      </x:c>
      <x:c r="E9867" s="0" t="s">
        <x:v>39334</x:v>
      </x:c>
      <x:c r="F9867" s="0" t="s">
        <x:v>45</x:v>
      </x:c>
      <x:c r="G9867" s="0" t="s">
        <x:v>19</x:v>
      </x:c>
      <x:c r="H9867" s="0" t="s">
        <x:v>20</x:v>
      </x:c>
      <x:c r="I9867" s="0" t="s">
        <x:v>21</x:v>
      </x:c>
      <x:c r="K9867" s="0">
        <x:f>hyperlink("https://icd.who.int/dev11/l-ichi/en#/http%3A%2F%2Fid.who.int%2Ficd%2Fentity%2F2090927759","browser")</x:f>
      </x:c>
      <x:c r="L9867" s="0">
        <x:f>hyperlink("https://icat2.azurewebsites.net/icat/?ontology=ICD&amp;tab=ClassesTab&amp;id=http%3A%2F%2Fwho.int%2Ficd%232201_287df7d3_8979_4bc5_b232_cc0fd1045cd6","iCat")</x:f>
      </x:c>
      <x:c r="M9867" s="0" t="s">
        <x:v>21</x:v>
      </x:c>
      <x:c r="N9867" s="0" t="s">
        <x:v>46</x:v>
      </x:c>
    </x:row>
    <x:row r="9868" spans="1:16">
      <x:c r="A9868" s="0" t="s">
        <x:v>39335</x:v>
      </x:c>
      <x:c r="B9868" s="0" t="s">
        <x:v>39336</x:v>
      </x:c>
      <x:c r="C9868" s="0" t="s">
        <x:v>39337</x:v>
      </x:c>
      <x:c r="E9868" s="0" t="s">
        <x:v>39338</x:v>
      </x:c>
      <x:c r="F9868" s="0" t="s">
        <x:v>45</x:v>
      </x:c>
      <x:c r="G9868" s="0" t="s">
        <x:v>19</x:v>
      </x:c>
      <x:c r="H9868" s="0" t="s">
        <x:v>20</x:v>
      </x:c>
      <x:c r="I9868" s="0" t="s">
        <x:v>21</x:v>
      </x:c>
      <x:c r="K9868" s="0">
        <x:f>hyperlink("https://icd.who.int/dev11/l-ichi/en#/http%3A%2F%2Fid.who.int%2Ficd%2Fentity%2F752541502","browser")</x:f>
      </x:c>
      <x:c r="L9868" s="0">
        <x:f>hyperlink("https://icat2.azurewebsites.net/icat/?ontology=ICD&amp;tab=ClassesTab&amp;id=http%3A%2F%2Fwho.int%2Ficd%232207_287df7d3_8979_4bc5_b232_cc0fd1045cd6","iCat")</x:f>
      </x:c>
      <x:c r="M9868" s="0" t="s">
        <x:v>21</x:v>
      </x:c>
      <x:c r="N9868" s="0" t="s">
        <x:v>46</x:v>
      </x:c>
    </x:row>
    <x:row r="9869" spans="1:16">
      <x:c r="A9869" s="0" t="s">
        <x:v>39339</x:v>
      </x:c>
      <x:c r="B9869" s="0" t="s">
        <x:v>39340</x:v>
      </x:c>
      <x:c r="C9869" s="0" t="s">
        <x:v>39341</x:v>
      </x:c>
      <x:c r="E9869" s="0" t="s">
        <x:v>39342</x:v>
      </x:c>
      <x:c r="F9869" s="0" t="s">
        <x:v>45</x:v>
      </x:c>
      <x:c r="G9869" s="0" t="s">
        <x:v>19</x:v>
      </x:c>
      <x:c r="H9869" s="0" t="s">
        <x:v>20</x:v>
      </x:c>
      <x:c r="I9869" s="0" t="s">
        <x:v>21</x:v>
      </x:c>
      <x:c r="K9869" s="0">
        <x:f>hyperlink("https://icd.who.int/dev11/l-ichi/en#/http%3A%2F%2Fid.who.int%2Ficd%2Fentity%2F1930989085","browser")</x:f>
      </x:c>
      <x:c r="L9869" s="0">
        <x:f>hyperlink("https://icat2.azurewebsites.net/icat/?ontology=ICD&amp;tab=ClassesTab&amp;id=http%3A%2F%2Fwho.int%2Ficd%232213_287df7d3_8979_4bc5_b232_cc0fd1045cd6","iCat")</x:f>
      </x:c>
      <x:c r="M9869" s="0" t="s">
        <x:v>21</x:v>
      </x:c>
      <x:c r="N9869" s="0" t="s">
        <x:v>46</x:v>
      </x:c>
    </x:row>
    <x:row r="9870" spans="1:16">
      <x:c r="A9870" s="0" t="s">
        <x:v>39343</x:v>
      </x:c>
      <x:c r="B9870" s="0" t="s">
        <x:v>39344</x:v>
      </x:c>
      <x:c r="C9870" s="0" t="s">
        <x:v>39345</x:v>
      </x:c>
      <x:c r="E9870" s="0" t="s">
        <x:v>39346</x:v>
      </x:c>
      <x:c r="F9870" s="0" t="s">
        <x:v>45</x:v>
      </x:c>
      <x:c r="G9870" s="0" t="s">
        <x:v>19</x:v>
      </x:c>
      <x:c r="H9870" s="0" t="s">
        <x:v>20</x:v>
      </x:c>
      <x:c r="I9870" s="0" t="s">
        <x:v>21</x:v>
      </x:c>
      <x:c r="K9870" s="0">
        <x:f>hyperlink("https://icd.who.int/dev11/l-ichi/en#/http%3A%2F%2Fid.who.int%2Ficd%2Fentity%2F1491460749","browser")</x:f>
      </x:c>
      <x:c r="L9870" s="0">
        <x:f>hyperlink("https://icat2.azurewebsites.net/icat/?ontology=ICD&amp;tab=ClassesTab&amp;id=http%3A%2F%2Fwho.int%2Ficd%232219_287df7d3_8979_4bc5_b232_cc0fd1045cd6","iCat")</x:f>
      </x:c>
      <x:c r="M9870" s="0" t="s">
        <x:v>21</x:v>
      </x:c>
      <x:c r="N9870" s="0" t="s">
        <x:v>46</x:v>
      </x:c>
    </x:row>
    <x:row r="9871" spans="1:16">
      <x:c r="A9871" s="0" t="s">
        <x:v>39347</x:v>
      </x:c>
      <x:c r="B9871" s="0" t="s">
        <x:v>39348</x:v>
      </x:c>
      <x:c r="C9871" s="0" t="s">
        <x:v>39349</x:v>
      </x:c>
      <x:c r="E9871" s="0" t="s">
        <x:v>39350</x:v>
      </x:c>
      <x:c r="F9871" s="0" t="s">
        <x:v>45</x:v>
      </x:c>
      <x:c r="G9871" s="0" t="s">
        <x:v>19</x:v>
      </x:c>
      <x:c r="H9871" s="0" t="s">
        <x:v>20</x:v>
      </x:c>
      <x:c r="I9871" s="0" t="s">
        <x:v>21</x:v>
      </x:c>
      <x:c r="K9871" s="0">
        <x:f>hyperlink("https://icd.who.int/dev11/l-ichi/en#/http%3A%2F%2Fid.who.int%2Ficd%2Fentity%2F1674713003","browser")</x:f>
      </x:c>
      <x:c r="L9871" s="0">
        <x:f>hyperlink("https://icat2.azurewebsites.net/icat/?ontology=ICD&amp;tab=ClassesTab&amp;id=http%3A%2F%2Fwho.int%2Ficd%232225_287df7d3_8979_4bc5_b232_cc0fd1045cd6","iCat")</x:f>
      </x:c>
      <x:c r="M9871" s="0" t="s">
        <x:v>21</x:v>
      </x:c>
      <x:c r="N9871" s="0" t="s">
        <x:v>46</x:v>
      </x:c>
    </x:row>
    <x:row r="9872" spans="1:16">
      <x:c r="A9872" s="0" t="s">
        <x:v>39351</x:v>
      </x:c>
      <x:c r="B9872" s="0" t="s">
        <x:v>39352</x:v>
      </x:c>
      <x:c r="C9872" s="0" t="s">
        <x:v>39353</x:v>
      </x:c>
      <x:c r="E9872" s="0" t="s">
        <x:v>39354</x:v>
      </x:c>
      <x:c r="F9872" s="0" t="s">
        <x:v>45</x:v>
      </x:c>
      <x:c r="G9872" s="0" t="s">
        <x:v>19</x:v>
      </x:c>
      <x:c r="H9872" s="0" t="s">
        <x:v>20</x:v>
      </x:c>
      <x:c r="I9872" s="0" t="s">
        <x:v>21</x:v>
      </x:c>
      <x:c r="K9872" s="0">
        <x:f>hyperlink("https://icd.who.int/dev11/l-ichi/en#/http%3A%2F%2Fid.who.int%2Ficd%2Fentity%2F1007699592","browser")</x:f>
      </x:c>
      <x:c r="L9872" s="0">
        <x:f>hyperlink("https://icat2.azurewebsites.net/icat/?ontology=ICD&amp;tab=ClassesTab&amp;id=http%3A%2F%2Fwho.int%2Ficd%232231_287df7d3_8979_4bc5_b232_cc0fd1045cd6","iCat")</x:f>
      </x:c>
      <x:c r="M9872" s="0" t="s">
        <x:v>21</x:v>
      </x:c>
      <x:c r="N9872" s="0" t="s">
        <x:v>46</x:v>
      </x:c>
    </x:row>
    <x:row r="9873" spans="1:16">
      <x:c r="A9873" s="0" t="s">
        <x:v>39355</x:v>
      </x:c>
      <x:c r="B9873" s="0" t="s">
        <x:v>39356</x:v>
      </x:c>
      <x:c r="C9873" s="0" t="s">
        <x:v>39357</x:v>
      </x:c>
      <x:c r="E9873" s="0" t="s">
        <x:v>39358</x:v>
      </x:c>
      <x:c r="F9873" s="0" t="s">
        <x:v>45</x:v>
      </x:c>
      <x:c r="G9873" s="0" t="s">
        <x:v>19</x:v>
      </x:c>
      <x:c r="H9873" s="0" t="s">
        <x:v>20</x:v>
      </x:c>
      <x:c r="I9873" s="0" t="s">
        <x:v>21</x:v>
      </x:c>
      <x:c r="K9873" s="0">
        <x:f>hyperlink("https://icd.who.int/dev11/l-ichi/en#/http%3A%2F%2Fid.who.int%2Ficd%2Fentity%2F1818992441","browser")</x:f>
      </x:c>
      <x:c r="L9873" s="0">
        <x:f>hyperlink("https://icat2.azurewebsites.net/icat/?ontology=ICD&amp;tab=ClassesTab&amp;id=http%3A%2F%2Fwho.int%2Ficd%232237_287df7d3_8979_4bc5_b232_cc0fd1045cd6","iCat")</x:f>
      </x:c>
      <x:c r="M9873" s="0" t="s">
        <x:v>21</x:v>
      </x:c>
      <x:c r="N9873" s="0" t="s">
        <x:v>46</x:v>
      </x:c>
    </x:row>
    <x:row r="9874" spans="1:16">
      <x:c r="A9874" s="0" t="s">
        <x:v>39359</x:v>
      </x:c>
      <x:c r="B9874" s="0" t="s">
        <x:v>39360</x:v>
      </x:c>
      <x:c r="C9874" s="0" t="s">
        <x:v>39361</x:v>
      </x:c>
      <x:c r="E9874" s="0" t="s">
        <x:v>39362</x:v>
      </x:c>
      <x:c r="F9874" s="0" t="s">
        <x:v>45</x:v>
      </x:c>
      <x:c r="G9874" s="0" t="s">
        <x:v>19</x:v>
      </x:c>
      <x:c r="H9874" s="0" t="s">
        <x:v>20</x:v>
      </x:c>
      <x:c r="I9874" s="0" t="s">
        <x:v>21</x:v>
      </x:c>
      <x:c r="K9874" s="0">
        <x:f>hyperlink("https://icd.who.int/dev11/l-ichi/en#/http%3A%2F%2Fid.who.int%2Ficd%2Fentity%2F1773815895","browser")</x:f>
      </x:c>
      <x:c r="L9874" s="0">
        <x:f>hyperlink("https://icat2.azurewebsites.net/icat/?ontology=ICD&amp;tab=ClassesTab&amp;id=http%3A%2F%2Fwho.int%2Ficd%232243_287df7d3_8979_4bc5_b232_cc0fd1045cd6","iCat")</x:f>
      </x:c>
      <x:c r="M9874" s="0" t="s">
        <x:v>21</x:v>
      </x:c>
      <x:c r="N9874" s="0" t="s">
        <x:v>46</x:v>
      </x:c>
    </x:row>
    <x:row r="9875" spans="1:16">
      <x:c r="A9875" s="0" t="s">
        <x:v>39363</x:v>
      </x:c>
      <x:c r="B9875" s="0" t="s">
        <x:v>39364</x:v>
      </x:c>
      <x:c r="C9875" s="0" t="s">
        <x:v>39365</x:v>
      </x:c>
      <x:c r="E9875" s="0" t="s">
        <x:v>39366</x:v>
      </x:c>
      <x:c r="F9875" s="0" t="s">
        <x:v>45</x:v>
      </x:c>
      <x:c r="G9875" s="0" t="s">
        <x:v>19</x:v>
      </x:c>
      <x:c r="H9875" s="0" t="s">
        <x:v>20</x:v>
      </x:c>
      <x:c r="I9875" s="0" t="s">
        <x:v>21</x:v>
      </x:c>
      <x:c r="K9875" s="0">
        <x:f>hyperlink("https://icd.who.int/dev11/l-ichi/en#/http%3A%2F%2Fid.who.int%2Ficd%2Fentity%2F1111958727","browser")</x:f>
      </x:c>
      <x:c r="L9875" s="0">
        <x:f>hyperlink("https://icat2.azurewebsites.net/icat/?ontology=ICD&amp;tab=ClassesTab&amp;id=http%3A%2F%2Fwho.int%2Ficd%232249_287df7d3_8979_4bc5_b232_cc0fd1045cd6","iCat")</x:f>
      </x:c>
      <x:c r="M9875" s="0" t="s">
        <x:v>21</x:v>
      </x:c>
      <x:c r="N9875" s="0" t="s">
        <x:v>46</x:v>
      </x:c>
    </x:row>
    <x:row r="9876" spans="1:16">
      <x:c r="A9876" s="0" t="s">
        <x:v>39367</x:v>
      </x:c>
      <x:c r="B9876" s="0" t="s">
        <x:v>39368</x:v>
      </x:c>
      <x:c r="C9876" s="0" t="s">
        <x:v>39369</x:v>
      </x:c>
      <x:c r="E9876" s="0" t="s">
        <x:v>39370</x:v>
      </x:c>
      <x:c r="F9876" s="0" t="s">
        <x:v>45</x:v>
      </x:c>
      <x:c r="G9876" s="0" t="s">
        <x:v>19</x:v>
      </x:c>
      <x:c r="H9876" s="0" t="s">
        <x:v>20</x:v>
      </x:c>
      <x:c r="I9876" s="0" t="s">
        <x:v>21</x:v>
      </x:c>
      <x:c r="K9876" s="0">
        <x:f>hyperlink("https://icd.who.int/dev11/l-ichi/en#/http%3A%2F%2Fid.who.int%2Ficd%2Fentity%2F1392772273","browser")</x:f>
      </x:c>
      <x:c r="L9876" s="0">
        <x:f>hyperlink("https://icat2.azurewebsites.net/icat/?ontology=ICD&amp;tab=ClassesTab&amp;id=http%3A%2F%2Fwho.int%2Ficd%232255_287df7d3_8979_4bc5_b232_cc0fd1045cd6","iCat")</x:f>
      </x:c>
      <x:c r="M9876" s="0" t="s">
        <x:v>21</x:v>
      </x:c>
      <x:c r="N9876" s="0" t="s">
        <x:v>46</x:v>
      </x:c>
    </x:row>
    <x:row r="9877" spans="1:16">
      <x:c r="A9877" s="0" t="s">
        <x:v>39371</x:v>
      </x:c>
      <x:c r="B9877" s="0" t="s">
        <x:v>39372</x:v>
      </x:c>
      <x:c r="C9877" s="0" t="s">
        <x:v>39373</x:v>
      </x:c>
      <x:c r="E9877" s="0" t="s">
        <x:v>39374</x:v>
      </x:c>
      <x:c r="F9877" s="0" t="s">
        <x:v>45</x:v>
      </x:c>
      <x:c r="G9877" s="0" t="s">
        <x:v>19</x:v>
      </x:c>
      <x:c r="H9877" s="0" t="s">
        <x:v>20</x:v>
      </x:c>
      <x:c r="I9877" s="0" t="s">
        <x:v>21</x:v>
      </x:c>
      <x:c r="K9877" s="0">
        <x:f>hyperlink("https://icd.who.int/dev11/l-ichi/en#/http%3A%2F%2Fid.who.int%2Ficd%2Fentity%2F649232578","browser")</x:f>
      </x:c>
      <x:c r="L9877" s="0">
        <x:f>hyperlink("https://icat2.azurewebsites.net/icat/?ontology=ICD&amp;tab=ClassesTab&amp;id=http%3A%2F%2Fwho.int%2Ficd%232261_287df7d3_8979_4bc5_b232_cc0fd1045cd6","iCat")</x:f>
      </x:c>
      <x:c r="M9877" s="0" t="s">
        <x:v>21</x:v>
      </x:c>
      <x:c r="N9877" s="0" t="s">
        <x:v>46</x:v>
      </x:c>
    </x:row>
    <x:row r="9878" spans="1:16">
      <x:c r="A9878" s="0" t="s">
        <x:v>39375</x:v>
      </x:c>
      <x:c r="B9878" s="0" t="s">
        <x:v>39376</x:v>
      </x:c>
      <x:c r="C9878" s="0" t="s">
        <x:v>39377</x:v>
      </x:c>
      <x:c r="E9878" s="0" t="s">
        <x:v>39378</x:v>
      </x:c>
      <x:c r="F9878" s="0" t="s">
        <x:v>45</x:v>
      </x:c>
      <x:c r="G9878" s="0" t="s">
        <x:v>19</x:v>
      </x:c>
      <x:c r="H9878" s="0" t="s">
        <x:v>20</x:v>
      </x:c>
      <x:c r="I9878" s="0" t="s">
        <x:v>21</x:v>
      </x:c>
      <x:c r="K9878" s="0">
        <x:f>hyperlink("https://icd.who.int/dev11/l-ichi/en#/http%3A%2F%2Fid.who.int%2Ficd%2Fentity%2F1992907123","browser")</x:f>
      </x:c>
      <x:c r="L9878" s="0">
        <x:f>hyperlink("https://icat2.azurewebsites.net/icat/?ontology=ICD&amp;tab=ClassesTab&amp;id=http%3A%2F%2Fwho.int%2Ficd%232267_287df7d3_8979_4bc5_b232_cc0fd1045cd6","iCat")</x:f>
      </x:c>
      <x:c r="M9878" s="0" t="s">
        <x:v>21</x:v>
      </x:c>
      <x:c r="N9878" s="0" t="s">
        <x:v>46</x:v>
      </x:c>
    </x:row>
    <x:row r="9879" spans="1:16">
      <x:c r="A9879" s="0" t="s">
        <x:v>39379</x:v>
      </x:c>
      <x:c r="B9879" s="0" t="s">
        <x:v>39380</x:v>
      </x:c>
      <x:c r="C9879" s="0" t="s">
        <x:v>39381</x:v>
      </x:c>
      <x:c r="E9879" s="0" t="s">
        <x:v>39382</x:v>
      </x:c>
      <x:c r="F9879" s="0" t="s">
        <x:v>45</x:v>
      </x:c>
      <x:c r="G9879" s="0" t="s">
        <x:v>19</x:v>
      </x:c>
      <x:c r="H9879" s="0" t="s">
        <x:v>20</x:v>
      </x:c>
      <x:c r="I9879" s="0" t="s">
        <x:v>21</x:v>
      </x:c>
      <x:c r="K9879" s="0">
        <x:f>hyperlink("https://icd.who.int/dev11/l-ichi/en#/http%3A%2F%2Fid.who.int%2Ficd%2Fentity%2F688588880","browser")</x:f>
      </x:c>
      <x:c r="L9879" s="0">
        <x:f>hyperlink("https://icat2.azurewebsites.net/icat/?ontology=ICD&amp;tab=ClassesTab&amp;id=http%3A%2F%2Fwho.int%2Ficd%232273_287df7d3_8979_4bc5_b232_cc0fd1045cd6","iCat")</x:f>
      </x:c>
      <x:c r="M9879" s="0" t="s">
        <x:v>21</x:v>
      </x:c>
      <x:c r="N9879" s="0" t="s">
        <x:v>46</x:v>
      </x:c>
    </x:row>
    <x:row r="9880" spans="1:16">
      <x:c r="A9880" s="0" t="s">
        <x:v>39383</x:v>
      </x:c>
      <x:c r="B9880" s="0" t="s">
        <x:v>39384</x:v>
      </x:c>
      <x:c r="C9880" s="0" t="s">
        <x:v>39385</x:v>
      </x:c>
      <x:c r="E9880" s="0" t="s">
        <x:v>39386</x:v>
      </x:c>
      <x:c r="F9880" s="0" t="s">
        <x:v>45</x:v>
      </x:c>
      <x:c r="G9880" s="0" t="s">
        <x:v>19</x:v>
      </x:c>
      <x:c r="H9880" s="0" t="s">
        <x:v>20</x:v>
      </x:c>
      <x:c r="I9880" s="0" t="s">
        <x:v>21</x:v>
      </x:c>
      <x:c r="K9880" s="0">
        <x:f>hyperlink("https://icd.who.int/dev11/l-ichi/en#/http%3A%2F%2Fid.who.int%2Ficd%2Fentity%2F49702080","browser")</x:f>
      </x:c>
      <x:c r="L9880" s="0">
        <x:f>hyperlink("https://icat2.azurewebsites.net/icat/?ontology=ICD&amp;tab=ClassesTab&amp;id=http%3A%2F%2Fwho.int%2Ficd%232279_287df7d3_8979_4bc5_b232_cc0fd1045cd6","iCat")</x:f>
      </x:c>
      <x:c r="M9880" s="0" t="s">
        <x:v>21</x:v>
      </x:c>
      <x:c r="N9880" s="0" t="s">
        <x:v>46</x:v>
      </x:c>
    </x:row>
    <x:row r="9881" spans="1:16">
      <x:c r="A9881" s="0" t="s">
        <x:v>39387</x:v>
      </x:c>
      <x:c r="B9881" s="0" t="s">
        <x:v>39388</x:v>
      </x:c>
      <x:c r="C9881" s="0" t="s">
        <x:v>39389</x:v>
      </x:c>
      <x:c r="E9881" s="0" t="s">
        <x:v>39390</x:v>
      </x:c>
      <x:c r="F9881" s="0" t="s">
        <x:v>45</x:v>
      </x:c>
      <x:c r="G9881" s="0" t="s">
        <x:v>19</x:v>
      </x:c>
      <x:c r="H9881" s="0" t="s">
        <x:v>20</x:v>
      </x:c>
      <x:c r="I9881" s="0" t="s">
        <x:v>21</x:v>
      </x:c>
      <x:c r="K9881" s="0">
        <x:f>hyperlink("https://icd.who.int/dev11/l-ichi/en#/http%3A%2F%2Fid.who.int%2Ficd%2Fentity%2F662879846","browser")</x:f>
      </x:c>
      <x:c r="L9881" s="0">
        <x:f>hyperlink("https://icat2.azurewebsites.net/icat/?ontology=ICD&amp;tab=ClassesTab&amp;id=http%3A%2F%2Fwho.int%2Ficd%2322_287df7d3_8979_4bc5_b232_cc0fd1045cd6","iCat")</x:f>
      </x:c>
      <x:c r="M9881" s="0" t="s">
        <x:v>21</x:v>
      </x:c>
      <x:c r="N9881" s="0" t="s">
        <x:v>46</x:v>
      </x:c>
    </x:row>
    <x:row r="9882" spans="1:16">
      <x:c r="A9882" s="0" t="s">
        <x:v>39391</x:v>
      </x:c>
      <x:c r="B9882" s="0" t="s">
        <x:v>39392</x:v>
      </x:c>
      <x:c r="C9882" s="0" t="s">
        <x:v>39393</x:v>
      </x:c>
      <x:c r="E9882" s="0" t="s">
        <x:v>39394</x:v>
      </x:c>
      <x:c r="F9882" s="0" t="s">
        <x:v>45</x:v>
      </x:c>
      <x:c r="G9882" s="0" t="s">
        <x:v>19</x:v>
      </x:c>
      <x:c r="H9882" s="0" t="s">
        <x:v>20</x:v>
      </x:c>
      <x:c r="I9882" s="0" t="s">
        <x:v>21</x:v>
      </x:c>
      <x:c r="K9882" s="0">
        <x:f>hyperlink("https://icd.who.int/dev11/l-ichi/en#/http%3A%2F%2Fid.who.int%2Ficd%2Fentity%2F209703670","browser")</x:f>
      </x:c>
      <x:c r="L9882" s="0">
        <x:f>hyperlink("https://icat2.azurewebsites.net/icat/?ontology=ICD&amp;tab=ClassesTab&amp;id=http%3A%2F%2Fwho.int%2Ficd%2328_287df7d3_8979_4bc5_b232_cc0fd1045cd6","iCat")</x:f>
      </x:c>
      <x:c r="M9882" s="0" t="s">
        <x:v>21</x:v>
      </x:c>
      <x:c r="N9882" s="0" t="s">
        <x:v>46</x:v>
      </x:c>
    </x:row>
    <x:row r="9883" spans="1:16">
      <x:c r="A9883" s="0" t="s">
        <x:v>39395</x:v>
      </x:c>
      <x:c r="B9883" s="0" t="s">
        <x:v>39396</x:v>
      </x:c>
      <x:c r="C9883" s="0" t="s">
        <x:v>39397</x:v>
      </x:c>
      <x:c r="E9883" s="0" t="s">
        <x:v>39398</x:v>
      </x:c>
      <x:c r="F9883" s="0" t="s">
        <x:v>45</x:v>
      </x:c>
      <x:c r="G9883" s="0" t="s">
        <x:v>19</x:v>
      </x:c>
      <x:c r="H9883" s="0" t="s">
        <x:v>20</x:v>
      </x:c>
      <x:c r="I9883" s="0" t="s">
        <x:v>21</x:v>
      </x:c>
      <x:c r="K9883" s="0">
        <x:f>hyperlink("https://icd.who.int/dev11/l-ichi/en#/http%3A%2F%2Fid.who.int%2Ficd%2Fentity%2F490533506","browser")</x:f>
      </x:c>
      <x:c r="L9883" s="0">
        <x:f>hyperlink("https://icat2.azurewebsites.net/icat/?ontology=ICD&amp;tab=ClassesTab&amp;id=http%3A%2F%2Fwho.int%2Ficd%2334_287df7d3_8979_4bc5_b232_cc0fd1045cd6","iCat")</x:f>
      </x:c>
      <x:c r="M9883" s="0" t="s">
        <x:v>21</x:v>
      </x:c>
      <x:c r="N9883" s="0" t="s">
        <x:v>46</x:v>
      </x:c>
    </x:row>
    <x:row r="9884" spans="1:16">
      <x:c r="A9884" s="0" t="s">
        <x:v>39399</x:v>
      </x:c>
      <x:c r="B9884" s="0" t="s">
        <x:v>39400</x:v>
      </x:c>
      <x:c r="C9884" s="0" t="s">
        <x:v>39401</x:v>
      </x:c>
      <x:c r="E9884" s="0" t="s">
        <x:v>39402</x:v>
      </x:c>
      <x:c r="F9884" s="0" t="s">
        <x:v>45</x:v>
      </x:c>
      <x:c r="G9884" s="0" t="s">
        <x:v>19</x:v>
      </x:c>
      <x:c r="H9884" s="0" t="s">
        <x:v>20</x:v>
      </x:c>
      <x:c r="I9884" s="0" t="s">
        <x:v>21</x:v>
      </x:c>
      <x:c r="K9884" s="0">
        <x:f>hyperlink("https://icd.who.int/dev11/l-ichi/en#/http%3A%2F%2Fid.who.int%2Ficd%2Fentity%2F418194928","browser")</x:f>
      </x:c>
      <x:c r="L9884" s="0">
        <x:f>hyperlink("https://icat2.azurewebsites.net/icat/?ontology=ICD&amp;tab=ClassesTab&amp;id=http%3A%2F%2Fwho.int%2Ficd%2340_287df7d3_8979_4bc5_b232_cc0fd1045cd6","iCat")</x:f>
      </x:c>
      <x:c r="M9884" s="0" t="s">
        <x:v>21</x:v>
      </x:c>
      <x:c r="N9884" s="0" t="s">
        <x:v>46</x:v>
      </x:c>
    </x:row>
    <x:row r="9885" spans="1:16">
      <x:c r="A9885" s="0" t="s">
        <x:v>39403</x:v>
      </x:c>
      <x:c r="B9885" s="0" t="s">
        <x:v>39404</x:v>
      </x:c>
      <x:c r="C9885" s="0" t="s">
        <x:v>39405</x:v>
      </x:c>
      <x:c r="E9885" s="0" t="s">
        <x:v>39406</x:v>
      </x:c>
      <x:c r="F9885" s="0" t="s">
        <x:v>45</x:v>
      </x:c>
      <x:c r="G9885" s="0" t="s">
        <x:v>19</x:v>
      </x:c>
      <x:c r="H9885" s="0" t="s">
        <x:v>20</x:v>
      </x:c>
      <x:c r="I9885" s="0" t="s">
        <x:v>21</x:v>
      </x:c>
      <x:c r="K9885" s="0">
        <x:f>hyperlink("https://icd.who.int/dev11/l-ichi/en#/http%3A%2F%2Fid.who.int%2Ficd%2Fentity%2F1217854559","browser")</x:f>
      </x:c>
      <x:c r="L9885" s="0">
        <x:f>hyperlink("https://icat2.azurewebsites.net/icat/?ontology=ICD&amp;tab=ClassesTab&amp;id=http%3A%2F%2Fwho.int%2Ficd%2346_287df7d3_8979_4bc5_b232_cc0fd1045cd6","iCat")</x:f>
      </x:c>
      <x:c r="M9885" s="0" t="s">
        <x:v>21</x:v>
      </x:c>
      <x:c r="N9885" s="0" t="s">
        <x:v>46</x:v>
      </x:c>
    </x:row>
    <x:row r="9886" spans="1:16">
      <x:c r="A9886" s="0" t="s">
        <x:v>39407</x:v>
      </x:c>
      <x:c r="B9886" s="0" t="s">
        <x:v>39408</x:v>
      </x:c>
      <x:c r="C9886" s="0" t="s">
        <x:v>39409</x:v>
      </x:c>
      <x:c r="E9886" s="0" t="s">
        <x:v>39410</x:v>
      </x:c>
      <x:c r="F9886" s="0" t="s">
        <x:v>45</x:v>
      </x:c>
      <x:c r="G9886" s="0" t="s">
        <x:v>19</x:v>
      </x:c>
      <x:c r="H9886" s="0" t="s">
        <x:v>20</x:v>
      </x:c>
      <x:c r="I9886" s="0" t="s">
        <x:v>21</x:v>
      </x:c>
      <x:c r="K9886" s="0">
        <x:f>hyperlink("https://icd.who.int/dev11/l-ichi/en#/http%3A%2F%2Fid.who.int%2Ficd%2Fentity%2F391425406","browser")</x:f>
      </x:c>
      <x:c r="L9886" s="0">
        <x:f>hyperlink("https://icat2.azurewebsites.net/icat/?ontology=ICD&amp;tab=ClassesTab&amp;id=http%3A%2F%2Fwho.int%2Ficd%2352_287df7d3_8979_4bc5_b232_cc0fd1045cd6","iCat")</x:f>
      </x:c>
      <x:c r="M9886" s="0" t="s">
        <x:v>21</x:v>
      </x:c>
      <x:c r="N9886" s="0" t="s">
        <x:v>46</x:v>
      </x:c>
    </x:row>
    <x:row r="9887" spans="1:16">
      <x:c r="A9887" s="0" t="s">
        <x:v>39411</x:v>
      </x:c>
      <x:c r="B9887" s="0" t="s">
        <x:v>39412</x:v>
      </x:c>
      <x:c r="C9887" s="0" t="s">
        <x:v>39413</x:v>
      </x:c>
      <x:c r="E9887" s="0" t="s">
        <x:v>39414</x:v>
      </x:c>
      <x:c r="F9887" s="0" t="s">
        <x:v>45</x:v>
      </x:c>
      <x:c r="G9887" s="0" t="s">
        <x:v>19</x:v>
      </x:c>
      <x:c r="H9887" s="0" t="s">
        <x:v>20</x:v>
      </x:c>
      <x:c r="I9887" s="0" t="s">
        <x:v>21</x:v>
      </x:c>
      <x:c r="K9887" s="0">
        <x:f>hyperlink("https://icd.who.int/dev11/l-ichi/en#/http%3A%2F%2Fid.who.int%2Ficd%2Fentity%2F1017758190","browser")</x:f>
      </x:c>
      <x:c r="L9887" s="0">
        <x:f>hyperlink("https://icat2.azurewebsites.net/icat/?ontology=ICD&amp;tab=ClassesTab&amp;id=http%3A%2F%2Fwho.int%2Ficd%2358_287df7d3_8979_4bc5_b232_cc0fd1045cd6","iCat")</x:f>
      </x:c>
      <x:c r="M9887" s="0" t="s">
        <x:v>21</x:v>
      </x:c>
      <x:c r="N9887" s="0" t="s">
        <x:v>46</x:v>
      </x:c>
    </x:row>
    <x:row r="9888" spans="1:16">
      <x:c r="A9888" s="0" t="s">
        <x:v>39415</x:v>
      </x:c>
      <x:c r="B9888" s="0" t="s">
        <x:v>39416</x:v>
      </x:c>
      <x:c r="C9888" s="0" t="s">
        <x:v>39417</x:v>
      </x:c>
      <x:c r="E9888" s="0" t="s">
        <x:v>39418</x:v>
      </x:c>
      <x:c r="F9888" s="0" t="s">
        <x:v>45</x:v>
      </x:c>
      <x:c r="G9888" s="0" t="s">
        <x:v>19</x:v>
      </x:c>
      <x:c r="H9888" s="0" t="s">
        <x:v>20</x:v>
      </x:c>
      <x:c r="I9888" s="0" t="s">
        <x:v>21</x:v>
      </x:c>
      <x:c r="K9888" s="0">
        <x:f>hyperlink("https://icd.who.int/dev11/l-ichi/en#/http%3A%2F%2Fid.who.int%2Ficd%2Fentity%2F127808716","browser")</x:f>
      </x:c>
      <x:c r="L9888" s="0">
        <x:f>hyperlink("https://icat2.azurewebsites.net/icat/?ontology=ICD&amp;tab=ClassesTab&amp;id=http%3A%2F%2Fwho.int%2Ficd%2364_287df7d3_8979_4bc5_b232_cc0fd1045cd6","iCat")</x:f>
      </x:c>
      <x:c r="M9888" s="0" t="s">
        <x:v>21</x:v>
      </x:c>
      <x:c r="N9888" s="0" t="s">
        <x:v>46</x:v>
      </x:c>
    </x:row>
    <x:row r="9889" spans="1:16">
      <x:c r="A9889" s="0" t="s">
        <x:v>39419</x:v>
      </x:c>
      <x:c r="B9889" s="0" t="s">
        <x:v>39420</x:v>
      </x:c>
      <x:c r="C9889" s="0" t="s">
        <x:v>39421</x:v>
      </x:c>
      <x:c r="E9889" s="0" t="s">
        <x:v>39422</x:v>
      </x:c>
      <x:c r="F9889" s="0" t="s">
        <x:v>45</x:v>
      </x:c>
      <x:c r="G9889" s="0" t="s">
        <x:v>19</x:v>
      </x:c>
      <x:c r="H9889" s="0" t="s">
        <x:v>20</x:v>
      </x:c>
      <x:c r="I9889" s="0" t="s">
        <x:v>21</x:v>
      </x:c>
      <x:c r="K9889" s="0">
        <x:f>hyperlink("https://icd.who.int/dev11/l-ichi/en#/http%3A%2F%2Fid.who.int%2Ficd%2Fentity%2F1482450409","browser")</x:f>
      </x:c>
      <x:c r="L9889" s="0">
        <x:f>hyperlink("https://icat2.azurewebsites.net/icat/?ontology=ICD&amp;tab=ClassesTab&amp;id=http%3A%2F%2Fwho.int%2Ficd%2370_287df7d3_8979_4bc5_b232_cc0fd1045cd6","iCat")</x:f>
      </x:c>
      <x:c r="M9889" s="0" t="s">
        <x:v>21</x:v>
      </x:c>
      <x:c r="N9889" s="0" t="s">
        <x:v>46</x:v>
      </x:c>
    </x:row>
    <x:row r="9890" spans="1:16">
      <x:c r="A9890" s="0" t="s">
        <x:v>39423</x:v>
      </x:c>
      <x:c r="B9890" s="0" t="s">
        <x:v>39424</x:v>
      </x:c>
      <x:c r="C9890" s="0" t="s">
        <x:v>39425</x:v>
      </x:c>
      <x:c r="E9890" s="0" t="s">
        <x:v>39426</x:v>
      </x:c>
      <x:c r="F9890" s="0" t="s">
        <x:v>45</x:v>
      </x:c>
      <x:c r="G9890" s="0" t="s">
        <x:v>19</x:v>
      </x:c>
      <x:c r="H9890" s="0" t="s">
        <x:v>20</x:v>
      </x:c>
      <x:c r="I9890" s="0" t="s">
        <x:v>21</x:v>
      </x:c>
      <x:c r="K9890" s="0">
        <x:f>hyperlink("https://icd.who.int/dev11/l-ichi/en#/http%3A%2F%2Fid.who.int%2Ficd%2Fentity%2F136821850","browser")</x:f>
      </x:c>
      <x:c r="L9890" s="0">
        <x:f>hyperlink("https://icat2.azurewebsites.net/icat/?ontology=ICD&amp;tab=ClassesTab&amp;id=http%3A%2F%2Fwho.int%2Ficd%2376_287df7d3_8979_4bc5_b232_cc0fd1045cd6","iCat")</x:f>
      </x:c>
      <x:c r="M9890" s="0" t="s">
        <x:v>21</x:v>
      </x:c>
      <x:c r="N9890" s="0" t="s">
        <x:v>46</x:v>
      </x:c>
    </x:row>
    <x:row r="9891" spans="1:16">
      <x:c r="A9891" s="0" t="s">
        <x:v>39427</x:v>
      </x:c>
      <x:c r="B9891" s="0" t="s">
        <x:v>39428</x:v>
      </x:c>
      <x:c r="C9891" s="0" t="s">
        <x:v>39429</x:v>
      </x:c>
      <x:c r="E9891" s="0" t="s">
        <x:v>39430</x:v>
      </x:c>
      <x:c r="F9891" s="0" t="s">
        <x:v>45</x:v>
      </x:c>
      <x:c r="G9891" s="0" t="s">
        <x:v>19</x:v>
      </x:c>
      <x:c r="H9891" s="0" t="s">
        <x:v>20</x:v>
      </x:c>
      <x:c r="I9891" s="0" t="s">
        <x:v>21</x:v>
      </x:c>
      <x:c r="K9891" s="0">
        <x:f>hyperlink("https://icd.who.int/dev11/l-ichi/en#/http%3A%2F%2Fid.who.int%2Ficd%2Fentity%2F315044594","browser")</x:f>
      </x:c>
      <x:c r="L9891" s="0">
        <x:f>hyperlink("https://icat2.azurewebsites.net/icat/?ontology=ICD&amp;tab=ClassesTab&amp;id=http%3A%2F%2Fwho.int%2Ficd%2382_287df7d3_8979_4bc5_b232_cc0fd1045cd6","iCat")</x:f>
      </x:c>
      <x:c r="M9891" s="0" t="s">
        <x:v>21</x:v>
      </x:c>
      <x:c r="N9891" s="0" t="s">
        <x:v>46</x:v>
      </x:c>
    </x:row>
    <x:row r="9892" spans="1:16">
      <x:c r="A9892" s="0" t="s">
        <x:v>39431</x:v>
      </x:c>
      <x:c r="B9892" s="0" t="s">
        <x:v>39432</x:v>
      </x:c>
      <x:c r="C9892" s="0" t="s">
        <x:v>39433</x:v>
      </x:c>
      <x:c r="E9892" s="0" t="s">
        <x:v>39434</x:v>
      </x:c>
      <x:c r="F9892" s="0" t="s">
        <x:v>45</x:v>
      </x:c>
      <x:c r="G9892" s="0" t="s">
        <x:v>19</x:v>
      </x:c>
      <x:c r="H9892" s="0" t="s">
        <x:v>20</x:v>
      </x:c>
      <x:c r="I9892" s="0" t="s">
        <x:v>21</x:v>
      </x:c>
      <x:c r="K9892" s="0">
        <x:f>hyperlink("https://icd.who.int/dev11/l-ichi/en#/http%3A%2F%2Fid.who.int%2Ficd%2Fentity%2F960126562","browser")</x:f>
      </x:c>
      <x:c r="L9892" s="0">
        <x:f>hyperlink("https://icat2.azurewebsites.net/icat/?ontology=ICD&amp;tab=ClassesTab&amp;id=http%3A%2F%2Fwho.int%2Ficd%2388_287df7d3_8979_4bc5_b232_cc0fd1045cd6","iCat")</x:f>
      </x:c>
      <x:c r="M9892" s="0" t="s">
        <x:v>21</x:v>
      </x:c>
      <x:c r="N9892" s="0" t="s">
        <x:v>46</x:v>
      </x:c>
    </x:row>
    <x:row r="9893" spans="1:16">
      <x:c r="A9893" s="0" t="s">
        <x:v>39435</x:v>
      </x:c>
      <x:c r="B9893" s="0" t="s">
        <x:v>39436</x:v>
      </x:c>
      <x:c r="C9893" s="0" t="s">
        <x:v>39437</x:v>
      </x:c>
      <x:c r="E9893" s="0" t="s">
        <x:v>39438</x:v>
      </x:c>
      <x:c r="F9893" s="0" t="s">
        <x:v>45</x:v>
      </x:c>
      <x:c r="G9893" s="0" t="s">
        <x:v>19</x:v>
      </x:c>
      <x:c r="H9893" s="0" t="s">
        <x:v>20</x:v>
      </x:c>
      <x:c r="I9893" s="0" t="s">
        <x:v>21</x:v>
      </x:c>
      <x:c r="K9893" s="0">
        <x:f>hyperlink("https://icd.who.int/dev11/l-ichi/en#/http%3A%2F%2Fid.who.int%2Ficd%2Fentity%2F679050774","browser")</x:f>
      </x:c>
      <x:c r="L9893" s="0">
        <x:f>hyperlink("https://icat2.azurewebsites.net/icat/?ontology=ICD&amp;tab=ClassesTab&amp;id=http%3A%2F%2Fwho.int%2Ficd%2394_287df7d3_8979_4bc5_b232_cc0fd1045cd6","iCat")</x:f>
      </x:c>
      <x:c r="M9893" s="0" t="s">
        <x:v>21</x:v>
      </x:c>
      <x:c r="N9893" s="0" t="s">
        <x:v>46</x:v>
      </x:c>
    </x:row>
    <x:row r="9894" spans="1:16">
      <x:c r="A9894" s="0" t="s">
        <x:v>39439</x:v>
      </x:c>
      <x:c r="B9894" s="0" t="s">
        <x:v>39440</x:v>
      </x:c>
      <x:c r="C9894" s="0" t="s">
        <x:v>39441</x:v>
      </x:c>
      <x:c r="E9894" s="0" t="s">
        <x:v>39442</x:v>
      </x:c>
      <x:c r="F9894" s="0" t="s">
        <x:v>45</x:v>
      </x:c>
      <x:c r="G9894" s="0" t="s">
        <x:v>19</x:v>
      </x:c>
      <x:c r="H9894" s="0" t="s">
        <x:v>20</x:v>
      </x:c>
      <x:c r="I9894" s="0" t="s">
        <x:v>21</x:v>
      </x:c>
      <x:c r="K9894" s="0">
        <x:f>hyperlink("https://icd.who.int/dev11/l-ichi/en#/http%3A%2F%2Fid.who.int%2Ficd%2Fentity%2F1650573095","browser")</x:f>
      </x:c>
      <x:c r="L9894" s="0">
        <x:f>hyperlink("https://icat2.azurewebsites.net/icat/?ontology=ICD&amp;tab=ClassesTab&amp;id=http%3A%2F%2Fwho.int%2Ficd%23100_287df7d3_8979_4bc5_b232_cc0fd1045cd6","iCat")</x:f>
      </x:c>
      <x:c r="M9894" s="0" t="s">
        <x:v>21</x:v>
      </x:c>
      <x:c r="N9894" s="0" t="s">
        <x:v>46</x:v>
      </x:c>
    </x:row>
    <x:row r="9895" spans="1:16">
      <x:c r="A9895" s="0" t="s">
        <x:v>39443</x:v>
      </x:c>
      <x:c r="B9895" s="0" t="s">
        <x:v>39444</x:v>
      </x:c>
      <x:c r="C9895" s="0" t="s">
        <x:v>39445</x:v>
      </x:c>
      <x:c r="E9895" s="0" t="s">
        <x:v>39446</x:v>
      </x:c>
      <x:c r="F9895" s="0" t="s">
        <x:v>45</x:v>
      </x:c>
      <x:c r="G9895" s="0" t="s">
        <x:v>19</x:v>
      </x:c>
      <x:c r="H9895" s="0" t="s">
        <x:v>20</x:v>
      </x:c>
      <x:c r="I9895" s="0" t="s">
        <x:v>21</x:v>
      </x:c>
      <x:c r="K9895" s="0">
        <x:f>hyperlink("https://icd.who.int/dev11/l-ichi/en#/http%3A%2F%2Fid.who.int%2Ficd%2Fentity%2F840591000","browser")</x:f>
      </x:c>
      <x:c r="L9895" s="0">
        <x:f>hyperlink("https://icat2.azurewebsites.net/icat/?ontology=ICD&amp;tab=ClassesTab&amp;id=http%3A%2F%2Fwho.int%2Ficd%23106_287df7d3_8979_4bc5_b232_cc0fd1045cd6","iCat")</x:f>
      </x:c>
      <x:c r="M9895" s="0" t="s">
        <x:v>21</x:v>
      </x:c>
      <x:c r="N9895" s="0" t="s">
        <x:v>46</x:v>
      </x:c>
    </x:row>
    <x:row r="9896" spans="1:16">
      <x:c r="A9896" s="0" t="s">
        <x:v>39447</x:v>
      </x:c>
      <x:c r="B9896" s="0" t="s">
        <x:v>39448</x:v>
      </x:c>
      <x:c r="C9896" s="0" t="s">
        <x:v>39449</x:v>
      </x:c>
      <x:c r="E9896" s="0" t="s">
        <x:v>39450</x:v>
      </x:c>
      <x:c r="F9896" s="0" t="s">
        <x:v>45</x:v>
      </x:c>
      <x:c r="G9896" s="0" t="s">
        <x:v>19</x:v>
      </x:c>
      <x:c r="H9896" s="0" t="s">
        <x:v>20</x:v>
      </x:c>
      <x:c r="I9896" s="0" t="s">
        <x:v>21</x:v>
      </x:c>
      <x:c r="K9896" s="0">
        <x:f>hyperlink("https://icd.who.int/dev11/l-ichi/en#/http%3A%2F%2Fid.who.int%2Ficd%2Fentity%2F1842886581","browser")</x:f>
      </x:c>
      <x:c r="L9896" s="0">
        <x:f>hyperlink("https://icat2.azurewebsites.net/icat/?ontology=ICD&amp;tab=ClassesTab&amp;id=http%3A%2F%2Fwho.int%2Ficd%23112_287df7d3_8979_4bc5_b232_cc0fd1045cd6","iCat")</x:f>
      </x:c>
      <x:c r="M9896" s="0" t="s">
        <x:v>21</x:v>
      </x:c>
      <x:c r="N9896" s="0" t="s">
        <x:v>46</x:v>
      </x:c>
    </x:row>
    <x:row r="9897" spans="1:16">
      <x:c r="A9897" s="0" t="s">
        <x:v>39451</x:v>
      </x:c>
      <x:c r="B9897" s="0" t="s">
        <x:v>39452</x:v>
      </x:c>
      <x:c r="C9897" s="0" t="s">
        <x:v>39453</x:v>
      </x:c>
      <x:c r="E9897" s="0" t="s">
        <x:v>39454</x:v>
      </x:c>
      <x:c r="F9897" s="0" t="s">
        <x:v>45</x:v>
      </x:c>
      <x:c r="G9897" s="0" t="s">
        <x:v>19</x:v>
      </x:c>
      <x:c r="H9897" s="0" t="s">
        <x:v>20</x:v>
      </x:c>
      <x:c r="I9897" s="0" t="s">
        <x:v>21</x:v>
      </x:c>
      <x:c r="K9897" s="0">
        <x:f>hyperlink("https://icd.who.int/dev11/l-ichi/en#/http%3A%2F%2Fid.who.int%2Ficd%2Fentity%2F1072792115","browser")</x:f>
      </x:c>
      <x:c r="L9897" s="0">
        <x:f>hyperlink("https://icat2.azurewebsites.net/icat/?ontology=ICD&amp;tab=ClassesTab&amp;id=http%3A%2F%2Fwho.int%2Ficd%23541_287df7d3_8979_4bc5_b232_cc0fd1045cd6","iCat")</x:f>
      </x:c>
      <x:c r="M9897" s="0" t="s">
        <x:v>21</x:v>
      </x:c>
      <x:c r="N9897" s="0" t="s">
        <x:v>46</x:v>
      </x:c>
    </x:row>
    <x:row r="9898" spans="1:16">
      <x:c r="A9898" s="0" t="s">
        <x:v>39455</x:v>
      </x:c>
      <x:c r="B9898" s="0" t="s">
        <x:v>39456</x:v>
      </x:c>
      <x:c r="C9898" s="0" t="s">
        <x:v>39457</x:v>
      </x:c>
      <x:c r="E9898" s="0" t="s">
        <x:v>39458</x:v>
      </x:c>
      <x:c r="F9898" s="0" t="s">
        <x:v>45</x:v>
      </x:c>
      <x:c r="G9898" s="0" t="s">
        <x:v>19</x:v>
      </x:c>
      <x:c r="H9898" s="0" t="s">
        <x:v>20</x:v>
      </x:c>
      <x:c r="I9898" s="0" t="s">
        <x:v>21</x:v>
      </x:c>
      <x:c r="K9898" s="0">
        <x:f>hyperlink("https://icd.who.int/dev11/l-ichi/en#/http%3A%2F%2Fid.who.int%2Ficd%2Fentity%2F1871338370","browser")</x:f>
      </x:c>
      <x:c r="L9898" s="0">
        <x:f>hyperlink("https://icat2.azurewebsites.net/icat/?ontology=ICD&amp;tab=ClassesTab&amp;id=http%3A%2F%2Fwho.int%2Ficd%23547_287df7d3_8979_4bc5_b232_cc0fd1045cd6","iCat")</x:f>
      </x:c>
      <x:c r="M9898" s="0" t="s">
        <x:v>21</x:v>
      </x:c>
      <x:c r="N9898" s="0" t="s">
        <x:v>46</x:v>
      </x:c>
    </x:row>
    <x:row r="9899" spans="1:16">
      <x:c r="A9899" s="0" t="s">
        <x:v>39459</x:v>
      </x:c>
      <x:c r="B9899" s="0" t="s">
        <x:v>39460</x:v>
      </x:c>
      <x:c r="C9899" s="0" t="s">
        <x:v>39461</x:v>
      </x:c>
      <x:c r="E9899" s="0" t="s">
        <x:v>39462</x:v>
      </x:c>
      <x:c r="F9899" s="0" t="s">
        <x:v>45</x:v>
      </x:c>
      <x:c r="G9899" s="0" t="s">
        <x:v>19</x:v>
      </x:c>
      <x:c r="H9899" s="0" t="s">
        <x:v>20</x:v>
      </x:c>
      <x:c r="I9899" s="0" t="s">
        <x:v>21</x:v>
      </x:c>
      <x:c r="K9899" s="0">
        <x:f>hyperlink("https://icd.who.int/dev11/l-ichi/en#/http%3A%2F%2Fid.who.int%2Ficd%2Fentity%2F810027681","browser")</x:f>
      </x:c>
      <x:c r="L9899" s="0">
        <x:f>hyperlink("https://icat2.azurewebsites.net/icat/?ontology=ICD&amp;tab=ClassesTab&amp;id=http%3A%2F%2Fwho.int%2Ficd%23553_287df7d3_8979_4bc5_b232_cc0fd1045cd6","iCat")</x:f>
      </x:c>
      <x:c r="M9899" s="0" t="s">
        <x:v>21</x:v>
      </x:c>
      <x:c r="N9899" s="0" t="s">
        <x:v>46</x:v>
      </x:c>
    </x:row>
    <x:row r="9900" spans="1:16">
      <x:c r="A9900" s="0" t="s">
        <x:v>39463</x:v>
      </x:c>
      <x:c r="B9900" s="0" t="s">
        <x:v>39464</x:v>
      </x:c>
      <x:c r="C9900" s="0" t="s">
        <x:v>39465</x:v>
      </x:c>
      <x:c r="E9900" s="0" t="s">
        <x:v>39466</x:v>
      </x:c>
      <x:c r="F9900" s="0" t="s">
        <x:v>45</x:v>
      </x:c>
      <x:c r="G9900" s="0" t="s">
        <x:v>19</x:v>
      </x:c>
      <x:c r="H9900" s="0" t="s">
        <x:v>20</x:v>
      </x:c>
      <x:c r="I9900" s="0" t="s">
        <x:v>21</x:v>
      </x:c>
      <x:c r="K9900" s="0">
        <x:f>hyperlink("https://icd.who.int/dev11/l-ichi/en#/http%3A%2F%2Fid.who.int%2Ficd%2Fentity%2F464873009","browser")</x:f>
      </x:c>
      <x:c r="L9900" s="0">
        <x:f>hyperlink("https://icat2.azurewebsites.net/icat/?ontology=ICD&amp;tab=ClassesTab&amp;id=http%3A%2F%2Fwho.int%2Ficd%23559_287df7d3_8979_4bc5_b232_cc0fd1045cd6","iCat")</x:f>
      </x:c>
      <x:c r="M9900" s="0" t="s">
        <x:v>21</x:v>
      </x:c>
      <x:c r="N9900" s="0" t="s">
        <x:v>46</x:v>
      </x:c>
    </x:row>
    <x:row r="9901" spans="1:16">
      <x:c r="A9901" s="0" t="s">
        <x:v>39467</x:v>
      </x:c>
      <x:c r="B9901" s="0" t="s">
        <x:v>39468</x:v>
      </x:c>
      <x:c r="C9901" s="0" t="s">
        <x:v>39469</x:v>
      </x:c>
      <x:c r="E9901" s="0" t="s">
        <x:v>39470</x:v>
      </x:c>
      <x:c r="F9901" s="0" t="s">
        <x:v>45</x:v>
      </x:c>
      <x:c r="G9901" s="0" t="s">
        <x:v>19</x:v>
      </x:c>
      <x:c r="H9901" s="0" t="s">
        <x:v>20</x:v>
      </x:c>
      <x:c r="I9901" s="0" t="s">
        <x:v>21</x:v>
      </x:c>
      <x:c r="K9901" s="0">
        <x:f>hyperlink("https://icd.who.int/dev11/l-ichi/en#/http%3A%2F%2Fid.who.int%2Ficd%2Fentity%2F545428247","browser")</x:f>
      </x:c>
      <x:c r="L9901" s="0">
        <x:f>hyperlink("https://icat2.azurewebsites.net/icat/?ontology=ICD&amp;tab=ClassesTab&amp;id=http%3A%2F%2Fwho.int%2Ficd%23565_287df7d3_8979_4bc5_b232_cc0fd1045cd6","iCat")</x:f>
      </x:c>
      <x:c r="M9901" s="0" t="s">
        <x:v>21</x:v>
      </x:c>
      <x:c r="N9901" s="0" t="s">
        <x:v>46</x:v>
      </x:c>
    </x:row>
    <x:row r="9902" spans="1:16">
      <x:c r="A9902" s="0" t="s">
        <x:v>39471</x:v>
      </x:c>
      <x:c r="B9902" s="0" t="s">
        <x:v>39472</x:v>
      </x:c>
      <x:c r="C9902" s="0" t="s">
        <x:v>39473</x:v>
      </x:c>
      <x:c r="E9902" s="0" t="s">
        <x:v>39474</x:v>
      </x:c>
      <x:c r="F9902" s="0" t="s">
        <x:v>45</x:v>
      </x:c>
      <x:c r="G9902" s="0" t="s">
        <x:v>19</x:v>
      </x:c>
      <x:c r="H9902" s="0" t="s">
        <x:v>20</x:v>
      </x:c>
      <x:c r="I9902" s="0" t="s">
        <x:v>21</x:v>
      </x:c>
      <x:c r="K9902" s="0">
        <x:f>hyperlink("https://icd.who.int/dev11/l-ichi/en#/http%3A%2F%2Fid.who.int%2Ficd%2Fentity%2F2134950452","browser")</x:f>
      </x:c>
      <x:c r="L9902" s="0">
        <x:f>hyperlink("https://icat2.azurewebsites.net/icat/?ontology=ICD&amp;tab=ClassesTab&amp;id=http%3A%2F%2Fwho.int%2Ficd%23571_287df7d3_8979_4bc5_b232_cc0fd1045cd6","iCat")</x:f>
      </x:c>
      <x:c r="M9902" s="0" t="s">
        <x:v>21</x:v>
      </x:c>
      <x:c r="N9902" s="0" t="s">
        <x:v>46</x:v>
      </x:c>
    </x:row>
    <x:row r="9903" spans="1:16">
      <x:c r="A9903" s="0" t="s">
        <x:v>39475</x:v>
      </x:c>
      <x:c r="B9903" s="0" t="s">
        <x:v>39476</x:v>
      </x:c>
      <x:c r="C9903" s="0" t="s">
        <x:v>39477</x:v>
      </x:c>
      <x:c r="E9903" s="0" t="s">
        <x:v>39478</x:v>
      </x:c>
      <x:c r="F9903" s="0" t="s">
        <x:v>45</x:v>
      </x:c>
      <x:c r="G9903" s="0" t="s">
        <x:v>19</x:v>
      </x:c>
      <x:c r="H9903" s="0" t="s">
        <x:v>20</x:v>
      </x:c>
      <x:c r="I9903" s="0" t="s">
        <x:v>21</x:v>
      </x:c>
      <x:c r="K9903" s="0">
        <x:f>hyperlink("https://icd.who.int/dev11/l-ichi/en#/http%3A%2F%2Fid.who.int%2Ficd%2Fentity%2F792402821","browser")</x:f>
      </x:c>
      <x:c r="L9903" s="0">
        <x:f>hyperlink("https://icat2.azurewebsites.net/icat/?ontology=ICD&amp;tab=ClassesTab&amp;id=http%3A%2F%2Fwho.int%2Ficd%23577_287df7d3_8979_4bc5_b232_cc0fd1045cd6","iCat")</x:f>
      </x:c>
      <x:c r="M9903" s="0" t="s">
        <x:v>21</x:v>
      </x:c>
      <x:c r="N9903" s="0" t="s">
        <x:v>46</x:v>
      </x:c>
    </x:row>
    <x:row r="9904" spans="1:16">
      <x:c r="A9904" s="0" t="s">
        <x:v>39479</x:v>
      </x:c>
      <x:c r="B9904" s="0" t="s">
        <x:v>39480</x:v>
      </x:c>
      <x:c r="C9904" s="0" t="s">
        <x:v>39481</x:v>
      </x:c>
      <x:c r="E9904" s="0" t="s">
        <x:v>39482</x:v>
      </x:c>
      <x:c r="F9904" s="0" t="s">
        <x:v>45</x:v>
      </x:c>
      <x:c r="G9904" s="0" t="s">
        <x:v>19</x:v>
      </x:c>
      <x:c r="H9904" s="0" t="s">
        <x:v>20</x:v>
      </x:c>
      <x:c r="I9904" s="0" t="s">
        <x:v>21</x:v>
      </x:c>
      <x:c r="K9904" s="0">
        <x:f>hyperlink("https://icd.who.int/dev11/l-ichi/en#/http%3A%2F%2Fid.who.int%2Ficd%2Fentity%2F903583023","browser")</x:f>
      </x:c>
      <x:c r="L9904" s="0">
        <x:f>hyperlink("https://icat2.azurewebsites.net/icat/?ontology=ICD&amp;tab=ClassesTab&amp;id=http%3A%2F%2Fwho.int%2Ficd%23583_287df7d3_8979_4bc5_b232_cc0fd1045cd6","iCat")</x:f>
      </x:c>
      <x:c r="M9904" s="0" t="s">
        <x:v>21</x:v>
      </x:c>
      <x:c r="N9904" s="0" t="s">
        <x:v>46</x:v>
      </x:c>
    </x:row>
    <x:row r="9905" spans="1:16">
      <x:c r="A9905" s="0" t="s">
        <x:v>39483</x:v>
      </x:c>
      <x:c r="B9905" s="0" t="s">
        <x:v>39484</x:v>
      </x:c>
      <x:c r="C9905" s="0" t="s">
        <x:v>39485</x:v>
      </x:c>
      <x:c r="E9905" s="0" t="s">
        <x:v>39486</x:v>
      </x:c>
      <x:c r="F9905" s="0" t="s">
        <x:v>45</x:v>
      </x:c>
      <x:c r="G9905" s="0" t="s">
        <x:v>19</x:v>
      </x:c>
      <x:c r="H9905" s="0" t="s">
        <x:v>20</x:v>
      </x:c>
      <x:c r="I9905" s="0" t="s">
        <x:v>21</x:v>
      </x:c>
      <x:c r="K9905" s="0">
        <x:f>hyperlink("https://icd.who.int/dev11/l-ichi/en#/http%3A%2F%2Fid.who.int%2Ficd%2Fentity%2F505870783","browser")</x:f>
      </x:c>
      <x:c r="L9905" s="0">
        <x:f>hyperlink("https://icat2.azurewebsites.net/icat/?ontology=ICD&amp;tab=ClassesTab&amp;id=http%3A%2F%2Fwho.int%2Ficd%23589_287df7d3_8979_4bc5_b232_cc0fd1045cd6","iCat")</x:f>
      </x:c>
      <x:c r="M9905" s="0" t="s">
        <x:v>21</x:v>
      </x:c>
      <x:c r="N9905" s="0" t="s">
        <x:v>46</x:v>
      </x:c>
    </x:row>
    <x:row r="9906" spans="1:16">
      <x:c r="A9906" s="0" t="s">
        <x:v>39487</x:v>
      </x:c>
      <x:c r="B9906" s="0" t="s">
        <x:v>39488</x:v>
      </x:c>
      <x:c r="C9906" s="0" t="s">
        <x:v>39489</x:v>
      </x:c>
      <x:c r="E9906" s="0" t="s">
        <x:v>39490</x:v>
      </x:c>
      <x:c r="F9906" s="0" t="s">
        <x:v>45</x:v>
      </x:c>
      <x:c r="G9906" s="0" t="s">
        <x:v>19</x:v>
      </x:c>
      <x:c r="H9906" s="0" t="s">
        <x:v>20</x:v>
      </x:c>
      <x:c r="I9906" s="0" t="s">
        <x:v>21</x:v>
      </x:c>
      <x:c r="K9906" s="0">
        <x:f>hyperlink("https://icd.who.int/dev11/l-ichi/en#/http%3A%2F%2Fid.who.int%2Ficd%2Fentity%2F258333129","browser")</x:f>
      </x:c>
      <x:c r="L9906" s="0">
        <x:f>hyperlink("https://icat2.azurewebsites.net/icat/?ontology=ICD&amp;tab=ClassesTab&amp;id=http%3A%2F%2Fwho.int%2Ficd%23595_287df7d3_8979_4bc5_b232_cc0fd1045cd6","iCat")</x:f>
      </x:c>
      <x:c r="M9906" s="0" t="s">
        <x:v>21</x:v>
      </x:c>
      <x:c r="N9906" s="0" t="s">
        <x:v>46</x:v>
      </x:c>
    </x:row>
    <x:row r="9907" spans="1:16">
      <x:c r="A9907" s="0" t="s">
        <x:v>39491</x:v>
      </x:c>
      <x:c r="B9907" s="0" t="s">
        <x:v>39492</x:v>
      </x:c>
      <x:c r="C9907" s="0" t="s">
        <x:v>39493</x:v>
      </x:c>
      <x:c r="E9907" s="0" t="s">
        <x:v>39494</x:v>
      </x:c>
      <x:c r="F9907" s="0" t="s">
        <x:v>45</x:v>
      </x:c>
      <x:c r="G9907" s="0" t="s">
        <x:v>19</x:v>
      </x:c>
      <x:c r="H9907" s="0" t="s">
        <x:v>20</x:v>
      </x:c>
      <x:c r="I9907" s="0" t="s">
        <x:v>21</x:v>
      </x:c>
      <x:c r="K9907" s="0">
        <x:f>hyperlink("https://icd.who.int/dev11/l-ichi/en#/http%3A%2F%2Fid.who.int%2Ficd%2Fentity%2F784950647","browser")</x:f>
      </x:c>
      <x:c r="L9907" s="0">
        <x:f>hyperlink("https://icat2.azurewebsites.net/icat/?ontology=ICD&amp;tab=ClassesTab&amp;id=http%3A%2F%2Fwho.int%2Ficd%23601_287df7d3_8979_4bc5_b232_cc0fd1045cd6","iCat")</x:f>
      </x:c>
      <x:c r="M9907" s="0" t="s">
        <x:v>21</x:v>
      </x:c>
      <x:c r="N9907" s="0" t="s">
        <x:v>46</x:v>
      </x:c>
    </x:row>
    <x:row r="9908" spans="1:16">
      <x:c r="A9908" s="0" t="s">
        <x:v>39495</x:v>
      </x:c>
      <x:c r="B9908" s="0" t="s">
        <x:v>39496</x:v>
      </x:c>
      <x:c r="C9908" s="0" t="s">
        <x:v>39497</x:v>
      </x:c>
      <x:c r="E9908" s="0" t="s">
        <x:v>39498</x:v>
      </x:c>
      <x:c r="F9908" s="0" t="s">
        <x:v>45</x:v>
      </x:c>
      <x:c r="G9908" s="0" t="s">
        <x:v>19</x:v>
      </x:c>
      <x:c r="H9908" s="0" t="s">
        <x:v>20</x:v>
      </x:c>
      <x:c r="I9908" s="0" t="s">
        <x:v>21</x:v>
      </x:c>
      <x:c r="K9908" s="0">
        <x:f>hyperlink("https://icd.who.int/dev11/l-ichi/en#/http%3A%2F%2Fid.who.int%2Ficd%2Fentity%2F2125642952","browser")</x:f>
      </x:c>
      <x:c r="L9908" s="0">
        <x:f>hyperlink("https://icat2.azurewebsites.net/icat/?ontology=ICD&amp;tab=ClassesTab&amp;id=http%3A%2F%2Fwho.int%2Ficd%23607_287df7d3_8979_4bc5_b232_cc0fd1045cd6","iCat")</x:f>
      </x:c>
      <x:c r="M9908" s="0" t="s">
        <x:v>21</x:v>
      </x:c>
      <x:c r="N9908" s="0" t="s">
        <x:v>46</x:v>
      </x:c>
    </x:row>
    <x:row r="9909" spans="1:16">
      <x:c r="A9909" s="0" t="s">
        <x:v>39499</x:v>
      </x:c>
      <x:c r="B9909" s="0" t="s">
        <x:v>39500</x:v>
      </x:c>
      <x:c r="C9909" s="0" t="s">
        <x:v>39501</x:v>
      </x:c>
      <x:c r="E9909" s="0" t="s">
        <x:v>39502</x:v>
      </x:c>
      <x:c r="F9909" s="0" t="s">
        <x:v>45</x:v>
      </x:c>
      <x:c r="G9909" s="0" t="s">
        <x:v>19</x:v>
      </x:c>
      <x:c r="H9909" s="0" t="s">
        <x:v>20</x:v>
      </x:c>
      <x:c r="I9909" s="0" t="s">
        <x:v>21</x:v>
      </x:c>
      <x:c r="K9909" s="0">
        <x:f>hyperlink("https://icd.who.int/dev11/l-ichi/en#/http%3A%2F%2Fid.who.int%2Ficd%2Fentity%2F561049061","browser")</x:f>
      </x:c>
      <x:c r="L9909" s="0">
        <x:f>hyperlink("https://icat2.azurewebsites.net/icat/?ontology=ICD&amp;tab=ClassesTab&amp;id=http%3A%2F%2Fwho.int%2Ficd%23613_287df7d3_8979_4bc5_b232_cc0fd1045cd6","iCat")</x:f>
      </x:c>
      <x:c r="M9909" s="0" t="s">
        <x:v>21</x:v>
      </x:c>
      <x:c r="N9909" s="0" t="s">
        <x:v>46</x:v>
      </x:c>
    </x:row>
    <x:row r="9910" spans="1:16">
      <x:c r="A9910" s="0" t="s">
        <x:v>39503</x:v>
      </x:c>
      <x:c r="B9910" s="0" t="s">
        <x:v>39504</x:v>
      </x:c>
      <x:c r="C9910" s="0" t="s">
        <x:v>39505</x:v>
      </x:c>
      <x:c r="E9910" s="0" t="s">
        <x:v>39506</x:v>
      </x:c>
      <x:c r="F9910" s="0" t="s">
        <x:v>45</x:v>
      </x:c>
      <x:c r="G9910" s="0" t="s">
        <x:v>19</x:v>
      </x:c>
      <x:c r="H9910" s="0" t="s">
        <x:v>20</x:v>
      </x:c>
      <x:c r="I9910" s="0" t="s">
        <x:v>21</x:v>
      </x:c>
      <x:c r="K9910" s="0">
        <x:f>hyperlink("https://icd.who.int/dev11/l-ichi/en#/http%3A%2F%2Fid.who.int%2Ficd%2Fentity%2F177045877","browser")</x:f>
      </x:c>
      <x:c r="L9910" s="0">
        <x:f>hyperlink("https://icat2.azurewebsites.net/icat/?ontology=ICD&amp;tab=ClassesTab&amp;id=http%3A%2F%2Fwho.int%2Ficd%23619_287df7d3_8979_4bc5_b232_cc0fd1045cd6","iCat")</x:f>
      </x:c>
      <x:c r="M9910" s="0" t="s">
        <x:v>21</x:v>
      </x:c>
      <x:c r="N9910" s="0" t="s">
        <x:v>46</x:v>
      </x:c>
    </x:row>
    <x:row r="9911" spans="1:16">
      <x:c r="A9911" s="0" t="s">
        <x:v>39507</x:v>
      </x:c>
      <x:c r="B9911" s="0" t="s">
        <x:v>39508</x:v>
      </x:c>
      <x:c r="C9911" s="0" t="s">
        <x:v>39509</x:v>
      </x:c>
      <x:c r="E9911" s="0" t="s">
        <x:v>39510</x:v>
      </x:c>
      <x:c r="F9911" s="0" t="s">
        <x:v>45</x:v>
      </x:c>
      <x:c r="G9911" s="0" t="s">
        <x:v>19</x:v>
      </x:c>
      <x:c r="H9911" s="0" t="s">
        <x:v>20</x:v>
      </x:c>
      <x:c r="I9911" s="0" t="s">
        <x:v>21</x:v>
      </x:c>
      <x:c r="K9911" s="0">
        <x:f>hyperlink("https://icd.who.int/dev11/l-ichi/en#/http%3A%2F%2Fid.who.int%2Ficd%2Fentity%2F667183322","browser")</x:f>
      </x:c>
      <x:c r="L9911" s="0">
        <x:f>hyperlink("https://icat2.azurewebsites.net/icat/?ontology=ICD&amp;tab=ClassesTab&amp;id=http%3A%2F%2Fwho.int%2Ficd%231064_287df7d3_8979_4bc5_b232_cc0fd1045cd6","iCat")</x:f>
      </x:c>
      <x:c r="M9911" s="0" t="s">
        <x:v>21</x:v>
      </x:c>
      <x:c r="N9911" s="0" t="s">
        <x:v>46</x:v>
      </x:c>
    </x:row>
    <x:row r="9912" spans="1:16">
      <x:c r="A9912" s="0" t="s">
        <x:v>39511</x:v>
      </x:c>
      <x:c r="B9912" s="0" t="s">
        <x:v>39512</x:v>
      </x:c>
      <x:c r="C9912" s="0" t="s">
        <x:v>39513</x:v>
      </x:c>
      <x:c r="E9912" s="0" t="s">
        <x:v>39514</x:v>
      </x:c>
      <x:c r="F9912" s="0" t="s">
        <x:v>45</x:v>
      </x:c>
      <x:c r="G9912" s="0" t="s">
        <x:v>19</x:v>
      </x:c>
      <x:c r="H9912" s="0" t="s">
        <x:v>20</x:v>
      </x:c>
      <x:c r="I9912" s="0" t="s">
        <x:v>21</x:v>
      </x:c>
      <x:c r="K9912" s="0">
        <x:f>hyperlink("https://icd.who.int/dev11/l-ichi/en#/http%3A%2F%2Fid.who.int%2Ficd%2Fentity%2F2013673979","browser")</x:f>
      </x:c>
      <x:c r="L9912" s="0">
        <x:f>hyperlink("https://icat2.azurewebsites.net/icat/?ontology=ICD&amp;tab=ClassesTab&amp;id=http%3A%2F%2Fwho.int%2Ficd%231070_287df7d3_8979_4bc5_b232_cc0fd1045cd6","iCat")</x:f>
      </x:c>
      <x:c r="M9912" s="0" t="s">
        <x:v>21</x:v>
      </x:c>
      <x:c r="N9912" s="0" t="s">
        <x:v>46</x:v>
      </x:c>
    </x:row>
    <x:row r="9913" spans="1:16">
      <x:c r="A9913" s="0" t="s">
        <x:v>39515</x:v>
      </x:c>
      <x:c r="B9913" s="0" t="s">
        <x:v>39516</x:v>
      </x:c>
      <x:c r="C9913" s="0" t="s">
        <x:v>39517</x:v>
      </x:c>
      <x:c r="E9913" s="0" t="s">
        <x:v>39518</x:v>
      </x:c>
      <x:c r="F9913" s="0" t="s">
        <x:v>45</x:v>
      </x:c>
      <x:c r="G9913" s="0" t="s">
        <x:v>19</x:v>
      </x:c>
      <x:c r="H9913" s="0" t="s">
        <x:v>20</x:v>
      </x:c>
      <x:c r="I9913" s="0" t="s">
        <x:v>21</x:v>
      </x:c>
      <x:c r="K9913" s="0">
        <x:f>hyperlink("https://icd.who.int/dev11/l-ichi/en#/http%3A%2F%2Fid.who.int%2Ficd%2Fentity%2F679338060","browser")</x:f>
      </x:c>
      <x:c r="L9913" s="0">
        <x:f>hyperlink("https://icat2.azurewebsites.net/icat/?ontology=ICD&amp;tab=ClassesTab&amp;id=http%3A%2F%2Fwho.int%2Ficd%231076_287df7d3_8979_4bc5_b232_cc0fd1045cd6","iCat")</x:f>
      </x:c>
      <x:c r="M9913" s="0" t="s">
        <x:v>21</x:v>
      </x:c>
      <x:c r="N9913" s="0" t="s">
        <x:v>46</x:v>
      </x:c>
    </x:row>
    <x:row r="9914" spans="1:16">
      <x:c r="A9914" s="0" t="s">
        <x:v>39519</x:v>
      </x:c>
      <x:c r="B9914" s="0" t="s">
        <x:v>39520</x:v>
      </x:c>
      <x:c r="C9914" s="0" t="s">
        <x:v>39521</x:v>
      </x:c>
      <x:c r="E9914" s="0" t="s">
        <x:v>39522</x:v>
      </x:c>
      <x:c r="F9914" s="0" t="s">
        <x:v>45</x:v>
      </x:c>
      <x:c r="G9914" s="0" t="s">
        <x:v>19</x:v>
      </x:c>
      <x:c r="H9914" s="0" t="s">
        <x:v>20</x:v>
      </x:c>
      <x:c r="I9914" s="0" t="s">
        <x:v>21</x:v>
      </x:c>
      <x:c r="K9914" s="0">
        <x:f>hyperlink("https://icd.who.int/dev11/l-ichi/en#/http%3A%2F%2Fid.who.int%2Ficd%2Fentity%2F849178336","browser")</x:f>
      </x:c>
      <x:c r="L9914" s="0">
        <x:f>hyperlink("https://icat2.azurewebsites.net/icat/?ontology=ICD&amp;tab=ClassesTab&amp;id=http%3A%2F%2Fwho.int%2Ficd%231082_287df7d3_8979_4bc5_b232_cc0fd1045cd6","iCat")</x:f>
      </x:c>
      <x:c r="M9914" s="0" t="s">
        <x:v>21</x:v>
      </x:c>
      <x:c r="N9914" s="0" t="s">
        <x:v>46</x:v>
      </x:c>
    </x:row>
    <x:row r="9915" spans="1:16">
      <x:c r="A9915" s="0" t="s">
        <x:v>39523</x:v>
      </x:c>
      <x:c r="B9915" s="0" t="s">
        <x:v>39524</x:v>
      </x:c>
      <x:c r="C9915" s="0" t="s">
        <x:v>39525</x:v>
      </x:c>
      <x:c r="E9915" s="0" t="s">
        <x:v>39526</x:v>
      </x:c>
      <x:c r="F9915" s="0" t="s">
        <x:v>45</x:v>
      </x:c>
      <x:c r="G9915" s="0" t="s">
        <x:v>19</x:v>
      </x:c>
      <x:c r="H9915" s="0" t="s">
        <x:v>20</x:v>
      </x:c>
      <x:c r="I9915" s="0" t="s">
        <x:v>21</x:v>
      </x:c>
      <x:c r="K9915" s="0">
        <x:f>hyperlink("https://icd.who.int/dev11/l-ichi/en#/http%3A%2F%2Fid.who.int%2Ficd%2Fentity%2F425722480","browser")</x:f>
      </x:c>
      <x:c r="L9915" s="0">
        <x:f>hyperlink("https://icat2.azurewebsites.net/icat/?ontology=ICD&amp;tab=ClassesTab&amp;id=http%3A%2F%2Fwho.int%2Ficd%231088_287df7d3_8979_4bc5_b232_cc0fd1045cd6","iCat")</x:f>
      </x:c>
      <x:c r="M9915" s="0" t="s">
        <x:v>21</x:v>
      </x:c>
      <x:c r="N9915" s="0" t="s">
        <x:v>46</x:v>
      </x:c>
    </x:row>
    <x:row r="9916" spans="1:16">
      <x:c r="A9916" s="0" t="s">
        <x:v>39527</x:v>
      </x:c>
      <x:c r="B9916" s="0" t="s">
        <x:v>39528</x:v>
      </x:c>
      <x:c r="C9916" s="0" t="s">
        <x:v>39529</x:v>
      </x:c>
      <x:c r="E9916" s="0" t="s">
        <x:v>39530</x:v>
      </x:c>
      <x:c r="F9916" s="0" t="s">
        <x:v>45</x:v>
      </x:c>
      <x:c r="G9916" s="0" t="s">
        <x:v>19</x:v>
      </x:c>
      <x:c r="H9916" s="0" t="s">
        <x:v>20</x:v>
      </x:c>
      <x:c r="I9916" s="0" t="s">
        <x:v>21</x:v>
      </x:c>
      <x:c r="K9916" s="0">
        <x:f>hyperlink("https://icd.who.int/dev11/l-ichi/en#/http%3A%2F%2Fid.who.int%2Ficd%2Fentity%2F136520200","browser")</x:f>
      </x:c>
      <x:c r="L9916" s="0">
        <x:f>hyperlink("https://icat2.azurewebsites.net/icat/?ontology=ICD&amp;tab=ClassesTab&amp;id=http%3A%2F%2Fwho.int%2Ficd%231094_287df7d3_8979_4bc5_b232_cc0fd1045cd6","iCat")</x:f>
      </x:c>
      <x:c r="M9916" s="0" t="s">
        <x:v>21</x:v>
      </x:c>
      <x:c r="N9916" s="0" t="s">
        <x:v>46</x:v>
      </x:c>
    </x:row>
    <x:row r="9917" spans="1:16">
      <x:c r="A9917" s="0" t="s">
        <x:v>39531</x:v>
      </x:c>
      <x:c r="B9917" s="0" t="s">
        <x:v>39532</x:v>
      </x:c>
      <x:c r="C9917" s="0" t="s">
        <x:v>39533</x:v>
      </x:c>
      <x:c r="E9917" s="0" t="s">
        <x:v>39534</x:v>
      </x:c>
      <x:c r="F9917" s="0" t="s">
        <x:v>45</x:v>
      </x:c>
      <x:c r="G9917" s="0" t="s">
        <x:v>19</x:v>
      </x:c>
      <x:c r="H9917" s="0" t="s">
        <x:v>20</x:v>
      </x:c>
      <x:c r="I9917" s="0" t="s">
        <x:v>21</x:v>
      </x:c>
      <x:c r="K9917" s="0">
        <x:f>hyperlink("https://icd.who.int/dev11/l-ichi/en#/http%3A%2F%2Fid.who.int%2Ficd%2Fentity%2F1028648062","browser")</x:f>
      </x:c>
      <x:c r="L9917" s="0">
        <x:f>hyperlink("https://icat2.azurewebsites.net/icat/?ontology=ICD&amp;tab=ClassesTab&amp;id=http%3A%2F%2Fwho.int%2Ficd%231100_287df7d3_8979_4bc5_b232_cc0fd1045cd6","iCat")</x:f>
      </x:c>
      <x:c r="M9917" s="0" t="s">
        <x:v>21</x:v>
      </x:c>
      <x:c r="N9917" s="0" t="s">
        <x:v>46</x:v>
      </x:c>
    </x:row>
    <x:row r="9918" spans="1:16">
      <x:c r="A9918" s="0" t="s">
        <x:v>39535</x:v>
      </x:c>
      <x:c r="B9918" s="0" t="s">
        <x:v>39536</x:v>
      </x:c>
      <x:c r="C9918" s="0" t="s">
        <x:v>39537</x:v>
      </x:c>
      <x:c r="E9918" s="0" t="s">
        <x:v>39538</x:v>
      </x:c>
      <x:c r="F9918" s="0" t="s">
        <x:v>45</x:v>
      </x:c>
      <x:c r="G9918" s="0" t="s">
        <x:v>19</x:v>
      </x:c>
      <x:c r="H9918" s="0" t="s">
        <x:v>20</x:v>
      </x:c>
      <x:c r="I9918" s="0" t="s">
        <x:v>21</x:v>
      </x:c>
      <x:c r="K9918" s="0">
        <x:f>hyperlink("https://icd.who.int/dev11/l-ichi/en#/http%3A%2F%2Fid.who.int%2Ficd%2Fentity%2F1832138189","browser")</x:f>
      </x:c>
      <x:c r="L9918" s="0">
        <x:f>hyperlink("https://icat2.azurewebsites.net/icat/?ontology=ICD&amp;tab=ClassesTab&amp;id=http%3A%2F%2Fwho.int%2Ficd%231106_287df7d3_8979_4bc5_b232_cc0fd1045cd6","iCat")</x:f>
      </x:c>
      <x:c r="M9918" s="0" t="s">
        <x:v>21</x:v>
      </x:c>
      <x:c r="N9918" s="0" t="s">
        <x:v>46</x:v>
      </x:c>
    </x:row>
    <x:row r="9919" spans="1:16">
      <x:c r="A9919" s="0" t="s">
        <x:v>39539</x:v>
      </x:c>
      <x:c r="B9919" s="0" t="s">
        <x:v>39540</x:v>
      </x:c>
      <x:c r="C9919" s="0" t="s">
        <x:v>39541</x:v>
      </x:c>
      <x:c r="E9919" s="0" t="s">
        <x:v>39542</x:v>
      </x:c>
      <x:c r="F9919" s="0" t="s">
        <x:v>45</x:v>
      </x:c>
      <x:c r="G9919" s="0" t="s">
        <x:v>19</x:v>
      </x:c>
      <x:c r="H9919" s="0" t="s">
        <x:v>20</x:v>
      </x:c>
      <x:c r="I9919" s="0" t="s">
        <x:v>21</x:v>
      </x:c>
      <x:c r="K9919" s="0">
        <x:f>hyperlink("https://icd.who.int/dev11/l-ichi/en#/http%3A%2F%2Fid.who.int%2Ficd%2Fentity%2F855008496","browser")</x:f>
      </x:c>
      <x:c r="L9919" s="0">
        <x:f>hyperlink("https://icat2.azurewebsites.net/icat/?ontology=ICD&amp;tab=ClassesTab&amp;id=http%3A%2F%2Fwho.int%2Ficd%231112_287df7d3_8979_4bc5_b232_cc0fd1045cd6","iCat")</x:f>
      </x:c>
      <x:c r="M9919" s="0" t="s">
        <x:v>21</x:v>
      </x:c>
      <x:c r="N9919" s="0" t="s">
        <x:v>46</x:v>
      </x:c>
    </x:row>
    <x:row r="9920" spans="1:16">
      <x:c r="A9920" s="0" t="s">
        <x:v>39543</x:v>
      </x:c>
      <x:c r="B9920" s="0" t="s">
        <x:v>39544</x:v>
      </x:c>
      <x:c r="C9920" s="0" t="s">
        <x:v>39545</x:v>
      </x:c>
      <x:c r="E9920" s="0" t="s">
        <x:v>39546</x:v>
      </x:c>
      <x:c r="F9920" s="0" t="s">
        <x:v>45</x:v>
      </x:c>
      <x:c r="G9920" s="0" t="s">
        <x:v>19</x:v>
      </x:c>
      <x:c r="H9920" s="0" t="s">
        <x:v>20</x:v>
      </x:c>
      <x:c r="I9920" s="0" t="s">
        <x:v>21</x:v>
      </x:c>
      <x:c r="K9920" s="0">
        <x:f>hyperlink("https://icd.who.int/dev11/l-ichi/en#/http%3A%2F%2Fid.who.int%2Ficd%2Fentity%2F420153472","browser")</x:f>
      </x:c>
      <x:c r="L9920" s="0">
        <x:f>hyperlink("https://icat2.azurewebsites.net/icat/?ontology=ICD&amp;tab=ClassesTab&amp;id=http%3A%2F%2Fwho.int%2Ficd%231118_287df7d3_8979_4bc5_b232_cc0fd1045cd6","iCat")</x:f>
      </x:c>
      <x:c r="M9920" s="0" t="s">
        <x:v>21</x:v>
      </x:c>
      <x:c r="N9920" s="0" t="s">
        <x:v>46</x:v>
      </x:c>
    </x:row>
    <x:row r="9921" spans="1:16">
      <x:c r="A9921" s="0" t="s">
        <x:v>39547</x:v>
      </x:c>
      <x:c r="B9921" s="0" t="s">
        <x:v>39548</x:v>
      </x:c>
      <x:c r="C9921" s="0" t="s">
        <x:v>39549</x:v>
      </x:c>
      <x:c r="E9921" s="0" t="s">
        <x:v>39550</x:v>
      </x:c>
      <x:c r="F9921" s="0" t="s">
        <x:v>45</x:v>
      </x:c>
      <x:c r="G9921" s="0" t="s">
        <x:v>19</x:v>
      </x:c>
      <x:c r="H9921" s="0" t="s">
        <x:v>20</x:v>
      </x:c>
      <x:c r="I9921" s="0" t="s">
        <x:v>21</x:v>
      </x:c>
      <x:c r="K9921" s="0">
        <x:f>hyperlink("https://icd.who.int/dev11/l-ichi/en#/http%3A%2F%2Fid.who.int%2Ficd%2Fentity%2F574422362","browser")</x:f>
      </x:c>
      <x:c r="L9921" s="0">
        <x:f>hyperlink("https://icat2.azurewebsites.net/icat/?ontology=ICD&amp;tab=ClassesTab&amp;id=http%3A%2F%2Fwho.int%2Ficd%231124_287df7d3_8979_4bc5_b232_cc0fd1045cd6","iCat")</x:f>
      </x:c>
      <x:c r="M9921" s="0" t="s">
        <x:v>21</x:v>
      </x:c>
      <x:c r="N9921" s="0" t="s">
        <x:v>46</x:v>
      </x:c>
    </x:row>
    <x:row r="9922" spans="1:16">
      <x:c r="A9922" s="0" t="s">
        <x:v>39551</x:v>
      </x:c>
      <x:c r="B9922" s="0" t="s">
        <x:v>39552</x:v>
      </x:c>
      <x:c r="C9922" s="0" t="s">
        <x:v>39553</x:v>
      </x:c>
      <x:c r="E9922" s="0" t="s">
        <x:v>39554</x:v>
      </x:c>
      <x:c r="F9922" s="0" t="s">
        <x:v>45</x:v>
      </x:c>
      <x:c r="G9922" s="0" t="s">
        <x:v>19</x:v>
      </x:c>
      <x:c r="H9922" s="0" t="s">
        <x:v>20</x:v>
      </x:c>
      <x:c r="I9922" s="0" t="s">
        <x:v>21</x:v>
      </x:c>
      <x:c r="K9922" s="0">
        <x:f>hyperlink("https://icd.who.int/dev11/l-ichi/en#/http%3A%2F%2Fid.who.int%2Ficd%2Fentity%2F2113842299","browser")</x:f>
      </x:c>
      <x:c r="L9922" s="0">
        <x:f>hyperlink("https://icat2.azurewebsites.net/icat/?ontology=ICD&amp;tab=ClassesTab&amp;id=http%3A%2F%2Fwho.int%2Ficd%231130_287df7d3_8979_4bc5_b232_cc0fd1045cd6","iCat")</x:f>
      </x:c>
      <x:c r="M9922" s="0" t="s">
        <x:v>21</x:v>
      </x:c>
      <x:c r="N9922" s="0" t="s">
        <x:v>46</x:v>
      </x:c>
    </x:row>
    <x:row r="9923" spans="1:16">
      <x:c r="A9923" s="0" t="s">
        <x:v>39555</x:v>
      </x:c>
      <x:c r="B9923" s="0" t="s">
        <x:v>39556</x:v>
      </x:c>
      <x:c r="C9923" s="0" t="s">
        <x:v>39557</x:v>
      </x:c>
      <x:c r="E9923" s="0" t="s">
        <x:v>39558</x:v>
      </x:c>
      <x:c r="F9923" s="0" t="s">
        <x:v>45</x:v>
      </x:c>
      <x:c r="G9923" s="0" t="s">
        <x:v>19</x:v>
      </x:c>
      <x:c r="H9923" s="0" t="s">
        <x:v>20</x:v>
      </x:c>
      <x:c r="I9923" s="0" t="s">
        <x:v>21</x:v>
      </x:c>
      <x:c r="K9923" s="0">
        <x:f>hyperlink("https://icd.who.int/dev11/l-ichi/en#/http%3A%2F%2Fid.who.int%2Ficd%2Fentity%2F763721164","browser")</x:f>
      </x:c>
      <x:c r="L9923" s="0">
        <x:f>hyperlink("https://icat2.azurewebsites.net/icat/?ontology=ICD&amp;tab=ClassesTab&amp;id=http%3A%2F%2Fwho.int%2Ficd%231136_287df7d3_8979_4bc5_b232_cc0fd1045cd6","iCat")</x:f>
      </x:c>
      <x:c r="M9923" s="0" t="s">
        <x:v>21</x:v>
      </x:c>
      <x:c r="N9923" s="0" t="s">
        <x:v>46</x:v>
      </x:c>
    </x:row>
    <x:row r="9924" spans="1:16">
      <x:c r="A9924" s="0" t="s">
        <x:v>39559</x:v>
      </x:c>
      <x:c r="B9924" s="0" t="s">
        <x:v>39560</x:v>
      </x:c>
      <x:c r="C9924" s="0" t="s">
        <x:v>39561</x:v>
      </x:c>
      <x:c r="E9924" s="0" t="s">
        <x:v>39562</x:v>
      </x:c>
      <x:c r="F9924" s="0" t="s">
        <x:v>45</x:v>
      </x:c>
      <x:c r="G9924" s="0" t="s">
        <x:v>19</x:v>
      </x:c>
      <x:c r="H9924" s="0" t="s">
        <x:v>20</x:v>
      </x:c>
      <x:c r="I9924" s="0" t="s">
        <x:v>21</x:v>
      </x:c>
      <x:c r="K9924" s="0">
        <x:f>hyperlink("https://icd.who.int/dev11/l-ichi/en#/http%3A%2F%2Fid.who.int%2Ficd%2Fentity%2F676635302","browser")</x:f>
      </x:c>
      <x:c r="L9924" s="0">
        <x:f>hyperlink("https://icat2.azurewebsites.net/icat/?ontology=ICD&amp;tab=ClassesTab&amp;id=http%3A%2F%2Fwho.int%2Ficd%231142_287df7d3_8979_4bc5_b232_cc0fd1045cd6","iCat")</x:f>
      </x:c>
      <x:c r="M9924" s="0" t="s">
        <x:v>21</x:v>
      </x:c>
      <x:c r="N9924" s="0" t="s">
        <x:v>46</x:v>
      </x:c>
    </x:row>
    <x:row r="9925" spans="1:16">
      <x:c r="A9925" s="0" t="s">
        <x:v>39563</x:v>
      </x:c>
      <x:c r="B9925" s="0" t="s">
        <x:v>39564</x:v>
      </x:c>
      <x:c r="C9925" s="0" t="s">
        <x:v>39565</x:v>
      </x:c>
      <x:c r="E9925" s="0" t="s">
        <x:v>39566</x:v>
      </x:c>
      <x:c r="F9925" s="0" t="s">
        <x:v>45</x:v>
      </x:c>
      <x:c r="G9925" s="0" t="s">
        <x:v>19</x:v>
      </x:c>
      <x:c r="H9925" s="0" t="s">
        <x:v>20</x:v>
      </x:c>
      <x:c r="I9925" s="0" t="s">
        <x:v>21</x:v>
      </x:c>
      <x:c r="K9925" s="0">
        <x:f>hyperlink("https://icd.who.int/dev11/l-ichi/en#/http%3A%2F%2Fid.who.int%2Ficd%2Fentity%2F61460022","browser")</x:f>
      </x:c>
      <x:c r="L9925" s="0">
        <x:f>hyperlink("https://icat2.azurewebsites.net/icat/?ontology=ICD&amp;tab=ClassesTab&amp;id=http%3A%2F%2Fwho.int%2Ficd%231148_287df7d3_8979_4bc5_b232_cc0fd1045cd6","iCat")</x:f>
      </x:c>
      <x:c r="M9925" s="0" t="s">
        <x:v>21</x:v>
      </x:c>
      <x:c r="N9925" s="0" t="s">
        <x:v>46</x:v>
      </x:c>
    </x:row>
    <x:row r="9926" spans="1:16">
      <x:c r="A9926" s="0" t="s">
        <x:v>39567</x:v>
      </x:c>
      <x:c r="B9926" s="0" t="s">
        <x:v>39568</x:v>
      </x:c>
      <x:c r="C9926" s="0" t="s">
        <x:v>39569</x:v>
      </x:c>
      <x:c r="E9926" s="0" t="s">
        <x:v>39570</x:v>
      </x:c>
      <x:c r="F9926" s="0" t="s">
        <x:v>45</x:v>
      </x:c>
      <x:c r="G9926" s="0" t="s">
        <x:v>19</x:v>
      </x:c>
      <x:c r="H9926" s="0" t="s">
        <x:v>20</x:v>
      </x:c>
      <x:c r="I9926" s="0" t="s">
        <x:v>21</x:v>
      </x:c>
      <x:c r="K9926" s="0">
        <x:f>hyperlink("https://icd.who.int/dev11/l-ichi/en#/http%3A%2F%2Fid.who.int%2Ficd%2Fentity%2F23436705","browser")</x:f>
      </x:c>
      <x:c r="L9926" s="0">
        <x:f>hyperlink("https://icat2.azurewebsites.net/icat/?ontology=ICD&amp;tab=ClassesTab&amp;id=http%3A%2F%2Fwho.int%2Ficd%231606_287df7d3_8979_4bc5_b232_cc0fd1045cd6","iCat")</x:f>
      </x:c>
      <x:c r="M9926" s="0" t="s">
        <x:v>21</x:v>
      </x:c>
      <x:c r="N9926" s="0" t="s">
        <x:v>46</x:v>
      </x:c>
    </x:row>
    <x:row r="9927" spans="1:16">
      <x:c r="A9927" s="0" t="s">
        <x:v>39571</x:v>
      </x:c>
      <x:c r="B9927" s="0" t="s">
        <x:v>39572</x:v>
      </x:c>
      <x:c r="C9927" s="0" t="s">
        <x:v>39573</x:v>
      </x:c>
      <x:c r="E9927" s="0" t="s">
        <x:v>39574</x:v>
      </x:c>
      <x:c r="F9927" s="0" t="s">
        <x:v>45</x:v>
      </x:c>
      <x:c r="G9927" s="0" t="s">
        <x:v>19</x:v>
      </x:c>
      <x:c r="H9927" s="0" t="s">
        <x:v>20</x:v>
      </x:c>
      <x:c r="I9927" s="0" t="s">
        <x:v>21</x:v>
      </x:c>
      <x:c r="K9927" s="0">
        <x:f>hyperlink("https://icd.who.int/dev11/l-ichi/en#/http%3A%2F%2Fid.who.int%2Ficd%2Fentity%2F1588055170","browser")</x:f>
      </x:c>
      <x:c r="L9927" s="0">
        <x:f>hyperlink("https://icat2.azurewebsites.net/icat/?ontology=ICD&amp;tab=ClassesTab&amp;id=http%3A%2F%2Fwho.int%2Ficd%231612_287df7d3_8979_4bc5_b232_cc0fd1045cd6","iCat")</x:f>
      </x:c>
      <x:c r="M9927" s="0" t="s">
        <x:v>21</x:v>
      </x:c>
      <x:c r="N9927" s="0" t="s">
        <x:v>46</x:v>
      </x:c>
    </x:row>
    <x:row r="9928" spans="1:16">
      <x:c r="A9928" s="0" t="s">
        <x:v>39575</x:v>
      </x:c>
      <x:c r="B9928" s="0" t="s">
        <x:v>39576</x:v>
      </x:c>
      <x:c r="C9928" s="0" t="s">
        <x:v>39577</x:v>
      </x:c>
      <x:c r="E9928" s="0" t="s">
        <x:v>39578</x:v>
      </x:c>
      <x:c r="F9928" s="0" t="s">
        <x:v>45</x:v>
      </x:c>
      <x:c r="G9928" s="0" t="s">
        <x:v>19</x:v>
      </x:c>
      <x:c r="H9928" s="0" t="s">
        <x:v>20</x:v>
      </x:c>
      <x:c r="I9928" s="0" t="s">
        <x:v>21</x:v>
      </x:c>
      <x:c r="K9928" s="0">
        <x:f>hyperlink("https://icd.who.int/dev11/l-ichi/en#/http%3A%2F%2Fid.who.int%2Ficd%2Fentity%2F1968873490","browser")</x:f>
      </x:c>
      <x:c r="L9928" s="0">
        <x:f>hyperlink("https://icat2.azurewebsites.net/icat/?ontology=ICD&amp;tab=ClassesTab&amp;id=http%3A%2F%2Fwho.int%2Ficd%231618_287df7d3_8979_4bc5_b232_cc0fd1045cd6","iCat")</x:f>
      </x:c>
      <x:c r="M9928" s="0" t="s">
        <x:v>21</x:v>
      </x:c>
      <x:c r="N9928" s="0" t="s">
        <x:v>46</x:v>
      </x:c>
    </x:row>
    <x:row r="9929" spans="1:16">
      <x:c r="A9929" s="0" t="s">
        <x:v>39579</x:v>
      </x:c>
      <x:c r="B9929" s="0" t="s">
        <x:v>39580</x:v>
      </x:c>
      <x:c r="C9929" s="0" t="s">
        <x:v>39581</x:v>
      </x:c>
      <x:c r="E9929" s="0" t="s">
        <x:v>39582</x:v>
      </x:c>
      <x:c r="F9929" s="0" t="s">
        <x:v>45</x:v>
      </x:c>
      <x:c r="G9929" s="0" t="s">
        <x:v>19</x:v>
      </x:c>
      <x:c r="H9929" s="0" t="s">
        <x:v>20</x:v>
      </x:c>
      <x:c r="I9929" s="0" t="s">
        <x:v>21</x:v>
      </x:c>
      <x:c r="K9929" s="0">
        <x:f>hyperlink("https://icd.who.int/dev11/l-ichi/en#/http%3A%2F%2Fid.who.int%2Ficd%2Fentity%2F1315788084","browser")</x:f>
      </x:c>
      <x:c r="L9929" s="0">
        <x:f>hyperlink("https://icat2.azurewebsites.net/icat/?ontology=ICD&amp;tab=ClassesTab&amp;id=http%3A%2F%2Fwho.int%2Ficd%231624_287df7d3_8979_4bc5_b232_cc0fd1045cd6","iCat")</x:f>
      </x:c>
      <x:c r="M9929" s="0" t="s">
        <x:v>21</x:v>
      </x:c>
      <x:c r="N9929" s="0" t="s">
        <x:v>46</x:v>
      </x:c>
    </x:row>
    <x:row r="9930" spans="1:16">
      <x:c r="A9930" s="0" t="s">
        <x:v>39583</x:v>
      </x:c>
      <x:c r="B9930" s="0" t="s">
        <x:v>39584</x:v>
      </x:c>
      <x:c r="C9930" s="0" t="s">
        <x:v>39585</x:v>
      </x:c>
      <x:c r="E9930" s="0" t="s">
        <x:v>39586</x:v>
      </x:c>
      <x:c r="F9930" s="0" t="s">
        <x:v>45</x:v>
      </x:c>
      <x:c r="G9930" s="0" t="s">
        <x:v>19</x:v>
      </x:c>
      <x:c r="H9930" s="0" t="s">
        <x:v>20</x:v>
      </x:c>
      <x:c r="I9930" s="0" t="s">
        <x:v>21</x:v>
      </x:c>
      <x:c r="K9930" s="0">
        <x:f>hyperlink("https://icd.who.int/dev11/l-ichi/en#/http%3A%2F%2Fid.who.int%2Ficd%2Fentity%2F296682519","browser")</x:f>
      </x:c>
      <x:c r="L9930" s="0">
        <x:f>hyperlink("https://icat2.azurewebsites.net/icat/?ontology=ICD&amp;tab=ClassesTab&amp;id=http%3A%2F%2Fwho.int%2Ficd%231630_287df7d3_8979_4bc5_b232_cc0fd1045cd6","iCat")</x:f>
      </x:c>
      <x:c r="M9930" s="0" t="s">
        <x:v>21</x:v>
      </x:c>
      <x:c r="N9930" s="0" t="s">
        <x:v>46</x:v>
      </x:c>
    </x:row>
    <x:row r="9931" spans="1:16">
      <x:c r="A9931" s="0" t="s">
        <x:v>39587</x:v>
      </x:c>
      <x:c r="B9931" s="0" t="s">
        <x:v>39588</x:v>
      </x:c>
      <x:c r="C9931" s="0" t="s">
        <x:v>39589</x:v>
      </x:c>
      <x:c r="E9931" s="0" t="s">
        <x:v>39590</x:v>
      </x:c>
      <x:c r="F9931" s="0" t="s">
        <x:v>45</x:v>
      </x:c>
      <x:c r="G9931" s="0" t="s">
        <x:v>19</x:v>
      </x:c>
      <x:c r="H9931" s="0" t="s">
        <x:v>20</x:v>
      </x:c>
      <x:c r="I9931" s="0" t="s">
        <x:v>21</x:v>
      </x:c>
      <x:c r="K9931" s="0">
        <x:f>hyperlink("https://icd.who.int/dev11/l-ichi/en#/http%3A%2F%2Fid.who.int%2Ficd%2Fentity%2F1104469414","browser")</x:f>
      </x:c>
      <x:c r="L9931" s="0">
        <x:f>hyperlink("https://icat2.azurewebsites.net/icat/?ontology=ICD&amp;tab=ClassesTab&amp;id=http%3A%2F%2Fwho.int%2Ficd%231636_287df7d3_8979_4bc5_b232_cc0fd1045cd6","iCat")</x:f>
      </x:c>
      <x:c r="M9931" s="0" t="s">
        <x:v>21</x:v>
      </x:c>
      <x:c r="N9931" s="0" t="s">
        <x:v>46</x:v>
      </x:c>
    </x:row>
    <x:row r="9932" spans="1:16">
      <x:c r="A9932" s="0" t="s">
        <x:v>39591</x:v>
      </x:c>
      <x:c r="B9932" s="0" t="s">
        <x:v>39592</x:v>
      </x:c>
      <x:c r="C9932" s="0" t="s">
        <x:v>39593</x:v>
      </x:c>
      <x:c r="E9932" s="0" t="s">
        <x:v>39594</x:v>
      </x:c>
      <x:c r="F9932" s="0" t="s">
        <x:v>45</x:v>
      </x:c>
      <x:c r="G9932" s="0" t="s">
        <x:v>19</x:v>
      </x:c>
      <x:c r="H9932" s="0" t="s">
        <x:v>20</x:v>
      </x:c>
      <x:c r="I9932" s="0" t="s">
        <x:v>21</x:v>
      </x:c>
      <x:c r="K9932" s="0">
        <x:f>hyperlink("https://icd.who.int/dev11/l-ichi/en#/http%3A%2F%2Fid.who.int%2Ficd%2Fentity%2F1141181128","browser")</x:f>
      </x:c>
      <x:c r="L9932" s="0">
        <x:f>hyperlink("https://icat2.azurewebsites.net/icat/?ontology=ICD&amp;tab=ClassesTab&amp;id=http%3A%2F%2Fwho.int%2Ficd%231642_287df7d3_8979_4bc5_b232_cc0fd1045cd6","iCat")</x:f>
      </x:c>
      <x:c r="M9932" s="0" t="s">
        <x:v>21</x:v>
      </x:c>
      <x:c r="N9932" s="0" t="s">
        <x:v>46</x:v>
      </x:c>
    </x:row>
    <x:row r="9933" spans="1:16">
      <x:c r="A9933" s="0" t="s">
        <x:v>39595</x:v>
      </x:c>
      <x:c r="B9933" s="0" t="s">
        <x:v>39596</x:v>
      </x:c>
      <x:c r="C9933" s="0" t="s">
        <x:v>39597</x:v>
      </x:c>
      <x:c r="E9933" s="0" t="s">
        <x:v>39598</x:v>
      </x:c>
      <x:c r="F9933" s="0" t="s">
        <x:v>45</x:v>
      </x:c>
      <x:c r="G9933" s="0" t="s">
        <x:v>19</x:v>
      </x:c>
      <x:c r="H9933" s="0" t="s">
        <x:v>20</x:v>
      </x:c>
      <x:c r="I9933" s="0" t="s">
        <x:v>21</x:v>
      </x:c>
      <x:c r="K9933" s="0">
        <x:f>hyperlink("https://icd.who.int/dev11/l-ichi/en#/http%3A%2F%2Fid.who.int%2Ficd%2Fentity%2F1878550104","browser")</x:f>
      </x:c>
      <x:c r="L9933" s="0">
        <x:f>hyperlink("https://icat2.azurewebsites.net/icat/?ontology=ICD&amp;tab=ClassesTab&amp;id=http%3A%2F%2Fwho.int%2Ficd%231648_287df7d3_8979_4bc5_b232_cc0fd1045cd6","iCat")</x:f>
      </x:c>
      <x:c r="M9933" s="0" t="s">
        <x:v>21</x:v>
      </x:c>
      <x:c r="N9933" s="0" t="s">
        <x:v>46</x:v>
      </x:c>
    </x:row>
    <x:row r="9934" spans="1:16">
      <x:c r="A9934" s="0" t="s">
        <x:v>39599</x:v>
      </x:c>
      <x:c r="B9934" s="0" t="s">
        <x:v>39600</x:v>
      </x:c>
      <x:c r="C9934" s="0" t="s">
        <x:v>39601</x:v>
      </x:c>
      <x:c r="E9934" s="0" t="s">
        <x:v>39602</x:v>
      </x:c>
      <x:c r="F9934" s="0" t="s">
        <x:v>45</x:v>
      </x:c>
      <x:c r="G9934" s="0" t="s">
        <x:v>19</x:v>
      </x:c>
      <x:c r="H9934" s="0" t="s">
        <x:v>20</x:v>
      </x:c>
      <x:c r="I9934" s="0" t="s">
        <x:v>21</x:v>
      </x:c>
      <x:c r="K9934" s="0">
        <x:f>hyperlink("https://icd.who.int/dev11/l-ichi/en#/http%3A%2F%2Fid.who.int%2Ficd%2Fentity%2F2126202416","browser")</x:f>
      </x:c>
      <x:c r="L9934" s="0">
        <x:f>hyperlink("https://icat2.azurewebsites.net/icat/?ontology=ICD&amp;tab=ClassesTab&amp;id=http%3A%2F%2Fwho.int%2Ficd%231654_287df7d3_8979_4bc5_b232_cc0fd1045cd6","iCat")</x:f>
      </x:c>
      <x:c r="M9934" s="0" t="s">
        <x:v>21</x:v>
      </x:c>
      <x:c r="N9934" s="0" t="s">
        <x:v>46</x:v>
      </x:c>
    </x:row>
    <x:row r="9935" spans="1:16">
      <x:c r="A9935" s="0" t="s">
        <x:v>39603</x:v>
      </x:c>
      <x:c r="B9935" s="0" t="s">
        <x:v>39604</x:v>
      </x:c>
      <x:c r="C9935" s="0" t="s">
        <x:v>39605</x:v>
      </x:c>
      <x:c r="E9935" s="0" t="s">
        <x:v>39606</x:v>
      </x:c>
      <x:c r="F9935" s="0" t="s">
        <x:v>45</x:v>
      </x:c>
      <x:c r="G9935" s="0" t="s">
        <x:v>19</x:v>
      </x:c>
      <x:c r="H9935" s="0" t="s">
        <x:v>20</x:v>
      </x:c>
      <x:c r="I9935" s="0" t="s">
        <x:v>21</x:v>
      </x:c>
      <x:c r="K9935" s="0">
        <x:f>hyperlink("https://icd.who.int/dev11/l-ichi/en#/http%3A%2F%2Fid.who.int%2Ficd%2Fentity%2F185451101","browser")</x:f>
      </x:c>
      <x:c r="L9935" s="0">
        <x:f>hyperlink("https://icat2.azurewebsites.net/icat/?ontology=ICD&amp;tab=ClassesTab&amp;id=http%3A%2F%2Fwho.int%2Ficd%231660_287df7d3_8979_4bc5_b232_cc0fd1045cd6","iCat")</x:f>
      </x:c>
      <x:c r="M9935" s="0" t="s">
        <x:v>21</x:v>
      </x:c>
      <x:c r="N9935" s="0" t="s">
        <x:v>46</x:v>
      </x:c>
    </x:row>
    <x:row r="9936" spans="1:16">
      <x:c r="A9936" s="0" t="s">
        <x:v>39607</x:v>
      </x:c>
      <x:c r="B9936" s="0" t="s">
        <x:v>39608</x:v>
      </x:c>
      <x:c r="C9936" s="0" t="s">
        <x:v>39609</x:v>
      </x:c>
      <x:c r="E9936" s="0" t="s">
        <x:v>39610</x:v>
      </x:c>
      <x:c r="F9936" s="0" t="s">
        <x:v>45</x:v>
      </x:c>
      <x:c r="G9936" s="0" t="s">
        <x:v>19</x:v>
      </x:c>
      <x:c r="H9936" s="0" t="s">
        <x:v>20</x:v>
      </x:c>
      <x:c r="I9936" s="0" t="s">
        <x:v>21</x:v>
      </x:c>
      <x:c r="K9936" s="0">
        <x:f>hyperlink("https://icd.who.int/dev11/l-ichi/en#/http%3A%2F%2Fid.who.int%2Ficd%2Fentity%2F1534467052","browser")</x:f>
      </x:c>
      <x:c r="L9936" s="0">
        <x:f>hyperlink("https://icat2.azurewebsites.net/icat/?ontology=ICD&amp;tab=ClassesTab&amp;id=http%3A%2F%2Fwho.int%2Ficd%231666_287df7d3_8979_4bc5_b232_cc0fd1045cd6","iCat")</x:f>
      </x:c>
      <x:c r="M9936" s="0" t="s">
        <x:v>21</x:v>
      </x:c>
      <x:c r="N9936" s="0" t="s">
        <x:v>46</x:v>
      </x:c>
    </x:row>
    <x:row r="9937" spans="1:16">
      <x:c r="A9937" s="0" t="s">
        <x:v>39611</x:v>
      </x:c>
      <x:c r="B9937" s="0" t="s">
        <x:v>39612</x:v>
      </x:c>
      <x:c r="C9937" s="0" t="s">
        <x:v>39613</x:v>
      </x:c>
      <x:c r="E9937" s="0" t="s">
        <x:v>39614</x:v>
      </x:c>
      <x:c r="F9937" s="0" t="s">
        <x:v>45</x:v>
      </x:c>
      <x:c r="G9937" s="0" t="s">
        <x:v>19</x:v>
      </x:c>
      <x:c r="H9937" s="0" t="s">
        <x:v>20</x:v>
      </x:c>
      <x:c r="I9937" s="0" t="s">
        <x:v>21</x:v>
      </x:c>
      <x:c r="K9937" s="0">
        <x:f>hyperlink("https://icd.who.int/dev11/l-ichi/en#/http%3A%2F%2Fid.who.int%2Ficd%2Fentity%2F78924495","browser")</x:f>
      </x:c>
      <x:c r="L9937" s="0">
        <x:f>hyperlink("https://icat2.azurewebsites.net/icat/?ontology=ICD&amp;tab=ClassesTab&amp;id=http%3A%2F%2Fwho.int%2Ficd%231672_287df7d3_8979_4bc5_b232_cc0fd1045cd6","iCat")</x:f>
      </x:c>
      <x:c r="M9937" s="0" t="s">
        <x:v>21</x:v>
      </x:c>
      <x:c r="N9937" s="0" t="s">
        <x:v>46</x:v>
      </x:c>
    </x:row>
    <x:row r="9938" spans="1:16">
      <x:c r="A9938" s="0" t="s">
        <x:v>39615</x:v>
      </x:c>
      <x:c r="B9938" s="0" t="s">
        <x:v>39616</x:v>
      </x:c>
      <x:c r="C9938" s="0" t="s">
        <x:v>39617</x:v>
      </x:c>
      <x:c r="E9938" s="0" t="s">
        <x:v>39618</x:v>
      </x:c>
      <x:c r="F9938" s="0" t="s">
        <x:v>45</x:v>
      </x:c>
      <x:c r="G9938" s="0" t="s">
        <x:v>19</x:v>
      </x:c>
      <x:c r="H9938" s="0" t="s">
        <x:v>20</x:v>
      </x:c>
      <x:c r="I9938" s="0" t="s">
        <x:v>21</x:v>
      </x:c>
      <x:c r="K9938" s="0">
        <x:f>hyperlink("https://icd.who.int/dev11/l-ichi/en#/http%3A%2F%2Fid.who.int%2Ficd%2Fentity%2F793323103","browser")</x:f>
      </x:c>
      <x:c r="L9938" s="0">
        <x:f>hyperlink("https://icat2.azurewebsites.net/icat/?ontology=ICD&amp;tab=ClassesTab&amp;id=http%3A%2F%2Fwho.int%2Ficd%231678_287df7d3_8979_4bc5_b232_cc0fd1045cd6","iCat")</x:f>
      </x:c>
      <x:c r="M9938" s="0" t="s">
        <x:v>21</x:v>
      </x:c>
      <x:c r="N9938" s="0" t="s">
        <x:v>46</x:v>
      </x:c>
    </x:row>
    <x:row r="9939" spans="1:16">
      <x:c r="A9939" s="0" t="s">
        <x:v>39619</x:v>
      </x:c>
      <x:c r="B9939" s="0" t="s">
        <x:v>39620</x:v>
      </x:c>
      <x:c r="C9939" s="0" t="s">
        <x:v>39621</x:v>
      </x:c>
      <x:c r="E9939" s="0" t="s">
        <x:v>39622</x:v>
      </x:c>
      <x:c r="F9939" s="0" t="s">
        <x:v>45</x:v>
      </x:c>
      <x:c r="G9939" s="0" t="s">
        <x:v>19</x:v>
      </x:c>
      <x:c r="H9939" s="0" t="s">
        <x:v>20</x:v>
      </x:c>
      <x:c r="I9939" s="0" t="s">
        <x:v>21</x:v>
      </x:c>
      <x:c r="K9939" s="0">
        <x:f>hyperlink("https://icd.who.int/dev11/l-ichi/en#/http%3A%2F%2Fid.who.int%2Ficd%2Fentity%2F2066274720","browser")</x:f>
      </x:c>
      <x:c r="L9939" s="0">
        <x:f>hyperlink("https://icat2.azurewebsites.net/icat/?ontology=ICD&amp;tab=ClassesTab&amp;id=http%3A%2F%2Fwho.int%2Ficd%231684_287df7d3_8979_4bc5_b232_cc0fd1045cd6","iCat")</x:f>
      </x:c>
      <x:c r="M9939" s="0" t="s">
        <x:v>21</x:v>
      </x:c>
      <x:c r="N9939" s="0" t="s">
        <x:v>46</x:v>
      </x:c>
    </x:row>
    <x:row r="9940" spans="1:16">
      <x:c r="A9940" s="0" t="s">
        <x:v>39623</x:v>
      </x:c>
      <x:c r="B9940" s="0" t="s">
        <x:v>39624</x:v>
      </x:c>
      <x:c r="C9940" s="0" t="s">
        <x:v>39625</x:v>
      </x:c>
      <x:c r="E9940" s="0" t="s">
        <x:v>39626</x:v>
      </x:c>
      <x:c r="F9940" s="0" t="s">
        <x:v>45</x:v>
      </x:c>
      <x:c r="G9940" s="0" t="s">
        <x:v>19</x:v>
      </x:c>
      <x:c r="H9940" s="0" t="s">
        <x:v>20</x:v>
      </x:c>
      <x:c r="I9940" s="0" t="s">
        <x:v>21</x:v>
      </x:c>
      <x:c r="K9940" s="0">
        <x:f>hyperlink("https://icd.who.int/dev11/l-ichi/en#/http%3A%2F%2Fid.who.int%2Ficd%2Fentity%2F619350147","browser")</x:f>
      </x:c>
      <x:c r="L9940" s="0">
        <x:f>hyperlink("https://icat2.azurewebsites.net/icat/?ontology=ICD&amp;tab=ClassesTab&amp;id=http%3A%2F%2Fwho.int%2Ficd%231690_287df7d3_8979_4bc5_b232_cc0fd1045cd6","iCat")</x:f>
      </x:c>
      <x:c r="M9940" s="0" t="s">
        <x:v>21</x:v>
      </x:c>
      <x:c r="N9940" s="0" t="s">
        <x:v>46</x:v>
      </x:c>
    </x:row>
    <x:row r="9941" spans="1:16">
      <x:c r="A9941" s="0" t="s">
        <x:v>39627</x:v>
      </x:c>
      <x:c r="B9941" s="0" t="s">
        <x:v>39628</x:v>
      </x:c>
      <x:c r="C9941" s="0" t="s">
        <x:v>39629</x:v>
      </x:c>
      <x:c r="E9941" s="0" t="s">
        <x:v>39630</x:v>
      </x:c>
      <x:c r="F9941" s="0" t="s">
        <x:v>45</x:v>
      </x:c>
      <x:c r="G9941" s="0" t="s">
        <x:v>19</x:v>
      </x:c>
      <x:c r="H9941" s="0" t="s">
        <x:v>20</x:v>
      </x:c>
      <x:c r="I9941" s="0" t="s">
        <x:v>21</x:v>
      </x:c>
      <x:c r="K9941" s="0">
        <x:f>hyperlink("https://icd.who.int/dev11/l-ichi/en#/http%3A%2F%2Fid.who.int%2Ficd%2Fentity%2F1504764247","browser")</x:f>
      </x:c>
      <x:c r="L9941" s="0">
        <x:f>hyperlink("https://icat2.azurewebsites.net/icat/?ontology=ICD&amp;tab=ClassesTab&amp;id=http%3A%2F%2Fwho.int%2Ficd%23689_94acc4f6_b696_4796_914a_62879ddd4f65","iCat")</x:f>
      </x:c>
      <x:c r="M9941" s="0" t="s">
        <x:v>21</x:v>
      </x:c>
      <x:c r="N9941" s="0" t="s">
        <x:v>46</x:v>
      </x:c>
    </x:row>
    <x:row r="9942" spans="1:16">
      <x:c r="A9942" s="0" t="s">
        <x:v>39631</x:v>
      </x:c>
      <x:c r="B9942" s="0" t="s">
        <x:v>39632</x:v>
      </x:c>
      <x:c r="C9942" s="0" t="s">
        <x:v>39633</x:v>
      </x:c>
      <x:c r="E9942" s="0" t="s">
        <x:v>39634</x:v>
      </x:c>
      <x:c r="F9942" s="0" t="s">
        <x:v>45</x:v>
      </x:c>
      <x:c r="G9942" s="0" t="s">
        <x:v>19</x:v>
      </x:c>
      <x:c r="H9942" s="0" t="s">
        <x:v>20</x:v>
      </x:c>
      <x:c r="I9942" s="0" t="s">
        <x:v>21</x:v>
      </x:c>
      <x:c r="K9942" s="0">
        <x:f>hyperlink("https://icd.who.int/dev11/l-ichi/en#/http%3A%2F%2Fid.who.int%2Ficd%2Fentity%2F555252085","browser")</x:f>
      </x:c>
      <x:c r="L9942" s="0">
        <x:f>hyperlink("https://icat2.azurewebsites.net/icat/?ontology=ICD&amp;tab=ClassesTab&amp;id=http%3A%2F%2Fwho.int%2Ficd%232774_287df7d3_8979_4bc5_b232_cc0fd1045cd6","iCat")</x:f>
      </x:c>
      <x:c r="M9942" s="0" t="s">
        <x:v>21</x:v>
      </x:c>
      <x:c r="N9942" s="0" t="s">
        <x:v>46</x:v>
      </x:c>
    </x:row>
    <x:row r="9943" spans="1:16">
      <x:c r="A9943" s="0" t="s">
        <x:v>39635</x:v>
      </x:c>
      <x:c r="B9943" s="0" t="s">
        <x:v>39636</x:v>
      </x:c>
      <x:c r="C9943" s="0" t="s">
        <x:v>39637</x:v>
      </x:c>
      <x:c r="E9943" s="0" t="s">
        <x:v>39638</x:v>
      </x:c>
      <x:c r="F9943" s="0" t="s">
        <x:v>45</x:v>
      </x:c>
      <x:c r="G9943" s="0" t="s">
        <x:v>19</x:v>
      </x:c>
      <x:c r="H9943" s="0" t="s">
        <x:v>20</x:v>
      </x:c>
      <x:c r="I9943" s="0" t="s">
        <x:v>21</x:v>
      </x:c>
      <x:c r="K9943" s="0">
        <x:f>hyperlink("https://icd.who.int/dev11/l-ichi/en#/http%3A%2F%2Fid.who.int%2Ficd%2Fentity%2F1006172127","browser")</x:f>
      </x:c>
      <x:c r="L9943" s="0">
        <x:f>hyperlink("https://icat2.azurewebsites.net/icat/?ontology=ICD&amp;tab=ClassesTab&amp;id=http%3A%2F%2Fwho.int%2Ficd%232780_287df7d3_8979_4bc5_b232_cc0fd1045cd6","iCat")</x:f>
      </x:c>
      <x:c r="M9943" s="0" t="s">
        <x:v>21</x:v>
      </x:c>
      <x:c r="N9943" s="0" t="s">
        <x:v>46</x:v>
      </x:c>
    </x:row>
    <x:row r="9944" spans="1:16">
      <x:c r="A9944" s="0" t="s">
        <x:v>39639</x:v>
      </x:c>
      <x:c r="B9944" s="0" t="s">
        <x:v>39640</x:v>
      </x:c>
      <x:c r="C9944" s="0" t="s">
        <x:v>39641</x:v>
      </x:c>
      <x:c r="E9944" s="0" t="s">
        <x:v>39642</x:v>
      </x:c>
      <x:c r="F9944" s="0" t="s">
        <x:v>45</x:v>
      </x:c>
      <x:c r="G9944" s="0" t="s">
        <x:v>19</x:v>
      </x:c>
      <x:c r="H9944" s="0" t="s">
        <x:v>20</x:v>
      </x:c>
      <x:c r="I9944" s="0" t="s">
        <x:v>21</x:v>
      </x:c>
      <x:c r="K9944" s="0">
        <x:f>hyperlink("https://icd.who.int/dev11/l-ichi/en#/http%3A%2F%2Fid.who.int%2Ficd%2Fentity%2F1803759214","browser")</x:f>
      </x:c>
      <x:c r="L9944" s="0">
        <x:f>hyperlink("https://icat2.azurewebsites.net/icat/?ontology=ICD&amp;tab=ClassesTab&amp;id=http%3A%2F%2Fwho.int%2Ficd%232786_287df7d3_8979_4bc5_b232_cc0fd1045cd6","iCat")</x:f>
      </x:c>
      <x:c r="M9944" s="0" t="s">
        <x:v>21</x:v>
      </x:c>
      <x:c r="N9944" s="0" t="s">
        <x:v>46</x:v>
      </x:c>
    </x:row>
    <x:row r="9945" spans="1:16">
      <x:c r="A9945" s="0" t="s">
        <x:v>39643</x:v>
      </x:c>
      <x:c r="B9945" s="0" t="s">
        <x:v>39644</x:v>
      </x:c>
      <x:c r="C9945" s="0" t="s">
        <x:v>39645</x:v>
      </x:c>
      <x:c r="E9945" s="0" t="s">
        <x:v>39646</x:v>
      </x:c>
      <x:c r="F9945" s="0" t="s">
        <x:v>45</x:v>
      </x:c>
      <x:c r="G9945" s="0" t="s">
        <x:v>19</x:v>
      </x:c>
      <x:c r="H9945" s="0" t="s">
        <x:v>20</x:v>
      </x:c>
      <x:c r="I9945" s="0" t="s">
        <x:v>21</x:v>
      </x:c>
      <x:c r="K9945" s="0">
        <x:f>hyperlink("https://icd.who.int/dev11/l-ichi/en#/http%3A%2F%2Fid.who.int%2Ficd%2Fentity%2F876707661","browser")</x:f>
      </x:c>
      <x:c r="L9945" s="0">
        <x:f>hyperlink("https://icat2.azurewebsites.net/icat/?ontology=ICD&amp;tab=ClassesTab&amp;id=http%3A%2F%2Fwho.int%2Ficd%232792_287df7d3_8979_4bc5_b232_cc0fd1045cd6","iCat")</x:f>
      </x:c>
      <x:c r="M9945" s="0" t="s">
        <x:v>21</x:v>
      </x:c>
      <x:c r="N9945" s="0" t="s">
        <x:v>46</x:v>
      </x:c>
    </x:row>
    <x:row r="9946" spans="1:16">
      <x:c r="A9946" s="0" t="s">
        <x:v>39647</x:v>
      </x:c>
      <x:c r="B9946" s="0" t="s">
        <x:v>39648</x:v>
      </x:c>
      <x:c r="C9946" s="0" t="s">
        <x:v>39649</x:v>
      </x:c>
      <x:c r="E9946" s="0" t="s">
        <x:v>39650</x:v>
      </x:c>
      <x:c r="F9946" s="0" t="s">
        <x:v>45</x:v>
      </x:c>
      <x:c r="G9946" s="0" t="s">
        <x:v>19</x:v>
      </x:c>
      <x:c r="H9946" s="0" t="s">
        <x:v>20</x:v>
      </x:c>
      <x:c r="I9946" s="0" t="s">
        <x:v>21</x:v>
      </x:c>
      <x:c r="K9946" s="0">
        <x:f>hyperlink("https://icd.who.int/dev11/l-ichi/en#/http%3A%2F%2Fid.who.int%2Ficd%2Fentity%2F532419549","browser")</x:f>
      </x:c>
      <x:c r="L9946" s="0">
        <x:f>hyperlink("https://icat2.azurewebsites.net/icat/?ontology=ICD&amp;tab=ClassesTab&amp;id=http%3A%2F%2Fwho.int%2Ficd%232798_287df7d3_8979_4bc5_b232_cc0fd1045cd6","iCat")</x:f>
      </x:c>
      <x:c r="M9946" s="0" t="s">
        <x:v>21</x:v>
      </x:c>
      <x:c r="N9946" s="0" t="s">
        <x:v>46</x:v>
      </x:c>
    </x:row>
    <x:row r="9947" spans="1:16">
      <x:c r="A9947" s="0" t="s">
        <x:v>39651</x:v>
      </x:c>
      <x:c r="B9947" s="0" t="s">
        <x:v>39652</x:v>
      </x:c>
      <x:c r="C9947" s="0" t="s">
        <x:v>39653</x:v>
      </x:c>
      <x:c r="E9947" s="0" t="s">
        <x:v>39654</x:v>
      </x:c>
      <x:c r="F9947" s="0" t="s">
        <x:v>45</x:v>
      </x:c>
      <x:c r="G9947" s="0" t="s">
        <x:v>19</x:v>
      </x:c>
      <x:c r="H9947" s="0" t="s">
        <x:v>20</x:v>
      </x:c>
      <x:c r="I9947" s="0" t="s">
        <x:v>21</x:v>
      </x:c>
      <x:c r="K9947" s="0">
        <x:f>hyperlink("https://icd.who.int/dev11/l-ichi/en#/http%3A%2F%2Fid.who.int%2Ficd%2Fentity%2F1736702569","browser")</x:f>
      </x:c>
      <x:c r="L9947" s="0">
        <x:f>hyperlink("https://icat2.azurewebsites.net/icat/?ontology=ICD&amp;tab=ClassesTab&amp;id=http%3A%2F%2Fwho.int%2Ficd%232804_287df7d3_8979_4bc5_b232_cc0fd1045cd6","iCat")</x:f>
      </x:c>
      <x:c r="M9947" s="0" t="s">
        <x:v>21</x:v>
      </x:c>
      <x:c r="N9947" s="0" t="s">
        <x:v>46</x:v>
      </x:c>
    </x:row>
    <x:row r="9948" spans="1:16">
      <x:c r="A9948" s="0" t="s">
        <x:v>39655</x:v>
      </x:c>
      <x:c r="B9948" s="0" t="s">
        <x:v>39656</x:v>
      </x:c>
      <x:c r="C9948" s="0" t="s">
        <x:v>39657</x:v>
      </x:c>
      <x:c r="E9948" s="0" t="s">
        <x:v>39658</x:v>
      </x:c>
      <x:c r="F9948" s="0" t="s">
        <x:v>45</x:v>
      </x:c>
      <x:c r="G9948" s="0" t="s">
        <x:v>19</x:v>
      </x:c>
      <x:c r="H9948" s="0" t="s">
        <x:v>20</x:v>
      </x:c>
      <x:c r="I9948" s="0" t="s">
        <x:v>21</x:v>
      </x:c>
      <x:c r="K9948" s="0">
        <x:f>hyperlink("https://icd.who.int/dev11/l-ichi/en#/http%3A%2F%2Fid.who.int%2Ficd%2Fentity%2F1223934241","browser")</x:f>
      </x:c>
      <x:c r="L9948" s="0">
        <x:f>hyperlink("https://icat2.azurewebsites.net/icat/?ontology=ICD&amp;tab=ClassesTab&amp;id=http%3A%2F%2Fwho.int%2Ficd%23695_94acc4f6_b696_4796_914a_62879ddd4f65","iCat")</x:f>
      </x:c>
      <x:c r="M9948" s="0" t="s">
        <x:v>21</x:v>
      </x:c>
      <x:c r="N9948" s="0" t="s">
        <x:v>46</x:v>
      </x:c>
    </x:row>
    <x:row r="9949" spans="1:16">
      <x:c r="A9949" s="0" t="s">
        <x:v>39659</x:v>
      </x:c>
      <x:c r="B9949" s="0" t="s">
        <x:v>39660</x:v>
      </x:c>
      <x:c r="C9949" s="0" t="s">
        <x:v>39661</x:v>
      </x:c>
      <x:c r="E9949" s="0" t="s">
        <x:v>39662</x:v>
      </x:c>
      <x:c r="F9949" s="0" t="s">
        <x:v>45</x:v>
      </x:c>
      <x:c r="G9949" s="0" t="s">
        <x:v>19</x:v>
      </x:c>
      <x:c r="H9949" s="0" t="s">
        <x:v>20</x:v>
      </x:c>
      <x:c r="I9949" s="0" t="s">
        <x:v>21</x:v>
      </x:c>
      <x:c r="K9949" s="0">
        <x:f>hyperlink("https://icd.who.int/dev11/l-ichi/en#/http%3A%2F%2Fid.who.int%2Ficd%2Fentity%2F943827788","browser")</x:f>
      </x:c>
      <x:c r="L9949" s="0">
        <x:f>hyperlink("https://icat2.azurewebsites.net/icat/?ontology=ICD&amp;tab=ClassesTab&amp;id=http%3A%2F%2Fwho.int%2Ficd%232810_287df7d3_8979_4bc5_b232_cc0fd1045cd6","iCat")</x:f>
      </x:c>
      <x:c r="M9949" s="0" t="s">
        <x:v>21</x:v>
      </x:c>
      <x:c r="N9949" s="0" t="s">
        <x:v>46</x:v>
      </x:c>
    </x:row>
    <x:row r="9950" spans="1:16">
      <x:c r="A9950" s="0" t="s">
        <x:v>39663</x:v>
      </x:c>
      <x:c r="B9950" s="0" t="s">
        <x:v>39664</x:v>
      </x:c>
      <x:c r="C9950" s="0" t="s">
        <x:v>39665</x:v>
      </x:c>
      <x:c r="E9950" s="0" t="s">
        <x:v>39666</x:v>
      </x:c>
      <x:c r="F9950" s="0" t="s">
        <x:v>45</x:v>
      </x:c>
      <x:c r="G9950" s="0" t="s">
        <x:v>19</x:v>
      </x:c>
      <x:c r="H9950" s="0" t="s">
        <x:v>20</x:v>
      </x:c>
      <x:c r="I9950" s="0" t="s">
        <x:v>21</x:v>
      </x:c>
      <x:c r="K9950" s="0">
        <x:f>hyperlink("https://icd.who.int/dev11/l-ichi/en#/http%3A%2F%2Fid.who.int%2Ficd%2Fentity%2F1748660987","browser")</x:f>
      </x:c>
      <x:c r="L9950" s="0">
        <x:f>hyperlink("https://icat2.azurewebsites.net/icat/?ontology=ICD&amp;tab=ClassesTab&amp;id=http%3A%2F%2Fwho.int%2Ficd%232816_287df7d3_8979_4bc5_b232_cc0fd1045cd6","iCat")</x:f>
      </x:c>
      <x:c r="M9950" s="0" t="s">
        <x:v>21</x:v>
      </x:c>
      <x:c r="N9950" s="0" t="s">
        <x:v>46</x:v>
      </x:c>
    </x:row>
    <x:row r="9951" spans="1:16">
      <x:c r="A9951" s="0" t="s">
        <x:v>39667</x:v>
      </x:c>
      <x:c r="B9951" s="0" t="s">
        <x:v>39668</x:v>
      </x:c>
      <x:c r="C9951" s="0" t="s">
        <x:v>39669</x:v>
      </x:c>
      <x:c r="E9951" s="0" t="s">
        <x:v>39670</x:v>
      </x:c>
      <x:c r="F9951" s="0" t="s">
        <x:v>45</x:v>
      </x:c>
      <x:c r="G9951" s="0" t="s">
        <x:v>19</x:v>
      </x:c>
      <x:c r="H9951" s="0" t="s">
        <x:v>20</x:v>
      </x:c>
      <x:c r="I9951" s="0" t="s">
        <x:v>21</x:v>
      </x:c>
      <x:c r="K9951" s="0">
        <x:f>hyperlink("https://icd.who.int/dev11/l-ichi/en#/http%3A%2F%2Fid.who.int%2Ficd%2Fentity%2F495777416","browser")</x:f>
      </x:c>
      <x:c r="L9951" s="0">
        <x:f>hyperlink("https://icat2.azurewebsites.net/icat/?ontology=ICD&amp;tab=ClassesTab&amp;id=http%3A%2F%2Fwho.int%2Ficd%232822_287df7d3_8979_4bc5_b232_cc0fd1045cd6","iCat")</x:f>
      </x:c>
      <x:c r="M9951" s="0" t="s">
        <x:v>21</x:v>
      </x:c>
      <x:c r="N9951" s="0" t="s">
        <x:v>46</x:v>
      </x:c>
    </x:row>
    <x:row r="9952" spans="1:16">
      <x:c r="A9952" s="0" t="s">
        <x:v>39671</x:v>
      </x:c>
      <x:c r="B9952" s="0" t="s">
        <x:v>39672</x:v>
      </x:c>
      <x:c r="C9952" s="0" t="s">
        <x:v>39673</x:v>
      </x:c>
      <x:c r="E9952" s="0" t="s">
        <x:v>39674</x:v>
      </x:c>
      <x:c r="F9952" s="0" t="s">
        <x:v>45</x:v>
      </x:c>
      <x:c r="G9952" s="0" t="s">
        <x:v>19</x:v>
      </x:c>
      <x:c r="H9952" s="0" t="s">
        <x:v>20</x:v>
      </x:c>
      <x:c r="I9952" s="0" t="s">
        <x:v>21</x:v>
      </x:c>
      <x:c r="K9952" s="0">
        <x:f>hyperlink("https://icd.who.int/dev11/l-ichi/en#/http%3A%2F%2Fid.who.int%2Ficd%2Fentity%2F913414680","browser")</x:f>
      </x:c>
      <x:c r="L9952" s="0">
        <x:f>hyperlink("https://icat2.azurewebsites.net/icat/?ontology=ICD&amp;tab=ClassesTab&amp;id=http%3A%2F%2Fwho.int%2Ficd%232828_287df7d3_8979_4bc5_b232_cc0fd1045cd6","iCat")</x:f>
      </x:c>
      <x:c r="M9952" s="0" t="s">
        <x:v>21</x:v>
      </x:c>
      <x:c r="N9952" s="0" t="s">
        <x:v>46</x:v>
      </x:c>
    </x:row>
    <x:row r="9953" spans="1:16">
      <x:c r="A9953" s="0" t="s">
        <x:v>39675</x:v>
      </x:c>
      <x:c r="B9953" s="0" t="s">
        <x:v>39676</x:v>
      </x:c>
      <x:c r="C9953" s="0" t="s">
        <x:v>39677</x:v>
      </x:c>
      <x:c r="E9953" s="0" t="s">
        <x:v>39678</x:v>
      </x:c>
      <x:c r="F9953" s="0" t="s">
        <x:v>45</x:v>
      </x:c>
      <x:c r="G9953" s="0" t="s">
        <x:v>19</x:v>
      </x:c>
      <x:c r="H9953" s="0" t="s">
        <x:v>20</x:v>
      </x:c>
      <x:c r="I9953" s="0" t="s">
        <x:v>21</x:v>
      </x:c>
      <x:c r="K9953" s="0">
        <x:f>hyperlink("https://icd.who.int/dev11/l-ichi/en#/http%3A%2F%2Fid.who.int%2Ficd%2Fentity%2F657635952","browser")</x:f>
      </x:c>
      <x:c r="L9953" s="0">
        <x:f>hyperlink("https://icat2.azurewebsites.net/icat/?ontology=ICD&amp;tab=ClassesTab&amp;id=http%3A%2F%2Fwho.int%2Ficd%232834_287df7d3_8979_4bc5_b232_cc0fd1045cd6","iCat")</x:f>
      </x:c>
      <x:c r="M9953" s="0" t="s">
        <x:v>21</x:v>
      </x:c>
      <x:c r="N9953" s="0" t="s">
        <x:v>46</x:v>
      </x:c>
    </x:row>
    <x:row r="9954" spans="1:16">
      <x:c r="A9954" s="0" t="s">
        <x:v>39679</x:v>
      </x:c>
      <x:c r="B9954" s="0" t="s">
        <x:v>39680</x:v>
      </x:c>
      <x:c r="C9954" s="0" t="s">
        <x:v>39681</x:v>
      </x:c>
      <x:c r="E9954" s="0" t="s">
        <x:v>39682</x:v>
      </x:c>
      <x:c r="F9954" s="0" t="s">
        <x:v>45</x:v>
      </x:c>
      <x:c r="G9954" s="0" t="s">
        <x:v>19</x:v>
      </x:c>
      <x:c r="H9954" s="0" t="s">
        <x:v>20</x:v>
      </x:c>
      <x:c r="I9954" s="0" t="s">
        <x:v>21</x:v>
      </x:c>
      <x:c r="K9954" s="0">
        <x:f>hyperlink("https://icd.who.int/dev11/l-ichi/en#/http%3A%2F%2Fid.who.int%2Ficd%2Fentity%2F585329922","browser")</x:f>
      </x:c>
      <x:c r="L9954" s="0">
        <x:f>hyperlink("https://icat2.azurewebsites.net/icat/?ontology=ICD&amp;tab=ClassesTab&amp;id=http%3A%2F%2Fwho.int%2Ficd%232840_287df7d3_8979_4bc5_b232_cc0fd1045cd6","iCat")</x:f>
      </x:c>
      <x:c r="M9954" s="0" t="s">
        <x:v>21</x:v>
      </x:c>
      <x:c r="N9954" s="0" t="s">
        <x:v>46</x:v>
      </x:c>
    </x:row>
    <x:row r="9955" spans="1:16">
      <x:c r="A9955" s="0" t="s">
        <x:v>39683</x:v>
      </x:c>
      <x:c r="B9955" s="0" t="s">
        <x:v>39684</x:v>
      </x:c>
      <x:c r="C9955" s="0" t="s">
        <x:v>39685</x:v>
      </x:c>
      <x:c r="E9955" s="0" t="s">
        <x:v>39686</x:v>
      </x:c>
      <x:c r="F9955" s="0" t="s">
        <x:v>45</x:v>
      </x:c>
      <x:c r="G9955" s="0" t="s">
        <x:v>19</x:v>
      </x:c>
      <x:c r="H9955" s="0" t="s">
        <x:v>20</x:v>
      </x:c>
      <x:c r="I9955" s="0" t="s">
        <x:v>21</x:v>
      </x:c>
      <x:c r="K9955" s="0">
        <x:f>hyperlink("https://icd.who.int/dev11/l-ichi/en#/http%3A%2F%2Fid.who.int%2Ficd%2Fentity%2F1922610353","browser")</x:f>
      </x:c>
      <x:c r="L9955" s="0">
        <x:f>hyperlink("https://icat2.azurewebsites.net/icat/?ontology=ICD&amp;tab=ClassesTab&amp;id=http%3A%2F%2Fwho.int%2Ficd%232846_287df7d3_8979_4bc5_b232_cc0fd1045cd6","iCat")</x:f>
      </x:c>
      <x:c r="M9955" s="0" t="s">
        <x:v>21</x:v>
      </x:c>
      <x:c r="N9955" s="0" t="s">
        <x:v>46</x:v>
      </x:c>
    </x:row>
    <x:row r="9956" spans="1:16">
      <x:c r="A9956" s="0" t="s">
        <x:v>39687</x:v>
      </x:c>
      <x:c r="B9956" s="0" t="s">
        <x:v>39688</x:v>
      </x:c>
      <x:c r="C9956" s="0" t="s">
        <x:v>39689</x:v>
      </x:c>
      <x:c r="E9956" s="0" t="s">
        <x:v>39690</x:v>
      </x:c>
      <x:c r="F9956" s="0" t="s">
        <x:v>45</x:v>
      </x:c>
      <x:c r="G9956" s="0" t="s">
        <x:v>19</x:v>
      </x:c>
      <x:c r="H9956" s="0" t="s">
        <x:v>20</x:v>
      </x:c>
      <x:c r="I9956" s="0" t="s">
        <x:v>21</x:v>
      </x:c>
      <x:c r="K9956" s="0">
        <x:f>hyperlink("https://icd.who.int/dev11/l-ichi/en#/http%3A%2F%2Fid.who.int%2Ficd%2Fentity%2F760931732","browser")</x:f>
      </x:c>
      <x:c r="L9956" s="0">
        <x:f>hyperlink("https://icat2.azurewebsites.net/icat/?ontology=ICD&amp;tab=ClassesTab&amp;id=http%3A%2F%2Fwho.int%2Ficd%232852_287df7d3_8979_4bc5_b232_cc0fd1045cd6","iCat")</x:f>
      </x:c>
      <x:c r="M9956" s="0" t="s">
        <x:v>21</x:v>
      </x:c>
      <x:c r="N9956" s="0" t="s">
        <x:v>46</x:v>
      </x:c>
    </x:row>
    <x:row r="9957" spans="1:16">
      <x:c r="A9957" s="0" t="s">
        <x:v>39691</x:v>
      </x:c>
      <x:c r="B9957" s="0" t="s">
        <x:v>39692</x:v>
      </x:c>
      <x:c r="C9957" s="0" t="s">
        <x:v>39693</x:v>
      </x:c>
      <x:c r="E9957" s="0" t="s">
        <x:v>39694</x:v>
      </x:c>
      <x:c r="F9957" s="0" t="s">
        <x:v>45</x:v>
      </x:c>
      <x:c r="G9957" s="0" t="s">
        <x:v>19</x:v>
      </x:c>
      <x:c r="H9957" s="0" t="s">
        <x:v>20</x:v>
      </x:c>
      <x:c r="I9957" s="0" t="s">
        <x:v>21</x:v>
      </x:c>
      <x:c r="K9957" s="0">
        <x:f>hyperlink("https://icd.who.int/dev11/l-ichi/en#/http%3A%2F%2Fid.who.int%2Ficd%2Fentity%2F2107576155","browser")</x:f>
      </x:c>
      <x:c r="L9957" s="0">
        <x:f>hyperlink("https://icat2.azurewebsites.net/icat/?ontology=ICD&amp;tab=ClassesTab&amp;id=http%3A%2F%2Fwho.int%2Ficd%23701_94acc4f6_b696_4796_914a_62879ddd4f65","iCat")</x:f>
      </x:c>
      <x:c r="M9957" s="0" t="s">
        <x:v>21</x:v>
      </x:c>
      <x:c r="N9957" s="0" t="s">
        <x:v>46</x:v>
      </x:c>
    </x:row>
    <x:row r="9958" spans="1:16">
      <x:c r="A9958" s="0" t="s">
        <x:v>39695</x:v>
      </x:c>
      <x:c r="B9958" s="0" t="s">
        <x:v>39696</x:v>
      </x:c>
      <x:c r="C9958" s="0" t="s">
        <x:v>39697</x:v>
      </x:c>
      <x:c r="E9958" s="0" t="s">
        <x:v>39698</x:v>
      </x:c>
      <x:c r="F9958" s="0" t="s">
        <x:v>45</x:v>
      </x:c>
      <x:c r="G9958" s="0" t="s">
        <x:v>19</x:v>
      </x:c>
      <x:c r="H9958" s="0" t="s">
        <x:v>20</x:v>
      </x:c>
      <x:c r="I9958" s="0" t="s">
        <x:v>21</x:v>
      </x:c>
      <x:c r="K9958" s="0">
        <x:f>hyperlink("https://icd.who.int/dev11/l-ichi/en#/http%3A%2F%2Fid.who.int%2Ficd%2Fentity%2F111642884","browser")</x:f>
      </x:c>
      <x:c r="L9958" s="0">
        <x:f>hyperlink("https://icat2.azurewebsites.net/icat/?ontology=ICD&amp;tab=ClassesTab&amp;id=http%3A%2F%2Fwho.int%2Ficd%232858_287df7d3_8979_4bc5_b232_cc0fd1045cd6","iCat")</x:f>
      </x:c>
      <x:c r="M9958" s="0" t="s">
        <x:v>21</x:v>
      </x:c>
      <x:c r="N9958" s="0" t="s">
        <x:v>46</x:v>
      </x:c>
    </x:row>
    <x:row r="9959" spans="1:16">
      <x:c r="A9959" s="0" t="s">
        <x:v>39699</x:v>
      </x:c>
      <x:c r="B9959" s="0" t="s">
        <x:v>39700</x:v>
      </x:c>
      <x:c r="C9959" s="0" t="s">
        <x:v>39701</x:v>
      </x:c>
      <x:c r="E9959" s="0" t="s">
        <x:v>39702</x:v>
      </x:c>
      <x:c r="F9959" s="0" t="s">
        <x:v>45</x:v>
      </x:c>
      <x:c r="G9959" s="0" t="s">
        <x:v>19</x:v>
      </x:c>
      <x:c r="H9959" s="0" t="s">
        <x:v>20</x:v>
      </x:c>
      <x:c r="I9959" s="0" t="s">
        <x:v>21</x:v>
      </x:c>
      <x:c r="K9959" s="0">
        <x:f>hyperlink("https://icd.who.int/dev11/l-ichi/en#/http%3A%2F%2Fid.who.int%2Ficd%2Fentity%2F1032879142","browser")</x:f>
      </x:c>
      <x:c r="L9959" s="0">
        <x:f>hyperlink("https://icat2.azurewebsites.net/icat/?ontology=ICD&amp;tab=ClassesTab&amp;id=http%3A%2F%2Fwho.int%2Ficd%232864_287df7d3_8979_4bc5_b232_cc0fd1045cd6","iCat")</x:f>
      </x:c>
      <x:c r="M9959" s="0" t="s">
        <x:v>21</x:v>
      </x:c>
      <x:c r="N9959" s="0" t="s">
        <x:v>46</x:v>
      </x:c>
    </x:row>
    <x:row r="9960" spans="1:16">
      <x:c r="A9960" s="0" t="s">
        <x:v>39703</x:v>
      </x:c>
      <x:c r="B9960" s="0" t="s">
        <x:v>39704</x:v>
      </x:c>
      <x:c r="C9960" s="0" t="s">
        <x:v>39705</x:v>
      </x:c>
      <x:c r="E9960" s="0" t="s">
        <x:v>39706</x:v>
      </x:c>
      <x:c r="F9960" s="0" t="s">
        <x:v>45</x:v>
      </x:c>
      <x:c r="G9960" s="0" t="s">
        <x:v>19</x:v>
      </x:c>
      <x:c r="H9960" s="0" t="s">
        <x:v>20</x:v>
      </x:c>
      <x:c r="I9960" s="0" t="s">
        <x:v>21</x:v>
      </x:c>
      <x:c r="K9960" s="0">
        <x:f>hyperlink("https://icd.who.int/dev11/l-ichi/en#/http%3A%2F%2Fid.who.int%2Ficd%2Fentity%2F1649552647","browser")</x:f>
      </x:c>
      <x:c r="L9960" s="0">
        <x:f>hyperlink("https://icat2.azurewebsites.net/icat/?ontology=ICD&amp;tab=ClassesTab&amp;id=http%3A%2F%2Fwho.int%2Ficd%232870_287df7d3_8979_4bc5_b232_cc0fd1045cd6","iCat")</x:f>
      </x:c>
      <x:c r="M9960" s="0" t="s">
        <x:v>21</x:v>
      </x:c>
      <x:c r="N9960" s="0" t="s">
        <x:v>46</x:v>
      </x:c>
    </x:row>
    <x:row r="9961" spans="1:16">
      <x:c r="A9961" s="0" t="s">
        <x:v>39707</x:v>
      </x:c>
      <x:c r="B9961" s="0" t="s">
        <x:v>39708</x:v>
      </x:c>
      <x:c r="C9961" s="0" t="s">
        <x:v>39709</x:v>
      </x:c>
      <x:c r="E9961" s="0" t="s">
        <x:v>39710</x:v>
      </x:c>
      <x:c r="F9961" s="0" t="s">
        <x:v>45</x:v>
      </x:c>
      <x:c r="G9961" s="0" t="s">
        <x:v>19</x:v>
      </x:c>
      <x:c r="H9961" s="0" t="s">
        <x:v>20</x:v>
      </x:c>
      <x:c r="I9961" s="0" t="s">
        <x:v>21</x:v>
      </x:c>
      <x:c r="K9961" s="0">
        <x:f>hyperlink("https://icd.who.int/dev11/l-ichi/en#/http%3A%2F%2Fid.who.int%2Ficd%2Fentity%2F841610424","browser")</x:f>
      </x:c>
      <x:c r="L9961" s="0">
        <x:f>hyperlink("https://icat2.azurewebsites.net/icat/?ontology=ICD&amp;tab=ClassesTab&amp;id=http%3A%2F%2Fwho.int%2Ficd%232876_287df7d3_8979_4bc5_b232_cc0fd1045cd6","iCat")</x:f>
      </x:c>
      <x:c r="M9961" s="0" t="s">
        <x:v>21</x:v>
      </x:c>
      <x:c r="N9961" s="0" t="s">
        <x:v>46</x:v>
      </x:c>
    </x:row>
    <x:row r="9962" spans="1:16">
      <x:c r="A9962" s="0" t="s">
        <x:v>39711</x:v>
      </x:c>
      <x:c r="B9962" s="0" t="s">
        <x:v>39712</x:v>
      </x:c>
      <x:c r="C9962" s="0" t="s">
        <x:v>39713</x:v>
      </x:c>
      <x:c r="E9962" s="0" t="s">
        <x:v>39714</x:v>
      </x:c>
      <x:c r="F9962" s="0" t="s">
        <x:v>45</x:v>
      </x:c>
      <x:c r="G9962" s="0" t="s">
        <x:v>19</x:v>
      </x:c>
      <x:c r="H9962" s="0" t="s">
        <x:v>20</x:v>
      </x:c>
      <x:c r="I9962" s="0" t="s">
        <x:v>21</x:v>
      </x:c>
      <x:c r="K9962" s="0">
        <x:f>hyperlink("https://icd.who.int/dev11/l-ichi/en#/http%3A%2F%2Fid.who.int%2Ficd%2Fentity%2F684292636","browser")</x:f>
      </x:c>
      <x:c r="L9962" s="0">
        <x:f>hyperlink("https://icat2.azurewebsites.net/icat/?ontology=ICD&amp;tab=ClassesTab&amp;id=http%3A%2F%2Fwho.int%2Ficd%232882_287df7d3_8979_4bc5_b232_cc0fd1045cd6","iCat")</x:f>
      </x:c>
      <x:c r="M9962" s="0" t="s">
        <x:v>21</x:v>
      </x:c>
      <x:c r="N9962" s="0" t="s">
        <x:v>46</x:v>
      </x:c>
    </x:row>
    <x:row r="9963" spans="1:16">
      <x:c r="A9963" s="0" t="s">
        <x:v>39715</x:v>
      </x:c>
      <x:c r="B9963" s="0" t="s">
        <x:v>39716</x:v>
      </x:c>
      <x:c r="C9963" s="0" t="s">
        <x:v>39717</x:v>
      </x:c>
      <x:c r="E9963" s="0" t="s">
        <x:v>39718</x:v>
      </x:c>
      <x:c r="F9963" s="0" t="s">
        <x:v>45</x:v>
      </x:c>
      <x:c r="G9963" s="0" t="s">
        <x:v>19</x:v>
      </x:c>
      <x:c r="H9963" s="0" t="s">
        <x:v>20</x:v>
      </x:c>
      <x:c r="I9963" s="0" t="s">
        <x:v>21</x:v>
      </x:c>
      <x:c r="K9963" s="0">
        <x:f>hyperlink("https://icd.who.int/dev11/l-ichi/en#/http%3A%2F%2Fid.who.int%2Ficd%2Fentity%2F53745292","browser")</x:f>
      </x:c>
      <x:c r="L9963" s="0">
        <x:f>hyperlink("https://icat2.azurewebsites.net/icat/?ontology=ICD&amp;tab=ClassesTab&amp;id=http%3A%2F%2Fwho.int%2Ficd%232888_287df7d3_8979_4bc5_b232_cc0fd1045cd6","iCat")</x:f>
      </x:c>
      <x:c r="M9963" s="0" t="s">
        <x:v>21</x:v>
      </x:c>
      <x:c r="N9963" s="0" t="s">
        <x:v>46</x:v>
      </x:c>
    </x:row>
    <x:row r="9964" spans="1:16">
      <x:c r="A9964" s="0" t="s">
        <x:v>39719</x:v>
      </x:c>
      <x:c r="B9964" s="0" t="s">
        <x:v>39720</x:v>
      </x:c>
      <x:c r="C9964" s="0" t="s">
        <x:v>39721</x:v>
      </x:c>
      <x:c r="E9964" s="0" t="s">
        <x:v>39722</x:v>
      </x:c>
      <x:c r="F9964" s="0" t="s">
        <x:v>45</x:v>
      </x:c>
      <x:c r="G9964" s="0" t="s">
        <x:v>19</x:v>
      </x:c>
      <x:c r="H9964" s="0" t="s">
        <x:v>20</x:v>
      </x:c>
      <x:c r="I9964" s="0" t="s">
        <x:v>21</x:v>
      </x:c>
      <x:c r="K9964" s="0">
        <x:f>hyperlink("https://icd.who.int/dev11/l-ichi/en#/http%3A%2F%2Fid.who.int%2Ficd%2Fentity%2F769971948","browser")</x:f>
      </x:c>
      <x:c r="L9964" s="0">
        <x:f>hyperlink("https://icat2.azurewebsites.net/icat/?ontology=ICD&amp;tab=ClassesTab&amp;id=http%3A%2F%2Fwho.int%2Ficd%23707_94acc4f6_b696_4796_914a_62879ddd4f65","iCat")</x:f>
      </x:c>
      <x:c r="M9964" s="0" t="s">
        <x:v>21</x:v>
      </x:c>
      <x:c r="N9964" s="0" t="s">
        <x:v>46</x:v>
      </x:c>
    </x:row>
    <x:row r="9965" spans="1:16">
      <x:c r="A9965" s="0" t="s">
        <x:v>39723</x:v>
      </x:c>
      <x:c r="B9965" s="0" t="s">
        <x:v>39724</x:v>
      </x:c>
      <x:c r="C9965" s="0" t="s">
        <x:v>39725</x:v>
      </x:c>
      <x:c r="E9965" s="0" t="s">
        <x:v>39726</x:v>
      </x:c>
      <x:c r="F9965" s="0" t="s">
        <x:v>45</x:v>
      </x:c>
      <x:c r="G9965" s="0" t="s">
        <x:v>19</x:v>
      </x:c>
      <x:c r="H9965" s="0" t="s">
        <x:v>20</x:v>
      </x:c>
      <x:c r="I9965" s="0" t="s">
        <x:v>21</x:v>
      </x:c>
      <x:c r="K9965" s="0">
        <x:f>hyperlink("https://icd.who.int/dev11/l-ichi/en#/http%3A%2F%2Fid.who.int%2Ficd%2Fentity%2F309802748","browser")</x:f>
      </x:c>
      <x:c r="L9965" s="0">
        <x:f>hyperlink("https://icat2.azurewebsites.net/icat/?ontology=ICD&amp;tab=ClassesTab&amp;id=http%3A%2F%2Fwho.int%2Ficd%232894_287df7d3_8979_4bc5_b232_cc0fd1045cd6","iCat")</x:f>
      </x:c>
      <x:c r="M9965" s="0" t="s">
        <x:v>21</x:v>
      </x:c>
      <x:c r="N9965" s="0" t="s">
        <x:v>46</x:v>
      </x:c>
    </x:row>
    <x:row r="9966" spans="1:16">
      <x:c r="A9966" s="0" t="s">
        <x:v>39727</x:v>
      </x:c>
      <x:c r="B9966" s="0" t="s">
        <x:v>39728</x:v>
      </x:c>
      <x:c r="C9966" s="0" t="s">
        <x:v>39729</x:v>
      </x:c>
      <x:c r="E9966" s="0" t="s">
        <x:v>39730</x:v>
      </x:c>
      <x:c r="F9966" s="0" t="s">
        <x:v>45</x:v>
      </x:c>
      <x:c r="G9966" s="0" t="s">
        <x:v>19</x:v>
      </x:c>
      <x:c r="H9966" s="0" t="s">
        <x:v>20</x:v>
      </x:c>
      <x:c r="I9966" s="0" t="s">
        <x:v>21</x:v>
      </x:c>
      <x:c r="K9966" s="0">
        <x:f>hyperlink("https://icd.who.int/dev11/l-ichi/en#/http%3A%2F%2Fid.who.int%2Ficd%2Fentity%2F2002788657","browser")</x:f>
      </x:c>
      <x:c r="L9966" s="0">
        <x:f>hyperlink("https://icat2.azurewebsites.net/icat/?ontology=ICD&amp;tab=ClassesTab&amp;id=http%3A%2F%2Fwho.int%2Ficd%232906_287df7d3_8979_4bc5_b232_cc0fd1045cd6","iCat")</x:f>
      </x:c>
      <x:c r="M9966" s="0" t="s">
        <x:v>21</x:v>
      </x:c>
      <x:c r="N9966" s="0" t="s">
        <x:v>46</x:v>
      </x:c>
    </x:row>
    <x:row r="9967" spans="1:16">
      <x:c r="A9967" s="0" t="s">
        <x:v>39731</x:v>
      </x:c>
      <x:c r="B9967" s="0" t="s">
        <x:v>39732</x:v>
      </x:c>
      <x:c r="C9967" s="0" t="s">
        <x:v>39733</x:v>
      </x:c>
      <x:c r="E9967" s="0" t="s">
        <x:v>39734</x:v>
      </x:c>
      <x:c r="F9967" s="0" t="s">
        <x:v>45</x:v>
      </x:c>
      <x:c r="G9967" s="0" t="s">
        <x:v>19</x:v>
      </x:c>
      <x:c r="H9967" s="0" t="s">
        <x:v>20</x:v>
      </x:c>
      <x:c r="I9967" s="0" t="s">
        <x:v>21</x:v>
      </x:c>
      <x:c r="K9967" s="0">
        <x:f>hyperlink("https://icd.who.int/dev11/l-ichi/en#/http%3A%2F%2Fid.who.int%2Ficd%2Fentity%2F56564868","browser")</x:f>
      </x:c>
      <x:c r="L9967" s="0">
        <x:f>hyperlink("https://icat2.azurewebsites.net/icat/?ontology=ICD&amp;tab=ClassesTab&amp;id=http%3A%2F%2Fwho.int%2Ficd%232918_287df7d3_8979_4bc5_b232_cc0fd1045cd6","iCat")</x:f>
      </x:c>
      <x:c r="M9967" s="0" t="s">
        <x:v>21</x:v>
      </x:c>
      <x:c r="N9967" s="0" t="s">
        <x:v>46</x:v>
      </x:c>
    </x:row>
    <x:row r="9968" spans="1:16">
      <x:c r="A9968" s="0" t="s">
        <x:v>39735</x:v>
      </x:c>
      <x:c r="B9968" s="0" t="s">
        <x:v>39736</x:v>
      </x:c>
      <x:c r="C9968" s="0" t="s">
        <x:v>39737</x:v>
      </x:c>
      <x:c r="E9968" s="0" t="s">
        <x:v>39738</x:v>
      </x:c>
      <x:c r="F9968" s="0" t="s">
        <x:v>45</x:v>
      </x:c>
      <x:c r="G9968" s="0" t="s">
        <x:v>19</x:v>
      </x:c>
      <x:c r="H9968" s="0" t="s">
        <x:v>20</x:v>
      </x:c>
      <x:c r="I9968" s="0" t="s">
        <x:v>21</x:v>
      </x:c>
      <x:c r="K9968" s="0">
        <x:f>hyperlink("https://icd.who.int/dev11/l-ichi/en#/http%3A%2F%2Fid.who.int%2Ficd%2Fentity%2F1739241607","browser")</x:f>
      </x:c>
      <x:c r="L9968" s="0">
        <x:f>hyperlink("https://icat2.azurewebsites.net/icat/?ontology=ICD&amp;tab=ClassesTab&amp;id=http%3A%2F%2Fwho.int%2Ficd%232930_287df7d3_8979_4bc5_b232_cc0fd1045cd6","iCat")</x:f>
      </x:c>
      <x:c r="M9968" s="0" t="s">
        <x:v>21</x:v>
      </x:c>
      <x:c r="N9968" s="0" t="s">
        <x:v>46</x:v>
      </x:c>
    </x:row>
    <x:row r="9969" spans="1:16">
      <x:c r="A9969" s="0" t="s">
        <x:v>39739</x:v>
      </x:c>
      <x:c r="B9969" s="0" t="s">
        <x:v>39740</x:v>
      </x:c>
      <x:c r="C9969" s="0" t="s">
        <x:v>39741</x:v>
      </x:c>
      <x:c r="E9969" s="0" t="s">
        <x:v>39742</x:v>
      </x:c>
      <x:c r="F9969" s="0" t="s">
        <x:v>45</x:v>
      </x:c>
      <x:c r="G9969" s="0" t="s">
        <x:v>19</x:v>
      </x:c>
      <x:c r="H9969" s="0" t="s">
        <x:v>20</x:v>
      </x:c>
      <x:c r="I9969" s="0" t="s">
        <x:v>21</x:v>
      </x:c>
      <x:c r="K9969" s="0">
        <x:f>hyperlink("https://icd.who.int/dev11/l-ichi/en#/http%3A%2F%2Fid.who.int%2Ficd%2Fentity%2F1915127753","browser")</x:f>
      </x:c>
      <x:c r="L9969" s="0">
        <x:f>hyperlink("https://icat2.azurewebsites.net/icat/?ontology=ICD&amp;tab=ClassesTab&amp;id=http%3A%2F%2Fwho.int%2Ficd%23713_94acc4f6_b696_4796_914a_62879ddd4f65","iCat")</x:f>
      </x:c>
      <x:c r="M9969" s="0" t="s">
        <x:v>21</x:v>
      </x:c>
      <x:c r="N9969" s="0" t="s">
        <x:v>46</x:v>
      </x:c>
    </x:row>
    <x:row r="9970" spans="1:16">
      <x:c r="A9970" s="0" t="s">
        <x:v>39743</x:v>
      </x:c>
      <x:c r="B9970" s="0" t="s">
        <x:v>39744</x:v>
      </x:c>
      <x:c r="C9970" s="0" t="s">
        <x:v>39745</x:v>
      </x:c>
      <x:c r="E9970" s="0" t="s">
        <x:v>39746</x:v>
      </x:c>
      <x:c r="F9970" s="0" t="s">
        <x:v>45</x:v>
      </x:c>
      <x:c r="G9970" s="0" t="s">
        <x:v>19</x:v>
      </x:c>
      <x:c r="H9970" s="0" t="s">
        <x:v>20</x:v>
      </x:c>
      <x:c r="I9970" s="0" t="s">
        <x:v>21</x:v>
      </x:c>
      <x:c r="K9970" s="0">
        <x:f>hyperlink("https://icd.who.int/dev11/l-ichi/en#/http%3A%2F%2Fid.who.int%2Ficd%2Fentity%2F936468792","browser")</x:f>
      </x:c>
      <x:c r="L9970" s="0">
        <x:f>hyperlink("https://icat2.azurewebsites.net/icat/?ontology=ICD&amp;tab=ClassesTab&amp;id=http%3A%2F%2Fwho.int%2Ficd%232936_287df7d3_8979_4bc5_b232_cc0fd1045cd6","iCat")</x:f>
      </x:c>
      <x:c r="M9970" s="0" t="s">
        <x:v>21</x:v>
      </x:c>
      <x:c r="N9970" s="0" t="s">
        <x:v>46</x:v>
      </x:c>
    </x:row>
    <x:row r="9971" spans="1:16">
      <x:c r="A9971" s="0" t="s">
        <x:v>39747</x:v>
      </x:c>
      <x:c r="B9971" s="0" t="s">
        <x:v>39748</x:v>
      </x:c>
      <x:c r="C9971" s="0" t="s">
        <x:v>39749</x:v>
      </x:c>
      <x:c r="E9971" s="0" t="s">
        <x:v>39750</x:v>
      </x:c>
      <x:c r="F9971" s="0" t="s">
        <x:v>45</x:v>
      </x:c>
      <x:c r="G9971" s="0" t="s">
        <x:v>19</x:v>
      </x:c>
      <x:c r="H9971" s="0" t="s">
        <x:v>20</x:v>
      </x:c>
      <x:c r="I9971" s="0" t="s">
        <x:v>21</x:v>
      </x:c>
      <x:c r="K9971" s="0">
        <x:f>hyperlink("https://icd.who.int/dev11/l-ichi/en#/http%3A%2F%2Fid.who.int%2Ficd%2Fentity%2F656144514","browser")</x:f>
      </x:c>
      <x:c r="L9971" s="0">
        <x:f>hyperlink("https://icat2.azurewebsites.net/icat/?ontology=ICD&amp;tab=ClassesTab&amp;id=http%3A%2F%2Fwho.int%2Ficd%232900_287df7d3_8979_4bc5_b232_cc0fd1045cd6","iCat")</x:f>
      </x:c>
      <x:c r="M9971" s="0" t="s">
        <x:v>21</x:v>
      </x:c>
      <x:c r="N9971" s="0" t="s">
        <x:v>46</x:v>
      </x:c>
    </x:row>
    <x:row r="9972" spans="1:16">
      <x:c r="A9972" s="0" t="s">
        <x:v>39751</x:v>
      </x:c>
      <x:c r="B9972" s="0" t="s">
        <x:v>39752</x:v>
      </x:c>
      <x:c r="C9972" s="0" t="s">
        <x:v>39753</x:v>
      </x:c>
      <x:c r="E9972" s="0" t="s">
        <x:v>39754</x:v>
      </x:c>
      <x:c r="F9972" s="0" t="s">
        <x:v>45</x:v>
      </x:c>
      <x:c r="G9972" s="0" t="s">
        <x:v>19</x:v>
      </x:c>
      <x:c r="H9972" s="0" t="s">
        <x:v>20</x:v>
      </x:c>
      <x:c r="I9972" s="0" t="s">
        <x:v>21</x:v>
      </x:c>
      <x:c r="K9972" s="0">
        <x:f>hyperlink("https://icd.who.int/dev11/l-ichi/en#/http%3A%2F%2Fid.who.int%2Ficd%2Fentity%2F681734164","browser")</x:f>
      </x:c>
      <x:c r="L9972" s="0">
        <x:f>hyperlink("https://icat2.azurewebsites.net/icat/?ontology=ICD&amp;tab=ClassesTab&amp;id=http%3A%2F%2Fwho.int%2Ficd%232912_287df7d3_8979_4bc5_b232_cc0fd1045cd6","iCat")</x:f>
      </x:c>
      <x:c r="M9972" s="0" t="s">
        <x:v>21</x:v>
      </x:c>
      <x:c r="N9972" s="0" t="s">
        <x:v>46</x:v>
      </x:c>
    </x:row>
    <x:row r="9973" spans="1:16">
      <x:c r="A9973" s="0" t="s">
        <x:v>39755</x:v>
      </x:c>
      <x:c r="B9973" s="0" t="s">
        <x:v>39756</x:v>
      </x:c>
      <x:c r="C9973" s="0" t="s">
        <x:v>39757</x:v>
      </x:c>
      <x:c r="E9973" s="0" t="s">
        <x:v>39758</x:v>
      </x:c>
      <x:c r="F9973" s="0" t="s">
        <x:v>45</x:v>
      </x:c>
      <x:c r="G9973" s="0" t="s">
        <x:v>19</x:v>
      </x:c>
      <x:c r="H9973" s="0" t="s">
        <x:v>20</x:v>
      </x:c>
      <x:c r="I9973" s="0" t="s">
        <x:v>21</x:v>
      </x:c>
      <x:c r="K9973" s="0">
        <x:f>hyperlink("https://icd.who.int/dev11/l-ichi/en#/http%3A%2F%2Fid.who.int%2Ficd%2Fentity%2F946399654","browser")</x:f>
      </x:c>
      <x:c r="L9973" s="0">
        <x:f>hyperlink("https://icat2.azurewebsites.net/icat/?ontology=ICD&amp;tab=ClassesTab&amp;id=http%3A%2F%2Fwho.int%2Ficd%232924_287df7d3_8979_4bc5_b232_cc0fd1045cd6","iCat")</x:f>
      </x:c>
      <x:c r="M9973" s="0" t="s">
        <x:v>21</x:v>
      </x:c>
      <x:c r="N9973" s="0" t="s">
        <x:v>46</x:v>
      </x:c>
    </x:row>
    <x:row r="9974" spans="1:16">
      <x:c r="A9974" s="0" t="s">
        <x:v>39759</x:v>
      </x:c>
      <x:c r="B9974" s="0" t="s">
        <x:v>39760</x:v>
      </x:c>
      <x:c r="C9974" s="0" t="s">
        <x:v>39761</x:v>
      </x:c>
      <x:c r="E9974" s="0" t="s">
        <x:v>39762</x:v>
      </x:c>
      <x:c r="F9974" s="0" t="s">
        <x:v>45</x:v>
      </x:c>
      <x:c r="G9974" s="0" t="s">
        <x:v>19</x:v>
      </x:c>
      <x:c r="H9974" s="0" t="s">
        <x:v>20</x:v>
      </x:c>
      <x:c r="I9974" s="0" t="s">
        <x:v>21</x:v>
      </x:c>
      <x:c r="K9974" s="0">
        <x:f>hyperlink("https://icd.who.int/dev11/l-ichi/en#/http%3A%2F%2Fid.who.int%2Ficd%2Fentity%2F838907482","browser")</x:f>
      </x:c>
      <x:c r="L9974" s="0">
        <x:f>hyperlink("https://icat2.azurewebsites.net/icat/?ontology=ICD&amp;tab=ClassesTab&amp;id=http%3A%2F%2Fwho.int%2Ficd%232942_287df7d3_8979_4bc5_b232_cc0fd1045cd6","iCat")</x:f>
      </x:c>
      <x:c r="M9974" s="0" t="s">
        <x:v>21</x:v>
      </x:c>
      <x:c r="N9974" s="0" t="s">
        <x:v>46</x:v>
      </x:c>
    </x:row>
    <x:row r="9975" spans="1:16">
      <x:c r="A9975" s="0" t="s">
        <x:v>39763</x:v>
      </x:c>
      <x:c r="B9975" s="0" t="s">
        <x:v>39764</x:v>
      </x:c>
      <x:c r="C9975" s="0" t="s">
        <x:v>39765</x:v>
      </x:c>
      <x:c r="E9975" s="0" t="s">
        <x:v>39766</x:v>
      </x:c>
      <x:c r="F9975" s="0" t="s">
        <x:v>45</x:v>
      </x:c>
      <x:c r="G9975" s="0" t="s">
        <x:v>19</x:v>
      </x:c>
      <x:c r="H9975" s="0" t="s">
        <x:v>20</x:v>
      </x:c>
      <x:c r="I9975" s="0" t="s">
        <x:v>21</x:v>
      </x:c>
      <x:c r="K9975" s="0">
        <x:f>hyperlink("https://icd.who.int/dev11/l-ichi/en#/http%3A%2F%2Fid.who.int%2Ficd%2Fentity%2F436067018","browser")</x:f>
      </x:c>
      <x:c r="L9975" s="0">
        <x:f>hyperlink("https://icat2.azurewebsites.net/icat/?ontology=ICD&amp;tab=ClassesTab&amp;id=http%3A%2F%2Fwho.int%2Ficd%232948_287df7d3_8979_4bc5_b232_cc0fd1045cd6","iCat")</x:f>
      </x:c>
      <x:c r="M9975" s="0" t="s">
        <x:v>21</x:v>
      </x:c>
      <x:c r="N9975" s="0" t="s">
        <x:v>46</x:v>
      </x:c>
    </x:row>
    <x:row r="9976" spans="1:16">
      <x:c r="A9976" s="0" t="s">
        <x:v>39767</x:v>
      </x:c>
      <x:c r="B9976" s="0" t="s">
        <x:v>39768</x:v>
      </x:c>
      <x:c r="C9976" s="0" t="s">
        <x:v>39769</x:v>
      </x:c>
      <x:c r="E9976" s="0" t="s">
        <x:v>39770</x:v>
      </x:c>
      <x:c r="F9976" s="0" t="s">
        <x:v>45</x:v>
      </x:c>
      <x:c r="G9976" s="0" t="s">
        <x:v>19</x:v>
      </x:c>
      <x:c r="H9976" s="0" t="s">
        <x:v>20</x:v>
      </x:c>
      <x:c r="I9976" s="0" t="s">
        <x:v>21</x:v>
      </x:c>
      <x:c r="K9976" s="0">
        <x:f>hyperlink("https://icd.who.int/dev11/l-ichi/en#/http%3A%2F%2Fid.who.int%2Ficd%2Fentity%2F146733758","browser")</x:f>
      </x:c>
      <x:c r="L9976" s="0">
        <x:f>hyperlink("https://icat2.azurewebsites.net/icat/?ontology=ICD&amp;tab=ClassesTab&amp;id=http%3A%2F%2Fwho.int%2Ficd%232954_287df7d3_8979_4bc5_b232_cc0fd1045cd6","iCat")</x:f>
      </x:c>
      <x:c r="M9976" s="0" t="s">
        <x:v>21</x:v>
      </x:c>
      <x:c r="N9976" s="0" t="s">
        <x:v>46</x:v>
      </x:c>
    </x:row>
    <x:row r="9977" spans="1:16">
      <x:c r="A9977" s="0" t="s">
        <x:v>39771</x:v>
      </x:c>
      <x:c r="B9977" s="0" t="s">
        <x:v>39772</x:v>
      </x:c>
      <x:c r="C9977" s="0" t="s">
        <x:v>39773</x:v>
      </x:c>
      <x:c r="E9977" s="0" t="s">
        <x:v>39774</x:v>
      </x:c>
      <x:c r="F9977" s="0" t="s">
        <x:v>45</x:v>
      </x:c>
      <x:c r="G9977" s="0" t="s">
        <x:v>19</x:v>
      </x:c>
      <x:c r="H9977" s="0" t="s">
        <x:v>20</x:v>
      </x:c>
      <x:c r="I9977" s="0" t="s">
        <x:v>21</x:v>
      </x:c>
      <x:c r="K9977" s="0">
        <x:f>hyperlink("https://icd.who.int/dev11/l-ichi/en#/http%3A%2F%2Fid.who.int%2Ficd%2Fentity%2F2097708749","browser")</x:f>
      </x:c>
      <x:c r="L9977" s="0">
        <x:f>hyperlink("https://icat2.azurewebsites.net/icat/?ontology=ICD&amp;tab=ClassesTab&amp;id=http%3A%2F%2Fwho.int%2Ficd%232960_287df7d3_8979_4bc5_b232_cc0fd1045cd6","iCat")</x:f>
      </x:c>
      <x:c r="M9977" s="0" t="s">
        <x:v>21</x:v>
      </x:c>
      <x:c r="N9977" s="0" t="s">
        <x:v>46</x:v>
      </x:c>
    </x:row>
    <x:row r="9978" spans="1:16">
      <x:c r="A9978" s="0" t="s">
        <x:v>39775</x:v>
      </x:c>
      <x:c r="B9978" s="0" t="s">
        <x:v>39776</x:v>
      </x:c>
      <x:c r="C9978" s="0" t="s">
        <x:v>39777</x:v>
      </x:c>
      <x:c r="E9978" s="0" t="s">
        <x:v>39778</x:v>
      </x:c>
      <x:c r="F9978" s="0" t="s">
        <x:v>45</x:v>
      </x:c>
      <x:c r="G9978" s="0" t="s">
        <x:v>19</x:v>
      </x:c>
      <x:c r="H9978" s="0" t="s">
        <x:v>20</x:v>
      </x:c>
      <x:c r="I9978" s="0" t="s">
        <x:v>21</x:v>
      </x:c>
      <x:c r="K9978" s="0">
        <x:f>hyperlink("https://icd.who.int/dev11/l-ichi/en#/http%3A%2F%2Fid.who.int%2Ficd%2Fentity%2F762554238","browser")</x:f>
      </x:c>
      <x:c r="L9978" s="0">
        <x:f>hyperlink("https://icat2.azurewebsites.net/icat/?ontology=ICD&amp;tab=ClassesTab&amp;id=http%3A%2F%2Fwho.int%2Ficd%232966_287df7d3_8979_4bc5_b232_cc0fd1045cd6","iCat")</x:f>
      </x:c>
      <x:c r="M9978" s="0" t="s">
        <x:v>21</x:v>
      </x:c>
      <x:c r="N9978" s="0" t="s">
        <x:v>46</x:v>
      </x:c>
    </x:row>
    <x:row r="9979" spans="1:16">
      <x:c r="A9979" s="0" t="s">
        <x:v>39779</x:v>
      </x:c>
      <x:c r="B9979" s="0" t="s">
        <x:v>39780</x:v>
      </x:c>
      <x:c r="C9979" s="0" t="s">
        <x:v>39781</x:v>
      </x:c>
      <x:c r="E9979" s="0" t="s">
        <x:v>39782</x:v>
      </x:c>
      <x:c r="F9979" s="0" t="s">
        <x:v>45</x:v>
      </x:c>
      <x:c r="G9979" s="0" t="s">
        <x:v>19</x:v>
      </x:c>
      <x:c r="H9979" s="0" t="s">
        <x:v>20</x:v>
      </x:c>
      <x:c r="I9979" s="0" t="s">
        <x:v>21</x:v>
      </x:c>
      <x:c r="K9979" s="0">
        <x:f>hyperlink("https://icd.who.int/dev11/l-ichi/en#/http%3A%2F%2Fid.who.int%2Ficd%2Fentity%2F1924265567","browser")</x:f>
      </x:c>
      <x:c r="L9979" s="0">
        <x:f>hyperlink("https://icat2.azurewebsites.net/icat/?ontology=ICD&amp;tab=ClassesTab&amp;id=http%3A%2F%2Fwho.int%2Ficd%232972_287df7d3_8979_4bc5_b232_cc0fd1045cd6","iCat")</x:f>
      </x:c>
      <x:c r="M9979" s="0" t="s">
        <x:v>21</x:v>
      </x:c>
      <x:c r="N9979" s="0" t="s">
        <x:v>46</x:v>
      </x:c>
    </x:row>
    <x:row r="9980" spans="1:16">
      <x:c r="A9980" s="0" t="s">
        <x:v>39783</x:v>
      </x:c>
      <x:c r="B9980" s="0" t="s">
        <x:v>39784</x:v>
      </x:c>
      <x:c r="C9980" s="0" t="s">
        <x:v>39785</x:v>
      </x:c>
      <x:c r="E9980" s="0" t="s">
        <x:v>39786</x:v>
      </x:c>
      <x:c r="F9980" s="0" t="s">
        <x:v>45</x:v>
      </x:c>
      <x:c r="G9980" s="0" t="s">
        <x:v>19</x:v>
      </x:c>
      <x:c r="H9980" s="0" t="s">
        <x:v>20</x:v>
      </x:c>
      <x:c r="I9980" s="0" t="s">
        <x:v>21</x:v>
      </x:c>
      <x:c r="K9980" s="0">
        <x:f>hyperlink("https://icd.who.int/dev11/l-ichi/en#/http%3A%2F%2Fid.who.int%2Ficd%2Fentity%2F1498192591","browser")</x:f>
      </x:c>
      <x:c r="L9980" s="0">
        <x:f>hyperlink("https://icat2.azurewebsites.net/icat/?ontology=ICD&amp;tab=ClassesTab&amp;id=http%3A%2F%2Fwho.int%2Ficd%232978_287df7d3_8979_4bc5_b232_cc0fd1045cd6","iCat")</x:f>
      </x:c>
      <x:c r="M9980" s="0" t="s">
        <x:v>21</x:v>
      </x:c>
      <x:c r="N9980" s="0" t="s">
        <x:v>46</x:v>
      </x:c>
    </x:row>
    <x:row r="9981" spans="1:16">
      <x:c r="A9981" s="0" t="s">
        <x:v>39787</x:v>
      </x:c>
      <x:c r="B9981" s="0" t="s">
        <x:v>39788</x:v>
      </x:c>
      <x:c r="C9981" s="0" t="s">
        <x:v>39789</x:v>
      </x:c>
      <x:c r="E9981" s="0" t="s">
        <x:v>39790</x:v>
      </x:c>
      <x:c r="F9981" s="0" t="s">
        <x:v>45</x:v>
      </x:c>
      <x:c r="G9981" s="0" t="s">
        <x:v>19</x:v>
      </x:c>
      <x:c r="H9981" s="0" t="s">
        <x:v>20</x:v>
      </x:c>
      <x:c r="I9981" s="0" t="s">
        <x:v>21</x:v>
      </x:c>
      <x:c r="K9981" s="0">
        <x:f>hyperlink("https://icd.who.int/dev11/l-ichi/en#/http%3A%2F%2Fid.who.int%2Ficd%2Fentity%2F221078834","browser")</x:f>
      </x:c>
      <x:c r="L9981" s="0">
        <x:f>hyperlink("https://icat2.azurewebsites.net/icat/?ontology=ICD&amp;tab=ClassesTab&amp;id=http%3A%2F%2Fwho.int%2Ficd%232984_287df7d3_8979_4bc5_b232_cc0fd1045cd6","iCat")</x:f>
      </x:c>
      <x:c r="M9981" s="0" t="s">
        <x:v>21</x:v>
      </x:c>
      <x:c r="N9981" s="0" t="s">
        <x:v>46</x:v>
      </x:c>
    </x:row>
    <x:row r="9982" spans="1:16">
      <x:c r="A9982" s="0" t="s">
        <x:v>39791</x:v>
      </x:c>
      <x:c r="B9982" s="0" t="s">
        <x:v>39792</x:v>
      </x:c>
      <x:c r="C9982" s="0" t="s">
        <x:v>39793</x:v>
      </x:c>
      <x:c r="E9982" s="0" t="s">
        <x:v>39794</x:v>
      </x:c>
      <x:c r="F9982" s="0" t="s">
        <x:v>45</x:v>
      </x:c>
      <x:c r="G9982" s="0" t="s">
        <x:v>19</x:v>
      </x:c>
      <x:c r="H9982" s="0" t="s">
        <x:v>20</x:v>
      </x:c>
      <x:c r="I9982" s="0" t="s">
        <x:v>21</x:v>
      </x:c>
      <x:c r="K9982" s="0">
        <x:f>hyperlink("https://icd.who.int/dev11/l-ichi/en#/http%3A%2F%2Fid.who.int%2Ficd%2Fentity%2F1391408147","browser")</x:f>
      </x:c>
      <x:c r="L9982" s="0">
        <x:f>hyperlink("https://icat2.azurewebsites.net/icat/?ontology=ICD&amp;tab=ClassesTab&amp;id=http%3A%2F%2Fwho.int%2Ficd%232990_287df7d3_8979_4bc5_b232_cc0fd1045cd6","iCat")</x:f>
      </x:c>
      <x:c r="M9982" s="0" t="s">
        <x:v>21</x:v>
      </x:c>
      <x:c r="N9982" s="0" t="s">
        <x:v>46</x:v>
      </x:c>
    </x:row>
    <x:row r="9983" spans="1:16">
      <x:c r="A9983" s="0" t="s">
        <x:v>39795</x:v>
      </x:c>
      <x:c r="B9983" s="0" t="s">
        <x:v>39796</x:v>
      </x:c>
      <x:c r="C9983" s="0" t="s">
        <x:v>39797</x:v>
      </x:c>
      <x:c r="E9983" s="0" t="s">
        <x:v>39798</x:v>
      </x:c>
      <x:c r="F9983" s="0" t="s">
        <x:v>45</x:v>
      </x:c>
      <x:c r="G9983" s="0" t="s">
        <x:v>19</x:v>
      </x:c>
      <x:c r="H9983" s="0" t="s">
        <x:v>20</x:v>
      </x:c>
      <x:c r="I9983" s="0" t="s">
        <x:v>21</x:v>
      </x:c>
      <x:c r="K9983" s="0">
        <x:f>hyperlink("https://icd.who.int/dev11/l-ichi/en#/http%3A%2F%2Fid.who.int%2Ficd%2Fentity%2F43314596","browser")</x:f>
      </x:c>
      <x:c r="L9983" s="0">
        <x:f>hyperlink("https://icat2.azurewebsites.net/icat/?ontology=ICD&amp;tab=ClassesTab&amp;id=http%3A%2F%2Fwho.int%2Ficd%232996_287df7d3_8979_4bc5_b232_cc0fd1045cd6","iCat")</x:f>
      </x:c>
      <x:c r="M9983" s="0" t="s">
        <x:v>21</x:v>
      </x:c>
      <x:c r="N9983" s="0" t="s">
        <x:v>46</x:v>
      </x:c>
    </x:row>
    <x:row r="9984" spans="1:16">
      <x:c r="A9984" s="0" t="s">
        <x:v>39799</x:v>
      </x:c>
      <x:c r="B9984" s="0" t="s">
        <x:v>39800</x:v>
      </x:c>
      <x:c r="C9984" s="0" t="s">
        <x:v>39801</x:v>
      </x:c>
      <x:c r="E9984" s="0" t="s">
        <x:v>39802</x:v>
      </x:c>
      <x:c r="F9984" s="0" t="s">
        <x:v>45</x:v>
      </x:c>
      <x:c r="G9984" s="0" t="s">
        <x:v>19</x:v>
      </x:c>
      <x:c r="H9984" s="0" t="s">
        <x:v>20</x:v>
      </x:c>
      <x:c r="I9984" s="0" t="s">
        <x:v>21</x:v>
      </x:c>
      <x:c r="K9984" s="0">
        <x:f>hyperlink("https://icd.who.int/dev11/l-ichi/en#/http%3A%2F%2Fid.who.int%2Ficd%2Fentity%2F1693647361","browser")</x:f>
      </x:c>
      <x:c r="L9984" s="0">
        <x:f>hyperlink("https://icat2.azurewebsites.net/icat/?ontology=ICD&amp;tab=ClassesTab&amp;id=http%3A%2F%2Fwho.int%2Ficd%233002_287df7d3_8979_4bc5_b232_cc0fd1045cd6","iCat")</x:f>
      </x:c>
      <x:c r="M9984" s="0" t="s">
        <x:v>21</x:v>
      </x:c>
      <x:c r="N9984" s="0" t="s">
        <x:v>46</x:v>
      </x:c>
    </x:row>
    <x:row r="9985" spans="1:16">
      <x:c r="A9985" s="0" t="s">
        <x:v>39803</x:v>
      </x:c>
      <x:c r="B9985" s="0" t="s">
        <x:v>39804</x:v>
      </x:c>
      <x:c r="C9985" s="0" t="s">
        <x:v>39805</x:v>
      </x:c>
      <x:c r="E9985" s="0" t="s">
        <x:v>39806</x:v>
      </x:c>
      <x:c r="F9985" s="0" t="s">
        <x:v>45</x:v>
      </x:c>
      <x:c r="G9985" s="0" t="s">
        <x:v>19</x:v>
      </x:c>
      <x:c r="H9985" s="0" t="s">
        <x:v>20</x:v>
      </x:c>
      <x:c r="I9985" s="0" t="s">
        <x:v>21</x:v>
      </x:c>
      <x:c r="K9985" s="0">
        <x:f>hyperlink("https://icd.who.int/dev11/l-ichi/en#/http%3A%2F%2Fid.who.int%2Ficd%2Fentity%2F1326345873","browser")</x:f>
      </x:c>
      <x:c r="L9985" s="0">
        <x:f>hyperlink("https://icat2.azurewebsites.net/icat/?ontology=ICD&amp;tab=ClassesTab&amp;id=http%3A%2F%2Fwho.int%2Ficd%233008_287df7d3_8979_4bc5_b232_cc0fd1045cd6","iCat")</x:f>
      </x:c>
      <x:c r="M9985" s="0" t="s">
        <x:v>21</x:v>
      </x:c>
      <x:c r="N9985" s="0" t="s">
        <x:v>46</x:v>
      </x:c>
    </x:row>
    <x:row r="9986" spans="1:16">
      <x:c r="A9986" s="0" t="s">
        <x:v>39807</x:v>
      </x:c>
      <x:c r="B9986" s="0" t="s">
        <x:v>39808</x:v>
      </x:c>
      <x:c r="C9986" s="0" t="s">
        <x:v>39809</x:v>
      </x:c>
      <x:c r="E9986" s="0" t="s">
        <x:v>39810</x:v>
      </x:c>
      <x:c r="F9986" s="0" t="s">
        <x:v>45</x:v>
      </x:c>
      <x:c r="G9986" s="0" t="s">
        <x:v>19</x:v>
      </x:c>
      <x:c r="H9986" s="0" t="s">
        <x:v>20</x:v>
      </x:c>
      <x:c r="I9986" s="0" t="s">
        <x:v>21</x:v>
      </x:c>
      <x:c r="K9986" s="0">
        <x:f>hyperlink("https://icd.who.int/dev11/l-ichi/en#/http%3A%2F%2Fid.who.int%2Ficd%2Fentity%2F993088292","browser")</x:f>
      </x:c>
      <x:c r="L9986" s="0">
        <x:f>hyperlink("https://icat2.azurewebsites.net/icat/?ontology=ICD&amp;tab=ClassesTab&amp;id=http%3A%2F%2Fwho.int%2Ficd%233016_287df7d3_8979_4bc5_b232_cc0fd1045cd6","iCat")</x:f>
      </x:c>
      <x:c r="M9986" s="0" t="s">
        <x:v>21</x:v>
      </x:c>
      <x:c r="N9986" s="0" t="s">
        <x:v>46</x:v>
      </x:c>
    </x:row>
    <x:row r="9987" spans="1:16">
      <x:c r="A9987" s="0" t="s">
        <x:v>39811</x:v>
      </x:c>
      <x:c r="B9987" s="0" t="s">
        <x:v>39812</x:v>
      </x:c>
      <x:c r="C9987" s="0" t="s">
        <x:v>39813</x:v>
      </x:c>
      <x:c r="E9987" s="0" t="s">
        <x:v>39814</x:v>
      </x:c>
      <x:c r="F9987" s="0" t="s">
        <x:v>45</x:v>
      </x:c>
      <x:c r="G9987" s="0" t="s">
        <x:v>19</x:v>
      </x:c>
      <x:c r="H9987" s="0" t="s">
        <x:v>20</x:v>
      </x:c>
      <x:c r="I9987" s="0" t="s">
        <x:v>21</x:v>
      </x:c>
      <x:c r="K9987" s="0">
        <x:f>hyperlink("https://icd.who.int/dev11/l-ichi/en#/http%3A%2F%2Fid.who.int%2Ficd%2Fentity%2F1317525329","browser")</x:f>
      </x:c>
      <x:c r="L9987" s="0">
        <x:f>hyperlink("https://icat2.azurewebsites.net/icat/?ontology=ICD&amp;tab=ClassesTab&amp;id=http%3A%2F%2Fwho.int%2Ficd%233022_287df7d3_8979_4bc5_b232_cc0fd1045cd6","iCat")</x:f>
      </x:c>
      <x:c r="M9987" s="0" t="s">
        <x:v>21</x:v>
      </x:c>
      <x:c r="N9987" s="0" t="s">
        <x:v>46</x:v>
      </x:c>
    </x:row>
    <x:row r="9988" spans="1:16">
      <x:c r="A9988" s="0" t="s">
        <x:v>39815</x:v>
      </x:c>
      <x:c r="B9988" s="0" t="s">
        <x:v>39816</x:v>
      </x:c>
      <x:c r="C9988" s="0" t="s">
        <x:v>39817</x:v>
      </x:c>
      <x:c r="E9988" s="0" t="s">
        <x:v>39818</x:v>
      </x:c>
      <x:c r="F9988" s="0" t="s">
        <x:v>45</x:v>
      </x:c>
      <x:c r="G9988" s="0" t="s">
        <x:v>19</x:v>
      </x:c>
      <x:c r="H9988" s="0" t="s">
        <x:v>20</x:v>
      </x:c>
      <x:c r="I9988" s="0" t="s">
        <x:v>21</x:v>
      </x:c>
      <x:c r="K9988" s="0">
        <x:f>hyperlink("https://icd.who.int/dev11/l-ichi/en#/http%3A%2F%2Fid.who.int%2Ficd%2Fentity%2F1702542273","browser")</x:f>
      </x:c>
      <x:c r="L9988" s="0">
        <x:f>hyperlink("https://icat2.azurewebsites.net/icat/?ontology=ICD&amp;tab=ClassesTab&amp;id=http%3A%2F%2Fwho.int%2Ficd%233028_287df7d3_8979_4bc5_b232_cc0fd1045cd6","iCat")</x:f>
      </x:c>
      <x:c r="M9988" s="0" t="s">
        <x:v>21</x:v>
      </x:c>
      <x:c r="N9988" s="0" t="s">
        <x:v>46</x:v>
      </x:c>
    </x:row>
    <x:row r="9989" spans="1:16">
      <x:c r="A9989" s="0" t="s">
        <x:v>39819</x:v>
      </x:c>
      <x:c r="B9989" s="0" t="s">
        <x:v>39820</x:v>
      </x:c>
      <x:c r="C9989" s="0" t="s">
        <x:v>39821</x:v>
      </x:c>
      <x:c r="E9989" s="0" t="s">
        <x:v>39822</x:v>
      </x:c>
      <x:c r="F9989" s="0" t="s">
        <x:v>45</x:v>
      </x:c>
      <x:c r="G9989" s="0" t="s">
        <x:v>19</x:v>
      </x:c>
      <x:c r="H9989" s="0" t="s">
        <x:v>20</x:v>
      </x:c>
      <x:c r="I9989" s="0" t="s">
        <x:v>21</x:v>
      </x:c>
      <x:c r="K9989" s="0">
        <x:f>hyperlink("https://icd.who.int/dev11/l-ichi/en#/http%3A%2F%2Fid.who.int%2Ficd%2Fentity%2F1949932471","browser")</x:f>
      </x:c>
      <x:c r="L9989" s="0">
        <x:f>hyperlink("https://icat2.azurewebsites.net/icat/?ontology=ICD&amp;tab=ClassesTab&amp;id=http%3A%2F%2Fwho.int%2Ficd%233034_287df7d3_8979_4bc5_b232_cc0fd1045cd6","iCat")</x:f>
      </x:c>
      <x:c r="M9989" s="0" t="s">
        <x:v>21</x:v>
      </x:c>
      <x:c r="N9989" s="0" t="s">
        <x:v>46</x:v>
      </x:c>
    </x:row>
    <x:row r="9990" spans="1:16">
      <x:c r="A9990" s="0" t="s">
        <x:v>39823</x:v>
      </x:c>
      <x:c r="B9990" s="0" t="s">
        <x:v>39824</x:v>
      </x:c>
      <x:c r="C9990" s="0" t="s">
        <x:v>39825</x:v>
      </x:c>
      <x:c r="E9990" s="0" t="s">
        <x:v>39826</x:v>
      </x:c>
      <x:c r="F9990" s="0" t="s">
        <x:v>45</x:v>
      </x:c>
      <x:c r="G9990" s="0" t="s">
        <x:v>19</x:v>
      </x:c>
      <x:c r="H9990" s="0" t="s">
        <x:v>20</x:v>
      </x:c>
      <x:c r="I9990" s="0" t="s">
        <x:v>21</x:v>
      </x:c>
      <x:c r="K9990" s="0">
        <x:f>hyperlink("https://icd.who.int/dev11/l-ichi/en#/http%3A%2F%2Fid.who.int%2Ficd%2Fentity%2F1911049433","browser")</x:f>
      </x:c>
      <x:c r="L9990" s="0">
        <x:f>hyperlink("https://icat2.azurewebsites.net/icat/?ontology=ICD&amp;tab=ClassesTab&amp;id=http%3A%2F%2Fwho.int%2Ficd%233040_287df7d3_8979_4bc5_b232_cc0fd1045cd6","iCat")</x:f>
      </x:c>
      <x:c r="M9990" s="0" t="s">
        <x:v>21</x:v>
      </x:c>
      <x:c r="N9990" s="0" t="s">
        <x:v>46</x:v>
      </x:c>
    </x:row>
    <x:row r="9991" spans="1:16">
      <x:c r="A9991" s="0" t="s">
        <x:v>39827</x:v>
      </x:c>
      <x:c r="B9991" s="0" t="s">
        <x:v>39828</x:v>
      </x:c>
      <x:c r="C9991" s="0" t="s">
        <x:v>39829</x:v>
      </x:c>
      <x:c r="E9991" s="0" t="s">
        <x:v>39830</x:v>
      </x:c>
      <x:c r="F9991" s="0" t="s">
        <x:v>45</x:v>
      </x:c>
      <x:c r="G9991" s="0" t="s">
        <x:v>19</x:v>
      </x:c>
      <x:c r="H9991" s="0" t="s">
        <x:v>20</x:v>
      </x:c>
      <x:c r="I9991" s="0" t="s">
        <x:v>21</x:v>
      </x:c>
      <x:c r="K9991" s="0">
        <x:f>hyperlink("https://icd.who.int/dev11/l-ichi/en#/http%3A%2F%2Fid.who.int%2Ficd%2Fentity%2F563320170","browser")</x:f>
      </x:c>
      <x:c r="L9991" s="0">
        <x:f>hyperlink("https://icat2.azurewebsites.net/icat/?ontology=ICD&amp;tab=ClassesTab&amp;id=http%3A%2F%2Fwho.int%2Ficd%233046_287df7d3_8979_4bc5_b232_cc0fd1045cd6","iCat")</x:f>
      </x:c>
      <x:c r="M9991" s="0" t="s">
        <x:v>21</x:v>
      </x:c>
      <x:c r="N9991" s="0" t="s">
        <x:v>46</x:v>
      </x:c>
    </x:row>
    <x:row r="9992" spans="1:16">
      <x:c r="A9992" s="0" t="s">
        <x:v>39831</x:v>
      </x:c>
      <x:c r="B9992" s="0" t="s">
        <x:v>39832</x:v>
      </x:c>
      <x:c r="C9992" s="0" t="s">
        <x:v>39833</x:v>
      </x:c>
      <x:c r="E9992" s="0" t="s">
        <x:v>39834</x:v>
      </x:c>
      <x:c r="F9992" s="0" t="s">
        <x:v>45</x:v>
      </x:c>
      <x:c r="G9992" s="0" t="s">
        <x:v>19</x:v>
      </x:c>
      <x:c r="H9992" s="0" t="s">
        <x:v>20</x:v>
      </x:c>
      <x:c r="I9992" s="0" t="s">
        <x:v>21</x:v>
      </x:c>
      <x:c r="K9992" s="0">
        <x:f>hyperlink("https://icd.who.int/dev11/l-ichi/en#/http%3A%2F%2Fid.who.int%2Ficd%2Fentity%2F2119287883","browser")</x:f>
      </x:c>
      <x:c r="L9992" s="0">
        <x:f>hyperlink("https://icat2.azurewebsites.net/icat/?ontology=ICD&amp;tab=ClassesTab&amp;id=http%3A%2F%2Fwho.int%2Ficd%233052_287df7d3_8979_4bc5_b232_cc0fd1045cd6","iCat")</x:f>
      </x:c>
      <x:c r="M9992" s="0" t="s">
        <x:v>21</x:v>
      </x:c>
      <x:c r="N9992" s="0" t="s">
        <x:v>46</x:v>
      </x:c>
    </x:row>
    <x:row r="9993" spans="1:16">
      <x:c r="A9993" s="0" t="s">
        <x:v>39835</x:v>
      </x:c>
      <x:c r="B9993" s="0" t="s">
        <x:v>39836</x:v>
      </x:c>
      <x:c r="C9993" s="0" t="s">
        <x:v>39837</x:v>
      </x:c>
      <x:c r="E9993" s="0" t="s">
        <x:v>39838</x:v>
      </x:c>
      <x:c r="F9993" s="0" t="s">
        <x:v>45</x:v>
      </x:c>
      <x:c r="G9993" s="0" t="s">
        <x:v>19</x:v>
      </x:c>
      <x:c r="H9993" s="0" t="s">
        <x:v>20</x:v>
      </x:c>
      <x:c r="I9993" s="0" t="s">
        <x:v>21</x:v>
      </x:c>
      <x:c r="K9993" s="0">
        <x:f>hyperlink("https://icd.who.int/dev11/l-ichi/en#/http%3A%2F%2Fid.who.int%2Ficd%2Fentity%2F1437378779","browser")</x:f>
      </x:c>
      <x:c r="L9993" s="0">
        <x:f>hyperlink("https://icat2.azurewebsites.net/icat/?ontology=ICD&amp;tab=ClassesTab&amp;id=http%3A%2F%2Fwho.int%2Ficd%233058_287df7d3_8979_4bc5_b232_cc0fd1045cd6","iCat")</x:f>
      </x:c>
      <x:c r="M9993" s="0" t="s">
        <x:v>21</x:v>
      </x:c>
      <x:c r="N9993" s="0" t="s">
        <x:v>46</x:v>
      </x:c>
    </x:row>
    <x:row r="9994" spans="1:16">
      <x:c r="A9994" s="0" t="s">
        <x:v>39839</x:v>
      </x:c>
      <x:c r="B9994" s="0" t="s">
        <x:v>39840</x:v>
      </x:c>
      <x:c r="C9994" s="0" t="s">
        <x:v>39841</x:v>
      </x:c>
      <x:c r="E9994" s="0" t="s">
        <x:v>39842</x:v>
      </x:c>
      <x:c r="F9994" s="0" t="s">
        <x:v>45</x:v>
      </x:c>
      <x:c r="G9994" s="0" t="s">
        <x:v>19</x:v>
      </x:c>
      <x:c r="H9994" s="0" t="s">
        <x:v>20</x:v>
      </x:c>
      <x:c r="I9994" s="0" t="s">
        <x:v>21</x:v>
      </x:c>
      <x:c r="K9994" s="0">
        <x:f>hyperlink("https://icd.who.int/dev11/l-ichi/en#/http%3A%2F%2Fid.who.int%2Ficd%2Fentity%2F1855675901","browser")</x:f>
      </x:c>
      <x:c r="L9994" s="0">
        <x:f>hyperlink("https://icat2.azurewebsites.net/icat/?ontology=ICD&amp;tab=ClassesTab&amp;id=http%3A%2F%2Fwho.int%2Ficd%233064_287df7d3_8979_4bc5_b232_cc0fd1045cd6","iCat")</x:f>
      </x:c>
      <x:c r="M9994" s="0" t="s">
        <x:v>21</x:v>
      </x:c>
      <x:c r="N9994" s="0" t="s">
        <x:v>46</x:v>
      </x:c>
    </x:row>
    <x:row r="9995" spans="1:16">
      <x:c r="A9995" s="0" t="s">
        <x:v>39843</x:v>
      </x:c>
      <x:c r="B9995" s="0" t="s">
        <x:v>39844</x:v>
      </x:c>
      <x:c r="C9995" s="0" t="s">
        <x:v>39845</x:v>
      </x:c>
      <x:c r="E9995" s="0" t="s">
        <x:v>39846</x:v>
      </x:c>
      <x:c r="F9995" s="0" t="s">
        <x:v>45</x:v>
      </x:c>
      <x:c r="G9995" s="0" t="s">
        <x:v>19</x:v>
      </x:c>
      <x:c r="H9995" s="0" t="s">
        <x:v>20</x:v>
      </x:c>
      <x:c r="I9995" s="0" t="s">
        <x:v>21</x:v>
      </x:c>
      <x:c r="K9995" s="0">
        <x:f>hyperlink("https://icd.who.int/dev11/l-ichi/en#/http%3A%2F%2Fid.who.int%2Ficd%2Fentity%2F827919584","browser")</x:f>
      </x:c>
      <x:c r="L9995" s="0">
        <x:f>hyperlink("https://icat2.azurewebsites.net/icat/?ontology=ICD&amp;tab=ClassesTab&amp;id=http%3A%2F%2Fwho.int%2Ficd%233070_287df7d3_8979_4bc5_b232_cc0fd1045cd6","iCat")</x:f>
      </x:c>
      <x:c r="M9995" s="0" t="s">
        <x:v>21</x:v>
      </x:c>
      <x:c r="N9995" s="0" t="s">
        <x:v>46</x:v>
      </x:c>
    </x:row>
    <x:row r="9996" spans="1:16">
      <x:c r="A9996" s="0" t="s">
        <x:v>39847</x:v>
      </x:c>
      <x:c r="B9996" s="0" t="s">
        <x:v>39848</x:v>
      </x:c>
      <x:c r="C9996" s="0" t="s">
        <x:v>39849</x:v>
      </x:c>
      <x:c r="E9996" s="0" t="s">
        <x:v>39850</x:v>
      </x:c>
      <x:c r="F9996" s="0" t="s">
        <x:v>45</x:v>
      </x:c>
      <x:c r="G9996" s="0" t="s">
        <x:v>19</x:v>
      </x:c>
      <x:c r="H9996" s="0" t="s">
        <x:v>20</x:v>
      </x:c>
      <x:c r="I9996" s="0" t="s">
        <x:v>21</x:v>
      </x:c>
      <x:c r="K9996" s="0">
        <x:f>hyperlink("https://icd.who.int/dev11/l-ichi/en#/http%3A%2F%2Fid.who.int%2Ficd%2Fentity%2F1629672815","browser")</x:f>
      </x:c>
      <x:c r="L9996" s="0">
        <x:f>hyperlink("https://icat2.azurewebsites.net/icat/?ontology=ICD&amp;tab=ClassesTab&amp;id=http%3A%2F%2Fwho.int%2Ficd%233076_287df7d3_8979_4bc5_b232_cc0fd1045cd6","iCat")</x:f>
      </x:c>
      <x:c r="M9996" s="0" t="s">
        <x:v>21</x:v>
      </x:c>
      <x:c r="N9996" s="0" t="s">
        <x:v>46</x:v>
      </x:c>
    </x:row>
    <x:row r="9997" spans="1:16">
      <x:c r="A9997" s="0" t="s">
        <x:v>39851</x:v>
      </x:c>
      <x:c r="B9997" s="0" t="s">
        <x:v>39852</x:v>
      </x:c>
      <x:c r="C9997" s="0" t="s">
        <x:v>39853</x:v>
      </x:c>
      <x:c r="E9997" s="0" t="s">
        <x:v>39854</x:v>
      </x:c>
      <x:c r="F9997" s="0" t="s">
        <x:v>45</x:v>
      </x:c>
      <x:c r="G9997" s="0" t="s">
        <x:v>19</x:v>
      </x:c>
      <x:c r="H9997" s="0" t="s">
        <x:v>20</x:v>
      </x:c>
      <x:c r="I9997" s="0" t="s">
        <x:v>21</x:v>
      </x:c>
      <x:c r="K9997" s="0">
        <x:f>hyperlink("https://icd.who.int/dev11/l-ichi/en#/http%3A%2F%2Fid.who.int%2Ficd%2Fentity%2F2076335045","browser")</x:f>
      </x:c>
      <x:c r="L9997" s="0">
        <x:f>hyperlink("https://icat2.azurewebsites.net/icat/?ontology=ICD&amp;tab=ClassesTab&amp;id=http%3A%2F%2Fwho.int%2Ficd%233082_287df7d3_8979_4bc5_b232_cc0fd1045cd6","iCat")</x:f>
      </x:c>
      <x:c r="M9997" s="0" t="s">
        <x:v>21</x:v>
      </x:c>
      <x:c r="N9997" s="0" t="s">
        <x:v>46</x:v>
      </x:c>
    </x:row>
    <x:row r="9998" spans="1:16">
      <x:c r="A9998" s="0" t="s">
        <x:v>39855</x:v>
      </x:c>
      <x:c r="B9998" s="0" t="s">
        <x:v>39856</x:v>
      </x:c>
      <x:c r="C9998" s="0" t="s">
        <x:v>39857</x:v>
      </x:c>
      <x:c r="E9998" s="0" t="s">
        <x:v>39858</x:v>
      </x:c>
      <x:c r="F9998" s="0" t="s">
        <x:v>45</x:v>
      </x:c>
      <x:c r="G9998" s="0" t="s">
        <x:v>19</x:v>
      </x:c>
      <x:c r="H9998" s="0" t="s">
        <x:v>20</x:v>
      </x:c>
      <x:c r="I9998" s="0" t="s">
        <x:v>21</x:v>
      </x:c>
      <x:c r="K9998" s="0">
        <x:f>hyperlink("https://icd.who.int/dev11/l-ichi/en#/http%3A%2F%2Fid.who.int%2Ficd%2Fentity%2F1346320213","browser")</x:f>
      </x:c>
      <x:c r="L9998" s="0">
        <x:f>hyperlink("https://icat2.azurewebsites.net/icat/?ontology=ICD&amp;tab=ClassesTab&amp;id=http%3A%2F%2Fwho.int%2Ficd%233088_287df7d3_8979_4bc5_b232_cc0fd1045cd6","iCat")</x:f>
      </x:c>
      <x:c r="M9998" s="0" t="s">
        <x:v>21</x:v>
      </x:c>
      <x:c r="N9998" s="0" t="s">
        <x:v>46</x:v>
      </x:c>
    </x:row>
    <x:row r="9999" spans="1:16">
      <x:c r="A9999" s="0" t="s">
        <x:v>39859</x:v>
      </x:c>
      <x:c r="B9999" s="0" t="s">
        <x:v>39860</x:v>
      </x:c>
      <x:c r="C9999" s="0" t="s">
        <x:v>39861</x:v>
      </x:c>
      <x:c r="E9999" s="0" t="s">
        <x:v>39862</x:v>
      </x:c>
      <x:c r="F9999" s="0" t="s">
        <x:v>45</x:v>
      </x:c>
      <x:c r="G9999" s="0" t="s">
        <x:v>19</x:v>
      </x:c>
      <x:c r="H9999" s="0" t="s">
        <x:v>20</x:v>
      </x:c>
      <x:c r="I9999" s="0" t="s">
        <x:v>21</x:v>
      </x:c>
      <x:c r="K9999" s="0">
        <x:f>hyperlink("https://icd.who.int/dev11/l-ichi/en#/http%3A%2F%2Fid.who.int%2Ficd%2Fentity%2F1098651427","browser")</x:f>
      </x:c>
      <x:c r="L9999" s="0">
        <x:f>hyperlink("https://icat2.azurewebsites.net/icat/?ontology=ICD&amp;tab=ClassesTab&amp;id=http%3A%2F%2Fwho.int%2Ficd%233094_287df7d3_8979_4bc5_b232_cc0fd1045cd6","iCat")</x:f>
      </x:c>
      <x:c r="M9999" s="0" t="s">
        <x:v>21</x:v>
      </x:c>
      <x:c r="N9999" s="0" t="s">
        <x:v>46</x:v>
      </x:c>
    </x:row>
    <x:row r="10000" spans="1:16">
      <x:c r="A10000" s="0" t="s">
        <x:v>39863</x:v>
      </x:c>
      <x:c r="B10000" s="0" t="s">
        <x:v>39864</x:v>
      </x:c>
      <x:c r="C10000" s="0" t="s">
        <x:v>39865</x:v>
      </x:c>
      <x:c r="E10000" s="0" t="s">
        <x:v>39866</x:v>
      </x:c>
      <x:c r="F10000" s="0" t="s">
        <x:v>45</x:v>
      </x:c>
      <x:c r="G10000" s="0" t="s">
        <x:v>19</x:v>
      </x:c>
      <x:c r="H10000" s="0" t="s">
        <x:v>20</x:v>
      </x:c>
      <x:c r="I10000" s="0" t="s">
        <x:v>21</x:v>
      </x:c>
      <x:c r="K10000" s="0">
        <x:f>hyperlink("https://icd.who.int/dev11/l-ichi/en#/http%3A%2F%2Fid.who.int%2Ficd%2Fentity%2F1947261273","browser")</x:f>
      </x:c>
      <x:c r="L10000" s="0">
        <x:f>hyperlink("https://icat2.azurewebsites.net/icat/?ontology=ICD&amp;tab=ClassesTab&amp;id=http%3A%2F%2Fwho.int%2Ficd%233100_287df7d3_8979_4bc5_b232_cc0fd1045cd6","iCat")</x:f>
      </x:c>
      <x:c r="M10000" s="0" t="s">
        <x:v>21</x:v>
      </x:c>
      <x:c r="N10000" s="0" t="s">
        <x:v>46</x:v>
      </x:c>
    </x:row>
    <x:row r="10001" spans="1:16">
      <x:c r="A10001" s="0" t="s">
        <x:v>39867</x:v>
      </x:c>
      <x:c r="B10001" s="0" t="s">
        <x:v>39868</x:v>
      </x:c>
      <x:c r="C10001" s="0" t="s">
        <x:v>39869</x:v>
      </x:c>
      <x:c r="E10001" s="0" t="s">
        <x:v>39870</x:v>
      </x:c>
      <x:c r="F10001" s="0" t="s">
        <x:v>45</x:v>
      </x:c>
      <x:c r="G10001" s="0" t="s">
        <x:v>19</x:v>
      </x:c>
      <x:c r="H10001" s="0" t="s">
        <x:v>20</x:v>
      </x:c>
      <x:c r="I10001" s="0" t="s">
        <x:v>21</x:v>
      </x:c>
      <x:c r="K10001" s="0">
        <x:f>hyperlink("https://icd.who.int/dev11/l-ichi/en#/http%3A%2F%2Fid.who.int%2Ficd%2Fentity%2F982624268","browser")</x:f>
      </x:c>
      <x:c r="L10001" s="0">
        <x:f>hyperlink("https://icat2.azurewebsites.net/icat/?ontology=ICD&amp;tab=ClassesTab&amp;id=http%3A%2F%2Fwho.int%2Ficd%233108_287df7d3_8979_4bc5_b232_cc0fd1045cd6","iCat")</x:f>
      </x:c>
      <x:c r="M10001" s="0" t="s">
        <x:v>21</x:v>
      </x:c>
      <x:c r="N10001" s="0" t="s">
        <x:v>46</x:v>
      </x:c>
    </x:row>
    <x:row r="10002" spans="1:16">
      <x:c r="A10002" s="0" t="s">
        <x:v>39871</x:v>
      </x:c>
      <x:c r="B10002" s="0" t="s">
        <x:v>39872</x:v>
      </x:c>
      <x:c r="C10002" s="0" t="s">
        <x:v>39873</x:v>
      </x:c>
      <x:c r="E10002" s="0" t="s">
        <x:v>39874</x:v>
      </x:c>
      <x:c r="F10002" s="0" t="s">
        <x:v>45</x:v>
      </x:c>
      <x:c r="G10002" s="0" t="s">
        <x:v>19</x:v>
      </x:c>
      <x:c r="H10002" s="0" t="s">
        <x:v>20</x:v>
      </x:c>
      <x:c r="I10002" s="0" t="s">
        <x:v>21</x:v>
      </x:c>
      <x:c r="K10002" s="0">
        <x:f>hyperlink("https://icd.who.int/dev11/l-ichi/en#/http%3A%2F%2Fid.who.int%2Ficd%2Fentity%2F735217788","browser")</x:f>
      </x:c>
      <x:c r="L10002" s="0">
        <x:f>hyperlink("https://icat2.azurewebsites.net/icat/?ontology=ICD&amp;tab=ClassesTab&amp;id=http%3A%2F%2Fwho.int%2Ficd%233114_287df7d3_8979_4bc5_b232_cc0fd1045cd6","iCat")</x:f>
      </x:c>
      <x:c r="M10002" s="0" t="s">
        <x:v>21</x:v>
      </x:c>
      <x:c r="N10002" s="0" t="s">
        <x:v>46</x:v>
      </x:c>
    </x:row>
    <x:row r="10003" spans="1:16">
      <x:c r="A10003" s="0" t="s">
        <x:v>39875</x:v>
      </x:c>
      <x:c r="B10003" s="0" t="s">
        <x:v>39876</x:v>
      </x:c>
      <x:c r="C10003" s="0" t="s">
        <x:v>39877</x:v>
      </x:c>
      <x:c r="E10003" s="0" t="s">
        <x:v>39878</x:v>
      </x:c>
      <x:c r="F10003" s="0" t="s">
        <x:v>45</x:v>
      </x:c>
      <x:c r="G10003" s="0" t="s">
        <x:v>19</x:v>
      </x:c>
      <x:c r="H10003" s="0" t="s">
        <x:v>20</x:v>
      </x:c>
      <x:c r="I10003" s="0" t="s">
        <x:v>21</x:v>
      </x:c>
      <x:c r="K10003" s="0">
        <x:f>hyperlink("https://icd.who.int/dev11/l-ichi/en#/http%3A%2F%2Fid.who.int%2Ficd%2Fentity%2F1583614985","browser")</x:f>
      </x:c>
      <x:c r="L10003" s="0">
        <x:f>hyperlink("https://icat2.azurewebsites.net/icat/?ontology=ICD&amp;tab=ClassesTab&amp;id=http%3A%2F%2Fwho.int%2Ficd%233120_287df7d3_8979_4bc5_b232_cc0fd1045cd6","iCat")</x:f>
      </x:c>
      <x:c r="M10003" s="0" t="s">
        <x:v>21</x:v>
      </x:c>
      <x:c r="N10003" s="0" t="s">
        <x:v>46</x:v>
      </x:c>
    </x:row>
    <x:row r="10004" spans="1:16">
      <x:c r="A10004" s="0" t="s">
        <x:v>39879</x:v>
      </x:c>
      <x:c r="B10004" s="0" t="s">
        <x:v>39880</x:v>
      </x:c>
      <x:c r="C10004" s="0" t="s">
        <x:v>39881</x:v>
      </x:c>
      <x:c r="E10004" s="0" t="s">
        <x:v>39882</x:v>
      </x:c>
      <x:c r="F10004" s="0" t="s">
        <x:v>45</x:v>
      </x:c>
      <x:c r="G10004" s="0" t="s">
        <x:v>19</x:v>
      </x:c>
      <x:c r="H10004" s="0" t="s">
        <x:v>20</x:v>
      </x:c>
      <x:c r="I10004" s="0" t="s">
        <x:v>21</x:v>
      </x:c>
      <x:c r="K10004" s="0">
        <x:f>hyperlink("https://icd.who.int/dev11/l-ichi/en#/http%3A%2F%2Fid.who.int%2Ficd%2Fentity%2F236967352","browser")</x:f>
      </x:c>
      <x:c r="L10004" s="0">
        <x:f>hyperlink("https://icat2.azurewebsites.net/icat/?ontology=ICD&amp;tab=ClassesTab&amp;id=http%3A%2F%2Fwho.int%2Ficd%233126_287df7d3_8979_4bc5_b232_cc0fd1045cd6","iCat")</x:f>
      </x:c>
      <x:c r="M10004" s="0" t="s">
        <x:v>21</x:v>
      </x:c>
      <x:c r="N10004" s="0" t="s">
        <x:v>46</x:v>
      </x:c>
    </x:row>
    <x:row r="10005" spans="1:16">
      <x:c r="A10005" s="0" t="s">
        <x:v>39883</x:v>
      </x:c>
      <x:c r="B10005" s="0" t="s">
        <x:v>39884</x:v>
      </x:c>
      <x:c r="C10005" s="0" t="s">
        <x:v>39885</x:v>
      </x:c>
      <x:c r="E10005" s="0" t="s">
        <x:v>39886</x:v>
      </x:c>
      <x:c r="F10005" s="0" t="s">
        <x:v>45</x:v>
      </x:c>
      <x:c r="G10005" s="0" t="s">
        <x:v>19</x:v>
      </x:c>
      <x:c r="H10005" s="0" t="s">
        <x:v>20</x:v>
      </x:c>
      <x:c r="I10005" s="0" t="s">
        <x:v>21</x:v>
      </x:c>
      <x:c r="K10005" s="0">
        <x:f>hyperlink("https://icd.who.int/dev11/l-ichi/en#/http%3A%2F%2Fid.who.int%2Ficd%2Fentity%2F1373471899","browser")</x:f>
      </x:c>
      <x:c r="L10005" s="0">
        <x:f>hyperlink("https://icat2.azurewebsites.net/icat/?ontology=ICD&amp;tab=ClassesTab&amp;id=http%3A%2F%2Fwho.int%2Ficd%233132_287df7d3_8979_4bc5_b232_cc0fd1045cd6","iCat")</x:f>
      </x:c>
      <x:c r="M10005" s="0" t="s">
        <x:v>21</x:v>
      </x:c>
      <x:c r="N10005" s="0" t="s">
        <x:v>46</x:v>
      </x:c>
    </x:row>
    <x:row r="10006" spans="1:16">
      <x:c r="A10006" s="0" t="s">
        <x:v>39887</x:v>
      </x:c>
      <x:c r="B10006" s="0" t="s">
        <x:v>39888</x:v>
      </x:c>
      <x:c r="C10006" s="0" t="s">
        <x:v>39889</x:v>
      </x:c>
      <x:c r="E10006" s="0" t="s">
        <x:v>39890</x:v>
      </x:c>
      <x:c r="F10006" s="0" t="s">
        <x:v>45</x:v>
      </x:c>
      <x:c r="G10006" s="0" t="s">
        <x:v>19</x:v>
      </x:c>
      <x:c r="H10006" s="0" t="s">
        <x:v>20</x:v>
      </x:c>
      <x:c r="I10006" s="0" t="s">
        <x:v>21</x:v>
      </x:c>
      <x:c r="K10006" s="0">
        <x:f>hyperlink("https://icd.who.int/dev11/l-ichi/en#/http%3A%2F%2Fid.who.int%2Ficd%2Fentity%2F2048976907","browser")</x:f>
      </x:c>
      <x:c r="L10006" s="0">
        <x:f>hyperlink("https://icat2.azurewebsites.net/icat/?ontology=ICD&amp;tab=ClassesTab&amp;id=http%3A%2F%2Fwho.int%2Ficd%233138_287df7d3_8979_4bc5_b232_cc0fd1045cd6","iCat")</x:f>
      </x:c>
      <x:c r="M10006" s="0" t="s">
        <x:v>21</x:v>
      </x:c>
      <x:c r="N10006" s="0" t="s">
        <x:v>46</x:v>
      </x:c>
    </x:row>
    <x:row r="10007" spans="1:16">
      <x:c r="A10007" s="0" t="s">
        <x:v>39891</x:v>
      </x:c>
      <x:c r="B10007" s="0" t="s">
        <x:v>39892</x:v>
      </x:c>
      <x:c r="C10007" s="0" t="s">
        <x:v>39893</x:v>
      </x:c>
      <x:c r="E10007" s="0" t="s">
        <x:v>39894</x:v>
      </x:c>
      <x:c r="F10007" s="0" t="s">
        <x:v>45</x:v>
      </x:c>
      <x:c r="G10007" s="0" t="s">
        <x:v>19</x:v>
      </x:c>
      <x:c r="H10007" s="0" t="s">
        <x:v>20</x:v>
      </x:c>
      <x:c r="I10007" s="0" t="s">
        <x:v>21</x:v>
      </x:c>
      <x:c r="K10007" s="0">
        <x:f>hyperlink("https://icd.who.int/dev11/l-ichi/en#/http%3A%2F%2Fid.who.int%2Ficd%2Fentity%2F829443634","browser")</x:f>
      </x:c>
      <x:c r="L10007" s="0">
        <x:f>hyperlink("https://icat2.azurewebsites.net/icat/?ontology=ICD&amp;tab=ClassesTab&amp;id=http%3A%2F%2Fwho.int%2Ficd%233144_287df7d3_8979_4bc5_b232_cc0fd1045cd6","iCat")</x:f>
      </x:c>
      <x:c r="M10007" s="0" t="s">
        <x:v>21</x:v>
      </x:c>
      <x:c r="N10007" s="0" t="s">
        <x:v>46</x:v>
      </x:c>
    </x:row>
    <x:row r="10008" spans="1:16">
      <x:c r="A10008" s="0" t="s">
        <x:v>39895</x:v>
      </x:c>
      <x:c r="B10008" s="0" t="s">
        <x:v>39896</x:v>
      </x:c>
      <x:c r="C10008" s="0" t="s">
        <x:v>39897</x:v>
      </x:c>
      <x:c r="E10008" s="0" t="s">
        <x:v>39898</x:v>
      </x:c>
      <x:c r="F10008" s="0" t="s">
        <x:v>45</x:v>
      </x:c>
      <x:c r="G10008" s="0" t="s">
        <x:v>19</x:v>
      </x:c>
      <x:c r="H10008" s="0" t="s">
        <x:v>20</x:v>
      </x:c>
      <x:c r="I10008" s="0" t="s">
        <x:v>21</x:v>
      </x:c>
      <x:c r="K10008" s="0">
        <x:f>hyperlink("https://icd.who.int/dev11/l-ichi/en#/http%3A%2F%2Fid.who.int%2Ficd%2Fentity%2F1857167123","browser")</x:f>
      </x:c>
      <x:c r="L10008" s="0">
        <x:f>hyperlink("https://icat2.azurewebsites.net/icat/?ontology=ICD&amp;tab=ClassesTab&amp;id=http%3A%2F%2Fwho.int%2Ficd%233150_287df7d3_8979_4bc5_b232_cc0fd1045cd6","iCat")</x:f>
      </x:c>
      <x:c r="M10008" s="0" t="s">
        <x:v>21</x:v>
      </x:c>
      <x:c r="N10008" s="0" t="s">
        <x:v>46</x:v>
      </x:c>
    </x:row>
    <x:row r="10009" spans="1:16">
      <x:c r="A10009" s="0" t="s">
        <x:v>39899</x:v>
      </x:c>
      <x:c r="B10009" s="0" t="s">
        <x:v>39900</x:v>
      </x:c>
      <x:c r="C10009" s="0" t="s">
        <x:v>39901</x:v>
      </x:c>
      <x:c r="E10009" s="0" t="s">
        <x:v>39902</x:v>
      </x:c>
      <x:c r="F10009" s="0" t="s">
        <x:v>45</x:v>
      </x:c>
      <x:c r="G10009" s="0" t="s">
        <x:v>19</x:v>
      </x:c>
      <x:c r="H10009" s="0" t="s">
        <x:v>20</x:v>
      </x:c>
      <x:c r="I10009" s="0" t="s">
        <x:v>21</x:v>
      </x:c>
      <x:c r="K10009" s="0">
        <x:f>hyperlink("https://icd.who.int/dev11/l-ichi/en#/http%3A%2F%2Fid.who.int%2Ficd%2Fentity%2F1053410980","browser")</x:f>
      </x:c>
      <x:c r="L10009" s="0">
        <x:f>hyperlink("https://icat2.azurewebsites.net/icat/?ontology=ICD&amp;tab=ClassesTab&amp;id=http%3A%2F%2Fwho.int%2Ficd%233156_287df7d3_8979_4bc5_b232_cc0fd1045cd6","iCat")</x:f>
      </x:c>
      <x:c r="M10009" s="0" t="s">
        <x:v>21</x:v>
      </x:c>
      <x:c r="N10009" s="0" t="s">
        <x:v>46</x:v>
      </x:c>
    </x:row>
    <x:row r="10010" spans="1:16">
      <x:c r="A10010" s="0" t="s">
        <x:v>39903</x:v>
      </x:c>
      <x:c r="B10010" s="0" t="s">
        <x:v>39904</x:v>
      </x:c>
      <x:c r="C10010" s="0" t="s">
        <x:v>39905</x:v>
      </x:c>
      <x:c r="E10010" s="0" t="s">
        <x:v>39906</x:v>
      </x:c>
      <x:c r="F10010" s="0" t="s">
        <x:v>45</x:v>
      </x:c>
      <x:c r="G10010" s="0" t="s">
        <x:v>19</x:v>
      </x:c>
      <x:c r="H10010" s="0" t="s">
        <x:v>20</x:v>
      </x:c>
      <x:c r="I10010" s="0" t="s">
        <x:v>21</x:v>
      </x:c>
      <x:c r="K10010" s="0">
        <x:f>hyperlink("https://icd.who.int/dev11/l-ichi/en#/http%3A%2F%2Fid.who.int%2Ficd%2Fentity%2F1266631377","browser")</x:f>
      </x:c>
      <x:c r="L10010" s="0">
        <x:f>hyperlink("https://icat2.azurewebsites.net/icat/?ontology=ICD&amp;tab=ClassesTab&amp;id=http%3A%2F%2Fwho.int%2Ficd%233162_287df7d3_8979_4bc5_b232_cc0fd1045cd6","iCat")</x:f>
      </x:c>
      <x:c r="M10010" s="0" t="s">
        <x:v>21</x:v>
      </x:c>
      <x:c r="N10010" s="0" t="s">
        <x:v>46</x:v>
      </x:c>
    </x:row>
    <x:row r="10011" spans="1:16">
      <x:c r="A10011" s="0" t="s">
        <x:v>39907</x:v>
      </x:c>
      <x:c r="B10011" s="0" t="s">
        <x:v>39908</x:v>
      </x:c>
      <x:c r="C10011" s="0" t="s">
        <x:v>39909</x:v>
      </x:c>
      <x:c r="E10011" s="0" t="s">
        <x:v>39910</x:v>
      </x:c>
      <x:c r="F10011" s="0" t="s">
        <x:v>45</x:v>
      </x:c>
      <x:c r="G10011" s="0" t="s">
        <x:v>19</x:v>
      </x:c>
      <x:c r="H10011" s="0" t="s">
        <x:v>20</x:v>
      </x:c>
      <x:c r="I10011" s="0" t="s">
        <x:v>21</x:v>
      </x:c>
      <x:c r="K10011" s="0">
        <x:f>hyperlink("https://icd.who.int/dev11/l-ichi/en#/http%3A%2F%2Fid.who.int%2Ficd%2Fentity%2F1619144257","browser")</x:f>
      </x:c>
      <x:c r="L10011" s="0">
        <x:f>hyperlink("https://icat2.azurewebsites.net/icat/?ontology=ICD&amp;tab=ClassesTab&amp;id=http%3A%2F%2Fwho.int%2Ficd%233168_287df7d3_8979_4bc5_b232_cc0fd1045cd6","iCat")</x:f>
      </x:c>
      <x:c r="M10011" s="0" t="s">
        <x:v>21</x:v>
      </x:c>
      <x:c r="N10011" s="0" t="s">
        <x:v>46</x:v>
      </x:c>
    </x:row>
    <x:row r="10012" spans="1:16">
      <x:c r="A10012" s="0" t="s">
        <x:v>39911</x:v>
      </x:c>
      <x:c r="B10012" s="0" t="s">
        <x:v>39912</x:v>
      </x:c>
      <x:c r="C10012" s="0" t="s">
        <x:v>39913</x:v>
      </x:c>
      <x:c r="E10012" s="0" t="s">
        <x:v>39914</x:v>
      </x:c>
      <x:c r="F10012" s="0" t="s">
        <x:v>45</x:v>
      </x:c>
      <x:c r="G10012" s="0" t="s">
        <x:v>19</x:v>
      </x:c>
      <x:c r="H10012" s="0" t="s">
        <x:v>20</x:v>
      </x:c>
      <x:c r="I10012" s="0" t="s">
        <x:v>21</x:v>
      </x:c>
      <x:c r="K10012" s="0">
        <x:f>hyperlink("https://icd.who.int/dev11/l-ichi/en#/http%3A%2F%2Fid.who.int%2Ficd%2Fentity%2F1908477495","browser")</x:f>
      </x:c>
      <x:c r="L10012" s="0">
        <x:f>hyperlink("https://icat2.azurewebsites.net/icat/?ontology=ICD&amp;tab=ClassesTab&amp;id=http%3A%2F%2Fwho.int%2Ficd%233174_287df7d3_8979_4bc5_b232_cc0fd1045cd6","iCat")</x:f>
      </x:c>
      <x:c r="M10012" s="0" t="s">
        <x:v>21</x:v>
      </x:c>
      <x:c r="N10012" s="0" t="s">
        <x:v>46</x:v>
      </x:c>
    </x:row>
    <x:row r="10013" spans="1:16">
      <x:c r="A10013" s="0" t="s">
        <x:v>39915</x:v>
      </x:c>
      <x:c r="B10013" s="0" t="s">
        <x:v>39916</x:v>
      </x:c>
      <x:c r="C10013" s="0" t="s">
        <x:v>39917</x:v>
      </x:c>
      <x:c r="E10013" s="0" t="s">
        <x:v>39918</x:v>
      </x:c>
      <x:c r="F10013" s="0" t="s">
        <x:v>45</x:v>
      </x:c>
      <x:c r="G10013" s="0" t="s">
        <x:v>19</x:v>
      </x:c>
      <x:c r="H10013" s="0" t="s">
        <x:v>20</x:v>
      </x:c>
      <x:c r="I10013" s="0" t="s">
        <x:v>21</x:v>
      </x:c>
      <x:c r="K10013" s="0">
        <x:f>hyperlink("https://icd.who.int/dev11/l-ichi/en#/http%3A%2F%2Fid.who.int%2Ficd%2Fentity%2F1797357725","browser")</x:f>
      </x:c>
      <x:c r="L10013" s="0">
        <x:f>hyperlink("https://icat2.azurewebsites.net/icat/?ontology=ICD&amp;tab=ClassesTab&amp;id=http%3A%2F%2Fwho.int%2Ficd%233180_287df7d3_8979_4bc5_b232_cc0fd1045cd6","iCat")</x:f>
      </x:c>
      <x:c r="M10013" s="0" t="s">
        <x:v>21</x:v>
      </x:c>
      <x:c r="N10013" s="0" t="s">
        <x:v>46</x:v>
      </x:c>
    </x:row>
    <x:row r="10014" spans="1:16">
      <x:c r="A10014" s="0" t="s">
        <x:v>39919</x:v>
      </x:c>
      <x:c r="B10014" s="0" t="s">
        <x:v>39920</x:v>
      </x:c>
      <x:c r="C10014" s="0" t="s">
        <x:v>39921</x:v>
      </x:c>
      <x:c r="E10014" s="0" t="s">
        <x:v>39922</x:v>
      </x:c>
      <x:c r="F10014" s="0" t="s">
        <x:v>45</x:v>
      </x:c>
      <x:c r="G10014" s="0" t="s">
        <x:v>19</x:v>
      </x:c>
      <x:c r="H10014" s="0" t="s">
        <x:v>20</x:v>
      </x:c>
      <x:c r="I10014" s="0" t="s">
        <x:v>21</x:v>
      </x:c>
      <x:c r="K10014" s="0">
        <x:f>hyperlink("https://icd.who.int/dev11/l-ichi/en#/http%3A%2F%2Fid.who.int%2Ficd%2Fentity%2F995776812","browser")</x:f>
      </x:c>
      <x:c r="L10014" s="0">
        <x:f>hyperlink("https://icat2.azurewebsites.net/icat/?ontology=ICD&amp;tab=ClassesTab&amp;id=http%3A%2F%2Fwho.int%2Ficd%233186_287df7d3_8979_4bc5_b232_cc0fd1045cd6","iCat")</x:f>
      </x:c>
      <x:c r="M10014" s="0" t="s">
        <x:v>21</x:v>
      </x:c>
      <x:c r="N10014" s="0" t="s">
        <x:v>46</x:v>
      </x:c>
    </x:row>
    <x:row r="10015" spans="1:16">
      <x:c r="A10015" s="0" t="s">
        <x:v>39923</x:v>
      </x:c>
      <x:c r="B10015" s="0" t="s">
        <x:v>39924</x:v>
      </x:c>
      <x:c r="C10015" s="0" t="s">
        <x:v>39925</x:v>
      </x:c>
      <x:c r="E10015" s="0" t="s">
        <x:v>39926</x:v>
      </x:c>
      <x:c r="F10015" s="0" t="s">
        <x:v>45</x:v>
      </x:c>
      <x:c r="G10015" s="0" t="s">
        <x:v>19</x:v>
      </x:c>
      <x:c r="H10015" s="0" t="s">
        <x:v>20</x:v>
      </x:c>
      <x:c r="I10015" s="0" t="s">
        <x:v>21</x:v>
      </x:c>
      <x:c r="K10015" s="0">
        <x:f>hyperlink("https://icd.who.int/dev11/l-ichi/en#/http%3A%2F%2Fid.who.int%2Ficd%2Fentity%2F1687685135","browser")</x:f>
      </x:c>
      <x:c r="L10015" s="0">
        <x:f>hyperlink("https://icat2.azurewebsites.net/icat/?ontology=ICD&amp;tab=ClassesTab&amp;id=http%3A%2F%2Fwho.int%2Ficd%233192_287df7d3_8979_4bc5_b232_cc0fd1045cd6","iCat")</x:f>
      </x:c>
      <x:c r="M10015" s="0" t="s">
        <x:v>21</x:v>
      </x:c>
      <x:c r="N10015" s="0" t="s">
        <x:v>46</x:v>
      </x:c>
    </x:row>
    <x:row r="10016" spans="1:16">
      <x:c r="A10016" s="0" t="s">
        <x:v>39927</x:v>
      </x:c>
      <x:c r="B10016" s="0" t="s">
        <x:v>39928</x:v>
      </x:c>
      <x:c r="C10016" s="0" t="s">
        <x:v>39929</x:v>
      </x:c>
      <x:c r="E10016" s="0" t="s">
        <x:v>39930</x:v>
      </x:c>
      <x:c r="F10016" s="0" t="s">
        <x:v>45</x:v>
      </x:c>
      <x:c r="G10016" s="0" t="s">
        <x:v>19</x:v>
      </x:c>
      <x:c r="H10016" s="0" t="s">
        <x:v>20</x:v>
      </x:c>
      <x:c r="I10016" s="0" t="s">
        <x:v>21</x:v>
      </x:c>
      <x:c r="K10016" s="0">
        <x:f>hyperlink("https://icd.who.int/dev11/l-ichi/en#/http%3A%2F%2Fid.who.int%2Ficd%2Fentity%2F1332044959","browser")</x:f>
      </x:c>
      <x:c r="L10016" s="0">
        <x:f>hyperlink("https://icat2.azurewebsites.net/icat/?ontology=ICD&amp;tab=ClassesTab&amp;id=http%3A%2F%2Fwho.int%2Ficd%233198_287df7d3_8979_4bc5_b232_cc0fd1045cd6","iCat")</x:f>
      </x:c>
      <x:c r="M10016" s="0" t="s">
        <x:v>21</x:v>
      </x:c>
      <x:c r="N10016" s="0" t="s">
        <x:v>46</x:v>
      </x:c>
    </x:row>
    <x:row r="10017" spans="1:16">
      <x:c r="A10017" s="0" t="s">
        <x:v>39931</x:v>
      </x:c>
      <x:c r="B10017" s="0" t="s">
        <x:v>39932</x:v>
      </x:c>
      <x:c r="C10017" s="0" t="s">
        <x:v>39933</x:v>
      </x:c>
      <x:c r="E10017" s="0" t="s">
        <x:v>39934</x:v>
      </x:c>
      <x:c r="F10017" s="0" t="s">
        <x:v>45</x:v>
      </x:c>
      <x:c r="G10017" s="0" t="s">
        <x:v>19</x:v>
      </x:c>
      <x:c r="H10017" s="0" t="s">
        <x:v>20</x:v>
      </x:c>
      <x:c r="I10017" s="0" t="s">
        <x:v>21</x:v>
      </x:c>
      <x:c r="K10017" s="0">
        <x:f>hyperlink("https://icd.who.int/dev11/l-ichi/en#/http%3A%2F%2Fid.who.int%2Ficd%2Fentity%2F541632884","browser")</x:f>
      </x:c>
      <x:c r="L10017" s="0">
        <x:f>hyperlink("https://icat2.azurewebsites.net/icat/?ontology=ICD&amp;tab=ClassesTab&amp;id=http%3A%2F%2Fwho.int%2Ficd%233204_287df7d3_8979_4bc5_b232_cc0fd1045cd6","iCat")</x:f>
      </x:c>
      <x:c r="M10017" s="0" t="s">
        <x:v>21</x:v>
      </x:c>
      <x:c r="N10017" s="0" t="s">
        <x:v>46</x:v>
      </x:c>
    </x:row>
    <x:row r="10018" spans="1:16">
      <x:c r="A10018" s="0" t="s">
        <x:v>39935</x:v>
      </x:c>
      <x:c r="B10018" s="0" t="s">
        <x:v>39936</x:v>
      </x:c>
      <x:c r="C10018" s="0" t="s">
        <x:v>39937</x:v>
      </x:c>
      <x:c r="E10018" s="0" t="s">
        <x:v>39938</x:v>
      </x:c>
      <x:c r="F10018" s="0" t="s">
        <x:v>45</x:v>
      </x:c>
      <x:c r="G10018" s="0" t="s">
        <x:v>19</x:v>
      </x:c>
      <x:c r="H10018" s="0" t="s">
        <x:v>20</x:v>
      </x:c>
      <x:c r="I10018" s="0" t="s">
        <x:v>21</x:v>
      </x:c>
      <x:c r="K10018" s="0">
        <x:f>hyperlink("https://icd.who.int/dev11/l-ichi/en#/http%3A%2F%2Fid.who.int%2Ficd%2Fentity%2F2139813975","browser")</x:f>
      </x:c>
      <x:c r="L10018" s="0">
        <x:f>hyperlink("https://icat2.azurewebsites.net/icat/?ontology=ICD&amp;tab=ClassesTab&amp;id=http%3A%2F%2Fwho.int%2Ficd%233210_287df7d3_8979_4bc5_b232_cc0fd1045cd6","iCat")</x:f>
      </x:c>
      <x:c r="M10018" s="0" t="s">
        <x:v>21</x:v>
      </x:c>
      <x:c r="N10018" s="0" t="s">
        <x:v>46</x:v>
      </x:c>
    </x:row>
    <x:row r="10019" spans="1:16">
      <x:c r="A10019" s="0" t="s">
        <x:v>39939</x:v>
      </x:c>
      <x:c r="B10019" s="0" t="s">
        <x:v>39940</x:v>
      </x:c>
      <x:c r="C10019" s="0" t="s">
        <x:v>39941</x:v>
      </x:c>
      <x:c r="E10019" s="0" t="s">
        <x:v>39942</x:v>
      </x:c>
      <x:c r="F10019" s="0" t="s">
        <x:v>45</x:v>
      </x:c>
      <x:c r="G10019" s="0" t="s">
        <x:v>19</x:v>
      </x:c>
      <x:c r="H10019" s="0" t="s">
        <x:v>20</x:v>
      </x:c>
      <x:c r="I10019" s="0" t="s">
        <x:v>21</x:v>
      </x:c>
      <x:c r="K10019" s="0">
        <x:f>hyperlink("https://icd.who.int/dev11/l-ichi/en#/http%3A%2F%2Fid.who.int%2Ficd%2Fentity%2F804332006","browser")</x:f>
      </x:c>
      <x:c r="L10019" s="0">
        <x:f>hyperlink("https://icat2.azurewebsites.net/icat/?ontology=ICD&amp;tab=ClassesTab&amp;id=http%3A%2F%2Fwho.int%2Ficd%233216_287df7d3_8979_4bc5_b232_cc0fd1045cd6","iCat")</x:f>
      </x:c>
      <x:c r="M10019" s="0" t="s">
        <x:v>21</x:v>
      </x:c>
      <x:c r="N10019" s="0" t="s">
        <x:v>46</x:v>
      </x:c>
    </x:row>
    <x:row r="10020" spans="1:16">
      <x:c r="A10020" s="0" t="s">
        <x:v>39943</x:v>
      </x:c>
      <x:c r="B10020" s="0" t="s">
        <x:v>39944</x:v>
      </x:c>
      <x:c r="C10020" s="0" t="s">
        <x:v>39945</x:v>
      </x:c>
      <x:c r="E10020" s="0" t="s">
        <x:v>39946</x:v>
      </x:c>
      <x:c r="F10020" s="0" t="s">
        <x:v>45</x:v>
      </x:c>
      <x:c r="G10020" s="0" t="s">
        <x:v>19</x:v>
      </x:c>
      <x:c r="H10020" s="0" t="s">
        <x:v>20</x:v>
      </x:c>
      <x:c r="I10020" s="0" t="s">
        <x:v>21</x:v>
      </x:c>
      <x:c r="K10020" s="0">
        <x:f>hyperlink("https://icd.who.int/dev11/l-ichi/en#/http%3A%2F%2Fid.who.int%2Ficd%2Fentity%2F1514644885","browser")</x:f>
      </x:c>
      <x:c r="L10020" s="0">
        <x:f>hyperlink("https://icat2.azurewebsites.net/icat/?ontology=ICD&amp;tab=ClassesTab&amp;id=http%3A%2F%2Fwho.int%2Ficd%233222_287df7d3_8979_4bc5_b232_cc0fd1045cd6","iCat")</x:f>
      </x:c>
      <x:c r="M10020" s="0" t="s">
        <x:v>21</x:v>
      </x:c>
      <x:c r="N10020" s="0" t="s">
        <x:v>46</x:v>
      </x:c>
    </x:row>
    <x:row r="10021" spans="1:16">
      <x:c r="A10021" s="0" t="s">
        <x:v>39947</x:v>
      </x:c>
      <x:c r="B10021" s="0" t="s">
        <x:v>39948</x:v>
      </x:c>
      <x:c r="C10021" s="0" t="s">
        <x:v>39949</x:v>
      </x:c>
      <x:c r="E10021" s="0" t="s">
        <x:v>39950</x:v>
      </x:c>
      <x:c r="F10021" s="0" t="s">
        <x:v>45</x:v>
      </x:c>
      <x:c r="G10021" s="0" t="s">
        <x:v>19</x:v>
      </x:c>
      <x:c r="H10021" s="0" t="s">
        <x:v>20</x:v>
      </x:c>
      <x:c r="I10021" s="0" t="s">
        <x:v>21</x:v>
      </x:c>
      <x:c r="K10021" s="0">
        <x:f>hyperlink("https://icd.who.int/dev11/l-ichi/en#/http%3A%2F%2Fid.who.int%2Ficd%2Fentity%2F1908066565","browser")</x:f>
      </x:c>
      <x:c r="L10021" s="0">
        <x:f>hyperlink("https://icat2.azurewebsites.net/icat/?ontology=ICD&amp;tab=ClassesTab&amp;id=http%3A%2F%2Fwho.int%2Ficd%233228_287df7d3_8979_4bc5_b232_cc0fd1045cd6","iCat")</x:f>
      </x:c>
      <x:c r="M10021" s="0" t="s">
        <x:v>21</x:v>
      </x:c>
      <x:c r="N10021" s="0" t="s">
        <x:v>46</x:v>
      </x:c>
    </x:row>
    <x:row r="10022" spans="1:16">
      <x:c r="A10022" s="0" t="s">
        <x:v>39951</x:v>
      </x:c>
      <x:c r="B10022" s="0" t="s">
        <x:v>39952</x:v>
      </x:c>
      <x:c r="C10022" s="0" t="s">
        <x:v>39953</x:v>
      </x:c>
      <x:c r="E10022" s="0" t="s">
        <x:v>39954</x:v>
      </x:c>
      <x:c r="F10022" s="0" t="s">
        <x:v>45</x:v>
      </x:c>
      <x:c r="G10022" s="0" t="s">
        <x:v>19</x:v>
      </x:c>
      <x:c r="H10022" s="0" t="s">
        <x:v>20</x:v>
      </x:c>
      <x:c r="I10022" s="0" t="s">
        <x:v>21</x:v>
      </x:c>
      <x:c r="K10022" s="0">
        <x:f>hyperlink("https://icd.who.int/dev11/l-ichi/en#/http%3A%2F%2Fid.who.int%2Ficd%2Fentity%2F1626990963","browser")</x:f>
      </x:c>
      <x:c r="L10022" s="0">
        <x:f>hyperlink("https://icat2.azurewebsites.net/icat/?ontology=ICD&amp;tab=ClassesTab&amp;id=http%3A%2F%2Fwho.int%2Ficd%233234_287df7d3_8979_4bc5_b232_cc0fd1045cd6","iCat")</x:f>
      </x:c>
      <x:c r="M10022" s="0" t="s">
        <x:v>21</x:v>
      </x:c>
      <x:c r="N10022" s="0" t="s">
        <x:v>46</x:v>
      </x:c>
    </x:row>
    <x:row r="10023" spans="1:16">
      <x:c r="A10023" s="0" t="s">
        <x:v>39955</x:v>
      </x:c>
      <x:c r="B10023" s="0" t="s">
        <x:v>39956</x:v>
      </x:c>
      <x:c r="C10023" s="0" t="s">
        <x:v>39957</x:v>
      </x:c>
      <x:c r="E10023" s="0" t="s">
        <x:v>39958</x:v>
      </x:c>
      <x:c r="F10023" s="0" t="s">
        <x:v>45</x:v>
      </x:c>
      <x:c r="G10023" s="0" t="s">
        <x:v>19</x:v>
      </x:c>
      <x:c r="H10023" s="0" t="s">
        <x:v>20</x:v>
      </x:c>
      <x:c r="I10023" s="0" t="s">
        <x:v>21</x:v>
      </x:c>
      <x:c r="K10023" s="0">
        <x:f>hyperlink("https://icd.who.int/dev11/l-ichi/en#/http%3A%2F%2Fid.who.int%2Ficd%2Fentity%2F1697136157","browser")</x:f>
      </x:c>
      <x:c r="L10023" s="0">
        <x:f>hyperlink("https://icat2.azurewebsites.net/icat/?ontology=ICD&amp;tab=ClassesTab&amp;id=http%3A%2F%2Fwho.int%2Ficd%233240_287df7d3_8979_4bc5_b232_cc0fd1045cd6","iCat")</x:f>
      </x:c>
      <x:c r="M10023" s="0" t="s">
        <x:v>21</x:v>
      </x:c>
      <x:c r="N10023" s="0" t="s">
        <x:v>46</x:v>
      </x:c>
    </x:row>
    <x:row r="10024" spans="1:16">
      <x:c r="A10024" s="0" t="s">
        <x:v>39959</x:v>
      </x:c>
      <x:c r="B10024" s="0" t="s">
        <x:v>39960</x:v>
      </x:c>
      <x:c r="C10024" s="0" t="s">
        <x:v>39961</x:v>
      </x:c>
      <x:c r="E10024" s="0" t="s">
        <x:v>39962</x:v>
      </x:c>
      <x:c r="F10024" s="0" t="s">
        <x:v>45</x:v>
      </x:c>
      <x:c r="G10024" s="0" t="s">
        <x:v>19</x:v>
      </x:c>
      <x:c r="H10024" s="0" t="s">
        <x:v>20</x:v>
      </x:c>
      <x:c r="I10024" s="0" t="s">
        <x:v>21</x:v>
      </x:c>
      <x:c r="K10024" s="0">
        <x:f>hyperlink("https://icd.who.int/dev11/l-ichi/en#/http%3A%2F%2Fid.who.int%2Ficd%2Fentity%2F894691244","browser")</x:f>
      </x:c>
      <x:c r="L10024" s="0">
        <x:f>hyperlink("https://icat2.azurewebsites.net/icat/?ontology=ICD&amp;tab=ClassesTab&amp;id=http%3A%2F%2Fwho.int%2Ficd%233246_287df7d3_8979_4bc5_b232_cc0fd1045cd6","iCat")</x:f>
      </x:c>
      <x:c r="M10024" s="0" t="s">
        <x:v>21</x:v>
      </x:c>
      <x:c r="N10024" s="0" t="s">
        <x:v>46</x:v>
      </x:c>
    </x:row>
    <x:row r="10025" spans="1:16">
      <x:c r="A10025" s="0" t="s">
        <x:v>39963</x:v>
      </x:c>
      <x:c r="B10025" s="0" t="s">
        <x:v>39964</x:v>
      </x:c>
      <x:c r="C10025" s="0" t="s">
        <x:v>39965</x:v>
      </x:c>
      <x:c r="E10025" s="0" t="s">
        <x:v>39966</x:v>
      </x:c>
      <x:c r="F10025" s="0" t="s">
        <x:v>45</x:v>
      </x:c>
      <x:c r="G10025" s="0" t="s">
        <x:v>19</x:v>
      </x:c>
      <x:c r="H10025" s="0" t="s">
        <x:v>20</x:v>
      </x:c>
      <x:c r="I10025" s="0" t="s">
        <x:v>21</x:v>
      </x:c>
      <x:c r="K10025" s="0">
        <x:f>hyperlink("https://icd.who.int/dev11/l-ichi/en#/http%3A%2F%2Fid.who.int%2Ficd%2Fentity%2F1787934351","browser")</x:f>
      </x:c>
      <x:c r="L10025" s="0">
        <x:f>hyperlink("https://icat2.azurewebsites.net/icat/?ontology=ICD&amp;tab=ClassesTab&amp;id=http%3A%2F%2Fwho.int%2Ficd%233252_287df7d3_8979_4bc5_b232_cc0fd1045cd6","iCat")</x:f>
      </x:c>
      <x:c r="M10025" s="0" t="s">
        <x:v>21</x:v>
      </x:c>
      <x:c r="N10025" s="0" t="s">
        <x:v>46</x:v>
      </x:c>
    </x:row>
    <x:row r="10026" spans="1:16">
      <x:c r="A10026" s="0" t="s">
        <x:v>39967</x:v>
      </x:c>
      <x:c r="B10026" s="0" t="s">
        <x:v>39968</x:v>
      </x:c>
      <x:c r="C10026" s="0" t="s">
        <x:v>39969</x:v>
      </x:c>
      <x:c r="E10026" s="0" t="s">
        <x:v>39970</x:v>
      </x:c>
      <x:c r="F10026" s="0" t="s">
        <x:v>45</x:v>
      </x:c>
      <x:c r="G10026" s="0" t="s">
        <x:v>19</x:v>
      </x:c>
      <x:c r="H10026" s="0" t="s">
        <x:v>20</x:v>
      </x:c>
      <x:c r="I10026" s="0" t="s">
        <x:v>21</x:v>
      </x:c>
      <x:c r="K10026" s="0">
        <x:f>hyperlink("https://icd.who.int/dev11/l-ichi/en#/http%3A%2F%2Fid.who.int%2Ficd%2Fentity%2F1097652767","browser")</x:f>
      </x:c>
      <x:c r="L10026" s="0">
        <x:f>hyperlink("https://icat2.azurewebsites.net/icat/?ontology=ICD&amp;tab=ClassesTab&amp;id=http%3A%2F%2Fwho.int%2Ficd%233258_287df7d3_8979_4bc5_b232_cc0fd1045cd6","iCat")</x:f>
      </x:c>
      <x:c r="M10026" s="0" t="s">
        <x:v>21</x:v>
      </x:c>
      <x:c r="N10026" s="0" t="s">
        <x:v>46</x:v>
      </x:c>
    </x:row>
    <x:row r="10027" spans="1:16">
      <x:c r="A10027" s="0" t="s">
        <x:v>39971</x:v>
      </x:c>
      <x:c r="B10027" s="0" t="s">
        <x:v>39972</x:v>
      </x:c>
      <x:c r="C10027" s="0" t="s">
        <x:v>39973</x:v>
      </x:c>
      <x:c r="E10027" s="0" t="s">
        <x:v>39974</x:v>
      </x:c>
      <x:c r="F10027" s="0" t="s">
        <x:v>45</x:v>
      </x:c>
      <x:c r="G10027" s="0" t="s">
        <x:v>19</x:v>
      </x:c>
      <x:c r="H10027" s="0" t="s">
        <x:v>20</x:v>
      </x:c>
      <x:c r="I10027" s="0" t="s">
        <x:v>21</x:v>
      </x:c>
      <x:c r="K10027" s="0">
        <x:f>hyperlink("https://icd.who.int/dev11/l-ichi/en#/http%3A%2F%2Fid.who.int%2Ficd%2Fentity%2F2052796217","browser")</x:f>
      </x:c>
      <x:c r="L10027" s="0">
        <x:f>hyperlink("https://icat2.azurewebsites.net/icat/?ontology=ICD&amp;tab=ClassesTab&amp;id=http%3A%2F%2Fwho.int%2Ficd%233264_287df7d3_8979_4bc5_b232_cc0fd1045cd6","iCat")</x:f>
      </x:c>
      <x:c r="M10027" s="0" t="s">
        <x:v>21</x:v>
      </x:c>
      <x:c r="N10027" s="0" t="s">
        <x:v>46</x:v>
      </x:c>
    </x:row>
    <x:row r="10028" spans="1:16">
      <x:c r="A10028" s="0" t="s">
        <x:v>39975</x:v>
      </x:c>
      <x:c r="B10028" s="0" t="s">
        <x:v>39976</x:v>
      </x:c>
      <x:c r="C10028" s="0" t="s">
        <x:v>39977</x:v>
      </x:c>
      <x:c r="E10028" s="0" t="s">
        <x:v>39978</x:v>
      </x:c>
      <x:c r="F10028" s="0" t="s">
        <x:v>45</x:v>
      </x:c>
      <x:c r="G10028" s="0" t="s">
        <x:v>19</x:v>
      </x:c>
      <x:c r="H10028" s="0" t="s">
        <x:v>20</x:v>
      </x:c>
      <x:c r="I10028" s="0" t="s">
        <x:v>21</x:v>
      </x:c>
      <x:c r="K10028" s="0">
        <x:f>hyperlink("https://icd.who.int/dev11/l-ichi/en#/http%3A%2F%2Fid.who.int%2Ficd%2Fentity%2F630816282","browser")</x:f>
      </x:c>
      <x:c r="L10028" s="0">
        <x:f>hyperlink("https://icat2.azurewebsites.net/icat/?ontology=ICD&amp;tab=ClassesTab&amp;id=http%3A%2F%2Fwho.int%2Ficd%233270_287df7d3_8979_4bc5_b232_cc0fd1045cd6","iCat")</x:f>
      </x:c>
      <x:c r="M10028" s="0" t="s">
        <x:v>21</x:v>
      </x:c>
      <x:c r="N10028" s="0" t="s">
        <x:v>46</x:v>
      </x:c>
    </x:row>
    <x:row r="10029" spans="1:16">
      <x:c r="A10029" s="0" t="s">
        <x:v>39979</x:v>
      </x:c>
      <x:c r="B10029" s="0" t="s">
        <x:v>39980</x:v>
      </x:c>
      <x:c r="C10029" s="0" t="s">
        <x:v>39981</x:v>
      </x:c>
      <x:c r="E10029" s="0" t="s">
        <x:v>39982</x:v>
      </x:c>
      <x:c r="F10029" s="0" t="s">
        <x:v>45</x:v>
      </x:c>
      <x:c r="G10029" s="0" t="s">
        <x:v>19</x:v>
      </x:c>
      <x:c r="H10029" s="0" t="s">
        <x:v>20</x:v>
      </x:c>
      <x:c r="I10029" s="0" t="s">
        <x:v>21</x:v>
      </x:c>
      <x:c r="K10029" s="0">
        <x:f>hyperlink("https://icd.who.int/dev11/l-ichi/en#/http%3A%2F%2Fid.who.int%2Ficd%2Fentity%2F1977788331","browser")</x:f>
      </x:c>
      <x:c r="L10029" s="0">
        <x:f>hyperlink("https://icat2.azurewebsites.net/icat/?ontology=ICD&amp;tab=ClassesTab&amp;id=http%3A%2F%2Fwho.int%2Ficd%233276_287df7d3_8979_4bc5_b232_cc0fd1045cd6","iCat")</x:f>
      </x:c>
      <x:c r="M10029" s="0" t="s">
        <x:v>21</x:v>
      </x:c>
      <x:c r="N10029" s="0" t="s">
        <x:v>46</x:v>
      </x:c>
    </x:row>
    <x:row r="10030" spans="1:16">
      <x:c r="A10030" s="0" t="s">
        <x:v>39983</x:v>
      </x:c>
      <x:c r="B10030" s="0" t="s">
        <x:v>39984</x:v>
      </x:c>
      <x:c r="C10030" s="0" t="s">
        <x:v>39985</x:v>
      </x:c>
      <x:c r="E10030" s="0" t="s">
        <x:v>39986</x:v>
      </x:c>
      <x:c r="F10030" s="0" t="s">
        <x:v>45</x:v>
      </x:c>
      <x:c r="G10030" s="0" t="s">
        <x:v>19</x:v>
      </x:c>
      <x:c r="H10030" s="0" t="s">
        <x:v>20</x:v>
      </x:c>
      <x:c r="I10030" s="0" t="s">
        <x:v>21</x:v>
      </x:c>
      <x:c r="K10030" s="0">
        <x:f>hyperlink("https://icd.who.int/dev11/l-ichi/en#/http%3A%2F%2Fid.who.int%2Ficd%2Fentity%2F1862412545","browser")</x:f>
      </x:c>
      <x:c r="L10030" s="0">
        <x:f>hyperlink("https://icat2.azurewebsites.net/icat/?ontology=ICD&amp;tab=ClassesTab&amp;id=http%3A%2F%2Fwho.int%2Ficd%233282_287df7d3_8979_4bc5_b232_cc0fd1045cd6","iCat")</x:f>
      </x:c>
      <x:c r="M10030" s="0" t="s">
        <x:v>21</x:v>
      </x:c>
      <x:c r="N10030" s="0" t="s">
        <x:v>46</x:v>
      </x:c>
    </x:row>
    <x:row r="10031" spans="1:16">
      <x:c r="B10031" s="0" t="s">
        <x:v>39987</x:v>
      </x:c>
      <x:c r="C10031" s="0" t="s">
        <x:v>39988</x:v>
      </x:c>
      <x:c r="E10031" s="0" t="s">
        <x:v>39989</x:v>
      </x:c>
      <x:c r="F10031" s="0" t="s">
        <x:v>45</x:v>
      </x:c>
      <x:c r="G10031" s="0" t="s">
        <x:v>19</x:v>
      </x:c>
      <x:c r="H10031" s="0" t="s">
        <x:v>21</x:v>
      </x:c>
      <x:c r="I10031" s="0" t="s">
        <x:v>21</x:v>
      </x:c>
      <x:c r="K10031" s="0">
        <x:f>hyperlink("https://icd.who.int/dev11/l-ichi/en#/http%3A%2F%2Fid.who.int%2Ficd%2Fentity%2F827551950%2Fichi%2Fother","browser")</x:f>
      </x:c>
      <x:c r="L10031" s="0">
        <x:f>hyperlink("","iCat")</x:f>
      </x:c>
      <x:c r="M10031" s="0" t="s">
        <x:v>21</x:v>
      </x:c>
      <x:c r="N10031" s="0" t="s">
        <x:v>46</x:v>
      </x:c>
    </x:row>
    <x:row r="10032" spans="1:16">
      <x:c r="B10032" s="0" t="s">
        <x:v>39990</x:v>
      </x:c>
      <x:c r="C10032" s="0" t="s">
        <x:v>39991</x:v>
      </x:c>
      <x:c r="E10032" s="0" t="s">
        <x:v>39992</x:v>
      </x:c>
      <x:c r="F10032" s="0" t="s">
        <x:v>45</x:v>
      </x:c>
      <x:c r="G10032" s="0" t="s">
        <x:v>19</x:v>
      </x:c>
      <x:c r="H10032" s="0" t="s">
        <x:v>21</x:v>
      </x:c>
      <x:c r="I10032" s="0" t="s">
        <x:v>21</x:v>
      </x:c>
      <x:c r="K10032" s="0">
        <x:f>hyperlink("https://icd.who.int/dev11/l-ichi/en#/http%3A%2F%2Fid.who.int%2Ficd%2Fentity%2F827551950%2Fichi%2Funspecified","browser")</x:f>
      </x:c>
      <x:c r="L10032" s="0">
        <x:f>hyperlink("","iCat")</x:f>
      </x:c>
      <x:c r="M10032" s="0" t="s">
        <x:v>21</x:v>
      </x:c>
      <x:c r="N10032" s="0" t="s">
        <x:v>46</x:v>
      </x:c>
    </x:row>
    <x:row r="10033" spans="1:16">
      <x:c r="A10033" s="0" t="s">
        <x:v>39993</x:v>
      </x:c>
      <x:c r="B10033" s="0" t="s">
        <x:v>39994</x:v>
      </x:c>
      <x:c r="D10033" s="0" t="s">
        <x:v>39995</x:v>
      </x:c>
      <x:c r="E10033" s="0" t="s">
        <x:v>39996</x:v>
      </x:c>
      <x:c r="F10033" s="0" t="s">
        <x:v>26</x:v>
      </x:c>
      <x:c r="G10033" s="0" t="s">
        <x:v>30</x:v>
      </x:c>
      <x:c r="H10033" s="0" t="s">
        <x:v>20</x:v>
      </x:c>
      <x:c r="I10033" s="0" t="s">
        <x:v>21</x:v>
      </x:c>
      <x:c r="K10033" s="0">
        <x:f>hyperlink("https://icd.who.int/dev11/l-ichi/en#/http%3A%2F%2Fid.who.int%2Ficd%2Fentity%2F768188068","browser")</x:f>
      </x:c>
      <x:c r="L10033" s="0">
        <x:f>hyperlink("https://icat2.azurewebsites.net/icat/?ontology=ICD&amp;tab=ClassesTab&amp;id=http%3A%2F%2Fwho.int%2Ficd%2348289_512ebf36_bf6b_4d70_85da_cf2637062af4","iCat")</x:f>
      </x:c>
      <x:c r="M10033" s="0" t="s">
        <x:v>20</x:v>
      </x:c>
      <x:c r="N10033" s="0" t="s">
        <x:v>206</x:v>
      </x:c>
    </x:row>
    <x:row r="10034" spans="1:16">
      <x:c r="A10034" s="0" t="s">
        <x:v>39997</x:v>
      </x:c>
      <x:c r="B10034" s="0" t="s">
        <x:v>39998</x:v>
      </x:c>
      <x:c r="D10034" s="0" t="s">
        <x:v>39999</x:v>
      </x:c>
      <x:c r="E10034" s="0" t="s">
        <x:v>40000</x:v>
      </x:c>
      <x:c r="F10034" s="0" t="s">
        <x:v>26</x:v>
      </x:c>
      <x:c r="G10034" s="0" t="s">
        <x:v>35</x:v>
      </x:c>
      <x:c r="H10034" s="0" t="s">
        <x:v>20</x:v>
      </x:c>
      <x:c r="I10034" s="0" t="s">
        <x:v>21</x:v>
      </x:c>
      <x:c r="K10034" s="0">
        <x:f>hyperlink("https://icd.who.int/dev11/l-ichi/en#/http%3A%2F%2Fid.who.int%2Ficd%2Fentity%2F1015725780","browser")</x:f>
      </x:c>
      <x:c r="L10034" s="0">
        <x:f>hyperlink("https://icat2.azurewebsites.net/icat/?ontology=ICD&amp;tab=ClassesTab&amp;id=http%3A%2F%2Fwho.int%2Ficd%2348295_512ebf36_bf6b_4d70_85da_cf2637062af4","iCat")</x:f>
      </x:c>
      <x:c r="M10034" s="0" t="s">
        <x:v>20</x:v>
      </x:c>
      <x:c r="N10034" s="0" t="s">
        <x:v>40001</x:v>
      </x:c>
    </x:row>
    <x:row r="10035" spans="1:16">
      <x:c r="A10035" s="0" t="s">
        <x:v>40002</x:v>
      </x:c>
      <x:c r="B10035" s="0" t="s">
        <x:v>40003</x:v>
      </x:c>
      <x:c r="C10035" s="0" t="s">
        <x:v>40004</x:v>
      </x:c>
      <x:c r="E10035" s="0" t="s">
        <x:v>40005</x:v>
      </x:c>
      <x:c r="F10035" s="0" t="s">
        <x:v>45</x:v>
      </x:c>
      <x:c r="G10035" s="0" t="s">
        <x:v>19</x:v>
      </x:c>
      <x:c r="H10035" s="0" t="s">
        <x:v>20</x:v>
      </x:c>
      <x:c r="I10035" s="0" t="s">
        <x:v>21</x:v>
      </x:c>
      <x:c r="K10035" s="0">
        <x:f>hyperlink("https://icd.who.int/dev11/l-ichi/en#/http%3A%2F%2Fid.who.int%2Ficd%2Fentity%2F221310106","browser")</x:f>
      </x:c>
      <x:c r="L10035" s="0">
        <x:f>hyperlink("https://icat2.azurewebsites.net/icat/?ontology=ICD&amp;tab=ClassesTab&amp;id=http%3A%2F%2Fwho.int%2Ficd%2348288_512ebf36_bf6b_4d70_85da_cf2637062af4","iCat")</x:f>
      </x:c>
      <x:c r="M10035" s="0" t="s">
        <x:v>21</x:v>
      </x:c>
      <x:c r="N10035" s="0" t="s">
        <x:v>46</x:v>
      </x:c>
    </x:row>
    <x:row r="10036" spans="1:16">
      <x:c r="A10036" s="0" t="s">
        <x:v>40006</x:v>
      </x:c>
      <x:c r="B10036" s="0" t="s">
        <x:v>40007</x:v>
      </x:c>
      <x:c r="C10036" s="0" t="s">
        <x:v>40008</x:v>
      </x:c>
      <x:c r="E10036" s="0" t="s">
        <x:v>40009</x:v>
      </x:c>
      <x:c r="F10036" s="0" t="s">
        <x:v>45</x:v>
      </x:c>
      <x:c r="G10036" s="0" t="s">
        <x:v>19</x:v>
      </x:c>
      <x:c r="H10036" s="0" t="s">
        <x:v>20</x:v>
      </x:c>
      <x:c r="I10036" s="0" t="s">
        <x:v>21</x:v>
      </x:c>
      <x:c r="K10036" s="0">
        <x:f>hyperlink("https://icd.who.int/dev11/l-ichi/en#/http%3A%2F%2Fid.who.int%2Ficd%2Fentity%2F1503504665","browser")</x:f>
      </x:c>
      <x:c r="L10036" s="0">
        <x:f>hyperlink("https://icat2.azurewebsites.net/icat/?ontology=ICD&amp;tab=ClassesTab&amp;id=http%3A%2F%2Fwho.int%2Ficd%2348307_512ebf36_bf6b_4d70_85da_cf2637062af4","iCat")</x:f>
      </x:c>
      <x:c r="M10036" s="0" t="s">
        <x:v>21</x:v>
      </x:c>
      <x:c r="N10036" s="0" t="s">
        <x:v>46</x:v>
      </x:c>
    </x:row>
    <x:row r="10037" spans="1:16">
      <x:c r="A10037" s="0" t="s">
        <x:v>40010</x:v>
      </x:c>
      <x:c r="B10037" s="0" t="s">
        <x:v>40011</x:v>
      </x:c>
      <x:c r="C10037" s="0" t="s">
        <x:v>40012</x:v>
      </x:c>
      <x:c r="E10037" s="0" t="s">
        <x:v>40013</x:v>
      </x:c>
      <x:c r="F10037" s="0" t="s">
        <x:v>45</x:v>
      </x:c>
      <x:c r="G10037" s="0" t="s">
        <x:v>19</x:v>
      </x:c>
      <x:c r="H10037" s="0" t="s">
        <x:v>20</x:v>
      </x:c>
      <x:c r="I10037" s="0" t="s">
        <x:v>21</x:v>
      </x:c>
      <x:c r="K10037" s="0">
        <x:f>hyperlink("https://icd.who.int/dev11/l-ichi/en#/http%3A%2F%2Fid.who.int%2Ficd%2Fentity%2F1994216375","browser")</x:f>
      </x:c>
      <x:c r="L10037" s="0">
        <x:f>hyperlink("https://icat2.azurewebsites.net/icat/?ontology=ICD&amp;tab=ClassesTab&amp;id=http%3A%2F%2Fwho.int%2Ficd%2348314_512ebf36_bf6b_4d70_85da_cf2637062af4","iCat")</x:f>
      </x:c>
      <x:c r="M10037" s="0" t="s">
        <x:v>21</x:v>
      </x:c>
      <x:c r="N10037" s="0" t="s">
        <x:v>46</x:v>
      </x:c>
    </x:row>
    <x:row r="10038" spans="1:16">
      <x:c r="A10038" s="0" t="s">
        <x:v>40014</x:v>
      </x:c>
      <x:c r="B10038" s="0" t="s">
        <x:v>40015</x:v>
      </x:c>
      <x:c r="C10038" s="0" t="s">
        <x:v>40016</x:v>
      </x:c>
      <x:c r="E10038" s="0" t="s">
        <x:v>40017</x:v>
      </x:c>
      <x:c r="F10038" s="0" t="s">
        <x:v>45</x:v>
      </x:c>
      <x:c r="G10038" s="0" t="s">
        <x:v>19</x:v>
      </x:c>
      <x:c r="H10038" s="0" t="s">
        <x:v>20</x:v>
      </x:c>
      <x:c r="I10038" s="0" t="s">
        <x:v>21</x:v>
      </x:c>
      <x:c r="K10038" s="0">
        <x:f>hyperlink("https://icd.who.int/dev11/l-ichi/en#/http%3A%2F%2Fid.who.int%2Ficd%2Fentity%2F596813304","browser")</x:f>
      </x:c>
      <x:c r="L10038" s="0">
        <x:f>hyperlink("https://icat2.azurewebsites.net/icat/?ontology=ICD&amp;tab=ClassesTab&amp;id=http%3A%2F%2Fwho.int%2Ficd%2348321_512ebf36_bf6b_4d70_85da_cf2637062af4","iCat")</x:f>
      </x:c>
      <x:c r="M10038" s="0" t="s">
        <x:v>21</x:v>
      </x:c>
      <x:c r="N10038" s="0" t="s">
        <x:v>46</x:v>
      </x:c>
    </x:row>
    <x:row r="10039" spans="1:16">
      <x:c r="A10039" s="0" t="s">
        <x:v>40018</x:v>
      </x:c>
      <x:c r="B10039" s="0" t="s">
        <x:v>40019</x:v>
      </x:c>
      <x:c r="C10039" s="0" t="s">
        <x:v>40020</x:v>
      </x:c>
      <x:c r="E10039" s="0" t="s">
        <x:v>40021</x:v>
      </x:c>
      <x:c r="F10039" s="0" t="s">
        <x:v>45</x:v>
      </x:c>
      <x:c r="G10039" s="0" t="s">
        <x:v>19</x:v>
      </x:c>
      <x:c r="H10039" s="0" t="s">
        <x:v>20</x:v>
      </x:c>
      <x:c r="I10039" s="0" t="s">
        <x:v>21</x:v>
      </x:c>
      <x:c r="K10039" s="0">
        <x:f>hyperlink("https://icd.who.int/dev11/l-ichi/en#/http%3A%2F%2Fid.who.int%2Ficd%2Fentity%2F1307223697","browser")</x:f>
      </x:c>
      <x:c r="L10039" s="0">
        <x:f>hyperlink("https://icat2.azurewebsites.net/icat/?ontology=ICD&amp;tab=ClassesTab&amp;id=http%3A%2F%2Fwho.int%2Ficd%2348328_512ebf36_bf6b_4d70_85da_cf2637062af4","iCat")</x:f>
      </x:c>
      <x:c r="M10039" s="0" t="s">
        <x:v>21</x:v>
      </x:c>
      <x:c r="N10039" s="0" t="s">
        <x:v>46</x:v>
      </x:c>
    </x:row>
    <x:row r="10040" spans="1:16">
      <x:c r="A10040" s="0" t="s">
        <x:v>40022</x:v>
      </x:c>
      <x:c r="B10040" s="0" t="s">
        <x:v>40023</x:v>
      </x:c>
      <x:c r="C10040" s="0" t="s">
        <x:v>40024</x:v>
      </x:c>
      <x:c r="E10040" s="0" t="s">
        <x:v>40025</x:v>
      </x:c>
      <x:c r="F10040" s="0" t="s">
        <x:v>45</x:v>
      </x:c>
      <x:c r="G10040" s="0" t="s">
        <x:v>19</x:v>
      </x:c>
      <x:c r="H10040" s="0" t="s">
        <x:v>20</x:v>
      </x:c>
      <x:c r="I10040" s="0" t="s">
        <x:v>21</x:v>
      </x:c>
      <x:c r="K10040" s="0">
        <x:f>hyperlink("https://icd.who.int/dev11/l-ichi/en#/http%3A%2F%2Fid.who.int%2Ficd%2Fentity%2F2085680347","browser")</x:f>
      </x:c>
      <x:c r="L10040" s="0">
        <x:f>hyperlink("https://icat2.azurewebsites.net/icat/?ontology=ICD&amp;tab=ClassesTab&amp;id=http%3A%2F%2Fwho.int%2Ficd%2348335_512ebf36_bf6b_4d70_85da_cf2637062af4","iCat")</x:f>
      </x:c>
      <x:c r="M10040" s="0" t="s">
        <x:v>21</x:v>
      </x:c>
      <x:c r="N10040" s="0" t="s">
        <x:v>46</x:v>
      </x:c>
    </x:row>
    <x:row r="10041" spans="1:16">
      <x:c r="A10041" s="0" t="s">
        <x:v>40026</x:v>
      </x:c>
      <x:c r="B10041" s="0" t="s">
        <x:v>40027</x:v>
      </x:c>
      <x:c r="C10041" s="0" t="s">
        <x:v>40028</x:v>
      </x:c>
      <x:c r="E10041" s="0" t="s">
        <x:v>40029</x:v>
      </x:c>
      <x:c r="F10041" s="0" t="s">
        <x:v>45</x:v>
      </x:c>
      <x:c r="G10041" s="0" t="s">
        <x:v>19</x:v>
      </x:c>
      <x:c r="H10041" s="0" t="s">
        <x:v>20</x:v>
      </x:c>
      <x:c r="I10041" s="0" t="s">
        <x:v>21</x:v>
      </x:c>
      <x:c r="K10041" s="0">
        <x:f>hyperlink("https://icd.who.int/dev11/l-ichi/en#/http%3A%2F%2Fid.who.int%2Ficd%2Fentity%2F1006914636","browser")</x:f>
      </x:c>
      <x:c r="L10041" s="0">
        <x:f>hyperlink("https://icat2.azurewebsites.net/icat/?ontology=ICD&amp;tab=ClassesTab&amp;id=http%3A%2F%2Fwho.int%2Ficd%2348342_512ebf36_bf6b_4d70_85da_cf2637062af4","iCat")</x:f>
      </x:c>
      <x:c r="M10041" s="0" t="s">
        <x:v>21</x:v>
      </x:c>
      <x:c r="N10041" s="0" t="s">
        <x:v>46</x:v>
      </x:c>
    </x:row>
    <x:row r="10042" spans="1:16">
      <x:c r="A10042" s="0" t="s">
        <x:v>40030</x:v>
      </x:c>
      <x:c r="B10042" s="0" t="s">
        <x:v>40031</x:v>
      </x:c>
      <x:c r="C10042" s="0" t="s">
        <x:v>40032</x:v>
      </x:c>
      <x:c r="E10042" s="0" t="s">
        <x:v>40033</x:v>
      </x:c>
      <x:c r="F10042" s="0" t="s">
        <x:v>45</x:v>
      </x:c>
      <x:c r="G10042" s="0" t="s">
        <x:v>19</x:v>
      </x:c>
      <x:c r="H10042" s="0" t="s">
        <x:v>20</x:v>
      </x:c>
      <x:c r="I10042" s="0" t="s">
        <x:v>21</x:v>
      </x:c>
      <x:c r="K10042" s="0">
        <x:f>hyperlink("https://icd.who.int/dev11/l-ichi/en#/http%3A%2F%2Fid.who.int%2Ficd%2Fentity%2F922768098","browser")</x:f>
      </x:c>
      <x:c r="L10042" s="0">
        <x:f>hyperlink("https://icat2.azurewebsites.net/icat/?ontology=ICD&amp;tab=ClassesTab&amp;id=http%3A%2F%2Fwho.int%2Ficd%2348349_512ebf36_bf6b_4d70_85da_cf2637062af4","iCat")</x:f>
      </x:c>
      <x:c r="M10042" s="0" t="s">
        <x:v>21</x:v>
      </x:c>
      <x:c r="N10042" s="0" t="s">
        <x:v>46</x:v>
      </x:c>
    </x:row>
    <x:row r="10043" spans="1:16">
      <x:c r="A10043" s="0" t="s">
        <x:v>40034</x:v>
      </x:c>
      <x:c r="B10043" s="0" t="s">
        <x:v>40035</x:v>
      </x:c>
      <x:c r="C10043" s="0" t="s">
        <x:v>40036</x:v>
      </x:c>
      <x:c r="E10043" s="0" t="s">
        <x:v>40037</x:v>
      </x:c>
      <x:c r="F10043" s="0" t="s">
        <x:v>45</x:v>
      </x:c>
      <x:c r="G10043" s="0" t="s">
        <x:v>19</x:v>
      </x:c>
      <x:c r="H10043" s="0" t="s">
        <x:v>20</x:v>
      </x:c>
      <x:c r="I10043" s="0" t="s">
        <x:v>21</x:v>
      </x:c>
      <x:c r="K10043" s="0">
        <x:f>hyperlink("https://icd.who.int/dev11/l-ichi/en#/http%3A%2F%2Fid.who.int%2Ficd%2Fentity%2F1673928047","browser")</x:f>
      </x:c>
      <x:c r="L10043" s="0">
        <x:f>hyperlink("https://icat2.azurewebsites.net/icat/?ontology=ICD&amp;tab=ClassesTab&amp;id=http%3A%2F%2Fwho.int%2Ficd%2348356_512ebf36_bf6b_4d70_85da_cf2637062af4","iCat")</x:f>
      </x:c>
      <x:c r="M10043" s="0" t="s">
        <x:v>21</x:v>
      </x:c>
      <x:c r="N10043" s="0" t="s">
        <x:v>46</x:v>
      </x:c>
    </x:row>
    <x:row r="10044" spans="1:16">
      <x:c r="A10044" s="0" t="s">
        <x:v>40038</x:v>
      </x:c>
      <x:c r="B10044" s="0" t="s">
        <x:v>40039</x:v>
      </x:c>
      <x:c r="C10044" s="0" t="s">
        <x:v>40040</x:v>
      </x:c>
      <x:c r="E10044" s="0" t="s">
        <x:v>40041</x:v>
      </x:c>
      <x:c r="F10044" s="0" t="s">
        <x:v>45</x:v>
      </x:c>
      <x:c r="G10044" s="0" t="s">
        <x:v>19</x:v>
      </x:c>
      <x:c r="H10044" s="0" t="s">
        <x:v>20</x:v>
      </x:c>
      <x:c r="I10044" s="0" t="s">
        <x:v>21</x:v>
      </x:c>
      <x:c r="K10044" s="0">
        <x:f>hyperlink("https://icd.who.int/dev11/l-ichi/en#/http%3A%2F%2Fid.who.int%2Ficd%2Fentity%2F915008288","browser")</x:f>
      </x:c>
      <x:c r="L10044" s="0">
        <x:f>hyperlink("https://icat2.azurewebsites.net/icat/?ontology=ICD&amp;tab=ClassesTab&amp;id=http%3A%2F%2Fwho.int%2Ficd%2348363_512ebf36_bf6b_4d70_85da_cf2637062af4","iCat")</x:f>
      </x:c>
      <x:c r="M10044" s="0" t="s">
        <x:v>21</x:v>
      </x:c>
      <x:c r="N10044" s="0" t="s">
        <x:v>46</x:v>
      </x:c>
    </x:row>
    <x:row r="10045" spans="1:16">
      <x:c r="A10045" s="0" t="s">
        <x:v>40042</x:v>
      </x:c>
      <x:c r="B10045" s="0" t="s">
        <x:v>40043</x:v>
      </x:c>
      <x:c r="C10045" s="0" t="s">
        <x:v>40044</x:v>
      </x:c>
      <x:c r="E10045" s="0" t="s">
        <x:v>40045</x:v>
      </x:c>
      <x:c r="F10045" s="0" t="s">
        <x:v>45</x:v>
      </x:c>
      <x:c r="G10045" s="0" t="s">
        <x:v>19</x:v>
      </x:c>
      <x:c r="H10045" s="0" t="s">
        <x:v>20</x:v>
      </x:c>
      <x:c r="I10045" s="0" t="s">
        <x:v>21</x:v>
      </x:c>
      <x:c r="K10045" s="0">
        <x:f>hyperlink("https://icd.who.int/dev11/l-ichi/en#/http%3A%2F%2Fid.who.int%2Ficd%2Fentity%2F432607632","browser")</x:f>
      </x:c>
      <x:c r="L10045" s="0">
        <x:f>hyperlink("https://icat2.azurewebsites.net/icat/?ontology=ICD&amp;tab=ClassesTab&amp;id=http%3A%2F%2Fwho.int%2Ficd%2348370_512ebf36_bf6b_4d70_85da_cf2637062af4","iCat")</x:f>
      </x:c>
      <x:c r="M10045" s="0" t="s">
        <x:v>21</x:v>
      </x:c>
      <x:c r="N10045" s="0" t="s">
        <x:v>46</x:v>
      </x:c>
    </x:row>
    <x:row r="10046" spans="1:16">
      <x:c r="A10046" s="0" t="s">
        <x:v>40046</x:v>
      </x:c>
      <x:c r="B10046" s="0" t="s">
        <x:v>40047</x:v>
      </x:c>
      <x:c r="C10046" s="0" t="s">
        <x:v>40048</x:v>
      </x:c>
      <x:c r="E10046" s="0" t="s">
        <x:v>40049</x:v>
      </x:c>
      <x:c r="F10046" s="0" t="s">
        <x:v>45</x:v>
      </x:c>
      <x:c r="G10046" s="0" t="s">
        <x:v>19</x:v>
      </x:c>
      <x:c r="H10046" s="0" t="s">
        <x:v>20</x:v>
      </x:c>
      <x:c r="I10046" s="0" t="s">
        <x:v>21</x:v>
      </x:c>
      <x:c r="K10046" s="0">
        <x:f>hyperlink("https://icd.who.int/dev11/l-ichi/en#/http%3A%2F%2Fid.who.int%2Ficd%2Fentity%2F1766570499","browser")</x:f>
      </x:c>
      <x:c r="L10046" s="0">
        <x:f>hyperlink("https://icat2.azurewebsites.net/icat/?ontology=ICD&amp;tab=ClassesTab&amp;id=http%3A%2F%2Fwho.int%2Ficd%2348377_512ebf36_bf6b_4d70_85da_cf2637062af4","iCat")</x:f>
      </x:c>
      <x:c r="M10046" s="0" t="s">
        <x:v>21</x:v>
      </x:c>
      <x:c r="N10046" s="0" t="s">
        <x:v>46</x:v>
      </x:c>
    </x:row>
    <x:row r="10047" spans="1:16">
      <x:c r="A10047" s="0" t="s">
        <x:v>40050</x:v>
      </x:c>
      <x:c r="B10047" s="0" t="s">
        <x:v>40051</x:v>
      </x:c>
      <x:c r="C10047" s="0" t="s">
        <x:v>40052</x:v>
      </x:c>
      <x:c r="E10047" s="0" t="s">
        <x:v>40053</x:v>
      </x:c>
      <x:c r="F10047" s="0" t="s">
        <x:v>45</x:v>
      </x:c>
      <x:c r="G10047" s="0" t="s">
        <x:v>19</x:v>
      </x:c>
      <x:c r="H10047" s="0" t="s">
        <x:v>20</x:v>
      </x:c>
      <x:c r="I10047" s="0" t="s">
        <x:v>21</x:v>
      </x:c>
      <x:c r="K10047" s="0">
        <x:f>hyperlink("https://icd.who.int/dev11/l-ichi/en#/http%3A%2F%2Fid.who.int%2Ficd%2Fentity%2F53059364","browser")</x:f>
      </x:c>
      <x:c r="L10047" s="0">
        <x:f>hyperlink("https://icat2.azurewebsites.net/icat/?ontology=ICD&amp;tab=ClassesTab&amp;id=http%3A%2F%2Fwho.int%2Ficd%2348384_512ebf36_bf6b_4d70_85da_cf2637062af4","iCat")</x:f>
      </x:c>
      <x:c r="M10047" s="0" t="s">
        <x:v>21</x:v>
      </x:c>
      <x:c r="N10047" s="0" t="s">
        <x:v>46</x:v>
      </x:c>
    </x:row>
    <x:row r="10048" spans="1:16">
      <x:c r="A10048" s="0" t="s">
        <x:v>40054</x:v>
      </x:c>
      <x:c r="B10048" s="0" t="s">
        <x:v>40055</x:v>
      </x:c>
      <x:c r="C10048" s="0" t="s">
        <x:v>40056</x:v>
      </x:c>
      <x:c r="E10048" s="0" t="s">
        <x:v>40057</x:v>
      </x:c>
      <x:c r="F10048" s="0" t="s">
        <x:v>45</x:v>
      </x:c>
      <x:c r="G10048" s="0" t="s">
        <x:v>19</x:v>
      </x:c>
      <x:c r="H10048" s="0" t="s">
        <x:v>20</x:v>
      </x:c>
      <x:c r="I10048" s="0" t="s">
        <x:v>21</x:v>
      </x:c>
      <x:c r="K10048" s="0">
        <x:f>hyperlink("https://icd.who.int/dev11/l-ichi/en#/http%3A%2F%2Fid.who.int%2Ficd%2Fentity%2F2081602619","browser")</x:f>
      </x:c>
      <x:c r="L10048" s="0">
        <x:f>hyperlink("https://icat2.azurewebsites.net/icat/?ontology=ICD&amp;tab=ClassesTab&amp;id=http%3A%2F%2Fwho.int%2Ficd%2348391_512ebf36_bf6b_4d70_85da_cf2637062af4","iCat")</x:f>
      </x:c>
      <x:c r="M10048" s="0" t="s">
        <x:v>21</x:v>
      </x:c>
      <x:c r="N10048" s="0" t="s">
        <x:v>46</x:v>
      </x:c>
    </x:row>
    <x:row r="10049" spans="1:16">
      <x:c r="A10049" s="0" t="s">
        <x:v>40058</x:v>
      </x:c>
      <x:c r="B10049" s="0" t="s">
        <x:v>40059</x:v>
      </x:c>
      <x:c r="C10049" s="0" t="s">
        <x:v>40060</x:v>
      </x:c>
      <x:c r="E10049" s="0" t="s">
        <x:v>40061</x:v>
      </x:c>
      <x:c r="F10049" s="0" t="s">
        <x:v>45</x:v>
      </x:c>
      <x:c r="G10049" s="0" t="s">
        <x:v>19</x:v>
      </x:c>
      <x:c r="H10049" s="0" t="s">
        <x:v>20</x:v>
      </x:c>
      <x:c r="I10049" s="0" t="s">
        <x:v>21</x:v>
      </x:c>
      <x:c r="K10049" s="0">
        <x:f>hyperlink("https://icd.who.int/dev11/l-ichi/en#/http%3A%2F%2Fid.who.int%2Ficd%2Fentity%2F308985684","browser")</x:f>
      </x:c>
      <x:c r="L10049" s="0">
        <x:f>hyperlink("https://icat2.azurewebsites.net/icat/?ontology=ICD&amp;tab=ClassesTab&amp;id=http%3A%2F%2Fwho.int%2Ficd%2348398_512ebf36_bf6b_4d70_85da_cf2637062af4","iCat")</x:f>
      </x:c>
      <x:c r="M10049" s="0" t="s">
        <x:v>21</x:v>
      </x:c>
      <x:c r="N10049" s="0" t="s">
        <x:v>46</x:v>
      </x:c>
    </x:row>
    <x:row r="10050" spans="1:16">
      <x:c r="A10050" s="0" t="s">
        <x:v>40062</x:v>
      </x:c>
      <x:c r="B10050" s="0" t="s">
        <x:v>40063</x:v>
      </x:c>
      <x:c r="C10050" s="0" t="s">
        <x:v>40064</x:v>
      </x:c>
      <x:c r="E10050" s="0" t="s">
        <x:v>40065</x:v>
      </x:c>
      <x:c r="F10050" s="0" t="s">
        <x:v>45</x:v>
      </x:c>
      <x:c r="G10050" s="0" t="s">
        <x:v>19</x:v>
      </x:c>
      <x:c r="H10050" s="0" t="s">
        <x:v>20</x:v>
      </x:c>
      <x:c r="I10050" s="0" t="s">
        <x:v>21</x:v>
      </x:c>
      <x:c r="K10050" s="0">
        <x:f>hyperlink("https://icd.who.int/dev11/l-ichi/en#/http%3A%2F%2Fid.who.int%2Ficd%2Fentity%2F1353718962","browser")</x:f>
      </x:c>
      <x:c r="L10050" s="0">
        <x:f>hyperlink("https://icat2.azurewebsites.net/icat/?ontology=ICD&amp;tab=ClassesTab&amp;id=http%3A%2F%2Fwho.int%2Ficd%2348405_512ebf36_bf6b_4d70_85da_cf2637062af4","iCat")</x:f>
      </x:c>
      <x:c r="M10050" s="0" t="s">
        <x:v>21</x:v>
      </x:c>
      <x:c r="N10050" s="0" t="s">
        <x:v>46</x:v>
      </x:c>
    </x:row>
    <x:row r="10051" spans="1:16">
      <x:c r="A10051" s="0" t="s">
        <x:v>40066</x:v>
      </x:c>
      <x:c r="B10051" s="0" t="s">
        <x:v>40067</x:v>
      </x:c>
      <x:c r="C10051" s="0" t="s">
        <x:v>40068</x:v>
      </x:c>
      <x:c r="E10051" s="0" t="s">
        <x:v>40069</x:v>
      </x:c>
      <x:c r="F10051" s="0" t="s">
        <x:v>45</x:v>
      </x:c>
      <x:c r="G10051" s="0" t="s">
        <x:v>19</x:v>
      </x:c>
      <x:c r="H10051" s="0" t="s">
        <x:v>20</x:v>
      </x:c>
      <x:c r="I10051" s="0" t="s">
        <x:v>21</x:v>
      </x:c>
      <x:c r="K10051" s="0">
        <x:f>hyperlink("https://icd.who.int/dev11/l-ichi/en#/http%3A%2F%2Fid.who.int%2Ficd%2Fentity%2F332599570","browser")</x:f>
      </x:c>
      <x:c r="L10051" s="0">
        <x:f>hyperlink("https://icat2.azurewebsites.net/icat/?ontology=ICD&amp;tab=ClassesTab&amp;id=http%3A%2F%2Fwho.int%2Ficd%235233_d85a204c_d00a_4566_a3b7_2d137a1891cf","iCat")</x:f>
      </x:c>
      <x:c r="M10051" s="0" t="s">
        <x:v>21</x:v>
      </x:c>
      <x:c r="N10051" s="0" t="s">
        <x:v>46</x:v>
      </x:c>
    </x:row>
    <x:row r="10052" spans="1:16">
      <x:c r="A10052" s="0" t="s">
        <x:v>40070</x:v>
      </x:c>
      <x:c r="B10052" s="0" t="s">
        <x:v>40071</x:v>
      </x:c>
      <x:c r="C10052" s="0" t="s">
        <x:v>40072</x:v>
      </x:c>
      <x:c r="E10052" s="0" t="s">
        <x:v>40073</x:v>
      </x:c>
      <x:c r="F10052" s="0" t="s">
        <x:v>45</x:v>
      </x:c>
      <x:c r="G10052" s="0" t="s">
        <x:v>19</x:v>
      </x:c>
      <x:c r="H10052" s="0" t="s">
        <x:v>20</x:v>
      </x:c>
      <x:c r="I10052" s="0" t="s">
        <x:v>21</x:v>
      </x:c>
      <x:c r="K10052" s="0">
        <x:f>hyperlink("https://icd.who.int/dev11/l-ichi/en#/http%3A%2F%2Fid.who.int%2Ficd%2Fentity%2F942570882","browser")</x:f>
      </x:c>
      <x:c r="L10052" s="0">
        <x:f>hyperlink("https://icat2.azurewebsites.net/icat/?ontology=ICD&amp;tab=ClassesTab&amp;id=http%3A%2F%2Fwho.int%2Ficd%235239_d85a204c_d00a_4566_a3b7_2d137a1891cf","iCat")</x:f>
      </x:c>
      <x:c r="M10052" s="0" t="s">
        <x:v>21</x:v>
      </x:c>
      <x:c r="N10052" s="0" t="s">
        <x:v>46</x:v>
      </x:c>
    </x:row>
    <x:row r="10053" spans="1:16">
      <x:c r="A10053" s="0" t="s">
        <x:v>40074</x:v>
      </x:c>
      <x:c r="B10053" s="0" t="s">
        <x:v>40075</x:v>
      </x:c>
      <x:c r="C10053" s="0" t="s">
        <x:v>40076</x:v>
      </x:c>
      <x:c r="E10053" s="0" t="s">
        <x:v>40077</x:v>
      </x:c>
      <x:c r="F10053" s="0" t="s">
        <x:v>45</x:v>
      </x:c>
      <x:c r="G10053" s="0" t="s">
        <x:v>19</x:v>
      </x:c>
      <x:c r="H10053" s="0" t="s">
        <x:v>20</x:v>
      </x:c>
      <x:c r="I10053" s="0" t="s">
        <x:v>21</x:v>
      </x:c>
      <x:c r="K10053" s="0">
        <x:f>hyperlink("https://icd.who.int/dev11/l-ichi/en#/http%3A%2F%2Fid.who.int%2Ficd%2Fentity%2F1257710188","browser")</x:f>
      </x:c>
      <x:c r="L10053" s="0">
        <x:f>hyperlink("https://icat2.azurewebsites.net/icat/?ontology=ICD&amp;tab=ClassesTab&amp;id=http%3A%2F%2Fwho.int%2Ficd%2348412_512ebf36_bf6b_4d70_85da_cf2637062af4","iCat")</x:f>
      </x:c>
      <x:c r="M10053" s="0" t="s">
        <x:v>21</x:v>
      </x:c>
      <x:c r="N10053" s="0" t="s">
        <x:v>46</x:v>
      </x:c>
    </x:row>
    <x:row r="10054" spans="1:16">
      <x:c r="A10054" s="0" t="s">
        <x:v>40078</x:v>
      </x:c>
      <x:c r="B10054" s="0" t="s">
        <x:v>40079</x:v>
      </x:c>
      <x:c r="C10054" s="0" t="s">
        <x:v>40080</x:v>
      </x:c>
      <x:c r="E10054" s="0" t="s">
        <x:v>40081</x:v>
      </x:c>
      <x:c r="F10054" s="0" t="s">
        <x:v>45</x:v>
      </x:c>
      <x:c r="G10054" s="0" t="s">
        <x:v>19</x:v>
      </x:c>
      <x:c r="H10054" s="0" t="s">
        <x:v>20</x:v>
      </x:c>
      <x:c r="I10054" s="0" t="s">
        <x:v>21</x:v>
      </x:c>
      <x:c r="K10054" s="0">
        <x:f>hyperlink("https://icd.who.int/dev11/l-ichi/en#/http%3A%2F%2Fid.who.int%2Ficd%2Fentity%2F1106459846","browser")</x:f>
      </x:c>
      <x:c r="L10054" s="0">
        <x:f>hyperlink("https://icat2.azurewebsites.net/icat/?ontology=ICD&amp;tab=ClassesTab&amp;id=http%3A%2F%2Fwho.int%2Ficd%2348419_512ebf36_bf6b_4d70_85da_cf2637062af4","iCat")</x:f>
      </x:c>
      <x:c r="M10054" s="0" t="s">
        <x:v>21</x:v>
      </x:c>
      <x:c r="N10054" s="0" t="s">
        <x:v>46</x:v>
      </x:c>
    </x:row>
    <x:row r="10055" spans="1:16">
      <x:c r="A10055" s="0" t="s">
        <x:v>40082</x:v>
      </x:c>
      <x:c r="B10055" s="0" t="s">
        <x:v>40083</x:v>
      </x:c>
      <x:c r="C10055" s="0" t="s">
        <x:v>40084</x:v>
      </x:c>
      <x:c r="E10055" s="0" t="s">
        <x:v>40085</x:v>
      </x:c>
      <x:c r="F10055" s="0" t="s">
        <x:v>45</x:v>
      </x:c>
      <x:c r="G10055" s="0" t="s">
        <x:v>19</x:v>
      </x:c>
      <x:c r="H10055" s="0" t="s">
        <x:v>20</x:v>
      </x:c>
      <x:c r="I10055" s="0" t="s">
        <x:v>21</x:v>
      </x:c>
      <x:c r="K10055" s="0">
        <x:f>hyperlink("https://icd.who.int/dev11/l-ichi/en#/http%3A%2F%2Fid.who.int%2Ficd%2Fentity%2F310902253","browser")</x:f>
      </x:c>
      <x:c r="L10055" s="0">
        <x:f>hyperlink("https://icat2.azurewebsites.net/icat/?ontology=ICD&amp;tab=ClassesTab&amp;id=http%3A%2F%2Fwho.int%2Ficd%23563_e87d5413_a3ef_41e3_b1c4_bdb20d4d591d","iCat")</x:f>
      </x:c>
      <x:c r="M10055" s="0" t="s">
        <x:v>21</x:v>
      </x:c>
      <x:c r="N10055" s="0" t="s">
        <x:v>46</x:v>
      </x:c>
    </x:row>
    <x:row r="10056" spans="1:16">
      <x:c r="A10056" s="0" t="s">
        <x:v>40086</x:v>
      </x:c>
      <x:c r="B10056" s="0" t="s">
        <x:v>40087</x:v>
      </x:c>
      <x:c r="C10056" s="0" t="s">
        <x:v>40088</x:v>
      </x:c>
      <x:c r="E10056" s="0" t="s">
        <x:v>40089</x:v>
      </x:c>
      <x:c r="F10056" s="0" t="s">
        <x:v>45</x:v>
      </x:c>
      <x:c r="G10056" s="0" t="s">
        <x:v>19</x:v>
      </x:c>
      <x:c r="H10056" s="0" t="s">
        <x:v>20</x:v>
      </x:c>
      <x:c r="I10056" s="0" t="s">
        <x:v>21</x:v>
      </x:c>
      <x:c r="K10056" s="0">
        <x:f>hyperlink("https://icd.who.int/dev11/l-ichi/en#/http%3A%2F%2Fid.who.int%2Ficd%2Fentity%2F1061266969","browser")</x:f>
      </x:c>
      <x:c r="L10056" s="0">
        <x:f>hyperlink("https://icat2.azurewebsites.net/icat/?ontology=ICD&amp;tab=ClassesTab&amp;id=http%3A%2F%2Fwho.int%2Ficd%2348426_512ebf36_bf6b_4d70_85da_cf2637062af4","iCat")</x:f>
      </x:c>
      <x:c r="M10056" s="0" t="s">
        <x:v>21</x:v>
      </x:c>
      <x:c r="N10056" s="0" t="s">
        <x:v>46</x:v>
      </x:c>
    </x:row>
    <x:row r="10057" spans="1:16">
      <x:c r="A10057" s="0" t="s">
        <x:v>40090</x:v>
      </x:c>
      <x:c r="B10057" s="0" t="s">
        <x:v>40091</x:v>
      </x:c>
      <x:c r="C10057" s="0" t="s">
        <x:v>40092</x:v>
      </x:c>
      <x:c r="E10057" s="0" t="s">
        <x:v>40093</x:v>
      </x:c>
      <x:c r="F10057" s="0" t="s">
        <x:v>45</x:v>
      </x:c>
      <x:c r="G10057" s="0" t="s">
        <x:v>19</x:v>
      </x:c>
      <x:c r="H10057" s="0" t="s">
        <x:v>20</x:v>
      </x:c>
      <x:c r="I10057" s="0" t="s">
        <x:v>21</x:v>
      </x:c>
      <x:c r="K10057" s="0">
        <x:f>hyperlink("https://icd.who.int/dev11/l-ichi/en#/http%3A%2F%2Fid.who.int%2Ficd%2Fentity%2F1081771272","browser")</x:f>
      </x:c>
      <x:c r="L10057" s="0">
        <x:f>hyperlink("https://icat2.azurewebsites.net/icat/?ontology=ICD&amp;tab=ClassesTab&amp;id=http%3A%2F%2Fwho.int%2Ficd%2348433_512ebf36_bf6b_4d70_85da_cf2637062af4","iCat")</x:f>
      </x:c>
      <x:c r="M10057" s="0" t="s">
        <x:v>21</x:v>
      </x:c>
      <x:c r="N10057" s="0" t="s">
        <x:v>46</x:v>
      </x:c>
    </x:row>
    <x:row r="10058" spans="1:16">
      <x:c r="A10058" s="0" t="s">
        <x:v>40094</x:v>
      </x:c>
      <x:c r="B10058" s="0" t="s">
        <x:v>40095</x:v>
      </x:c>
      <x:c r="C10058" s="0" t="s">
        <x:v>40096</x:v>
      </x:c>
      <x:c r="E10058" s="0" t="s">
        <x:v>40097</x:v>
      </x:c>
      <x:c r="F10058" s="0" t="s">
        <x:v>45</x:v>
      </x:c>
      <x:c r="G10058" s="0" t="s">
        <x:v>19</x:v>
      </x:c>
      <x:c r="H10058" s="0" t="s">
        <x:v>20</x:v>
      </x:c>
      <x:c r="I10058" s="0" t="s">
        <x:v>21</x:v>
      </x:c>
      <x:c r="K10058" s="0">
        <x:f>hyperlink("https://icd.who.int/dev11/l-ichi/en#/http%3A%2F%2Fid.who.int%2Ficd%2Fentity%2F891943397","browser")</x:f>
      </x:c>
      <x:c r="L10058" s="0">
        <x:f>hyperlink("https://icat2.azurewebsites.net/icat/?ontology=ICD&amp;tab=ClassesTab&amp;id=http%3A%2F%2Fwho.int%2Ficd%2348440_512ebf36_bf6b_4d70_85da_cf2637062af4","iCat")</x:f>
      </x:c>
      <x:c r="M10058" s="0" t="s">
        <x:v>21</x:v>
      </x:c>
      <x:c r="N10058" s="0" t="s">
        <x:v>46</x:v>
      </x:c>
    </x:row>
    <x:row r="10059" spans="1:16">
      <x:c r="A10059" s="0" t="s">
        <x:v>40098</x:v>
      </x:c>
      <x:c r="B10059" s="0" t="s">
        <x:v>40099</x:v>
      </x:c>
      <x:c r="C10059" s="0" t="s">
        <x:v>40100</x:v>
      </x:c>
      <x:c r="E10059" s="0" t="s">
        <x:v>40101</x:v>
      </x:c>
      <x:c r="F10059" s="0" t="s">
        <x:v>45</x:v>
      </x:c>
      <x:c r="G10059" s="0" t="s">
        <x:v>19</x:v>
      </x:c>
      <x:c r="H10059" s="0" t="s">
        <x:v>20</x:v>
      </x:c>
      <x:c r="I10059" s="0" t="s">
        <x:v>21</x:v>
      </x:c>
      <x:c r="K10059" s="0">
        <x:f>hyperlink("https://icd.who.int/dev11/l-ichi/en#/http%3A%2F%2Fid.who.int%2Ficd%2Fentity%2F1168855658","browser")</x:f>
      </x:c>
      <x:c r="L10059" s="0">
        <x:f>hyperlink("https://icat2.azurewebsites.net/icat/?ontology=ICD&amp;tab=ClassesTab&amp;id=http%3A%2F%2Fwho.int%2Ficd%2348447_512ebf36_bf6b_4d70_85da_cf2637062af4","iCat")</x:f>
      </x:c>
      <x:c r="M10059" s="0" t="s">
        <x:v>21</x:v>
      </x:c>
      <x:c r="N10059" s="0" t="s">
        <x:v>46</x:v>
      </x:c>
    </x:row>
    <x:row r="10060" spans="1:16">
      <x:c r="A10060" s="0" t="s">
        <x:v>40102</x:v>
      </x:c>
      <x:c r="B10060" s="0" t="s">
        <x:v>40103</x:v>
      </x:c>
      <x:c r="C10060" s="0" t="s">
        <x:v>40104</x:v>
      </x:c>
      <x:c r="E10060" s="0" t="s">
        <x:v>40105</x:v>
      </x:c>
      <x:c r="F10060" s="0" t="s">
        <x:v>45</x:v>
      </x:c>
      <x:c r="G10060" s="0" t="s">
        <x:v>19</x:v>
      </x:c>
      <x:c r="H10060" s="0" t="s">
        <x:v>20</x:v>
      </x:c>
      <x:c r="I10060" s="0" t="s">
        <x:v>21</x:v>
      </x:c>
      <x:c r="K10060" s="0">
        <x:f>hyperlink("https://icd.who.int/dev11/l-ichi/en#/http%3A%2F%2Fid.who.int%2Ficd%2Fentity%2F1793829062","browser")</x:f>
      </x:c>
      <x:c r="L10060" s="0">
        <x:f>hyperlink("https://icat2.azurewebsites.net/icat/?ontology=ICD&amp;tab=ClassesTab&amp;id=http%3A%2F%2Fwho.int%2Ficd%2348454_512ebf36_bf6b_4d70_85da_cf2637062af4","iCat")</x:f>
      </x:c>
      <x:c r="M10060" s="0" t="s">
        <x:v>21</x:v>
      </x:c>
      <x:c r="N10060" s="0" t="s">
        <x:v>46</x:v>
      </x:c>
    </x:row>
    <x:row r="10061" spans="1:16">
      <x:c r="A10061" s="0" t="s">
        <x:v>40106</x:v>
      </x:c>
      <x:c r="B10061" s="0" t="s">
        <x:v>40107</x:v>
      </x:c>
      <x:c r="C10061" s="0" t="s">
        <x:v>40108</x:v>
      </x:c>
      <x:c r="E10061" s="0" t="s">
        <x:v>40109</x:v>
      </x:c>
      <x:c r="F10061" s="0" t="s">
        <x:v>45</x:v>
      </x:c>
      <x:c r="G10061" s="0" t="s">
        <x:v>19</x:v>
      </x:c>
      <x:c r="H10061" s="0" t="s">
        <x:v>20</x:v>
      </x:c>
      <x:c r="I10061" s="0" t="s">
        <x:v>21</x:v>
      </x:c>
      <x:c r="K10061" s="0">
        <x:f>hyperlink("https://icd.who.int/dev11/l-ichi/en#/http%3A%2F%2Fid.who.int%2Ficd%2Fentity%2F1067736713","browser")</x:f>
      </x:c>
      <x:c r="L10061" s="0">
        <x:f>hyperlink("https://icat2.azurewebsites.net/icat/?ontology=ICD&amp;tab=ClassesTab&amp;id=http%3A%2F%2Fwho.int%2Ficd%2348461_512ebf36_bf6b_4d70_85da_cf2637062af4","iCat")</x:f>
      </x:c>
      <x:c r="M10061" s="0" t="s">
        <x:v>21</x:v>
      </x:c>
      <x:c r="N10061" s="0" t="s">
        <x:v>46</x:v>
      </x:c>
    </x:row>
    <x:row r="10062" spans="1:16">
      <x:c r="A10062" s="0" t="s">
        <x:v>40110</x:v>
      </x:c>
      <x:c r="B10062" s="0" t="s">
        <x:v>40111</x:v>
      </x:c>
      <x:c r="C10062" s="0" t="s">
        <x:v>40112</x:v>
      </x:c>
      <x:c r="E10062" s="0" t="s">
        <x:v>40113</x:v>
      </x:c>
      <x:c r="F10062" s="0" t="s">
        <x:v>45</x:v>
      </x:c>
      <x:c r="G10062" s="0" t="s">
        <x:v>19</x:v>
      </x:c>
      <x:c r="H10062" s="0" t="s">
        <x:v>20</x:v>
      </x:c>
      <x:c r="I10062" s="0" t="s">
        <x:v>21</x:v>
      </x:c>
      <x:c r="K10062" s="0">
        <x:f>hyperlink("https://icd.who.int/dev11/l-ichi/en#/http%3A%2F%2Fid.who.int%2Ficd%2Fentity%2F1373396448","browser")</x:f>
      </x:c>
      <x:c r="L10062" s="0">
        <x:f>hyperlink("https://icat2.azurewebsites.net/icat/?ontology=ICD&amp;tab=ClassesTab&amp;id=http%3A%2F%2Fwho.int%2Ficd%2348468_512ebf36_bf6b_4d70_85da_cf2637062af4","iCat")</x:f>
      </x:c>
      <x:c r="M10062" s="0" t="s">
        <x:v>21</x:v>
      </x:c>
      <x:c r="N10062" s="0" t="s">
        <x:v>46</x:v>
      </x:c>
    </x:row>
    <x:row r="10063" spans="1:16">
      <x:c r="A10063" s="0" t="s">
        <x:v>40114</x:v>
      </x:c>
      <x:c r="B10063" s="0" t="s">
        <x:v>40115</x:v>
      </x:c>
      <x:c r="C10063" s="0" t="s">
        <x:v>40116</x:v>
      </x:c>
      <x:c r="E10063" s="0" t="s">
        <x:v>40117</x:v>
      </x:c>
      <x:c r="F10063" s="0" t="s">
        <x:v>45</x:v>
      </x:c>
      <x:c r="G10063" s="0" t="s">
        <x:v>19</x:v>
      </x:c>
      <x:c r="H10063" s="0" t="s">
        <x:v>20</x:v>
      </x:c>
      <x:c r="I10063" s="0" t="s">
        <x:v>21</x:v>
      </x:c>
      <x:c r="K10063" s="0">
        <x:f>hyperlink("https://icd.who.int/dev11/l-ichi/en#/http%3A%2F%2Fid.who.int%2Ficd%2Fentity%2F1617301418","browser")</x:f>
      </x:c>
      <x:c r="L10063" s="0">
        <x:f>hyperlink("https://icat2.azurewebsites.net/icat/?ontology=ICD&amp;tab=ClassesTab&amp;id=http%3A%2F%2Fwho.int%2Ficd%2348475_512ebf36_bf6b_4d70_85da_cf2637062af4","iCat")</x:f>
      </x:c>
      <x:c r="M10063" s="0" t="s">
        <x:v>21</x:v>
      </x:c>
      <x:c r="N10063" s="0" t="s">
        <x:v>46</x:v>
      </x:c>
    </x:row>
    <x:row r="10064" spans="1:16">
      <x:c r="A10064" s="0" t="s">
        <x:v>40118</x:v>
      </x:c>
      <x:c r="B10064" s="0" t="s">
        <x:v>40119</x:v>
      </x:c>
      <x:c r="C10064" s="0" t="s">
        <x:v>40120</x:v>
      </x:c>
      <x:c r="E10064" s="0" t="s">
        <x:v>40121</x:v>
      </x:c>
      <x:c r="F10064" s="0" t="s">
        <x:v>45</x:v>
      </x:c>
      <x:c r="G10064" s="0" t="s">
        <x:v>19</x:v>
      </x:c>
      <x:c r="H10064" s="0" t="s">
        <x:v>20</x:v>
      </x:c>
      <x:c r="I10064" s="0" t="s">
        <x:v>21</x:v>
      </x:c>
      <x:c r="K10064" s="0">
        <x:f>hyperlink("https://icd.who.int/dev11/l-ichi/en#/http%3A%2F%2Fid.who.int%2Ficd%2Fentity%2F1057222393","browser")</x:f>
      </x:c>
      <x:c r="L10064" s="0">
        <x:f>hyperlink("https://icat2.azurewebsites.net/icat/?ontology=ICD&amp;tab=ClassesTab&amp;id=http%3A%2F%2Fwho.int%2Ficd%2348482_512ebf36_bf6b_4d70_85da_cf2637062af4","iCat")</x:f>
      </x:c>
      <x:c r="M10064" s="0" t="s">
        <x:v>21</x:v>
      </x:c>
      <x:c r="N10064" s="0" t="s">
        <x:v>46</x:v>
      </x:c>
    </x:row>
    <x:row r="10065" spans="1:16">
      <x:c r="A10065" s="0" t="s">
        <x:v>40122</x:v>
      </x:c>
      <x:c r="B10065" s="0" t="s">
        <x:v>40123</x:v>
      </x:c>
      <x:c r="C10065" s="0" t="s">
        <x:v>40124</x:v>
      </x:c>
      <x:c r="E10065" s="0" t="s">
        <x:v>40125</x:v>
      </x:c>
      <x:c r="F10065" s="0" t="s">
        <x:v>45</x:v>
      </x:c>
      <x:c r="G10065" s="0" t="s">
        <x:v>19</x:v>
      </x:c>
      <x:c r="H10065" s="0" t="s">
        <x:v>20</x:v>
      </x:c>
      <x:c r="I10065" s="0" t="s">
        <x:v>21</x:v>
      </x:c>
      <x:c r="K10065" s="0">
        <x:f>hyperlink("https://icd.who.int/dev11/l-ichi/en#/http%3A%2F%2Fid.who.int%2Ficd%2Fentity%2F872935509","browser")</x:f>
      </x:c>
      <x:c r="L10065" s="0">
        <x:f>hyperlink("https://icat2.azurewebsites.net/icat/?ontology=ICD&amp;tab=ClassesTab&amp;id=http%3A%2F%2Fwho.int%2Ficd%2348489_512ebf36_bf6b_4d70_85da_cf2637062af4","iCat")</x:f>
      </x:c>
      <x:c r="M10065" s="0" t="s">
        <x:v>21</x:v>
      </x:c>
      <x:c r="N10065" s="0" t="s">
        <x:v>46</x:v>
      </x:c>
    </x:row>
    <x:row r="10066" spans="1:16">
      <x:c r="A10066" s="0" t="s">
        <x:v>40126</x:v>
      </x:c>
      <x:c r="B10066" s="0" t="s">
        <x:v>40127</x:v>
      </x:c>
      <x:c r="C10066" s="0" t="s">
        <x:v>40128</x:v>
      </x:c>
      <x:c r="E10066" s="0" t="s">
        <x:v>40129</x:v>
      </x:c>
      <x:c r="F10066" s="0" t="s">
        <x:v>45</x:v>
      </x:c>
      <x:c r="G10066" s="0" t="s">
        <x:v>19</x:v>
      </x:c>
      <x:c r="H10066" s="0" t="s">
        <x:v>20</x:v>
      </x:c>
      <x:c r="I10066" s="0" t="s">
        <x:v>21</x:v>
      </x:c>
      <x:c r="K10066" s="0">
        <x:f>hyperlink("https://icd.who.int/dev11/l-ichi/en#/http%3A%2F%2Fid.who.int%2Ficd%2Fentity%2F1077464550","browser")</x:f>
      </x:c>
      <x:c r="L10066" s="0">
        <x:f>hyperlink("https://icat2.azurewebsites.net/icat/?ontology=ICD&amp;tab=ClassesTab&amp;id=http%3A%2F%2Fwho.int%2Ficd%2348497_512ebf36_bf6b_4d70_85da_cf2637062af4","iCat")</x:f>
      </x:c>
      <x:c r="M10066" s="0" t="s">
        <x:v>21</x:v>
      </x:c>
      <x:c r="N10066" s="0" t="s">
        <x:v>46</x:v>
      </x:c>
    </x:row>
    <x:row r="10067" spans="1:16">
      <x:c r="A10067" s="0" t="s">
        <x:v>40130</x:v>
      </x:c>
      <x:c r="B10067" s="0" t="s">
        <x:v>40131</x:v>
      </x:c>
      <x:c r="C10067" s="0" t="s">
        <x:v>40132</x:v>
      </x:c>
      <x:c r="E10067" s="0" t="s">
        <x:v>40133</x:v>
      </x:c>
      <x:c r="F10067" s="0" t="s">
        <x:v>45</x:v>
      </x:c>
      <x:c r="G10067" s="0" t="s">
        <x:v>19</x:v>
      </x:c>
      <x:c r="H10067" s="0" t="s">
        <x:v>20</x:v>
      </x:c>
      <x:c r="I10067" s="0" t="s">
        <x:v>21</x:v>
      </x:c>
      <x:c r="K10067" s="0">
        <x:f>hyperlink("https://icd.who.int/dev11/l-ichi/en#/http%3A%2F%2Fid.who.int%2Ficd%2Fentity%2F97953809","browser")</x:f>
      </x:c>
      <x:c r="L10067" s="0">
        <x:f>hyperlink("https://icat2.azurewebsites.net/icat/?ontology=ICD&amp;tab=ClassesTab&amp;id=http%3A%2F%2Fwho.int%2Ficd%2348504_512ebf36_bf6b_4d70_85da_cf2637062af4","iCat")</x:f>
      </x:c>
      <x:c r="M10067" s="0" t="s">
        <x:v>21</x:v>
      </x:c>
      <x:c r="N10067" s="0" t="s">
        <x:v>46</x:v>
      </x:c>
    </x:row>
    <x:row r="10068" spans="1:16">
      <x:c r="A10068" s="0" t="s">
        <x:v>40134</x:v>
      </x:c>
      <x:c r="B10068" s="0" t="s">
        <x:v>40135</x:v>
      </x:c>
      <x:c r="C10068" s="0" t="s">
        <x:v>40136</x:v>
      </x:c>
      <x:c r="E10068" s="0" t="s">
        <x:v>40137</x:v>
      </x:c>
      <x:c r="F10068" s="0" t="s">
        <x:v>45</x:v>
      </x:c>
      <x:c r="G10068" s="0" t="s">
        <x:v>19</x:v>
      </x:c>
      <x:c r="H10068" s="0" t="s">
        <x:v>20</x:v>
      </x:c>
      <x:c r="I10068" s="0" t="s">
        <x:v>21</x:v>
      </x:c>
      <x:c r="K10068" s="0">
        <x:f>hyperlink("https://icd.who.int/dev11/l-ichi/en#/http%3A%2F%2Fid.who.int%2Ficd%2Fentity%2F2062387982","browser")</x:f>
      </x:c>
      <x:c r="L10068" s="0">
        <x:f>hyperlink("https://icat2.azurewebsites.net/icat/?ontology=ICD&amp;tab=ClassesTab&amp;id=http%3A%2F%2Fwho.int%2Ficd%2348511_512ebf36_bf6b_4d70_85da_cf2637062af4","iCat")</x:f>
      </x:c>
      <x:c r="M10068" s="0" t="s">
        <x:v>21</x:v>
      </x:c>
      <x:c r="N10068" s="0" t="s">
        <x:v>46</x:v>
      </x:c>
    </x:row>
    <x:row r="10069" spans="1:16">
      <x:c r="A10069" s="0" t="s">
        <x:v>40138</x:v>
      </x:c>
      <x:c r="B10069" s="0" t="s">
        <x:v>40139</x:v>
      </x:c>
      <x:c r="C10069" s="0" t="s">
        <x:v>40140</x:v>
      </x:c>
      <x:c r="E10069" s="0" t="s">
        <x:v>40141</x:v>
      </x:c>
      <x:c r="F10069" s="0" t="s">
        <x:v>45</x:v>
      </x:c>
      <x:c r="G10069" s="0" t="s">
        <x:v>19</x:v>
      </x:c>
      <x:c r="H10069" s="0" t="s">
        <x:v>20</x:v>
      </x:c>
      <x:c r="I10069" s="0" t="s">
        <x:v>21</x:v>
      </x:c>
      <x:c r="K10069" s="0">
        <x:f>hyperlink("https://icd.who.int/dev11/l-ichi/en#/http%3A%2F%2Fid.who.int%2Ficd%2Fentity%2F345344103","browser")</x:f>
      </x:c>
      <x:c r="L10069" s="0">
        <x:f>hyperlink("https://icat2.azurewebsites.net/icat/?ontology=ICD&amp;tab=ClassesTab&amp;id=http%3A%2F%2Fwho.int%2Ficd%2348518_512ebf36_bf6b_4d70_85da_cf2637062af4","iCat")</x:f>
      </x:c>
      <x:c r="M10069" s="0" t="s">
        <x:v>21</x:v>
      </x:c>
      <x:c r="N10069" s="0" t="s">
        <x:v>46</x:v>
      </x:c>
    </x:row>
    <x:row r="10070" spans="1:16">
      <x:c r="A10070" s="0" t="s">
        <x:v>40142</x:v>
      </x:c>
      <x:c r="B10070" s="0" t="s">
        <x:v>40143</x:v>
      </x:c>
      <x:c r="C10070" s="0" t="s">
        <x:v>40144</x:v>
      </x:c>
      <x:c r="E10070" s="0" t="s">
        <x:v>40145</x:v>
      </x:c>
      <x:c r="F10070" s="0" t="s">
        <x:v>45</x:v>
      </x:c>
      <x:c r="G10070" s="0" t="s">
        <x:v>19</x:v>
      </x:c>
      <x:c r="H10070" s="0" t="s">
        <x:v>20</x:v>
      </x:c>
      <x:c r="I10070" s="0" t="s">
        <x:v>21</x:v>
      </x:c>
      <x:c r="K10070" s="0">
        <x:f>hyperlink("https://icd.who.int/dev11/l-ichi/en#/http%3A%2F%2Fid.who.int%2Ficd%2Fentity%2F257625981","browser")</x:f>
      </x:c>
      <x:c r="L10070" s="0">
        <x:f>hyperlink("https://icat2.azurewebsites.net/icat/?ontology=ICD&amp;tab=ClassesTab&amp;id=http%3A%2F%2Fwho.int%2Ficd%2348525_512ebf36_bf6b_4d70_85da_cf2637062af4","iCat")</x:f>
      </x:c>
      <x:c r="M10070" s="0" t="s">
        <x:v>21</x:v>
      </x:c>
      <x:c r="N10070" s="0" t="s">
        <x:v>46</x:v>
      </x:c>
    </x:row>
    <x:row r="10071" spans="1:16">
      <x:c r="A10071" s="0" t="s">
        <x:v>40146</x:v>
      </x:c>
      <x:c r="B10071" s="0" t="s">
        <x:v>40147</x:v>
      </x:c>
      <x:c r="C10071" s="0" t="s">
        <x:v>40148</x:v>
      </x:c>
      <x:c r="E10071" s="0" t="s">
        <x:v>40149</x:v>
      </x:c>
      <x:c r="F10071" s="0" t="s">
        <x:v>45</x:v>
      </x:c>
      <x:c r="G10071" s="0" t="s">
        <x:v>19</x:v>
      </x:c>
      <x:c r="H10071" s="0" t="s">
        <x:v>20</x:v>
      </x:c>
      <x:c r="I10071" s="0" t="s">
        <x:v>21</x:v>
      </x:c>
      <x:c r="K10071" s="0">
        <x:f>hyperlink("https://icd.who.int/dev11/l-ichi/en#/http%3A%2F%2Fid.who.int%2Ficd%2Fentity%2F354169255","browser")</x:f>
      </x:c>
      <x:c r="L10071" s="0">
        <x:f>hyperlink("https://icat2.azurewebsites.net/icat/?ontology=ICD&amp;tab=ClassesTab&amp;id=http%3A%2F%2Fwho.int%2Ficd%2348532_512ebf36_bf6b_4d70_85da_cf2637062af4","iCat")</x:f>
      </x:c>
      <x:c r="M10071" s="0" t="s">
        <x:v>21</x:v>
      </x:c>
      <x:c r="N10071" s="0" t="s">
        <x:v>46</x:v>
      </x:c>
    </x:row>
    <x:row r="10072" spans="1:16">
      <x:c r="A10072" s="0" t="s">
        <x:v>40150</x:v>
      </x:c>
      <x:c r="B10072" s="0" t="s">
        <x:v>40151</x:v>
      </x:c>
      <x:c r="C10072" s="0" t="s">
        <x:v>40152</x:v>
      </x:c>
      <x:c r="E10072" s="0" t="s">
        <x:v>40153</x:v>
      </x:c>
      <x:c r="F10072" s="0" t="s">
        <x:v>45</x:v>
      </x:c>
      <x:c r="G10072" s="0" t="s">
        <x:v>19</x:v>
      </x:c>
      <x:c r="H10072" s="0" t="s">
        <x:v>20</x:v>
      </x:c>
      <x:c r="I10072" s="0" t="s">
        <x:v>21</x:v>
      </x:c>
      <x:c r="K10072" s="0">
        <x:f>hyperlink("https://icd.who.int/dev11/l-ichi/en#/http%3A%2F%2Fid.who.int%2Ficd%2Fentity%2F504901387","browser")</x:f>
      </x:c>
      <x:c r="L10072" s="0">
        <x:f>hyperlink("https://icat2.azurewebsites.net/icat/?ontology=ICD&amp;tab=ClassesTab&amp;id=http%3A%2F%2Fwho.int%2Ficd%2348539_512ebf36_bf6b_4d70_85da_cf2637062af4","iCat")</x:f>
      </x:c>
      <x:c r="M10072" s="0" t="s">
        <x:v>21</x:v>
      </x:c>
      <x:c r="N10072" s="0" t="s">
        <x:v>46</x:v>
      </x:c>
    </x:row>
    <x:row r="10073" spans="1:16">
      <x:c r="A10073" s="0" t="s">
        <x:v>40154</x:v>
      </x:c>
      <x:c r="B10073" s="0" t="s">
        <x:v>40155</x:v>
      </x:c>
      <x:c r="C10073" s="0" t="s">
        <x:v>40156</x:v>
      </x:c>
      <x:c r="E10073" s="0" t="s">
        <x:v>40157</x:v>
      </x:c>
      <x:c r="F10073" s="0" t="s">
        <x:v>45</x:v>
      </x:c>
      <x:c r="G10073" s="0" t="s">
        <x:v>19</x:v>
      </x:c>
      <x:c r="H10073" s="0" t="s">
        <x:v>20</x:v>
      </x:c>
      <x:c r="I10073" s="0" t="s">
        <x:v>21</x:v>
      </x:c>
      <x:c r="K10073" s="0">
        <x:f>hyperlink("https://icd.who.int/dev11/l-ichi/en#/http%3A%2F%2Fid.who.int%2Ficd%2Fentity%2F281929417","browser")</x:f>
      </x:c>
      <x:c r="L10073" s="0">
        <x:f>hyperlink("https://icat2.azurewebsites.net/icat/?ontology=ICD&amp;tab=ClassesTab&amp;id=http%3A%2F%2Fwho.int%2Ficd%2348546_512ebf36_bf6b_4d70_85da_cf2637062af4","iCat")</x:f>
      </x:c>
      <x:c r="M10073" s="0" t="s">
        <x:v>21</x:v>
      </x:c>
      <x:c r="N10073" s="0" t="s">
        <x:v>46</x:v>
      </x:c>
    </x:row>
    <x:row r="10074" spans="1:16">
      <x:c r="A10074" s="0" t="s">
        <x:v>40158</x:v>
      </x:c>
      <x:c r="B10074" s="0" t="s">
        <x:v>40159</x:v>
      </x:c>
      <x:c r="C10074" s="0" t="s">
        <x:v>40160</x:v>
      </x:c>
      <x:c r="E10074" s="0" t="s">
        <x:v>40161</x:v>
      </x:c>
      <x:c r="F10074" s="0" t="s">
        <x:v>45</x:v>
      </x:c>
      <x:c r="G10074" s="0" t="s">
        <x:v>19</x:v>
      </x:c>
      <x:c r="H10074" s="0" t="s">
        <x:v>20</x:v>
      </x:c>
      <x:c r="I10074" s="0" t="s">
        <x:v>21</x:v>
      </x:c>
      <x:c r="K10074" s="0">
        <x:f>hyperlink("https://icd.who.int/dev11/l-ichi/en#/http%3A%2F%2Fid.who.int%2Ficd%2Fentity%2F1878443478","browser")</x:f>
      </x:c>
      <x:c r="L10074" s="0">
        <x:f>hyperlink("https://icat2.azurewebsites.net/icat/?ontology=ICD&amp;tab=ClassesTab&amp;id=http%3A%2F%2Fwho.int%2Ficd%2348553_512ebf36_bf6b_4d70_85da_cf2637062af4","iCat")</x:f>
      </x:c>
      <x:c r="M10074" s="0" t="s">
        <x:v>21</x:v>
      </x:c>
      <x:c r="N10074" s="0" t="s">
        <x:v>46</x:v>
      </x:c>
    </x:row>
    <x:row r="10075" spans="1:16">
      <x:c r="A10075" s="0" t="s">
        <x:v>40162</x:v>
      </x:c>
      <x:c r="B10075" s="0" t="s">
        <x:v>40163</x:v>
      </x:c>
      <x:c r="C10075" s="0" t="s">
        <x:v>40164</x:v>
      </x:c>
      <x:c r="E10075" s="0" t="s">
        <x:v>40165</x:v>
      </x:c>
      <x:c r="F10075" s="0" t="s">
        <x:v>45</x:v>
      </x:c>
      <x:c r="G10075" s="0" t="s">
        <x:v>19</x:v>
      </x:c>
      <x:c r="H10075" s="0" t="s">
        <x:v>20</x:v>
      </x:c>
      <x:c r="I10075" s="0" t="s">
        <x:v>21</x:v>
      </x:c>
      <x:c r="K10075" s="0">
        <x:f>hyperlink("https://icd.who.int/dev11/l-ichi/en#/http%3A%2F%2Fid.who.int%2Ficd%2Fentity%2F1791158824","browser")</x:f>
      </x:c>
      <x:c r="L10075" s="0">
        <x:f>hyperlink("https://icat2.azurewebsites.net/icat/?ontology=ICD&amp;tab=ClassesTab&amp;id=http%3A%2F%2Fwho.int%2Ficd%2348560_512ebf36_bf6b_4d70_85da_cf2637062af4","iCat")</x:f>
      </x:c>
      <x:c r="M10075" s="0" t="s">
        <x:v>21</x:v>
      </x:c>
      <x:c r="N10075" s="0" t="s">
        <x:v>46</x:v>
      </x:c>
    </x:row>
    <x:row r="10076" spans="1:16">
      <x:c r="A10076" s="0" t="s">
        <x:v>40166</x:v>
      </x:c>
      <x:c r="B10076" s="0" t="s">
        <x:v>40167</x:v>
      </x:c>
      <x:c r="C10076" s="0" t="s">
        <x:v>40168</x:v>
      </x:c>
      <x:c r="E10076" s="0" t="s">
        <x:v>40169</x:v>
      </x:c>
      <x:c r="F10076" s="0" t="s">
        <x:v>45</x:v>
      </x:c>
      <x:c r="G10076" s="0" t="s">
        <x:v>19</x:v>
      </x:c>
      <x:c r="H10076" s="0" t="s">
        <x:v>20</x:v>
      </x:c>
      <x:c r="I10076" s="0" t="s">
        <x:v>21</x:v>
      </x:c>
      <x:c r="K10076" s="0">
        <x:f>hyperlink("https://icd.who.int/dev11/l-ichi/en#/http%3A%2F%2Fid.who.int%2Ficd%2Fentity%2F440418725","browser")</x:f>
      </x:c>
      <x:c r="L10076" s="0">
        <x:f>hyperlink("https://icat2.azurewebsites.net/icat/?ontology=ICD&amp;tab=ClassesTab&amp;id=http%3A%2F%2Fwho.int%2Ficd%2348567_512ebf36_bf6b_4d70_85da_cf2637062af4","iCat")</x:f>
      </x:c>
      <x:c r="M10076" s="0" t="s">
        <x:v>21</x:v>
      </x:c>
      <x:c r="N10076" s="0" t="s">
        <x:v>46</x:v>
      </x:c>
    </x:row>
    <x:row r="10077" spans="1:16">
      <x:c r="A10077" s="0" t="s">
        <x:v>40170</x:v>
      </x:c>
      <x:c r="B10077" s="0" t="s">
        <x:v>40171</x:v>
      </x:c>
      <x:c r="C10077" s="0" t="s">
        <x:v>40172</x:v>
      </x:c>
      <x:c r="E10077" s="0" t="s">
        <x:v>40173</x:v>
      </x:c>
      <x:c r="F10077" s="0" t="s">
        <x:v>45</x:v>
      </x:c>
      <x:c r="G10077" s="0" t="s">
        <x:v>19</x:v>
      </x:c>
      <x:c r="H10077" s="0" t="s">
        <x:v>20</x:v>
      </x:c>
      <x:c r="I10077" s="0" t="s">
        <x:v>21</x:v>
      </x:c>
      <x:c r="K10077" s="0">
        <x:f>hyperlink("https://icd.who.int/dev11/l-ichi/en#/http%3A%2F%2Fid.who.int%2Ficd%2Fentity%2F1350346448","browser")</x:f>
      </x:c>
      <x:c r="L10077" s="0">
        <x:f>hyperlink("https://icat2.azurewebsites.net/icat/?ontology=ICD&amp;tab=ClassesTab&amp;id=http%3A%2F%2Fwho.int%2Ficd%2348576_512ebf36_bf6b_4d70_85da_cf2637062af4","iCat")</x:f>
      </x:c>
      <x:c r="M10077" s="0" t="s">
        <x:v>21</x:v>
      </x:c>
      <x:c r="N10077" s="0" t="s">
        <x:v>46</x:v>
      </x:c>
    </x:row>
    <x:row r="10078" spans="1:16">
      <x:c r="A10078" s="0" t="s">
        <x:v>40174</x:v>
      </x:c>
      <x:c r="B10078" s="0" t="s">
        <x:v>40175</x:v>
      </x:c>
      <x:c r="C10078" s="0" t="s">
        <x:v>40176</x:v>
      </x:c>
      <x:c r="E10078" s="0" t="s">
        <x:v>40177</x:v>
      </x:c>
      <x:c r="F10078" s="0" t="s">
        <x:v>45</x:v>
      </x:c>
      <x:c r="G10078" s="0" t="s">
        <x:v>19</x:v>
      </x:c>
      <x:c r="H10078" s="0" t="s">
        <x:v>20</x:v>
      </x:c>
      <x:c r="I10078" s="0" t="s">
        <x:v>21</x:v>
      </x:c>
      <x:c r="K10078" s="0">
        <x:f>hyperlink("https://icd.who.int/dev11/l-ichi/en#/http%3A%2F%2Fid.who.int%2Ficd%2Fentity%2F1785027162","browser")</x:f>
      </x:c>
      <x:c r="L10078" s="0">
        <x:f>hyperlink("https://icat2.azurewebsites.net/icat/?ontology=ICD&amp;tab=ClassesTab&amp;id=http%3A%2F%2Fwho.int%2Ficd%2348583_512ebf36_bf6b_4d70_85da_cf2637062af4","iCat")</x:f>
      </x:c>
      <x:c r="M10078" s="0" t="s">
        <x:v>21</x:v>
      </x:c>
      <x:c r="N10078" s="0" t="s">
        <x:v>46</x:v>
      </x:c>
    </x:row>
    <x:row r="10079" spans="1:16">
      <x:c r="A10079" s="0" t="s">
        <x:v>40178</x:v>
      </x:c>
      <x:c r="B10079" s="0" t="s">
        <x:v>40179</x:v>
      </x:c>
      <x:c r="C10079" s="0" t="s">
        <x:v>40180</x:v>
      </x:c>
      <x:c r="E10079" s="0" t="s">
        <x:v>40181</x:v>
      </x:c>
      <x:c r="F10079" s="0" t="s">
        <x:v>45</x:v>
      </x:c>
      <x:c r="G10079" s="0" t="s">
        <x:v>19</x:v>
      </x:c>
      <x:c r="H10079" s="0" t="s">
        <x:v>20</x:v>
      </x:c>
      <x:c r="I10079" s="0" t="s">
        <x:v>21</x:v>
      </x:c>
      <x:c r="K10079" s="0">
        <x:f>hyperlink("https://icd.who.int/dev11/l-ichi/en#/http%3A%2F%2Fid.who.int%2Ficd%2Fentity%2F1160093942","browser")</x:f>
      </x:c>
      <x:c r="L10079" s="0">
        <x:f>hyperlink("https://icat2.azurewebsites.net/icat/?ontology=ICD&amp;tab=ClassesTab&amp;id=http%3A%2F%2Fwho.int%2Ficd%2348590_512ebf36_bf6b_4d70_85da_cf2637062af4","iCat")</x:f>
      </x:c>
      <x:c r="M10079" s="0" t="s">
        <x:v>21</x:v>
      </x:c>
      <x:c r="N10079" s="0" t="s">
        <x:v>46</x:v>
      </x:c>
    </x:row>
    <x:row r="10080" spans="1:16">
      <x:c r="A10080" s="0" t="s">
        <x:v>40182</x:v>
      </x:c>
      <x:c r="B10080" s="0" t="s">
        <x:v>40183</x:v>
      </x:c>
      <x:c r="C10080" s="0" t="s">
        <x:v>40184</x:v>
      </x:c>
      <x:c r="E10080" s="0" t="s">
        <x:v>40185</x:v>
      </x:c>
      <x:c r="F10080" s="0" t="s">
        <x:v>45</x:v>
      </x:c>
      <x:c r="G10080" s="0" t="s">
        <x:v>19</x:v>
      </x:c>
      <x:c r="H10080" s="0" t="s">
        <x:v>20</x:v>
      </x:c>
      <x:c r="I10080" s="0" t="s">
        <x:v>21</x:v>
      </x:c>
      <x:c r="K10080" s="0">
        <x:f>hyperlink("https://icd.who.int/dev11/l-ichi/en#/http%3A%2F%2Fid.who.int%2Ficd%2Fentity%2F900139899","browser")</x:f>
      </x:c>
      <x:c r="L10080" s="0">
        <x:f>hyperlink("https://icat2.azurewebsites.net/icat/?ontology=ICD&amp;tab=ClassesTab&amp;id=http%3A%2F%2Fwho.int%2Ficd%2348597_512ebf36_bf6b_4d70_85da_cf2637062af4","iCat")</x:f>
      </x:c>
      <x:c r="M10080" s="0" t="s">
        <x:v>21</x:v>
      </x:c>
      <x:c r="N10080" s="0" t="s">
        <x:v>46</x:v>
      </x:c>
    </x:row>
    <x:row r="10081" spans="1:16">
      <x:c r="A10081" s="0" t="s">
        <x:v>40186</x:v>
      </x:c>
      <x:c r="B10081" s="0" t="s">
        <x:v>40187</x:v>
      </x:c>
      <x:c r="C10081" s="0" t="s">
        <x:v>40188</x:v>
      </x:c>
      <x:c r="E10081" s="0" t="s">
        <x:v>40189</x:v>
      </x:c>
      <x:c r="F10081" s="0" t="s">
        <x:v>45</x:v>
      </x:c>
      <x:c r="G10081" s="0" t="s">
        <x:v>19</x:v>
      </x:c>
      <x:c r="H10081" s="0" t="s">
        <x:v>20</x:v>
      </x:c>
      <x:c r="I10081" s="0" t="s">
        <x:v>21</x:v>
      </x:c>
      <x:c r="K10081" s="0">
        <x:f>hyperlink("https://icd.who.int/dev11/l-ichi/en#/http%3A%2F%2Fid.who.int%2Ficd%2Fentity%2F1148218996","browser")</x:f>
      </x:c>
      <x:c r="L10081" s="0">
        <x:f>hyperlink("https://icat2.azurewebsites.net/icat/?ontology=ICD&amp;tab=ClassesTab&amp;id=http%3A%2F%2Fwho.int%2Ficd%2348605_512ebf36_bf6b_4d70_85da_cf2637062af4","iCat")</x:f>
      </x:c>
      <x:c r="M10081" s="0" t="s">
        <x:v>21</x:v>
      </x:c>
      <x:c r="N10081" s="0" t="s">
        <x:v>46</x:v>
      </x:c>
    </x:row>
    <x:row r="10082" spans="1:16">
      <x:c r="A10082" s="0" t="s">
        <x:v>40190</x:v>
      </x:c>
      <x:c r="B10082" s="0" t="s">
        <x:v>40191</x:v>
      </x:c>
      <x:c r="C10082" s="0" t="s">
        <x:v>40192</x:v>
      </x:c>
      <x:c r="E10082" s="0" t="s">
        <x:v>40193</x:v>
      </x:c>
      <x:c r="F10082" s="0" t="s">
        <x:v>45</x:v>
      </x:c>
      <x:c r="G10082" s="0" t="s">
        <x:v>19</x:v>
      </x:c>
      <x:c r="H10082" s="0" t="s">
        <x:v>20</x:v>
      </x:c>
      <x:c r="I10082" s="0" t="s">
        <x:v>21</x:v>
      </x:c>
      <x:c r="K10082" s="0">
        <x:f>hyperlink("https://icd.who.int/dev11/l-ichi/en#/http%3A%2F%2Fid.who.int%2Ficd%2Fentity%2F2127438484","browser")</x:f>
      </x:c>
      <x:c r="L10082" s="0">
        <x:f>hyperlink("https://icat2.azurewebsites.net/icat/?ontology=ICD&amp;tab=ClassesTab&amp;id=http%3A%2F%2Fwho.int%2Ficd%2348613_512ebf36_bf6b_4d70_85da_cf2637062af4","iCat")</x:f>
      </x:c>
      <x:c r="M10082" s="0" t="s">
        <x:v>21</x:v>
      </x:c>
      <x:c r="N10082" s="0" t="s">
        <x:v>46</x:v>
      </x:c>
    </x:row>
    <x:row r="10083" spans="1:16">
      <x:c r="A10083" s="0" t="s">
        <x:v>40194</x:v>
      </x:c>
      <x:c r="B10083" s="0" t="s">
        <x:v>40195</x:v>
      </x:c>
      <x:c r="C10083" s="0" t="s">
        <x:v>40196</x:v>
      </x:c>
      <x:c r="E10083" s="0" t="s">
        <x:v>40197</x:v>
      </x:c>
      <x:c r="F10083" s="0" t="s">
        <x:v>45</x:v>
      </x:c>
      <x:c r="G10083" s="0" t="s">
        <x:v>19</x:v>
      </x:c>
      <x:c r="H10083" s="0" t="s">
        <x:v>20</x:v>
      </x:c>
      <x:c r="I10083" s="0" t="s">
        <x:v>21</x:v>
      </x:c>
      <x:c r="K10083" s="0">
        <x:f>hyperlink("https://icd.who.int/dev11/l-ichi/en#/http%3A%2F%2Fid.who.int%2Ficd%2Fentity%2F2079985006","browser")</x:f>
      </x:c>
      <x:c r="L10083" s="0">
        <x:f>hyperlink("https://icat2.azurewebsites.net/icat/?ontology=ICD&amp;tab=ClassesTab&amp;id=http%3A%2F%2Fwho.int%2Ficd%2348620_512ebf36_bf6b_4d70_85da_cf2637062af4","iCat")</x:f>
      </x:c>
      <x:c r="M10083" s="0" t="s">
        <x:v>21</x:v>
      </x:c>
      <x:c r="N10083" s="0" t="s">
        <x:v>46</x:v>
      </x:c>
    </x:row>
    <x:row r="10084" spans="1:16">
      <x:c r="A10084" s="0" t="s">
        <x:v>40198</x:v>
      </x:c>
      <x:c r="B10084" s="0" t="s">
        <x:v>40199</x:v>
      </x:c>
      <x:c r="C10084" s="0" t="s">
        <x:v>40200</x:v>
      </x:c>
      <x:c r="E10084" s="0" t="s">
        <x:v>40201</x:v>
      </x:c>
      <x:c r="F10084" s="0" t="s">
        <x:v>45</x:v>
      </x:c>
      <x:c r="G10084" s="0" t="s">
        <x:v>19</x:v>
      </x:c>
      <x:c r="H10084" s="0" t="s">
        <x:v>20</x:v>
      </x:c>
      <x:c r="I10084" s="0" t="s">
        <x:v>21</x:v>
      </x:c>
      <x:c r="K10084" s="0">
        <x:f>hyperlink("https://icd.who.int/dev11/l-ichi/en#/http%3A%2F%2Fid.who.int%2Ficd%2Fentity%2F192456417","browser")</x:f>
      </x:c>
      <x:c r="L10084" s="0">
        <x:f>hyperlink("https://icat2.azurewebsites.net/icat/?ontology=ICD&amp;tab=ClassesTab&amp;id=http%3A%2F%2Fwho.int%2Ficd%2348627_512ebf36_bf6b_4d70_85da_cf2637062af4","iCat")</x:f>
      </x:c>
      <x:c r="M10084" s="0" t="s">
        <x:v>21</x:v>
      </x:c>
      <x:c r="N10084" s="0" t="s">
        <x:v>46</x:v>
      </x:c>
    </x:row>
    <x:row r="10085" spans="1:16">
      <x:c r="A10085" s="0" t="s">
        <x:v>40202</x:v>
      </x:c>
      <x:c r="B10085" s="0" t="s">
        <x:v>40203</x:v>
      </x:c>
      <x:c r="C10085" s="0" t="s">
        <x:v>40204</x:v>
      </x:c>
      <x:c r="E10085" s="0" t="s">
        <x:v>40205</x:v>
      </x:c>
      <x:c r="F10085" s="0" t="s">
        <x:v>45</x:v>
      </x:c>
      <x:c r="G10085" s="0" t="s">
        <x:v>19</x:v>
      </x:c>
      <x:c r="H10085" s="0" t="s">
        <x:v>20</x:v>
      </x:c>
      <x:c r="I10085" s="0" t="s">
        <x:v>21</x:v>
      </x:c>
      <x:c r="K10085" s="0">
        <x:f>hyperlink("https://icd.who.int/dev11/l-ichi/en#/http%3A%2F%2Fid.who.int%2Ficd%2Fentity%2F607673423","browser")</x:f>
      </x:c>
      <x:c r="L10085" s="0">
        <x:f>hyperlink("https://icat2.azurewebsites.net/icat/?ontology=ICD&amp;tab=ClassesTab&amp;id=http%3A%2F%2Fwho.int%2Ficd%2348634_512ebf36_bf6b_4d70_85da_cf2637062af4","iCat")</x:f>
      </x:c>
      <x:c r="M10085" s="0" t="s">
        <x:v>21</x:v>
      </x:c>
      <x:c r="N10085" s="0" t="s">
        <x:v>46</x:v>
      </x:c>
    </x:row>
    <x:row r="10086" spans="1:16">
      <x:c r="A10086" s="0" t="s">
        <x:v>40206</x:v>
      </x:c>
      <x:c r="B10086" s="0" t="s">
        <x:v>40207</x:v>
      </x:c>
      <x:c r="C10086" s="0" t="s">
        <x:v>40208</x:v>
      </x:c>
      <x:c r="E10086" s="0" t="s">
        <x:v>40209</x:v>
      </x:c>
      <x:c r="F10086" s="0" t="s">
        <x:v>45</x:v>
      </x:c>
      <x:c r="G10086" s="0" t="s">
        <x:v>19</x:v>
      </x:c>
      <x:c r="H10086" s="0" t="s">
        <x:v>20</x:v>
      </x:c>
      <x:c r="I10086" s="0" t="s">
        <x:v>21</x:v>
      </x:c>
      <x:c r="K10086" s="0">
        <x:f>hyperlink("https://icd.who.int/dev11/l-ichi/en#/http%3A%2F%2Fid.who.int%2Ficd%2Fentity%2F1150654180","browser")</x:f>
      </x:c>
      <x:c r="L10086" s="0">
        <x:f>hyperlink("https://icat2.azurewebsites.net/icat/?ontology=ICD&amp;tab=ClassesTab&amp;id=http%3A%2F%2Fwho.int%2Ficd%2348642_512ebf36_bf6b_4d70_85da_cf2637062af4","iCat")</x:f>
      </x:c>
      <x:c r="M10086" s="0" t="s">
        <x:v>21</x:v>
      </x:c>
      <x:c r="N10086" s="0" t="s">
        <x:v>46</x:v>
      </x:c>
    </x:row>
    <x:row r="10087" spans="1:16">
      <x:c r="A10087" s="0" t="s">
        <x:v>40210</x:v>
      </x:c>
      <x:c r="B10087" s="0" t="s">
        <x:v>40211</x:v>
      </x:c>
      <x:c r="C10087" s="0" t="s">
        <x:v>40212</x:v>
      </x:c>
      <x:c r="E10087" s="0" t="s">
        <x:v>40213</x:v>
      </x:c>
      <x:c r="F10087" s="0" t="s">
        <x:v>45</x:v>
      </x:c>
      <x:c r="G10087" s="0" t="s">
        <x:v>19</x:v>
      </x:c>
      <x:c r="H10087" s="0" t="s">
        <x:v>20</x:v>
      </x:c>
      <x:c r="I10087" s="0" t="s">
        <x:v>21</x:v>
      </x:c>
      <x:c r="K10087" s="0">
        <x:f>hyperlink("https://icd.who.int/dev11/l-ichi/en#/http%3A%2F%2Fid.who.int%2Ficd%2Fentity%2F1334937674","browser")</x:f>
      </x:c>
      <x:c r="L10087" s="0">
        <x:f>hyperlink("https://icat2.azurewebsites.net/icat/?ontology=ICD&amp;tab=ClassesTab&amp;id=http%3A%2F%2Fwho.int%2Ficd%2348649_512ebf36_bf6b_4d70_85da_cf2637062af4","iCat")</x:f>
      </x:c>
      <x:c r="M10087" s="0" t="s">
        <x:v>21</x:v>
      </x:c>
      <x:c r="N10087" s="0" t="s">
        <x:v>46</x:v>
      </x:c>
    </x:row>
    <x:row r="10088" spans="1:16">
      <x:c r="A10088" s="0" t="s">
        <x:v>40214</x:v>
      </x:c>
      <x:c r="B10088" s="0" t="s">
        <x:v>40215</x:v>
      </x:c>
      <x:c r="C10088" s="0" t="s">
        <x:v>40216</x:v>
      </x:c>
      <x:c r="E10088" s="0" t="s">
        <x:v>40217</x:v>
      </x:c>
      <x:c r="F10088" s="0" t="s">
        <x:v>45</x:v>
      </x:c>
      <x:c r="G10088" s="0" t="s">
        <x:v>19</x:v>
      </x:c>
      <x:c r="H10088" s="0" t="s">
        <x:v>20</x:v>
      </x:c>
      <x:c r="I10088" s="0" t="s">
        <x:v>21</x:v>
      </x:c>
      <x:c r="K10088" s="0">
        <x:f>hyperlink("https://icd.who.int/dev11/l-ichi/en#/http%3A%2F%2Fid.who.int%2Ficd%2Fentity%2F458737607","browser")</x:f>
      </x:c>
      <x:c r="L10088" s="0">
        <x:f>hyperlink("https://icat2.azurewebsites.net/icat/?ontology=ICD&amp;tab=ClassesTab&amp;id=http%3A%2F%2Fwho.int%2Ficd%2348656_512ebf36_bf6b_4d70_85da_cf2637062af4","iCat")</x:f>
      </x:c>
      <x:c r="M10088" s="0" t="s">
        <x:v>21</x:v>
      </x:c>
      <x:c r="N10088" s="0" t="s">
        <x:v>46</x:v>
      </x:c>
    </x:row>
    <x:row r="10089" spans="1:16">
      <x:c r="A10089" s="0" t="s">
        <x:v>40218</x:v>
      </x:c>
      <x:c r="B10089" s="0" t="s">
        <x:v>40219</x:v>
      </x:c>
      <x:c r="C10089" s="0" t="s">
        <x:v>40220</x:v>
      </x:c>
      <x:c r="E10089" s="0" t="s">
        <x:v>40221</x:v>
      </x:c>
      <x:c r="F10089" s="0" t="s">
        <x:v>45</x:v>
      </x:c>
      <x:c r="G10089" s="0" t="s">
        <x:v>19</x:v>
      </x:c>
      <x:c r="H10089" s="0" t="s">
        <x:v>20</x:v>
      </x:c>
      <x:c r="I10089" s="0" t="s">
        <x:v>21</x:v>
      </x:c>
      <x:c r="K10089" s="0">
        <x:f>hyperlink("https://icd.who.int/dev11/l-ichi/en#/http%3A%2F%2Fid.who.int%2Ficd%2Fentity%2F1310208392","browser")</x:f>
      </x:c>
      <x:c r="L10089" s="0">
        <x:f>hyperlink("https://icat2.azurewebsites.net/icat/?ontology=ICD&amp;tab=ClassesTab&amp;id=http%3A%2F%2Fwho.int%2Ficd%2348663_512ebf36_bf6b_4d70_85da_cf2637062af4","iCat")</x:f>
      </x:c>
      <x:c r="M10089" s="0" t="s">
        <x:v>21</x:v>
      </x:c>
      <x:c r="N10089" s="0" t="s">
        <x:v>46</x:v>
      </x:c>
    </x:row>
    <x:row r="10090" spans="1:16">
      <x:c r="A10090" s="0" t="s">
        <x:v>40222</x:v>
      </x:c>
      <x:c r="B10090" s="0" t="s">
        <x:v>40223</x:v>
      </x:c>
      <x:c r="C10090" s="0" t="s">
        <x:v>40224</x:v>
      </x:c>
      <x:c r="E10090" s="0" t="s">
        <x:v>40225</x:v>
      </x:c>
      <x:c r="F10090" s="0" t="s">
        <x:v>45</x:v>
      </x:c>
      <x:c r="G10090" s="0" t="s">
        <x:v>19</x:v>
      </x:c>
      <x:c r="H10090" s="0" t="s">
        <x:v>20</x:v>
      </x:c>
      <x:c r="I10090" s="0" t="s">
        <x:v>21</x:v>
      </x:c>
      <x:c r="K10090" s="0">
        <x:f>hyperlink("https://icd.who.int/dev11/l-ichi/en#/http%3A%2F%2Fid.who.int%2Ficd%2Fentity%2F1633209128","browser")</x:f>
      </x:c>
      <x:c r="L10090" s="0">
        <x:f>hyperlink("https://icat2.azurewebsites.net/icat/?ontology=ICD&amp;tab=ClassesTab&amp;id=http%3A%2F%2Fwho.int%2Ficd%2348670_512ebf36_bf6b_4d70_85da_cf2637062af4","iCat")</x:f>
      </x:c>
      <x:c r="M10090" s="0" t="s">
        <x:v>21</x:v>
      </x:c>
      <x:c r="N10090" s="0" t="s">
        <x:v>46</x:v>
      </x:c>
    </x:row>
    <x:row r="10091" spans="1:16">
      <x:c r="A10091" s="0" t="s">
        <x:v>40226</x:v>
      </x:c>
      <x:c r="B10091" s="0" t="s">
        <x:v>40227</x:v>
      </x:c>
      <x:c r="C10091" s="0" t="s">
        <x:v>40228</x:v>
      </x:c>
      <x:c r="E10091" s="0" t="s">
        <x:v>40229</x:v>
      </x:c>
      <x:c r="F10091" s="0" t="s">
        <x:v>45</x:v>
      </x:c>
      <x:c r="G10091" s="0" t="s">
        <x:v>19</x:v>
      </x:c>
      <x:c r="H10091" s="0" t="s">
        <x:v>20</x:v>
      </x:c>
      <x:c r="I10091" s="0" t="s">
        <x:v>21</x:v>
      </x:c>
      <x:c r="K10091" s="0">
        <x:f>hyperlink("https://icd.who.int/dev11/l-ichi/en#/http%3A%2F%2Fid.who.int%2Ficd%2Fentity%2F299524267","browser")</x:f>
      </x:c>
      <x:c r="L10091" s="0">
        <x:f>hyperlink("https://icat2.azurewebsites.net/icat/?ontology=ICD&amp;tab=ClassesTab&amp;id=http%3A%2F%2Fwho.int%2Ficd%2348677_512ebf36_bf6b_4d70_85da_cf2637062af4","iCat")</x:f>
      </x:c>
      <x:c r="M10091" s="0" t="s">
        <x:v>21</x:v>
      </x:c>
      <x:c r="N10091" s="0" t="s">
        <x:v>46</x:v>
      </x:c>
    </x:row>
    <x:row r="10092" spans="1:16">
      <x:c r="A10092" s="0" t="s">
        <x:v>40230</x:v>
      </x:c>
      <x:c r="B10092" s="0" t="s">
        <x:v>40231</x:v>
      </x:c>
      <x:c r="C10092" s="0" t="s">
        <x:v>40232</x:v>
      </x:c>
      <x:c r="E10092" s="0" t="s">
        <x:v>40233</x:v>
      </x:c>
      <x:c r="F10092" s="0" t="s">
        <x:v>45</x:v>
      </x:c>
      <x:c r="G10092" s="0" t="s">
        <x:v>19</x:v>
      </x:c>
      <x:c r="H10092" s="0" t="s">
        <x:v>20</x:v>
      </x:c>
      <x:c r="I10092" s="0" t="s">
        <x:v>21</x:v>
      </x:c>
      <x:c r="K10092" s="0">
        <x:f>hyperlink("https://icd.who.int/dev11/l-ichi/en#/http%3A%2F%2Fid.who.int%2Ficd%2Fentity%2F2075673996","browser")</x:f>
      </x:c>
      <x:c r="L10092" s="0">
        <x:f>hyperlink("https://icat2.azurewebsites.net/icat/?ontology=ICD&amp;tab=ClassesTab&amp;id=http%3A%2F%2Fwho.int%2Ficd%2348684_512ebf36_bf6b_4d70_85da_cf2637062af4","iCat")</x:f>
      </x:c>
      <x:c r="M10092" s="0" t="s">
        <x:v>21</x:v>
      </x:c>
      <x:c r="N10092" s="0" t="s">
        <x:v>46</x:v>
      </x:c>
    </x:row>
    <x:row r="10093" spans="1:16">
      <x:c r="A10093" s="0" t="s">
        <x:v>40234</x:v>
      </x:c>
      <x:c r="B10093" s="0" t="s">
        <x:v>40235</x:v>
      </x:c>
      <x:c r="C10093" s="0" t="s">
        <x:v>40236</x:v>
      </x:c>
      <x:c r="E10093" s="0" t="s">
        <x:v>40237</x:v>
      </x:c>
      <x:c r="F10093" s="0" t="s">
        <x:v>45</x:v>
      </x:c>
      <x:c r="G10093" s="0" t="s">
        <x:v>19</x:v>
      </x:c>
      <x:c r="H10093" s="0" t="s">
        <x:v>20</x:v>
      </x:c>
      <x:c r="I10093" s="0" t="s">
        <x:v>21</x:v>
      </x:c>
      <x:c r="K10093" s="0">
        <x:f>hyperlink("https://icd.who.int/dev11/l-ichi/en#/http%3A%2F%2Fid.who.int%2Ficd%2Fentity%2F75720339","browser")</x:f>
      </x:c>
      <x:c r="L10093" s="0">
        <x:f>hyperlink("https://icat2.azurewebsites.net/icat/?ontology=ICD&amp;tab=ClassesTab&amp;id=http%3A%2F%2Fwho.int%2Ficd%2348691_512ebf36_bf6b_4d70_85da_cf2637062af4","iCat")</x:f>
      </x:c>
      <x:c r="M10093" s="0" t="s">
        <x:v>21</x:v>
      </x:c>
      <x:c r="N10093" s="0" t="s">
        <x:v>46</x:v>
      </x:c>
    </x:row>
    <x:row r="10094" spans="1:16">
      <x:c r="A10094" s="0" t="s">
        <x:v>40238</x:v>
      </x:c>
      <x:c r="B10094" s="0" t="s">
        <x:v>40239</x:v>
      </x:c>
      <x:c r="C10094" s="0" t="s">
        <x:v>40240</x:v>
      </x:c>
      <x:c r="E10094" s="0" t="s">
        <x:v>40241</x:v>
      </x:c>
      <x:c r="F10094" s="0" t="s">
        <x:v>45</x:v>
      </x:c>
      <x:c r="G10094" s="0" t="s">
        <x:v>19</x:v>
      </x:c>
      <x:c r="H10094" s="0" t="s">
        <x:v>20</x:v>
      </x:c>
      <x:c r="I10094" s="0" t="s">
        <x:v>21</x:v>
      </x:c>
      <x:c r="K10094" s="0">
        <x:f>hyperlink("https://icd.who.int/dev11/l-ichi/en#/http%3A%2F%2Fid.who.int%2Ficd%2Fentity%2F1794860540","browser")</x:f>
      </x:c>
      <x:c r="L10094" s="0">
        <x:f>hyperlink("https://icat2.azurewebsites.net/icat/?ontology=ICD&amp;tab=ClassesTab&amp;id=http%3A%2F%2Fwho.int%2Ficd%2348698_512ebf36_bf6b_4d70_85da_cf2637062af4","iCat")</x:f>
      </x:c>
      <x:c r="M10094" s="0" t="s">
        <x:v>21</x:v>
      </x:c>
      <x:c r="N10094" s="0" t="s">
        <x:v>46</x:v>
      </x:c>
    </x:row>
    <x:row r="10095" spans="1:16">
      <x:c r="A10095" s="0" t="s">
        <x:v>40242</x:v>
      </x:c>
      <x:c r="B10095" s="0" t="s">
        <x:v>40243</x:v>
      </x:c>
      <x:c r="C10095" s="0" t="s">
        <x:v>40244</x:v>
      </x:c>
      <x:c r="E10095" s="0" t="s">
        <x:v>40245</x:v>
      </x:c>
      <x:c r="F10095" s="0" t="s">
        <x:v>45</x:v>
      </x:c>
      <x:c r="G10095" s="0" t="s">
        <x:v>19</x:v>
      </x:c>
      <x:c r="H10095" s="0" t="s">
        <x:v>20</x:v>
      </x:c>
      <x:c r="I10095" s="0" t="s">
        <x:v>21</x:v>
      </x:c>
      <x:c r="K10095" s="0">
        <x:f>hyperlink("https://icd.who.int/dev11/l-ichi/en#/http%3A%2F%2Fid.who.int%2Ficd%2Fentity%2F837789929","browser")</x:f>
      </x:c>
      <x:c r="L10095" s="0">
        <x:f>hyperlink("https://icat2.azurewebsites.net/icat/?ontology=ICD&amp;tab=ClassesTab&amp;id=http%3A%2F%2Fwho.int%2Ficd%2348705_512ebf36_bf6b_4d70_85da_cf2637062af4","iCat")</x:f>
      </x:c>
      <x:c r="M10095" s="0" t="s">
        <x:v>21</x:v>
      </x:c>
      <x:c r="N10095" s="0" t="s">
        <x:v>46</x:v>
      </x:c>
    </x:row>
    <x:row r="10096" spans="1:16">
      <x:c r="A10096" s="0" t="s">
        <x:v>40246</x:v>
      </x:c>
      <x:c r="B10096" s="0" t="s">
        <x:v>40247</x:v>
      </x:c>
      <x:c r="C10096" s="0" t="s">
        <x:v>40248</x:v>
      </x:c>
      <x:c r="E10096" s="0" t="s">
        <x:v>40249</x:v>
      </x:c>
      <x:c r="F10096" s="0" t="s">
        <x:v>45</x:v>
      </x:c>
      <x:c r="G10096" s="0" t="s">
        <x:v>19</x:v>
      </x:c>
      <x:c r="H10096" s="0" t="s">
        <x:v>20</x:v>
      </x:c>
      <x:c r="I10096" s="0" t="s">
        <x:v>21</x:v>
      </x:c>
      <x:c r="K10096" s="0">
        <x:f>hyperlink("https://icd.who.int/dev11/l-ichi/en#/http%3A%2F%2Fid.who.int%2Ficd%2Fentity%2F732468787","browser")</x:f>
      </x:c>
      <x:c r="L10096" s="0">
        <x:f>hyperlink("https://icat2.azurewebsites.net/icat/?ontology=ICD&amp;tab=ClassesTab&amp;id=http%3A%2F%2Fwho.int%2Ficd%2348712_512ebf36_bf6b_4d70_85da_cf2637062af4","iCat")</x:f>
      </x:c>
      <x:c r="M10096" s="0" t="s">
        <x:v>21</x:v>
      </x:c>
      <x:c r="N10096" s="0" t="s">
        <x:v>46</x:v>
      </x:c>
    </x:row>
    <x:row r="10097" spans="1:16">
      <x:c r="A10097" s="0" t="s">
        <x:v>40250</x:v>
      </x:c>
      <x:c r="B10097" s="0" t="s">
        <x:v>40251</x:v>
      </x:c>
      <x:c r="C10097" s="0" t="s">
        <x:v>40252</x:v>
      </x:c>
      <x:c r="E10097" s="0" t="s">
        <x:v>40253</x:v>
      </x:c>
      <x:c r="F10097" s="0" t="s">
        <x:v>45</x:v>
      </x:c>
      <x:c r="G10097" s="0" t="s">
        <x:v>19</x:v>
      </x:c>
      <x:c r="H10097" s="0" t="s">
        <x:v>20</x:v>
      </x:c>
      <x:c r="I10097" s="0" t="s">
        <x:v>21</x:v>
      </x:c>
      <x:c r="K10097" s="0">
        <x:f>hyperlink("https://icd.who.int/dev11/l-ichi/en#/http%3A%2F%2Fid.who.int%2Ficd%2Fentity%2F548178079","browser")</x:f>
      </x:c>
      <x:c r="L10097" s="0">
        <x:f>hyperlink("https://icat2.azurewebsites.net/icat/?ontology=ICD&amp;tab=ClassesTab&amp;id=http%3A%2F%2Fwho.int%2Ficd%2348719_512ebf36_bf6b_4d70_85da_cf2637062af4","iCat")</x:f>
      </x:c>
      <x:c r="M10097" s="0" t="s">
        <x:v>21</x:v>
      </x:c>
      <x:c r="N10097" s="0" t="s">
        <x:v>46</x:v>
      </x:c>
    </x:row>
    <x:row r="10098" spans="1:16">
      <x:c r="A10098" s="0" t="s">
        <x:v>40254</x:v>
      </x:c>
      <x:c r="B10098" s="0" t="s">
        <x:v>40255</x:v>
      </x:c>
      <x:c r="C10098" s="0" t="s">
        <x:v>40256</x:v>
      </x:c>
      <x:c r="E10098" s="0" t="s">
        <x:v>40257</x:v>
      </x:c>
      <x:c r="F10098" s="0" t="s">
        <x:v>45</x:v>
      </x:c>
      <x:c r="G10098" s="0" t="s">
        <x:v>19</x:v>
      </x:c>
      <x:c r="H10098" s="0" t="s">
        <x:v>20</x:v>
      </x:c>
      <x:c r="I10098" s="0" t="s">
        <x:v>21</x:v>
      </x:c>
      <x:c r="K10098" s="0">
        <x:f>hyperlink("https://icd.who.int/dev11/l-ichi/en#/http%3A%2F%2Fid.who.int%2Ficd%2Fentity%2F1579029056","browser")</x:f>
      </x:c>
      <x:c r="L10098" s="0">
        <x:f>hyperlink("https://icat2.azurewebsites.net/icat/?ontology=ICD&amp;tab=ClassesTab&amp;id=http%3A%2F%2Fwho.int%2Ficd%2348726_512ebf36_bf6b_4d70_85da_cf2637062af4","iCat")</x:f>
      </x:c>
      <x:c r="M10098" s="0" t="s">
        <x:v>21</x:v>
      </x:c>
      <x:c r="N10098" s="0" t="s">
        <x:v>46</x:v>
      </x:c>
    </x:row>
    <x:row r="10099" spans="1:16">
      <x:c r="A10099" s="0" t="s">
        <x:v>40258</x:v>
      </x:c>
      <x:c r="B10099" s="0" t="s">
        <x:v>40259</x:v>
      </x:c>
      <x:c r="C10099" s="0" t="s">
        <x:v>40260</x:v>
      </x:c>
      <x:c r="E10099" s="0" t="s">
        <x:v>40261</x:v>
      </x:c>
      <x:c r="F10099" s="0" t="s">
        <x:v>45</x:v>
      </x:c>
      <x:c r="G10099" s="0" t="s">
        <x:v>19</x:v>
      </x:c>
      <x:c r="H10099" s="0" t="s">
        <x:v>20</x:v>
      </x:c>
      <x:c r="I10099" s="0" t="s">
        <x:v>21</x:v>
      </x:c>
      <x:c r="K10099" s="0">
        <x:f>hyperlink("https://icd.who.int/dev11/l-ichi/en#/http%3A%2F%2Fid.who.int%2Ficd%2Fentity%2F556085599","browser")</x:f>
      </x:c>
      <x:c r="L10099" s="0">
        <x:f>hyperlink("https://icat2.azurewebsites.net/icat/?ontology=ICD&amp;tab=ClassesTab&amp;id=http%3A%2F%2Fwho.int%2Ficd%2348733_512ebf36_bf6b_4d70_85da_cf2637062af4","iCat")</x:f>
      </x:c>
      <x:c r="M10099" s="0" t="s">
        <x:v>21</x:v>
      </x:c>
      <x:c r="N10099" s="0" t="s">
        <x:v>46</x:v>
      </x:c>
    </x:row>
    <x:row r="10100" spans="1:16">
      <x:c r="A10100" s="0" t="s">
        <x:v>40262</x:v>
      </x:c>
      <x:c r="B10100" s="0" t="s">
        <x:v>40263</x:v>
      </x:c>
      <x:c r="C10100" s="0" t="s">
        <x:v>40264</x:v>
      </x:c>
      <x:c r="E10100" s="0" t="s">
        <x:v>40265</x:v>
      </x:c>
      <x:c r="F10100" s="0" t="s">
        <x:v>45</x:v>
      </x:c>
      <x:c r="G10100" s="0" t="s">
        <x:v>19</x:v>
      </x:c>
      <x:c r="H10100" s="0" t="s">
        <x:v>20</x:v>
      </x:c>
      <x:c r="I10100" s="0" t="s">
        <x:v>21</x:v>
      </x:c>
      <x:c r="K10100" s="0">
        <x:f>hyperlink("https://icd.who.int/dev11/l-ichi/en#/http%3A%2F%2Fid.who.int%2Ficd%2Fentity%2F1417039292","browser")</x:f>
      </x:c>
      <x:c r="L10100" s="0">
        <x:f>hyperlink("https://icat2.azurewebsites.net/icat/?ontology=ICD&amp;tab=ClassesTab&amp;id=http%3A%2F%2Fwho.int%2Ficd%2348740_512ebf36_bf6b_4d70_85da_cf2637062af4","iCat")</x:f>
      </x:c>
      <x:c r="M10100" s="0" t="s">
        <x:v>21</x:v>
      </x:c>
      <x:c r="N10100" s="0" t="s">
        <x:v>46</x:v>
      </x:c>
    </x:row>
    <x:row r="10101" spans="1:16">
      <x:c r="A10101" s="0" t="s">
        <x:v>40266</x:v>
      </x:c>
      <x:c r="B10101" s="0" t="s">
        <x:v>40267</x:v>
      </x:c>
      <x:c r="C10101" s="0" t="s">
        <x:v>40268</x:v>
      </x:c>
      <x:c r="E10101" s="0" t="s">
        <x:v>40269</x:v>
      </x:c>
      <x:c r="F10101" s="0" t="s">
        <x:v>45</x:v>
      </x:c>
      <x:c r="G10101" s="0" t="s">
        <x:v>19</x:v>
      </x:c>
      <x:c r="H10101" s="0" t="s">
        <x:v>20</x:v>
      </x:c>
      <x:c r="I10101" s="0" t="s">
        <x:v>21</x:v>
      </x:c>
      <x:c r="K10101" s="0">
        <x:f>hyperlink("https://icd.who.int/dev11/l-ichi/en#/http%3A%2F%2Fid.who.int%2Ficd%2Fentity%2F620029489","browser")</x:f>
      </x:c>
      <x:c r="L10101" s="0">
        <x:f>hyperlink("https://icat2.azurewebsites.net/icat/?ontology=ICD&amp;tab=ClassesTab&amp;id=http%3A%2F%2Fwho.int%2Ficd%2348747_512ebf36_bf6b_4d70_85da_cf2637062af4","iCat")</x:f>
      </x:c>
      <x:c r="M10101" s="0" t="s">
        <x:v>21</x:v>
      </x:c>
      <x:c r="N10101" s="0" t="s">
        <x:v>46</x:v>
      </x:c>
    </x:row>
    <x:row r="10102" spans="1:16">
      <x:c r="A10102" s="0" t="s">
        <x:v>40270</x:v>
      </x:c>
      <x:c r="B10102" s="0" t="s">
        <x:v>40271</x:v>
      </x:c>
      <x:c r="C10102" s="0" t="s">
        <x:v>40272</x:v>
      </x:c>
      <x:c r="E10102" s="0" t="s">
        <x:v>40273</x:v>
      </x:c>
      <x:c r="F10102" s="0" t="s">
        <x:v>45</x:v>
      </x:c>
      <x:c r="G10102" s="0" t="s">
        <x:v>19</x:v>
      </x:c>
      <x:c r="H10102" s="0" t="s">
        <x:v>20</x:v>
      </x:c>
      <x:c r="I10102" s="0" t="s">
        <x:v>21</x:v>
      </x:c>
      <x:c r="K10102" s="0">
        <x:f>hyperlink("https://icd.who.int/dev11/l-ichi/en#/http%3A%2F%2Fid.who.int%2Ficd%2Fentity%2F196353183","browser")</x:f>
      </x:c>
      <x:c r="L10102" s="0">
        <x:f>hyperlink("https://icat2.azurewebsites.net/icat/?ontology=ICD&amp;tab=ClassesTab&amp;id=http%3A%2F%2Fwho.int%2Ficd%2348754_512ebf36_bf6b_4d70_85da_cf2637062af4","iCat")</x:f>
      </x:c>
      <x:c r="M10102" s="0" t="s">
        <x:v>21</x:v>
      </x:c>
      <x:c r="N10102" s="0" t="s">
        <x:v>46</x:v>
      </x:c>
    </x:row>
    <x:row r="10103" spans="1:16">
      <x:c r="A10103" s="0" t="s">
        <x:v>40274</x:v>
      </x:c>
      <x:c r="B10103" s="0" t="s">
        <x:v>40275</x:v>
      </x:c>
      <x:c r="C10103" s="0" t="s">
        <x:v>40276</x:v>
      </x:c>
      <x:c r="E10103" s="0" t="s">
        <x:v>40277</x:v>
      </x:c>
      <x:c r="F10103" s="0" t="s">
        <x:v>45</x:v>
      </x:c>
      <x:c r="G10103" s="0" t="s">
        <x:v>19</x:v>
      </x:c>
      <x:c r="H10103" s="0" t="s">
        <x:v>20</x:v>
      </x:c>
      <x:c r="I10103" s="0" t="s">
        <x:v>21</x:v>
      </x:c>
      <x:c r="K10103" s="0">
        <x:f>hyperlink("https://icd.who.int/dev11/l-ichi/en#/http%3A%2F%2Fid.who.int%2Ficd%2Fentity%2F1593567952","browser")</x:f>
      </x:c>
      <x:c r="L10103" s="0">
        <x:f>hyperlink("https://icat2.azurewebsites.net/icat/?ontology=ICD&amp;tab=ClassesTab&amp;id=http%3A%2F%2Fwho.int%2Ficd%2348761_512ebf36_bf6b_4d70_85da_cf2637062af4","iCat")</x:f>
      </x:c>
      <x:c r="M10103" s="0" t="s">
        <x:v>21</x:v>
      </x:c>
      <x:c r="N10103" s="0" t="s">
        <x:v>46</x:v>
      </x:c>
    </x:row>
    <x:row r="10104" spans="1:16">
      <x:c r="A10104" s="0" t="s">
        <x:v>40278</x:v>
      </x:c>
      <x:c r="B10104" s="0" t="s">
        <x:v>40279</x:v>
      </x:c>
      <x:c r="C10104" s="0" t="s">
        <x:v>40280</x:v>
      </x:c>
      <x:c r="E10104" s="0" t="s">
        <x:v>40281</x:v>
      </x:c>
      <x:c r="F10104" s="0" t="s">
        <x:v>45</x:v>
      </x:c>
      <x:c r="G10104" s="0" t="s">
        <x:v>19</x:v>
      </x:c>
      <x:c r="H10104" s="0" t="s">
        <x:v>20</x:v>
      </x:c>
      <x:c r="I10104" s="0" t="s">
        <x:v>21</x:v>
      </x:c>
      <x:c r="K10104" s="0">
        <x:f>hyperlink("https://icd.who.int/dev11/l-ichi/en#/http%3A%2F%2Fid.who.int%2Ficd%2Fentity%2F813951417","browser")</x:f>
      </x:c>
      <x:c r="L10104" s="0">
        <x:f>hyperlink("https://icat2.azurewebsites.net/icat/?ontology=ICD&amp;tab=ClassesTab&amp;id=http%3A%2F%2Fwho.int%2Ficd%2348768_512ebf36_bf6b_4d70_85da_cf2637062af4","iCat")</x:f>
      </x:c>
      <x:c r="M10104" s="0" t="s">
        <x:v>21</x:v>
      </x:c>
      <x:c r="N10104" s="0" t="s">
        <x:v>46</x:v>
      </x:c>
    </x:row>
    <x:row r="10105" spans="1:16">
      <x:c r="A10105" s="0" t="s">
        <x:v>40282</x:v>
      </x:c>
      <x:c r="B10105" s="0" t="s">
        <x:v>40283</x:v>
      </x:c>
      <x:c r="C10105" s="0" t="s">
        <x:v>40284</x:v>
      </x:c>
      <x:c r="E10105" s="0" t="s">
        <x:v>40285</x:v>
      </x:c>
      <x:c r="F10105" s="0" t="s">
        <x:v>45</x:v>
      </x:c>
      <x:c r="G10105" s="0" t="s">
        <x:v>19</x:v>
      </x:c>
      <x:c r="H10105" s="0" t="s">
        <x:v>20</x:v>
      </x:c>
      <x:c r="I10105" s="0" t="s">
        <x:v>21</x:v>
      </x:c>
      <x:c r="K10105" s="0">
        <x:f>hyperlink("https://icd.who.int/dev11/l-ichi/en#/http%3A%2F%2Fid.who.int%2Ficd%2Fentity%2F20560883","browser")</x:f>
      </x:c>
      <x:c r="L10105" s="0">
        <x:f>hyperlink("https://icat2.azurewebsites.net/icat/?ontology=ICD&amp;tab=ClassesTab&amp;id=http%3A%2F%2Fwho.int%2Ficd%2348775_512ebf36_bf6b_4d70_85da_cf2637062af4","iCat")</x:f>
      </x:c>
      <x:c r="M10105" s="0" t="s">
        <x:v>21</x:v>
      </x:c>
      <x:c r="N10105" s="0" t="s">
        <x:v>46</x:v>
      </x:c>
    </x:row>
    <x:row r="10106" spans="1:16">
      <x:c r="A10106" s="0" t="s">
        <x:v>40286</x:v>
      </x:c>
      <x:c r="B10106" s="0" t="s">
        <x:v>40287</x:v>
      </x:c>
      <x:c r="C10106" s="0" t="s">
        <x:v>40288</x:v>
      </x:c>
      <x:c r="E10106" s="0" t="s">
        <x:v>40289</x:v>
      </x:c>
      <x:c r="F10106" s="0" t="s">
        <x:v>45</x:v>
      </x:c>
      <x:c r="G10106" s="0" t="s">
        <x:v>19</x:v>
      </x:c>
      <x:c r="H10106" s="0" t="s">
        <x:v>20</x:v>
      </x:c>
      <x:c r="I10106" s="0" t="s">
        <x:v>21</x:v>
      </x:c>
      <x:c r="K10106" s="0">
        <x:f>hyperlink("https://icd.who.int/dev11/l-ichi/en#/http%3A%2F%2Fid.who.int%2Ficd%2Fentity%2F1583110818","browser")</x:f>
      </x:c>
      <x:c r="L10106" s="0">
        <x:f>hyperlink("https://icat2.azurewebsites.net/icat/?ontology=ICD&amp;tab=ClassesTab&amp;id=http%3A%2F%2Fwho.int%2Ficd%2348782_512ebf36_bf6b_4d70_85da_cf2637062af4","iCat")</x:f>
      </x:c>
      <x:c r="M10106" s="0" t="s">
        <x:v>21</x:v>
      </x:c>
      <x:c r="N10106" s="0" t="s">
        <x:v>46</x:v>
      </x:c>
    </x:row>
    <x:row r="10107" spans="1:16">
      <x:c r="A10107" s="0" t="s">
        <x:v>40290</x:v>
      </x:c>
      <x:c r="B10107" s="0" t="s">
        <x:v>40291</x:v>
      </x:c>
      <x:c r="C10107" s="0" t="s">
        <x:v>40292</x:v>
      </x:c>
      <x:c r="E10107" s="0" t="s">
        <x:v>40293</x:v>
      </x:c>
      <x:c r="F10107" s="0" t="s">
        <x:v>45</x:v>
      </x:c>
      <x:c r="G10107" s="0" t="s">
        <x:v>19</x:v>
      </x:c>
      <x:c r="H10107" s="0" t="s">
        <x:v>20</x:v>
      </x:c>
      <x:c r="I10107" s="0" t="s">
        <x:v>21</x:v>
      </x:c>
      <x:c r="K10107" s="0">
        <x:f>hyperlink("https://icd.who.int/dev11/l-ichi/en#/http%3A%2F%2Fid.who.int%2Ficd%2Fentity%2F1431847948","browser")</x:f>
      </x:c>
      <x:c r="L10107" s="0">
        <x:f>hyperlink("https://icat2.azurewebsites.net/icat/?ontology=ICD&amp;tab=ClassesTab&amp;id=http%3A%2F%2Fwho.int%2Ficd%2348789_512ebf36_bf6b_4d70_85da_cf2637062af4","iCat")</x:f>
      </x:c>
      <x:c r="M10107" s="0" t="s">
        <x:v>21</x:v>
      </x:c>
      <x:c r="N10107" s="0" t="s">
        <x:v>46</x:v>
      </x:c>
    </x:row>
    <x:row r="10108" spans="1:16">
      <x:c r="A10108" s="0" t="s">
        <x:v>40294</x:v>
      </x:c>
      <x:c r="B10108" s="0" t="s">
        <x:v>40295</x:v>
      </x:c>
      <x:c r="C10108" s="0" t="s">
        <x:v>40296</x:v>
      </x:c>
      <x:c r="E10108" s="0" t="s">
        <x:v>40297</x:v>
      </x:c>
      <x:c r="F10108" s="0" t="s">
        <x:v>45</x:v>
      </x:c>
      <x:c r="G10108" s="0" t="s">
        <x:v>19</x:v>
      </x:c>
      <x:c r="H10108" s="0" t="s">
        <x:v>20</x:v>
      </x:c>
      <x:c r="I10108" s="0" t="s">
        <x:v>21</x:v>
      </x:c>
      <x:c r="K10108" s="0">
        <x:f>hyperlink("https://icd.who.int/dev11/l-ichi/en#/http%3A%2F%2Fid.who.int%2Ficd%2Fentity%2F27134851","browser")</x:f>
      </x:c>
      <x:c r="L10108" s="0">
        <x:f>hyperlink("https://icat2.azurewebsites.net/icat/?ontology=ICD&amp;tab=ClassesTab&amp;id=http%3A%2F%2Fwho.int%2Ficd%2348796_512ebf36_bf6b_4d70_85da_cf2637062af4","iCat")</x:f>
      </x:c>
      <x:c r="M10108" s="0" t="s">
        <x:v>21</x:v>
      </x:c>
      <x:c r="N10108" s="0" t="s">
        <x:v>46</x:v>
      </x:c>
    </x:row>
    <x:row r="10109" spans="1:16">
      <x:c r="A10109" s="0" t="s">
        <x:v>40298</x:v>
      </x:c>
      <x:c r="B10109" s="0" t="s">
        <x:v>40299</x:v>
      </x:c>
      <x:c r="C10109" s="0" t="s">
        <x:v>40300</x:v>
      </x:c>
      <x:c r="E10109" s="0" t="s">
        <x:v>40301</x:v>
      </x:c>
      <x:c r="F10109" s="0" t="s">
        <x:v>45</x:v>
      </x:c>
      <x:c r="G10109" s="0" t="s">
        <x:v>19</x:v>
      </x:c>
      <x:c r="H10109" s="0" t="s">
        <x:v>20</x:v>
      </x:c>
      <x:c r="I10109" s="0" t="s">
        <x:v>21</x:v>
      </x:c>
      <x:c r="K10109" s="0">
        <x:f>hyperlink("https://icd.who.int/dev11/l-ichi/en#/http%3A%2F%2Fid.who.int%2Ficd%2Fentity%2F400154974","browser")</x:f>
      </x:c>
      <x:c r="L10109" s="0">
        <x:f>hyperlink("https://icat2.azurewebsites.net/icat/?ontology=ICD&amp;tab=ClassesTab&amp;id=http%3A%2F%2Fwho.int%2Ficd%2348803_512ebf36_bf6b_4d70_85da_cf2637062af4","iCat")</x:f>
      </x:c>
      <x:c r="M10109" s="0" t="s">
        <x:v>21</x:v>
      </x:c>
      <x:c r="N10109" s="0" t="s">
        <x:v>46</x:v>
      </x:c>
    </x:row>
    <x:row r="10110" spans="1:16">
      <x:c r="A10110" s="0" t="s">
        <x:v>40302</x:v>
      </x:c>
      <x:c r="B10110" s="0" t="s">
        <x:v>40303</x:v>
      </x:c>
      <x:c r="C10110" s="0" t="s">
        <x:v>40304</x:v>
      </x:c>
      <x:c r="E10110" s="0" t="s">
        <x:v>40305</x:v>
      </x:c>
      <x:c r="F10110" s="0" t="s">
        <x:v>45</x:v>
      </x:c>
      <x:c r="G10110" s="0" t="s">
        <x:v>19</x:v>
      </x:c>
      <x:c r="H10110" s="0" t="s">
        <x:v>20</x:v>
      </x:c>
      <x:c r="I10110" s="0" t="s">
        <x:v>21</x:v>
      </x:c>
      <x:c r="K10110" s="0">
        <x:f>hyperlink("https://icd.who.int/dev11/l-ichi/en#/http%3A%2F%2Fid.who.int%2Ficd%2Fentity%2F949558258","browser")</x:f>
      </x:c>
      <x:c r="L10110" s="0">
        <x:f>hyperlink("https://icat2.azurewebsites.net/icat/?ontology=ICD&amp;tab=ClassesTab&amp;id=http%3A%2F%2Fwho.int%2Ficd%2348810_512ebf36_bf6b_4d70_85da_cf2637062af4","iCat")</x:f>
      </x:c>
      <x:c r="M10110" s="0" t="s">
        <x:v>21</x:v>
      </x:c>
      <x:c r="N10110" s="0" t="s">
        <x:v>46</x:v>
      </x:c>
    </x:row>
    <x:row r="10111" spans="1:16">
      <x:c r="A10111" s="0" t="s">
        <x:v>40306</x:v>
      </x:c>
      <x:c r="B10111" s="0" t="s">
        <x:v>40307</x:v>
      </x:c>
      <x:c r="C10111" s="0" t="s">
        <x:v>40308</x:v>
      </x:c>
      <x:c r="E10111" s="0" t="s">
        <x:v>40309</x:v>
      </x:c>
      <x:c r="F10111" s="0" t="s">
        <x:v>45</x:v>
      </x:c>
      <x:c r="G10111" s="0" t="s">
        <x:v>19</x:v>
      </x:c>
      <x:c r="H10111" s="0" t="s">
        <x:v>20</x:v>
      </x:c>
      <x:c r="I10111" s="0" t="s">
        <x:v>21</x:v>
      </x:c>
      <x:c r="K10111" s="0">
        <x:f>hyperlink("https://icd.who.int/dev11/l-ichi/en#/http%3A%2F%2Fid.who.int%2Ficd%2Fentity%2F1209774205","browser")</x:f>
      </x:c>
      <x:c r="L10111" s="0">
        <x:f>hyperlink("https://icat2.azurewebsites.net/icat/?ontology=ICD&amp;tab=ClassesTab&amp;id=http%3A%2F%2Fwho.int%2Ficd%2348817_512ebf36_bf6b_4d70_85da_cf2637062af4","iCat")</x:f>
      </x:c>
      <x:c r="M10111" s="0" t="s">
        <x:v>21</x:v>
      </x:c>
      <x:c r="N10111" s="0" t="s">
        <x:v>46</x:v>
      </x:c>
    </x:row>
    <x:row r="10112" spans="1:16">
      <x:c r="A10112" s="0" t="s">
        <x:v>40310</x:v>
      </x:c>
      <x:c r="B10112" s="0" t="s">
        <x:v>40311</x:v>
      </x:c>
      <x:c r="C10112" s="0" t="s">
        <x:v>40312</x:v>
      </x:c>
      <x:c r="E10112" s="0" t="s">
        <x:v>40313</x:v>
      </x:c>
      <x:c r="F10112" s="0" t="s">
        <x:v>45</x:v>
      </x:c>
      <x:c r="G10112" s="0" t="s">
        <x:v>19</x:v>
      </x:c>
      <x:c r="H10112" s="0" t="s">
        <x:v>20</x:v>
      </x:c>
      <x:c r="I10112" s="0" t="s">
        <x:v>21</x:v>
      </x:c>
      <x:c r="K10112" s="0">
        <x:f>hyperlink("https://icd.who.int/dev11/l-ichi/en#/http%3A%2F%2Fid.who.int%2Ficd%2Fentity%2F1294966659","browser")</x:f>
      </x:c>
      <x:c r="L10112" s="0">
        <x:f>hyperlink("https://icat2.azurewebsites.net/icat/?ontology=ICD&amp;tab=ClassesTab&amp;id=http%3A%2F%2Fwho.int%2Ficd%2348824_512ebf36_bf6b_4d70_85da_cf2637062af4","iCat")</x:f>
      </x:c>
      <x:c r="M10112" s="0" t="s">
        <x:v>21</x:v>
      </x:c>
      <x:c r="N10112" s="0" t="s">
        <x:v>46</x:v>
      </x:c>
    </x:row>
    <x:row r="10113" spans="1:16">
      <x:c r="A10113" s="0" t="s">
        <x:v>40314</x:v>
      </x:c>
      <x:c r="B10113" s="0" t="s">
        <x:v>40315</x:v>
      </x:c>
      <x:c r="C10113" s="0" t="s">
        <x:v>40316</x:v>
      </x:c>
      <x:c r="E10113" s="0" t="s">
        <x:v>40317</x:v>
      </x:c>
      <x:c r="F10113" s="0" t="s">
        <x:v>45</x:v>
      </x:c>
      <x:c r="G10113" s="0" t="s">
        <x:v>19</x:v>
      </x:c>
      <x:c r="H10113" s="0" t="s">
        <x:v>20</x:v>
      </x:c>
      <x:c r="I10113" s="0" t="s">
        <x:v>21</x:v>
      </x:c>
      <x:c r="K10113" s="0">
        <x:f>hyperlink("https://icd.who.int/dev11/l-ichi/en#/http%3A%2F%2Fid.who.int%2Ficd%2Fentity%2F840219806","browser")</x:f>
      </x:c>
      <x:c r="L10113" s="0">
        <x:f>hyperlink("https://icat2.azurewebsites.net/icat/?ontology=ICD&amp;tab=ClassesTab&amp;id=http%3A%2F%2Fwho.int%2Ficd%2348831_512ebf36_bf6b_4d70_85da_cf2637062af4","iCat")</x:f>
      </x:c>
      <x:c r="M10113" s="0" t="s">
        <x:v>21</x:v>
      </x:c>
      <x:c r="N10113" s="0" t="s">
        <x:v>46</x:v>
      </x:c>
    </x:row>
    <x:row r="10114" spans="1:16">
      <x:c r="A10114" s="0" t="s">
        <x:v>40318</x:v>
      </x:c>
      <x:c r="B10114" s="0" t="s">
        <x:v>40319</x:v>
      </x:c>
      <x:c r="C10114" s="0" t="s">
        <x:v>40320</x:v>
      </x:c>
      <x:c r="E10114" s="0" t="s">
        <x:v>40321</x:v>
      </x:c>
      <x:c r="F10114" s="0" t="s">
        <x:v>45</x:v>
      </x:c>
      <x:c r="G10114" s="0" t="s">
        <x:v>19</x:v>
      </x:c>
      <x:c r="H10114" s="0" t="s">
        <x:v>20</x:v>
      </x:c>
      <x:c r="I10114" s="0" t="s">
        <x:v>21</x:v>
      </x:c>
      <x:c r="K10114" s="0">
        <x:f>hyperlink("https://icd.who.int/dev11/l-ichi/en#/http%3A%2F%2Fid.who.int%2Ficd%2Fentity%2F1550630901","browser")</x:f>
      </x:c>
      <x:c r="L10114" s="0">
        <x:f>hyperlink("https://icat2.azurewebsites.net/icat/?ontology=ICD&amp;tab=ClassesTab&amp;id=http%3A%2F%2Fwho.int%2Ficd%2348838_512ebf36_bf6b_4d70_85da_cf2637062af4","iCat")</x:f>
      </x:c>
      <x:c r="M10114" s="0" t="s">
        <x:v>21</x:v>
      </x:c>
      <x:c r="N10114" s="0" t="s">
        <x:v>46</x:v>
      </x:c>
    </x:row>
    <x:row r="10115" spans="1:16">
      <x:c r="A10115" s="0" t="s">
        <x:v>40322</x:v>
      </x:c>
      <x:c r="B10115" s="0" t="s">
        <x:v>40323</x:v>
      </x:c>
      <x:c r="C10115" s="0" t="s">
        <x:v>40324</x:v>
      </x:c>
      <x:c r="E10115" s="0" t="s">
        <x:v>40325</x:v>
      </x:c>
      <x:c r="F10115" s="0" t="s">
        <x:v>45</x:v>
      </x:c>
      <x:c r="G10115" s="0" t="s">
        <x:v>19</x:v>
      </x:c>
      <x:c r="H10115" s="0" t="s">
        <x:v>20</x:v>
      </x:c>
      <x:c r="I10115" s="0" t="s">
        <x:v>21</x:v>
      </x:c>
      <x:c r="K10115" s="0">
        <x:f>hyperlink("https://icd.who.int/dev11/l-ichi/en#/http%3A%2F%2Fid.who.int%2Ficd%2Fentity%2F935685108","browser")</x:f>
      </x:c>
      <x:c r="L10115" s="0">
        <x:f>hyperlink("https://icat2.azurewebsites.net/icat/?ontology=ICD&amp;tab=ClassesTab&amp;id=http%3A%2F%2Fwho.int%2Ficd%2348845_512ebf36_bf6b_4d70_85da_cf2637062af4","iCat")</x:f>
      </x:c>
      <x:c r="M10115" s="0" t="s">
        <x:v>21</x:v>
      </x:c>
      <x:c r="N10115" s="0" t="s">
        <x:v>46</x:v>
      </x:c>
    </x:row>
    <x:row r="10116" spans="1:16">
      <x:c r="A10116" s="0" t="s">
        <x:v>40326</x:v>
      </x:c>
      <x:c r="B10116" s="0" t="s">
        <x:v>40327</x:v>
      </x:c>
      <x:c r="C10116" s="0" t="s">
        <x:v>40328</x:v>
      </x:c>
      <x:c r="E10116" s="0" t="s">
        <x:v>40329</x:v>
      </x:c>
      <x:c r="F10116" s="0" t="s">
        <x:v>45</x:v>
      </x:c>
      <x:c r="G10116" s="0" t="s">
        <x:v>19</x:v>
      </x:c>
      <x:c r="H10116" s="0" t="s">
        <x:v>20</x:v>
      </x:c>
      <x:c r="I10116" s="0" t="s">
        <x:v>21</x:v>
      </x:c>
      <x:c r="K10116" s="0">
        <x:f>hyperlink("https://icd.who.int/dev11/l-ichi/en#/http%3A%2F%2Fid.who.int%2Ficd%2Fentity%2F763516202","browser")</x:f>
      </x:c>
      <x:c r="L10116" s="0">
        <x:f>hyperlink("https://icat2.azurewebsites.net/icat/?ontology=ICD&amp;tab=ClassesTab&amp;id=http%3A%2F%2Fwho.int%2Ficd%2348852_512ebf36_bf6b_4d70_85da_cf2637062af4","iCat")</x:f>
      </x:c>
      <x:c r="M10116" s="0" t="s">
        <x:v>21</x:v>
      </x:c>
      <x:c r="N10116" s="0" t="s">
        <x:v>46</x:v>
      </x:c>
    </x:row>
    <x:row r="10117" spans="1:16">
      <x:c r="A10117" s="0" t="s">
        <x:v>40330</x:v>
      </x:c>
      <x:c r="B10117" s="0" t="s">
        <x:v>40331</x:v>
      </x:c>
      <x:c r="C10117" s="0" t="s">
        <x:v>40332</x:v>
      </x:c>
      <x:c r="E10117" s="0" t="s">
        <x:v>40333</x:v>
      </x:c>
      <x:c r="F10117" s="0" t="s">
        <x:v>45</x:v>
      </x:c>
      <x:c r="G10117" s="0" t="s">
        <x:v>19</x:v>
      </x:c>
      <x:c r="H10117" s="0" t="s">
        <x:v>20</x:v>
      </x:c>
      <x:c r="I10117" s="0" t="s">
        <x:v>21</x:v>
      </x:c>
      <x:c r="K10117" s="0">
        <x:f>hyperlink("https://icd.who.int/dev11/l-ichi/en#/http%3A%2F%2Fid.who.int%2Ficd%2Fentity%2F646335364","browser")</x:f>
      </x:c>
      <x:c r="L10117" s="0">
        <x:f>hyperlink("https://icat2.azurewebsites.net/icat/?ontology=ICD&amp;tab=ClassesTab&amp;id=http%3A%2F%2Fwho.int%2Ficd%2348859_512ebf36_bf6b_4d70_85da_cf2637062af4","iCat")</x:f>
      </x:c>
      <x:c r="M10117" s="0" t="s">
        <x:v>21</x:v>
      </x:c>
      <x:c r="N10117" s="0" t="s">
        <x:v>46</x:v>
      </x:c>
    </x:row>
    <x:row r="10118" spans="1:16">
      <x:c r="A10118" s="0" t="s">
        <x:v>40334</x:v>
      </x:c>
      <x:c r="B10118" s="0" t="s">
        <x:v>40335</x:v>
      </x:c>
      <x:c r="C10118" s="0" t="s">
        <x:v>40336</x:v>
      </x:c>
      <x:c r="E10118" s="0" t="s">
        <x:v>40337</x:v>
      </x:c>
      <x:c r="F10118" s="0" t="s">
        <x:v>45</x:v>
      </x:c>
      <x:c r="G10118" s="0" t="s">
        <x:v>19</x:v>
      </x:c>
      <x:c r="H10118" s="0" t="s">
        <x:v>20</x:v>
      </x:c>
      <x:c r="I10118" s="0" t="s">
        <x:v>21</x:v>
      </x:c>
      <x:c r="K10118" s="0">
        <x:f>hyperlink("https://icd.who.int/dev11/l-ichi/en#/http%3A%2F%2Fid.who.int%2Ficd%2Fentity%2F964333949","browser")</x:f>
      </x:c>
      <x:c r="L10118" s="0">
        <x:f>hyperlink("https://icat2.azurewebsites.net/icat/?ontology=ICD&amp;tab=ClassesTab&amp;id=http%3A%2F%2Fwho.int%2Ficd%23569_e87d5413_a3ef_41e3_b1c4_bdb20d4d591d","iCat")</x:f>
      </x:c>
      <x:c r="M10118" s="0" t="s">
        <x:v>21</x:v>
      </x:c>
      <x:c r="N10118" s="0" t="s">
        <x:v>46</x:v>
      </x:c>
    </x:row>
    <x:row r="10119" spans="1:16">
      <x:c r="A10119" s="0" t="s">
        <x:v>40338</x:v>
      </x:c>
      <x:c r="B10119" s="0" t="s">
        <x:v>40339</x:v>
      </x:c>
      <x:c r="C10119" s="0" t="s">
        <x:v>40340</x:v>
      </x:c>
      <x:c r="E10119" s="0" t="s">
        <x:v>40341</x:v>
      </x:c>
      <x:c r="F10119" s="0" t="s">
        <x:v>45</x:v>
      </x:c>
      <x:c r="G10119" s="0" t="s">
        <x:v>19</x:v>
      </x:c>
      <x:c r="H10119" s="0" t="s">
        <x:v>20</x:v>
      </x:c>
      <x:c r="I10119" s="0" t="s">
        <x:v>21</x:v>
      </x:c>
      <x:c r="K10119" s="0">
        <x:f>hyperlink("https://icd.who.int/dev11/l-ichi/en#/http%3A%2F%2Fid.who.int%2Ficd%2Fentity%2F1479856475","browser")</x:f>
      </x:c>
      <x:c r="L10119" s="0">
        <x:f>hyperlink("https://icat2.azurewebsites.net/icat/?ontology=ICD&amp;tab=ClassesTab&amp;id=http%3A%2F%2Fwho.int%2Ficd%2348866_512ebf36_bf6b_4d70_85da_cf2637062af4","iCat")</x:f>
      </x:c>
      <x:c r="M10119" s="0" t="s">
        <x:v>21</x:v>
      </x:c>
      <x:c r="N10119" s="0" t="s">
        <x:v>46</x:v>
      </x:c>
    </x:row>
    <x:row r="10120" spans="1:16">
      <x:c r="A10120" s="0" t="s">
        <x:v>40342</x:v>
      </x:c>
      <x:c r="B10120" s="0" t="s">
        <x:v>40343</x:v>
      </x:c>
      <x:c r="C10120" s="0" t="s">
        <x:v>40344</x:v>
      </x:c>
      <x:c r="E10120" s="0" t="s">
        <x:v>40345</x:v>
      </x:c>
      <x:c r="F10120" s="0" t="s">
        <x:v>45</x:v>
      </x:c>
      <x:c r="G10120" s="0" t="s">
        <x:v>19</x:v>
      </x:c>
      <x:c r="H10120" s="0" t="s">
        <x:v>20</x:v>
      </x:c>
      <x:c r="I10120" s="0" t="s">
        <x:v>21</x:v>
      </x:c>
      <x:c r="K10120" s="0">
        <x:f>hyperlink("https://icd.who.int/dev11/l-ichi/en#/http%3A%2F%2Fid.who.int%2Ficd%2Fentity%2F655356486","browser")</x:f>
      </x:c>
      <x:c r="L10120" s="0">
        <x:f>hyperlink("https://icat2.azurewebsites.net/icat/?ontology=ICD&amp;tab=ClassesTab&amp;id=http%3A%2F%2Fwho.int%2Ficd%2348873_512ebf36_bf6b_4d70_85da_cf2637062af4","iCat")</x:f>
      </x:c>
      <x:c r="M10120" s="0" t="s">
        <x:v>21</x:v>
      </x:c>
      <x:c r="N10120" s="0" t="s">
        <x:v>46</x:v>
      </x:c>
    </x:row>
    <x:row r="10121" spans="1:16">
      <x:c r="A10121" s="0" t="s">
        <x:v>40346</x:v>
      </x:c>
      <x:c r="B10121" s="0" t="s">
        <x:v>40347</x:v>
      </x:c>
      <x:c r="C10121" s="0" t="s">
        <x:v>40348</x:v>
      </x:c>
      <x:c r="E10121" s="0" t="s">
        <x:v>40349</x:v>
      </x:c>
      <x:c r="F10121" s="0" t="s">
        <x:v>45</x:v>
      </x:c>
      <x:c r="G10121" s="0" t="s">
        <x:v>19</x:v>
      </x:c>
      <x:c r="H10121" s="0" t="s">
        <x:v>20</x:v>
      </x:c>
      <x:c r="I10121" s="0" t="s">
        <x:v>21</x:v>
      </x:c>
      <x:c r="K10121" s="0">
        <x:f>hyperlink("https://icd.who.int/dev11/l-ichi/en#/http%3A%2F%2Fid.who.int%2Ficd%2Fentity%2F1299044195","browser")</x:f>
      </x:c>
      <x:c r="L10121" s="0">
        <x:f>hyperlink("https://icat2.azurewebsites.net/icat/?ontology=ICD&amp;tab=ClassesTab&amp;id=http%3A%2F%2Fwho.int%2Ficd%2348880_512ebf36_bf6b_4d70_85da_cf2637062af4","iCat")</x:f>
      </x:c>
      <x:c r="M10121" s="0" t="s">
        <x:v>21</x:v>
      </x:c>
      <x:c r="N10121" s="0" t="s">
        <x:v>46</x:v>
      </x:c>
    </x:row>
    <x:row r="10122" spans="1:16">
      <x:c r="A10122" s="0" t="s">
        <x:v>40350</x:v>
      </x:c>
      <x:c r="B10122" s="0" t="s">
        <x:v>40351</x:v>
      </x:c>
      <x:c r="C10122" s="0" t="s">
        <x:v>40352</x:v>
      </x:c>
      <x:c r="E10122" s="0" t="s">
        <x:v>40353</x:v>
      </x:c>
      <x:c r="F10122" s="0" t="s">
        <x:v>45</x:v>
      </x:c>
      <x:c r="G10122" s="0" t="s">
        <x:v>19</x:v>
      </x:c>
      <x:c r="H10122" s="0" t="s">
        <x:v>20</x:v>
      </x:c>
      <x:c r="I10122" s="0" t="s">
        <x:v>21</x:v>
      </x:c>
      <x:c r="K10122" s="0">
        <x:f>hyperlink("https://icd.who.int/dev11/l-ichi/en#/http%3A%2F%2Fid.who.int%2Ficd%2Fentity%2F1039105262","browser")</x:f>
      </x:c>
      <x:c r="L10122" s="0">
        <x:f>hyperlink("https://icat2.azurewebsites.net/icat/?ontology=ICD&amp;tab=ClassesTab&amp;id=http%3A%2F%2Fwho.int%2Ficd%2348887_512ebf36_bf6b_4d70_85da_cf2637062af4","iCat")</x:f>
      </x:c>
      <x:c r="M10122" s="0" t="s">
        <x:v>21</x:v>
      </x:c>
      <x:c r="N10122" s="0" t="s">
        <x:v>46</x:v>
      </x:c>
    </x:row>
    <x:row r="10123" spans="1:16">
      <x:c r="A10123" s="0" t="s">
        <x:v>40354</x:v>
      </x:c>
      <x:c r="B10123" s="0" t="s">
        <x:v>40355</x:v>
      </x:c>
      <x:c r="C10123" s="0" t="s">
        <x:v>40356</x:v>
      </x:c>
      <x:c r="E10123" s="0" t="s">
        <x:v>40357</x:v>
      </x:c>
      <x:c r="F10123" s="0" t="s">
        <x:v>45</x:v>
      </x:c>
      <x:c r="G10123" s="0" t="s">
        <x:v>19</x:v>
      </x:c>
      <x:c r="H10123" s="0" t="s">
        <x:v>20</x:v>
      </x:c>
      <x:c r="I10123" s="0" t="s">
        <x:v>21</x:v>
      </x:c>
      <x:c r="K10123" s="0">
        <x:f>hyperlink("https://icd.who.int/dev11/l-ichi/en#/http%3A%2F%2Fid.who.int%2Ficd%2Fentity%2F313493058","browser")</x:f>
      </x:c>
      <x:c r="L10123" s="0">
        <x:f>hyperlink("https://icat2.azurewebsites.net/icat/?ontology=ICD&amp;tab=ClassesTab&amp;id=http%3A%2F%2Fwho.int%2Ficd%2348894_512ebf36_bf6b_4d70_85da_cf2637062af4","iCat")</x:f>
      </x:c>
      <x:c r="M10123" s="0" t="s">
        <x:v>21</x:v>
      </x:c>
      <x:c r="N10123" s="0" t="s">
        <x:v>46</x:v>
      </x:c>
    </x:row>
    <x:row r="10124" spans="1:16">
      <x:c r="A10124" s="0" t="s">
        <x:v>40358</x:v>
      </x:c>
      <x:c r="B10124" s="0" t="s">
        <x:v>40359</x:v>
      </x:c>
      <x:c r="C10124" s="0" t="s">
        <x:v>40360</x:v>
      </x:c>
      <x:c r="E10124" s="0" t="s">
        <x:v>40361</x:v>
      </x:c>
      <x:c r="F10124" s="0" t="s">
        <x:v>45</x:v>
      </x:c>
      <x:c r="G10124" s="0" t="s">
        <x:v>19</x:v>
      </x:c>
      <x:c r="H10124" s="0" t="s">
        <x:v>20</x:v>
      </x:c>
      <x:c r="I10124" s="0" t="s">
        <x:v>21</x:v>
      </x:c>
      <x:c r="K10124" s="0">
        <x:f>hyperlink("https://icd.who.int/dev11/l-ichi/en#/http%3A%2F%2Fid.who.int%2Ficd%2Fentity%2F121256454","browser")</x:f>
      </x:c>
      <x:c r="L10124" s="0">
        <x:f>hyperlink("https://icat2.azurewebsites.net/icat/?ontology=ICD&amp;tab=ClassesTab&amp;id=http%3A%2F%2Fwho.int%2Ficd%2348901_512ebf36_bf6b_4d70_85da_cf2637062af4","iCat")</x:f>
      </x:c>
      <x:c r="M10124" s="0" t="s">
        <x:v>21</x:v>
      </x:c>
      <x:c r="N10124" s="0" t="s">
        <x:v>46</x:v>
      </x:c>
    </x:row>
    <x:row r="10125" spans="1:16">
      <x:c r="A10125" s="0" t="s">
        <x:v>40362</x:v>
      </x:c>
      <x:c r="B10125" s="0" t="s">
        <x:v>40363</x:v>
      </x:c>
      <x:c r="C10125" s="0" t="s">
        <x:v>40364</x:v>
      </x:c>
      <x:c r="E10125" s="0" t="s">
        <x:v>40365</x:v>
      </x:c>
      <x:c r="F10125" s="0" t="s">
        <x:v>45</x:v>
      </x:c>
      <x:c r="G10125" s="0" t="s">
        <x:v>19</x:v>
      </x:c>
      <x:c r="H10125" s="0" t="s">
        <x:v>20</x:v>
      </x:c>
      <x:c r="I10125" s="0" t="s">
        <x:v>21</x:v>
      </x:c>
      <x:c r="K10125" s="0">
        <x:f>hyperlink("https://icd.who.int/dev11/l-ichi/en#/http%3A%2F%2Fid.who.int%2Ficd%2Fentity%2F1765947759","browser")</x:f>
      </x:c>
      <x:c r="L10125" s="0">
        <x:f>hyperlink("https://icat2.azurewebsites.net/icat/?ontology=ICD&amp;tab=ClassesTab&amp;id=http%3A%2F%2Fwho.int%2Ficd%2348908_512ebf36_bf6b_4d70_85da_cf2637062af4","iCat")</x:f>
      </x:c>
      <x:c r="M10125" s="0" t="s">
        <x:v>21</x:v>
      </x:c>
      <x:c r="N10125" s="0" t="s">
        <x:v>46</x:v>
      </x:c>
    </x:row>
    <x:row r="10126" spans="1:16">
      <x:c r="A10126" s="0" t="s">
        <x:v>40366</x:v>
      </x:c>
      <x:c r="B10126" s="0" t="s">
        <x:v>40367</x:v>
      </x:c>
      <x:c r="C10126" s="0" t="s">
        <x:v>40368</x:v>
      </x:c>
      <x:c r="E10126" s="0" t="s">
        <x:v>40369</x:v>
      </x:c>
      <x:c r="F10126" s="0" t="s">
        <x:v>45</x:v>
      </x:c>
      <x:c r="G10126" s="0" t="s">
        <x:v>19</x:v>
      </x:c>
      <x:c r="H10126" s="0" t="s">
        <x:v>20</x:v>
      </x:c>
      <x:c r="I10126" s="0" t="s">
        <x:v>21</x:v>
      </x:c>
      <x:c r="K10126" s="0">
        <x:f>hyperlink("https://icd.who.int/dev11/l-ichi/en#/http%3A%2F%2Fid.who.int%2Ficd%2Fentity%2F1492675365","browser")</x:f>
      </x:c>
      <x:c r="L10126" s="0">
        <x:f>hyperlink("https://icat2.azurewebsites.net/icat/?ontology=ICD&amp;tab=ClassesTab&amp;id=http%3A%2F%2Fwho.int%2Ficd%2348915_512ebf36_bf6b_4d70_85da_cf2637062af4","iCat")</x:f>
      </x:c>
      <x:c r="M10126" s="0" t="s">
        <x:v>21</x:v>
      </x:c>
      <x:c r="N10126" s="0" t="s">
        <x:v>46</x:v>
      </x:c>
    </x:row>
    <x:row r="10127" spans="1:16">
      <x:c r="A10127" s="0" t="s">
        <x:v>40370</x:v>
      </x:c>
      <x:c r="B10127" s="0" t="s">
        <x:v>40371</x:v>
      </x:c>
      <x:c r="C10127" s="0" t="s">
        <x:v>40372</x:v>
      </x:c>
      <x:c r="E10127" s="0" t="s">
        <x:v>40373</x:v>
      </x:c>
      <x:c r="F10127" s="0" t="s">
        <x:v>45</x:v>
      </x:c>
      <x:c r="G10127" s="0" t="s">
        <x:v>19</x:v>
      </x:c>
      <x:c r="H10127" s="0" t="s">
        <x:v>20</x:v>
      </x:c>
      <x:c r="I10127" s="0" t="s">
        <x:v>21</x:v>
      </x:c>
      <x:c r="K10127" s="0">
        <x:f>hyperlink("https://icd.who.int/dev11/l-ichi/en#/http%3A%2F%2Fid.who.int%2Ficd%2Fentity%2F1758167215","browser")</x:f>
      </x:c>
      <x:c r="L10127" s="0">
        <x:f>hyperlink("https://icat2.azurewebsites.net/icat/?ontology=ICD&amp;tab=ClassesTab&amp;id=http%3A%2F%2Fwho.int%2Ficd%2348922_512ebf36_bf6b_4d70_85da_cf2637062af4","iCat")</x:f>
      </x:c>
      <x:c r="M10127" s="0" t="s">
        <x:v>21</x:v>
      </x:c>
      <x:c r="N10127" s="0" t="s">
        <x:v>46</x:v>
      </x:c>
    </x:row>
    <x:row r="10128" spans="1:16">
      <x:c r="A10128" s="0" t="s">
        <x:v>40374</x:v>
      </x:c>
      <x:c r="B10128" s="0" t="s">
        <x:v>40375</x:v>
      </x:c>
      <x:c r="C10128" s="0" t="s">
        <x:v>40376</x:v>
      </x:c>
      <x:c r="E10128" s="0" t="s">
        <x:v>40377</x:v>
      </x:c>
      <x:c r="F10128" s="0" t="s">
        <x:v>45</x:v>
      </x:c>
      <x:c r="G10128" s="0" t="s">
        <x:v>19</x:v>
      </x:c>
      <x:c r="H10128" s="0" t="s">
        <x:v>20</x:v>
      </x:c>
      <x:c r="I10128" s="0" t="s">
        <x:v>21</x:v>
      </x:c>
      <x:c r="K10128" s="0">
        <x:f>hyperlink("https://icd.who.int/dev11/l-ichi/en#/http%3A%2F%2Fid.who.int%2Ficd%2Fentity%2F1674550787","browser")</x:f>
      </x:c>
      <x:c r="L10128" s="0">
        <x:f>hyperlink("https://icat2.azurewebsites.net/icat/?ontology=ICD&amp;tab=ClassesTab&amp;id=http%3A%2F%2Fwho.int%2Ficd%2348929_512ebf36_bf6b_4d70_85da_cf2637062af4","iCat")</x:f>
      </x:c>
      <x:c r="M10128" s="0" t="s">
        <x:v>21</x:v>
      </x:c>
      <x:c r="N10128" s="0" t="s">
        <x:v>46</x:v>
      </x:c>
    </x:row>
    <x:row r="10129" spans="1:16">
      <x:c r="A10129" s="0" t="s">
        <x:v>40378</x:v>
      </x:c>
      <x:c r="B10129" s="0" t="s">
        <x:v>40379</x:v>
      </x:c>
      <x:c r="C10129" s="0" t="s">
        <x:v>40380</x:v>
      </x:c>
      <x:c r="E10129" s="0" t="s">
        <x:v>40381</x:v>
      </x:c>
      <x:c r="F10129" s="0" t="s">
        <x:v>45</x:v>
      </x:c>
      <x:c r="G10129" s="0" t="s">
        <x:v>19</x:v>
      </x:c>
      <x:c r="H10129" s="0" t="s">
        <x:v>20</x:v>
      </x:c>
      <x:c r="I10129" s="0" t="s">
        <x:v>21</x:v>
      </x:c>
      <x:c r="K10129" s="0">
        <x:f>hyperlink("https://icd.who.int/dev11/l-ichi/en#/http%3A%2F%2Fid.who.int%2Ficd%2Fentity%2F923390350","browser")</x:f>
      </x:c>
      <x:c r="L10129" s="0">
        <x:f>hyperlink("https://icat2.azurewebsites.net/icat/?ontology=ICD&amp;tab=ClassesTab&amp;id=http%3A%2F%2Fwho.int%2Ficd%2348936_512ebf36_bf6b_4d70_85da_cf2637062af4","iCat")</x:f>
      </x:c>
      <x:c r="M10129" s="0" t="s">
        <x:v>21</x:v>
      </x:c>
      <x:c r="N10129" s="0" t="s">
        <x:v>46</x:v>
      </x:c>
    </x:row>
    <x:row r="10130" spans="1:16">
      <x:c r="A10130" s="0" t="s">
        <x:v>40382</x:v>
      </x:c>
      <x:c r="B10130" s="0" t="s">
        <x:v>40383</x:v>
      </x:c>
      <x:c r="C10130" s="0" t="s">
        <x:v>40384</x:v>
      </x:c>
      <x:c r="E10130" s="0" t="s">
        <x:v>40385</x:v>
      </x:c>
      <x:c r="F10130" s="0" t="s">
        <x:v>45</x:v>
      </x:c>
      <x:c r="G10130" s="0" t="s">
        <x:v>19</x:v>
      </x:c>
      <x:c r="H10130" s="0" t="s">
        <x:v>20</x:v>
      </x:c>
      <x:c r="I10130" s="0" t="s">
        <x:v>21</x:v>
      </x:c>
      <x:c r="K10130" s="0">
        <x:f>hyperlink("https://icd.who.int/dev11/l-ichi/en#/http%3A%2F%2Fid.who.int%2Ficd%2Fentity%2F304182494","browser")</x:f>
      </x:c>
      <x:c r="L10130" s="0">
        <x:f>hyperlink("https://icat2.azurewebsites.net/icat/?ontology=ICD&amp;tab=ClassesTab&amp;id=http%3A%2F%2Fwho.int%2Ficd%2348943_512ebf36_bf6b_4d70_85da_cf2637062af4","iCat")</x:f>
      </x:c>
      <x:c r="M10130" s="0" t="s">
        <x:v>21</x:v>
      </x:c>
      <x:c r="N10130" s="0" t="s">
        <x:v>46</x:v>
      </x:c>
    </x:row>
    <x:row r="10131" spans="1:16">
      <x:c r="A10131" s="0" t="s">
        <x:v>40386</x:v>
      </x:c>
      <x:c r="B10131" s="0" t="s">
        <x:v>40387</x:v>
      </x:c>
      <x:c r="C10131" s="0" t="s">
        <x:v>40388</x:v>
      </x:c>
      <x:c r="E10131" s="0" t="s">
        <x:v>40389</x:v>
      </x:c>
      <x:c r="F10131" s="0" t="s">
        <x:v>45</x:v>
      </x:c>
      <x:c r="G10131" s="0" t="s">
        <x:v>19</x:v>
      </x:c>
      <x:c r="H10131" s="0" t="s">
        <x:v>20</x:v>
      </x:c>
      <x:c r="I10131" s="0" t="s">
        <x:v>21</x:v>
      </x:c>
      <x:c r="K10131" s="0">
        <x:f>hyperlink("https://icd.who.int/dev11/l-ichi/en#/http%3A%2F%2Fid.who.int%2Ficd%2Fentity%2F1029803634","browser")</x:f>
      </x:c>
      <x:c r="L10131" s="0">
        <x:f>hyperlink("https://icat2.azurewebsites.net/icat/?ontology=ICD&amp;tab=ClassesTab&amp;id=http%3A%2F%2Fwho.int%2Ficd%2348950_512ebf36_bf6b_4d70_85da_cf2637062af4","iCat")</x:f>
      </x:c>
      <x:c r="M10131" s="0" t="s">
        <x:v>21</x:v>
      </x:c>
      <x:c r="N10131" s="0" t="s">
        <x:v>46</x:v>
      </x:c>
    </x:row>
    <x:row r="10132" spans="1:16">
      <x:c r="A10132" s="0" t="s">
        <x:v>40390</x:v>
      </x:c>
      <x:c r="B10132" s="0" t="s">
        <x:v>40391</x:v>
      </x:c>
      <x:c r="C10132" s="0" t="s">
        <x:v>40392</x:v>
      </x:c>
      <x:c r="E10132" s="0" t="s">
        <x:v>40393</x:v>
      </x:c>
      <x:c r="F10132" s="0" t="s">
        <x:v>45</x:v>
      </x:c>
      <x:c r="G10132" s="0" t="s">
        <x:v>19</x:v>
      </x:c>
      <x:c r="H10132" s="0" t="s">
        <x:v>20</x:v>
      </x:c>
      <x:c r="I10132" s="0" t="s">
        <x:v>21</x:v>
      </x:c>
      <x:c r="K10132" s="0">
        <x:f>hyperlink("https://icd.who.int/dev11/l-ichi/en#/http%3A%2F%2Fid.who.int%2Ficd%2Fentity%2F1306732029","browser")</x:f>
      </x:c>
      <x:c r="L10132" s="0">
        <x:f>hyperlink("https://icat2.azurewebsites.net/icat/?ontology=ICD&amp;tab=ClassesTab&amp;id=http%3A%2F%2Fwho.int%2Ficd%2348957_512ebf36_bf6b_4d70_85da_cf2637062af4","iCat")</x:f>
      </x:c>
      <x:c r="M10132" s="0" t="s">
        <x:v>21</x:v>
      </x:c>
      <x:c r="N10132" s="0" t="s">
        <x:v>46</x:v>
      </x:c>
    </x:row>
    <x:row r="10133" spans="1:16">
      <x:c r="A10133" s="0" t="s">
        <x:v>40394</x:v>
      </x:c>
      <x:c r="B10133" s="0" t="s">
        <x:v>40395</x:v>
      </x:c>
      <x:c r="C10133" s="0" t="s">
        <x:v>40396</x:v>
      </x:c>
      <x:c r="E10133" s="0" t="s">
        <x:v>40397</x:v>
      </x:c>
      <x:c r="F10133" s="0" t="s">
        <x:v>45</x:v>
      </x:c>
      <x:c r="G10133" s="0" t="s">
        <x:v>19</x:v>
      </x:c>
      <x:c r="H10133" s="0" t="s">
        <x:v>20</x:v>
      </x:c>
      <x:c r="I10133" s="0" t="s">
        <x:v>21</x:v>
      </x:c>
      <x:c r="K10133" s="0">
        <x:f>hyperlink("https://icd.who.int/dev11/l-ichi/en#/http%3A%2F%2Fid.who.int%2Ficd%2Fentity%2F1222052355","browser")</x:f>
      </x:c>
      <x:c r="L10133" s="0">
        <x:f>hyperlink("https://icat2.azurewebsites.net/icat/?ontology=ICD&amp;tab=ClassesTab&amp;id=http%3A%2F%2Fwho.int%2Ficd%2348964_512ebf36_bf6b_4d70_85da_cf2637062af4","iCat")</x:f>
      </x:c>
      <x:c r="M10133" s="0" t="s">
        <x:v>21</x:v>
      </x:c>
      <x:c r="N10133" s="0" t="s">
        <x:v>46</x:v>
      </x:c>
    </x:row>
    <x:row r="10134" spans="1:16">
      <x:c r="A10134" s="0" t="s">
        <x:v>40398</x:v>
      </x:c>
      <x:c r="B10134" s="0" t="s">
        <x:v>40399</x:v>
      </x:c>
      <x:c r="C10134" s="0" t="s">
        <x:v>40400</x:v>
      </x:c>
      <x:c r="E10134" s="0" t="s">
        <x:v>40401</x:v>
      </x:c>
      <x:c r="F10134" s="0" t="s">
        <x:v>45</x:v>
      </x:c>
      <x:c r="G10134" s="0" t="s">
        <x:v>19</x:v>
      </x:c>
      <x:c r="H10134" s="0" t="s">
        <x:v>20</x:v>
      </x:c>
      <x:c r="I10134" s="0" t="s">
        <x:v>21</x:v>
      </x:c>
      <x:c r="K10134" s="0">
        <x:f>hyperlink("https://icd.who.int/dev11/l-ichi/en#/http%3A%2F%2Fid.who.int%2Ficd%2Fentity%2F938223902","browser")</x:f>
      </x:c>
      <x:c r="L10134" s="0">
        <x:f>hyperlink("https://icat2.azurewebsites.net/icat/?ontology=ICD&amp;tab=ClassesTab&amp;id=http%3A%2F%2Fwho.int%2Ficd%2348971_512ebf36_bf6b_4d70_85da_cf2637062af4","iCat")</x:f>
      </x:c>
      <x:c r="M10134" s="0" t="s">
        <x:v>21</x:v>
      </x:c>
      <x:c r="N10134" s="0" t="s">
        <x:v>46</x:v>
      </x:c>
    </x:row>
    <x:row r="10135" spans="1:16">
      <x:c r="A10135" s="0" t="s">
        <x:v>40402</x:v>
      </x:c>
      <x:c r="B10135" s="0" t="s">
        <x:v>40403</x:v>
      </x:c>
      <x:c r="C10135" s="0" t="s">
        <x:v>40404</x:v>
      </x:c>
      <x:c r="E10135" s="0" t="s">
        <x:v>40405</x:v>
      </x:c>
      <x:c r="F10135" s="0" t="s">
        <x:v>45</x:v>
      </x:c>
      <x:c r="G10135" s="0" t="s">
        <x:v>19</x:v>
      </x:c>
      <x:c r="H10135" s="0" t="s">
        <x:v>20</x:v>
      </x:c>
      <x:c r="I10135" s="0" t="s">
        <x:v>21</x:v>
      </x:c>
      <x:c r="K10135" s="0">
        <x:f>hyperlink("https://icd.who.int/dev11/l-ichi/en#/http%3A%2F%2Fid.who.int%2Ficd%2Fentity%2F1502882421","browser")</x:f>
      </x:c>
      <x:c r="L10135" s="0">
        <x:f>hyperlink("https://icat2.azurewebsites.net/icat/?ontology=ICD&amp;tab=ClassesTab&amp;id=http%3A%2F%2Fwho.int%2Ficd%2348978_512ebf36_bf6b_4d70_85da_cf2637062af4","iCat")</x:f>
      </x:c>
      <x:c r="M10135" s="0" t="s">
        <x:v>21</x:v>
      </x:c>
      <x:c r="N10135" s="0" t="s">
        <x:v>46</x:v>
      </x:c>
    </x:row>
    <x:row r="10136" spans="1:16">
      <x:c r="A10136" s="0" t="s">
        <x:v>40406</x:v>
      </x:c>
      <x:c r="B10136" s="0" t="s">
        <x:v>40407</x:v>
      </x:c>
      <x:c r="C10136" s="0" t="s">
        <x:v>40408</x:v>
      </x:c>
      <x:c r="E10136" s="0" t="s">
        <x:v>40409</x:v>
      </x:c>
      <x:c r="F10136" s="0" t="s">
        <x:v>45</x:v>
      </x:c>
      <x:c r="G10136" s="0" t="s">
        <x:v>19</x:v>
      </x:c>
      <x:c r="H10136" s="0" t="s">
        <x:v>20</x:v>
      </x:c>
      <x:c r="I10136" s="0" t="s">
        <x:v>21</x:v>
      </x:c>
      <x:c r="K10136" s="0">
        <x:f>hyperlink("https://icd.who.int/dev11/l-ichi/en#/http%3A%2F%2Fid.who.int%2Ficd%2Fentity%2F755804086","browser")</x:f>
      </x:c>
      <x:c r="L10136" s="0">
        <x:f>hyperlink("https://icat2.azurewebsites.net/icat/?ontology=ICD&amp;tab=ClassesTab&amp;id=http%3A%2F%2Fwho.int%2Ficd%2348985_512ebf36_bf6b_4d70_85da_cf2637062af4","iCat")</x:f>
      </x:c>
      <x:c r="M10136" s="0" t="s">
        <x:v>21</x:v>
      </x:c>
      <x:c r="N10136" s="0" t="s">
        <x:v>46</x:v>
      </x:c>
    </x:row>
    <x:row r="10137" spans="1:16">
      <x:c r="A10137" s="0" t="s">
        <x:v>40410</x:v>
      </x:c>
      <x:c r="B10137" s="0" t="s">
        <x:v>40411</x:v>
      </x:c>
      <x:c r="C10137" s="0" t="s">
        <x:v>40412</x:v>
      </x:c>
      <x:c r="E10137" s="0" t="s">
        <x:v>40413</x:v>
      </x:c>
      <x:c r="F10137" s="0" t="s">
        <x:v>45</x:v>
      </x:c>
      <x:c r="G10137" s="0" t="s">
        <x:v>19</x:v>
      </x:c>
      <x:c r="H10137" s="0" t="s">
        <x:v>20</x:v>
      </x:c>
      <x:c r="I10137" s="0" t="s">
        <x:v>21</x:v>
      </x:c>
      <x:c r="K10137" s="0">
        <x:f>hyperlink("https://icd.who.int/dev11/l-ichi/en#/http%3A%2F%2Fid.who.int%2Ficd%2Fentity%2F927701356","browser")</x:f>
      </x:c>
      <x:c r="L10137" s="0">
        <x:f>hyperlink("https://icat2.azurewebsites.net/icat/?ontology=ICD&amp;tab=ClassesTab&amp;id=http%3A%2F%2Fwho.int%2Ficd%2348992_512ebf36_bf6b_4d70_85da_cf2637062af4","iCat")</x:f>
      </x:c>
      <x:c r="M10137" s="0" t="s">
        <x:v>21</x:v>
      </x:c>
      <x:c r="N10137" s="0" t="s">
        <x:v>46</x:v>
      </x:c>
    </x:row>
    <x:row r="10138" spans="1:16">
      <x:c r="A10138" s="0" t="s">
        <x:v>40414</x:v>
      </x:c>
      <x:c r="B10138" s="0" t="s">
        <x:v>40415</x:v>
      </x:c>
      <x:c r="C10138" s="0" t="s">
        <x:v>40416</x:v>
      </x:c>
      <x:c r="E10138" s="0" t="s">
        <x:v>40417</x:v>
      </x:c>
      <x:c r="F10138" s="0" t="s">
        <x:v>45</x:v>
      </x:c>
      <x:c r="G10138" s="0" t="s">
        <x:v>19</x:v>
      </x:c>
      <x:c r="H10138" s="0" t="s">
        <x:v>20</x:v>
      </x:c>
      <x:c r="I10138" s="0" t="s">
        <x:v>21</x:v>
      </x:c>
      <x:c r="K10138" s="0">
        <x:f>hyperlink("https://icd.who.int/dev11/l-ichi/en#/http%3A%2F%2Fid.who.int%2Ficd%2Fentity%2F1011845058","browser")</x:f>
      </x:c>
      <x:c r="L10138" s="0">
        <x:f>hyperlink("https://icat2.azurewebsites.net/icat/?ontology=ICD&amp;tab=ClassesTab&amp;id=http%3A%2F%2Fwho.int%2Ficd%2348999_512ebf36_bf6b_4d70_85da_cf2637062af4","iCat")</x:f>
      </x:c>
      <x:c r="M10138" s="0" t="s">
        <x:v>21</x:v>
      </x:c>
      <x:c r="N10138" s="0" t="s">
        <x:v>46</x:v>
      </x:c>
    </x:row>
    <x:row r="10139" spans="1:16">
      <x:c r="A10139" s="0" t="s">
        <x:v>40418</x:v>
      </x:c>
      <x:c r="B10139" s="0" t="s">
        <x:v>40419</x:v>
      </x:c>
      <x:c r="C10139" s="0" t="s">
        <x:v>40420</x:v>
      </x:c>
      <x:c r="E10139" s="0" t="s">
        <x:v>40421</x:v>
      </x:c>
      <x:c r="F10139" s="0" t="s">
        <x:v>45</x:v>
      </x:c>
      <x:c r="G10139" s="0" t="s">
        <x:v>19</x:v>
      </x:c>
      <x:c r="H10139" s="0" t="s">
        <x:v>20</x:v>
      </x:c>
      <x:c r="I10139" s="0" t="s">
        <x:v>21</x:v>
      </x:c>
      <x:c r="K10139" s="0">
        <x:f>hyperlink("https://icd.who.int/dev11/l-ichi/en#/http%3A%2F%2Fid.who.int%2Ficd%2Fentity%2F1361868495","browser")</x:f>
      </x:c>
      <x:c r="L10139" s="0">
        <x:f>hyperlink("https://icat2.azurewebsites.net/icat/?ontology=ICD&amp;tab=ClassesTab&amp;id=http%3A%2F%2Fwho.int%2Ficd%2349006_512ebf36_bf6b_4d70_85da_cf2637062af4","iCat")</x:f>
      </x:c>
      <x:c r="M10139" s="0" t="s">
        <x:v>21</x:v>
      </x:c>
      <x:c r="N10139" s="0" t="s">
        <x:v>46</x:v>
      </x:c>
    </x:row>
    <x:row r="10140" spans="1:16">
      <x:c r="A10140" s="0" t="s">
        <x:v>40422</x:v>
      </x:c>
      <x:c r="B10140" s="0" t="s">
        <x:v>40423</x:v>
      </x:c>
      <x:c r="C10140" s="0" t="s">
        <x:v>40424</x:v>
      </x:c>
      <x:c r="E10140" s="0" t="s">
        <x:v>40425</x:v>
      </x:c>
      <x:c r="F10140" s="0" t="s">
        <x:v>45</x:v>
      </x:c>
      <x:c r="G10140" s="0" t="s">
        <x:v>19</x:v>
      </x:c>
      <x:c r="H10140" s="0" t="s">
        <x:v>20</x:v>
      </x:c>
      <x:c r="I10140" s="0" t="s">
        <x:v>21</x:v>
      </x:c>
      <x:c r="K10140" s="0">
        <x:f>hyperlink("https://icd.who.int/dev11/l-ichi/en#/http%3A%2F%2Fid.who.int%2Ficd%2Fentity%2F773281234","browser")</x:f>
      </x:c>
      <x:c r="L10140" s="0">
        <x:f>hyperlink("https://icat2.azurewebsites.net/icat/?ontology=ICD&amp;tab=ClassesTab&amp;id=http%3A%2F%2Fwho.int%2Ficd%2349013_512ebf36_bf6b_4d70_85da_cf2637062af4","iCat")</x:f>
      </x:c>
      <x:c r="M10140" s="0" t="s">
        <x:v>21</x:v>
      </x:c>
      <x:c r="N10140" s="0" t="s">
        <x:v>46</x:v>
      </x:c>
    </x:row>
    <x:row r="10141" spans="1:16">
      <x:c r="A10141" s="0" t="s">
        <x:v>40426</x:v>
      </x:c>
      <x:c r="B10141" s="0" t="s">
        <x:v>40427</x:v>
      </x:c>
      <x:c r="C10141" s="0" t="s">
        <x:v>40428</x:v>
      </x:c>
      <x:c r="E10141" s="0" t="s">
        <x:v>40429</x:v>
      </x:c>
      <x:c r="F10141" s="0" t="s">
        <x:v>45</x:v>
      </x:c>
      <x:c r="G10141" s="0" t="s">
        <x:v>19</x:v>
      </x:c>
      <x:c r="H10141" s="0" t="s">
        <x:v>20</x:v>
      </x:c>
      <x:c r="I10141" s="0" t="s">
        <x:v>21</x:v>
      </x:c>
      <x:c r="K10141" s="0">
        <x:f>hyperlink("https://icd.who.int/dev11/l-ichi/en#/http%3A%2F%2Fid.who.int%2Ficd%2Fentity%2F723745328","browser")</x:f>
      </x:c>
      <x:c r="L10141" s="0">
        <x:f>hyperlink("https://icat2.azurewebsites.net/icat/?ontology=ICD&amp;tab=ClassesTab&amp;id=http%3A%2F%2Fwho.int%2Ficd%2349020_512ebf36_bf6b_4d70_85da_cf2637062af4","iCat")</x:f>
      </x:c>
      <x:c r="M10141" s="0" t="s">
        <x:v>21</x:v>
      </x:c>
      <x:c r="N10141" s="0" t="s">
        <x:v>46</x:v>
      </x:c>
    </x:row>
    <x:row r="10142" spans="1:16">
      <x:c r="A10142" s="0" t="s">
        <x:v>40430</x:v>
      </x:c>
      <x:c r="B10142" s="0" t="s">
        <x:v>40431</x:v>
      </x:c>
      <x:c r="C10142" s="0" t="s">
        <x:v>40432</x:v>
      </x:c>
      <x:c r="E10142" s="0" t="s">
        <x:v>40433</x:v>
      </x:c>
      <x:c r="F10142" s="0" t="s">
        <x:v>45</x:v>
      </x:c>
      <x:c r="G10142" s="0" t="s">
        <x:v>19</x:v>
      </x:c>
      <x:c r="H10142" s="0" t="s">
        <x:v>20</x:v>
      </x:c>
      <x:c r="I10142" s="0" t="s">
        <x:v>21</x:v>
      </x:c>
      <x:c r="K10142" s="0">
        <x:f>hyperlink("https://icd.who.int/dev11/l-ichi/en#/http%3A%2F%2Fid.who.int%2Ficd%2Fentity%2F1537331619","browser")</x:f>
      </x:c>
      <x:c r="L10142" s="0">
        <x:f>hyperlink("https://icat2.azurewebsites.net/icat/?ontology=ICD&amp;tab=ClassesTab&amp;id=http%3A%2F%2Fwho.int%2Ficd%2349027_512ebf36_bf6b_4d70_85da_cf2637062af4","iCat")</x:f>
      </x:c>
      <x:c r="M10142" s="0" t="s">
        <x:v>21</x:v>
      </x:c>
      <x:c r="N10142" s="0" t="s">
        <x:v>46</x:v>
      </x:c>
    </x:row>
    <x:row r="10143" spans="1:16">
      <x:c r="A10143" s="0" t="s">
        <x:v>40434</x:v>
      </x:c>
      <x:c r="B10143" s="0" t="s">
        <x:v>40435</x:v>
      </x:c>
      <x:c r="C10143" s="0" t="s">
        <x:v>40436</x:v>
      </x:c>
      <x:c r="E10143" s="0" t="s">
        <x:v>40437</x:v>
      </x:c>
      <x:c r="F10143" s="0" t="s">
        <x:v>45</x:v>
      </x:c>
      <x:c r="G10143" s="0" t="s">
        <x:v>19</x:v>
      </x:c>
      <x:c r="H10143" s="0" t="s">
        <x:v>20</x:v>
      </x:c>
      <x:c r="I10143" s="0" t="s">
        <x:v>21</x:v>
      </x:c>
      <x:c r="K10143" s="0">
        <x:f>hyperlink("https://icd.who.int/dev11/l-ichi/en#/http%3A%2F%2Fid.who.int%2Ficd%2Fentity%2F1960913677","browser")</x:f>
      </x:c>
      <x:c r="L10143" s="0">
        <x:f>hyperlink("https://icat2.azurewebsites.net/icat/?ontology=ICD&amp;tab=ClassesTab&amp;id=http%3A%2F%2Fwho.int%2Ficd%2349034_512ebf36_bf6b_4d70_85da_cf2637062af4","iCat")</x:f>
      </x:c>
      <x:c r="M10143" s="0" t="s">
        <x:v>21</x:v>
      </x:c>
      <x:c r="N10143" s="0" t="s">
        <x:v>46</x:v>
      </x:c>
    </x:row>
    <x:row r="10144" spans="1:16">
      <x:c r="A10144" s="0" t="s">
        <x:v>40438</x:v>
      </x:c>
      <x:c r="B10144" s="0" t="s">
        <x:v>40439</x:v>
      </x:c>
      <x:c r="C10144" s="0" t="s">
        <x:v>40440</x:v>
      </x:c>
      <x:c r="E10144" s="0" t="s">
        <x:v>40441</x:v>
      </x:c>
      <x:c r="F10144" s="0" t="s">
        <x:v>45</x:v>
      </x:c>
      <x:c r="G10144" s="0" t="s">
        <x:v>19</x:v>
      </x:c>
      <x:c r="H10144" s="0" t="s">
        <x:v>20</x:v>
      </x:c>
      <x:c r="I10144" s="0" t="s">
        <x:v>21</x:v>
      </x:c>
      <x:c r="K10144" s="0">
        <x:f>hyperlink("https://icd.who.int/dev11/l-ichi/en#/http%3A%2F%2Fid.who.int%2Ficd%2Fentity%2F1372163679","browser")</x:f>
      </x:c>
      <x:c r="L10144" s="0">
        <x:f>hyperlink("https://icat2.azurewebsites.net/icat/?ontology=ICD&amp;tab=ClassesTab&amp;id=http%3A%2F%2Fwho.int%2Ficd%2349041_512ebf36_bf6b_4d70_85da_cf2637062af4","iCat")</x:f>
      </x:c>
      <x:c r="M10144" s="0" t="s">
        <x:v>21</x:v>
      </x:c>
      <x:c r="N10144" s="0" t="s">
        <x:v>46</x:v>
      </x:c>
    </x:row>
    <x:row r="10145" spans="1:16">
      <x:c r="A10145" s="0" t="s">
        <x:v>40442</x:v>
      </x:c>
      <x:c r="B10145" s="0" t="s">
        <x:v>40443</x:v>
      </x:c>
      <x:c r="C10145" s="0" t="s">
        <x:v>40444</x:v>
      </x:c>
      <x:c r="E10145" s="0" t="s">
        <x:v>40445</x:v>
      </x:c>
      <x:c r="F10145" s="0" t="s">
        <x:v>45</x:v>
      </x:c>
      <x:c r="G10145" s="0" t="s">
        <x:v>19</x:v>
      </x:c>
      <x:c r="H10145" s="0" t="s">
        <x:v>20</x:v>
      </x:c>
      <x:c r="I10145" s="0" t="s">
        <x:v>21</x:v>
      </x:c>
      <x:c r="K10145" s="0">
        <x:f>hyperlink("https://icd.who.int/dev11/l-ichi/en#/http%3A%2F%2Fid.who.int%2Ficd%2Fentity%2F1068600630","browser")</x:f>
      </x:c>
      <x:c r="L10145" s="0">
        <x:f>hyperlink("https://icat2.azurewebsites.net/icat/?ontology=ICD&amp;tab=ClassesTab&amp;id=http%3A%2F%2Fwho.int%2Ficd%2349048_512ebf36_bf6b_4d70_85da_cf2637062af4","iCat")</x:f>
      </x:c>
      <x:c r="M10145" s="0" t="s">
        <x:v>21</x:v>
      </x:c>
      <x:c r="N10145" s="0" t="s">
        <x:v>46</x:v>
      </x:c>
    </x:row>
    <x:row r="10146" spans="1:16">
      <x:c r="A10146" s="0" t="s">
        <x:v>40446</x:v>
      </x:c>
      <x:c r="B10146" s="0" t="s">
        <x:v>40447</x:v>
      </x:c>
      <x:c r="C10146" s="0" t="s">
        <x:v>40448</x:v>
      </x:c>
      <x:c r="E10146" s="0" t="s">
        <x:v>40449</x:v>
      </x:c>
      <x:c r="F10146" s="0" t="s">
        <x:v>45</x:v>
      </x:c>
      <x:c r="G10146" s="0" t="s">
        <x:v>19</x:v>
      </x:c>
      <x:c r="H10146" s="0" t="s">
        <x:v>20</x:v>
      </x:c>
      <x:c r="I10146" s="0" t="s">
        <x:v>21</x:v>
      </x:c>
      <x:c r="K10146" s="0">
        <x:f>hyperlink("https://icd.who.int/dev11/l-ichi/en#/http%3A%2F%2Fid.who.int%2Ficd%2Fentity%2F235659132","browser")</x:f>
      </x:c>
      <x:c r="L10146" s="0">
        <x:f>hyperlink("https://icat2.azurewebsites.net/icat/?ontology=ICD&amp;tab=ClassesTab&amp;id=http%3A%2F%2Fwho.int%2Ficd%2349055_512ebf36_bf6b_4d70_85da_cf2637062af4","iCat")</x:f>
      </x:c>
      <x:c r="M10146" s="0" t="s">
        <x:v>21</x:v>
      </x:c>
      <x:c r="N10146" s="0" t="s">
        <x:v>46</x:v>
      </x:c>
    </x:row>
    <x:row r="10147" spans="1:16">
      <x:c r="A10147" s="0" t="s">
        <x:v>40450</x:v>
      </x:c>
      <x:c r="B10147" s="0" t="s">
        <x:v>40451</x:v>
      </x:c>
      <x:c r="C10147" s="0" t="s">
        <x:v>40452</x:v>
      </x:c>
      <x:c r="E10147" s="0" t="s">
        <x:v>40453</x:v>
      </x:c>
      <x:c r="F10147" s="0" t="s">
        <x:v>45</x:v>
      </x:c>
      <x:c r="G10147" s="0" t="s">
        <x:v>19</x:v>
      </x:c>
      <x:c r="H10147" s="0" t="s">
        <x:v>20</x:v>
      </x:c>
      <x:c r="I10147" s="0" t="s">
        <x:v>21</x:v>
      </x:c>
      <x:c r="K10147" s="0">
        <x:f>hyperlink("https://icd.who.int/dev11/l-ichi/en#/http%3A%2F%2Fid.who.int%2Ficd%2Fentity%2F674869515","browser")</x:f>
      </x:c>
      <x:c r="L10147" s="0">
        <x:f>hyperlink("https://icat2.azurewebsites.net/icat/?ontology=ICD&amp;tab=ClassesTab&amp;id=http%3A%2F%2Fwho.int%2Ficd%23575_e87d5413_a3ef_41e3_b1c4_bdb20d4d591d","iCat")</x:f>
      </x:c>
      <x:c r="M10147" s="0" t="s">
        <x:v>21</x:v>
      </x:c>
      <x:c r="N10147" s="0" t="s">
        <x:v>46</x:v>
      </x:c>
    </x:row>
    <x:row r="10148" spans="1:16">
      <x:c r="A10148" s="0" t="s">
        <x:v>40454</x:v>
      </x:c>
      <x:c r="B10148" s="0" t="s">
        <x:v>40455</x:v>
      </x:c>
      <x:c r="C10148" s="0" t="s">
        <x:v>40456</x:v>
      </x:c>
      <x:c r="E10148" s="0" t="s">
        <x:v>40457</x:v>
      </x:c>
      <x:c r="F10148" s="0" t="s">
        <x:v>45</x:v>
      </x:c>
      <x:c r="G10148" s="0" t="s">
        <x:v>19</x:v>
      </x:c>
      <x:c r="H10148" s="0" t="s">
        <x:v>20</x:v>
      </x:c>
      <x:c r="I10148" s="0" t="s">
        <x:v>21</x:v>
      </x:c>
      <x:c r="K10148" s="0">
        <x:f>hyperlink("https://icd.who.int/dev11/l-ichi/en#/http%3A%2F%2Fid.who.int%2Ficd%2Fentity%2F1043870968","browser")</x:f>
      </x:c>
      <x:c r="L10148" s="0">
        <x:f>hyperlink("https://icat2.azurewebsites.net/icat/?ontology=ICD&amp;tab=ClassesTab&amp;id=http%3A%2F%2Fwho.int%2Ficd%2349062_512ebf36_bf6b_4d70_85da_cf2637062af4","iCat")</x:f>
      </x:c>
      <x:c r="M10148" s="0" t="s">
        <x:v>21</x:v>
      </x:c>
      <x:c r="N10148" s="0" t="s">
        <x:v>46</x:v>
      </x:c>
    </x:row>
    <x:row r="10149" spans="1:16">
      <x:c r="A10149" s="0" t="s">
        <x:v>40458</x:v>
      </x:c>
      <x:c r="B10149" s="0" t="s">
        <x:v>40459</x:v>
      </x:c>
      <x:c r="C10149" s="0" t="s">
        <x:v>40460</x:v>
      </x:c>
      <x:c r="E10149" s="0" t="s">
        <x:v>40461</x:v>
      </x:c>
      <x:c r="F10149" s="0" t="s">
        <x:v>45</x:v>
      </x:c>
      <x:c r="G10149" s="0" t="s">
        <x:v>19</x:v>
      </x:c>
      <x:c r="H10149" s="0" t="s">
        <x:v>20</x:v>
      </x:c>
      <x:c r="I10149" s="0" t="s">
        <x:v>21</x:v>
      </x:c>
      <x:c r="K10149" s="0">
        <x:f>hyperlink("https://icd.who.int/dev11/l-ichi/en#/http%3A%2F%2Fid.who.int%2Ficd%2Fentity%2F893135450","browser")</x:f>
      </x:c>
      <x:c r="L10149" s="0">
        <x:f>hyperlink("https://icat2.azurewebsites.net/icat/?ontology=ICD&amp;tab=ClassesTab&amp;id=http%3A%2F%2Fwho.int%2Ficd%2349069_512ebf36_bf6b_4d70_85da_cf2637062af4","iCat")</x:f>
      </x:c>
      <x:c r="M10149" s="0" t="s">
        <x:v>21</x:v>
      </x:c>
      <x:c r="N10149" s="0" t="s">
        <x:v>46</x:v>
      </x:c>
    </x:row>
    <x:row r="10150" spans="1:16">
      <x:c r="A10150" s="0" t="s">
        <x:v>40462</x:v>
      </x:c>
      <x:c r="B10150" s="0" t="s">
        <x:v>40463</x:v>
      </x:c>
      <x:c r="C10150" s="0" t="s">
        <x:v>40464</x:v>
      </x:c>
      <x:c r="E10150" s="0" t="s">
        <x:v>40465</x:v>
      </x:c>
      <x:c r="F10150" s="0" t="s">
        <x:v>45</x:v>
      </x:c>
      <x:c r="G10150" s="0" t="s">
        <x:v>19</x:v>
      </x:c>
      <x:c r="H10150" s="0" t="s">
        <x:v>20</x:v>
      </x:c>
      <x:c r="I10150" s="0" t="s">
        <x:v>21</x:v>
      </x:c>
      <x:c r="K10150" s="0">
        <x:f>hyperlink("https://icd.who.int/dev11/l-ichi/en#/http%3A%2F%2Fid.who.int%2Ficd%2Fentity%2F1643800021","browser")</x:f>
      </x:c>
      <x:c r="L10150" s="0">
        <x:f>hyperlink("https://icat2.azurewebsites.net/icat/?ontology=ICD&amp;tab=ClassesTab&amp;id=http%3A%2F%2Fwho.int%2Ficd%2349076_512ebf36_bf6b_4d70_85da_cf2637062af4","iCat")</x:f>
      </x:c>
      <x:c r="M10150" s="0" t="s">
        <x:v>21</x:v>
      </x:c>
      <x:c r="N10150" s="0" t="s">
        <x:v>46</x:v>
      </x:c>
    </x:row>
    <x:row r="10151" spans="1:16">
      <x:c r="A10151" s="0" t="s">
        <x:v>40466</x:v>
      </x:c>
      <x:c r="B10151" s="0" t="s">
        <x:v>40467</x:v>
      </x:c>
      <x:c r="C10151" s="0" t="s">
        <x:v>40468</x:v>
      </x:c>
      <x:c r="E10151" s="0" t="s">
        <x:v>40469</x:v>
      </x:c>
      <x:c r="F10151" s="0" t="s">
        <x:v>45</x:v>
      </x:c>
      <x:c r="G10151" s="0" t="s">
        <x:v>19</x:v>
      </x:c>
      <x:c r="H10151" s="0" t="s">
        <x:v>20</x:v>
      </x:c>
      <x:c r="I10151" s="0" t="s">
        <x:v>21</x:v>
      </x:c>
      <x:c r="K10151" s="0">
        <x:f>hyperlink("https://icd.who.int/dev11/l-ichi/en#/http%3A%2F%2Fid.who.int%2Ficd%2Fentity%2F1541642563","browser")</x:f>
      </x:c>
      <x:c r="L10151" s="0">
        <x:f>hyperlink("https://icat2.azurewebsites.net/icat/?ontology=ICD&amp;tab=ClassesTab&amp;id=http%3A%2F%2Fwho.int%2Ficd%2349083_512ebf36_bf6b_4d70_85da_cf2637062af4","iCat")</x:f>
      </x:c>
      <x:c r="M10151" s="0" t="s">
        <x:v>21</x:v>
      </x:c>
      <x:c r="N10151" s="0" t="s">
        <x:v>46</x:v>
      </x:c>
    </x:row>
    <x:row r="10152" spans="1:16">
      <x:c r="A10152" s="0" t="s">
        <x:v>40470</x:v>
      </x:c>
      <x:c r="B10152" s="0" t="s">
        <x:v>40471</x:v>
      </x:c>
      <x:c r="C10152" s="0" t="s">
        <x:v>40472</x:v>
      </x:c>
      <x:c r="E10152" s="0" t="s">
        <x:v>40473</x:v>
      </x:c>
      <x:c r="F10152" s="0" t="s">
        <x:v>45</x:v>
      </x:c>
      <x:c r="G10152" s="0" t="s">
        <x:v>19</x:v>
      </x:c>
      <x:c r="H10152" s="0" t="s">
        <x:v>20</x:v>
      </x:c>
      <x:c r="I10152" s="0" t="s">
        <x:v>21</x:v>
      </x:c>
      <x:c r="K10152" s="0">
        <x:f>hyperlink("https://icd.who.int/dev11/l-ichi/en#/http%3A%2F%2Fid.who.int%2Ficd%2Fentity%2F1332340019","browser")</x:f>
      </x:c>
      <x:c r="L10152" s="0">
        <x:f>hyperlink("https://icat2.azurewebsites.net/icat/?ontology=ICD&amp;tab=ClassesTab&amp;id=http%3A%2F%2Fwho.int%2Ficd%231286_7005c14c_2656_4f4b_85a0_8e71c99be967","iCat")</x:f>
      </x:c>
      <x:c r="M10152" s="0" t="s">
        <x:v>21</x:v>
      </x:c>
      <x:c r="N10152" s="0" t="s">
        <x:v>46</x:v>
      </x:c>
    </x:row>
    <x:row r="10153" spans="1:16">
      <x:c r="A10153" s="0" t="s">
        <x:v>40474</x:v>
      </x:c>
      <x:c r="B10153" s="0" t="s">
        <x:v>40475</x:v>
      </x:c>
      <x:c r="C10153" s="0" t="s">
        <x:v>40476</x:v>
      </x:c>
      <x:c r="E10153" s="0" t="s">
        <x:v>40477</x:v>
      </x:c>
      <x:c r="F10153" s="0" t="s">
        <x:v>45</x:v>
      </x:c>
      <x:c r="G10153" s="0" t="s">
        <x:v>19</x:v>
      </x:c>
      <x:c r="H10153" s="0" t="s">
        <x:v>20</x:v>
      </x:c>
      <x:c r="I10153" s="0" t="s">
        <x:v>21</x:v>
      </x:c>
      <x:c r="K10153" s="0">
        <x:f>hyperlink("https://icd.who.int/dev11/l-ichi/en#/http%3A%2F%2Fid.who.int%2Ficd%2Fentity%2F1956865005","browser")</x:f>
      </x:c>
      <x:c r="L10153" s="0">
        <x:f>hyperlink("https://icat2.azurewebsites.net/icat/?ontology=ICD&amp;tab=ClassesTab&amp;id=http%3A%2F%2Fwho.int%2Ficd%2349090_512ebf36_bf6b_4d70_85da_cf2637062af4","iCat")</x:f>
      </x:c>
      <x:c r="M10153" s="0" t="s">
        <x:v>21</x:v>
      </x:c>
      <x:c r="N10153" s="0" t="s">
        <x:v>46</x:v>
      </x:c>
    </x:row>
    <x:row r="10154" spans="1:16">
      <x:c r="A10154" s="0" t="s">
        <x:v>40478</x:v>
      </x:c>
      <x:c r="B10154" s="0" t="s">
        <x:v>40479</x:v>
      </x:c>
      <x:c r="C10154" s="0" t="s">
        <x:v>40480</x:v>
      </x:c>
      <x:c r="E10154" s="0" t="s">
        <x:v>40481</x:v>
      </x:c>
      <x:c r="F10154" s="0" t="s">
        <x:v>45</x:v>
      </x:c>
      <x:c r="G10154" s="0" t="s">
        <x:v>19</x:v>
      </x:c>
      <x:c r="H10154" s="0" t="s">
        <x:v>20</x:v>
      </x:c>
      <x:c r="I10154" s="0" t="s">
        <x:v>21</x:v>
      </x:c>
      <x:c r="K10154" s="0">
        <x:f>hyperlink("https://icd.who.int/dev11/l-ichi/en#/http%3A%2F%2Fid.who.int%2Ficd%2Fentity%2F69322850","browser")</x:f>
      </x:c>
      <x:c r="L10154" s="0">
        <x:f>hyperlink("https://icat2.azurewebsites.net/icat/?ontology=ICD&amp;tab=ClassesTab&amp;id=http%3A%2F%2Fwho.int%2Ficd%2349097_512ebf36_bf6b_4d70_85da_cf2637062af4","iCat")</x:f>
      </x:c>
      <x:c r="M10154" s="0" t="s">
        <x:v>21</x:v>
      </x:c>
      <x:c r="N10154" s="0" t="s">
        <x:v>46</x:v>
      </x:c>
    </x:row>
    <x:row r="10155" spans="1:16">
      <x:c r="A10155" s="0" t="s">
        <x:v>40482</x:v>
      </x:c>
      <x:c r="B10155" s="0" t="s">
        <x:v>40483</x:v>
      </x:c>
      <x:c r="C10155" s="0" t="s">
        <x:v>40484</x:v>
      </x:c>
      <x:c r="E10155" s="0" t="s">
        <x:v>40485</x:v>
      </x:c>
      <x:c r="F10155" s="0" t="s">
        <x:v>45</x:v>
      </x:c>
      <x:c r="G10155" s="0" t="s">
        <x:v>19</x:v>
      </x:c>
      <x:c r="H10155" s="0" t="s">
        <x:v>20</x:v>
      </x:c>
      <x:c r="I10155" s="0" t="s">
        <x:v>21</x:v>
      </x:c>
      <x:c r="K10155" s="0">
        <x:f>hyperlink("https://icd.who.int/dev11/l-ichi/en#/http%3A%2F%2Fid.who.int%2Ficd%2Fentity%2F1104129431","browser")</x:f>
      </x:c>
      <x:c r="L10155" s="0">
        <x:f>hyperlink("https://icat2.azurewebsites.net/icat/?ontology=ICD&amp;tab=ClassesTab&amp;id=http%3A%2F%2Fwho.int%2Ficd%2349104_512ebf36_bf6b_4d70_85da_cf2637062af4","iCat")</x:f>
      </x:c>
      <x:c r="M10155" s="0" t="s">
        <x:v>21</x:v>
      </x:c>
      <x:c r="N10155" s="0" t="s">
        <x:v>46</x:v>
      </x:c>
    </x:row>
    <x:row r="10156" spans="1:16">
      <x:c r="A10156" s="0" t="s">
        <x:v>40486</x:v>
      </x:c>
      <x:c r="B10156" s="0" t="s">
        <x:v>40487</x:v>
      </x:c>
      <x:c r="C10156" s="0" t="s">
        <x:v>40488</x:v>
      </x:c>
      <x:c r="E10156" s="0" t="s">
        <x:v>40489</x:v>
      </x:c>
      <x:c r="F10156" s="0" t="s">
        <x:v>45</x:v>
      </x:c>
      <x:c r="G10156" s="0" t="s">
        <x:v>19</x:v>
      </x:c>
      <x:c r="H10156" s="0" t="s">
        <x:v>20</x:v>
      </x:c>
      <x:c r="I10156" s="0" t="s">
        <x:v>21</x:v>
      </x:c>
      <x:c r="K10156" s="0">
        <x:f>hyperlink("https://icd.who.int/dev11/l-ichi/en#/http%3A%2F%2Fid.who.int%2Ficd%2Fentity%2F1056214666","browser")</x:f>
      </x:c>
      <x:c r="L10156" s="0">
        <x:f>hyperlink("https://icat2.azurewebsites.net/icat/?ontology=ICD&amp;tab=ClassesTab&amp;id=http%3A%2F%2Fwho.int%2Ficd%2349111_512ebf36_bf6b_4d70_85da_cf2637062af4","iCat")</x:f>
      </x:c>
      <x:c r="M10156" s="0" t="s">
        <x:v>21</x:v>
      </x:c>
      <x:c r="N10156" s="0" t="s">
        <x:v>46</x:v>
      </x:c>
    </x:row>
    <x:row r="10157" spans="1:16">
      <x:c r="A10157" s="0" t="s">
        <x:v>40490</x:v>
      </x:c>
      <x:c r="B10157" s="0" t="s">
        <x:v>40491</x:v>
      </x:c>
      <x:c r="C10157" s="0" t="s">
        <x:v>40492</x:v>
      </x:c>
      <x:c r="E10157" s="0" t="s">
        <x:v>40493</x:v>
      </x:c>
      <x:c r="F10157" s="0" t="s">
        <x:v>45</x:v>
      </x:c>
      <x:c r="G10157" s="0" t="s">
        <x:v>19</x:v>
      </x:c>
      <x:c r="H10157" s="0" t="s">
        <x:v>20</x:v>
      </x:c>
      <x:c r="I10157" s="0" t="s">
        <x:v>21</x:v>
      </x:c>
      <x:c r="K10157" s="0">
        <x:f>hyperlink("https://icd.who.int/dev11/l-ichi/en#/http%3A%2F%2Fid.who.int%2Ficd%2Fentity%2F1351388641","browser")</x:f>
      </x:c>
      <x:c r="L10157" s="0">
        <x:f>hyperlink("https://icat2.azurewebsites.net/icat/?ontology=ICD&amp;tab=ClassesTab&amp;id=http%3A%2F%2Fwho.int%2Ficd%2349118_512ebf36_bf6b_4d70_85da_cf2637062af4","iCat")</x:f>
      </x:c>
      <x:c r="M10157" s="0" t="s">
        <x:v>21</x:v>
      </x:c>
      <x:c r="N10157" s="0" t="s">
        <x:v>46</x:v>
      </x:c>
    </x:row>
    <x:row r="10158" spans="1:16">
      <x:c r="A10158" s="0" t="s">
        <x:v>40494</x:v>
      </x:c>
      <x:c r="B10158" s="0" t="s">
        <x:v>40495</x:v>
      </x:c>
      <x:c r="C10158" s="0" t="s">
        <x:v>40496</x:v>
      </x:c>
      <x:c r="E10158" s="0" t="s">
        <x:v>40497</x:v>
      </x:c>
      <x:c r="F10158" s="0" t="s">
        <x:v>45</x:v>
      </x:c>
      <x:c r="G10158" s="0" t="s">
        <x:v>19</x:v>
      </x:c>
      <x:c r="H10158" s="0" t="s">
        <x:v>20</x:v>
      </x:c>
      <x:c r="I10158" s="0" t="s">
        <x:v>21</x:v>
      </x:c>
      <x:c r="K10158" s="0">
        <x:f>hyperlink("https://icd.who.int/dev11/l-ichi/en#/http%3A%2F%2Fid.who.int%2Ficd%2Fentity%2F1262619387","browser")</x:f>
      </x:c>
      <x:c r="L10158" s="0">
        <x:f>hyperlink("https://icat2.azurewebsites.net/icat/?ontology=ICD&amp;tab=ClassesTab&amp;id=http%3A%2F%2Fwho.int%2Ficd%2349125_512ebf36_bf6b_4d70_85da_cf2637062af4","iCat")</x:f>
      </x:c>
      <x:c r="M10158" s="0" t="s">
        <x:v>21</x:v>
      </x:c>
      <x:c r="N10158" s="0" t="s">
        <x:v>46</x:v>
      </x:c>
    </x:row>
    <x:row r="10159" spans="1:16">
      <x:c r="A10159" s="0" t="s">
        <x:v>40498</x:v>
      </x:c>
      <x:c r="B10159" s="0" t="s">
        <x:v>40499</x:v>
      </x:c>
      <x:c r="C10159" s="0" t="s">
        <x:v>40500</x:v>
      </x:c>
      <x:c r="E10159" s="0" t="s">
        <x:v>40501</x:v>
      </x:c>
      <x:c r="F10159" s="0" t="s">
        <x:v>45</x:v>
      </x:c>
      <x:c r="G10159" s="0" t="s">
        <x:v>19</x:v>
      </x:c>
      <x:c r="H10159" s="0" t="s">
        <x:v>20</x:v>
      </x:c>
      <x:c r="I10159" s="0" t="s">
        <x:v>21</x:v>
      </x:c>
      <x:c r="K10159" s="0">
        <x:f>hyperlink("https://icd.who.int/dev11/l-ichi/en#/http%3A%2F%2Fid.who.int%2Ficd%2Fentity%2F1359295521","browser")</x:f>
      </x:c>
      <x:c r="L10159" s="0">
        <x:f>hyperlink("https://icat2.azurewebsites.net/icat/?ontology=ICD&amp;tab=ClassesTab&amp;id=http%3A%2F%2Fwho.int%2Ficd%2349132_512ebf36_bf6b_4d70_85da_cf2637062af4","iCat")</x:f>
      </x:c>
      <x:c r="M10159" s="0" t="s">
        <x:v>21</x:v>
      </x:c>
      <x:c r="N10159" s="0" t="s">
        <x:v>46</x:v>
      </x:c>
    </x:row>
    <x:row r="10160" spans="1:16">
      <x:c r="A10160" s="0" t="s">
        <x:v>40502</x:v>
      </x:c>
      <x:c r="B10160" s="0" t="s">
        <x:v>40503</x:v>
      </x:c>
      <x:c r="C10160" s="0" t="s">
        <x:v>40504</x:v>
      </x:c>
      <x:c r="E10160" s="0" t="s">
        <x:v>40505</x:v>
      </x:c>
      <x:c r="F10160" s="0" t="s">
        <x:v>45</x:v>
      </x:c>
      <x:c r="G10160" s="0" t="s">
        <x:v>19</x:v>
      </x:c>
      <x:c r="H10160" s="0" t="s">
        <x:v>20</x:v>
      </x:c>
      <x:c r="I10160" s="0" t="s">
        <x:v>21</x:v>
      </x:c>
      <x:c r="K10160" s="0">
        <x:f>hyperlink("https://icd.who.int/dev11/l-ichi/en#/http%3A%2F%2Fid.who.int%2Ficd%2Fentity%2F1510025869","browser")</x:f>
      </x:c>
      <x:c r="L10160" s="0">
        <x:f>hyperlink("https://icat2.azurewebsites.net/icat/?ontology=ICD&amp;tab=ClassesTab&amp;id=http%3A%2F%2Fwho.int%2Ficd%2349139_512ebf36_bf6b_4d70_85da_cf2637062af4","iCat")</x:f>
      </x:c>
      <x:c r="M10160" s="0" t="s">
        <x:v>21</x:v>
      </x:c>
      <x:c r="N10160" s="0" t="s">
        <x:v>46</x:v>
      </x:c>
    </x:row>
    <x:row r="10161" spans="1:16">
      <x:c r="A10161" s="0" t="s">
        <x:v>40506</x:v>
      </x:c>
      <x:c r="B10161" s="0" t="s">
        <x:v>40507</x:v>
      </x:c>
      <x:c r="C10161" s="0" t="s">
        <x:v>40508</x:v>
      </x:c>
      <x:c r="E10161" s="0" t="s">
        <x:v>40509</x:v>
      </x:c>
      <x:c r="F10161" s="0" t="s">
        <x:v>45</x:v>
      </x:c>
      <x:c r="G10161" s="0" t="s">
        <x:v>19</x:v>
      </x:c>
      <x:c r="H10161" s="0" t="s">
        <x:v>20</x:v>
      </x:c>
      <x:c r="I10161" s="0" t="s">
        <x:v>21</x:v>
      </x:c>
      <x:c r="K10161" s="0">
        <x:f>hyperlink("https://icd.who.int/dev11/l-ichi/en#/http%3A%2F%2Fid.who.int%2Ficd%2Fentity%2F1423237967","browser")</x:f>
      </x:c>
      <x:c r="L10161" s="0">
        <x:f>hyperlink("https://icat2.azurewebsites.net/icat/?ontology=ICD&amp;tab=ClassesTab&amp;id=http%3A%2F%2Fwho.int%2Ficd%2349146_512ebf36_bf6b_4d70_85da_cf2637062af4","iCat")</x:f>
      </x:c>
      <x:c r="M10161" s="0" t="s">
        <x:v>21</x:v>
      </x:c>
      <x:c r="N10161" s="0" t="s">
        <x:v>46</x:v>
      </x:c>
    </x:row>
    <x:row r="10162" spans="1:16">
      <x:c r="A10162" s="0" t="s">
        <x:v>40510</x:v>
      </x:c>
      <x:c r="B10162" s="0" t="s">
        <x:v>40511</x:v>
      </x:c>
      <x:c r="C10162" s="0" t="s">
        <x:v>40512</x:v>
      </x:c>
      <x:c r="E10162" s="0" t="s">
        <x:v>40513</x:v>
      </x:c>
      <x:c r="F10162" s="0" t="s">
        <x:v>45</x:v>
      </x:c>
      <x:c r="G10162" s="0" t="s">
        <x:v>19</x:v>
      </x:c>
      <x:c r="H10162" s="0" t="s">
        <x:v>20</x:v>
      </x:c>
      <x:c r="I10162" s="0" t="s">
        <x:v>21</x:v>
      </x:c>
      <x:c r="K10162" s="0">
        <x:f>hyperlink("https://icd.who.int/dev11/l-ichi/en#/http%3A%2F%2Fid.who.int%2Ficd%2Fentity%2F737132626","browser")</x:f>
      </x:c>
      <x:c r="L10162" s="0">
        <x:f>hyperlink("https://icat2.azurewebsites.net/icat/?ontology=ICD&amp;tab=ClassesTab&amp;id=http%3A%2F%2Fwho.int%2Ficd%2349153_512ebf36_bf6b_4d70_85da_cf2637062af4","iCat")</x:f>
      </x:c>
      <x:c r="M10162" s="0" t="s">
        <x:v>21</x:v>
      </x:c>
      <x:c r="N10162" s="0" t="s">
        <x:v>46</x:v>
      </x:c>
    </x:row>
    <x:row r="10163" spans="1:16">
      <x:c r="A10163" s="0" t="s">
        <x:v>40514</x:v>
      </x:c>
      <x:c r="B10163" s="0" t="s">
        <x:v>40515</x:v>
      </x:c>
      <x:c r="C10163" s="0" t="s">
        <x:v>40516</x:v>
      </x:c>
      <x:c r="E10163" s="0" t="s">
        <x:v>40517</x:v>
      </x:c>
      <x:c r="F10163" s="0" t="s">
        <x:v>45</x:v>
      </x:c>
      <x:c r="G10163" s="0" t="s">
        <x:v>19</x:v>
      </x:c>
      <x:c r="H10163" s="0" t="s">
        <x:v>20</x:v>
      </x:c>
      <x:c r="I10163" s="0" t="s">
        <x:v>21</x:v>
      </x:c>
      <x:c r="K10163" s="0">
        <x:f>hyperlink("https://icd.who.int/dev11/l-ichi/en#/http%3A%2F%2Fid.who.int%2Ficd%2Fentity%2F786165680","browser")</x:f>
      </x:c>
      <x:c r="L10163" s="0">
        <x:f>hyperlink("https://icat2.azurewebsites.net/icat/?ontology=ICD&amp;tab=ClassesTab&amp;id=http%3A%2F%2Fwho.int%2Ficd%2349160_512ebf36_bf6b_4d70_85da_cf2637062af4","iCat")</x:f>
      </x:c>
      <x:c r="M10163" s="0" t="s">
        <x:v>21</x:v>
      </x:c>
      <x:c r="N10163" s="0" t="s">
        <x:v>46</x:v>
      </x:c>
    </x:row>
    <x:row r="10164" spans="1:16">
      <x:c r="A10164" s="0" t="s">
        <x:v>40518</x:v>
      </x:c>
      <x:c r="B10164" s="0" t="s">
        <x:v>40519</x:v>
      </x:c>
      <x:c r="C10164" s="0" t="s">
        <x:v>40520</x:v>
      </x:c>
      <x:c r="E10164" s="0" t="s">
        <x:v>40521</x:v>
      </x:c>
      <x:c r="F10164" s="0" t="s">
        <x:v>45</x:v>
      </x:c>
      <x:c r="G10164" s="0" t="s">
        <x:v>19</x:v>
      </x:c>
      <x:c r="H10164" s="0" t="s">
        <x:v>20</x:v>
      </x:c>
      <x:c r="I10164" s="0" t="s">
        <x:v>21</x:v>
      </x:c>
      <x:c r="K10164" s="0">
        <x:f>hyperlink("https://icd.who.int/dev11/l-ichi/en#/http%3A%2F%2Fid.who.int%2Ficd%2Fentity%2F1582908451","browser")</x:f>
      </x:c>
      <x:c r="L10164" s="0">
        <x:f>hyperlink("https://icat2.azurewebsites.net/icat/?ontology=ICD&amp;tab=ClassesTab&amp;id=http%3A%2F%2Fwho.int%2Ficd%2349167_512ebf36_bf6b_4d70_85da_cf2637062af4","iCat")</x:f>
      </x:c>
      <x:c r="M10164" s="0" t="s">
        <x:v>21</x:v>
      </x:c>
      <x:c r="N10164" s="0" t="s">
        <x:v>46</x:v>
      </x:c>
    </x:row>
    <x:row r="10165" spans="1:16">
      <x:c r="A10165" s="0" t="s">
        <x:v>40522</x:v>
      </x:c>
      <x:c r="B10165" s="0" t="s">
        <x:v>40523</x:v>
      </x:c>
      <x:c r="C10165" s="0" t="s">
        <x:v>40524</x:v>
      </x:c>
      <x:c r="E10165" s="0" t="s">
        <x:v>40525</x:v>
      </x:c>
      <x:c r="F10165" s="0" t="s">
        <x:v>45</x:v>
      </x:c>
      <x:c r="G10165" s="0" t="s">
        <x:v>19</x:v>
      </x:c>
      <x:c r="H10165" s="0" t="s">
        <x:v>20</x:v>
      </x:c>
      <x:c r="I10165" s="0" t="s">
        <x:v>21</x:v>
      </x:c>
      <x:c r="K10165" s="0">
        <x:f>hyperlink("https://icd.who.int/dev11/l-ichi/en#/http%3A%2F%2Fid.who.int%2Ficd%2Fentity%2F1373686961","browser")</x:f>
      </x:c>
      <x:c r="L10165" s="0">
        <x:f>hyperlink("https://icat2.azurewebsites.net/icat/?ontology=ICD&amp;tab=ClassesTab&amp;id=http%3A%2F%2Fwho.int%2Ficd%2349175_512ebf36_bf6b_4d70_85da_cf2637062af4","iCat")</x:f>
      </x:c>
      <x:c r="M10165" s="0" t="s">
        <x:v>21</x:v>
      </x:c>
      <x:c r="N10165" s="0" t="s">
        <x:v>46</x:v>
      </x:c>
    </x:row>
    <x:row r="10166" spans="1:16">
      <x:c r="A10166" s="0" t="s">
        <x:v>40526</x:v>
      </x:c>
      <x:c r="B10166" s="0" t="s">
        <x:v>40527</x:v>
      </x:c>
      <x:c r="C10166" s="0" t="s">
        <x:v>40528</x:v>
      </x:c>
      <x:c r="E10166" s="0" t="s">
        <x:v>40529</x:v>
      </x:c>
      <x:c r="F10166" s="0" t="s">
        <x:v>45</x:v>
      </x:c>
      <x:c r="G10166" s="0" t="s">
        <x:v>19</x:v>
      </x:c>
      <x:c r="H10166" s="0" t="s">
        <x:v>20</x:v>
      </x:c>
      <x:c r="I10166" s="0" t="s">
        <x:v>21</x:v>
      </x:c>
      <x:c r="K10166" s="0">
        <x:f>hyperlink("https://icd.who.int/dev11/l-ichi/en#/http%3A%2F%2Fid.who.int%2Ficd%2Fentity%2F243609060","browser")</x:f>
      </x:c>
      <x:c r="L10166" s="0">
        <x:f>hyperlink("https://icat2.azurewebsites.net/icat/?ontology=ICD&amp;tab=ClassesTab&amp;id=http%3A%2F%2Fwho.int%2Ficd%2349182_512ebf36_bf6b_4d70_85da_cf2637062af4","iCat")</x:f>
      </x:c>
      <x:c r="M10166" s="0" t="s">
        <x:v>21</x:v>
      </x:c>
      <x:c r="N10166" s="0" t="s">
        <x:v>46</x:v>
      </x:c>
    </x:row>
    <x:row r="10167" spans="1:16">
      <x:c r="A10167" s="0" t="s">
        <x:v>40530</x:v>
      </x:c>
      <x:c r="B10167" s="0" t="s">
        <x:v>40531</x:v>
      </x:c>
      <x:c r="C10167" s="0" t="s">
        <x:v>40532</x:v>
      </x:c>
      <x:c r="E10167" s="0" t="s">
        <x:v>40533</x:v>
      </x:c>
      <x:c r="F10167" s="0" t="s">
        <x:v>45</x:v>
      </x:c>
      <x:c r="G10167" s="0" t="s">
        <x:v>19</x:v>
      </x:c>
      <x:c r="H10167" s="0" t="s">
        <x:v>20</x:v>
      </x:c>
      <x:c r="I10167" s="0" t="s">
        <x:v>21</x:v>
      </x:c>
      <x:c r="K10167" s="0">
        <x:f>hyperlink("https://icd.who.int/dev11/l-ichi/en#/http%3A%2F%2Fid.who.int%2Ficd%2Fentity%2F92353358","browser")</x:f>
      </x:c>
      <x:c r="L10167" s="0">
        <x:f>hyperlink("https://icat2.azurewebsites.net/icat/?ontology=ICD&amp;tab=ClassesTab&amp;id=http%3A%2F%2Fwho.int%2Ficd%2349189_512ebf36_bf6b_4d70_85da_cf2637062af4","iCat")</x:f>
      </x:c>
      <x:c r="M10167" s="0" t="s">
        <x:v>21</x:v>
      </x:c>
      <x:c r="N10167" s="0" t="s">
        <x:v>46</x:v>
      </x:c>
    </x:row>
    <x:row r="10168" spans="1:16">
      <x:c r="A10168" s="0" t="s">
        <x:v>40534</x:v>
      </x:c>
      <x:c r="B10168" s="0" t="s">
        <x:v>40535</x:v>
      </x:c>
      <x:c r="C10168" s="0" t="s">
        <x:v>40536</x:v>
      </x:c>
      <x:c r="E10168" s="0" t="s">
        <x:v>40537</x:v>
      </x:c>
      <x:c r="F10168" s="0" t="s">
        <x:v>45</x:v>
      </x:c>
      <x:c r="G10168" s="0" t="s">
        <x:v>19</x:v>
      </x:c>
      <x:c r="H10168" s="0" t="s">
        <x:v>20</x:v>
      </x:c>
      <x:c r="I10168" s="0" t="s">
        <x:v>21</x:v>
      </x:c>
      <x:c r="K10168" s="0">
        <x:f>hyperlink("https://icd.who.int/dev11/l-ichi/en#/http%3A%2F%2Fid.who.int%2Ficd%2Fentity%2F1363639489","browser")</x:f>
      </x:c>
      <x:c r="L10168" s="0">
        <x:f>hyperlink("https://icat2.azurewebsites.net/icat/?ontology=ICD&amp;tab=ClassesTab&amp;id=http%3A%2F%2Fwho.int%2Ficd%2349196_512ebf36_bf6b_4d70_85da_cf2637062af4","iCat")</x:f>
      </x:c>
      <x:c r="M10168" s="0" t="s">
        <x:v>21</x:v>
      </x:c>
      <x:c r="N10168" s="0" t="s">
        <x:v>46</x:v>
      </x:c>
    </x:row>
    <x:row r="10169" spans="1:16">
      <x:c r="A10169" s="0" t="s">
        <x:v>40538</x:v>
      </x:c>
      <x:c r="B10169" s="0" t="s">
        <x:v>40539</x:v>
      </x:c>
      <x:c r="C10169" s="0" t="s">
        <x:v>40540</x:v>
      </x:c>
      <x:c r="E10169" s="0" t="s">
        <x:v>40541</x:v>
      </x:c>
      <x:c r="F10169" s="0" t="s">
        <x:v>45</x:v>
      </x:c>
      <x:c r="G10169" s="0" t="s">
        <x:v>19</x:v>
      </x:c>
      <x:c r="H10169" s="0" t="s">
        <x:v>20</x:v>
      </x:c>
      <x:c r="I10169" s="0" t="s">
        <x:v>21</x:v>
      </x:c>
      <x:c r="K10169" s="0">
        <x:f>hyperlink("https://icd.who.int/dev11/l-ichi/en#/http%3A%2F%2Fid.who.int%2Ficd%2Fentity%2F1343402563","browser")</x:f>
      </x:c>
      <x:c r="L10169" s="0">
        <x:f>hyperlink("https://icat2.azurewebsites.net/icat/?ontology=ICD&amp;tab=ClassesTab&amp;id=http%3A%2F%2Fwho.int%2Ficd%2349203_512ebf36_bf6b_4d70_85da_cf2637062af4","iCat")</x:f>
      </x:c>
      <x:c r="M10169" s="0" t="s">
        <x:v>21</x:v>
      </x:c>
      <x:c r="N10169" s="0" t="s">
        <x:v>46</x:v>
      </x:c>
    </x:row>
    <x:row r="10170" spans="1:16">
      <x:c r="A10170" s="0" t="s">
        <x:v>40542</x:v>
      </x:c>
      <x:c r="B10170" s="0" t="s">
        <x:v>40543</x:v>
      </x:c>
      <x:c r="C10170" s="0" t="s">
        <x:v>40544</x:v>
      </x:c>
      <x:c r="E10170" s="0" t="s">
        <x:v>40545</x:v>
      </x:c>
      <x:c r="F10170" s="0" t="s">
        <x:v>45</x:v>
      </x:c>
      <x:c r="G10170" s="0" t="s">
        <x:v>19</x:v>
      </x:c>
      <x:c r="H10170" s="0" t="s">
        <x:v>20</x:v>
      </x:c>
      <x:c r="I10170" s="0" t="s">
        <x:v>21</x:v>
      </x:c>
      <x:c r="K10170" s="0">
        <x:f>hyperlink("https://icd.who.int/dev11/l-ichi/en#/http%3A%2F%2Fid.who.int%2Ficd%2Fentity%2F2136099053","browser")</x:f>
      </x:c>
      <x:c r="L10170" s="0">
        <x:f>hyperlink("https://icat2.azurewebsites.net/icat/?ontology=ICD&amp;tab=ClassesTab&amp;id=http%3A%2F%2Fwho.int%2Ficd%2349210_512ebf36_bf6b_4d70_85da_cf2637062af4","iCat")</x:f>
      </x:c>
      <x:c r="M10170" s="0" t="s">
        <x:v>21</x:v>
      </x:c>
      <x:c r="N10170" s="0" t="s">
        <x:v>46</x:v>
      </x:c>
    </x:row>
    <x:row r="10171" spans="1:16">
      <x:c r="A10171" s="0" t="s">
        <x:v>40546</x:v>
      </x:c>
      <x:c r="B10171" s="0" t="s">
        <x:v>40547</x:v>
      </x:c>
      <x:c r="C10171" s="0" t="s">
        <x:v>40548</x:v>
      </x:c>
      <x:c r="E10171" s="0" t="s">
        <x:v>40549</x:v>
      </x:c>
      <x:c r="F10171" s="0" t="s">
        <x:v>45</x:v>
      </x:c>
      <x:c r="G10171" s="0" t="s">
        <x:v>19</x:v>
      </x:c>
      <x:c r="H10171" s="0" t="s">
        <x:v>20</x:v>
      </x:c>
      <x:c r="I10171" s="0" t="s">
        <x:v>21</x:v>
      </x:c>
      <x:c r="K10171" s="0">
        <x:f>hyperlink("https://icd.who.int/dev11/l-ichi/en#/http%3A%2F%2Fid.who.int%2Ficd%2Fentity%2F265347938","browser")</x:f>
      </x:c>
      <x:c r="L10171" s="0">
        <x:f>hyperlink("https://icat2.azurewebsites.net/icat/?ontology=ICD&amp;tab=ClassesTab&amp;id=http%3A%2F%2Fwho.int%2Ficd%2349217_512ebf36_bf6b_4d70_85da_cf2637062af4","iCat")</x:f>
      </x:c>
      <x:c r="M10171" s="0" t="s">
        <x:v>21</x:v>
      </x:c>
      <x:c r="N10171" s="0" t="s">
        <x:v>46</x:v>
      </x:c>
    </x:row>
    <x:row r="10172" spans="1:16">
      <x:c r="A10172" s="0" t="s">
        <x:v>40550</x:v>
      </x:c>
      <x:c r="B10172" s="0" t="s">
        <x:v>40551</x:v>
      </x:c>
      <x:c r="C10172" s="0" t="s">
        <x:v>40552</x:v>
      </x:c>
      <x:c r="E10172" s="0" t="s">
        <x:v>40553</x:v>
      </x:c>
      <x:c r="F10172" s="0" t="s">
        <x:v>45</x:v>
      </x:c>
      <x:c r="G10172" s="0" t="s">
        <x:v>19</x:v>
      </x:c>
      <x:c r="H10172" s="0" t="s">
        <x:v>20</x:v>
      </x:c>
      <x:c r="I10172" s="0" t="s">
        <x:v>21</x:v>
      </x:c>
      <x:c r="K10172" s="0">
        <x:f>hyperlink("https://icd.who.int/dev11/l-ichi/en#/http%3A%2F%2Fid.who.int%2Ficd%2Fentity%2F182766752","browser")</x:f>
      </x:c>
      <x:c r="L10172" s="0">
        <x:f>hyperlink("https://icat2.azurewebsites.net/icat/?ontology=ICD&amp;tab=ClassesTab&amp;id=http%3A%2F%2Fwho.int%2Ficd%2349224_512ebf36_bf6b_4d70_85da_cf2637062af4","iCat")</x:f>
      </x:c>
      <x:c r="M10172" s="0" t="s">
        <x:v>21</x:v>
      </x:c>
      <x:c r="N10172" s="0" t="s">
        <x:v>46</x:v>
      </x:c>
    </x:row>
    <x:row r="10173" spans="1:16">
      <x:c r="A10173" s="0" t="s">
        <x:v>40554</x:v>
      </x:c>
      <x:c r="B10173" s="0" t="s">
        <x:v>40555</x:v>
      </x:c>
      <x:c r="C10173" s="0" t="s">
        <x:v>40556</x:v>
      </x:c>
      <x:c r="E10173" s="0" t="s">
        <x:v>40557</x:v>
      </x:c>
      <x:c r="F10173" s="0" t="s">
        <x:v>45</x:v>
      </x:c>
      <x:c r="G10173" s="0" t="s">
        <x:v>19</x:v>
      </x:c>
      <x:c r="H10173" s="0" t="s">
        <x:v>20</x:v>
      </x:c>
      <x:c r="I10173" s="0" t="s">
        <x:v>21</x:v>
      </x:c>
      <x:c r="K10173" s="0">
        <x:f>hyperlink("https://icd.who.int/dev11/l-ichi/en#/http%3A%2F%2Fid.who.int%2Ficd%2Fentity%2F1977610113","browser")</x:f>
      </x:c>
      <x:c r="L10173" s="0">
        <x:f>hyperlink("https://icat2.azurewebsites.net/icat/?ontology=ICD&amp;tab=ClassesTab&amp;id=http%3A%2F%2Fwho.int%2Ficd%2349231_512ebf36_bf6b_4d70_85da_cf2637062af4","iCat")</x:f>
      </x:c>
      <x:c r="M10173" s="0" t="s">
        <x:v>21</x:v>
      </x:c>
      <x:c r="N10173" s="0" t="s">
        <x:v>46</x:v>
      </x:c>
    </x:row>
    <x:row r="10174" spans="1:16">
      <x:c r="A10174" s="0" t="s">
        <x:v>40558</x:v>
      </x:c>
      <x:c r="B10174" s="0" t="s">
        <x:v>40559</x:v>
      </x:c>
      <x:c r="C10174" s="0" t="s">
        <x:v>40560</x:v>
      </x:c>
      <x:c r="E10174" s="0" t="s">
        <x:v>40561</x:v>
      </x:c>
      <x:c r="F10174" s="0" t="s">
        <x:v>45</x:v>
      </x:c>
      <x:c r="G10174" s="0" t="s">
        <x:v>19</x:v>
      </x:c>
      <x:c r="H10174" s="0" t="s">
        <x:v>20</x:v>
      </x:c>
      <x:c r="I10174" s="0" t="s">
        <x:v>21</x:v>
      </x:c>
      <x:c r="K10174" s="0">
        <x:f>hyperlink("https://icd.who.int/dev11/l-ichi/en#/http%3A%2F%2Fid.who.int%2Ficd%2Fentity%2F463989992","browser")</x:f>
      </x:c>
      <x:c r="L10174" s="0">
        <x:f>hyperlink("https://icat2.azurewebsites.net/icat/?ontology=ICD&amp;tab=ClassesTab&amp;id=http%3A%2F%2Fwho.int%2Ficd%2349238_512ebf36_bf6b_4d70_85da_cf2637062af4","iCat")</x:f>
      </x:c>
      <x:c r="M10174" s="0" t="s">
        <x:v>21</x:v>
      </x:c>
      <x:c r="N10174" s="0" t="s">
        <x:v>46</x:v>
      </x:c>
    </x:row>
    <x:row r="10175" spans="1:16">
      <x:c r="A10175" s="0" t="s">
        <x:v>40562</x:v>
      </x:c>
      <x:c r="B10175" s="0" t="s">
        <x:v>40563</x:v>
      </x:c>
      <x:c r="C10175" s="0" t="s">
        <x:v>40564</x:v>
      </x:c>
      <x:c r="E10175" s="0" t="s">
        <x:v>40565</x:v>
      </x:c>
      <x:c r="F10175" s="0" t="s">
        <x:v>45</x:v>
      </x:c>
      <x:c r="G10175" s="0" t="s">
        <x:v>19</x:v>
      </x:c>
      <x:c r="H10175" s="0" t="s">
        <x:v>20</x:v>
      </x:c>
      <x:c r="I10175" s="0" t="s">
        <x:v>21</x:v>
      </x:c>
      <x:c r="K10175" s="0">
        <x:f>hyperlink("https://icd.who.int/dev11/l-ichi/en#/http%3A%2F%2Fid.who.int%2Ficd%2Fentity%2F1879980271","browser")</x:f>
      </x:c>
      <x:c r="L10175" s="0">
        <x:f>hyperlink("https://icat2.azurewebsites.net/icat/?ontology=ICD&amp;tab=ClassesTab&amp;id=http%3A%2F%2Fwho.int%2Ficd%2349245_512ebf36_bf6b_4d70_85da_cf2637062af4","iCat")</x:f>
      </x:c>
      <x:c r="M10175" s="0" t="s">
        <x:v>21</x:v>
      </x:c>
      <x:c r="N10175" s="0" t="s">
        <x:v>46</x:v>
      </x:c>
    </x:row>
    <x:row r="10176" spans="1:16">
      <x:c r="A10176" s="0" t="s">
        <x:v>40566</x:v>
      </x:c>
      <x:c r="B10176" s="0" t="s">
        <x:v>40567</x:v>
      </x:c>
      <x:c r="C10176" s="0" t="s">
        <x:v>40568</x:v>
      </x:c>
      <x:c r="E10176" s="0" t="s">
        <x:v>40569</x:v>
      </x:c>
      <x:c r="F10176" s="0" t="s">
        <x:v>45</x:v>
      </x:c>
      <x:c r="G10176" s="0" t="s">
        <x:v>19</x:v>
      </x:c>
      <x:c r="H10176" s="0" t="s">
        <x:v>20</x:v>
      </x:c>
      <x:c r="I10176" s="0" t="s">
        <x:v>21</x:v>
      </x:c>
      <x:c r="K10176" s="0">
        <x:f>hyperlink("https://icd.who.int/dev11/l-ichi/en#/http%3A%2F%2Fid.who.int%2Ficd%2Fentity%2F1783170613","browser")</x:f>
      </x:c>
      <x:c r="L10176" s="0">
        <x:f>hyperlink("https://icat2.azurewebsites.net/icat/?ontology=ICD&amp;tab=ClassesTab&amp;id=http%3A%2F%2Fwho.int%2Ficd%2349252_512ebf36_bf6b_4d70_85da_cf2637062af4","iCat")</x:f>
      </x:c>
      <x:c r="M10176" s="0" t="s">
        <x:v>21</x:v>
      </x:c>
      <x:c r="N10176" s="0" t="s">
        <x:v>46</x:v>
      </x:c>
    </x:row>
    <x:row r="10177" spans="1:16">
      <x:c r="A10177" s="0" t="s">
        <x:v>40570</x:v>
      </x:c>
      <x:c r="B10177" s="0" t="s">
        <x:v>40571</x:v>
      </x:c>
      <x:c r="C10177" s="0" t="s">
        <x:v>40572</x:v>
      </x:c>
      <x:c r="E10177" s="0" t="s">
        <x:v>40573</x:v>
      </x:c>
      <x:c r="F10177" s="0" t="s">
        <x:v>45</x:v>
      </x:c>
      <x:c r="G10177" s="0" t="s">
        <x:v>19</x:v>
      </x:c>
      <x:c r="H10177" s="0" t="s">
        <x:v>20</x:v>
      </x:c>
      <x:c r="I10177" s="0" t="s">
        <x:v>21</x:v>
      </x:c>
      <x:c r="K10177" s="0">
        <x:f>hyperlink("https://icd.who.int/dev11/l-ichi/en#/http%3A%2F%2Fid.who.int%2Ficd%2Fentity%2F1632442521","browser")</x:f>
      </x:c>
      <x:c r="L10177" s="0">
        <x:f>hyperlink("https://icat2.azurewebsites.net/icat/?ontology=ICD&amp;tab=ClassesTab&amp;id=http%3A%2F%2Fwho.int%2Ficd%2349259_512ebf36_bf6b_4d70_85da_cf2637062af4","iCat")</x:f>
      </x:c>
      <x:c r="M10177" s="0" t="s">
        <x:v>21</x:v>
      </x:c>
      <x:c r="N10177" s="0" t="s">
        <x:v>46</x:v>
      </x:c>
    </x:row>
    <x:row r="10178" spans="1:16">
      <x:c r="A10178" s="0" t="s">
        <x:v>40574</x:v>
      </x:c>
      <x:c r="B10178" s="0" t="s">
        <x:v>40575</x:v>
      </x:c>
      <x:c r="C10178" s="0" t="s">
        <x:v>40576</x:v>
      </x:c>
      <x:c r="E10178" s="0" t="s">
        <x:v>40577</x:v>
      </x:c>
      <x:c r="F10178" s="0" t="s">
        <x:v>45</x:v>
      </x:c>
      <x:c r="G10178" s="0" t="s">
        <x:v>19</x:v>
      </x:c>
      <x:c r="H10178" s="0" t="s">
        <x:v>20</x:v>
      </x:c>
      <x:c r="I10178" s="0" t="s">
        <x:v>21</x:v>
      </x:c>
      <x:c r="K10178" s="0">
        <x:f>hyperlink("https://icd.who.int/dev11/l-ichi/en#/http%3A%2F%2Fid.who.int%2Ficd%2Fentity%2F853098401","browser")</x:f>
      </x:c>
      <x:c r="L10178" s="0">
        <x:f>hyperlink("https://icat2.azurewebsites.net/icat/?ontology=ICD&amp;tab=ClassesTab&amp;id=http%3A%2F%2Fwho.int%2Ficd%23581_e87d5413_a3ef_41e3_b1c4_bdb20d4d591d","iCat")</x:f>
      </x:c>
      <x:c r="M10178" s="0" t="s">
        <x:v>21</x:v>
      </x:c>
      <x:c r="N10178" s="0" t="s">
        <x:v>46</x:v>
      </x:c>
    </x:row>
    <x:row r="10179" spans="1:16">
      <x:c r="A10179" s="0" t="s">
        <x:v>40578</x:v>
      </x:c>
      <x:c r="B10179" s="0" t="s">
        <x:v>40579</x:v>
      </x:c>
      <x:c r="C10179" s="0" t="s">
        <x:v>40580</x:v>
      </x:c>
      <x:c r="E10179" s="0" t="s">
        <x:v>40581</x:v>
      </x:c>
      <x:c r="F10179" s="0" t="s">
        <x:v>45</x:v>
      </x:c>
      <x:c r="G10179" s="0" t="s">
        <x:v>19</x:v>
      </x:c>
      <x:c r="H10179" s="0" t="s">
        <x:v>20</x:v>
      </x:c>
      <x:c r="I10179" s="0" t="s">
        <x:v>21</x:v>
      </x:c>
      <x:c r="K10179" s="0">
        <x:f>hyperlink("https://icd.who.int/dev11/l-ichi/en#/http%3A%2F%2Fid.who.int%2Ficd%2Fentity%2F536838728","browser")</x:f>
      </x:c>
      <x:c r="L10179" s="0">
        <x:f>hyperlink("https://icat2.azurewebsites.net/icat/?ontology=ICD&amp;tab=ClassesTab&amp;id=http%3A%2F%2Fwho.int%2Ficd%2349266_512ebf36_bf6b_4d70_85da_cf2637062af4","iCat")</x:f>
      </x:c>
      <x:c r="M10179" s="0" t="s">
        <x:v>21</x:v>
      </x:c>
      <x:c r="N10179" s="0" t="s">
        <x:v>46</x:v>
      </x:c>
    </x:row>
    <x:row r="10180" spans="1:16">
      <x:c r="A10180" s="0" t="s">
        <x:v>40582</x:v>
      </x:c>
      <x:c r="B10180" s="0" t="s">
        <x:v>40583</x:v>
      </x:c>
      <x:c r="C10180" s="0" t="s">
        <x:v>40584</x:v>
      </x:c>
      <x:c r="E10180" s="0" t="s">
        <x:v>40585</x:v>
      </x:c>
      <x:c r="F10180" s="0" t="s">
        <x:v>45</x:v>
      </x:c>
      <x:c r="G10180" s="0" t="s">
        <x:v>19</x:v>
      </x:c>
      <x:c r="H10180" s="0" t="s">
        <x:v>20</x:v>
      </x:c>
      <x:c r="I10180" s="0" t="s">
        <x:v>21</x:v>
      </x:c>
      <x:c r="K10180" s="0">
        <x:f>hyperlink("https://icd.who.int/dev11/l-ichi/en#/http%3A%2F%2Fid.who.int%2Ficd%2Fentity%2F1623499097","browser")</x:f>
      </x:c>
      <x:c r="L10180" s="0">
        <x:f>hyperlink("https://icat2.azurewebsites.net/icat/?ontology=ICD&amp;tab=ClassesTab&amp;id=http%3A%2F%2Fwho.int%2Ficd%2349273_512ebf36_bf6b_4d70_85da_cf2637062af4","iCat")</x:f>
      </x:c>
      <x:c r="M10180" s="0" t="s">
        <x:v>21</x:v>
      </x:c>
      <x:c r="N10180" s="0" t="s">
        <x:v>46</x:v>
      </x:c>
    </x:row>
    <x:row r="10181" spans="1:16">
      <x:c r="A10181" s="0" t="s">
        <x:v>40586</x:v>
      </x:c>
      <x:c r="B10181" s="0" t="s">
        <x:v>40587</x:v>
      </x:c>
      <x:c r="C10181" s="0" t="s">
        <x:v>40588</x:v>
      </x:c>
      <x:c r="E10181" s="0" t="s">
        <x:v>40589</x:v>
      </x:c>
      <x:c r="F10181" s="0" t="s">
        <x:v>45</x:v>
      </x:c>
      <x:c r="G10181" s="0" t="s">
        <x:v>19</x:v>
      </x:c>
      <x:c r="H10181" s="0" t="s">
        <x:v>20</x:v>
      </x:c>
      <x:c r="I10181" s="0" t="s">
        <x:v>21</x:v>
      </x:c>
      <x:c r="K10181" s="0">
        <x:f>hyperlink("https://icd.who.int/dev11/l-ichi/en#/http%3A%2F%2Fid.who.int%2Ficd%2Fentity%2F178685054","browser")</x:f>
      </x:c>
      <x:c r="L10181" s="0">
        <x:f>hyperlink("https://icat2.azurewebsites.net/icat/?ontology=ICD&amp;tab=ClassesTab&amp;id=http%3A%2F%2Fwho.int%2Ficd%2349280_512ebf36_bf6b_4d70_85da_cf2637062af4","iCat")</x:f>
      </x:c>
      <x:c r="M10181" s="0" t="s">
        <x:v>21</x:v>
      </x:c>
      <x:c r="N10181" s="0" t="s">
        <x:v>46</x:v>
      </x:c>
    </x:row>
    <x:row r="10182" spans="1:16">
      <x:c r="A10182" s="0" t="s">
        <x:v>40590</x:v>
      </x:c>
      <x:c r="B10182" s="0" t="s">
        <x:v>40591</x:v>
      </x:c>
      <x:c r="C10182" s="0" t="s">
        <x:v>40592</x:v>
      </x:c>
      <x:c r="E10182" s="0" t="s">
        <x:v>40593</x:v>
      </x:c>
      <x:c r="F10182" s="0" t="s">
        <x:v>45</x:v>
      </x:c>
      <x:c r="G10182" s="0" t="s">
        <x:v>19</x:v>
      </x:c>
      <x:c r="H10182" s="0" t="s">
        <x:v>20</x:v>
      </x:c>
      <x:c r="I10182" s="0" t="s">
        <x:v>21</x:v>
      </x:c>
      <x:c r="K10182" s="0">
        <x:f>hyperlink("https://icd.who.int/dev11/l-ichi/en#/http%3A%2F%2Fid.who.int%2Ficd%2Fentity%2F2049191923","browser")</x:f>
      </x:c>
      <x:c r="L10182" s="0">
        <x:f>hyperlink("https://icat2.azurewebsites.net/icat/?ontology=ICD&amp;tab=ClassesTab&amp;id=http%3A%2F%2Fwho.int%2Ficd%2349287_512ebf36_bf6b_4d70_85da_cf2637062af4","iCat")</x:f>
      </x:c>
      <x:c r="M10182" s="0" t="s">
        <x:v>21</x:v>
      </x:c>
      <x:c r="N10182" s="0" t="s">
        <x:v>46</x:v>
      </x:c>
    </x:row>
    <x:row r="10183" spans="1:16">
      <x:c r="A10183" s="0" t="s">
        <x:v>40594</x:v>
      </x:c>
      <x:c r="B10183" s="0" t="s">
        <x:v>40595</x:v>
      </x:c>
      <x:c r="C10183" s="0" t="s">
        <x:v>40596</x:v>
      </x:c>
      <x:c r="E10183" s="0" t="s">
        <x:v>40597</x:v>
      </x:c>
      <x:c r="F10183" s="0" t="s">
        <x:v>45</x:v>
      </x:c>
      <x:c r="G10183" s="0" t="s">
        <x:v>19</x:v>
      </x:c>
      <x:c r="H10183" s="0" t="s">
        <x:v>20</x:v>
      </x:c>
      <x:c r="I10183" s="0" t="s">
        <x:v>21</x:v>
      </x:c>
      <x:c r="K10183" s="0">
        <x:f>hyperlink("https://icd.who.int/dev11/l-ichi/en#/http%3A%2F%2Fid.who.int%2Ficd%2Fentity%2F1432671581","browser")</x:f>
      </x:c>
      <x:c r="L10183" s="0">
        <x:f>hyperlink("https://icat2.azurewebsites.net/icat/?ontology=ICD&amp;tab=ClassesTab&amp;id=http%3A%2F%2Fwho.int%2Ficd%2349294_512ebf36_bf6b_4d70_85da_cf2637062af4","iCat")</x:f>
      </x:c>
      <x:c r="M10183" s="0" t="s">
        <x:v>21</x:v>
      </x:c>
      <x:c r="N10183" s="0" t="s">
        <x:v>46</x:v>
      </x:c>
    </x:row>
    <x:row r="10184" spans="1:16">
      <x:c r="A10184" s="0" t="s">
        <x:v>40598</x:v>
      </x:c>
      <x:c r="B10184" s="0" t="s">
        <x:v>40599</x:v>
      </x:c>
      <x:c r="C10184" s="0" t="s">
        <x:v>40600</x:v>
      </x:c>
      <x:c r="E10184" s="0" t="s">
        <x:v>40601</x:v>
      </x:c>
      <x:c r="F10184" s="0" t="s">
        <x:v>45</x:v>
      </x:c>
      <x:c r="G10184" s="0" t="s">
        <x:v>19</x:v>
      </x:c>
      <x:c r="H10184" s="0" t="s">
        <x:v>20</x:v>
      </x:c>
      <x:c r="I10184" s="0" t="s">
        <x:v>21</x:v>
      </x:c>
      <x:c r="K10184" s="0">
        <x:f>hyperlink("https://icd.who.int/dev11/l-ichi/en#/http%3A%2F%2Fid.who.int%2Ficd%2Fentity%2F1089562907","browser")</x:f>
      </x:c>
      <x:c r="L10184" s="0">
        <x:f>hyperlink("https://icat2.azurewebsites.net/icat/?ontology=ICD&amp;tab=ClassesTab&amp;id=http%3A%2F%2Fwho.int%2Ficd%2349301_512ebf36_bf6b_4d70_85da_cf2637062af4","iCat")</x:f>
      </x:c>
      <x:c r="M10184" s="0" t="s">
        <x:v>21</x:v>
      </x:c>
      <x:c r="N10184" s="0" t="s">
        <x:v>46</x:v>
      </x:c>
    </x:row>
    <x:row r="10185" spans="1:16">
      <x:c r="A10185" s="0" t="s">
        <x:v>40602</x:v>
      </x:c>
      <x:c r="B10185" s="0" t="s">
        <x:v>40603</x:v>
      </x:c>
      <x:c r="C10185" s="0" t="s">
        <x:v>40604</x:v>
      </x:c>
      <x:c r="E10185" s="0" t="s">
        <x:v>40605</x:v>
      </x:c>
      <x:c r="F10185" s="0" t="s">
        <x:v>45</x:v>
      </x:c>
      <x:c r="G10185" s="0" t="s">
        <x:v>19</x:v>
      </x:c>
      <x:c r="H10185" s="0" t="s">
        <x:v>20</x:v>
      </x:c>
      <x:c r="I10185" s="0" t="s">
        <x:v>21</x:v>
      </x:c>
      <x:c r="K10185" s="0">
        <x:f>hyperlink("https://icd.who.int/dev11/l-ichi/en#/http%3A%2F%2Fid.who.int%2Ficd%2Fentity%2F780757620","browser")</x:f>
      </x:c>
      <x:c r="L10185" s="0">
        <x:f>hyperlink("https://icat2.azurewebsites.net/icat/?ontology=ICD&amp;tab=ClassesTab&amp;id=http%3A%2F%2Fwho.int%2Ficd%2349308_512ebf36_bf6b_4d70_85da_cf2637062af4","iCat")</x:f>
      </x:c>
      <x:c r="M10185" s="0" t="s">
        <x:v>21</x:v>
      </x:c>
      <x:c r="N10185" s="0" t="s">
        <x:v>46</x:v>
      </x:c>
    </x:row>
    <x:row r="10186" spans="1:16">
      <x:c r="A10186" s="0" t="s">
        <x:v>40606</x:v>
      </x:c>
      <x:c r="B10186" s="0" t="s">
        <x:v>40607</x:v>
      </x:c>
      <x:c r="C10186" s="0" t="s">
        <x:v>40608</x:v>
      </x:c>
      <x:c r="E10186" s="0" t="s">
        <x:v>40609</x:v>
      </x:c>
      <x:c r="F10186" s="0" t="s">
        <x:v>45</x:v>
      </x:c>
      <x:c r="G10186" s="0" t="s">
        <x:v>19</x:v>
      </x:c>
      <x:c r="H10186" s="0" t="s">
        <x:v>20</x:v>
      </x:c>
      <x:c r="I10186" s="0" t="s">
        <x:v>21</x:v>
      </x:c>
      <x:c r="K10186" s="0">
        <x:f>hyperlink("https://icd.who.int/dev11/l-ichi/en#/http%3A%2F%2Fid.who.int%2Ficd%2Fentity%2F523450426","browser")</x:f>
      </x:c>
      <x:c r="L10186" s="0">
        <x:f>hyperlink("https://icat2.azurewebsites.net/icat/?ontology=ICD&amp;tab=ClassesTab&amp;id=http%3A%2F%2Fwho.int%2Ficd%2349315_512ebf36_bf6b_4d70_85da_cf2637062af4","iCat")</x:f>
      </x:c>
      <x:c r="M10186" s="0" t="s">
        <x:v>21</x:v>
      </x:c>
      <x:c r="N10186" s="0" t="s">
        <x:v>46</x:v>
      </x:c>
    </x:row>
    <x:row r="10187" spans="1:16">
      <x:c r="A10187" s="0" t="s">
        <x:v>40610</x:v>
      </x:c>
      <x:c r="B10187" s="0" t="s">
        <x:v>40611</x:v>
      </x:c>
      <x:c r="C10187" s="0" t="s">
        <x:v>40612</x:v>
      </x:c>
      <x:c r="E10187" s="0" t="s">
        <x:v>40613</x:v>
      </x:c>
      <x:c r="F10187" s="0" t="s">
        <x:v>45</x:v>
      </x:c>
      <x:c r="G10187" s="0" t="s">
        <x:v>19</x:v>
      </x:c>
      <x:c r="H10187" s="0" t="s">
        <x:v>20</x:v>
      </x:c>
      <x:c r="I10187" s="0" t="s">
        <x:v>21</x:v>
      </x:c>
      <x:c r="K10187" s="0">
        <x:f>hyperlink("https://icd.who.int/dev11/l-ichi/en#/http%3A%2F%2Fid.who.int%2Ficd%2Fentity%2F788583346","browser")</x:f>
      </x:c>
      <x:c r="L10187" s="0">
        <x:f>hyperlink("https://icat2.azurewebsites.net/icat/?ontology=ICD&amp;tab=ClassesTab&amp;id=http%3A%2F%2Fwho.int%2Ficd%2349322_512ebf36_bf6b_4d70_85da_cf2637062af4","iCat")</x:f>
      </x:c>
      <x:c r="M10187" s="0" t="s">
        <x:v>21</x:v>
      </x:c>
      <x:c r="N10187" s="0" t="s">
        <x:v>46</x:v>
      </x:c>
    </x:row>
    <x:row r="10188" spans="1:16">
      <x:c r="A10188" s="0" t="s">
        <x:v>40614</x:v>
      </x:c>
      <x:c r="B10188" s="0" t="s">
        <x:v>40615</x:v>
      </x:c>
      <x:c r="C10188" s="0" t="s">
        <x:v>40616</x:v>
      </x:c>
      <x:c r="E10188" s="0" t="s">
        <x:v>40617</x:v>
      </x:c>
      <x:c r="F10188" s="0" t="s">
        <x:v>45</x:v>
      </x:c>
      <x:c r="G10188" s="0" t="s">
        <x:v>19</x:v>
      </x:c>
      <x:c r="H10188" s="0" t="s">
        <x:v>20</x:v>
      </x:c>
      <x:c r="I10188" s="0" t="s">
        <x:v>21</x:v>
      </x:c>
      <x:c r="K10188" s="0">
        <x:f>hyperlink("https://icd.who.int/dev11/l-ichi/en#/http%3A%2F%2Fid.who.int%2Ficd%2Fentity%2F604294432","browser")</x:f>
      </x:c>
      <x:c r="L10188" s="0">
        <x:f>hyperlink("https://icat2.azurewebsites.net/icat/?ontology=ICD&amp;tab=ClassesTab&amp;id=http%3A%2F%2Fwho.int%2Ficd%2349329_512ebf36_bf6b_4d70_85da_cf2637062af4","iCat")</x:f>
      </x:c>
      <x:c r="M10188" s="0" t="s">
        <x:v>21</x:v>
      </x:c>
      <x:c r="N10188" s="0" t="s">
        <x:v>46</x:v>
      </x:c>
    </x:row>
    <x:row r="10189" spans="1:16">
      <x:c r="A10189" s="0" t="s">
        <x:v>40618</x:v>
      </x:c>
      <x:c r="B10189" s="0" t="s">
        <x:v>40619</x:v>
      </x:c>
      <x:c r="C10189" s="0" t="s">
        <x:v>40620</x:v>
      </x:c>
      <x:c r="E10189" s="0" t="s">
        <x:v>40621</x:v>
      </x:c>
      <x:c r="F10189" s="0" t="s">
        <x:v>45</x:v>
      </x:c>
      <x:c r="G10189" s="0" t="s">
        <x:v>19</x:v>
      </x:c>
      <x:c r="H10189" s="0" t="s">
        <x:v>20</x:v>
      </x:c>
      <x:c r="I10189" s="0" t="s">
        <x:v>21</x:v>
      </x:c>
      <x:c r="K10189" s="0">
        <x:f>hyperlink("https://icd.who.int/dev11/l-ichi/en#/http%3A%2F%2Fid.who.int%2Ficd%2Fentity%2F1891795601","browser")</x:f>
      </x:c>
      <x:c r="L10189" s="0">
        <x:f>hyperlink("https://icat2.azurewebsites.net/icat/?ontology=ICD&amp;tab=ClassesTab&amp;id=http%3A%2F%2Fwho.int%2Ficd%2349336_512ebf36_bf6b_4d70_85da_cf2637062af4","iCat")</x:f>
      </x:c>
      <x:c r="M10189" s="0" t="s">
        <x:v>21</x:v>
      </x:c>
      <x:c r="N10189" s="0" t="s">
        <x:v>46</x:v>
      </x:c>
    </x:row>
    <x:row r="10190" spans="1:16">
      <x:c r="A10190" s="0" t="s">
        <x:v>40622</x:v>
      </x:c>
      <x:c r="B10190" s="0" t="s">
        <x:v>40623</x:v>
      </x:c>
      <x:c r="C10190" s="0" t="s">
        <x:v>40624</x:v>
      </x:c>
      <x:c r="E10190" s="0" t="s">
        <x:v>40625</x:v>
      </x:c>
      <x:c r="F10190" s="0" t="s">
        <x:v>45</x:v>
      </x:c>
      <x:c r="G10190" s="0" t="s">
        <x:v>19</x:v>
      </x:c>
      <x:c r="H10190" s="0" t="s">
        <x:v>20</x:v>
      </x:c>
      <x:c r="I10190" s="0" t="s">
        <x:v>21</x:v>
      </x:c>
      <x:c r="K10190" s="0">
        <x:f>hyperlink("https://icd.who.int/dev11/l-ichi/en#/http%3A%2F%2Fid.who.int%2Ficd%2Fentity%2F1441408963","browser")</x:f>
      </x:c>
      <x:c r="L10190" s="0">
        <x:f>hyperlink("https://icat2.azurewebsites.net/icat/?ontology=ICD&amp;tab=ClassesTab&amp;id=http%3A%2F%2Fwho.int%2Ficd%2349343_512ebf36_bf6b_4d70_85da_cf2637062af4","iCat")</x:f>
      </x:c>
      <x:c r="M10190" s="0" t="s">
        <x:v>21</x:v>
      </x:c>
      <x:c r="N10190" s="0" t="s">
        <x:v>46</x:v>
      </x:c>
    </x:row>
    <x:row r="10191" spans="1:16">
      <x:c r="A10191" s="0" t="s">
        <x:v>40626</x:v>
      </x:c>
      <x:c r="B10191" s="0" t="s">
        <x:v>40627</x:v>
      </x:c>
      <x:c r="C10191" s="0" t="s">
        <x:v>40628</x:v>
      </x:c>
      <x:c r="E10191" s="0" t="s">
        <x:v>40629</x:v>
      </x:c>
      <x:c r="F10191" s="0" t="s">
        <x:v>45</x:v>
      </x:c>
      <x:c r="G10191" s="0" t="s">
        <x:v>19</x:v>
      </x:c>
      <x:c r="H10191" s="0" t="s">
        <x:v>20</x:v>
      </x:c>
      <x:c r="I10191" s="0" t="s">
        <x:v>21</x:v>
      </x:c>
      <x:c r="K10191" s="0">
        <x:f>hyperlink("https://icd.who.int/dev11/l-ichi/en#/http%3A%2F%2Fid.who.int%2Ficd%2Fentity%2F2058018157","browser")</x:f>
      </x:c>
      <x:c r="L10191" s="0">
        <x:f>hyperlink("https://icat2.azurewebsites.net/icat/?ontology=ICD&amp;tab=ClassesTab&amp;id=http%3A%2F%2Fwho.int%2Ficd%2349350_512ebf36_bf6b_4d70_85da_cf2637062af4","iCat")</x:f>
      </x:c>
      <x:c r="M10191" s="0" t="s">
        <x:v>21</x:v>
      </x:c>
      <x:c r="N10191" s="0" t="s">
        <x:v>46</x:v>
      </x:c>
    </x:row>
    <x:row r="10192" spans="1:16">
      <x:c r="A10192" s="0" t="s">
        <x:v>40630</x:v>
      </x:c>
      <x:c r="B10192" s="0" t="s">
        <x:v>40631</x:v>
      </x:c>
      <x:c r="C10192" s="0" t="s">
        <x:v>40632</x:v>
      </x:c>
      <x:c r="E10192" s="0" t="s">
        <x:v>40633</x:v>
      </x:c>
      <x:c r="F10192" s="0" t="s">
        <x:v>45</x:v>
      </x:c>
      <x:c r="G10192" s="0" t="s">
        <x:v>19</x:v>
      </x:c>
      <x:c r="H10192" s="0" t="s">
        <x:v>20</x:v>
      </x:c>
      <x:c r="I10192" s="0" t="s">
        <x:v>21</x:v>
      </x:c>
      <x:c r="K10192" s="0">
        <x:f>hyperlink("https://icd.who.int/dev11/l-ichi/en#/http%3A%2F%2Fid.who.int%2Ficd%2Fentity%2F170424034","browser")</x:f>
      </x:c>
      <x:c r="L10192" s="0">
        <x:f>hyperlink("https://icat2.azurewebsites.net/icat/?ontology=ICD&amp;tab=ClassesTab&amp;id=http%3A%2F%2Fwho.int%2Ficd%2349357_512ebf36_bf6b_4d70_85da_cf2637062af4","iCat")</x:f>
      </x:c>
      <x:c r="M10192" s="0" t="s">
        <x:v>21</x:v>
      </x:c>
      <x:c r="N10192" s="0" t="s">
        <x:v>46</x:v>
      </x:c>
    </x:row>
    <x:row r="10193" spans="1:16">
      <x:c r="A10193" s="0" t="s">
        <x:v>40634</x:v>
      </x:c>
      <x:c r="B10193" s="0" t="s">
        <x:v>40635</x:v>
      </x:c>
      <x:c r="C10193" s="0" t="s">
        <x:v>40636</x:v>
      </x:c>
      <x:c r="E10193" s="0" t="s">
        <x:v>40637</x:v>
      </x:c>
      <x:c r="F10193" s="0" t="s">
        <x:v>45</x:v>
      </x:c>
      <x:c r="G10193" s="0" t="s">
        <x:v>19</x:v>
      </x:c>
      <x:c r="H10193" s="0" t="s">
        <x:v>20</x:v>
      </x:c>
      <x:c r="I10193" s="0" t="s">
        <x:v>21</x:v>
      </x:c>
      <x:c r="K10193" s="0">
        <x:f>hyperlink("https://icd.who.int/dev11/l-ichi/en#/http%3A%2F%2Fid.who.int%2Ficd%2Fentity%2F253516064","browser")</x:f>
      </x:c>
      <x:c r="L10193" s="0">
        <x:f>hyperlink("https://icat2.azurewebsites.net/icat/?ontology=ICD&amp;tab=ClassesTab&amp;id=http%3A%2F%2Fwho.int%2Ficd%2349364_512ebf36_bf6b_4d70_85da_cf2637062af4","iCat")</x:f>
      </x:c>
      <x:c r="M10193" s="0" t="s">
        <x:v>21</x:v>
      </x:c>
      <x:c r="N10193" s="0" t="s">
        <x:v>46</x:v>
      </x:c>
    </x:row>
    <x:row r="10194" spans="1:16">
      <x:c r="A10194" s="0" t="s">
        <x:v>40638</x:v>
      </x:c>
      <x:c r="B10194" s="0" t="s">
        <x:v>40639</x:v>
      </x:c>
      <x:c r="C10194" s="0" t="s">
        <x:v>40640</x:v>
      </x:c>
      <x:c r="E10194" s="0" t="s">
        <x:v>40641</x:v>
      </x:c>
      <x:c r="F10194" s="0" t="s">
        <x:v>45</x:v>
      </x:c>
      <x:c r="G10194" s="0" t="s">
        <x:v>19</x:v>
      </x:c>
      <x:c r="H10194" s="0" t="s">
        <x:v>20</x:v>
      </x:c>
      <x:c r="I10194" s="0" t="s">
        <x:v>21</x:v>
      </x:c>
      <x:c r="K10194" s="0">
        <x:f>hyperlink("https://icd.who.int/dev11/l-ichi/en#/http%3A%2F%2Fid.who.int%2Ficd%2Fentity%2F1881635329","browser")</x:f>
      </x:c>
      <x:c r="L10194" s="0">
        <x:f>hyperlink("https://icat2.azurewebsites.net/icat/?ontology=ICD&amp;tab=ClassesTab&amp;id=http%3A%2F%2Fwho.int%2Ficd%2349371_512ebf36_bf6b_4d70_85da_cf2637062af4","iCat")</x:f>
      </x:c>
      <x:c r="M10194" s="0" t="s">
        <x:v>21</x:v>
      </x:c>
      <x:c r="N10194" s="0" t="s">
        <x:v>46</x:v>
      </x:c>
    </x:row>
    <x:row r="10195" spans="1:16">
      <x:c r="A10195" s="0" t="s">
        <x:v>40642</x:v>
      </x:c>
      <x:c r="B10195" s="0" t="s">
        <x:v>40643</x:v>
      </x:c>
      <x:c r="C10195" s="0" t="s">
        <x:v>40644</x:v>
      </x:c>
      <x:c r="E10195" s="0" t="s">
        <x:v>40645</x:v>
      </x:c>
      <x:c r="F10195" s="0" t="s">
        <x:v>45</x:v>
      </x:c>
      <x:c r="G10195" s="0" t="s">
        <x:v>19</x:v>
      </x:c>
      <x:c r="H10195" s="0" t="s">
        <x:v>20</x:v>
      </x:c>
      <x:c r="I10195" s="0" t="s">
        <x:v>21</x:v>
      </x:c>
      <x:c r="K10195" s="0">
        <x:f>hyperlink("https://icd.who.int/dev11/l-ichi/en#/http%3A%2F%2Fid.who.int%2Ficd%2Fentity%2F509573480","browser")</x:f>
      </x:c>
      <x:c r="L10195" s="0">
        <x:f>hyperlink("https://icat2.azurewebsites.net/icat/?ontology=ICD&amp;tab=ClassesTab&amp;id=http%3A%2F%2Fwho.int%2Ficd%2349378_512ebf36_bf6b_4d70_85da_cf2637062af4","iCat")</x:f>
      </x:c>
      <x:c r="M10195" s="0" t="s">
        <x:v>21</x:v>
      </x:c>
      <x:c r="N10195" s="0" t="s">
        <x:v>46</x:v>
      </x:c>
    </x:row>
    <x:row r="10196" spans="1:16">
      <x:c r="A10196" s="0" t="s">
        <x:v>40646</x:v>
      </x:c>
      <x:c r="B10196" s="0" t="s">
        <x:v>40647</x:v>
      </x:c>
      <x:c r="C10196" s="0" t="s">
        <x:v>40648</x:v>
      </x:c>
      <x:c r="E10196" s="0" t="s">
        <x:v>40649</x:v>
      </x:c>
      <x:c r="F10196" s="0" t="s">
        <x:v>45</x:v>
      </x:c>
      <x:c r="G10196" s="0" t="s">
        <x:v>19</x:v>
      </x:c>
      <x:c r="H10196" s="0" t="s">
        <x:v>20</x:v>
      </x:c>
      <x:c r="I10196" s="0" t="s">
        <x:v>21</x:v>
      </x:c>
      <x:c r="K10196" s="0">
        <x:f>hyperlink("https://icd.who.int/dev11/l-ichi/en#/http%3A%2F%2Fid.who.int%2Ficd%2Fentity%2F1791489195","browser")</x:f>
      </x:c>
      <x:c r="L10196" s="0">
        <x:f>hyperlink("https://icat2.azurewebsites.net/icat/?ontology=ICD&amp;tab=ClassesTab&amp;id=http%3A%2F%2Fwho.int%2Ficd%2349385_512ebf36_bf6b_4d70_85da_cf2637062af4","iCat")</x:f>
      </x:c>
      <x:c r="M10196" s="0" t="s">
        <x:v>21</x:v>
      </x:c>
      <x:c r="N10196" s="0" t="s">
        <x:v>46</x:v>
      </x:c>
    </x:row>
    <x:row r="10197" spans="1:16">
      <x:c r="A10197" s="0" t="s">
        <x:v>40650</x:v>
      </x:c>
      <x:c r="B10197" s="0" t="s">
        <x:v>40651</x:v>
      </x:c>
      <x:c r="C10197" s="0" t="s">
        <x:v>40652</x:v>
      </x:c>
      <x:c r="E10197" s="0" t="s">
        <x:v>40653</x:v>
      </x:c>
      <x:c r="F10197" s="0" t="s">
        <x:v>45</x:v>
      </x:c>
      <x:c r="G10197" s="0" t="s">
        <x:v>19</x:v>
      </x:c>
      <x:c r="H10197" s="0" t="s">
        <x:v>20</x:v>
      </x:c>
      <x:c r="I10197" s="0" t="s">
        <x:v>21</x:v>
      </x:c>
      <x:c r="K10197" s="0">
        <x:f>hyperlink("https://icd.who.int/dev11/l-ichi/en#/http%3A%2F%2Fid.who.int%2Ficd%2Fentity%2F1887488625","browser")</x:f>
      </x:c>
      <x:c r="L10197" s="0">
        <x:f>hyperlink("https://icat2.azurewebsites.net/icat/?ontology=ICD&amp;tab=ClassesTab&amp;id=http%3A%2F%2Fwho.int%2Ficd%2349392_512ebf36_bf6b_4d70_85da_cf2637062af4","iCat")</x:f>
      </x:c>
      <x:c r="M10197" s="0" t="s">
        <x:v>21</x:v>
      </x:c>
      <x:c r="N10197" s="0" t="s">
        <x:v>46</x:v>
      </x:c>
    </x:row>
    <x:row r="10198" spans="1:16">
      <x:c r="A10198" s="0" t="s">
        <x:v>40654</x:v>
      </x:c>
      <x:c r="B10198" s="0" t="s">
        <x:v>40655</x:v>
      </x:c>
      <x:c r="C10198" s="0" t="s">
        <x:v>40656</x:v>
      </x:c>
      <x:c r="E10198" s="0" t="s">
        <x:v>40657</x:v>
      </x:c>
      <x:c r="F10198" s="0" t="s">
        <x:v>45</x:v>
      </x:c>
      <x:c r="G10198" s="0" t="s">
        <x:v>19</x:v>
      </x:c>
      <x:c r="H10198" s="0" t="s">
        <x:v>20</x:v>
      </x:c>
      <x:c r="I10198" s="0" t="s">
        <x:v>21</x:v>
      </x:c>
      <x:c r="K10198" s="0">
        <x:f>hyperlink("https://icd.who.int/dev11/l-ichi/en#/http%3A%2F%2Fid.who.int%2Ficd%2Fentity%2F2072302813","browser")</x:f>
      </x:c>
      <x:c r="L10198" s="0">
        <x:f>hyperlink("https://icat2.azurewebsites.net/icat/?ontology=ICD&amp;tab=ClassesTab&amp;id=http%3A%2F%2Fwho.int%2Ficd%2349399_512ebf36_bf6b_4d70_85da_cf2637062af4","iCat")</x:f>
      </x:c>
      <x:c r="M10198" s="0" t="s">
        <x:v>21</x:v>
      </x:c>
      <x:c r="N10198" s="0" t="s">
        <x:v>46</x:v>
      </x:c>
    </x:row>
    <x:row r="10199" spans="1:16">
      <x:c r="A10199" s="0" t="s">
        <x:v>40658</x:v>
      </x:c>
      <x:c r="B10199" s="0" t="s">
        <x:v>40659</x:v>
      </x:c>
      <x:c r="C10199" s="0" t="s">
        <x:v>40660</x:v>
      </x:c>
      <x:c r="E10199" s="0" t="s">
        <x:v>40661</x:v>
      </x:c>
      <x:c r="F10199" s="0" t="s">
        <x:v>45</x:v>
      </x:c>
      <x:c r="G10199" s="0" t="s">
        <x:v>19</x:v>
      </x:c>
      <x:c r="H10199" s="0" t="s">
        <x:v>20</x:v>
      </x:c>
      <x:c r="I10199" s="0" t="s">
        <x:v>21</x:v>
      </x:c>
      <x:c r="K10199" s="0">
        <x:f>hyperlink("https://icd.who.int/dev11/l-ichi/en#/http%3A%2F%2Fid.who.int%2Ficd%2Fentity%2F1545759484","browser")</x:f>
      </x:c>
      <x:c r="L10199" s="0">
        <x:f>hyperlink("https://icat2.azurewebsites.net/icat/?ontology=ICD&amp;tab=ClassesTab&amp;id=http%3A%2F%2Fwho.int%2Ficd%2349406_512ebf36_bf6b_4d70_85da_cf2637062af4","iCat")</x:f>
      </x:c>
      <x:c r="M10199" s="0" t="s">
        <x:v>21</x:v>
      </x:c>
      <x:c r="N10199" s="0" t="s">
        <x:v>46</x:v>
      </x:c>
    </x:row>
    <x:row r="10200" spans="1:16">
      <x:c r="A10200" s="0" t="s">
        <x:v>40662</x:v>
      </x:c>
      <x:c r="B10200" s="0" t="s">
        <x:v>40663</x:v>
      </x:c>
      <x:c r="C10200" s="0" t="s">
        <x:v>40664</x:v>
      </x:c>
      <x:c r="E10200" s="0" t="s">
        <x:v>40665</x:v>
      </x:c>
      <x:c r="F10200" s="0" t="s">
        <x:v>45</x:v>
      </x:c>
      <x:c r="G10200" s="0" t="s">
        <x:v>19</x:v>
      </x:c>
      <x:c r="H10200" s="0" t="s">
        <x:v>20</x:v>
      </x:c>
      <x:c r="I10200" s="0" t="s">
        <x:v>21</x:v>
      </x:c>
      <x:c r="K10200" s="0">
        <x:f>hyperlink("https://icd.who.int/dev11/l-ichi/en#/http%3A%2F%2Fid.who.int%2Ficd%2Fentity%2F1327794103","browser")</x:f>
      </x:c>
      <x:c r="L10200" s="0">
        <x:f>hyperlink("https://icat2.azurewebsites.net/icat/?ontology=ICD&amp;tab=ClassesTab&amp;id=http%3A%2F%2Fwho.int%2Ficd%23159_3c64dd61_a787_4b69_a0aa_c26ee473e65a","iCat")</x:f>
      </x:c>
      <x:c r="M10200" s="0" t="s">
        <x:v>21</x:v>
      </x:c>
      <x:c r="N10200" s="0" t="s">
        <x:v>46</x:v>
      </x:c>
    </x:row>
    <x:row r="10201" spans="1:16">
      <x:c r="A10201" s="0" t="s">
        <x:v>40666</x:v>
      </x:c>
      <x:c r="B10201" s="0" t="s">
        <x:v>40667</x:v>
      </x:c>
      <x:c r="C10201" s="0" t="s">
        <x:v>40668</x:v>
      </x:c>
      <x:c r="E10201" s="0" t="s">
        <x:v>40669</x:v>
      </x:c>
      <x:c r="F10201" s="0" t="s">
        <x:v>45</x:v>
      </x:c>
      <x:c r="G10201" s="0" t="s">
        <x:v>19</x:v>
      </x:c>
      <x:c r="H10201" s="0" t="s">
        <x:v>20</x:v>
      </x:c>
      <x:c r="I10201" s="0" t="s">
        <x:v>21</x:v>
      </x:c>
      <x:c r="K10201" s="0">
        <x:f>hyperlink("https://icd.who.int/dev11/l-ichi/en#/http%3A%2F%2Fid.who.int%2Ficd%2Fentity%2F588859877","browser")</x:f>
      </x:c>
      <x:c r="L10201" s="0">
        <x:f>hyperlink("https://icat2.azurewebsites.net/icat/?ontology=ICD&amp;tab=ClassesTab&amp;id=http%3A%2F%2Fwho.int%2Ficd%2349413_512ebf36_bf6b_4d70_85da_cf2637062af4","iCat")</x:f>
      </x:c>
      <x:c r="M10201" s="0" t="s">
        <x:v>21</x:v>
      </x:c>
      <x:c r="N10201" s="0" t="s">
        <x:v>46</x:v>
      </x:c>
    </x:row>
    <x:row r="10202" spans="1:16">
      <x:c r="A10202" s="0" t="s">
        <x:v>40670</x:v>
      </x:c>
      <x:c r="B10202" s="0" t="s">
        <x:v>40671</x:v>
      </x:c>
      <x:c r="C10202" s="0" t="s">
        <x:v>40672</x:v>
      </x:c>
      <x:c r="E10202" s="0" t="s">
        <x:v>40673</x:v>
      </x:c>
      <x:c r="F10202" s="0" t="s">
        <x:v>45</x:v>
      </x:c>
      <x:c r="G10202" s="0" t="s">
        <x:v>19</x:v>
      </x:c>
      <x:c r="H10202" s="0" t="s">
        <x:v>20</x:v>
      </x:c>
      <x:c r="I10202" s="0" t="s">
        <x:v>21</x:v>
      </x:c>
      <x:c r="K10202" s="0">
        <x:f>hyperlink("https://icd.who.int/dev11/l-ichi/en#/http%3A%2F%2Fid.who.int%2Ficd%2Fentity%2F640509467","browser")</x:f>
      </x:c>
      <x:c r="L10202" s="0">
        <x:f>hyperlink("https://icat2.azurewebsites.net/icat/?ontology=ICD&amp;tab=ClassesTab&amp;id=http%3A%2F%2Fwho.int%2Ficd%2349420_512ebf36_bf6b_4d70_85da_cf2637062af4","iCat")</x:f>
      </x:c>
      <x:c r="M10202" s="0" t="s">
        <x:v>21</x:v>
      </x:c>
      <x:c r="N10202" s="0" t="s">
        <x:v>46</x:v>
      </x:c>
    </x:row>
    <x:row r="10203" spans="1:16">
      <x:c r="A10203" s="0" t="s">
        <x:v>40674</x:v>
      </x:c>
      <x:c r="B10203" s="0" t="s">
        <x:v>40675</x:v>
      </x:c>
      <x:c r="C10203" s="0" t="s">
        <x:v>40676</x:v>
      </x:c>
      <x:c r="E10203" s="0" t="s">
        <x:v>40677</x:v>
      </x:c>
      <x:c r="F10203" s="0" t="s">
        <x:v>45</x:v>
      </x:c>
      <x:c r="G10203" s="0" t="s">
        <x:v>19</x:v>
      </x:c>
      <x:c r="H10203" s="0" t="s">
        <x:v>20</x:v>
      </x:c>
      <x:c r="I10203" s="0" t="s">
        <x:v>21</x:v>
      </x:c>
      <x:c r="K10203" s="0">
        <x:f>hyperlink("https://icd.who.int/dev11/l-ichi/en#/http%3A%2F%2Fid.who.int%2Ficd%2Fentity%2F1454362008","browser")</x:f>
      </x:c>
      <x:c r="L10203" s="0">
        <x:f>hyperlink("https://icat2.azurewebsites.net/icat/?ontology=ICD&amp;tab=ClassesTab&amp;id=http%3A%2F%2Fwho.int%2Ficd%2349427_512ebf36_bf6b_4d70_85da_cf2637062af4","iCat")</x:f>
      </x:c>
      <x:c r="M10203" s="0" t="s">
        <x:v>21</x:v>
      </x:c>
      <x:c r="N10203" s="0" t="s">
        <x:v>46</x:v>
      </x:c>
    </x:row>
    <x:row r="10204" spans="1:16">
      <x:c r="A10204" s="0" t="s">
        <x:v>40678</x:v>
      </x:c>
      <x:c r="B10204" s="0" t="s">
        <x:v>40679</x:v>
      </x:c>
      <x:c r="C10204" s="0" t="s">
        <x:v>40680</x:v>
      </x:c>
      <x:c r="E10204" s="0" t="s">
        <x:v>40681</x:v>
      </x:c>
      <x:c r="F10204" s="0" t="s">
        <x:v>45</x:v>
      </x:c>
      <x:c r="G10204" s="0" t="s">
        <x:v>19</x:v>
      </x:c>
      <x:c r="H10204" s="0" t="s">
        <x:v>20</x:v>
      </x:c>
      <x:c r="I10204" s="0" t="s">
        <x:v>21</x:v>
      </x:c>
      <x:c r="K10204" s="0">
        <x:f>hyperlink("https://icd.who.int/dev11/l-ichi/en#/http%3A%2F%2Fid.who.int%2Ficd%2Fentity%2F2045720376","browser")</x:f>
      </x:c>
      <x:c r="L10204" s="0">
        <x:f>hyperlink("https://icat2.azurewebsites.net/icat/?ontology=ICD&amp;tab=ClassesTab&amp;id=http%3A%2F%2Fwho.int%2Ficd%2349434_512ebf36_bf6b_4d70_85da_cf2637062af4","iCat")</x:f>
      </x:c>
      <x:c r="M10204" s="0" t="s">
        <x:v>21</x:v>
      </x:c>
      <x:c r="N10204" s="0" t="s">
        <x:v>46</x:v>
      </x:c>
    </x:row>
    <x:row r="10205" spans="1:16">
      <x:c r="A10205" s="0" t="s">
        <x:v>40682</x:v>
      </x:c>
      <x:c r="B10205" s="0" t="s">
        <x:v>40683</x:v>
      </x:c>
      <x:c r="C10205" s="0" t="s">
        <x:v>40684</x:v>
      </x:c>
      <x:c r="E10205" s="0" t="s">
        <x:v>40685</x:v>
      </x:c>
      <x:c r="F10205" s="0" t="s">
        <x:v>45</x:v>
      </x:c>
      <x:c r="G10205" s="0" t="s">
        <x:v>19</x:v>
      </x:c>
      <x:c r="H10205" s="0" t="s">
        <x:v>20</x:v>
      </x:c>
      <x:c r="I10205" s="0" t="s">
        <x:v>21</x:v>
      </x:c>
      <x:c r="K10205" s="0">
        <x:f>hyperlink("https://icd.who.int/dev11/l-ichi/en#/http%3A%2F%2Fid.who.int%2Ficd%2Fentity%2F1556583020","browser")</x:f>
      </x:c>
      <x:c r="L10205" s="0">
        <x:f>hyperlink("https://icat2.azurewebsites.net/icat/?ontology=ICD&amp;tab=ClassesTab&amp;id=http%3A%2F%2Fwho.int%2Ficd%2349441_512ebf36_bf6b_4d70_85da_cf2637062af4","iCat")</x:f>
      </x:c>
      <x:c r="M10205" s="0" t="s">
        <x:v>21</x:v>
      </x:c>
      <x:c r="N10205" s="0" t="s">
        <x:v>46</x:v>
      </x:c>
    </x:row>
    <x:row r="10206" spans="1:16">
      <x:c r="A10206" s="0" t="s">
        <x:v>40686</x:v>
      </x:c>
      <x:c r="B10206" s="0" t="s">
        <x:v>40687</x:v>
      </x:c>
      <x:c r="C10206" s="0" t="s">
        <x:v>40688</x:v>
      </x:c>
      <x:c r="E10206" s="0" t="s">
        <x:v>40689</x:v>
      </x:c>
      <x:c r="F10206" s="0" t="s">
        <x:v>45</x:v>
      </x:c>
      <x:c r="G10206" s="0" t="s">
        <x:v>19</x:v>
      </x:c>
      <x:c r="H10206" s="0" t="s">
        <x:v>20</x:v>
      </x:c>
      <x:c r="I10206" s="0" t="s">
        <x:v>21</x:v>
      </x:c>
      <x:c r="K10206" s="0">
        <x:f>hyperlink("https://icd.who.int/dev11/l-ichi/en#/http%3A%2F%2Fid.who.int%2Ficd%2Fentity%2F851415299","browser")</x:f>
      </x:c>
      <x:c r="L10206" s="0">
        <x:f>hyperlink("https://icat2.azurewebsites.net/icat/?ontology=ICD&amp;tab=ClassesTab&amp;id=http%3A%2F%2Fwho.int%2Ficd%2349448_512ebf36_bf6b_4d70_85da_cf2637062af4","iCat")</x:f>
      </x:c>
      <x:c r="M10206" s="0" t="s">
        <x:v>21</x:v>
      </x:c>
      <x:c r="N10206" s="0" t="s">
        <x:v>46</x:v>
      </x:c>
    </x:row>
    <x:row r="10207" spans="1:16">
      <x:c r="A10207" s="0" t="s">
        <x:v>40690</x:v>
      </x:c>
      <x:c r="B10207" s="0" t="s">
        <x:v>40691</x:v>
      </x:c>
      <x:c r="C10207" s="0" t="s">
        <x:v>40692</x:v>
      </x:c>
      <x:c r="E10207" s="0" t="s">
        <x:v>40693</x:v>
      </x:c>
      <x:c r="F10207" s="0" t="s">
        <x:v>45</x:v>
      </x:c>
      <x:c r="G10207" s="0" t="s">
        <x:v>19</x:v>
      </x:c>
      <x:c r="H10207" s="0" t="s">
        <x:v>20</x:v>
      </x:c>
      <x:c r="I10207" s="0" t="s">
        <x:v>21</x:v>
      </x:c>
      <x:c r="K10207" s="0">
        <x:f>hyperlink("https://icd.who.int/dev11/l-ichi/en#/http%3A%2F%2Fid.who.int%2Ficd%2Fentity%2F50709321","browser")</x:f>
      </x:c>
      <x:c r="L10207" s="0">
        <x:f>hyperlink("https://icat2.azurewebsites.net/icat/?ontology=ICD&amp;tab=ClassesTab&amp;id=http%3A%2F%2Fwho.int%2Ficd%2349455_512ebf36_bf6b_4d70_85da_cf2637062af4","iCat")</x:f>
      </x:c>
      <x:c r="M10207" s="0" t="s">
        <x:v>21</x:v>
      </x:c>
      <x:c r="N10207" s="0" t="s">
        <x:v>46</x:v>
      </x:c>
    </x:row>
    <x:row r="10208" spans="1:16">
      <x:c r="A10208" s="0" t="s">
        <x:v>40694</x:v>
      </x:c>
      <x:c r="B10208" s="0" t="s">
        <x:v>40695</x:v>
      </x:c>
      <x:c r="C10208" s="0" t="s">
        <x:v>40696</x:v>
      </x:c>
      <x:c r="E10208" s="0" t="s">
        <x:v>40697</x:v>
      </x:c>
      <x:c r="F10208" s="0" t="s">
        <x:v>45</x:v>
      </x:c>
      <x:c r="G10208" s="0" t="s">
        <x:v>19</x:v>
      </x:c>
      <x:c r="H10208" s="0" t="s">
        <x:v>20</x:v>
      </x:c>
      <x:c r="I10208" s="0" t="s">
        <x:v>21</x:v>
      </x:c>
      <x:c r="K10208" s="0">
        <x:f>hyperlink("https://icd.who.int/dev11/l-ichi/en#/http%3A%2F%2Fid.who.int%2Ficd%2Fentity%2F859187395","browser")</x:f>
      </x:c>
      <x:c r="L10208" s="0">
        <x:f>hyperlink("https://icat2.azurewebsites.net/icat/?ontology=ICD&amp;tab=ClassesTab&amp;id=http%3A%2F%2Fwho.int%2Ficd%2349462_512ebf36_bf6b_4d70_85da_cf2637062af4","iCat")</x:f>
      </x:c>
      <x:c r="M10208" s="0" t="s">
        <x:v>21</x:v>
      </x:c>
      <x:c r="N10208" s="0" t="s">
        <x:v>46</x:v>
      </x:c>
    </x:row>
    <x:row r="10209" spans="1:16">
      <x:c r="A10209" s="0" t="s">
        <x:v>40698</x:v>
      </x:c>
      <x:c r="B10209" s="0" t="s">
        <x:v>40699</x:v>
      </x:c>
      <x:c r="C10209" s="0" t="s">
        <x:v>40700</x:v>
      </x:c>
      <x:c r="E10209" s="0" t="s">
        <x:v>40701</x:v>
      </x:c>
      <x:c r="F10209" s="0" t="s">
        <x:v>45</x:v>
      </x:c>
      <x:c r="G10209" s="0" t="s">
        <x:v>19</x:v>
      </x:c>
      <x:c r="H10209" s="0" t="s">
        <x:v>20</x:v>
      </x:c>
      <x:c r="I10209" s="0" t="s">
        <x:v>21</x:v>
      </x:c>
      <x:c r="K10209" s="0">
        <x:f>hyperlink("https://icd.who.int/dev11/l-ichi/en#/http%3A%2F%2Fid.who.int%2Ficd%2Fentity%2F942814831","browser")</x:f>
      </x:c>
      <x:c r="L10209" s="0">
        <x:f>hyperlink("https://icat2.azurewebsites.net/icat/?ontology=ICD&amp;tab=ClassesTab&amp;id=http%3A%2F%2Fwho.int%2Ficd%2349469_512ebf36_bf6b_4d70_85da_cf2637062af4","iCat")</x:f>
      </x:c>
      <x:c r="M10209" s="0" t="s">
        <x:v>21</x:v>
      </x:c>
      <x:c r="N10209" s="0" t="s">
        <x:v>46</x:v>
      </x:c>
    </x:row>
    <x:row r="10210" spans="1:16">
      <x:c r="A10210" s="0" t="s">
        <x:v>40702</x:v>
      </x:c>
      <x:c r="B10210" s="0" t="s">
        <x:v>40703</x:v>
      </x:c>
      <x:c r="C10210" s="0" t="s">
        <x:v>40704</x:v>
      </x:c>
      <x:c r="E10210" s="0" t="s">
        <x:v>40705</x:v>
      </x:c>
      <x:c r="F10210" s="0" t="s">
        <x:v>45</x:v>
      </x:c>
      <x:c r="G10210" s="0" t="s">
        <x:v>19</x:v>
      </x:c>
      <x:c r="H10210" s="0" t="s">
        <x:v>20</x:v>
      </x:c>
      <x:c r="I10210" s="0" t="s">
        <x:v>21</x:v>
      </x:c>
      <x:c r="K10210" s="0">
        <x:f>hyperlink("https://icd.who.int/dev11/l-ichi/en#/http%3A%2F%2Fid.who.int%2Ficd%2Fentity%2F1827961312","browser")</x:f>
      </x:c>
      <x:c r="L10210" s="0">
        <x:f>hyperlink("https://icat2.azurewebsites.net/icat/?ontology=ICD&amp;tab=ClassesTab&amp;id=http%3A%2F%2Fwho.int%2Ficd%2349476_512ebf36_bf6b_4d70_85da_cf2637062af4","iCat")</x:f>
      </x:c>
      <x:c r="M10210" s="0" t="s">
        <x:v>21</x:v>
      </x:c>
      <x:c r="N10210" s="0" t="s">
        <x:v>46</x:v>
      </x:c>
    </x:row>
    <x:row r="10211" spans="1:16">
      <x:c r="A10211" s="0" t="s">
        <x:v>40706</x:v>
      </x:c>
      <x:c r="B10211" s="0" t="s">
        <x:v>40707</x:v>
      </x:c>
      <x:c r="C10211" s="0" t="s">
        <x:v>40708</x:v>
      </x:c>
      <x:c r="E10211" s="0" t="s">
        <x:v>40709</x:v>
      </x:c>
      <x:c r="F10211" s="0" t="s">
        <x:v>45</x:v>
      </x:c>
      <x:c r="G10211" s="0" t="s">
        <x:v>19</x:v>
      </x:c>
      <x:c r="H10211" s="0" t="s">
        <x:v>20</x:v>
      </x:c>
      <x:c r="I10211" s="0" t="s">
        <x:v>21</x:v>
      </x:c>
      <x:c r="K10211" s="0">
        <x:f>hyperlink("https://icd.who.int/dev11/l-ichi/en#/http%3A%2F%2Fid.who.int%2Ficd%2Fentity%2F1458406774","browser")</x:f>
      </x:c>
      <x:c r="L10211" s="0">
        <x:f>hyperlink("https://icat2.azurewebsites.net/icat/?ontology=ICD&amp;tab=ClassesTab&amp;id=http%3A%2F%2Fwho.int%2Ficd%2349483_512ebf36_bf6b_4d70_85da_cf2637062af4","iCat")</x:f>
      </x:c>
      <x:c r="M10211" s="0" t="s">
        <x:v>21</x:v>
      </x:c>
      <x:c r="N10211" s="0" t="s">
        <x:v>46</x:v>
      </x:c>
    </x:row>
    <x:row r="10212" spans="1:16">
      <x:c r="A10212" s="0" t="s">
        <x:v>40710</x:v>
      </x:c>
      <x:c r="B10212" s="0" t="s">
        <x:v>40711</x:v>
      </x:c>
      <x:c r="C10212" s="0" t="s">
        <x:v>40712</x:v>
      </x:c>
      <x:c r="E10212" s="0" t="s">
        <x:v>40713</x:v>
      </x:c>
      <x:c r="F10212" s="0" t="s">
        <x:v>45</x:v>
      </x:c>
      <x:c r="G10212" s="0" t="s">
        <x:v>19</x:v>
      </x:c>
      <x:c r="H10212" s="0" t="s">
        <x:v>20</x:v>
      </x:c>
      <x:c r="I10212" s="0" t="s">
        <x:v>21</x:v>
      </x:c>
      <x:c r="K10212" s="0">
        <x:f>hyperlink("https://icd.who.int/dev11/l-ichi/en#/http%3A%2F%2Fid.who.int%2Ficd%2Fentity%2F2041413594","browser")</x:f>
      </x:c>
      <x:c r="L10212" s="0">
        <x:f>hyperlink("https://icat2.azurewebsites.net/icat/?ontology=ICD&amp;tab=ClassesTab&amp;id=http%3A%2F%2Fwho.int%2Ficd%2349490_512ebf36_bf6b_4d70_85da_cf2637062af4","iCat")</x:f>
      </x:c>
      <x:c r="M10212" s="0" t="s">
        <x:v>21</x:v>
      </x:c>
      <x:c r="N10212" s="0" t="s">
        <x:v>46</x:v>
      </x:c>
    </x:row>
    <x:row r="10213" spans="1:16">
      <x:c r="A10213" s="0" t="s">
        <x:v>40714</x:v>
      </x:c>
      <x:c r="B10213" s="0" t="s">
        <x:v>40715</x:v>
      </x:c>
      <x:c r="C10213" s="0" t="s">
        <x:v>40716</x:v>
      </x:c>
      <x:c r="E10213" s="0" t="s">
        <x:v>40717</x:v>
      </x:c>
      <x:c r="F10213" s="0" t="s">
        <x:v>45</x:v>
      </x:c>
      <x:c r="G10213" s="0" t="s">
        <x:v>19</x:v>
      </x:c>
      <x:c r="H10213" s="0" t="s">
        <x:v>20</x:v>
      </x:c>
      <x:c r="I10213" s="0" t="s">
        <x:v>21</x:v>
      </x:c>
      <x:c r="K10213" s="0">
        <x:f>hyperlink("https://icd.who.int/dev11/l-ichi/en#/http%3A%2F%2Fid.who.int%2Ficd%2Fentity%2F154129493","browser")</x:f>
      </x:c>
      <x:c r="L10213" s="0">
        <x:f>hyperlink("https://icat2.azurewebsites.net/icat/?ontology=ICD&amp;tab=ClassesTab&amp;id=http%3A%2F%2Fwho.int%2Ficd%2349497_512ebf36_bf6b_4d70_85da_cf2637062af4","iCat")</x:f>
      </x:c>
      <x:c r="M10213" s="0" t="s">
        <x:v>21</x:v>
      </x:c>
      <x:c r="N10213" s="0" t="s">
        <x:v>46</x:v>
      </x:c>
    </x:row>
    <x:row r="10214" spans="1:16">
      <x:c r="A10214" s="0" t="s">
        <x:v>40718</x:v>
      </x:c>
      <x:c r="B10214" s="0" t="s">
        <x:v>40719</x:v>
      </x:c>
      <x:c r="C10214" s="0" t="s">
        <x:v>40720</x:v>
      </x:c>
      <x:c r="E10214" s="0" t="s">
        <x:v>40721</x:v>
      </x:c>
      <x:c r="F10214" s="0" t="s">
        <x:v>45</x:v>
      </x:c>
      <x:c r="G10214" s="0" t="s">
        <x:v>19</x:v>
      </x:c>
      <x:c r="H10214" s="0" t="s">
        <x:v>20</x:v>
      </x:c>
      <x:c r="I10214" s="0" t="s">
        <x:v>21</x:v>
      </x:c>
      <x:c r="K10214" s="0">
        <x:f>hyperlink("https://icd.who.int/dev11/l-ichi/en#/http%3A%2F%2Fid.who.int%2Ficd%2Fentity%2F1287762340","browser")</x:f>
      </x:c>
      <x:c r="L10214" s="0">
        <x:f>hyperlink("https://icat2.azurewebsites.net/icat/?ontology=ICD&amp;tab=ClassesTab&amp;id=http%3A%2F%2Fwho.int%2Ficd%2349504_512ebf36_bf6b_4d70_85da_cf2637062af4","iCat")</x:f>
      </x:c>
      <x:c r="M10214" s="0" t="s">
        <x:v>21</x:v>
      </x:c>
      <x:c r="N10214" s="0" t="s">
        <x:v>46</x:v>
      </x:c>
    </x:row>
    <x:row r="10215" spans="1:16">
      <x:c r="A10215" s="0" t="s">
        <x:v>40722</x:v>
      </x:c>
      <x:c r="B10215" s="0" t="s">
        <x:v>40723</x:v>
      </x:c>
      <x:c r="C10215" s="0" t="s">
        <x:v>40724</x:v>
      </x:c>
      <x:c r="E10215" s="0" t="s">
        <x:v>40725</x:v>
      </x:c>
      <x:c r="F10215" s="0" t="s">
        <x:v>45</x:v>
      </x:c>
      <x:c r="G10215" s="0" t="s">
        <x:v>19</x:v>
      </x:c>
      <x:c r="H10215" s="0" t="s">
        <x:v>20</x:v>
      </x:c>
      <x:c r="I10215" s="0" t="s">
        <x:v>21</x:v>
      </x:c>
      <x:c r="K10215" s="0">
        <x:f>hyperlink("https://icd.who.int/dev11/l-ichi/en#/http%3A%2F%2Fid.who.int%2Ficd%2Fentity%2F872059581","browser")</x:f>
      </x:c>
      <x:c r="L10215" s="0">
        <x:f>hyperlink("https://icat2.azurewebsites.net/icat/?ontology=ICD&amp;tab=ClassesTab&amp;id=http%3A%2F%2Fwho.int%2Ficd%2349511_512ebf36_bf6b_4d70_85da_cf2637062af4","iCat")</x:f>
      </x:c>
      <x:c r="M10215" s="0" t="s">
        <x:v>21</x:v>
      </x:c>
      <x:c r="N10215" s="0" t="s">
        <x:v>46</x:v>
      </x:c>
    </x:row>
    <x:row r="10216" spans="1:16">
      <x:c r="A10216" s="0" t="s">
        <x:v>40726</x:v>
      </x:c>
      <x:c r="B10216" s="0" t="s">
        <x:v>40727</x:v>
      </x:c>
      <x:c r="C10216" s="0" t="s">
        <x:v>40728</x:v>
      </x:c>
      <x:c r="E10216" s="0" t="s">
        <x:v>40729</x:v>
      </x:c>
      <x:c r="F10216" s="0" t="s">
        <x:v>45</x:v>
      </x:c>
      <x:c r="G10216" s="0" t="s">
        <x:v>19</x:v>
      </x:c>
      <x:c r="H10216" s="0" t="s">
        <x:v>20</x:v>
      </x:c>
      <x:c r="I10216" s="0" t="s">
        <x:v>21</x:v>
      </x:c>
      <x:c r="K10216" s="0">
        <x:f>hyperlink("https://icd.who.int/dev11/l-ichi/en#/http%3A%2F%2Fid.who.int%2Ficd%2Fentity%2F1568838100","browser")</x:f>
      </x:c>
      <x:c r="L10216" s="0">
        <x:f>hyperlink("https://icat2.azurewebsites.net/icat/?ontology=ICD&amp;tab=ClassesTab&amp;id=http%3A%2F%2Fwho.int%2Ficd%2349518_512ebf36_bf6b_4d70_85da_cf2637062af4","iCat")</x:f>
      </x:c>
      <x:c r="M10216" s="0" t="s">
        <x:v>21</x:v>
      </x:c>
      <x:c r="N10216" s="0" t="s">
        <x:v>46</x:v>
      </x:c>
    </x:row>
    <x:row r="10217" spans="1:16">
      <x:c r="A10217" s="0" t="s">
        <x:v>40730</x:v>
      </x:c>
      <x:c r="B10217" s="0" t="s">
        <x:v>40731</x:v>
      </x:c>
      <x:c r="C10217" s="0" t="s">
        <x:v>40732</x:v>
      </x:c>
      <x:c r="E10217" s="0" t="s">
        <x:v>40733</x:v>
      </x:c>
      <x:c r="F10217" s="0" t="s">
        <x:v>45</x:v>
      </x:c>
      <x:c r="G10217" s="0" t="s">
        <x:v>19</x:v>
      </x:c>
      <x:c r="H10217" s="0" t="s">
        <x:v>20</x:v>
      </x:c>
      <x:c r="I10217" s="0" t="s">
        <x:v>21</x:v>
      </x:c>
      <x:c r="K10217" s="0">
        <x:f>hyperlink("https://icd.who.int/dev11/l-ichi/en#/http%3A%2F%2Fid.who.int%2Ficd%2Fentity%2F1179391696","browser")</x:f>
      </x:c>
      <x:c r="L10217" s="0">
        <x:f>hyperlink("https://icat2.azurewebsites.net/icat/?ontology=ICD&amp;tab=ClassesTab&amp;id=http%3A%2F%2Fwho.int%2Ficd%2349525_512ebf36_bf6b_4d70_85da_cf2637062af4","iCat")</x:f>
      </x:c>
      <x:c r="M10217" s="0" t="s">
        <x:v>21</x:v>
      </x:c>
      <x:c r="N10217" s="0" t="s">
        <x:v>46</x:v>
      </x:c>
    </x:row>
    <x:row r="10218" spans="1:16">
      <x:c r="A10218" s="0" t="s">
        <x:v>40734</x:v>
      </x:c>
      <x:c r="B10218" s="0" t="s">
        <x:v>40735</x:v>
      </x:c>
      <x:c r="C10218" s="0" t="s">
        <x:v>40736</x:v>
      </x:c>
      <x:c r="E10218" s="0" t="s">
        <x:v>40737</x:v>
      </x:c>
      <x:c r="F10218" s="0" t="s">
        <x:v>45</x:v>
      </x:c>
      <x:c r="G10218" s="0" t="s">
        <x:v>19</x:v>
      </x:c>
      <x:c r="H10218" s="0" t="s">
        <x:v>20</x:v>
      </x:c>
      <x:c r="I10218" s="0" t="s">
        <x:v>21</x:v>
      </x:c>
      <x:c r="K10218" s="0">
        <x:f>hyperlink("https://icd.who.int/dev11/l-ichi/en#/http%3A%2F%2Fid.who.int%2Ficd%2Fentity%2F1937693627","browser")</x:f>
      </x:c>
      <x:c r="L10218" s="0">
        <x:f>hyperlink("https://icat2.azurewebsites.net/icat/?ontology=ICD&amp;tab=ClassesTab&amp;id=http%3A%2F%2Fwho.int%2Ficd%235245_d85a204c_d00a_4566_a3b7_2d137a1891cf","iCat")</x:f>
      </x:c>
      <x:c r="M10218" s="0" t="s">
        <x:v>21</x:v>
      </x:c>
      <x:c r="N10218" s="0" t="s">
        <x:v>46</x:v>
      </x:c>
    </x:row>
    <x:row r="10219" spans="1:16">
      <x:c r="A10219" s="0" t="s">
        <x:v>40738</x:v>
      </x:c>
      <x:c r="B10219" s="0" t="s">
        <x:v>40739</x:v>
      </x:c>
      <x:c r="C10219" s="0" t="s">
        <x:v>40740</x:v>
      </x:c>
      <x:c r="E10219" s="0" t="s">
        <x:v>40741</x:v>
      </x:c>
      <x:c r="F10219" s="0" t="s">
        <x:v>45</x:v>
      </x:c>
      <x:c r="G10219" s="0" t="s">
        <x:v>19</x:v>
      </x:c>
      <x:c r="H10219" s="0" t="s">
        <x:v>20</x:v>
      </x:c>
      <x:c r="I10219" s="0" t="s">
        <x:v>21</x:v>
      </x:c>
      <x:c r="K10219" s="0">
        <x:f>hyperlink("https://icd.who.int/dev11/l-ichi/en#/http%3A%2F%2Fid.who.int%2Ficd%2Fentity%2F1544235030","browser")</x:f>
      </x:c>
      <x:c r="L10219" s="0">
        <x:f>hyperlink("https://icat2.azurewebsites.net/icat/?ontology=ICD&amp;tab=ClassesTab&amp;id=http%3A%2F%2Fwho.int%2Ficd%2349532_512ebf36_bf6b_4d70_85da_cf2637062af4","iCat")</x:f>
      </x:c>
      <x:c r="M10219" s="0" t="s">
        <x:v>21</x:v>
      </x:c>
      <x:c r="N10219" s="0" t="s">
        <x:v>46</x:v>
      </x:c>
    </x:row>
    <x:row r="10220" spans="1:16">
      <x:c r="A10220" s="0" t="s">
        <x:v>40742</x:v>
      </x:c>
      <x:c r="B10220" s="0" t="s">
        <x:v>40743</x:v>
      </x:c>
      <x:c r="C10220" s="0" t="s">
        <x:v>40744</x:v>
      </x:c>
      <x:c r="E10220" s="0" t="s">
        <x:v>40745</x:v>
      </x:c>
      <x:c r="F10220" s="0" t="s">
        <x:v>45</x:v>
      </x:c>
      <x:c r="G10220" s="0" t="s">
        <x:v>19</x:v>
      </x:c>
      <x:c r="H10220" s="0" t="s">
        <x:v>20</x:v>
      </x:c>
      <x:c r="I10220" s="0" t="s">
        <x:v>21</x:v>
      </x:c>
      <x:c r="K10220" s="0">
        <x:f>hyperlink("https://icd.who.int/dev11/l-ichi/en#/http%3A%2F%2Fid.who.int%2Ficd%2Fentity%2F1460614840","browser")</x:f>
      </x:c>
      <x:c r="L10220" s="0">
        <x:f>hyperlink("https://icat2.azurewebsites.net/icat/?ontology=ICD&amp;tab=ClassesTab&amp;id=http%3A%2F%2Fwho.int%2Ficd%2349539_512ebf36_bf6b_4d70_85da_cf2637062af4","iCat")</x:f>
      </x:c>
      <x:c r="M10220" s="0" t="s">
        <x:v>21</x:v>
      </x:c>
      <x:c r="N10220" s="0" t="s">
        <x:v>46</x:v>
      </x:c>
    </x:row>
    <x:row r="10221" spans="1:16">
      <x:c r="A10221" s="0" t="s">
        <x:v>40746</x:v>
      </x:c>
      <x:c r="B10221" s="0" t="s">
        <x:v>40747</x:v>
      </x:c>
      <x:c r="C10221" s="0" t="s">
        <x:v>40748</x:v>
      </x:c>
      <x:c r="E10221" s="0" t="s">
        <x:v>40749</x:v>
      </x:c>
      <x:c r="F10221" s="0" t="s">
        <x:v>45</x:v>
      </x:c>
      <x:c r="G10221" s="0" t="s">
        <x:v>19</x:v>
      </x:c>
      <x:c r="H10221" s="0" t="s">
        <x:v>20</x:v>
      </x:c>
      <x:c r="I10221" s="0" t="s">
        <x:v>21</x:v>
      </x:c>
      <x:c r="K10221" s="0">
        <x:f>hyperlink("https://icd.who.int/dev11/l-ichi/en#/http%3A%2F%2Fid.who.int%2Ficd%2Fentity%2F1507524476","browser")</x:f>
      </x:c>
      <x:c r="L10221" s="0">
        <x:f>hyperlink("https://icat2.azurewebsites.net/icat/?ontology=ICD&amp;tab=ClassesTab&amp;id=http%3A%2F%2Fwho.int%2Ficd%2349546_512ebf36_bf6b_4d70_85da_cf2637062af4","iCat")</x:f>
      </x:c>
      <x:c r="M10221" s="0" t="s">
        <x:v>21</x:v>
      </x:c>
      <x:c r="N10221" s="0" t="s">
        <x:v>46</x:v>
      </x:c>
    </x:row>
    <x:row r="10222" spans="1:16">
      <x:c r="A10222" s="0" t="s">
        <x:v>40750</x:v>
      </x:c>
      <x:c r="B10222" s="0" t="s">
        <x:v>40751</x:v>
      </x:c>
      <x:c r="D10222" s="0" t="s">
        <x:v>40752</x:v>
      </x:c>
      <x:c r="E10222" s="0" t="s">
        <x:v>40753</x:v>
      </x:c>
      <x:c r="F10222" s="0" t="s">
        <x:v>26</x:v>
      </x:c>
      <x:c r="G10222" s="0" t="s">
        <x:v>35</x:v>
      </x:c>
      <x:c r="H10222" s="0" t="s">
        <x:v>20</x:v>
      </x:c>
      <x:c r="I10222" s="0" t="s">
        <x:v>21</x:v>
      </x:c>
      <x:c r="K10222" s="0">
        <x:f>hyperlink("https://icd.who.int/dev11/l-ichi/en#/http%3A%2F%2Fid.who.int%2Ficd%2Fentity%2F1449359338","browser")</x:f>
      </x:c>
      <x:c r="L10222" s="0">
        <x:f>hyperlink("https://icat2.azurewebsites.net/icat/?ontology=ICD&amp;tab=ClassesTab&amp;id=http%3A%2F%2Fwho.int%2Ficd%2349554_512ebf36_bf6b_4d70_85da_cf2637062af4","iCat")</x:f>
      </x:c>
      <x:c r="M10222" s="0" t="s">
        <x:v>20</x:v>
      </x:c>
      <x:c r="N10222" s="0" t="s">
        <x:v>25938</x:v>
      </x:c>
    </x:row>
    <x:row r="10223" spans="1:16">
      <x:c r="A10223" s="0" t="s">
        <x:v>40754</x:v>
      </x:c>
      <x:c r="B10223" s="0" t="s">
        <x:v>40755</x:v>
      </x:c>
      <x:c r="C10223" s="0" t="s">
        <x:v>40756</x:v>
      </x:c>
      <x:c r="E10223" s="0" t="s">
        <x:v>40757</x:v>
      </x:c>
      <x:c r="F10223" s="0" t="s">
        <x:v>45</x:v>
      </x:c>
      <x:c r="G10223" s="0" t="s">
        <x:v>19</x:v>
      </x:c>
      <x:c r="H10223" s="0" t="s">
        <x:v>20</x:v>
      </x:c>
      <x:c r="I10223" s="0" t="s">
        <x:v>21</x:v>
      </x:c>
      <x:c r="K10223" s="0">
        <x:f>hyperlink("https://icd.who.int/dev11/l-ichi/en#/http%3A%2F%2Fid.who.int%2Ficd%2Fentity%2F652336229","browser")</x:f>
      </x:c>
      <x:c r="L10223" s="0">
        <x:f>hyperlink("https://icat2.azurewebsites.net/icat/?ontology=ICD&amp;tab=ClassesTab&amp;id=http%3A%2F%2Fwho.int%2Ficd%2349553_512ebf36_bf6b_4d70_85da_cf2637062af4","iCat")</x:f>
      </x:c>
      <x:c r="M10223" s="0" t="s">
        <x:v>21</x:v>
      </x:c>
      <x:c r="N10223" s="0" t="s">
        <x:v>46</x:v>
      </x:c>
    </x:row>
    <x:row r="10224" spans="1:16">
      <x:c r="A10224" s="0" t="s">
        <x:v>40758</x:v>
      </x:c>
      <x:c r="B10224" s="0" t="s">
        <x:v>40759</x:v>
      </x:c>
      <x:c r="C10224" s="0" t="s">
        <x:v>40760</x:v>
      </x:c>
      <x:c r="E10224" s="0" t="s">
        <x:v>40761</x:v>
      </x:c>
      <x:c r="F10224" s="0" t="s">
        <x:v>45</x:v>
      </x:c>
      <x:c r="G10224" s="0" t="s">
        <x:v>19</x:v>
      </x:c>
      <x:c r="H10224" s="0" t="s">
        <x:v>20</x:v>
      </x:c>
      <x:c r="I10224" s="0" t="s">
        <x:v>21</x:v>
      </x:c>
      <x:c r="K10224" s="0">
        <x:f>hyperlink("https://icd.who.int/dev11/l-ichi/en#/http%3A%2F%2Fid.who.int%2Ficd%2Fentity%2F1940793898","browser")</x:f>
      </x:c>
      <x:c r="L10224" s="0">
        <x:f>hyperlink("https://icat2.azurewebsites.net/icat/?ontology=ICD&amp;tab=ClassesTab&amp;id=http%3A%2F%2Fwho.int%2Ficd%2349566_512ebf36_bf6b_4d70_85da_cf2637062af4","iCat")</x:f>
      </x:c>
      <x:c r="M10224" s="0" t="s">
        <x:v>21</x:v>
      </x:c>
      <x:c r="N10224" s="0" t="s">
        <x:v>46</x:v>
      </x:c>
    </x:row>
    <x:row r="10225" spans="1:16">
      <x:c r="A10225" s="0" t="s">
        <x:v>40762</x:v>
      </x:c>
      <x:c r="B10225" s="0" t="s">
        <x:v>40763</x:v>
      </x:c>
      <x:c r="C10225" s="0" t="s">
        <x:v>40764</x:v>
      </x:c>
      <x:c r="E10225" s="0" t="s">
        <x:v>40765</x:v>
      </x:c>
      <x:c r="F10225" s="0" t="s">
        <x:v>45</x:v>
      </x:c>
      <x:c r="G10225" s="0" t="s">
        <x:v>19</x:v>
      </x:c>
      <x:c r="H10225" s="0" t="s">
        <x:v>20</x:v>
      </x:c>
      <x:c r="I10225" s="0" t="s">
        <x:v>21</x:v>
      </x:c>
      <x:c r="K10225" s="0">
        <x:f>hyperlink("https://icd.who.int/dev11/l-ichi/en#/http%3A%2F%2Fid.who.int%2Ficd%2Fentity%2F211093813","browser")</x:f>
      </x:c>
      <x:c r="L10225" s="0">
        <x:f>hyperlink("https://icat2.azurewebsites.net/icat/?ontology=ICD&amp;tab=ClassesTab&amp;id=http%3A%2F%2Fwho.int%2Ficd%2349573_512ebf36_bf6b_4d70_85da_cf2637062af4","iCat")</x:f>
      </x:c>
      <x:c r="M10225" s="0" t="s">
        <x:v>21</x:v>
      </x:c>
      <x:c r="N10225" s="0" t="s">
        <x:v>46</x:v>
      </x:c>
    </x:row>
    <x:row r="10226" spans="1:16">
      <x:c r="A10226" s="0" t="s">
        <x:v>40766</x:v>
      </x:c>
      <x:c r="B10226" s="0" t="s">
        <x:v>40767</x:v>
      </x:c>
      <x:c r="C10226" s="0" t="s">
        <x:v>40768</x:v>
      </x:c>
      <x:c r="E10226" s="0" t="s">
        <x:v>40769</x:v>
      </x:c>
      <x:c r="F10226" s="0" t="s">
        <x:v>45</x:v>
      </x:c>
      <x:c r="G10226" s="0" t="s">
        <x:v>19</x:v>
      </x:c>
      <x:c r="H10226" s="0" t="s">
        <x:v>20</x:v>
      </x:c>
      <x:c r="I10226" s="0" t="s">
        <x:v>21</x:v>
      </x:c>
      <x:c r="K10226" s="0">
        <x:f>hyperlink("https://icd.who.int/dev11/l-ichi/en#/http%3A%2F%2Fid.who.int%2Ficd%2Fentity%2F1727474708","browser")</x:f>
      </x:c>
      <x:c r="L10226" s="0">
        <x:f>hyperlink("https://icat2.azurewebsites.net/icat/?ontology=ICD&amp;tab=ClassesTab&amp;id=http%3A%2F%2Fwho.int%2Ficd%2349580_512ebf36_bf6b_4d70_85da_cf2637062af4","iCat")</x:f>
      </x:c>
      <x:c r="M10226" s="0" t="s">
        <x:v>21</x:v>
      </x:c>
      <x:c r="N10226" s="0" t="s">
        <x:v>46</x:v>
      </x:c>
    </x:row>
    <x:row r="10227" spans="1:16">
      <x:c r="A10227" s="0" t="s">
        <x:v>40770</x:v>
      </x:c>
      <x:c r="B10227" s="0" t="s">
        <x:v>40771</x:v>
      </x:c>
      <x:c r="C10227" s="0" t="s">
        <x:v>40772</x:v>
      </x:c>
      <x:c r="E10227" s="0" t="s">
        <x:v>40773</x:v>
      </x:c>
      <x:c r="F10227" s="0" t="s">
        <x:v>45</x:v>
      </x:c>
      <x:c r="G10227" s="0" t="s">
        <x:v>19</x:v>
      </x:c>
      <x:c r="H10227" s="0" t="s">
        <x:v>20</x:v>
      </x:c>
      <x:c r="I10227" s="0" t="s">
        <x:v>21</x:v>
      </x:c>
      <x:c r="K10227" s="0">
        <x:f>hyperlink("https://icd.who.int/dev11/l-ichi/en#/http%3A%2F%2Fid.who.int%2Ficd%2Fentity%2F376801183","browser")</x:f>
      </x:c>
      <x:c r="L10227" s="0">
        <x:f>hyperlink("https://icat2.azurewebsites.net/icat/?ontology=ICD&amp;tab=ClassesTab&amp;id=http%3A%2F%2Fwho.int%2Ficd%2349587_512ebf36_bf6b_4d70_85da_cf2637062af4","iCat")</x:f>
      </x:c>
      <x:c r="M10227" s="0" t="s">
        <x:v>21</x:v>
      </x:c>
      <x:c r="N10227" s="0" t="s">
        <x:v>46</x:v>
      </x:c>
    </x:row>
    <x:row r="10228" spans="1:16">
      <x:c r="A10228" s="0" t="s">
        <x:v>40774</x:v>
      </x:c>
      <x:c r="B10228" s="0" t="s">
        <x:v>40775</x:v>
      </x:c>
      <x:c r="C10228" s="0" t="s">
        <x:v>40776</x:v>
      </x:c>
      <x:c r="E10228" s="0" t="s">
        <x:v>40777</x:v>
      </x:c>
      <x:c r="F10228" s="0" t="s">
        <x:v>45</x:v>
      </x:c>
      <x:c r="G10228" s="0" t="s">
        <x:v>19</x:v>
      </x:c>
      <x:c r="H10228" s="0" t="s">
        <x:v>20</x:v>
      </x:c>
      <x:c r="I10228" s="0" t="s">
        <x:v>21</x:v>
      </x:c>
      <x:c r="K10228" s="0">
        <x:f>hyperlink("https://icd.who.int/dev11/l-ichi/en#/http%3A%2F%2Fid.who.int%2Ficd%2Fentity%2F959806769","browser")</x:f>
      </x:c>
      <x:c r="L10228" s="0">
        <x:f>hyperlink("https://icat2.azurewebsites.net/icat/?ontology=ICD&amp;tab=ClassesTab&amp;id=http%3A%2F%2Fwho.int%2Ficd%2349594_512ebf36_bf6b_4d70_85da_cf2637062af4","iCat")</x:f>
      </x:c>
      <x:c r="M10228" s="0" t="s">
        <x:v>21</x:v>
      </x:c>
      <x:c r="N10228" s="0" t="s">
        <x:v>46</x:v>
      </x:c>
    </x:row>
    <x:row r="10229" spans="1:16">
      <x:c r="A10229" s="0" t="s">
        <x:v>40778</x:v>
      </x:c>
      <x:c r="B10229" s="0" t="s">
        <x:v>40779</x:v>
      </x:c>
      <x:c r="C10229" s="0" t="s">
        <x:v>40780</x:v>
      </x:c>
      <x:c r="E10229" s="0" t="s">
        <x:v>40781</x:v>
      </x:c>
      <x:c r="F10229" s="0" t="s">
        <x:v>45</x:v>
      </x:c>
      <x:c r="G10229" s="0" t="s">
        <x:v>19</x:v>
      </x:c>
      <x:c r="H10229" s="0" t="s">
        <x:v>20</x:v>
      </x:c>
      <x:c r="I10229" s="0" t="s">
        <x:v>21</x:v>
      </x:c>
      <x:c r="K10229" s="0">
        <x:f>hyperlink("https://icd.who.int/dev11/l-ichi/en#/http%3A%2F%2Fid.who.int%2Ficd%2Fentity%2F945861555","browser")</x:f>
      </x:c>
      <x:c r="L10229" s="0">
        <x:f>hyperlink("https://icat2.azurewebsites.net/icat/?ontology=ICD&amp;tab=ClassesTab&amp;id=http%3A%2F%2Fwho.int%2Ficd%2349601_512ebf36_bf6b_4d70_85da_cf2637062af4","iCat")</x:f>
      </x:c>
      <x:c r="M10229" s="0" t="s">
        <x:v>21</x:v>
      </x:c>
      <x:c r="N10229" s="0" t="s">
        <x:v>46</x:v>
      </x:c>
    </x:row>
    <x:row r="10230" spans="1:16">
      <x:c r="A10230" s="0" t="s">
        <x:v>40782</x:v>
      </x:c>
      <x:c r="B10230" s="0" t="s">
        <x:v>40783</x:v>
      </x:c>
      <x:c r="C10230" s="0" t="s">
        <x:v>40784</x:v>
      </x:c>
      <x:c r="E10230" s="0" t="s">
        <x:v>40785</x:v>
      </x:c>
      <x:c r="F10230" s="0" t="s">
        <x:v>45</x:v>
      </x:c>
      <x:c r="G10230" s="0" t="s">
        <x:v>19</x:v>
      </x:c>
      <x:c r="H10230" s="0" t="s">
        <x:v>20</x:v>
      </x:c>
      <x:c r="I10230" s="0" t="s">
        <x:v>21</x:v>
      </x:c>
      <x:c r="K10230" s="0">
        <x:f>hyperlink("https://icd.who.int/dev11/l-ichi/en#/http%3A%2F%2Fid.who.int%2Ficd%2Fentity%2F1444458716","browser")</x:f>
      </x:c>
      <x:c r="L10230" s="0">
        <x:f>hyperlink("https://icat2.azurewebsites.net/icat/?ontology=ICD&amp;tab=ClassesTab&amp;id=http%3A%2F%2Fwho.int%2Ficd%2349608_512ebf36_bf6b_4d70_85da_cf2637062af4","iCat")</x:f>
      </x:c>
      <x:c r="M10230" s="0" t="s">
        <x:v>21</x:v>
      </x:c>
      <x:c r="N10230" s="0" t="s">
        <x:v>46</x:v>
      </x:c>
    </x:row>
    <x:row r="10231" spans="1:16">
      <x:c r="A10231" s="0" t="s">
        <x:v>40786</x:v>
      </x:c>
      <x:c r="B10231" s="0" t="s">
        <x:v>40787</x:v>
      </x:c>
      <x:c r="C10231" s="0" t="s">
        <x:v>40788</x:v>
      </x:c>
      <x:c r="E10231" s="0" t="s">
        <x:v>40789</x:v>
      </x:c>
      <x:c r="F10231" s="0" t="s">
        <x:v>45</x:v>
      </x:c>
      <x:c r="G10231" s="0" t="s">
        <x:v>19</x:v>
      </x:c>
      <x:c r="H10231" s="0" t="s">
        <x:v>20</x:v>
      </x:c>
      <x:c r="I10231" s="0" t="s">
        <x:v>21</x:v>
      </x:c>
      <x:c r="K10231" s="0">
        <x:f>hyperlink("https://icd.who.int/dev11/l-ichi/en#/http%3A%2F%2Fid.who.int%2Ficd%2Fentity%2F1738728082","browser")</x:f>
      </x:c>
      <x:c r="L10231" s="0">
        <x:f>hyperlink("https://icat2.azurewebsites.net/icat/?ontology=ICD&amp;tab=ClassesTab&amp;id=http%3A%2F%2Fwho.int%2Ficd%2349615_512ebf36_bf6b_4d70_85da_cf2637062af4","iCat")</x:f>
      </x:c>
      <x:c r="M10231" s="0" t="s">
        <x:v>21</x:v>
      </x:c>
      <x:c r="N10231" s="0" t="s">
        <x:v>46</x:v>
      </x:c>
    </x:row>
    <x:row r="10232" spans="1:16">
      <x:c r="A10232" s="0" t="s">
        <x:v>40790</x:v>
      </x:c>
      <x:c r="B10232" s="0" t="s">
        <x:v>40791</x:v>
      </x:c>
      <x:c r="C10232" s="0" t="s">
        <x:v>40792</x:v>
      </x:c>
      <x:c r="E10232" s="0" t="s">
        <x:v>40793</x:v>
      </x:c>
      <x:c r="F10232" s="0" t="s">
        <x:v>45</x:v>
      </x:c>
      <x:c r="G10232" s="0" t="s">
        <x:v>19</x:v>
      </x:c>
      <x:c r="H10232" s="0" t="s">
        <x:v>20</x:v>
      </x:c>
      <x:c r="I10232" s="0" t="s">
        <x:v>21</x:v>
      </x:c>
      <x:c r="K10232" s="0">
        <x:f>hyperlink("https://icd.who.int/dev11/l-ichi/en#/http%3A%2F%2Fid.who.int%2Ficd%2Fentity%2F1469122842","browser")</x:f>
      </x:c>
      <x:c r="L10232" s="0">
        <x:f>hyperlink("https://icat2.azurewebsites.net/icat/?ontology=ICD&amp;tab=ClassesTab&amp;id=http%3A%2F%2Fwho.int%2Ficd%2349622_512ebf36_bf6b_4d70_85da_cf2637062af4","iCat")</x:f>
      </x:c>
      <x:c r="M10232" s="0" t="s">
        <x:v>21</x:v>
      </x:c>
      <x:c r="N10232" s="0" t="s">
        <x:v>46</x:v>
      </x:c>
    </x:row>
    <x:row r="10233" spans="1:16">
      <x:c r="A10233" s="0" t="s">
        <x:v>40794</x:v>
      </x:c>
      <x:c r="B10233" s="0" t="s">
        <x:v>40795</x:v>
      </x:c>
      <x:c r="C10233" s="0" t="s">
        <x:v>40796</x:v>
      </x:c>
      <x:c r="E10233" s="0" t="s">
        <x:v>40797</x:v>
      </x:c>
      <x:c r="F10233" s="0" t="s">
        <x:v>45</x:v>
      </x:c>
      <x:c r="G10233" s="0" t="s">
        <x:v>19</x:v>
      </x:c>
      <x:c r="H10233" s="0" t="s">
        <x:v>20</x:v>
      </x:c>
      <x:c r="I10233" s="0" t="s">
        <x:v>21</x:v>
      </x:c>
      <x:c r="K10233" s="0">
        <x:f>hyperlink("https://icd.who.int/dev11/l-ichi/en#/http%3A%2F%2Fid.who.int%2Ficd%2Fentity%2F1553274808","browser")</x:f>
      </x:c>
      <x:c r="L10233" s="0">
        <x:f>hyperlink("https://icat2.azurewebsites.net/icat/?ontology=ICD&amp;tab=ClassesTab&amp;id=http%3A%2F%2Fwho.int%2Ficd%2349629_512ebf36_bf6b_4d70_85da_cf2637062af4","iCat")</x:f>
      </x:c>
      <x:c r="M10233" s="0" t="s">
        <x:v>21</x:v>
      </x:c>
      <x:c r="N10233" s="0" t="s">
        <x:v>46</x:v>
      </x:c>
    </x:row>
    <x:row r="10234" spans="1:16">
      <x:c r="A10234" s="0" t="s">
        <x:v>40798</x:v>
      </x:c>
      <x:c r="B10234" s="0" t="s">
        <x:v>40799</x:v>
      </x:c>
      <x:c r="C10234" s="0" t="s">
        <x:v>40800</x:v>
      </x:c>
      <x:c r="E10234" s="0" t="s">
        <x:v>40801</x:v>
      </x:c>
      <x:c r="F10234" s="0" t="s">
        <x:v>45</x:v>
      </x:c>
      <x:c r="G10234" s="0" t="s">
        <x:v>19</x:v>
      </x:c>
      <x:c r="H10234" s="0" t="s">
        <x:v>20</x:v>
      </x:c>
      <x:c r="I10234" s="0" t="s">
        <x:v>21</x:v>
      </x:c>
      <x:c r="K10234" s="0">
        <x:f>hyperlink("https://icd.who.int/dev11/l-ichi/en#/http%3A%2F%2Fid.who.int%2Ficd%2Fentity%2F139679801","browser")</x:f>
      </x:c>
      <x:c r="L10234" s="0">
        <x:f>hyperlink("https://icat2.azurewebsites.net/icat/?ontology=ICD&amp;tab=ClassesTab&amp;id=http%3A%2F%2Fwho.int%2Ficd%2349636_512ebf36_bf6b_4d70_85da_cf2637062af4","iCat")</x:f>
      </x:c>
      <x:c r="M10234" s="0" t="s">
        <x:v>21</x:v>
      </x:c>
      <x:c r="N10234" s="0" t="s">
        <x:v>46</x:v>
      </x:c>
    </x:row>
    <x:row r="10235" spans="1:16">
      <x:c r="A10235" s="0" t="s">
        <x:v>40802</x:v>
      </x:c>
      <x:c r="B10235" s="0" t="s">
        <x:v>40803</x:v>
      </x:c>
      <x:c r="C10235" s="0" t="s">
        <x:v>40804</x:v>
      </x:c>
      <x:c r="E10235" s="0" t="s">
        <x:v>40805</x:v>
      </x:c>
      <x:c r="F10235" s="0" t="s">
        <x:v>45</x:v>
      </x:c>
      <x:c r="G10235" s="0" t="s">
        <x:v>19</x:v>
      </x:c>
      <x:c r="H10235" s="0" t="s">
        <x:v>20</x:v>
      </x:c>
      <x:c r="I10235" s="0" t="s">
        <x:v>21</x:v>
      </x:c>
      <x:c r="K10235" s="0">
        <x:f>hyperlink("https://icd.who.int/dev11/l-ichi/en#/http%3A%2F%2Fid.who.int%2Ficd%2Fentity%2F763100523","browser")</x:f>
      </x:c>
      <x:c r="L10235" s="0">
        <x:f>hyperlink("https://icat2.azurewebsites.net/icat/?ontology=ICD&amp;tab=ClassesTab&amp;id=http%3A%2F%2Fwho.int%2Ficd%2349643_512ebf36_bf6b_4d70_85da_cf2637062af4","iCat")</x:f>
      </x:c>
      <x:c r="M10235" s="0" t="s">
        <x:v>21</x:v>
      </x:c>
      <x:c r="N10235" s="0" t="s">
        <x:v>46</x:v>
      </x:c>
    </x:row>
    <x:row r="10236" spans="1:16">
      <x:c r="A10236" s="0" t="s">
        <x:v>40806</x:v>
      </x:c>
      <x:c r="B10236" s="0" t="s">
        <x:v>40807</x:v>
      </x:c>
      <x:c r="C10236" s="0" t="s">
        <x:v>40808</x:v>
      </x:c>
      <x:c r="E10236" s="0" t="s">
        <x:v>40809</x:v>
      </x:c>
      <x:c r="F10236" s="0" t="s">
        <x:v>45</x:v>
      </x:c>
      <x:c r="G10236" s="0" t="s">
        <x:v>19</x:v>
      </x:c>
      <x:c r="H10236" s="0" t="s">
        <x:v>20</x:v>
      </x:c>
      <x:c r="I10236" s="0" t="s">
        <x:v>21</x:v>
      </x:c>
      <x:c r="K10236" s="0">
        <x:f>hyperlink("https://icd.who.int/dev11/l-ichi/en#/http%3A%2F%2Fid.who.int%2Ficd%2Fentity%2F37423045","browser")</x:f>
      </x:c>
      <x:c r="L10236" s="0">
        <x:f>hyperlink("https://icat2.azurewebsites.net/icat/?ontology=ICD&amp;tab=ClassesTab&amp;id=http%3A%2F%2Fwho.int%2Ficd%2349650_512ebf36_bf6b_4d70_85da_cf2637062af4","iCat")</x:f>
      </x:c>
      <x:c r="M10236" s="0" t="s">
        <x:v>21</x:v>
      </x:c>
      <x:c r="N10236" s="0" t="s">
        <x:v>46</x:v>
      </x:c>
    </x:row>
    <x:row r="10237" spans="1:16">
      <x:c r="A10237" s="0" t="s">
        <x:v>40810</x:v>
      </x:c>
      <x:c r="B10237" s="0" t="s">
        <x:v>40811</x:v>
      </x:c>
      <x:c r="C10237" s="0" t="s">
        <x:v>40812</x:v>
      </x:c>
      <x:c r="E10237" s="0" t="s">
        <x:v>40813</x:v>
      </x:c>
      <x:c r="F10237" s="0" t="s">
        <x:v>45</x:v>
      </x:c>
      <x:c r="G10237" s="0" t="s">
        <x:v>19</x:v>
      </x:c>
      <x:c r="H10237" s="0" t="s">
        <x:v>20</x:v>
      </x:c>
      <x:c r="I10237" s="0" t="s">
        <x:v>21</x:v>
      </x:c>
      <x:c r="K10237" s="0">
        <x:f>hyperlink("https://icd.who.int/dev11/l-ichi/en#/http%3A%2F%2Fid.who.int%2Ficd%2Fentity%2F1924770890","browser")</x:f>
      </x:c>
      <x:c r="L10237" s="0">
        <x:f>hyperlink("https://icat2.azurewebsites.net/icat/?ontology=ICD&amp;tab=ClassesTab&amp;id=http%3A%2F%2Fwho.int%2Ficd%2349657_512ebf36_bf6b_4d70_85da_cf2637062af4","iCat")</x:f>
      </x:c>
      <x:c r="M10237" s="0" t="s">
        <x:v>21</x:v>
      </x:c>
      <x:c r="N10237" s="0" t="s">
        <x:v>46</x:v>
      </x:c>
    </x:row>
    <x:row r="10238" spans="1:16">
      <x:c r="A10238" s="0" t="s">
        <x:v>40814</x:v>
      </x:c>
      <x:c r="B10238" s="0" t="s">
        <x:v>40815</x:v>
      </x:c>
      <x:c r="C10238" s="0" t="s">
        <x:v>40816</x:v>
      </x:c>
      <x:c r="E10238" s="0" t="s">
        <x:v>40817</x:v>
      </x:c>
      <x:c r="F10238" s="0" t="s">
        <x:v>45</x:v>
      </x:c>
      <x:c r="G10238" s="0" t="s">
        <x:v>19</x:v>
      </x:c>
      <x:c r="H10238" s="0" t="s">
        <x:v>20</x:v>
      </x:c>
      <x:c r="I10238" s="0" t="s">
        <x:v>21</x:v>
      </x:c>
      <x:c r="K10238" s="0">
        <x:f>hyperlink("https://icd.who.int/dev11/l-ichi/en#/http%3A%2F%2Fid.who.int%2Ficd%2Fentity%2F2005763000","browser")</x:f>
      </x:c>
      <x:c r="L10238" s="0">
        <x:f>hyperlink("https://icat2.azurewebsites.net/icat/?ontology=ICD&amp;tab=ClassesTab&amp;id=http%3A%2F%2Fwho.int%2Ficd%2349664_512ebf36_bf6b_4d70_85da_cf2637062af4","iCat")</x:f>
      </x:c>
      <x:c r="M10238" s="0" t="s">
        <x:v>21</x:v>
      </x:c>
      <x:c r="N10238" s="0" t="s">
        <x:v>46</x:v>
      </x:c>
    </x:row>
    <x:row r="10239" spans="1:16">
      <x:c r="A10239" s="0" t="s">
        <x:v>40818</x:v>
      </x:c>
      <x:c r="B10239" s="0" t="s">
        <x:v>40819</x:v>
      </x:c>
      <x:c r="C10239" s="0" t="s">
        <x:v>40820</x:v>
      </x:c>
      <x:c r="E10239" s="0" t="s">
        <x:v>40821</x:v>
      </x:c>
      <x:c r="F10239" s="0" t="s">
        <x:v>45</x:v>
      </x:c>
      <x:c r="G10239" s="0" t="s">
        <x:v>19</x:v>
      </x:c>
      <x:c r="H10239" s="0" t="s">
        <x:v>20</x:v>
      </x:c>
      <x:c r="I10239" s="0" t="s">
        <x:v>21</x:v>
      </x:c>
      <x:c r="K10239" s="0">
        <x:f>hyperlink("https://icd.who.int/dev11/l-ichi/en#/http%3A%2F%2Fid.who.int%2Ficd%2Fentity%2F696821094","browser")</x:f>
      </x:c>
      <x:c r="L10239" s="0">
        <x:f>hyperlink("https://icat2.azurewebsites.net/icat/?ontology=ICD&amp;tab=ClassesTab&amp;id=http%3A%2F%2Fwho.int%2Ficd%235262_d85a204c_d00a_4566_a3b7_2d137a1891cf","iCat")</x:f>
      </x:c>
      <x:c r="M10239" s="0" t="s">
        <x:v>21</x:v>
      </x:c>
      <x:c r="N10239" s="0" t="s">
        <x:v>46</x:v>
      </x:c>
    </x:row>
    <x:row r="10240" spans="1:16">
      <x:c r="A10240" s="0" t="s">
        <x:v>40822</x:v>
      </x:c>
      <x:c r="B10240" s="0" t="s">
        <x:v>40823</x:v>
      </x:c>
      <x:c r="C10240" s="0" t="s">
        <x:v>40824</x:v>
      </x:c>
      <x:c r="E10240" s="0" t="s">
        <x:v>40825</x:v>
      </x:c>
      <x:c r="F10240" s="0" t="s">
        <x:v>45</x:v>
      </x:c>
      <x:c r="G10240" s="0" t="s">
        <x:v>19</x:v>
      </x:c>
      <x:c r="H10240" s="0" t="s">
        <x:v>20</x:v>
      </x:c>
      <x:c r="I10240" s="0" t="s">
        <x:v>21</x:v>
      </x:c>
      <x:c r="K10240" s="0">
        <x:f>hyperlink("https://icd.who.int/dev11/l-ichi/en#/http%3A%2F%2Fid.who.int%2Ficd%2Fentity%2F41273846","browser")</x:f>
      </x:c>
      <x:c r="L10240" s="0">
        <x:f>hyperlink("https://icat2.azurewebsites.net/icat/?ontology=ICD&amp;tab=ClassesTab&amp;id=http%3A%2F%2Fwho.int%2Ficd%235268_d85a204c_d00a_4566_a3b7_2d137a1891cf","iCat")</x:f>
      </x:c>
      <x:c r="M10240" s="0" t="s">
        <x:v>21</x:v>
      </x:c>
      <x:c r="N10240" s="0" t="s">
        <x:v>46</x:v>
      </x:c>
    </x:row>
    <x:row r="10241" spans="1:16">
      <x:c r="A10241" s="0" t="s">
        <x:v>40826</x:v>
      </x:c>
      <x:c r="B10241" s="0" t="s">
        <x:v>40827</x:v>
      </x:c>
      <x:c r="C10241" s="0" t="s">
        <x:v>40828</x:v>
      </x:c>
      <x:c r="E10241" s="0" t="s">
        <x:v>40829</x:v>
      </x:c>
      <x:c r="F10241" s="0" t="s">
        <x:v>45</x:v>
      </x:c>
      <x:c r="G10241" s="0" t="s">
        <x:v>19</x:v>
      </x:c>
      <x:c r="H10241" s="0" t="s">
        <x:v>20</x:v>
      </x:c>
      <x:c r="I10241" s="0" t="s">
        <x:v>21</x:v>
      </x:c>
      <x:c r="K10241" s="0">
        <x:f>hyperlink("https://icd.who.int/dev11/l-ichi/en#/http%3A%2F%2Fid.who.int%2Ficd%2Fentity%2F146186409","browser")</x:f>
      </x:c>
      <x:c r="L10241" s="0">
        <x:f>hyperlink("https://icat2.azurewebsites.net/icat/?ontology=ICD&amp;tab=ClassesTab&amp;id=http%3A%2F%2Fwho.int%2Ficd%2349671_512ebf36_bf6b_4d70_85da_cf2637062af4","iCat")</x:f>
      </x:c>
      <x:c r="M10241" s="0" t="s">
        <x:v>21</x:v>
      </x:c>
      <x:c r="N10241" s="0" t="s">
        <x:v>46</x:v>
      </x:c>
    </x:row>
    <x:row r="10242" spans="1:16">
      <x:c r="A10242" s="0" t="s">
        <x:v>40830</x:v>
      </x:c>
      <x:c r="B10242" s="0" t="s">
        <x:v>40831</x:v>
      </x:c>
      <x:c r="C10242" s="0" t="s">
        <x:v>40832</x:v>
      </x:c>
      <x:c r="E10242" s="0" t="s">
        <x:v>40833</x:v>
      </x:c>
      <x:c r="F10242" s="0" t="s">
        <x:v>45</x:v>
      </x:c>
      <x:c r="G10242" s="0" t="s">
        <x:v>19</x:v>
      </x:c>
      <x:c r="H10242" s="0" t="s">
        <x:v>20</x:v>
      </x:c>
      <x:c r="I10242" s="0" t="s">
        <x:v>21</x:v>
      </x:c>
      <x:c r="K10242" s="0">
        <x:f>hyperlink("https://icd.who.int/dev11/l-ichi/en#/http%3A%2F%2Fid.who.int%2Ficd%2Fentity%2F1724818368","browser")</x:f>
      </x:c>
      <x:c r="L10242" s="0">
        <x:f>hyperlink("https://icat2.azurewebsites.net/icat/?ontology=ICD&amp;tab=ClassesTab&amp;id=http%3A%2F%2Fwho.int%2Ficd%2349678_512ebf36_bf6b_4d70_85da_cf2637062af4","iCat")</x:f>
      </x:c>
      <x:c r="M10242" s="0" t="s">
        <x:v>21</x:v>
      </x:c>
      <x:c r="N10242" s="0" t="s">
        <x:v>46</x:v>
      </x:c>
    </x:row>
    <x:row r="10243" spans="1:16">
      <x:c r="A10243" s="0" t="s">
        <x:v>40834</x:v>
      </x:c>
      <x:c r="B10243" s="0" t="s">
        <x:v>40835</x:v>
      </x:c>
      <x:c r="C10243" s="0" t="s">
        <x:v>40836</x:v>
      </x:c>
      <x:c r="E10243" s="0" t="s">
        <x:v>40837</x:v>
      </x:c>
      <x:c r="F10243" s="0" t="s">
        <x:v>45</x:v>
      </x:c>
      <x:c r="G10243" s="0" t="s">
        <x:v>19</x:v>
      </x:c>
      <x:c r="H10243" s="0" t="s">
        <x:v>20</x:v>
      </x:c>
      <x:c r="I10243" s="0" t="s">
        <x:v>21</x:v>
      </x:c>
      <x:c r="K10243" s="0">
        <x:f>hyperlink("https://icd.who.int/dev11/l-ichi/en#/http%3A%2F%2Fid.who.int%2Ficd%2Fentity%2F1692003111","browser")</x:f>
      </x:c>
      <x:c r="L10243" s="0">
        <x:f>hyperlink("https://icat2.azurewebsites.net/icat/?ontology=ICD&amp;tab=ClassesTab&amp;id=http%3A%2F%2Fwho.int%2Ficd%23153_3c64dd61_a787_4b69_a0aa_c26ee473e65a","iCat")</x:f>
      </x:c>
      <x:c r="M10243" s="0" t="s">
        <x:v>21</x:v>
      </x:c>
      <x:c r="N10243" s="0" t="s">
        <x:v>46</x:v>
      </x:c>
    </x:row>
    <x:row r="10244" spans="1:16">
      <x:c r="A10244" s="0" t="s">
        <x:v>40838</x:v>
      </x:c>
      <x:c r="B10244" s="0" t="s">
        <x:v>40839</x:v>
      </x:c>
      <x:c r="C10244" s="0" t="s">
        <x:v>40840</x:v>
      </x:c>
      <x:c r="E10244" s="0" t="s">
        <x:v>40841</x:v>
      </x:c>
      <x:c r="F10244" s="0" t="s">
        <x:v>45</x:v>
      </x:c>
      <x:c r="G10244" s="0" t="s">
        <x:v>19</x:v>
      </x:c>
      <x:c r="H10244" s="0" t="s">
        <x:v>20</x:v>
      </x:c>
      <x:c r="I10244" s="0" t="s">
        <x:v>21</x:v>
      </x:c>
      <x:c r="K10244" s="0">
        <x:f>hyperlink("https://icd.who.int/dev11/l-ichi/en#/http%3A%2F%2Fid.who.int%2Ficd%2Fentity%2F307637763","browser")</x:f>
      </x:c>
      <x:c r="L10244" s="0">
        <x:f>hyperlink("https://icat2.azurewebsites.net/icat/?ontology=ICD&amp;tab=ClassesTab&amp;id=http%3A%2F%2Fwho.int%2Ficd%2349685_512ebf36_bf6b_4d70_85da_cf2637062af4","iCat")</x:f>
      </x:c>
      <x:c r="M10244" s="0" t="s">
        <x:v>21</x:v>
      </x:c>
      <x:c r="N10244" s="0" t="s">
        <x:v>46</x:v>
      </x:c>
    </x:row>
    <x:row r="10245" spans="1:16">
      <x:c r="A10245" s="0" t="s">
        <x:v>40842</x:v>
      </x:c>
      <x:c r="B10245" s="0" t="s">
        <x:v>40843</x:v>
      </x:c>
      <x:c r="C10245" s="0" t="s">
        <x:v>40844</x:v>
      </x:c>
      <x:c r="E10245" s="0" t="s">
        <x:v>40845</x:v>
      </x:c>
      <x:c r="F10245" s="0" t="s">
        <x:v>45</x:v>
      </x:c>
      <x:c r="G10245" s="0" t="s">
        <x:v>19</x:v>
      </x:c>
      <x:c r="H10245" s="0" t="s">
        <x:v>20</x:v>
      </x:c>
      <x:c r="I10245" s="0" t="s">
        <x:v>21</x:v>
      </x:c>
      <x:c r="K10245" s="0">
        <x:f>hyperlink("https://icd.who.int/dev11/l-ichi/en#/http%3A%2F%2Fid.who.int%2Ficd%2Fentity%2F135336153","browser")</x:f>
      </x:c>
      <x:c r="L10245" s="0">
        <x:f>hyperlink("https://icat2.azurewebsites.net/icat/?ontology=ICD&amp;tab=ClassesTab&amp;id=http%3A%2F%2Fwho.int%2Ficd%2349692_512ebf36_bf6b_4d70_85da_cf2637062af4","iCat")</x:f>
      </x:c>
      <x:c r="M10245" s="0" t="s">
        <x:v>21</x:v>
      </x:c>
      <x:c r="N10245" s="0" t="s">
        <x:v>46</x:v>
      </x:c>
    </x:row>
    <x:row r="10246" spans="1:16">
      <x:c r="A10246" s="0" t="s">
        <x:v>40846</x:v>
      </x:c>
      <x:c r="B10246" s="0" t="s">
        <x:v>40847</x:v>
      </x:c>
      <x:c r="C10246" s="0" t="s">
        <x:v>40848</x:v>
      </x:c>
      <x:c r="E10246" s="0" t="s">
        <x:v>40849</x:v>
      </x:c>
      <x:c r="F10246" s="0" t="s">
        <x:v>45</x:v>
      </x:c>
      <x:c r="G10246" s="0" t="s">
        <x:v>19</x:v>
      </x:c>
      <x:c r="H10246" s="0" t="s">
        <x:v>20</x:v>
      </x:c>
      <x:c r="I10246" s="0" t="s">
        <x:v>21</x:v>
      </x:c>
      <x:c r="K10246" s="0">
        <x:f>hyperlink("https://icd.who.int/dev11/l-ichi/en#/http%3A%2F%2Fid.who.int%2Ficd%2Fentity%2F51711605","browser")</x:f>
      </x:c>
      <x:c r="L10246" s="0">
        <x:f>hyperlink("https://icat2.azurewebsites.net/icat/?ontology=ICD&amp;tab=ClassesTab&amp;id=http%3A%2F%2Fwho.int%2Ficd%2349699_512ebf36_bf6b_4d70_85da_cf2637062af4","iCat")</x:f>
      </x:c>
      <x:c r="M10246" s="0" t="s">
        <x:v>21</x:v>
      </x:c>
      <x:c r="N10246" s="0" t="s">
        <x:v>46</x:v>
      </x:c>
    </x:row>
    <x:row r="10247" spans="1:16">
      <x:c r="A10247" s="0" t="s">
        <x:v>40850</x:v>
      </x:c>
      <x:c r="B10247" s="0" t="s">
        <x:v>40851</x:v>
      </x:c>
      <x:c r="C10247" s="0" t="s">
        <x:v>40852</x:v>
      </x:c>
      <x:c r="E10247" s="0" t="s">
        <x:v>40853</x:v>
      </x:c>
      <x:c r="F10247" s="0" t="s">
        <x:v>45</x:v>
      </x:c>
      <x:c r="G10247" s="0" t="s">
        <x:v>19</x:v>
      </x:c>
      <x:c r="H10247" s="0" t="s">
        <x:v>20</x:v>
      </x:c>
      <x:c r="I10247" s="0" t="s">
        <x:v>21</x:v>
      </x:c>
      <x:c r="K10247" s="0">
        <x:f>hyperlink("https://icd.who.int/dev11/l-ichi/en#/http%3A%2F%2Fid.who.int%2Ficd%2Fentity%2F1031659171","browser")</x:f>
      </x:c>
      <x:c r="L10247" s="0">
        <x:f>hyperlink("https://icat2.azurewebsites.net/icat/?ontology=ICD&amp;tab=ClassesTab&amp;id=http%3A%2F%2Fwho.int%2Ficd%2349706_512ebf36_bf6b_4d70_85da_cf2637062af4","iCat")</x:f>
      </x:c>
      <x:c r="M10247" s="0" t="s">
        <x:v>21</x:v>
      </x:c>
      <x:c r="N10247" s="0" t="s">
        <x:v>46</x:v>
      </x:c>
    </x:row>
    <x:row r="10248" spans="1:16">
      <x:c r="A10248" s="0" t="s">
        <x:v>40854</x:v>
      </x:c>
      <x:c r="B10248" s="0" t="s">
        <x:v>40855</x:v>
      </x:c>
      <x:c r="C10248" s="0" t="s">
        <x:v>40856</x:v>
      </x:c>
      <x:c r="E10248" s="0" t="s">
        <x:v>40857</x:v>
      </x:c>
      <x:c r="F10248" s="0" t="s">
        <x:v>45</x:v>
      </x:c>
      <x:c r="G10248" s="0" t="s">
        <x:v>19</x:v>
      </x:c>
      <x:c r="H10248" s="0" t="s">
        <x:v>20</x:v>
      </x:c>
      <x:c r="I10248" s="0" t="s">
        <x:v>21</x:v>
      </x:c>
      <x:c r="K10248" s="0">
        <x:f>hyperlink("https://icd.who.int/dev11/l-ichi/en#/http%3A%2F%2Fid.who.int%2Ficd%2Fentity%2F1111948732","browser")</x:f>
      </x:c>
      <x:c r="L10248" s="0">
        <x:f>hyperlink("https://icat2.azurewebsites.net/icat/?ontology=ICD&amp;tab=ClassesTab&amp;id=http%3A%2F%2Fwho.int%2Ficd%2349713_512ebf36_bf6b_4d70_85da_cf2637062af4","iCat")</x:f>
      </x:c>
      <x:c r="M10248" s="0" t="s">
        <x:v>21</x:v>
      </x:c>
      <x:c r="N10248" s="0" t="s">
        <x:v>46</x:v>
      </x:c>
    </x:row>
    <x:row r="10249" spans="1:16">
      <x:c r="A10249" s="0" t="s">
        <x:v>40858</x:v>
      </x:c>
      <x:c r="B10249" s="0" t="s">
        <x:v>40859</x:v>
      </x:c>
      <x:c r="C10249" s="0" t="s">
        <x:v>40860</x:v>
      </x:c>
      <x:c r="E10249" s="0" t="s">
        <x:v>40861</x:v>
      </x:c>
      <x:c r="F10249" s="0" t="s">
        <x:v>45</x:v>
      </x:c>
      <x:c r="G10249" s="0" t="s">
        <x:v>19</x:v>
      </x:c>
      <x:c r="H10249" s="0" t="s">
        <x:v>20</x:v>
      </x:c>
      <x:c r="I10249" s="0" t="s">
        <x:v>21</x:v>
      </x:c>
      <x:c r="K10249" s="0">
        <x:f>hyperlink("https://icd.who.int/dev11/l-ichi/en#/http%3A%2F%2Fid.who.int%2Ficd%2Fentity%2F1198707266","browser")</x:f>
      </x:c>
      <x:c r="L10249" s="0">
        <x:f>hyperlink("https://icat2.azurewebsites.net/icat/?ontology=ICD&amp;tab=ClassesTab&amp;id=http%3A%2F%2Fwho.int%2Ficd%2349720_512ebf36_bf6b_4d70_85da_cf2637062af4","iCat")</x:f>
      </x:c>
      <x:c r="M10249" s="0" t="s">
        <x:v>21</x:v>
      </x:c>
      <x:c r="N10249" s="0" t="s">
        <x:v>46</x:v>
      </x:c>
    </x:row>
    <x:row r="10250" spans="1:16">
      <x:c r="A10250" s="0" t="s">
        <x:v>40862</x:v>
      </x:c>
      <x:c r="B10250" s="0" t="s">
        <x:v>40863</x:v>
      </x:c>
      <x:c r="C10250" s="0" t="s">
        <x:v>40864</x:v>
      </x:c>
      <x:c r="E10250" s="0" t="s">
        <x:v>40865</x:v>
      </x:c>
      <x:c r="F10250" s="0" t="s">
        <x:v>45</x:v>
      </x:c>
      <x:c r="G10250" s="0" t="s">
        <x:v>19</x:v>
      </x:c>
      <x:c r="H10250" s="0" t="s">
        <x:v>20</x:v>
      </x:c>
      <x:c r="I10250" s="0" t="s">
        <x:v>21</x:v>
      </x:c>
      <x:c r="K10250" s="0">
        <x:f>hyperlink("https://icd.who.int/dev11/l-ichi/en#/http%3A%2F%2Fid.who.int%2Ficd%2Fentity%2F938506703","browser")</x:f>
      </x:c>
      <x:c r="L10250" s="0">
        <x:f>hyperlink("https://icat2.azurewebsites.net/icat/?ontology=ICD&amp;tab=ClassesTab&amp;id=http%3A%2F%2Fwho.int%2Ficd%2349727_512ebf36_bf6b_4d70_85da_cf2637062af4","iCat")</x:f>
      </x:c>
      <x:c r="M10250" s="0" t="s">
        <x:v>21</x:v>
      </x:c>
      <x:c r="N10250" s="0" t="s">
        <x:v>46</x:v>
      </x:c>
    </x:row>
    <x:row r="10251" spans="1:16">
      <x:c r="A10251" s="0" t="s">
        <x:v>40866</x:v>
      </x:c>
      <x:c r="B10251" s="0" t="s">
        <x:v>40867</x:v>
      </x:c>
      <x:c r="C10251" s="0" t="s">
        <x:v>40868</x:v>
      </x:c>
      <x:c r="E10251" s="0" t="s">
        <x:v>40869</x:v>
      </x:c>
      <x:c r="F10251" s="0" t="s">
        <x:v>45</x:v>
      </x:c>
      <x:c r="G10251" s="0" t="s">
        <x:v>19</x:v>
      </x:c>
      <x:c r="H10251" s="0" t="s">
        <x:v>20</x:v>
      </x:c>
      <x:c r="I10251" s="0" t="s">
        <x:v>21</x:v>
      </x:c>
      <x:c r="K10251" s="0">
        <x:f>hyperlink("https://icd.who.int/dev11/l-ichi/en#/http%3A%2F%2Fid.who.int%2Ficd%2Fentity%2F414221153","browser")</x:f>
      </x:c>
      <x:c r="L10251" s="0">
        <x:f>hyperlink("https://icat2.azurewebsites.net/icat/?ontology=ICD&amp;tab=ClassesTab&amp;id=http%3A%2F%2Fwho.int%2Ficd%2349734_512ebf36_bf6b_4d70_85da_cf2637062af4","iCat")</x:f>
      </x:c>
      <x:c r="M10251" s="0" t="s">
        <x:v>21</x:v>
      </x:c>
      <x:c r="N10251" s="0" t="s">
        <x:v>46</x:v>
      </x:c>
    </x:row>
    <x:row r="10252" spans="1:16">
      <x:c r="A10252" s="0" t="s">
        <x:v>40870</x:v>
      </x:c>
      <x:c r="B10252" s="0" t="s">
        <x:v>40871</x:v>
      </x:c>
      <x:c r="C10252" s="0" t="s">
        <x:v>40872</x:v>
      </x:c>
      <x:c r="E10252" s="0" t="s">
        <x:v>40873</x:v>
      </x:c>
      <x:c r="F10252" s="0" t="s">
        <x:v>45</x:v>
      </x:c>
      <x:c r="G10252" s="0" t="s">
        <x:v>19</x:v>
      </x:c>
      <x:c r="H10252" s="0" t="s">
        <x:v>20</x:v>
      </x:c>
      <x:c r="I10252" s="0" t="s">
        <x:v>21</x:v>
      </x:c>
      <x:c r="K10252" s="0">
        <x:f>hyperlink("https://icd.who.int/dev11/l-ichi/en#/http%3A%2F%2Fid.who.int%2Ficd%2Fentity%2F1033381427","browser")</x:f>
      </x:c>
      <x:c r="L10252" s="0">
        <x:f>hyperlink("https://icat2.azurewebsites.net/icat/?ontology=ICD&amp;tab=ClassesTab&amp;id=http%3A%2F%2Fwho.int%2Ficd%2349741_512ebf36_bf6b_4d70_85da_cf2637062af4","iCat")</x:f>
      </x:c>
      <x:c r="M10252" s="0" t="s">
        <x:v>21</x:v>
      </x:c>
      <x:c r="N10252" s="0" t="s">
        <x:v>46</x:v>
      </x:c>
    </x:row>
    <x:row r="10253" spans="1:16">
      <x:c r="A10253" s="0" t="s">
        <x:v>40874</x:v>
      </x:c>
      <x:c r="B10253" s="0" t="s">
        <x:v>40875</x:v>
      </x:c>
      <x:c r="C10253" s="0" t="s">
        <x:v>40876</x:v>
      </x:c>
      <x:c r="E10253" s="0" t="s">
        <x:v>40877</x:v>
      </x:c>
      <x:c r="F10253" s="0" t="s">
        <x:v>45</x:v>
      </x:c>
      <x:c r="G10253" s="0" t="s">
        <x:v>19</x:v>
      </x:c>
      <x:c r="H10253" s="0" t="s">
        <x:v>20</x:v>
      </x:c>
      <x:c r="I10253" s="0" t="s">
        <x:v>21</x:v>
      </x:c>
      <x:c r="K10253" s="0">
        <x:f>hyperlink("https://icd.who.int/dev11/l-ichi/en#/http%3A%2F%2Fid.who.int%2Ficd%2Fentity%2F1407198556","browser")</x:f>
      </x:c>
      <x:c r="L10253" s="0">
        <x:f>hyperlink("https://icat2.azurewebsites.net/icat/?ontology=ICD&amp;tab=ClassesTab&amp;id=http%3A%2F%2Fwho.int%2Ficd%2349748_512ebf36_bf6b_4d70_85da_cf2637062af4","iCat")</x:f>
      </x:c>
      <x:c r="M10253" s="0" t="s">
        <x:v>21</x:v>
      </x:c>
      <x:c r="N10253" s="0" t="s">
        <x:v>46</x:v>
      </x:c>
    </x:row>
    <x:row r="10254" spans="1:16">
      <x:c r="A10254" s="0" t="s">
        <x:v>40878</x:v>
      </x:c>
      <x:c r="B10254" s="0" t="s">
        <x:v>40879</x:v>
      </x:c>
      <x:c r="C10254" s="0" t="s">
        <x:v>40880</x:v>
      </x:c>
      <x:c r="E10254" s="0" t="s">
        <x:v>40881</x:v>
      </x:c>
      <x:c r="F10254" s="0" t="s">
        <x:v>45</x:v>
      </x:c>
      <x:c r="G10254" s="0" t="s">
        <x:v>19</x:v>
      </x:c>
      <x:c r="H10254" s="0" t="s">
        <x:v>20</x:v>
      </x:c>
      <x:c r="I10254" s="0" t="s">
        <x:v>21</x:v>
      </x:c>
      <x:c r="K10254" s="0">
        <x:f>hyperlink("https://icd.who.int/dev11/l-ichi/en#/http%3A%2F%2Fid.who.int%2Ficd%2Fentity%2F1650095890","browser")</x:f>
      </x:c>
      <x:c r="L10254" s="0">
        <x:f>hyperlink("https://icat2.azurewebsites.net/icat/?ontology=ICD&amp;tab=ClassesTab&amp;id=http%3A%2F%2Fwho.int%2Ficd%2349755_512ebf36_bf6b_4d70_85da_cf2637062af4","iCat")</x:f>
      </x:c>
      <x:c r="M10254" s="0" t="s">
        <x:v>21</x:v>
      </x:c>
      <x:c r="N10254" s="0" t="s">
        <x:v>46</x:v>
      </x:c>
    </x:row>
    <x:row r="10255" spans="1:16">
      <x:c r="A10255" s="0" t="s">
        <x:v>40882</x:v>
      </x:c>
      <x:c r="B10255" s="0" t="s">
        <x:v>40883</x:v>
      </x:c>
      <x:c r="C10255" s="0" t="s">
        <x:v>40884</x:v>
      </x:c>
      <x:c r="E10255" s="0" t="s">
        <x:v>40885</x:v>
      </x:c>
      <x:c r="F10255" s="0" t="s">
        <x:v>45</x:v>
      </x:c>
      <x:c r="G10255" s="0" t="s">
        <x:v>19</x:v>
      </x:c>
      <x:c r="H10255" s="0" t="s">
        <x:v>20</x:v>
      </x:c>
      <x:c r="I10255" s="0" t="s">
        <x:v>21</x:v>
      </x:c>
      <x:c r="K10255" s="0">
        <x:f>hyperlink("https://icd.who.int/dev11/l-ichi/en#/http%3A%2F%2Fid.who.int%2Ficd%2Fentity%2F1382653082","browser")</x:f>
      </x:c>
      <x:c r="L10255" s="0">
        <x:f>hyperlink("https://icat2.azurewebsites.net/icat/?ontology=ICD&amp;tab=ClassesTab&amp;id=http%3A%2F%2Fwho.int%2Ficd%2349762_512ebf36_bf6b_4d70_85da_cf2637062af4","iCat")</x:f>
      </x:c>
      <x:c r="M10255" s="0" t="s">
        <x:v>21</x:v>
      </x:c>
      <x:c r="N10255" s="0" t="s">
        <x:v>46</x:v>
      </x:c>
    </x:row>
    <x:row r="10256" spans="1:16">
      <x:c r="A10256" s="0" t="s">
        <x:v>40886</x:v>
      </x:c>
      <x:c r="B10256" s="0" t="s">
        <x:v>40887</x:v>
      </x:c>
      <x:c r="C10256" s="0" t="s">
        <x:v>40888</x:v>
      </x:c>
      <x:c r="E10256" s="0" t="s">
        <x:v>40889</x:v>
      </x:c>
      <x:c r="F10256" s="0" t="s">
        <x:v>45</x:v>
      </x:c>
      <x:c r="G10256" s="0" t="s">
        <x:v>19</x:v>
      </x:c>
      <x:c r="H10256" s="0" t="s">
        <x:v>20</x:v>
      </x:c>
      <x:c r="I10256" s="0" t="s">
        <x:v>21</x:v>
      </x:c>
      <x:c r="K10256" s="0">
        <x:f>hyperlink("https://icd.who.int/dev11/l-ichi/en#/http%3A%2F%2Fid.who.int%2Ficd%2Fentity%2F1500348984","browser")</x:f>
      </x:c>
      <x:c r="L10256" s="0">
        <x:f>hyperlink("https://icat2.azurewebsites.net/icat/?ontology=ICD&amp;tab=ClassesTab&amp;id=http%3A%2F%2Fwho.int%2Ficd%2349769_512ebf36_bf6b_4d70_85da_cf2637062af4","iCat")</x:f>
      </x:c>
      <x:c r="M10256" s="0" t="s">
        <x:v>21</x:v>
      </x:c>
      <x:c r="N10256" s="0" t="s">
        <x:v>46</x:v>
      </x:c>
    </x:row>
    <x:row r="10257" spans="1:16">
      <x:c r="A10257" s="0" t="s">
        <x:v>40890</x:v>
      </x:c>
      <x:c r="B10257" s="0" t="s">
        <x:v>40891</x:v>
      </x:c>
      <x:c r="C10257" s="0" t="s">
        <x:v>40892</x:v>
      </x:c>
      <x:c r="E10257" s="0" t="s">
        <x:v>40893</x:v>
      </x:c>
      <x:c r="F10257" s="0" t="s">
        <x:v>45</x:v>
      </x:c>
      <x:c r="G10257" s="0" t="s">
        <x:v>19</x:v>
      </x:c>
      <x:c r="H10257" s="0" t="s">
        <x:v>20</x:v>
      </x:c>
      <x:c r="I10257" s="0" t="s">
        <x:v>21</x:v>
      </x:c>
      <x:c r="K10257" s="0">
        <x:f>hyperlink("https://icd.who.int/dev11/l-ichi/en#/http%3A%2F%2Fid.who.int%2Ficd%2Fentity%2F229363129","browser")</x:f>
      </x:c>
      <x:c r="L10257" s="0">
        <x:f>hyperlink("https://icat2.azurewebsites.net/icat/?ontology=ICD&amp;tab=ClassesTab&amp;id=http%3A%2F%2Fwho.int%2Ficd%2349776_512ebf36_bf6b_4d70_85da_cf2637062af4","iCat")</x:f>
      </x:c>
      <x:c r="M10257" s="0" t="s">
        <x:v>21</x:v>
      </x:c>
      <x:c r="N10257" s="0" t="s">
        <x:v>46</x:v>
      </x:c>
    </x:row>
    <x:row r="10258" spans="1:16">
      <x:c r="A10258" s="0" t="s">
        <x:v>40894</x:v>
      </x:c>
      <x:c r="B10258" s="0" t="s">
        <x:v>40895</x:v>
      </x:c>
      <x:c r="C10258" s="0" t="s">
        <x:v>40896</x:v>
      </x:c>
      <x:c r="E10258" s="0" t="s">
        <x:v>40897</x:v>
      </x:c>
      <x:c r="F10258" s="0" t="s">
        <x:v>45</x:v>
      </x:c>
      <x:c r="G10258" s="0" t="s">
        <x:v>19</x:v>
      </x:c>
      <x:c r="H10258" s="0" t="s">
        <x:v>20</x:v>
      </x:c>
      <x:c r="I10258" s="0" t="s">
        <x:v>21</x:v>
      </x:c>
      <x:c r="K10258" s="0">
        <x:f>hyperlink("https://icd.who.int/dev11/l-ichi/en#/http%3A%2F%2Fid.who.int%2Ficd%2Fentity%2F934424879","browser")</x:f>
      </x:c>
      <x:c r="L10258" s="0">
        <x:f>hyperlink("https://icat2.azurewebsites.net/icat/?ontology=ICD&amp;tab=ClassesTab&amp;id=http%3A%2F%2Fwho.int%2Ficd%2349783_512ebf36_bf6b_4d70_85da_cf2637062af4","iCat")</x:f>
      </x:c>
      <x:c r="M10258" s="0" t="s">
        <x:v>21</x:v>
      </x:c>
      <x:c r="N10258" s="0" t="s">
        <x:v>46</x:v>
      </x:c>
    </x:row>
    <x:row r="10259" spans="1:16">
      <x:c r="A10259" s="0" t="s">
        <x:v>40898</x:v>
      </x:c>
      <x:c r="B10259" s="0" t="s">
        <x:v>40899</x:v>
      </x:c>
      <x:c r="C10259" s="0" t="s">
        <x:v>40900</x:v>
      </x:c>
      <x:c r="E10259" s="0" t="s">
        <x:v>40901</x:v>
      </x:c>
      <x:c r="F10259" s="0" t="s">
        <x:v>45</x:v>
      </x:c>
      <x:c r="G10259" s="0" t="s">
        <x:v>19</x:v>
      </x:c>
      <x:c r="H10259" s="0" t="s">
        <x:v>20</x:v>
      </x:c>
      <x:c r="I10259" s="0" t="s">
        <x:v>21</x:v>
      </x:c>
      <x:c r="K10259" s="0">
        <x:f>hyperlink("https://icd.who.int/dev11/l-ichi/en#/http%3A%2F%2Fid.who.int%2Ficd%2Fentity%2F322365826","browser")</x:f>
      </x:c>
      <x:c r="L10259" s="0">
        <x:f>hyperlink("https://icat2.azurewebsites.net/icat/?ontology=ICD&amp;tab=ClassesTab&amp;id=http%3A%2F%2Fwho.int%2Ficd%235274_d85a204c_d00a_4566_a3b7_2d137a1891cf","iCat")</x:f>
      </x:c>
      <x:c r="M10259" s="0" t="s">
        <x:v>21</x:v>
      </x:c>
      <x:c r="N10259" s="0" t="s">
        <x:v>46</x:v>
      </x:c>
    </x:row>
    <x:row r="10260" spans="1:16">
      <x:c r="A10260" s="0" t="s">
        <x:v>40902</x:v>
      </x:c>
      <x:c r="B10260" s="0" t="s">
        <x:v>40903</x:v>
      </x:c>
      <x:c r="C10260" s="0" t="s">
        <x:v>40904</x:v>
      </x:c>
      <x:c r="E10260" s="0" t="s">
        <x:v>40905</x:v>
      </x:c>
      <x:c r="F10260" s="0" t="s">
        <x:v>45</x:v>
      </x:c>
      <x:c r="G10260" s="0" t="s">
        <x:v>19</x:v>
      </x:c>
      <x:c r="H10260" s="0" t="s">
        <x:v>20</x:v>
      </x:c>
      <x:c r="I10260" s="0" t="s">
        <x:v>21</x:v>
      </x:c>
      <x:c r="K10260" s="0">
        <x:f>hyperlink("https://icd.who.int/dev11/l-ichi/en#/http%3A%2F%2Fid.who.int%2Ficd%2Fentity%2F418564993","browser")</x:f>
      </x:c>
      <x:c r="L10260" s="0">
        <x:f>hyperlink("https://icat2.azurewebsites.net/icat/?ontology=ICD&amp;tab=ClassesTab&amp;id=http%3A%2F%2Fwho.int%2Ficd%2349790_512ebf36_bf6b_4d70_85da_cf2637062af4","iCat")</x:f>
      </x:c>
      <x:c r="M10260" s="0" t="s">
        <x:v>21</x:v>
      </x:c>
      <x:c r="N10260" s="0" t="s">
        <x:v>46</x:v>
      </x:c>
    </x:row>
    <x:row r="10261" spans="1:16">
      <x:c r="A10261" s="0" t="s">
        <x:v>40906</x:v>
      </x:c>
      <x:c r="B10261" s="0" t="s">
        <x:v>40907</x:v>
      </x:c>
      <x:c r="C10261" s="0" t="s">
        <x:v>40908</x:v>
      </x:c>
      <x:c r="E10261" s="0" t="s">
        <x:v>40909</x:v>
      </x:c>
      <x:c r="F10261" s="0" t="s">
        <x:v>45</x:v>
      </x:c>
      <x:c r="G10261" s="0" t="s">
        <x:v>19</x:v>
      </x:c>
      <x:c r="H10261" s="0" t="s">
        <x:v>20</x:v>
      </x:c>
      <x:c r="I10261" s="0" t="s">
        <x:v>21</x:v>
      </x:c>
      <x:c r="K10261" s="0">
        <x:f>hyperlink("https://icd.who.int/dev11/l-ichi/en#/http%3A%2F%2Fid.who.int%2Ficd%2Fentity%2F1450425044","browser")</x:f>
      </x:c>
      <x:c r="L10261" s="0">
        <x:f>hyperlink("https://icat2.azurewebsites.net/icat/?ontology=ICD&amp;tab=ClassesTab&amp;id=http%3A%2F%2Fwho.int%2Ficd%2349798_512ebf36_bf6b_4d70_85da_cf2637062af4","iCat")</x:f>
      </x:c>
      <x:c r="M10261" s="0" t="s">
        <x:v>21</x:v>
      </x:c>
      <x:c r="N10261" s="0" t="s">
        <x:v>46</x:v>
      </x:c>
    </x:row>
    <x:row r="10262" spans="1:16">
      <x:c r="A10262" s="0" t="s">
        <x:v>40910</x:v>
      </x:c>
      <x:c r="B10262" s="0" t="s">
        <x:v>40911</x:v>
      </x:c>
      <x:c r="C10262" s="0" t="s">
        <x:v>40912</x:v>
      </x:c>
      <x:c r="E10262" s="0" t="s">
        <x:v>40913</x:v>
      </x:c>
      <x:c r="F10262" s="0" t="s">
        <x:v>45</x:v>
      </x:c>
      <x:c r="G10262" s="0" t="s">
        <x:v>19</x:v>
      </x:c>
      <x:c r="H10262" s="0" t="s">
        <x:v>20</x:v>
      </x:c>
      <x:c r="I10262" s="0" t="s">
        <x:v>21</x:v>
      </x:c>
      <x:c r="K10262" s="0">
        <x:f>hyperlink("https://icd.who.int/dev11/l-ichi/en#/http%3A%2F%2Fid.who.int%2Ficd%2Fentity%2F246751580","browser")</x:f>
      </x:c>
      <x:c r="L10262" s="0">
        <x:f>hyperlink("https://icat2.azurewebsites.net/icat/?ontology=ICD&amp;tab=ClassesTab&amp;id=http%3A%2F%2Fwho.int%2Ficd%2349805_512ebf36_bf6b_4d70_85da_cf2637062af4","iCat")</x:f>
      </x:c>
      <x:c r="M10262" s="0" t="s">
        <x:v>21</x:v>
      </x:c>
      <x:c r="N10262" s="0" t="s">
        <x:v>46</x:v>
      </x:c>
    </x:row>
    <x:row r="10263" spans="1:16">
      <x:c r="A10263" s="0" t="s">
        <x:v>40914</x:v>
      </x:c>
      <x:c r="B10263" s="0" t="s">
        <x:v>40915</x:v>
      </x:c>
      <x:c r="C10263" s="0" t="s">
        <x:v>40916</x:v>
      </x:c>
      <x:c r="E10263" s="0" t="s">
        <x:v>40917</x:v>
      </x:c>
      <x:c r="F10263" s="0" t="s">
        <x:v>45</x:v>
      </x:c>
      <x:c r="G10263" s="0" t="s">
        <x:v>19</x:v>
      </x:c>
      <x:c r="H10263" s="0" t="s">
        <x:v>20</x:v>
      </x:c>
      <x:c r="I10263" s="0" t="s">
        <x:v>21</x:v>
      </x:c>
      <x:c r="K10263" s="0">
        <x:f>hyperlink("https://icd.who.int/dev11/l-ichi/en#/http%3A%2F%2Fid.who.int%2Ficd%2Fentity%2F351412102","browser")</x:f>
      </x:c>
      <x:c r="L10263" s="0">
        <x:f>hyperlink("https://icat2.azurewebsites.net/icat/?ontology=ICD&amp;tab=ClassesTab&amp;id=http%3A%2F%2Fwho.int%2Ficd%2349812_512ebf36_bf6b_4d70_85da_cf2637062af4","iCat")</x:f>
      </x:c>
      <x:c r="M10263" s="0" t="s">
        <x:v>21</x:v>
      </x:c>
      <x:c r="N10263" s="0" t="s">
        <x:v>46</x:v>
      </x:c>
    </x:row>
    <x:row r="10264" spans="1:16">
      <x:c r="A10264" s="0" t="s">
        <x:v>40918</x:v>
      </x:c>
      <x:c r="B10264" s="0" t="s">
        <x:v>40919</x:v>
      </x:c>
      <x:c r="C10264" s="0" t="s">
        <x:v>40920</x:v>
      </x:c>
      <x:c r="E10264" s="0" t="s">
        <x:v>40921</x:v>
      </x:c>
      <x:c r="F10264" s="0" t="s">
        <x:v>45</x:v>
      </x:c>
      <x:c r="G10264" s="0" t="s">
        <x:v>19</x:v>
      </x:c>
      <x:c r="H10264" s="0" t="s">
        <x:v>20</x:v>
      </x:c>
      <x:c r="I10264" s="0" t="s">
        <x:v>21</x:v>
      </x:c>
      <x:c r="K10264" s="0">
        <x:f>hyperlink("https://icd.who.int/dev11/l-ichi/en#/http%3A%2F%2Fid.who.int%2Ficd%2Fentity%2F536215852","browser")</x:f>
      </x:c>
      <x:c r="L10264" s="0">
        <x:f>hyperlink("https://icat2.azurewebsites.net/icat/?ontology=ICD&amp;tab=ClassesTab&amp;id=http%3A%2F%2Fwho.int%2Ficd%2349819_512ebf36_bf6b_4d70_85da_cf2637062af4","iCat")</x:f>
      </x:c>
      <x:c r="M10264" s="0" t="s">
        <x:v>21</x:v>
      </x:c>
      <x:c r="N10264" s="0" t="s">
        <x:v>46</x:v>
      </x:c>
    </x:row>
    <x:row r="10265" spans="1:16">
      <x:c r="A10265" s="0" t="s">
        <x:v>40922</x:v>
      </x:c>
      <x:c r="B10265" s="0" t="s">
        <x:v>40923</x:v>
      </x:c>
      <x:c r="C10265" s="0" t="s">
        <x:v>40924</x:v>
      </x:c>
      <x:c r="E10265" s="0" t="s">
        <x:v>40925</x:v>
      </x:c>
      <x:c r="F10265" s="0" t="s">
        <x:v>45</x:v>
      </x:c>
      <x:c r="G10265" s="0" t="s">
        <x:v>19</x:v>
      </x:c>
      <x:c r="H10265" s="0" t="s">
        <x:v>20</x:v>
      </x:c>
      <x:c r="I10265" s="0" t="s">
        <x:v>21</x:v>
      </x:c>
      <x:c r="K10265" s="0">
        <x:f>hyperlink("https://icd.who.int/dev11/l-ichi/en#/http%3A%2F%2Fid.who.int%2Ficd%2Fentity%2F1631886325","browser")</x:f>
      </x:c>
      <x:c r="L10265" s="0">
        <x:f>hyperlink("https://icat2.azurewebsites.net/icat/?ontology=ICD&amp;tab=ClassesTab&amp;id=http%3A%2F%2Fwho.int%2Ficd%2349826_512ebf36_bf6b_4d70_85da_cf2637062af4","iCat")</x:f>
      </x:c>
      <x:c r="M10265" s="0" t="s">
        <x:v>21</x:v>
      </x:c>
      <x:c r="N10265" s="0" t="s">
        <x:v>46</x:v>
      </x:c>
    </x:row>
    <x:row r="10266" spans="1:16">
      <x:c r="A10266" s="0" t="s">
        <x:v>40926</x:v>
      </x:c>
      <x:c r="B10266" s="0" t="s">
        <x:v>40927</x:v>
      </x:c>
      <x:c r="C10266" s="0" t="s">
        <x:v>40928</x:v>
      </x:c>
      <x:c r="E10266" s="0" t="s">
        <x:v>40929</x:v>
      </x:c>
      <x:c r="F10266" s="0" t="s">
        <x:v>45</x:v>
      </x:c>
      <x:c r="G10266" s="0" t="s">
        <x:v>19</x:v>
      </x:c>
      <x:c r="H10266" s="0" t="s">
        <x:v>20</x:v>
      </x:c>
      <x:c r="I10266" s="0" t="s">
        <x:v>21</x:v>
      </x:c>
      <x:c r="K10266" s="0">
        <x:f>hyperlink("https://icd.who.int/dev11/l-ichi/en#/http%3A%2F%2Fid.who.int%2Ficd%2Fentity%2F511686890","browser")</x:f>
      </x:c>
      <x:c r="L10266" s="0">
        <x:f>hyperlink("https://icat2.azurewebsites.net/icat/?ontology=ICD&amp;tab=ClassesTab&amp;id=http%3A%2F%2Fwho.int%2Ficd%2349833_512ebf36_bf6b_4d70_85da_cf2637062af4","iCat")</x:f>
      </x:c>
      <x:c r="M10266" s="0" t="s">
        <x:v>21</x:v>
      </x:c>
      <x:c r="N10266" s="0" t="s">
        <x:v>46</x:v>
      </x:c>
    </x:row>
    <x:row r="10267" spans="1:16">
      <x:c r="A10267" s="0" t="s">
        <x:v>40930</x:v>
      </x:c>
      <x:c r="B10267" s="0" t="s">
        <x:v>40931</x:v>
      </x:c>
      <x:c r="C10267" s="0" t="s">
        <x:v>40932</x:v>
      </x:c>
      <x:c r="E10267" s="0" t="s">
        <x:v>40933</x:v>
      </x:c>
      <x:c r="F10267" s="0" t="s">
        <x:v>45</x:v>
      </x:c>
      <x:c r="G10267" s="0" t="s">
        <x:v>19</x:v>
      </x:c>
      <x:c r="H10267" s="0" t="s">
        <x:v>20</x:v>
      </x:c>
      <x:c r="I10267" s="0" t="s">
        <x:v>21</x:v>
      </x:c>
      <x:c r="K10267" s="0">
        <x:f>hyperlink("https://icd.who.int/dev11/l-ichi/en#/http%3A%2F%2Fid.who.int%2Ficd%2Fentity%2F368158591","browser")</x:f>
      </x:c>
      <x:c r="L10267" s="0">
        <x:f>hyperlink("https://icat2.azurewebsites.net/icat/?ontology=ICD&amp;tab=ClassesTab&amp;id=http%3A%2F%2Fwho.int%2Ficd%23150_dd4d4347_e398_43b9_84dd_c9611ca6abfa","iCat")</x:f>
      </x:c>
      <x:c r="M10267" s="0" t="s">
        <x:v>21</x:v>
      </x:c>
      <x:c r="N10267" s="0" t="s">
        <x:v>46</x:v>
      </x:c>
    </x:row>
    <x:row r="10268" spans="1:16">
      <x:c r="A10268" s="0" t="s">
        <x:v>40934</x:v>
      </x:c>
      <x:c r="B10268" s="0" t="s">
        <x:v>40935</x:v>
      </x:c>
      <x:c r="C10268" s="0" t="s">
        <x:v>40936</x:v>
      </x:c>
      <x:c r="E10268" s="0" t="s">
        <x:v>40937</x:v>
      </x:c>
      <x:c r="F10268" s="0" t="s">
        <x:v>45</x:v>
      </x:c>
      <x:c r="G10268" s="0" t="s">
        <x:v>19</x:v>
      </x:c>
      <x:c r="H10268" s="0" t="s">
        <x:v>20</x:v>
      </x:c>
      <x:c r="I10268" s="0" t="s">
        <x:v>21</x:v>
      </x:c>
      <x:c r="K10268" s="0">
        <x:f>hyperlink("https://icd.who.int/dev11/l-ichi/en#/http%3A%2F%2Fid.who.int%2Ficd%2Fentity%2F1798095881","browser")</x:f>
      </x:c>
      <x:c r="L10268" s="0">
        <x:f>hyperlink("https://icat2.azurewebsites.net/icat/?ontology=ICD&amp;tab=ClassesTab&amp;id=http%3A%2F%2Fwho.int%2Ficd%2349840_512ebf36_bf6b_4d70_85da_cf2637062af4","iCat")</x:f>
      </x:c>
      <x:c r="M10268" s="0" t="s">
        <x:v>21</x:v>
      </x:c>
      <x:c r="N10268" s="0" t="s">
        <x:v>46</x:v>
      </x:c>
    </x:row>
    <x:row r="10269" spans="1:16">
      <x:c r="A10269" s="0" t="s">
        <x:v>40938</x:v>
      </x:c>
      <x:c r="B10269" s="0" t="s">
        <x:v>40939</x:v>
      </x:c>
      <x:c r="C10269" s="0" t="s">
        <x:v>40940</x:v>
      </x:c>
      <x:c r="E10269" s="0" t="s">
        <x:v>40941</x:v>
      </x:c>
      <x:c r="F10269" s="0" t="s">
        <x:v>45</x:v>
      </x:c>
      <x:c r="G10269" s="0" t="s">
        <x:v>19</x:v>
      </x:c>
      <x:c r="H10269" s="0" t="s">
        <x:v>20</x:v>
      </x:c>
      <x:c r="I10269" s="0" t="s">
        <x:v>21</x:v>
      </x:c>
      <x:c r="K10269" s="0">
        <x:f>hyperlink("https://icd.who.int/dev11/l-ichi/en#/http%3A%2F%2Fid.who.int%2Ficd%2Fentity%2F464416644","browser")</x:f>
      </x:c>
      <x:c r="L10269" s="0">
        <x:f>hyperlink("https://icat2.azurewebsites.net/icat/?ontology=ICD&amp;tab=ClassesTab&amp;id=http%3A%2F%2Fwho.int%2Ficd%2349847_512ebf36_bf6b_4d70_85da_cf2637062af4","iCat")</x:f>
      </x:c>
      <x:c r="M10269" s="0" t="s">
        <x:v>21</x:v>
      </x:c>
      <x:c r="N10269" s="0" t="s">
        <x:v>46</x:v>
      </x:c>
    </x:row>
    <x:row r="10270" spans="1:16">
      <x:c r="A10270" s="0" t="s">
        <x:v>40942</x:v>
      </x:c>
      <x:c r="B10270" s="0" t="s">
        <x:v>40943</x:v>
      </x:c>
      <x:c r="C10270" s="0" t="s">
        <x:v>40944</x:v>
      </x:c>
      <x:c r="E10270" s="0" t="s">
        <x:v>40945</x:v>
      </x:c>
      <x:c r="F10270" s="0" t="s">
        <x:v>45</x:v>
      </x:c>
      <x:c r="G10270" s="0" t="s">
        <x:v>19</x:v>
      </x:c>
      <x:c r="H10270" s="0" t="s">
        <x:v>20</x:v>
      </x:c>
      <x:c r="I10270" s="0" t="s">
        <x:v>21</x:v>
      </x:c>
      <x:c r="K10270" s="0">
        <x:f>hyperlink("https://icd.who.int/dev11/l-ichi/en#/http%3A%2F%2Fid.who.int%2Ficd%2Fentity%2F888050988","browser")</x:f>
      </x:c>
      <x:c r="L10270" s="0">
        <x:f>hyperlink("https://icat2.azurewebsites.net/icat/?ontology=ICD&amp;tab=ClassesTab&amp;id=http%3A%2F%2Fwho.int%2Ficd%2349854_512ebf36_bf6b_4d70_85da_cf2637062af4","iCat")</x:f>
      </x:c>
      <x:c r="M10270" s="0" t="s">
        <x:v>21</x:v>
      </x:c>
      <x:c r="N10270" s="0" t="s">
        <x:v>46</x:v>
      </x:c>
    </x:row>
    <x:row r="10271" spans="1:16">
      <x:c r="A10271" s="0" t="s">
        <x:v>40946</x:v>
      </x:c>
      <x:c r="B10271" s="0" t="s">
        <x:v>40947</x:v>
      </x:c>
      <x:c r="C10271" s="0" t="s">
        <x:v>40948</x:v>
      </x:c>
      <x:c r="E10271" s="0" t="s">
        <x:v>40949</x:v>
      </x:c>
      <x:c r="F10271" s="0" t="s">
        <x:v>45</x:v>
      </x:c>
      <x:c r="G10271" s="0" t="s">
        <x:v>19</x:v>
      </x:c>
      <x:c r="H10271" s="0" t="s">
        <x:v>20</x:v>
      </x:c>
      <x:c r="I10271" s="0" t="s">
        <x:v>21</x:v>
      </x:c>
      <x:c r="K10271" s="0">
        <x:f>hyperlink("https://icd.who.int/dev11/l-ichi/en#/http%3A%2F%2Fid.who.int%2Ficd%2Fentity%2F1637966693","browser")</x:f>
      </x:c>
      <x:c r="L10271" s="0">
        <x:f>hyperlink("https://icat2.azurewebsites.net/icat/?ontology=ICD&amp;tab=ClassesTab&amp;id=http%3A%2F%2Fwho.int%2Ficd%2349861_512ebf36_bf6b_4d70_85da_cf2637062af4","iCat")</x:f>
      </x:c>
      <x:c r="M10271" s="0" t="s">
        <x:v>21</x:v>
      </x:c>
      <x:c r="N10271" s="0" t="s">
        <x:v>46</x:v>
      </x:c>
    </x:row>
    <x:row r="10272" spans="1:16">
      <x:c r="A10272" s="0" t="s">
        <x:v>40950</x:v>
      </x:c>
      <x:c r="B10272" s="0" t="s">
        <x:v>40951</x:v>
      </x:c>
      <x:c r="C10272" s="0" t="s">
        <x:v>40952</x:v>
      </x:c>
      <x:c r="E10272" s="0" t="s">
        <x:v>40953</x:v>
      </x:c>
      <x:c r="F10272" s="0" t="s">
        <x:v>45</x:v>
      </x:c>
      <x:c r="G10272" s="0" t="s">
        <x:v>19</x:v>
      </x:c>
      <x:c r="H10272" s="0" t="s">
        <x:v>20</x:v>
      </x:c>
      <x:c r="I10272" s="0" t="s">
        <x:v>21</x:v>
      </x:c>
      <x:c r="K10272" s="0">
        <x:f>hyperlink("https://icd.who.int/dev11/l-ichi/en#/http%3A%2F%2Fid.who.int%2Ficd%2Fentity%2F265904142","browser")</x:f>
      </x:c>
      <x:c r="L10272" s="0">
        <x:f>hyperlink("https://icat2.azurewebsites.net/icat/?ontology=ICD&amp;tab=ClassesTab&amp;id=http%3A%2F%2Fwho.int%2Ficd%2349868_512ebf36_bf6b_4d70_85da_cf2637062af4","iCat")</x:f>
      </x:c>
      <x:c r="M10272" s="0" t="s">
        <x:v>21</x:v>
      </x:c>
      <x:c r="N10272" s="0" t="s">
        <x:v>46</x:v>
      </x:c>
    </x:row>
    <x:row r="10273" spans="1:16">
      <x:c r="A10273" s="0" t="s">
        <x:v>40954</x:v>
      </x:c>
      <x:c r="B10273" s="0" t="s">
        <x:v>40955</x:v>
      </x:c>
      <x:c r="C10273" s="0" t="s">
        <x:v>40956</x:v>
      </x:c>
      <x:c r="E10273" s="0" t="s">
        <x:v>40957</x:v>
      </x:c>
      <x:c r="F10273" s="0" t="s">
        <x:v>45</x:v>
      </x:c>
      <x:c r="G10273" s="0" t="s">
        <x:v>19</x:v>
      </x:c>
      <x:c r="H10273" s="0" t="s">
        <x:v>20</x:v>
      </x:c>
      <x:c r="I10273" s="0" t="s">
        <x:v>21</x:v>
      </x:c>
      <x:c r="K10273" s="0">
        <x:f>hyperlink("https://icd.who.int/dev11/l-ichi/en#/http%3A%2F%2Fid.who.int%2Ficd%2Fentity%2F1046688328","browser")</x:f>
      </x:c>
      <x:c r="L10273" s="0">
        <x:f>hyperlink("https://icat2.azurewebsites.net/icat/?ontology=ICD&amp;tab=ClassesTab&amp;id=http%3A%2F%2Fwho.int%2Ficd%2349875_512ebf36_bf6b_4d70_85da_cf2637062af4","iCat")</x:f>
      </x:c>
      <x:c r="M10273" s="0" t="s">
        <x:v>21</x:v>
      </x:c>
      <x:c r="N10273" s="0" t="s">
        <x:v>46</x:v>
      </x:c>
    </x:row>
    <x:row r="10274" spans="1:16">
      <x:c r="A10274" s="0" t="s">
        <x:v>40958</x:v>
      </x:c>
      <x:c r="B10274" s="0" t="s">
        <x:v>40959</x:v>
      </x:c>
      <x:c r="C10274" s="0" t="s">
        <x:v>40960</x:v>
      </x:c>
      <x:c r="E10274" s="0" t="s">
        <x:v>40961</x:v>
      </x:c>
      <x:c r="F10274" s="0" t="s">
        <x:v>45</x:v>
      </x:c>
      <x:c r="G10274" s="0" t="s">
        <x:v>19</x:v>
      </x:c>
      <x:c r="H10274" s="0" t="s">
        <x:v>20</x:v>
      </x:c>
      <x:c r="I10274" s="0" t="s">
        <x:v>21</x:v>
      </x:c>
      <x:c r="K10274" s="0">
        <x:f>hyperlink("https://icd.who.int/dev11/l-ichi/en#/http%3A%2F%2Fid.who.int%2Ficd%2Fentity%2F1627837205","browser")</x:f>
      </x:c>
      <x:c r="L10274" s="0">
        <x:f>hyperlink("https://icat2.azurewebsites.net/icat/?ontology=ICD&amp;tab=ClassesTab&amp;id=http%3A%2F%2Fwho.int%2Ficd%2349882_512ebf36_bf6b_4d70_85da_cf2637062af4","iCat")</x:f>
      </x:c>
      <x:c r="M10274" s="0" t="s">
        <x:v>21</x:v>
      </x:c>
      <x:c r="N10274" s="0" t="s">
        <x:v>46</x:v>
      </x:c>
    </x:row>
    <x:row r="10275" spans="1:16">
      <x:c r="A10275" s="0" t="s">
        <x:v>40962</x:v>
      </x:c>
      <x:c r="B10275" s="0" t="s">
        <x:v>40963</x:v>
      </x:c>
      <x:c r="C10275" s="0" t="s">
        <x:v>40964</x:v>
      </x:c>
      <x:c r="E10275" s="0" t="s">
        <x:v>40965</x:v>
      </x:c>
      <x:c r="F10275" s="0" t="s">
        <x:v>45</x:v>
      </x:c>
      <x:c r="G10275" s="0" t="s">
        <x:v>19</x:v>
      </x:c>
      <x:c r="H10275" s="0" t="s">
        <x:v>20</x:v>
      </x:c>
      <x:c r="I10275" s="0" t="s">
        <x:v>21</x:v>
      </x:c>
      <x:c r="K10275" s="0">
        <x:f>hyperlink("https://icd.who.int/dev11/l-ichi/en#/http%3A%2F%2Fid.who.int%2Ficd%2Fentity%2F1778568633","browser")</x:f>
      </x:c>
      <x:c r="L10275" s="0">
        <x:f>hyperlink("https://icat2.azurewebsites.net/icat/?ontology=ICD&amp;tab=ClassesTab&amp;id=http%3A%2F%2Fwho.int%2Ficd%2349889_512ebf36_bf6b_4d70_85da_cf2637062af4","iCat")</x:f>
      </x:c>
      <x:c r="M10275" s="0" t="s">
        <x:v>21</x:v>
      </x:c>
      <x:c r="N10275" s="0" t="s">
        <x:v>46</x:v>
      </x:c>
    </x:row>
    <x:row r="10276" spans="1:16">
      <x:c r="A10276" s="0" t="s">
        <x:v>40966</x:v>
      </x:c>
      <x:c r="B10276" s="0" t="s">
        <x:v>40967</x:v>
      </x:c>
      <x:c r="C10276" s="0" t="s">
        <x:v>40968</x:v>
      </x:c>
      <x:c r="E10276" s="0" t="s">
        <x:v>40969</x:v>
      </x:c>
      <x:c r="F10276" s="0" t="s">
        <x:v>45</x:v>
      </x:c>
      <x:c r="G10276" s="0" t="s">
        <x:v>19</x:v>
      </x:c>
      <x:c r="H10276" s="0" t="s">
        <x:v>20</x:v>
      </x:c>
      <x:c r="I10276" s="0" t="s">
        <x:v>21</x:v>
      </x:c>
      <x:c r="K10276" s="0">
        <x:f>hyperlink("https://icd.who.int/dev11/l-ichi/en#/http%3A%2F%2Fid.who.int%2Ficd%2Fentity%2F1053065782","browser")</x:f>
      </x:c>
      <x:c r="L10276" s="0">
        <x:f>hyperlink("https://icat2.azurewebsites.net/icat/?ontology=ICD&amp;tab=ClassesTab&amp;id=http%3A%2F%2Fwho.int%2Ficd%2349896_512ebf36_bf6b_4d70_85da_cf2637062af4","iCat")</x:f>
      </x:c>
      <x:c r="M10276" s="0" t="s">
        <x:v>21</x:v>
      </x:c>
      <x:c r="N10276" s="0" t="s">
        <x:v>46</x:v>
      </x:c>
    </x:row>
    <x:row r="10277" spans="1:16">
      <x:c r="A10277" s="0" t="s">
        <x:v>40970</x:v>
      </x:c>
      <x:c r="B10277" s="0" t="s">
        <x:v>40971</x:v>
      </x:c>
      <x:c r="C10277" s="0" t="s">
        <x:v>40972</x:v>
      </x:c>
      <x:c r="E10277" s="0" t="s">
        <x:v>40973</x:v>
      </x:c>
      <x:c r="F10277" s="0" t="s">
        <x:v>45</x:v>
      </x:c>
      <x:c r="G10277" s="0" t="s">
        <x:v>19</x:v>
      </x:c>
      <x:c r="H10277" s="0" t="s">
        <x:v>20</x:v>
      </x:c>
      <x:c r="I10277" s="0" t="s">
        <x:v>21</x:v>
      </x:c>
      <x:c r="K10277" s="0">
        <x:f>hyperlink("https://icd.who.int/dev11/l-ichi/en#/http%3A%2F%2Fid.who.int%2Ficd%2Fentity%2F726744690","browser")</x:f>
      </x:c>
      <x:c r="L10277" s="0">
        <x:f>hyperlink("https://icat2.azurewebsites.net/icat/?ontology=ICD&amp;tab=ClassesTab&amp;id=http%3A%2F%2Fwho.int%2Ficd%2349903_512ebf36_bf6b_4d70_85da_cf2637062af4","iCat")</x:f>
      </x:c>
      <x:c r="M10277" s="0" t="s">
        <x:v>21</x:v>
      </x:c>
      <x:c r="N10277" s="0" t="s">
        <x:v>46</x:v>
      </x:c>
    </x:row>
    <x:row r="10278" spans="1:16">
      <x:c r="A10278" s="0" t="s">
        <x:v>40974</x:v>
      </x:c>
      <x:c r="B10278" s="0" t="s">
        <x:v>40975</x:v>
      </x:c>
      <x:c r="C10278" s="0" t="s">
        <x:v>40976</x:v>
      </x:c>
      <x:c r="E10278" s="0" t="s">
        <x:v>40977</x:v>
      </x:c>
      <x:c r="F10278" s="0" t="s">
        <x:v>45</x:v>
      </x:c>
      <x:c r="G10278" s="0" t="s">
        <x:v>19</x:v>
      </x:c>
      <x:c r="H10278" s="0" t="s">
        <x:v>20</x:v>
      </x:c>
      <x:c r="I10278" s="0" t="s">
        <x:v>21</x:v>
      </x:c>
      <x:c r="K10278" s="0">
        <x:f>hyperlink("https://icd.who.int/dev11/l-ichi/en#/http%3A%2F%2Fid.who.int%2Ficd%2Fentity%2F165046058","browser")</x:f>
      </x:c>
      <x:c r="L10278" s="0">
        <x:f>hyperlink("https://icat2.azurewebsites.net/icat/?ontology=ICD&amp;tab=ClassesTab&amp;id=http%3A%2F%2Fwho.int%2Ficd%235280_d85a204c_d00a_4566_a3b7_2d137a1891cf","iCat")</x:f>
      </x:c>
      <x:c r="M10278" s="0" t="s">
        <x:v>21</x:v>
      </x:c>
      <x:c r="N10278" s="0" t="s">
        <x:v>46</x:v>
      </x:c>
    </x:row>
    <x:row r="10279" spans="1:16">
      <x:c r="A10279" s="0" t="s">
        <x:v>40978</x:v>
      </x:c>
      <x:c r="B10279" s="0" t="s">
        <x:v>40979</x:v>
      </x:c>
      <x:c r="C10279" s="0" t="s">
        <x:v>40980</x:v>
      </x:c>
      <x:c r="E10279" s="0" t="s">
        <x:v>40981</x:v>
      </x:c>
      <x:c r="F10279" s="0" t="s">
        <x:v>45</x:v>
      </x:c>
      <x:c r="G10279" s="0" t="s">
        <x:v>19</x:v>
      </x:c>
      <x:c r="H10279" s="0" t="s">
        <x:v>20</x:v>
      </x:c>
      <x:c r="I10279" s="0" t="s">
        <x:v>21</x:v>
      </x:c>
      <x:c r="K10279" s="0">
        <x:f>hyperlink("https://icd.who.int/dev11/l-ichi/en#/http%3A%2F%2Fid.who.int%2Ficd%2Fentity%2F68273374","browser")</x:f>
      </x:c>
      <x:c r="L10279" s="0">
        <x:f>hyperlink("https://icat2.azurewebsites.net/icat/?ontology=ICD&amp;tab=ClassesTab&amp;id=http%3A%2F%2Fwho.int%2Ficd%2349910_512ebf36_bf6b_4d70_85da_cf2637062af4","iCat")</x:f>
      </x:c>
      <x:c r="M10279" s="0" t="s">
        <x:v>21</x:v>
      </x:c>
      <x:c r="N10279" s="0" t="s">
        <x:v>46</x:v>
      </x:c>
    </x:row>
    <x:row r="10280" spans="1:16">
      <x:c r="A10280" s="0" t="s">
        <x:v>40982</x:v>
      </x:c>
      <x:c r="B10280" s="0" t="s">
        <x:v>40983</x:v>
      </x:c>
      <x:c r="C10280" s="0" t="s">
        <x:v>40984</x:v>
      </x:c>
      <x:c r="E10280" s="0" t="s">
        <x:v>40985</x:v>
      </x:c>
      <x:c r="F10280" s="0" t="s">
        <x:v>45</x:v>
      </x:c>
      <x:c r="G10280" s="0" t="s">
        <x:v>19</x:v>
      </x:c>
      <x:c r="H10280" s="0" t="s">
        <x:v>20</x:v>
      </x:c>
      <x:c r="I10280" s="0" t="s">
        <x:v>21</x:v>
      </x:c>
      <x:c r="K10280" s="0">
        <x:f>hyperlink("https://icd.who.int/dev11/l-ichi/en#/http%3A%2F%2Fid.who.int%2Ficd%2Fentity%2F1955819347","browser")</x:f>
      </x:c>
      <x:c r="L10280" s="0">
        <x:f>hyperlink("https://icat2.azurewebsites.net/icat/?ontology=ICD&amp;tab=ClassesTab&amp;id=http%3A%2F%2Fwho.int%2Ficd%2349917_512ebf36_bf6b_4d70_85da_cf2637062af4","iCat")</x:f>
      </x:c>
      <x:c r="M10280" s="0" t="s">
        <x:v>21</x:v>
      </x:c>
      <x:c r="N10280" s="0" t="s">
        <x:v>46</x:v>
      </x:c>
    </x:row>
    <x:row r="10281" spans="1:16">
      <x:c r="A10281" s="0" t="s">
        <x:v>40986</x:v>
      </x:c>
      <x:c r="B10281" s="0" t="s">
        <x:v>40987</x:v>
      </x:c>
      <x:c r="C10281" s="0" t="s">
        <x:v>40988</x:v>
      </x:c>
      <x:c r="E10281" s="0" t="s">
        <x:v>40989</x:v>
      </x:c>
      <x:c r="F10281" s="0" t="s">
        <x:v>45</x:v>
      </x:c>
      <x:c r="G10281" s="0" t="s">
        <x:v>19</x:v>
      </x:c>
      <x:c r="H10281" s="0" t="s">
        <x:v>20</x:v>
      </x:c>
      <x:c r="I10281" s="0" t="s">
        <x:v>21</x:v>
      </x:c>
      <x:c r="K10281" s="0">
        <x:f>hyperlink("https://icd.who.int/dev11/l-ichi/en#/http%3A%2F%2Fid.who.int%2Ficd%2Fentity%2F1906786477","browser")</x:f>
      </x:c>
      <x:c r="L10281" s="0">
        <x:f>hyperlink("https://icat2.azurewebsites.net/icat/?ontology=ICD&amp;tab=ClassesTab&amp;id=http%3A%2F%2Fwho.int%2Ficd%2349924_512ebf36_bf6b_4d70_85da_cf2637062af4","iCat")</x:f>
      </x:c>
      <x:c r="M10281" s="0" t="s">
        <x:v>21</x:v>
      </x:c>
      <x:c r="N10281" s="0" t="s">
        <x:v>46</x:v>
      </x:c>
    </x:row>
    <x:row r="10282" spans="1:16">
      <x:c r="A10282" s="0" t="s">
        <x:v>40990</x:v>
      </x:c>
      <x:c r="B10282" s="0" t="s">
        <x:v>40991</x:v>
      </x:c>
      <x:c r="C10282" s="0" t="s">
        <x:v>40992</x:v>
      </x:c>
      <x:c r="E10282" s="0" t="s">
        <x:v>40993</x:v>
      </x:c>
      <x:c r="F10282" s="0" t="s">
        <x:v>45</x:v>
      </x:c>
      <x:c r="G10282" s="0" t="s">
        <x:v>19</x:v>
      </x:c>
      <x:c r="H10282" s="0" t="s">
        <x:v>20</x:v>
      </x:c>
      <x:c r="I10282" s="0" t="s">
        <x:v>21</x:v>
      </x:c>
      <x:c r="K10282" s="0">
        <x:f>hyperlink("https://icd.who.int/dev11/l-ichi/en#/http%3A%2F%2Fid.who.int%2Ficd%2Fentity%2F991672836","browser")</x:f>
      </x:c>
      <x:c r="L10282" s="0">
        <x:f>hyperlink("https://icat2.azurewebsites.net/icat/?ontology=ICD&amp;tab=ClassesTab&amp;id=http%3A%2F%2Fwho.int%2Ficd%23147_3c64dd61_a787_4b69_a0aa_c26ee473e65a","iCat")</x:f>
      </x:c>
      <x:c r="M10282" s="0" t="s">
        <x:v>21</x:v>
      </x:c>
      <x:c r="N10282" s="0" t="s">
        <x:v>46</x:v>
      </x:c>
    </x:row>
    <x:row r="10283" spans="1:16">
      <x:c r="A10283" s="0" t="s">
        <x:v>40994</x:v>
      </x:c>
      <x:c r="B10283" s="0" t="s">
        <x:v>40995</x:v>
      </x:c>
      <x:c r="C10283" s="0" t="s">
        <x:v>40996</x:v>
      </x:c>
      <x:c r="E10283" s="0" t="s">
        <x:v>40997</x:v>
      </x:c>
      <x:c r="F10283" s="0" t="s">
        <x:v>45</x:v>
      </x:c>
      <x:c r="G10283" s="0" t="s">
        <x:v>19</x:v>
      </x:c>
      <x:c r="H10283" s="0" t="s">
        <x:v>20</x:v>
      </x:c>
      <x:c r="I10283" s="0" t="s">
        <x:v>21</x:v>
      </x:c>
      <x:c r="K10283" s="0">
        <x:f>hyperlink("https://icd.who.int/dev11/l-ichi/en#/http%3A%2F%2Fid.who.int%2Ficd%2Fentity%2F245130162","browser")</x:f>
      </x:c>
      <x:c r="L10283" s="0">
        <x:f>hyperlink("https://icat2.azurewebsites.net/icat/?ontology=ICD&amp;tab=ClassesTab&amp;id=http%3A%2F%2Fwho.int%2Ficd%2349931_512ebf36_bf6b_4d70_85da_cf2637062af4","iCat")</x:f>
      </x:c>
      <x:c r="M10283" s="0" t="s">
        <x:v>21</x:v>
      </x:c>
      <x:c r="N10283" s="0" t="s">
        <x:v>46</x:v>
      </x:c>
    </x:row>
    <x:row r="10284" spans="1:16">
      <x:c r="A10284" s="0" t="s">
        <x:v>40998</x:v>
      </x:c>
      <x:c r="B10284" s="0" t="s">
        <x:v>40999</x:v>
      </x:c>
      <x:c r="C10284" s="0" t="s">
        <x:v>41000</x:v>
      </x:c>
      <x:c r="E10284" s="0" t="s">
        <x:v>41001</x:v>
      </x:c>
      <x:c r="F10284" s="0" t="s">
        <x:v>45</x:v>
      </x:c>
      <x:c r="G10284" s="0" t="s">
        <x:v>19</x:v>
      </x:c>
      <x:c r="H10284" s="0" t="s">
        <x:v>20</x:v>
      </x:c>
      <x:c r="I10284" s="0" t="s">
        <x:v>21</x:v>
      </x:c>
      <x:c r="K10284" s="0">
        <x:f>hyperlink("https://icd.who.int/dev11/l-ichi/en#/http%3A%2F%2Fid.who.int%2Ficd%2Fentity%2F1625579739","browser")</x:f>
      </x:c>
      <x:c r="L10284" s="0">
        <x:f>hyperlink("https://icat2.azurewebsites.net/icat/?ontology=ICD&amp;tab=ClassesTab&amp;id=http%3A%2F%2Fwho.int%2Ficd%2349938_512ebf36_bf6b_4d70_85da_cf2637062af4","iCat")</x:f>
      </x:c>
      <x:c r="M10284" s="0" t="s">
        <x:v>21</x:v>
      </x:c>
      <x:c r="N10284" s="0" t="s">
        <x:v>46</x:v>
      </x:c>
    </x:row>
    <x:row r="10285" spans="1:16">
      <x:c r="A10285" s="0" t="s">
        <x:v>41002</x:v>
      </x:c>
      <x:c r="B10285" s="0" t="s">
        <x:v>41003</x:v>
      </x:c>
      <x:c r="C10285" s="0" t="s">
        <x:v>41004</x:v>
      </x:c>
      <x:c r="E10285" s="0" t="s">
        <x:v>41005</x:v>
      </x:c>
      <x:c r="F10285" s="0" t="s">
        <x:v>45</x:v>
      </x:c>
      <x:c r="G10285" s="0" t="s">
        <x:v>19</x:v>
      </x:c>
      <x:c r="H10285" s="0" t="s">
        <x:v>20</x:v>
      </x:c>
      <x:c r="I10285" s="0" t="s">
        <x:v>21</x:v>
      </x:c>
      <x:c r="K10285" s="0">
        <x:f>hyperlink("https://icd.who.int/dev11/l-ichi/en#/http%3A%2F%2Fid.who.int%2Ficd%2Fentity%2F189641948","browser")</x:f>
      </x:c>
      <x:c r="L10285" s="0">
        <x:f>hyperlink("https://icat2.azurewebsites.net/icat/?ontology=ICD&amp;tab=ClassesTab&amp;id=http%3A%2F%2Fwho.int%2Ficd%2349945_512ebf36_bf6b_4d70_85da_cf2637062af4","iCat")</x:f>
      </x:c>
      <x:c r="M10285" s="0" t="s">
        <x:v>21</x:v>
      </x:c>
      <x:c r="N10285" s="0" t="s">
        <x:v>46</x:v>
      </x:c>
    </x:row>
    <x:row r="10286" spans="1:16">
      <x:c r="A10286" s="0" t="s">
        <x:v>41006</x:v>
      </x:c>
      <x:c r="B10286" s="0" t="s">
        <x:v>41007</x:v>
      </x:c>
      <x:c r="C10286" s="0" t="s">
        <x:v>41008</x:v>
      </x:c>
      <x:c r="E10286" s="0" t="s">
        <x:v>41009</x:v>
      </x:c>
      <x:c r="F10286" s="0" t="s">
        <x:v>45</x:v>
      </x:c>
      <x:c r="G10286" s="0" t="s">
        <x:v>19</x:v>
      </x:c>
      <x:c r="H10286" s="0" t="s">
        <x:v>20</x:v>
      </x:c>
      <x:c r="I10286" s="0" t="s">
        <x:v>21</x:v>
      </x:c>
      <x:c r="K10286" s="0">
        <x:f>hyperlink("https://icd.who.int/dev11/l-ichi/en#/http%3A%2F%2Fid.who.int%2Ficd%2Fentity%2F285903366","browser")</x:f>
      </x:c>
      <x:c r="L10286" s="0">
        <x:f>hyperlink("https://icat2.azurewebsites.net/icat/?ontology=ICD&amp;tab=ClassesTab&amp;id=http%3A%2F%2Fwho.int%2Ficd%2349952_512ebf36_bf6b_4d70_85da_cf2637062af4","iCat")</x:f>
      </x:c>
      <x:c r="M10286" s="0" t="s">
        <x:v>21</x:v>
      </x:c>
      <x:c r="N10286" s="0" t="s">
        <x:v>46</x:v>
      </x:c>
    </x:row>
    <x:row r="10287" spans="1:16">
      <x:c r="A10287" s="0" t="s">
        <x:v>41010</x:v>
      </x:c>
      <x:c r="B10287" s="0" t="s">
        <x:v>41011</x:v>
      </x:c>
      <x:c r="C10287" s="0" t="s">
        <x:v>41012</x:v>
      </x:c>
      <x:c r="E10287" s="0" t="s">
        <x:v>41013</x:v>
      </x:c>
      <x:c r="F10287" s="0" t="s">
        <x:v>45</x:v>
      </x:c>
      <x:c r="G10287" s="0" t="s">
        <x:v>19</x:v>
      </x:c>
      <x:c r="H10287" s="0" t="s">
        <x:v>20</x:v>
      </x:c>
      <x:c r="I10287" s="0" t="s">
        <x:v>21</x:v>
      </x:c>
      <x:c r="K10287" s="0">
        <x:f>hyperlink("https://icd.who.int/dev11/l-ichi/en#/http%3A%2F%2Fid.who.int%2Ficd%2Fentity%2F437163180","browser")</x:f>
      </x:c>
      <x:c r="L10287" s="0">
        <x:f>hyperlink("https://icat2.azurewebsites.net/icat/?ontology=ICD&amp;tab=ClassesTab&amp;id=http%3A%2F%2Fwho.int%2Ficd%2349959_512ebf36_bf6b_4d70_85da_cf2637062af4","iCat")</x:f>
      </x:c>
      <x:c r="M10287" s="0" t="s">
        <x:v>21</x:v>
      </x:c>
      <x:c r="N10287" s="0" t="s">
        <x:v>46</x:v>
      </x:c>
    </x:row>
    <x:row r="10288" spans="1:16">
      <x:c r="A10288" s="0" t="s">
        <x:v>41014</x:v>
      </x:c>
      <x:c r="B10288" s="0" t="s">
        <x:v>41015</x:v>
      </x:c>
      <x:c r="C10288" s="0" t="s">
        <x:v>41016</x:v>
      </x:c>
      <x:c r="E10288" s="0" t="s">
        <x:v>41017</x:v>
      </x:c>
      <x:c r="F10288" s="0" t="s">
        <x:v>45</x:v>
      </x:c>
      <x:c r="G10288" s="0" t="s">
        <x:v>19</x:v>
      </x:c>
      <x:c r="H10288" s="0" t="s">
        <x:v>20</x:v>
      </x:c>
      <x:c r="I10288" s="0" t="s">
        <x:v>21</x:v>
      </x:c>
      <x:c r="K10288" s="0">
        <x:f>hyperlink("https://icd.who.int/dev11/l-ichi/en#/http%3A%2F%2Fid.who.int%2Ficd%2Fentity%2F1690046069","browser")</x:f>
      </x:c>
      <x:c r="L10288" s="0">
        <x:f>hyperlink("https://icat2.azurewebsites.net/icat/?ontology=ICD&amp;tab=ClassesTab&amp;id=http%3A%2F%2Fwho.int%2Ficd%2349966_512ebf36_bf6b_4d70_85da_cf2637062af4","iCat")</x:f>
      </x:c>
      <x:c r="M10288" s="0" t="s">
        <x:v>21</x:v>
      </x:c>
      <x:c r="N10288" s="0" t="s">
        <x:v>46</x:v>
      </x:c>
    </x:row>
    <x:row r="10289" spans="1:16">
      <x:c r="A10289" s="0" t="s">
        <x:v>41018</x:v>
      </x:c>
      <x:c r="B10289" s="0" t="s">
        <x:v>41019</x:v>
      </x:c>
      <x:c r="C10289" s="0" t="s">
        <x:v>41020</x:v>
      </x:c>
      <x:c r="E10289" s="0" t="s">
        <x:v>41021</x:v>
      </x:c>
      <x:c r="F10289" s="0" t="s">
        <x:v>45</x:v>
      </x:c>
      <x:c r="G10289" s="0" t="s">
        <x:v>19</x:v>
      </x:c>
      <x:c r="H10289" s="0" t="s">
        <x:v>20</x:v>
      </x:c>
      <x:c r="I10289" s="0" t="s">
        <x:v>21</x:v>
      </x:c>
      <x:c r="K10289" s="0">
        <x:f>hyperlink("https://icd.who.int/dev11/l-ichi/en#/http%3A%2F%2Fid.who.int%2Ficd%2Fentity%2F461843818","browser")</x:f>
      </x:c>
      <x:c r="L10289" s="0">
        <x:f>hyperlink("https://icat2.azurewebsites.net/icat/?ontology=ICD&amp;tab=ClassesTab&amp;id=http%3A%2F%2Fwho.int%2Ficd%2349973_512ebf36_bf6b_4d70_85da_cf2637062af4","iCat")</x:f>
      </x:c>
      <x:c r="M10289" s="0" t="s">
        <x:v>21</x:v>
      </x:c>
      <x:c r="N10289" s="0" t="s">
        <x:v>46</x:v>
      </x:c>
    </x:row>
    <x:row r="10290" spans="1:16">
      <x:c r="A10290" s="0" t="s">
        <x:v>41022</x:v>
      </x:c>
      <x:c r="B10290" s="0" t="s">
        <x:v>41023</x:v>
      </x:c>
      <x:c r="C10290" s="0" t="s">
        <x:v>41024</x:v>
      </x:c>
      <x:c r="E10290" s="0" t="s">
        <x:v>41025</x:v>
      </x:c>
      <x:c r="F10290" s="0" t="s">
        <x:v>45</x:v>
      </x:c>
      <x:c r="G10290" s="0" t="s">
        <x:v>19</x:v>
      </x:c>
      <x:c r="H10290" s="0" t="s">
        <x:v>20</x:v>
      </x:c>
      <x:c r="I10290" s="0" t="s">
        <x:v>21</x:v>
      </x:c>
      <x:c r="K10290" s="0">
        <x:f>hyperlink("https://icd.who.int/dev11/l-ichi/en#/http%3A%2F%2Fid.who.int%2Ficd%2Fentity%2F1910835277","browser")</x:f>
      </x:c>
      <x:c r="L10290" s="0">
        <x:f>hyperlink("https://icat2.azurewebsites.net/icat/?ontology=ICD&amp;tab=ClassesTab&amp;id=http%3A%2F%2Fwho.int%2Ficd%2349980_512ebf36_bf6b_4d70_85da_cf2637062af4","iCat")</x:f>
      </x:c>
      <x:c r="M10290" s="0" t="s">
        <x:v>21</x:v>
      </x:c>
      <x:c r="N10290" s="0" t="s">
        <x:v>46</x:v>
      </x:c>
    </x:row>
    <x:row r="10291" spans="1:16">
      <x:c r="A10291" s="0" t="s">
        <x:v>41026</x:v>
      </x:c>
      <x:c r="B10291" s="0" t="s">
        <x:v>41027</x:v>
      </x:c>
      <x:c r="C10291" s="0" t="s">
        <x:v>41028</x:v>
      </x:c>
      <x:c r="E10291" s="0" t="s">
        <x:v>41029</x:v>
      </x:c>
      <x:c r="F10291" s="0" t="s">
        <x:v>45</x:v>
      </x:c>
      <x:c r="G10291" s="0" t="s">
        <x:v>19</x:v>
      </x:c>
      <x:c r="H10291" s="0" t="s">
        <x:v>20</x:v>
      </x:c>
      <x:c r="I10291" s="0" t="s">
        <x:v>21</x:v>
      </x:c>
      <x:c r="K10291" s="0">
        <x:f>hyperlink("https://icd.who.int/dev11/l-ichi/en#/http%3A%2F%2Fid.who.int%2Ficd%2Fentity%2F23569346","browser")</x:f>
      </x:c>
      <x:c r="L10291" s="0">
        <x:f>hyperlink("https://icat2.azurewebsites.net/icat/?ontology=ICD&amp;tab=ClassesTab&amp;id=http%3A%2F%2Fwho.int%2Ficd%2349987_512ebf36_bf6b_4d70_85da_cf2637062af4","iCat")</x:f>
      </x:c>
      <x:c r="M10291" s="0" t="s">
        <x:v>21</x:v>
      </x:c>
      <x:c r="N10291" s="0" t="s">
        <x:v>46</x:v>
      </x:c>
    </x:row>
    <x:row r="10292" spans="1:16">
      <x:c r="A10292" s="0" t="s">
        <x:v>41030</x:v>
      </x:c>
      <x:c r="B10292" s="0" t="s">
        <x:v>41031</x:v>
      </x:c>
      <x:c r="C10292" s="0" t="s">
        <x:v>41032</x:v>
      </x:c>
      <x:c r="E10292" s="0" t="s">
        <x:v>41033</x:v>
      </x:c>
      <x:c r="F10292" s="0" t="s">
        <x:v>45</x:v>
      </x:c>
      <x:c r="G10292" s="0" t="s">
        <x:v>19</x:v>
      </x:c>
      <x:c r="H10292" s="0" t="s">
        <x:v>20</x:v>
      </x:c>
      <x:c r="I10292" s="0" t="s">
        <x:v>21</x:v>
      </x:c>
      <x:c r="K10292" s="0">
        <x:f>hyperlink("https://icd.who.int/dev11/l-ichi/en#/http%3A%2F%2Fid.who.int%2Ficd%2Fentity%2F774330734","browser")</x:f>
      </x:c>
      <x:c r="L10292" s="0">
        <x:f>hyperlink("https://icat2.azurewebsites.net/icat/?ontology=ICD&amp;tab=ClassesTab&amp;id=http%3A%2F%2Fwho.int%2Ficd%2349994_512ebf36_bf6b_4d70_85da_cf2637062af4","iCat")</x:f>
      </x:c>
      <x:c r="M10292" s="0" t="s">
        <x:v>21</x:v>
      </x:c>
      <x:c r="N10292" s="0" t="s">
        <x:v>46</x:v>
      </x:c>
    </x:row>
    <x:row r="10293" spans="1:16">
      <x:c r="A10293" s="0" t="s">
        <x:v>41034</x:v>
      </x:c>
      <x:c r="B10293" s="0" t="s">
        <x:v>41035</x:v>
      </x:c>
      <x:c r="C10293" s="0" t="s">
        <x:v>41036</x:v>
      </x:c>
      <x:c r="E10293" s="0" t="s">
        <x:v>41037</x:v>
      </x:c>
      <x:c r="F10293" s="0" t="s">
        <x:v>45</x:v>
      </x:c>
      <x:c r="G10293" s="0" t="s">
        <x:v>19</x:v>
      </x:c>
      <x:c r="H10293" s="0" t="s">
        <x:v>20</x:v>
      </x:c>
      <x:c r="I10293" s="0" t="s">
        <x:v>21</x:v>
      </x:c>
      <x:c r="K10293" s="0">
        <x:f>hyperlink("https://icd.who.int/dev11/l-ichi/en#/http%3A%2F%2Fid.who.int%2Ficd%2Fentity%2F753457741","browser")</x:f>
      </x:c>
      <x:c r="L10293" s="0">
        <x:f>hyperlink("https://icat2.azurewebsites.net/icat/?ontology=ICD&amp;tab=ClassesTab&amp;id=http%3A%2F%2Fwho.int%2Ficd%2350001_512ebf36_bf6b_4d70_85da_cf2637062af4","iCat")</x:f>
      </x:c>
      <x:c r="M10293" s="0" t="s">
        <x:v>21</x:v>
      </x:c>
      <x:c r="N10293" s="0" t="s">
        <x:v>46</x:v>
      </x:c>
    </x:row>
    <x:row r="10294" spans="1:16">
      <x:c r="A10294" s="0" t="s">
        <x:v>41038</x:v>
      </x:c>
      <x:c r="B10294" s="0" t="s">
        <x:v>41039</x:v>
      </x:c>
      <x:c r="C10294" s="0" t="s">
        <x:v>41040</x:v>
      </x:c>
      <x:c r="E10294" s="0" t="s">
        <x:v>41041</x:v>
      </x:c>
      <x:c r="F10294" s="0" t="s">
        <x:v>45</x:v>
      </x:c>
      <x:c r="G10294" s="0" t="s">
        <x:v>19</x:v>
      </x:c>
      <x:c r="H10294" s="0" t="s">
        <x:v>20</x:v>
      </x:c>
      <x:c r="I10294" s="0" t="s">
        <x:v>21</x:v>
      </x:c>
      <x:c r="K10294" s="0">
        <x:f>hyperlink("https://icd.who.int/dev11/l-ichi/en#/http%3A%2F%2Fid.who.int%2Ficd%2Fentity%2F1116789028","browser")</x:f>
      </x:c>
      <x:c r="L10294" s="0">
        <x:f>hyperlink("https://icat2.azurewebsites.net/icat/?ontology=ICD&amp;tab=ClassesTab&amp;id=http%3A%2F%2Fwho.int%2Ficd%2350008_512ebf36_bf6b_4d70_85da_cf2637062af4","iCat")</x:f>
      </x:c>
      <x:c r="M10294" s="0" t="s">
        <x:v>21</x:v>
      </x:c>
      <x:c r="N10294" s="0" t="s">
        <x:v>46</x:v>
      </x:c>
    </x:row>
    <x:row r="10295" spans="1:16">
      <x:c r="A10295" s="0" t="s">
        <x:v>41042</x:v>
      </x:c>
      <x:c r="B10295" s="0" t="s">
        <x:v>41043</x:v>
      </x:c>
      <x:c r="C10295" s="0" t="s">
        <x:v>41044</x:v>
      </x:c>
      <x:c r="E10295" s="0" t="s">
        <x:v>41045</x:v>
      </x:c>
      <x:c r="F10295" s="0" t="s">
        <x:v>45</x:v>
      </x:c>
      <x:c r="G10295" s="0" t="s">
        <x:v>19</x:v>
      </x:c>
      <x:c r="H10295" s="0" t="s">
        <x:v>20</x:v>
      </x:c>
      <x:c r="I10295" s="0" t="s">
        <x:v>21</x:v>
      </x:c>
      <x:c r="K10295" s="0">
        <x:f>hyperlink("https://icd.who.int/dev11/l-ichi/en#/http%3A%2F%2Fid.who.int%2Ficd%2Fentity%2F1932168046","browser")</x:f>
      </x:c>
      <x:c r="L10295" s="0">
        <x:f>hyperlink("https://icat2.azurewebsites.net/icat/?ontology=ICD&amp;tab=ClassesTab&amp;id=http%3A%2F%2Fwho.int%2Ficd%2350015_512ebf36_bf6b_4d70_85da_cf2637062af4","iCat")</x:f>
      </x:c>
      <x:c r="M10295" s="0" t="s">
        <x:v>21</x:v>
      </x:c>
      <x:c r="N10295" s="0" t="s">
        <x:v>46</x:v>
      </x:c>
    </x:row>
    <x:row r="10296" spans="1:16">
      <x:c r="A10296" s="0" t="s">
        <x:v>41046</x:v>
      </x:c>
      <x:c r="B10296" s="0" t="s">
        <x:v>41047</x:v>
      </x:c>
      <x:c r="C10296" s="0" t="s">
        <x:v>41048</x:v>
      </x:c>
      <x:c r="E10296" s="0" t="s">
        <x:v>41049</x:v>
      </x:c>
      <x:c r="F10296" s="0" t="s">
        <x:v>45</x:v>
      </x:c>
      <x:c r="G10296" s="0" t="s">
        <x:v>19</x:v>
      </x:c>
      <x:c r="H10296" s="0" t="s">
        <x:v>20</x:v>
      </x:c>
      <x:c r="I10296" s="0" t="s">
        <x:v>21</x:v>
      </x:c>
      <x:c r="K10296" s="0">
        <x:f>hyperlink("https://icd.who.int/dev11/l-ichi/en#/http%3A%2F%2Fid.who.int%2Ficd%2Fentity%2F1125736678","browser")</x:f>
      </x:c>
      <x:c r="L10296" s="0">
        <x:f>hyperlink("https://icat2.azurewebsites.net/icat/?ontology=ICD&amp;tab=ClassesTab&amp;id=http%3A%2F%2Fwho.int%2Ficd%2350022_512ebf36_bf6b_4d70_85da_cf2637062af4","iCat")</x:f>
      </x:c>
      <x:c r="M10296" s="0" t="s">
        <x:v>21</x:v>
      </x:c>
      <x:c r="N10296" s="0" t="s">
        <x:v>46</x:v>
      </x:c>
    </x:row>
    <x:row r="10297" spans="1:16">
      <x:c r="A10297" s="0" t="s">
        <x:v>41050</x:v>
      </x:c>
      <x:c r="B10297" s="0" t="s">
        <x:v>41051</x:v>
      </x:c>
      <x:c r="C10297" s="0" t="s">
        <x:v>41052</x:v>
      </x:c>
      <x:c r="E10297" s="0" t="s">
        <x:v>41053</x:v>
      </x:c>
      <x:c r="F10297" s="0" t="s">
        <x:v>45</x:v>
      </x:c>
      <x:c r="G10297" s="0" t="s">
        <x:v>19</x:v>
      </x:c>
      <x:c r="H10297" s="0" t="s">
        <x:v>20</x:v>
      </x:c>
      <x:c r="I10297" s="0" t="s">
        <x:v>21</x:v>
      </x:c>
      <x:c r="K10297" s="0">
        <x:f>hyperlink("https://icd.who.int/dev11/l-ichi/en#/http%3A%2F%2Fid.who.int%2Ficd%2Fentity%2F1209892424","browser")</x:f>
      </x:c>
      <x:c r="L10297" s="0">
        <x:f>hyperlink("https://icat2.azurewebsites.net/icat/?ontology=ICD&amp;tab=ClassesTab&amp;id=http%3A%2F%2Fwho.int%2Ficd%2350029_512ebf36_bf6b_4d70_85da_cf2637062af4","iCat")</x:f>
      </x:c>
      <x:c r="M10297" s="0" t="s">
        <x:v>21</x:v>
      </x:c>
      <x:c r="N10297" s="0" t="s">
        <x:v>46</x:v>
      </x:c>
    </x:row>
    <x:row r="10298" spans="1:16">
      <x:c r="A10298" s="0" t="s">
        <x:v>41054</x:v>
      </x:c>
      <x:c r="B10298" s="0" t="s">
        <x:v>41055</x:v>
      </x:c>
      <x:c r="C10298" s="0" t="s">
        <x:v>41056</x:v>
      </x:c>
      <x:c r="E10298" s="0" t="s">
        <x:v>41057</x:v>
      </x:c>
      <x:c r="F10298" s="0" t="s">
        <x:v>45</x:v>
      </x:c>
      <x:c r="G10298" s="0" t="s">
        <x:v>19</x:v>
      </x:c>
      <x:c r="H10298" s="0" t="s">
        <x:v>20</x:v>
      </x:c>
      <x:c r="I10298" s="0" t="s">
        <x:v>21</x:v>
      </x:c>
      <x:c r="K10298" s="0">
        <x:f>hyperlink("https://icd.who.int/dev11/l-ichi/en#/http%3A%2F%2Fid.who.int%2Ficd%2Fentity%2F484127175","browser")</x:f>
      </x:c>
      <x:c r="L10298" s="0">
        <x:f>hyperlink("https://icat2.azurewebsites.net/icat/?ontology=ICD&amp;tab=ClassesTab&amp;id=http%3A%2F%2Fwho.int%2Ficd%2350036_512ebf36_bf6b_4d70_85da_cf2637062af4","iCat")</x:f>
      </x:c>
      <x:c r="M10298" s="0" t="s">
        <x:v>21</x:v>
      </x:c>
      <x:c r="N10298" s="0" t="s">
        <x:v>46</x:v>
      </x:c>
    </x:row>
    <x:row r="10299" spans="1:16">
      <x:c r="A10299" s="0" t="s">
        <x:v>41058</x:v>
      </x:c>
      <x:c r="B10299" s="0" t="s">
        <x:v>41059</x:v>
      </x:c>
      <x:c r="C10299" s="0" t="s">
        <x:v>41060</x:v>
      </x:c>
      <x:c r="E10299" s="0" t="s">
        <x:v>41061</x:v>
      </x:c>
      <x:c r="F10299" s="0" t="s">
        <x:v>45</x:v>
      </x:c>
      <x:c r="G10299" s="0" t="s">
        <x:v>19</x:v>
      </x:c>
      <x:c r="H10299" s="0" t="s">
        <x:v>20</x:v>
      </x:c>
      <x:c r="I10299" s="0" t="s">
        <x:v>21</x:v>
      </x:c>
      <x:c r="K10299" s="0">
        <x:f>hyperlink("https://icd.who.int/dev11/l-ichi/en#/http%3A%2F%2Fid.who.int%2Ficd%2Fentity%2F972264597","browser")</x:f>
      </x:c>
      <x:c r="L10299" s="0">
        <x:f>hyperlink("https://icat2.azurewebsites.net/icat/?ontology=ICD&amp;tab=ClassesTab&amp;id=http%3A%2F%2Fwho.int%2Ficd%2350043_512ebf36_bf6b_4d70_85da_cf2637062af4","iCat")</x:f>
      </x:c>
      <x:c r="M10299" s="0" t="s">
        <x:v>21</x:v>
      </x:c>
      <x:c r="N10299" s="0" t="s">
        <x:v>46</x:v>
      </x:c>
    </x:row>
    <x:row r="10300" spans="1:16">
      <x:c r="A10300" s="0" t="s">
        <x:v>41062</x:v>
      </x:c>
      <x:c r="B10300" s="0" t="s">
        <x:v>41063</x:v>
      </x:c>
      <x:c r="C10300" s="0" t="s">
        <x:v>41064</x:v>
      </x:c>
      <x:c r="E10300" s="0" t="s">
        <x:v>41065</x:v>
      </x:c>
      <x:c r="F10300" s="0" t="s">
        <x:v>45</x:v>
      </x:c>
      <x:c r="G10300" s="0" t="s">
        <x:v>19</x:v>
      </x:c>
      <x:c r="H10300" s="0" t="s">
        <x:v>20</x:v>
      </x:c>
      <x:c r="I10300" s="0" t="s">
        <x:v>21</x:v>
      </x:c>
      <x:c r="K10300" s="0">
        <x:f>hyperlink("https://icd.who.int/dev11/l-ichi/en#/http%3A%2F%2Fid.who.int%2Ficd%2Fentity%2F1504558747","browser")</x:f>
      </x:c>
      <x:c r="L10300" s="0">
        <x:f>hyperlink("https://icat2.azurewebsites.net/icat/?ontology=ICD&amp;tab=ClassesTab&amp;id=http%3A%2F%2Fwho.int%2Ficd%235286_d85a204c_d00a_4566_a3b7_2d137a1891cf","iCat")</x:f>
      </x:c>
      <x:c r="M10300" s="0" t="s">
        <x:v>21</x:v>
      </x:c>
      <x:c r="N10300" s="0" t="s">
        <x:v>46</x:v>
      </x:c>
    </x:row>
    <x:row r="10301" spans="1:16">
      <x:c r="A10301" s="0" t="s">
        <x:v>41066</x:v>
      </x:c>
      <x:c r="B10301" s="0" t="s">
        <x:v>41067</x:v>
      </x:c>
      <x:c r="C10301" s="0" t="s">
        <x:v>41068</x:v>
      </x:c>
      <x:c r="E10301" s="0" t="s">
        <x:v>41069</x:v>
      </x:c>
      <x:c r="F10301" s="0" t="s">
        <x:v>45</x:v>
      </x:c>
      <x:c r="G10301" s="0" t="s">
        <x:v>19</x:v>
      </x:c>
      <x:c r="H10301" s="0" t="s">
        <x:v>20</x:v>
      </x:c>
      <x:c r="I10301" s="0" t="s">
        <x:v>21</x:v>
      </x:c>
      <x:c r="K10301" s="0">
        <x:f>hyperlink("https://icd.who.int/dev11/l-ichi/en#/http%3A%2F%2Fid.who.int%2Ficd%2Fentity%2F380857915","browser")</x:f>
      </x:c>
      <x:c r="L10301" s="0">
        <x:f>hyperlink("https://icat2.azurewebsites.net/icat/?ontology=ICD&amp;tab=ClassesTab&amp;id=http%3A%2F%2Fwho.int%2Ficd%2350050_512ebf36_bf6b_4d70_85da_cf2637062af4","iCat")</x:f>
      </x:c>
      <x:c r="M10301" s="0" t="s">
        <x:v>21</x:v>
      </x:c>
      <x:c r="N10301" s="0" t="s">
        <x:v>46</x:v>
      </x:c>
    </x:row>
    <x:row r="10302" spans="1:16">
      <x:c r="A10302" s="0" t="s">
        <x:v>41070</x:v>
      </x:c>
      <x:c r="B10302" s="0" t="s">
        <x:v>41071</x:v>
      </x:c>
      <x:c r="C10302" s="0" t="s">
        <x:v>41072</x:v>
      </x:c>
      <x:c r="E10302" s="0" t="s">
        <x:v>41073</x:v>
      </x:c>
      <x:c r="F10302" s="0" t="s">
        <x:v>45</x:v>
      </x:c>
      <x:c r="G10302" s="0" t="s">
        <x:v>19</x:v>
      </x:c>
      <x:c r="H10302" s="0" t="s">
        <x:v>20</x:v>
      </x:c>
      <x:c r="I10302" s="0" t="s">
        <x:v>21</x:v>
      </x:c>
      <x:c r="K10302" s="0">
        <x:f>hyperlink("https://icd.who.int/dev11/l-ichi/en#/http%3A%2F%2Fid.who.int%2Ficd%2Fentity%2F1714537910","browser")</x:f>
      </x:c>
      <x:c r="L10302" s="0">
        <x:f>hyperlink("https://icat2.azurewebsites.net/icat/?ontology=ICD&amp;tab=ClassesTab&amp;id=http%3A%2F%2Fwho.int%2Ficd%2350057_512ebf36_bf6b_4d70_85da_cf2637062af4","iCat")</x:f>
      </x:c>
      <x:c r="M10302" s="0" t="s">
        <x:v>21</x:v>
      </x:c>
      <x:c r="N10302" s="0" t="s">
        <x:v>46</x:v>
      </x:c>
    </x:row>
    <x:row r="10303" spans="1:16">
      <x:c r="A10303" s="0" t="s">
        <x:v>41074</x:v>
      </x:c>
      <x:c r="B10303" s="0" t="s">
        <x:v>41075</x:v>
      </x:c>
      <x:c r="C10303" s="0" t="s">
        <x:v>41076</x:v>
      </x:c>
      <x:c r="E10303" s="0" t="s">
        <x:v>41077</x:v>
      </x:c>
      <x:c r="F10303" s="0" t="s">
        <x:v>45</x:v>
      </x:c>
      <x:c r="G10303" s="0" t="s">
        <x:v>19</x:v>
      </x:c>
      <x:c r="H10303" s="0" t="s">
        <x:v>20</x:v>
      </x:c>
      <x:c r="I10303" s="0" t="s">
        <x:v>21</x:v>
      </x:c>
      <x:c r="K10303" s="0">
        <x:f>hyperlink("https://icd.who.int/dev11/l-ichi/en#/http%3A%2F%2Fid.who.int%2Ficd%2Fentity%2F1661332040","browser")</x:f>
      </x:c>
      <x:c r="L10303" s="0">
        <x:f>hyperlink("https://icat2.azurewebsites.net/icat/?ontology=ICD&amp;tab=ClassesTab&amp;id=http%3A%2F%2Fwho.int%2Ficd%2350064_512ebf36_bf6b_4d70_85da_cf2637062af4","iCat")</x:f>
      </x:c>
      <x:c r="M10303" s="0" t="s">
        <x:v>21</x:v>
      </x:c>
      <x:c r="N10303" s="0" t="s">
        <x:v>46</x:v>
      </x:c>
    </x:row>
    <x:row r="10304" spans="1:16">
      <x:c r="A10304" s="0" t="s">
        <x:v>41078</x:v>
      </x:c>
      <x:c r="B10304" s="0" t="s">
        <x:v>41079</x:v>
      </x:c>
      <x:c r="D10304" s="0" t="s">
        <x:v>41080</x:v>
      </x:c>
      <x:c r="E10304" s="0" t="s">
        <x:v>41081</x:v>
      </x:c>
      <x:c r="F10304" s="0" t="s">
        <x:v>26</x:v>
      </x:c>
      <x:c r="G10304" s="0" t="s">
        <x:v>35</x:v>
      </x:c>
      <x:c r="H10304" s="0" t="s">
        <x:v>20</x:v>
      </x:c>
      <x:c r="I10304" s="0" t="s">
        <x:v>21</x:v>
      </x:c>
      <x:c r="K10304" s="0">
        <x:f>hyperlink("https://icd.who.int/dev11/l-ichi/en#/http%3A%2F%2Fid.who.int%2Ficd%2Fentity%2F1505470128","browser")</x:f>
      </x:c>
      <x:c r="L10304" s="0">
        <x:f>hyperlink("https://icat2.azurewebsites.net/icat/?ontology=ICD&amp;tab=ClassesTab&amp;id=http%3A%2F%2Fwho.int%2Ficd%2350072_512ebf36_bf6b_4d70_85da_cf2637062af4","iCat")</x:f>
      </x:c>
      <x:c r="M10304" s="0" t="s">
        <x:v>20</x:v>
      </x:c>
      <x:c r="N10304" s="0" t="s">
        <x:v>41082</x:v>
      </x:c>
    </x:row>
    <x:row r="10305" spans="1:16">
      <x:c r="A10305" s="0" t="s">
        <x:v>41083</x:v>
      </x:c>
      <x:c r="B10305" s="0" t="s">
        <x:v>41084</x:v>
      </x:c>
      <x:c r="C10305" s="0" t="s">
        <x:v>41085</x:v>
      </x:c>
      <x:c r="E10305" s="0" t="s">
        <x:v>41086</x:v>
      </x:c>
      <x:c r="F10305" s="0" t="s">
        <x:v>45</x:v>
      </x:c>
      <x:c r="G10305" s="0" t="s">
        <x:v>19</x:v>
      </x:c>
      <x:c r="H10305" s="0" t="s">
        <x:v>20</x:v>
      </x:c>
      <x:c r="I10305" s="0" t="s">
        <x:v>21</x:v>
      </x:c>
      <x:c r="K10305" s="0">
        <x:f>hyperlink("https://icd.who.int/dev11/l-ichi/en#/http%3A%2F%2Fid.who.int%2Ficd%2Fentity%2F473876823","browser")</x:f>
      </x:c>
      <x:c r="L10305" s="0">
        <x:f>hyperlink("https://icat2.azurewebsites.net/icat/?ontology=ICD&amp;tab=ClassesTab&amp;id=http%3A%2F%2Fwho.int%2Ficd%2350071_512ebf36_bf6b_4d70_85da_cf2637062af4","iCat")</x:f>
      </x:c>
      <x:c r="M10305" s="0" t="s">
        <x:v>21</x:v>
      </x:c>
      <x:c r="N10305" s="0" t="s">
        <x:v>46</x:v>
      </x:c>
    </x:row>
    <x:row r="10306" spans="1:16">
      <x:c r="A10306" s="0" t="s">
        <x:v>41087</x:v>
      </x:c>
      <x:c r="B10306" s="0" t="s">
        <x:v>41088</x:v>
      </x:c>
      <x:c r="C10306" s="0" t="s">
        <x:v>41089</x:v>
      </x:c>
      <x:c r="E10306" s="0" t="s">
        <x:v>41090</x:v>
      </x:c>
      <x:c r="F10306" s="0" t="s">
        <x:v>45</x:v>
      </x:c>
      <x:c r="G10306" s="0" t="s">
        <x:v>19</x:v>
      </x:c>
      <x:c r="H10306" s="0" t="s">
        <x:v>20</x:v>
      </x:c>
      <x:c r="I10306" s="0" t="s">
        <x:v>21</x:v>
      </x:c>
      <x:c r="K10306" s="0">
        <x:f>hyperlink("https://icd.who.int/dev11/l-ichi/en#/http%3A%2F%2Fid.who.int%2Ficd%2Fentity%2F640103873","browser")</x:f>
      </x:c>
      <x:c r="L10306" s="0">
        <x:f>hyperlink("https://icat2.azurewebsites.net/icat/?ontology=ICD&amp;tab=ClassesTab&amp;id=http%3A%2F%2Fwho.int%2Ficd%2350084_512ebf36_bf6b_4d70_85da_cf2637062af4","iCat")</x:f>
      </x:c>
      <x:c r="M10306" s="0" t="s">
        <x:v>21</x:v>
      </x:c>
      <x:c r="N10306" s="0" t="s">
        <x:v>46</x:v>
      </x:c>
    </x:row>
    <x:row r="10307" spans="1:16">
      <x:c r="A10307" s="0" t="s">
        <x:v>41091</x:v>
      </x:c>
      <x:c r="B10307" s="0" t="s">
        <x:v>41092</x:v>
      </x:c>
      <x:c r="C10307" s="0" t="s">
        <x:v>41093</x:v>
      </x:c>
      <x:c r="E10307" s="0" t="s">
        <x:v>41094</x:v>
      </x:c>
      <x:c r="F10307" s="0" t="s">
        <x:v>45</x:v>
      </x:c>
      <x:c r="G10307" s="0" t="s">
        <x:v>19</x:v>
      </x:c>
      <x:c r="H10307" s="0" t="s">
        <x:v>20</x:v>
      </x:c>
      <x:c r="I10307" s="0" t="s">
        <x:v>21</x:v>
      </x:c>
      <x:c r="K10307" s="0">
        <x:f>hyperlink("https://icd.who.int/dev11/l-ichi/en#/http%3A%2F%2Fid.who.int%2Ficd%2Fentity%2F1495013086","browser")</x:f>
      </x:c>
      <x:c r="L10307" s="0">
        <x:f>hyperlink("https://icat2.azurewebsites.net/icat/?ontology=ICD&amp;tab=ClassesTab&amp;id=http%3A%2F%2Fwho.int%2Ficd%2350091_512ebf36_bf6b_4d70_85da_cf2637062af4","iCat")</x:f>
      </x:c>
      <x:c r="M10307" s="0" t="s">
        <x:v>21</x:v>
      </x:c>
      <x:c r="N10307" s="0" t="s">
        <x:v>46</x:v>
      </x:c>
    </x:row>
    <x:row r="10308" spans="1:16">
      <x:c r="A10308" s="0" t="s">
        <x:v>41095</x:v>
      </x:c>
      <x:c r="B10308" s="0" t="s">
        <x:v>41096</x:v>
      </x:c>
      <x:c r="C10308" s="0" t="s">
        <x:v>41097</x:v>
      </x:c>
      <x:c r="E10308" s="0" t="s">
        <x:v>41098</x:v>
      </x:c>
      <x:c r="F10308" s="0" t="s">
        <x:v>45</x:v>
      </x:c>
      <x:c r="G10308" s="0" t="s">
        <x:v>19</x:v>
      </x:c>
      <x:c r="H10308" s="0" t="s">
        <x:v>20</x:v>
      </x:c>
      <x:c r="I10308" s="0" t="s">
        <x:v>21</x:v>
      </x:c>
      <x:c r="K10308" s="0">
        <x:f>hyperlink("https://icd.who.int/dev11/l-ichi/en#/http%3A%2F%2Fid.who.int%2Ficd%2Fentity%2F929306039","browser")</x:f>
      </x:c>
      <x:c r="L10308" s="0">
        <x:f>hyperlink("https://icat2.azurewebsites.net/icat/?ontology=ICD&amp;tab=ClassesTab&amp;id=http%3A%2F%2Fwho.int%2Ficd%2350098_512ebf36_bf6b_4d70_85da_cf2637062af4","iCat")</x:f>
      </x:c>
      <x:c r="M10308" s="0" t="s">
        <x:v>21</x:v>
      </x:c>
      <x:c r="N10308" s="0" t="s">
        <x:v>46</x:v>
      </x:c>
    </x:row>
    <x:row r="10309" spans="1:16">
      <x:c r="A10309" s="0" t="s">
        <x:v>41099</x:v>
      </x:c>
      <x:c r="B10309" s="0" t="s">
        <x:v>41100</x:v>
      </x:c>
      <x:c r="C10309" s="0" t="s">
        <x:v>41101</x:v>
      </x:c>
      <x:c r="E10309" s="0" t="s">
        <x:v>41102</x:v>
      </x:c>
      <x:c r="F10309" s="0" t="s">
        <x:v>45</x:v>
      </x:c>
      <x:c r="G10309" s="0" t="s">
        <x:v>19</x:v>
      </x:c>
      <x:c r="H10309" s="0" t="s">
        <x:v>20</x:v>
      </x:c>
      <x:c r="I10309" s="0" t="s">
        <x:v>21</x:v>
      </x:c>
      <x:c r="K10309" s="0">
        <x:f>hyperlink("https://icd.who.int/dev11/l-ichi/en#/http%3A%2F%2Fid.who.int%2Ficd%2Fentity%2F1819334820","browser")</x:f>
      </x:c>
      <x:c r="L10309" s="0">
        <x:f>hyperlink("https://icat2.azurewebsites.net/icat/?ontology=ICD&amp;tab=ClassesTab&amp;id=http%3A%2F%2Fwho.int%2Ficd%2350105_512ebf36_bf6b_4d70_85da_cf2637062af4","iCat")</x:f>
      </x:c>
      <x:c r="M10309" s="0" t="s">
        <x:v>21</x:v>
      </x:c>
      <x:c r="N10309" s="0" t="s">
        <x:v>46</x:v>
      </x:c>
    </x:row>
    <x:row r="10310" spans="1:16">
      <x:c r="A10310" s="0" t="s">
        <x:v>41103</x:v>
      </x:c>
      <x:c r="B10310" s="0" t="s">
        <x:v>41104</x:v>
      </x:c>
      <x:c r="C10310" s="0" t="s">
        <x:v>41105</x:v>
      </x:c>
      <x:c r="E10310" s="0" t="s">
        <x:v>41106</x:v>
      </x:c>
      <x:c r="F10310" s="0" t="s">
        <x:v>45</x:v>
      </x:c>
      <x:c r="G10310" s="0" t="s">
        <x:v>19</x:v>
      </x:c>
      <x:c r="H10310" s="0" t="s">
        <x:v>20</x:v>
      </x:c>
      <x:c r="I10310" s="0" t="s">
        <x:v>21</x:v>
      </x:c>
      <x:c r="K10310" s="0">
        <x:f>hyperlink("https://icd.who.int/dev11/l-ichi/en#/http%3A%2F%2Fid.who.int%2Ficd%2Fentity%2F1983374974","browser")</x:f>
      </x:c>
      <x:c r="L10310" s="0">
        <x:f>hyperlink("https://icat2.azurewebsites.net/icat/?ontology=ICD&amp;tab=ClassesTab&amp;id=http%3A%2F%2Fwho.int%2Ficd%2350112_512ebf36_bf6b_4d70_85da_cf2637062af4","iCat")</x:f>
      </x:c>
      <x:c r="M10310" s="0" t="s">
        <x:v>21</x:v>
      </x:c>
      <x:c r="N10310" s="0" t="s">
        <x:v>46</x:v>
      </x:c>
    </x:row>
    <x:row r="10311" spans="1:16">
      <x:c r="A10311" s="0" t="s">
        <x:v>41107</x:v>
      </x:c>
      <x:c r="B10311" s="0" t="s">
        <x:v>41108</x:v>
      </x:c>
      <x:c r="C10311" s="0" t="s">
        <x:v>41109</x:v>
      </x:c>
      <x:c r="E10311" s="0" t="s">
        <x:v>41110</x:v>
      </x:c>
      <x:c r="F10311" s="0" t="s">
        <x:v>45</x:v>
      </x:c>
      <x:c r="G10311" s="0" t="s">
        <x:v>19</x:v>
      </x:c>
      <x:c r="H10311" s="0" t="s">
        <x:v>20</x:v>
      </x:c>
      <x:c r="I10311" s="0" t="s">
        <x:v>21</x:v>
      </x:c>
      <x:c r="K10311" s="0">
        <x:f>hyperlink("https://icd.who.int/dev11/l-ichi/en#/http%3A%2F%2Fid.who.int%2Ficd%2Fentity%2F2100558036","browser")</x:f>
      </x:c>
      <x:c r="L10311" s="0">
        <x:f>hyperlink("https://icat2.azurewebsites.net/icat/?ontology=ICD&amp;tab=ClassesTab&amp;id=http%3A%2F%2Fwho.int%2Ficd%2350119_512ebf36_bf6b_4d70_85da_cf2637062af4","iCat")</x:f>
      </x:c>
      <x:c r="M10311" s="0" t="s">
        <x:v>21</x:v>
      </x:c>
      <x:c r="N10311" s="0" t="s">
        <x:v>46</x:v>
      </x:c>
    </x:row>
    <x:row r="10312" spans="1:16">
      <x:c r="A10312" s="0" t="s">
        <x:v>41111</x:v>
      </x:c>
      <x:c r="B10312" s="0" t="s">
        <x:v>41112</x:v>
      </x:c>
      <x:c r="C10312" s="0" t="s">
        <x:v>41113</x:v>
      </x:c>
      <x:c r="E10312" s="0" t="s">
        <x:v>41114</x:v>
      </x:c>
      <x:c r="F10312" s="0" t="s">
        <x:v>45</x:v>
      </x:c>
      <x:c r="G10312" s="0" t="s">
        <x:v>19</x:v>
      </x:c>
      <x:c r="H10312" s="0" t="s">
        <x:v>20</x:v>
      </x:c>
      <x:c r="I10312" s="0" t="s">
        <x:v>21</x:v>
      </x:c>
      <x:c r="K10312" s="0">
        <x:f>hyperlink("https://icd.who.int/dev11/l-ichi/en#/http%3A%2F%2Fid.who.int%2Ficd%2Fentity%2F58810893","browser")</x:f>
      </x:c>
      <x:c r="L10312" s="0">
        <x:f>hyperlink("https://icat2.azurewebsites.net/icat/?ontology=ICD&amp;tab=ClassesTab&amp;id=http%3A%2F%2Fwho.int%2Ficd%2350126_512ebf36_bf6b_4d70_85da_cf2637062af4","iCat")</x:f>
      </x:c>
      <x:c r="M10312" s="0" t="s">
        <x:v>21</x:v>
      </x:c>
      <x:c r="N10312" s="0" t="s">
        <x:v>46</x:v>
      </x:c>
    </x:row>
    <x:row r="10313" spans="1:16">
      <x:c r="A10313" s="0" t="s">
        <x:v>41115</x:v>
      </x:c>
      <x:c r="B10313" s="0" t="s">
        <x:v>41116</x:v>
      </x:c>
      <x:c r="C10313" s="0" t="s">
        <x:v>41117</x:v>
      </x:c>
      <x:c r="E10313" s="0" t="s">
        <x:v>41118</x:v>
      </x:c>
      <x:c r="F10313" s="0" t="s">
        <x:v>45</x:v>
      </x:c>
      <x:c r="G10313" s="0" t="s">
        <x:v>19</x:v>
      </x:c>
      <x:c r="H10313" s="0" t="s">
        <x:v>20</x:v>
      </x:c>
      <x:c r="I10313" s="0" t="s">
        <x:v>21</x:v>
      </x:c>
      <x:c r="K10313" s="0">
        <x:f>hyperlink("https://icd.who.int/dev11/l-ichi/en#/http%3A%2F%2Fid.who.int%2Ficd%2Fentity%2F2092581138","browser")</x:f>
      </x:c>
      <x:c r="L10313" s="0">
        <x:f>hyperlink("https://icat2.azurewebsites.net/icat/?ontology=ICD&amp;tab=ClassesTab&amp;id=http%3A%2F%2Fwho.int%2Ficd%2350133_512ebf36_bf6b_4d70_85da_cf2637062af4","iCat")</x:f>
      </x:c>
      <x:c r="M10313" s="0" t="s">
        <x:v>21</x:v>
      </x:c>
      <x:c r="N10313" s="0" t="s">
        <x:v>46</x:v>
      </x:c>
    </x:row>
    <x:row r="10314" spans="1:16">
      <x:c r="A10314" s="0" t="s">
        <x:v>41119</x:v>
      </x:c>
      <x:c r="B10314" s="0" t="s">
        <x:v>41120</x:v>
      </x:c>
      <x:c r="C10314" s="0" t="s">
        <x:v>41121</x:v>
      </x:c>
      <x:c r="E10314" s="0" t="s">
        <x:v>41122</x:v>
      </x:c>
      <x:c r="F10314" s="0" t="s">
        <x:v>45</x:v>
      </x:c>
      <x:c r="G10314" s="0" t="s">
        <x:v>19</x:v>
      </x:c>
      <x:c r="H10314" s="0" t="s">
        <x:v>20</x:v>
      </x:c>
      <x:c r="I10314" s="0" t="s">
        <x:v>21</x:v>
      </x:c>
      <x:c r="K10314" s="0">
        <x:f>hyperlink("https://icd.who.int/dev11/l-ichi/en#/http%3A%2F%2Fid.who.int%2Ficd%2Fentity%2F166280689","browser")</x:f>
      </x:c>
      <x:c r="L10314" s="0">
        <x:f>hyperlink("https://icat2.azurewebsites.net/icat/?ontology=ICD&amp;tab=ClassesTab&amp;id=http%3A%2F%2Fwho.int%2Ficd%2350140_512ebf36_bf6b_4d70_85da_cf2637062af4","iCat")</x:f>
      </x:c>
      <x:c r="M10314" s="0" t="s">
        <x:v>21</x:v>
      </x:c>
      <x:c r="N10314" s="0" t="s">
        <x:v>46</x:v>
      </x:c>
    </x:row>
    <x:row r="10315" spans="1:16">
      <x:c r="A10315" s="0" t="s">
        <x:v>41123</x:v>
      </x:c>
      <x:c r="B10315" s="0" t="s">
        <x:v>41124</x:v>
      </x:c>
      <x:c r="C10315" s="0" t="s">
        <x:v>41125</x:v>
      </x:c>
      <x:c r="E10315" s="0" t="s">
        <x:v>41126</x:v>
      </x:c>
      <x:c r="F10315" s="0" t="s">
        <x:v>45</x:v>
      </x:c>
      <x:c r="G10315" s="0" t="s">
        <x:v>19</x:v>
      </x:c>
      <x:c r="H10315" s="0" t="s">
        <x:v>20</x:v>
      </x:c>
      <x:c r="I10315" s="0" t="s">
        <x:v>21</x:v>
      </x:c>
      <x:c r="K10315" s="0">
        <x:f>hyperlink("https://icd.who.int/dev11/l-ichi/en#/http%3A%2F%2Fid.who.int%2Ficd%2Fentity%2F2037094012","browser")</x:f>
      </x:c>
      <x:c r="L10315" s="0">
        <x:f>hyperlink("https://icat2.azurewebsites.net/icat/?ontology=ICD&amp;tab=ClassesTab&amp;id=http%3A%2F%2Fwho.int%2Ficd%2350147_512ebf36_bf6b_4d70_85da_cf2637062af4","iCat")</x:f>
      </x:c>
      <x:c r="M10315" s="0" t="s">
        <x:v>21</x:v>
      </x:c>
      <x:c r="N10315" s="0" t="s">
        <x:v>46</x:v>
      </x:c>
    </x:row>
    <x:row r="10316" spans="1:16">
      <x:c r="A10316" s="0" t="s">
        <x:v>41127</x:v>
      </x:c>
      <x:c r="B10316" s="0" t="s">
        <x:v>41128</x:v>
      </x:c>
      <x:c r="C10316" s="0" t="s">
        <x:v>41129</x:v>
      </x:c>
      <x:c r="E10316" s="0" t="s">
        <x:v>41130</x:v>
      </x:c>
      <x:c r="F10316" s="0" t="s">
        <x:v>45</x:v>
      </x:c>
      <x:c r="G10316" s="0" t="s">
        <x:v>19</x:v>
      </x:c>
      <x:c r="H10316" s="0" t="s">
        <x:v>20</x:v>
      </x:c>
      <x:c r="I10316" s="0" t="s">
        <x:v>21</x:v>
      </x:c>
      <x:c r="K10316" s="0">
        <x:f>hyperlink("https://icd.who.int/dev11/l-ichi/en#/http%3A%2F%2Fid.who.int%2Ficd%2Fentity%2F1445686484","browser")</x:f>
      </x:c>
      <x:c r="L10316" s="0">
        <x:f>hyperlink("https://icat2.azurewebsites.net/icat/?ontology=ICD&amp;tab=ClassesTab&amp;id=http%3A%2F%2Fwho.int%2Ficd%2350154_512ebf36_bf6b_4d70_85da_cf2637062af4","iCat")</x:f>
      </x:c>
      <x:c r="M10316" s="0" t="s">
        <x:v>21</x:v>
      </x:c>
      <x:c r="N10316" s="0" t="s">
        <x:v>46</x:v>
      </x:c>
    </x:row>
    <x:row r="10317" spans="1:16">
      <x:c r="A10317" s="0" t="s">
        <x:v>41131</x:v>
      </x:c>
      <x:c r="B10317" s="0" t="s">
        <x:v>41132</x:v>
      </x:c>
      <x:c r="C10317" s="0" t="s">
        <x:v>41133</x:v>
      </x:c>
      <x:c r="E10317" s="0" t="s">
        <x:v>41134</x:v>
      </x:c>
      <x:c r="F10317" s="0" t="s">
        <x:v>45</x:v>
      </x:c>
      <x:c r="G10317" s="0" t="s">
        <x:v>19</x:v>
      </x:c>
      <x:c r="H10317" s="0" t="s">
        <x:v>20</x:v>
      </x:c>
      <x:c r="I10317" s="0" t="s">
        <x:v>21</x:v>
      </x:c>
      <x:c r="K10317" s="0">
        <x:f>hyperlink("https://icd.who.int/dev11/l-ichi/en#/http%3A%2F%2Fid.who.int%2Ficd%2Fentity%2F56924829","browser")</x:f>
      </x:c>
      <x:c r="L10317" s="0">
        <x:f>hyperlink("https://icat2.azurewebsites.net/icat/?ontology=ICD&amp;tab=ClassesTab&amp;id=http%3A%2F%2Fwho.int%2Ficd%2350161_512ebf36_bf6b_4d70_85da_cf2637062af4","iCat")</x:f>
      </x:c>
      <x:c r="M10317" s="0" t="s">
        <x:v>21</x:v>
      </x:c>
      <x:c r="N10317" s="0" t="s">
        <x:v>46</x:v>
      </x:c>
    </x:row>
    <x:row r="10318" spans="1:16">
      <x:c r="A10318" s="0" t="s">
        <x:v>41135</x:v>
      </x:c>
      <x:c r="B10318" s="0" t="s">
        <x:v>41136</x:v>
      </x:c>
      <x:c r="C10318" s="0" t="s">
        <x:v>41137</x:v>
      </x:c>
      <x:c r="E10318" s="0" t="s">
        <x:v>41138</x:v>
      </x:c>
      <x:c r="F10318" s="0" t="s">
        <x:v>45</x:v>
      </x:c>
      <x:c r="G10318" s="0" t="s">
        <x:v>19</x:v>
      </x:c>
      <x:c r="H10318" s="0" t="s">
        <x:v>20</x:v>
      </x:c>
      <x:c r="I10318" s="0" t="s">
        <x:v>21</x:v>
      </x:c>
      <x:c r="K10318" s="0">
        <x:f>hyperlink("https://icd.who.int/dev11/l-ichi/en#/http%3A%2F%2Fid.who.int%2Ficd%2Fentity%2F1830590966","browser")</x:f>
      </x:c>
      <x:c r="L10318" s="0">
        <x:f>hyperlink("https://icat2.azurewebsites.net/icat/?ontology=ICD&amp;tab=ClassesTab&amp;id=http%3A%2F%2Fwho.int%2Ficd%2350168_512ebf36_bf6b_4d70_85da_cf2637062af4","iCat")</x:f>
      </x:c>
      <x:c r="M10318" s="0" t="s">
        <x:v>21</x:v>
      </x:c>
      <x:c r="N10318" s="0" t="s">
        <x:v>46</x:v>
      </x:c>
    </x:row>
    <x:row r="10319" spans="1:16">
      <x:c r="A10319" s="0" t="s">
        <x:v>41139</x:v>
      </x:c>
      <x:c r="B10319" s="0" t="s">
        <x:v>41140</x:v>
      </x:c>
      <x:c r="C10319" s="0" t="s">
        <x:v>41141</x:v>
      </x:c>
      <x:c r="E10319" s="0" t="s">
        <x:v>41142</x:v>
      </x:c>
      <x:c r="F10319" s="0" t="s">
        <x:v>45</x:v>
      </x:c>
      <x:c r="G10319" s="0" t="s">
        <x:v>19</x:v>
      </x:c>
      <x:c r="H10319" s="0" t="s">
        <x:v>20</x:v>
      </x:c>
      <x:c r="I10319" s="0" t="s">
        <x:v>21</x:v>
      </x:c>
      <x:c r="K10319" s="0">
        <x:f>hyperlink("https://icd.who.int/dev11/l-ichi/en#/http%3A%2F%2Fid.who.int%2Ficd%2Fentity%2F1554435008","browser")</x:f>
      </x:c>
      <x:c r="L10319" s="0">
        <x:f>hyperlink("https://icat2.azurewebsites.net/icat/?ontology=ICD&amp;tab=ClassesTab&amp;id=http%3A%2F%2Fwho.int%2Ficd%2350175_512ebf36_bf6b_4d70_85da_cf2637062af4","iCat")</x:f>
      </x:c>
      <x:c r="M10319" s="0" t="s">
        <x:v>21</x:v>
      </x:c>
      <x:c r="N10319" s="0" t="s">
        <x:v>46</x:v>
      </x:c>
    </x:row>
    <x:row r="10320" spans="1:16">
      <x:c r="A10320" s="0" t="s">
        <x:v>41143</x:v>
      </x:c>
      <x:c r="B10320" s="0" t="s">
        <x:v>41144</x:v>
      </x:c>
      <x:c r="C10320" s="0" t="s">
        <x:v>41145</x:v>
      </x:c>
      <x:c r="E10320" s="0" t="s">
        <x:v>41146</x:v>
      </x:c>
      <x:c r="F10320" s="0" t="s">
        <x:v>45</x:v>
      </x:c>
      <x:c r="G10320" s="0" t="s">
        <x:v>19</x:v>
      </x:c>
      <x:c r="H10320" s="0" t="s">
        <x:v>20</x:v>
      </x:c>
      <x:c r="I10320" s="0" t="s">
        <x:v>21</x:v>
      </x:c>
      <x:c r="K10320" s="0">
        <x:f>hyperlink("https://icd.who.int/dev11/l-ichi/en#/http%3A%2F%2Fid.who.int%2Ficd%2Fentity%2F63122157","browser")</x:f>
      </x:c>
      <x:c r="L10320" s="0">
        <x:f>hyperlink("https://icat2.azurewebsites.net/icat/?ontology=ICD&amp;tab=ClassesTab&amp;id=http%3A%2F%2Fwho.int%2Ficd%2350182_512ebf36_bf6b_4d70_85da_cf2637062af4","iCat")</x:f>
      </x:c>
      <x:c r="M10320" s="0" t="s">
        <x:v>21</x:v>
      </x:c>
      <x:c r="N10320" s="0" t="s">
        <x:v>46</x:v>
      </x:c>
    </x:row>
    <x:row r="10321" spans="1:16">
      <x:c r="A10321" s="0" t="s">
        <x:v>41147</x:v>
      </x:c>
      <x:c r="B10321" s="0" t="s">
        <x:v>41148</x:v>
      </x:c>
      <x:c r="C10321" s="0" t="s">
        <x:v>41149</x:v>
      </x:c>
      <x:c r="E10321" s="0" t="s">
        <x:v>41150</x:v>
      </x:c>
      <x:c r="F10321" s="0" t="s">
        <x:v>45</x:v>
      </x:c>
      <x:c r="G10321" s="0" t="s">
        <x:v>19</x:v>
      </x:c>
      <x:c r="H10321" s="0" t="s">
        <x:v>20</x:v>
      </x:c>
      <x:c r="I10321" s="0" t="s">
        <x:v>21</x:v>
      </x:c>
      <x:c r="K10321" s="0">
        <x:f>hyperlink("https://icd.who.int/dev11/l-ichi/en#/http%3A%2F%2Fid.who.int%2Ficd%2Fentity%2F328292848","browser")</x:f>
      </x:c>
      <x:c r="L10321" s="0">
        <x:f>hyperlink("https://icat2.azurewebsites.net/icat/?ontology=ICD&amp;tab=ClassesTab&amp;id=http%3A%2F%2Fwho.int%2Ficd%235297_d85a204c_d00a_4566_a3b7_2d137a1891cf","iCat")</x:f>
      </x:c>
      <x:c r="M10321" s="0" t="s">
        <x:v>21</x:v>
      </x:c>
      <x:c r="N10321" s="0" t="s">
        <x:v>46</x:v>
      </x:c>
    </x:row>
    <x:row r="10322" spans="1:16">
      <x:c r="A10322" s="0" t="s">
        <x:v>41151</x:v>
      </x:c>
      <x:c r="B10322" s="0" t="s">
        <x:v>41152</x:v>
      </x:c>
      <x:c r="C10322" s="0" t="s">
        <x:v>41153</x:v>
      </x:c>
      <x:c r="E10322" s="0" t="s">
        <x:v>41154</x:v>
      </x:c>
      <x:c r="F10322" s="0" t="s">
        <x:v>45</x:v>
      </x:c>
      <x:c r="G10322" s="0" t="s">
        <x:v>19</x:v>
      </x:c>
      <x:c r="H10322" s="0" t="s">
        <x:v>20</x:v>
      </x:c>
      <x:c r="I10322" s="0" t="s">
        <x:v>21</x:v>
      </x:c>
      <x:c r="K10322" s="0">
        <x:f>hyperlink("https://icd.who.int/dev11/l-ichi/en#/http%3A%2F%2Fid.who.int%2Ficd%2Fentity%2F654153610","browser")</x:f>
      </x:c>
      <x:c r="L10322" s="0">
        <x:f>hyperlink("https://icat2.azurewebsites.net/icat/?ontology=ICD&amp;tab=ClassesTab&amp;id=http%3A%2F%2Fwho.int%2Ficd%235303_d85a204c_d00a_4566_a3b7_2d137a1891cf","iCat")</x:f>
      </x:c>
      <x:c r="M10322" s="0" t="s">
        <x:v>21</x:v>
      </x:c>
      <x:c r="N10322" s="0" t="s">
        <x:v>46</x:v>
      </x:c>
    </x:row>
    <x:row r="10323" spans="1:16">
      <x:c r="A10323" s="0" t="s">
        <x:v>41155</x:v>
      </x:c>
      <x:c r="B10323" s="0" t="s">
        <x:v>41156</x:v>
      </x:c>
      <x:c r="C10323" s="0" t="s">
        <x:v>41157</x:v>
      </x:c>
      <x:c r="E10323" s="0" t="s">
        <x:v>41158</x:v>
      </x:c>
      <x:c r="F10323" s="0" t="s">
        <x:v>45</x:v>
      </x:c>
      <x:c r="G10323" s="0" t="s">
        <x:v>19</x:v>
      </x:c>
      <x:c r="H10323" s="0" t="s">
        <x:v>20</x:v>
      </x:c>
      <x:c r="I10323" s="0" t="s">
        <x:v>21</x:v>
      </x:c>
      <x:c r="K10323" s="0">
        <x:f>hyperlink("https://icd.who.int/dev11/l-ichi/en#/http%3A%2F%2Fid.who.int%2Ficd%2Fentity%2F147272769","browser")</x:f>
      </x:c>
      <x:c r="L10323" s="0">
        <x:f>hyperlink("https://icat2.azurewebsites.net/icat/?ontology=ICD&amp;tab=ClassesTab&amp;id=http%3A%2F%2Fwho.int%2Ficd%2350189_512ebf36_bf6b_4d70_85da_cf2637062af4","iCat")</x:f>
      </x:c>
      <x:c r="M10323" s="0" t="s">
        <x:v>21</x:v>
      </x:c>
      <x:c r="N10323" s="0" t="s">
        <x:v>46</x:v>
      </x:c>
    </x:row>
    <x:row r="10324" spans="1:16">
      <x:c r="A10324" s="0" t="s">
        <x:v>41159</x:v>
      </x:c>
      <x:c r="B10324" s="0" t="s">
        <x:v>41160</x:v>
      </x:c>
      <x:c r="C10324" s="0" t="s">
        <x:v>41161</x:v>
      </x:c>
      <x:c r="E10324" s="0" t="s">
        <x:v>41162</x:v>
      </x:c>
      <x:c r="F10324" s="0" t="s">
        <x:v>45</x:v>
      </x:c>
      <x:c r="G10324" s="0" t="s">
        <x:v>19</x:v>
      </x:c>
      <x:c r="H10324" s="0" t="s">
        <x:v>20</x:v>
      </x:c>
      <x:c r="I10324" s="0" t="s">
        <x:v>21</x:v>
      </x:c>
      <x:c r="K10324" s="0">
        <x:f>hyperlink("https://icd.who.int/dev11/l-ichi/en#/http%3A%2F%2Fid.who.int%2Ficd%2Fentity%2F1543601102","browser")</x:f>
      </x:c>
      <x:c r="L10324" s="0">
        <x:f>hyperlink("https://icat2.azurewebsites.net/icat/?ontology=ICD&amp;tab=ClassesTab&amp;id=http%3A%2F%2Fwho.int%2Ficd%2350196_512ebf36_bf6b_4d70_85da_cf2637062af4","iCat")</x:f>
      </x:c>
      <x:c r="M10324" s="0" t="s">
        <x:v>21</x:v>
      </x:c>
      <x:c r="N10324" s="0" t="s">
        <x:v>46</x:v>
      </x:c>
    </x:row>
    <x:row r="10325" spans="1:16">
      <x:c r="A10325" s="0" t="s">
        <x:v>41163</x:v>
      </x:c>
      <x:c r="B10325" s="0" t="s">
        <x:v>41164</x:v>
      </x:c>
      <x:c r="C10325" s="0" t="s">
        <x:v>41165</x:v>
      </x:c>
      <x:c r="E10325" s="0" t="s">
        <x:v>41166</x:v>
      </x:c>
      <x:c r="F10325" s="0" t="s">
        <x:v>45</x:v>
      </x:c>
      <x:c r="G10325" s="0" t="s">
        <x:v>19</x:v>
      </x:c>
      <x:c r="H10325" s="0" t="s">
        <x:v>20</x:v>
      </x:c>
      <x:c r="I10325" s="0" t="s">
        <x:v>21</x:v>
      </x:c>
      <x:c r="K10325" s="0">
        <x:f>hyperlink("https://icd.who.int/dev11/l-ichi/en#/http%3A%2F%2Fid.who.int%2Ficd%2Fentity%2F1587968265","browser")</x:f>
      </x:c>
      <x:c r="L10325" s="0">
        <x:f>hyperlink("https://icat2.azurewebsites.net/icat/?ontology=ICD&amp;tab=ClassesTab&amp;id=http%3A%2F%2Fwho.int%2Ficd%2387_3c64dd61_a787_4b69_a0aa_c26ee473e65a","iCat")</x:f>
      </x:c>
      <x:c r="M10325" s="0" t="s">
        <x:v>21</x:v>
      </x:c>
      <x:c r="N10325" s="0" t="s">
        <x:v>46</x:v>
      </x:c>
    </x:row>
    <x:row r="10326" spans="1:16">
      <x:c r="A10326" s="0" t="s">
        <x:v>41167</x:v>
      </x:c>
      <x:c r="B10326" s="0" t="s">
        <x:v>41168</x:v>
      </x:c>
      <x:c r="C10326" s="0" t="s">
        <x:v>41169</x:v>
      </x:c>
      <x:c r="E10326" s="0" t="s">
        <x:v>41170</x:v>
      </x:c>
      <x:c r="F10326" s="0" t="s">
        <x:v>45</x:v>
      </x:c>
      <x:c r="G10326" s="0" t="s">
        <x:v>19</x:v>
      </x:c>
      <x:c r="H10326" s="0" t="s">
        <x:v>20</x:v>
      </x:c>
      <x:c r="I10326" s="0" t="s">
        <x:v>21</x:v>
      </x:c>
      <x:c r="K10326" s="0">
        <x:f>hyperlink("https://icd.who.int/dev11/l-ichi/en#/http%3A%2F%2Fid.who.int%2Ficd%2Fentity%2F1565832524","browser")</x:f>
      </x:c>
      <x:c r="L10326" s="0">
        <x:f>hyperlink("https://icat2.azurewebsites.net/icat/?ontology=ICD&amp;tab=ClassesTab&amp;id=http%3A%2F%2Fwho.int%2Ficd%2350203_512ebf36_bf6b_4d70_85da_cf2637062af4","iCat")</x:f>
      </x:c>
      <x:c r="M10326" s="0" t="s">
        <x:v>21</x:v>
      </x:c>
      <x:c r="N10326" s="0" t="s">
        <x:v>46</x:v>
      </x:c>
    </x:row>
    <x:row r="10327" spans="1:16">
      <x:c r="A10327" s="0" t="s">
        <x:v>41171</x:v>
      </x:c>
      <x:c r="B10327" s="0" t="s">
        <x:v>41172</x:v>
      </x:c>
      <x:c r="C10327" s="0" t="s">
        <x:v>41173</x:v>
      </x:c>
      <x:c r="E10327" s="0" t="s">
        <x:v>41174</x:v>
      </x:c>
      <x:c r="F10327" s="0" t="s">
        <x:v>45</x:v>
      </x:c>
      <x:c r="G10327" s="0" t="s">
        <x:v>19</x:v>
      </x:c>
      <x:c r="H10327" s="0" t="s">
        <x:v>20</x:v>
      </x:c>
      <x:c r="I10327" s="0" t="s">
        <x:v>21</x:v>
      </x:c>
      <x:c r="K10327" s="0">
        <x:f>hyperlink("https://icd.who.int/dev11/l-ichi/en#/http%3A%2F%2Fid.who.int%2Ficd%2Fentity%2F1913933796","browser")</x:f>
      </x:c>
      <x:c r="L10327" s="0">
        <x:f>hyperlink("https://icat2.azurewebsites.net/icat/?ontology=ICD&amp;tab=ClassesTab&amp;id=http%3A%2F%2Fwho.int%2Ficd%2350210_512ebf36_bf6b_4d70_85da_cf2637062af4","iCat")</x:f>
      </x:c>
      <x:c r="M10327" s="0" t="s">
        <x:v>21</x:v>
      </x:c>
      <x:c r="N10327" s="0" t="s">
        <x:v>46</x:v>
      </x:c>
    </x:row>
    <x:row r="10328" spans="1:16">
      <x:c r="A10328" s="0" t="s">
        <x:v>41175</x:v>
      </x:c>
      <x:c r="B10328" s="0" t="s">
        <x:v>41176</x:v>
      </x:c>
      <x:c r="C10328" s="0" t="s">
        <x:v>41177</x:v>
      </x:c>
      <x:c r="E10328" s="0" t="s">
        <x:v>41178</x:v>
      </x:c>
      <x:c r="F10328" s="0" t="s">
        <x:v>45</x:v>
      </x:c>
      <x:c r="G10328" s="0" t="s">
        <x:v>19</x:v>
      </x:c>
      <x:c r="H10328" s="0" t="s">
        <x:v>20</x:v>
      </x:c>
      <x:c r="I10328" s="0" t="s">
        <x:v>21</x:v>
      </x:c>
      <x:c r="K10328" s="0">
        <x:f>hyperlink("https://icd.who.int/dev11/l-ichi/en#/http%3A%2F%2Fid.who.int%2Ficd%2Fentity%2F43443311","browser")</x:f>
      </x:c>
      <x:c r="L10328" s="0">
        <x:f>hyperlink("https://icat2.azurewebsites.net/icat/?ontology=ICD&amp;tab=ClassesTab&amp;id=http%3A%2F%2Fwho.int%2Ficd%2350217_512ebf36_bf6b_4d70_85da_cf2637062af4","iCat")</x:f>
      </x:c>
      <x:c r="M10328" s="0" t="s">
        <x:v>21</x:v>
      </x:c>
      <x:c r="N10328" s="0" t="s">
        <x:v>46</x:v>
      </x:c>
    </x:row>
    <x:row r="10329" spans="1:16">
      <x:c r="A10329" s="0" t="s">
        <x:v>41179</x:v>
      </x:c>
      <x:c r="B10329" s="0" t="s">
        <x:v>41180</x:v>
      </x:c>
      <x:c r="C10329" s="0" t="s">
        <x:v>41181</x:v>
      </x:c>
      <x:c r="E10329" s="0" t="s">
        <x:v>41182</x:v>
      </x:c>
      <x:c r="F10329" s="0" t="s">
        <x:v>45</x:v>
      </x:c>
      <x:c r="G10329" s="0" t="s">
        <x:v>19</x:v>
      </x:c>
      <x:c r="H10329" s="0" t="s">
        <x:v>20</x:v>
      </x:c>
      <x:c r="I10329" s="0" t="s">
        <x:v>21</x:v>
      </x:c>
      <x:c r="K10329" s="0">
        <x:f>hyperlink("https://icd.who.int/dev11/l-ichi/en#/http%3A%2F%2Fid.who.int%2Ficd%2Fentity%2F23341100","browser")</x:f>
      </x:c>
      <x:c r="L10329" s="0">
        <x:f>hyperlink("https://icat2.azurewebsites.net/icat/?ontology=ICD&amp;tab=ClassesTab&amp;id=http%3A%2F%2Fwho.int%2Ficd%2393_3c64dd61_a787_4b69_a0aa_c26ee473e65a","iCat")</x:f>
      </x:c>
      <x:c r="M10329" s="0" t="s">
        <x:v>21</x:v>
      </x:c>
      <x:c r="N10329" s="0" t="s">
        <x:v>46</x:v>
      </x:c>
    </x:row>
    <x:row r="10330" spans="1:16">
      <x:c r="A10330" s="0" t="s">
        <x:v>41183</x:v>
      </x:c>
      <x:c r="B10330" s="0" t="s">
        <x:v>41184</x:v>
      </x:c>
      <x:c r="C10330" s="0" t="s">
        <x:v>41185</x:v>
      </x:c>
      <x:c r="E10330" s="0" t="s">
        <x:v>41186</x:v>
      </x:c>
      <x:c r="F10330" s="0" t="s">
        <x:v>45</x:v>
      </x:c>
      <x:c r="G10330" s="0" t="s">
        <x:v>19</x:v>
      </x:c>
      <x:c r="H10330" s="0" t="s">
        <x:v>20</x:v>
      </x:c>
      <x:c r="I10330" s="0" t="s">
        <x:v>21</x:v>
      </x:c>
      <x:c r="K10330" s="0">
        <x:f>hyperlink("https://icd.who.int/dev11/l-ichi/en#/http%3A%2F%2Fid.who.int%2Ficd%2Fentity%2F128109457","browser")</x:f>
      </x:c>
      <x:c r="L10330" s="0">
        <x:f>hyperlink("https://icat2.azurewebsites.net/icat/?ontology=ICD&amp;tab=ClassesTab&amp;id=http%3A%2F%2Fwho.int%2Ficd%2350224_512ebf36_bf6b_4d70_85da_cf2637062af4","iCat")</x:f>
      </x:c>
      <x:c r="M10330" s="0" t="s">
        <x:v>21</x:v>
      </x:c>
      <x:c r="N10330" s="0" t="s">
        <x:v>46</x:v>
      </x:c>
    </x:row>
    <x:row r="10331" spans="1:16">
      <x:c r="A10331" s="0" t="s">
        <x:v>41187</x:v>
      </x:c>
      <x:c r="B10331" s="0" t="s">
        <x:v>41188</x:v>
      </x:c>
      <x:c r="C10331" s="0" t="s">
        <x:v>41189</x:v>
      </x:c>
      <x:c r="E10331" s="0" t="s">
        <x:v>41190</x:v>
      </x:c>
      <x:c r="F10331" s="0" t="s">
        <x:v>45</x:v>
      </x:c>
      <x:c r="G10331" s="0" t="s">
        <x:v>19</x:v>
      </x:c>
      <x:c r="H10331" s="0" t="s">
        <x:v>20</x:v>
      </x:c>
      <x:c r="I10331" s="0" t="s">
        <x:v>21</x:v>
      </x:c>
      <x:c r="K10331" s="0">
        <x:f>hyperlink("https://icd.who.int/dev11/l-ichi/en#/http%3A%2F%2Fid.who.int%2Ficd%2Fentity%2F2023352464","browser")</x:f>
      </x:c>
      <x:c r="L10331" s="0">
        <x:f>hyperlink("https://icat2.azurewebsites.net/icat/?ontology=ICD&amp;tab=ClassesTab&amp;id=http%3A%2F%2Fwho.int%2Ficd%2350231_512ebf36_bf6b_4d70_85da_cf2637062af4","iCat")</x:f>
      </x:c>
      <x:c r="M10331" s="0" t="s">
        <x:v>21</x:v>
      </x:c>
      <x:c r="N10331" s="0" t="s">
        <x:v>46</x:v>
      </x:c>
    </x:row>
    <x:row r="10332" spans="1:16">
      <x:c r="A10332" s="0" t="s">
        <x:v>41191</x:v>
      </x:c>
      <x:c r="B10332" s="0" t="s">
        <x:v>41192</x:v>
      </x:c>
      <x:c r="C10332" s="0" t="s">
        <x:v>41193</x:v>
      </x:c>
      <x:c r="E10332" s="0" t="s">
        <x:v>41194</x:v>
      </x:c>
      <x:c r="F10332" s="0" t="s">
        <x:v>45</x:v>
      </x:c>
      <x:c r="G10332" s="0" t="s">
        <x:v>19</x:v>
      </x:c>
      <x:c r="H10332" s="0" t="s">
        <x:v>20</x:v>
      </x:c>
      <x:c r="I10332" s="0" t="s">
        <x:v>21</x:v>
      </x:c>
      <x:c r="K10332" s="0">
        <x:f>hyperlink("https://icd.who.int/dev11/l-ichi/en#/http%3A%2F%2Fid.who.int%2Ficd%2Fentity%2F383904743","browser")</x:f>
      </x:c>
      <x:c r="L10332" s="0">
        <x:f>hyperlink("https://icat2.azurewebsites.net/icat/?ontology=ICD&amp;tab=ClassesTab&amp;id=http%3A%2F%2Fwho.int%2Ficd%2350238_512ebf36_bf6b_4d70_85da_cf2637062af4","iCat")</x:f>
      </x:c>
      <x:c r="M10332" s="0" t="s">
        <x:v>21</x:v>
      </x:c>
      <x:c r="N10332" s="0" t="s">
        <x:v>46</x:v>
      </x:c>
    </x:row>
    <x:row r="10333" spans="1:16">
      <x:c r="A10333" s="0" t="s">
        <x:v>41195</x:v>
      </x:c>
      <x:c r="B10333" s="0" t="s">
        <x:v>41196</x:v>
      </x:c>
      <x:c r="C10333" s="0" t="s">
        <x:v>41197</x:v>
      </x:c>
      <x:c r="E10333" s="0" t="s">
        <x:v>41198</x:v>
      </x:c>
      <x:c r="F10333" s="0" t="s">
        <x:v>45</x:v>
      </x:c>
      <x:c r="G10333" s="0" t="s">
        <x:v>19</x:v>
      </x:c>
      <x:c r="H10333" s="0" t="s">
        <x:v>20</x:v>
      </x:c>
      <x:c r="I10333" s="0" t="s">
        <x:v>21</x:v>
      </x:c>
      <x:c r="K10333" s="0">
        <x:f>hyperlink("https://icd.who.int/dev11/l-ichi/en#/http%3A%2F%2Fid.who.int%2Ficd%2Fentity%2F2101886946","browser")</x:f>
      </x:c>
      <x:c r="L10333" s="0">
        <x:f>hyperlink("https://icat2.azurewebsites.net/icat/?ontology=ICD&amp;tab=ClassesTab&amp;id=http%3A%2F%2Fwho.int%2Ficd%2350245_512ebf36_bf6b_4d70_85da_cf2637062af4","iCat")</x:f>
      </x:c>
      <x:c r="M10333" s="0" t="s">
        <x:v>21</x:v>
      </x:c>
      <x:c r="N10333" s="0" t="s">
        <x:v>46</x:v>
      </x:c>
    </x:row>
    <x:row r="10334" spans="1:16">
      <x:c r="A10334" s="0" t="s">
        <x:v>41199</x:v>
      </x:c>
      <x:c r="B10334" s="0" t="s">
        <x:v>41200</x:v>
      </x:c>
      <x:c r="C10334" s="0" t="s">
        <x:v>41201</x:v>
      </x:c>
      <x:c r="E10334" s="0" t="s">
        <x:v>41202</x:v>
      </x:c>
      <x:c r="F10334" s="0" t="s">
        <x:v>45</x:v>
      </x:c>
      <x:c r="G10334" s="0" t="s">
        <x:v>19</x:v>
      </x:c>
      <x:c r="H10334" s="0" t="s">
        <x:v>20</x:v>
      </x:c>
      <x:c r="I10334" s="0" t="s">
        <x:v>21</x:v>
      </x:c>
      <x:c r="K10334" s="0">
        <x:f>hyperlink("https://icd.who.int/dev11/l-ichi/en#/http%3A%2F%2Fid.who.int%2Ficd%2Fentity%2F1413969985","browser")</x:f>
      </x:c>
      <x:c r="L10334" s="0">
        <x:f>hyperlink("https://icat2.azurewebsites.net/icat/?ontology=ICD&amp;tab=ClassesTab&amp;id=http%3A%2F%2Fwho.int%2Ficd%23204_e87d5413_a3ef_41e3_b1c4_bdb20d4d591d","iCat")</x:f>
      </x:c>
      <x:c r="M10334" s="0" t="s">
        <x:v>21</x:v>
      </x:c>
      <x:c r="N10334" s="0" t="s">
        <x:v>46</x:v>
      </x:c>
    </x:row>
    <x:row r="10335" spans="1:16">
      <x:c r="A10335" s="0" t="s">
        <x:v>41203</x:v>
      </x:c>
      <x:c r="B10335" s="0" t="s">
        <x:v>41204</x:v>
      </x:c>
      <x:c r="C10335" s="0" t="s">
        <x:v>41205</x:v>
      </x:c>
      <x:c r="E10335" s="0" t="s">
        <x:v>41206</x:v>
      </x:c>
      <x:c r="F10335" s="0" t="s">
        <x:v>45</x:v>
      </x:c>
      <x:c r="G10335" s="0" t="s">
        <x:v>19</x:v>
      </x:c>
      <x:c r="H10335" s="0" t="s">
        <x:v>20</x:v>
      </x:c>
      <x:c r="I10335" s="0" t="s">
        <x:v>21</x:v>
      </x:c>
      <x:c r="K10335" s="0">
        <x:f>hyperlink("https://icd.who.int/dev11/l-ichi/en#/http%3A%2F%2Fid.who.int%2Ficd%2Fentity%2F1729036604","browser")</x:f>
      </x:c>
      <x:c r="L10335" s="0">
        <x:f>hyperlink("https://icat2.azurewebsites.net/icat/?ontology=ICD&amp;tab=ClassesTab&amp;id=http%3A%2F%2Fwho.int%2Ficd%2350252_512ebf36_bf6b_4d70_85da_cf2637062af4","iCat")</x:f>
      </x:c>
      <x:c r="M10335" s="0" t="s">
        <x:v>21</x:v>
      </x:c>
      <x:c r="N10335" s="0" t="s">
        <x:v>46</x:v>
      </x:c>
    </x:row>
    <x:row r="10336" spans="1:16">
      <x:c r="A10336" s="0" t="s">
        <x:v>41207</x:v>
      </x:c>
      <x:c r="B10336" s="0" t="s">
        <x:v>41208</x:v>
      </x:c>
      <x:c r="C10336" s="0" t="s">
        <x:v>41209</x:v>
      </x:c>
      <x:c r="E10336" s="0" t="s">
        <x:v>41210</x:v>
      </x:c>
      <x:c r="F10336" s="0" t="s">
        <x:v>45</x:v>
      </x:c>
      <x:c r="G10336" s="0" t="s">
        <x:v>19</x:v>
      </x:c>
      <x:c r="H10336" s="0" t="s">
        <x:v>20</x:v>
      </x:c>
      <x:c r="I10336" s="0" t="s">
        <x:v>21</x:v>
      </x:c>
      <x:c r="K10336" s="0">
        <x:f>hyperlink("https://icd.who.int/dev11/l-ichi/en#/http%3A%2F%2Fid.who.int%2Ficd%2Fentity%2F996849068","browser")</x:f>
      </x:c>
      <x:c r="L10336" s="0">
        <x:f>hyperlink("https://icat2.azurewebsites.net/icat/?ontology=ICD&amp;tab=ClassesTab&amp;id=http%3A%2F%2Fwho.int%2Ficd%23198_e87d5413_a3ef_41e3_b1c4_bdb20d4d591d","iCat")</x:f>
      </x:c>
      <x:c r="M10336" s="0" t="s">
        <x:v>21</x:v>
      </x:c>
      <x:c r="N10336" s="0" t="s">
        <x:v>46</x:v>
      </x:c>
    </x:row>
    <x:row r="10337" spans="1:16">
      <x:c r="A10337" s="0" t="s">
        <x:v>41211</x:v>
      </x:c>
      <x:c r="B10337" s="0" t="s">
        <x:v>41212</x:v>
      </x:c>
      <x:c r="C10337" s="0" t="s">
        <x:v>41213</x:v>
      </x:c>
      <x:c r="E10337" s="0" t="s">
        <x:v>41214</x:v>
      </x:c>
      <x:c r="F10337" s="0" t="s">
        <x:v>45</x:v>
      </x:c>
      <x:c r="G10337" s="0" t="s">
        <x:v>19</x:v>
      </x:c>
      <x:c r="H10337" s="0" t="s">
        <x:v>20</x:v>
      </x:c>
      <x:c r="I10337" s="0" t="s">
        <x:v>21</x:v>
      </x:c>
      <x:c r="K10337" s="0">
        <x:f>hyperlink("https://icd.who.int/dev11/l-ichi/en#/http%3A%2F%2Fid.who.int%2Ficd%2Fentity%2F1812668310","browser")</x:f>
      </x:c>
      <x:c r="L10337" s="0">
        <x:f>hyperlink("https://icat2.azurewebsites.net/icat/?ontology=ICD&amp;tab=ClassesTab&amp;id=http%3A%2F%2Fwho.int%2Ficd%2350259_512ebf36_bf6b_4d70_85da_cf2637062af4","iCat")</x:f>
      </x:c>
      <x:c r="M10337" s="0" t="s">
        <x:v>21</x:v>
      </x:c>
      <x:c r="N10337" s="0" t="s">
        <x:v>46</x:v>
      </x:c>
    </x:row>
    <x:row r="10338" spans="1:16">
      <x:c r="A10338" s="0" t="s">
        <x:v>41215</x:v>
      </x:c>
      <x:c r="B10338" s="0" t="s">
        <x:v>41216</x:v>
      </x:c>
      <x:c r="C10338" s="0" t="s">
        <x:v>41217</x:v>
      </x:c>
      <x:c r="E10338" s="0" t="s">
        <x:v>41218</x:v>
      </x:c>
      <x:c r="F10338" s="0" t="s">
        <x:v>45</x:v>
      </x:c>
      <x:c r="G10338" s="0" t="s">
        <x:v>19</x:v>
      </x:c>
      <x:c r="H10338" s="0" t="s">
        <x:v>20</x:v>
      </x:c>
      <x:c r="I10338" s="0" t="s">
        <x:v>21</x:v>
      </x:c>
      <x:c r="K10338" s="0">
        <x:f>hyperlink("https://icd.who.int/dev11/l-ichi/en#/http%3A%2F%2Fid.who.int%2Ficd%2Fentity%2F314148169","browser")</x:f>
      </x:c>
      <x:c r="L10338" s="0">
        <x:f>hyperlink("https://icat2.azurewebsites.net/icat/?ontology=ICD&amp;tab=ClassesTab&amp;id=http%3A%2F%2Fwho.int%2Ficd%2350266_512ebf36_bf6b_4d70_85da_cf2637062af4","iCat")</x:f>
      </x:c>
      <x:c r="M10338" s="0" t="s">
        <x:v>21</x:v>
      </x:c>
      <x:c r="N10338" s="0" t="s">
        <x:v>46</x:v>
      </x:c>
    </x:row>
    <x:row r="10339" spans="1:16">
      <x:c r="A10339" s="0" t="s">
        <x:v>41219</x:v>
      </x:c>
      <x:c r="B10339" s="0" t="s">
        <x:v>41220</x:v>
      </x:c>
      <x:c r="C10339" s="0" t="s">
        <x:v>41221</x:v>
      </x:c>
      <x:c r="E10339" s="0" t="s">
        <x:v>41222</x:v>
      </x:c>
      <x:c r="F10339" s="0" t="s">
        <x:v>45</x:v>
      </x:c>
      <x:c r="G10339" s="0" t="s">
        <x:v>19</x:v>
      </x:c>
      <x:c r="H10339" s="0" t="s">
        <x:v>20</x:v>
      </x:c>
      <x:c r="I10339" s="0" t="s">
        <x:v>21</x:v>
      </x:c>
      <x:c r="K10339" s="0">
        <x:f>hyperlink("https://icd.who.int/dev11/l-ichi/en#/http%3A%2F%2Fid.who.int%2Ficd%2Fentity%2F218168090","browser")</x:f>
      </x:c>
      <x:c r="L10339" s="0">
        <x:f>hyperlink("https://icat2.azurewebsites.net/icat/?ontology=ICD&amp;tab=ClassesTab&amp;id=http%3A%2F%2Fwho.int%2Ficd%235309_d85a204c_d00a_4566_a3b7_2d137a1891cf","iCat")</x:f>
      </x:c>
      <x:c r="M10339" s="0" t="s">
        <x:v>21</x:v>
      </x:c>
      <x:c r="N10339" s="0" t="s">
        <x:v>46</x:v>
      </x:c>
    </x:row>
    <x:row r="10340" spans="1:16">
      <x:c r="A10340" s="0" t="s">
        <x:v>41223</x:v>
      </x:c>
      <x:c r="B10340" s="0" t="s">
        <x:v>41224</x:v>
      </x:c>
      <x:c r="C10340" s="0" t="s">
        <x:v>41225</x:v>
      </x:c>
      <x:c r="E10340" s="0" t="s">
        <x:v>41226</x:v>
      </x:c>
      <x:c r="F10340" s="0" t="s">
        <x:v>45</x:v>
      </x:c>
      <x:c r="G10340" s="0" t="s">
        <x:v>19</x:v>
      </x:c>
      <x:c r="H10340" s="0" t="s">
        <x:v>20</x:v>
      </x:c>
      <x:c r="I10340" s="0" t="s">
        <x:v>21</x:v>
      </x:c>
      <x:c r="K10340" s="0">
        <x:f>hyperlink("https://icd.who.int/dev11/l-ichi/en#/http%3A%2F%2Fid.who.int%2Ficd%2Fentity%2F1837278808","browser")</x:f>
      </x:c>
      <x:c r="L10340" s="0">
        <x:f>hyperlink("https://icat2.azurewebsites.net/icat/?ontology=ICD&amp;tab=ClassesTab&amp;id=http%3A%2F%2Fwho.int%2Ficd%2350273_512ebf36_bf6b_4d70_85da_cf2637062af4","iCat")</x:f>
      </x:c>
      <x:c r="M10340" s="0" t="s">
        <x:v>21</x:v>
      </x:c>
      <x:c r="N10340" s="0" t="s">
        <x:v>46</x:v>
      </x:c>
    </x:row>
    <x:row r="10341" spans="1:16">
      <x:c r="A10341" s="0" t="s">
        <x:v>41227</x:v>
      </x:c>
      <x:c r="B10341" s="0" t="s">
        <x:v>41228</x:v>
      </x:c>
      <x:c r="C10341" s="0" t="s">
        <x:v>41229</x:v>
      </x:c>
      <x:c r="E10341" s="0" t="s">
        <x:v>41230</x:v>
      </x:c>
      <x:c r="F10341" s="0" t="s">
        <x:v>45</x:v>
      </x:c>
      <x:c r="G10341" s="0" t="s">
        <x:v>19</x:v>
      </x:c>
      <x:c r="H10341" s="0" t="s">
        <x:v>20</x:v>
      </x:c>
      <x:c r="I10341" s="0" t="s">
        <x:v>21</x:v>
      </x:c>
      <x:c r="K10341" s="0">
        <x:f>hyperlink("https://icd.who.int/dev11/l-ichi/en#/http%3A%2F%2Fid.who.int%2Ficd%2Fentity%2F132154225","browser")</x:f>
      </x:c>
      <x:c r="L10341" s="0">
        <x:f>hyperlink("https://icat2.azurewebsites.net/icat/?ontology=ICD&amp;tab=ClassesTab&amp;id=http%3A%2F%2Fwho.int%2Ficd%2350280_512ebf36_bf6b_4d70_85da_cf2637062af4","iCat")</x:f>
      </x:c>
      <x:c r="M10341" s="0" t="s">
        <x:v>21</x:v>
      </x:c>
      <x:c r="N10341" s="0" t="s">
        <x:v>46</x:v>
      </x:c>
    </x:row>
    <x:row r="10342" spans="1:16">
      <x:c r="A10342" s="0" t="s">
        <x:v>41231</x:v>
      </x:c>
      <x:c r="B10342" s="0" t="s">
        <x:v>41232</x:v>
      </x:c>
      <x:c r="C10342" s="0" t="s">
        <x:v>41233</x:v>
      </x:c>
      <x:c r="E10342" s="0" t="s">
        <x:v>41234</x:v>
      </x:c>
      <x:c r="F10342" s="0" t="s">
        <x:v>45</x:v>
      </x:c>
      <x:c r="G10342" s="0" t="s">
        <x:v>19</x:v>
      </x:c>
      <x:c r="H10342" s="0" t="s">
        <x:v>20</x:v>
      </x:c>
      <x:c r="I10342" s="0" t="s">
        <x:v>21</x:v>
      </x:c>
      <x:c r="K10342" s="0">
        <x:f>hyperlink("https://icd.who.int/dev11/l-ichi/en#/http%3A%2F%2Fid.who.int%2Ficd%2Fentity%2F1231155748","browser")</x:f>
      </x:c>
      <x:c r="L10342" s="0">
        <x:f>hyperlink("https://icat2.azurewebsites.net/icat/?ontology=ICD&amp;tab=ClassesTab&amp;id=http%3A%2F%2Fwho.int%2Ficd%2350288_512ebf36_bf6b_4d70_85da_cf2637062af4","iCat")</x:f>
      </x:c>
      <x:c r="M10342" s="0" t="s">
        <x:v>21</x:v>
      </x:c>
      <x:c r="N10342" s="0" t="s">
        <x:v>46</x:v>
      </x:c>
    </x:row>
    <x:row r="10343" spans="1:16">
      <x:c r="A10343" s="0" t="s">
        <x:v>41235</x:v>
      </x:c>
      <x:c r="B10343" s="0" t="s">
        <x:v>41236</x:v>
      </x:c>
      <x:c r="C10343" s="0" t="s">
        <x:v>41237</x:v>
      </x:c>
      <x:c r="E10343" s="0" t="s">
        <x:v>41238</x:v>
      </x:c>
      <x:c r="F10343" s="0" t="s">
        <x:v>45</x:v>
      </x:c>
      <x:c r="G10343" s="0" t="s">
        <x:v>19</x:v>
      </x:c>
      <x:c r="H10343" s="0" t="s">
        <x:v>20</x:v>
      </x:c>
      <x:c r="I10343" s="0" t="s">
        <x:v>21</x:v>
      </x:c>
      <x:c r="K10343" s="0">
        <x:f>hyperlink("https://icd.who.int/dev11/l-ichi/en#/http%3A%2F%2Fid.who.int%2Ficd%2Fentity%2F1801479093","browser")</x:f>
      </x:c>
      <x:c r="L10343" s="0">
        <x:f>hyperlink("https://icat2.azurewebsites.net/icat/?ontology=ICD&amp;tab=ClassesTab&amp;id=http%3A%2F%2Fwho.int%2Ficd%23141_3c64dd61_a787_4b69_a0aa_c26ee473e65a","iCat")</x:f>
      </x:c>
      <x:c r="M10343" s="0" t="s">
        <x:v>21</x:v>
      </x:c>
      <x:c r="N10343" s="0" t="s">
        <x:v>46</x:v>
      </x:c>
    </x:row>
    <x:row r="10344" spans="1:16">
      <x:c r="A10344" s="0" t="s">
        <x:v>41239</x:v>
      </x:c>
      <x:c r="B10344" s="0" t="s">
        <x:v>41240</x:v>
      </x:c>
      <x:c r="C10344" s="0" t="s">
        <x:v>41241</x:v>
      </x:c>
      <x:c r="E10344" s="0" t="s">
        <x:v>41242</x:v>
      </x:c>
      <x:c r="F10344" s="0" t="s">
        <x:v>45</x:v>
      </x:c>
      <x:c r="G10344" s="0" t="s">
        <x:v>19</x:v>
      </x:c>
      <x:c r="H10344" s="0" t="s">
        <x:v>20</x:v>
      </x:c>
      <x:c r="I10344" s="0" t="s">
        <x:v>21</x:v>
      </x:c>
      <x:c r="K10344" s="0">
        <x:f>hyperlink("https://icd.who.int/dev11/l-ichi/en#/http%3A%2F%2Fid.who.int%2Ficd%2Fentity%2F1029623703","browser")</x:f>
      </x:c>
      <x:c r="L10344" s="0">
        <x:f>hyperlink("https://icat2.azurewebsites.net/icat/?ontology=ICD&amp;tab=ClassesTab&amp;id=http%3A%2F%2Fwho.int%2Ficd%2350296_512ebf36_bf6b_4d70_85da_cf2637062af4","iCat")</x:f>
      </x:c>
      <x:c r="M10344" s="0" t="s">
        <x:v>21</x:v>
      </x:c>
      <x:c r="N10344" s="0" t="s">
        <x:v>46</x:v>
      </x:c>
    </x:row>
    <x:row r="10345" spans="1:16">
      <x:c r="A10345" s="0" t="s">
        <x:v>41243</x:v>
      </x:c>
      <x:c r="B10345" s="0" t="s">
        <x:v>41244</x:v>
      </x:c>
      <x:c r="C10345" s="0" t="s">
        <x:v>41245</x:v>
      </x:c>
      <x:c r="E10345" s="0" t="s">
        <x:v>41246</x:v>
      </x:c>
      <x:c r="F10345" s="0" t="s">
        <x:v>45</x:v>
      </x:c>
      <x:c r="G10345" s="0" t="s">
        <x:v>19</x:v>
      </x:c>
      <x:c r="H10345" s="0" t="s">
        <x:v>20</x:v>
      </x:c>
      <x:c r="I10345" s="0" t="s">
        <x:v>21</x:v>
      </x:c>
      <x:c r="K10345" s="0">
        <x:f>hyperlink("https://icd.who.int/dev11/l-ichi/en#/http%3A%2F%2Fid.who.int%2Ficd%2Fentity%2F684422097","browser")</x:f>
      </x:c>
      <x:c r="L10345" s="0">
        <x:f>hyperlink("https://icat2.azurewebsites.net/icat/?ontology=ICD&amp;tab=ClassesTab&amp;id=http%3A%2F%2Fwho.int%2Ficd%2350303_512ebf36_bf6b_4d70_85da_cf2637062af4","iCat")</x:f>
      </x:c>
      <x:c r="M10345" s="0" t="s">
        <x:v>21</x:v>
      </x:c>
      <x:c r="N10345" s="0" t="s">
        <x:v>46</x:v>
      </x:c>
    </x:row>
    <x:row r="10346" spans="1:16">
      <x:c r="A10346" s="0" t="s">
        <x:v>41247</x:v>
      </x:c>
      <x:c r="B10346" s="0" t="s">
        <x:v>41248</x:v>
      </x:c>
      <x:c r="C10346" s="0" t="s">
        <x:v>41249</x:v>
      </x:c>
      <x:c r="E10346" s="0" t="s">
        <x:v>41250</x:v>
      </x:c>
      <x:c r="F10346" s="0" t="s">
        <x:v>45</x:v>
      </x:c>
      <x:c r="G10346" s="0" t="s">
        <x:v>19</x:v>
      </x:c>
      <x:c r="H10346" s="0" t="s">
        <x:v>20</x:v>
      </x:c>
      <x:c r="I10346" s="0" t="s">
        <x:v>21</x:v>
      </x:c>
      <x:c r="K10346" s="0">
        <x:f>hyperlink("https://icd.who.int/dev11/l-ichi/en#/http%3A%2F%2Fid.who.int%2Ficd%2Fentity%2F126585215","browser")</x:f>
      </x:c>
      <x:c r="L10346" s="0">
        <x:f>hyperlink("https://icat2.azurewebsites.net/icat/?ontology=ICD&amp;tab=ClassesTab&amp;id=http%3A%2F%2Fwho.int%2Ficd%2350310_512ebf36_bf6b_4d70_85da_cf2637062af4","iCat")</x:f>
      </x:c>
      <x:c r="M10346" s="0" t="s">
        <x:v>21</x:v>
      </x:c>
      <x:c r="N10346" s="0" t="s">
        <x:v>46</x:v>
      </x:c>
    </x:row>
    <x:row r="10347" spans="1:16">
      <x:c r="A10347" s="0" t="s">
        <x:v>41251</x:v>
      </x:c>
      <x:c r="B10347" s="0" t="s">
        <x:v>41252</x:v>
      </x:c>
      <x:c r="C10347" s="0" t="s">
        <x:v>41253</x:v>
      </x:c>
      <x:c r="E10347" s="0" t="s">
        <x:v>41254</x:v>
      </x:c>
      <x:c r="F10347" s="0" t="s">
        <x:v>45</x:v>
      </x:c>
      <x:c r="G10347" s="0" t="s">
        <x:v>19</x:v>
      </x:c>
      <x:c r="H10347" s="0" t="s">
        <x:v>20</x:v>
      </x:c>
      <x:c r="I10347" s="0" t="s">
        <x:v>21</x:v>
      </x:c>
      <x:c r="K10347" s="0">
        <x:f>hyperlink("https://icd.who.int/dev11/l-ichi/en#/http%3A%2F%2Fid.who.int%2Ficd%2Fentity%2F714687676","browser")</x:f>
      </x:c>
      <x:c r="L10347" s="0">
        <x:f>hyperlink("https://icat2.azurewebsites.net/icat/?ontology=ICD&amp;tab=ClassesTab&amp;id=http%3A%2F%2Fwho.int%2Ficd%2399_3c64dd61_a787_4b69_a0aa_c26ee473e65a","iCat")</x:f>
      </x:c>
      <x:c r="M10347" s="0" t="s">
        <x:v>21</x:v>
      </x:c>
      <x:c r="N10347" s="0" t="s">
        <x:v>46</x:v>
      </x:c>
    </x:row>
    <x:row r="10348" spans="1:16">
      <x:c r="A10348" s="0" t="s">
        <x:v>41255</x:v>
      </x:c>
      <x:c r="B10348" s="0" t="s">
        <x:v>41256</x:v>
      </x:c>
      <x:c r="C10348" s="0" t="s">
        <x:v>41257</x:v>
      </x:c>
      <x:c r="E10348" s="0" t="s">
        <x:v>41258</x:v>
      </x:c>
      <x:c r="F10348" s="0" t="s">
        <x:v>45</x:v>
      </x:c>
      <x:c r="G10348" s="0" t="s">
        <x:v>19</x:v>
      </x:c>
      <x:c r="H10348" s="0" t="s">
        <x:v>20</x:v>
      </x:c>
      <x:c r="I10348" s="0" t="s">
        <x:v>21</x:v>
      </x:c>
      <x:c r="K10348" s="0">
        <x:f>hyperlink("https://icd.who.int/dev11/l-ichi/en#/http%3A%2F%2Fid.who.int%2Ficd%2Fentity%2F1997087476","browser")</x:f>
      </x:c>
      <x:c r="L10348" s="0">
        <x:f>hyperlink("https://icat2.azurewebsites.net/icat/?ontology=ICD&amp;tab=ClassesTab&amp;id=http%3A%2F%2Fwho.int%2Ficd%2350317_512ebf36_bf6b_4d70_85da_cf2637062af4","iCat")</x:f>
      </x:c>
      <x:c r="M10348" s="0" t="s">
        <x:v>21</x:v>
      </x:c>
      <x:c r="N10348" s="0" t="s">
        <x:v>46</x:v>
      </x:c>
    </x:row>
    <x:row r="10349" spans="1:16">
      <x:c r="A10349" s="0" t="s">
        <x:v>41259</x:v>
      </x:c>
      <x:c r="B10349" s="0" t="s">
        <x:v>41260</x:v>
      </x:c>
      <x:c r="C10349" s="0" t="s">
        <x:v>41261</x:v>
      </x:c>
      <x:c r="E10349" s="0" t="s">
        <x:v>41262</x:v>
      </x:c>
      <x:c r="F10349" s="0" t="s">
        <x:v>45</x:v>
      </x:c>
      <x:c r="G10349" s="0" t="s">
        <x:v>19</x:v>
      </x:c>
      <x:c r="H10349" s="0" t="s">
        <x:v>20</x:v>
      </x:c>
      <x:c r="I10349" s="0" t="s">
        <x:v>21</x:v>
      </x:c>
      <x:c r="K10349" s="0">
        <x:f>hyperlink("https://icd.who.int/dev11/l-ichi/en#/http%3A%2F%2Fid.who.int%2Ficd%2Fentity%2F1916603662","browser")</x:f>
      </x:c>
      <x:c r="L10349" s="0">
        <x:f>hyperlink("https://icat2.azurewebsites.net/icat/?ontology=ICD&amp;tab=ClassesTab&amp;id=http%3A%2F%2Fwho.int%2Ficd%2350324_512ebf36_bf6b_4d70_85da_cf2637062af4","iCat")</x:f>
      </x:c>
      <x:c r="M10349" s="0" t="s">
        <x:v>21</x:v>
      </x:c>
      <x:c r="N10349" s="0" t="s">
        <x:v>46</x:v>
      </x:c>
    </x:row>
    <x:row r="10350" spans="1:16">
      <x:c r="A10350" s="0" t="s">
        <x:v>41263</x:v>
      </x:c>
      <x:c r="B10350" s="0" t="s">
        <x:v>41264</x:v>
      </x:c>
      <x:c r="C10350" s="0" t="s">
        <x:v>41265</x:v>
      </x:c>
      <x:c r="E10350" s="0" t="s">
        <x:v>41266</x:v>
      </x:c>
      <x:c r="F10350" s="0" t="s">
        <x:v>45</x:v>
      </x:c>
      <x:c r="G10350" s="0" t="s">
        <x:v>19</x:v>
      </x:c>
      <x:c r="H10350" s="0" t="s">
        <x:v>20</x:v>
      </x:c>
      <x:c r="I10350" s="0" t="s">
        <x:v>21</x:v>
      </x:c>
      <x:c r="K10350" s="0">
        <x:f>hyperlink("https://icd.who.int/dev11/l-ichi/en#/http%3A%2F%2Fid.who.int%2Ficd%2Fentity%2F218508819","browser")</x:f>
      </x:c>
      <x:c r="L10350" s="0">
        <x:f>hyperlink("https://icat2.azurewebsites.net/icat/?ontology=ICD&amp;tab=ClassesTab&amp;id=http%3A%2F%2Fwho.int%2Ficd%2350331_512ebf36_bf6b_4d70_85da_cf2637062af4","iCat")</x:f>
      </x:c>
      <x:c r="M10350" s="0" t="s">
        <x:v>21</x:v>
      </x:c>
      <x:c r="N10350" s="0" t="s">
        <x:v>46</x:v>
      </x:c>
    </x:row>
    <x:row r="10351" spans="1:16">
      <x:c r="A10351" s="0" t="s">
        <x:v>41267</x:v>
      </x:c>
      <x:c r="B10351" s="0" t="s">
        <x:v>41268</x:v>
      </x:c>
      <x:c r="C10351" s="0" t="s">
        <x:v>41269</x:v>
      </x:c>
      <x:c r="E10351" s="0" t="s">
        <x:v>41270</x:v>
      </x:c>
      <x:c r="F10351" s="0" t="s">
        <x:v>45</x:v>
      </x:c>
      <x:c r="G10351" s="0" t="s">
        <x:v>19</x:v>
      </x:c>
      <x:c r="H10351" s="0" t="s">
        <x:v>20</x:v>
      </x:c>
      <x:c r="I10351" s="0" t="s">
        <x:v>21</x:v>
      </x:c>
      <x:c r="K10351" s="0">
        <x:f>hyperlink("https://icd.who.int/dev11/l-ichi/en#/http%3A%2F%2Fid.who.int%2Ficd%2Fentity%2F1669213562","browser")</x:f>
      </x:c>
      <x:c r="L10351" s="0">
        <x:f>hyperlink("https://icat2.azurewebsites.net/icat/?ontology=ICD&amp;tab=ClassesTab&amp;id=http%3A%2F%2Fwho.int%2Ficd%2350338_512ebf36_bf6b_4d70_85da_cf2637062af4","iCat")</x:f>
      </x:c>
      <x:c r="M10351" s="0" t="s">
        <x:v>21</x:v>
      </x:c>
      <x:c r="N10351" s="0" t="s">
        <x:v>46</x:v>
      </x:c>
    </x:row>
    <x:row r="10352" spans="1:16">
      <x:c r="A10352" s="0" t="s">
        <x:v>41271</x:v>
      </x:c>
      <x:c r="B10352" s="0" t="s">
        <x:v>41272</x:v>
      </x:c>
      <x:c r="C10352" s="0" t="s">
        <x:v>41273</x:v>
      </x:c>
      <x:c r="E10352" s="0" t="s">
        <x:v>41274</x:v>
      </x:c>
      <x:c r="F10352" s="0" t="s">
        <x:v>45</x:v>
      </x:c>
      <x:c r="G10352" s="0" t="s">
        <x:v>19</x:v>
      </x:c>
      <x:c r="H10352" s="0" t="s">
        <x:v>20</x:v>
      </x:c>
      <x:c r="I10352" s="0" t="s">
        <x:v>21</x:v>
      </x:c>
      <x:c r="K10352" s="0">
        <x:f>hyperlink("https://icd.who.int/dev11/l-ichi/en#/http%3A%2F%2Fid.who.int%2Ficd%2Fentity%2F148371837","browser")</x:f>
      </x:c>
      <x:c r="L10352" s="0">
        <x:f>hyperlink("https://icat2.azurewebsites.net/icat/?ontology=ICD&amp;tab=ClassesTab&amp;id=http%3A%2F%2Fwho.int%2Ficd%2350345_512ebf36_bf6b_4d70_85da_cf2637062af4","iCat")</x:f>
      </x:c>
      <x:c r="M10352" s="0" t="s">
        <x:v>21</x:v>
      </x:c>
      <x:c r="N10352" s="0" t="s">
        <x:v>46</x:v>
      </x:c>
    </x:row>
    <x:row r="10353" spans="1:16">
      <x:c r="A10353" s="0" t="s">
        <x:v>41275</x:v>
      </x:c>
      <x:c r="B10353" s="0" t="s">
        <x:v>41276</x:v>
      </x:c>
      <x:c r="C10353" s="0" t="s">
        <x:v>41277</x:v>
      </x:c>
      <x:c r="E10353" s="0" t="s">
        <x:v>41278</x:v>
      </x:c>
      <x:c r="F10353" s="0" t="s">
        <x:v>45</x:v>
      </x:c>
      <x:c r="G10353" s="0" t="s">
        <x:v>19</x:v>
      </x:c>
      <x:c r="H10353" s="0" t="s">
        <x:v>20</x:v>
      </x:c>
      <x:c r="I10353" s="0" t="s">
        <x:v>21</x:v>
      </x:c>
      <x:c r="K10353" s="0">
        <x:f>hyperlink("https://icd.who.int/dev11/l-ichi/en#/http%3A%2F%2Fid.who.int%2Ficd%2Fentity%2F311478183","browser")</x:f>
      </x:c>
      <x:c r="L10353" s="0">
        <x:f>hyperlink("https://icat2.azurewebsites.net/icat/?ontology=ICD&amp;tab=ClassesTab&amp;id=http%3A%2F%2Fwho.int%2Ficd%2350352_512ebf36_bf6b_4d70_85da_cf2637062af4","iCat")</x:f>
      </x:c>
      <x:c r="M10353" s="0" t="s">
        <x:v>21</x:v>
      </x:c>
      <x:c r="N10353" s="0" t="s">
        <x:v>46</x:v>
      </x:c>
    </x:row>
    <x:row r="10354" spans="1:16">
      <x:c r="A10354" s="0" t="s">
        <x:v>41279</x:v>
      </x:c>
      <x:c r="B10354" s="0" t="s">
        <x:v>41280</x:v>
      </x:c>
      <x:c r="C10354" s="0" t="s">
        <x:v>41281</x:v>
      </x:c>
      <x:c r="E10354" s="0" t="s">
        <x:v>41282</x:v>
      </x:c>
      <x:c r="F10354" s="0" t="s">
        <x:v>45</x:v>
      </x:c>
      <x:c r="G10354" s="0" t="s">
        <x:v>19</x:v>
      </x:c>
      <x:c r="H10354" s="0" t="s">
        <x:v>20</x:v>
      </x:c>
      <x:c r="I10354" s="0" t="s">
        <x:v>21</x:v>
      </x:c>
      <x:c r="K10354" s="0">
        <x:f>hyperlink("https://icd.who.int/dev11/l-ichi/en#/http%3A%2F%2Fid.who.int%2Ficd%2Fentity%2F429185291","browser")</x:f>
      </x:c>
      <x:c r="L10354" s="0">
        <x:f>hyperlink("https://icat2.azurewebsites.net/icat/?ontology=ICD&amp;tab=ClassesTab&amp;id=http%3A%2F%2Fwho.int%2Ficd%2350359_512ebf36_bf6b_4d70_85da_cf2637062af4","iCat")</x:f>
      </x:c>
      <x:c r="M10354" s="0" t="s">
        <x:v>21</x:v>
      </x:c>
      <x:c r="N10354" s="0" t="s">
        <x:v>46</x:v>
      </x:c>
    </x:row>
    <x:row r="10355" spans="1:16">
      <x:c r="A10355" s="0" t="s">
        <x:v>41283</x:v>
      </x:c>
      <x:c r="B10355" s="0" t="s">
        <x:v>41284</x:v>
      </x:c>
      <x:c r="C10355" s="0" t="s">
        <x:v>41285</x:v>
      </x:c>
      <x:c r="E10355" s="0" t="s">
        <x:v>41286</x:v>
      </x:c>
      <x:c r="F10355" s="0" t="s">
        <x:v>45</x:v>
      </x:c>
      <x:c r="G10355" s="0" t="s">
        <x:v>19</x:v>
      </x:c>
      <x:c r="H10355" s="0" t="s">
        <x:v>20</x:v>
      </x:c>
      <x:c r="I10355" s="0" t="s">
        <x:v>21</x:v>
      </x:c>
      <x:c r="K10355" s="0">
        <x:f>hyperlink("https://icd.who.int/dev11/l-ichi/en#/http%3A%2F%2Fid.who.int%2Ficd%2Fentity%2F1730560982","browser")</x:f>
      </x:c>
      <x:c r="L10355" s="0">
        <x:f>hyperlink("https://icat2.azurewebsites.net/icat/?ontology=ICD&amp;tab=ClassesTab&amp;id=http%3A%2F%2Fwho.int%2Ficd%2350366_512ebf36_bf6b_4d70_85da_cf2637062af4","iCat")</x:f>
      </x:c>
      <x:c r="M10355" s="0" t="s">
        <x:v>21</x:v>
      </x:c>
      <x:c r="N10355" s="0" t="s">
        <x:v>46</x:v>
      </x:c>
    </x:row>
    <x:row r="10356" spans="1:16">
      <x:c r="A10356" s="0" t="s">
        <x:v>41287</x:v>
      </x:c>
      <x:c r="B10356" s="0" t="s">
        <x:v>41288</x:v>
      </x:c>
      <x:c r="C10356" s="0" t="s">
        <x:v>41289</x:v>
      </x:c>
      <x:c r="E10356" s="0" t="s">
        <x:v>41290</x:v>
      </x:c>
      <x:c r="F10356" s="0" t="s">
        <x:v>45</x:v>
      </x:c>
      <x:c r="G10356" s="0" t="s">
        <x:v>19</x:v>
      </x:c>
      <x:c r="H10356" s="0" t="s">
        <x:v>20</x:v>
      </x:c>
      <x:c r="I10356" s="0" t="s">
        <x:v>21</x:v>
      </x:c>
      <x:c r="K10356" s="0">
        <x:f>hyperlink("https://icd.who.int/dev11/l-ichi/en#/http%3A%2F%2Fid.who.int%2Ficd%2Fentity%2F771814620","browser")</x:f>
      </x:c>
      <x:c r="L10356" s="0">
        <x:f>hyperlink("https://icat2.azurewebsites.net/icat/?ontology=ICD&amp;tab=ClassesTab&amp;id=http%3A%2F%2Fwho.int%2Ficd%23105_3c64dd61_a787_4b69_a0aa_c26ee473e65a","iCat")</x:f>
      </x:c>
      <x:c r="M10356" s="0" t="s">
        <x:v>21</x:v>
      </x:c>
      <x:c r="N10356" s="0" t="s">
        <x:v>46</x:v>
      </x:c>
    </x:row>
    <x:row r="10357" spans="1:16">
      <x:c r="A10357" s="0" t="s">
        <x:v>41291</x:v>
      </x:c>
      <x:c r="B10357" s="0" t="s">
        <x:v>41292</x:v>
      </x:c>
      <x:c r="C10357" s="0" t="s">
        <x:v>41293</x:v>
      </x:c>
      <x:c r="E10357" s="0" t="s">
        <x:v>41294</x:v>
      </x:c>
      <x:c r="F10357" s="0" t="s">
        <x:v>45</x:v>
      </x:c>
      <x:c r="G10357" s="0" t="s">
        <x:v>19</x:v>
      </x:c>
      <x:c r="H10357" s="0" t="s">
        <x:v>20</x:v>
      </x:c>
      <x:c r="I10357" s="0" t="s">
        <x:v>21</x:v>
      </x:c>
      <x:c r="K10357" s="0">
        <x:f>hyperlink("https://icd.who.int/dev11/l-ichi/en#/http%3A%2F%2Fid.who.int%2Ficd%2Fentity%2F1908581887","browser")</x:f>
      </x:c>
      <x:c r="L10357" s="0">
        <x:f>hyperlink("https://icat2.azurewebsites.net/icat/?ontology=ICD&amp;tab=ClassesTab&amp;id=http%3A%2F%2Fwho.int%2Ficd%23111_3c64dd61_a787_4b69_a0aa_c26ee473e65a","iCat")</x:f>
      </x:c>
      <x:c r="M10357" s="0" t="s">
        <x:v>21</x:v>
      </x:c>
      <x:c r="N10357" s="0" t="s">
        <x:v>46</x:v>
      </x:c>
    </x:row>
    <x:row r="10358" spans="1:16">
      <x:c r="A10358" s="0" t="s">
        <x:v>41295</x:v>
      </x:c>
      <x:c r="B10358" s="0" t="s">
        <x:v>41296</x:v>
      </x:c>
      <x:c r="C10358" s="0" t="s">
        <x:v>41297</x:v>
      </x:c>
      <x:c r="E10358" s="0" t="s">
        <x:v>41298</x:v>
      </x:c>
      <x:c r="F10358" s="0" t="s">
        <x:v>45</x:v>
      </x:c>
      <x:c r="G10358" s="0" t="s">
        <x:v>19</x:v>
      </x:c>
      <x:c r="H10358" s="0" t="s">
        <x:v>20</x:v>
      </x:c>
      <x:c r="I10358" s="0" t="s">
        <x:v>21</x:v>
      </x:c>
      <x:c r="K10358" s="0">
        <x:f>hyperlink("https://icd.who.int/dev11/l-ichi/en#/http%3A%2F%2Fid.who.int%2Ficd%2Fentity%2F404578507","browser")</x:f>
      </x:c>
      <x:c r="L10358" s="0">
        <x:f>hyperlink("https://icat2.azurewebsites.net/icat/?ontology=ICD&amp;tab=ClassesTab&amp;id=http%3A%2F%2Fwho.int%2Ficd%2350373_512ebf36_bf6b_4d70_85da_cf2637062af4","iCat")</x:f>
      </x:c>
      <x:c r="M10358" s="0" t="s">
        <x:v>21</x:v>
      </x:c>
      <x:c r="N10358" s="0" t="s">
        <x:v>46</x:v>
      </x:c>
    </x:row>
    <x:row r="10359" spans="1:16">
      <x:c r="A10359" s="0" t="s">
        <x:v>41299</x:v>
      </x:c>
      <x:c r="B10359" s="0" t="s">
        <x:v>41300</x:v>
      </x:c>
      <x:c r="C10359" s="0" t="s">
        <x:v>41301</x:v>
      </x:c>
      <x:c r="E10359" s="0" t="s">
        <x:v>41302</x:v>
      </x:c>
      <x:c r="F10359" s="0" t="s">
        <x:v>45</x:v>
      </x:c>
      <x:c r="G10359" s="0" t="s">
        <x:v>19</x:v>
      </x:c>
      <x:c r="H10359" s="0" t="s">
        <x:v>20</x:v>
      </x:c>
      <x:c r="I10359" s="0" t="s">
        <x:v>21</x:v>
      </x:c>
      <x:c r="K10359" s="0">
        <x:f>hyperlink("https://icd.who.int/dev11/l-ichi/en#/http%3A%2F%2Fid.who.int%2Ficd%2Fentity%2F1920943596","browser")</x:f>
      </x:c>
      <x:c r="L10359" s="0">
        <x:f>hyperlink("https://icat2.azurewebsites.net/icat/?ontology=ICD&amp;tab=ClassesTab&amp;id=http%3A%2F%2Fwho.int%2Ficd%2350380_512ebf36_bf6b_4d70_85da_cf2637062af4","iCat")</x:f>
      </x:c>
      <x:c r="M10359" s="0" t="s">
        <x:v>21</x:v>
      </x:c>
      <x:c r="N10359" s="0" t="s">
        <x:v>46</x:v>
      </x:c>
    </x:row>
    <x:row r="10360" spans="1:16">
      <x:c r="A10360" s="0" t="s">
        <x:v>41303</x:v>
      </x:c>
      <x:c r="B10360" s="0" t="s">
        <x:v>41304</x:v>
      </x:c>
      <x:c r="C10360" s="0" t="s">
        <x:v>41305</x:v>
      </x:c>
      <x:c r="E10360" s="0" t="s">
        <x:v>41306</x:v>
      </x:c>
      <x:c r="F10360" s="0" t="s">
        <x:v>45</x:v>
      </x:c>
      <x:c r="G10360" s="0" t="s">
        <x:v>19</x:v>
      </x:c>
      <x:c r="H10360" s="0" t="s">
        <x:v>20</x:v>
      </x:c>
      <x:c r="I10360" s="0" t="s">
        <x:v>21</x:v>
      </x:c>
      <x:c r="K10360" s="0">
        <x:f>hyperlink("https://icd.who.int/dev11/l-ichi/en#/http%3A%2F%2Fid.who.int%2Ficd%2Fentity%2F50196065","browser")</x:f>
      </x:c>
      <x:c r="L10360" s="0">
        <x:f>hyperlink("https://icat2.azurewebsites.net/icat/?ontology=ICD&amp;tab=ClassesTab&amp;id=http%3A%2F%2Fwho.int%2Ficd%2350387_512ebf36_bf6b_4d70_85da_cf2637062af4","iCat")</x:f>
      </x:c>
      <x:c r="M10360" s="0" t="s">
        <x:v>21</x:v>
      </x:c>
      <x:c r="N10360" s="0" t="s">
        <x:v>46</x:v>
      </x:c>
    </x:row>
    <x:row r="10361" spans="1:16">
      <x:c r="A10361" s="0" t="s">
        <x:v>41307</x:v>
      </x:c>
      <x:c r="B10361" s="0" t="s">
        <x:v>41308</x:v>
      </x:c>
      <x:c r="C10361" s="0" t="s">
        <x:v>41309</x:v>
      </x:c>
      <x:c r="E10361" s="0" t="s">
        <x:v>41310</x:v>
      </x:c>
      <x:c r="F10361" s="0" t="s">
        <x:v>45</x:v>
      </x:c>
      <x:c r="G10361" s="0" t="s">
        <x:v>19</x:v>
      </x:c>
      <x:c r="H10361" s="0" t="s">
        <x:v>20</x:v>
      </x:c>
      <x:c r="I10361" s="0" t="s">
        <x:v>21</x:v>
      </x:c>
      <x:c r="K10361" s="0">
        <x:f>hyperlink("https://icd.who.int/dev11/l-ichi/en#/http%3A%2F%2Fid.who.int%2Ficd%2Fentity%2F767366351","browser")</x:f>
      </x:c>
      <x:c r="L10361" s="0">
        <x:f>hyperlink("https://icat2.azurewebsites.net/icat/?ontology=ICD&amp;tab=ClassesTab&amp;id=http%3A%2F%2Fwho.int%2Ficd%2350394_512ebf36_bf6b_4d70_85da_cf2637062af4","iCat")</x:f>
      </x:c>
      <x:c r="M10361" s="0" t="s">
        <x:v>21</x:v>
      </x:c>
      <x:c r="N10361" s="0" t="s">
        <x:v>46</x:v>
      </x:c>
    </x:row>
    <x:row r="10362" spans="1:16">
      <x:c r="A10362" s="0" t="s">
        <x:v>41311</x:v>
      </x:c>
      <x:c r="B10362" s="0" t="s">
        <x:v>41312</x:v>
      </x:c>
      <x:c r="C10362" s="0" t="s">
        <x:v>41313</x:v>
      </x:c>
      <x:c r="E10362" s="0" t="s">
        <x:v>41314</x:v>
      </x:c>
      <x:c r="F10362" s="0" t="s">
        <x:v>45</x:v>
      </x:c>
      <x:c r="G10362" s="0" t="s">
        <x:v>19</x:v>
      </x:c>
      <x:c r="H10362" s="0" t="s">
        <x:v>20</x:v>
      </x:c>
      <x:c r="I10362" s="0" t="s">
        <x:v>21</x:v>
      </x:c>
      <x:c r="K10362" s="0">
        <x:f>hyperlink("https://icd.who.int/dev11/l-ichi/en#/http%3A%2F%2Fid.who.int%2Ficd%2Fentity%2F565804110","browser")</x:f>
      </x:c>
      <x:c r="L10362" s="0">
        <x:f>hyperlink("https://icat2.azurewebsites.net/icat/?ontology=ICD&amp;tab=ClassesTab&amp;id=http%3A%2F%2Fwho.int%2Ficd%23117_3c64dd61_a787_4b69_a0aa_c26ee473e65a","iCat")</x:f>
      </x:c>
      <x:c r="M10362" s="0" t="s">
        <x:v>21</x:v>
      </x:c>
      <x:c r="N10362" s="0" t="s">
        <x:v>46</x:v>
      </x:c>
    </x:row>
    <x:row r="10363" spans="1:16">
      <x:c r="A10363" s="0" t="s">
        <x:v>41315</x:v>
      </x:c>
      <x:c r="B10363" s="0" t="s">
        <x:v>41316</x:v>
      </x:c>
      <x:c r="C10363" s="0" t="s">
        <x:v>41317</x:v>
      </x:c>
      <x:c r="E10363" s="0" t="s">
        <x:v>41318</x:v>
      </x:c>
      <x:c r="F10363" s="0" t="s">
        <x:v>45</x:v>
      </x:c>
      <x:c r="G10363" s="0" t="s">
        <x:v>19</x:v>
      </x:c>
      <x:c r="H10363" s="0" t="s">
        <x:v>20</x:v>
      </x:c>
      <x:c r="I10363" s="0" t="s">
        <x:v>21</x:v>
      </x:c>
      <x:c r="K10363" s="0">
        <x:f>hyperlink("https://icd.who.int/dev11/l-ichi/en#/http%3A%2F%2Fid.who.int%2Ficd%2Fentity%2F568772218","browser")</x:f>
      </x:c>
      <x:c r="L10363" s="0">
        <x:f>hyperlink("https://icat2.azurewebsites.net/icat/?ontology=ICD&amp;tab=ClassesTab&amp;id=http%3A%2F%2Fwho.int%2Ficd%2350401_512ebf36_bf6b_4d70_85da_cf2637062af4","iCat")</x:f>
      </x:c>
      <x:c r="M10363" s="0" t="s">
        <x:v>21</x:v>
      </x:c>
      <x:c r="N10363" s="0" t="s">
        <x:v>46</x:v>
      </x:c>
    </x:row>
    <x:row r="10364" spans="1:16">
      <x:c r="A10364" s="0" t="s">
        <x:v>41319</x:v>
      </x:c>
      <x:c r="B10364" s="0" t="s">
        <x:v>41320</x:v>
      </x:c>
      <x:c r="C10364" s="0" t="s">
        <x:v>41321</x:v>
      </x:c>
      <x:c r="E10364" s="0" t="s">
        <x:v>41322</x:v>
      </x:c>
      <x:c r="F10364" s="0" t="s">
        <x:v>45</x:v>
      </x:c>
      <x:c r="G10364" s="0" t="s">
        <x:v>19</x:v>
      </x:c>
      <x:c r="H10364" s="0" t="s">
        <x:v>20</x:v>
      </x:c>
      <x:c r="I10364" s="0" t="s">
        <x:v>21</x:v>
      </x:c>
      <x:c r="K10364" s="0">
        <x:f>hyperlink("https://icd.who.int/dev11/l-ichi/en#/http%3A%2F%2Fid.who.int%2Ficd%2Fentity%2F1335805201","browser")</x:f>
      </x:c>
      <x:c r="L10364" s="0">
        <x:f>hyperlink("https://icat2.azurewebsites.net/icat/?ontology=ICD&amp;tab=ClassesTab&amp;id=http%3A%2F%2Fwho.int%2Ficd%2350408_512ebf36_bf6b_4d70_85da_cf2637062af4","iCat")</x:f>
      </x:c>
      <x:c r="M10364" s="0" t="s">
        <x:v>21</x:v>
      </x:c>
      <x:c r="N10364" s="0" t="s">
        <x:v>46</x:v>
      </x:c>
    </x:row>
    <x:row r="10365" spans="1:16">
      <x:c r="A10365" s="0" t="s">
        <x:v>41323</x:v>
      </x:c>
      <x:c r="B10365" s="0" t="s">
        <x:v>41324</x:v>
      </x:c>
      <x:c r="C10365" s="0" t="s">
        <x:v>41325</x:v>
      </x:c>
      <x:c r="E10365" s="0" t="s">
        <x:v>41326</x:v>
      </x:c>
      <x:c r="F10365" s="0" t="s">
        <x:v>45</x:v>
      </x:c>
      <x:c r="G10365" s="0" t="s">
        <x:v>19</x:v>
      </x:c>
      <x:c r="H10365" s="0" t="s">
        <x:v>20</x:v>
      </x:c>
      <x:c r="I10365" s="0" t="s">
        <x:v>21</x:v>
      </x:c>
      <x:c r="K10365" s="0">
        <x:f>hyperlink("https://icd.who.int/dev11/l-ichi/en#/http%3A%2F%2Fid.who.int%2Ficd%2Fentity%2F2116327259","browser")</x:f>
      </x:c>
      <x:c r="L10365" s="0">
        <x:f>hyperlink("https://icat2.azurewebsites.net/icat/?ontology=ICD&amp;tab=ClassesTab&amp;id=http%3A%2F%2Fwho.int%2Ficd%2350415_512ebf36_bf6b_4d70_85da_cf2637062af4","iCat")</x:f>
      </x:c>
      <x:c r="M10365" s="0" t="s">
        <x:v>21</x:v>
      </x:c>
      <x:c r="N10365" s="0" t="s">
        <x:v>46</x:v>
      </x:c>
    </x:row>
    <x:row r="10366" spans="1:16">
      <x:c r="A10366" s="0" t="s">
        <x:v>41327</x:v>
      </x:c>
      <x:c r="B10366" s="0" t="s">
        <x:v>41328</x:v>
      </x:c>
      <x:c r="C10366" s="0" t="s">
        <x:v>41329</x:v>
      </x:c>
      <x:c r="E10366" s="0" t="s">
        <x:v>41330</x:v>
      </x:c>
      <x:c r="F10366" s="0" t="s">
        <x:v>45</x:v>
      </x:c>
      <x:c r="G10366" s="0" t="s">
        <x:v>19</x:v>
      </x:c>
      <x:c r="H10366" s="0" t="s">
        <x:v>20</x:v>
      </x:c>
      <x:c r="I10366" s="0" t="s">
        <x:v>21</x:v>
      </x:c>
      <x:c r="K10366" s="0">
        <x:f>hyperlink("https://icd.who.int/dev11/l-ichi/en#/http%3A%2F%2Fid.who.int%2Ficd%2Fentity%2F1410332733","browser")</x:f>
      </x:c>
      <x:c r="L10366" s="0">
        <x:f>hyperlink("https://icat2.azurewebsites.net/icat/?ontology=ICD&amp;tab=ClassesTab&amp;id=http%3A%2F%2Fwho.int%2Ficd%23123_3c64dd61_a787_4b69_a0aa_c26ee473e65a","iCat")</x:f>
      </x:c>
      <x:c r="M10366" s="0" t="s">
        <x:v>21</x:v>
      </x:c>
      <x:c r="N10366" s="0" t="s">
        <x:v>46</x:v>
      </x:c>
    </x:row>
    <x:row r="10367" spans="1:16">
      <x:c r="A10367" s="0" t="s">
        <x:v>41331</x:v>
      </x:c>
      <x:c r="B10367" s="0" t="s">
        <x:v>41332</x:v>
      </x:c>
      <x:c r="C10367" s="0" t="s">
        <x:v>41333</x:v>
      </x:c>
      <x:c r="E10367" s="0" t="s">
        <x:v>41334</x:v>
      </x:c>
      <x:c r="F10367" s="0" t="s">
        <x:v>45</x:v>
      </x:c>
      <x:c r="G10367" s="0" t="s">
        <x:v>19</x:v>
      </x:c>
      <x:c r="H10367" s="0" t="s">
        <x:v>20</x:v>
      </x:c>
      <x:c r="I10367" s="0" t="s">
        <x:v>21</x:v>
      </x:c>
      <x:c r="K10367" s="0">
        <x:f>hyperlink("https://icd.who.int/dev11/l-ichi/en#/http%3A%2F%2Fid.who.int%2Ficd%2Fentity%2F1310162129","browser")</x:f>
      </x:c>
      <x:c r="L10367" s="0">
        <x:f>hyperlink("https://icat2.azurewebsites.net/icat/?ontology=ICD&amp;tab=ClassesTab&amp;id=http%3A%2F%2Fwho.int%2Ficd%2350422_512ebf36_bf6b_4d70_85da_cf2637062af4","iCat")</x:f>
      </x:c>
      <x:c r="M10367" s="0" t="s">
        <x:v>21</x:v>
      </x:c>
      <x:c r="N10367" s="0" t="s">
        <x:v>46</x:v>
      </x:c>
    </x:row>
    <x:row r="10368" spans="1:16">
      <x:c r="A10368" s="0" t="s">
        <x:v>41335</x:v>
      </x:c>
      <x:c r="B10368" s="0" t="s">
        <x:v>41336</x:v>
      </x:c>
      <x:c r="C10368" s="0" t="s">
        <x:v>41337</x:v>
      </x:c>
      <x:c r="E10368" s="0" t="s">
        <x:v>41338</x:v>
      </x:c>
      <x:c r="F10368" s="0" t="s">
        <x:v>45</x:v>
      </x:c>
      <x:c r="G10368" s="0" t="s">
        <x:v>19</x:v>
      </x:c>
      <x:c r="H10368" s="0" t="s">
        <x:v>20</x:v>
      </x:c>
      <x:c r="I10368" s="0" t="s">
        <x:v>21</x:v>
      </x:c>
      <x:c r="K10368" s="0">
        <x:f>hyperlink("https://icd.who.int/dev11/l-ichi/en#/http%3A%2F%2Fid.who.int%2Ficd%2Fentity%2F1101984835","browser")</x:f>
      </x:c>
      <x:c r="L10368" s="0">
        <x:f>hyperlink("https://icat2.azurewebsites.net/icat/?ontology=ICD&amp;tab=ClassesTab&amp;id=http%3A%2F%2Fwho.int%2Ficd%2350430_512ebf36_bf6b_4d70_85da_cf2637062af4","iCat")</x:f>
      </x:c>
      <x:c r="M10368" s="0" t="s">
        <x:v>21</x:v>
      </x:c>
      <x:c r="N10368" s="0" t="s">
        <x:v>46</x:v>
      </x:c>
    </x:row>
    <x:row r="10369" spans="1:16">
      <x:c r="A10369" s="0" t="s">
        <x:v>41339</x:v>
      </x:c>
      <x:c r="B10369" s="0" t="s">
        <x:v>41340</x:v>
      </x:c>
      <x:c r="C10369" s="0" t="s">
        <x:v>41341</x:v>
      </x:c>
      <x:c r="E10369" s="0" t="s">
        <x:v>41342</x:v>
      </x:c>
      <x:c r="F10369" s="0" t="s">
        <x:v>45</x:v>
      </x:c>
      <x:c r="G10369" s="0" t="s">
        <x:v>19</x:v>
      </x:c>
      <x:c r="H10369" s="0" t="s">
        <x:v>20</x:v>
      </x:c>
      <x:c r="I10369" s="0" t="s">
        <x:v>21</x:v>
      </x:c>
      <x:c r="K10369" s="0">
        <x:f>hyperlink("https://icd.who.int/dev11/l-ichi/en#/http%3A%2F%2Fid.who.int%2Ficd%2Fentity%2F824991696","browser")</x:f>
      </x:c>
      <x:c r="L10369" s="0">
        <x:f>hyperlink("https://icat2.azurewebsites.net/icat/?ontology=ICD&amp;tab=ClassesTab&amp;id=http%3A%2F%2Fwho.int%2Ficd%2350437_512ebf36_bf6b_4d70_85da_cf2637062af4","iCat")</x:f>
      </x:c>
      <x:c r="M10369" s="0" t="s">
        <x:v>21</x:v>
      </x:c>
      <x:c r="N10369" s="0" t="s">
        <x:v>46</x:v>
      </x:c>
    </x:row>
    <x:row r="10370" spans="1:16">
      <x:c r="A10370" s="0" t="s">
        <x:v>41343</x:v>
      </x:c>
      <x:c r="B10370" s="0" t="s">
        <x:v>41344</x:v>
      </x:c>
      <x:c r="C10370" s="0" t="s">
        <x:v>41345</x:v>
      </x:c>
      <x:c r="E10370" s="0" t="s">
        <x:v>41346</x:v>
      </x:c>
      <x:c r="F10370" s="0" t="s">
        <x:v>45</x:v>
      </x:c>
      <x:c r="G10370" s="0" t="s">
        <x:v>19</x:v>
      </x:c>
      <x:c r="H10370" s="0" t="s">
        <x:v>20</x:v>
      </x:c>
      <x:c r="I10370" s="0" t="s">
        <x:v>21</x:v>
      </x:c>
      <x:c r="K10370" s="0">
        <x:f>hyperlink("https://icd.who.int/dev11/l-ichi/en#/http%3A%2F%2Fid.who.int%2Ficd%2Fentity%2F1149182765","browser")</x:f>
      </x:c>
      <x:c r="L10370" s="0">
        <x:f>hyperlink("https://icat2.azurewebsites.net/icat/?ontology=ICD&amp;tab=ClassesTab&amp;id=http%3A%2F%2Fwho.int%2Ficd%2350444_512ebf36_bf6b_4d70_85da_cf2637062af4","iCat")</x:f>
      </x:c>
      <x:c r="M10370" s="0" t="s">
        <x:v>21</x:v>
      </x:c>
      <x:c r="N10370" s="0" t="s">
        <x:v>46</x:v>
      </x:c>
    </x:row>
    <x:row r="10371" spans="1:16">
      <x:c r="A10371" s="0" t="s">
        <x:v>41347</x:v>
      </x:c>
      <x:c r="B10371" s="0" t="s">
        <x:v>41348</x:v>
      </x:c>
      <x:c r="C10371" s="0" t="s">
        <x:v>41349</x:v>
      </x:c>
      <x:c r="E10371" s="0" t="s">
        <x:v>41350</x:v>
      </x:c>
      <x:c r="F10371" s="0" t="s">
        <x:v>45</x:v>
      </x:c>
      <x:c r="G10371" s="0" t="s">
        <x:v>19</x:v>
      </x:c>
      <x:c r="H10371" s="0" t="s">
        <x:v>20</x:v>
      </x:c>
      <x:c r="I10371" s="0" t="s">
        <x:v>21</x:v>
      </x:c>
      <x:c r="K10371" s="0">
        <x:f>hyperlink("https://icd.who.int/dev11/l-ichi/en#/http%3A%2F%2Fid.who.int%2Ficd%2Fentity%2F994312244","browser")</x:f>
      </x:c>
      <x:c r="L10371" s="0">
        <x:f>hyperlink("https://icat2.azurewebsites.net/icat/?ontology=ICD&amp;tab=ClassesTab&amp;id=http%3A%2F%2Fwho.int%2Ficd%2350451_512ebf36_bf6b_4d70_85da_cf2637062af4","iCat")</x:f>
      </x:c>
      <x:c r="M10371" s="0" t="s">
        <x:v>21</x:v>
      </x:c>
      <x:c r="N10371" s="0" t="s">
        <x:v>46</x:v>
      </x:c>
    </x:row>
    <x:row r="10372" spans="1:16">
      <x:c r="A10372" s="0" t="s">
        <x:v>41351</x:v>
      </x:c>
      <x:c r="B10372" s="0" t="s">
        <x:v>41352</x:v>
      </x:c>
      <x:c r="C10372" s="0" t="s">
        <x:v>41353</x:v>
      </x:c>
      <x:c r="E10372" s="0" t="s">
        <x:v>41354</x:v>
      </x:c>
      <x:c r="F10372" s="0" t="s">
        <x:v>45</x:v>
      </x:c>
      <x:c r="G10372" s="0" t="s">
        <x:v>19</x:v>
      </x:c>
      <x:c r="H10372" s="0" t="s">
        <x:v>20</x:v>
      </x:c>
      <x:c r="I10372" s="0" t="s">
        <x:v>21</x:v>
      </x:c>
      <x:c r="K10372" s="0">
        <x:f>hyperlink("https://icd.who.int/dev11/l-ichi/en#/http%3A%2F%2Fid.who.int%2Ficd%2Fentity%2F1429996379","browser")</x:f>
      </x:c>
      <x:c r="L10372" s="0">
        <x:f>hyperlink("https://icat2.azurewebsites.net/icat/?ontology=ICD&amp;tab=ClassesTab&amp;id=http%3A%2F%2Fwho.int%2Ficd%2350458_512ebf36_bf6b_4d70_85da_cf2637062af4","iCat")</x:f>
      </x:c>
      <x:c r="M10372" s="0" t="s">
        <x:v>21</x:v>
      </x:c>
      <x:c r="N10372" s="0" t="s">
        <x:v>46</x:v>
      </x:c>
    </x:row>
    <x:row r="10373" spans="1:16">
      <x:c r="A10373" s="0" t="s">
        <x:v>41355</x:v>
      </x:c>
      <x:c r="B10373" s="0" t="s">
        <x:v>41356</x:v>
      </x:c>
      <x:c r="C10373" s="0" t="s">
        <x:v>41357</x:v>
      </x:c>
      <x:c r="E10373" s="0" t="s">
        <x:v>41358</x:v>
      </x:c>
      <x:c r="F10373" s="0" t="s">
        <x:v>45</x:v>
      </x:c>
      <x:c r="G10373" s="0" t="s">
        <x:v>19</x:v>
      </x:c>
      <x:c r="H10373" s="0" t="s">
        <x:v>20</x:v>
      </x:c>
      <x:c r="I10373" s="0" t="s">
        <x:v>21</x:v>
      </x:c>
      <x:c r="K10373" s="0">
        <x:f>hyperlink("https://icd.who.int/dev11/l-ichi/en#/http%3A%2F%2Fid.who.int%2Ficd%2Fentity%2F1324516417","browser")</x:f>
      </x:c>
      <x:c r="L10373" s="0">
        <x:f>hyperlink("https://icat2.azurewebsites.net/icat/?ontology=ICD&amp;tab=ClassesTab&amp;id=http%3A%2F%2Fwho.int%2Ficd%2350465_512ebf36_bf6b_4d70_85da_cf2637062af4","iCat")</x:f>
      </x:c>
      <x:c r="M10373" s="0" t="s">
        <x:v>21</x:v>
      </x:c>
      <x:c r="N10373" s="0" t="s">
        <x:v>46</x:v>
      </x:c>
    </x:row>
    <x:row r="10374" spans="1:16">
      <x:c r="A10374" s="0" t="s">
        <x:v>41359</x:v>
      </x:c>
      <x:c r="B10374" s="0" t="s">
        <x:v>41360</x:v>
      </x:c>
      <x:c r="C10374" s="0" t="s">
        <x:v>41361</x:v>
      </x:c>
      <x:c r="E10374" s="0" t="s">
        <x:v>41362</x:v>
      </x:c>
      <x:c r="F10374" s="0" t="s">
        <x:v>45</x:v>
      </x:c>
      <x:c r="G10374" s="0" t="s">
        <x:v>19</x:v>
      </x:c>
      <x:c r="H10374" s="0" t="s">
        <x:v>20</x:v>
      </x:c>
      <x:c r="I10374" s="0" t="s">
        <x:v>21</x:v>
      </x:c>
      <x:c r="K10374" s="0">
        <x:f>hyperlink("https://icd.who.int/dev11/l-ichi/en#/http%3A%2F%2Fid.who.int%2Ficd%2Fentity%2F2146604205","browser")</x:f>
      </x:c>
      <x:c r="L10374" s="0">
        <x:f>hyperlink("https://icat2.azurewebsites.net/icat/?ontology=ICD&amp;tab=ClassesTab&amp;id=http%3A%2F%2Fwho.int%2Ficd%23129_3c64dd61_a787_4b69_a0aa_c26ee473e65a","iCat")</x:f>
      </x:c>
      <x:c r="M10374" s="0" t="s">
        <x:v>21</x:v>
      </x:c>
      <x:c r="N10374" s="0" t="s">
        <x:v>46</x:v>
      </x:c>
    </x:row>
    <x:row r="10375" spans="1:16">
      <x:c r="A10375" s="0" t="s">
        <x:v>41363</x:v>
      </x:c>
      <x:c r="B10375" s="0" t="s">
        <x:v>41364</x:v>
      </x:c>
      <x:c r="C10375" s="0" t="s">
        <x:v>41365</x:v>
      </x:c>
      <x:c r="E10375" s="0" t="s">
        <x:v>41366</x:v>
      </x:c>
      <x:c r="F10375" s="0" t="s">
        <x:v>45</x:v>
      </x:c>
      <x:c r="G10375" s="0" t="s">
        <x:v>19</x:v>
      </x:c>
      <x:c r="H10375" s="0" t="s">
        <x:v>20</x:v>
      </x:c>
      <x:c r="I10375" s="0" t="s">
        <x:v>21</x:v>
      </x:c>
      <x:c r="K10375" s="0">
        <x:f>hyperlink("https://icd.who.int/dev11/l-ichi/en#/http%3A%2F%2Fid.who.int%2Ficd%2Fentity%2F474209134","browser")</x:f>
      </x:c>
      <x:c r="L10375" s="0">
        <x:f>hyperlink("https://icat2.azurewebsites.net/icat/?ontology=ICD&amp;tab=ClassesTab&amp;id=http%3A%2F%2Fwho.int%2Ficd%235315_d85a204c_d00a_4566_a3b7_2d137a1891cf","iCat")</x:f>
      </x:c>
      <x:c r="M10375" s="0" t="s">
        <x:v>21</x:v>
      </x:c>
      <x:c r="N10375" s="0" t="s">
        <x:v>46</x:v>
      </x:c>
    </x:row>
    <x:row r="10376" spans="1:16">
      <x:c r="A10376" s="0" t="s">
        <x:v>41367</x:v>
      </x:c>
      <x:c r="B10376" s="0" t="s">
        <x:v>41368</x:v>
      </x:c>
      <x:c r="C10376" s="0" t="s">
        <x:v>41369</x:v>
      </x:c>
      <x:c r="E10376" s="0" t="s">
        <x:v>41370</x:v>
      </x:c>
      <x:c r="F10376" s="0" t="s">
        <x:v>45</x:v>
      </x:c>
      <x:c r="G10376" s="0" t="s">
        <x:v>19</x:v>
      </x:c>
      <x:c r="H10376" s="0" t="s">
        <x:v>20</x:v>
      </x:c>
      <x:c r="I10376" s="0" t="s">
        <x:v>21</x:v>
      </x:c>
      <x:c r="K10376" s="0">
        <x:f>hyperlink("https://icd.who.int/dev11/l-ichi/en#/http%3A%2F%2Fid.who.int%2Ficd%2Fentity%2F1421195931","browser")</x:f>
      </x:c>
      <x:c r="L10376" s="0">
        <x:f>hyperlink("https://icat2.azurewebsites.net/icat/?ontology=ICD&amp;tab=ClassesTab&amp;id=http%3A%2F%2Fwho.int%2Ficd%2350472_512ebf36_bf6b_4d70_85da_cf2637062af4","iCat")</x:f>
      </x:c>
      <x:c r="M10376" s="0" t="s">
        <x:v>21</x:v>
      </x:c>
      <x:c r="N10376" s="0" t="s">
        <x:v>46</x:v>
      </x:c>
    </x:row>
    <x:row r="10377" spans="1:16">
      <x:c r="A10377" s="0" t="s">
        <x:v>41371</x:v>
      </x:c>
      <x:c r="B10377" s="0" t="s">
        <x:v>41372</x:v>
      </x:c>
      <x:c r="C10377" s="0" t="s">
        <x:v>41373</x:v>
      </x:c>
      <x:c r="E10377" s="0" t="s">
        <x:v>41374</x:v>
      </x:c>
      <x:c r="F10377" s="0" t="s">
        <x:v>45</x:v>
      </x:c>
      <x:c r="G10377" s="0" t="s">
        <x:v>19</x:v>
      </x:c>
      <x:c r="H10377" s="0" t="s">
        <x:v>20</x:v>
      </x:c>
      <x:c r="I10377" s="0" t="s">
        <x:v>21</x:v>
      </x:c>
      <x:c r="K10377" s="0">
        <x:f>hyperlink("https://icd.who.int/dev11/l-ichi/en#/http%3A%2F%2Fid.who.int%2Ficd%2Fentity%2F1605477431","browser")</x:f>
      </x:c>
      <x:c r="L10377" s="0">
        <x:f>hyperlink("https://icat2.azurewebsites.net/icat/?ontology=ICD&amp;tab=ClassesTab&amp;id=http%3A%2F%2Fwho.int%2Ficd%2350479_512ebf36_bf6b_4d70_85da_cf2637062af4","iCat")</x:f>
      </x:c>
      <x:c r="M10377" s="0" t="s">
        <x:v>21</x:v>
      </x:c>
      <x:c r="N10377" s="0" t="s">
        <x:v>46</x:v>
      </x:c>
    </x:row>
    <x:row r="10378" spans="1:16">
      <x:c r="A10378" s="0" t="s">
        <x:v>41375</x:v>
      </x:c>
      <x:c r="B10378" s="0" t="s">
        <x:v>41376</x:v>
      </x:c>
      <x:c r="C10378" s="0" t="s">
        <x:v>41377</x:v>
      </x:c>
      <x:c r="E10378" s="0" t="s">
        <x:v>41378</x:v>
      </x:c>
      <x:c r="F10378" s="0" t="s">
        <x:v>45</x:v>
      </x:c>
      <x:c r="G10378" s="0" t="s">
        <x:v>19</x:v>
      </x:c>
      <x:c r="H10378" s="0" t="s">
        <x:v>20</x:v>
      </x:c>
      <x:c r="I10378" s="0" t="s">
        <x:v>21</x:v>
      </x:c>
      <x:c r="K10378" s="0">
        <x:f>hyperlink("https://icd.who.int/dev11/l-ichi/en#/http%3A%2F%2Fid.who.int%2Ficd%2Fentity%2F1314206769","browser")</x:f>
      </x:c>
      <x:c r="L10378" s="0">
        <x:f>hyperlink("https://icat2.azurewebsites.net/icat/?ontology=ICD&amp;tab=ClassesTab&amp;id=http%3A%2F%2Fwho.int%2Ficd%2350486_512ebf36_bf6b_4d70_85da_cf2637062af4","iCat")</x:f>
      </x:c>
      <x:c r="M10378" s="0" t="s">
        <x:v>21</x:v>
      </x:c>
      <x:c r="N10378" s="0" t="s">
        <x:v>46</x:v>
      </x:c>
    </x:row>
    <x:row r="10379" spans="1:16">
      <x:c r="A10379" s="0" t="s">
        <x:v>41379</x:v>
      </x:c>
      <x:c r="B10379" s="0" t="s">
        <x:v>41380</x:v>
      </x:c>
      <x:c r="C10379" s="0" t="s">
        <x:v>41381</x:v>
      </x:c>
      <x:c r="E10379" s="0" t="s">
        <x:v>41382</x:v>
      </x:c>
      <x:c r="F10379" s="0" t="s">
        <x:v>45</x:v>
      </x:c>
      <x:c r="G10379" s="0" t="s">
        <x:v>19</x:v>
      </x:c>
      <x:c r="H10379" s="0" t="s">
        <x:v>20</x:v>
      </x:c>
      <x:c r="I10379" s="0" t="s">
        <x:v>21</x:v>
      </x:c>
      <x:c r="K10379" s="0">
        <x:f>hyperlink("https://icd.who.int/dev11/l-ichi/en#/http%3A%2F%2Fid.who.int%2Ficd%2Fentity%2F1857139931","browser")</x:f>
      </x:c>
      <x:c r="L10379" s="0">
        <x:f>hyperlink("https://icat2.azurewebsites.net/icat/?ontology=ICD&amp;tab=ClassesTab&amp;id=http%3A%2F%2Fwho.int%2Ficd%23135_3c64dd61_a787_4b69_a0aa_c26ee473e65a","iCat")</x:f>
      </x:c>
      <x:c r="M10379" s="0" t="s">
        <x:v>21</x:v>
      </x:c>
      <x:c r="N10379" s="0" t="s">
        <x:v>46</x:v>
      </x:c>
    </x:row>
    <x:row r="10380" spans="1:16">
      <x:c r="A10380" s="0" t="s">
        <x:v>41383</x:v>
      </x:c>
      <x:c r="B10380" s="0" t="s">
        <x:v>41384</x:v>
      </x:c>
      <x:c r="C10380" s="0" t="s">
        <x:v>41385</x:v>
      </x:c>
      <x:c r="E10380" s="0" t="s">
        <x:v>41386</x:v>
      </x:c>
      <x:c r="F10380" s="0" t="s">
        <x:v>45</x:v>
      </x:c>
      <x:c r="G10380" s="0" t="s">
        <x:v>19</x:v>
      </x:c>
      <x:c r="H10380" s="0" t="s">
        <x:v>20</x:v>
      </x:c>
      <x:c r="I10380" s="0" t="s">
        <x:v>21</x:v>
      </x:c>
      <x:c r="K10380" s="0">
        <x:f>hyperlink("https://icd.who.int/dev11/l-ichi/en#/http%3A%2F%2Fid.who.int%2Ficd%2Fentity%2F829298478","browser")</x:f>
      </x:c>
      <x:c r="L10380" s="0">
        <x:f>hyperlink("https://icat2.azurewebsites.net/icat/?ontology=ICD&amp;tab=ClassesTab&amp;id=http%3A%2F%2Fwho.int%2Ficd%2350493_512ebf36_bf6b_4d70_85da_cf2637062af4","iCat")</x:f>
      </x:c>
      <x:c r="M10380" s="0" t="s">
        <x:v>21</x:v>
      </x:c>
      <x:c r="N10380" s="0" t="s">
        <x:v>46</x:v>
      </x:c>
    </x:row>
    <x:row r="10381" spans="1:16">
      <x:c r="A10381" s="0" t="s">
        <x:v>41387</x:v>
      </x:c>
      <x:c r="B10381" s="0" t="s">
        <x:v>41388</x:v>
      </x:c>
      <x:c r="C10381" s="0" t="s">
        <x:v>41389</x:v>
      </x:c>
      <x:c r="E10381" s="0" t="s">
        <x:v>41390</x:v>
      </x:c>
      <x:c r="F10381" s="0" t="s">
        <x:v>45</x:v>
      </x:c>
      <x:c r="G10381" s="0" t="s">
        <x:v>19</x:v>
      </x:c>
      <x:c r="H10381" s="0" t="s">
        <x:v>20</x:v>
      </x:c>
      <x:c r="I10381" s="0" t="s">
        <x:v>21</x:v>
      </x:c>
      <x:c r="K10381" s="0">
        <x:f>hyperlink("https://icd.who.int/dev11/l-ichi/en#/http%3A%2F%2Fid.who.int%2Ficd%2Fentity%2F1954575065","browser")</x:f>
      </x:c>
      <x:c r="L10381" s="0">
        <x:f>hyperlink("https://icat2.azurewebsites.net/icat/?ontology=ICD&amp;tab=ClassesTab&amp;id=http%3A%2F%2Fwho.int%2Ficd%2350500_512ebf36_bf6b_4d70_85da_cf2637062af4","iCat")</x:f>
      </x:c>
      <x:c r="M10381" s="0" t="s">
        <x:v>21</x:v>
      </x:c>
      <x:c r="N10381" s="0" t="s">
        <x:v>46</x:v>
      </x:c>
    </x:row>
    <x:row r="10382" spans="1:16">
      <x:c r="A10382" s="0" t="s">
        <x:v>41391</x:v>
      </x:c>
      <x:c r="B10382" s="0" t="s">
        <x:v>41392</x:v>
      </x:c>
      <x:c r="C10382" s="0" t="s">
        <x:v>41393</x:v>
      </x:c>
      <x:c r="E10382" s="0" t="s">
        <x:v>41394</x:v>
      </x:c>
      <x:c r="F10382" s="0" t="s">
        <x:v>45</x:v>
      </x:c>
      <x:c r="G10382" s="0" t="s">
        <x:v>19</x:v>
      </x:c>
      <x:c r="H10382" s="0" t="s">
        <x:v>20</x:v>
      </x:c>
      <x:c r="I10382" s="0" t="s">
        <x:v>21</x:v>
      </x:c>
      <x:c r="K10382" s="0">
        <x:f>hyperlink("https://icd.who.int/dev11/l-ichi/en#/http%3A%2F%2Fid.who.int%2Ficd%2Fentity%2F846735319","browser")</x:f>
      </x:c>
      <x:c r="L10382" s="0">
        <x:f>hyperlink("https://icat2.azurewebsites.net/icat/?ontology=ICD&amp;tab=ClassesTab&amp;id=http%3A%2F%2Fwho.int%2Ficd%2313470_4869915e_217e_423d_acb3_33c0f920ef4b","iCat")</x:f>
      </x:c>
      <x:c r="M10382" s="0" t="s">
        <x:v>21</x:v>
      </x:c>
      <x:c r="N10382" s="0" t="s">
        <x:v>46</x:v>
      </x:c>
    </x:row>
    <x:row r="10383" spans="1:16">
      <x:c r="A10383" s="0" t="s">
        <x:v>41395</x:v>
      </x:c>
      <x:c r="B10383" s="0" t="s">
        <x:v>41396</x:v>
      </x:c>
      <x:c r="C10383" s="0" t="s">
        <x:v>41397</x:v>
      </x:c>
      <x:c r="E10383" s="0" t="s">
        <x:v>41398</x:v>
      </x:c>
      <x:c r="F10383" s="0" t="s">
        <x:v>45</x:v>
      </x:c>
      <x:c r="G10383" s="0" t="s">
        <x:v>19</x:v>
      </x:c>
      <x:c r="H10383" s="0" t="s">
        <x:v>20</x:v>
      </x:c>
      <x:c r="I10383" s="0" t="s">
        <x:v>21</x:v>
      </x:c>
      <x:c r="K10383" s="0">
        <x:f>hyperlink("https://icd.who.int/dev11/l-ichi/en#/http%3A%2F%2Fid.who.int%2Ficd%2Fentity%2F1644428902","browser")</x:f>
      </x:c>
      <x:c r="L10383" s="0">
        <x:f>hyperlink("https://icat2.azurewebsites.net/icat/?ontology=ICD&amp;tab=ClassesTab&amp;id=http%3A%2F%2Fwho.int%2Ficd%2313476_4869915e_217e_423d_acb3_33c0f920ef4b","iCat")</x:f>
      </x:c>
      <x:c r="M10383" s="0" t="s">
        <x:v>21</x:v>
      </x:c>
      <x:c r="N10383" s="0" t="s">
        <x:v>46</x:v>
      </x:c>
    </x:row>
    <x:row r="10384" spans="1:16">
      <x:c r="A10384" s="0" t="s">
        <x:v>41399</x:v>
      </x:c>
      <x:c r="B10384" s="0" t="s">
        <x:v>41400</x:v>
      </x:c>
      <x:c r="C10384" s="0" t="s">
        <x:v>41401</x:v>
      </x:c>
      <x:c r="E10384" s="0" t="s">
        <x:v>41402</x:v>
      </x:c>
      <x:c r="F10384" s="0" t="s">
        <x:v>45</x:v>
      </x:c>
      <x:c r="G10384" s="0" t="s">
        <x:v>19</x:v>
      </x:c>
      <x:c r="H10384" s="0" t="s">
        <x:v>20</x:v>
      </x:c>
      <x:c r="I10384" s="0" t="s">
        <x:v>21</x:v>
      </x:c>
      <x:c r="K10384" s="0">
        <x:f>hyperlink("https://icd.who.int/dev11/l-ichi/en#/http%3A%2F%2Fid.who.int%2Ficd%2Fentity%2F2028171470","browser")</x:f>
      </x:c>
      <x:c r="L10384" s="0">
        <x:f>hyperlink("https://icat2.azurewebsites.net/icat/?ontology=ICD&amp;tab=ClassesTab&amp;id=http%3A%2F%2Fwho.int%2Ficd%2313482_4869915e_217e_423d_acb3_33c0f920ef4b","iCat")</x:f>
      </x:c>
      <x:c r="M10384" s="0" t="s">
        <x:v>21</x:v>
      </x:c>
      <x:c r="N10384" s="0" t="s">
        <x:v>46</x:v>
      </x:c>
    </x:row>
    <x:row r="10385" spans="1:16">
      <x:c r="A10385" s="0" t="s">
        <x:v>41403</x:v>
      </x:c>
      <x:c r="B10385" s="0" t="s">
        <x:v>41404</x:v>
      </x:c>
      <x:c r="C10385" s="0" t="s">
        <x:v>41405</x:v>
      </x:c>
      <x:c r="E10385" s="0" t="s">
        <x:v>41406</x:v>
      </x:c>
      <x:c r="F10385" s="0" t="s">
        <x:v>45</x:v>
      </x:c>
      <x:c r="G10385" s="0" t="s">
        <x:v>19</x:v>
      </x:c>
      <x:c r="H10385" s="0" t="s">
        <x:v>20</x:v>
      </x:c>
      <x:c r="I10385" s="0" t="s">
        <x:v>21</x:v>
      </x:c>
      <x:c r="K10385" s="0">
        <x:f>hyperlink("https://icd.who.int/dev11/l-ichi/en#/http%3A%2F%2Fid.who.int%2Ficd%2Fentity%2F1394482270","browser")</x:f>
      </x:c>
      <x:c r="L10385" s="0">
        <x:f>hyperlink("https://icat2.azurewebsites.net/icat/?ontology=ICD&amp;tab=ClassesTab&amp;id=http%3A%2F%2Fwho.int%2Ficd%2313488_4869915e_217e_423d_acb3_33c0f920ef4b","iCat")</x:f>
      </x:c>
      <x:c r="M10385" s="0" t="s">
        <x:v>21</x:v>
      </x:c>
      <x:c r="N10385" s="0" t="s">
        <x:v>46</x:v>
      </x:c>
    </x:row>
    <x:row r="10386" spans="1:16">
      <x:c r="A10386" s="0" t="s">
        <x:v>41407</x:v>
      </x:c>
      <x:c r="B10386" s="0" t="s">
        <x:v>41408</x:v>
      </x:c>
      <x:c r="C10386" s="0" t="s">
        <x:v>41409</x:v>
      </x:c>
      <x:c r="E10386" s="0" t="s">
        <x:v>41410</x:v>
      </x:c>
      <x:c r="F10386" s="0" t="s">
        <x:v>45</x:v>
      </x:c>
      <x:c r="G10386" s="0" t="s">
        <x:v>19</x:v>
      </x:c>
      <x:c r="H10386" s="0" t="s">
        <x:v>20</x:v>
      </x:c>
      <x:c r="I10386" s="0" t="s">
        <x:v>21</x:v>
      </x:c>
      <x:c r="K10386" s="0">
        <x:f>hyperlink("https://icd.who.int/dev11/l-ichi/en#/http%3A%2F%2Fid.who.int%2Ficd%2Fentity%2F1113406506","browser")</x:f>
      </x:c>
      <x:c r="L10386" s="0">
        <x:f>hyperlink("https://icat2.azurewebsites.net/icat/?ontology=ICD&amp;tab=ClassesTab&amp;id=http%3A%2F%2Fwho.int%2Ficd%2313494_4869915e_217e_423d_acb3_33c0f920ef4b","iCat")</x:f>
      </x:c>
      <x:c r="M10386" s="0" t="s">
        <x:v>21</x:v>
      </x:c>
      <x:c r="N10386" s="0" t="s">
        <x:v>46</x:v>
      </x:c>
    </x:row>
    <x:row r="10387" spans="1:16">
      <x:c r="A10387" s="0" t="s">
        <x:v>41411</x:v>
      </x:c>
      <x:c r="B10387" s="0" t="s">
        <x:v>41412</x:v>
      </x:c>
      <x:c r="C10387" s="0" t="s">
        <x:v>41413</x:v>
      </x:c>
      <x:c r="E10387" s="0" t="s">
        <x:v>41414</x:v>
      </x:c>
      <x:c r="F10387" s="0" t="s">
        <x:v>45</x:v>
      </x:c>
      <x:c r="G10387" s="0" t="s">
        <x:v>19</x:v>
      </x:c>
      <x:c r="H10387" s="0" t="s">
        <x:v>20</x:v>
      </x:c>
      <x:c r="I10387" s="0" t="s">
        <x:v>21</x:v>
      </x:c>
      <x:c r="K10387" s="0">
        <x:f>hyperlink("https://icd.who.int/dev11/l-ichi/en#/http%3A%2F%2Fid.who.int%2Ficd%2Fentity%2F508916206","browser")</x:f>
      </x:c>
      <x:c r="L10387" s="0">
        <x:f>hyperlink("https://icat2.azurewebsites.net/icat/?ontology=ICD&amp;tab=ClassesTab&amp;id=http%3A%2F%2Fwho.int%2Ficd%2313_3c64dd61_a787_4b69_a0aa_c26ee473e65a","iCat")</x:f>
      </x:c>
      <x:c r="M10387" s="0" t="s">
        <x:v>21</x:v>
      </x:c>
      <x:c r="N10387" s="0" t="s">
        <x:v>46</x:v>
      </x:c>
    </x:row>
    <x:row r="10388" spans="1:16">
      <x:c r="A10388" s="0" t="s">
        <x:v>41415</x:v>
      </x:c>
      <x:c r="B10388" s="0" t="s">
        <x:v>41416</x:v>
      </x:c>
      <x:c r="C10388" s="0" t="s">
        <x:v>41417</x:v>
      </x:c>
      <x:c r="E10388" s="0" t="s">
        <x:v>41418</x:v>
      </x:c>
      <x:c r="F10388" s="0" t="s">
        <x:v>45</x:v>
      </x:c>
      <x:c r="G10388" s="0" t="s">
        <x:v>19</x:v>
      </x:c>
      <x:c r="H10388" s="0" t="s">
        <x:v>20</x:v>
      </x:c>
      <x:c r="I10388" s="0" t="s">
        <x:v>21</x:v>
      </x:c>
      <x:c r="K10388" s="0">
        <x:f>hyperlink("https://icd.who.int/dev11/l-ichi/en#/http%3A%2F%2Fid.who.int%2Ficd%2Fentity%2F1999762000","browser")</x:f>
      </x:c>
      <x:c r="L10388" s="0">
        <x:f>hyperlink("https://icat2.azurewebsites.net/icat/?ontology=ICD&amp;tab=ClassesTab&amp;id=http%3A%2F%2Fwho.int%2Ficd%2313500_4869915e_217e_423d_acb3_33c0f920ef4b","iCat")</x:f>
      </x:c>
      <x:c r="M10388" s="0" t="s">
        <x:v>21</x:v>
      </x:c>
      <x:c r="N10388" s="0" t="s">
        <x:v>46</x:v>
      </x:c>
    </x:row>
    <x:row r="10389" spans="1:16">
      <x:c r="A10389" s="0" t="s">
        <x:v>41419</x:v>
      </x:c>
      <x:c r="B10389" s="0" t="s">
        <x:v>41420</x:v>
      </x:c>
      <x:c r="C10389" s="0" t="s">
        <x:v>41421</x:v>
      </x:c>
      <x:c r="E10389" s="0" t="s">
        <x:v>41422</x:v>
      </x:c>
      <x:c r="F10389" s="0" t="s">
        <x:v>45</x:v>
      </x:c>
      <x:c r="G10389" s="0" t="s">
        <x:v>19</x:v>
      </x:c>
      <x:c r="H10389" s="0" t="s">
        <x:v>20</x:v>
      </x:c>
      <x:c r="I10389" s="0" t="s">
        <x:v>21</x:v>
      </x:c>
      <x:c r="K10389" s="0">
        <x:f>hyperlink("https://icd.who.int/dev11/l-ichi/en#/http%3A%2F%2Fid.who.int%2Ficd%2Fentity%2F659172321","browser")</x:f>
      </x:c>
      <x:c r="L10389" s="0">
        <x:f>hyperlink("https://icat2.azurewebsites.net/icat/?ontology=ICD&amp;tab=ClassesTab&amp;id=http%3A%2F%2Fwho.int%2Ficd%2313506_4869915e_217e_423d_acb3_33c0f920ef4b","iCat")</x:f>
      </x:c>
      <x:c r="M10389" s="0" t="s">
        <x:v>21</x:v>
      </x:c>
      <x:c r="N10389" s="0" t="s">
        <x:v>46</x:v>
      </x:c>
    </x:row>
    <x:row r="10390" spans="1:16">
      <x:c r="A10390" s="0" t="s">
        <x:v>41423</x:v>
      </x:c>
      <x:c r="B10390" s="0" t="s">
        <x:v>41424</x:v>
      </x:c>
      <x:c r="C10390" s="0" t="s">
        <x:v>41425</x:v>
      </x:c>
      <x:c r="E10390" s="0" t="s">
        <x:v>41426</x:v>
      </x:c>
      <x:c r="F10390" s="0" t="s">
        <x:v>45</x:v>
      </x:c>
      <x:c r="G10390" s="0" t="s">
        <x:v>19</x:v>
      </x:c>
      <x:c r="H10390" s="0" t="s">
        <x:v>20</x:v>
      </x:c>
      <x:c r="I10390" s="0" t="s">
        <x:v>21</x:v>
      </x:c>
      <x:c r="K10390" s="0">
        <x:f>hyperlink("https://icd.who.int/dev11/l-ichi/en#/http%3A%2F%2Fid.who.int%2Ficd%2Fentity%2F2022210242","browser")</x:f>
      </x:c>
      <x:c r="L10390" s="0">
        <x:f>hyperlink("https://icat2.azurewebsites.net/icat/?ontology=ICD&amp;tab=ClassesTab&amp;id=http%3A%2F%2Fwho.int%2Ficd%2313512_4869915e_217e_423d_acb3_33c0f920ef4b","iCat")</x:f>
      </x:c>
      <x:c r="M10390" s="0" t="s">
        <x:v>21</x:v>
      </x:c>
      <x:c r="N10390" s="0" t="s">
        <x:v>46</x:v>
      </x:c>
    </x:row>
    <x:row r="10391" spans="1:16">
      <x:c r="A10391" s="0" t="s">
        <x:v>41427</x:v>
      </x:c>
      <x:c r="B10391" s="0" t="s">
        <x:v>41428</x:v>
      </x:c>
      <x:c r="C10391" s="0" t="s">
        <x:v>41429</x:v>
      </x:c>
      <x:c r="E10391" s="0" t="s">
        <x:v>41430</x:v>
      </x:c>
      <x:c r="F10391" s="0" t="s">
        <x:v>45</x:v>
      </x:c>
      <x:c r="G10391" s="0" t="s">
        <x:v>19</x:v>
      </x:c>
      <x:c r="H10391" s="0" t="s">
        <x:v>20</x:v>
      </x:c>
      <x:c r="I10391" s="0" t="s">
        <x:v>21</x:v>
      </x:c>
      <x:c r="K10391" s="0">
        <x:f>hyperlink("https://icd.who.int/dev11/l-ichi/en#/http%3A%2F%2Fid.who.int%2Ficd%2Fentity%2F900210046","browser")</x:f>
      </x:c>
      <x:c r="L10391" s="0">
        <x:f>hyperlink("https://icat2.azurewebsites.net/icat/?ontology=ICD&amp;tab=ClassesTab&amp;id=http%3A%2F%2Fwho.int%2Ficd%2319_3c64dd61_a787_4b69_a0aa_c26ee473e65a","iCat")</x:f>
      </x:c>
      <x:c r="M10391" s="0" t="s">
        <x:v>21</x:v>
      </x:c>
      <x:c r="N10391" s="0" t="s">
        <x:v>46</x:v>
      </x:c>
    </x:row>
    <x:row r="10392" spans="1:16">
      <x:c r="A10392" s="0" t="s">
        <x:v>41431</x:v>
      </x:c>
      <x:c r="B10392" s="0" t="s">
        <x:v>41432</x:v>
      </x:c>
      <x:c r="C10392" s="0" t="s">
        <x:v>41433</x:v>
      </x:c>
      <x:c r="E10392" s="0" t="s">
        <x:v>41434</x:v>
      </x:c>
      <x:c r="F10392" s="0" t="s">
        <x:v>45</x:v>
      </x:c>
      <x:c r="G10392" s="0" t="s">
        <x:v>19</x:v>
      </x:c>
      <x:c r="H10392" s="0" t="s">
        <x:v>20</x:v>
      </x:c>
      <x:c r="I10392" s="0" t="s">
        <x:v>21</x:v>
      </x:c>
      <x:c r="K10392" s="0">
        <x:f>hyperlink("https://icd.who.int/dev11/l-ichi/en#/http%3A%2F%2Fid.who.int%2Ficd%2Fentity%2F584611783","browser")</x:f>
      </x:c>
      <x:c r="L10392" s="0">
        <x:f>hyperlink("https://icat2.azurewebsites.net/icat/?ontology=ICD&amp;tab=ClassesTab&amp;id=http%3A%2F%2Fwho.int%2Ficd%2331225_c351bd26_e8bd_46f1_9e61_43f767fec9b3","iCat")</x:f>
      </x:c>
      <x:c r="M10392" s="0" t="s">
        <x:v>21</x:v>
      </x:c>
      <x:c r="N10392" s="0" t="s">
        <x:v>46</x:v>
      </x:c>
    </x:row>
    <x:row r="10393" spans="1:16">
      <x:c r="A10393" s="0" t="s">
        <x:v>41435</x:v>
      </x:c>
      <x:c r="B10393" s="0" t="s">
        <x:v>41436</x:v>
      </x:c>
      <x:c r="C10393" s="0" t="s">
        <x:v>41437</x:v>
      </x:c>
      <x:c r="E10393" s="0" t="s">
        <x:v>41438</x:v>
      </x:c>
      <x:c r="F10393" s="0" t="s">
        <x:v>45</x:v>
      </x:c>
      <x:c r="G10393" s="0" t="s">
        <x:v>19</x:v>
      </x:c>
      <x:c r="H10393" s="0" t="s">
        <x:v>20</x:v>
      </x:c>
      <x:c r="I10393" s="0" t="s">
        <x:v>21</x:v>
      </x:c>
      <x:c r="K10393" s="0">
        <x:f>hyperlink("https://icd.who.int/dev11/l-ichi/en#/http%3A%2F%2Fid.who.int%2Ficd%2Fentity%2F245360728","browser")</x:f>
      </x:c>
      <x:c r="L10393" s="0">
        <x:f>hyperlink("https://icat2.azurewebsites.net/icat/?ontology=ICD&amp;tab=ClassesTab&amp;id=http%3A%2F%2Fwho.int%2Ficd%2325_3c64dd61_a787_4b69_a0aa_c26ee473e65a","iCat")</x:f>
      </x:c>
      <x:c r="M10393" s="0" t="s">
        <x:v>21</x:v>
      </x:c>
      <x:c r="N10393" s="0" t="s">
        <x:v>46</x:v>
      </x:c>
    </x:row>
    <x:row r="10394" spans="1:16">
      <x:c r="A10394" s="0" t="s">
        <x:v>41439</x:v>
      </x:c>
      <x:c r="B10394" s="0" t="s">
        <x:v>41440</x:v>
      </x:c>
      <x:c r="C10394" s="0" t="s">
        <x:v>41441</x:v>
      </x:c>
      <x:c r="E10394" s="0" t="s">
        <x:v>41442</x:v>
      </x:c>
      <x:c r="F10394" s="0" t="s">
        <x:v>45</x:v>
      </x:c>
      <x:c r="G10394" s="0" t="s">
        <x:v>19</x:v>
      </x:c>
      <x:c r="H10394" s="0" t="s">
        <x:v>20</x:v>
      </x:c>
      <x:c r="I10394" s="0" t="s">
        <x:v>21</x:v>
      </x:c>
      <x:c r="K10394" s="0">
        <x:f>hyperlink("https://icd.who.int/dev11/l-ichi/en#/http%3A%2F%2Fid.who.int%2Ficd%2Fentity%2F1749214068","browser")</x:f>
      </x:c>
      <x:c r="L10394" s="0">
        <x:f>hyperlink("https://icat2.azurewebsites.net/icat/?ontology=ICD&amp;tab=ClassesTab&amp;id=http%3A%2F%2Fwho.int%2Ficd%2313524_4869915e_217e_423d_acb3_33c0f920ef4b","iCat")</x:f>
      </x:c>
      <x:c r="M10394" s="0" t="s">
        <x:v>21</x:v>
      </x:c>
      <x:c r="N10394" s="0" t="s">
        <x:v>46</x:v>
      </x:c>
    </x:row>
    <x:row r="10395" spans="1:16">
      <x:c r="A10395" s="0" t="s">
        <x:v>41443</x:v>
      </x:c>
      <x:c r="B10395" s="0" t="s">
        <x:v>41444</x:v>
      </x:c>
      <x:c r="C10395" s="0" t="s">
        <x:v>41445</x:v>
      </x:c>
      <x:c r="E10395" s="0" t="s">
        <x:v>41446</x:v>
      </x:c>
      <x:c r="F10395" s="0" t="s">
        <x:v>45</x:v>
      </x:c>
      <x:c r="G10395" s="0" t="s">
        <x:v>19</x:v>
      </x:c>
      <x:c r="H10395" s="0" t="s">
        <x:v>20</x:v>
      </x:c>
      <x:c r="I10395" s="0" t="s">
        <x:v>21</x:v>
      </x:c>
      <x:c r="K10395" s="0">
        <x:f>hyperlink("https://icd.who.int/dev11/l-ichi/en#/http%3A%2F%2Fid.who.int%2Ficd%2Fentity%2F19292362","browser")</x:f>
      </x:c>
      <x:c r="L10395" s="0">
        <x:f>hyperlink("https://icat2.azurewebsites.net/icat/?ontology=ICD&amp;tab=ClassesTab&amp;id=http%3A%2F%2Fwho.int%2Ficd%2337_3c64dd61_a787_4b69_a0aa_c26ee473e65a","iCat")</x:f>
      </x:c>
      <x:c r="M10395" s="0" t="s">
        <x:v>21</x:v>
      </x:c>
      <x:c r="N10395" s="0" t="s">
        <x:v>46</x:v>
      </x:c>
    </x:row>
    <x:row r="10396" spans="1:16">
      <x:c r="A10396" s="0" t="s">
        <x:v>41447</x:v>
      </x:c>
      <x:c r="B10396" s="0" t="s">
        <x:v>41448</x:v>
      </x:c>
      <x:c r="C10396" s="0" t="s">
        <x:v>41449</x:v>
      </x:c>
      <x:c r="E10396" s="0" t="s">
        <x:v>41450</x:v>
      </x:c>
      <x:c r="F10396" s="0" t="s">
        <x:v>45</x:v>
      </x:c>
      <x:c r="G10396" s="0" t="s">
        <x:v>19</x:v>
      </x:c>
      <x:c r="H10396" s="0" t="s">
        <x:v>20</x:v>
      </x:c>
      <x:c r="I10396" s="0" t="s">
        <x:v>21</x:v>
      </x:c>
      <x:c r="K10396" s="0">
        <x:f>hyperlink("https://icd.who.int/dev11/l-ichi/en#/http%3A%2F%2Fid.who.int%2Ficd%2Fentity%2F95754288","browser")</x:f>
      </x:c>
      <x:c r="L10396" s="0">
        <x:f>hyperlink("https://icat2.azurewebsites.net/icat/?ontology=ICD&amp;tab=ClassesTab&amp;id=http%3A%2F%2Fwho.int%2Ficd%23228_e87d5413_a3ef_41e3_b1c4_bdb20d4d591d","iCat")</x:f>
      </x:c>
      <x:c r="M10396" s="0" t="s">
        <x:v>21</x:v>
      </x:c>
      <x:c r="N10396" s="0" t="s">
        <x:v>46</x:v>
      </x:c>
    </x:row>
    <x:row r="10397" spans="1:16">
      <x:c r="A10397" s="0" t="s">
        <x:v>41451</x:v>
      </x:c>
      <x:c r="B10397" s="0" t="s">
        <x:v>41452</x:v>
      </x:c>
      <x:c r="C10397" s="0" t="s">
        <x:v>41453</x:v>
      </x:c>
      <x:c r="E10397" s="0" t="s">
        <x:v>41454</x:v>
      </x:c>
      <x:c r="F10397" s="0" t="s">
        <x:v>45</x:v>
      </x:c>
      <x:c r="G10397" s="0" t="s">
        <x:v>19</x:v>
      </x:c>
      <x:c r="H10397" s="0" t="s">
        <x:v>20</x:v>
      </x:c>
      <x:c r="I10397" s="0" t="s">
        <x:v>21</x:v>
      </x:c>
      <x:c r="K10397" s="0">
        <x:f>hyperlink("https://icd.who.int/dev11/l-ichi/en#/http%3A%2F%2Fid.who.int%2Ficd%2Fentity%2F1400182354","browser")</x:f>
      </x:c>
      <x:c r="L10397" s="0">
        <x:f>hyperlink("https://icat2.azurewebsites.net/icat/?ontology=ICD&amp;tab=ClassesTab&amp;id=http%3A%2F%2Fwho.int%2Ficd%2313518_4869915e_217e_423d_acb3_33c0f920ef4b","iCat")</x:f>
      </x:c>
      <x:c r="M10397" s="0" t="s">
        <x:v>21</x:v>
      </x:c>
      <x:c r="N10397" s="0" t="s">
        <x:v>46</x:v>
      </x:c>
    </x:row>
    <x:row r="10398" spans="1:16">
      <x:c r="A10398" s="0" t="s">
        <x:v>41455</x:v>
      </x:c>
      <x:c r="B10398" s="0" t="s">
        <x:v>41456</x:v>
      </x:c>
      <x:c r="C10398" s="0" t="s">
        <x:v>41457</x:v>
      </x:c>
      <x:c r="E10398" s="0" t="s">
        <x:v>41458</x:v>
      </x:c>
      <x:c r="F10398" s="0" t="s">
        <x:v>45</x:v>
      </x:c>
      <x:c r="G10398" s="0" t="s">
        <x:v>19</x:v>
      </x:c>
      <x:c r="H10398" s="0" t="s">
        <x:v>20</x:v>
      </x:c>
      <x:c r="I10398" s="0" t="s">
        <x:v>21</x:v>
      </x:c>
      <x:c r="K10398" s="0">
        <x:f>hyperlink("https://icd.who.int/dev11/l-ichi/en#/http%3A%2F%2Fid.who.int%2Ficd%2Fentity%2F83343268","browser")</x:f>
      </x:c>
      <x:c r="L10398" s="0">
        <x:f>hyperlink("https://icat2.azurewebsites.net/icat/?ontology=ICD&amp;tab=ClassesTab&amp;id=http%3A%2F%2Fwho.int%2Ficd%2343_3c64dd61_a787_4b69_a0aa_c26ee473e65a","iCat")</x:f>
      </x:c>
      <x:c r="M10398" s="0" t="s">
        <x:v>21</x:v>
      </x:c>
      <x:c r="N10398" s="0" t="s">
        <x:v>46</x:v>
      </x:c>
    </x:row>
    <x:row r="10399" spans="1:16">
      <x:c r="A10399" s="0" t="s">
        <x:v>41459</x:v>
      </x:c>
      <x:c r="B10399" s="0" t="s">
        <x:v>41460</x:v>
      </x:c>
      <x:c r="C10399" s="0" t="s">
        <x:v>41461</x:v>
      </x:c>
      <x:c r="E10399" s="0" t="s">
        <x:v>41462</x:v>
      </x:c>
      <x:c r="F10399" s="0" t="s">
        <x:v>45</x:v>
      </x:c>
      <x:c r="G10399" s="0" t="s">
        <x:v>19</x:v>
      </x:c>
      <x:c r="H10399" s="0" t="s">
        <x:v>20</x:v>
      </x:c>
      <x:c r="I10399" s="0" t="s">
        <x:v>21</x:v>
      </x:c>
      <x:c r="K10399" s="0">
        <x:f>hyperlink("https://icd.who.int/dev11/l-ichi/en#/http%3A%2F%2Fid.who.int%2Ficd%2Fentity%2F1744530406","browser")</x:f>
      </x:c>
      <x:c r="L10399" s="0">
        <x:f>hyperlink("https://icat2.azurewebsites.net/icat/?ontology=ICD&amp;tab=ClassesTab&amp;id=http%3A%2F%2Fwho.int%2Ficd%2313536_4869915e_217e_423d_acb3_33c0f920ef4b","iCat")</x:f>
      </x:c>
      <x:c r="M10399" s="0" t="s">
        <x:v>21</x:v>
      </x:c>
      <x:c r="N10399" s="0" t="s">
        <x:v>46</x:v>
      </x:c>
    </x:row>
    <x:row r="10400" spans="1:16">
      <x:c r="A10400" s="0" t="s">
        <x:v>41463</x:v>
      </x:c>
      <x:c r="B10400" s="0" t="s">
        <x:v>41464</x:v>
      </x:c>
      <x:c r="C10400" s="0" t="s">
        <x:v>41465</x:v>
      </x:c>
      <x:c r="E10400" s="0" t="s">
        <x:v>41466</x:v>
      </x:c>
      <x:c r="F10400" s="0" t="s">
        <x:v>45</x:v>
      </x:c>
      <x:c r="G10400" s="0" t="s">
        <x:v>19</x:v>
      </x:c>
      <x:c r="H10400" s="0" t="s">
        <x:v>20</x:v>
      </x:c>
      <x:c r="I10400" s="0" t="s">
        <x:v>21</x:v>
      </x:c>
      <x:c r="K10400" s="0">
        <x:f>hyperlink("https://icd.who.int/dev11/l-ichi/en#/http%3A%2F%2Fid.who.int%2Ficd%2Fentity%2F1365096827","browser")</x:f>
      </x:c>
      <x:c r="L10400" s="0">
        <x:f>hyperlink("https://icat2.azurewebsites.net/icat/?ontology=ICD&amp;tab=ClassesTab&amp;id=http%3A%2F%2Fwho.int%2Ficd%2331_3c64dd61_a787_4b69_a0aa_c26ee473e65a","iCat")</x:f>
      </x:c>
      <x:c r="M10400" s="0" t="s">
        <x:v>21</x:v>
      </x:c>
      <x:c r="N10400" s="0" t="s">
        <x:v>46</x:v>
      </x:c>
    </x:row>
    <x:row r="10401" spans="1:16">
      <x:c r="A10401" s="0" t="s">
        <x:v>41467</x:v>
      </x:c>
      <x:c r="B10401" s="0" t="s">
        <x:v>41468</x:v>
      </x:c>
      <x:c r="C10401" s="0" t="s">
        <x:v>41469</x:v>
      </x:c>
      <x:c r="E10401" s="0" t="s">
        <x:v>41470</x:v>
      </x:c>
      <x:c r="F10401" s="0" t="s">
        <x:v>45</x:v>
      </x:c>
      <x:c r="G10401" s="0" t="s">
        <x:v>19</x:v>
      </x:c>
      <x:c r="H10401" s="0" t="s">
        <x:v>20</x:v>
      </x:c>
      <x:c r="I10401" s="0" t="s">
        <x:v>21</x:v>
      </x:c>
      <x:c r="K10401" s="0">
        <x:f>hyperlink("https://icd.who.int/dev11/l-ichi/en#/http%3A%2F%2Fid.who.int%2Ficd%2Fentity%2F1646967944","browser")</x:f>
      </x:c>
      <x:c r="L10401" s="0">
        <x:f>hyperlink("https://icat2.azurewebsites.net/icat/?ontology=ICD&amp;tab=ClassesTab&amp;id=http%3A%2F%2Fwho.int%2Ficd%2313542_4869915e_217e_423d_acb3_33c0f920ef4b","iCat")</x:f>
      </x:c>
      <x:c r="M10401" s="0" t="s">
        <x:v>21</x:v>
      </x:c>
      <x:c r="N10401" s="0" t="s">
        <x:v>46</x:v>
      </x:c>
    </x:row>
    <x:row r="10402" spans="1:16">
      <x:c r="A10402" s="0" t="s">
        <x:v>41471</x:v>
      </x:c>
      <x:c r="B10402" s="0" t="s">
        <x:v>41472</x:v>
      </x:c>
      <x:c r="C10402" s="0" t="s">
        <x:v>41473</x:v>
      </x:c>
      <x:c r="E10402" s="0" t="s">
        <x:v>41474</x:v>
      </x:c>
      <x:c r="F10402" s="0" t="s">
        <x:v>45</x:v>
      </x:c>
      <x:c r="G10402" s="0" t="s">
        <x:v>19</x:v>
      </x:c>
      <x:c r="H10402" s="0" t="s">
        <x:v>20</x:v>
      </x:c>
      <x:c r="I10402" s="0" t="s">
        <x:v>21</x:v>
      </x:c>
      <x:c r="K10402" s="0">
        <x:f>hyperlink("https://icd.who.int/dev11/l-ichi/en#/http%3A%2F%2Fid.who.int%2Ficd%2Fentity%2F1130002292","browser")</x:f>
      </x:c>
      <x:c r="L10402" s="0">
        <x:f>hyperlink("https://icat2.azurewebsites.net/icat/?ontology=ICD&amp;tab=ClassesTab&amp;id=http%3A%2F%2Fwho.int%2Ficd%2313569_4869915e_217e_423d_acb3_33c0f920ef4b","iCat")</x:f>
      </x:c>
      <x:c r="M10402" s="0" t="s">
        <x:v>21</x:v>
      </x:c>
      <x:c r="N10402" s="0" t="s">
        <x:v>46</x:v>
      </x:c>
    </x:row>
    <x:row r="10403" spans="1:16">
      <x:c r="A10403" s="0" t="s">
        <x:v>41475</x:v>
      </x:c>
      <x:c r="B10403" s="0" t="s">
        <x:v>41476</x:v>
      </x:c>
      <x:c r="D10403" s="0" t="s">
        <x:v>41477</x:v>
      </x:c>
      <x:c r="E10403" s="0" t="s">
        <x:v>41478</x:v>
      </x:c>
      <x:c r="F10403" s="0" t="s">
        <x:v>26</x:v>
      </x:c>
      <x:c r="G10403" s="0" t="s">
        <x:v>35</x:v>
      </x:c>
      <x:c r="H10403" s="0" t="s">
        <x:v>20</x:v>
      </x:c>
      <x:c r="I10403" s="0" t="s">
        <x:v>21</x:v>
      </x:c>
      <x:c r="K10403" s="0">
        <x:f>hyperlink("https://icd.who.int/dev11/l-ichi/en#/http%3A%2F%2Fid.who.int%2Ficd%2Fentity%2F973144972","browser")</x:f>
      </x:c>
      <x:c r="L10403" s="0">
        <x:f>hyperlink("https://icat2.azurewebsites.net/icat/?ontology=ICD&amp;tab=ClassesTab&amp;id=http%3A%2F%2Fwho.int%2Ficd%2350508_512ebf36_bf6b_4d70_85da_cf2637062af4","iCat")</x:f>
      </x:c>
      <x:c r="M10403" s="0" t="s">
        <x:v>20</x:v>
      </x:c>
      <x:c r="N10403" s="0" t="s">
        <x:v>41479</x:v>
      </x:c>
    </x:row>
    <x:row r="10404" spans="1:16">
      <x:c r="A10404" s="0" t="s">
        <x:v>41480</x:v>
      </x:c>
      <x:c r="B10404" s="0" t="s">
        <x:v>41481</x:v>
      </x:c>
      <x:c r="C10404" s="0" t="s">
        <x:v>41482</x:v>
      </x:c>
      <x:c r="E10404" s="0" t="s">
        <x:v>41483</x:v>
      </x:c>
      <x:c r="F10404" s="0" t="s">
        <x:v>45</x:v>
      </x:c>
      <x:c r="G10404" s="0" t="s">
        <x:v>19</x:v>
      </x:c>
      <x:c r="H10404" s="0" t="s">
        <x:v>20</x:v>
      </x:c>
      <x:c r="I10404" s="0" t="s">
        <x:v>21</x:v>
      </x:c>
      <x:c r="K10404" s="0">
        <x:f>hyperlink("https://icd.who.int/dev11/l-ichi/en#/http%3A%2F%2Fid.who.int%2Ficd%2Fentity%2F67295572","browser")</x:f>
      </x:c>
      <x:c r="L10404" s="0">
        <x:f>hyperlink("https://icat2.azurewebsites.net/icat/?ontology=ICD&amp;tab=ClassesTab&amp;id=http%3A%2F%2Fwho.int%2Ficd%2350507_512ebf36_bf6b_4d70_85da_cf2637062af4","iCat")</x:f>
      </x:c>
      <x:c r="M10404" s="0" t="s">
        <x:v>21</x:v>
      </x:c>
      <x:c r="N10404" s="0" t="s">
        <x:v>46</x:v>
      </x:c>
    </x:row>
    <x:row r="10405" spans="1:16">
      <x:c r="A10405" s="0" t="s">
        <x:v>41484</x:v>
      </x:c>
      <x:c r="B10405" s="0" t="s">
        <x:v>41485</x:v>
      </x:c>
      <x:c r="C10405" s="0" t="s">
        <x:v>41486</x:v>
      </x:c>
      <x:c r="E10405" s="0" t="s">
        <x:v>41487</x:v>
      </x:c>
      <x:c r="F10405" s="0" t="s">
        <x:v>45</x:v>
      </x:c>
      <x:c r="G10405" s="0" t="s">
        <x:v>19</x:v>
      </x:c>
      <x:c r="H10405" s="0" t="s">
        <x:v>20</x:v>
      </x:c>
      <x:c r="I10405" s="0" t="s">
        <x:v>21</x:v>
      </x:c>
      <x:c r="K10405" s="0">
        <x:f>hyperlink("https://icd.who.int/dev11/l-ichi/en#/http%3A%2F%2Fid.who.int%2Ficd%2Fentity%2F1593091977","browser")</x:f>
      </x:c>
      <x:c r="L10405" s="0">
        <x:f>hyperlink("https://icat2.azurewebsites.net/icat/?ontology=ICD&amp;tab=ClassesTab&amp;id=http%3A%2F%2Fwho.int%2Ficd%2350520_512ebf36_bf6b_4d70_85da_cf2637062af4","iCat")</x:f>
      </x:c>
      <x:c r="M10405" s="0" t="s">
        <x:v>21</x:v>
      </x:c>
      <x:c r="N10405" s="0" t="s">
        <x:v>46</x:v>
      </x:c>
    </x:row>
    <x:row r="10406" spans="1:16">
      <x:c r="A10406" s="0" t="s">
        <x:v>41488</x:v>
      </x:c>
      <x:c r="B10406" s="0" t="s">
        <x:v>41489</x:v>
      </x:c>
      <x:c r="C10406" s="0" t="s">
        <x:v>41490</x:v>
      </x:c>
      <x:c r="E10406" s="0" t="s">
        <x:v>41491</x:v>
      </x:c>
      <x:c r="F10406" s="0" t="s">
        <x:v>45</x:v>
      </x:c>
      <x:c r="G10406" s="0" t="s">
        <x:v>19</x:v>
      </x:c>
      <x:c r="H10406" s="0" t="s">
        <x:v>20</x:v>
      </x:c>
      <x:c r="I10406" s="0" t="s">
        <x:v>21</x:v>
      </x:c>
      <x:c r="K10406" s="0">
        <x:f>hyperlink("https://icd.who.int/dev11/l-ichi/en#/http%3A%2F%2Fid.who.int%2Ficd%2Fentity%2F779488262","browser")</x:f>
      </x:c>
      <x:c r="L10406" s="0">
        <x:f>hyperlink("https://icat2.azurewebsites.net/icat/?ontology=ICD&amp;tab=ClassesTab&amp;id=http%3A%2F%2Fwho.int%2Ficd%2350527_512ebf36_bf6b_4d70_85da_cf2637062af4","iCat")</x:f>
      </x:c>
      <x:c r="M10406" s="0" t="s">
        <x:v>21</x:v>
      </x:c>
      <x:c r="N10406" s="0" t="s">
        <x:v>46</x:v>
      </x:c>
    </x:row>
    <x:row r="10407" spans="1:16">
      <x:c r="A10407" s="0" t="s">
        <x:v>41492</x:v>
      </x:c>
      <x:c r="B10407" s="0" t="s">
        <x:v>41493</x:v>
      </x:c>
      <x:c r="C10407" s="0" t="s">
        <x:v>41494</x:v>
      </x:c>
      <x:c r="E10407" s="0" t="s">
        <x:v>41495</x:v>
      </x:c>
      <x:c r="F10407" s="0" t="s">
        <x:v>45</x:v>
      </x:c>
      <x:c r="G10407" s="0" t="s">
        <x:v>19</x:v>
      </x:c>
      <x:c r="H10407" s="0" t="s">
        <x:v>20</x:v>
      </x:c>
      <x:c r="I10407" s="0" t="s">
        <x:v>21</x:v>
      </x:c>
      <x:c r="K10407" s="0">
        <x:f>hyperlink("https://icd.who.int/dev11/l-ichi/en#/http%3A%2F%2Fid.who.int%2Ficd%2Fentity%2F20379306","browser")</x:f>
      </x:c>
      <x:c r="L10407" s="0">
        <x:f>hyperlink("https://icat2.azurewebsites.net/icat/?ontology=ICD&amp;tab=ClassesTab&amp;id=http%3A%2F%2Fwho.int%2Ficd%2350534_512ebf36_bf6b_4d70_85da_cf2637062af4","iCat")</x:f>
      </x:c>
      <x:c r="M10407" s="0" t="s">
        <x:v>21</x:v>
      </x:c>
      <x:c r="N10407" s="0" t="s">
        <x:v>46</x:v>
      </x:c>
    </x:row>
    <x:row r="10408" spans="1:16">
      <x:c r="A10408" s="0" t="s">
        <x:v>41496</x:v>
      </x:c>
      <x:c r="B10408" s="0" t="s">
        <x:v>41497</x:v>
      </x:c>
      <x:c r="C10408" s="0" t="s">
        <x:v>41498</x:v>
      </x:c>
      <x:c r="E10408" s="0" t="s">
        <x:v>41499</x:v>
      </x:c>
      <x:c r="F10408" s="0" t="s">
        <x:v>45</x:v>
      </x:c>
      <x:c r="G10408" s="0" t="s">
        <x:v>19</x:v>
      </x:c>
      <x:c r="H10408" s="0" t="s">
        <x:v>20</x:v>
      </x:c>
      <x:c r="I10408" s="0" t="s">
        <x:v>21</x:v>
      </x:c>
      <x:c r="K10408" s="0">
        <x:f>hyperlink("https://icd.who.int/dev11/l-ichi/en#/http%3A%2F%2Fid.who.int%2Ficd%2Fentity%2F605967354","browser")</x:f>
      </x:c>
      <x:c r="L10408" s="0">
        <x:f>hyperlink("https://icat2.azurewebsites.net/icat/?ontology=ICD&amp;tab=ClassesTab&amp;id=http%3A%2F%2Fwho.int%2Ficd%2350541_512ebf36_bf6b_4d70_85da_cf2637062af4","iCat")</x:f>
      </x:c>
      <x:c r="M10408" s="0" t="s">
        <x:v>21</x:v>
      </x:c>
      <x:c r="N10408" s="0" t="s">
        <x:v>46</x:v>
      </x:c>
    </x:row>
    <x:row r="10409" spans="1:16">
      <x:c r="A10409" s="0" t="s">
        <x:v>41500</x:v>
      </x:c>
      <x:c r="B10409" s="0" t="s">
        <x:v>41501</x:v>
      </x:c>
      <x:c r="C10409" s="0" t="s">
        <x:v>41502</x:v>
      </x:c>
      <x:c r="E10409" s="0" t="s">
        <x:v>41503</x:v>
      </x:c>
      <x:c r="F10409" s="0" t="s">
        <x:v>45</x:v>
      </x:c>
      <x:c r="G10409" s="0" t="s">
        <x:v>19</x:v>
      </x:c>
      <x:c r="H10409" s="0" t="s">
        <x:v>20</x:v>
      </x:c>
      <x:c r="I10409" s="0" t="s">
        <x:v>21</x:v>
      </x:c>
      <x:c r="K10409" s="0">
        <x:f>hyperlink("https://icd.who.int/dev11/l-ichi/en#/http%3A%2F%2Fid.who.int%2Ficd%2Fentity%2F1248219281","browser")</x:f>
      </x:c>
      <x:c r="L10409" s="0">
        <x:f>hyperlink("https://icat2.azurewebsites.net/icat/?ontology=ICD&amp;tab=ClassesTab&amp;id=http%3A%2F%2Fwho.int%2Ficd%2350548_512ebf36_bf6b_4d70_85da_cf2637062af4","iCat")</x:f>
      </x:c>
      <x:c r="M10409" s="0" t="s">
        <x:v>21</x:v>
      </x:c>
      <x:c r="N10409" s="0" t="s">
        <x:v>46</x:v>
      </x:c>
    </x:row>
    <x:row r="10410" spans="1:16">
      <x:c r="A10410" s="0" t="s">
        <x:v>41504</x:v>
      </x:c>
      <x:c r="B10410" s="0" t="s">
        <x:v>41505</x:v>
      </x:c>
      <x:c r="C10410" s="0" t="s">
        <x:v>41506</x:v>
      </x:c>
      <x:c r="E10410" s="0" t="s">
        <x:v>41507</x:v>
      </x:c>
      <x:c r="F10410" s="0" t="s">
        <x:v>45</x:v>
      </x:c>
      <x:c r="G10410" s="0" t="s">
        <x:v>19</x:v>
      </x:c>
      <x:c r="H10410" s="0" t="s">
        <x:v>20</x:v>
      </x:c>
      <x:c r="I10410" s="0" t="s">
        <x:v>21</x:v>
      </x:c>
      <x:c r="K10410" s="0">
        <x:f>hyperlink("https://icd.who.int/dev11/l-ichi/en#/http%3A%2F%2Fid.who.int%2Ficd%2Fentity%2F2078016219","browser")</x:f>
      </x:c>
      <x:c r="L10410" s="0">
        <x:f>hyperlink("https://icat2.azurewebsites.net/icat/?ontology=ICD&amp;tab=ClassesTab&amp;id=http%3A%2F%2Fwho.int%2Ficd%2350555_512ebf36_bf6b_4d70_85da_cf2637062af4","iCat")</x:f>
      </x:c>
      <x:c r="M10410" s="0" t="s">
        <x:v>21</x:v>
      </x:c>
      <x:c r="N10410" s="0" t="s">
        <x:v>46</x:v>
      </x:c>
    </x:row>
    <x:row r="10411" spans="1:16">
      <x:c r="A10411" s="0" t="s">
        <x:v>41508</x:v>
      </x:c>
      <x:c r="B10411" s="0" t="s">
        <x:v>41509</x:v>
      </x:c>
      <x:c r="C10411" s="0" t="s">
        <x:v>41510</x:v>
      </x:c>
      <x:c r="E10411" s="0" t="s">
        <x:v>41511</x:v>
      </x:c>
      <x:c r="F10411" s="0" t="s">
        <x:v>45</x:v>
      </x:c>
      <x:c r="G10411" s="0" t="s">
        <x:v>19</x:v>
      </x:c>
      <x:c r="H10411" s="0" t="s">
        <x:v>20</x:v>
      </x:c>
      <x:c r="I10411" s="0" t="s">
        <x:v>21</x:v>
      </x:c>
      <x:c r="K10411" s="0">
        <x:f>hyperlink("https://icd.who.int/dev11/l-ichi/en#/http%3A%2F%2Fid.who.int%2Ficd%2Fentity%2F1274014033","browser")</x:f>
      </x:c>
      <x:c r="L10411" s="0">
        <x:f>hyperlink("https://icat2.azurewebsites.net/icat/?ontology=ICD&amp;tab=ClassesTab&amp;id=http%3A%2F%2Fwho.int%2Ficd%2350562_512ebf36_bf6b_4d70_85da_cf2637062af4","iCat")</x:f>
      </x:c>
      <x:c r="M10411" s="0" t="s">
        <x:v>21</x:v>
      </x:c>
      <x:c r="N10411" s="0" t="s">
        <x:v>46</x:v>
      </x:c>
    </x:row>
    <x:row r="10412" spans="1:16">
      <x:c r="A10412" s="0" t="s">
        <x:v>41512</x:v>
      </x:c>
      <x:c r="B10412" s="0" t="s">
        <x:v>41513</x:v>
      </x:c>
      <x:c r="C10412" s="0" t="s">
        <x:v>41514</x:v>
      </x:c>
      <x:c r="E10412" s="0" t="s">
        <x:v>41515</x:v>
      </x:c>
      <x:c r="F10412" s="0" t="s">
        <x:v>45</x:v>
      </x:c>
      <x:c r="G10412" s="0" t="s">
        <x:v>19</x:v>
      </x:c>
      <x:c r="H10412" s="0" t="s">
        <x:v>20</x:v>
      </x:c>
      <x:c r="I10412" s="0" t="s">
        <x:v>21</x:v>
      </x:c>
      <x:c r="K10412" s="0">
        <x:f>hyperlink("https://icd.who.int/dev11/l-ichi/en#/http%3A%2F%2Fid.who.int%2Ficd%2Fentity%2F1089206269","browser")</x:f>
      </x:c>
      <x:c r="L10412" s="0">
        <x:f>hyperlink("https://icat2.azurewebsites.net/icat/?ontology=ICD&amp;tab=ClassesTab&amp;id=http%3A%2F%2Fwho.int%2Ficd%2350569_512ebf36_bf6b_4d70_85da_cf2637062af4","iCat")</x:f>
      </x:c>
      <x:c r="M10412" s="0" t="s">
        <x:v>21</x:v>
      </x:c>
      <x:c r="N10412" s="0" t="s">
        <x:v>46</x:v>
      </x:c>
    </x:row>
    <x:row r="10413" spans="1:16">
      <x:c r="A10413" s="0" t="s">
        <x:v>41516</x:v>
      </x:c>
      <x:c r="B10413" s="0" t="s">
        <x:v>41517</x:v>
      </x:c>
      <x:c r="C10413" s="0" t="s">
        <x:v>41518</x:v>
      </x:c>
      <x:c r="E10413" s="0" t="s">
        <x:v>41519</x:v>
      </x:c>
      <x:c r="F10413" s="0" t="s">
        <x:v>45</x:v>
      </x:c>
      <x:c r="G10413" s="0" t="s">
        <x:v>19</x:v>
      </x:c>
      <x:c r="H10413" s="0" t="s">
        <x:v>20</x:v>
      </x:c>
      <x:c r="I10413" s="0" t="s">
        <x:v>21</x:v>
      </x:c>
      <x:c r="K10413" s="0">
        <x:f>hyperlink("https://icd.who.int/dev11/l-ichi/en#/http%3A%2F%2Fid.who.int%2Ficd%2Fentity%2F338540658","browser")</x:f>
      </x:c>
      <x:c r="L10413" s="0">
        <x:f>hyperlink("https://icat2.azurewebsites.net/icat/?ontology=ICD&amp;tab=ClassesTab&amp;id=http%3A%2F%2Fwho.int%2Ficd%2350576_512ebf36_bf6b_4d70_85da_cf2637062af4","iCat")</x:f>
      </x:c>
      <x:c r="M10413" s="0" t="s">
        <x:v>21</x:v>
      </x:c>
      <x:c r="N10413" s="0" t="s">
        <x:v>46</x:v>
      </x:c>
    </x:row>
    <x:row r="10414" spans="1:16">
      <x:c r="A10414" s="0" t="s">
        <x:v>41520</x:v>
      </x:c>
      <x:c r="B10414" s="0" t="s">
        <x:v>41521</x:v>
      </x:c>
      <x:c r="C10414" s="0" t="s">
        <x:v>41522</x:v>
      </x:c>
      <x:c r="E10414" s="0" t="s">
        <x:v>41523</x:v>
      </x:c>
      <x:c r="F10414" s="0" t="s">
        <x:v>45</x:v>
      </x:c>
      <x:c r="G10414" s="0" t="s">
        <x:v>19</x:v>
      </x:c>
      <x:c r="H10414" s="0" t="s">
        <x:v>20</x:v>
      </x:c>
      <x:c r="I10414" s="0" t="s">
        <x:v>21</x:v>
      </x:c>
      <x:c r="K10414" s="0">
        <x:f>hyperlink("https://icd.who.int/dev11/l-ichi/en#/http%3A%2F%2Fid.who.int%2Ficd%2Fentity%2F775177444","browser")</x:f>
      </x:c>
      <x:c r="L10414" s="0">
        <x:f>hyperlink("https://icat2.azurewebsites.net/icat/?ontology=ICD&amp;tab=ClassesTab&amp;id=http%3A%2F%2Fwho.int%2Ficd%2350583_512ebf36_bf6b_4d70_85da_cf2637062af4","iCat")</x:f>
      </x:c>
      <x:c r="M10414" s="0" t="s">
        <x:v>21</x:v>
      </x:c>
      <x:c r="N10414" s="0" t="s">
        <x:v>46</x:v>
      </x:c>
    </x:row>
    <x:row r="10415" spans="1:16">
      <x:c r="A10415" s="0" t="s">
        <x:v>41524</x:v>
      </x:c>
      <x:c r="B10415" s="0" t="s">
        <x:v>41525</x:v>
      </x:c>
      <x:c r="C10415" s="0" t="s">
        <x:v>41526</x:v>
      </x:c>
      <x:c r="E10415" s="0" t="s">
        <x:v>41527</x:v>
      </x:c>
      <x:c r="F10415" s="0" t="s">
        <x:v>45</x:v>
      </x:c>
      <x:c r="G10415" s="0" t="s">
        <x:v>19</x:v>
      </x:c>
      <x:c r="H10415" s="0" t="s">
        <x:v>20</x:v>
      </x:c>
      <x:c r="I10415" s="0" t="s">
        <x:v>21</x:v>
      </x:c>
      <x:c r="K10415" s="0">
        <x:f>hyperlink("https://icd.who.int/dev11/l-ichi/en#/http%3A%2F%2Fid.who.int%2Ficd%2Fentity%2F24428108","browser")</x:f>
      </x:c>
      <x:c r="L10415" s="0">
        <x:f>hyperlink("https://icat2.azurewebsites.net/icat/?ontology=ICD&amp;tab=ClassesTab&amp;id=http%3A%2F%2Fwho.int%2Ficd%2350590_512ebf36_bf6b_4d70_85da_cf2637062af4","iCat")</x:f>
      </x:c>
      <x:c r="M10415" s="0" t="s">
        <x:v>21</x:v>
      </x:c>
      <x:c r="N10415" s="0" t="s">
        <x:v>46</x:v>
      </x:c>
    </x:row>
    <x:row r="10416" spans="1:16">
      <x:c r="A10416" s="0" t="s">
        <x:v>41528</x:v>
      </x:c>
      <x:c r="B10416" s="0" t="s">
        <x:v>41529</x:v>
      </x:c>
      <x:c r="C10416" s="0" t="s">
        <x:v>41530</x:v>
      </x:c>
      <x:c r="E10416" s="0" t="s">
        <x:v>41531</x:v>
      </x:c>
      <x:c r="F10416" s="0" t="s">
        <x:v>45</x:v>
      </x:c>
      <x:c r="G10416" s="0" t="s">
        <x:v>19</x:v>
      </x:c>
      <x:c r="H10416" s="0" t="s">
        <x:v>20</x:v>
      </x:c>
      <x:c r="I10416" s="0" t="s">
        <x:v>21</x:v>
      </x:c>
      <x:c r="K10416" s="0">
        <x:f>hyperlink("https://icd.who.int/dev11/l-ichi/en#/http%3A%2F%2Fid.who.int%2Ficd%2Fentity%2F1911952839","browser")</x:f>
      </x:c>
      <x:c r="L10416" s="0">
        <x:f>hyperlink("https://icat2.azurewebsites.net/icat/?ontology=ICD&amp;tab=ClassesTab&amp;id=http%3A%2F%2Fwho.int%2Ficd%2350597_512ebf36_bf6b_4d70_85da_cf2637062af4","iCat")</x:f>
      </x:c>
      <x:c r="M10416" s="0" t="s">
        <x:v>21</x:v>
      </x:c>
      <x:c r="N10416" s="0" t="s">
        <x:v>46</x:v>
      </x:c>
    </x:row>
    <x:row r="10417" spans="1:16">
      <x:c r="A10417" s="0" t="s">
        <x:v>41532</x:v>
      </x:c>
      <x:c r="B10417" s="0" t="s">
        <x:v>41533</x:v>
      </x:c>
      <x:c r="C10417" s="0" t="s">
        <x:v>41534</x:v>
      </x:c>
      <x:c r="E10417" s="0" t="s">
        <x:v>41535</x:v>
      </x:c>
      <x:c r="F10417" s="0" t="s">
        <x:v>45</x:v>
      </x:c>
      <x:c r="G10417" s="0" t="s">
        <x:v>19</x:v>
      </x:c>
      <x:c r="H10417" s="0" t="s">
        <x:v>20</x:v>
      </x:c>
      <x:c r="I10417" s="0" t="s">
        <x:v>21</x:v>
      </x:c>
      <x:c r="K10417" s="0">
        <x:f>hyperlink("https://icd.who.int/dev11/l-ichi/en#/http%3A%2F%2Fid.who.int%2Ficd%2Fentity%2F551027444","browser")</x:f>
      </x:c>
      <x:c r="L10417" s="0">
        <x:f>hyperlink("https://icat2.azurewebsites.net/icat/?ontology=ICD&amp;tab=ClassesTab&amp;id=http%3A%2F%2Fwho.int%2Ficd%2350604_512ebf36_bf6b_4d70_85da_cf2637062af4","iCat")</x:f>
      </x:c>
      <x:c r="M10417" s="0" t="s">
        <x:v>21</x:v>
      </x:c>
      <x:c r="N10417" s="0" t="s">
        <x:v>46</x:v>
      </x:c>
    </x:row>
    <x:row r="10418" spans="1:16">
      <x:c r="A10418" s="0" t="s">
        <x:v>41536</x:v>
      </x:c>
      <x:c r="B10418" s="0" t="s">
        <x:v>41537</x:v>
      </x:c>
      <x:c r="C10418" s="0" t="s">
        <x:v>41538</x:v>
      </x:c>
      <x:c r="E10418" s="0" t="s">
        <x:v>41539</x:v>
      </x:c>
      <x:c r="F10418" s="0" t="s">
        <x:v>45</x:v>
      </x:c>
      <x:c r="G10418" s="0" t="s">
        <x:v>19</x:v>
      </x:c>
      <x:c r="H10418" s="0" t="s">
        <x:v>20</x:v>
      </x:c>
      <x:c r="I10418" s="0" t="s">
        <x:v>21</x:v>
      </x:c>
      <x:c r="K10418" s="0">
        <x:f>hyperlink("https://icd.who.int/dev11/l-ichi/en#/http%3A%2F%2Fid.who.int%2Ficd%2Fentity%2F1608720875","browser")</x:f>
      </x:c>
      <x:c r="L10418" s="0">
        <x:f>hyperlink("https://icat2.azurewebsites.net/icat/?ontology=ICD&amp;tab=ClassesTab&amp;id=http%3A%2F%2Fwho.int%2Ficd%2350611_512ebf36_bf6b_4d70_85da_cf2637062af4","iCat")</x:f>
      </x:c>
      <x:c r="M10418" s="0" t="s">
        <x:v>21</x:v>
      </x:c>
      <x:c r="N10418" s="0" t="s">
        <x:v>46</x:v>
      </x:c>
    </x:row>
    <x:row r="10419" spans="1:16">
      <x:c r="A10419" s="0" t="s">
        <x:v>41540</x:v>
      </x:c>
      <x:c r="B10419" s="0" t="s">
        <x:v>41541</x:v>
      </x:c>
      <x:c r="C10419" s="0" t="s">
        <x:v>41542</x:v>
      </x:c>
      <x:c r="E10419" s="0" t="s">
        <x:v>41543</x:v>
      </x:c>
      <x:c r="F10419" s="0" t="s">
        <x:v>45</x:v>
      </x:c>
      <x:c r="G10419" s="0" t="s">
        <x:v>19</x:v>
      </x:c>
      <x:c r="H10419" s="0" t="s">
        <x:v>20</x:v>
      </x:c>
      <x:c r="I10419" s="0" t="s">
        <x:v>21</x:v>
      </x:c>
      <x:c r="K10419" s="0">
        <x:f>hyperlink("https://icd.who.int/dev11/l-ichi/en#/http%3A%2F%2Fid.who.int%2Ficd%2Fentity%2F832250500","browser")</x:f>
      </x:c>
      <x:c r="L10419" s="0">
        <x:f>hyperlink("https://icat2.azurewebsites.net/icat/?ontology=ICD&amp;tab=ClassesTab&amp;id=http%3A%2F%2Fwho.int%2Ficd%2350618_512ebf36_bf6b_4d70_85da_cf2637062af4","iCat")</x:f>
      </x:c>
      <x:c r="M10419" s="0" t="s">
        <x:v>21</x:v>
      </x:c>
      <x:c r="N10419" s="0" t="s">
        <x:v>46</x:v>
      </x:c>
    </x:row>
    <x:row r="10420" spans="1:16">
      <x:c r="A10420" s="0" t="s">
        <x:v>41544</x:v>
      </x:c>
      <x:c r="B10420" s="0" t="s">
        <x:v>41545</x:v>
      </x:c>
      <x:c r="C10420" s="0" t="s">
        <x:v>41546</x:v>
      </x:c>
      <x:c r="E10420" s="0" t="s">
        <x:v>41547</x:v>
      </x:c>
      <x:c r="F10420" s="0" t="s">
        <x:v>45</x:v>
      </x:c>
      <x:c r="G10420" s="0" t="s">
        <x:v>19</x:v>
      </x:c>
      <x:c r="H10420" s="0" t="s">
        <x:v>20</x:v>
      </x:c>
      <x:c r="I10420" s="0" t="s">
        <x:v>21</x:v>
      </x:c>
      <x:c r="K10420" s="0">
        <x:f>hyperlink("https://icd.who.int/dev11/l-ichi/en#/http%3A%2F%2Fid.who.int%2Ficd%2Fentity%2F710256024","browser")</x:f>
      </x:c>
      <x:c r="L10420" s="0">
        <x:f>hyperlink("https://icat2.azurewebsites.net/icat/?ontology=ICD&amp;tab=ClassesTab&amp;id=http%3A%2F%2Fwho.int%2Ficd%2350625_512ebf36_bf6b_4d70_85da_cf2637062af4","iCat")</x:f>
      </x:c>
      <x:c r="M10420" s="0" t="s">
        <x:v>21</x:v>
      </x:c>
      <x:c r="N10420" s="0" t="s">
        <x:v>46</x:v>
      </x:c>
    </x:row>
    <x:row r="10421" spans="1:16">
      <x:c r="A10421" s="0" t="s">
        <x:v>41548</x:v>
      </x:c>
      <x:c r="B10421" s="0" t="s">
        <x:v>41549</x:v>
      </x:c>
      <x:c r="C10421" s="0" t="s">
        <x:v>41550</x:v>
      </x:c>
      <x:c r="E10421" s="0" t="s">
        <x:v>41551</x:v>
      </x:c>
      <x:c r="F10421" s="0" t="s">
        <x:v>45</x:v>
      </x:c>
      <x:c r="G10421" s="0" t="s">
        <x:v>19</x:v>
      </x:c>
      <x:c r="H10421" s="0" t="s">
        <x:v>20</x:v>
      </x:c>
      <x:c r="I10421" s="0" t="s">
        <x:v>21</x:v>
      </x:c>
      <x:c r="K10421" s="0">
        <x:f>hyperlink("https://icd.who.int/dev11/l-ichi/en#/http%3A%2F%2Fid.who.int%2Ficd%2Fentity%2F1559403371","browser")</x:f>
      </x:c>
      <x:c r="L10421" s="0">
        <x:f>hyperlink("https://icat2.azurewebsites.net/icat/?ontology=ICD&amp;tab=ClassesTab&amp;id=http%3A%2F%2Fwho.int%2Ficd%235325_d85a204c_d00a_4566_a3b7_2d137a1891cf","iCat")</x:f>
      </x:c>
      <x:c r="M10421" s="0" t="s">
        <x:v>21</x:v>
      </x:c>
      <x:c r="N10421" s="0" t="s">
        <x:v>46</x:v>
      </x:c>
    </x:row>
    <x:row r="10422" spans="1:16">
      <x:c r="A10422" s="0" t="s">
        <x:v>41552</x:v>
      </x:c>
      <x:c r="B10422" s="0" t="s">
        <x:v>41553</x:v>
      </x:c>
      <x:c r="C10422" s="0" t="s">
        <x:v>41554</x:v>
      </x:c>
      <x:c r="E10422" s="0" t="s">
        <x:v>41555</x:v>
      </x:c>
      <x:c r="F10422" s="0" t="s">
        <x:v>45</x:v>
      </x:c>
      <x:c r="G10422" s="0" t="s">
        <x:v>19</x:v>
      </x:c>
      <x:c r="H10422" s="0" t="s">
        <x:v>20</x:v>
      </x:c>
      <x:c r="I10422" s="0" t="s">
        <x:v>21</x:v>
      </x:c>
      <x:c r="K10422" s="0">
        <x:f>hyperlink("https://icd.who.int/dev11/l-ichi/en#/http%3A%2F%2Fid.who.int%2Ficd%2Fentity%2F53529162","browser")</x:f>
      </x:c>
      <x:c r="L10422" s="0">
        <x:f>hyperlink("https://icat2.azurewebsites.net/icat/?ontology=ICD&amp;tab=ClassesTab&amp;id=http%3A%2F%2Fwho.int%2Ficd%235331_d85a204c_d00a_4566_a3b7_2d137a1891cf","iCat")</x:f>
      </x:c>
      <x:c r="M10422" s="0" t="s">
        <x:v>21</x:v>
      </x:c>
      <x:c r="N10422" s="0" t="s">
        <x:v>46</x:v>
      </x:c>
    </x:row>
    <x:row r="10423" spans="1:16">
      <x:c r="A10423" s="0" t="s">
        <x:v>41556</x:v>
      </x:c>
      <x:c r="B10423" s="0" t="s">
        <x:v>41557</x:v>
      </x:c>
      <x:c r="C10423" s="0" t="s">
        <x:v>41558</x:v>
      </x:c>
      <x:c r="E10423" s="0" t="s">
        <x:v>41559</x:v>
      </x:c>
      <x:c r="F10423" s="0" t="s">
        <x:v>45</x:v>
      </x:c>
      <x:c r="G10423" s="0" t="s">
        <x:v>19</x:v>
      </x:c>
      <x:c r="H10423" s="0" t="s">
        <x:v>20</x:v>
      </x:c>
      <x:c r="I10423" s="0" t="s">
        <x:v>21</x:v>
      </x:c>
      <x:c r="K10423" s="0">
        <x:f>hyperlink("https://icd.who.int/dev11/l-ichi/en#/http%3A%2F%2Fid.who.int%2Ficd%2Fentity%2F283896192","browser")</x:f>
      </x:c>
      <x:c r="L10423" s="0">
        <x:f>hyperlink("https://icat2.azurewebsites.net/icat/?ontology=ICD&amp;tab=ClassesTab&amp;id=http%3A%2F%2Fwho.int%2Ficd%2350633_512ebf36_bf6b_4d70_85da_cf2637062af4","iCat")</x:f>
      </x:c>
      <x:c r="M10423" s="0" t="s">
        <x:v>21</x:v>
      </x:c>
      <x:c r="N10423" s="0" t="s">
        <x:v>46</x:v>
      </x:c>
    </x:row>
    <x:row r="10424" spans="1:16">
      <x:c r="A10424" s="0" t="s">
        <x:v>41560</x:v>
      </x:c>
      <x:c r="B10424" s="0" t="s">
        <x:v>41561</x:v>
      </x:c>
      <x:c r="C10424" s="0" t="s">
        <x:v>41562</x:v>
      </x:c>
      <x:c r="E10424" s="0" t="s">
        <x:v>41563</x:v>
      </x:c>
      <x:c r="F10424" s="0" t="s">
        <x:v>45</x:v>
      </x:c>
      <x:c r="G10424" s="0" t="s">
        <x:v>19</x:v>
      </x:c>
      <x:c r="H10424" s="0" t="s">
        <x:v>20</x:v>
      </x:c>
      <x:c r="I10424" s="0" t="s">
        <x:v>21</x:v>
      </x:c>
      <x:c r="K10424" s="0">
        <x:f>hyperlink("https://icd.who.int/dev11/l-ichi/en#/http%3A%2F%2Fid.who.int%2Ficd%2Fentity%2F1706595741","browser")</x:f>
      </x:c>
      <x:c r="L10424" s="0">
        <x:f>hyperlink("https://icat2.azurewebsites.net/icat/?ontology=ICD&amp;tab=ClassesTab&amp;id=http%3A%2F%2Fwho.int%2Ficd%2350640_512ebf36_bf6b_4d70_85da_cf2637062af4","iCat")</x:f>
      </x:c>
      <x:c r="M10424" s="0" t="s">
        <x:v>21</x:v>
      </x:c>
      <x:c r="N10424" s="0" t="s">
        <x:v>46</x:v>
      </x:c>
    </x:row>
    <x:row r="10425" spans="1:16">
      <x:c r="A10425" s="0" t="s">
        <x:v>41564</x:v>
      </x:c>
      <x:c r="B10425" s="0" t="s">
        <x:v>41565</x:v>
      </x:c>
      <x:c r="C10425" s="0" t="s">
        <x:v>41566</x:v>
      </x:c>
      <x:c r="E10425" s="0" t="s">
        <x:v>41567</x:v>
      </x:c>
      <x:c r="F10425" s="0" t="s">
        <x:v>45</x:v>
      </x:c>
      <x:c r="G10425" s="0" t="s">
        <x:v>19</x:v>
      </x:c>
      <x:c r="H10425" s="0" t="s">
        <x:v>20</x:v>
      </x:c>
      <x:c r="I10425" s="0" t="s">
        <x:v>21</x:v>
      </x:c>
      <x:c r="K10425" s="0">
        <x:f>hyperlink("https://icd.who.int/dev11/l-ichi/en#/http%3A%2F%2Fid.who.int%2Ficd%2Fentity%2F1654842898","browser")</x:f>
      </x:c>
      <x:c r="L10425" s="0">
        <x:f>hyperlink("https://icat2.azurewebsites.net/icat/?ontology=ICD&amp;tab=ClassesTab&amp;id=http%3A%2F%2Fwho.int%2Ficd%23587_e87d5413_a3ef_41e3_b1c4_bdb20d4d591d","iCat")</x:f>
      </x:c>
      <x:c r="M10425" s="0" t="s">
        <x:v>21</x:v>
      </x:c>
      <x:c r="N10425" s="0" t="s">
        <x:v>46</x:v>
      </x:c>
    </x:row>
    <x:row r="10426" spans="1:16">
      <x:c r="A10426" s="0" t="s">
        <x:v>41568</x:v>
      </x:c>
      <x:c r="B10426" s="0" t="s">
        <x:v>41569</x:v>
      </x:c>
      <x:c r="C10426" s="0" t="s">
        <x:v>41570</x:v>
      </x:c>
      <x:c r="E10426" s="0" t="s">
        <x:v>41571</x:v>
      </x:c>
      <x:c r="F10426" s="0" t="s">
        <x:v>45</x:v>
      </x:c>
      <x:c r="G10426" s="0" t="s">
        <x:v>19</x:v>
      </x:c>
      <x:c r="H10426" s="0" t="s">
        <x:v>20</x:v>
      </x:c>
      <x:c r="I10426" s="0" t="s">
        <x:v>21</x:v>
      </x:c>
      <x:c r="K10426" s="0">
        <x:f>hyperlink("https://icd.who.int/dev11/l-ichi/en#/http%3A%2F%2Fid.who.int%2Ficd%2Fentity%2F356138514","browser")</x:f>
      </x:c>
      <x:c r="L10426" s="0">
        <x:f>hyperlink("https://icat2.azurewebsites.net/icat/?ontology=ICD&amp;tab=ClassesTab&amp;id=http%3A%2F%2Fwho.int%2Ficd%2350647_512ebf36_bf6b_4d70_85da_cf2637062af4","iCat")</x:f>
      </x:c>
      <x:c r="M10426" s="0" t="s">
        <x:v>21</x:v>
      </x:c>
      <x:c r="N10426" s="0" t="s">
        <x:v>46</x:v>
      </x:c>
    </x:row>
    <x:row r="10427" spans="1:16">
      <x:c r="A10427" s="0" t="s">
        <x:v>41572</x:v>
      </x:c>
      <x:c r="B10427" s="0" t="s">
        <x:v>41573</x:v>
      </x:c>
      <x:c r="C10427" s="0" t="s">
        <x:v>41574</x:v>
      </x:c>
      <x:c r="E10427" s="0" t="s">
        <x:v>41575</x:v>
      </x:c>
      <x:c r="F10427" s="0" t="s">
        <x:v>45</x:v>
      </x:c>
      <x:c r="G10427" s="0" t="s">
        <x:v>19</x:v>
      </x:c>
      <x:c r="H10427" s="0" t="s">
        <x:v>20</x:v>
      </x:c>
      <x:c r="I10427" s="0" t="s">
        <x:v>21</x:v>
      </x:c>
      <x:c r="K10427" s="0">
        <x:f>hyperlink("https://icd.who.int/dev11/l-ichi/en#/http%3A%2F%2Fid.who.int%2Ficd%2Fentity%2F981124286","browser")</x:f>
      </x:c>
      <x:c r="L10427" s="0">
        <x:f>hyperlink("https://icat2.azurewebsites.net/icat/?ontology=ICD&amp;tab=ClassesTab&amp;id=http%3A%2F%2Fwho.int%2Ficd%2350654_512ebf36_bf6b_4d70_85da_cf2637062af4","iCat")</x:f>
      </x:c>
      <x:c r="M10427" s="0" t="s">
        <x:v>21</x:v>
      </x:c>
      <x:c r="N10427" s="0" t="s">
        <x:v>46</x:v>
      </x:c>
    </x:row>
    <x:row r="10428" spans="1:16">
      <x:c r="A10428" s="0" t="s">
        <x:v>41576</x:v>
      </x:c>
      <x:c r="B10428" s="0" t="s">
        <x:v>41577</x:v>
      </x:c>
      <x:c r="C10428" s="0" t="s">
        <x:v>41578</x:v>
      </x:c>
      <x:c r="E10428" s="0" t="s">
        <x:v>41579</x:v>
      </x:c>
      <x:c r="F10428" s="0" t="s">
        <x:v>45</x:v>
      </x:c>
      <x:c r="G10428" s="0" t="s">
        <x:v>19</x:v>
      </x:c>
      <x:c r="H10428" s="0" t="s">
        <x:v>20</x:v>
      </x:c>
      <x:c r="I10428" s="0" t="s">
        <x:v>21</x:v>
      </x:c>
      <x:c r="K10428" s="0">
        <x:f>hyperlink("https://icd.who.int/dev11/l-ichi/en#/http%3A%2F%2Fid.who.int%2Ficd%2Fentity%2F1865757425","browser")</x:f>
      </x:c>
      <x:c r="L10428" s="0">
        <x:f>hyperlink("https://icat2.azurewebsites.net/icat/?ontology=ICD&amp;tab=ClassesTab&amp;id=http%3A%2F%2Fwho.int%2Ficd%2350661_512ebf36_bf6b_4d70_85da_cf2637062af4","iCat")</x:f>
      </x:c>
      <x:c r="M10428" s="0" t="s">
        <x:v>21</x:v>
      </x:c>
      <x:c r="N10428" s="0" t="s">
        <x:v>46</x:v>
      </x:c>
    </x:row>
    <x:row r="10429" spans="1:16">
      <x:c r="A10429" s="0" t="s">
        <x:v>41580</x:v>
      </x:c>
      <x:c r="B10429" s="0" t="s">
        <x:v>41581</x:v>
      </x:c>
      <x:c r="C10429" s="0" t="s">
        <x:v>41582</x:v>
      </x:c>
      <x:c r="E10429" s="0" t="s">
        <x:v>41583</x:v>
      </x:c>
      <x:c r="F10429" s="0" t="s">
        <x:v>45</x:v>
      </x:c>
      <x:c r="G10429" s="0" t="s">
        <x:v>19</x:v>
      </x:c>
      <x:c r="H10429" s="0" t="s">
        <x:v>20</x:v>
      </x:c>
      <x:c r="I10429" s="0" t="s">
        <x:v>21</x:v>
      </x:c>
      <x:c r="K10429" s="0">
        <x:f>hyperlink("https://icd.who.int/dev11/l-ichi/en#/http%3A%2F%2Fid.who.int%2Ficd%2Fentity%2F21836184","browser")</x:f>
      </x:c>
      <x:c r="L10429" s="0">
        <x:f>hyperlink("https://icat2.azurewebsites.net/icat/?ontology=ICD&amp;tab=ClassesTab&amp;id=http%3A%2F%2Fwho.int%2Ficd%2350668_512ebf36_bf6b_4d70_85da_cf2637062af4","iCat")</x:f>
      </x:c>
      <x:c r="M10429" s="0" t="s">
        <x:v>21</x:v>
      </x:c>
      <x:c r="N10429" s="0" t="s">
        <x:v>46</x:v>
      </x:c>
    </x:row>
    <x:row r="10430" spans="1:16">
      <x:c r="A10430" s="0" t="s">
        <x:v>41584</x:v>
      </x:c>
      <x:c r="B10430" s="0" t="s">
        <x:v>41585</x:v>
      </x:c>
      <x:c r="C10430" s="0" t="s">
        <x:v>41586</x:v>
      </x:c>
      <x:c r="E10430" s="0" t="s">
        <x:v>41587</x:v>
      </x:c>
      <x:c r="F10430" s="0" t="s">
        <x:v>45</x:v>
      </x:c>
      <x:c r="G10430" s="0" t="s">
        <x:v>19</x:v>
      </x:c>
      <x:c r="H10430" s="0" t="s">
        <x:v>20</x:v>
      </x:c>
      <x:c r="I10430" s="0" t="s">
        <x:v>21</x:v>
      </x:c>
      <x:c r="K10430" s="0">
        <x:f>hyperlink("https://icd.who.int/dev11/l-ichi/en#/http%3A%2F%2Fid.who.int%2Ficd%2Fentity%2F821519314","browser")</x:f>
      </x:c>
      <x:c r="L10430" s="0">
        <x:f>hyperlink("https://icat2.azurewebsites.net/icat/?ontology=ICD&amp;tab=ClassesTab&amp;id=http%3A%2F%2Fwho.int%2Ficd%2350675_512ebf36_bf6b_4d70_85da_cf2637062af4","iCat")</x:f>
      </x:c>
      <x:c r="M10430" s="0" t="s">
        <x:v>21</x:v>
      </x:c>
      <x:c r="N10430" s="0" t="s">
        <x:v>46</x:v>
      </x:c>
    </x:row>
    <x:row r="10431" spans="1:16">
      <x:c r="A10431" s="0" t="s">
        <x:v>41588</x:v>
      </x:c>
      <x:c r="B10431" s="0" t="s">
        <x:v>41589</x:v>
      </x:c>
      <x:c r="C10431" s="0" t="s">
        <x:v>41590</x:v>
      </x:c>
      <x:c r="E10431" s="0" t="s">
        <x:v>41591</x:v>
      </x:c>
      <x:c r="F10431" s="0" t="s">
        <x:v>45</x:v>
      </x:c>
      <x:c r="G10431" s="0" t="s">
        <x:v>19</x:v>
      </x:c>
      <x:c r="H10431" s="0" t="s">
        <x:v>20</x:v>
      </x:c>
      <x:c r="I10431" s="0" t="s">
        <x:v>21</x:v>
      </x:c>
      <x:c r="K10431" s="0">
        <x:f>hyperlink("https://icd.who.int/dev11/l-ichi/en#/http%3A%2F%2Fid.who.int%2Ficd%2Fentity%2F1871872641","browser")</x:f>
      </x:c>
      <x:c r="L10431" s="0">
        <x:f>hyperlink("https://icat2.azurewebsites.net/icat/?ontology=ICD&amp;tab=ClassesTab&amp;id=http%3A%2F%2Fwho.int%2Ficd%2350682_512ebf36_bf6b_4d70_85da_cf2637062af4","iCat")</x:f>
      </x:c>
      <x:c r="M10431" s="0" t="s">
        <x:v>21</x:v>
      </x:c>
      <x:c r="N10431" s="0" t="s">
        <x:v>46</x:v>
      </x:c>
    </x:row>
    <x:row r="10432" spans="1:16">
      <x:c r="A10432" s="0" t="s">
        <x:v>41592</x:v>
      </x:c>
      <x:c r="B10432" s="0" t="s">
        <x:v>41593</x:v>
      </x:c>
      <x:c r="C10432" s="0" t="s">
        <x:v>41594</x:v>
      </x:c>
      <x:c r="E10432" s="0" t="s">
        <x:v>41595</x:v>
      </x:c>
      <x:c r="F10432" s="0" t="s">
        <x:v>45</x:v>
      </x:c>
      <x:c r="G10432" s="0" t="s">
        <x:v>19</x:v>
      </x:c>
      <x:c r="H10432" s="0" t="s">
        <x:v>20</x:v>
      </x:c>
      <x:c r="I10432" s="0" t="s">
        <x:v>21</x:v>
      </x:c>
      <x:c r="K10432" s="0">
        <x:f>hyperlink("https://icd.who.int/dev11/l-ichi/en#/http%3A%2F%2Fid.who.int%2Ficd%2Fentity%2F1687591981","browser")</x:f>
      </x:c>
      <x:c r="L10432" s="0">
        <x:f>hyperlink("https://icat2.azurewebsites.net/icat/?ontology=ICD&amp;tab=ClassesTab&amp;id=http%3A%2F%2Fwho.int%2Ficd%2350689_512ebf36_bf6b_4d70_85da_cf2637062af4","iCat")</x:f>
      </x:c>
      <x:c r="M10432" s="0" t="s">
        <x:v>21</x:v>
      </x:c>
      <x:c r="N10432" s="0" t="s">
        <x:v>46</x:v>
      </x:c>
    </x:row>
    <x:row r="10433" spans="1:16">
      <x:c r="A10433" s="0" t="s">
        <x:v>41596</x:v>
      </x:c>
      <x:c r="B10433" s="0" t="s">
        <x:v>41597</x:v>
      </x:c>
      <x:c r="C10433" s="0" t="s">
        <x:v>41598</x:v>
      </x:c>
      <x:c r="E10433" s="0" t="s">
        <x:v>41599</x:v>
      </x:c>
      <x:c r="F10433" s="0" t="s">
        <x:v>45</x:v>
      </x:c>
      <x:c r="G10433" s="0" t="s">
        <x:v>19</x:v>
      </x:c>
      <x:c r="H10433" s="0" t="s">
        <x:v>20</x:v>
      </x:c>
      <x:c r="I10433" s="0" t="s">
        <x:v>21</x:v>
      </x:c>
      <x:c r="K10433" s="0">
        <x:f>hyperlink("https://icd.who.int/dev11/l-ichi/en#/http%3A%2F%2Fid.who.int%2Ficd%2Fentity%2F810603428","browser")</x:f>
      </x:c>
      <x:c r="L10433" s="0">
        <x:f>hyperlink("https://icat2.azurewebsites.net/icat/?ontology=ICD&amp;tab=ClassesTab&amp;id=http%3A%2F%2Fwho.int%2Ficd%2350696_512ebf36_bf6b_4d70_85da_cf2637062af4","iCat")</x:f>
      </x:c>
      <x:c r="M10433" s="0" t="s">
        <x:v>21</x:v>
      </x:c>
      <x:c r="N10433" s="0" t="s">
        <x:v>46</x:v>
      </x:c>
    </x:row>
    <x:row r="10434" spans="1:16">
      <x:c r="A10434" s="0" t="s">
        <x:v>41600</x:v>
      </x:c>
      <x:c r="B10434" s="0" t="s">
        <x:v>41601</x:v>
      </x:c>
      <x:c r="C10434" s="0" t="s">
        <x:v>41602</x:v>
      </x:c>
      <x:c r="E10434" s="0" t="s">
        <x:v>41603</x:v>
      </x:c>
      <x:c r="F10434" s="0" t="s">
        <x:v>45</x:v>
      </x:c>
      <x:c r="G10434" s="0" t="s">
        <x:v>19</x:v>
      </x:c>
      <x:c r="H10434" s="0" t="s">
        <x:v>20</x:v>
      </x:c>
      <x:c r="I10434" s="0" t="s">
        <x:v>21</x:v>
      </x:c>
      <x:c r="K10434" s="0">
        <x:f>hyperlink("https://icd.who.int/dev11/l-ichi/en#/http%3A%2F%2Fid.who.int%2Ficd%2Fentity%2F633696228","browser")</x:f>
      </x:c>
      <x:c r="L10434" s="0">
        <x:f>hyperlink("https://icat2.azurewebsites.net/icat/?ontology=ICD&amp;tab=ClassesTab&amp;id=http%3A%2F%2Fwho.int%2Ficd%2350703_512ebf36_bf6b_4d70_85da_cf2637062af4","iCat")</x:f>
      </x:c>
      <x:c r="M10434" s="0" t="s">
        <x:v>21</x:v>
      </x:c>
      <x:c r="N10434" s="0" t="s">
        <x:v>46</x:v>
      </x:c>
    </x:row>
    <x:row r="10435" spans="1:16">
      <x:c r="A10435" s="0" t="s">
        <x:v>41604</x:v>
      </x:c>
      <x:c r="B10435" s="0" t="s">
        <x:v>41605</x:v>
      </x:c>
      <x:c r="C10435" s="0" t="s">
        <x:v>41606</x:v>
      </x:c>
      <x:c r="E10435" s="0" t="s">
        <x:v>41607</x:v>
      </x:c>
      <x:c r="F10435" s="0" t="s">
        <x:v>45</x:v>
      </x:c>
      <x:c r="G10435" s="0" t="s">
        <x:v>19</x:v>
      </x:c>
      <x:c r="H10435" s="0" t="s">
        <x:v>20</x:v>
      </x:c>
      <x:c r="I10435" s="0" t="s">
        <x:v>21</x:v>
      </x:c>
      <x:c r="K10435" s="0">
        <x:f>hyperlink("https://icd.who.int/dev11/l-ichi/en#/http%3A%2F%2Fid.who.int%2Ficd%2Fentity%2F176526668","browser")</x:f>
      </x:c>
      <x:c r="L10435" s="0">
        <x:f>hyperlink("https://icat2.azurewebsites.net/icat/?ontology=ICD&amp;tab=ClassesTab&amp;id=http%3A%2F%2Fwho.int%2Ficd%2350710_512ebf36_bf6b_4d70_85da_cf2637062af4","iCat")</x:f>
      </x:c>
      <x:c r="M10435" s="0" t="s">
        <x:v>21</x:v>
      </x:c>
      <x:c r="N10435" s="0" t="s">
        <x:v>46</x:v>
      </x:c>
    </x:row>
    <x:row r="10436" spans="1:16">
      <x:c r="A10436" s="0" t="s">
        <x:v>41608</x:v>
      </x:c>
      <x:c r="B10436" s="0" t="s">
        <x:v>41609</x:v>
      </x:c>
      <x:c r="C10436" s="0" t="s">
        <x:v>41610</x:v>
      </x:c>
      <x:c r="E10436" s="0" t="s">
        <x:v>41611</x:v>
      </x:c>
      <x:c r="F10436" s="0" t="s">
        <x:v>45</x:v>
      </x:c>
      <x:c r="G10436" s="0" t="s">
        <x:v>19</x:v>
      </x:c>
      <x:c r="H10436" s="0" t="s">
        <x:v>20</x:v>
      </x:c>
      <x:c r="I10436" s="0" t="s">
        <x:v>21</x:v>
      </x:c>
      <x:c r="K10436" s="0">
        <x:f>hyperlink("https://icd.who.int/dev11/l-ichi/en#/http%3A%2F%2Fid.who.int%2Ficd%2Fentity%2F2047295175","browser")</x:f>
      </x:c>
      <x:c r="L10436" s="0">
        <x:f>hyperlink("https://icat2.azurewebsites.net/icat/?ontology=ICD&amp;tab=ClassesTab&amp;id=http%3A%2F%2Fwho.int%2Ficd%2350717_512ebf36_bf6b_4d70_85da_cf2637062af4","iCat")</x:f>
      </x:c>
      <x:c r="M10436" s="0" t="s">
        <x:v>21</x:v>
      </x:c>
      <x:c r="N10436" s="0" t="s">
        <x:v>46</x:v>
      </x:c>
    </x:row>
    <x:row r="10437" spans="1:16">
      <x:c r="A10437" s="0" t="s">
        <x:v>41612</x:v>
      </x:c>
      <x:c r="B10437" s="0" t="s">
        <x:v>41613</x:v>
      </x:c>
      <x:c r="C10437" s="0" t="s">
        <x:v>41614</x:v>
      </x:c>
      <x:c r="E10437" s="0" t="s">
        <x:v>41615</x:v>
      </x:c>
      <x:c r="F10437" s="0" t="s">
        <x:v>45</x:v>
      </x:c>
      <x:c r="G10437" s="0" t="s">
        <x:v>19</x:v>
      </x:c>
      <x:c r="H10437" s="0" t="s">
        <x:v>20</x:v>
      </x:c>
      <x:c r="I10437" s="0" t="s">
        <x:v>21</x:v>
      </x:c>
      <x:c r="K10437" s="0">
        <x:f>hyperlink("https://icd.who.int/dev11/l-ichi/en#/http%3A%2F%2Fid.who.int%2Ficd%2Fentity%2F2134053177","browser")</x:f>
      </x:c>
      <x:c r="L10437" s="0">
        <x:f>hyperlink("https://icat2.azurewebsites.net/icat/?ontology=ICD&amp;tab=ClassesTab&amp;id=http%3A%2F%2Fwho.int%2Ficd%2350724_512ebf36_bf6b_4d70_85da_cf2637062af4","iCat")</x:f>
      </x:c>
      <x:c r="M10437" s="0" t="s">
        <x:v>21</x:v>
      </x:c>
      <x:c r="N10437" s="0" t="s">
        <x:v>46</x:v>
      </x:c>
    </x:row>
    <x:row r="10438" spans="1:16">
      <x:c r="A10438" s="0" t="s">
        <x:v>41616</x:v>
      </x:c>
      <x:c r="B10438" s="0" t="s">
        <x:v>41617</x:v>
      </x:c>
      <x:c r="C10438" s="0" t="s">
        <x:v>41618</x:v>
      </x:c>
      <x:c r="E10438" s="0" t="s">
        <x:v>41619</x:v>
      </x:c>
      <x:c r="F10438" s="0" t="s">
        <x:v>45</x:v>
      </x:c>
      <x:c r="G10438" s="0" t="s">
        <x:v>19</x:v>
      </x:c>
      <x:c r="H10438" s="0" t="s">
        <x:v>20</x:v>
      </x:c>
      <x:c r="I10438" s="0" t="s">
        <x:v>21</x:v>
      </x:c>
      <x:c r="K10438" s="0">
        <x:f>hyperlink("https://icd.who.int/dev11/l-ichi/en#/http%3A%2F%2Fid.who.int%2Ficd%2Fentity%2F1166892511","browser")</x:f>
      </x:c>
      <x:c r="L10438" s="0">
        <x:f>hyperlink("https://icat2.azurewebsites.net/icat/?ontology=ICD&amp;tab=ClassesTab&amp;id=http%3A%2F%2Fwho.int%2Ficd%2350732_512ebf36_bf6b_4d70_85da_cf2637062af4","iCat")</x:f>
      </x:c>
      <x:c r="M10438" s="0" t="s">
        <x:v>21</x:v>
      </x:c>
      <x:c r="N10438" s="0" t="s">
        <x:v>46</x:v>
      </x:c>
    </x:row>
    <x:row r="10439" spans="1:16">
      <x:c r="A10439" s="0" t="s">
        <x:v>41620</x:v>
      </x:c>
      <x:c r="B10439" s="0" t="s">
        <x:v>41621</x:v>
      </x:c>
      <x:c r="C10439" s="0" t="s">
        <x:v>41622</x:v>
      </x:c>
      <x:c r="E10439" s="0" t="s">
        <x:v>41623</x:v>
      </x:c>
      <x:c r="F10439" s="0" t="s">
        <x:v>45</x:v>
      </x:c>
      <x:c r="G10439" s="0" t="s">
        <x:v>19</x:v>
      </x:c>
      <x:c r="H10439" s="0" t="s">
        <x:v>20</x:v>
      </x:c>
      <x:c r="I10439" s="0" t="s">
        <x:v>21</x:v>
      </x:c>
      <x:c r="K10439" s="0">
        <x:f>hyperlink("https://icd.who.int/dev11/l-ichi/en#/http%3A%2F%2Fid.who.int%2Ficd%2Fentity%2F1317618547","browser")</x:f>
      </x:c>
      <x:c r="L10439" s="0">
        <x:f>hyperlink("https://icat2.azurewebsites.net/icat/?ontology=ICD&amp;tab=ClassesTab&amp;id=http%3A%2F%2Fwho.int%2Ficd%2350739_512ebf36_bf6b_4d70_85da_cf2637062af4","iCat")</x:f>
      </x:c>
      <x:c r="M10439" s="0" t="s">
        <x:v>21</x:v>
      </x:c>
      <x:c r="N10439" s="0" t="s">
        <x:v>46</x:v>
      </x:c>
    </x:row>
    <x:row r="10440" spans="1:16">
      <x:c r="A10440" s="0" t="s">
        <x:v>41624</x:v>
      </x:c>
      <x:c r="B10440" s="0" t="s">
        <x:v>41625</x:v>
      </x:c>
      <x:c r="C10440" s="0" t="s">
        <x:v>41626</x:v>
      </x:c>
      <x:c r="E10440" s="0" t="s">
        <x:v>41627</x:v>
      </x:c>
      <x:c r="F10440" s="0" t="s">
        <x:v>45</x:v>
      </x:c>
      <x:c r="G10440" s="0" t="s">
        <x:v>19</x:v>
      </x:c>
      <x:c r="H10440" s="0" t="s">
        <x:v>20</x:v>
      </x:c>
      <x:c r="I10440" s="0" t="s">
        <x:v>21</x:v>
      </x:c>
      <x:c r="K10440" s="0">
        <x:f>hyperlink("https://icd.who.int/dev11/l-ichi/en#/http%3A%2F%2Fid.who.int%2Ficd%2Fentity%2F1079806641","browser")</x:f>
      </x:c>
      <x:c r="L10440" s="0">
        <x:f>hyperlink("https://icat2.azurewebsites.net/icat/?ontology=ICD&amp;tab=ClassesTab&amp;id=http%3A%2F%2Fwho.int%2Ficd%2350746_512ebf36_bf6b_4d70_85da_cf2637062af4","iCat")</x:f>
      </x:c>
      <x:c r="M10440" s="0" t="s">
        <x:v>21</x:v>
      </x:c>
      <x:c r="N10440" s="0" t="s">
        <x:v>46</x:v>
      </x:c>
    </x:row>
    <x:row r="10441" spans="1:16">
      <x:c r="A10441" s="0" t="s">
        <x:v>41628</x:v>
      </x:c>
      <x:c r="B10441" s="0" t="s">
        <x:v>41629</x:v>
      </x:c>
      <x:c r="C10441" s="0" t="s">
        <x:v>41630</x:v>
      </x:c>
      <x:c r="E10441" s="0" t="s">
        <x:v>41631</x:v>
      </x:c>
      <x:c r="F10441" s="0" t="s">
        <x:v>45</x:v>
      </x:c>
      <x:c r="G10441" s="0" t="s">
        <x:v>19</x:v>
      </x:c>
      <x:c r="H10441" s="0" t="s">
        <x:v>20</x:v>
      </x:c>
      <x:c r="I10441" s="0" t="s">
        <x:v>21</x:v>
      </x:c>
      <x:c r="K10441" s="0">
        <x:f>hyperlink("https://icd.who.int/dev11/l-ichi/en#/http%3A%2F%2Fid.who.int%2Ficd%2Fentity%2F1063758254","browser")</x:f>
      </x:c>
      <x:c r="L10441" s="0">
        <x:f>hyperlink("https://icat2.azurewebsites.net/icat/?ontology=ICD&amp;tab=ClassesTab&amp;id=http%3A%2F%2Fwho.int%2Ficd%2350753_512ebf36_bf6b_4d70_85da_cf2637062af4","iCat")</x:f>
      </x:c>
      <x:c r="M10441" s="0" t="s">
        <x:v>21</x:v>
      </x:c>
      <x:c r="N10441" s="0" t="s">
        <x:v>46</x:v>
      </x:c>
    </x:row>
    <x:row r="10442" spans="1:16">
      <x:c r="A10442" s="0" t="s">
        <x:v>41632</x:v>
      </x:c>
      <x:c r="B10442" s="0" t="s">
        <x:v>41633</x:v>
      </x:c>
      <x:c r="C10442" s="0" t="s">
        <x:v>41634</x:v>
      </x:c>
      <x:c r="E10442" s="0" t="s">
        <x:v>41635</x:v>
      </x:c>
      <x:c r="F10442" s="0" t="s">
        <x:v>45</x:v>
      </x:c>
      <x:c r="G10442" s="0" t="s">
        <x:v>19</x:v>
      </x:c>
      <x:c r="H10442" s="0" t="s">
        <x:v>20</x:v>
      </x:c>
      <x:c r="I10442" s="0" t="s">
        <x:v>21</x:v>
      </x:c>
      <x:c r="K10442" s="0">
        <x:f>hyperlink("https://icd.who.int/dev11/l-ichi/en#/http%3A%2F%2Fid.who.int%2Ficd%2Fentity%2F978552400","browser")</x:f>
      </x:c>
      <x:c r="L10442" s="0">
        <x:f>hyperlink("https://icat2.azurewebsites.net/icat/?ontology=ICD&amp;tab=ClassesTab&amp;id=http%3A%2F%2Fwho.int%2Ficd%2350760_512ebf36_bf6b_4d70_85da_cf2637062af4","iCat")</x:f>
      </x:c>
      <x:c r="M10442" s="0" t="s">
        <x:v>21</x:v>
      </x:c>
      <x:c r="N10442" s="0" t="s">
        <x:v>46</x:v>
      </x:c>
    </x:row>
    <x:row r="10443" spans="1:16">
      <x:c r="A10443" s="0" t="s">
        <x:v>41636</x:v>
      </x:c>
      <x:c r="B10443" s="0" t="s">
        <x:v>41637</x:v>
      </x:c>
      <x:c r="C10443" s="0" t="s">
        <x:v>41638</x:v>
      </x:c>
      <x:c r="E10443" s="0" t="s">
        <x:v>41639</x:v>
      </x:c>
      <x:c r="F10443" s="0" t="s">
        <x:v>45</x:v>
      </x:c>
      <x:c r="G10443" s="0" t="s">
        <x:v>19</x:v>
      </x:c>
      <x:c r="H10443" s="0" t="s">
        <x:v>20</x:v>
      </x:c>
      <x:c r="I10443" s="0" t="s">
        <x:v>21</x:v>
      </x:c>
      <x:c r="K10443" s="0">
        <x:f>hyperlink("https://icd.who.int/dev11/l-ichi/en#/http%3A%2F%2Fid.who.int%2Ficd%2Fentity%2F1255222749","browser")</x:f>
      </x:c>
      <x:c r="L10443" s="0">
        <x:f>hyperlink("https://icat2.azurewebsites.net/icat/?ontology=ICD&amp;tab=ClassesTab&amp;id=http%3A%2F%2Fwho.int%2Ficd%2350767_512ebf36_bf6b_4d70_85da_cf2637062af4","iCat")</x:f>
      </x:c>
      <x:c r="M10443" s="0" t="s">
        <x:v>21</x:v>
      </x:c>
      <x:c r="N10443" s="0" t="s">
        <x:v>46</x:v>
      </x:c>
    </x:row>
    <x:row r="10444" spans="1:16">
      <x:c r="A10444" s="0" t="s">
        <x:v>41640</x:v>
      </x:c>
      <x:c r="B10444" s="0" t="s">
        <x:v>41641</x:v>
      </x:c>
      <x:c r="C10444" s="0" t="s">
        <x:v>41642</x:v>
      </x:c>
      <x:c r="E10444" s="0" t="s">
        <x:v>41643</x:v>
      </x:c>
      <x:c r="F10444" s="0" t="s">
        <x:v>45</x:v>
      </x:c>
      <x:c r="G10444" s="0" t="s">
        <x:v>19</x:v>
      </x:c>
      <x:c r="H10444" s="0" t="s">
        <x:v>20</x:v>
      </x:c>
      <x:c r="I10444" s="0" t="s">
        <x:v>21</x:v>
      </x:c>
      <x:c r="K10444" s="0">
        <x:f>hyperlink("https://icd.who.int/dev11/l-ichi/en#/http%3A%2F%2Fid.who.int%2Ficd%2Fentity%2F1704056691","browser")</x:f>
      </x:c>
      <x:c r="L10444" s="0">
        <x:f>hyperlink("https://icat2.azurewebsites.net/icat/?ontology=ICD&amp;tab=ClassesTab&amp;id=http%3A%2F%2Fwho.int%2Ficd%2350774_512ebf36_bf6b_4d70_85da_cf2637062af4","iCat")</x:f>
      </x:c>
      <x:c r="M10444" s="0" t="s">
        <x:v>21</x:v>
      </x:c>
      <x:c r="N10444" s="0" t="s">
        <x:v>46</x:v>
      </x:c>
    </x:row>
    <x:row r="10445" spans="1:16">
      <x:c r="A10445" s="0" t="s">
        <x:v>41644</x:v>
      </x:c>
      <x:c r="B10445" s="0" t="s">
        <x:v>41645</x:v>
      </x:c>
      <x:c r="C10445" s="0" t="s">
        <x:v>41646</x:v>
      </x:c>
      <x:c r="E10445" s="0" t="s">
        <x:v>41647</x:v>
      </x:c>
      <x:c r="F10445" s="0" t="s">
        <x:v>45</x:v>
      </x:c>
      <x:c r="G10445" s="0" t="s">
        <x:v>19</x:v>
      </x:c>
      <x:c r="H10445" s="0" t="s">
        <x:v>20</x:v>
      </x:c>
      <x:c r="I10445" s="0" t="s">
        <x:v>21</x:v>
      </x:c>
      <x:c r="K10445" s="0">
        <x:f>hyperlink("https://icd.who.int/dev11/l-ichi/en#/http%3A%2F%2Fid.who.int%2Ficd%2Fentity%2F1602759653","browser")</x:f>
      </x:c>
      <x:c r="L10445" s="0">
        <x:f>hyperlink("https://icat2.azurewebsites.net/icat/?ontology=ICD&amp;tab=ClassesTab&amp;id=http%3A%2F%2Fwho.int%2Ficd%2350781_512ebf36_bf6b_4d70_85da_cf2637062af4","iCat")</x:f>
      </x:c>
      <x:c r="M10445" s="0" t="s">
        <x:v>21</x:v>
      </x:c>
      <x:c r="N10445" s="0" t="s">
        <x:v>46</x:v>
      </x:c>
    </x:row>
    <x:row r="10446" spans="1:16">
      <x:c r="A10446" s="0" t="s">
        <x:v>41648</x:v>
      </x:c>
      <x:c r="B10446" s="0" t="s">
        <x:v>41649</x:v>
      </x:c>
      <x:c r="C10446" s="0" t="s">
        <x:v>41650</x:v>
      </x:c>
      <x:c r="E10446" s="0" t="s">
        <x:v>41651</x:v>
      </x:c>
      <x:c r="F10446" s="0" t="s">
        <x:v>45</x:v>
      </x:c>
      <x:c r="G10446" s="0" t="s">
        <x:v>19</x:v>
      </x:c>
      <x:c r="H10446" s="0" t="s">
        <x:v>20</x:v>
      </x:c>
      <x:c r="I10446" s="0" t="s">
        <x:v>21</x:v>
      </x:c>
      <x:c r="K10446" s="0">
        <x:f>hyperlink("https://icd.who.int/dev11/l-ichi/en#/http%3A%2F%2Fid.who.int%2Ficd%2Fentity%2F837822604","browser")</x:f>
      </x:c>
      <x:c r="L10446" s="0">
        <x:f>hyperlink("https://icat2.azurewebsites.net/icat/?ontology=ICD&amp;tab=ClassesTab&amp;id=http%3A%2F%2Fwho.int%2Ficd%2350788_512ebf36_bf6b_4d70_85da_cf2637062af4","iCat")</x:f>
      </x:c>
      <x:c r="M10446" s="0" t="s">
        <x:v>21</x:v>
      </x:c>
      <x:c r="N10446" s="0" t="s">
        <x:v>46</x:v>
      </x:c>
    </x:row>
    <x:row r="10447" spans="1:16">
      <x:c r="A10447" s="0" t="s">
        <x:v>41652</x:v>
      </x:c>
      <x:c r="B10447" s="0" t="s">
        <x:v>41653</x:v>
      </x:c>
      <x:c r="C10447" s="0" t="s">
        <x:v>41654</x:v>
      </x:c>
      <x:c r="E10447" s="0" t="s">
        <x:v>41655</x:v>
      </x:c>
      <x:c r="F10447" s="0" t="s">
        <x:v>45</x:v>
      </x:c>
      <x:c r="G10447" s="0" t="s">
        <x:v>19</x:v>
      </x:c>
      <x:c r="H10447" s="0" t="s">
        <x:v>20</x:v>
      </x:c>
      <x:c r="I10447" s="0" t="s">
        <x:v>21</x:v>
      </x:c>
      <x:c r="K10447" s="0">
        <x:f>hyperlink("https://icd.who.int/dev11/l-ichi/en#/http%3A%2F%2Fid.who.int%2Ficd%2Fentity%2F4881094","browser")</x:f>
      </x:c>
      <x:c r="L10447" s="0">
        <x:f>hyperlink("https://icat2.azurewebsites.net/icat/?ontology=ICD&amp;tab=ClassesTab&amp;id=http%3A%2F%2Fwho.int%2Ficd%2350795_512ebf36_bf6b_4d70_85da_cf2637062af4","iCat")</x:f>
      </x:c>
      <x:c r="M10447" s="0" t="s">
        <x:v>21</x:v>
      </x:c>
      <x:c r="N10447" s="0" t="s">
        <x:v>46</x:v>
      </x:c>
    </x:row>
    <x:row r="10448" spans="1:16">
      <x:c r="A10448" s="0" t="s">
        <x:v>41656</x:v>
      </x:c>
      <x:c r="B10448" s="0" t="s">
        <x:v>41657</x:v>
      </x:c>
      <x:c r="C10448" s="0" t="s">
        <x:v>41658</x:v>
      </x:c>
      <x:c r="E10448" s="0" t="s">
        <x:v>41659</x:v>
      </x:c>
      <x:c r="F10448" s="0" t="s">
        <x:v>45</x:v>
      </x:c>
      <x:c r="G10448" s="0" t="s">
        <x:v>19</x:v>
      </x:c>
      <x:c r="H10448" s="0" t="s">
        <x:v>20</x:v>
      </x:c>
      <x:c r="I10448" s="0" t="s">
        <x:v>21</x:v>
      </x:c>
      <x:c r="K10448" s="0">
        <x:f>hyperlink("https://icd.who.int/dev11/l-ichi/en#/http%3A%2F%2Fid.who.int%2Ficd%2Fentity%2F1936821726","browser")</x:f>
      </x:c>
      <x:c r="L10448" s="0">
        <x:f>hyperlink("https://icat2.azurewebsites.net/icat/?ontology=ICD&amp;tab=ClassesTab&amp;id=http%3A%2F%2Fwho.int%2Ficd%2350802_512ebf36_bf6b_4d70_85da_cf2637062af4","iCat")</x:f>
      </x:c>
      <x:c r="M10448" s="0" t="s">
        <x:v>21</x:v>
      </x:c>
      <x:c r="N10448" s="0" t="s">
        <x:v>46</x:v>
      </x:c>
    </x:row>
    <x:row r="10449" spans="1:16">
      <x:c r="A10449" s="0" t="s">
        <x:v>41660</x:v>
      </x:c>
      <x:c r="B10449" s="0" t="s">
        <x:v>41661</x:v>
      </x:c>
      <x:c r="C10449" s="0" t="s">
        <x:v>41662</x:v>
      </x:c>
      <x:c r="E10449" s="0" t="s">
        <x:v>41663</x:v>
      </x:c>
      <x:c r="F10449" s="0" t="s">
        <x:v>45</x:v>
      </x:c>
      <x:c r="G10449" s="0" t="s">
        <x:v>19</x:v>
      </x:c>
      <x:c r="H10449" s="0" t="s">
        <x:v>20</x:v>
      </x:c>
      <x:c r="I10449" s="0" t="s">
        <x:v>21</x:v>
      </x:c>
      <x:c r="K10449" s="0">
        <x:f>hyperlink("https://icd.who.int/dev11/l-ichi/en#/http%3A%2F%2Fid.who.int%2Ficd%2Fentity%2F2020971380","browser")</x:f>
      </x:c>
      <x:c r="L10449" s="0">
        <x:f>hyperlink("https://icat2.azurewebsites.net/icat/?ontology=ICD&amp;tab=ClassesTab&amp;id=http%3A%2F%2Fwho.int%2Ficd%2350809_512ebf36_bf6b_4d70_85da_cf2637062af4","iCat")</x:f>
      </x:c>
      <x:c r="M10449" s="0" t="s">
        <x:v>21</x:v>
      </x:c>
      <x:c r="N10449" s="0" t="s">
        <x:v>46</x:v>
      </x:c>
    </x:row>
    <x:row r="10450" spans="1:16">
      <x:c r="A10450" s="0" t="s">
        <x:v>41664</x:v>
      </x:c>
      <x:c r="B10450" s="0" t="s">
        <x:v>41665</x:v>
      </x:c>
      <x:c r="C10450" s="0" t="s">
        <x:v>41666</x:v>
      </x:c>
      <x:c r="E10450" s="0" t="s">
        <x:v>41667</x:v>
      </x:c>
      <x:c r="F10450" s="0" t="s">
        <x:v>45</x:v>
      </x:c>
      <x:c r="G10450" s="0" t="s">
        <x:v>19</x:v>
      </x:c>
      <x:c r="H10450" s="0" t="s">
        <x:v>20</x:v>
      </x:c>
      <x:c r="I10450" s="0" t="s">
        <x:v>21</x:v>
      </x:c>
      <x:c r="K10450" s="0">
        <x:f>hyperlink("https://icd.who.int/dev11/l-ichi/en#/http%3A%2F%2Fid.who.int%2Ficd%2Fentity%2F749985021","browser")</x:f>
      </x:c>
      <x:c r="L10450" s="0">
        <x:f>hyperlink("https://icat2.azurewebsites.net/icat/?ontology=ICD&amp;tab=ClassesTab&amp;id=http%3A%2F%2Fwho.int%2Ficd%2350816_512ebf36_bf6b_4d70_85da_cf2637062af4","iCat")</x:f>
      </x:c>
      <x:c r="M10450" s="0" t="s">
        <x:v>21</x:v>
      </x:c>
      <x:c r="N10450" s="0" t="s">
        <x:v>46</x:v>
      </x:c>
    </x:row>
    <x:row r="10451" spans="1:16">
      <x:c r="A10451" s="0" t="s">
        <x:v>41668</x:v>
      </x:c>
      <x:c r="B10451" s="0" t="s">
        <x:v>41669</x:v>
      </x:c>
      <x:c r="C10451" s="0" t="s">
        <x:v>41670</x:v>
      </x:c>
      <x:c r="E10451" s="0" t="s">
        <x:v>41671</x:v>
      </x:c>
      <x:c r="F10451" s="0" t="s">
        <x:v>45</x:v>
      </x:c>
      <x:c r="G10451" s="0" t="s">
        <x:v>19</x:v>
      </x:c>
      <x:c r="H10451" s="0" t="s">
        <x:v>20</x:v>
      </x:c>
      <x:c r="I10451" s="0" t="s">
        <x:v>21</x:v>
      </x:c>
      <x:c r="K10451" s="0">
        <x:f>hyperlink("https://icd.who.int/dev11/l-ichi/en#/http%3A%2F%2Fid.who.int%2Ficd%2Fentity%2F2046569138","browser")</x:f>
      </x:c>
      <x:c r="L10451" s="0">
        <x:f>hyperlink("https://icat2.azurewebsites.net/icat/?ontology=ICD&amp;tab=ClassesTab&amp;id=http%3A%2F%2Fwho.int%2Ficd%2350823_512ebf36_bf6b_4d70_85da_cf2637062af4","iCat")</x:f>
      </x:c>
      <x:c r="M10451" s="0" t="s">
        <x:v>21</x:v>
      </x:c>
      <x:c r="N10451" s="0" t="s">
        <x:v>46</x:v>
      </x:c>
    </x:row>
    <x:row r="10452" spans="1:16">
      <x:c r="A10452" s="0" t="s">
        <x:v>41672</x:v>
      </x:c>
      <x:c r="B10452" s="0" t="s">
        <x:v>41673</x:v>
      </x:c>
      <x:c r="C10452" s="0" t="s">
        <x:v>41674</x:v>
      </x:c>
      <x:c r="E10452" s="0" t="s">
        <x:v>41675</x:v>
      </x:c>
      <x:c r="F10452" s="0" t="s">
        <x:v>45</x:v>
      </x:c>
      <x:c r="G10452" s="0" t="s">
        <x:v>19</x:v>
      </x:c>
      <x:c r="H10452" s="0" t="s">
        <x:v>20</x:v>
      </x:c>
      <x:c r="I10452" s="0" t="s">
        <x:v>21</x:v>
      </x:c>
      <x:c r="K10452" s="0">
        <x:f>hyperlink("https://icd.who.int/dev11/l-ichi/en#/http%3A%2F%2Fid.who.int%2Ficd%2Fentity%2F1984274976","browser")</x:f>
      </x:c>
      <x:c r="L10452" s="0">
        <x:f>hyperlink("https://icat2.azurewebsites.net/icat/?ontology=ICD&amp;tab=ClassesTab&amp;id=http%3A%2F%2Fwho.int%2Ficd%2350831_512ebf36_bf6b_4d70_85da_cf2637062af4","iCat")</x:f>
      </x:c>
      <x:c r="M10452" s="0" t="s">
        <x:v>21</x:v>
      </x:c>
      <x:c r="N10452" s="0" t="s">
        <x:v>46</x:v>
      </x:c>
    </x:row>
    <x:row r="10453" spans="1:16">
      <x:c r="A10453" s="0" t="s">
        <x:v>41676</x:v>
      </x:c>
      <x:c r="B10453" s="0" t="s">
        <x:v>41677</x:v>
      </x:c>
      <x:c r="C10453" s="0" t="s">
        <x:v>41678</x:v>
      </x:c>
      <x:c r="E10453" s="0" t="s">
        <x:v>41679</x:v>
      </x:c>
      <x:c r="F10453" s="0" t="s">
        <x:v>45</x:v>
      </x:c>
      <x:c r="G10453" s="0" t="s">
        <x:v>19</x:v>
      </x:c>
      <x:c r="H10453" s="0" t="s">
        <x:v>20</x:v>
      </x:c>
      <x:c r="I10453" s="0" t="s">
        <x:v>21</x:v>
      </x:c>
      <x:c r="K10453" s="0">
        <x:f>hyperlink("https://icd.who.int/dev11/l-ichi/en#/http%3A%2F%2Fid.who.int%2Ficd%2Fentity%2F406692169","browser")</x:f>
      </x:c>
      <x:c r="L10453" s="0">
        <x:f>hyperlink("https://icat2.azurewebsites.net/icat/?ontology=ICD&amp;tab=ClassesTab&amp;id=http%3A%2F%2Fwho.int%2Ficd%2350838_512ebf36_bf6b_4d70_85da_cf2637062af4","iCat")</x:f>
      </x:c>
      <x:c r="M10453" s="0" t="s">
        <x:v>21</x:v>
      </x:c>
      <x:c r="N10453" s="0" t="s">
        <x:v>46</x:v>
      </x:c>
    </x:row>
    <x:row r="10454" spans="1:16">
      <x:c r="A10454" s="0" t="s">
        <x:v>41680</x:v>
      </x:c>
      <x:c r="B10454" s="0" t="s">
        <x:v>41681</x:v>
      </x:c>
      <x:c r="C10454" s="0" t="s">
        <x:v>41682</x:v>
      </x:c>
      <x:c r="E10454" s="0" t="s">
        <x:v>41683</x:v>
      </x:c>
      <x:c r="F10454" s="0" t="s">
        <x:v>45</x:v>
      </x:c>
      <x:c r="G10454" s="0" t="s">
        <x:v>19</x:v>
      </x:c>
      <x:c r="H10454" s="0" t="s">
        <x:v>20</x:v>
      </x:c>
      <x:c r="I10454" s="0" t="s">
        <x:v>21</x:v>
      </x:c>
      <x:c r="K10454" s="0">
        <x:f>hyperlink("https://icd.who.int/dev11/l-ichi/en#/http%3A%2F%2Fid.who.int%2Ficd%2Fentity%2F1939109198","browser")</x:f>
      </x:c>
      <x:c r="L10454" s="0">
        <x:f>hyperlink("https://icat2.azurewebsites.net/icat/?ontology=ICD&amp;tab=ClassesTab&amp;id=http%3A%2F%2Fwho.int%2Ficd%2350845_512ebf36_bf6b_4d70_85da_cf2637062af4","iCat")</x:f>
      </x:c>
      <x:c r="M10454" s="0" t="s">
        <x:v>21</x:v>
      </x:c>
      <x:c r="N10454" s="0" t="s">
        <x:v>46</x:v>
      </x:c>
    </x:row>
    <x:row r="10455" spans="1:16">
      <x:c r="A10455" s="0" t="s">
        <x:v>41684</x:v>
      </x:c>
      <x:c r="B10455" s="0" t="s">
        <x:v>41685</x:v>
      </x:c>
      <x:c r="C10455" s="0" t="s">
        <x:v>41686</x:v>
      </x:c>
      <x:c r="E10455" s="0" t="s">
        <x:v>41687</x:v>
      </x:c>
      <x:c r="F10455" s="0" t="s">
        <x:v>45</x:v>
      </x:c>
      <x:c r="G10455" s="0" t="s">
        <x:v>19</x:v>
      </x:c>
      <x:c r="H10455" s="0" t="s">
        <x:v>20</x:v>
      </x:c>
      <x:c r="I10455" s="0" t="s">
        <x:v>21</x:v>
      </x:c>
      <x:c r="K10455" s="0">
        <x:f>hyperlink("https://icd.who.int/dev11/l-ichi/en#/http%3A%2F%2Fid.who.int%2Ficd%2Fentity%2F1775455124","browser")</x:f>
      </x:c>
      <x:c r="L10455" s="0">
        <x:f>hyperlink("https://icat2.azurewebsites.net/icat/?ontology=ICD&amp;tab=ClassesTab&amp;id=http%3A%2F%2Fwho.int%2Ficd%2350852_512ebf36_bf6b_4d70_85da_cf2637062af4","iCat")</x:f>
      </x:c>
      <x:c r="M10455" s="0" t="s">
        <x:v>21</x:v>
      </x:c>
      <x:c r="N10455" s="0" t="s">
        <x:v>46</x:v>
      </x:c>
    </x:row>
    <x:row r="10456" spans="1:16">
      <x:c r="A10456" s="0" t="s">
        <x:v>41688</x:v>
      </x:c>
      <x:c r="B10456" s="0" t="s">
        <x:v>41689</x:v>
      </x:c>
      <x:c r="D10456" s="0" t="s">
        <x:v>41690</x:v>
      </x:c>
      <x:c r="E10456" s="0" t="s">
        <x:v>41691</x:v>
      </x:c>
      <x:c r="F10456" s="0" t="s">
        <x:v>26</x:v>
      </x:c>
      <x:c r="G10456" s="0" t="s">
        <x:v>35</x:v>
      </x:c>
      <x:c r="H10456" s="0" t="s">
        <x:v>20</x:v>
      </x:c>
      <x:c r="I10456" s="0" t="s">
        <x:v>21</x:v>
      </x:c>
      <x:c r="K10456" s="0">
        <x:f>hyperlink("https://icd.who.int/dev11/l-ichi/en#/http%3A%2F%2Fid.who.int%2Ficd%2Fentity%2F1277040216","browser")</x:f>
      </x:c>
      <x:c r="L10456" s="0">
        <x:f>hyperlink("https://icat2.azurewebsites.net/icat/?ontology=ICD&amp;tab=ClassesTab&amp;id=http%3A%2F%2Fwho.int%2Ficd%2350860_512ebf36_bf6b_4d70_85da_cf2637062af4","iCat")</x:f>
      </x:c>
      <x:c r="M10456" s="0" t="s">
        <x:v>20</x:v>
      </x:c>
      <x:c r="N10456" s="0" t="s">
        <x:v>41692</x:v>
      </x:c>
    </x:row>
    <x:row r="10457" spans="1:16">
      <x:c r="A10457" s="0" t="s">
        <x:v>41693</x:v>
      </x:c>
      <x:c r="B10457" s="0" t="s">
        <x:v>41694</x:v>
      </x:c>
      <x:c r="C10457" s="0" t="s">
        <x:v>41695</x:v>
      </x:c>
      <x:c r="E10457" s="0" t="s">
        <x:v>41696</x:v>
      </x:c>
      <x:c r="F10457" s="0" t="s">
        <x:v>45</x:v>
      </x:c>
      <x:c r="G10457" s="0" t="s">
        <x:v>19</x:v>
      </x:c>
      <x:c r="H10457" s="0" t="s">
        <x:v>20</x:v>
      </x:c>
      <x:c r="I10457" s="0" t="s">
        <x:v>21</x:v>
      </x:c>
      <x:c r="K10457" s="0">
        <x:f>hyperlink("https://icd.who.int/dev11/l-ichi/en#/http%3A%2F%2Fid.who.int%2Ficd%2Fentity%2F1658279226","browser")</x:f>
      </x:c>
      <x:c r="L10457" s="0">
        <x:f>hyperlink("https://icat2.azurewebsites.net/icat/?ontology=ICD&amp;tab=ClassesTab&amp;id=http%3A%2F%2Fwho.int%2Ficd%2350859_512ebf36_bf6b_4d70_85da_cf2637062af4","iCat")</x:f>
      </x:c>
      <x:c r="M10457" s="0" t="s">
        <x:v>21</x:v>
      </x:c>
      <x:c r="N10457" s="0" t="s">
        <x:v>46</x:v>
      </x:c>
    </x:row>
    <x:row r="10458" spans="1:16">
      <x:c r="A10458" s="0" t="s">
        <x:v>41697</x:v>
      </x:c>
      <x:c r="B10458" s="0" t="s">
        <x:v>41698</x:v>
      </x:c>
      <x:c r="C10458" s="0" t="s">
        <x:v>41699</x:v>
      </x:c>
      <x:c r="E10458" s="0" t="s">
        <x:v>41700</x:v>
      </x:c>
      <x:c r="F10458" s="0" t="s">
        <x:v>45</x:v>
      </x:c>
      <x:c r="G10458" s="0" t="s">
        <x:v>19</x:v>
      </x:c>
      <x:c r="H10458" s="0" t="s">
        <x:v>20</x:v>
      </x:c>
      <x:c r="I10458" s="0" t="s">
        <x:v>21</x:v>
      </x:c>
      <x:c r="K10458" s="0">
        <x:f>hyperlink("https://icd.who.int/dev11/l-ichi/en#/http%3A%2F%2Fid.who.int%2Ficd%2Fentity%2F1135058630","browser")</x:f>
      </x:c>
      <x:c r="L10458" s="0">
        <x:f>hyperlink("https://icat2.azurewebsites.net/icat/?ontology=ICD&amp;tab=ClassesTab&amp;id=http%3A%2F%2Fwho.int%2Ficd%2350872_512ebf36_bf6b_4d70_85da_cf2637062af4","iCat")</x:f>
      </x:c>
      <x:c r="M10458" s="0" t="s">
        <x:v>21</x:v>
      </x:c>
      <x:c r="N10458" s="0" t="s">
        <x:v>46</x:v>
      </x:c>
    </x:row>
    <x:row r="10459" spans="1:16">
      <x:c r="A10459" s="0" t="s">
        <x:v>41701</x:v>
      </x:c>
      <x:c r="B10459" s="0" t="s">
        <x:v>41702</x:v>
      </x:c>
      <x:c r="C10459" s="0" t="s">
        <x:v>41703</x:v>
      </x:c>
      <x:c r="E10459" s="0" t="s">
        <x:v>41704</x:v>
      </x:c>
      <x:c r="F10459" s="0" t="s">
        <x:v>45</x:v>
      </x:c>
      <x:c r="G10459" s="0" t="s">
        <x:v>19</x:v>
      </x:c>
      <x:c r="H10459" s="0" t="s">
        <x:v>20</x:v>
      </x:c>
      <x:c r="I10459" s="0" t="s">
        <x:v>21</x:v>
      </x:c>
      <x:c r="K10459" s="0">
        <x:f>hyperlink("https://icd.who.int/dev11/l-ichi/en#/http%3A%2F%2Fid.who.int%2Ficd%2Fentity%2F1218674792","browser")</x:f>
      </x:c>
      <x:c r="L10459" s="0">
        <x:f>hyperlink("https://icat2.azurewebsites.net/icat/?ontology=ICD&amp;tab=ClassesTab&amp;id=http%3A%2F%2Fwho.int%2Ficd%2350879_512ebf36_bf6b_4d70_85da_cf2637062af4","iCat")</x:f>
      </x:c>
      <x:c r="M10459" s="0" t="s">
        <x:v>21</x:v>
      </x:c>
      <x:c r="N10459" s="0" t="s">
        <x:v>46</x:v>
      </x:c>
    </x:row>
    <x:row r="10460" spans="1:16">
      <x:c r="A10460" s="0" t="s">
        <x:v>41705</x:v>
      </x:c>
      <x:c r="B10460" s="0" t="s">
        <x:v>41706</x:v>
      </x:c>
      <x:c r="C10460" s="0" t="s">
        <x:v>41707</x:v>
      </x:c>
      <x:c r="E10460" s="0" t="s">
        <x:v>41708</x:v>
      </x:c>
      <x:c r="F10460" s="0" t="s">
        <x:v>45</x:v>
      </x:c>
      <x:c r="G10460" s="0" t="s">
        <x:v>19</x:v>
      </x:c>
      <x:c r="H10460" s="0" t="s">
        <x:v>20</x:v>
      </x:c>
      <x:c r="I10460" s="0" t="s">
        <x:v>21</x:v>
      </x:c>
      <x:c r="K10460" s="0">
        <x:f>hyperlink("https://icd.who.int/dev11/l-ichi/en#/http%3A%2F%2Fid.who.int%2Ficd%2Fentity%2F1497829486","browser")</x:f>
      </x:c>
      <x:c r="L10460" s="0">
        <x:f>hyperlink("https://icat2.azurewebsites.net/icat/?ontology=ICD&amp;tab=ClassesTab&amp;id=http%3A%2F%2Fwho.int%2Ficd%2350886_512ebf36_bf6b_4d70_85da_cf2637062af4","iCat")</x:f>
      </x:c>
      <x:c r="M10460" s="0" t="s">
        <x:v>21</x:v>
      </x:c>
      <x:c r="N10460" s="0" t="s">
        <x:v>46</x:v>
      </x:c>
    </x:row>
    <x:row r="10461" spans="1:16">
      <x:c r="A10461" s="0" t="s">
        <x:v>41709</x:v>
      </x:c>
      <x:c r="B10461" s="0" t="s">
        <x:v>41710</x:v>
      </x:c>
      <x:c r="C10461" s="0" t="s">
        <x:v>41711</x:v>
      </x:c>
      <x:c r="E10461" s="0" t="s">
        <x:v>41712</x:v>
      </x:c>
      <x:c r="F10461" s="0" t="s">
        <x:v>45</x:v>
      </x:c>
      <x:c r="G10461" s="0" t="s">
        <x:v>19</x:v>
      </x:c>
      <x:c r="H10461" s="0" t="s">
        <x:v>20</x:v>
      </x:c>
      <x:c r="I10461" s="0" t="s">
        <x:v>21</x:v>
      </x:c>
      <x:c r="K10461" s="0">
        <x:f>hyperlink("https://icd.who.int/dev11/l-ichi/en#/http%3A%2F%2Fid.who.int%2Ficd%2Fentity%2F645673841","browser")</x:f>
      </x:c>
      <x:c r="L10461" s="0">
        <x:f>hyperlink("https://icat2.azurewebsites.net/icat/?ontology=ICD&amp;tab=ClassesTab&amp;id=http%3A%2F%2Fwho.int%2Ficd%2350893_512ebf36_bf6b_4d70_85da_cf2637062af4","iCat")</x:f>
      </x:c>
      <x:c r="M10461" s="0" t="s">
        <x:v>21</x:v>
      </x:c>
      <x:c r="N10461" s="0" t="s">
        <x:v>46</x:v>
      </x:c>
    </x:row>
    <x:row r="10462" spans="1:16">
      <x:c r="A10462" s="0" t="s">
        <x:v>41713</x:v>
      </x:c>
      <x:c r="B10462" s="0" t="s">
        <x:v>41714</x:v>
      </x:c>
      <x:c r="C10462" s="0" t="s">
        <x:v>41715</x:v>
      </x:c>
      <x:c r="E10462" s="0" t="s">
        <x:v>41716</x:v>
      </x:c>
      <x:c r="F10462" s="0" t="s">
        <x:v>45</x:v>
      </x:c>
      <x:c r="G10462" s="0" t="s">
        <x:v>19</x:v>
      </x:c>
      <x:c r="H10462" s="0" t="s">
        <x:v>20</x:v>
      </x:c>
      <x:c r="I10462" s="0" t="s">
        <x:v>21</x:v>
      </x:c>
      <x:c r="K10462" s="0">
        <x:f>hyperlink("https://icd.who.int/dev11/l-ichi/en#/http%3A%2F%2Fid.who.int%2Ficd%2Fentity%2F1670534790","browser")</x:f>
      </x:c>
      <x:c r="L10462" s="0">
        <x:f>hyperlink("https://icat2.azurewebsites.net/icat/?ontology=ICD&amp;tab=ClassesTab&amp;id=http%3A%2F%2Fwho.int%2Ficd%2350900_512ebf36_bf6b_4d70_85da_cf2637062af4","iCat")</x:f>
      </x:c>
      <x:c r="M10462" s="0" t="s">
        <x:v>21</x:v>
      </x:c>
      <x:c r="N10462" s="0" t="s">
        <x:v>46</x:v>
      </x:c>
    </x:row>
    <x:row r="10463" spans="1:16">
      <x:c r="A10463" s="0" t="s">
        <x:v>41717</x:v>
      </x:c>
      <x:c r="B10463" s="0" t="s">
        <x:v>41718</x:v>
      </x:c>
      <x:c r="C10463" s="0" t="s">
        <x:v>41719</x:v>
      </x:c>
      <x:c r="E10463" s="0" t="s">
        <x:v>41720</x:v>
      </x:c>
      <x:c r="F10463" s="0" t="s">
        <x:v>45</x:v>
      </x:c>
      <x:c r="G10463" s="0" t="s">
        <x:v>19</x:v>
      </x:c>
      <x:c r="H10463" s="0" t="s">
        <x:v>20</x:v>
      </x:c>
      <x:c r="I10463" s="0" t="s">
        <x:v>21</x:v>
      </x:c>
      <x:c r="K10463" s="0">
        <x:f>hyperlink("https://icd.who.int/dev11/l-ichi/en#/http%3A%2F%2Fid.who.int%2Ficd%2Fentity%2F319880459","browser")</x:f>
      </x:c>
      <x:c r="L10463" s="0">
        <x:f>hyperlink("https://icat2.azurewebsites.net/icat/?ontology=ICD&amp;tab=ClassesTab&amp;id=http%3A%2F%2Fwho.int%2Ficd%2350907_512ebf36_bf6b_4d70_85da_cf2637062af4","iCat")</x:f>
      </x:c>
      <x:c r="M10463" s="0" t="s">
        <x:v>21</x:v>
      </x:c>
      <x:c r="N10463" s="0" t="s">
        <x:v>46</x:v>
      </x:c>
    </x:row>
    <x:row r="10464" spans="1:16">
      <x:c r="A10464" s="0" t="s">
        <x:v>41721</x:v>
      </x:c>
      <x:c r="B10464" s="0" t="s">
        <x:v>41722</x:v>
      </x:c>
      <x:c r="C10464" s="0" t="s">
        <x:v>41723</x:v>
      </x:c>
      <x:c r="E10464" s="0" t="s">
        <x:v>41724</x:v>
      </x:c>
      <x:c r="F10464" s="0" t="s">
        <x:v>45</x:v>
      </x:c>
      <x:c r="G10464" s="0" t="s">
        <x:v>19</x:v>
      </x:c>
      <x:c r="H10464" s="0" t="s">
        <x:v>20</x:v>
      </x:c>
      <x:c r="I10464" s="0" t="s">
        <x:v>21</x:v>
      </x:c>
      <x:c r="K10464" s="0">
        <x:f>hyperlink("https://icd.who.int/dev11/l-ichi/en#/http%3A%2F%2Fid.who.int%2Ficd%2Fentity%2F1011877797","browser")</x:f>
      </x:c>
      <x:c r="L10464" s="0">
        <x:f>hyperlink("https://icat2.azurewebsites.net/icat/?ontology=ICD&amp;tab=ClassesTab&amp;id=http%3A%2F%2Fwho.int%2Ficd%2350914_512ebf36_bf6b_4d70_85da_cf2637062af4","iCat")</x:f>
      </x:c>
      <x:c r="M10464" s="0" t="s">
        <x:v>21</x:v>
      </x:c>
      <x:c r="N10464" s="0" t="s">
        <x:v>46</x:v>
      </x:c>
    </x:row>
    <x:row r="10465" spans="1:16">
      <x:c r="A10465" s="0" t="s">
        <x:v>41725</x:v>
      </x:c>
      <x:c r="B10465" s="0" t="s">
        <x:v>41726</x:v>
      </x:c>
      <x:c r="C10465" s="0" t="s">
        <x:v>41727</x:v>
      </x:c>
      <x:c r="E10465" s="0" t="s">
        <x:v>41728</x:v>
      </x:c>
      <x:c r="F10465" s="0" t="s">
        <x:v>45</x:v>
      </x:c>
      <x:c r="G10465" s="0" t="s">
        <x:v>19</x:v>
      </x:c>
      <x:c r="H10465" s="0" t="s">
        <x:v>20</x:v>
      </x:c>
      <x:c r="I10465" s="0" t="s">
        <x:v>21</x:v>
      </x:c>
      <x:c r="K10465" s="0">
        <x:f>hyperlink("https://icd.who.int/dev11/l-ichi/en#/http%3A%2F%2Fid.who.int%2Ficd%2Fentity%2F1763701226","browser")</x:f>
      </x:c>
      <x:c r="L10465" s="0">
        <x:f>hyperlink("https://icat2.azurewebsites.net/icat/?ontology=ICD&amp;tab=ClassesTab&amp;id=http%3A%2F%2Fwho.int%2Ficd%2350921_512ebf36_bf6b_4d70_85da_cf2637062af4","iCat")</x:f>
      </x:c>
      <x:c r="M10465" s="0" t="s">
        <x:v>21</x:v>
      </x:c>
      <x:c r="N10465" s="0" t="s">
        <x:v>46</x:v>
      </x:c>
    </x:row>
    <x:row r="10466" spans="1:16">
      <x:c r="A10466" s="0" t="s">
        <x:v>41729</x:v>
      </x:c>
      <x:c r="B10466" s="0" t="s">
        <x:v>41730</x:v>
      </x:c>
      <x:c r="C10466" s="0" t="s">
        <x:v>41731</x:v>
      </x:c>
      <x:c r="E10466" s="0" t="s">
        <x:v>41732</x:v>
      </x:c>
      <x:c r="F10466" s="0" t="s">
        <x:v>45</x:v>
      </x:c>
      <x:c r="G10466" s="0" t="s">
        <x:v>19</x:v>
      </x:c>
      <x:c r="H10466" s="0" t="s">
        <x:v>20</x:v>
      </x:c>
      <x:c r="I10466" s="0" t="s">
        <x:v>21</x:v>
      </x:c>
      <x:c r="K10466" s="0">
        <x:f>hyperlink("https://icd.who.int/dev11/l-ichi/en#/http%3A%2F%2Fid.who.int%2Ficd%2Fentity%2F124252803","browser")</x:f>
      </x:c>
      <x:c r="L10466" s="0">
        <x:f>hyperlink("https://icat2.azurewebsites.net/icat/?ontology=ICD&amp;tab=ClassesTab&amp;id=http%3A%2F%2Fwho.int%2Ficd%2350928_512ebf36_bf6b_4d70_85da_cf2637062af4","iCat")</x:f>
      </x:c>
      <x:c r="M10466" s="0" t="s">
        <x:v>21</x:v>
      </x:c>
      <x:c r="N10466" s="0" t="s">
        <x:v>46</x:v>
      </x:c>
    </x:row>
    <x:row r="10467" spans="1:16">
      <x:c r="A10467" s="0" t="s">
        <x:v>41733</x:v>
      </x:c>
      <x:c r="B10467" s="0" t="s">
        <x:v>41734</x:v>
      </x:c>
      <x:c r="C10467" s="0" t="s">
        <x:v>41735</x:v>
      </x:c>
      <x:c r="E10467" s="0" t="s">
        <x:v>41736</x:v>
      </x:c>
      <x:c r="F10467" s="0" t="s">
        <x:v>45</x:v>
      </x:c>
      <x:c r="G10467" s="0" t="s">
        <x:v>19</x:v>
      </x:c>
      <x:c r="H10467" s="0" t="s">
        <x:v>20</x:v>
      </x:c>
      <x:c r="I10467" s="0" t="s">
        <x:v>21</x:v>
      </x:c>
      <x:c r="K10467" s="0">
        <x:f>hyperlink("https://icd.who.int/dev11/l-ichi/en#/http%3A%2F%2Fid.who.int%2Ficd%2Fentity%2F920494281","browser")</x:f>
      </x:c>
      <x:c r="L10467" s="0">
        <x:f>hyperlink("https://icat2.azurewebsites.net/icat/?ontology=ICD&amp;tab=ClassesTab&amp;id=http%3A%2F%2Fwho.int%2Ficd%2350935_512ebf36_bf6b_4d70_85da_cf2637062af4","iCat")</x:f>
      </x:c>
      <x:c r="M10467" s="0" t="s">
        <x:v>21</x:v>
      </x:c>
      <x:c r="N10467" s="0" t="s">
        <x:v>46</x:v>
      </x:c>
    </x:row>
    <x:row r="10468" spans="1:16">
      <x:c r="A10468" s="0" t="s">
        <x:v>41737</x:v>
      </x:c>
      <x:c r="B10468" s="0" t="s">
        <x:v>41738</x:v>
      </x:c>
      <x:c r="C10468" s="0" t="s">
        <x:v>41739</x:v>
      </x:c>
      <x:c r="E10468" s="0" t="s">
        <x:v>41740</x:v>
      </x:c>
      <x:c r="F10468" s="0" t="s">
        <x:v>45</x:v>
      </x:c>
      <x:c r="G10468" s="0" t="s">
        <x:v>19</x:v>
      </x:c>
      <x:c r="H10468" s="0" t="s">
        <x:v>20</x:v>
      </x:c>
      <x:c r="I10468" s="0" t="s">
        <x:v>21</x:v>
      </x:c>
      <x:c r="K10468" s="0">
        <x:f>hyperlink("https://icd.who.int/dev11/l-ichi/en#/http%3A%2F%2Fid.who.int%2Ficd%2Fentity%2F1988696158","browser")</x:f>
      </x:c>
      <x:c r="L10468" s="0">
        <x:f>hyperlink("https://icat2.azurewebsites.net/icat/?ontology=ICD&amp;tab=ClassesTab&amp;id=http%3A%2F%2Fwho.int%2Ficd%2350942_512ebf36_bf6b_4d70_85da_cf2637062af4","iCat")</x:f>
      </x:c>
      <x:c r="M10468" s="0" t="s">
        <x:v>21</x:v>
      </x:c>
      <x:c r="N10468" s="0" t="s">
        <x:v>46</x:v>
      </x:c>
    </x:row>
    <x:row r="10469" spans="1:16">
      <x:c r="A10469" s="0" t="s">
        <x:v>41741</x:v>
      </x:c>
      <x:c r="B10469" s="0" t="s">
        <x:v>41742</x:v>
      </x:c>
      <x:c r="C10469" s="0" t="s">
        <x:v>41743</x:v>
      </x:c>
      <x:c r="E10469" s="0" t="s">
        <x:v>41744</x:v>
      </x:c>
      <x:c r="F10469" s="0" t="s">
        <x:v>45</x:v>
      </x:c>
      <x:c r="G10469" s="0" t="s">
        <x:v>19</x:v>
      </x:c>
      <x:c r="H10469" s="0" t="s">
        <x:v>20</x:v>
      </x:c>
      <x:c r="I10469" s="0" t="s">
        <x:v>21</x:v>
      </x:c>
      <x:c r="K10469" s="0">
        <x:f>hyperlink("https://icd.who.int/dev11/l-ichi/en#/http%3A%2F%2Fid.who.int%2Ficd%2Fentity%2F2106394356","browser")</x:f>
      </x:c>
      <x:c r="L10469" s="0">
        <x:f>hyperlink("https://icat2.azurewebsites.net/icat/?ontology=ICD&amp;tab=ClassesTab&amp;id=http%3A%2F%2Fwho.int%2Ficd%2350949_512ebf36_bf6b_4d70_85da_cf2637062af4","iCat")</x:f>
      </x:c>
      <x:c r="M10469" s="0" t="s">
        <x:v>21</x:v>
      </x:c>
      <x:c r="N10469" s="0" t="s">
        <x:v>46</x:v>
      </x:c>
    </x:row>
    <x:row r="10470" spans="1:16">
      <x:c r="A10470" s="0" t="s">
        <x:v>41745</x:v>
      </x:c>
      <x:c r="B10470" s="0" t="s">
        <x:v>41746</x:v>
      </x:c>
      <x:c r="C10470" s="0" t="s">
        <x:v>41747</x:v>
      </x:c>
      <x:c r="E10470" s="0" t="s">
        <x:v>41748</x:v>
      </x:c>
      <x:c r="F10470" s="0" t="s">
        <x:v>45</x:v>
      </x:c>
      <x:c r="G10470" s="0" t="s">
        <x:v>19</x:v>
      </x:c>
      <x:c r="H10470" s="0" t="s">
        <x:v>20</x:v>
      </x:c>
      <x:c r="I10470" s="0" t="s">
        <x:v>21</x:v>
      </x:c>
      <x:c r="K10470" s="0">
        <x:f>hyperlink("https://icd.who.int/dev11/l-ichi/en#/http%3A%2F%2Fid.who.int%2Ficd%2Fentity%2F692799869","browser")</x:f>
      </x:c>
      <x:c r="L10470" s="0">
        <x:f>hyperlink("https://icat2.azurewebsites.net/icat/?ontology=ICD&amp;tab=ClassesTab&amp;id=http%3A%2F%2Fwho.int%2Ficd%2350956_512ebf36_bf6b_4d70_85da_cf2637062af4","iCat")</x:f>
      </x:c>
      <x:c r="M10470" s="0" t="s">
        <x:v>21</x:v>
      </x:c>
      <x:c r="N10470" s="0" t="s">
        <x:v>46</x:v>
      </x:c>
    </x:row>
    <x:row r="10471" spans="1:16">
      <x:c r="A10471" s="0" t="s">
        <x:v>41749</x:v>
      </x:c>
      <x:c r="B10471" s="0" t="s">
        <x:v>41750</x:v>
      </x:c>
      <x:c r="C10471" s="0" t="s">
        <x:v>41751</x:v>
      </x:c>
      <x:c r="E10471" s="0" t="s">
        <x:v>41752</x:v>
      </x:c>
      <x:c r="F10471" s="0" t="s">
        <x:v>45</x:v>
      </x:c>
      <x:c r="G10471" s="0" t="s">
        <x:v>19</x:v>
      </x:c>
      <x:c r="H10471" s="0" t="s">
        <x:v>20</x:v>
      </x:c>
      <x:c r="I10471" s="0" t="s">
        <x:v>21</x:v>
      </x:c>
      <x:c r="K10471" s="0">
        <x:f>hyperlink("https://icd.who.int/dev11/l-ichi/en#/http%3A%2F%2Fid.who.int%2Ficd%2Fentity%2F2080685874","browser")</x:f>
      </x:c>
      <x:c r="L10471" s="0">
        <x:f>hyperlink("https://icat2.azurewebsites.net/icat/?ontology=ICD&amp;tab=ClassesTab&amp;id=http%3A%2F%2Fwho.int%2Ficd%2350963_512ebf36_bf6b_4d70_85da_cf2637062af4","iCat")</x:f>
      </x:c>
      <x:c r="M10471" s="0" t="s">
        <x:v>21</x:v>
      </x:c>
      <x:c r="N10471" s="0" t="s">
        <x:v>46</x:v>
      </x:c>
    </x:row>
    <x:row r="10472" spans="1:16">
      <x:c r="A10472" s="0" t="s">
        <x:v>41753</x:v>
      </x:c>
      <x:c r="B10472" s="0" t="s">
        <x:v>41754</x:v>
      </x:c>
      <x:c r="C10472" s="0" t="s">
        <x:v>41755</x:v>
      </x:c>
      <x:c r="E10472" s="0" t="s">
        <x:v>41756</x:v>
      </x:c>
      <x:c r="F10472" s="0" t="s">
        <x:v>45</x:v>
      </x:c>
      <x:c r="G10472" s="0" t="s">
        <x:v>19</x:v>
      </x:c>
      <x:c r="H10472" s="0" t="s">
        <x:v>20</x:v>
      </x:c>
      <x:c r="I10472" s="0" t="s">
        <x:v>21</x:v>
      </x:c>
      <x:c r="K10472" s="0">
        <x:f>hyperlink("https://icd.who.int/dev11/l-ichi/en#/http%3A%2F%2Fid.who.int%2Ficd%2Fentity%2F1396983198","browser")</x:f>
      </x:c>
      <x:c r="L10472" s="0">
        <x:f>hyperlink("https://icat2.azurewebsites.net/icat/?ontology=ICD&amp;tab=ClassesTab&amp;id=http%3A%2F%2Fwho.int%2Ficd%2350970_512ebf36_bf6b_4d70_85da_cf2637062af4","iCat")</x:f>
      </x:c>
      <x:c r="M10472" s="0" t="s">
        <x:v>21</x:v>
      </x:c>
      <x:c r="N10472" s="0" t="s">
        <x:v>46</x:v>
      </x:c>
    </x:row>
    <x:row r="10473" spans="1:16">
      <x:c r="A10473" s="0" t="s">
        <x:v>41757</x:v>
      </x:c>
      <x:c r="B10473" s="0" t="s">
        <x:v>41758</x:v>
      </x:c>
      <x:c r="C10473" s="0" t="s">
        <x:v>41759</x:v>
      </x:c>
      <x:c r="E10473" s="0" t="s">
        <x:v>41760</x:v>
      </x:c>
      <x:c r="F10473" s="0" t="s">
        <x:v>45</x:v>
      </x:c>
      <x:c r="G10473" s="0" t="s">
        <x:v>19</x:v>
      </x:c>
      <x:c r="H10473" s="0" t="s">
        <x:v>20</x:v>
      </x:c>
      <x:c r="I10473" s="0" t="s">
        <x:v>21</x:v>
      </x:c>
      <x:c r="K10473" s="0">
        <x:f>hyperlink("https://icd.who.int/dev11/l-ichi/en#/http%3A%2F%2Fid.who.int%2Ficd%2Fentity%2F1303493405","browser")</x:f>
      </x:c>
      <x:c r="L10473" s="0">
        <x:f>hyperlink("https://icat2.azurewebsites.net/icat/?ontology=ICD&amp;tab=ClassesTab&amp;id=http%3A%2F%2Fwho.int%2Ficd%235339_d85a204c_d00a_4566_a3b7_2d137a1891cf","iCat")</x:f>
      </x:c>
      <x:c r="M10473" s="0" t="s">
        <x:v>21</x:v>
      </x:c>
      <x:c r="N10473" s="0" t="s">
        <x:v>46</x:v>
      </x:c>
    </x:row>
    <x:row r="10474" spans="1:16">
      <x:c r="A10474" s="0" t="s">
        <x:v>41761</x:v>
      </x:c>
      <x:c r="B10474" s="0" t="s">
        <x:v>41762</x:v>
      </x:c>
      <x:c r="C10474" s="0" t="s">
        <x:v>41763</x:v>
      </x:c>
      <x:c r="E10474" s="0" t="s">
        <x:v>41764</x:v>
      </x:c>
      <x:c r="F10474" s="0" t="s">
        <x:v>45</x:v>
      </x:c>
      <x:c r="G10474" s="0" t="s">
        <x:v>19</x:v>
      </x:c>
      <x:c r="H10474" s="0" t="s">
        <x:v>20</x:v>
      </x:c>
      <x:c r="I10474" s="0" t="s">
        <x:v>21</x:v>
      </x:c>
      <x:c r="K10474" s="0">
        <x:f>hyperlink("https://icd.who.int/dev11/l-ichi/en#/http%3A%2F%2Fid.who.int%2Ficd%2Fentity%2F115416360","browser")</x:f>
      </x:c>
      <x:c r="L10474" s="0">
        <x:f>hyperlink("https://icat2.azurewebsites.net/icat/?ontology=ICD&amp;tab=ClassesTab&amp;id=http%3A%2F%2Fwho.int%2Ficd%235345_d85a204c_d00a_4566_a3b7_2d137a1891cf","iCat")</x:f>
      </x:c>
      <x:c r="M10474" s="0" t="s">
        <x:v>21</x:v>
      </x:c>
      <x:c r="N10474" s="0" t="s">
        <x:v>46</x:v>
      </x:c>
    </x:row>
    <x:row r="10475" spans="1:16">
      <x:c r="A10475" s="0" t="s">
        <x:v>41765</x:v>
      </x:c>
      <x:c r="B10475" s="0" t="s">
        <x:v>41766</x:v>
      </x:c>
      <x:c r="C10475" s="0" t="s">
        <x:v>41767</x:v>
      </x:c>
      <x:c r="E10475" s="0" t="s">
        <x:v>41768</x:v>
      </x:c>
      <x:c r="F10475" s="0" t="s">
        <x:v>45</x:v>
      </x:c>
      <x:c r="G10475" s="0" t="s">
        <x:v>19</x:v>
      </x:c>
      <x:c r="H10475" s="0" t="s">
        <x:v>20</x:v>
      </x:c>
      <x:c r="I10475" s="0" t="s">
        <x:v>21</x:v>
      </x:c>
      <x:c r="K10475" s="0">
        <x:f>hyperlink("https://icd.who.int/dev11/l-ichi/en#/http%3A%2F%2Fid.who.int%2Ficd%2Fentity%2F600239633","browser")</x:f>
      </x:c>
      <x:c r="L10475" s="0">
        <x:f>hyperlink("https://icat2.azurewebsites.net/icat/?ontology=ICD&amp;tab=ClassesTab&amp;id=http%3A%2F%2Fwho.int%2Ficd%2350977_512ebf36_bf6b_4d70_85da_cf2637062af4","iCat")</x:f>
      </x:c>
      <x:c r="M10475" s="0" t="s">
        <x:v>21</x:v>
      </x:c>
      <x:c r="N10475" s="0" t="s">
        <x:v>46</x:v>
      </x:c>
    </x:row>
    <x:row r="10476" spans="1:16">
      <x:c r="A10476" s="0" t="s">
        <x:v>41769</x:v>
      </x:c>
      <x:c r="B10476" s="0" t="s">
        <x:v>41770</x:v>
      </x:c>
      <x:c r="C10476" s="0" t="s">
        <x:v>41771</x:v>
      </x:c>
      <x:c r="E10476" s="0" t="s">
        <x:v>41772</x:v>
      </x:c>
      <x:c r="F10476" s="0" t="s">
        <x:v>45</x:v>
      </x:c>
      <x:c r="G10476" s="0" t="s">
        <x:v>19</x:v>
      </x:c>
      <x:c r="H10476" s="0" t="s">
        <x:v>20</x:v>
      </x:c>
      <x:c r="I10476" s="0" t="s">
        <x:v>21</x:v>
      </x:c>
      <x:c r="K10476" s="0">
        <x:f>hyperlink("https://icd.who.int/dev11/l-ichi/en#/http%3A%2F%2Fid.who.int%2Ficd%2Fentity%2F1235536694","browser")</x:f>
      </x:c>
      <x:c r="L10476" s="0">
        <x:f>hyperlink("https://icat2.azurewebsites.net/icat/?ontology=ICD&amp;tab=ClassesTab&amp;id=http%3A%2F%2Fwho.int%2Ficd%2350984_512ebf36_bf6b_4d70_85da_cf2637062af4","iCat")</x:f>
      </x:c>
      <x:c r="M10476" s="0" t="s">
        <x:v>21</x:v>
      </x:c>
      <x:c r="N10476" s="0" t="s">
        <x:v>46</x:v>
      </x:c>
    </x:row>
    <x:row r="10477" spans="1:16">
      <x:c r="A10477" s="0" t="s">
        <x:v>41773</x:v>
      </x:c>
      <x:c r="B10477" s="0" t="s">
        <x:v>41774</x:v>
      </x:c>
      <x:c r="C10477" s="0" t="s">
        <x:v>41775</x:v>
      </x:c>
      <x:c r="E10477" s="0" t="s">
        <x:v>41776</x:v>
      </x:c>
      <x:c r="F10477" s="0" t="s">
        <x:v>45</x:v>
      </x:c>
      <x:c r="G10477" s="0" t="s">
        <x:v>19</x:v>
      </x:c>
      <x:c r="H10477" s="0" t="s">
        <x:v>20</x:v>
      </x:c>
      <x:c r="I10477" s="0" t="s">
        <x:v>21</x:v>
      </x:c>
      <x:c r="K10477" s="0">
        <x:f>hyperlink("https://icd.who.int/dev11/l-ichi/en#/http%3A%2F%2Fid.who.int%2Ficd%2Fentity%2F916449321","browser")</x:f>
      </x:c>
      <x:c r="L10477" s="0">
        <x:f>hyperlink("https://icat2.azurewebsites.net/icat/?ontology=ICD&amp;tab=ClassesTab&amp;id=http%3A%2F%2Fwho.int%2Ficd%2350991_512ebf36_bf6b_4d70_85da_cf2637062af4","iCat")</x:f>
      </x:c>
      <x:c r="M10477" s="0" t="s">
        <x:v>21</x:v>
      </x:c>
      <x:c r="N10477" s="0" t="s">
        <x:v>46</x:v>
      </x:c>
    </x:row>
    <x:row r="10478" spans="1:16">
      <x:c r="A10478" s="0" t="s">
        <x:v>41777</x:v>
      </x:c>
      <x:c r="B10478" s="0" t="s">
        <x:v>41778</x:v>
      </x:c>
      <x:c r="C10478" s="0" t="s">
        <x:v>41779</x:v>
      </x:c>
      <x:c r="E10478" s="0" t="s">
        <x:v>41780</x:v>
      </x:c>
      <x:c r="F10478" s="0" t="s">
        <x:v>45</x:v>
      </x:c>
      <x:c r="G10478" s="0" t="s">
        <x:v>19</x:v>
      </x:c>
      <x:c r="H10478" s="0" t="s">
        <x:v>20</x:v>
      </x:c>
      <x:c r="I10478" s="0" t="s">
        <x:v>21</x:v>
      </x:c>
      <x:c r="K10478" s="0">
        <x:f>hyperlink("https://icd.who.int/dev11/l-ichi/en#/http%3A%2F%2Fid.who.int%2Ficd%2Fentity%2F1491594050","browser")</x:f>
      </x:c>
      <x:c r="L10478" s="0">
        <x:f>hyperlink("https://icat2.azurewebsites.net/icat/?ontology=ICD&amp;tab=ClassesTab&amp;id=http%3A%2F%2Fwho.int%2Ficd%2350998_512ebf36_bf6b_4d70_85da_cf2637062af4","iCat")</x:f>
      </x:c>
      <x:c r="M10478" s="0" t="s">
        <x:v>21</x:v>
      </x:c>
      <x:c r="N10478" s="0" t="s">
        <x:v>46</x:v>
      </x:c>
    </x:row>
    <x:row r="10479" spans="1:16">
      <x:c r="A10479" s="0" t="s">
        <x:v>41781</x:v>
      </x:c>
      <x:c r="B10479" s="0" t="s">
        <x:v>41782</x:v>
      </x:c>
      <x:c r="C10479" s="0" t="s">
        <x:v>41783</x:v>
      </x:c>
      <x:c r="E10479" s="0" t="s">
        <x:v>41784</x:v>
      </x:c>
      <x:c r="F10479" s="0" t="s">
        <x:v>45</x:v>
      </x:c>
      <x:c r="G10479" s="0" t="s">
        <x:v>19</x:v>
      </x:c>
      <x:c r="H10479" s="0" t="s">
        <x:v>20</x:v>
      </x:c>
      <x:c r="I10479" s="0" t="s">
        <x:v>21</x:v>
      </x:c>
      <x:c r="K10479" s="0">
        <x:f>hyperlink("https://icd.who.int/dev11/l-ichi/en#/http%3A%2F%2Fid.who.int%2Ficd%2Fentity%2F1358432140","browser")</x:f>
      </x:c>
      <x:c r="L10479" s="0">
        <x:f>hyperlink("https://icat2.azurewebsites.net/icat/?ontology=ICD&amp;tab=ClassesTab&amp;id=http%3A%2F%2Fwho.int%2Ficd%2351005_512ebf36_bf6b_4d70_85da_cf2637062af4","iCat")</x:f>
      </x:c>
      <x:c r="M10479" s="0" t="s">
        <x:v>21</x:v>
      </x:c>
      <x:c r="N10479" s="0" t="s">
        <x:v>46</x:v>
      </x:c>
    </x:row>
    <x:row r="10480" spans="1:16">
      <x:c r="A10480" s="0" t="s">
        <x:v>41785</x:v>
      </x:c>
      <x:c r="B10480" s="0" t="s">
        <x:v>41786</x:v>
      </x:c>
      <x:c r="C10480" s="0" t="s">
        <x:v>41787</x:v>
      </x:c>
      <x:c r="E10480" s="0" t="s">
        <x:v>41788</x:v>
      </x:c>
      <x:c r="F10480" s="0" t="s">
        <x:v>45</x:v>
      </x:c>
      <x:c r="G10480" s="0" t="s">
        <x:v>19</x:v>
      </x:c>
      <x:c r="H10480" s="0" t="s">
        <x:v>20</x:v>
      </x:c>
      <x:c r="I10480" s="0" t="s">
        <x:v>21</x:v>
      </x:c>
      <x:c r="K10480" s="0">
        <x:f>hyperlink("https://icd.who.int/dev11/l-ichi/en#/http%3A%2F%2Fid.who.int%2Ficd%2Fentity%2F1254046034","browser")</x:f>
      </x:c>
      <x:c r="L10480" s="0">
        <x:f>hyperlink("https://icat2.azurewebsites.net/icat/?ontology=ICD&amp;tab=ClassesTab&amp;id=http%3A%2F%2Fwho.int%2Ficd%2351012_512ebf36_bf6b_4d70_85da_cf2637062af4","iCat")</x:f>
      </x:c>
      <x:c r="M10480" s="0" t="s">
        <x:v>21</x:v>
      </x:c>
      <x:c r="N10480" s="0" t="s">
        <x:v>46</x:v>
      </x:c>
    </x:row>
    <x:row r="10481" spans="1:16">
      <x:c r="A10481" s="0" t="s">
        <x:v>41789</x:v>
      </x:c>
      <x:c r="B10481" s="0" t="s">
        <x:v>41790</x:v>
      </x:c>
      <x:c r="C10481" s="0" t="s">
        <x:v>41791</x:v>
      </x:c>
      <x:c r="E10481" s="0" t="s">
        <x:v>41792</x:v>
      </x:c>
      <x:c r="F10481" s="0" t="s">
        <x:v>45</x:v>
      </x:c>
      <x:c r="G10481" s="0" t="s">
        <x:v>19</x:v>
      </x:c>
      <x:c r="H10481" s="0" t="s">
        <x:v>20</x:v>
      </x:c>
      <x:c r="I10481" s="0" t="s">
        <x:v>21</x:v>
      </x:c>
      <x:c r="K10481" s="0">
        <x:f>hyperlink("https://icd.who.int/dev11/l-ichi/en#/http%3A%2F%2Fid.who.int%2Ficd%2Fentity%2F1102784508","browser")</x:f>
      </x:c>
      <x:c r="L10481" s="0">
        <x:f>hyperlink("https://icat2.azurewebsites.net/icat/?ontology=ICD&amp;tab=ClassesTab&amp;id=http%3A%2F%2Fwho.int%2Ficd%2351019_512ebf36_bf6b_4d70_85da_cf2637062af4","iCat")</x:f>
      </x:c>
      <x:c r="M10481" s="0" t="s">
        <x:v>21</x:v>
      </x:c>
      <x:c r="N10481" s="0" t="s">
        <x:v>46</x:v>
      </x:c>
    </x:row>
    <x:row r="10482" spans="1:16">
      <x:c r="A10482" s="0" t="s">
        <x:v>41793</x:v>
      </x:c>
      <x:c r="B10482" s="0" t="s">
        <x:v>41794</x:v>
      </x:c>
      <x:c r="C10482" s="0" t="s">
        <x:v>41795</x:v>
      </x:c>
      <x:c r="E10482" s="0" t="s">
        <x:v>41796</x:v>
      </x:c>
      <x:c r="F10482" s="0" t="s">
        <x:v>45</x:v>
      </x:c>
      <x:c r="G10482" s="0" t="s">
        <x:v>19</x:v>
      </x:c>
      <x:c r="H10482" s="0" t="s">
        <x:v>20</x:v>
      </x:c>
      <x:c r="I10482" s="0" t="s">
        <x:v>21</x:v>
      </x:c>
      <x:c r="K10482" s="0">
        <x:f>hyperlink("https://icd.who.int/dev11/l-ichi/en#/http%3A%2F%2Fid.who.int%2Ficd%2Fentity%2F1057602851","browser")</x:f>
      </x:c>
      <x:c r="L10482" s="0">
        <x:f>hyperlink("https://icat2.azurewebsites.net/icat/?ontology=ICD&amp;tab=ClassesTab&amp;id=http%3A%2F%2Fwho.int%2Ficd%2351026_512ebf36_bf6b_4d70_85da_cf2637062af4","iCat")</x:f>
      </x:c>
      <x:c r="M10482" s="0" t="s">
        <x:v>21</x:v>
      </x:c>
      <x:c r="N10482" s="0" t="s">
        <x:v>46</x:v>
      </x:c>
    </x:row>
    <x:row r="10483" spans="1:16">
      <x:c r="A10483" s="0" t="s">
        <x:v>41797</x:v>
      </x:c>
      <x:c r="B10483" s="0" t="s">
        <x:v>41798</x:v>
      </x:c>
      <x:c r="C10483" s="0" t="s">
        <x:v>41799</x:v>
      </x:c>
      <x:c r="E10483" s="0" t="s">
        <x:v>41800</x:v>
      </x:c>
      <x:c r="F10483" s="0" t="s">
        <x:v>45</x:v>
      </x:c>
      <x:c r="G10483" s="0" t="s">
        <x:v>19</x:v>
      </x:c>
      <x:c r="H10483" s="0" t="s">
        <x:v>20</x:v>
      </x:c>
      <x:c r="I10483" s="0" t="s">
        <x:v>21</x:v>
      </x:c>
      <x:c r="K10483" s="0">
        <x:f>hyperlink("https://icd.who.int/dev11/l-ichi/en#/http%3A%2F%2Fid.who.int%2Ficd%2Fentity%2F1077059134","browser")</x:f>
      </x:c>
      <x:c r="L10483" s="0">
        <x:f>hyperlink("https://icat2.azurewebsites.net/icat/?ontology=ICD&amp;tab=ClassesTab&amp;id=http%3A%2F%2Fwho.int%2Ficd%2351033_512ebf36_bf6b_4d70_85da_cf2637062af4","iCat")</x:f>
      </x:c>
      <x:c r="M10483" s="0" t="s">
        <x:v>21</x:v>
      </x:c>
      <x:c r="N10483" s="0" t="s">
        <x:v>46</x:v>
      </x:c>
    </x:row>
    <x:row r="10484" spans="1:16">
      <x:c r="A10484" s="0" t="s">
        <x:v>41801</x:v>
      </x:c>
      <x:c r="B10484" s="0" t="s">
        <x:v>41802</x:v>
      </x:c>
      <x:c r="C10484" s="0" t="s">
        <x:v>41803</x:v>
      </x:c>
      <x:c r="E10484" s="0" t="s">
        <x:v>41804</x:v>
      </x:c>
      <x:c r="F10484" s="0" t="s">
        <x:v>45</x:v>
      </x:c>
      <x:c r="G10484" s="0" t="s">
        <x:v>19</x:v>
      </x:c>
      <x:c r="H10484" s="0" t="s">
        <x:v>20</x:v>
      </x:c>
      <x:c r="I10484" s="0" t="s">
        <x:v>21</x:v>
      </x:c>
      <x:c r="K10484" s="0">
        <x:f>hyperlink("https://icd.who.int/dev11/l-ichi/en#/http%3A%2F%2Fid.who.int%2Ficd%2Fentity%2F895607519","browser")</x:f>
      </x:c>
      <x:c r="L10484" s="0">
        <x:f>hyperlink("https://icat2.azurewebsites.net/icat/?ontology=ICD&amp;tab=ClassesTab&amp;id=http%3A%2F%2Fwho.int%2Ficd%2351040_512ebf36_bf6b_4d70_85da_cf2637062af4","iCat")</x:f>
      </x:c>
      <x:c r="M10484" s="0" t="s">
        <x:v>21</x:v>
      </x:c>
      <x:c r="N10484" s="0" t="s">
        <x:v>46</x:v>
      </x:c>
    </x:row>
    <x:row r="10485" spans="1:16">
      <x:c r="A10485" s="0" t="s">
        <x:v>41805</x:v>
      </x:c>
      <x:c r="B10485" s="0" t="s">
        <x:v>41806</x:v>
      </x:c>
      <x:c r="C10485" s="0" t="s">
        <x:v>41807</x:v>
      </x:c>
      <x:c r="E10485" s="0" t="s">
        <x:v>41808</x:v>
      </x:c>
      <x:c r="F10485" s="0" t="s">
        <x:v>45</x:v>
      </x:c>
      <x:c r="G10485" s="0" t="s">
        <x:v>19</x:v>
      </x:c>
      <x:c r="H10485" s="0" t="s">
        <x:v>20</x:v>
      </x:c>
      <x:c r="I10485" s="0" t="s">
        <x:v>21</x:v>
      </x:c>
      <x:c r="K10485" s="0">
        <x:f>hyperlink("https://icd.who.int/dev11/l-ichi/en#/http%3A%2F%2Fid.who.int%2Ficd%2Fentity%2F1172523348","browser")</x:f>
      </x:c>
      <x:c r="L10485" s="0">
        <x:f>hyperlink("https://icat2.azurewebsites.net/icat/?ontology=ICD&amp;tab=ClassesTab&amp;id=http%3A%2F%2Fwho.int%2Ficd%2351047_512ebf36_bf6b_4d70_85da_cf2637062af4","iCat")</x:f>
      </x:c>
      <x:c r="M10485" s="0" t="s">
        <x:v>21</x:v>
      </x:c>
      <x:c r="N10485" s="0" t="s">
        <x:v>46</x:v>
      </x:c>
    </x:row>
    <x:row r="10486" spans="1:16">
      <x:c r="A10486" s="0" t="s">
        <x:v>41809</x:v>
      </x:c>
      <x:c r="B10486" s="0" t="s">
        <x:v>41810</x:v>
      </x:c>
      <x:c r="C10486" s="0" t="s">
        <x:v>41811</x:v>
      </x:c>
      <x:c r="E10486" s="0" t="s">
        <x:v>41812</x:v>
      </x:c>
      <x:c r="F10486" s="0" t="s">
        <x:v>45</x:v>
      </x:c>
      <x:c r="G10486" s="0" t="s">
        <x:v>19</x:v>
      </x:c>
      <x:c r="H10486" s="0" t="s">
        <x:v>20</x:v>
      </x:c>
      <x:c r="I10486" s="0" t="s">
        <x:v>21</x:v>
      </x:c>
      <x:c r="K10486" s="0">
        <x:f>hyperlink("https://icd.who.int/dev11/l-ichi/en#/http%3A%2F%2Fid.who.int%2Ficd%2Fentity%2F1789113340","browser")</x:f>
      </x:c>
      <x:c r="L10486" s="0">
        <x:f>hyperlink("https://icat2.azurewebsites.net/icat/?ontology=ICD&amp;tab=ClassesTab&amp;id=http%3A%2F%2Fwho.int%2Ficd%2351054_512ebf36_bf6b_4d70_85da_cf2637062af4","iCat")</x:f>
      </x:c>
      <x:c r="M10486" s="0" t="s">
        <x:v>21</x:v>
      </x:c>
      <x:c r="N10486" s="0" t="s">
        <x:v>46</x:v>
      </x:c>
    </x:row>
    <x:row r="10487" spans="1:16">
      <x:c r="A10487" s="0" t="s">
        <x:v>41813</x:v>
      </x:c>
      <x:c r="B10487" s="0" t="s">
        <x:v>41814</x:v>
      </x:c>
      <x:c r="C10487" s="0" t="s">
        <x:v>41815</x:v>
      </x:c>
      <x:c r="E10487" s="0" t="s">
        <x:v>41816</x:v>
      </x:c>
      <x:c r="F10487" s="0" t="s">
        <x:v>45</x:v>
      </x:c>
      <x:c r="G10487" s="0" t="s">
        <x:v>19</x:v>
      </x:c>
      <x:c r="H10487" s="0" t="s">
        <x:v>20</x:v>
      </x:c>
      <x:c r="I10487" s="0" t="s">
        <x:v>21</x:v>
      </x:c>
      <x:c r="K10487" s="0">
        <x:f>hyperlink("https://icd.who.int/dev11/l-ichi/en#/http%3A%2F%2Fid.who.int%2Ficd%2Fentity%2F1072448947","browser")</x:f>
      </x:c>
      <x:c r="L10487" s="0">
        <x:f>hyperlink("https://icat2.azurewebsites.net/icat/?ontology=ICD&amp;tab=ClassesTab&amp;id=http%3A%2F%2Fwho.int%2Ficd%2351061_512ebf36_bf6b_4d70_85da_cf2637062af4","iCat")</x:f>
      </x:c>
      <x:c r="M10487" s="0" t="s">
        <x:v>21</x:v>
      </x:c>
      <x:c r="N10487" s="0" t="s">
        <x:v>46</x:v>
      </x:c>
    </x:row>
    <x:row r="10488" spans="1:16">
      <x:c r="A10488" s="0" t="s">
        <x:v>41817</x:v>
      </x:c>
      <x:c r="B10488" s="0" t="s">
        <x:v>41818</x:v>
      </x:c>
      <x:c r="C10488" s="0" t="s">
        <x:v>41819</x:v>
      </x:c>
      <x:c r="E10488" s="0" t="s">
        <x:v>41820</x:v>
      </x:c>
      <x:c r="F10488" s="0" t="s">
        <x:v>45</x:v>
      </x:c>
      <x:c r="G10488" s="0" t="s">
        <x:v>19</x:v>
      </x:c>
      <x:c r="H10488" s="0" t="s">
        <x:v>20</x:v>
      </x:c>
      <x:c r="I10488" s="0" t="s">
        <x:v>21</x:v>
      </x:c>
      <x:c r="K10488" s="0">
        <x:f>hyperlink("https://icd.who.int/dev11/l-ichi/en#/http%3A%2F%2Fid.who.int%2Ficd%2Fentity%2F1368671962","browser")</x:f>
      </x:c>
      <x:c r="L10488" s="0">
        <x:f>hyperlink("https://icat2.azurewebsites.net/icat/?ontology=ICD&amp;tab=ClassesTab&amp;id=http%3A%2F%2Fwho.int%2Ficd%2351068_512ebf36_bf6b_4d70_85da_cf2637062af4","iCat")</x:f>
      </x:c>
      <x:c r="M10488" s="0" t="s">
        <x:v>21</x:v>
      </x:c>
      <x:c r="N10488" s="0" t="s">
        <x:v>46</x:v>
      </x:c>
    </x:row>
    <x:row r="10489" spans="1:16">
      <x:c r="A10489" s="0" t="s">
        <x:v>41821</x:v>
      </x:c>
      <x:c r="B10489" s="0" t="s">
        <x:v>41822</x:v>
      </x:c>
      <x:c r="C10489" s="0" t="s">
        <x:v>41823</x:v>
      </x:c>
      <x:c r="E10489" s="0" t="s">
        <x:v>41824</x:v>
      </x:c>
      <x:c r="F10489" s="0" t="s">
        <x:v>45</x:v>
      </x:c>
      <x:c r="G10489" s="0" t="s">
        <x:v>19</x:v>
      </x:c>
      <x:c r="H10489" s="0" t="s">
        <x:v>20</x:v>
      </x:c>
      <x:c r="I10489" s="0" t="s">
        <x:v>21</x:v>
      </x:c>
      <x:c r="K10489" s="0">
        <x:f>hyperlink("https://icd.who.int/dev11/l-ichi/en#/http%3A%2F%2Fid.who.int%2Ficd%2Fentity%2F1613632656","browser")</x:f>
      </x:c>
      <x:c r="L10489" s="0">
        <x:f>hyperlink("https://icat2.azurewebsites.net/icat/?ontology=ICD&amp;tab=ClassesTab&amp;id=http%3A%2F%2Fwho.int%2Ficd%2351075_512ebf36_bf6b_4d70_85da_cf2637062af4","iCat")</x:f>
      </x:c>
      <x:c r="M10489" s="0" t="s">
        <x:v>21</x:v>
      </x:c>
      <x:c r="N10489" s="0" t="s">
        <x:v>46</x:v>
      </x:c>
    </x:row>
    <x:row r="10490" spans="1:16">
      <x:c r="A10490" s="0" t="s">
        <x:v>41825</x:v>
      </x:c>
      <x:c r="B10490" s="0" t="s">
        <x:v>41826</x:v>
      </x:c>
      <x:c r="C10490" s="0" t="s">
        <x:v>41827</x:v>
      </x:c>
      <x:c r="E10490" s="0" t="s">
        <x:v>41828</x:v>
      </x:c>
      <x:c r="F10490" s="0" t="s">
        <x:v>45</x:v>
      </x:c>
      <x:c r="G10490" s="0" t="s">
        <x:v>19</x:v>
      </x:c>
      <x:c r="H10490" s="0" t="s">
        <x:v>20</x:v>
      </x:c>
      <x:c r="I10490" s="0" t="s">
        <x:v>21</x:v>
      </x:c>
      <x:c r="K10490" s="0">
        <x:f>hyperlink("https://icd.who.int/dev11/l-ichi/en#/http%3A%2F%2Fid.who.int%2Ficd%2Fentity%2F1389577596","browser")</x:f>
      </x:c>
      <x:c r="L10490" s="0">
        <x:f>hyperlink("https://icat2.azurewebsites.net/icat/?ontology=ICD&amp;tab=ClassesTab&amp;id=http%3A%2F%2Fwho.int%2Ficd%23514_e87d5413_a3ef_41e3_b1c4_bdb20d4d591d","iCat")</x:f>
      </x:c>
      <x:c r="M10490" s="0" t="s">
        <x:v>21</x:v>
      </x:c>
      <x:c r="N10490" s="0" t="s">
        <x:v>46</x:v>
      </x:c>
    </x:row>
    <x:row r="10491" spans="1:16">
      <x:c r="A10491" s="0" t="s">
        <x:v>41829</x:v>
      </x:c>
      <x:c r="B10491" s="0" t="s">
        <x:v>41830</x:v>
      </x:c>
      <x:c r="C10491" s="0" t="s">
        <x:v>41831</x:v>
      </x:c>
      <x:c r="E10491" s="0" t="s">
        <x:v>41832</x:v>
      </x:c>
      <x:c r="F10491" s="0" t="s">
        <x:v>45</x:v>
      </x:c>
      <x:c r="G10491" s="0" t="s">
        <x:v>19</x:v>
      </x:c>
      <x:c r="H10491" s="0" t="s">
        <x:v>20</x:v>
      </x:c>
      <x:c r="I10491" s="0" t="s">
        <x:v>21</x:v>
      </x:c>
      <x:c r="K10491" s="0">
        <x:f>hyperlink("https://icd.who.int/dev11/l-ichi/en#/http%3A%2F%2Fid.who.int%2Ficd%2Fentity%2F1061942723","browser")</x:f>
      </x:c>
      <x:c r="L10491" s="0">
        <x:f>hyperlink("https://icat2.azurewebsites.net/icat/?ontology=ICD&amp;tab=ClassesTab&amp;id=http%3A%2F%2Fwho.int%2Ficd%2351082_512ebf36_bf6b_4d70_85da_cf2637062af4","iCat")</x:f>
      </x:c>
      <x:c r="M10491" s="0" t="s">
        <x:v>21</x:v>
      </x:c>
      <x:c r="N10491" s="0" t="s">
        <x:v>46</x:v>
      </x:c>
    </x:row>
    <x:row r="10492" spans="1:16">
      <x:c r="A10492" s="0" t="s">
        <x:v>41833</x:v>
      </x:c>
      <x:c r="B10492" s="0" t="s">
        <x:v>41834</x:v>
      </x:c>
      <x:c r="C10492" s="0" t="s">
        <x:v>41835</x:v>
      </x:c>
      <x:c r="E10492" s="0" t="s">
        <x:v>41836</x:v>
      </x:c>
      <x:c r="F10492" s="0" t="s">
        <x:v>45</x:v>
      </x:c>
      <x:c r="G10492" s="0" t="s">
        <x:v>19</x:v>
      </x:c>
      <x:c r="H10492" s="0" t="s">
        <x:v>20</x:v>
      </x:c>
      <x:c r="I10492" s="0" t="s">
        <x:v>21</x:v>
      </x:c>
      <x:c r="K10492" s="0">
        <x:f>hyperlink("https://icd.who.int/dev11/l-ichi/en#/http%3A%2F%2Fid.who.int%2Ficd%2Fentity%2F877652847","browser")</x:f>
      </x:c>
      <x:c r="L10492" s="0">
        <x:f>hyperlink("https://icat2.azurewebsites.net/icat/?ontology=ICD&amp;tab=ClassesTab&amp;id=http%3A%2F%2Fwho.int%2Ficd%2351089_512ebf36_bf6b_4d70_85da_cf2637062af4","iCat")</x:f>
      </x:c>
      <x:c r="M10492" s="0" t="s">
        <x:v>21</x:v>
      </x:c>
      <x:c r="N10492" s="0" t="s">
        <x:v>46</x:v>
      </x:c>
    </x:row>
    <x:row r="10493" spans="1:16">
      <x:c r="A10493" s="0" t="s">
        <x:v>41837</x:v>
      </x:c>
      <x:c r="B10493" s="0" t="s">
        <x:v>41838</x:v>
      </x:c>
      <x:c r="C10493" s="0" t="s">
        <x:v>41839</x:v>
      </x:c>
      <x:c r="E10493" s="0" t="s">
        <x:v>41840</x:v>
      </x:c>
      <x:c r="F10493" s="0" t="s">
        <x:v>45</x:v>
      </x:c>
      <x:c r="G10493" s="0" t="s">
        <x:v>19</x:v>
      </x:c>
      <x:c r="H10493" s="0" t="s">
        <x:v>20</x:v>
      </x:c>
      <x:c r="I10493" s="0" t="s">
        <x:v>21</x:v>
      </x:c>
      <x:c r="K10493" s="0">
        <x:f>hyperlink("https://icd.who.int/dev11/l-ichi/en#/http%3A%2F%2Fid.who.int%2Ficd%2Fentity%2F1619633378","browser")</x:f>
      </x:c>
      <x:c r="L10493" s="0">
        <x:f>hyperlink("https://icat2.azurewebsites.net/icat/?ontology=ICD&amp;tab=ClassesTab&amp;id=http%3A%2F%2Fwho.int%2Ficd%2351096_512ebf36_bf6b_4d70_85da_cf2637062af4","iCat")</x:f>
      </x:c>
      <x:c r="M10493" s="0" t="s">
        <x:v>21</x:v>
      </x:c>
      <x:c r="N10493" s="0" t="s">
        <x:v>46</x:v>
      </x:c>
    </x:row>
    <x:row r="10494" spans="1:16">
      <x:c r="A10494" s="0" t="s">
        <x:v>41841</x:v>
      </x:c>
      <x:c r="B10494" s="0" t="s">
        <x:v>41842</x:v>
      </x:c>
      <x:c r="C10494" s="0" t="s">
        <x:v>41843</x:v>
      </x:c>
      <x:c r="E10494" s="0" t="s">
        <x:v>41844</x:v>
      </x:c>
      <x:c r="F10494" s="0" t="s">
        <x:v>45</x:v>
      </x:c>
      <x:c r="G10494" s="0" t="s">
        <x:v>19</x:v>
      </x:c>
      <x:c r="H10494" s="0" t="s">
        <x:v>20</x:v>
      </x:c>
      <x:c r="I10494" s="0" t="s">
        <x:v>21</x:v>
      </x:c>
      <x:c r="K10494" s="0">
        <x:f>hyperlink("https://icd.who.int/dev11/l-ichi/en#/http%3A%2F%2Fid.who.int%2Ficd%2Fentity%2F1964775590","browser")</x:f>
      </x:c>
      <x:c r="L10494" s="0">
        <x:f>hyperlink("https://icat2.azurewebsites.net/icat/?ontology=ICD&amp;tab=ClassesTab&amp;id=http%3A%2F%2Fwho.int%2Ficd%2351103_512ebf36_bf6b_4d70_85da_cf2637062af4","iCat")</x:f>
      </x:c>
      <x:c r="M10494" s="0" t="s">
        <x:v>21</x:v>
      </x:c>
      <x:c r="N10494" s="0" t="s">
        <x:v>46</x:v>
      </x:c>
    </x:row>
    <x:row r="10495" spans="1:16">
      <x:c r="A10495" s="0" t="s">
        <x:v>41845</x:v>
      </x:c>
      <x:c r="B10495" s="0" t="s">
        <x:v>41846</x:v>
      </x:c>
      <x:c r="C10495" s="0" t="s">
        <x:v>41847</x:v>
      </x:c>
      <x:c r="E10495" s="0" t="s">
        <x:v>41848</x:v>
      </x:c>
      <x:c r="F10495" s="0" t="s">
        <x:v>45</x:v>
      </x:c>
      <x:c r="G10495" s="0" t="s">
        <x:v>19</x:v>
      </x:c>
      <x:c r="H10495" s="0" t="s">
        <x:v>20</x:v>
      </x:c>
      <x:c r="I10495" s="0" t="s">
        <x:v>21</x:v>
      </x:c>
      <x:c r="K10495" s="0">
        <x:f>hyperlink("https://icd.who.int/dev11/l-ichi/en#/http%3A%2F%2Fid.who.int%2Ficd%2Fentity%2F1516036618","browser")</x:f>
      </x:c>
      <x:c r="L10495" s="0">
        <x:f>hyperlink("https://icat2.azurewebsites.net/icat/?ontology=ICD&amp;tab=ClassesTab&amp;id=http%3A%2F%2Fwho.int%2Ficd%2351110_512ebf36_bf6b_4d70_85da_cf2637062af4","iCat")</x:f>
      </x:c>
      <x:c r="M10495" s="0" t="s">
        <x:v>21</x:v>
      </x:c>
      <x:c r="N10495" s="0" t="s">
        <x:v>46</x:v>
      </x:c>
    </x:row>
    <x:row r="10496" spans="1:16">
      <x:c r="A10496" s="0" t="s">
        <x:v>41849</x:v>
      </x:c>
      <x:c r="B10496" s="0" t="s">
        <x:v>41850</x:v>
      </x:c>
      <x:c r="C10496" s="0" t="s">
        <x:v>41851</x:v>
      </x:c>
      <x:c r="E10496" s="0" t="s">
        <x:v>41852</x:v>
      </x:c>
      <x:c r="F10496" s="0" t="s">
        <x:v>45</x:v>
      </x:c>
      <x:c r="G10496" s="0" t="s">
        <x:v>19</x:v>
      </x:c>
      <x:c r="H10496" s="0" t="s">
        <x:v>20</x:v>
      </x:c>
      <x:c r="I10496" s="0" t="s">
        <x:v>21</x:v>
      </x:c>
      <x:c r="K10496" s="0">
        <x:f>hyperlink("https://icd.who.int/dev11/l-ichi/en#/http%3A%2F%2Fid.who.int%2Ficd%2Fentity%2F719210885","browser")</x:f>
      </x:c>
      <x:c r="L10496" s="0">
        <x:f>hyperlink("https://icat2.azurewebsites.net/icat/?ontology=ICD&amp;tab=ClassesTab&amp;id=http%3A%2F%2Fwho.int%2Ficd%2351117_512ebf36_bf6b_4d70_85da_cf2637062af4","iCat")</x:f>
      </x:c>
      <x:c r="M10496" s="0" t="s">
        <x:v>21</x:v>
      </x:c>
      <x:c r="N10496" s="0" t="s">
        <x:v>46</x:v>
      </x:c>
    </x:row>
    <x:row r="10497" spans="1:16">
      <x:c r="A10497" s="0" t="s">
        <x:v>41853</x:v>
      </x:c>
      <x:c r="B10497" s="0" t="s">
        <x:v>41854</x:v>
      </x:c>
      <x:c r="C10497" s="0" t="s">
        <x:v>41855</x:v>
      </x:c>
      <x:c r="E10497" s="0" t="s">
        <x:v>41856</x:v>
      </x:c>
      <x:c r="F10497" s="0" t="s">
        <x:v>45</x:v>
      </x:c>
      <x:c r="G10497" s="0" t="s">
        <x:v>19</x:v>
      </x:c>
      <x:c r="H10497" s="0" t="s">
        <x:v>20</x:v>
      </x:c>
      <x:c r="I10497" s="0" t="s">
        <x:v>21</x:v>
      </x:c>
      <x:c r="K10497" s="0">
        <x:f>hyperlink("https://icd.who.int/dev11/l-ichi/en#/http%3A%2F%2Fid.who.int%2Ficd%2Fentity%2F803890811","browser")</x:f>
      </x:c>
      <x:c r="L10497" s="0">
        <x:f>hyperlink("https://icat2.azurewebsites.net/icat/?ontology=ICD&amp;tab=ClassesTab&amp;id=http%3A%2F%2Fwho.int%2Ficd%2351124_512ebf36_bf6b_4d70_85da_cf2637062af4","iCat")</x:f>
      </x:c>
      <x:c r="M10497" s="0" t="s">
        <x:v>21</x:v>
      </x:c>
      <x:c r="N10497" s="0" t="s">
        <x:v>46</x:v>
      </x:c>
    </x:row>
    <x:row r="10498" spans="1:16">
      <x:c r="A10498" s="0" t="s">
        <x:v>41857</x:v>
      </x:c>
      <x:c r="B10498" s="0" t="s">
        <x:v>41858</x:v>
      </x:c>
      <x:c r="C10498" s="0" t="s">
        <x:v>41859</x:v>
      </x:c>
      <x:c r="E10498" s="0" t="s">
        <x:v>41860</x:v>
      </x:c>
      <x:c r="F10498" s="0" t="s">
        <x:v>45</x:v>
      </x:c>
      <x:c r="G10498" s="0" t="s">
        <x:v>19</x:v>
      </x:c>
      <x:c r="H10498" s="0" t="s">
        <x:v>20</x:v>
      </x:c>
      <x:c r="I10498" s="0" t="s">
        <x:v>21</x:v>
      </x:c>
      <x:c r="K10498" s="0">
        <x:f>hyperlink("https://icd.who.int/dev11/l-ichi/en#/http%3A%2F%2Fid.who.int%2Ficd%2Fentity%2F1355892070","browser")</x:f>
      </x:c>
      <x:c r="L10498" s="0">
        <x:f>hyperlink("https://icat2.azurewebsites.net/icat/?ontology=ICD&amp;tab=ClassesTab&amp;id=http%3A%2F%2Fwho.int%2Ficd%2351131_512ebf36_bf6b_4d70_85da_cf2637062af4","iCat")</x:f>
      </x:c>
      <x:c r="M10498" s="0" t="s">
        <x:v>21</x:v>
      </x:c>
      <x:c r="N10498" s="0" t="s">
        <x:v>46</x:v>
      </x:c>
    </x:row>
    <x:row r="10499" spans="1:16">
      <x:c r="A10499" s="0" t="s">
        <x:v>41861</x:v>
      </x:c>
      <x:c r="B10499" s="0" t="s">
        <x:v>41862</x:v>
      </x:c>
      <x:c r="C10499" s="0" t="s">
        <x:v>41863</x:v>
      </x:c>
      <x:c r="E10499" s="0" t="s">
        <x:v>41864</x:v>
      </x:c>
      <x:c r="F10499" s="0" t="s">
        <x:v>45</x:v>
      </x:c>
      <x:c r="G10499" s="0" t="s">
        <x:v>19</x:v>
      </x:c>
      <x:c r="H10499" s="0" t="s">
        <x:v>20</x:v>
      </x:c>
      <x:c r="I10499" s="0" t="s">
        <x:v>21</x:v>
      </x:c>
      <x:c r="K10499" s="0">
        <x:f>hyperlink("https://icd.who.int/dev11/l-ichi/en#/http%3A%2F%2Fid.who.int%2Ficd%2Fentity%2F1051280909","browser")</x:f>
      </x:c>
      <x:c r="L10499" s="0">
        <x:f>hyperlink("https://icat2.azurewebsites.net/icat/?ontology=ICD&amp;tab=ClassesTab&amp;id=http%3A%2F%2Fwho.int%2Ficd%2351138_512ebf36_bf6b_4d70_85da_cf2637062af4","iCat")</x:f>
      </x:c>
      <x:c r="M10499" s="0" t="s">
        <x:v>21</x:v>
      </x:c>
      <x:c r="N10499" s="0" t="s">
        <x:v>46</x:v>
      </x:c>
    </x:row>
    <x:row r="10500" spans="1:16">
      <x:c r="A10500" s="0" t="s">
        <x:v>41865</x:v>
      </x:c>
      <x:c r="B10500" s="0" t="s">
        <x:v>41866</x:v>
      </x:c>
      <x:c r="C10500" s="0" t="s">
        <x:v>41867</x:v>
      </x:c>
      <x:c r="E10500" s="0" t="s">
        <x:v>41868</x:v>
      </x:c>
      <x:c r="F10500" s="0" t="s">
        <x:v>45</x:v>
      </x:c>
      <x:c r="G10500" s="0" t="s">
        <x:v>19</x:v>
      </x:c>
      <x:c r="H10500" s="0" t="s">
        <x:v>20</x:v>
      </x:c>
      <x:c r="I10500" s="0" t="s">
        <x:v>21</x:v>
      </x:c>
      <x:c r="K10500" s="0">
        <x:f>hyperlink("https://icd.who.int/dev11/l-ichi/en#/http%3A%2F%2Fid.who.int%2Ficd%2Fentity%2F1426100748","browser")</x:f>
      </x:c>
      <x:c r="L10500" s="0">
        <x:f>hyperlink("https://icat2.azurewebsites.net/icat/?ontology=ICD&amp;tab=ClassesTab&amp;id=http%3A%2F%2Fwho.int%2Ficd%2351145_512ebf36_bf6b_4d70_85da_cf2637062af4","iCat")</x:f>
      </x:c>
      <x:c r="M10500" s="0" t="s">
        <x:v>21</x:v>
      </x:c>
      <x:c r="N10500" s="0" t="s">
        <x:v>46</x:v>
      </x:c>
    </x:row>
    <x:row r="10501" spans="1:16">
      <x:c r="A10501" s="0" t="s">
        <x:v>41869</x:v>
      </x:c>
      <x:c r="B10501" s="0" t="s">
        <x:v>41870</x:v>
      </x:c>
      <x:c r="C10501" s="0" t="s">
        <x:v>41871</x:v>
      </x:c>
      <x:c r="E10501" s="0" t="s">
        <x:v>41872</x:v>
      </x:c>
      <x:c r="F10501" s="0" t="s">
        <x:v>45</x:v>
      </x:c>
      <x:c r="G10501" s="0" t="s">
        <x:v>19</x:v>
      </x:c>
      <x:c r="H10501" s="0" t="s">
        <x:v>20</x:v>
      </x:c>
      <x:c r="I10501" s="0" t="s">
        <x:v>21</x:v>
      </x:c>
      <x:c r="K10501" s="0">
        <x:f>hyperlink("https://icd.who.int/dev11/l-ichi/en#/http%3A%2F%2Fid.who.int%2Ficd%2Fentity%2F1330097362","browser")</x:f>
      </x:c>
      <x:c r="L10501" s="0">
        <x:f>hyperlink("https://icat2.azurewebsites.net/icat/?ontology=ICD&amp;tab=ClassesTab&amp;id=http%3A%2F%2Fwho.int%2Ficd%2351152_512ebf36_bf6b_4d70_85da_cf2637062af4","iCat")</x:f>
      </x:c>
      <x:c r="M10501" s="0" t="s">
        <x:v>21</x:v>
      </x:c>
      <x:c r="N10501" s="0" t="s">
        <x:v>46</x:v>
      </x:c>
    </x:row>
    <x:row r="10502" spans="1:16">
      <x:c r="A10502" s="0" t="s">
        <x:v>41873</x:v>
      </x:c>
      <x:c r="B10502" s="0" t="s">
        <x:v>41874</x:v>
      </x:c>
      <x:c r="C10502" s="0" t="s">
        <x:v>41875</x:v>
      </x:c>
      <x:c r="E10502" s="0" t="s">
        <x:v>41876</x:v>
      </x:c>
      <x:c r="F10502" s="0" t="s">
        <x:v>45</x:v>
      </x:c>
      <x:c r="G10502" s="0" t="s">
        <x:v>19</x:v>
      </x:c>
      <x:c r="H10502" s="0" t="s">
        <x:v>20</x:v>
      </x:c>
      <x:c r="I10502" s="0" t="s">
        <x:v>21</x:v>
      </x:c>
      <x:c r="K10502" s="0">
        <x:f>hyperlink("https://icd.who.int/dev11/l-ichi/en#/http%3A%2F%2Fid.who.int%2Ficd%2Fentity%2F1145287292","browser")</x:f>
      </x:c>
      <x:c r="L10502" s="0">
        <x:f>hyperlink("https://icat2.azurewebsites.net/icat/?ontology=ICD&amp;tab=ClassesTab&amp;id=http%3A%2F%2Fwho.int%2Ficd%2351159_512ebf36_bf6b_4d70_85da_cf2637062af4","iCat")</x:f>
      </x:c>
      <x:c r="M10502" s="0" t="s">
        <x:v>21</x:v>
      </x:c>
      <x:c r="N10502" s="0" t="s">
        <x:v>46</x:v>
      </x:c>
    </x:row>
    <x:row r="10503" spans="1:16">
      <x:c r="A10503" s="0" t="s">
        <x:v>41877</x:v>
      </x:c>
      <x:c r="B10503" s="0" t="s">
        <x:v>41878</x:v>
      </x:c>
      <x:c r="C10503" s="0" t="s">
        <x:v>41879</x:v>
      </x:c>
      <x:c r="E10503" s="0" t="s">
        <x:v>41880</x:v>
      </x:c>
      <x:c r="F10503" s="0" t="s">
        <x:v>45</x:v>
      </x:c>
      <x:c r="G10503" s="0" t="s">
        <x:v>19</x:v>
      </x:c>
      <x:c r="H10503" s="0" t="s">
        <x:v>20</x:v>
      </x:c>
      <x:c r="I10503" s="0" t="s">
        <x:v>21</x:v>
      </x:c>
      <x:c r="K10503" s="0">
        <x:f>hyperlink("https://icd.who.int/dev11/l-ichi/en#/http%3A%2F%2Fid.who.int%2Ficd%2Fentity%2F988883107","browser")</x:f>
      </x:c>
      <x:c r="L10503" s="0">
        <x:f>hyperlink("https://icat2.azurewebsites.net/icat/?ontology=ICD&amp;tab=ClassesTab&amp;id=http%3A%2F%2Fwho.int%2Ficd%2351166_512ebf36_bf6b_4d70_85da_cf2637062af4","iCat")</x:f>
      </x:c>
      <x:c r="M10503" s="0" t="s">
        <x:v>21</x:v>
      </x:c>
      <x:c r="N10503" s="0" t="s">
        <x:v>46</x:v>
      </x:c>
    </x:row>
    <x:row r="10504" spans="1:16">
      <x:c r="A10504" s="0" t="s">
        <x:v>41881</x:v>
      </x:c>
      <x:c r="B10504" s="0" t="s">
        <x:v>41882</x:v>
      </x:c>
      <x:c r="C10504" s="0" t="s">
        <x:v>41883</x:v>
      </x:c>
      <x:c r="E10504" s="0" t="s">
        <x:v>41884</x:v>
      </x:c>
      <x:c r="F10504" s="0" t="s">
        <x:v>45</x:v>
      </x:c>
      <x:c r="G10504" s="0" t="s">
        <x:v>19</x:v>
      </x:c>
      <x:c r="H10504" s="0" t="s">
        <x:v>20</x:v>
      </x:c>
      <x:c r="I10504" s="0" t="s">
        <x:v>21</x:v>
      </x:c>
      <x:c r="K10504" s="0">
        <x:f>hyperlink("https://icd.who.int/dev11/l-ichi/en#/http%3A%2F%2Fid.who.int%2Ficd%2Fentity%2F1170869182","browser")</x:f>
      </x:c>
      <x:c r="L10504" s="0">
        <x:f>hyperlink("https://icat2.azurewebsites.net/icat/?ontology=ICD&amp;tab=ClassesTab&amp;id=http%3A%2F%2Fwho.int%2Ficd%2351173_512ebf36_bf6b_4d70_85da_cf2637062af4","iCat")</x:f>
      </x:c>
      <x:c r="M10504" s="0" t="s">
        <x:v>21</x:v>
      </x:c>
      <x:c r="N10504" s="0" t="s">
        <x:v>46</x:v>
      </x:c>
    </x:row>
    <x:row r="10505" spans="1:16">
      <x:c r="A10505" s="0" t="s">
        <x:v>41885</x:v>
      </x:c>
      <x:c r="B10505" s="0" t="s">
        <x:v>41886</x:v>
      </x:c>
      <x:c r="C10505" s="0" t="s">
        <x:v>41887</x:v>
      </x:c>
      <x:c r="E10505" s="0" t="s">
        <x:v>41888</x:v>
      </x:c>
      <x:c r="F10505" s="0" t="s">
        <x:v>45</x:v>
      </x:c>
      <x:c r="G10505" s="0" t="s">
        <x:v>19</x:v>
      </x:c>
      <x:c r="H10505" s="0" t="s">
        <x:v>20</x:v>
      </x:c>
      <x:c r="I10505" s="0" t="s">
        <x:v>21</x:v>
      </x:c>
      <x:c r="K10505" s="0">
        <x:f>hyperlink("https://icd.who.int/dev11/l-ichi/en#/http%3A%2F%2Fid.who.int%2Ficd%2Fentity%2F799551131","browser")</x:f>
      </x:c>
      <x:c r="L10505" s="0">
        <x:f>hyperlink("https://icat2.azurewebsites.net/icat/?ontology=ICD&amp;tab=ClassesTab&amp;id=http%3A%2F%2Fwho.int%2Ficd%2351180_512ebf36_bf6b_4d70_85da_cf2637062af4","iCat")</x:f>
      </x:c>
      <x:c r="M10505" s="0" t="s">
        <x:v>21</x:v>
      </x:c>
      <x:c r="N10505" s="0" t="s">
        <x:v>46</x:v>
      </x:c>
    </x:row>
    <x:row r="10506" spans="1:16">
      <x:c r="A10506" s="0" t="s">
        <x:v>41889</x:v>
      </x:c>
      <x:c r="B10506" s="0" t="s">
        <x:v>41890</x:v>
      </x:c>
      <x:c r="C10506" s="0" t="s">
        <x:v>41891</x:v>
      </x:c>
      <x:c r="E10506" s="0" t="s">
        <x:v>41892</x:v>
      </x:c>
      <x:c r="F10506" s="0" t="s">
        <x:v>45</x:v>
      </x:c>
      <x:c r="G10506" s="0" t="s">
        <x:v>19</x:v>
      </x:c>
      <x:c r="H10506" s="0" t="s">
        <x:v>20</x:v>
      </x:c>
      <x:c r="I10506" s="0" t="s">
        <x:v>21</x:v>
      </x:c>
      <x:c r="K10506" s="0">
        <x:f>hyperlink("https://icd.who.int/dev11/l-ichi/en#/http%3A%2F%2Fid.who.int%2Ficd%2Fentity%2F1596622102","browser")</x:f>
      </x:c>
      <x:c r="L10506" s="0">
        <x:f>hyperlink("https://icat2.azurewebsites.net/icat/?ontology=ICD&amp;tab=ClassesTab&amp;id=http%3A%2F%2Fwho.int%2Ficd%2351187_512ebf36_bf6b_4d70_85da_cf2637062af4","iCat")</x:f>
      </x:c>
      <x:c r="M10506" s="0" t="s">
        <x:v>21</x:v>
      </x:c>
      <x:c r="N10506" s="0" t="s">
        <x:v>46</x:v>
      </x:c>
    </x:row>
    <x:row r="10507" spans="1:16">
      <x:c r="A10507" s="0" t="s">
        <x:v>41893</x:v>
      </x:c>
      <x:c r="B10507" s="0" t="s">
        <x:v>41894</x:v>
      </x:c>
      <x:c r="C10507" s="0" t="s">
        <x:v>41895</x:v>
      </x:c>
      <x:c r="E10507" s="0" t="s">
        <x:v>41896</x:v>
      </x:c>
      <x:c r="F10507" s="0" t="s">
        <x:v>45</x:v>
      </x:c>
      <x:c r="G10507" s="0" t="s">
        <x:v>19</x:v>
      </x:c>
      <x:c r="H10507" s="0" t="s">
        <x:v>20</x:v>
      </x:c>
      <x:c r="I10507" s="0" t="s">
        <x:v>21</x:v>
      </x:c>
      <x:c r="K10507" s="0">
        <x:f>hyperlink("https://icd.who.int/dev11/l-ichi/en#/http%3A%2F%2Fid.who.int%2Ficd%2Fentity%2F1886027706","browser")</x:f>
      </x:c>
      <x:c r="L10507" s="0">
        <x:f>hyperlink("https://icat2.azurewebsites.net/icat/?ontology=ICD&amp;tab=ClassesTab&amp;id=http%3A%2F%2Fwho.int%2Ficd%2351194_512ebf36_bf6b_4d70_85da_cf2637062af4","iCat")</x:f>
      </x:c>
      <x:c r="M10507" s="0" t="s">
        <x:v>21</x:v>
      </x:c>
      <x:c r="N10507" s="0" t="s">
        <x:v>46</x:v>
      </x:c>
    </x:row>
    <x:row r="10508" spans="1:16">
      <x:c r="A10508" s="0" t="s">
        <x:v>41897</x:v>
      </x:c>
      <x:c r="B10508" s="0" t="s">
        <x:v>41898</x:v>
      </x:c>
      <x:c r="C10508" s="0" t="s">
        <x:v>41899</x:v>
      </x:c>
      <x:c r="E10508" s="0" t="s">
        <x:v>41900</x:v>
      </x:c>
      <x:c r="F10508" s="0" t="s">
        <x:v>45</x:v>
      </x:c>
      <x:c r="G10508" s="0" t="s">
        <x:v>19</x:v>
      </x:c>
      <x:c r="H10508" s="0" t="s">
        <x:v>20</x:v>
      </x:c>
      <x:c r="I10508" s="0" t="s">
        <x:v>21</x:v>
      </x:c>
      <x:c r="K10508" s="0">
        <x:f>hyperlink("https://icd.who.int/dev11/l-ichi/en#/http%3A%2F%2Fid.who.int%2Ficd%2Fentity%2F1899999548","browser")</x:f>
      </x:c>
      <x:c r="L10508" s="0">
        <x:f>hyperlink("https://icat2.azurewebsites.net/icat/?ontology=ICD&amp;tab=ClassesTab&amp;id=http%3A%2F%2Fwho.int%2Ficd%2351201_512ebf36_bf6b_4d70_85da_cf2637062af4","iCat")</x:f>
      </x:c>
      <x:c r="M10508" s="0" t="s">
        <x:v>21</x:v>
      </x:c>
      <x:c r="N10508" s="0" t="s">
        <x:v>46</x:v>
      </x:c>
    </x:row>
    <x:row r="10509" spans="1:16">
      <x:c r="A10509" s="0" t="s">
        <x:v>41901</x:v>
      </x:c>
      <x:c r="B10509" s="0" t="s">
        <x:v>41902</x:v>
      </x:c>
      <x:c r="C10509" s="0" t="s">
        <x:v>41903</x:v>
      </x:c>
      <x:c r="E10509" s="0" t="s">
        <x:v>41904</x:v>
      </x:c>
      <x:c r="F10509" s="0" t="s">
        <x:v>45</x:v>
      </x:c>
      <x:c r="G10509" s="0" t="s">
        <x:v>19</x:v>
      </x:c>
      <x:c r="H10509" s="0" t="s">
        <x:v>20</x:v>
      </x:c>
      <x:c r="I10509" s="0" t="s">
        <x:v>21</x:v>
      </x:c>
      <x:c r="K10509" s="0">
        <x:f>hyperlink("https://icd.who.int/dev11/l-ichi/en#/http%3A%2F%2Fid.who.int%2Ficd%2Fentity%2F524792403","browser")</x:f>
      </x:c>
      <x:c r="L10509" s="0">
        <x:f>hyperlink("https://icat2.azurewebsites.net/icat/?ontology=ICD&amp;tab=ClassesTab&amp;id=http%3A%2F%2Fwho.int%2Ficd%2351208_512ebf36_bf6b_4d70_85da_cf2637062af4","iCat")</x:f>
      </x:c>
      <x:c r="M10509" s="0" t="s">
        <x:v>21</x:v>
      </x:c>
      <x:c r="N10509" s="0" t="s">
        <x:v>46</x:v>
      </x:c>
    </x:row>
    <x:row r="10510" spans="1:16">
      <x:c r="A10510" s="0" t="s">
        <x:v>41905</x:v>
      </x:c>
      <x:c r="B10510" s="0" t="s">
        <x:v>41906</x:v>
      </x:c>
      <x:c r="C10510" s="0" t="s">
        <x:v>41907</x:v>
      </x:c>
      <x:c r="E10510" s="0" t="s">
        <x:v>41908</x:v>
      </x:c>
      <x:c r="F10510" s="0" t="s">
        <x:v>45</x:v>
      </x:c>
      <x:c r="G10510" s="0" t="s">
        <x:v>19</x:v>
      </x:c>
      <x:c r="H10510" s="0" t="s">
        <x:v>20</x:v>
      </x:c>
      <x:c r="I10510" s="0" t="s">
        <x:v>21</x:v>
      </x:c>
      <x:c r="K10510" s="0">
        <x:f>hyperlink("https://icd.who.int/dev11/l-ichi/en#/http%3A%2F%2Fid.who.int%2Ficd%2Fentity%2F788389913","browser")</x:f>
      </x:c>
      <x:c r="L10510" s="0">
        <x:f>hyperlink("https://icat2.azurewebsites.net/icat/?ontology=ICD&amp;tab=ClassesTab&amp;id=http%3A%2F%2Fwho.int%2Ficd%2351215_512ebf36_bf6b_4d70_85da_cf2637062af4","iCat")</x:f>
      </x:c>
      <x:c r="M10510" s="0" t="s">
        <x:v>21</x:v>
      </x:c>
      <x:c r="N10510" s="0" t="s">
        <x:v>46</x:v>
      </x:c>
    </x:row>
    <x:row r="10511" spans="1:16">
      <x:c r="A10511" s="0" t="s">
        <x:v>41909</x:v>
      </x:c>
      <x:c r="B10511" s="0" t="s">
        <x:v>41910</x:v>
      </x:c>
      <x:c r="C10511" s="0" t="s">
        <x:v>41911</x:v>
      </x:c>
      <x:c r="E10511" s="0" t="s">
        <x:v>41912</x:v>
      </x:c>
      <x:c r="F10511" s="0" t="s">
        <x:v>45</x:v>
      </x:c>
      <x:c r="G10511" s="0" t="s">
        <x:v>19</x:v>
      </x:c>
      <x:c r="H10511" s="0" t="s">
        <x:v>20</x:v>
      </x:c>
      <x:c r="I10511" s="0" t="s">
        <x:v>21</x:v>
      </x:c>
      <x:c r="K10511" s="0">
        <x:f>hyperlink("https://icd.who.int/dev11/l-ichi/en#/http%3A%2F%2Fid.who.int%2Ficd%2Fentity%2F516819859","browser")</x:f>
      </x:c>
      <x:c r="L10511" s="0">
        <x:f>hyperlink("https://icat2.azurewebsites.net/icat/?ontology=ICD&amp;tab=ClassesTab&amp;id=http%3A%2F%2Fwho.int%2Ficd%2351222_512ebf36_bf6b_4d70_85da_cf2637062af4","iCat")</x:f>
      </x:c>
      <x:c r="M10511" s="0" t="s">
        <x:v>21</x:v>
      </x:c>
      <x:c r="N10511" s="0" t="s">
        <x:v>46</x:v>
      </x:c>
    </x:row>
    <x:row r="10512" spans="1:16">
      <x:c r="A10512" s="0" t="s">
        <x:v>41913</x:v>
      </x:c>
      <x:c r="B10512" s="0" t="s">
        <x:v>41914</x:v>
      </x:c>
      <x:c r="C10512" s="0" t="s">
        <x:v>41915</x:v>
      </x:c>
      <x:c r="E10512" s="0" t="s">
        <x:v>41916</x:v>
      </x:c>
      <x:c r="F10512" s="0" t="s">
        <x:v>45</x:v>
      </x:c>
      <x:c r="G10512" s="0" t="s">
        <x:v>19</x:v>
      </x:c>
      <x:c r="H10512" s="0" t="s">
        <x:v>20</x:v>
      </x:c>
      <x:c r="I10512" s="0" t="s">
        <x:v>21</x:v>
      </x:c>
      <x:c r="K10512" s="0">
        <x:f>hyperlink("https://icd.who.int/dev11/l-ichi/en#/http%3A%2F%2Fid.who.int%2Ficd%2Fentity%2F365565247","browser")</x:f>
      </x:c>
      <x:c r="L10512" s="0">
        <x:f>hyperlink("https://icat2.azurewebsites.net/icat/?ontology=ICD&amp;tab=ClassesTab&amp;id=http%3A%2F%2Fwho.int%2Ficd%2351229_512ebf36_bf6b_4d70_85da_cf2637062af4","iCat")</x:f>
      </x:c>
      <x:c r="M10512" s="0" t="s">
        <x:v>21</x:v>
      </x:c>
      <x:c r="N10512" s="0" t="s">
        <x:v>46</x:v>
      </x:c>
    </x:row>
    <x:row r="10513" spans="1:16">
      <x:c r="A10513" s="0" t="s">
        <x:v>41917</x:v>
      </x:c>
      <x:c r="B10513" s="0" t="s">
        <x:v>41918</x:v>
      </x:c>
      <x:c r="C10513" s="0" t="s">
        <x:v>41919</x:v>
      </x:c>
      <x:c r="E10513" s="0" t="s">
        <x:v>41920</x:v>
      </x:c>
      <x:c r="F10513" s="0" t="s">
        <x:v>45</x:v>
      </x:c>
      <x:c r="G10513" s="0" t="s">
        <x:v>19</x:v>
      </x:c>
      <x:c r="H10513" s="0" t="s">
        <x:v>20</x:v>
      </x:c>
      <x:c r="I10513" s="0" t="s">
        <x:v>21</x:v>
      </x:c>
      <x:c r="K10513" s="0">
        <x:f>hyperlink("https://icd.who.int/dev11/l-ichi/en#/http%3A%2F%2Fid.who.int%2Ficd%2Fentity%2F1091328688","browser")</x:f>
      </x:c>
      <x:c r="L10513" s="0">
        <x:f>hyperlink("https://icat2.azurewebsites.net/icat/?ontology=ICD&amp;tab=ClassesTab&amp;id=http%3A%2F%2Fwho.int%2Ficd%2351236_512ebf36_bf6b_4d70_85da_cf2637062af4","iCat")</x:f>
      </x:c>
      <x:c r="M10513" s="0" t="s">
        <x:v>21</x:v>
      </x:c>
      <x:c r="N10513" s="0" t="s">
        <x:v>46</x:v>
      </x:c>
    </x:row>
    <x:row r="10514" spans="1:16">
      <x:c r="A10514" s="0" t="s">
        <x:v>41921</x:v>
      </x:c>
      <x:c r="B10514" s="0" t="s">
        <x:v>41922</x:v>
      </x:c>
      <x:c r="C10514" s="0" t="s">
        <x:v>41923</x:v>
      </x:c>
      <x:c r="E10514" s="0" t="s">
        <x:v>41924</x:v>
      </x:c>
      <x:c r="F10514" s="0" t="s">
        <x:v>45</x:v>
      </x:c>
      <x:c r="G10514" s="0" t="s">
        <x:v>19</x:v>
      </x:c>
      <x:c r="H10514" s="0" t="s">
        <x:v>20</x:v>
      </x:c>
      <x:c r="I10514" s="0" t="s">
        <x:v>21</x:v>
      </x:c>
      <x:c r="K10514" s="0">
        <x:f>hyperlink("https://icd.who.int/dev11/l-ichi/en#/http%3A%2F%2Fid.who.int%2Ficd%2Fentity%2F1680146404","browser")</x:f>
      </x:c>
      <x:c r="L10514" s="0">
        <x:f>hyperlink("https://icat2.azurewebsites.net/icat/?ontology=ICD&amp;tab=ClassesTab&amp;id=http%3A%2F%2Fwho.int%2Ficd%2351243_512ebf36_bf6b_4d70_85da_cf2637062af4","iCat")</x:f>
      </x:c>
      <x:c r="M10514" s="0" t="s">
        <x:v>21</x:v>
      </x:c>
      <x:c r="N10514" s="0" t="s">
        <x:v>46</x:v>
      </x:c>
    </x:row>
    <x:row r="10515" spans="1:16">
      <x:c r="A10515" s="0" t="s">
        <x:v>41925</x:v>
      </x:c>
      <x:c r="B10515" s="0" t="s">
        <x:v>41926</x:v>
      </x:c>
      <x:c r="C10515" s="0" t="s">
        <x:v>41927</x:v>
      </x:c>
      <x:c r="E10515" s="0" t="s">
        <x:v>41928</x:v>
      </x:c>
      <x:c r="F10515" s="0" t="s">
        <x:v>45</x:v>
      </x:c>
      <x:c r="G10515" s="0" t="s">
        <x:v>19</x:v>
      </x:c>
      <x:c r="H10515" s="0" t="s">
        <x:v>20</x:v>
      </x:c>
      <x:c r="I10515" s="0" t="s">
        <x:v>21</x:v>
      </x:c>
      <x:c r="K10515" s="0">
        <x:f>hyperlink("https://icd.who.int/dev11/l-ichi/en#/http%3A%2F%2Fid.who.int%2Ficd%2Fentity%2F1264846156","browser")</x:f>
      </x:c>
      <x:c r="L10515" s="0">
        <x:f>hyperlink("https://icat2.azurewebsites.net/icat/?ontology=ICD&amp;tab=ClassesTab&amp;id=http%3A%2F%2Fwho.int%2Ficd%2351250_512ebf36_bf6b_4d70_85da_cf2637062af4","iCat")</x:f>
      </x:c>
      <x:c r="M10515" s="0" t="s">
        <x:v>21</x:v>
      </x:c>
      <x:c r="N10515" s="0" t="s">
        <x:v>46</x:v>
      </x:c>
    </x:row>
    <x:row r="10516" spans="1:16">
      <x:c r="A10516" s="0" t="s">
        <x:v>41929</x:v>
      </x:c>
      <x:c r="B10516" s="0" t="s">
        <x:v>41930</x:v>
      </x:c>
      <x:c r="C10516" s="0" t="s">
        <x:v>41931</x:v>
      </x:c>
      <x:c r="E10516" s="0" t="s">
        <x:v>41932</x:v>
      </x:c>
      <x:c r="F10516" s="0" t="s">
        <x:v>45</x:v>
      </x:c>
      <x:c r="G10516" s="0" t="s">
        <x:v>19</x:v>
      </x:c>
      <x:c r="H10516" s="0" t="s">
        <x:v>20</x:v>
      </x:c>
      <x:c r="I10516" s="0" t="s">
        <x:v>21</x:v>
      </x:c>
      <x:c r="K10516" s="0">
        <x:f>hyperlink("https://icd.who.int/dev11/l-ichi/en#/http%3A%2F%2Fid.who.int%2Ficd%2Fentity%2F1004973761","browser")</x:f>
      </x:c>
      <x:c r="L10516" s="0">
        <x:f>hyperlink("https://icat2.azurewebsites.net/icat/?ontology=ICD&amp;tab=ClassesTab&amp;id=http%3A%2F%2Fwho.int%2Ficd%2351257_512ebf36_bf6b_4d70_85da_cf2637062af4","iCat")</x:f>
      </x:c>
      <x:c r="M10516" s="0" t="s">
        <x:v>21</x:v>
      </x:c>
      <x:c r="N10516" s="0" t="s">
        <x:v>46</x:v>
      </x:c>
    </x:row>
    <x:row r="10517" spans="1:16">
      <x:c r="A10517" s="0" t="s">
        <x:v>41933</x:v>
      </x:c>
      <x:c r="B10517" s="0" t="s">
        <x:v>41934</x:v>
      </x:c>
      <x:c r="C10517" s="0" t="s">
        <x:v>41935</x:v>
      </x:c>
      <x:c r="E10517" s="0" t="s">
        <x:v>41936</x:v>
      </x:c>
      <x:c r="F10517" s="0" t="s">
        <x:v>45</x:v>
      </x:c>
      <x:c r="G10517" s="0" t="s">
        <x:v>19</x:v>
      </x:c>
      <x:c r="H10517" s="0" t="s">
        <x:v>20</x:v>
      </x:c>
      <x:c r="I10517" s="0" t="s">
        <x:v>21</x:v>
      </x:c>
      <x:c r="K10517" s="0">
        <x:f>hyperlink("https://icd.who.int/dev11/l-ichi/en#/http%3A%2F%2Fid.who.int%2Ficd%2Fentity%2F1053983039","browser")</x:f>
      </x:c>
      <x:c r="L10517" s="0">
        <x:f>hyperlink("https://icat2.azurewebsites.net/icat/?ontology=ICD&amp;tab=ClassesTab&amp;id=http%3A%2F%2Fwho.int%2Ficd%2351264_512ebf36_bf6b_4d70_85da_cf2637062af4","iCat")</x:f>
      </x:c>
      <x:c r="M10517" s="0" t="s">
        <x:v>21</x:v>
      </x:c>
      <x:c r="N10517" s="0" t="s">
        <x:v>46</x:v>
      </x:c>
    </x:row>
    <x:row r="10518" spans="1:16">
      <x:c r="A10518" s="0" t="s">
        <x:v>41937</x:v>
      </x:c>
      <x:c r="B10518" s="0" t="s">
        <x:v>41938</x:v>
      </x:c>
      <x:c r="C10518" s="0" t="s">
        <x:v>41939</x:v>
      </x:c>
      <x:c r="E10518" s="0" t="s">
        <x:v>41940</x:v>
      </x:c>
      <x:c r="F10518" s="0" t="s">
        <x:v>45</x:v>
      </x:c>
      <x:c r="G10518" s="0" t="s">
        <x:v>19</x:v>
      </x:c>
      <x:c r="H10518" s="0" t="s">
        <x:v>20</x:v>
      </x:c>
      <x:c r="I10518" s="0" t="s">
        <x:v>21</x:v>
      </x:c>
      <x:c r="K10518" s="0">
        <x:f>hyperlink("https://icd.who.int/dev11/l-ichi/en#/http%3A%2F%2Fid.who.int%2Ficd%2Fentity%2F1105830432","browser")</x:f>
      </x:c>
      <x:c r="L10518" s="0">
        <x:f>hyperlink("https://icat2.azurewebsites.net/icat/?ontology=ICD&amp;tab=ClassesTab&amp;id=http%3A%2F%2Fwho.int%2Ficd%2351271_512ebf36_bf6b_4d70_85da_cf2637062af4","iCat")</x:f>
      </x:c>
      <x:c r="M10518" s="0" t="s">
        <x:v>21</x:v>
      </x:c>
      <x:c r="N10518" s="0" t="s">
        <x:v>46</x:v>
      </x:c>
    </x:row>
    <x:row r="10519" spans="1:16">
      <x:c r="A10519" s="0" t="s">
        <x:v>41941</x:v>
      </x:c>
      <x:c r="B10519" s="0" t="s">
        <x:v>41942</x:v>
      </x:c>
      <x:c r="C10519" s="0" t="s">
        <x:v>41943</x:v>
      </x:c>
      <x:c r="E10519" s="0" t="s">
        <x:v>41944</x:v>
      </x:c>
      <x:c r="F10519" s="0" t="s">
        <x:v>45</x:v>
      </x:c>
      <x:c r="G10519" s="0" t="s">
        <x:v>19</x:v>
      </x:c>
      <x:c r="H10519" s="0" t="s">
        <x:v>20</x:v>
      </x:c>
      <x:c r="I10519" s="0" t="s">
        <x:v>21</x:v>
      </x:c>
      <x:c r="K10519" s="0">
        <x:f>hyperlink("https://icd.who.int/dev11/l-ichi/en#/http%3A%2F%2Fid.who.int%2Ficd%2Fentity%2F798073161","browser")</x:f>
      </x:c>
      <x:c r="L10519" s="0">
        <x:f>hyperlink("https://icat2.azurewebsites.net/icat/?ontology=ICD&amp;tab=ClassesTab&amp;id=http%3A%2F%2Fwho.int%2Ficd%2351278_512ebf36_bf6b_4d70_85da_cf2637062af4","iCat")</x:f>
      </x:c>
      <x:c r="M10519" s="0" t="s">
        <x:v>21</x:v>
      </x:c>
      <x:c r="N10519" s="0" t="s">
        <x:v>46</x:v>
      </x:c>
    </x:row>
    <x:row r="10520" spans="1:16">
      <x:c r="A10520" s="0" t="s">
        <x:v>41945</x:v>
      </x:c>
      <x:c r="B10520" s="0" t="s">
        <x:v>41946</x:v>
      </x:c>
      <x:c r="C10520" s="0" t="s">
        <x:v>41947</x:v>
      </x:c>
      <x:c r="E10520" s="0" t="s">
        <x:v>41948</x:v>
      </x:c>
      <x:c r="F10520" s="0" t="s">
        <x:v>45</x:v>
      </x:c>
      <x:c r="G10520" s="0" t="s">
        <x:v>19</x:v>
      </x:c>
      <x:c r="H10520" s="0" t="s">
        <x:v>20</x:v>
      </x:c>
      <x:c r="I10520" s="0" t="s">
        <x:v>21</x:v>
      </x:c>
      <x:c r="K10520" s="0">
        <x:f>hyperlink("https://icd.who.int/dev11/l-ichi/en#/http%3A%2F%2Fid.who.int%2Ficd%2Fentity%2F1527327884","browser")</x:f>
      </x:c>
      <x:c r="L10520" s="0">
        <x:f>hyperlink("https://icat2.azurewebsites.net/icat/?ontology=ICD&amp;tab=ClassesTab&amp;id=http%3A%2F%2Fwho.int%2Ficd%2351285_512ebf36_bf6b_4d70_85da_cf2637062af4","iCat")</x:f>
      </x:c>
      <x:c r="M10520" s="0" t="s">
        <x:v>21</x:v>
      </x:c>
      <x:c r="N10520" s="0" t="s">
        <x:v>46</x:v>
      </x:c>
    </x:row>
    <x:row r="10521" spans="1:16">
      <x:c r="A10521" s="0" t="s">
        <x:v>41949</x:v>
      </x:c>
      <x:c r="B10521" s="0" t="s">
        <x:v>41950</x:v>
      </x:c>
      <x:c r="C10521" s="0" t="s">
        <x:v>41951</x:v>
      </x:c>
      <x:c r="E10521" s="0" t="s">
        <x:v>41952</x:v>
      </x:c>
      <x:c r="F10521" s="0" t="s">
        <x:v>45</x:v>
      </x:c>
      <x:c r="G10521" s="0" t="s">
        <x:v>19</x:v>
      </x:c>
      <x:c r="H10521" s="0" t="s">
        <x:v>20</x:v>
      </x:c>
      <x:c r="I10521" s="0" t="s">
        <x:v>21</x:v>
      </x:c>
      <x:c r="K10521" s="0">
        <x:f>hyperlink("https://icd.who.int/dev11/l-ichi/en#/http%3A%2F%2Fid.who.int%2Ficd%2Fentity%2F1095635538","browser")</x:f>
      </x:c>
      <x:c r="L10521" s="0">
        <x:f>hyperlink("https://icat2.azurewebsites.net/icat/?ontology=ICD&amp;tab=ClassesTab&amp;id=http%3A%2F%2Fwho.int%2Ficd%2351292_512ebf36_bf6b_4d70_85da_cf2637062af4","iCat")</x:f>
      </x:c>
      <x:c r="M10521" s="0" t="s">
        <x:v>21</x:v>
      </x:c>
      <x:c r="N10521" s="0" t="s">
        <x:v>46</x:v>
      </x:c>
    </x:row>
    <x:row r="10522" spans="1:16">
      <x:c r="A10522" s="0" t="s">
        <x:v>41953</x:v>
      </x:c>
      <x:c r="B10522" s="0" t="s">
        <x:v>41954</x:v>
      </x:c>
      <x:c r="C10522" s="0" t="s">
        <x:v>41955</x:v>
      </x:c>
      <x:c r="E10522" s="0" t="s">
        <x:v>41956</x:v>
      </x:c>
      <x:c r="F10522" s="0" t="s">
        <x:v>45</x:v>
      </x:c>
      <x:c r="G10522" s="0" t="s">
        <x:v>19</x:v>
      </x:c>
      <x:c r="H10522" s="0" t="s">
        <x:v>20</x:v>
      </x:c>
      <x:c r="I10522" s="0" t="s">
        <x:v>21</x:v>
      </x:c>
      <x:c r="K10522" s="0">
        <x:f>hyperlink("https://icd.who.int/dev11/l-ichi/en#/http%3A%2F%2Fid.who.int%2Ficd%2Fentity%2F1543434451","browser")</x:f>
      </x:c>
      <x:c r="L10522" s="0">
        <x:f>hyperlink("https://icat2.azurewebsites.net/icat/?ontology=ICD&amp;tab=ClassesTab&amp;id=http%3A%2F%2Fwho.int%2Ficd%23216_e87d5413_a3ef_41e3_b1c4_bdb20d4d591d","iCat")</x:f>
      </x:c>
      <x:c r="M10522" s="0" t="s">
        <x:v>21</x:v>
      </x:c>
      <x:c r="N10522" s="0" t="s">
        <x:v>46</x:v>
      </x:c>
    </x:row>
    <x:row r="10523" spans="1:16">
      <x:c r="A10523" s="0" t="s">
        <x:v>41957</x:v>
      </x:c>
      <x:c r="B10523" s="0" t="s">
        <x:v>41958</x:v>
      </x:c>
      <x:c r="C10523" s="0" t="s">
        <x:v>41959</x:v>
      </x:c>
      <x:c r="E10523" s="0" t="s">
        <x:v>41960</x:v>
      </x:c>
      <x:c r="F10523" s="0" t="s">
        <x:v>45</x:v>
      </x:c>
      <x:c r="G10523" s="0" t="s">
        <x:v>19</x:v>
      </x:c>
      <x:c r="H10523" s="0" t="s">
        <x:v>20</x:v>
      </x:c>
      <x:c r="I10523" s="0" t="s">
        <x:v>21</x:v>
      </x:c>
      <x:c r="K10523" s="0">
        <x:f>hyperlink("https://icd.who.int/dev11/l-ichi/en#/http%3A%2F%2Fid.who.int%2Ficd%2Fentity%2F1246366972","browser")</x:f>
      </x:c>
      <x:c r="L10523" s="0">
        <x:f>hyperlink("https://icat2.azurewebsites.net/icat/?ontology=ICD&amp;tab=ClassesTab&amp;id=http%3A%2F%2Fwho.int%2Ficd%2351299_512ebf36_bf6b_4d70_85da_cf2637062af4","iCat")</x:f>
      </x:c>
      <x:c r="M10523" s="0" t="s">
        <x:v>21</x:v>
      </x:c>
      <x:c r="N10523" s="0" t="s">
        <x:v>46</x:v>
      </x:c>
    </x:row>
    <x:row r="10524" spans="1:16">
      <x:c r="A10524" s="0" t="s">
        <x:v>41961</x:v>
      </x:c>
      <x:c r="B10524" s="0" t="s">
        <x:v>41962</x:v>
      </x:c>
      <x:c r="C10524" s="0" t="s">
        <x:v>41963</x:v>
      </x:c>
      <x:c r="E10524" s="0" t="s">
        <x:v>41964</x:v>
      </x:c>
      <x:c r="F10524" s="0" t="s">
        <x:v>45</x:v>
      </x:c>
      <x:c r="G10524" s="0" t="s">
        <x:v>19</x:v>
      </x:c>
      <x:c r="H10524" s="0" t="s">
        <x:v>20</x:v>
      </x:c>
      <x:c r="I10524" s="0" t="s">
        <x:v>21</x:v>
      </x:c>
      <x:c r="K10524" s="0">
        <x:f>hyperlink("https://icd.who.int/dev11/l-ichi/en#/http%3A%2F%2Fid.who.int%2Ficd%2Fentity%2F193276260","browser")</x:f>
      </x:c>
      <x:c r="L10524" s="0">
        <x:f>hyperlink("https://icat2.azurewebsites.net/icat/?ontology=ICD&amp;tab=ClassesTab&amp;id=http%3A%2F%2Fwho.int%2Ficd%23210_e87d5413_a3ef_41e3_b1c4_bdb20d4d591d","iCat")</x:f>
      </x:c>
      <x:c r="M10524" s="0" t="s">
        <x:v>21</x:v>
      </x:c>
      <x:c r="N10524" s="0" t="s">
        <x:v>46</x:v>
      </x:c>
    </x:row>
    <x:row r="10525" spans="1:16">
      <x:c r="A10525" s="0" t="s">
        <x:v>41965</x:v>
      </x:c>
      <x:c r="B10525" s="0" t="s">
        <x:v>41966</x:v>
      </x:c>
      <x:c r="C10525" s="0" t="s">
        <x:v>41967</x:v>
      </x:c>
      <x:c r="E10525" s="0" t="s">
        <x:v>41968</x:v>
      </x:c>
      <x:c r="F10525" s="0" t="s">
        <x:v>45</x:v>
      </x:c>
      <x:c r="G10525" s="0" t="s">
        <x:v>19</x:v>
      </x:c>
      <x:c r="H10525" s="0" t="s">
        <x:v>20</x:v>
      </x:c>
      <x:c r="I10525" s="0" t="s">
        <x:v>21</x:v>
      </x:c>
      <x:c r="K10525" s="0">
        <x:f>hyperlink("https://icd.who.int/dev11/l-ichi/en#/http%3A%2F%2Fid.who.int%2Ficd%2Fentity%2F1948441644","browser")</x:f>
      </x:c>
      <x:c r="L10525" s="0">
        <x:f>hyperlink("https://icat2.azurewebsites.net/icat/?ontology=ICD&amp;tab=ClassesTab&amp;id=http%3A%2F%2Fwho.int%2Ficd%2351306_512ebf36_bf6b_4d70_85da_cf2637062af4","iCat")</x:f>
      </x:c>
      <x:c r="M10525" s="0" t="s">
        <x:v>21</x:v>
      </x:c>
      <x:c r="N10525" s="0" t="s">
        <x:v>46</x:v>
      </x:c>
    </x:row>
    <x:row r="10526" spans="1:16">
      <x:c r="A10526" s="0" t="s">
        <x:v>41969</x:v>
      </x:c>
      <x:c r="B10526" s="0" t="s">
        <x:v>41970</x:v>
      </x:c>
      <x:c r="C10526" s="0" t="s">
        <x:v>41971</x:v>
      </x:c>
      <x:c r="E10526" s="0" t="s">
        <x:v>41972</x:v>
      </x:c>
      <x:c r="F10526" s="0" t="s">
        <x:v>45</x:v>
      </x:c>
      <x:c r="G10526" s="0" t="s">
        <x:v>19</x:v>
      </x:c>
      <x:c r="H10526" s="0" t="s">
        <x:v>20</x:v>
      </x:c>
      <x:c r="I10526" s="0" t="s">
        <x:v>21</x:v>
      </x:c>
      <x:c r="K10526" s="0">
        <x:f>hyperlink("https://icd.who.int/dev11/l-ichi/en#/http%3A%2F%2Fid.who.int%2Ficd%2Fentity%2F186253109","browser")</x:f>
      </x:c>
      <x:c r="L10526" s="0">
        <x:f>hyperlink("https://icat2.azurewebsites.net/icat/?ontology=ICD&amp;tab=ClassesTab&amp;id=http%3A%2F%2Fwho.int%2Ficd%2351313_512ebf36_bf6b_4d70_85da_cf2637062af4","iCat")</x:f>
      </x:c>
      <x:c r="M10526" s="0" t="s">
        <x:v>21</x:v>
      </x:c>
      <x:c r="N10526" s="0" t="s">
        <x:v>46</x:v>
      </x:c>
    </x:row>
    <x:row r="10527" spans="1:16">
      <x:c r="A10527" s="0" t="s">
        <x:v>41973</x:v>
      </x:c>
      <x:c r="B10527" s="0" t="s">
        <x:v>41974</x:v>
      </x:c>
      <x:c r="C10527" s="0" t="s">
        <x:v>41975</x:v>
      </x:c>
      <x:c r="E10527" s="0" t="s">
        <x:v>41976</x:v>
      </x:c>
      <x:c r="F10527" s="0" t="s">
        <x:v>45</x:v>
      </x:c>
      <x:c r="G10527" s="0" t="s">
        <x:v>19</x:v>
      </x:c>
      <x:c r="H10527" s="0" t="s">
        <x:v>20</x:v>
      </x:c>
      <x:c r="I10527" s="0" t="s">
        <x:v>21</x:v>
      </x:c>
      <x:c r="K10527" s="0">
        <x:f>hyperlink("https://icd.who.int/dev11/l-ichi/en#/http%3A%2F%2Fid.who.int%2Ficd%2Fentity%2F237883595","browser")</x:f>
      </x:c>
      <x:c r="L10527" s="0">
        <x:f>hyperlink("https://icat2.azurewebsites.net/icat/?ontology=ICD&amp;tab=ClassesTab&amp;id=http%3A%2F%2Fwho.int%2Ficd%2351320_512ebf36_bf6b_4d70_85da_cf2637062af4","iCat")</x:f>
      </x:c>
      <x:c r="M10527" s="0" t="s">
        <x:v>21</x:v>
      </x:c>
      <x:c r="N10527" s="0" t="s">
        <x:v>46</x:v>
      </x:c>
    </x:row>
    <x:row r="10528" spans="1:16">
      <x:c r="A10528" s="0" t="s">
        <x:v>41977</x:v>
      </x:c>
      <x:c r="B10528" s="0" t="s">
        <x:v>41978</x:v>
      </x:c>
      <x:c r="C10528" s="0" t="s">
        <x:v>41979</x:v>
      </x:c>
      <x:c r="E10528" s="0" t="s">
        <x:v>41980</x:v>
      </x:c>
      <x:c r="F10528" s="0" t="s">
        <x:v>45</x:v>
      </x:c>
      <x:c r="G10528" s="0" t="s">
        <x:v>19</x:v>
      </x:c>
      <x:c r="H10528" s="0" t="s">
        <x:v>20</x:v>
      </x:c>
      <x:c r="I10528" s="0" t="s">
        <x:v>21</x:v>
      </x:c>
      <x:c r="K10528" s="0">
        <x:f>hyperlink("https://icd.who.int/dev11/l-ichi/en#/http%3A%2F%2Fid.who.int%2Ficd%2Fentity%2F2125429576","browser")</x:f>
      </x:c>
      <x:c r="L10528" s="0">
        <x:f>hyperlink("https://icat2.azurewebsites.net/icat/?ontology=ICD&amp;tab=ClassesTab&amp;id=http%3A%2F%2Fwho.int%2Ficd%2351327_512ebf36_bf6b_4d70_85da_cf2637062af4","iCat")</x:f>
      </x:c>
      <x:c r="M10528" s="0" t="s">
        <x:v>21</x:v>
      </x:c>
      <x:c r="N10528" s="0" t="s">
        <x:v>46</x:v>
      </x:c>
    </x:row>
    <x:row r="10529" spans="1:16">
      <x:c r="A10529" s="0" t="s">
        <x:v>41981</x:v>
      </x:c>
      <x:c r="B10529" s="0" t="s">
        <x:v>41982</x:v>
      </x:c>
      <x:c r="C10529" s="0" t="s">
        <x:v>41983</x:v>
      </x:c>
      <x:c r="E10529" s="0" t="s">
        <x:v>41984</x:v>
      </x:c>
      <x:c r="F10529" s="0" t="s">
        <x:v>45</x:v>
      </x:c>
      <x:c r="G10529" s="0" t="s">
        <x:v>19</x:v>
      </x:c>
      <x:c r="H10529" s="0" t="s">
        <x:v>20</x:v>
      </x:c>
      <x:c r="I10529" s="0" t="s">
        <x:v>21</x:v>
      </x:c>
      <x:c r="K10529" s="0">
        <x:f>hyperlink("https://icd.who.int/dev11/l-ichi/en#/http%3A%2F%2Fid.who.int%2Ficd%2Fentity%2F1374650856","browser")</x:f>
      </x:c>
      <x:c r="L10529" s="0">
        <x:f>hyperlink("https://icat2.azurewebsites.net/icat/?ontology=ICD&amp;tab=ClassesTab&amp;id=http%3A%2F%2Fwho.int%2Ficd%2351334_512ebf36_bf6b_4d70_85da_cf2637062af4","iCat")</x:f>
      </x:c>
      <x:c r="M10529" s="0" t="s">
        <x:v>21</x:v>
      </x:c>
      <x:c r="N10529" s="0" t="s">
        <x:v>46</x:v>
      </x:c>
    </x:row>
    <x:row r="10530" spans="1:16">
      <x:c r="A10530" s="0" t="s">
        <x:v>41985</x:v>
      </x:c>
      <x:c r="B10530" s="0" t="s">
        <x:v>41986</x:v>
      </x:c>
      <x:c r="C10530" s="0" t="s">
        <x:v>41987</x:v>
      </x:c>
      <x:c r="E10530" s="0" t="s">
        <x:v>41988</x:v>
      </x:c>
      <x:c r="F10530" s="0" t="s">
        <x:v>45</x:v>
      </x:c>
      <x:c r="G10530" s="0" t="s">
        <x:v>19</x:v>
      </x:c>
      <x:c r="H10530" s="0" t="s">
        <x:v>20</x:v>
      </x:c>
      <x:c r="I10530" s="0" t="s">
        <x:v>21</x:v>
      </x:c>
      <x:c r="K10530" s="0">
        <x:f>hyperlink("https://icd.who.int/dev11/l-ichi/en#/http%3A%2F%2Fid.who.int%2Ficd%2Fentity%2F1959208124","browser")</x:f>
      </x:c>
      <x:c r="L10530" s="0">
        <x:f>hyperlink("https://icat2.azurewebsites.net/icat/?ontology=ICD&amp;tab=ClassesTab&amp;id=http%3A%2F%2Fwho.int%2Ficd%2351341_512ebf36_bf6b_4d70_85da_cf2637062af4","iCat")</x:f>
      </x:c>
      <x:c r="M10530" s="0" t="s">
        <x:v>21</x:v>
      </x:c>
      <x:c r="N10530" s="0" t="s">
        <x:v>46</x:v>
      </x:c>
    </x:row>
    <x:row r="10531" spans="1:16">
      <x:c r="A10531" s="0" t="s">
        <x:v>41989</x:v>
      </x:c>
      <x:c r="B10531" s="0" t="s">
        <x:v>41990</x:v>
      </x:c>
      <x:c r="C10531" s="0" t="s">
        <x:v>41991</x:v>
      </x:c>
      <x:c r="E10531" s="0" t="s">
        <x:v>41992</x:v>
      </x:c>
      <x:c r="F10531" s="0" t="s">
        <x:v>45</x:v>
      </x:c>
      <x:c r="G10531" s="0" t="s">
        <x:v>19</x:v>
      </x:c>
      <x:c r="H10531" s="0" t="s">
        <x:v>20</x:v>
      </x:c>
      <x:c r="I10531" s="0" t="s">
        <x:v>21</x:v>
      </x:c>
      <x:c r="K10531" s="0">
        <x:f>hyperlink("https://icd.who.int/dev11/l-ichi/en#/http%3A%2F%2Fid.who.int%2Ficd%2Fentity%2F448735187","browser")</x:f>
      </x:c>
      <x:c r="L10531" s="0">
        <x:f>hyperlink("https://icat2.azurewebsites.net/icat/?ontology=ICD&amp;tab=ClassesTab&amp;id=http%3A%2F%2Fwho.int%2Ficd%2351348_512ebf36_bf6b_4d70_85da_cf2637062af4","iCat")</x:f>
      </x:c>
      <x:c r="M10531" s="0" t="s">
        <x:v>21</x:v>
      </x:c>
      <x:c r="N10531" s="0" t="s">
        <x:v>46</x:v>
      </x:c>
    </x:row>
    <x:row r="10532" spans="1:16">
      <x:c r="A10532" s="0" t="s">
        <x:v>41993</x:v>
      </x:c>
      <x:c r="B10532" s="0" t="s">
        <x:v>41994</x:v>
      </x:c>
      <x:c r="C10532" s="0" t="s">
        <x:v>41995</x:v>
      </x:c>
      <x:c r="E10532" s="0" t="s">
        <x:v>41996</x:v>
      </x:c>
      <x:c r="F10532" s="0" t="s">
        <x:v>45</x:v>
      </x:c>
      <x:c r="G10532" s="0" t="s">
        <x:v>19</x:v>
      </x:c>
      <x:c r="H10532" s="0" t="s">
        <x:v>20</x:v>
      </x:c>
      <x:c r="I10532" s="0" t="s">
        <x:v>21</x:v>
      </x:c>
      <x:c r="K10532" s="0">
        <x:f>hyperlink("https://icd.who.int/dev11/l-ichi/en#/http%3A%2F%2Fid.who.int%2Ficd%2Fentity%2F776500384","browser")</x:f>
      </x:c>
      <x:c r="L10532" s="0">
        <x:f>hyperlink("https://icat2.azurewebsites.net/icat/?ontology=ICD&amp;tab=ClassesTab&amp;id=http%3A%2F%2Fwho.int%2Ficd%23222_e87d5413_a3ef_41e3_b1c4_bdb20d4d591d","iCat")</x:f>
      </x:c>
      <x:c r="M10532" s="0" t="s">
        <x:v>21</x:v>
      </x:c>
      <x:c r="N10532" s="0" t="s">
        <x:v>46</x:v>
      </x:c>
    </x:row>
    <x:row r="10533" spans="1:16">
      <x:c r="A10533" s="0" t="s">
        <x:v>41997</x:v>
      </x:c>
      <x:c r="B10533" s="0" t="s">
        <x:v>41998</x:v>
      </x:c>
      <x:c r="C10533" s="0" t="s">
        <x:v>41999</x:v>
      </x:c>
      <x:c r="E10533" s="0" t="s">
        <x:v>42000</x:v>
      </x:c>
      <x:c r="F10533" s="0" t="s">
        <x:v>45</x:v>
      </x:c>
      <x:c r="G10533" s="0" t="s">
        <x:v>19</x:v>
      </x:c>
      <x:c r="H10533" s="0" t="s">
        <x:v>20</x:v>
      </x:c>
      <x:c r="I10533" s="0" t="s">
        <x:v>21</x:v>
      </x:c>
      <x:c r="K10533" s="0">
        <x:f>hyperlink("https://icd.who.int/dev11/l-ichi/en#/http%3A%2F%2Fid.who.int%2Ficd%2Fentity%2F721778073","browser")</x:f>
      </x:c>
      <x:c r="L10533" s="0">
        <x:f>hyperlink("https://icat2.azurewebsites.net/icat/?ontology=ICD&amp;tab=ClassesTab&amp;id=http%3A%2F%2Fwho.int%2Ficd%2351355_512ebf36_bf6b_4d70_85da_cf2637062af4","iCat")</x:f>
      </x:c>
      <x:c r="M10533" s="0" t="s">
        <x:v>21</x:v>
      </x:c>
      <x:c r="N10533" s="0" t="s">
        <x:v>46</x:v>
      </x:c>
    </x:row>
    <x:row r="10534" spans="1:16">
      <x:c r="A10534" s="0" t="s">
        <x:v>42001</x:v>
      </x:c>
      <x:c r="B10534" s="0" t="s">
        <x:v>42002</x:v>
      </x:c>
      <x:c r="C10534" s="0" t="s">
        <x:v>42003</x:v>
      </x:c>
      <x:c r="E10534" s="0" t="s">
        <x:v>42004</x:v>
      </x:c>
      <x:c r="F10534" s="0" t="s">
        <x:v>45</x:v>
      </x:c>
      <x:c r="G10534" s="0" t="s">
        <x:v>19</x:v>
      </x:c>
      <x:c r="H10534" s="0" t="s">
        <x:v>20</x:v>
      </x:c>
      <x:c r="I10534" s="0" t="s">
        <x:v>21</x:v>
      </x:c>
      <x:c r="K10534" s="0">
        <x:f>hyperlink("https://icd.who.int/dev11/l-ichi/en#/http%3A%2F%2Fid.who.int%2Ficd%2Fentity%2F456564243","browser")</x:f>
      </x:c>
      <x:c r="L10534" s="0">
        <x:f>hyperlink("https://icat2.azurewebsites.net/icat/?ontology=ICD&amp;tab=ClassesTab&amp;id=http%3A%2F%2Fwho.int%2Ficd%2351362_512ebf36_bf6b_4d70_85da_cf2637062af4","iCat")</x:f>
      </x:c>
      <x:c r="M10534" s="0" t="s">
        <x:v>21</x:v>
      </x:c>
      <x:c r="N10534" s="0" t="s">
        <x:v>46</x:v>
      </x:c>
    </x:row>
    <x:row r="10535" spans="1:16">
      <x:c r="A10535" s="0" t="s">
        <x:v>42005</x:v>
      </x:c>
      <x:c r="B10535" s="0" t="s">
        <x:v>42006</x:v>
      </x:c>
      <x:c r="C10535" s="0" t="s">
        <x:v>42007</x:v>
      </x:c>
      <x:c r="E10535" s="0" t="s">
        <x:v>42008</x:v>
      </x:c>
      <x:c r="F10535" s="0" t="s">
        <x:v>45</x:v>
      </x:c>
      <x:c r="G10535" s="0" t="s">
        <x:v>19</x:v>
      </x:c>
      <x:c r="H10535" s="0" t="s">
        <x:v>20</x:v>
      </x:c>
      <x:c r="I10535" s="0" t="s">
        <x:v>21</x:v>
      </x:c>
      <x:c r="K10535" s="0">
        <x:f>hyperlink("https://icd.who.int/dev11/l-ichi/en#/http%3A%2F%2Fid.who.int%2Ficd%2Fentity%2F271745215","browser")</x:f>
      </x:c>
      <x:c r="L10535" s="0">
        <x:f>hyperlink("https://icat2.azurewebsites.net/icat/?ontology=ICD&amp;tab=ClassesTab&amp;id=http%3A%2F%2Fwho.int%2Ficd%2351369_512ebf36_bf6b_4d70_85da_cf2637062af4","iCat")</x:f>
      </x:c>
      <x:c r="M10535" s="0" t="s">
        <x:v>21</x:v>
      </x:c>
      <x:c r="N10535" s="0" t="s">
        <x:v>46</x:v>
      </x:c>
    </x:row>
    <x:row r="10536" spans="1:16">
      <x:c r="A10536" s="0" t="s">
        <x:v>42009</x:v>
      </x:c>
      <x:c r="B10536" s="0" t="s">
        <x:v>42010</x:v>
      </x:c>
      <x:c r="C10536" s="0" t="s">
        <x:v>42011</x:v>
      </x:c>
      <x:c r="E10536" s="0" t="s">
        <x:v>42012</x:v>
      </x:c>
      <x:c r="F10536" s="0" t="s">
        <x:v>45</x:v>
      </x:c>
      <x:c r="G10536" s="0" t="s">
        <x:v>19</x:v>
      </x:c>
      <x:c r="H10536" s="0" t="s">
        <x:v>20</x:v>
      </x:c>
      <x:c r="I10536" s="0" t="s">
        <x:v>21</x:v>
      </x:c>
      <x:c r="K10536" s="0">
        <x:f>hyperlink("https://icd.who.int/dev11/l-ichi/en#/http%3A%2F%2Fid.who.int%2Ficd%2Fentity%2F1156894512","browser")</x:f>
      </x:c>
      <x:c r="L10536" s="0">
        <x:f>hyperlink("https://icat2.azurewebsites.net/icat/?ontology=ICD&amp;tab=ClassesTab&amp;id=http%3A%2F%2Fwho.int%2Ficd%2351376_512ebf36_bf6b_4d70_85da_cf2637062af4","iCat")</x:f>
      </x:c>
      <x:c r="M10536" s="0" t="s">
        <x:v>21</x:v>
      </x:c>
      <x:c r="N10536" s="0" t="s">
        <x:v>46</x:v>
      </x:c>
    </x:row>
    <x:row r="10537" spans="1:16">
      <x:c r="A10537" s="0" t="s">
        <x:v>42013</x:v>
      </x:c>
      <x:c r="B10537" s="0" t="s">
        <x:v>42014</x:v>
      </x:c>
      <x:c r="C10537" s="0" t="s">
        <x:v>42015</x:v>
      </x:c>
      <x:c r="E10537" s="0" t="s">
        <x:v>42016</x:v>
      </x:c>
      <x:c r="F10537" s="0" t="s">
        <x:v>45</x:v>
      </x:c>
      <x:c r="G10537" s="0" t="s">
        <x:v>19</x:v>
      </x:c>
      <x:c r="H10537" s="0" t="s">
        <x:v>20</x:v>
      </x:c>
      <x:c r="I10537" s="0" t="s">
        <x:v>21</x:v>
      </x:c>
      <x:c r="K10537" s="0">
        <x:f>hyperlink("https://icd.who.int/dev11/l-ichi/en#/http%3A%2F%2Fid.who.int%2Ficd%2Fentity%2F2129474470","browser")</x:f>
      </x:c>
      <x:c r="L10537" s="0">
        <x:f>hyperlink("https://icat2.azurewebsites.net/icat/?ontology=ICD&amp;tab=ClassesTab&amp;id=http%3A%2F%2Fwho.int%2Ficd%2351383_512ebf36_bf6b_4d70_85da_cf2637062af4","iCat")</x:f>
      </x:c>
      <x:c r="M10537" s="0" t="s">
        <x:v>21</x:v>
      </x:c>
      <x:c r="N10537" s="0" t="s">
        <x:v>46</x:v>
      </x:c>
    </x:row>
    <x:row r="10538" spans="1:16">
      <x:c r="A10538" s="0" t="s">
        <x:v>42017</x:v>
      </x:c>
      <x:c r="B10538" s="0" t="s">
        <x:v>42018</x:v>
      </x:c>
      <x:c r="C10538" s="0" t="s">
        <x:v>42019</x:v>
      </x:c>
      <x:c r="E10538" s="0" t="s">
        <x:v>42020</x:v>
      </x:c>
      <x:c r="F10538" s="0" t="s">
        <x:v>45</x:v>
      </x:c>
      <x:c r="G10538" s="0" t="s">
        <x:v>19</x:v>
      </x:c>
      <x:c r="H10538" s="0" t="s">
        <x:v>20</x:v>
      </x:c>
      <x:c r="I10538" s="0" t="s">
        <x:v>21</x:v>
      </x:c>
      <x:c r="K10538" s="0">
        <x:f>hyperlink("https://icd.who.int/dev11/l-ichi/en#/http%3A%2F%2Fid.who.int%2Ficd%2Fentity%2F1370343690","browser")</x:f>
      </x:c>
      <x:c r="L10538" s="0">
        <x:f>hyperlink("https://icat2.azurewebsites.net/icat/?ontology=ICD&amp;tab=ClassesTab&amp;id=http%3A%2F%2Fwho.int%2Ficd%2351390_512ebf36_bf6b_4d70_85da_cf2637062af4","iCat")</x:f>
      </x:c>
      <x:c r="M10538" s="0" t="s">
        <x:v>21</x:v>
      </x:c>
      <x:c r="N10538" s="0" t="s">
        <x:v>46</x:v>
      </x:c>
    </x:row>
    <x:row r="10539" spans="1:16">
      <x:c r="A10539" s="0" t="s">
        <x:v>42021</x:v>
      </x:c>
      <x:c r="B10539" s="0" t="s">
        <x:v>42022</x:v>
      </x:c>
      <x:c r="C10539" s="0" t="s">
        <x:v>42023</x:v>
      </x:c>
      <x:c r="E10539" s="0" t="s">
        <x:v>42024</x:v>
      </x:c>
      <x:c r="F10539" s="0" t="s">
        <x:v>45</x:v>
      </x:c>
      <x:c r="G10539" s="0" t="s">
        <x:v>19</x:v>
      </x:c>
      <x:c r="H10539" s="0" t="s">
        <x:v>20</x:v>
      </x:c>
      <x:c r="I10539" s="0" t="s">
        <x:v>21</x:v>
      </x:c>
      <x:c r="K10539" s="0">
        <x:f>hyperlink("https://icd.who.int/dev11/l-ichi/en#/http%3A%2F%2Fid.who.int%2Ficd%2Fentity%2F556753541","browser")</x:f>
      </x:c>
      <x:c r="L10539" s="0">
        <x:f>hyperlink("https://icat2.azurewebsites.net/icat/?ontology=ICD&amp;tab=ClassesTab&amp;id=http%3A%2F%2Fwho.int%2Ficd%2351397_512ebf36_bf6b_4d70_85da_cf2637062af4","iCat")</x:f>
      </x:c>
      <x:c r="M10539" s="0" t="s">
        <x:v>21</x:v>
      </x:c>
      <x:c r="N10539" s="0" t="s">
        <x:v>46</x:v>
      </x:c>
    </x:row>
    <x:row r="10540" spans="1:16">
      <x:c r="A10540" s="0" t="s">
        <x:v>42025</x:v>
      </x:c>
      <x:c r="B10540" s="0" t="s">
        <x:v>42026</x:v>
      </x:c>
      <x:c r="C10540" s="0" t="s">
        <x:v>42027</x:v>
      </x:c>
      <x:c r="E10540" s="0" t="s">
        <x:v>42028</x:v>
      </x:c>
      <x:c r="F10540" s="0" t="s">
        <x:v>45</x:v>
      </x:c>
      <x:c r="G10540" s="0" t="s">
        <x:v>19</x:v>
      </x:c>
      <x:c r="H10540" s="0" t="s">
        <x:v>20</x:v>
      </x:c>
      <x:c r="I10540" s="0" t="s">
        <x:v>21</x:v>
      </x:c>
      <x:c r="K10540" s="0">
        <x:f>hyperlink("https://icd.who.int/dev11/l-ichi/en#/http%3A%2F%2Fid.who.int%2Ficd%2Fentity%2F2098162051","browser")</x:f>
      </x:c>
      <x:c r="L10540" s="0">
        <x:f>hyperlink("https://icat2.azurewebsites.net/icat/?ontology=ICD&amp;tab=ClassesTab&amp;id=http%3A%2F%2Fwho.int%2Ficd%2351404_512ebf36_bf6b_4d70_85da_cf2637062af4","iCat")</x:f>
      </x:c>
      <x:c r="M10540" s="0" t="s">
        <x:v>21</x:v>
      </x:c>
      <x:c r="N10540" s="0" t="s">
        <x:v>46</x:v>
      </x:c>
    </x:row>
    <x:row r="10541" spans="1:16">
      <x:c r="A10541" s="0" t="s">
        <x:v>42029</x:v>
      </x:c>
      <x:c r="B10541" s="0" t="s">
        <x:v>42030</x:v>
      </x:c>
      <x:c r="C10541" s="0" t="s">
        <x:v>42031</x:v>
      </x:c>
      <x:c r="E10541" s="0" t="s">
        <x:v>42032</x:v>
      </x:c>
      <x:c r="F10541" s="0" t="s">
        <x:v>45</x:v>
      </x:c>
      <x:c r="G10541" s="0" t="s">
        <x:v>19</x:v>
      </x:c>
      <x:c r="H10541" s="0" t="s">
        <x:v>20</x:v>
      </x:c>
      <x:c r="I10541" s="0" t="s">
        <x:v>21</x:v>
      </x:c>
      <x:c r="K10541" s="0">
        <x:f>hyperlink("https://icd.who.int/dev11/l-ichi/en#/http%3A%2F%2Fid.who.int%2Ficd%2Fentity%2F36981404","browser")</x:f>
      </x:c>
      <x:c r="L10541" s="0">
        <x:f>hyperlink("https://icat2.azurewebsites.net/icat/?ontology=ICD&amp;tab=ClassesTab&amp;id=http%3A%2F%2Fwho.int%2Ficd%2351411_512ebf36_bf6b_4d70_85da_cf2637062af4","iCat")</x:f>
      </x:c>
      <x:c r="M10541" s="0" t="s">
        <x:v>21</x:v>
      </x:c>
      <x:c r="N10541" s="0" t="s">
        <x:v>46</x:v>
      </x:c>
    </x:row>
    <x:row r="10542" spans="1:16">
      <x:c r="A10542" s="0" t="s">
        <x:v>42033</x:v>
      </x:c>
      <x:c r="B10542" s="0" t="s">
        <x:v>42034</x:v>
      </x:c>
      <x:c r="C10542" s="0" t="s">
        <x:v>42035</x:v>
      </x:c>
      <x:c r="E10542" s="0" t="s">
        <x:v>42036</x:v>
      </x:c>
      <x:c r="F10542" s="0" t="s">
        <x:v>45</x:v>
      </x:c>
      <x:c r="G10542" s="0" t="s">
        <x:v>19</x:v>
      </x:c>
      <x:c r="H10542" s="0" t="s">
        <x:v>20</x:v>
      </x:c>
      <x:c r="I10542" s="0" t="s">
        <x:v>21</x:v>
      </x:c>
      <x:c r="K10542" s="0">
        <x:f>hyperlink("https://icd.who.int/dev11/l-ichi/en#/http%3A%2F%2Fid.who.int%2Ficd%2Fentity%2F1816938997","browser")</x:f>
      </x:c>
      <x:c r="L10542" s="0">
        <x:f>hyperlink("https://icat2.azurewebsites.net/icat/?ontology=ICD&amp;tab=ClassesTab&amp;id=http%3A%2F%2Fwho.int%2Ficd%2351418_512ebf36_bf6b_4d70_85da_cf2637062af4","iCat")</x:f>
      </x:c>
      <x:c r="M10542" s="0" t="s">
        <x:v>21</x:v>
      </x:c>
      <x:c r="N10542" s="0" t="s">
        <x:v>46</x:v>
      </x:c>
    </x:row>
    <x:row r="10543" spans="1:16">
      <x:c r="A10543" s="0" t="s">
        <x:v>42037</x:v>
      </x:c>
      <x:c r="B10543" s="0" t="s">
        <x:v>42038</x:v>
      </x:c>
      <x:c r="C10543" s="0" t="s">
        <x:v>42039</x:v>
      </x:c>
      <x:c r="E10543" s="0" t="s">
        <x:v>42040</x:v>
      </x:c>
      <x:c r="F10543" s="0" t="s">
        <x:v>45</x:v>
      </x:c>
      <x:c r="G10543" s="0" t="s">
        <x:v>19</x:v>
      </x:c>
      <x:c r="H10543" s="0" t="s">
        <x:v>20</x:v>
      </x:c>
      <x:c r="I10543" s="0" t="s">
        <x:v>21</x:v>
      </x:c>
      <x:c r="K10543" s="0">
        <x:f>hyperlink("https://icd.who.int/dev11/l-ichi/en#/http%3A%2F%2Fid.who.int%2Ficd%2Fentity%2F2005061359","browser")</x:f>
      </x:c>
      <x:c r="L10543" s="0">
        <x:f>hyperlink("https://icat2.azurewebsites.net/icat/?ontology=ICD&amp;tab=ClassesTab&amp;id=http%3A%2F%2Fwho.int%2Ficd%2351425_512ebf36_bf6b_4d70_85da_cf2637062af4","iCat")</x:f>
      </x:c>
      <x:c r="M10543" s="0" t="s">
        <x:v>21</x:v>
      </x:c>
      <x:c r="N10543" s="0" t="s">
        <x:v>46</x:v>
      </x:c>
    </x:row>
    <x:row r="10544" spans="1:16">
      <x:c r="A10544" s="0" t="s">
        <x:v>42041</x:v>
      </x:c>
      <x:c r="B10544" s="0" t="s">
        <x:v>42042</x:v>
      </x:c>
      <x:c r="C10544" s="0" t="s">
        <x:v>42043</x:v>
      </x:c>
      <x:c r="E10544" s="0" t="s">
        <x:v>42044</x:v>
      </x:c>
      <x:c r="F10544" s="0" t="s">
        <x:v>45</x:v>
      </x:c>
      <x:c r="G10544" s="0" t="s">
        <x:v>19</x:v>
      </x:c>
      <x:c r="H10544" s="0" t="s">
        <x:v>20</x:v>
      </x:c>
      <x:c r="I10544" s="0" t="s">
        <x:v>21</x:v>
      </x:c>
      <x:c r="K10544" s="0">
        <x:f>hyperlink("https://icd.who.int/dev11/l-ichi/en#/http%3A%2F%2Fid.who.int%2Ficd%2Fentity%2F1841688629","browser")</x:f>
      </x:c>
      <x:c r="L10544" s="0">
        <x:f>hyperlink("https://icat2.azurewebsites.net/icat/?ontology=ICD&amp;tab=ClassesTab&amp;id=http%3A%2F%2Fwho.int%2Ficd%2351432_512ebf36_bf6b_4d70_85da_cf2637062af4","iCat")</x:f>
      </x:c>
      <x:c r="M10544" s="0" t="s">
        <x:v>21</x:v>
      </x:c>
      <x:c r="N10544" s="0" t="s">
        <x:v>46</x:v>
      </x:c>
    </x:row>
    <x:row r="10545" spans="1:16">
      <x:c r="A10545" s="0" t="s">
        <x:v>42045</x:v>
      </x:c>
      <x:c r="B10545" s="0" t="s">
        <x:v>42046</x:v>
      </x:c>
      <x:c r="C10545" s="0" t="s">
        <x:v>42047</x:v>
      </x:c>
      <x:c r="E10545" s="0" t="s">
        <x:v>42048</x:v>
      </x:c>
      <x:c r="F10545" s="0" t="s">
        <x:v>45</x:v>
      </x:c>
      <x:c r="G10545" s="0" t="s">
        <x:v>19</x:v>
      </x:c>
      <x:c r="H10545" s="0" t="s">
        <x:v>20</x:v>
      </x:c>
      <x:c r="I10545" s="0" t="s">
        <x:v>21</x:v>
      </x:c>
      <x:c r="K10545" s="0">
        <x:f>hyperlink("https://icd.who.int/dev11/l-ichi/en#/http%3A%2F%2Fid.who.int%2Ficd%2Fentity%2F1723985561","browser")</x:f>
      </x:c>
      <x:c r="L10545" s="0">
        <x:f>hyperlink("https://icat2.azurewebsites.net/icat/?ontology=ICD&amp;tab=ClassesTab&amp;id=http%3A%2F%2Fwho.int%2Ficd%2351439_512ebf36_bf6b_4d70_85da_cf2637062af4","iCat")</x:f>
      </x:c>
      <x:c r="M10545" s="0" t="s">
        <x:v>21</x:v>
      </x:c>
      <x:c r="N10545" s="0" t="s">
        <x:v>46</x:v>
      </x:c>
    </x:row>
    <x:row r="10546" spans="1:16">
      <x:c r="A10546" s="0" t="s">
        <x:v>42049</x:v>
      </x:c>
      <x:c r="B10546" s="0" t="s">
        <x:v>42050</x:v>
      </x:c>
      <x:c r="C10546" s="0" t="s">
        <x:v>42051</x:v>
      </x:c>
      <x:c r="E10546" s="0" t="s">
        <x:v>42052</x:v>
      </x:c>
      <x:c r="F10546" s="0" t="s">
        <x:v>45</x:v>
      </x:c>
      <x:c r="G10546" s="0" t="s">
        <x:v>19</x:v>
      </x:c>
      <x:c r="H10546" s="0" t="s">
        <x:v>20</x:v>
      </x:c>
      <x:c r="I10546" s="0" t="s">
        <x:v>21</x:v>
      </x:c>
      <x:c r="K10546" s="0">
        <x:f>hyperlink("https://icd.who.int/dev11/l-ichi/en#/http%3A%2F%2Fid.who.int%2Ficd%2Fentity%2F1746151259","browser")</x:f>
      </x:c>
      <x:c r="L10546" s="0">
        <x:f>hyperlink("https://icat2.azurewebsites.net/icat/?ontology=ICD&amp;tab=ClassesTab&amp;id=http%3A%2F%2Fwho.int%2Ficd%2351446_512ebf36_bf6b_4d70_85da_cf2637062af4","iCat")</x:f>
      </x:c>
      <x:c r="M10546" s="0" t="s">
        <x:v>21</x:v>
      </x:c>
      <x:c r="N10546" s="0" t="s">
        <x:v>46</x:v>
      </x:c>
    </x:row>
    <x:row r="10547" spans="1:16">
      <x:c r="A10547" s="0" t="s">
        <x:v>42053</x:v>
      </x:c>
      <x:c r="B10547" s="0" t="s">
        <x:v>42054</x:v>
      </x:c>
      <x:c r="C10547" s="0" t="s">
        <x:v>42055</x:v>
      </x:c>
      <x:c r="E10547" s="0" t="s">
        <x:v>42056</x:v>
      </x:c>
      <x:c r="F10547" s="0" t="s">
        <x:v>45</x:v>
      </x:c>
      <x:c r="G10547" s="0" t="s">
        <x:v>19</x:v>
      </x:c>
      <x:c r="H10547" s="0" t="s">
        <x:v>20</x:v>
      </x:c>
      <x:c r="I10547" s="0" t="s">
        <x:v>21</x:v>
      </x:c>
      <x:c r="K10547" s="0">
        <x:f>hyperlink("https://icd.who.int/dev11/l-ichi/en#/http%3A%2F%2Fid.who.int%2Ficd%2Fentity%2F1495485445","browser")</x:f>
      </x:c>
      <x:c r="L10547" s="0">
        <x:f>hyperlink("https://icat2.azurewebsites.net/icat/?ontology=ICD&amp;tab=ClassesTab&amp;id=http%3A%2F%2Fwho.int%2Ficd%235351_d85a204c_d00a_4566_a3b7_2d137a1891cf","iCat")</x:f>
      </x:c>
      <x:c r="M10547" s="0" t="s">
        <x:v>21</x:v>
      </x:c>
      <x:c r="N10547" s="0" t="s">
        <x:v>46</x:v>
      </x:c>
    </x:row>
    <x:row r="10548" spans="1:16">
      <x:c r="A10548" s="0" t="s">
        <x:v>42057</x:v>
      </x:c>
      <x:c r="B10548" s="0" t="s">
        <x:v>42058</x:v>
      </x:c>
      <x:c r="C10548" s="0" t="s">
        <x:v>42059</x:v>
      </x:c>
      <x:c r="E10548" s="0" t="s">
        <x:v>42060</x:v>
      </x:c>
      <x:c r="F10548" s="0" t="s">
        <x:v>45</x:v>
      </x:c>
      <x:c r="G10548" s="0" t="s">
        <x:v>19</x:v>
      </x:c>
      <x:c r="H10548" s="0" t="s">
        <x:v>20</x:v>
      </x:c>
      <x:c r="I10548" s="0" t="s">
        <x:v>21</x:v>
      </x:c>
      <x:c r="K10548" s="0">
        <x:f>hyperlink("https://icd.who.int/dev11/l-ichi/en#/http%3A%2F%2Fid.who.int%2Ficd%2Fentity%2F388957252","browser")</x:f>
      </x:c>
      <x:c r="L10548" s="0">
        <x:f>hyperlink("https://icat2.azurewebsites.net/icat/?ontology=ICD&amp;tab=ClassesTab&amp;id=http%3A%2F%2Fwho.int%2Ficd%2351453_512ebf36_bf6b_4d70_85da_cf2637062af4","iCat")</x:f>
      </x:c>
      <x:c r="M10548" s="0" t="s">
        <x:v>21</x:v>
      </x:c>
      <x:c r="N10548" s="0" t="s">
        <x:v>46</x:v>
      </x:c>
    </x:row>
    <x:row r="10549" spans="1:16">
      <x:c r="A10549" s="0" t="s">
        <x:v>42061</x:v>
      </x:c>
      <x:c r="B10549" s="0" t="s">
        <x:v>42062</x:v>
      </x:c>
      <x:c r="C10549" s="0" t="s">
        <x:v>42063</x:v>
      </x:c>
      <x:c r="E10549" s="0" t="s">
        <x:v>42064</x:v>
      </x:c>
      <x:c r="F10549" s="0" t="s">
        <x:v>45</x:v>
      </x:c>
      <x:c r="G10549" s="0" t="s">
        <x:v>19</x:v>
      </x:c>
      <x:c r="H10549" s="0" t="s">
        <x:v>20</x:v>
      </x:c>
      <x:c r="I10549" s="0" t="s">
        <x:v>21</x:v>
      </x:c>
      <x:c r="K10549" s="0">
        <x:f>hyperlink("https://icd.who.int/dev11/l-ichi/en#/http%3A%2F%2Fid.who.int%2Ficd%2Fentity%2F303770554","browser")</x:f>
      </x:c>
      <x:c r="L10549" s="0">
        <x:f>hyperlink("https://icat2.azurewebsites.net/icat/?ontology=ICD&amp;tab=ClassesTab&amp;id=http%3A%2F%2Fwho.int%2Ficd%2351460_512ebf36_bf6b_4d70_85da_cf2637062af4","iCat")</x:f>
      </x:c>
      <x:c r="M10549" s="0" t="s">
        <x:v>21</x:v>
      </x:c>
      <x:c r="N10549" s="0" t="s">
        <x:v>46</x:v>
      </x:c>
    </x:row>
    <x:row r="10550" spans="1:16">
      <x:c r="A10550" s="0" t="s">
        <x:v>42065</x:v>
      </x:c>
      <x:c r="B10550" s="0" t="s">
        <x:v>42066</x:v>
      </x:c>
      <x:c r="C10550" s="0" t="s">
        <x:v>42067</x:v>
      </x:c>
      <x:c r="E10550" s="0" t="s">
        <x:v>42068</x:v>
      </x:c>
      <x:c r="F10550" s="0" t="s">
        <x:v>45</x:v>
      </x:c>
      <x:c r="G10550" s="0" t="s">
        <x:v>19</x:v>
      </x:c>
      <x:c r="H10550" s="0" t="s">
        <x:v>20</x:v>
      </x:c>
      <x:c r="I10550" s="0" t="s">
        <x:v>21</x:v>
      </x:c>
      <x:c r="K10550" s="0">
        <x:f>hyperlink("https://icd.who.int/dev11/l-ichi/en#/http%3A%2F%2Fid.who.int%2Ficd%2Fentity%2F1654226999","browser")</x:f>
      </x:c>
      <x:c r="L10550" s="0">
        <x:f>hyperlink("https://icat2.azurewebsites.net/icat/?ontology=ICD&amp;tab=ClassesTab&amp;id=http%3A%2F%2Fwho.int%2Ficd%2351467_512ebf36_bf6b_4d70_85da_cf2637062af4","iCat")</x:f>
      </x:c>
      <x:c r="M10550" s="0" t="s">
        <x:v>21</x:v>
      </x:c>
      <x:c r="N10550" s="0" t="s">
        <x:v>46</x:v>
      </x:c>
    </x:row>
    <x:row r="10551" spans="1:16">
      <x:c r="A10551" s="0" t="s">
        <x:v>42069</x:v>
      </x:c>
      <x:c r="B10551" s="0" t="s">
        <x:v>42070</x:v>
      </x:c>
      <x:c r="C10551" s="0" t="s">
        <x:v>42071</x:v>
      </x:c>
      <x:c r="E10551" s="0" t="s">
        <x:v>42072</x:v>
      </x:c>
      <x:c r="F10551" s="0" t="s">
        <x:v>45</x:v>
      </x:c>
      <x:c r="G10551" s="0" t="s">
        <x:v>19</x:v>
      </x:c>
      <x:c r="H10551" s="0" t="s">
        <x:v>20</x:v>
      </x:c>
      <x:c r="I10551" s="0" t="s">
        <x:v>21</x:v>
      </x:c>
      <x:c r="K10551" s="0">
        <x:f>hyperlink("https://icd.who.int/dev11/l-ichi/en#/http%3A%2F%2Fid.who.int%2Ficd%2Fentity%2F1830815909","browser")</x:f>
      </x:c>
      <x:c r="L10551" s="0">
        <x:f>hyperlink("https://icat2.azurewebsites.net/icat/?ontology=ICD&amp;tab=ClassesTab&amp;id=http%3A%2F%2Fwho.int%2Ficd%2351475_512ebf36_bf6b_4d70_85da_cf2637062af4","iCat")</x:f>
      </x:c>
      <x:c r="M10551" s="0" t="s">
        <x:v>21</x:v>
      </x:c>
      <x:c r="N10551" s="0" t="s">
        <x:v>46</x:v>
      </x:c>
    </x:row>
    <x:row r="10552" spans="1:16">
      <x:c r="A10552" s="0" t="s">
        <x:v>42073</x:v>
      </x:c>
      <x:c r="B10552" s="0" t="s">
        <x:v>42074</x:v>
      </x:c>
      <x:c r="C10552" s="0" t="s">
        <x:v>42075</x:v>
      </x:c>
      <x:c r="E10552" s="0" t="s">
        <x:v>42076</x:v>
      </x:c>
      <x:c r="F10552" s="0" t="s">
        <x:v>45</x:v>
      </x:c>
      <x:c r="G10552" s="0" t="s">
        <x:v>19</x:v>
      </x:c>
      <x:c r="H10552" s="0" t="s">
        <x:v>20</x:v>
      </x:c>
      <x:c r="I10552" s="0" t="s">
        <x:v>21</x:v>
      </x:c>
      <x:c r="K10552" s="0">
        <x:f>hyperlink("https://icd.who.int/dev11/l-ichi/en#/http%3A%2F%2Fid.who.int%2Ficd%2Fentity%2F843442678","browser")</x:f>
      </x:c>
      <x:c r="L10552" s="0">
        <x:f>hyperlink("https://icat2.azurewebsites.net/icat/?ontology=ICD&amp;tab=ClassesTab&amp;id=http%3A%2F%2Fwho.int%2Ficd%2351482_512ebf36_bf6b_4d70_85da_cf2637062af4","iCat")</x:f>
      </x:c>
      <x:c r="M10552" s="0" t="s">
        <x:v>21</x:v>
      </x:c>
      <x:c r="N10552" s="0" t="s">
        <x:v>46</x:v>
      </x:c>
    </x:row>
    <x:row r="10553" spans="1:16">
      <x:c r="A10553" s="0" t="s">
        <x:v>42077</x:v>
      </x:c>
      <x:c r="B10553" s="0" t="s">
        <x:v>42078</x:v>
      </x:c>
      <x:c r="C10553" s="0" t="s">
        <x:v>42079</x:v>
      </x:c>
      <x:c r="E10553" s="0" t="s">
        <x:v>42080</x:v>
      </x:c>
      <x:c r="F10553" s="0" t="s">
        <x:v>45</x:v>
      </x:c>
      <x:c r="G10553" s="0" t="s">
        <x:v>19</x:v>
      </x:c>
      <x:c r="H10553" s="0" t="s">
        <x:v>20</x:v>
      </x:c>
      <x:c r="I10553" s="0" t="s">
        <x:v>21</x:v>
      </x:c>
      <x:c r="K10553" s="0">
        <x:f>hyperlink("https://icd.who.int/dev11/l-ichi/en#/http%3A%2F%2Fid.who.int%2Ficd%2Fentity%2F960624476","browser")</x:f>
      </x:c>
      <x:c r="L10553" s="0">
        <x:f>hyperlink("https://icat2.azurewebsites.net/icat/?ontology=ICD&amp;tab=ClassesTab&amp;id=http%3A%2F%2Fwho.int%2Ficd%2351489_512ebf36_bf6b_4d70_85da_cf2637062af4","iCat")</x:f>
      </x:c>
      <x:c r="M10553" s="0" t="s">
        <x:v>21</x:v>
      </x:c>
      <x:c r="N10553" s="0" t="s">
        <x:v>46</x:v>
      </x:c>
    </x:row>
    <x:row r="10554" spans="1:16">
      <x:c r="A10554" s="0" t="s">
        <x:v>42081</x:v>
      </x:c>
      <x:c r="B10554" s="0" t="s">
        <x:v>42082</x:v>
      </x:c>
      <x:c r="C10554" s="0" t="s">
        <x:v>42083</x:v>
      </x:c>
      <x:c r="E10554" s="0" t="s">
        <x:v>42084</x:v>
      </x:c>
      <x:c r="F10554" s="0" t="s">
        <x:v>45</x:v>
      </x:c>
      <x:c r="G10554" s="0" t="s">
        <x:v>19</x:v>
      </x:c>
      <x:c r="H10554" s="0" t="s">
        <x:v>20</x:v>
      </x:c>
      <x:c r="I10554" s="0" t="s">
        <x:v>21</x:v>
      </x:c>
      <x:c r="K10554" s="0">
        <x:f>hyperlink("https://icd.who.int/dev11/l-ichi/en#/http%3A%2F%2Fid.who.int%2Ficd%2Fentity%2F1837611221","browser")</x:f>
      </x:c>
      <x:c r="L10554" s="0">
        <x:f>hyperlink("https://icat2.azurewebsites.net/icat/?ontology=ICD&amp;tab=ClassesTab&amp;id=http%3A%2F%2Fwho.int%2Ficd%2351496_512ebf36_bf6b_4d70_85da_cf2637062af4","iCat")</x:f>
      </x:c>
      <x:c r="M10554" s="0" t="s">
        <x:v>21</x:v>
      </x:c>
      <x:c r="N10554" s="0" t="s">
        <x:v>46</x:v>
      </x:c>
    </x:row>
    <x:row r="10555" spans="1:16">
      <x:c r="A10555" s="0" t="s">
        <x:v>42085</x:v>
      </x:c>
      <x:c r="B10555" s="0" t="s">
        <x:v>42086</x:v>
      </x:c>
      <x:c r="C10555" s="0" t="s">
        <x:v>42087</x:v>
      </x:c>
      <x:c r="E10555" s="0" t="s">
        <x:v>42088</x:v>
      </x:c>
      <x:c r="F10555" s="0" t="s">
        <x:v>45</x:v>
      </x:c>
      <x:c r="G10555" s="0" t="s">
        <x:v>19</x:v>
      </x:c>
      <x:c r="H10555" s="0" t="s">
        <x:v>20</x:v>
      </x:c>
      <x:c r="I10555" s="0" t="s">
        <x:v>21</x:v>
      </x:c>
      <x:c r="K10555" s="0">
        <x:f>hyperlink("https://icd.who.int/dev11/l-ichi/en#/http%3A%2F%2Fid.who.int%2Ficd%2Fentity%2F2014446739","browser")</x:f>
      </x:c>
      <x:c r="L10555" s="0">
        <x:f>hyperlink("https://icat2.azurewebsites.net/icat/?ontology=ICD&amp;tab=ClassesTab&amp;id=http%3A%2F%2Fwho.int%2Ficd%2351503_512ebf36_bf6b_4d70_85da_cf2637062af4","iCat")</x:f>
      </x:c>
      <x:c r="M10555" s="0" t="s">
        <x:v>21</x:v>
      </x:c>
      <x:c r="N10555" s="0" t="s">
        <x:v>46</x:v>
      </x:c>
    </x:row>
    <x:row r="10556" spans="1:16">
      <x:c r="A10556" s="0" t="s">
        <x:v>42089</x:v>
      </x:c>
      <x:c r="B10556" s="0" t="s">
        <x:v>42090</x:v>
      </x:c>
      <x:c r="C10556" s="0" t="s">
        <x:v>42091</x:v>
      </x:c>
      <x:c r="E10556" s="0" t="s">
        <x:v>42092</x:v>
      </x:c>
      <x:c r="F10556" s="0" t="s">
        <x:v>45</x:v>
      </x:c>
      <x:c r="G10556" s="0" t="s">
        <x:v>19</x:v>
      </x:c>
      <x:c r="H10556" s="0" t="s">
        <x:v>20</x:v>
      </x:c>
      <x:c r="I10556" s="0" t="s">
        <x:v>21</x:v>
      </x:c>
      <x:c r="K10556" s="0">
        <x:f>hyperlink("https://icd.who.int/dev11/l-ichi/en#/http%3A%2F%2Fid.who.int%2Ficd%2Fentity%2F1465056829","browser")</x:f>
      </x:c>
      <x:c r="L10556" s="0">
        <x:f>hyperlink("https://icat2.azurewebsites.net/icat/?ontology=ICD&amp;tab=ClassesTab&amp;id=http%3A%2F%2Fwho.int%2Ficd%2351510_512ebf36_bf6b_4d70_85da_cf2637062af4","iCat")</x:f>
      </x:c>
      <x:c r="M10556" s="0" t="s">
        <x:v>21</x:v>
      </x:c>
      <x:c r="N10556" s="0" t="s">
        <x:v>46</x:v>
      </x:c>
    </x:row>
    <x:row r="10557" spans="1:16">
      <x:c r="A10557" s="0" t="s">
        <x:v>42093</x:v>
      </x:c>
      <x:c r="B10557" s="0" t="s">
        <x:v>42094</x:v>
      </x:c>
      <x:c r="C10557" s="0" t="s">
        <x:v>42095</x:v>
      </x:c>
      <x:c r="E10557" s="0" t="s">
        <x:v>42096</x:v>
      </x:c>
      <x:c r="F10557" s="0" t="s">
        <x:v>45</x:v>
      </x:c>
      <x:c r="G10557" s="0" t="s">
        <x:v>19</x:v>
      </x:c>
      <x:c r="H10557" s="0" t="s">
        <x:v>20</x:v>
      </x:c>
      <x:c r="I10557" s="0" t="s">
        <x:v>21</x:v>
      </x:c>
      <x:c r="K10557" s="0">
        <x:f>hyperlink("https://icd.who.int/dev11/l-ichi/en#/http%3A%2F%2Fid.who.int%2Ficd%2Fentity%2F667964850","browser")</x:f>
      </x:c>
      <x:c r="L10557" s="0">
        <x:f>hyperlink("https://icat2.azurewebsites.net/icat/?ontology=ICD&amp;tab=ClassesTab&amp;id=http%3A%2F%2Fwho.int%2Ficd%2351517_512ebf36_bf6b_4d70_85da_cf2637062af4","iCat")</x:f>
      </x:c>
      <x:c r="M10557" s="0" t="s">
        <x:v>21</x:v>
      </x:c>
      <x:c r="N10557" s="0" t="s">
        <x:v>46</x:v>
      </x:c>
    </x:row>
    <x:row r="10558" spans="1:16">
      <x:c r="A10558" s="0" t="s">
        <x:v>42097</x:v>
      </x:c>
      <x:c r="B10558" s="0" t="s">
        <x:v>42098</x:v>
      </x:c>
      <x:c r="C10558" s="0" t="s">
        <x:v>42099</x:v>
      </x:c>
      <x:c r="E10558" s="0" t="s">
        <x:v>42100</x:v>
      </x:c>
      <x:c r="F10558" s="0" t="s">
        <x:v>45</x:v>
      </x:c>
      <x:c r="G10558" s="0" t="s">
        <x:v>19</x:v>
      </x:c>
      <x:c r="H10558" s="0" t="s">
        <x:v>20</x:v>
      </x:c>
      <x:c r="I10558" s="0" t="s">
        <x:v>21</x:v>
      </x:c>
      <x:c r="K10558" s="0">
        <x:f>hyperlink("https://icd.who.int/dev11/l-ichi/en#/http%3A%2F%2Fid.who.int%2Ficd%2Fentity%2F585398864","browser")</x:f>
      </x:c>
      <x:c r="L10558" s="0">
        <x:f>hyperlink("https://icat2.azurewebsites.net/icat/?ontology=ICD&amp;tab=ClassesTab&amp;id=http%3A%2F%2Fwho.int%2Ficd%2351524_512ebf36_bf6b_4d70_85da_cf2637062af4","iCat")</x:f>
      </x:c>
      <x:c r="M10558" s="0" t="s">
        <x:v>21</x:v>
      </x:c>
      <x:c r="N10558" s="0" t="s">
        <x:v>46</x:v>
      </x:c>
    </x:row>
    <x:row r="10559" spans="1:16">
      <x:c r="A10559" s="0" t="s">
        <x:v>42101</x:v>
      </x:c>
      <x:c r="B10559" s="0" t="s">
        <x:v>42102</x:v>
      </x:c>
      <x:c r="C10559" s="0" t="s">
        <x:v>42103</x:v>
      </x:c>
      <x:c r="E10559" s="0" t="s">
        <x:v>42104</x:v>
      </x:c>
      <x:c r="F10559" s="0" t="s">
        <x:v>45</x:v>
      </x:c>
      <x:c r="G10559" s="0" t="s">
        <x:v>19</x:v>
      </x:c>
      <x:c r="H10559" s="0" t="s">
        <x:v>20</x:v>
      </x:c>
      <x:c r="I10559" s="0" t="s">
        <x:v>21</x:v>
      </x:c>
      <x:c r="K10559" s="0">
        <x:f>hyperlink("https://icd.who.int/dev11/l-ichi/en#/http%3A%2F%2Fid.who.int%2Ficd%2Fentity%2F1574918481","browser")</x:f>
      </x:c>
      <x:c r="L10559" s="0">
        <x:f>hyperlink("https://icat2.azurewebsites.net/icat/?ontology=ICD&amp;tab=ClassesTab&amp;id=http%3A%2F%2Fwho.int%2Ficd%2351531_512ebf36_bf6b_4d70_85da_cf2637062af4","iCat")</x:f>
      </x:c>
      <x:c r="M10559" s="0" t="s">
        <x:v>21</x:v>
      </x:c>
      <x:c r="N10559" s="0" t="s">
        <x:v>46</x:v>
      </x:c>
    </x:row>
    <x:row r="10560" spans="1:16">
      <x:c r="A10560" s="0" t="s">
        <x:v>42105</x:v>
      </x:c>
      <x:c r="B10560" s="0" t="s">
        <x:v>42106</x:v>
      </x:c>
      <x:c r="C10560" s="0" t="s">
        <x:v>42107</x:v>
      </x:c>
      <x:c r="E10560" s="0" t="s">
        <x:v>42108</x:v>
      </x:c>
      <x:c r="F10560" s="0" t="s">
        <x:v>45</x:v>
      </x:c>
      <x:c r="G10560" s="0" t="s">
        <x:v>19</x:v>
      </x:c>
      <x:c r="H10560" s="0" t="s">
        <x:v>20</x:v>
      </x:c>
      <x:c r="I10560" s="0" t="s">
        <x:v>21</x:v>
      </x:c>
      <x:c r="K10560" s="0">
        <x:f>hyperlink("https://icd.who.int/dev11/l-ichi/en#/http%3A%2F%2Fid.who.int%2Ficd%2Fentity%2F242880712","browser")</x:f>
      </x:c>
      <x:c r="L10560" s="0">
        <x:f>hyperlink("https://icat2.azurewebsites.net/icat/?ontology=ICD&amp;tab=ClassesTab&amp;id=http%3A%2F%2Fwho.int%2Ficd%2362_3c64dd61_a787_4b69_a0aa_c26ee473e65a","iCat")</x:f>
      </x:c>
      <x:c r="M10560" s="0" t="s">
        <x:v>21</x:v>
      </x:c>
      <x:c r="N10560" s="0" t="s">
        <x:v>46</x:v>
      </x:c>
    </x:row>
    <x:row r="10561" spans="1:16">
      <x:c r="A10561" s="0" t="s">
        <x:v>42109</x:v>
      </x:c>
      <x:c r="B10561" s="0" t="s">
        <x:v>42110</x:v>
      </x:c>
      <x:c r="C10561" s="0" t="s">
        <x:v>42111</x:v>
      </x:c>
      <x:c r="E10561" s="0" t="s">
        <x:v>42112</x:v>
      </x:c>
      <x:c r="F10561" s="0" t="s">
        <x:v>45</x:v>
      </x:c>
      <x:c r="G10561" s="0" t="s">
        <x:v>19</x:v>
      </x:c>
      <x:c r="H10561" s="0" t="s">
        <x:v>20</x:v>
      </x:c>
      <x:c r="I10561" s="0" t="s">
        <x:v>21</x:v>
      </x:c>
      <x:c r="K10561" s="0">
        <x:f>hyperlink("https://icd.who.int/dev11/l-ichi/en#/http%3A%2F%2Fid.who.int%2Ficd%2Fentity%2F2077004987","browser")</x:f>
      </x:c>
      <x:c r="L10561" s="0">
        <x:f>hyperlink("https://icat2.azurewebsites.net/icat/?ontology=ICD&amp;tab=ClassesTab&amp;id=http%3A%2F%2Fwho.int%2Ficd%2356_3c64dd61_a787_4b69_a0aa_c26ee473e65a","iCat")</x:f>
      </x:c>
      <x:c r="M10561" s="0" t="s">
        <x:v>21</x:v>
      </x:c>
      <x:c r="N10561" s="0" t="s">
        <x:v>46</x:v>
      </x:c>
    </x:row>
    <x:row r="10562" spans="1:16">
      <x:c r="A10562" s="0" t="s">
        <x:v>42113</x:v>
      </x:c>
      <x:c r="B10562" s="0" t="s">
        <x:v>42114</x:v>
      </x:c>
      <x:c r="C10562" s="0" t="s">
        <x:v>42115</x:v>
      </x:c>
      <x:c r="E10562" s="0" t="s">
        <x:v>42116</x:v>
      </x:c>
      <x:c r="F10562" s="0" t="s">
        <x:v>45</x:v>
      </x:c>
      <x:c r="G10562" s="0" t="s">
        <x:v>19</x:v>
      </x:c>
      <x:c r="H10562" s="0" t="s">
        <x:v>20</x:v>
      </x:c>
      <x:c r="I10562" s="0" t="s">
        <x:v>21</x:v>
      </x:c>
      <x:c r="K10562" s="0">
        <x:f>hyperlink("https://icd.who.int/dev11/l-ichi/en#/http%3A%2F%2Fid.who.int%2Ficd%2Fentity%2F866605624","browser")</x:f>
      </x:c>
      <x:c r="L10562" s="0">
        <x:f>hyperlink("https://icat2.azurewebsites.net/icat/?ontology=ICD&amp;tab=ClassesTab&amp;id=http%3A%2F%2Fwho.int%2Ficd%2351538_512ebf36_bf6b_4d70_85da_cf2637062af4","iCat")</x:f>
      </x:c>
      <x:c r="M10562" s="0" t="s">
        <x:v>21</x:v>
      </x:c>
      <x:c r="N10562" s="0" t="s">
        <x:v>46</x:v>
      </x:c>
    </x:row>
    <x:row r="10563" spans="1:16">
      <x:c r="A10563" s="0" t="s">
        <x:v>42117</x:v>
      </x:c>
      <x:c r="B10563" s="0" t="s">
        <x:v>42118</x:v>
      </x:c>
      <x:c r="C10563" s="0" t="s">
        <x:v>42119</x:v>
      </x:c>
      <x:c r="E10563" s="0" t="s">
        <x:v>42120</x:v>
      </x:c>
      <x:c r="F10563" s="0" t="s">
        <x:v>45</x:v>
      </x:c>
      <x:c r="G10563" s="0" t="s">
        <x:v>19</x:v>
      </x:c>
      <x:c r="H10563" s="0" t="s">
        <x:v>20</x:v>
      </x:c>
      <x:c r="I10563" s="0" t="s">
        <x:v>21</x:v>
      </x:c>
      <x:c r="K10563" s="0">
        <x:f>hyperlink("https://icd.who.int/dev11/l-ichi/en#/http%3A%2F%2Fid.who.int%2Ficd%2Fentity%2F1477348927","browser")</x:f>
      </x:c>
      <x:c r="L10563" s="0">
        <x:f>hyperlink("https://icat2.azurewebsites.net/icat/?ontology=ICD&amp;tab=ClassesTab&amp;id=http%3A%2F%2Fwho.int%2Ficd%2351545_512ebf36_bf6b_4d70_85da_cf2637062af4","iCat")</x:f>
      </x:c>
      <x:c r="M10563" s="0" t="s">
        <x:v>21</x:v>
      </x:c>
      <x:c r="N10563" s="0" t="s">
        <x:v>46</x:v>
      </x:c>
    </x:row>
    <x:row r="10564" spans="1:16">
      <x:c r="A10564" s="0" t="s">
        <x:v>42121</x:v>
      </x:c>
      <x:c r="B10564" s="0" t="s">
        <x:v>42122</x:v>
      </x:c>
      <x:c r="C10564" s="0" t="s">
        <x:v>42123</x:v>
      </x:c>
      <x:c r="E10564" s="0" t="s">
        <x:v>42124</x:v>
      </x:c>
      <x:c r="F10564" s="0" t="s">
        <x:v>45</x:v>
      </x:c>
      <x:c r="G10564" s="0" t="s">
        <x:v>19</x:v>
      </x:c>
      <x:c r="H10564" s="0" t="s">
        <x:v>20</x:v>
      </x:c>
      <x:c r="I10564" s="0" t="s">
        <x:v>21</x:v>
      </x:c>
      <x:c r="K10564" s="0">
        <x:f>hyperlink("https://icd.who.int/dev11/l-ichi/en#/http%3A%2F%2Fid.who.int%2Ficd%2Fentity%2F1112125669","browser")</x:f>
      </x:c>
      <x:c r="L10564" s="0">
        <x:f>hyperlink("https://icat2.azurewebsites.net/icat/?ontology=ICD&amp;tab=ClassesTab&amp;id=http%3A%2F%2Fwho.int%2Ficd%2351552_512ebf36_bf6b_4d70_85da_cf2637062af4","iCat")</x:f>
      </x:c>
      <x:c r="M10564" s="0" t="s">
        <x:v>21</x:v>
      </x:c>
      <x:c r="N10564" s="0" t="s">
        <x:v>46</x:v>
      </x:c>
    </x:row>
    <x:row r="10565" spans="1:16">
      <x:c r="A10565" s="0" t="s">
        <x:v>42125</x:v>
      </x:c>
      <x:c r="B10565" s="0" t="s">
        <x:v>42126</x:v>
      </x:c>
      <x:c r="C10565" s="0" t="s">
        <x:v>42127</x:v>
      </x:c>
      <x:c r="E10565" s="0" t="s">
        <x:v>42128</x:v>
      </x:c>
      <x:c r="F10565" s="0" t="s">
        <x:v>45</x:v>
      </x:c>
      <x:c r="G10565" s="0" t="s">
        <x:v>19</x:v>
      </x:c>
      <x:c r="H10565" s="0" t="s">
        <x:v>20</x:v>
      </x:c>
      <x:c r="I10565" s="0" t="s">
        <x:v>21</x:v>
      </x:c>
      <x:c r="K10565" s="0">
        <x:f>hyperlink("https://icd.who.int/dev11/l-ichi/en#/http%3A%2F%2Fid.who.int%2Ficd%2Fentity%2F1229827657","browser")</x:f>
      </x:c>
      <x:c r="L10565" s="0">
        <x:f>hyperlink("https://icat2.azurewebsites.net/icat/?ontology=ICD&amp;tab=ClassesTab&amp;id=http%3A%2F%2Fwho.int%2Ficd%2351559_512ebf36_bf6b_4d70_85da_cf2637062af4","iCat")</x:f>
      </x:c>
      <x:c r="M10565" s="0" t="s">
        <x:v>21</x:v>
      </x:c>
      <x:c r="N10565" s="0" t="s">
        <x:v>46</x:v>
      </x:c>
    </x:row>
    <x:row r="10566" spans="1:16">
      <x:c r="A10566" s="0" t="s">
        <x:v>42129</x:v>
      </x:c>
      <x:c r="B10566" s="0" t="s">
        <x:v>42130</x:v>
      </x:c>
      <x:c r="C10566" s="0" t="s">
        <x:v>42131</x:v>
      </x:c>
      <x:c r="E10566" s="0" t="s">
        <x:v>42132</x:v>
      </x:c>
      <x:c r="F10566" s="0" t="s">
        <x:v>45</x:v>
      </x:c>
      <x:c r="G10566" s="0" t="s">
        <x:v>19</x:v>
      </x:c>
      <x:c r="H10566" s="0" t="s">
        <x:v>20</x:v>
      </x:c>
      <x:c r="I10566" s="0" t="s">
        <x:v>21</x:v>
      </x:c>
      <x:c r="K10566" s="0">
        <x:f>hyperlink("https://icd.who.int/dev11/l-ichi/en#/http%3A%2F%2Fid.who.int%2Ficd%2Fentity%2F156800438","browser")</x:f>
      </x:c>
      <x:c r="L10566" s="0">
        <x:f>hyperlink("https://icat2.azurewebsites.net/icat/?ontology=ICD&amp;tab=ClassesTab&amp;id=http%3A%2F%2Fwho.int%2Ficd%235357_d85a204c_d00a_4566_a3b7_2d137a1891cf","iCat")</x:f>
      </x:c>
      <x:c r="M10566" s="0" t="s">
        <x:v>21</x:v>
      </x:c>
      <x:c r="N10566" s="0" t="s">
        <x:v>46</x:v>
      </x:c>
    </x:row>
    <x:row r="10567" spans="1:16">
      <x:c r="A10567" s="0" t="s">
        <x:v>42133</x:v>
      </x:c>
      <x:c r="B10567" s="0" t="s">
        <x:v>42134</x:v>
      </x:c>
      <x:c r="C10567" s="0" t="s">
        <x:v>42135</x:v>
      </x:c>
      <x:c r="E10567" s="0" t="s">
        <x:v>42136</x:v>
      </x:c>
      <x:c r="F10567" s="0" t="s">
        <x:v>45</x:v>
      </x:c>
      <x:c r="G10567" s="0" t="s">
        <x:v>19</x:v>
      </x:c>
      <x:c r="H10567" s="0" t="s">
        <x:v>20</x:v>
      </x:c>
      <x:c r="I10567" s="0" t="s">
        <x:v>21</x:v>
      </x:c>
      <x:c r="K10567" s="0">
        <x:f>hyperlink("https://icd.who.int/dev11/l-ichi/en#/http%3A%2F%2Fid.who.int%2Ficd%2Fentity%2F939472024","browser")</x:f>
      </x:c>
      <x:c r="L10567" s="0">
        <x:f>hyperlink("https://icat2.azurewebsites.net/icat/?ontology=ICD&amp;tab=ClassesTab&amp;id=http%3A%2F%2Fwho.int%2Ficd%2351566_512ebf36_bf6b_4d70_85da_cf2637062af4","iCat")</x:f>
      </x:c>
      <x:c r="M10567" s="0" t="s">
        <x:v>21</x:v>
      </x:c>
      <x:c r="N10567" s="0" t="s">
        <x:v>46</x:v>
      </x:c>
    </x:row>
    <x:row r="10568" spans="1:16">
      <x:c r="A10568" s="0" t="s">
        <x:v>42137</x:v>
      </x:c>
      <x:c r="B10568" s="0" t="s">
        <x:v>42138</x:v>
      </x:c>
      <x:c r="C10568" s="0" t="s">
        <x:v>42139</x:v>
      </x:c>
      <x:c r="E10568" s="0" t="s">
        <x:v>42140</x:v>
      </x:c>
      <x:c r="F10568" s="0" t="s">
        <x:v>45</x:v>
      </x:c>
      <x:c r="G10568" s="0" t="s">
        <x:v>19</x:v>
      </x:c>
      <x:c r="H10568" s="0" t="s">
        <x:v>20</x:v>
      </x:c>
      <x:c r="I10568" s="0" t="s">
        <x:v>21</x:v>
      </x:c>
      <x:c r="K10568" s="0">
        <x:f>hyperlink("https://icd.who.int/dev11/l-ichi/en#/http%3A%2F%2Fid.who.int%2Ficd%2Fentity%2F1220810633","browser")</x:f>
      </x:c>
      <x:c r="L10568" s="0">
        <x:f>hyperlink("https://icat2.azurewebsites.net/icat/?ontology=ICD&amp;tab=ClassesTab&amp;id=http%3A%2F%2Fwho.int%2Ficd%2351573_512ebf36_bf6b_4d70_85da_cf2637062af4","iCat")</x:f>
      </x:c>
      <x:c r="M10568" s="0" t="s">
        <x:v>21</x:v>
      </x:c>
      <x:c r="N10568" s="0" t="s">
        <x:v>46</x:v>
      </x:c>
    </x:row>
    <x:row r="10569" spans="1:16">
      <x:c r="A10569" s="0" t="s">
        <x:v>42141</x:v>
      </x:c>
      <x:c r="B10569" s="0" t="s">
        <x:v>42142</x:v>
      </x:c>
      <x:c r="C10569" s="0" t="s">
        <x:v>42143</x:v>
      </x:c>
      <x:c r="E10569" s="0" t="s">
        <x:v>42144</x:v>
      </x:c>
      <x:c r="F10569" s="0" t="s">
        <x:v>45</x:v>
      </x:c>
      <x:c r="G10569" s="0" t="s">
        <x:v>19</x:v>
      </x:c>
      <x:c r="H10569" s="0" t="s">
        <x:v>20</x:v>
      </x:c>
      <x:c r="I10569" s="0" t="s">
        <x:v>21</x:v>
      </x:c>
      <x:c r="K10569" s="0">
        <x:f>hyperlink("https://icd.who.int/dev11/l-ichi/en#/http%3A%2F%2Fid.who.int%2Ficd%2Fentity%2F581317294","browser")</x:f>
      </x:c>
      <x:c r="L10569" s="0">
        <x:f>hyperlink("https://icat2.azurewebsites.net/icat/?ontology=ICD&amp;tab=ClassesTab&amp;id=http%3A%2F%2Fwho.int%2Ficd%2351580_512ebf36_bf6b_4d70_85da_cf2637062af4","iCat")</x:f>
      </x:c>
      <x:c r="M10569" s="0" t="s">
        <x:v>21</x:v>
      </x:c>
      <x:c r="N10569" s="0" t="s">
        <x:v>46</x:v>
      </x:c>
    </x:row>
    <x:row r="10570" spans="1:16">
      <x:c r="A10570" s="0" t="s">
        <x:v>42145</x:v>
      </x:c>
      <x:c r="B10570" s="0" t="s">
        <x:v>42146</x:v>
      </x:c>
      <x:c r="C10570" s="0" t="s">
        <x:v>42147</x:v>
      </x:c>
      <x:c r="E10570" s="0" t="s">
        <x:v>42148</x:v>
      </x:c>
      <x:c r="F10570" s="0" t="s">
        <x:v>45</x:v>
      </x:c>
      <x:c r="G10570" s="0" t="s">
        <x:v>19</x:v>
      </x:c>
      <x:c r="H10570" s="0" t="s">
        <x:v>20</x:v>
      </x:c>
      <x:c r="I10570" s="0" t="s">
        <x:v>21</x:v>
      </x:c>
      <x:c r="K10570" s="0">
        <x:f>hyperlink("https://icd.who.int/dev11/l-ichi/en#/http%3A%2F%2Fid.who.int%2Ficd%2Fentity%2F1378130211","browser")</x:f>
      </x:c>
      <x:c r="L10570" s="0">
        <x:f>hyperlink("https://icat2.azurewebsites.net/icat/?ontology=ICD&amp;tab=ClassesTab&amp;id=http%3A%2F%2Fwho.int%2Ficd%2351587_512ebf36_bf6b_4d70_85da_cf2637062af4","iCat")</x:f>
      </x:c>
      <x:c r="M10570" s="0" t="s">
        <x:v>21</x:v>
      </x:c>
      <x:c r="N10570" s="0" t="s">
        <x:v>46</x:v>
      </x:c>
    </x:row>
    <x:row r="10571" spans="1:16">
      <x:c r="A10571" s="0" t="s">
        <x:v>42149</x:v>
      </x:c>
      <x:c r="B10571" s="0" t="s">
        <x:v>42150</x:v>
      </x:c>
      <x:c r="C10571" s="0" t="s">
        <x:v>42151</x:v>
      </x:c>
      <x:c r="E10571" s="0" t="s">
        <x:v>42152</x:v>
      </x:c>
      <x:c r="F10571" s="0" t="s">
        <x:v>45</x:v>
      </x:c>
      <x:c r="G10571" s="0" t="s">
        <x:v>19</x:v>
      </x:c>
      <x:c r="H10571" s="0" t="s">
        <x:v>20</x:v>
      </x:c>
      <x:c r="I10571" s="0" t="s">
        <x:v>21</x:v>
      </x:c>
      <x:c r="K10571" s="0">
        <x:f>hyperlink("https://icd.who.int/dev11/l-ichi/en#/http%3A%2F%2Fid.who.int%2Ficd%2Fentity%2F2103731085","browser")</x:f>
      </x:c>
      <x:c r="L10571" s="0">
        <x:f>hyperlink("https://icat2.azurewebsites.net/icat/?ontology=ICD&amp;tab=ClassesTab&amp;id=http%3A%2F%2Fwho.int%2Ficd%2351594_512ebf36_bf6b_4d70_85da_cf2637062af4","iCat")</x:f>
      </x:c>
      <x:c r="M10571" s="0" t="s">
        <x:v>21</x:v>
      </x:c>
      <x:c r="N10571" s="0" t="s">
        <x:v>46</x:v>
      </x:c>
    </x:row>
    <x:row r="10572" spans="1:16">
      <x:c r="A10572" s="0" t="s">
        <x:v>42153</x:v>
      </x:c>
      <x:c r="B10572" s="0" t="s">
        <x:v>42154</x:v>
      </x:c>
      <x:c r="C10572" s="0" t="s">
        <x:v>42155</x:v>
      </x:c>
      <x:c r="E10572" s="0" t="s">
        <x:v>42156</x:v>
      </x:c>
      <x:c r="F10572" s="0" t="s">
        <x:v>45</x:v>
      </x:c>
      <x:c r="G10572" s="0" t="s">
        <x:v>19</x:v>
      </x:c>
      <x:c r="H10572" s="0" t="s">
        <x:v>20</x:v>
      </x:c>
      <x:c r="I10572" s="0" t="s">
        <x:v>21</x:v>
      </x:c>
      <x:c r="K10572" s="0">
        <x:f>hyperlink("https://icd.who.int/dev11/l-ichi/en#/http%3A%2F%2Fid.who.int%2Ficd%2Fentity%2F2083630351","browser")</x:f>
      </x:c>
      <x:c r="L10572" s="0">
        <x:f>hyperlink("https://icat2.azurewebsites.net/icat/?ontology=ICD&amp;tab=ClassesTab&amp;id=http%3A%2F%2Fwho.int%2Ficd%2351601_512ebf36_bf6b_4d70_85da_cf2637062af4","iCat")</x:f>
      </x:c>
      <x:c r="M10572" s="0" t="s">
        <x:v>21</x:v>
      </x:c>
      <x:c r="N10572" s="0" t="s">
        <x:v>46</x:v>
      </x:c>
    </x:row>
    <x:row r="10573" spans="1:16">
      <x:c r="A10573" s="0" t="s">
        <x:v>42157</x:v>
      </x:c>
      <x:c r="B10573" s="0" t="s">
        <x:v>42158</x:v>
      </x:c>
      <x:c r="C10573" s="0" t="s">
        <x:v>42159</x:v>
      </x:c>
      <x:c r="E10573" s="0" t="s">
        <x:v>42160</x:v>
      </x:c>
      <x:c r="F10573" s="0" t="s">
        <x:v>45</x:v>
      </x:c>
      <x:c r="G10573" s="0" t="s">
        <x:v>19</x:v>
      </x:c>
      <x:c r="H10573" s="0" t="s">
        <x:v>20</x:v>
      </x:c>
      <x:c r="I10573" s="0" t="s">
        <x:v>21</x:v>
      </x:c>
      <x:c r="K10573" s="0">
        <x:f>hyperlink("https://icd.who.int/dev11/l-ichi/en#/http%3A%2F%2Fid.who.int%2Ficd%2Fentity%2F306818662","browser")</x:f>
      </x:c>
      <x:c r="L10573" s="0">
        <x:f>hyperlink("https://icat2.azurewebsites.net/icat/?ontology=ICD&amp;tab=ClassesTab&amp;id=http%3A%2F%2Fwho.int%2Ficd%2351608_512ebf36_bf6b_4d70_85da_cf2637062af4","iCat")</x:f>
      </x:c>
      <x:c r="M10573" s="0" t="s">
        <x:v>21</x:v>
      </x:c>
      <x:c r="N10573" s="0" t="s">
        <x:v>46</x:v>
      </x:c>
    </x:row>
    <x:row r="10574" spans="1:16">
      <x:c r="A10574" s="0" t="s">
        <x:v>42161</x:v>
      </x:c>
      <x:c r="B10574" s="0" t="s">
        <x:v>42162</x:v>
      </x:c>
      <x:c r="C10574" s="0" t="s">
        <x:v>42163</x:v>
      </x:c>
      <x:c r="E10574" s="0" t="s">
        <x:v>42164</x:v>
      </x:c>
      <x:c r="F10574" s="0" t="s">
        <x:v>45</x:v>
      </x:c>
      <x:c r="G10574" s="0" t="s">
        <x:v>19</x:v>
      </x:c>
      <x:c r="H10574" s="0" t="s">
        <x:v>20</x:v>
      </x:c>
      <x:c r="I10574" s="0" t="s">
        <x:v>21</x:v>
      </x:c>
      <x:c r="K10574" s="0">
        <x:f>hyperlink("https://icd.who.int/dev11/l-ichi/en#/http%3A%2F%2Fid.who.int%2Ficd%2Fentity%2F603192364","browser")</x:f>
      </x:c>
      <x:c r="L10574" s="0">
        <x:f>hyperlink("https://icat2.azurewebsites.net/icat/?ontology=ICD&amp;tab=ClassesTab&amp;id=http%3A%2F%2Fwho.int%2Ficd%2351615_512ebf36_bf6b_4d70_85da_cf2637062af4","iCat")</x:f>
      </x:c>
      <x:c r="M10574" s="0" t="s">
        <x:v>21</x:v>
      </x:c>
      <x:c r="N10574" s="0" t="s">
        <x:v>46</x:v>
      </x:c>
    </x:row>
    <x:row r="10575" spans="1:16">
      <x:c r="A10575" s="0" t="s">
        <x:v>42165</x:v>
      </x:c>
      <x:c r="B10575" s="0" t="s">
        <x:v>42166</x:v>
      </x:c>
      <x:c r="C10575" s="0" t="s">
        <x:v>42167</x:v>
      </x:c>
      <x:c r="E10575" s="0" t="s">
        <x:v>42168</x:v>
      </x:c>
      <x:c r="F10575" s="0" t="s">
        <x:v>45</x:v>
      </x:c>
      <x:c r="G10575" s="0" t="s">
        <x:v>19</x:v>
      </x:c>
      <x:c r="H10575" s="0" t="s">
        <x:v>20</x:v>
      </x:c>
      <x:c r="I10575" s="0" t="s">
        <x:v>21</x:v>
      </x:c>
      <x:c r="K10575" s="0">
        <x:f>hyperlink("https://icd.who.int/dev11/l-ichi/en#/http%3A%2F%2Fid.who.int%2Ficd%2Fentity%2F331356072","browser")</x:f>
      </x:c>
      <x:c r="L10575" s="0">
        <x:f>hyperlink("https://icat2.azurewebsites.net/icat/?ontology=ICD&amp;tab=ClassesTab&amp;id=http%3A%2F%2Fwho.int%2Ficd%2351622_512ebf36_bf6b_4d70_85da_cf2637062af4","iCat")</x:f>
      </x:c>
      <x:c r="M10575" s="0" t="s">
        <x:v>21</x:v>
      </x:c>
      <x:c r="N10575" s="0" t="s">
        <x:v>46</x:v>
      </x:c>
    </x:row>
    <x:row r="10576" spans="1:16">
      <x:c r="A10576" s="0" t="s">
        <x:v>42169</x:v>
      </x:c>
      <x:c r="B10576" s="0" t="s">
        <x:v>42170</x:v>
      </x:c>
      <x:c r="C10576" s="0" t="s">
        <x:v>42171</x:v>
      </x:c>
      <x:c r="E10576" s="0" t="s">
        <x:v>42172</x:v>
      </x:c>
      <x:c r="F10576" s="0" t="s">
        <x:v>45</x:v>
      </x:c>
      <x:c r="G10576" s="0" t="s">
        <x:v>19</x:v>
      </x:c>
      <x:c r="H10576" s="0" t="s">
        <x:v>20</x:v>
      </x:c>
      <x:c r="I10576" s="0" t="s">
        <x:v>21</x:v>
      </x:c>
      <x:c r="K10576" s="0">
        <x:f>hyperlink("https://icd.who.int/dev11/l-ichi/en#/http%3A%2F%2Fid.who.int%2Ficd%2Fentity%2F415500554","browser")</x:f>
      </x:c>
      <x:c r="L10576" s="0">
        <x:f>hyperlink("https://icat2.azurewebsites.net/icat/?ontology=ICD&amp;tab=ClassesTab&amp;id=http%3A%2F%2Fwho.int%2Ficd%2351629_512ebf36_bf6b_4d70_85da_cf2637062af4","iCat")</x:f>
      </x:c>
      <x:c r="M10576" s="0" t="s">
        <x:v>21</x:v>
      </x:c>
      <x:c r="N10576" s="0" t="s">
        <x:v>46</x:v>
      </x:c>
    </x:row>
    <x:row r="10577" spans="1:16">
      <x:c r="A10577" s="0" t="s">
        <x:v>42173</x:v>
      </x:c>
      <x:c r="B10577" s="0" t="s">
        <x:v>42174</x:v>
      </x:c>
      <x:c r="C10577" s="0" t="s">
        <x:v>42175</x:v>
      </x:c>
      <x:c r="E10577" s="0" t="s">
        <x:v>42176</x:v>
      </x:c>
      <x:c r="F10577" s="0" t="s">
        <x:v>45</x:v>
      </x:c>
      <x:c r="G10577" s="0" t="s">
        <x:v>19</x:v>
      </x:c>
      <x:c r="H10577" s="0" t="s">
        <x:v>20</x:v>
      </x:c>
      <x:c r="I10577" s="0" t="s">
        <x:v>21</x:v>
      </x:c>
      <x:c r="K10577" s="0">
        <x:f>hyperlink("https://icd.who.int/dev11/l-ichi/en#/http%3A%2F%2Fid.who.int%2Ficd%2Fentity%2F1275217541","browser")</x:f>
      </x:c>
      <x:c r="L10577" s="0">
        <x:f>hyperlink("https://icat2.azurewebsites.net/icat/?ontology=ICD&amp;tab=ClassesTab&amp;id=http%3A%2F%2Fwho.int%2Ficd%2351636_512ebf36_bf6b_4d70_85da_cf2637062af4","iCat")</x:f>
      </x:c>
      <x:c r="M10577" s="0" t="s">
        <x:v>21</x:v>
      </x:c>
      <x:c r="N10577" s="0" t="s">
        <x:v>46</x:v>
      </x:c>
    </x:row>
    <x:row r="10578" spans="1:16">
      <x:c r="A10578" s="0" t="s">
        <x:v>42177</x:v>
      </x:c>
      <x:c r="B10578" s="0" t="s">
        <x:v>42178</x:v>
      </x:c>
      <x:c r="C10578" s="0" t="s">
        <x:v>42179</x:v>
      </x:c>
      <x:c r="E10578" s="0" t="s">
        <x:v>42180</x:v>
      </x:c>
      <x:c r="F10578" s="0" t="s">
        <x:v>45</x:v>
      </x:c>
      <x:c r="G10578" s="0" t="s">
        <x:v>19</x:v>
      </x:c>
      <x:c r="H10578" s="0" t="s">
        <x:v>20</x:v>
      </x:c>
      <x:c r="I10578" s="0" t="s">
        <x:v>21</x:v>
      </x:c>
      <x:c r="K10578" s="0">
        <x:f>hyperlink("https://icd.who.int/dev11/l-ichi/en#/http%3A%2F%2Fid.who.int%2Ficd%2Fentity%2F430458972","browser")</x:f>
      </x:c>
      <x:c r="L10578" s="0">
        <x:f>hyperlink("https://icat2.azurewebsites.net/icat/?ontology=ICD&amp;tab=ClassesTab&amp;id=http%3A%2F%2Fwho.int%2Ficd%2351644_512ebf36_bf6b_4d70_85da_cf2637062af4","iCat")</x:f>
      </x:c>
      <x:c r="M10578" s="0" t="s">
        <x:v>21</x:v>
      </x:c>
      <x:c r="N10578" s="0" t="s">
        <x:v>46</x:v>
      </x:c>
    </x:row>
    <x:row r="10579" spans="1:16">
      <x:c r="A10579" s="0" t="s">
        <x:v>42181</x:v>
      </x:c>
      <x:c r="B10579" s="0" t="s">
        <x:v>42182</x:v>
      </x:c>
      <x:c r="C10579" s="0" t="s">
        <x:v>42183</x:v>
      </x:c>
      <x:c r="E10579" s="0" t="s">
        <x:v>42184</x:v>
      </x:c>
      <x:c r="F10579" s="0" t="s">
        <x:v>45</x:v>
      </x:c>
      <x:c r="G10579" s="0" t="s">
        <x:v>19</x:v>
      </x:c>
      <x:c r="H10579" s="0" t="s">
        <x:v>20</x:v>
      </x:c>
      <x:c r="I10579" s="0" t="s">
        <x:v>21</x:v>
      </x:c>
      <x:c r="K10579" s="0">
        <x:f>hyperlink("https://icd.who.int/dev11/l-ichi/en#/http%3A%2F%2Fid.who.int%2Ficd%2Fentity%2F1720937285","browser")</x:f>
      </x:c>
      <x:c r="L10579" s="0">
        <x:f>hyperlink("https://icat2.azurewebsites.net/icat/?ontology=ICD&amp;tab=ClassesTab&amp;id=http%3A%2F%2Fwho.int%2Ficd%2351651_512ebf36_bf6b_4d70_85da_cf2637062af4","iCat")</x:f>
      </x:c>
      <x:c r="M10579" s="0" t="s">
        <x:v>21</x:v>
      </x:c>
      <x:c r="N10579" s="0" t="s">
        <x:v>46</x:v>
      </x:c>
    </x:row>
    <x:row r="10580" spans="1:16">
      <x:c r="A10580" s="0" t="s">
        <x:v>42185</x:v>
      </x:c>
      <x:c r="B10580" s="0" t="s">
        <x:v>42186</x:v>
      </x:c>
      <x:c r="C10580" s="0" t="s">
        <x:v>42187</x:v>
      </x:c>
      <x:c r="E10580" s="0" t="s">
        <x:v>42188</x:v>
      </x:c>
      <x:c r="F10580" s="0" t="s">
        <x:v>45</x:v>
      </x:c>
      <x:c r="G10580" s="0" t="s">
        <x:v>19</x:v>
      </x:c>
      <x:c r="H10580" s="0" t="s">
        <x:v>20</x:v>
      </x:c>
      <x:c r="I10580" s="0" t="s">
        <x:v>21</x:v>
      </x:c>
      <x:c r="K10580" s="0">
        <x:f>hyperlink("https://icd.who.int/dev11/l-ichi/en#/http%3A%2F%2Fid.who.int%2Ficd%2Fentity%2F149645356","browser")</x:f>
      </x:c>
      <x:c r="L10580" s="0">
        <x:f>hyperlink("https://icat2.azurewebsites.net/icat/?ontology=ICD&amp;tab=ClassesTab&amp;id=http%3A%2F%2Fwho.int%2Ficd%2351658_512ebf36_bf6b_4d70_85da_cf2637062af4","iCat")</x:f>
      </x:c>
      <x:c r="M10580" s="0" t="s">
        <x:v>21</x:v>
      </x:c>
      <x:c r="N10580" s="0" t="s">
        <x:v>46</x:v>
      </x:c>
    </x:row>
    <x:row r="10581" spans="1:16">
      <x:c r="A10581" s="0" t="s">
        <x:v>42189</x:v>
      </x:c>
      <x:c r="B10581" s="0" t="s">
        <x:v>42190</x:v>
      </x:c>
      <x:c r="C10581" s="0" t="s">
        <x:v>42191</x:v>
      </x:c>
      <x:c r="E10581" s="0" t="s">
        <x:v>42192</x:v>
      </x:c>
      <x:c r="F10581" s="0" t="s">
        <x:v>45</x:v>
      </x:c>
      <x:c r="G10581" s="0" t="s">
        <x:v>19</x:v>
      </x:c>
      <x:c r="H10581" s="0" t="s">
        <x:v>20</x:v>
      </x:c>
      <x:c r="I10581" s="0" t="s">
        <x:v>21</x:v>
      </x:c>
      <x:c r="K10581" s="0">
        <x:f>hyperlink("https://icd.who.int/dev11/l-ichi/en#/http%3A%2F%2Fid.who.int%2Ficd%2Fentity%2F321253176","browser")</x:f>
      </x:c>
      <x:c r="L10581" s="0">
        <x:f>hyperlink("https://icat2.azurewebsites.net/icat/?ontology=ICD&amp;tab=ClassesTab&amp;id=http%3A%2F%2Fwho.int%2Ficd%2351665_512ebf36_bf6b_4d70_85da_cf2637062af4","iCat")</x:f>
      </x:c>
      <x:c r="M10581" s="0" t="s">
        <x:v>21</x:v>
      </x:c>
      <x:c r="N10581" s="0" t="s">
        <x:v>46</x:v>
      </x:c>
    </x:row>
    <x:row r="10582" spans="1:16">
      <x:c r="A10582" s="0" t="s">
        <x:v>42193</x:v>
      </x:c>
      <x:c r="B10582" s="0" t="s">
        <x:v>42194</x:v>
      </x:c>
      <x:c r="C10582" s="0" t="s">
        <x:v>42195</x:v>
      </x:c>
      <x:c r="E10582" s="0" t="s">
        <x:v>42196</x:v>
      </x:c>
      <x:c r="F10582" s="0" t="s">
        <x:v>45</x:v>
      </x:c>
      <x:c r="G10582" s="0" t="s">
        <x:v>19</x:v>
      </x:c>
      <x:c r="H10582" s="0" t="s">
        <x:v>20</x:v>
      </x:c>
      <x:c r="I10582" s="0" t="s">
        <x:v>21</x:v>
      </x:c>
      <x:c r="K10582" s="0">
        <x:f>hyperlink("https://icd.who.int/dev11/l-ichi/en#/http%3A%2F%2Fid.who.int%2Ficd%2Fentity%2F157471214","browser")</x:f>
      </x:c>
      <x:c r="L10582" s="0">
        <x:f>hyperlink("https://icat2.azurewebsites.net/icat/?ontology=ICD&amp;tab=ClassesTab&amp;id=http%3A%2F%2Fwho.int%2Ficd%2351672_512ebf36_bf6b_4d70_85da_cf2637062af4","iCat")</x:f>
      </x:c>
      <x:c r="M10582" s="0" t="s">
        <x:v>21</x:v>
      </x:c>
      <x:c r="N10582" s="0" t="s">
        <x:v>46</x:v>
      </x:c>
    </x:row>
    <x:row r="10583" spans="1:16">
      <x:c r="A10583" s="0" t="s">
        <x:v>42197</x:v>
      </x:c>
      <x:c r="B10583" s="0" t="s">
        <x:v>42198</x:v>
      </x:c>
      <x:c r="C10583" s="0" t="s">
        <x:v>42199</x:v>
      </x:c>
      <x:c r="E10583" s="0" t="s">
        <x:v>42200</x:v>
      </x:c>
      <x:c r="F10583" s="0" t="s">
        <x:v>45</x:v>
      </x:c>
      <x:c r="G10583" s="0" t="s">
        <x:v>19</x:v>
      </x:c>
      <x:c r="H10583" s="0" t="s">
        <x:v>20</x:v>
      </x:c>
      <x:c r="I10583" s="0" t="s">
        <x:v>21</x:v>
      </x:c>
      <x:c r="K10583" s="0">
        <x:f>hyperlink("https://icd.who.int/dev11/l-ichi/en#/http%3A%2F%2Fid.who.int%2Ficd%2Fentity%2F40292160","browser")</x:f>
      </x:c>
      <x:c r="L10583" s="0">
        <x:f>hyperlink("https://icat2.azurewebsites.net/icat/?ontology=ICD&amp;tab=ClassesTab&amp;id=http%3A%2F%2Fwho.int%2Ficd%2351679_512ebf36_bf6b_4d70_85da_cf2637062af4","iCat")</x:f>
      </x:c>
      <x:c r="M10583" s="0" t="s">
        <x:v>21</x:v>
      </x:c>
      <x:c r="N10583" s="0" t="s">
        <x:v>46</x:v>
      </x:c>
    </x:row>
    <x:row r="10584" spans="1:16">
      <x:c r="A10584" s="0" t="s">
        <x:v>42201</x:v>
      </x:c>
      <x:c r="B10584" s="0" t="s">
        <x:v>42202</x:v>
      </x:c>
      <x:c r="C10584" s="0" t="s">
        <x:v>42203</x:v>
      </x:c>
      <x:c r="E10584" s="0" t="s">
        <x:v>42204</x:v>
      </x:c>
      <x:c r="F10584" s="0" t="s">
        <x:v>45</x:v>
      </x:c>
      <x:c r="G10584" s="0" t="s">
        <x:v>19</x:v>
      </x:c>
      <x:c r="H10584" s="0" t="s">
        <x:v>20</x:v>
      </x:c>
      <x:c r="I10584" s="0" t="s">
        <x:v>21</x:v>
      </x:c>
      <x:c r="K10584" s="0">
        <x:f>hyperlink("https://icd.who.int/dev11/l-ichi/en#/http%3A%2F%2Fid.who.int%2Ficd%2Fentity%2F2095976903","browser")</x:f>
      </x:c>
      <x:c r="L10584" s="0">
        <x:f>hyperlink("https://icat2.azurewebsites.net/icat/?ontology=ICD&amp;tab=ClassesTab&amp;id=http%3A%2F%2Fwho.int%2Ficd%235363_d85a204c_d00a_4566_a3b7_2d137a1891cf","iCat")</x:f>
      </x:c>
      <x:c r="M10584" s="0" t="s">
        <x:v>21</x:v>
      </x:c>
      <x:c r="N10584" s="0" t="s">
        <x:v>46</x:v>
      </x:c>
    </x:row>
    <x:row r="10585" spans="1:16">
      <x:c r="A10585" s="0" t="s">
        <x:v>42205</x:v>
      </x:c>
      <x:c r="B10585" s="0" t="s">
        <x:v>42206</x:v>
      </x:c>
      <x:c r="C10585" s="0" t="s">
        <x:v>42207</x:v>
      </x:c>
      <x:c r="E10585" s="0" t="s">
        <x:v>42208</x:v>
      </x:c>
      <x:c r="F10585" s="0" t="s">
        <x:v>45</x:v>
      </x:c>
      <x:c r="G10585" s="0" t="s">
        <x:v>19</x:v>
      </x:c>
      <x:c r="H10585" s="0" t="s">
        <x:v>20</x:v>
      </x:c>
      <x:c r="I10585" s="0" t="s">
        <x:v>21</x:v>
      </x:c>
      <x:c r="K10585" s="0">
        <x:f>hyperlink("https://icd.who.int/dev11/l-ichi/en#/http%3A%2F%2Fid.who.int%2Ficd%2Fentity%2F327311174","browser")</x:f>
      </x:c>
      <x:c r="L10585" s="0">
        <x:f>hyperlink("https://icat2.azurewebsites.net/icat/?ontology=ICD&amp;tab=ClassesTab&amp;id=http%3A%2F%2Fwho.int%2Ficd%2351686_512ebf36_bf6b_4d70_85da_cf2637062af4","iCat")</x:f>
      </x:c>
      <x:c r="M10585" s="0" t="s">
        <x:v>21</x:v>
      </x:c>
      <x:c r="N10585" s="0" t="s">
        <x:v>46</x:v>
      </x:c>
    </x:row>
    <x:row r="10586" spans="1:16">
      <x:c r="A10586" s="0" t="s">
        <x:v>42209</x:v>
      </x:c>
      <x:c r="B10586" s="0" t="s">
        <x:v>42210</x:v>
      </x:c>
      <x:c r="C10586" s="0" t="s">
        <x:v>42211</x:v>
      </x:c>
      <x:c r="E10586" s="0" t="s">
        <x:v>42212</x:v>
      </x:c>
      <x:c r="F10586" s="0" t="s">
        <x:v>45</x:v>
      </x:c>
      <x:c r="G10586" s="0" t="s">
        <x:v>19</x:v>
      </x:c>
      <x:c r="H10586" s="0" t="s">
        <x:v>20</x:v>
      </x:c>
      <x:c r="I10586" s="0" t="s">
        <x:v>21</x:v>
      </x:c>
      <x:c r="K10586" s="0">
        <x:f>hyperlink("https://icd.who.int/dev11/l-ichi/en#/http%3A%2F%2Fid.who.int%2Ficd%2Fentity%2F1824095321","browser")</x:f>
      </x:c>
      <x:c r="L10586" s="0">
        <x:f>hyperlink("https://icat2.azurewebsites.net/icat/?ontology=ICD&amp;tab=ClassesTab&amp;id=http%3A%2F%2Fwho.int%2Ficd%2351693_512ebf36_bf6b_4d70_85da_cf2637062af4","iCat")</x:f>
      </x:c>
      <x:c r="M10586" s="0" t="s">
        <x:v>21</x:v>
      </x:c>
      <x:c r="N10586" s="0" t="s">
        <x:v>46</x:v>
      </x:c>
    </x:row>
    <x:row r="10587" spans="1:16">
      <x:c r="A10587" s="0" t="s">
        <x:v>42213</x:v>
      </x:c>
      <x:c r="B10587" s="0" t="s">
        <x:v>42214</x:v>
      </x:c>
      <x:c r="C10587" s="0" t="s">
        <x:v>42215</x:v>
      </x:c>
      <x:c r="E10587" s="0" t="s">
        <x:v>42216</x:v>
      </x:c>
      <x:c r="F10587" s="0" t="s">
        <x:v>45</x:v>
      </x:c>
      <x:c r="G10587" s="0" t="s">
        <x:v>19</x:v>
      </x:c>
      <x:c r="H10587" s="0" t="s">
        <x:v>20</x:v>
      </x:c>
      <x:c r="I10587" s="0" t="s">
        <x:v>21</x:v>
      </x:c>
      <x:c r="K10587" s="0">
        <x:f>hyperlink("https://icd.who.int/dev11/l-ichi/en#/http%3A%2F%2Fid.who.int%2Ficd%2Fentity%2F693574062","browser")</x:f>
      </x:c>
      <x:c r="L10587" s="0">
        <x:f>hyperlink("https://icat2.azurewebsites.net/icat/?ontology=ICD&amp;tab=ClassesTab&amp;id=http%3A%2F%2Fwho.int%2Ficd%2351700_512ebf36_bf6b_4d70_85da_cf2637062af4","iCat")</x:f>
      </x:c>
      <x:c r="M10587" s="0" t="s">
        <x:v>21</x:v>
      </x:c>
      <x:c r="N10587" s="0" t="s">
        <x:v>46</x:v>
      </x:c>
    </x:row>
    <x:row r="10588" spans="1:16">
      <x:c r="A10588" s="0" t="s">
        <x:v>42217</x:v>
      </x:c>
      <x:c r="B10588" s="0" t="s">
        <x:v>42218</x:v>
      </x:c>
      <x:c r="C10588" s="0" t="s">
        <x:v>42219</x:v>
      </x:c>
      <x:c r="E10588" s="0" t="s">
        <x:v>42220</x:v>
      </x:c>
      <x:c r="F10588" s="0" t="s">
        <x:v>45</x:v>
      </x:c>
      <x:c r="G10588" s="0" t="s">
        <x:v>19</x:v>
      </x:c>
      <x:c r="H10588" s="0" t="s">
        <x:v>20</x:v>
      </x:c>
      <x:c r="I10588" s="0" t="s">
        <x:v>21</x:v>
      </x:c>
      <x:c r="K10588" s="0">
        <x:f>hyperlink("https://icd.who.int/dev11/l-ichi/en#/http%3A%2F%2Fid.who.int%2Ficd%2Fentity%2F1507176995","browser")</x:f>
      </x:c>
      <x:c r="L10588" s="0">
        <x:f>hyperlink("https://icat2.azurewebsites.net/icat/?ontology=ICD&amp;tab=ClassesTab&amp;id=http%3A%2F%2Fwho.int%2Ficd%2351707_512ebf36_bf6b_4d70_85da_cf2637062af4","iCat")</x:f>
      </x:c>
      <x:c r="M10588" s="0" t="s">
        <x:v>21</x:v>
      </x:c>
      <x:c r="N10588" s="0" t="s">
        <x:v>46</x:v>
      </x:c>
    </x:row>
    <x:row r="10589" spans="1:16">
      <x:c r="A10589" s="0" t="s">
        <x:v>42221</x:v>
      </x:c>
      <x:c r="B10589" s="0" t="s">
        <x:v>42222</x:v>
      </x:c>
      <x:c r="C10589" s="0" t="s">
        <x:v>42223</x:v>
      </x:c>
      <x:c r="E10589" s="0" t="s">
        <x:v>42224</x:v>
      </x:c>
      <x:c r="F10589" s="0" t="s">
        <x:v>45</x:v>
      </x:c>
      <x:c r="G10589" s="0" t="s">
        <x:v>19</x:v>
      </x:c>
      <x:c r="H10589" s="0" t="s">
        <x:v>20</x:v>
      </x:c>
      <x:c r="I10589" s="0" t="s">
        <x:v>21</x:v>
      </x:c>
      <x:c r="K10589" s="0">
        <x:f>hyperlink("https://icd.who.int/dev11/l-ichi/en#/http%3A%2F%2Fid.who.int%2Ficd%2Fentity%2F1989494925","browser")</x:f>
      </x:c>
      <x:c r="L10589" s="0">
        <x:f>hyperlink("https://icat2.azurewebsites.net/icat/?ontology=ICD&amp;tab=ClassesTab&amp;id=http%3A%2F%2Fwho.int%2Ficd%2351714_512ebf36_bf6b_4d70_85da_cf2637062af4","iCat")</x:f>
      </x:c>
      <x:c r="M10589" s="0" t="s">
        <x:v>21</x:v>
      </x:c>
      <x:c r="N10589" s="0" t="s">
        <x:v>46</x:v>
      </x:c>
    </x:row>
    <x:row r="10590" spans="1:16">
      <x:c r="A10590" s="0" t="s">
        <x:v>42225</x:v>
      </x:c>
      <x:c r="B10590" s="0" t="s">
        <x:v>42226</x:v>
      </x:c>
      <x:c r="C10590" s="0" t="s">
        <x:v>42227</x:v>
      </x:c>
      <x:c r="E10590" s="0" t="s">
        <x:v>42228</x:v>
      </x:c>
      <x:c r="F10590" s="0" t="s">
        <x:v>45</x:v>
      </x:c>
      <x:c r="G10590" s="0" t="s">
        <x:v>19</x:v>
      </x:c>
      <x:c r="H10590" s="0" t="s">
        <x:v>20</x:v>
      </x:c>
      <x:c r="I10590" s="0" t="s">
        <x:v>21</x:v>
      </x:c>
      <x:c r="K10590" s="0">
        <x:f>hyperlink("https://icd.who.int/dev11/l-ichi/en#/http%3A%2F%2Fid.who.int%2Ficd%2Fentity%2F601538242","browser")</x:f>
      </x:c>
      <x:c r="L10590" s="0">
        <x:f>hyperlink("https://icat2.azurewebsites.net/icat/?ontology=ICD&amp;tab=ClassesTab&amp;id=http%3A%2F%2Fwho.int%2Ficd%2351721_512ebf36_bf6b_4d70_85da_cf2637062af4","iCat")</x:f>
      </x:c>
      <x:c r="M10590" s="0" t="s">
        <x:v>21</x:v>
      </x:c>
      <x:c r="N10590" s="0" t="s">
        <x:v>46</x:v>
      </x:c>
    </x:row>
    <x:row r="10591" spans="1:16">
      <x:c r="A10591" s="0" t="s">
        <x:v>42229</x:v>
      </x:c>
      <x:c r="B10591" s="0" t="s">
        <x:v>42230</x:v>
      </x:c>
      <x:c r="C10591" s="0" t="s">
        <x:v>42231</x:v>
      </x:c>
      <x:c r="E10591" s="0" t="s">
        <x:v>42232</x:v>
      </x:c>
      <x:c r="F10591" s="0" t="s">
        <x:v>45</x:v>
      </x:c>
      <x:c r="G10591" s="0" t="s">
        <x:v>19</x:v>
      </x:c>
      <x:c r="H10591" s="0" t="s">
        <x:v>20</x:v>
      </x:c>
      <x:c r="I10591" s="0" t="s">
        <x:v>21</x:v>
      </x:c>
      <x:c r="K10591" s="0">
        <x:f>hyperlink("https://icd.who.int/dev11/l-ichi/en#/http%3A%2F%2Fid.who.int%2Ficd%2Fentity%2F1302511019","browser")</x:f>
      </x:c>
      <x:c r="L10591" s="0">
        <x:f>hyperlink("https://icat2.azurewebsites.net/icat/?ontology=ICD&amp;tab=ClassesTab&amp;id=http%3A%2F%2Fwho.int%2Ficd%2351728_512ebf36_bf6b_4d70_85da_cf2637062af4","iCat")</x:f>
      </x:c>
      <x:c r="M10591" s="0" t="s">
        <x:v>21</x:v>
      </x:c>
      <x:c r="N10591" s="0" t="s">
        <x:v>46</x:v>
      </x:c>
    </x:row>
    <x:row r="10592" spans="1:16">
      <x:c r="A10592" s="0" t="s">
        <x:v>42233</x:v>
      </x:c>
      <x:c r="B10592" s="0" t="s">
        <x:v>42234</x:v>
      </x:c>
      <x:c r="C10592" s="0" t="s">
        <x:v>42235</x:v>
      </x:c>
      <x:c r="E10592" s="0" t="s">
        <x:v>42236</x:v>
      </x:c>
      <x:c r="F10592" s="0" t="s">
        <x:v>45</x:v>
      </x:c>
      <x:c r="G10592" s="0" t="s">
        <x:v>19</x:v>
      </x:c>
      <x:c r="H10592" s="0" t="s">
        <x:v>20</x:v>
      </x:c>
      <x:c r="I10592" s="0" t="s">
        <x:v>21</x:v>
      </x:c>
      <x:c r="K10592" s="0">
        <x:f>hyperlink("https://icd.who.int/dev11/l-ichi/en#/http%3A%2F%2Fid.who.int%2Ficd%2Fentity%2F2082009057","browser")</x:f>
      </x:c>
      <x:c r="L10592" s="0">
        <x:f>hyperlink("https://icat2.azurewebsites.net/icat/?ontology=ICD&amp;tab=ClassesTab&amp;id=http%3A%2F%2Fwho.int%2Ficd%2351735_512ebf36_bf6b_4d70_85da_cf2637062af4","iCat")</x:f>
      </x:c>
      <x:c r="M10592" s="0" t="s">
        <x:v>21</x:v>
      </x:c>
      <x:c r="N10592" s="0" t="s">
        <x:v>46</x:v>
      </x:c>
    </x:row>
    <x:row r="10593" spans="1:16">
      <x:c r="A10593" s="0" t="s">
        <x:v>42237</x:v>
      </x:c>
      <x:c r="B10593" s="0" t="s">
        <x:v>42238</x:v>
      </x:c>
      <x:c r="C10593" s="0" t="s">
        <x:v>42239</x:v>
      </x:c>
      <x:c r="E10593" s="0" t="s">
        <x:v>42240</x:v>
      </x:c>
      <x:c r="F10593" s="0" t="s">
        <x:v>45</x:v>
      </x:c>
      <x:c r="G10593" s="0" t="s">
        <x:v>19</x:v>
      </x:c>
      <x:c r="H10593" s="0" t="s">
        <x:v>20</x:v>
      </x:c>
      <x:c r="I10593" s="0" t="s">
        <x:v>21</x:v>
      </x:c>
      <x:c r="K10593" s="0">
        <x:f>hyperlink("https://icd.who.int/dev11/l-ichi/en#/http%3A%2F%2Fid.who.int%2Ficd%2Fentity%2F1011636086","browser")</x:f>
      </x:c>
      <x:c r="L10593" s="0">
        <x:f>hyperlink("https://icat2.azurewebsites.net/icat/?ontology=ICD&amp;tab=ClassesTab&amp;id=http%3A%2F%2Fwho.int%2Ficd%2351742_512ebf36_bf6b_4d70_85da_cf2637062af4","iCat")</x:f>
      </x:c>
      <x:c r="M10593" s="0" t="s">
        <x:v>21</x:v>
      </x:c>
      <x:c r="N10593" s="0" t="s">
        <x:v>46</x:v>
      </x:c>
    </x:row>
    <x:row r="10594" spans="1:16">
      <x:c r="A10594" s="0" t="s">
        <x:v>42241</x:v>
      </x:c>
      <x:c r="B10594" s="0" t="s">
        <x:v>42242</x:v>
      </x:c>
      <x:c r="C10594" s="0" t="s">
        <x:v>42243</x:v>
      </x:c>
      <x:c r="E10594" s="0" t="s">
        <x:v>42244</x:v>
      </x:c>
      <x:c r="F10594" s="0" t="s">
        <x:v>45</x:v>
      </x:c>
      <x:c r="G10594" s="0" t="s">
        <x:v>19</x:v>
      </x:c>
      <x:c r="H10594" s="0" t="s">
        <x:v>20</x:v>
      </x:c>
      <x:c r="I10594" s="0" t="s">
        <x:v>21</x:v>
      </x:c>
      <x:c r="K10594" s="0">
        <x:f>hyperlink("https://icd.who.int/dev11/l-ichi/en#/http%3A%2F%2Fid.who.int%2Ficd%2Fentity%2F927484380","browser")</x:f>
      </x:c>
      <x:c r="L10594" s="0">
        <x:f>hyperlink("https://icat2.azurewebsites.net/icat/?ontology=ICD&amp;tab=ClassesTab&amp;id=http%3A%2F%2Fwho.int%2Ficd%2351749_512ebf36_bf6b_4d70_85da_cf2637062af4","iCat")</x:f>
      </x:c>
      <x:c r="M10594" s="0" t="s">
        <x:v>21</x:v>
      </x:c>
      <x:c r="N10594" s="0" t="s">
        <x:v>46</x:v>
      </x:c>
    </x:row>
    <x:row r="10595" spans="1:16">
      <x:c r="A10595" s="0" t="s">
        <x:v>42245</x:v>
      </x:c>
      <x:c r="B10595" s="0" t="s">
        <x:v>42246</x:v>
      </x:c>
      <x:c r="C10595" s="0" t="s">
        <x:v>42247</x:v>
      </x:c>
      <x:c r="E10595" s="0" t="s">
        <x:v>42248</x:v>
      </x:c>
      <x:c r="F10595" s="0" t="s">
        <x:v>45</x:v>
      </x:c>
      <x:c r="G10595" s="0" t="s">
        <x:v>19</x:v>
      </x:c>
      <x:c r="H10595" s="0" t="s">
        <x:v>20</x:v>
      </x:c>
      <x:c r="I10595" s="0" t="s">
        <x:v>21</x:v>
      </x:c>
      <x:c r="K10595" s="0">
        <x:f>hyperlink("https://icd.who.int/dev11/l-ichi/en#/http%3A%2F%2Fid.who.int%2Ficd%2Fentity%2F1670252117","browser")</x:f>
      </x:c>
      <x:c r="L10595" s="0">
        <x:f>hyperlink("https://icat2.azurewebsites.net/icat/?ontology=ICD&amp;tab=ClassesTab&amp;id=http%3A%2F%2Fwho.int%2Ficd%2351756_512ebf36_bf6b_4d70_85da_cf2637062af4","iCat")</x:f>
      </x:c>
      <x:c r="M10595" s="0" t="s">
        <x:v>21</x:v>
      </x:c>
      <x:c r="N10595" s="0" t="s">
        <x:v>46</x:v>
      </x:c>
    </x:row>
    <x:row r="10596" spans="1:16">
      <x:c r="A10596" s="0" t="s">
        <x:v>42249</x:v>
      </x:c>
      <x:c r="B10596" s="0" t="s">
        <x:v>42250</x:v>
      </x:c>
      <x:c r="C10596" s="0" t="s">
        <x:v>42251</x:v>
      </x:c>
      <x:c r="E10596" s="0" t="s">
        <x:v>42252</x:v>
      </x:c>
      <x:c r="F10596" s="0" t="s">
        <x:v>45</x:v>
      </x:c>
      <x:c r="G10596" s="0" t="s">
        <x:v>19</x:v>
      </x:c>
      <x:c r="H10596" s="0" t="s">
        <x:v>20</x:v>
      </x:c>
      <x:c r="I10596" s="0" t="s">
        <x:v>21</x:v>
      </x:c>
      <x:c r="K10596" s="0">
        <x:f>hyperlink("https://icd.who.int/dev11/l-ichi/en#/http%3A%2F%2Fid.who.int%2Ficd%2Fentity%2F918679578","browser")</x:f>
      </x:c>
      <x:c r="L10596" s="0">
        <x:f>hyperlink("https://icat2.azurewebsites.net/icat/?ontology=ICD&amp;tab=ClassesTab&amp;id=http%3A%2F%2Fwho.int%2Ficd%2351763_512ebf36_bf6b_4d70_85da_cf2637062af4","iCat")</x:f>
      </x:c>
      <x:c r="M10596" s="0" t="s">
        <x:v>21</x:v>
      </x:c>
      <x:c r="N10596" s="0" t="s">
        <x:v>46</x:v>
      </x:c>
    </x:row>
    <x:row r="10597" spans="1:16">
      <x:c r="A10597" s="0" t="s">
        <x:v>42253</x:v>
      </x:c>
      <x:c r="B10597" s="0" t="s">
        <x:v>42254</x:v>
      </x:c>
      <x:c r="C10597" s="0" t="s">
        <x:v>42255</x:v>
      </x:c>
      <x:c r="E10597" s="0" t="s">
        <x:v>42256</x:v>
      </x:c>
      <x:c r="F10597" s="0" t="s">
        <x:v>45</x:v>
      </x:c>
      <x:c r="G10597" s="0" t="s">
        <x:v>19</x:v>
      </x:c>
      <x:c r="H10597" s="0" t="s">
        <x:v>20</x:v>
      </x:c>
      <x:c r="I10597" s="0" t="s">
        <x:v>21</x:v>
      </x:c>
      <x:c r="K10597" s="0">
        <x:f>hyperlink("https://icd.who.int/dev11/l-ichi/en#/http%3A%2F%2Fid.who.int%2Ficd%2Fentity%2F427887286","browser")</x:f>
      </x:c>
      <x:c r="L10597" s="0">
        <x:f>hyperlink("https://icat2.azurewebsites.net/icat/?ontology=ICD&amp;tab=ClassesTab&amp;id=http%3A%2F%2Fwho.int%2Ficd%2351770_512ebf36_bf6b_4d70_85da_cf2637062af4","iCat")</x:f>
      </x:c>
      <x:c r="M10597" s="0" t="s">
        <x:v>21</x:v>
      </x:c>
      <x:c r="N10597" s="0" t="s">
        <x:v>46</x:v>
      </x:c>
    </x:row>
    <x:row r="10598" spans="1:16">
      <x:c r="A10598" s="0" t="s">
        <x:v>42257</x:v>
      </x:c>
      <x:c r="B10598" s="0" t="s">
        <x:v>42258</x:v>
      </x:c>
      <x:c r="C10598" s="0" t="s">
        <x:v>42259</x:v>
      </x:c>
      <x:c r="E10598" s="0" t="s">
        <x:v>42260</x:v>
      </x:c>
      <x:c r="F10598" s="0" t="s">
        <x:v>45</x:v>
      </x:c>
      <x:c r="G10598" s="0" t="s">
        <x:v>19</x:v>
      </x:c>
      <x:c r="H10598" s="0" t="s">
        <x:v>20</x:v>
      </x:c>
      <x:c r="I10598" s="0" t="s">
        <x:v>21</x:v>
      </x:c>
      <x:c r="K10598" s="0">
        <x:f>hyperlink("https://icd.who.int/dev11/l-ichi/en#/http%3A%2F%2Fid.who.int%2Ficd%2Fentity%2F1761845561","browser")</x:f>
      </x:c>
      <x:c r="L10598" s="0">
        <x:f>hyperlink("https://icat2.azurewebsites.net/icat/?ontology=ICD&amp;tab=ClassesTab&amp;id=http%3A%2F%2Fwho.int%2Ficd%2351777_512ebf36_bf6b_4d70_85da_cf2637062af4","iCat")</x:f>
      </x:c>
      <x:c r="M10598" s="0" t="s">
        <x:v>21</x:v>
      </x:c>
      <x:c r="N10598" s="0" t="s">
        <x:v>46</x:v>
      </x:c>
    </x:row>
    <x:row r="10599" spans="1:16">
      <x:c r="A10599" s="0" t="s">
        <x:v>42261</x:v>
      </x:c>
      <x:c r="B10599" s="0" t="s">
        <x:v>42262</x:v>
      </x:c>
      <x:c r="C10599" s="0" t="s">
        <x:v>42263</x:v>
      </x:c>
      <x:c r="E10599" s="0" t="s">
        <x:v>42264</x:v>
      </x:c>
      <x:c r="F10599" s="0" t="s">
        <x:v>45</x:v>
      </x:c>
      <x:c r="G10599" s="0" t="s">
        <x:v>19</x:v>
      </x:c>
      <x:c r="H10599" s="0" t="s">
        <x:v>20</x:v>
      </x:c>
      <x:c r="I10599" s="0" t="s">
        <x:v>21</x:v>
      </x:c>
      <x:c r="K10599" s="0">
        <x:f>hyperlink("https://icd.who.int/dev11/l-ichi/en#/http%3A%2F%2Fid.who.int%2Ficd%2Fentity%2F56722462","browser")</x:f>
      </x:c>
      <x:c r="L10599" s="0">
        <x:f>hyperlink("https://icat2.azurewebsites.net/icat/?ontology=ICD&amp;tab=ClassesTab&amp;id=http%3A%2F%2Fwho.int%2Ficd%2351784_512ebf36_bf6b_4d70_85da_cf2637062af4","iCat")</x:f>
      </x:c>
      <x:c r="M10599" s="0" t="s">
        <x:v>21</x:v>
      </x:c>
      <x:c r="N10599" s="0" t="s">
        <x:v>46</x:v>
      </x:c>
    </x:row>
    <x:row r="10600" spans="1:16">
      <x:c r="A10600" s="0" t="s">
        <x:v>42265</x:v>
      </x:c>
      <x:c r="B10600" s="0" t="s">
        <x:v>42266</x:v>
      </x:c>
      <x:c r="C10600" s="0" t="s">
        <x:v>42267</x:v>
      </x:c>
      <x:c r="E10600" s="0" t="s">
        <x:v>42268</x:v>
      </x:c>
      <x:c r="F10600" s="0" t="s">
        <x:v>45</x:v>
      </x:c>
      <x:c r="G10600" s="0" t="s">
        <x:v>19</x:v>
      </x:c>
      <x:c r="H10600" s="0" t="s">
        <x:v>20</x:v>
      </x:c>
      <x:c r="I10600" s="0" t="s">
        <x:v>21</x:v>
      </x:c>
      <x:c r="K10600" s="0">
        <x:f>hyperlink("https://icd.who.int/dev11/l-ichi/en#/http%3A%2F%2Fid.who.int%2Ficd%2Fentity%2F2086315777","browser")</x:f>
      </x:c>
      <x:c r="L10600" s="0">
        <x:f>hyperlink("https://icat2.azurewebsites.net/icat/?ontology=ICD&amp;tab=ClassesTab&amp;id=http%3A%2F%2Fwho.int%2Ficd%2351791_512ebf36_bf6b_4d70_85da_cf2637062af4","iCat")</x:f>
      </x:c>
      <x:c r="M10600" s="0" t="s">
        <x:v>21</x:v>
      </x:c>
      <x:c r="N10600" s="0" t="s">
        <x:v>46</x:v>
      </x:c>
    </x:row>
    <x:row r="10601" spans="1:16">
      <x:c r="A10601" s="0" t="s">
        <x:v>42269</x:v>
      </x:c>
      <x:c r="B10601" s="0" t="s">
        <x:v>42270</x:v>
      </x:c>
      <x:c r="C10601" s="0" t="s">
        <x:v>42271</x:v>
      </x:c>
      <x:c r="E10601" s="0" t="s">
        <x:v>42272</x:v>
      </x:c>
      <x:c r="F10601" s="0" t="s">
        <x:v>45</x:v>
      </x:c>
      <x:c r="G10601" s="0" t="s">
        <x:v>19</x:v>
      </x:c>
      <x:c r="H10601" s="0" t="s">
        <x:v>20</x:v>
      </x:c>
      <x:c r="I10601" s="0" t="s">
        <x:v>21</x:v>
      </x:c>
      <x:c r="K10601" s="0">
        <x:f>hyperlink("https://icd.who.int/dev11/l-ichi/en#/http%3A%2F%2Fid.who.int%2Ficd%2Fentity%2F304260202","browser")</x:f>
      </x:c>
      <x:c r="L10601" s="0">
        <x:f>hyperlink("https://icat2.azurewebsites.net/icat/?ontology=ICD&amp;tab=ClassesTab&amp;id=http%3A%2F%2Fwho.int%2Ficd%2351798_512ebf36_bf6b_4d70_85da_cf2637062af4","iCat")</x:f>
      </x:c>
      <x:c r="M10601" s="0" t="s">
        <x:v>21</x:v>
      </x:c>
      <x:c r="N10601" s="0" t="s">
        <x:v>46</x:v>
      </x:c>
    </x:row>
    <x:row r="10602" spans="1:16">
      <x:c r="A10602" s="0" t="s">
        <x:v>42273</x:v>
      </x:c>
      <x:c r="B10602" s="0" t="s">
        <x:v>42274</x:v>
      </x:c>
      <x:c r="C10602" s="0" t="s">
        <x:v>42275</x:v>
      </x:c>
      <x:c r="E10602" s="0" t="s">
        <x:v>42276</x:v>
      </x:c>
      <x:c r="F10602" s="0" t="s">
        <x:v>45</x:v>
      </x:c>
      <x:c r="G10602" s="0" t="s">
        <x:v>19</x:v>
      </x:c>
      <x:c r="H10602" s="0" t="s">
        <x:v>20</x:v>
      </x:c>
      <x:c r="I10602" s="0" t="s">
        <x:v>21</x:v>
      </x:c>
      <x:c r="K10602" s="0">
        <x:f>hyperlink("https://icd.who.int/dev11/l-ichi/en#/http%3A%2F%2Fid.who.int%2Ficd%2Fentity%2F1256472546","browser")</x:f>
      </x:c>
      <x:c r="L10602" s="0">
        <x:f>hyperlink("https://icat2.azurewebsites.net/icat/?ontology=ICD&amp;tab=ClassesTab&amp;id=http%3A%2F%2Fwho.int%2Ficd%2351805_512ebf36_bf6b_4d70_85da_cf2637062af4","iCat")</x:f>
      </x:c>
      <x:c r="M10602" s="0" t="s">
        <x:v>21</x:v>
      </x:c>
      <x:c r="N10602" s="0" t="s">
        <x:v>46</x:v>
      </x:c>
    </x:row>
    <x:row r="10603" spans="1:16">
      <x:c r="A10603" s="0" t="s">
        <x:v>42277</x:v>
      </x:c>
      <x:c r="B10603" s="0" t="s">
        <x:v>42278</x:v>
      </x:c>
      <x:c r="C10603" s="0" t="s">
        <x:v>42279</x:v>
      </x:c>
      <x:c r="E10603" s="0" t="s">
        <x:v>42280</x:v>
      </x:c>
      <x:c r="F10603" s="0" t="s">
        <x:v>45</x:v>
      </x:c>
      <x:c r="G10603" s="0" t="s">
        <x:v>19</x:v>
      </x:c>
      <x:c r="H10603" s="0" t="s">
        <x:v>20</x:v>
      </x:c>
      <x:c r="I10603" s="0" t="s">
        <x:v>21</x:v>
      </x:c>
      <x:c r="K10603" s="0">
        <x:f>hyperlink("https://icd.who.int/dev11/l-ichi/en#/http%3A%2F%2Fid.who.int%2Ficd%2Fentity%2F1460895063","browser")</x:f>
      </x:c>
      <x:c r="L10603" s="0">
        <x:f>hyperlink("https://icat2.azurewebsites.net/icat/?ontology=ICD&amp;tab=ClassesTab&amp;id=http%3A%2F%2Fwho.int%2Ficd%235369_d85a204c_d00a_4566_a3b7_2d137a1891cf","iCat")</x:f>
      </x:c>
      <x:c r="M10603" s="0" t="s">
        <x:v>21</x:v>
      </x:c>
      <x:c r="N10603" s="0" t="s">
        <x:v>46</x:v>
      </x:c>
    </x:row>
    <x:row r="10604" spans="1:16">
      <x:c r="A10604" s="0" t="s">
        <x:v>42281</x:v>
      </x:c>
      <x:c r="B10604" s="0" t="s">
        <x:v>42282</x:v>
      </x:c>
      <x:c r="C10604" s="0" t="s">
        <x:v>42283</x:v>
      </x:c>
      <x:c r="E10604" s="0" t="s">
        <x:v>42284</x:v>
      </x:c>
      <x:c r="F10604" s="0" t="s">
        <x:v>45</x:v>
      </x:c>
      <x:c r="G10604" s="0" t="s">
        <x:v>19</x:v>
      </x:c>
      <x:c r="H10604" s="0" t="s">
        <x:v>20</x:v>
      </x:c>
      <x:c r="I10604" s="0" t="s">
        <x:v>21</x:v>
      </x:c>
      <x:c r="K10604" s="0">
        <x:f>hyperlink("https://icd.who.int/dev11/l-ichi/en#/http%3A%2F%2Fid.who.int%2Ficd%2Fentity%2F1352859964","browser")</x:f>
      </x:c>
      <x:c r="L10604" s="0">
        <x:f>hyperlink("https://icat2.azurewebsites.net/icat/?ontology=ICD&amp;tab=ClassesTab&amp;id=http%3A%2F%2Fwho.int%2Ficd%2351812_512ebf36_bf6b_4d70_85da_cf2637062af4","iCat")</x:f>
      </x:c>
      <x:c r="M10604" s="0" t="s">
        <x:v>21</x:v>
      </x:c>
      <x:c r="N10604" s="0" t="s">
        <x:v>46</x:v>
      </x:c>
    </x:row>
    <x:row r="10605" spans="1:16">
      <x:c r="A10605" s="0" t="s">
        <x:v>42285</x:v>
      </x:c>
      <x:c r="B10605" s="0" t="s">
        <x:v>42286</x:v>
      </x:c>
      <x:c r="C10605" s="0" t="s">
        <x:v>42287</x:v>
      </x:c>
      <x:c r="E10605" s="0" t="s">
        <x:v>42288</x:v>
      </x:c>
      <x:c r="F10605" s="0" t="s">
        <x:v>45</x:v>
      </x:c>
      <x:c r="G10605" s="0" t="s">
        <x:v>19</x:v>
      </x:c>
      <x:c r="H10605" s="0" t="s">
        <x:v>20</x:v>
      </x:c>
      <x:c r="I10605" s="0" t="s">
        <x:v>21</x:v>
      </x:c>
      <x:c r="K10605" s="0">
        <x:f>hyperlink("https://icd.who.int/dev11/l-ichi/en#/http%3A%2F%2Fid.who.int%2Ficd%2Fentity%2F1537679254","browser")</x:f>
      </x:c>
      <x:c r="L10605" s="0">
        <x:f>hyperlink("https://icat2.azurewebsites.net/icat/?ontology=ICD&amp;tab=ClassesTab&amp;id=http%3A%2F%2Fwho.int%2Ficd%2351819_512ebf36_bf6b_4d70_85da_cf2637062af4","iCat")</x:f>
      </x:c>
      <x:c r="M10605" s="0" t="s">
        <x:v>21</x:v>
      </x:c>
      <x:c r="N10605" s="0" t="s">
        <x:v>46</x:v>
      </x:c>
    </x:row>
    <x:row r="10606" spans="1:16">
      <x:c r="A10606" s="0" t="s">
        <x:v>42289</x:v>
      </x:c>
      <x:c r="B10606" s="0" t="s">
        <x:v>42290</x:v>
      </x:c>
      <x:c r="C10606" s="0" t="s">
        <x:v>42291</x:v>
      </x:c>
      <x:c r="E10606" s="0" t="s">
        <x:v>42292</x:v>
      </x:c>
      <x:c r="F10606" s="0" t="s">
        <x:v>45</x:v>
      </x:c>
      <x:c r="G10606" s="0" t="s">
        <x:v>19</x:v>
      </x:c>
      <x:c r="H10606" s="0" t="s">
        <x:v>20</x:v>
      </x:c>
      <x:c r="I10606" s="0" t="s">
        <x:v>21</x:v>
      </x:c>
      <x:c r="K10606" s="0">
        <x:f>hyperlink("https://icd.who.int/dev11/l-ichi/en#/http%3A%2F%2Fid.who.int%2Ficd%2Fentity%2F622167369","browser")</x:f>
      </x:c>
      <x:c r="L10606" s="0">
        <x:f>hyperlink("https://icat2.azurewebsites.net/icat/?ontology=ICD&amp;tab=ClassesTab&amp;id=http%3A%2F%2Fwho.int%2Ficd%2351826_512ebf36_bf6b_4d70_85da_cf2637062af4","iCat")</x:f>
      </x:c>
      <x:c r="M10606" s="0" t="s">
        <x:v>21</x:v>
      </x:c>
      <x:c r="N10606" s="0" t="s">
        <x:v>46</x:v>
      </x:c>
    </x:row>
    <x:row r="10607" spans="1:16">
      <x:c r="A10607" s="0" t="s">
        <x:v>42293</x:v>
      </x:c>
      <x:c r="B10607" s="0" t="s">
        <x:v>42294</x:v>
      </x:c>
      <x:c r="C10607" s="0" t="s">
        <x:v>42295</x:v>
      </x:c>
      <x:c r="E10607" s="0" t="s">
        <x:v>42296</x:v>
      </x:c>
      <x:c r="F10607" s="0" t="s">
        <x:v>45</x:v>
      </x:c>
      <x:c r="G10607" s="0" t="s">
        <x:v>19</x:v>
      </x:c>
      <x:c r="H10607" s="0" t="s">
        <x:v>20</x:v>
      </x:c>
      <x:c r="I10607" s="0" t="s">
        <x:v>21</x:v>
      </x:c>
      <x:c r="K10607" s="0">
        <x:f>hyperlink("https://icd.who.int/dev11/l-ichi/en#/http%3A%2F%2Fid.who.int%2Ficd%2Fentity%2F1513006680","browser")</x:f>
      </x:c>
      <x:c r="L10607" s="0">
        <x:f>hyperlink("https://icat2.azurewebsites.net/icat/?ontology=ICD&amp;tab=ClassesTab&amp;id=http%3A%2F%2Fwho.int%2Ficd%2351833_512ebf36_bf6b_4d70_85da_cf2637062af4","iCat")</x:f>
      </x:c>
      <x:c r="M10607" s="0" t="s">
        <x:v>21</x:v>
      </x:c>
      <x:c r="N10607" s="0" t="s">
        <x:v>46</x:v>
      </x:c>
    </x:row>
    <x:row r="10608" spans="1:16">
      <x:c r="A10608" s="0" t="s">
        <x:v>42297</x:v>
      </x:c>
      <x:c r="B10608" s="0" t="s">
        <x:v>42298</x:v>
      </x:c>
      <x:c r="C10608" s="0" t="s">
        <x:v>42299</x:v>
      </x:c>
      <x:c r="E10608" s="0" t="s">
        <x:v>42300</x:v>
      </x:c>
      <x:c r="F10608" s="0" t="s">
        <x:v>45</x:v>
      </x:c>
      <x:c r="G10608" s="0" t="s">
        <x:v>19</x:v>
      </x:c>
      <x:c r="H10608" s="0" t="s">
        <x:v>20</x:v>
      </x:c>
      <x:c r="I10608" s="0" t="s">
        <x:v>21</x:v>
      </x:c>
      <x:c r="K10608" s="0">
        <x:f>hyperlink("https://icd.who.int/dev11/l-ichi/en#/http%3A%2F%2Fid.who.int%2Ficd%2Fentity%2F796777141","browser")</x:f>
      </x:c>
      <x:c r="L10608" s="0">
        <x:f>hyperlink("https://icat2.azurewebsites.net/icat/?ontology=ICD&amp;tab=ClassesTab&amp;id=http%3A%2F%2Fwho.int%2Ficd%2351840_512ebf36_bf6b_4d70_85da_cf2637062af4","iCat")</x:f>
      </x:c>
      <x:c r="M10608" s="0" t="s">
        <x:v>21</x:v>
      </x:c>
      <x:c r="N10608" s="0" t="s">
        <x:v>46</x:v>
      </x:c>
    </x:row>
    <x:row r="10609" spans="1:16">
      <x:c r="A10609" s="0" t="s">
        <x:v>42301</x:v>
      </x:c>
      <x:c r="B10609" s="0" t="s">
        <x:v>42302</x:v>
      </x:c>
      <x:c r="C10609" s="0" t="s">
        <x:v>42303</x:v>
      </x:c>
      <x:c r="E10609" s="0" t="s">
        <x:v>42304</x:v>
      </x:c>
      <x:c r="F10609" s="0" t="s">
        <x:v>45</x:v>
      </x:c>
      <x:c r="G10609" s="0" t="s">
        <x:v>19</x:v>
      </x:c>
      <x:c r="H10609" s="0" t="s">
        <x:v>20</x:v>
      </x:c>
      <x:c r="I10609" s="0" t="s">
        <x:v>21</x:v>
      </x:c>
      <x:c r="K10609" s="0">
        <x:f>hyperlink("https://icd.who.int/dev11/l-ichi/en#/http%3A%2F%2Fid.who.int%2Ficd%2Fentity%2F1610576186","browser")</x:f>
      </x:c>
      <x:c r="L10609" s="0">
        <x:f>hyperlink("https://icat2.azurewebsites.net/icat/?ontology=ICD&amp;tab=ClassesTab&amp;id=http%3A%2F%2Fwho.int%2Ficd%2351847_512ebf36_bf6b_4d70_85da_cf2637062af4","iCat")</x:f>
      </x:c>
      <x:c r="M10609" s="0" t="s">
        <x:v>21</x:v>
      </x:c>
      <x:c r="N10609" s="0" t="s">
        <x:v>46</x:v>
      </x:c>
    </x:row>
    <x:row r="10610" spans="1:16">
      <x:c r="A10610" s="0" t="s">
        <x:v>42305</x:v>
      </x:c>
      <x:c r="B10610" s="0" t="s">
        <x:v>42306</x:v>
      </x:c>
      <x:c r="C10610" s="0" t="s">
        <x:v>42307</x:v>
      </x:c>
      <x:c r="E10610" s="0" t="s">
        <x:v>42308</x:v>
      </x:c>
      <x:c r="F10610" s="0" t="s">
        <x:v>45</x:v>
      </x:c>
      <x:c r="G10610" s="0" t="s">
        <x:v>19</x:v>
      </x:c>
      <x:c r="H10610" s="0" t="s">
        <x:v>20</x:v>
      </x:c>
      <x:c r="I10610" s="0" t="s">
        <x:v>21</x:v>
      </x:c>
      <x:c r="K10610" s="0">
        <x:f>hyperlink("https://icd.who.int/dev11/l-ichi/en#/http%3A%2F%2Fid.who.int%2Ficd%2Fentity%2F1891601302","browser")</x:f>
      </x:c>
      <x:c r="L10610" s="0">
        <x:f>hyperlink("https://icat2.azurewebsites.net/icat/?ontology=ICD&amp;tab=ClassesTab&amp;id=http%3A%2F%2Fwho.int%2Ficd%2351854_512ebf36_bf6b_4d70_85da_cf2637062af4","iCat")</x:f>
      </x:c>
      <x:c r="M10610" s="0" t="s">
        <x:v>21</x:v>
      </x:c>
      <x:c r="N10610" s="0" t="s">
        <x:v>46</x:v>
      </x:c>
    </x:row>
    <x:row r="10611" spans="1:16">
      <x:c r="A10611" s="0" t="s">
        <x:v>42309</x:v>
      </x:c>
      <x:c r="B10611" s="0" t="s">
        <x:v>42310</x:v>
      </x:c>
      <x:c r="C10611" s="0" t="s">
        <x:v>42311</x:v>
      </x:c>
      <x:c r="E10611" s="0" t="s">
        <x:v>42312</x:v>
      </x:c>
      <x:c r="F10611" s="0" t="s">
        <x:v>45</x:v>
      </x:c>
      <x:c r="G10611" s="0" t="s">
        <x:v>19</x:v>
      </x:c>
      <x:c r="H10611" s="0" t="s">
        <x:v>20</x:v>
      </x:c>
      <x:c r="I10611" s="0" t="s">
        <x:v>21</x:v>
      </x:c>
      <x:c r="K10611" s="0">
        <x:f>hyperlink("https://icd.who.int/dev11/l-ichi/en#/http%3A%2F%2Fid.who.int%2Ficd%2Fentity%2F636517849","browser")</x:f>
      </x:c>
      <x:c r="L10611" s="0">
        <x:f>hyperlink("https://icat2.azurewebsites.net/icat/?ontology=ICD&amp;tab=ClassesTab&amp;id=http%3A%2F%2Fwho.int%2Ficd%2351861_512ebf36_bf6b_4d70_85da_cf2637062af4","iCat")</x:f>
      </x:c>
      <x:c r="M10611" s="0" t="s">
        <x:v>21</x:v>
      </x:c>
      <x:c r="N10611" s="0" t="s">
        <x:v>46</x:v>
      </x:c>
    </x:row>
    <x:row r="10612" spans="1:16">
      <x:c r="A10612" s="0" t="s">
        <x:v>42313</x:v>
      </x:c>
      <x:c r="B10612" s="0" t="s">
        <x:v>42314</x:v>
      </x:c>
      <x:c r="C10612" s="0" t="s">
        <x:v>42315</x:v>
      </x:c>
      <x:c r="E10612" s="0" t="s">
        <x:v>42316</x:v>
      </x:c>
      <x:c r="F10612" s="0" t="s">
        <x:v>45</x:v>
      </x:c>
      <x:c r="G10612" s="0" t="s">
        <x:v>19</x:v>
      </x:c>
      <x:c r="H10612" s="0" t="s">
        <x:v>20</x:v>
      </x:c>
      <x:c r="I10612" s="0" t="s">
        <x:v>21</x:v>
      </x:c>
      <x:c r="K10612" s="0">
        <x:f>hyperlink("https://icd.who.int/dev11/l-ichi/en#/http%3A%2F%2Fid.who.int%2Ficd%2Fentity%2F1267236528","browser")</x:f>
      </x:c>
      <x:c r="L10612" s="0">
        <x:f>hyperlink("https://icat2.azurewebsites.net/icat/?ontology=ICD&amp;tab=ClassesTab&amp;id=http%3A%2F%2Fwho.int%2Ficd%2351868_512ebf36_bf6b_4d70_85da_cf2637062af4","iCat")</x:f>
      </x:c>
      <x:c r="M10612" s="0" t="s">
        <x:v>21</x:v>
      </x:c>
      <x:c r="N10612" s="0" t="s">
        <x:v>46</x:v>
      </x:c>
    </x:row>
    <x:row r="10613" spans="1:16">
      <x:c r="A10613" s="0" t="s">
        <x:v>42317</x:v>
      </x:c>
      <x:c r="B10613" s="0" t="s">
        <x:v>42318</x:v>
      </x:c>
      <x:c r="C10613" s="0" t="s">
        <x:v>42319</x:v>
      </x:c>
      <x:c r="E10613" s="0" t="s">
        <x:v>42320</x:v>
      </x:c>
      <x:c r="F10613" s="0" t="s">
        <x:v>45</x:v>
      </x:c>
      <x:c r="G10613" s="0" t="s">
        <x:v>19</x:v>
      </x:c>
      <x:c r="H10613" s="0" t="s">
        <x:v>20</x:v>
      </x:c>
      <x:c r="I10613" s="0" t="s">
        <x:v>21</x:v>
      </x:c>
      <x:c r="K10613" s="0">
        <x:f>hyperlink("https://icd.who.int/dev11/l-ichi/en#/http%3A%2F%2Fid.who.int%2Ficd%2Fentity%2F2050108666","browser")</x:f>
      </x:c>
      <x:c r="L10613" s="0">
        <x:f>hyperlink("https://icat2.azurewebsites.net/icat/?ontology=ICD&amp;tab=ClassesTab&amp;id=http%3A%2F%2Fwho.int%2Ficd%2351875_512ebf36_bf6b_4d70_85da_cf2637062af4","iCat")</x:f>
      </x:c>
      <x:c r="M10613" s="0" t="s">
        <x:v>21</x:v>
      </x:c>
      <x:c r="N10613" s="0" t="s">
        <x:v>46</x:v>
      </x:c>
    </x:row>
    <x:row r="10614" spans="1:16">
      <x:c r="A10614" s="0" t="s">
        <x:v>42321</x:v>
      </x:c>
      <x:c r="B10614" s="0" t="s">
        <x:v>42322</x:v>
      </x:c>
      <x:c r="C10614" s="0" t="s">
        <x:v>42323</x:v>
      </x:c>
      <x:c r="E10614" s="0" t="s">
        <x:v>42324</x:v>
      </x:c>
      <x:c r="F10614" s="0" t="s">
        <x:v>45</x:v>
      </x:c>
      <x:c r="G10614" s="0" t="s">
        <x:v>19</x:v>
      </x:c>
      <x:c r="H10614" s="0" t="s">
        <x:v>20</x:v>
      </x:c>
      <x:c r="I10614" s="0" t="s">
        <x:v>21</x:v>
      </x:c>
      <x:c r="K10614" s="0">
        <x:f>hyperlink("https://icd.who.int/dev11/l-ichi/en#/http%3A%2F%2Fid.who.int%2Ficd%2Fentity%2F522492212","browser")</x:f>
      </x:c>
      <x:c r="L10614" s="0">
        <x:f>hyperlink("https://icat2.azurewebsites.net/icat/?ontology=ICD&amp;tab=ClassesTab&amp;id=http%3A%2F%2Fwho.int%2Ficd%23203_3c64dd61_a787_4b69_a0aa_c26ee473e65a","iCat")</x:f>
      </x:c>
      <x:c r="M10614" s="0" t="s">
        <x:v>21</x:v>
      </x:c>
      <x:c r="N10614" s="0" t="s">
        <x:v>46</x:v>
      </x:c>
    </x:row>
    <x:row r="10615" spans="1:16">
      <x:c r="A10615" s="0" t="s">
        <x:v>42325</x:v>
      </x:c>
      <x:c r="B10615" s="0" t="s">
        <x:v>42326</x:v>
      </x:c>
      <x:c r="C10615" s="0" t="s">
        <x:v>42327</x:v>
      </x:c>
      <x:c r="E10615" s="0" t="s">
        <x:v>42328</x:v>
      </x:c>
      <x:c r="F10615" s="0" t="s">
        <x:v>45</x:v>
      </x:c>
      <x:c r="G10615" s="0" t="s">
        <x:v>19</x:v>
      </x:c>
      <x:c r="H10615" s="0" t="s">
        <x:v>20</x:v>
      </x:c>
      <x:c r="I10615" s="0" t="s">
        <x:v>21</x:v>
      </x:c>
      <x:c r="K10615" s="0">
        <x:f>hyperlink("https://icd.who.int/dev11/l-ichi/en#/http%3A%2F%2Fid.who.int%2Ficd%2Fentity%2F626511273","browser")</x:f>
      </x:c>
      <x:c r="L10615" s="0">
        <x:f>hyperlink("https://icat2.azurewebsites.net/icat/?ontology=ICD&amp;tab=ClassesTab&amp;id=http%3A%2F%2Fwho.int%2Ficd%2351882_512ebf36_bf6b_4d70_85da_cf2637062af4","iCat")</x:f>
      </x:c>
      <x:c r="M10615" s="0" t="s">
        <x:v>21</x:v>
      </x:c>
      <x:c r="N10615" s="0" t="s">
        <x:v>46</x:v>
      </x:c>
    </x:row>
    <x:row r="10616" spans="1:16">
      <x:c r="A10616" s="0" t="s">
        <x:v>42329</x:v>
      </x:c>
      <x:c r="B10616" s="0" t="s">
        <x:v>42330</x:v>
      </x:c>
      <x:c r="C10616" s="0" t="s">
        <x:v>42331</x:v>
      </x:c>
      <x:c r="E10616" s="0" t="s">
        <x:v>42332</x:v>
      </x:c>
      <x:c r="F10616" s="0" t="s">
        <x:v>45</x:v>
      </x:c>
      <x:c r="G10616" s="0" t="s">
        <x:v>19</x:v>
      </x:c>
      <x:c r="H10616" s="0" t="s">
        <x:v>20</x:v>
      </x:c>
      <x:c r="I10616" s="0" t="s">
        <x:v>21</x:v>
      </x:c>
      <x:c r="K10616" s="0">
        <x:f>hyperlink("https://icd.who.int/dev11/l-ichi/en#/http%3A%2F%2Fid.who.int%2Ficd%2Fentity%2F777245445","browser")</x:f>
      </x:c>
      <x:c r="L10616" s="0">
        <x:f>hyperlink("https://icat2.azurewebsites.net/icat/?ontology=ICD&amp;tab=ClassesTab&amp;id=http%3A%2F%2Fwho.int%2Ficd%2351889_512ebf36_bf6b_4d70_85da_cf2637062af4","iCat")</x:f>
      </x:c>
      <x:c r="M10616" s="0" t="s">
        <x:v>21</x:v>
      </x:c>
      <x:c r="N10616" s="0" t="s">
        <x:v>46</x:v>
      </x:c>
    </x:row>
    <x:row r="10617" spans="1:16">
      <x:c r="A10617" s="0" t="s">
        <x:v>42333</x:v>
      </x:c>
      <x:c r="B10617" s="0" t="s">
        <x:v>42334</x:v>
      </x:c>
      <x:c r="C10617" s="0" t="s">
        <x:v>42335</x:v>
      </x:c>
      <x:c r="E10617" s="0" t="s">
        <x:v>42336</x:v>
      </x:c>
      <x:c r="F10617" s="0" t="s">
        <x:v>45</x:v>
      </x:c>
      <x:c r="G10617" s="0" t="s">
        <x:v>19</x:v>
      </x:c>
      <x:c r="H10617" s="0" t="s">
        <x:v>20</x:v>
      </x:c>
      <x:c r="I10617" s="0" t="s">
        <x:v>21</x:v>
      </x:c>
      <x:c r="K10617" s="0">
        <x:f>hyperlink("https://icd.who.int/dev11/l-ichi/en#/http%3A%2F%2Fid.who.int%2Ficd%2Fentity%2F2056625292","browser")</x:f>
      </x:c>
      <x:c r="L10617" s="0">
        <x:f>hyperlink("https://icat2.azurewebsites.net/icat/?ontology=ICD&amp;tab=ClassesTab&amp;id=http%3A%2F%2Fwho.int%2Ficd%2351896_512ebf36_bf6b_4d70_85da_cf2637062af4","iCat")</x:f>
      </x:c>
      <x:c r="M10617" s="0" t="s">
        <x:v>21</x:v>
      </x:c>
      <x:c r="N10617" s="0" t="s">
        <x:v>46</x:v>
      </x:c>
    </x:row>
    <x:row r="10618" spans="1:16">
      <x:c r="A10618" s="0" t="s">
        <x:v>42337</x:v>
      </x:c>
      <x:c r="B10618" s="0" t="s">
        <x:v>42338</x:v>
      </x:c>
      <x:c r="C10618" s="0" t="s">
        <x:v>42339</x:v>
      </x:c>
      <x:c r="E10618" s="0" t="s">
        <x:v>42340</x:v>
      </x:c>
      <x:c r="F10618" s="0" t="s">
        <x:v>45</x:v>
      </x:c>
      <x:c r="G10618" s="0" t="s">
        <x:v>19</x:v>
      </x:c>
      <x:c r="H10618" s="0" t="s">
        <x:v>20</x:v>
      </x:c>
      <x:c r="I10618" s="0" t="s">
        <x:v>21</x:v>
      </x:c>
      <x:c r="K10618" s="0">
        <x:f>hyperlink("https://icd.who.int/dev11/l-ichi/en#/http%3A%2F%2Fid.who.int%2Ficd%2Fentity%2F1862279372","browser")</x:f>
      </x:c>
      <x:c r="L10618" s="0">
        <x:f>hyperlink("https://icat2.azurewebsites.net/icat/?ontology=ICD&amp;tab=ClassesTab&amp;id=http%3A%2F%2Fwho.int%2Ficd%2351903_512ebf36_bf6b_4d70_85da_cf2637062af4","iCat")</x:f>
      </x:c>
      <x:c r="M10618" s="0" t="s">
        <x:v>21</x:v>
      </x:c>
      <x:c r="N10618" s="0" t="s">
        <x:v>46</x:v>
      </x:c>
    </x:row>
    <x:row r="10619" spans="1:16">
      <x:c r="A10619" s="0" t="s">
        <x:v>42341</x:v>
      </x:c>
      <x:c r="B10619" s="0" t="s">
        <x:v>42342</x:v>
      </x:c>
      <x:c r="C10619" s="0" t="s">
        <x:v>42343</x:v>
      </x:c>
      <x:c r="E10619" s="0" t="s">
        <x:v>42344</x:v>
      </x:c>
      <x:c r="F10619" s="0" t="s">
        <x:v>45</x:v>
      </x:c>
      <x:c r="G10619" s="0" t="s">
        <x:v>19</x:v>
      </x:c>
      <x:c r="H10619" s="0" t="s">
        <x:v>20</x:v>
      </x:c>
      <x:c r="I10619" s="0" t="s">
        <x:v>21</x:v>
      </x:c>
      <x:c r="K10619" s="0">
        <x:f>hyperlink("https://icd.who.int/dev11/l-ichi/en#/http%3A%2F%2Fid.who.int%2Ficd%2Fentity%2F1077992036","browser")</x:f>
      </x:c>
      <x:c r="L10619" s="0">
        <x:f>hyperlink("https://icat2.azurewebsites.net/icat/?ontology=ICD&amp;tab=ClassesTab&amp;id=http%3A%2F%2Fwho.int%2Ficd%2351910_512ebf36_bf6b_4d70_85da_cf2637062af4","iCat")</x:f>
      </x:c>
      <x:c r="M10619" s="0" t="s">
        <x:v>21</x:v>
      </x:c>
      <x:c r="N10619" s="0" t="s">
        <x:v>46</x:v>
      </x:c>
    </x:row>
    <x:row r="10620" spans="1:16">
      <x:c r="A10620" s="0" t="s">
        <x:v>42345</x:v>
      </x:c>
      <x:c r="B10620" s="0" t="s">
        <x:v>42346</x:v>
      </x:c>
      <x:c r="C10620" s="0" t="s">
        <x:v>42347</x:v>
      </x:c>
      <x:c r="E10620" s="0" t="s">
        <x:v>42348</x:v>
      </x:c>
      <x:c r="F10620" s="0" t="s">
        <x:v>45</x:v>
      </x:c>
      <x:c r="G10620" s="0" t="s">
        <x:v>19</x:v>
      </x:c>
      <x:c r="H10620" s="0" t="s">
        <x:v>20</x:v>
      </x:c>
      <x:c r="I10620" s="0" t="s">
        <x:v>21</x:v>
      </x:c>
      <x:c r="K10620" s="0">
        <x:f>hyperlink("https://icd.who.int/dev11/l-ichi/en#/http%3A%2F%2Fid.who.int%2Ficd%2Fentity%2F818049519","browser")</x:f>
      </x:c>
      <x:c r="L10620" s="0">
        <x:f>hyperlink("https://icat2.azurewebsites.net/icat/?ontology=ICD&amp;tab=ClassesTab&amp;id=http%3A%2F%2Fwho.int%2Ficd%2351917_512ebf36_bf6b_4d70_85da_cf2637062af4","iCat")</x:f>
      </x:c>
      <x:c r="M10620" s="0" t="s">
        <x:v>21</x:v>
      </x:c>
      <x:c r="N10620" s="0" t="s">
        <x:v>46</x:v>
      </x:c>
    </x:row>
    <x:row r="10621" spans="1:16">
      <x:c r="A10621" s="0" t="s">
        <x:v>42349</x:v>
      </x:c>
      <x:c r="B10621" s="0" t="s">
        <x:v>42350</x:v>
      </x:c>
      <x:c r="C10621" s="0" t="s">
        <x:v>42351</x:v>
      </x:c>
      <x:c r="E10621" s="0" t="s">
        <x:v>42352</x:v>
      </x:c>
      <x:c r="F10621" s="0" t="s">
        <x:v>45</x:v>
      </x:c>
      <x:c r="G10621" s="0" t="s">
        <x:v>19</x:v>
      </x:c>
      <x:c r="H10621" s="0" t="s">
        <x:v>20</x:v>
      </x:c>
      <x:c r="I10621" s="0" t="s">
        <x:v>21</x:v>
      </x:c>
      <x:c r="K10621" s="0">
        <x:f>hyperlink("https://icd.who.int/dev11/l-ichi/en#/http%3A%2F%2Fid.who.int%2Ficd%2Fentity%2F886699428","browser")</x:f>
      </x:c>
      <x:c r="L10621" s="0">
        <x:f>hyperlink("https://icat2.azurewebsites.net/icat/?ontology=ICD&amp;tab=ClassesTab&amp;id=http%3A%2F%2Fwho.int%2Ficd%23209_3c64dd61_a787_4b69_a0aa_c26ee473e65a","iCat")</x:f>
      </x:c>
      <x:c r="M10621" s="0" t="s">
        <x:v>21</x:v>
      </x:c>
      <x:c r="N10621" s="0" t="s">
        <x:v>46</x:v>
      </x:c>
    </x:row>
    <x:row r="10622" spans="1:16">
      <x:c r="A10622" s="0" t="s">
        <x:v>42353</x:v>
      </x:c>
      <x:c r="B10622" s="0" t="s">
        <x:v>42354</x:v>
      </x:c>
      <x:c r="C10622" s="0" t="s">
        <x:v>42355</x:v>
      </x:c>
      <x:c r="E10622" s="0" t="s">
        <x:v>42356</x:v>
      </x:c>
      <x:c r="F10622" s="0" t="s">
        <x:v>45</x:v>
      </x:c>
      <x:c r="G10622" s="0" t="s">
        <x:v>19</x:v>
      </x:c>
      <x:c r="H10622" s="0" t="s">
        <x:v>20</x:v>
      </x:c>
      <x:c r="I10622" s="0" t="s">
        <x:v>21</x:v>
      </x:c>
      <x:c r="K10622" s="0">
        <x:f>hyperlink("https://icd.who.int/dev11/l-ichi/en#/http%3A%2F%2Fid.who.int%2Ficd%2Fentity%2F630904276","browser")</x:f>
      </x:c>
      <x:c r="L10622" s="0">
        <x:f>hyperlink("https://icat2.azurewebsites.net/icat/?ontology=ICD&amp;tab=ClassesTab&amp;id=http%3A%2F%2Fwho.int%2Ficd%23215_3c64dd61_a787_4b69_a0aa_c26ee473e65a","iCat")</x:f>
      </x:c>
      <x:c r="M10622" s="0" t="s">
        <x:v>21</x:v>
      </x:c>
      <x:c r="N10622" s="0" t="s">
        <x:v>46</x:v>
      </x:c>
    </x:row>
    <x:row r="10623" spans="1:16">
      <x:c r="A10623" s="0" t="s">
        <x:v>42357</x:v>
      </x:c>
      <x:c r="B10623" s="0" t="s">
        <x:v>42358</x:v>
      </x:c>
      <x:c r="C10623" s="0" t="s">
        <x:v>42359</x:v>
      </x:c>
      <x:c r="E10623" s="0" t="s">
        <x:v>42360</x:v>
      </x:c>
      <x:c r="F10623" s="0" t="s">
        <x:v>45</x:v>
      </x:c>
      <x:c r="G10623" s="0" t="s">
        <x:v>19</x:v>
      </x:c>
      <x:c r="H10623" s="0" t="s">
        <x:v>20</x:v>
      </x:c>
      <x:c r="I10623" s="0" t="s">
        <x:v>21</x:v>
      </x:c>
      <x:c r="K10623" s="0">
        <x:f>hyperlink("https://icd.who.int/dev11/l-ichi/en#/http%3A%2F%2Fid.who.int%2Ficd%2Fentity%2F1345081761","browser")</x:f>
      </x:c>
      <x:c r="L10623" s="0">
        <x:f>hyperlink("https://icat2.azurewebsites.net/icat/?ontology=ICD&amp;tab=ClassesTab&amp;id=http%3A%2F%2Fwho.int%2Ficd%23221_3c64dd61_a787_4b69_a0aa_c26ee473e65a","iCat")</x:f>
      </x:c>
      <x:c r="M10623" s="0" t="s">
        <x:v>21</x:v>
      </x:c>
      <x:c r="N10623" s="0" t="s">
        <x:v>46</x:v>
      </x:c>
    </x:row>
    <x:row r="10624" spans="1:16">
      <x:c r="A10624" s="0" t="s">
        <x:v>42361</x:v>
      </x:c>
      <x:c r="B10624" s="0" t="s">
        <x:v>42362</x:v>
      </x:c>
      <x:c r="C10624" s="0" t="s">
        <x:v>42363</x:v>
      </x:c>
      <x:c r="E10624" s="0" t="s">
        <x:v>42364</x:v>
      </x:c>
      <x:c r="F10624" s="0" t="s">
        <x:v>45</x:v>
      </x:c>
      <x:c r="G10624" s="0" t="s">
        <x:v>19</x:v>
      </x:c>
      <x:c r="H10624" s="0" t="s">
        <x:v>20</x:v>
      </x:c>
      <x:c r="I10624" s="0" t="s">
        <x:v>21</x:v>
      </x:c>
      <x:c r="K10624" s="0">
        <x:f>hyperlink("https://icd.who.int/dev11/l-ichi/en#/http%3A%2F%2Fid.who.int%2Ficd%2Fentity%2F5736464","browser")</x:f>
      </x:c>
      <x:c r="L10624" s="0">
        <x:f>hyperlink("https://icat2.azurewebsites.net/icat/?ontology=ICD&amp;tab=ClassesTab&amp;id=http%3A%2F%2Fwho.int%2Ficd%23227_3c64dd61_a787_4b69_a0aa_c26ee473e65a","iCat")</x:f>
      </x:c>
      <x:c r="M10624" s="0" t="s">
        <x:v>21</x:v>
      </x:c>
      <x:c r="N10624" s="0" t="s">
        <x:v>46</x:v>
      </x:c>
    </x:row>
    <x:row r="10625" spans="1:16">
      <x:c r="A10625" s="0" t="s">
        <x:v>42365</x:v>
      </x:c>
      <x:c r="B10625" s="0" t="s">
        <x:v>42366</x:v>
      </x:c>
      <x:c r="C10625" s="0" t="s">
        <x:v>42367</x:v>
      </x:c>
      <x:c r="E10625" s="0" t="s">
        <x:v>42368</x:v>
      </x:c>
      <x:c r="F10625" s="0" t="s">
        <x:v>45</x:v>
      </x:c>
      <x:c r="G10625" s="0" t="s">
        <x:v>19</x:v>
      </x:c>
      <x:c r="H10625" s="0" t="s">
        <x:v>20</x:v>
      </x:c>
      <x:c r="I10625" s="0" t="s">
        <x:v>21</x:v>
      </x:c>
      <x:c r="K10625" s="0">
        <x:f>hyperlink("https://icd.who.int/dev11/l-ichi/en#/http%3A%2F%2Fid.who.int%2Ficd%2Fentity%2F1603655987","browser")</x:f>
      </x:c>
      <x:c r="L10625" s="0">
        <x:f>hyperlink("https://icat2.azurewebsites.net/icat/?ontology=ICD&amp;tab=ClassesTab&amp;id=http%3A%2F%2Fwho.int%2Ficd%23233_3c64dd61_a787_4b69_a0aa_c26ee473e65a","iCat")</x:f>
      </x:c>
      <x:c r="M10625" s="0" t="s">
        <x:v>21</x:v>
      </x:c>
      <x:c r="N10625" s="0" t="s">
        <x:v>46</x:v>
      </x:c>
    </x:row>
    <x:row r="10626" spans="1:16">
      <x:c r="A10626" s="0" t="s">
        <x:v>42369</x:v>
      </x:c>
      <x:c r="B10626" s="0" t="s">
        <x:v>42370</x:v>
      </x:c>
      <x:c r="C10626" s="0" t="s">
        <x:v>42371</x:v>
      </x:c>
      <x:c r="E10626" s="0" t="s">
        <x:v>42372</x:v>
      </x:c>
      <x:c r="F10626" s="0" t="s">
        <x:v>45</x:v>
      </x:c>
      <x:c r="G10626" s="0" t="s">
        <x:v>19</x:v>
      </x:c>
      <x:c r="H10626" s="0" t="s">
        <x:v>20</x:v>
      </x:c>
      <x:c r="I10626" s="0" t="s">
        <x:v>21</x:v>
      </x:c>
      <x:c r="K10626" s="0">
        <x:f>hyperlink("https://icd.who.int/dev11/l-ichi/en#/http%3A%2F%2Fid.who.int%2Ficd%2Fentity%2F1477264821","browser")</x:f>
      </x:c>
      <x:c r="L10626" s="0">
        <x:f>hyperlink("https://icat2.azurewebsites.net/icat/?ontology=ICD&amp;tab=ClassesTab&amp;id=http%3A%2F%2Fwho.int%2Ficd%235398_d85a204c_d00a_4566_a3b7_2d137a1891cf","iCat")</x:f>
      </x:c>
      <x:c r="M10626" s="0" t="s">
        <x:v>21</x:v>
      </x:c>
      <x:c r="N10626" s="0" t="s">
        <x:v>46</x:v>
      </x:c>
    </x:row>
    <x:row r="10627" spans="1:16">
      <x:c r="A10627" s="0" t="s">
        <x:v>42373</x:v>
      </x:c>
      <x:c r="B10627" s="0" t="s">
        <x:v>42374</x:v>
      </x:c>
      <x:c r="C10627" s="0" t="s">
        <x:v>42375</x:v>
      </x:c>
      <x:c r="E10627" s="0" t="s">
        <x:v>42376</x:v>
      </x:c>
      <x:c r="F10627" s="0" t="s">
        <x:v>45</x:v>
      </x:c>
      <x:c r="G10627" s="0" t="s">
        <x:v>19</x:v>
      </x:c>
      <x:c r="H10627" s="0" t="s">
        <x:v>20</x:v>
      </x:c>
      <x:c r="I10627" s="0" t="s">
        <x:v>21</x:v>
      </x:c>
      <x:c r="K10627" s="0">
        <x:f>hyperlink("https://icd.who.int/dev11/l-ichi/en#/http%3A%2F%2Fid.who.int%2Ficd%2Fentity%2F905338385","browser")</x:f>
      </x:c>
      <x:c r="L10627" s="0">
        <x:f>hyperlink("https://icat2.azurewebsites.net/icat/?ontology=ICD&amp;tab=ClassesTab&amp;id=http%3A%2F%2Fwho.int%2Ficd%2351924_512ebf36_bf6b_4d70_85da_cf2637062af4","iCat")</x:f>
      </x:c>
      <x:c r="M10627" s="0" t="s">
        <x:v>21</x:v>
      </x:c>
      <x:c r="N10627" s="0" t="s">
        <x:v>46</x:v>
      </x:c>
    </x:row>
    <x:row r="10628" spans="1:16">
      <x:c r="A10628" s="0" t="s">
        <x:v>42377</x:v>
      </x:c>
      <x:c r="B10628" s="0" t="s">
        <x:v>42378</x:v>
      </x:c>
      <x:c r="C10628" s="0" t="s">
        <x:v>42379</x:v>
      </x:c>
      <x:c r="E10628" s="0" t="s">
        <x:v>42380</x:v>
      </x:c>
      <x:c r="F10628" s="0" t="s">
        <x:v>45</x:v>
      </x:c>
      <x:c r="G10628" s="0" t="s">
        <x:v>19</x:v>
      </x:c>
      <x:c r="H10628" s="0" t="s">
        <x:v>20</x:v>
      </x:c>
      <x:c r="I10628" s="0" t="s">
        <x:v>21</x:v>
      </x:c>
      <x:c r="K10628" s="0">
        <x:f>hyperlink("https://icd.who.int/dev11/l-ichi/en#/http%3A%2F%2Fid.who.int%2Ficd%2Fentity%2F1953019299","browser")</x:f>
      </x:c>
      <x:c r="L10628" s="0">
        <x:f>hyperlink("https://icat2.azurewebsites.net/icat/?ontology=ICD&amp;tab=ClassesTab&amp;id=http%3A%2F%2Fwho.int%2Ficd%23239_3c64dd61_a787_4b69_a0aa_c26ee473e65a","iCat")</x:f>
      </x:c>
      <x:c r="M10628" s="0" t="s">
        <x:v>21</x:v>
      </x:c>
      <x:c r="N10628" s="0" t="s">
        <x:v>46</x:v>
      </x:c>
    </x:row>
    <x:row r="10629" spans="1:16">
      <x:c r="A10629" s="0" t="s">
        <x:v>42381</x:v>
      </x:c>
      <x:c r="B10629" s="0" t="s">
        <x:v>42382</x:v>
      </x:c>
      <x:c r="C10629" s="0" t="s">
        <x:v>42383</x:v>
      </x:c>
      <x:c r="E10629" s="0" t="s">
        <x:v>42384</x:v>
      </x:c>
      <x:c r="F10629" s="0" t="s">
        <x:v>45</x:v>
      </x:c>
      <x:c r="G10629" s="0" t="s">
        <x:v>19</x:v>
      </x:c>
      <x:c r="H10629" s="0" t="s">
        <x:v>20</x:v>
      </x:c>
      <x:c r="I10629" s="0" t="s">
        <x:v>21</x:v>
      </x:c>
      <x:c r="K10629" s="0">
        <x:f>hyperlink("https://icd.who.int/dev11/l-ichi/en#/http%3A%2F%2Fid.who.int%2Ficd%2Fentity%2F1060639642","browser")</x:f>
      </x:c>
      <x:c r="L10629" s="0">
        <x:f>hyperlink("https://icat2.azurewebsites.net/icat/?ontology=ICD&amp;tab=ClassesTab&amp;id=http%3A%2F%2Fwho.int%2Ficd%23245_3c64dd61_a787_4b69_a0aa_c26ee473e65a","iCat")</x:f>
      </x:c>
      <x:c r="M10629" s="0" t="s">
        <x:v>21</x:v>
      </x:c>
      <x:c r="N10629" s="0" t="s">
        <x:v>46</x:v>
      </x:c>
    </x:row>
    <x:row r="10630" spans="1:16">
      <x:c r="A10630" s="0" t="s">
        <x:v>42385</x:v>
      </x:c>
      <x:c r="B10630" s="0" t="s">
        <x:v>42386</x:v>
      </x:c>
      <x:c r="C10630" s="0" t="s">
        <x:v>42387</x:v>
      </x:c>
      <x:c r="E10630" s="0" t="s">
        <x:v>42388</x:v>
      </x:c>
      <x:c r="F10630" s="0" t="s">
        <x:v>45</x:v>
      </x:c>
      <x:c r="G10630" s="0" t="s">
        <x:v>19</x:v>
      </x:c>
      <x:c r="H10630" s="0" t="s">
        <x:v>20</x:v>
      </x:c>
      <x:c r="I10630" s="0" t="s">
        <x:v>21</x:v>
      </x:c>
      <x:c r="K10630" s="0">
        <x:f>hyperlink("https://icd.who.int/dev11/l-ichi/en#/http%3A%2F%2Fid.who.int%2Ficd%2Fentity%2F1627013819","browser")</x:f>
      </x:c>
      <x:c r="L10630" s="0">
        <x:f>hyperlink("https://icat2.azurewebsites.net/icat/?ontology=ICD&amp;tab=ClassesTab&amp;id=http%3A%2F%2Fwho.int%2Ficd%23251_3c64dd61_a787_4b69_a0aa_c26ee473e65a","iCat")</x:f>
      </x:c>
      <x:c r="M10630" s="0" t="s">
        <x:v>21</x:v>
      </x:c>
      <x:c r="N10630" s="0" t="s">
        <x:v>46</x:v>
      </x:c>
    </x:row>
    <x:row r="10631" spans="1:16">
      <x:c r="A10631" s="0" t="s">
        <x:v>42389</x:v>
      </x:c>
      <x:c r="B10631" s="0" t="s">
        <x:v>42390</x:v>
      </x:c>
      <x:c r="C10631" s="0" t="s">
        <x:v>42391</x:v>
      </x:c>
      <x:c r="E10631" s="0" t="s">
        <x:v>42392</x:v>
      </x:c>
      <x:c r="F10631" s="0" t="s">
        <x:v>45</x:v>
      </x:c>
      <x:c r="G10631" s="0" t="s">
        <x:v>19</x:v>
      </x:c>
      <x:c r="H10631" s="0" t="s">
        <x:v>20</x:v>
      </x:c>
      <x:c r="I10631" s="0" t="s">
        <x:v>21</x:v>
      </x:c>
      <x:c r="K10631" s="0">
        <x:f>hyperlink("https://icd.who.int/dev11/l-ichi/en#/http%3A%2F%2Fid.who.int%2Ficd%2Fentity%2F1254980880","browser")</x:f>
      </x:c>
      <x:c r="L10631" s="0">
        <x:f>hyperlink("https://icat2.azurewebsites.net/icat/?ontology=ICD&amp;tab=ClassesTab&amp;id=http%3A%2F%2Fwho.int%2Ficd%2351931_512ebf36_bf6b_4d70_85da_cf2637062af4","iCat")</x:f>
      </x:c>
      <x:c r="M10631" s="0" t="s">
        <x:v>21</x:v>
      </x:c>
      <x:c r="N10631" s="0" t="s">
        <x:v>46</x:v>
      </x:c>
    </x:row>
    <x:row r="10632" spans="1:16">
      <x:c r="A10632" s="0" t="s">
        <x:v>42393</x:v>
      </x:c>
      <x:c r="B10632" s="0" t="s">
        <x:v>42394</x:v>
      </x:c>
      <x:c r="C10632" s="0" t="s">
        <x:v>42395</x:v>
      </x:c>
      <x:c r="E10632" s="0" t="s">
        <x:v>42396</x:v>
      </x:c>
      <x:c r="F10632" s="0" t="s">
        <x:v>45</x:v>
      </x:c>
      <x:c r="G10632" s="0" t="s">
        <x:v>19</x:v>
      </x:c>
      <x:c r="H10632" s="0" t="s">
        <x:v>20</x:v>
      </x:c>
      <x:c r="I10632" s="0" t="s">
        <x:v>21</x:v>
      </x:c>
      <x:c r="K10632" s="0">
        <x:f>hyperlink("https://icd.who.int/dev11/l-ichi/en#/http%3A%2F%2Fid.who.int%2Ficd%2Fentity%2F615874151","browser")</x:f>
      </x:c>
      <x:c r="L10632" s="0">
        <x:f>hyperlink("https://icat2.azurewebsites.net/icat/?ontology=ICD&amp;tab=ClassesTab&amp;id=http%3A%2F%2Fwho.int%2Ficd%2351938_512ebf36_bf6b_4d70_85da_cf2637062af4","iCat")</x:f>
      </x:c>
      <x:c r="M10632" s="0" t="s">
        <x:v>21</x:v>
      </x:c>
      <x:c r="N10632" s="0" t="s">
        <x:v>46</x:v>
      </x:c>
    </x:row>
    <x:row r="10633" spans="1:16">
      <x:c r="A10633" s="0" t="s">
        <x:v>42397</x:v>
      </x:c>
      <x:c r="B10633" s="0" t="s">
        <x:v>42398</x:v>
      </x:c>
      <x:c r="C10633" s="0" t="s">
        <x:v>42399</x:v>
      </x:c>
      <x:c r="E10633" s="0" t="s">
        <x:v>42400</x:v>
      </x:c>
      <x:c r="F10633" s="0" t="s">
        <x:v>45</x:v>
      </x:c>
      <x:c r="G10633" s="0" t="s">
        <x:v>19</x:v>
      </x:c>
      <x:c r="H10633" s="0" t="s">
        <x:v>20</x:v>
      </x:c>
      <x:c r="I10633" s="0" t="s">
        <x:v>21</x:v>
      </x:c>
      <x:c r="K10633" s="0">
        <x:f>hyperlink("https://icd.who.int/dev11/l-ichi/en#/http%3A%2F%2Fid.who.int%2Ficd%2Fentity%2F1327278690","browser")</x:f>
      </x:c>
      <x:c r="L10633" s="0">
        <x:f>hyperlink("https://icat2.azurewebsites.net/icat/?ontology=ICD&amp;tab=ClassesTab&amp;id=http%3A%2F%2Fwho.int%2Ficd%2351945_512ebf36_bf6b_4d70_85da_cf2637062af4","iCat")</x:f>
      </x:c>
      <x:c r="M10633" s="0" t="s">
        <x:v>21</x:v>
      </x:c>
      <x:c r="N10633" s="0" t="s">
        <x:v>46</x:v>
      </x:c>
    </x:row>
    <x:row r="10634" spans="1:16">
      <x:c r="A10634" s="0" t="s">
        <x:v>42401</x:v>
      </x:c>
      <x:c r="B10634" s="0" t="s">
        <x:v>42402</x:v>
      </x:c>
      <x:c r="C10634" s="0" t="s">
        <x:v>42403</x:v>
      </x:c>
      <x:c r="E10634" s="0" t="s">
        <x:v>42404</x:v>
      </x:c>
      <x:c r="F10634" s="0" t="s">
        <x:v>45</x:v>
      </x:c>
      <x:c r="G10634" s="0" t="s">
        <x:v>19</x:v>
      </x:c>
      <x:c r="H10634" s="0" t="s">
        <x:v>20</x:v>
      </x:c>
      <x:c r="I10634" s="0" t="s">
        <x:v>21</x:v>
      </x:c>
      <x:c r="K10634" s="0">
        <x:f>hyperlink("https://icd.who.int/dev11/l-ichi/en#/http%3A%2F%2Fid.who.int%2Ficd%2Fentity%2F1432065212","browser")</x:f>
      </x:c>
      <x:c r="L10634" s="0">
        <x:f>hyperlink("https://icat2.azurewebsites.net/icat/?ontology=ICD&amp;tab=ClassesTab&amp;id=http%3A%2F%2Fwho.int%2Ficd%2351952_512ebf36_bf6b_4d70_85da_cf2637062af4","iCat")</x:f>
      </x:c>
      <x:c r="M10634" s="0" t="s">
        <x:v>21</x:v>
      </x:c>
      <x:c r="N10634" s="0" t="s">
        <x:v>46</x:v>
      </x:c>
    </x:row>
    <x:row r="10635" spans="1:16">
      <x:c r="A10635" s="0" t="s">
        <x:v>42405</x:v>
      </x:c>
      <x:c r="B10635" s="0" t="s">
        <x:v>42406</x:v>
      </x:c>
      <x:c r="C10635" s="0" t="s">
        <x:v>42407</x:v>
      </x:c>
      <x:c r="E10635" s="0" t="s">
        <x:v>42408</x:v>
      </x:c>
      <x:c r="F10635" s="0" t="s">
        <x:v>45</x:v>
      </x:c>
      <x:c r="G10635" s="0" t="s">
        <x:v>19</x:v>
      </x:c>
      <x:c r="H10635" s="0" t="s">
        <x:v>20</x:v>
      </x:c>
      <x:c r="I10635" s="0" t="s">
        <x:v>21</x:v>
      </x:c>
      <x:c r="K10635" s="0">
        <x:f>hyperlink("https://icd.who.int/dev11/l-ichi/en#/http%3A%2F%2Fid.who.int%2Ficd%2Fentity%2F1583319574","browser")</x:f>
      </x:c>
      <x:c r="L10635" s="0">
        <x:f>hyperlink("https://icat2.azurewebsites.net/icat/?ontology=ICD&amp;tab=ClassesTab&amp;id=http%3A%2F%2Fwho.int%2Ficd%2351959_512ebf36_bf6b_4d70_85da_cf2637062af4","iCat")</x:f>
      </x:c>
      <x:c r="M10635" s="0" t="s">
        <x:v>21</x:v>
      </x:c>
      <x:c r="N10635" s="0" t="s">
        <x:v>46</x:v>
      </x:c>
    </x:row>
    <x:row r="10636" spans="1:16">
      <x:c r="A10636" s="0" t="s">
        <x:v>42409</x:v>
      </x:c>
      <x:c r="B10636" s="0" t="s">
        <x:v>42410</x:v>
      </x:c>
      <x:c r="C10636" s="0" t="s">
        <x:v>42411</x:v>
      </x:c>
      <x:c r="E10636" s="0" t="s">
        <x:v>42412</x:v>
      </x:c>
      <x:c r="F10636" s="0" t="s">
        <x:v>45</x:v>
      </x:c>
      <x:c r="G10636" s="0" t="s">
        <x:v>19</x:v>
      </x:c>
      <x:c r="H10636" s="0" t="s">
        <x:v>20</x:v>
      </x:c>
      <x:c r="I10636" s="0" t="s">
        <x:v>21</x:v>
      </x:c>
      <x:c r="K10636" s="0">
        <x:f>hyperlink("https://icd.who.int/dev11/l-ichi/en#/http%3A%2F%2Fid.who.int%2Ficd%2Fentity%2F552407241","browser")</x:f>
      </x:c>
      <x:c r="L10636" s="0">
        <x:f>hyperlink("https://icat2.azurewebsites.net/icat/?ontology=ICD&amp;tab=ClassesTab&amp;id=http%3A%2F%2Fwho.int%2Ficd%2351966_512ebf36_bf6b_4d70_85da_cf2637062af4","iCat")</x:f>
      </x:c>
      <x:c r="M10636" s="0" t="s">
        <x:v>21</x:v>
      </x:c>
      <x:c r="N10636" s="0" t="s">
        <x:v>46</x:v>
      </x:c>
    </x:row>
    <x:row r="10637" spans="1:16">
      <x:c r="A10637" s="0" t="s">
        <x:v>42413</x:v>
      </x:c>
      <x:c r="B10637" s="0" t="s">
        <x:v>42414</x:v>
      </x:c>
      <x:c r="C10637" s="0" t="s">
        <x:v>42415</x:v>
      </x:c>
      <x:c r="E10637" s="0" t="s">
        <x:v>42416</x:v>
      </x:c>
      <x:c r="F10637" s="0" t="s">
        <x:v>45</x:v>
      </x:c>
      <x:c r="G10637" s="0" t="s">
        <x:v>19</x:v>
      </x:c>
      <x:c r="H10637" s="0" t="s">
        <x:v>20</x:v>
      </x:c>
      <x:c r="I10637" s="0" t="s">
        <x:v>21</x:v>
      </x:c>
      <x:c r="K10637" s="0">
        <x:f>hyperlink("https://icd.who.int/dev11/l-ichi/en#/http%3A%2F%2Fid.who.int%2Ficd%2Fentity%2F1607873496","browser")</x:f>
      </x:c>
      <x:c r="L10637" s="0">
        <x:f>hyperlink("https://icat2.azurewebsites.net/icat/?ontology=ICD&amp;tab=ClassesTab&amp;id=http%3A%2F%2Fwho.int%2Ficd%2351973_512ebf36_bf6b_4d70_85da_cf2637062af4","iCat")</x:f>
      </x:c>
      <x:c r="M10637" s="0" t="s">
        <x:v>21</x:v>
      </x:c>
      <x:c r="N10637" s="0" t="s">
        <x:v>46</x:v>
      </x:c>
    </x:row>
    <x:row r="10638" spans="1:16">
      <x:c r="A10638" s="0" t="s">
        <x:v>42417</x:v>
      </x:c>
      <x:c r="B10638" s="0" t="s">
        <x:v>42418</x:v>
      </x:c>
      <x:c r="C10638" s="0" t="s">
        <x:v>42419</x:v>
      </x:c>
      <x:c r="E10638" s="0" t="s">
        <x:v>42420</x:v>
      </x:c>
      <x:c r="F10638" s="0" t="s">
        <x:v>45</x:v>
      </x:c>
      <x:c r="G10638" s="0" t="s">
        <x:v>19</x:v>
      </x:c>
      <x:c r="H10638" s="0" t="s">
        <x:v>20</x:v>
      </x:c>
      <x:c r="I10638" s="0" t="s">
        <x:v>21</x:v>
      </x:c>
      <x:c r="K10638" s="0">
        <x:f>hyperlink("https://icd.who.int/dev11/l-ichi/en#/http%3A%2F%2Fid.who.int%2Ficd%2Fentity%2F900994801","browser")</x:f>
      </x:c>
      <x:c r="L10638" s="0">
        <x:f>hyperlink("https://icat2.azurewebsites.net/icat/?ontology=ICD&amp;tab=ClassesTab&amp;id=http%3A%2F%2Fwho.int%2Ficd%2351980_512ebf36_bf6b_4d70_85da_cf2637062af4","iCat")</x:f>
      </x:c>
      <x:c r="M10638" s="0" t="s">
        <x:v>21</x:v>
      </x:c>
      <x:c r="N10638" s="0" t="s">
        <x:v>46</x:v>
      </x:c>
    </x:row>
    <x:row r="10639" spans="1:16">
      <x:c r="A10639" s="0" t="s">
        <x:v>42421</x:v>
      </x:c>
      <x:c r="B10639" s="0" t="s">
        <x:v>42422</x:v>
      </x:c>
      <x:c r="C10639" s="0" t="s">
        <x:v>42423</x:v>
      </x:c>
      <x:c r="E10639" s="0" t="s">
        <x:v>42424</x:v>
      </x:c>
      <x:c r="F10639" s="0" t="s">
        <x:v>45</x:v>
      </x:c>
      <x:c r="G10639" s="0" t="s">
        <x:v>19</x:v>
      </x:c>
      <x:c r="H10639" s="0" t="s">
        <x:v>20</x:v>
      </x:c>
      <x:c r="I10639" s="0" t="s">
        <x:v>21</x:v>
      </x:c>
      <x:c r="K10639" s="0">
        <x:f>hyperlink("https://icd.who.int/dev11/l-ichi/en#/http%3A%2F%2Fid.who.int%2Ficd%2Fentity%2F1161215356","browser")</x:f>
      </x:c>
      <x:c r="L10639" s="0">
        <x:f>hyperlink("https://icat2.azurewebsites.net/icat/?ontology=ICD&amp;tab=ClassesTab&amp;id=http%3A%2F%2Fwho.int%2Ficd%2351987_512ebf36_bf6b_4d70_85da_cf2637062af4","iCat")</x:f>
      </x:c>
      <x:c r="M10639" s="0" t="s">
        <x:v>21</x:v>
      </x:c>
      <x:c r="N10639" s="0" t="s">
        <x:v>46</x:v>
      </x:c>
    </x:row>
    <x:row r="10640" spans="1:16">
      <x:c r="A10640" s="0" t="s">
        <x:v>42425</x:v>
      </x:c>
      <x:c r="B10640" s="0" t="s">
        <x:v>42426</x:v>
      </x:c>
      <x:c r="C10640" s="0" t="s">
        <x:v>42427</x:v>
      </x:c>
      <x:c r="E10640" s="0" t="s">
        <x:v>42428</x:v>
      </x:c>
      <x:c r="F10640" s="0" t="s">
        <x:v>45</x:v>
      </x:c>
      <x:c r="G10640" s="0" t="s">
        <x:v>19</x:v>
      </x:c>
      <x:c r="H10640" s="0" t="s">
        <x:v>20</x:v>
      </x:c>
      <x:c r="I10640" s="0" t="s">
        <x:v>21</x:v>
      </x:c>
      <x:c r="K10640" s="0">
        <x:f>hyperlink("https://icd.who.int/dev11/l-ichi/en#/http%3A%2F%2Fid.who.int%2Ficd%2Fentity%2F1786136532","browser")</x:f>
      </x:c>
      <x:c r="L10640" s="0">
        <x:f>hyperlink("https://icat2.azurewebsites.net/icat/?ontology=ICD&amp;tab=ClassesTab&amp;id=http%3A%2F%2Fwho.int%2Ficd%2351994_512ebf36_bf6b_4d70_85da_cf2637062af4","iCat")</x:f>
      </x:c>
      <x:c r="M10640" s="0" t="s">
        <x:v>21</x:v>
      </x:c>
      <x:c r="N10640" s="0" t="s">
        <x:v>46</x:v>
      </x:c>
    </x:row>
    <x:row r="10641" spans="1:16">
      <x:c r="A10641" s="0" t="s">
        <x:v>42429</x:v>
      </x:c>
      <x:c r="B10641" s="0" t="s">
        <x:v>42430</x:v>
      </x:c>
      <x:c r="C10641" s="0" t="s">
        <x:v>42431</x:v>
      </x:c>
      <x:c r="E10641" s="0" t="s">
        <x:v>42432</x:v>
      </x:c>
      <x:c r="F10641" s="0" t="s">
        <x:v>45</x:v>
      </x:c>
      <x:c r="G10641" s="0" t="s">
        <x:v>19</x:v>
      </x:c>
      <x:c r="H10641" s="0" t="s">
        <x:v>20</x:v>
      </x:c>
      <x:c r="I10641" s="0" t="s">
        <x:v>21</x:v>
      </x:c>
      <x:c r="K10641" s="0">
        <x:f>hyperlink("https://icd.who.int/dev11/l-ichi/en#/http%3A%2F%2Fid.who.int%2Ficd%2Fentity%2F1706553192","browser")</x:f>
      </x:c>
      <x:c r="L10641" s="0">
        <x:f>hyperlink("https://icat2.azurewebsites.net/icat/?ontology=ICD&amp;tab=ClassesTab&amp;id=http%3A%2F%2Fwho.int%2Ficd%2352001_512ebf36_bf6b_4d70_85da_cf2637062af4","iCat")</x:f>
      </x:c>
      <x:c r="M10641" s="0" t="s">
        <x:v>21</x:v>
      </x:c>
      <x:c r="N10641" s="0" t="s">
        <x:v>46</x:v>
      </x:c>
    </x:row>
    <x:row r="10642" spans="1:16">
      <x:c r="A10642" s="0" t="s">
        <x:v>42433</x:v>
      </x:c>
      <x:c r="B10642" s="0" t="s">
        <x:v>42434</x:v>
      </x:c>
      <x:c r="C10642" s="0" t="s">
        <x:v>42435</x:v>
      </x:c>
      <x:c r="E10642" s="0" t="s">
        <x:v>42436</x:v>
      </x:c>
      <x:c r="F10642" s="0" t="s">
        <x:v>45</x:v>
      </x:c>
      <x:c r="G10642" s="0" t="s">
        <x:v>19</x:v>
      </x:c>
      <x:c r="H10642" s="0" t="s">
        <x:v>20</x:v>
      </x:c>
      <x:c r="I10642" s="0" t="s">
        <x:v>21</x:v>
      </x:c>
      <x:c r="K10642" s="0">
        <x:f>hyperlink("https://icd.who.int/dev11/l-ichi/en#/http%3A%2F%2Fid.who.int%2Ficd%2Fentity%2F198175745","browser")</x:f>
      </x:c>
      <x:c r="L10642" s="0">
        <x:f>hyperlink("https://icat2.azurewebsites.net/icat/?ontology=ICD&amp;tab=ClassesTab&amp;id=http%3A%2F%2Fwho.int%2Ficd%2352008_512ebf36_bf6b_4d70_85da_cf2637062af4","iCat")</x:f>
      </x:c>
      <x:c r="M10642" s="0" t="s">
        <x:v>21</x:v>
      </x:c>
      <x:c r="N10642" s="0" t="s">
        <x:v>46</x:v>
      </x:c>
    </x:row>
    <x:row r="10643" spans="1:16">
      <x:c r="A10643" s="0" t="s">
        <x:v>42437</x:v>
      </x:c>
      <x:c r="B10643" s="0" t="s">
        <x:v>42438</x:v>
      </x:c>
      <x:c r="C10643" s="0" t="s">
        <x:v>42439</x:v>
      </x:c>
      <x:c r="E10643" s="0" t="s">
        <x:v>42440</x:v>
      </x:c>
      <x:c r="F10643" s="0" t="s">
        <x:v>45</x:v>
      </x:c>
      <x:c r="G10643" s="0" t="s">
        <x:v>19</x:v>
      </x:c>
      <x:c r="H10643" s="0" t="s">
        <x:v>20</x:v>
      </x:c>
      <x:c r="I10643" s="0" t="s">
        <x:v>21</x:v>
      </x:c>
      <x:c r="K10643" s="0">
        <x:f>hyperlink("https://icd.who.int/dev11/l-ichi/en#/http%3A%2F%2Fid.who.int%2Ficd%2Fentity%2F980794955","browser")</x:f>
      </x:c>
      <x:c r="L10643" s="0">
        <x:f>hyperlink("https://icat2.azurewebsites.net/icat/?ontology=ICD&amp;tab=ClassesTab&amp;id=http%3A%2F%2Fwho.int%2Ficd%2352015_512ebf36_bf6b_4d70_85da_cf2637062af4","iCat")</x:f>
      </x:c>
      <x:c r="M10643" s="0" t="s">
        <x:v>21</x:v>
      </x:c>
      <x:c r="N10643" s="0" t="s">
        <x:v>46</x:v>
      </x:c>
    </x:row>
    <x:row r="10644" spans="1:16">
      <x:c r="A10644" s="0" t="s">
        <x:v>42441</x:v>
      </x:c>
      <x:c r="B10644" s="0" t="s">
        <x:v>42442</x:v>
      </x:c>
      <x:c r="C10644" s="0" t="s">
        <x:v>42443</x:v>
      </x:c>
      <x:c r="E10644" s="0" t="s">
        <x:v>42444</x:v>
      </x:c>
      <x:c r="F10644" s="0" t="s">
        <x:v>45</x:v>
      </x:c>
      <x:c r="G10644" s="0" t="s">
        <x:v>19</x:v>
      </x:c>
      <x:c r="H10644" s="0" t="s">
        <x:v>20</x:v>
      </x:c>
      <x:c r="I10644" s="0" t="s">
        <x:v>21</x:v>
      </x:c>
      <x:c r="K10644" s="0">
        <x:f>hyperlink("https://icd.who.int/dev11/l-ichi/en#/http%3A%2F%2Fid.who.int%2Ficd%2Fentity%2F172381633","browser")</x:f>
      </x:c>
      <x:c r="L10644" s="0">
        <x:f>hyperlink("https://icat2.azurewebsites.net/icat/?ontology=ICD&amp;tab=ClassesTab&amp;id=http%3A%2F%2Fwho.int%2Ficd%2352022_512ebf36_bf6b_4d70_85da_cf2637062af4","iCat")</x:f>
      </x:c>
      <x:c r="M10644" s="0" t="s">
        <x:v>21</x:v>
      </x:c>
      <x:c r="N10644" s="0" t="s">
        <x:v>46</x:v>
      </x:c>
    </x:row>
    <x:row r="10645" spans="1:16">
      <x:c r="A10645" s="0" t="s">
        <x:v>42445</x:v>
      </x:c>
      <x:c r="B10645" s="0" t="s">
        <x:v>42446</x:v>
      </x:c>
      <x:c r="C10645" s="0" t="s">
        <x:v>42447</x:v>
      </x:c>
      <x:c r="E10645" s="0" t="s">
        <x:v>42448</x:v>
      </x:c>
      <x:c r="F10645" s="0" t="s">
        <x:v>45</x:v>
      </x:c>
      <x:c r="G10645" s="0" t="s">
        <x:v>19</x:v>
      </x:c>
      <x:c r="H10645" s="0" t="s">
        <x:v>20</x:v>
      </x:c>
      <x:c r="I10645" s="0" t="s">
        <x:v>21</x:v>
      </x:c>
      <x:c r="K10645" s="0">
        <x:f>hyperlink("https://icd.who.int/dev11/l-ichi/en#/http%3A%2F%2Fid.who.int%2Ficd%2Fentity%2F21121901","browser")</x:f>
      </x:c>
      <x:c r="L10645" s="0">
        <x:f>hyperlink("https://icat2.azurewebsites.net/icat/?ontology=ICD&amp;tab=ClassesTab&amp;id=http%3A%2F%2Fwho.int%2Ficd%2352029_512ebf36_bf6b_4d70_85da_cf2637062af4","iCat")</x:f>
      </x:c>
      <x:c r="M10645" s="0" t="s">
        <x:v>21</x:v>
      </x:c>
      <x:c r="N10645" s="0" t="s">
        <x:v>46</x:v>
      </x:c>
    </x:row>
    <x:row r="10646" spans="1:16">
      <x:c r="A10646" s="0" t="s">
        <x:v>42449</x:v>
      </x:c>
      <x:c r="B10646" s="0" t="s">
        <x:v>42450</x:v>
      </x:c>
      <x:c r="C10646" s="0" t="s">
        <x:v>42451</x:v>
      </x:c>
      <x:c r="E10646" s="0" t="s">
        <x:v>42452</x:v>
      </x:c>
      <x:c r="F10646" s="0" t="s">
        <x:v>45</x:v>
      </x:c>
      <x:c r="G10646" s="0" t="s">
        <x:v>19</x:v>
      </x:c>
      <x:c r="H10646" s="0" t="s">
        <x:v>20</x:v>
      </x:c>
      <x:c r="I10646" s="0" t="s">
        <x:v>21</x:v>
      </x:c>
      <x:c r="K10646" s="0">
        <x:f>hyperlink("https://icd.who.int/dev11/l-ichi/en#/http%3A%2F%2Fid.who.int%2Ficd%2Fentity%2F1434715364","browser")</x:f>
      </x:c>
      <x:c r="L10646" s="0">
        <x:f>hyperlink("https://icat2.azurewebsites.net/icat/?ontology=ICD&amp;tab=ClassesTab&amp;id=http%3A%2F%2Fwho.int%2Ficd%2352036_512ebf36_bf6b_4d70_85da_cf2637062af4","iCat")</x:f>
      </x:c>
      <x:c r="M10646" s="0" t="s">
        <x:v>21</x:v>
      </x:c>
      <x:c r="N10646" s="0" t="s">
        <x:v>46</x:v>
      </x:c>
    </x:row>
    <x:row r="10647" spans="1:16">
      <x:c r="A10647" s="0" t="s">
        <x:v>42453</x:v>
      </x:c>
      <x:c r="B10647" s="0" t="s">
        <x:v>42454</x:v>
      </x:c>
      <x:c r="C10647" s="0" t="s">
        <x:v>42455</x:v>
      </x:c>
      <x:c r="E10647" s="0" t="s">
        <x:v>42456</x:v>
      </x:c>
      <x:c r="F10647" s="0" t="s">
        <x:v>45</x:v>
      </x:c>
      <x:c r="G10647" s="0" t="s">
        <x:v>19</x:v>
      </x:c>
      <x:c r="H10647" s="0" t="s">
        <x:v>20</x:v>
      </x:c>
      <x:c r="I10647" s="0" t="s">
        <x:v>21</x:v>
      </x:c>
      <x:c r="K10647" s="0">
        <x:f>hyperlink("https://icd.who.int/dev11/l-ichi/en#/http%3A%2F%2Fid.who.int%2Ficd%2Fentity%2F1890361776","browser")</x:f>
      </x:c>
      <x:c r="L10647" s="0">
        <x:f>hyperlink("https://icat2.azurewebsites.net/icat/?ontology=ICD&amp;tab=ClassesTab&amp;id=http%3A%2F%2Fwho.int%2Ficd%2352043_512ebf36_bf6b_4d70_85da_cf2637062af4","iCat")</x:f>
      </x:c>
      <x:c r="M10647" s="0" t="s">
        <x:v>21</x:v>
      </x:c>
      <x:c r="N10647" s="0" t="s">
        <x:v>46</x:v>
      </x:c>
    </x:row>
    <x:row r="10648" spans="1:16">
      <x:c r="A10648" s="0" t="s">
        <x:v>42457</x:v>
      </x:c>
      <x:c r="B10648" s="0" t="s">
        <x:v>42458</x:v>
      </x:c>
      <x:c r="C10648" s="0" t="s">
        <x:v>42459</x:v>
      </x:c>
      <x:c r="E10648" s="0" t="s">
        <x:v>42460</x:v>
      </x:c>
      <x:c r="F10648" s="0" t="s">
        <x:v>45</x:v>
      </x:c>
      <x:c r="G10648" s="0" t="s">
        <x:v>19</x:v>
      </x:c>
      <x:c r="H10648" s="0" t="s">
        <x:v>20</x:v>
      </x:c>
      <x:c r="I10648" s="0" t="s">
        <x:v>21</x:v>
      </x:c>
      <x:c r="K10648" s="0">
        <x:f>hyperlink("https://icd.who.int/dev11/l-ichi/en#/http%3A%2F%2Fid.who.int%2Ficd%2Fentity%2F976131179","browser")</x:f>
      </x:c>
      <x:c r="L10648" s="0">
        <x:f>hyperlink("https://icat2.azurewebsites.net/icat/?ontology=ICD&amp;tab=ClassesTab&amp;id=http%3A%2F%2Fwho.int%2Ficd%235404_d85a204c_d00a_4566_a3b7_2d137a1891cf","iCat")</x:f>
      </x:c>
      <x:c r="M10648" s="0" t="s">
        <x:v>21</x:v>
      </x:c>
      <x:c r="N10648" s="0" t="s">
        <x:v>46</x:v>
      </x:c>
    </x:row>
    <x:row r="10649" spans="1:16">
      <x:c r="A10649" s="0" t="s">
        <x:v>42461</x:v>
      </x:c>
      <x:c r="B10649" s="0" t="s">
        <x:v>42462</x:v>
      </x:c>
      <x:c r="C10649" s="0" t="s">
        <x:v>42463</x:v>
      </x:c>
      <x:c r="E10649" s="0" t="s">
        <x:v>42464</x:v>
      </x:c>
      <x:c r="F10649" s="0" t="s">
        <x:v>45</x:v>
      </x:c>
      <x:c r="G10649" s="0" t="s">
        <x:v>19</x:v>
      </x:c>
      <x:c r="H10649" s="0" t="s">
        <x:v>20</x:v>
      </x:c>
      <x:c r="I10649" s="0" t="s">
        <x:v>21</x:v>
      </x:c>
      <x:c r="K10649" s="0">
        <x:f>hyperlink("https://icd.who.int/dev11/l-ichi/en#/http%3A%2F%2Fid.who.int%2Ficd%2Fentity%2F1609325344","browser")</x:f>
      </x:c>
      <x:c r="L10649" s="0">
        <x:f>hyperlink("https://icat2.azurewebsites.net/icat/?ontology=ICD&amp;tab=ClassesTab&amp;id=http%3A%2F%2Fwho.int%2Ficd%2352050_512ebf36_bf6b_4d70_85da_cf2637062af4","iCat")</x:f>
      </x:c>
      <x:c r="M10649" s="0" t="s">
        <x:v>21</x:v>
      </x:c>
      <x:c r="N10649" s="0" t="s">
        <x:v>46</x:v>
      </x:c>
    </x:row>
    <x:row r="10650" spans="1:16">
      <x:c r="A10650" s="0" t="s">
        <x:v>42465</x:v>
      </x:c>
      <x:c r="B10650" s="0" t="s">
        <x:v>42466</x:v>
      </x:c>
      <x:c r="C10650" s="0" t="s">
        <x:v>42467</x:v>
      </x:c>
      <x:c r="E10650" s="0" t="s">
        <x:v>42468</x:v>
      </x:c>
      <x:c r="F10650" s="0" t="s">
        <x:v>45</x:v>
      </x:c>
      <x:c r="G10650" s="0" t="s">
        <x:v>19</x:v>
      </x:c>
      <x:c r="H10650" s="0" t="s">
        <x:v>20</x:v>
      </x:c>
      <x:c r="I10650" s="0" t="s">
        <x:v>21</x:v>
      </x:c>
      <x:c r="K10650" s="0">
        <x:f>hyperlink("https://icd.who.int/dev11/l-ichi/en#/http%3A%2F%2Fid.who.int%2Ficd%2Fentity%2F795799699","browser")</x:f>
      </x:c>
      <x:c r="L10650" s="0">
        <x:f>hyperlink("https://icat2.azurewebsites.net/icat/?ontology=ICD&amp;tab=ClassesTab&amp;id=http%3A%2F%2Fwho.int%2Ficd%2352057_512ebf36_bf6b_4d70_85da_cf2637062af4","iCat")</x:f>
      </x:c>
      <x:c r="M10650" s="0" t="s">
        <x:v>21</x:v>
      </x:c>
      <x:c r="N10650" s="0" t="s">
        <x:v>46</x:v>
      </x:c>
    </x:row>
    <x:row r="10651" spans="1:16">
      <x:c r="A10651" s="0" t="s">
        <x:v>42469</x:v>
      </x:c>
      <x:c r="B10651" s="0" t="s">
        <x:v>42470</x:v>
      </x:c>
      <x:c r="C10651" s="0" t="s">
        <x:v>42471</x:v>
      </x:c>
      <x:c r="E10651" s="0" t="s">
        <x:v>42472</x:v>
      </x:c>
      <x:c r="F10651" s="0" t="s">
        <x:v>45</x:v>
      </x:c>
      <x:c r="G10651" s="0" t="s">
        <x:v>19</x:v>
      </x:c>
      <x:c r="H10651" s="0" t="s">
        <x:v>20</x:v>
      </x:c>
      <x:c r="I10651" s="0" t="s">
        <x:v>21</x:v>
      </x:c>
      <x:c r="K10651" s="0">
        <x:f>hyperlink("https://icd.who.int/dev11/l-ichi/en#/http%3A%2F%2Fid.who.int%2Ficd%2Fentity%2F1327940266","browser")</x:f>
      </x:c>
      <x:c r="L10651" s="0">
        <x:f>hyperlink("https://icat2.azurewebsites.net/icat/?ontology=ICD&amp;tab=ClassesTab&amp;id=http%3A%2F%2Fwho.int%2Ficd%2352066_512ebf36_bf6b_4d70_85da_cf2637062af4","iCat")</x:f>
      </x:c>
      <x:c r="M10651" s="0" t="s">
        <x:v>21</x:v>
      </x:c>
      <x:c r="N10651" s="0" t="s">
        <x:v>46</x:v>
      </x:c>
    </x:row>
    <x:row r="10652" spans="1:16">
      <x:c r="A10652" s="0" t="s">
        <x:v>42473</x:v>
      </x:c>
      <x:c r="B10652" s="0" t="s">
        <x:v>42474</x:v>
      </x:c>
      <x:c r="C10652" s="0" t="s">
        <x:v>42475</x:v>
      </x:c>
      <x:c r="E10652" s="0" t="s">
        <x:v>42476</x:v>
      </x:c>
      <x:c r="F10652" s="0" t="s">
        <x:v>45</x:v>
      </x:c>
      <x:c r="G10652" s="0" t="s">
        <x:v>19</x:v>
      </x:c>
      <x:c r="H10652" s="0" t="s">
        <x:v>20</x:v>
      </x:c>
      <x:c r="I10652" s="0" t="s">
        <x:v>21</x:v>
      </x:c>
      <x:c r="K10652" s="0">
        <x:f>hyperlink("https://icd.who.int/dev11/l-ichi/en#/http%3A%2F%2Fid.who.int%2Ficd%2Fentity%2F1084181052","browser")</x:f>
      </x:c>
      <x:c r="L10652" s="0">
        <x:f>hyperlink("https://icat2.azurewebsites.net/icat/?ontology=ICD&amp;tab=ClassesTab&amp;id=http%3A%2F%2Fwho.int%2Ficd%2352074_512ebf36_bf6b_4d70_85da_cf2637062af4","iCat")</x:f>
      </x:c>
      <x:c r="M10652" s="0" t="s">
        <x:v>21</x:v>
      </x:c>
      <x:c r="N10652" s="0" t="s">
        <x:v>46</x:v>
      </x:c>
    </x:row>
    <x:row r="10653" spans="1:16">
      <x:c r="A10653" s="0" t="s">
        <x:v>42477</x:v>
      </x:c>
      <x:c r="B10653" s="0" t="s">
        <x:v>42478</x:v>
      </x:c>
      <x:c r="C10653" s="0" t="s">
        <x:v>42479</x:v>
      </x:c>
      <x:c r="E10653" s="0" t="s">
        <x:v>42480</x:v>
      </x:c>
      <x:c r="F10653" s="0" t="s">
        <x:v>45</x:v>
      </x:c>
      <x:c r="G10653" s="0" t="s">
        <x:v>19</x:v>
      </x:c>
      <x:c r="H10653" s="0" t="s">
        <x:v>20</x:v>
      </x:c>
      <x:c r="I10653" s="0" t="s">
        <x:v>21</x:v>
      </x:c>
      <x:c r="K10653" s="0">
        <x:f>hyperlink("https://icd.who.int/dev11/l-ichi/en#/http%3A%2F%2Fid.who.int%2Ficd%2Fentity%2F2055648942","browser")</x:f>
      </x:c>
      <x:c r="L10653" s="0">
        <x:f>hyperlink("https://icat2.azurewebsites.net/icat/?ontology=ICD&amp;tab=ClassesTab&amp;id=http%3A%2F%2Fwho.int%2Ficd%2352081_512ebf36_bf6b_4d70_85da_cf2637062af4","iCat")</x:f>
      </x:c>
      <x:c r="M10653" s="0" t="s">
        <x:v>21</x:v>
      </x:c>
      <x:c r="N10653" s="0" t="s">
        <x:v>46</x:v>
      </x:c>
    </x:row>
    <x:row r="10654" spans="1:16">
      <x:c r="A10654" s="0" t="s">
        <x:v>42481</x:v>
      </x:c>
      <x:c r="B10654" s="0" t="s">
        <x:v>42482</x:v>
      </x:c>
      <x:c r="C10654" s="0" t="s">
        <x:v>42483</x:v>
      </x:c>
      <x:c r="E10654" s="0" t="s">
        <x:v>42484</x:v>
      </x:c>
      <x:c r="F10654" s="0" t="s">
        <x:v>45</x:v>
      </x:c>
      <x:c r="G10654" s="0" t="s">
        <x:v>19</x:v>
      </x:c>
      <x:c r="H10654" s="0" t="s">
        <x:v>20</x:v>
      </x:c>
      <x:c r="I10654" s="0" t="s">
        <x:v>21</x:v>
      </x:c>
      <x:c r="K10654" s="0">
        <x:f>hyperlink("https://icd.who.int/dev11/l-ichi/en#/http%3A%2F%2Fid.who.int%2Ficd%2Fentity%2F352236997","browser")</x:f>
      </x:c>
      <x:c r="L10654" s="0">
        <x:f>hyperlink("https://icat2.azurewebsites.net/icat/?ontology=ICD&amp;tab=ClassesTab&amp;id=http%3A%2F%2Fwho.int%2Ficd%2352088_512ebf36_bf6b_4d70_85da_cf2637062af4","iCat")</x:f>
      </x:c>
      <x:c r="M10654" s="0" t="s">
        <x:v>21</x:v>
      </x:c>
      <x:c r="N10654" s="0" t="s">
        <x:v>46</x:v>
      </x:c>
    </x:row>
    <x:row r="10655" spans="1:16">
      <x:c r="A10655" s="0" t="s">
        <x:v>42485</x:v>
      </x:c>
      <x:c r="B10655" s="0" t="s">
        <x:v>42486</x:v>
      </x:c>
      <x:c r="C10655" s="0" t="s">
        <x:v>42487</x:v>
      </x:c>
      <x:c r="E10655" s="0" t="s">
        <x:v>42488</x:v>
      </x:c>
      <x:c r="F10655" s="0" t="s">
        <x:v>45</x:v>
      </x:c>
      <x:c r="G10655" s="0" t="s">
        <x:v>19</x:v>
      </x:c>
      <x:c r="H10655" s="0" t="s">
        <x:v>20</x:v>
      </x:c>
      <x:c r="I10655" s="0" t="s">
        <x:v>21</x:v>
      </x:c>
      <x:c r="K10655" s="0">
        <x:f>hyperlink("https://icd.who.int/dev11/l-ichi/en#/http%3A%2F%2Fid.who.int%2Ficd%2Fentity%2F625272719","browser")</x:f>
      </x:c>
      <x:c r="L10655" s="0">
        <x:f>hyperlink("https://icat2.azurewebsites.net/icat/?ontology=ICD&amp;tab=ClassesTab&amp;id=http%3A%2F%2Fwho.int%2Ficd%2352095_512ebf36_bf6b_4d70_85da_cf2637062af4","iCat")</x:f>
      </x:c>
      <x:c r="M10655" s="0" t="s">
        <x:v>21</x:v>
      </x:c>
      <x:c r="N10655" s="0" t="s">
        <x:v>46</x:v>
      </x:c>
    </x:row>
    <x:row r="10656" spans="1:16">
      <x:c r="A10656" s="0" t="s">
        <x:v>42489</x:v>
      </x:c>
      <x:c r="B10656" s="0" t="s">
        <x:v>42490</x:v>
      </x:c>
      <x:c r="C10656" s="0" t="s">
        <x:v>42491</x:v>
      </x:c>
      <x:c r="E10656" s="0" t="s">
        <x:v>42492</x:v>
      </x:c>
      <x:c r="F10656" s="0" t="s">
        <x:v>45</x:v>
      </x:c>
      <x:c r="G10656" s="0" t="s">
        <x:v>19</x:v>
      </x:c>
      <x:c r="H10656" s="0" t="s">
        <x:v>20</x:v>
      </x:c>
      <x:c r="I10656" s="0" t="s">
        <x:v>21</x:v>
      </x:c>
      <x:c r="K10656" s="0">
        <x:f>hyperlink("https://icd.who.int/dev11/l-ichi/en#/http%3A%2F%2Fid.who.int%2Ficd%2Fentity%2F1437419022","browser")</x:f>
      </x:c>
      <x:c r="L10656" s="0">
        <x:f>hyperlink("https://icat2.azurewebsites.net/icat/?ontology=ICD&amp;tab=ClassesTab&amp;id=http%3A%2F%2Fwho.int%2Ficd%2352102_512ebf36_bf6b_4d70_85da_cf2637062af4","iCat")</x:f>
      </x:c>
      <x:c r="M10656" s="0" t="s">
        <x:v>21</x:v>
      </x:c>
      <x:c r="N10656" s="0" t="s">
        <x:v>46</x:v>
      </x:c>
    </x:row>
    <x:row r="10657" spans="1:16">
      <x:c r="A10657" s="0" t="s">
        <x:v>42493</x:v>
      </x:c>
      <x:c r="B10657" s="0" t="s">
        <x:v>42494</x:v>
      </x:c>
      <x:c r="C10657" s="0" t="s">
        <x:v>42495</x:v>
      </x:c>
      <x:c r="E10657" s="0" t="s">
        <x:v>42496</x:v>
      </x:c>
      <x:c r="F10657" s="0" t="s">
        <x:v>45</x:v>
      </x:c>
      <x:c r="G10657" s="0" t="s">
        <x:v>19</x:v>
      </x:c>
      <x:c r="H10657" s="0" t="s">
        <x:v>20</x:v>
      </x:c>
      <x:c r="I10657" s="0" t="s">
        <x:v>21</x:v>
      </x:c>
      <x:c r="K10657" s="0">
        <x:f>hyperlink("https://icd.who.int/dev11/l-ichi/en#/http%3A%2F%2Fid.who.int%2Ficd%2Fentity%2F1588156576","browser")</x:f>
      </x:c>
      <x:c r="L10657" s="0">
        <x:f>hyperlink("https://icat2.azurewebsites.net/icat/?ontology=ICD&amp;tab=ClassesTab&amp;id=http%3A%2F%2Fwho.int%2Ficd%2352109_512ebf36_bf6b_4d70_85da_cf2637062af4","iCat")</x:f>
      </x:c>
      <x:c r="M10657" s="0" t="s">
        <x:v>21</x:v>
      </x:c>
      <x:c r="N10657" s="0" t="s">
        <x:v>46</x:v>
      </x:c>
    </x:row>
    <x:row r="10658" spans="1:16">
      <x:c r="A10658" s="0" t="s">
        <x:v>42497</x:v>
      </x:c>
      <x:c r="B10658" s="0" t="s">
        <x:v>42498</x:v>
      </x:c>
      <x:c r="C10658" s="0" t="s">
        <x:v>42499</x:v>
      </x:c>
      <x:c r="E10658" s="0" t="s">
        <x:v>42500</x:v>
      </x:c>
      <x:c r="F10658" s="0" t="s">
        <x:v>45</x:v>
      </x:c>
      <x:c r="G10658" s="0" t="s">
        <x:v>19</x:v>
      </x:c>
      <x:c r="H10658" s="0" t="s">
        <x:v>20</x:v>
      </x:c>
      <x:c r="I10658" s="0" t="s">
        <x:v>21</x:v>
      </x:c>
      <x:c r="K10658" s="0">
        <x:f>hyperlink("https://icd.who.int/dev11/l-ichi/en#/http%3A%2F%2Fid.who.int%2Ficd%2Fentity%2F175052591","browser")</x:f>
      </x:c>
      <x:c r="L10658" s="0">
        <x:f>hyperlink("https://icat2.azurewebsites.net/icat/?ontology=ICD&amp;tab=ClassesTab&amp;id=http%3A%2F%2Fwho.int%2Ficd%2352116_512ebf36_bf6b_4d70_85da_cf2637062af4","iCat")</x:f>
      </x:c>
      <x:c r="M10658" s="0" t="s">
        <x:v>21</x:v>
      </x:c>
      <x:c r="N10658" s="0" t="s">
        <x:v>46</x:v>
      </x:c>
    </x:row>
    <x:row r="10659" spans="1:16">
      <x:c r="A10659" s="0" t="s">
        <x:v>42501</x:v>
      </x:c>
      <x:c r="B10659" s="0" t="s">
        <x:v>42502</x:v>
      </x:c>
      <x:c r="C10659" s="0" t="s">
        <x:v>42503</x:v>
      </x:c>
      <x:c r="E10659" s="0" t="s">
        <x:v>42504</x:v>
      </x:c>
      <x:c r="F10659" s="0" t="s">
        <x:v>45</x:v>
      </x:c>
      <x:c r="G10659" s="0" t="s">
        <x:v>19</x:v>
      </x:c>
      <x:c r="H10659" s="0" t="s">
        <x:v>20</x:v>
      </x:c>
      <x:c r="I10659" s="0" t="s">
        <x:v>21</x:v>
      </x:c>
      <x:c r="K10659" s="0">
        <x:f>hyperlink("https://icd.who.int/dev11/l-ichi/en#/http%3A%2F%2Fid.who.int%2Ficd%2Fentity%2F1595990370","browser")</x:f>
      </x:c>
      <x:c r="L10659" s="0">
        <x:f>hyperlink("https://icat2.azurewebsites.net/icat/?ontology=ICD&amp;tab=ClassesTab&amp;id=http%3A%2F%2Fwho.int%2Ficd%2352123_512ebf36_bf6b_4d70_85da_cf2637062af4","iCat")</x:f>
      </x:c>
      <x:c r="M10659" s="0" t="s">
        <x:v>21</x:v>
      </x:c>
      <x:c r="N10659" s="0" t="s">
        <x:v>46</x:v>
      </x:c>
    </x:row>
    <x:row r="10660" spans="1:16">
      <x:c r="A10660" s="0" t="s">
        <x:v>42505</x:v>
      </x:c>
      <x:c r="B10660" s="0" t="s">
        <x:v>42506</x:v>
      </x:c>
      <x:c r="C10660" s="0" t="s">
        <x:v>42507</x:v>
      </x:c>
      <x:c r="E10660" s="0" t="s">
        <x:v>42508</x:v>
      </x:c>
      <x:c r="F10660" s="0" t="s">
        <x:v>45</x:v>
      </x:c>
      <x:c r="G10660" s="0" t="s">
        <x:v>19</x:v>
      </x:c>
      <x:c r="H10660" s="0" t="s">
        <x:v>20</x:v>
      </x:c>
      <x:c r="I10660" s="0" t="s">
        <x:v>21</x:v>
      </x:c>
      <x:c r="K10660" s="0">
        <x:f>hyperlink("https://icd.who.int/dev11/l-ichi/en#/http%3A%2F%2Fid.who.int%2Ficd%2Fentity%2F1885346766","browser")</x:f>
      </x:c>
      <x:c r="L10660" s="0">
        <x:f>hyperlink("https://icat2.azurewebsites.net/icat/?ontology=ICD&amp;tab=ClassesTab&amp;id=http%3A%2F%2Fwho.int%2Ficd%2352130_512ebf36_bf6b_4d70_85da_cf2637062af4","iCat")</x:f>
      </x:c>
      <x:c r="M10660" s="0" t="s">
        <x:v>21</x:v>
      </x:c>
      <x:c r="N10660" s="0" t="s">
        <x:v>46</x:v>
      </x:c>
    </x:row>
    <x:row r="10661" spans="1:16">
      <x:c r="A10661" s="0" t="s">
        <x:v>42509</x:v>
      </x:c>
      <x:c r="B10661" s="0" t="s">
        <x:v>42510</x:v>
      </x:c>
      <x:c r="C10661" s="0" t="s">
        <x:v>42511</x:v>
      </x:c>
      <x:c r="E10661" s="0" t="s">
        <x:v>42512</x:v>
      </x:c>
      <x:c r="F10661" s="0" t="s">
        <x:v>45</x:v>
      </x:c>
      <x:c r="G10661" s="0" t="s">
        <x:v>19</x:v>
      </x:c>
      <x:c r="H10661" s="0" t="s">
        <x:v>20</x:v>
      </x:c>
      <x:c r="I10661" s="0" t="s">
        <x:v>21</x:v>
      </x:c>
      <x:c r="K10661" s="0">
        <x:f>hyperlink("https://icd.who.int/dev11/l-ichi/en#/http%3A%2F%2Fid.who.int%2Ficd%2Fentity%2F14856259","browser")</x:f>
      </x:c>
      <x:c r="L10661" s="0">
        <x:f>hyperlink("https://icat2.azurewebsites.net/icat/?ontology=ICD&amp;tab=ClassesTab&amp;id=http%3A%2F%2Fwho.int%2Ficd%2352137_512ebf36_bf6b_4d70_85da_cf2637062af4","iCat")</x:f>
      </x:c>
      <x:c r="M10661" s="0" t="s">
        <x:v>21</x:v>
      </x:c>
      <x:c r="N10661" s="0" t="s">
        <x:v>46</x:v>
      </x:c>
    </x:row>
    <x:row r="10662" spans="1:16">
      <x:c r="A10662" s="0" t="s">
        <x:v>42513</x:v>
      </x:c>
      <x:c r="B10662" s="0" t="s">
        <x:v>42514</x:v>
      </x:c>
      <x:c r="C10662" s="0" t="s">
        <x:v>42515</x:v>
      </x:c>
      <x:c r="E10662" s="0" t="s">
        <x:v>42516</x:v>
      </x:c>
      <x:c r="F10662" s="0" t="s">
        <x:v>45</x:v>
      </x:c>
      <x:c r="G10662" s="0" t="s">
        <x:v>19</x:v>
      </x:c>
      <x:c r="H10662" s="0" t="s">
        <x:v>20</x:v>
      </x:c>
      <x:c r="I10662" s="0" t="s">
        <x:v>21</x:v>
      </x:c>
      <x:c r="K10662" s="0">
        <x:f>hyperlink("https://icd.who.int/dev11/l-ichi/en#/http%3A%2F%2Fid.who.int%2Ficd%2Fentity%2F1974586528","browser")</x:f>
      </x:c>
      <x:c r="L10662" s="0">
        <x:f>hyperlink("https://icat2.azurewebsites.net/icat/?ontology=ICD&amp;tab=ClassesTab&amp;id=http%3A%2F%2Fwho.int%2Ficd%2352144_512ebf36_bf6b_4d70_85da_cf2637062af4","iCat")</x:f>
      </x:c>
      <x:c r="M10662" s="0" t="s">
        <x:v>21</x:v>
      </x:c>
      <x:c r="N10662" s="0" t="s">
        <x:v>46</x:v>
      </x:c>
    </x:row>
    <x:row r="10663" spans="1:16">
      <x:c r="A10663" s="0" t="s">
        <x:v>42517</x:v>
      </x:c>
      <x:c r="B10663" s="0" t="s">
        <x:v>42518</x:v>
      </x:c>
      <x:c r="C10663" s="0" t="s">
        <x:v>42519</x:v>
      </x:c>
      <x:c r="E10663" s="0" t="s">
        <x:v>42520</x:v>
      </x:c>
      <x:c r="F10663" s="0" t="s">
        <x:v>45</x:v>
      </x:c>
      <x:c r="G10663" s="0" t="s">
        <x:v>19</x:v>
      </x:c>
      <x:c r="H10663" s="0" t="s">
        <x:v>20</x:v>
      </x:c>
      <x:c r="I10663" s="0" t="s">
        <x:v>21</x:v>
      </x:c>
      <x:c r="K10663" s="0">
        <x:f>hyperlink("https://icd.who.int/dev11/l-ichi/en#/http%3A%2F%2Fid.who.int%2Ficd%2Fentity%2F176877503","browser")</x:f>
      </x:c>
      <x:c r="L10663" s="0">
        <x:f>hyperlink("https://icat2.azurewebsites.net/icat/?ontology=ICD&amp;tab=ClassesTab&amp;id=http%3A%2F%2Fwho.int%2Ficd%2352151_512ebf36_bf6b_4d70_85da_cf2637062af4","iCat")</x:f>
      </x:c>
      <x:c r="M10663" s="0" t="s">
        <x:v>21</x:v>
      </x:c>
      <x:c r="N10663" s="0" t="s">
        <x:v>46</x:v>
      </x:c>
    </x:row>
    <x:row r="10664" spans="1:16">
      <x:c r="A10664" s="0" t="s">
        <x:v>42521</x:v>
      </x:c>
      <x:c r="B10664" s="0" t="s">
        <x:v>42522</x:v>
      </x:c>
      <x:c r="C10664" s="0" t="s">
        <x:v>42523</x:v>
      </x:c>
      <x:c r="E10664" s="0" t="s">
        <x:v>42524</x:v>
      </x:c>
      <x:c r="F10664" s="0" t="s">
        <x:v>45</x:v>
      </x:c>
      <x:c r="G10664" s="0" t="s">
        <x:v>19</x:v>
      </x:c>
      <x:c r="H10664" s="0" t="s">
        <x:v>20</x:v>
      </x:c>
      <x:c r="I10664" s="0" t="s">
        <x:v>21</x:v>
      </x:c>
      <x:c r="K10664" s="0">
        <x:f>hyperlink("https://icd.who.int/dev11/l-ichi/en#/http%3A%2F%2Fid.who.int%2Ficd%2Fentity%2F1693641944","browser")</x:f>
      </x:c>
      <x:c r="L10664" s="0">
        <x:f>hyperlink("https://icat2.azurewebsites.net/icat/?ontology=ICD&amp;tab=ClassesTab&amp;id=http%3A%2F%2Fwho.int%2Ficd%2352158_512ebf36_bf6b_4d70_85da_cf2637062af4","iCat")</x:f>
      </x:c>
      <x:c r="M10664" s="0" t="s">
        <x:v>21</x:v>
      </x:c>
      <x:c r="N10664" s="0" t="s">
        <x:v>46</x:v>
      </x:c>
    </x:row>
    <x:row r="10665" spans="1:16">
      <x:c r="A10665" s="0" t="s">
        <x:v>42525</x:v>
      </x:c>
      <x:c r="B10665" s="0" t="s">
        <x:v>42526</x:v>
      </x:c>
      <x:c r="C10665" s="0" t="s">
        <x:v>42527</x:v>
      </x:c>
      <x:c r="E10665" s="0" t="s">
        <x:v>42528</x:v>
      </x:c>
      <x:c r="F10665" s="0" t="s">
        <x:v>45</x:v>
      </x:c>
      <x:c r="G10665" s="0" t="s">
        <x:v>19</x:v>
      </x:c>
      <x:c r="H10665" s="0" t="s">
        <x:v>20</x:v>
      </x:c>
      <x:c r="I10665" s="0" t="s">
        <x:v>21</x:v>
      </x:c>
      <x:c r="K10665" s="0">
        <x:f>hyperlink("https://icd.who.int/dev11/l-ichi/en#/http%3A%2F%2Fid.who.int%2Ficd%2Fentity%2F2134666188","browser")</x:f>
      </x:c>
      <x:c r="L10665" s="0">
        <x:f>hyperlink("https://icat2.azurewebsites.net/icat/?ontology=ICD&amp;tab=ClassesTab&amp;id=http%3A%2F%2Fwho.int%2Ficd%2352165_512ebf36_bf6b_4d70_85da_cf2637062af4","iCat")</x:f>
      </x:c>
      <x:c r="M10665" s="0" t="s">
        <x:v>21</x:v>
      </x:c>
      <x:c r="N10665" s="0" t="s">
        <x:v>46</x:v>
      </x:c>
    </x:row>
    <x:row r="10666" spans="1:16">
      <x:c r="A10666" s="0" t="s">
        <x:v>42529</x:v>
      </x:c>
      <x:c r="B10666" s="0" t="s">
        <x:v>42530</x:v>
      </x:c>
      <x:c r="C10666" s="0" t="s">
        <x:v>42531</x:v>
      </x:c>
      <x:c r="E10666" s="0" t="s">
        <x:v>42532</x:v>
      </x:c>
      <x:c r="F10666" s="0" t="s">
        <x:v>45</x:v>
      </x:c>
      <x:c r="G10666" s="0" t="s">
        <x:v>19</x:v>
      </x:c>
      <x:c r="H10666" s="0" t="s">
        <x:v>20</x:v>
      </x:c>
      <x:c r="I10666" s="0" t="s">
        <x:v>21</x:v>
      </x:c>
      <x:c r="K10666" s="0">
        <x:f>hyperlink("https://icd.who.int/dev11/l-ichi/en#/http%3A%2F%2Fid.who.int%2Ficd%2Fentity%2F1702581526","browser")</x:f>
      </x:c>
      <x:c r="L10666" s="0">
        <x:f>hyperlink("https://icat2.azurewebsites.net/icat/?ontology=ICD&amp;tab=ClassesTab&amp;id=http%3A%2F%2Fwho.int%2Ficd%2352172_512ebf36_bf6b_4d70_85da_cf2637062af4","iCat")</x:f>
      </x:c>
      <x:c r="M10666" s="0" t="s">
        <x:v>21</x:v>
      </x:c>
      <x:c r="N10666" s="0" t="s">
        <x:v>46</x:v>
      </x:c>
    </x:row>
    <x:row r="10667" spans="1:16">
      <x:c r="A10667" s="0" t="s">
        <x:v>42533</x:v>
      </x:c>
      <x:c r="B10667" s="0" t="s">
        <x:v>42534</x:v>
      </x:c>
      <x:c r="C10667" s="0" t="s">
        <x:v>42535</x:v>
      </x:c>
      <x:c r="E10667" s="0" t="s">
        <x:v>42536</x:v>
      </x:c>
      <x:c r="F10667" s="0" t="s">
        <x:v>45</x:v>
      </x:c>
      <x:c r="G10667" s="0" t="s">
        <x:v>19</x:v>
      </x:c>
      <x:c r="H10667" s="0" t="s">
        <x:v>20</x:v>
      </x:c>
      <x:c r="I10667" s="0" t="s">
        <x:v>21</x:v>
      </x:c>
      <x:c r="K10667" s="0">
        <x:f>hyperlink("https://icd.who.int/dev11/l-ichi/en#/http%3A%2F%2Fid.who.int%2Ficd%2Fentity%2F1853836220","browser")</x:f>
      </x:c>
      <x:c r="L10667" s="0">
        <x:f>hyperlink("https://icat2.azurewebsites.net/icat/?ontology=ICD&amp;tab=ClassesTab&amp;id=http%3A%2F%2Fwho.int%2Ficd%2352179_512ebf36_bf6b_4d70_85da_cf2637062af4","iCat")</x:f>
      </x:c>
      <x:c r="M10667" s="0" t="s">
        <x:v>21</x:v>
      </x:c>
      <x:c r="N10667" s="0" t="s">
        <x:v>46</x:v>
      </x:c>
    </x:row>
    <x:row r="10668" spans="1:16">
      <x:c r="A10668" s="0" t="s">
        <x:v>42537</x:v>
      </x:c>
      <x:c r="B10668" s="0" t="s">
        <x:v>42538</x:v>
      </x:c>
      <x:c r="C10668" s="0" t="s">
        <x:v>42539</x:v>
      </x:c>
      <x:c r="E10668" s="0" t="s">
        <x:v>42540</x:v>
      </x:c>
      <x:c r="F10668" s="0" t="s">
        <x:v>45</x:v>
      </x:c>
      <x:c r="G10668" s="0" t="s">
        <x:v>19</x:v>
      </x:c>
      <x:c r="H10668" s="0" t="s">
        <x:v>20</x:v>
      </x:c>
      <x:c r="I10668" s="0" t="s">
        <x:v>21</x:v>
      </x:c>
      <x:c r="K10668" s="0">
        <x:f>hyperlink("https://icd.who.int/dev11/l-ichi/en#/http%3A%2F%2Fid.who.int%2Ficd%2Fentity%2F2140920766","browser")</x:f>
      </x:c>
      <x:c r="L10668" s="0">
        <x:f>hyperlink("https://icat2.azurewebsites.net/icat/?ontology=ICD&amp;tab=ClassesTab&amp;id=http%3A%2F%2Fwho.int%2Ficd%2352186_512ebf36_bf6b_4d70_85da_cf2637062af4","iCat")</x:f>
      </x:c>
      <x:c r="M10668" s="0" t="s">
        <x:v>21</x:v>
      </x:c>
      <x:c r="N10668" s="0" t="s">
        <x:v>46</x:v>
      </x:c>
    </x:row>
    <x:row r="10669" spans="1:16">
      <x:c r="A10669" s="0" t="s">
        <x:v>42541</x:v>
      </x:c>
      <x:c r="B10669" s="0" t="s">
        <x:v>42542</x:v>
      </x:c>
      <x:c r="C10669" s="0" t="s">
        <x:v>42543</x:v>
      </x:c>
      <x:c r="E10669" s="0" t="s">
        <x:v>42544</x:v>
      </x:c>
      <x:c r="F10669" s="0" t="s">
        <x:v>45</x:v>
      </x:c>
      <x:c r="G10669" s="0" t="s">
        <x:v>19</x:v>
      </x:c>
      <x:c r="H10669" s="0" t="s">
        <x:v>20</x:v>
      </x:c>
      <x:c r="I10669" s="0" t="s">
        <x:v>21</x:v>
      </x:c>
      <x:c r="K10669" s="0">
        <x:f>hyperlink("https://icd.who.int/dev11/l-ichi/en#/http%3A%2F%2Fid.who.int%2Ficd%2Fentity%2F1710015816","browser")</x:f>
      </x:c>
      <x:c r="L10669" s="0">
        <x:f>hyperlink("https://icat2.azurewebsites.net/icat/?ontology=ICD&amp;tab=ClassesTab&amp;id=http%3A%2F%2Fwho.int%2Ficd%235410_d85a204c_d00a_4566_a3b7_2d137a1891cf","iCat")</x:f>
      </x:c>
      <x:c r="M10669" s="0" t="s">
        <x:v>21</x:v>
      </x:c>
      <x:c r="N10669" s="0" t="s">
        <x:v>46</x:v>
      </x:c>
    </x:row>
    <x:row r="10670" spans="1:16">
      <x:c r="A10670" s="0" t="s">
        <x:v>42545</x:v>
      </x:c>
      <x:c r="B10670" s="0" t="s">
        <x:v>42546</x:v>
      </x:c>
      <x:c r="C10670" s="0" t="s">
        <x:v>42547</x:v>
      </x:c>
      <x:c r="E10670" s="0" t="s">
        <x:v>42548</x:v>
      </x:c>
      <x:c r="F10670" s="0" t="s">
        <x:v>45</x:v>
      </x:c>
      <x:c r="G10670" s="0" t="s">
        <x:v>19</x:v>
      </x:c>
      <x:c r="H10670" s="0" t="s">
        <x:v>20</x:v>
      </x:c>
      <x:c r="I10670" s="0" t="s">
        <x:v>21</x:v>
      </x:c>
      <x:c r="K10670" s="0">
        <x:f>hyperlink("https://icd.who.int/dev11/l-ichi/en#/http%3A%2F%2Fid.who.int%2Ficd%2Fentity%2F10549411","browser")</x:f>
      </x:c>
      <x:c r="L10670" s="0">
        <x:f>hyperlink("https://icat2.azurewebsites.net/icat/?ontology=ICD&amp;tab=ClassesTab&amp;id=http%3A%2F%2Fwho.int%2Ficd%2352193_512ebf36_bf6b_4d70_85da_cf2637062af4","iCat")</x:f>
      </x:c>
      <x:c r="M10670" s="0" t="s">
        <x:v>21</x:v>
      </x:c>
      <x:c r="N10670" s="0" t="s">
        <x:v>46</x:v>
      </x:c>
    </x:row>
    <x:row r="10671" spans="1:16">
      <x:c r="A10671" s="0" t="s">
        <x:v>42549</x:v>
      </x:c>
      <x:c r="B10671" s="0" t="s">
        <x:v>42550</x:v>
      </x:c>
      <x:c r="C10671" s="0" t="s">
        <x:v>42551</x:v>
      </x:c>
      <x:c r="E10671" s="0" t="s">
        <x:v>42552</x:v>
      </x:c>
      <x:c r="F10671" s="0" t="s">
        <x:v>45</x:v>
      </x:c>
      <x:c r="G10671" s="0" t="s">
        <x:v>19</x:v>
      </x:c>
      <x:c r="H10671" s="0" t="s">
        <x:v>20</x:v>
      </x:c>
      <x:c r="I10671" s="0" t="s">
        <x:v>21</x:v>
      </x:c>
      <x:c r="K10671" s="0">
        <x:f>hyperlink("https://icd.who.int/dev11/l-ichi/en#/http%3A%2F%2Fid.who.int%2Ficd%2Fentity%2F1368321936","browser")</x:f>
      </x:c>
      <x:c r="L10671" s="0">
        <x:f>hyperlink("https://icat2.azurewebsites.net/icat/?ontology=ICD&amp;tab=ClassesTab&amp;id=http%3A%2F%2Fwho.int%2Ficd%2352200_512ebf36_bf6b_4d70_85da_cf2637062af4","iCat")</x:f>
      </x:c>
      <x:c r="M10671" s="0" t="s">
        <x:v>21</x:v>
      </x:c>
      <x:c r="N10671" s="0" t="s">
        <x:v>46</x:v>
      </x:c>
    </x:row>
    <x:row r="10672" spans="1:16">
      <x:c r="A10672" s="0" t="s">
        <x:v>42553</x:v>
      </x:c>
      <x:c r="B10672" s="0" t="s">
        <x:v>42554</x:v>
      </x:c>
      <x:c r="C10672" s="0" t="s">
        <x:v>42555</x:v>
      </x:c>
      <x:c r="E10672" s="0" t="s">
        <x:v>42556</x:v>
      </x:c>
      <x:c r="F10672" s="0" t="s">
        <x:v>45</x:v>
      </x:c>
      <x:c r="G10672" s="0" t="s">
        <x:v>19</x:v>
      </x:c>
      <x:c r="H10672" s="0" t="s">
        <x:v>20</x:v>
      </x:c>
      <x:c r="I10672" s="0" t="s">
        <x:v>21</x:v>
      </x:c>
      <x:c r="K10672" s="0">
        <x:f>hyperlink("https://icd.who.int/dev11/l-ichi/en#/http%3A%2F%2Fid.who.int%2Ficd%2Fentity%2F554451997","browser")</x:f>
      </x:c>
      <x:c r="L10672" s="0">
        <x:f>hyperlink("https://icat2.azurewebsites.net/icat/?ontology=ICD&amp;tab=ClassesTab&amp;id=http%3A%2F%2Fwho.int%2Ficd%2352207_512ebf36_bf6b_4d70_85da_cf2637062af4","iCat")</x:f>
      </x:c>
      <x:c r="M10672" s="0" t="s">
        <x:v>21</x:v>
      </x:c>
      <x:c r="N10672" s="0" t="s">
        <x:v>46</x:v>
      </x:c>
    </x:row>
    <x:row r="10673" spans="1:16">
      <x:c r="A10673" s="0" t="s">
        <x:v>42557</x:v>
      </x:c>
      <x:c r="B10673" s="0" t="s">
        <x:v>42558</x:v>
      </x:c>
      <x:c r="C10673" s="0" t="s">
        <x:v>42559</x:v>
      </x:c>
      <x:c r="E10673" s="0" t="s">
        <x:v>42560</x:v>
      </x:c>
      <x:c r="F10673" s="0" t="s">
        <x:v>45</x:v>
      </x:c>
      <x:c r="G10673" s="0" t="s">
        <x:v>19</x:v>
      </x:c>
      <x:c r="H10673" s="0" t="s">
        <x:v>20</x:v>
      </x:c>
      <x:c r="I10673" s="0" t="s">
        <x:v>21</x:v>
      </x:c>
      <x:c r="K10673" s="0">
        <x:f>hyperlink("https://icd.who.int/dev11/l-ichi/en#/http%3A%2F%2Fid.who.int%2Ficd%2Fentity%2F239910579","browser")</x:f>
      </x:c>
      <x:c r="L10673" s="0">
        <x:f>hyperlink("https://icat2.azurewebsites.net/icat/?ontology=ICD&amp;tab=ClassesTab&amp;id=http%3A%2F%2Fwho.int%2Ficd%2352214_512ebf36_bf6b_4d70_85da_cf2637062af4","iCat")</x:f>
      </x:c>
      <x:c r="M10673" s="0" t="s">
        <x:v>21</x:v>
      </x:c>
      <x:c r="N10673" s="0" t="s">
        <x:v>46</x:v>
      </x:c>
    </x:row>
    <x:row r="10674" spans="1:16">
      <x:c r="A10674" s="0" t="s">
        <x:v>42561</x:v>
      </x:c>
      <x:c r="B10674" s="0" t="s">
        <x:v>42562</x:v>
      </x:c>
      <x:c r="C10674" s="0" t="s">
        <x:v>42563</x:v>
      </x:c>
      <x:c r="E10674" s="0" t="s">
        <x:v>42564</x:v>
      </x:c>
      <x:c r="F10674" s="0" t="s">
        <x:v>45</x:v>
      </x:c>
      <x:c r="G10674" s="0" t="s">
        <x:v>19</x:v>
      </x:c>
      <x:c r="H10674" s="0" t="s">
        <x:v>20</x:v>
      </x:c>
      <x:c r="I10674" s="0" t="s">
        <x:v>21</x:v>
      </x:c>
      <x:c r="K10674" s="0">
        <x:f>hyperlink("https://icd.who.int/dev11/l-ichi/en#/http%3A%2F%2Fid.who.int%2Ficd%2Fentity%2F897272725","browser")</x:f>
      </x:c>
      <x:c r="L10674" s="0">
        <x:f>hyperlink("https://icat2.azurewebsites.net/icat/?ontology=ICD&amp;tab=ClassesTab&amp;id=http%3A%2F%2Fwho.int%2Ficd%2352228_512ebf36_bf6b_4d70_85da_cf2637062af4","iCat")</x:f>
      </x:c>
      <x:c r="M10674" s="0" t="s">
        <x:v>21</x:v>
      </x:c>
      <x:c r="N10674" s="0" t="s">
        <x:v>46</x:v>
      </x:c>
    </x:row>
    <x:row r="10675" spans="1:16">
      <x:c r="A10675" s="0" t="s">
        <x:v>42565</x:v>
      </x:c>
      <x:c r="B10675" s="0" t="s">
        <x:v>42566</x:v>
      </x:c>
      <x:c r="C10675" s="0" t="s">
        <x:v>42567</x:v>
      </x:c>
      <x:c r="E10675" s="0" t="s">
        <x:v>42568</x:v>
      </x:c>
      <x:c r="F10675" s="0" t="s">
        <x:v>45</x:v>
      </x:c>
      <x:c r="G10675" s="0" t="s">
        <x:v>19</x:v>
      </x:c>
      <x:c r="H10675" s="0" t="s">
        <x:v>20</x:v>
      </x:c>
      <x:c r="I10675" s="0" t="s">
        <x:v>21</x:v>
      </x:c>
      <x:c r="K10675" s="0">
        <x:f>hyperlink("https://icd.who.int/dev11/l-ichi/en#/http%3A%2F%2Fid.who.int%2Ficd%2Fentity%2F79763935","browser")</x:f>
      </x:c>
      <x:c r="L10675" s="0">
        <x:f>hyperlink("https://icat2.azurewebsites.net/icat/?ontology=ICD&amp;tab=ClassesTab&amp;id=http%3A%2F%2Fwho.int%2Ficd%2352235_512ebf36_bf6b_4d70_85da_cf2637062af4","iCat")</x:f>
      </x:c>
      <x:c r="M10675" s="0" t="s">
        <x:v>21</x:v>
      </x:c>
      <x:c r="N10675" s="0" t="s">
        <x:v>46</x:v>
      </x:c>
    </x:row>
    <x:row r="10676" spans="1:16">
      <x:c r="A10676" s="0" t="s">
        <x:v>42569</x:v>
      </x:c>
      <x:c r="B10676" s="0" t="s">
        <x:v>42570</x:v>
      </x:c>
      <x:c r="C10676" s="0" t="s">
        <x:v>42571</x:v>
      </x:c>
      <x:c r="E10676" s="0" t="s">
        <x:v>42572</x:v>
      </x:c>
      <x:c r="F10676" s="0" t="s">
        <x:v>45</x:v>
      </x:c>
      <x:c r="G10676" s="0" t="s">
        <x:v>19</x:v>
      </x:c>
      <x:c r="H10676" s="0" t="s">
        <x:v>20</x:v>
      </x:c>
      <x:c r="I10676" s="0" t="s">
        <x:v>21</x:v>
      </x:c>
      <x:c r="K10676" s="0">
        <x:f>hyperlink("https://icd.who.int/dev11/l-ichi/en#/http%3A%2F%2Fid.who.int%2Ficd%2Fentity%2F1150656840","browser")</x:f>
      </x:c>
      <x:c r="L10676" s="0">
        <x:f>hyperlink("https://icat2.azurewebsites.net/icat/?ontology=ICD&amp;tab=ClassesTab&amp;id=http%3A%2F%2Fwho.int%2Ficd%2352242_512ebf36_bf6b_4d70_85da_cf2637062af4","iCat")</x:f>
      </x:c>
      <x:c r="M10676" s="0" t="s">
        <x:v>21</x:v>
      </x:c>
      <x:c r="N10676" s="0" t="s">
        <x:v>46</x:v>
      </x:c>
    </x:row>
    <x:row r="10677" spans="1:16">
      <x:c r="A10677" s="0" t="s">
        <x:v>42573</x:v>
      </x:c>
      <x:c r="B10677" s="0" t="s">
        <x:v>42574</x:v>
      </x:c>
      <x:c r="C10677" s="0" t="s">
        <x:v>42575</x:v>
      </x:c>
      <x:c r="E10677" s="0" t="s">
        <x:v>42576</x:v>
      </x:c>
      <x:c r="F10677" s="0" t="s">
        <x:v>45</x:v>
      </x:c>
      <x:c r="G10677" s="0" t="s">
        <x:v>19</x:v>
      </x:c>
      <x:c r="H10677" s="0" t="s">
        <x:v>20</x:v>
      </x:c>
      <x:c r="I10677" s="0" t="s">
        <x:v>21</x:v>
      </x:c>
      <x:c r="K10677" s="0">
        <x:f>hyperlink("https://icd.who.int/dev11/l-ichi/en#/http%3A%2F%2Fid.who.int%2Ficd%2Fentity%2F1334951910","browser")</x:f>
      </x:c>
      <x:c r="L10677" s="0">
        <x:f>hyperlink("https://icat2.azurewebsites.net/icat/?ontology=ICD&amp;tab=ClassesTab&amp;id=http%3A%2F%2Fwho.int%2Ficd%2352249_512ebf36_bf6b_4d70_85da_cf2637062af4","iCat")</x:f>
      </x:c>
      <x:c r="M10677" s="0" t="s">
        <x:v>21</x:v>
      </x:c>
      <x:c r="N10677" s="0" t="s">
        <x:v>46</x:v>
      </x:c>
    </x:row>
    <x:row r="10678" spans="1:16">
      <x:c r="A10678" s="0" t="s">
        <x:v>42577</x:v>
      </x:c>
      <x:c r="B10678" s="0" t="s">
        <x:v>42578</x:v>
      </x:c>
      <x:c r="C10678" s="0" t="s">
        <x:v>42579</x:v>
      </x:c>
      <x:c r="E10678" s="0" t="s">
        <x:v>42580</x:v>
      </x:c>
      <x:c r="F10678" s="0" t="s">
        <x:v>45</x:v>
      </x:c>
      <x:c r="G10678" s="0" t="s">
        <x:v>19</x:v>
      </x:c>
      <x:c r="H10678" s="0" t="s">
        <x:v>20</x:v>
      </x:c>
      <x:c r="I10678" s="0" t="s">
        <x:v>21</x:v>
      </x:c>
      <x:c r="K10678" s="0">
        <x:f>hyperlink("https://icd.who.int/dev11/l-ichi/en#/http%3A%2F%2Fid.who.int%2Ficd%2Fentity%2F458748011","browser")</x:f>
      </x:c>
      <x:c r="L10678" s="0">
        <x:f>hyperlink("https://icat2.azurewebsites.net/icat/?ontology=ICD&amp;tab=ClassesTab&amp;id=http%3A%2F%2Fwho.int%2Ficd%2352256_512ebf36_bf6b_4d70_85da_cf2637062af4","iCat")</x:f>
      </x:c>
      <x:c r="M10678" s="0" t="s">
        <x:v>21</x:v>
      </x:c>
      <x:c r="N10678" s="0" t="s">
        <x:v>46</x:v>
      </x:c>
    </x:row>
    <x:row r="10679" spans="1:16">
      <x:c r="A10679" s="0" t="s">
        <x:v>42581</x:v>
      </x:c>
      <x:c r="B10679" s="0" t="s">
        <x:v>42582</x:v>
      </x:c>
      <x:c r="C10679" s="0" t="s">
        <x:v>42583</x:v>
      </x:c>
      <x:c r="E10679" s="0" t="s">
        <x:v>42584</x:v>
      </x:c>
      <x:c r="F10679" s="0" t="s">
        <x:v>45</x:v>
      </x:c>
      <x:c r="G10679" s="0" t="s">
        <x:v>19</x:v>
      </x:c>
      <x:c r="H10679" s="0" t="s">
        <x:v>20</x:v>
      </x:c>
      <x:c r="I10679" s="0" t="s">
        <x:v>21</x:v>
      </x:c>
      <x:c r="K10679" s="0">
        <x:f>hyperlink("https://icd.who.int/dev11/l-ichi/en#/http%3A%2F%2Fid.who.int%2Ficd%2Fentity%2F1310197284","browser")</x:f>
      </x:c>
      <x:c r="L10679" s="0">
        <x:f>hyperlink("https://icat2.azurewebsites.net/icat/?ontology=ICD&amp;tab=ClassesTab&amp;id=http%3A%2F%2Fwho.int%2Ficd%2352263_512ebf36_bf6b_4d70_85da_cf2637062af4","iCat")</x:f>
      </x:c>
      <x:c r="M10679" s="0" t="s">
        <x:v>21</x:v>
      </x:c>
      <x:c r="N10679" s="0" t="s">
        <x:v>46</x:v>
      </x:c>
    </x:row>
    <x:row r="10680" spans="1:16">
      <x:c r="A10680" s="0" t="s">
        <x:v>42585</x:v>
      </x:c>
      <x:c r="B10680" s="0" t="s">
        <x:v>42586</x:v>
      </x:c>
      <x:c r="C10680" s="0" t="s">
        <x:v>42587</x:v>
      </x:c>
      <x:c r="E10680" s="0" t="s">
        <x:v>42588</x:v>
      </x:c>
      <x:c r="F10680" s="0" t="s">
        <x:v>45</x:v>
      </x:c>
      <x:c r="G10680" s="0" t="s">
        <x:v>19</x:v>
      </x:c>
      <x:c r="H10680" s="0" t="s">
        <x:v>20</x:v>
      </x:c>
      <x:c r="I10680" s="0" t="s">
        <x:v>21</x:v>
      </x:c>
      <x:c r="K10680" s="0">
        <x:f>hyperlink("https://icd.who.int/dev11/l-ichi/en#/http%3A%2F%2Fid.who.int%2Ficd%2Fentity%2F1633221772","browser")</x:f>
      </x:c>
      <x:c r="L10680" s="0">
        <x:f>hyperlink("https://icat2.azurewebsites.net/icat/?ontology=ICD&amp;tab=ClassesTab&amp;id=http%3A%2F%2Fwho.int%2Ficd%2352270_512ebf36_bf6b_4d70_85da_cf2637062af4","iCat")</x:f>
      </x:c>
      <x:c r="M10680" s="0" t="s">
        <x:v>21</x:v>
      </x:c>
      <x:c r="N10680" s="0" t="s">
        <x:v>46</x:v>
      </x:c>
    </x:row>
    <x:row r="10681" spans="1:16">
      <x:c r="A10681" s="0" t="s">
        <x:v>42589</x:v>
      </x:c>
      <x:c r="B10681" s="0" t="s">
        <x:v>42590</x:v>
      </x:c>
      <x:c r="C10681" s="0" t="s">
        <x:v>42591</x:v>
      </x:c>
      <x:c r="E10681" s="0" t="s">
        <x:v>42592</x:v>
      </x:c>
      <x:c r="F10681" s="0" t="s">
        <x:v>45</x:v>
      </x:c>
      <x:c r="G10681" s="0" t="s">
        <x:v>19</x:v>
      </x:c>
      <x:c r="H10681" s="0" t="s">
        <x:v>20</x:v>
      </x:c>
      <x:c r="I10681" s="0" t="s">
        <x:v>21</x:v>
      </x:c>
      <x:c r="K10681" s="0">
        <x:f>hyperlink("https://icd.who.int/dev11/l-ichi/en#/http%3A%2F%2Fid.who.int%2Ficd%2Fentity%2F299521799","browser")</x:f>
      </x:c>
      <x:c r="L10681" s="0">
        <x:f>hyperlink("https://icat2.azurewebsites.net/icat/?ontology=ICD&amp;tab=ClassesTab&amp;id=http%3A%2F%2Fwho.int%2Ficd%2352277_512ebf36_bf6b_4d70_85da_cf2637062af4","iCat")</x:f>
      </x:c>
      <x:c r="M10681" s="0" t="s">
        <x:v>21</x:v>
      </x:c>
      <x:c r="N10681" s="0" t="s">
        <x:v>46</x:v>
      </x:c>
    </x:row>
    <x:row r="10682" spans="1:16">
      <x:c r="A10682" s="0" t="s">
        <x:v>42593</x:v>
      </x:c>
      <x:c r="B10682" s="0" t="s">
        <x:v>42594</x:v>
      </x:c>
      <x:c r="C10682" s="0" t="s">
        <x:v>42595</x:v>
      </x:c>
      <x:c r="E10682" s="0" t="s">
        <x:v>42596</x:v>
      </x:c>
      <x:c r="F10682" s="0" t="s">
        <x:v>45</x:v>
      </x:c>
      <x:c r="G10682" s="0" t="s">
        <x:v>19</x:v>
      </x:c>
      <x:c r="H10682" s="0" t="s">
        <x:v>20</x:v>
      </x:c>
      <x:c r="I10682" s="0" t="s">
        <x:v>21</x:v>
      </x:c>
      <x:c r="K10682" s="0">
        <x:f>hyperlink("https://icd.who.int/dev11/l-ichi/en#/http%3A%2F%2Fid.who.int%2Ficd%2Fentity%2F2075685408","browser")</x:f>
      </x:c>
      <x:c r="L10682" s="0">
        <x:f>hyperlink("https://icat2.azurewebsites.net/icat/?ontology=ICD&amp;tab=ClassesTab&amp;id=http%3A%2F%2Fwho.int%2Ficd%2352284_512ebf36_bf6b_4d70_85da_cf2637062af4","iCat")</x:f>
      </x:c>
      <x:c r="M10682" s="0" t="s">
        <x:v>21</x:v>
      </x:c>
      <x:c r="N10682" s="0" t="s">
        <x:v>46</x:v>
      </x:c>
    </x:row>
    <x:row r="10683" spans="1:16">
      <x:c r="A10683" s="0" t="s">
        <x:v>42597</x:v>
      </x:c>
      <x:c r="B10683" s="0" t="s">
        <x:v>42598</x:v>
      </x:c>
      <x:c r="C10683" s="0" t="s">
        <x:v>42599</x:v>
      </x:c>
      <x:c r="E10683" s="0" t="s">
        <x:v>42600</x:v>
      </x:c>
      <x:c r="F10683" s="0" t="s">
        <x:v>45</x:v>
      </x:c>
      <x:c r="G10683" s="0" t="s">
        <x:v>19</x:v>
      </x:c>
      <x:c r="H10683" s="0" t="s">
        <x:v>20</x:v>
      </x:c>
      <x:c r="I10683" s="0" t="s">
        <x:v>21</x:v>
      </x:c>
      <x:c r="K10683" s="0">
        <x:f>hyperlink("https://icd.who.int/dev11/l-ichi/en#/http%3A%2F%2Fid.who.int%2Ficd%2Fentity%2F75714879","browser")</x:f>
      </x:c>
      <x:c r="L10683" s="0">
        <x:f>hyperlink("https://icat2.azurewebsites.net/icat/?ontology=ICD&amp;tab=ClassesTab&amp;id=http%3A%2F%2Fwho.int%2Ficd%2352291_512ebf36_bf6b_4d70_85da_cf2637062af4","iCat")</x:f>
      </x:c>
      <x:c r="M10683" s="0" t="s">
        <x:v>21</x:v>
      </x:c>
      <x:c r="N10683" s="0" t="s">
        <x:v>46</x:v>
      </x:c>
    </x:row>
    <x:row r="10684" spans="1:16">
      <x:c r="A10684" s="0" t="s">
        <x:v>42601</x:v>
      </x:c>
      <x:c r="B10684" s="0" t="s">
        <x:v>42602</x:v>
      </x:c>
      <x:c r="C10684" s="0" t="s">
        <x:v>42603</x:v>
      </x:c>
      <x:c r="E10684" s="0" t="s">
        <x:v>42604</x:v>
      </x:c>
      <x:c r="F10684" s="0" t="s">
        <x:v>45</x:v>
      </x:c>
      <x:c r="G10684" s="0" t="s">
        <x:v>19</x:v>
      </x:c>
      <x:c r="H10684" s="0" t="s">
        <x:v>20</x:v>
      </x:c>
      <x:c r="I10684" s="0" t="s">
        <x:v>21</x:v>
      </x:c>
      <x:c r="K10684" s="0">
        <x:f>hyperlink("https://icd.who.int/dev11/l-ichi/en#/http%3A%2F%2Fid.who.int%2Ficd%2Fentity%2F899095801","browser")</x:f>
      </x:c>
      <x:c r="L10684" s="0">
        <x:f>hyperlink("https://icat2.azurewebsites.net/icat/?ontology=ICD&amp;tab=ClassesTab&amp;id=http%3A%2F%2Fwho.int%2Ficd%235416_d85a204c_d00a_4566_a3b7_2d137a1891cf","iCat")</x:f>
      </x:c>
      <x:c r="M10684" s="0" t="s">
        <x:v>21</x:v>
      </x:c>
      <x:c r="N10684" s="0" t="s">
        <x:v>46</x:v>
      </x:c>
    </x:row>
    <x:row r="10685" spans="1:16">
      <x:c r="A10685" s="0" t="s">
        <x:v>42605</x:v>
      </x:c>
      <x:c r="B10685" s="0" t="s">
        <x:v>42606</x:v>
      </x:c>
      <x:c r="C10685" s="0" t="s">
        <x:v>42607</x:v>
      </x:c>
      <x:c r="E10685" s="0" t="s">
        <x:v>42608</x:v>
      </x:c>
      <x:c r="F10685" s="0" t="s">
        <x:v>45</x:v>
      </x:c>
      <x:c r="G10685" s="0" t="s">
        <x:v>19</x:v>
      </x:c>
      <x:c r="H10685" s="0" t="s">
        <x:v>20</x:v>
      </x:c>
      <x:c r="I10685" s="0" t="s">
        <x:v>21</x:v>
      </x:c>
      <x:c r="K10685" s="0">
        <x:f>hyperlink("https://icd.who.int/dev11/l-ichi/en#/http%3A%2F%2Fid.who.int%2Ficd%2Fentity%2F1794855512","browser")</x:f>
      </x:c>
      <x:c r="L10685" s="0">
        <x:f>hyperlink("https://icat2.azurewebsites.net/icat/?ontology=ICD&amp;tab=ClassesTab&amp;id=http%3A%2F%2Fwho.int%2Ficd%2352298_512ebf36_bf6b_4d70_85da_cf2637062af4","iCat")</x:f>
      </x:c>
      <x:c r="M10685" s="0" t="s">
        <x:v>21</x:v>
      </x:c>
      <x:c r="N10685" s="0" t="s">
        <x:v>46</x:v>
      </x:c>
    </x:row>
    <x:row r="10686" spans="1:16">
      <x:c r="A10686" s="0" t="s">
        <x:v>42609</x:v>
      </x:c>
      <x:c r="B10686" s="0" t="s">
        <x:v>42610</x:v>
      </x:c>
      <x:c r="C10686" s="0" t="s">
        <x:v>42611</x:v>
      </x:c>
      <x:c r="E10686" s="0" t="s">
        <x:v>42612</x:v>
      </x:c>
      <x:c r="F10686" s="0" t="s">
        <x:v>45</x:v>
      </x:c>
      <x:c r="G10686" s="0" t="s">
        <x:v>19</x:v>
      </x:c>
      <x:c r="H10686" s="0" t="s">
        <x:v>20</x:v>
      </x:c>
      <x:c r="I10686" s="0" t="s">
        <x:v>21</x:v>
      </x:c>
      <x:c r="K10686" s="0">
        <x:f>hyperlink("https://icd.who.int/dev11/l-ichi/en#/http%3A%2F%2Fid.who.int%2Ficd%2Fentity%2F837787461","browser")</x:f>
      </x:c>
      <x:c r="L10686" s="0">
        <x:f>hyperlink("https://icat2.azurewebsites.net/icat/?ontology=ICD&amp;tab=ClassesTab&amp;id=http%3A%2F%2Fwho.int%2Ficd%2352305_512ebf36_bf6b_4d70_85da_cf2637062af4","iCat")</x:f>
      </x:c>
      <x:c r="M10686" s="0" t="s">
        <x:v>21</x:v>
      </x:c>
      <x:c r="N10686" s="0" t="s">
        <x:v>46</x:v>
      </x:c>
    </x:row>
    <x:row r="10687" spans="1:16">
      <x:c r="A10687" s="0" t="s">
        <x:v>42613</x:v>
      </x:c>
      <x:c r="B10687" s="0" t="s">
        <x:v>42614</x:v>
      </x:c>
      <x:c r="C10687" s="0" t="s">
        <x:v>42615</x:v>
      </x:c>
      <x:c r="E10687" s="0" t="s">
        <x:v>42616</x:v>
      </x:c>
      <x:c r="F10687" s="0" t="s">
        <x:v>45</x:v>
      </x:c>
      <x:c r="G10687" s="0" t="s">
        <x:v>19</x:v>
      </x:c>
      <x:c r="H10687" s="0" t="s">
        <x:v>20</x:v>
      </x:c>
      <x:c r="I10687" s="0" t="s">
        <x:v>21</x:v>
      </x:c>
      <x:c r="K10687" s="0">
        <x:f>hyperlink("https://icd.who.int/dev11/l-ichi/en#/http%3A%2F%2Fid.who.int%2Ficd%2Fentity%2F732471711","browser")</x:f>
      </x:c>
      <x:c r="L10687" s="0">
        <x:f>hyperlink("https://icat2.azurewebsites.net/icat/?ontology=ICD&amp;tab=ClassesTab&amp;id=http%3A%2F%2Fwho.int%2Ficd%2352312_512ebf36_bf6b_4d70_85da_cf2637062af4","iCat")</x:f>
      </x:c>
      <x:c r="M10687" s="0" t="s">
        <x:v>21</x:v>
      </x:c>
      <x:c r="N10687" s="0" t="s">
        <x:v>46</x:v>
      </x:c>
    </x:row>
    <x:row r="10688" spans="1:16">
      <x:c r="A10688" s="0" t="s">
        <x:v>42617</x:v>
      </x:c>
      <x:c r="B10688" s="0" t="s">
        <x:v>42618</x:v>
      </x:c>
      <x:c r="C10688" s="0" t="s">
        <x:v>42619</x:v>
      </x:c>
      <x:c r="E10688" s="0" t="s">
        <x:v>42620</x:v>
      </x:c>
      <x:c r="F10688" s="0" t="s">
        <x:v>45</x:v>
      </x:c>
      <x:c r="G10688" s="0" t="s">
        <x:v>19</x:v>
      </x:c>
      <x:c r="H10688" s="0" t="s">
        <x:v>20</x:v>
      </x:c>
      <x:c r="I10688" s="0" t="s">
        <x:v>21</x:v>
      </x:c>
      <x:c r="K10688" s="0">
        <x:f>hyperlink("https://icd.who.int/dev11/l-ichi/en#/http%3A%2F%2Fid.who.int%2Ficd%2Fentity%2F548192051","browser")</x:f>
      </x:c>
      <x:c r="L10688" s="0">
        <x:f>hyperlink("https://icat2.azurewebsites.net/icat/?ontology=ICD&amp;tab=ClassesTab&amp;id=http%3A%2F%2Fwho.int%2Ficd%2352319_512ebf36_bf6b_4d70_85da_cf2637062af4","iCat")</x:f>
      </x:c>
      <x:c r="M10688" s="0" t="s">
        <x:v>21</x:v>
      </x:c>
      <x:c r="N10688" s="0" t="s">
        <x:v>46</x:v>
      </x:c>
    </x:row>
    <x:row r="10689" spans="1:16">
      <x:c r="A10689" s="0" t="s">
        <x:v>42621</x:v>
      </x:c>
      <x:c r="B10689" s="0" t="s">
        <x:v>42622</x:v>
      </x:c>
      <x:c r="C10689" s="0" t="s">
        <x:v>42623</x:v>
      </x:c>
      <x:c r="E10689" s="0" t="s">
        <x:v>42624</x:v>
      </x:c>
      <x:c r="F10689" s="0" t="s">
        <x:v>45</x:v>
      </x:c>
      <x:c r="G10689" s="0" t="s">
        <x:v>19</x:v>
      </x:c>
      <x:c r="H10689" s="0" t="s">
        <x:v>20</x:v>
      </x:c>
      <x:c r="I10689" s="0" t="s">
        <x:v>21</x:v>
      </x:c>
      <x:c r="K10689" s="0">
        <x:f>hyperlink("https://icd.who.int/dev11/l-ichi/en#/http%3A%2F%2Fid.who.int%2Ficd%2Fentity%2F1579034092","browser")</x:f>
      </x:c>
      <x:c r="L10689" s="0">
        <x:f>hyperlink("https://icat2.azurewebsites.net/icat/?ontology=ICD&amp;tab=ClassesTab&amp;id=http%3A%2F%2Fwho.int%2Ficd%2352326_512ebf36_bf6b_4d70_85da_cf2637062af4","iCat")</x:f>
      </x:c>
      <x:c r="M10689" s="0" t="s">
        <x:v>21</x:v>
      </x:c>
      <x:c r="N10689" s="0" t="s">
        <x:v>46</x:v>
      </x:c>
    </x:row>
    <x:row r="10690" spans="1:16">
      <x:c r="A10690" s="0" t="s">
        <x:v>42625</x:v>
      </x:c>
      <x:c r="B10690" s="0" t="s">
        <x:v>42626</x:v>
      </x:c>
      <x:c r="C10690" s="0" t="s">
        <x:v>42627</x:v>
      </x:c>
      <x:c r="E10690" s="0" t="s">
        <x:v>42628</x:v>
      </x:c>
      <x:c r="F10690" s="0" t="s">
        <x:v>45</x:v>
      </x:c>
      <x:c r="G10690" s="0" t="s">
        <x:v>19</x:v>
      </x:c>
      <x:c r="H10690" s="0" t="s">
        <x:v>20</x:v>
      </x:c>
      <x:c r="I10690" s="0" t="s">
        <x:v>21</x:v>
      </x:c>
      <x:c r="K10690" s="0">
        <x:f>hyperlink("https://icd.who.int/dev11/l-ichi/en#/http%3A%2F%2Fid.who.int%2Ficd%2Fentity%2F556074739","browser")</x:f>
      </x:c>
      <x:c r="L10690" s="0">
        <x:f>hyperlink("https://icat2.azurewebsites.net/icat/?ontology=ICD&amp;tab=ClassesTab&amp;id=http%3A%2F%2Fwho.int%2Ficd%2352333_512ebf36_bf6b_4d70_85da_cf2637062af4","iCat")</x:f>
      </x:c>
      <x:c r="M10690" s="0" t="s">
        <x:v>21</x:v>
      </x:c>
      <x:c r="N10690" s="0" t="s">
        <x:v>46</x:v>
      </x:c>
    </x:row>
    <x:row r="10691" spans="1:16">
      <x:c r="A10691" s="0" t="s">
        <x:v>42629</x:v>
      </x:c>
      <x:c r="B10691" s="0" t="s">
        <x:v>42630</x:v>
      </x:c>
      <x:c r="C10691" s="0" t="s">
        <x:v>42631</x:v>
      </x:c>
      <x:c r="E10691" s="0" t="s">
        <x:v>42632</x:v>
      </x:c>
      <x:c r="F10691" s="0" t="s">
        <x:v>45</x:v>
      </x:c>
      <x:c r="G10691" s="0" t="s">
        <x:v>19</x:v>
      </x:c>
      <x:c r="H10691" s="0" t="s">
        <x:v>20</x:v>
      </x:c>
      <x:c r="I10691" s="0" t="s">
        <x:v>21</x:v>
      </x:c>
      <x:c r="K10691" s="0">
        <x:f>hyperlink("https://icd.who.int/dev11/l-ichi/en#/http%3A%2F%2Fid.who.int%2Ficd%2Fentity%2F1417050640","browser")</x:f>
      </x:c>
      <x:c r="L10691" s="0">
        <x:f>hyperlink("https://icat2.azurewebsites.net/icat/?ontology=ICD&amp;tab=ClassesTab&amp;id=http%3A%2F%2Fwho.int%2Ficd%2352340_512ebf36_bf6b_4d70_85da_cf2637062af4","iCat")</x:f>
      </x:c>
      <x:c r="M10691" s="0" t="s">
        <x:v>21</x:v>
      </x:c>
      <x:c r="N10691" s="0" t="s">
        <x:v>46</x:v>
      </x:c>
    </x:row>
    <x:row r="10692" spans="1:16">
      <x:c r="A10692" s="0" t="s">
        <x:v>42633</x:v>
      </x:c>
      <x:c r="B10692" s="0" t="s">
        <x:v>42634</x:v>
      </x:c>
      <x:c r="C10692" s="0" t="s">
        <x:v>42635</x:v>
      </x:c>
      <x:c r="E10692" s="0" t="s">
        <x:v>42636</x:v>
      </x:c>
      <x:c r="F10692" s="0" t="s">
        <x:v>45</x:v>
      </x:c>
      <x:c r="G10692" s="0" t="s">
        <x:v>19</x:v>
      </x:c>
      <x:c r="H10692" s="0" t="s">
        <x:v>20</x:v>
      </x:c>
      <x:c r="I10692" s="0" t="s">
        <x:v>21</x:v>
      </x:c>
      <x:c r="K10692" s="0">
        <x:f>hyperlink("https://icd.who.int/dev11/l-ichi/en#/http%3A%2F%2Fid.who.int%2Ficd%2Fentity%2F620024221","browser")</x:f>
      </x:c>
      <x:c r="L10692" s="0">
        <x:f>hyperlink("https://icat2.azurewebsites.net/icat/?ontology=ICD&amp;tab=ClassesTab&amp;id=http%3A%2F%2Fwho.int%2Ficd%2352347_512ebf36_bf6b_4d70_85da_cf2637062af4","iCat")</x:f>
      </x:c>
      <x:c r="M10692" s="0" t="s">
        <x:v>21</x:v>
      </x:c>
      <x:c r="N10692" s="0" t="s">
        <x:v>46</x:v>
      </x:c>
    </x:row>
    <x:row r="10693" spans="1:16">
      <x:c r="A10693" s="0" t="s">
        <x:v>42637</x:v>
      </x:c>
      <x:c r="B10693" s="0" t="s">
        <x:v>42638</x:v>
      </x:c>
      <x:c r="C10693" s="0" t="s">
        <x:v>42639</x:v>
      </x:c>
      <x:c r="E10693" s="0" t="s">
        <x:v>42640</x:v>
      </x:c>
      <x:c r="F10693" s="0" t="s">
        <x:v>45</x:v>
      </x:c>
      <x:c r="G10693" s="0" t="s">
        <x:v>19</x:v>
      </x:c>
      <x:c r="H10693" s="0" t="s">
        <x:v>20</x:v>
      </x:c>
      <x:c r="I10693" s="0" t="s">
        <x:v>21</x:v>
      </x:c>
      <x:c r="K10693" s="0">
        <x:f>hyperlink("https://icd.who.int/dev11/l-ichi/en#/http%3A%2F%2Fid.who.int%2Ficd%2Fentity%2F196356915","browser")</x:f>
      </x:c>
      <x:c r="L10693" s="0">
        <x:f>hyperlink("https://icat2.azurewebsites.net/icat/?ontology=ICD&amp;tab=ClassesTab&amp;id=http%3A%2F%2Fwho.int%2Ficd%2352354_512ebf36_bf6b_4d70_85da_cf2637062af4","iCat")</x:f>
      </x:c>
      <x:c r="M10693" s="0" t="s">
        <x:v>21</x:v>
      </x:c>
      <x:c r="N10693" s="0" t="s">
        <x:v>46</x:v>
      </x:c>
    </x:row>
    <x:row r="10694" spans="1:16">
      <x:c r="A10694" s="0" t="s">
        <x:v>42641</x:v>
      </x:c>
      <x:c r="B10694" s="0" t="s">
        <x:v>42642</x:v>
      </x:c>
      <x:c r="C10694" s="0" t="s">
        <x:v>42643</x:v>
      </x:c>
      <x:c r="E10694" s="0" t="s">
        <x:v>42644</x:v>
      </x:c>
      <x:c r="F10694" s="0" t="s">
        <x:v>45</x:v>
      </x:c>
      <x:c r="G10694" s="0" t="s">
        <x:v>19</x:v>
      </x:c>
      <x:c r="H10694" s="0" t="s">
        <x:v>20</x:v>
      </x:c>
      <x:c r="I10694" s="0" t="s">
        <x:v>21</x:v>
      </x:c>
      <x:c r="K10694" s="0">
        <x:f>hyperlink("https://icd.who.int/dev11/l-ichi/en#/http%3A%2F%2Fid.who.int%2Ficd%2Fentity%2F1593564540","browser")</x:f>
      </x:c>
      <x:c r="L10694" s="0">
        <x:f>hyperlink("https://icat2.azurewebsites.net/icat/?ontology=ICD&amp;tab=ClassesTab&amp;id=http%3A%2F%2Fwho.int%2Ficd%2352361_512ebf36_bf6b_4d70_85da_cf2637062af4","iCat")</x:f>
      </x:c>
      <x:c r="M10694" s="0" t="s">
        <x:v>21</x:v>
      </x:c>
      <x:c r="N10694" s="0" t="s">
        <x:v>46</x:v>
      </x:c>
    </x:row>
    <x:row r="10695" spans="1:16">
      <x:c r="A10695" s="0" t="s">
        <x:v>42645</x:v>
      </x:c>
      <x:c r="B10695" s="0" t="s">
        <x:v>42646</x:v>
      </x:c>
      <x:c r="C10695" s="0" t="s">
        <x:v>42647</x:v>
      </x:c>
      <x:c r="E10695" s="0" t="s">
        <x:v>42648</x:v>
      </x:c>
      <x:c r="F10695" s="0" t="s">
        <x:v>45</x:v>
      </x:c>
      <x:c r="G10695" s="0" t="s">
        <x:v>19</x:v>
      </x:c>
      <x:c r="H10695" s="0" t="s">
        <x:v>20</x:v>
      </x:c>
      <x:c r="I10695" s="0" t="s">
        <x:v>21</x:v>
      </x:c>
      <x:c r="K10695" s="0">
        <x:f>hyperlink("https://icd.who.int/dev11/l-ichi/en#/http%3A%2F%2Fid.who.int%2Ficd%2Fentity%2F813948437","browser")</x:f>
      </x:c>
      <x:c r="L10695" s="0">
        <x:f>hyperlink("https://icat2.azurewebsites.net/icat/?ontology=ICD&amp;tab=ClassesTab&amp;id=http%3A%2F%2Fwho.int%2Ficd%2352368_512ebf36_bf6b_4d70_85da_cf2637062af4","iCat")</x:f>
      </x:c>
      <x:c r="M10695" s="0" t="s">
        <x:v>21</x:v>
      </x:c>
      <x:c r="N10695" s="0" t="s">
        <x:v>46</x:v>
      </x:c>
    </x:row>
    <x:row r="10696" spans="1:16">
      <x:c r="A10696" s="0" t="s">
        <x:v>42649</x:v>
      </x:c>
      <x:c r="B10696" s="0" t="s">
        <x:v>42650</x:v>
      </x:c>
      <x:c r="C10696" s="0" t="s">
        <x:v>42651</x:v>
      </x:c>
      <x:c r="E10696" s="0" t="s">
        <x:v>42652</x:v>
      </x:c>
      <x:c r="F10696" s="0" t="s">
        <x:v>45</x:v>
      </x:c>
      <x:c r="G10696" s="0" t="s">
        <x:v>19</x:v>
      </x:c>
      <x:c r="H10696" s="0" t="s">
        <x:v>20</x:v>
      </x:c>
      <x:c r="I10696" s="0" t="s">
        <x:v>21</x:v>
      </x:c>
      <x:c r="K10696" s="0">
        <x:f>hyperlink("https://icd.who.int/dev11/l-ichi/en#/http%3A%2F%2Fid.who.int%2Ficd%2Fentity%2F20548703","browser")</x:f>
      </x:c>
      <x:c r="L10696" s="0">
        <x:f>hyperlink("https://icat2.azurewebsites.net/icat/?ontology=ICD&amp;tab=ClassesTab&amp;id=http%3A%2F%2Fwho.int%2Ficd%2352375_512ebf36_bf6b_4d70_85da_cf2637062af4","iCat")</x:f>
      </x:c>
      <x:c r="M10696" s="0" t="s">
        <x:v>21</x:v>
      </x:c>
      <x:c r="N10696" s="0" t="s">
        <x:v>46</x:v>
      </x:c>
    </x:row>
    <x:row r="10697" spans="1:16">
      <x:c r="A10697" s="0" t="s">
        <x:v>42653</x:v>
      </x:c>
      <x:c r="B10697" s="0" t="s">
        <x:v>42654</x:v>
      </x:c>
      <x:c r="C10697" s="0" t="s">
        <x:v>42655</x:v>
      </x:c>
      <x:c r="E10697" s="0" t="s">
        <x:v>42656</x:v>
      </x:c>
      <x:c r="F10697" s="0" t="s">
        <x:v>45</x:v>
      </x:c>
      <x:c r="G10697" s="0" t="s">
        <x:v>19</x:v>
      </x:c>
      <x:c r="H10697" s="0" t="s">
        <x:v>20</x:v>
      </x:c>
      <x:c r="I10697" s="0" t="s">
        <x:v>21</x:v>
      </x:c>
      <x:c r="K10697" s="0">
        <x:f>hyperlink("https://icd.who.int/dev11/l-ichi/en#/http%3A%2F%2Fid.who.int%2Ficd%2Fentity%2F1583115534","browser")</x:f>
      </x:c>
      <x:c r="L10697" s="0">
        <x:f>hyperlink("https://icat2.azurewebsites.net/icat/?ontology=ICD&amp;tab=ClassesTab&amp;id=http%3A%2F%2Fwho.int%2Ficd%2352382_512ebf36_bf6b_4d70_85da_cf2637062af4","iCat")</x:f>
      </x:c>
      <x:c r="M10697" s="0" t="s">
        <x:v>21</x:v>
      </x:c>
      <x:c r="N10697" s="0" t="s">
        <x:v>46</x:v>
      </x:c>
    </x:row>
    <x:row r="10698" spans="1:16">
      <x:c r="A10698" s="0" t="s">
        <x:v>42657</x:v>
      </x:c>
      <x:c r="B10698" s="0" t="s">
        <x:v>42658</x:v>
      </x:c>
      <x:c r="C10698" s="0" t="s">
        <x:v>42659</x:v>
      </x:c>
      <x:c r="E10698" s="0" t="s">
        <x:v>42660</x:v>
      </x:c>
      <x:c r="F10698" s="0" t="s">
        <x:v>45</x:v>
      </x:c>
      <x:c r="G10698" s="0" t="s">
        <x:v>19</x:v>
      </x:c>
      <x:c r="H10698" s="0" t="s">
        <x:v>20</x:v>
      </x:c>
      <x:c r="I10698" s="0" t="s">
        <x:v>21</x:v>
      </x:c>
      <x:c r="K10698" s="0">
        <x:f>hyperlink("https://icd.who.int/dev11/l-ichi/en#/http%3A%2F%2Fid.who.int%2Ficd%2Fentity%2F1374021024","browser")</x:f>
      </x:c>
      <x:c r="L10698" s="0">
        <x:f>hyperlink("https://icat2.azurewebsites.net/icat/?ontology=ICD&amp;tab=ClassesTab&amp;id=http%3A%2F%2Fwho.int%2Ficd%2352390_512ebf36_bf6b_4d70_85da_cf2637062af4","iCat")</x:f>
      </x:c>
      <x:c r="M10698" s="0" t="s">
        <x:v>21</x:v>
      </x:c>
      <x:c r="N10698" s="0" t="s">
        <x:v>46</x:v>
      </x:c>
    </x:row>
    <x:row r="10699" spans="1:16">
      <x:c r="A10699" s="0" t="s">
        <x:v>42661</x:v>
      </x:c>
      <x:c r="B10699" s="0" t="s">
        <x:v>42662</x:v>
      </x:c>
      <x:c r="C10699" s="0" t="s">
        <x:v>42663</x:v>
      </x:c>
      <x:c r="E10699" s="0" t="s">
        <x:v>42664</x:v>
      </x:c>
      <x:c r="F10699" s="0" t="s">
        <x:v>45</x:v>
      </x:c>
      <x:c r="G10699" s="0" t="s">
        <x:v>19</x:v>
      </x:c>
      <x:c r="H10699" s="0" t="s">
        <x:v>20</x:v>
      </x:c>
      <x:c r="I10699" s="0" t="s">
        <x:v>21</x:v>
      </x:c>
      <x:c r="K10699" s="0">
        <x:f>hyperlink("https://icd.who.int/dev11/l-ichi/en#/http%3A%2F%2Fid.who.int%2Ficd%2Fentity%2F560418323","browser")</x:f>
      </x:c>
      <x:c r="L10699" s="0">
        <x:f>hyperlink("https://icat2.azurewebsites.net/icat/?ontology=ICD&amp;tab=ClassesTab&amp;id=http%3A%2F%2Fwho.int%2Ficd%2352397_512ebf36_bf6b_4d70_85da_cf2637062af4","iCat")</x:f>
      </x:c>
      <x:c r="M10699" s="0" t="s">
        <x:v>21</x:v>
      </x:c>
      <x:c r="N10699" s="0" t="s">
        <x:v>46</x:v>
      </x:c>
    </x:row>
    <x:row r="10700" spans="1:16">
      <x:c r="A10700" s="0" t="s">
        <x:v>42665</x:v>
      </x:c>
      <x:c r="B10700" s="0" t="s">
        <x:v>42666</x:v>
      </x:c>
      <x:c r="C10700" s="0" t="s">
        <x:v>42667</x:v>
      </x:c>
      <x:c r="E10700" s="0" t="s">
        <x:v>42668</x:v>
      </x:c>
      <x:c r="F10700" s="0" t="s">
        <x:v>45</x:v>
      </x:c>
      <x:c r="G10700" s="0" t="s">
        <x:v>19</x:v>
      </x:c>
      <x:c r="H10700" s="0" t="s">
        <x:v>20</x:v>
      </x:c>
      <x:c r="I10700" s="0" t="s">
        <x:v>21</x:v>
      </x:c>
      <x:c r="K10700" s="0">
        <x:f>hyperlink("https://icd.who.int/dev11/l-ichi/en#/http%3A%2F%2Fid.who.int%2Ficd%2Fentity%2F2101822741","browser")</x:f>
      </x:c>
      <x:c r="L10700" s="0">
        <x:f>hyperlink("https://icat2.azurewebsites.net/icat/?ontology=ICD&amp;tab=ClassesTab&amp;id=http%3A%2F%2Fwho.int%2Ficd%2352404_512ebf36_bf6b_4d70_85da_cf2637062af4","iCat")</x:f>
      </x:c>
      <x:c r="M10700" s="0" t="s">
        <x:v>21</x:v>
      </x:c>
      <x:c r="N10700" s="0" t="s">
        <x:v>46</x:v>
      </x:c>
    </x:row>
    <x:row r="10701" spans="1:16">
      <x:c r="A10701" s="0" t="s">
        <x:v>42669</x:v>
      </x:c>
      <x:c r="B10701" s="0" t="s">
        <x:v>42670</x:v>
      </x:c>
      <x:c r="C10701" s="0" t="s">
        <x:v>42671</x:v>
      </x:c>
      <x:c r="E10701" s="0" t="s">
        <x:v>42672</x:v>
      </x:c>
      <x:c r="F10701" s="0" t="s">
        <x:v>45</x:v>
      </x:c>
      <x:c r="G10701" s="0" t="s">
        <x:v>19</x:v>
      </x:c>
      <x:c r="H10701" s="0" t="s">
        <x:v>20</x:v>
      </x:c>
      <x:c r="I10701" s="0" t="s">
        <x:v>21</x:v>
      </x:c>
      <x:c r="K10701" s="0">
        <x:f>hyperlink("https://icd.who.int/dev11/l-ichi/en#/http%3A%2F%2Fid.who.int%2Ficd%2Fentity%2F41707018","browser")</x:f>
      </x:c>
      <x:c r="L10701" s="0">
        <x:f>hyperlink("https://icat2.azurewebsites.net/icat/?ontology=ICD&amp;tab=ClassesTab&amp;id=http%3A%2F%2Fwho.int%2Ficd%2352411_512ebf36_bf6b_4d70_85da_cf2637062af4","iCat")</x:f>
      </x:c>
      <x:c r="M10701" s="0" t="s">
        <x:v>21</x:v>
      </x:c>
      <x:c r="N10701" s="0" t="s">
        <x:v>46</x:v>
      </x:c>
    </x:row>
    <x:row r="10702" spans="1:16">
      <x:c r="A10702" s="0" t="s">
        <x:v>42673</x:v>
      </x:c>
      <x:c r="B10702" s="0" t="s">
        <x:v>42674</x:v>
      </x:c>
      <x:c r="C10702" s="0" t="s">
        <x:v>42675</x:v>
      </x:c>
      <x:c r="E10702" s="0" t="s">
        <x:v>42676</x:v>
      </x:c>
      <x:c r="F10702" s="0" t="s">
        <x:v>45</x:v>
      </x:c>
      <x:c r="G10702" s="0" t="s">
        <x:v>19</x:v>
      </x:c>
      <x:c r="H10702" s="0" t="s">
        <x:v>20</x:v>
      </x:c>
      <x:c r="I10702" s="0" t="s">
        <x:v>21</x:v>
      </x:c>
      <x:c r="K10702" s="0">
        <x:f>hyperlink("https://icd.who.int/dev11/l-ichi/en#/http%3A%2F%2Fid.who.int%2Ficd%2Fentity%2F1812227427","browser")</x:f>
      </x:c>
      <x:c r="L10702" s="0">
        <x:f>hyperlink("https://icat2.azurewebsites.net/icat/?ontology=ICD&amp;tab=ClassesTab&amp;id=http%3A%2F%2Fwho.int%2Ficd%2352418_512ebf36_bf6b_4d70_85da_cf2637062af4","iCat")</x:f>
      </x:c>
      <x:c r="M10702" s="0" t="s">
        <x:v>21</x:v>
      </x:c>
      <x:c r="N10702" s="0" t="s">
        <x:v>46</x:v>
      </x:c>
    </x:row>
    <x:row r="10703" spans="1:16">
      <x:c r="A10703" s="0" t="s">
        <x:v>42677</x:v>
      </x:c>
      <x:c r="B10703" s="0" t="s">
        <x:v>42678</x:v>
      </x:c>
      <x:c r="C10703" s="0" t="s">
        <x:v>42679</x:v>
      </x:c>
      <x:c r="E10703" s="0" t="s">
        <x:v>42680</x:v>
      </x:c>
      <x:c r="F10703" s="0" t="s">
        <x:v>45</x:v>
      </x:c>
      <x:c r="G10703" s="0" t="s">
        <x:v>19</x:v>
      </x:c>
      <x:c r="H10703" s="0" t="s">
        <x:v>20</x:v>
      </x:c>
      <x:c r="I10703" s="0" t="s">
        <x:v>21</x:v>
      </x:c>
      <x:c r="K10703" s="0">
        <x:f>hyperlink("https://icd.who.int/dev11/l-ichi/en#/http%3A%2F%2Fid.who.int%2Ficd%2Fentity%2F2009784953","browser")</x:f>
      </x:c>
      <x:c r="L10703" s="0">
        <x:f>hyperlink("https://icat2.azurewebsites.net/icat/?ontology=ICD&amp;tab=ClassesTab&amp;id=http%3A%2F%2Fwho.int%2Ficd%2352425_512ebf36_bf6b_4d70_85da_cf2637062af4","iCat")</x:f>
      </x:c>
      <x:c r="M10703" s="0" t="s">
        <x:v>21</x:v>
      </x:c>
      <x:c r="N10703" s="0" t="s">
        <x:v>46</x:v>
      </x:c>
    </x:row>
    <x:row r="10704" spans="1:16">
      <x:c r="A10704" s="0" t="s">
        <x:v>42681</x:v>
      </x:c>
      <x:c r="B10704" s="0" t="s">
        <x:v>42682</x:v>
      </x:c>
      <x:c r="C10704" s="0" t="s">
        <x:v>42683</x:v>
      </x:c>
      <x:c r="E10704" s="0" t="s">
        <x:v>42684</x:v>
      </x:c>
      <x:c r="F10704" s="0" t="s">
        <x:v>45</x:v>
      </x:c>
      <x:c r="G10704" s="0" t="s">
        <x:v>19</x:v>
      </x:c>
      <x:c r="H10704" s="0" t="s">
        <x:v>20</x:v>
      </x:c>
      <x:c r="I10704" s="0" t="s">
        <x:v>21</x:v>
      </x:c>
      <x:c r="K10704" s="0">
        <x:f>hyperlink("https://icd.who.int/dev11/l-ichi/en#/http%3A%2F%2Fid.who.int%2Ficd%2Fentity%2F1838013603","browser")</x:f>
      </x:c>
      <x:c r="L10704" s="0">
        <x:f>hyperlink("https://icat2.azurewebsites.net/icat/?ontology=ICD&amp;tab=ClassesTab&amp;id=http%3A%2F%2Fwho.int%2Ficd%2352432_512ebf36_bf6b_4d70_85da_cf2637062af4","iCat")</x:f>
      </x:c>
      <x:c r="M10704" s="0" t="s">
        <x:v>21</x:v>
      </x:c>
      <x:c r="N10704" s="0" t="s">
        <x:v>46</x:v>
      </x:c>
    </x:row>
    <x:row r="10705" spans="1:16">
      <x:c r="A10705" s="0" t="s">
        <x:v>42685</x:v>
      </x:c>
      <x:c r="B10705" s="0" t="s">
        <x:v>42686</x:v>
      </x:c>
      <x:c r="C10705" s="0" t="s">
        <x:v>42687</x:v>
      </x:c>
      <x:c r="E10705" s="0" t="s">
        <x:v>42688</x:v>
      </x:c>
      <x:c r="F10705" s="0" t="s">
        <x:v>45</x:v>
      </x:c>
      <x:c r="G10705" s="0" t="s">
        <x:v>19</x:v>
      </x:c>
      <x:c r="H10705" s="0" t="s">
        <x:v>20</x:v>
      </x:c>
      <x:c r="I10705" s="0" t="s">
        <x:v>21</x:v>
      </x:c>
      <x:c r="K10705" s="0">
        <x:f>hyperlink("https://icd.who.int/dev11/l-ichi/en#/http%3A%2F%2Fid.who.int%2Ficd%2Fentity%2F1075943564","browser")</x:f>
      </x:c>
      <x:c r="L10705" s="0">
        <x:f>hyperlink("https://icat2.azurewebsites.net/icat/?ontology=ICD&amp;tab=ClassesTab&amp;id=http%3A%2F%2Fwho.int%2Ficd%235422_d85a204c_d00a_4566_a3b7_2d137a1891cf","iCat")</x:f>
      </x:c>
      <x:c r="M10705" s="0" t="s">
        <x:v>21</x:v>
      </x:c>
      <x:c r="N10705" s="0" t="s">
        <x:v>46</x:v>
      </x:c>
    </x:row>
    <x:row r="10706" spans="1:16">
      <x:c r="A10706" s="0" t="s">
        <x:v>42689</x:v>
      </x:c>
      <x:c r="B10706" s="0" t="s">
        <x:v>42690</x:v>
      </x:c>
      <x:c r="C10706" s="0" t="s">
        <x:v>42691</x:v>
      </x:c>
      <x:c r="E10706" s="0" t="s">
        <x:v>42692</x:v>
      </x:c>
      <x:c r="F10706" s="0" t="s">
        <x:v>45</x:v>
      </x:c>
      <x:c r="G10706" s="0" t="s">
        <x:v>19</x:v>
      </x:c>
      <x:c r="H10706" s="0" t="s">
        <x:v>20</x:v>
      </x:c>
      <x:c r="I10706" s="0" t="s">
        <x:v>21</x:v>
      </x:c>
      <x:c r="K10706" s="0">
        <x:f>hyperlink("https://icd.who.int/dev11/l-ichi/en#/http%3A%2F%2Fid.who.int%2Ficd%2Fentity%2F1720304143","browser")</x:f>
      </x:c>
      <x:c r="L10706" s="0">
        <x:f>hyperlink("https://icat2.azurewebsites.net/icat/?ontology=ICD&amp;tab=ClassesTab&amp;id=http%3A%2F%2Fwho.int%2Ficd%2352439_512ebf36_bf6b_4d70_85da_cf2637062af4","iCat")</x:f>
      </x:c>
      <x:c r="M10706" s="0" t="s">
        <x:v>21</x:v>
      </x:c>
      <x:c r="N10706" s="0" t="s">
        <x:v>46</x:v>
      </x:c>
    </x:row>
    <x:row r="10707" spans="1:16">
      <x:c r="A10707" s="0" t="s">
        <x:v>42693</x:v>
      </x:c>
      <x:c r="B10707" s="0" t="s">
        <x:v>42694</x:v>
      </x:c>
      <x:c r="C10707" s="0" t="s">
        <x:v>42695</x:v>
      </x:c>
      <x:c r="E10707" s="0" t="s">
        <x:v>42696</x:v>
      </x:c>
      <x:c r="F10707" s="0" t="s">
        <x:v>45</x:v>
      </x:c>
      <x:c r="G10707" s="0" t="s">
        <x:v>19</x:v>
      </x:c>
      <x:c r="H10707" s="0" t="s">
        <x:v>20</x:v>
      </x:c>
      <x:c r="I10707" s="0" t="s">
        <x:v>21</x:v>
      </x:c>
      <x:c r="K10707" s="0">
        <x:f>hyperlink("https://icd.who.int/dev11/l-ichi/en#/http%3A%2F%2Fid.who.int%2Ficd%2Fentity%2F1750862797","browser")</x:f>
      </x:c>
      <x:c r="L10707" s="0">
        <x:f>hyperlink("https://icat2.azurewebsites.net/icat/?ontology=ICD&amp;tab=ClassesTab&amp;id=http%3A%2F%2Fwho.int%2Ficd%2352446_512ebf36_bf6b_4d70_85da_cf2637062af4","iCat")</x:f>
      </x:c>
      <x:c r="M10707" s="0" t="s">
        <x:v>21</x:v>
      </x:c>
      <x:c r="N10707" s="0" t="s">
        <x:v>46</x:v>
      </x:c>
    </x:row>
    <x:row r="10708" spans="1:16">
      <x:c r="A10708" s="0" t="s">
        <x:v>42697</x:v>
      </x:c>
      <x:c r="B10708" s="0" t="s">
        <x:v>42698</x:v>
      </x:c>
      <x:c r="C10708" s="0" t="s">
        <x:v>42699</x:v>
      </x:c>
      <x:c r="E10708" s="0" t="s">
        <x:v>42700</x:v>
      </x:c>
      <x:c r="F10708" s="0" t="s">
        <x:v>45</x:v>
      </x:c>
      <x:c r="G10708" s="0" t="s">
        <x:v>19</x:v>
      </x:c>
      <x:c r="H10708" s="0" t="s">
        <x:v>20</x:v>
      </x:c>
      <x:c r="I10708" s="0" t="s">
        <x:v>21</x:v>
      </x:c>
      <x:c r="K10708" s="0">
        <x:f>hyperlink("https://icd.who.int/dev11/l-ichi/en#/http%3A%2F%2Fid.who.int%2Ficd%2Fentity%2F392636626","browser")</x:f>
      </x:c>
      <x:c r="L10708" s="0">
        <x:f>hyperlink("https://icat2.azurewebsites.net/icat/?ontology=ICD&amp;tab=ClassesTab&amp;id=http%3A%2F%2Fwho.int%2Ficd%2352453_512ebf36_bf6b_4d70_85da_cf2637062af4","iCat")</x:f>
      </x:c>
      <x:c r="M10708" s="0" t="s">
        <x:v>21</x:v>
      </x:c>
      <x:c r="N10708" s="0" t="s">
        <x:v>46</x:v>
      </x:c>
    </x:row>
    <x:row r="10709" spans="1:16">
      <x:c r="A10709" s="0" t="s">
        <x:v>42701</x:v>
      </x:c>
      <x:c r="B10709" s="0" t="s">
        <x:v>42702</x:v>
      </x:c>
      <x:c r="D10709" s="0" t="s">
        <x:v>42703</x:v>
      </x:c>
      <x:c r="E10709" s="0" t="s">
        <x:v>42704</x:v>
      </x:c>
      <x:c r="F10709" s="0" t="s">
        <x:v>26</x:v>
      </x:c>
      <x:c r="G10709" s="0" t="s">
        <x:v>35</x:v>
      </x:c>
      <x:c r="H10709" s="0" t="s">
        <x:v>20</x:v>
      </x:c>
      <x:c r="I10709" s="0" t="s">
        <x:v>21</x:v>
      </x:c>
      <x:c r="K10709" s="0">
        <x:f>hyperlink("https://icd.who.int/dev11/l-ichi/en#/http%3A%2F%2Fid.who.int%2Ficd%2Fentity%2F850031890","browser")</x:f>
      </x:c>
      <x:c r="L10709" s="0">
        <x:f>hyperlink("https://icat2.azurewebsites.net/icat/?ontology=ICD&amp;tab=ClassesTab&amp;id=http%3A%2F%2Fwho.int%2Ficd%2352461_512ebf36_bf6b_4d70_85da_cf2637062af4","iCat")</x:f>
      </x:c>
      <x:c r="M10709" s="0" t="s">
        <x:v>20</x:v>
      </x:c>
      <x:c r="N10709" s="0" t="s">
        <x:v>21740</x:v>
      </x:c>
    </x:row>
    <x:row r="10710" spans="1:16">
      <x:c r="A10710" s="0" t="s">
        <x:v>42705</x:v>
      </x:c>
      <x:c r="B10710" s="0" t="s">
        <x:v>42706</x:v>
      </x:c>
      <x:c r="C10710" s="0" t="s">
        <x:v>42707</x:v>
      </x:c>
      <x:c r="E10710" s="0" t="s">
        <x:v>42708</x:v>
      </x:c>
      <x:c r="F10710" s="0" t="s">
        <x:v>45</x:v>
      </x:c>
      <x:c r="G10710" s="0" t="s">
        <x:v>19</x:v>
      </x:c>
      <x:c r="H10710" s="0" t="s">
        <x:v>20</x:v>
      </x:c>
      <x:c r="I10710" s="0" t="s">
        <x:v>21</x:v>
      </x:c>
      <x:c r="K10710" s="0">
        <x:f>hyperlink("https://icd.who.int/dev11/l-ichi/en#/http%3A%2F%2Fid.who.int%2Ficd%2Fentity%2F307431212","browser")</x:f>
      </x:c>
      <x:c r="L10710" s="0">
        <x:f>hyperlink("https://icat2.azurewebsites.net/icat/?ontology=ICD&amp;tab=ClassesTab&amp;id=http%3A%2F%2Fwho.int%2Ficd%2352460_512ebf36_bf6b_4d70_85da_cf2637062af4","iCat")</x:f>
      </x:c>
      <x:c r="M10710" s="0" t="s">
        <x:v>21</x:v>
      </x:c>
      <x:c r="N10710" s="0" t="s">
        <x:v>46</x:v>
      </x:c>
    </x:row>
    <x:row r="10711" spans="1:16">
      <x:c r="A10711" s="0" t="s">
        <x:v>42709</x:v>
      </x:c>
      <x:c r="B10711" s="0" t="s">
        <x:v>42710</x:v>
      </x:c>
      <x:c r="C10711" s="0" t="s">
        <x:v>42711</x:v>
      </x:c>
      <x:c r="E10711" s="0" t="s">
        <x:v>42712</x:v>
      </x:c>
      <x:c r="F10711" s="0" t="s">
        <x:v>45</x:v>
      </x:c>
      <x:c r="G10711" s="0" t="s">
        <x:v>19</x:v>
      </x:c>
      <x:c r="H10711" s="0" t="s">
        <x:v>20</x:v>
      </x:c>
      <x:c r="I10711" s="0" t="s">
        <x:v>21</x:v>
      </x:c>
      <x:c r="K10711" s="0">
        <x:f>hyperlink("https://icd.who.int/dev11/l-ichi/en#/http%3A%2F%2Fid.who.int%2Ficd%2Fentity%2F1024720260","browser")</x:f>
      </x:c>
      <x:c r="L10711" s="0">
        <x:f>hyperlink("https://icat2.azurewebsites.net/icat/?ontology=ICD&amp;tab=ClassesTab&amp;id=http%3A%2F%2Fwho.int%2Ficd%2352473_512ebf36_bf6b_4d70_85da_cf2637062af4","iCat")</x:f>
      </x:c>
      <x:c r="M10711" s="0" t="s">
        <x:v>21</x:v>
      </x:c>
      <x:c r="N10711" s="0" t="s">
        <x:v>46</x:v>
      </x:c>
    </x:row>
    <x:row r="10712" spans="1:16">
      <x:c r="A10712" s="0" t="s">
        <x:v>42713</x:v>
      </x:c>
      <x:c r="B10712" s="0" t="s">
        <x:v>42714</x:v>
      </x:c>
      <x:c r="C10712" s="0" t="s">
        <x:v>42715</x:v>
      </x:c>
      <x:c r="E10712" s="0" t="s">
        <x:v>42716</x:v>
      </x:c>
      <x:c r="F10712" s="0" t="s">
        <x:v>45</x:v>
      </x:c>
      <x:c r="G10712" s="0" t="s">
        <x:v>19</x:v>
      </x:c>
      <x:c r="H10712" s="0" t="s">
        <x:v>20</x:v>
      </x:c>
      <x:c r="I10712" s="0" t="s">
        <x:v>21</x:v>
      </x:c>
      <x:c r="K10712" s="0">
        <x:f>hyperlink("https://icd.who.int/dev11/l-ichi/en#/http%3A%2F%2Fid.who.int%2Ficd%2Fentity%2F1467078821","browser")</x:f>
      </x:c>
      <x:c r="L10712" s="0">
        <x:f>hyperlink("https://icat2.azurewebsites.net/icat/?ontology=ICD&amp;tab=ClassesTab&amp;id=http%3A%2F%2Fwho.int%2Ficd%2352480_512ebf36_bf6b_4d70_85da_cf2637062af4","iCat")</x:f>
      </x:c>
      <x:c r="M10712" s="0" t="s">
        <x:v>21</x:v>
      </x:c>
      <x:c r="N10712" s="0" t="s">
        <x:v>46</x:v>
      </x:c>
    </x:row>
    <x:row r="10713" spans="1:16">
      <x:c r="A10713" s="0" t="s">
        <x:v>42717</x:v>
      </x:c>
      <x:c r="B10713" s="0" t="s">
        <x:v>42718</x:v>
      </x:c>
      <x:c r="C10713" s="0" t="s">
        <x:v>42719</x:v>
      </x:c>
      <x:c r="E10713" s="0" t="s">
        <x:v>42720</x:v>
      </x:c>
      <x:c r="F10713" s="0" t="s">
        <x:v>45</x:v>
      </x:c>
      <x:c r="G10713" s="0" t="s">
        <x:v>19</x:v>
      </x:c>
      <x:c r="H10713" s="0" t="s">
        <x:v>20</x:v>
      </x:c>
      <x:c r="I10713" s="0" t="s">
        <x:v>21</x:v>
      </x:c>
      <x:c r="K10713" s="0">
        <x:f>hyperlink("https://icd.who.int/dev11/l-ichi/en#/http%3A%2F%2Fid.who.int%2Ficd%2Fentity%2F670266152","browser")</x:f>
      </x:c>
      <x:c r="L10713" s="0">
        <x:f>hyperlink("https://icat2.azurewebsites.net/icat/?ontology=ICD&amp;tab=ClassesTab&amp;id=http%3A%2F%2Fwho.int%2Ficd%2352487_512ebf36_bf6b_4d70_85da_cf2637062af4","iCat")</x:f>
      </x:c>
      <x:c r="M10713" s="0" t="s">
        <x:v>21</x:v>
      </x:c>
      <x:c r="N10713" s="0" t="s">
        <x:v>46</x:v>
      </x:c>
    </x:row>
    <x:row r="10714" spans="1:16">
      <x:c r="A10714" s="0" t="s">
        <x:v>42721</x:v>
      </x:c>
      <x:c r="B10714" s="0" t="s">
        <x:v>42722</x:v>
      </x:c>
      <x:c r="C10714" s="0" t="s">
        <x:v>42723</x:v>
      </x:c>
      <x:c r="E10714" s="0" t="s">
        <x:v>42724</x:v>
      </x:c>
      <x:c r="F10714" s="0" t="s">
        <x:v>45</x:v>
      </x:c>
      <x:c r="G10714" s="0" t="s">
        <x:v>19</x:v>
      </x:c>
      <x:c r="H10714" s="0" t="s">
        <x:v>20</x:v>
      </x:c>
      <x:c r="I10714" s="0" t="s">
        <x:v>21</x:v>
      </x:c>
      <x:c r="K10714" s="0">
        <x:f>hyperlink("https://icd.who.int/dev11/l-ichi/en#/http%3A%2F%2Fid.who.int%2Ficd%2Fentity%2F145983880","browser")</x:f>
      </x:c>
      <x:c r="L10714" s="0">
        <x:f>hyperlink("https://icat2.azurewebsites.net/icat/?ontology=ICD&amp;tab=ClassesTab&amp;id=http%3A%2F%2Fwho.int%2Ficd%2352494_512ebf36_bf6b_4d70_85da_cf2637062af4","iCat")</x:f>
      </x:c>
      <x:c r="M10714" s="0" t="s">
        <x:v>21</x:v>
      </x:c>
      <x:c r="N10714" s="0" t="s">
        <x:v>46</x:v>
      </x:c>
    </x:row>
    <x:row r="10715" spans="1:16">
      <x:c r="A10715" s="0" t="s">
        <x:v>42725</x:v>
      </x:c>
      <x:c r="B10715" s="0" t="s">
        <x:v>42726</x:v>
      </x:c>
      <x:c r="C10715" s="0" t="s">
        <x:v>42727</x:v>
      </x:c>
      <x:c r="E10715" s="0" t="s">
        <x:v>42728</x:v>
      </x:c>
      <x:c r="F10715" s="0" t="s">
        <x:v>45</x:v>
      </x:c>
      <x:c r="G10715" s="0" t="s">
        <x:v>19</x:v>
      </x:c>
      <x:c r="H10715" s="0" t="s">
        <x:v>20</x:v>
      </x:c>
      <x:c r="I10715" s="0" t="s">
        <x:v>21</x:v>
      </x:c>
      <x:c r="K10715" s="0">
        <x:f>hyperlink("https://icd.who.int/dev11/l-ichi/en#/http%3A%2F%2Fid.who.int%2Ficd%2Fentity%2F489043392","browser")</x:f>
      </x:c>
      <x:c r="L10715" s="0">
        <x:f>hyperlink("https://icat2.azurewebsites.net/icat/?ontology=ICD&amp;tab=ClassesTab&amp;id=http%3A%2F%2Fwho.int%2Ficd%2352501_512ebf36_bf6b_4d70_85da_cf2637062af4","iCat")</x:f>
      </x:c>
      <x:c r="M10715" s="0" t="s">
        <x:v>21</x:v>
      </x:c>
      <x:c r="N10715" s="0" t="s">
        <x:v>46</x:v>
      </x:c>
    </x:row>
    <x:row r="10716" spans="1:16">
      <x:c r="A10716" s="0" t="s">
        <x:v>42729</x:v>
      </x:c>
      <x:c r="B10716" s="0" t="s">
        <x:v>42730</x:v>
      </x:c>
      <x:c r="C10716" s="0" t="s">
        <x:v>42731</x:v>
      </x:c>
      <x:c r="E10716" s="0" t="s">
        <x:v>42732</x:v>
      </x:c>
      <x:c r="F10716" s="0" t="s">
        <x:v>45</x:v>
      </x:c>
      <x:c r="G10716" s="0" t="s">
        <x:v>19</x:v>
      </x:c>
      <x:c r="H10716" s="0" t="s">
        <x:v>20</x:v>
      </x:c>
      <x:c r="I10716" s="0" t="s">
        <x:v>21</x:v>
      </x:c>
      <x:c r="K10716" s="0">
        <x:f>hyperlink("https://icd.who.int/dev11/l-ichi/en#/http%3A%2F%2Fid.who.int%2Ficd%2Fentity%2F1935554217","browser")</x:f>
      </x:c>
      <x:c r="L10716" s="0">
        <x:f>hyperlink("https://icat2.azurewebsites.net/icat/?ontology=ICD&amp;tab=ClassesTab&amp;id=http%3A%2F%2Fwho.int%2Ficd%2352508_512ebf36_bf6b_4d70_85da_cf2637062af4","iCat")</x:f>
      </x:c>
      <x:c r="M10716" s="0" t="s">
        <x:v>21</x:v>
      </x:c>
      <x:c r="N10716" s="0" t="s">
        <x:v>46</x:v>
      </x:c>
    </x:row>
    <x:row r="10717" spans="1:16">
      <x:c r="A10717" s="0" t="s">
        <x:v>42733</x:v>
      </x:c>
      <x:c r="B10717" s="0" t="s">
        <x:v>42734</x:v>
      </x:c>
      <x:c r="C10717" s="0" t="s">
        <x:v>42735</x:v>
      </x:c>
      <x:c r="E10717" s="0" t="s">
        <x:v>42736</x:v>
      </x:c>
      <x:c r="F10717" s="0" t="s">
        <x:v>45</x:v>
      </x:c>
      <x:c r="G10717" s="0" t="s">
        <x:v>19</x:v>
      </x:c>
      <x:c r="H10717" s="0" t="s">
        <x:v>20</x:v>
      </x:c>
      <x:c r="I10717" s="0" t="s">
        <x:v>21</x:v>
      </x:c>
      <x:c r="K10717" s="0">
        <x:f>hyperlink("https://icd.who.int/dev11/l-ichi/en#/http%3A%2F%2Fid.who.int%2Ficd%2Fentity%2F1122264291","browser")</x:f>
      </x:c>
      <x:c r="L10717" s="0">
        <x:f>hyperlink("https://icat2.azurewebsites.net/icat/?ontology=ICD&amp;tab=ClassesTab&amp;id=http%3A%2F%2Fwho.int%2Ficd%2352515_512ebf36_bf6b_4d70_85da_cf2637062af4","iCat")</x:f>
      </x:c>
      <x:c r="M10717" s="0" t="s">
        <x:v>21</x:v>
      </x:c>
      <x:c r="N10717" s="0" t="s">
        <x:v>46</x:v>
      </x:c>
    </x:row>
    <x:row r="10718" spans="1:16">
      <x:c r="A10718" s="0" t="s">
        <x:v>42737</x:v>
      </x:c>
      <x:c r="B10718" s="0" t="s">
        <x:v>42738</x:v>
      </x:c>
      <x:c r="C10718" s="0" t="s">
        <x:v>42739</x:v>
      </x:c>
      <x:c r="E10718" s="0" t="s">
        <x:v>42740</x:v>
      </x:c>
      <x:c r="F10718" s="0" t="s">
        <x:v>45</x:v>
      </x:c>
      <x:c r="G10718" s="0" t="s">
        <x:v>19</x:v>
      </x:c>
      <x:c r="H10718" s="0" t="s">
        <x:v>20</x:v>
      </x:c>
      <x:c r="I10718" s="0" t="s">
        <x:v>21</x:v>
      </x:c>
      <x:c r="K10718" s="0">
        <x:f>hyperlink("https://icd.who.int/dev11/l-ichi/en#/http%3A%2F%2Fid.who.int%2Ficd%2Fentity%2F1926729577","browser")</x:f>
      </x:c>
      <x:c r="L10718" s="0">
        <x:f>hyperlink("https://icat2.azurewebsites.net/icat/?ontology=ICD&amp;tab=ClassesTab&amp;id=http%3A%2F%2Fwho.int%2Ficd%2352522_512ebf36_bf6b_4d70_85da_cf2637062af4","iCat")</x:f>
      </x:c>
      <x:c r="M10718" s="0" t="s">
        <x:v>21</x:v>
      </x:c>
      <x:c r="N10718" s="0" t="s">
        <x:v>46</x:v>
      </x:c>
    </x:row>
    <x:row r="10719" spans="1:16">
      <x:c r="A10719" s="0" t="s">
        <x:v>42741</x:v>
      </x:c>
      <x:c r="B10719" s="0" t="s">
        <x:v>42742</x:v>
      </x:c>
      <x:c r="C10719" s="0" t="s">
        <x:v>42743</x:v>
      </x:c>
      <x:c r="E10719" s="0" t="s">
        <x:v>42744</x:v>
      </x:c>
      <x:c r="F10719" s="0" t="s">
        <x:v>45</x:v>
      </x:c>
      <x:c r="G10719" s="0" t="s">
        <x:v>19</x:v>
      </x:c>
      <x:c r="H10719" s="0" t="s">
        <x:v>20</x:v>
      </x:c>
      <x:c r="I10719" s="0" t="s">
        <x:v>21</x:v>
      </x:c>
      <x:c r="K10719" s="0">
        <x:f>hyperlink("https://icd.who.int/dev11/l-ichi/en#/http%3A%2F%2Fid.who.int%2Ficd%2Fentity%2F2043908549","browser")</x:f>
      </x:c>
      <x:c r="L10719" s="0">
        <x:f>hyperlink("https://icat2.azurewebsites.net/icat/?ontology=ICD&amp;tab=ClassesTab&amp;id=http%3A%2F%2Fwho.int%2Ficd%2352529_512ebf36_bf6b_4d70_85da_cf2637062af4","iCat")</x:f>
      </x:c>
      <x:c r="M10719" s="0" t="s">
        <x:v>21</x:v>
      </x:c>
      <x:c r="N10719" s="0" t="s">
        <x:v>46</x:v>
      </x:c>
    </x:row>
    <x:row r="10720" spans="1:16">
      <x:c r="A10720" s="0" t="s">
        <x:v>42745</x:v>
      </x:c>
      <x:c r="B10720" s="0" t="s">
        <x:v>42746</x:v>
      </x:c>
      <x:c r="C10720" s="0" t="s">
        <x:v>42747</x:v>
      </x:c>
      <x:c r="E10720" s="0" t="s">
        <x:v>42748</x:v>
      </x:c>
      <x:c r="F10720" s="0" t="s">
        <x:v>45</x:v>
      </x:c>
      <x:c r="G10720" s="0" t="s">
        <x:v>19</x:v>
      </x:c>
      <x:c r="H10720" s="0" t="s">
        <x:v>20</x:v>
      </x:c>
      <x:c r="I10720" s="0" t="s">
        <x:v>21</x:v>
      </x:c>
      <x:c r="K10720" s="0">
        <x:f>hyperlink("https://icd.who.int/dev11/l-ichi/en#/http%3A%2F%2Fid.who.int%2Ficd%2Fentity%2F1809642524","browser")</x:f>
      </x:c>
      <x:c r="L10720" s="0">
        <x:f>hyperlink("https://icat2.azurewebsites.net/icat/?ontology=ICD&amp;tab=ClassesTab&amp;id=http%3A%2F%2Fwho.int%2Ficd%235428_d85a204c_d00a_4566_a3b7_2d137a1891cf","iCat")</x:f>
      </x:c>
      <x:c r="M10720" s="0" t="s">
        <x:v>21</x:v>
      </x:c>
      <x:c r="N10720" s="0" t="s">
        <x:v>46</x:v>
      </x:c>
    </x:row>
    <x:row r="10721" spans="1:16">
      <x:c r="A10721" s="0" t="s">
        <x:v>42749</x:v>
      </x:c>
      <x:c r="B10721" s="0" t="s">
        <x:v>42750</x:v>
      </x:c>
      <x:c r="C10721" s="0" t="s">
        <x:v>42751</x:v>
      </x:c>
      <x:c r="E10721" s="0" t="s">
        <x:v>42752</x:v>
      </x:c>
      <x:c r="F10721" s="0" t="s">
        <x:v>45</x:v>
      </x:c>
      <x:c r="G10721" s="0" t="s">
        <x:v>19</x:v>
      </x:c>
      <x:c r="H10721" s="0" t="s">
        <x:v>20</x:v>
      </x:c>
      <x:c r="I10721" s="0" t="s">
        <x:v>21</x:v>
      </x:c>
      <x:c r="K10721" s="0">
        <x:f>hyperlink("https://icd.who.int/dev11/l-ichi/en#/http%3A%2F%2Fid.who.int%2Ficd%2Fentity%2F756407884","browser")</x:f>
      </x:c>
      <x:c r="L10721" s="0">
        <x:f>hyperlink("https://icat2.azurewebsites.net/icat/?ontology=ICD&amp;tab=ClassesTab&amp;id=http%3A%2F%2Fwho.int%2Ficd%2352536_512ebf36_bf6b_4d70_85da_cf2637062af4","iCat")</x:f>
      </x:c>
      <x:c r="M10721" s="0" t="s">
        <x:v>21</x:v>
      </x:c>
      <x:c r="N10721" s="0" t="s">
        <x:v>46</x:v>
      </x:c>
    </x:row>
    <x:row r="10722" spans="1:16">
      <x:c r="A10722" s="0" t="s">
        <x:v>42753</x:v>
      </x:c>
      <x:c r="B10722" s="0" t="s">
        <x:v>42754</x:v>
      </x:c>
      <x:c r="C10722" s="0" t="s">
        <x:v>42755</x:v>
      </x:c>
      <x:c r="E10722" s="0" t="s">
        <x:v>42756</x:v>
      </x:c>
      <x:c r="F10722" s="0" t="s">
        <x:v>45</x:v>
      </x:c>
      <x:c r="G10722" s="0" t="s">
        <x:v>19</x:v>
      </x:c>
      <x:c r="H10722" s="0" t="s">
        <x:v>20</x:v>
      </x:c>
      <x:c r="I10722" s="0" t="s">
        <x:v>21</x:v>
      </x:c>
      <x:c r="K10722" s="0">
        <x:f>hyperlink("https://icd.who.int/dev11/l-ichi/en#/http%3A%2F%2Fid.who.int%2Ficd%2Fentity%2F138246936","browser")</x:f>
      </x:c>
      <x:c r="L10722" s="0">
        <x:f>hyperlink("https://icat2.azurewebsites.net/icat/?ontology=ICD&amp;tab=ClassesTab&amp;id=http%3A%2F%2Fwho.int%2Ficd%2352543_512ebf36_bf6b_4d70_85da_cf2637062af4","iCat")</x:f>
      </x:c>
      <x:c r="M10722" s="0" t="s">
        <x:v>21</x:v>
      </x:c>
      <x:c r="N10722" s="0" t="s">
        <x:v>46</x:v>
      </x:c>
    </x:row>
    <x:row r="10723" spans="1:16">
      <x:c r="A10723" s="0" t="s">
        <x:v>42757</x:v>
      </x:c>
      <x:c r="B10723" s="0" t="s">
        <x:v>42758</x:v>
      </x:c>
      <x:c r="C10723" s="0" t="s">
        <x:v>42759</x:v>
      </x:c>
      <x:c r="E10723" s="0" t="s">
        <x:v>42760</x:v>
      </x:c>
      <x:c r="F10723" s="0" t="s">
        <x:v>45</x:v>
      </x:c>
      <x:c r="G10723" s="0" t="s">
        <x:v>19</x:v>
      </x:c>
      <x:c r="H10723" s="0" t="s">
        <x:v>20</x:v>
      </x:c>
      <x:c r="I10723" s="0" t="s">
        <x:v>21</x:v>
      </x:c>
      <x:c r="K10723" s="0">
        <x:f>hyperlink("https://icd.who.int/dev11/l-ichi/en#/http%3A%2F%2Fid.who.int%2Ficd%2Fentity%2F662536632","browser")</x:f>
      </x:c>
      <x:c r="L10723" s="0">
        <x:f>hyperlink("https://icat2.azurewebsites.net/icat/?ontology=ICD&amp;tab=ClassesTab&amp;id=http%3A%2F%2Fwho.int%2Ficd%2352550_512ebf36_bf6b_4d70_85da_cf2637062af4","iCat")</x:f>
      </x:c>
      <x:c r="M10723" s="0" t="s">
        <x:v>21</x:v>
      </x:c>
      <x:c r="N10723" s="0" t="s">
        <x:v>46</x:v>
      </x:c>
    </x:row>
    <x:row r="10724" spans="1:16">
      <x:c r="A10724" s="0" t="s">
        <x:v>42761</x:v>
      </x:c>
      <x:c r="B10724" s="0" t="s">
        <x:v>42762</x:v>
      </x:c>
      <x:c r="C10724" s="0" t="s">
        <x:v>42763</x:v>
      </x:c>
      <x:c r="E10724" s="0" t="s">
        <x:v>42764</x:v>
      </x:c>
      <x:c r="F10724" s="0" t="s">
        <x:v>45</x:v>
      </x:c>
      <x:c r="G10724" s="0" t="s">
        <x:v>19</x:v>
      </x:c>
      <x:c r="H10724" s="0" t="s">
        <x:v>20</x:v>
      </x:c>
      <x:c r="I10724" s="0" t="s">
        <x:v>21</x:v>
      </x:c>
      <x:c r="K10724" s="0">
        <x:f>hyperlink("https://icd.who.int/dev11/l-ichi/en#/http%3A%2F%2Fid.who.int%2Ficd%2Fentity%2F1476340283","browser")</x:f>
      </x:c>
      <x:c r="L10724" s="0">
        <x:f>hyperlink("https://icat2.azurewebsites.net/icat/?ontology=ICD&amp;tab=ClassesTab&amp;id=http%3A%2F%2Fwho.int%2Ficd%2352557_512ebf36_bf6b_4d70_85da_cf2637062af4","iCat")</x:f>
      </x:c>
      <x:c r="M10724" s="0" t="s">
        <x:v>21</x:v>
      </x:c>
      <x:c r="N10724" s="0" t="s">
        <x:v>46</x:v>
      </x:c>
    </x:row>
    <x:row r="10725" spans="1:16">
      <x:c r="A10725" s="0" t="s">
        <x:v>42765</x:v>
      </x:c>
      <x:c r="B10725" s="0" t="s">
        <x:v>42766</x:v>
      </x:c>
      <x:c r="C10725" s="0" t="s">
        <x:v>42767</x:v>
      </x:c>
      <x:c r="E10725" s="0" t="s">
        <x:v>42768</x:v>
      </x:c>
      <x:c r="F10725" s="0" t="s">
        <x:v>45</x:v>
      </x:c>
      <x:c r="G10725" s="0" t="s">
        <x:v>19</x:v>
      </x:c>
      <x:c r="H10725" s="0" t="s">
        <x:v>20</x:v>
      </x:c>
      <x:c r="I10725" s="0" t="s">
        <x:v>21</x:v>
      </x:c>
      <x:c r="K10725" s="0">
        <x:f>hyperlink("https://icd.who.int/dev11/l-ichi/en#/http%3A%2F%2Fid.who.int%2Ficd%2Fentity%2F1389036997","browser")</x:f>
      </x:c>
      <x:c r="L10725" s="0">
        <x:f>hyperlink("https://icat2.azurewebsites.net/icat/?ontology=ICD&amp;tab=ClassesTab&amp;id=http%3A%2F%2Fwho.int%2Ficd%2352564_512ebf36_bf6b_4d70_85da_cf2637062af4","iCat")</x:f>
      </x:c>
      <x:c r="M10725" s="0" t="s">
        <x:v>21</x:v>
      </x:c>
      <x:c r="N10725" s="0" t="s">
        <x:v>46</x:v>
      </x:c>
    </x:row>
    <x:row r="10726" spans="1:16">
      <x:c r="A10726" s="0" t="s">
        <x:v>42769</x:v>
      </x:c>
      <x:c r="B10726" s="0" t="s">
        <x:v>42770</x:v>
      </x:c>
      <x:c r="C10726" s="0" t="s">
        <x:v>42771</x:v>
      </x:c>
      <x:c r="E10726" s="0" t="s">
        <x:v>42772</x:v>
      </x:c>
      <x:c r="F10726" s="0" t="s">
        <x:v>45</x:v>
      </x:c>
      <x:c r="G10726" s="0" t="s">
        <x:v>19</x:v>
      </x:c>
      <x:c r="H10726" s="0" t="s">
        <x:v>20</x:v>
      </x:c>
      <x:c r="I10726" s="0" t="s">
        <x:v>21</x:v>
      </x:c>
      <x:c r="K10726" s="0">
        <x:f>hyperlink("https://icd.who.int/dev11/l-ichi/en#/http%3A%2F%2Fid.who.int%2Ficd%2Fentity%2F770713308","browser")</x:f>
      </x:c>
      <x:c r="L10726" s="0">
        <x:f>hyperlink("https://icat2.azurewebsites.net/icat/?ontology=ICD&amp;tab=ClassesTab&amp;id=http%3A%2F%2Fwho.int%2Ficd%2352571_512ebf36_bf6b_4d70_85da_cf2637062af4","iCat")</x:f>
      </x:c>
      <x:c r="M10726" s="0" t="s">
        <x:v>21</x:v>
      </x:c>
      <x:c r="N10726" s="0" t="s">
        <x:v>46</x:v>
      </x:c>
    </x:row>
    <x:row r="10727" spans="1:16">
      <x:c r="A10727" s="0" t="s">
        <x:v>42773</x:v>
      </x:c>
      <x:c r="B10727" s="0" t="s">
        <x:v>42774</x:v>
      </x:c>
      <x:c r="C10727" s="0" t="s">
        <x:v>42775</x:v>
      </x:c>
      <x:c r="E10727" s="0" t="s">
        <x:v>42776</x:v>
      </x:c>
      <x:c r="F10727" s="0" t="s">
        <x:v>45</x:v>
      </x:c>
      <x:c r="G10727" s="0" t="s">
        <x:v>19</x:v>
      </x:c>
      <x:c r="H10727" s="0" t="s">
        <x:v>20</x:v>
      </x:c>
      <x:c r="I10727" s="0" t="s">
        <x:v>21</x:v>
      </x:c>
      <x:c r="K10727" s="0">
        <x:f>hyperlink("https://icd.who.int/dev11/l-ichi/en#/http%3A%2F%2Fid.who.int%2Ficd%2Fentity%2F1132996019","browser")</x:f>
      </x:c>
      <x:c r="L10727" s="0">
        <x:f>hyperlink("https://icat2.azurewebsites.net/icat/?ontology=ICD&amp;tab=ClassesTab&amp;id=http%3A%2F%2Fwho.int%2Ficd%2352578_512ebf36_bf6b_4d70_85da_cf2637062af4","iCat")</x:f>
      </x:c>
      <x:c r="M10727" s="0" t="s">
        <x:v>21</x:v>
      </x:c>
      <x:c r="N10727" s="0" t="s">
        <x:v>46</x:v>
      </x:c>
    </x:row>
    <x:row r="10728" spans="1:16">
      <x:c r="A10728" s="0" t="s">
        <x:v>42777</x:v>
      </x:c>
      <x:c r="B10728" s="0" t="s">
        <x:v>42778</x:v>
      </x:c>
      <x:c r="C10728" s="0" t="s">
        <x:v>42779</x:v>
      </x:c>
      <x:c r="E10728" s="0" t="s">
        <x:v>42780</x:v>
      </x:c>
      <x:c r="F10728" s="0" t="s">
        <x:v>45</x:v>
      </x:c>
      <x:c r="G10728" s="0" t="s">
        <x:v>19</x:v>
      </x:c>
      <x:c r="H10728" s="0" t="s">
        <x:v>20</x:v>
      </x:c>
      <x:c r="I10728" s="0" t="s">
        <x:v>21</x:v>
      </x:c>
      <x:c r="K10728" s="0">
        <x:f>hyperlink("https://icd.who.int/dev11/l-ichi/en#/http%3A%2F%2Fid.who.int%2Ficd%2Fentity%2F923838576","browser")</x:f>
      </x:c>
      <x:c r="L10728" s="0">
        <x:f>hyperlink("https://icat2.azurewebsites.net/icat/?ontology=ICD&amp;tab=ClassesTab&amp;id=http%3A%2F%2Fwho.int%2Ficd%2352585_512ebf36_bf6b_4d70_85da_cf2637062af4","iCat")</x:f>
      </x:c>
      <x:c r="M10728" s="0" t="s">
        <x:v>21</x:v>
      </x:c>
      <x:c r="N10728" s="0" t="s">
        <x:v>46</x:v>
      </x:c>
    </x:row>
    <x:row r="10729" spans="1:16">
      <x:c r="A10729" s="0" t="s">
        <x:v>42781</x:v>
      </x:c>
      <x:c r="B10729" s="0" t="s">
        <x:v>42782</x:v>
      </x:c>
      <x:c r="C10729" s="0" t="s">
        <x:v>42783</x:v>
      </x:c>
      <x:c r="E10729" s="0" t="s">
        <x:v>42784</x:v>
      </x:c>
      <x:c r="F10729" s="0" t="s">
        <x:v>45</x:v>
      </x:c>
      <x:c r="G10729" s="0" t="s">
        <x:v>19</x:v>
      </x:c>
      <x:c r="H10729" s="0" t="s">
        <x:v>20</x:v>
      </x:c>
      <x:c r="I10729" s="0" t="s">
        <x:v>21</x:v>
      </x:c>
      <x:c r="K10729" s="0">
        <x:f>hyperlink("https://icd.who.int/dev11/l-ichi/en#/http%3A%2F%2Fid.who.int%2Ficd%2Fentity%2F760714922","browser")</x:f>
      </x:c>
      <x:c r="L10729" s="0">
        <x:f>hyperlink("https://icat2.azurewebsites.net/icat/?ontology=ICD&amp;tab=ClassesTab&amp;id=http%3A%2F%2Fwho.int%2Ficd%2352592_512ebf36_bf6b_4d70_85da_cf2637062af4","iCat")</x:f>
      </x:c>
      <x:c r="M10729" s="0" t="s">
        <x:v>21</x:v>
      </x:c>
      <x:c r="N10729" s="0" t="s">
        <x:v>46</x:v>
      </x:c>
    </x:row>
    <x:row r="10730" spans="1:16">
      <x:c r="A10730" s="0" t="s">
        <x:v>42785</x:v>
      </x:c>
      <x:c r="B10730" s="0" t="s">
        <x:v>42786</x:v>
      </x:c>
      <x:c r="C10730" s="0" t="s">
        <x:v>42787</x:v>
      </x:c>
      <x:c r="E10730" s="0" t="s">
        <x:v>42788</x:v>
      </x:c>
      <x:c r="F10730" s="0" t="s">
        <x:v>45</x:v>
      </x:c>
      <x:c r="G10730" s="0" t="s">
        <x:v>19</x:v>
      </x:c>
      <x:c r="H10730" s="0" t="s">
        <x:v>20</x:v>
      </x:c>
      <x:c r="I10730" s="0" t="s">
        <x:v>21</x:v>
      </x:c>
      <x:c r="K10730" s="0">
        <x:f>hyperlink("https://icd.who.int/dev11/l-ichi/en#/http%3A%2F%2Fid.who.int%2Ficd%2Fentity%2F643008520","browser")</x:f>
      </x:c>
      <x:c r="L10730" s="0">
        <x:f>hyperlink("https://icat2.azurewebsites.net/icat/?ontology=ICD&amp;tab=ClassesTab&amp;id=http%3A%2F%2Fwho.int%2Ficd%2352599_512ebf36_bf6b_4d70_85da_cf2637062af4","iCat")</x:f>
      </x:c>
      <x:c r="M10730" s="0" t="s">
        <x:v>21</x:v>
      </x:c>
      <x:c r="N10730" s="0" t="s">
        <x:v>46</x:v>
      </x:c>
    </x:row>
    <x:row r="10731" spans="1:16">
      <x:c r="A10731" s="0" t="s">
        <x:v>42789</x:v>
      </x:c>
      <x:c r="B10731" s="0" t="s">
        <x:v>42790</x:v>
      </x:c>
      <x:c r="C10731" s="0" t="s">
        <x:v>42791</x:v>
      </x:c>
      <x:c r="E10731" s="0" t="s">
        <x:v>42792</x:v>
      </x:c>
      <x:c r="F10731" s="0" t="s">
        <x:v>45</x:v>
      </x:c>
      <x:c r="G10731" s="0" t="s">
        <x:v>19</x:v>
      </x:c>
      <x:c r="H10731" s="0" t="s">
        <x:v>20</x:v>
      </x:c>
      <x:c r="I10731" s="0" t="s">
        <x:v>21</x:v>
      </x:c>
      <x:c r="K10731" s="0">
        <x:f>hyperlink("https://icd.who.int/dev11/l-ichi/en#/http%3A%2F%2Fid.who.int%2Ficd%2Fentity%2F738351144","browser")</x:f>
      </x:c>
      <x:c r="L10731" s="0">
        <x:f>hyperlink("https://icat2.azurewebsites.net/icat/?ontology=ICD&amp;tab=ClassesTab&amp;id=http%3A%2F%2Fwho.int%2Ficd%2352607_512ebf36_bf6b_4d70_85da_cf2637062af4","iCat")</x:f>
      </x:c>
      <x:c r="M10731" s="0" t="s">
        <x:v>21</x:v>
      </x:c>
      <x:c r="N10731" s="0" t="s">
        <x:v>46</x:v>
      </x:c>
    </x:row>
    <x:row r="10732" spans="1:16">
      <x:c r="A10732" s="0" t="s">
        <x:v>42793</x:v>
      </x:c>
      <x:c r="B10732" s="0" t="s">
        <x:v>42794</x:v>
      </x:c>
      <x:c r="C10732" s="0" t="s">
        <x:v>42795</x:v>
      </x:c>
      <x:c r="E10732" s="0" t="s">
        <x:v>42796</x:v>
      </x:c>
      <x:c r="F10732" s="0" t="s">
        <x:v>45</x:v>
      </x:c>
      <x:c r="G10732" s="0" t="s">
        <x:v>19</x:v>
      </x:c>
      <x:c r="H10732" s="0" t="s">
        <x:v>20</x:v>
      </x:c>
      <x:c r="I10732" s="0" t="s">
        <x:v>21</x:v>
      </x:c>
      <x:c r="K10732" s="0">
        <x:f>hyperlink("https://icd.who.int/dev11/l-ichi/en#/http%3A%2F%2Fid.who.int%2Ficd%2Fentity%2F54698632","browser")</x:f>
      </x:c>
      <x:c r="L10732" s="0">
        <x:f>hyperlink("https://icat2.azurewebsites.net/icat/?ontology=ICD&amp;tab=ClassesTab&amp;id=http%3A%2F%2Fwho.int%2Ficd%2352614_512ebf36_bf6b_4d70_85da_cf2637062af4","iCat")</x:f>
      </x:c>
      <x:c r="M10732" s="0" t="s">
        <x:v>21</x:v>
      </x:c>
      <x:c r="N10732" s="0" t="s">
        <x:v>46</x:v>
      </x:c>
    </x:row>
    <x:row r="10733" spans="1:16">
      <x:c r="A10733" s="0" t="s">
        <x:v>42797</x:v>
      </x:c>
      <x:c r="B10733" s="0" t="s">
        <x:v>42798</x:v>
      </x:c>
      <x:c r="C10733" s="0" t="s">
        <x:v>42799</x:v>
      </x:c>
      <x:c r="E10733" s="0" t="s">
        <x:v>42800</x:v>
      </x:c>
      <x:c r="F10733" s="0" t="s">
        <x:v>45</x:v>
      </x:c>
      <x:c r="G10733" s="0" t="s">
        <x:v>19</x:v>
      </x:c>
      <x:c r="H10733" s="0" t="s">
        <x:v>20</x:v>
      </x:c>
      <x:c r="I10733" s="0" t="s">
        <x:v>21</x:v>
      </x:c>
      <x:c r="K10733" s="0">
        <x:f>hyperlink("https://icd.who.int/dev11/l-ichi/en#/http%3A%2F%2Fid.who.int%2Ficd%2Fentity%2F1443714249","browser")</x:f>
      </x:c>
      <x:c r="L10733" s="0">
        <x:f>hyperlink("https://icat2.azurewebsites.net/icat/?ontology=ICD&amp;tab=ClassesTab&amp;id=http%3A%2F%2Fwho.int%2Ficd%2352621_512ebf36_bf6b_4d70_85da_cf2637062af4","iCat")</x:f>
      </x:c>
      <x:c r="M10733" s="0" t="s">
        <x:v>21</x:v>
      </x:c>
      <x:c r="N10733" s="0" t="s">
        <x:v>46</x:v>
      </x:c>
    </x:row>
    <x:row r="10734" spans="1:16">
      <x:c r="A10734" s="0" t="s">
        <x:v>42801</x:v>
      </x:c>
      <x:c r="B10734" s="0" t="s">
        <x:v>42802</x:v>
      </x:c>
      <x:c r="C10734" s="0" t="s">
        <x:v>42803</x:v>
      </x:c>
      <x:c r="E10734" s="0" t="s">
        <x:v>42804</x:v>
      </x:c>
      <x:c r="F10734" s="0" t="s">
        <x:v>45</x:v>
      </x:c>
      <x:c r="G10734" s="0" t="s">
        <x:v>19</x:v>
      </x:c>
      <x:c r="H10734" s="0" t="s">
        <x:v>20</x:v>
      </x:c>
      <x:c r="I10734" s="0" t="s">
        <x:v>21</x:v>
      </x:c>
      <x:c r="K10734" s="0">
        <x:f>hyperlink("https://icd.who.int/dev11/l-ichi/en#/http%3A%2F%2Fid.who.int%2Ficd%2Fentity%2F947214242","browser")</x:f>
      </x:c>
      <x:c r="L10734" s="0">
        <x:f>hyperlink("https://icat2.azurewebsites.net/icat/?ontology=ICD&amp;tab=ClassesTab&amp;id=http%3A%2F%2Fwho.int%2Ficd%2352628_512ebf36_bf6b_4d70_85da_cf2637062af4","iCat")</x:f>
      </x:c>
      <x:c r="M10734" s="0" t="s">
        <x:v>21</x:v>
      </x:c>
      <x:c r="N10734" s="0" t="s">
        <x:v>46</x:v>
      </x:c>
    </x:row>
    <x:row r="10735" spans="1:16">
      <x:c r="A10735" s="0" t="s">
        <x:v>42805</x:v>
      </x:c>
      <x:c r="B10735" s="0" t="s">
        <x:v>42806</x:v>
      </x:c>
      <x:c r="C10735" s="0" t="s">
        <x:v>42807</x:v>
      </x:c>
      <x:c r="E10735" s="0" t="s">
        <x:v>42808</x:v>
      </x:c>
      <x:c r="F10735" s="0" t="s">
        <x:v>45</x:v>
      </x:c>
      <x:c r="G10735" s="0" t="s">
        <x:v>19</x:v>
      </x:c>
      <x:c r="H10735" s="0" t="s">
        <x:v>20</x:v>
      </x:c>
      <x:c r="I10735" s="0" t="s">
        <x:v>21</x:v>
      </x:c>
      <x:c r="K10735" s="0">
        <x:f>hyperlink("https://icd.who.int/dev11/l-ichi/en#/http%3A%2F%2Fid.who.int%2Ficd%2Fentity%2F164562412","browser")</x:f>
      </x:c>
      <x:c r="L10735" s="0">
        <x:f>hyperlink("https://icat2.azurewebsites.net/icat/?ontology=ICD&amp;tab=ClassesTab&amp;id=http%3A%2F%2Fwho.int%2Ficd%2352635_512ebf36_bf6b_4d70_85da_cf2637062af4","iCat")</x:f>
      </x:c>
      <x:c r="M10735" s="0" t="s">
        <x:v>21</x:v>
      </x:c>
      <x:c r="N10735" s="0" t="s">
        <x:v>46</x:v>
      </x:c>
    </x:row>
    <x:row r="10736" spans="1:16">
      <x:c r="A10736" s="0" t="s">
        <x:v>42809</x:v>
      </x:c>
      <x:c r="B10736" s="0" t="s">
        <x:v>42810</x:v>
      </x:c>
      <x:c r="C10736" s="0" t="s">
        <x:v>42811</x:v>
      </x:c>
      <x:c r="E10736" s="0" t="s">
        <x:v>42812</x:v>
      </x:c>
      <x:c r="F10736" s="0" t="s">
        <x:v>45</x:v>
      </x:c>
      <x:c r="G10736" s="0" t="s">
        <x:v>19</x:v>
      </x:c>
      <x:c r="H10736" s="0" t="s">
        <x:v>20</x:v>
      </x:c>
      <x:c r="I10736" s="0" t="s">
        <x:v>21</x:v>
      </x:c>
      <x:c r="K10736" s="0">
        <x:f>hyperlink("https://icd.who.int/dev11/l-ichi/en#/http%3A%2F%2Fid.who.int%2Ficd%2Fentity%2F1234943357","browser")</x:f>
      </x:c>
      <x:c r="L10736" s="0">
        <x:f>hyperlink("https://icat2.azurewebsites.net/icat/?ontology=ICD&amp;tab=ClassesTab&amp;id=http%3A%2F%2Fwho.int%2Ficd%2352642_512ebf36_bf6b_4d70_85da_cf2637062af4","iCat")</x:f>
      </x:c>
      <x:c r="M10736" s="0" t="s">
        <x:v>21</x:v>
      </x:c>
      <x:c r="N10736" s="0" t="s">
        <x:v>46</x:v>
      </x:c>
    </x:row>
    <x:row r="10737" spans="1:16">
      <x:c r="A10737" s="0" t="s">
        <x:v>42813</x:v>
      </x:c>
      <x:c r="B10737" s="0" t="s">
        <x:v>42814</x:v>
      </x:c>
      <x:c r="C10737" s="0" t="s">
        <x:v>42815</x:v>
      </x:c>
      <x:c r="E10737" s="0" t="s">
        <x:v>42816</x:v>
      </x:c>
      <x:c r="F10737" s="0" t="s">
        <x:v>45</x:v>
      </x:c>
      <x:c r="G10737" s="0" t="s">
        <x:v>19</x:v>
      </x:c>
      <x:c r="H10737" s="0" t="s">
        <x:v>20</x:v>
      </x:c>
      <x:c r="I10737" s="0" t="s">
        <x:v>21</x:v>
      </x:c>
      <x:c r="K10737" s="0">
        <x:f>hyperlink("https://icd.who.int/dev11/l-ichi/en#/http%3A%2F%2Fid.who.int%2Ficd%2Fentity%2F1117758417","browser")</x:f>
      </x:c>
      <x:c r="L10737" s="0">
        <x:f>hyperlink("https://icat2.azurewebsites.net/icat/?ontology=ICD&amp;tab=ClassesTab&amp;id=http%3A%2F%2Fwho.int%2Ficd%2352649_512ebf36_bf6b_4d70_85da_cf2637062af4","iCat")</x:f>
      </x:c>
      <x:c r="M10737" s="0" t="s">
        <x:v>21</x:v>
      </x:c>
      <x:c r="N10737" s="0" t="s">
        <x:v>46</x:v>
      </x:c>
    </x:row>
    <x:row r="10738" spans="1:16">
      <x:c r="A10738" s="0" t="s">
        <x:v>42817</x:v>
      </x:c>
      <x:c r="B10738" s="0" t="s">
        <x:v>42818</x:v>
      </x:c>
      <x:c r="C10738" s="0" t="s">
        <x:v>42819</x:v>
      </x:c>
      <x:c r="E10738" s="0" t="s">
        <x:v>42820</x:v>
      </x:c>
      <x:c r="F10738" s="0" t="s">
        <x:v>45</x:v>
      </x:c>
      <x:c r="G10738" s="0" t="s">
        <x:v>19</x:v>
      </x:c>
      <x:c r="H10738" s="0" t="s">
        <x:v>20</x:v>
      </x:c>
      <x:c r="I10738" s="0" t="s">
        <x:v>21</x:v>
      </x:c>
      <x:c r="K10738" s="0">
        <x:f>hyperlink("https://icd.who.int/dev11/l-ichi/en#/http%3A%2F%2Fid.who.int%2Ficd%2Fentity%2F1060370811","browser")</x:f>
      </x:c>
      <x:c r="L10738" s="0">
        <x:f>hyperlink("https://icat2.azurewebsites.net/icat/?ontology=ICD&amp;tab=ClassesTab&amp;id=http%3A%2F%2Fwho.int%2Ficd%235503_d85a204c_d00a_4566_a3b7_2d137a1891cf","iCat")</x:f>
      </x:c>
      <x:c r="M10738" s="0" t="s">
        <x:v>21</x:v>
      </x:c>
      <x:c r="N10738" s="0" t="s">
        <x:v>46</x:v>
      </x:c>
    </x:row>
    <x:row r="10739" spans="1:16">
      <x:c r="A10739" s="0" t="s">
        <x:v>42821</x:v>
      </x:c>
      <x:c r="B10739" s="0" t="s">
        <x:v>42822</x:v>
      </x:c>
      <x:c r="C10739" s="0" t="s">
        <x:v>42823</x:v>
      </x:c>
      <x:c r="E10739" s="0" t="s">
        <x:v>42824</x:v>
      </x:c>
      <x:c r="F10739" s="0" t="s">
        <x:v>45</x:v>
      </x:c>
      <x:c r="G10739" s="0" t="s">
        <x:v>19</x:v>
      </x:c>
      <x:c r="H10739" s="0" t="s">
        <x:v>20</x:v>
      </x:c>
      <x:c r="I10739" s="0" t="s">
        <x:v>21</x:v>
      </x:c>
      <x:c r="K10739" s="0">
        <x:f>hyperlink("https://icd.who.int/dev11/l-ichi/en#/http%3A%2F%2Fid.who.int%2Ficd%2Fentity%2F374991968","browser")</x:f>
      </x:c>
      <x:c r="L10739" s="0">
        <x:f>hyperlink("https://icat2.azurewebsites.net/icat/?ontology=ICD&amp;tab=ClassesTab&amp;id=http%3A%2F%2Fwho.int%2Ficd%2352656_512ebf36_bf6b_4d70_85da_cf2637062af4","iCat")</x:f>
      </x:c>
      <x:c r="M10739" s="0" t="s">
        <x:v>21</x:v>
      </x:c>
      <x:c r="N10739" s="0" t="s">
        <x:v>46</x:v>
      </x:c>
    </x:row>
    <x:row r="10740" spans="1:16">
      <x:c r="A10740" s="0" t="s">
        <x:v>42825</x:v>
      </x:c>
      <x:c r="B10740" s="0" t="s">
        <x:v>42826</x:v>
      </x:c>
      <x:c r="C10740" s="0" t="s">
        <x:v>42827</x:v>
      </x:c>
      <x:c r="E10740" s="0" t="s">
        <x:v>42828</x:v>
      </x:c>
      <x:c r="F10740" s="0" t="s">
        <x:v>45</x:v>
      </x:c>
      <x:c r="G10740" s="0" t="s">
        <x:v>19</x:v>
      </x:c>
      <x:c r="H10740" s="0" t="s">
        <x:v>20</x:v>
      </x:c>
      <x:c r="I10740" s="0" t="s">
        <x:v>21</x:v>
      </x:c>
      <x:c r="K10740" s="0">
        <x:f>hyperlink("https://icd.who.int/dev11/l-ichi/en#/http%3A%2F%2Fid.who.int%2Ficd%2Fentity%2F1125521937","browser")</x:f>
      </x:c>
      <x:c r="L10740" s="0">
        <x:f>hyperlink("https://icat2.azurewebsites.net/icat/?ontology=ICD&amp;tab=ClassesTab&amp;id=http%3A%2F%2Fwho.int%2Ficd%2352663_512ebf36_bf6b_4d70_85da_cf2637062af4","iCat")</x:f>
      </x:c>
      <x:c r="M10740" s="0" t="s">
        <x:v>21</x:v>
      </x:c>
      <x:c r="N10740" s="0" t="s">
        <x:v>46</x:v>
      </x:c>
    </x:row>
    <x:row r="10741" spans="1:16">
      <x:c r="B10741" s="0" t="s">
        <x:v>42829</x:v>
      </x:c>
      <x:c r="C10741" s="0" t="s">
        <x:v>42830</x:v>
      </x:c>
      <x:c r="E10741" s="0" t="s">
        <x:v>42831</x:v>
      </x:c>
      <x:c r="F10741" s="0" t="s">
        <x:v>45</x:v>
      </x:c>
      <x:c r="G10741" s="0" t="s">
        <x:v>19</x:v>
      </x:c>
      <x:c r="H10741" s="0" t="s">
        <x:v>21</x:v>
      </x:c>
      <x:c r="I10741" s="0" t="s">
        <x:v>21</x:v>
      </x:c>
      <x:c r="K10741" s="0">
        <x:f>hyperlink("https://icd.who.int/dev11/l-ichi/en#/http%3A%2F%2Fid.who.int%2Ficd%2Fentity%2F768188068%2Fichi%2Fother","browser")</x:f>
      </x:c>
      <x:c r="L10741" s="0">
        <x:f>hyperlink("","iCat")</x:f>
      </x:c>
      <x:c r="M10741" s="0" t="s">
        <x:v>21</x:v>
      </x:c>
      <x:c r="N10741" s="0" t="s">
        <x:v>46</x:v>
      </x:c>
    </x:row>
    <x:row r="10742" spans="1:16">
      <x:c r="B10742" s="0" t="s">
        <x:v>42832</x:v>
      </x:c>
      <x:c r="C10742" s="0" t="s">
        <x:v>42833</x:v>
      </x:c>
      <x:c r="E10742" s="0" t="s">
        <x:v>42834</x:v>
      </x:c>
      <x:c r="F10742" s="0" t="s">
        <x:v>45</x:v>
      </x:c>
      <x:c r="G10742" s="0" t="s">
        <x:v>19</x:v>
      </x:c>
      <x:c r="H10742" s="0" t="s">
        <x:v>21</x:v>
      </x:c>
      <x:c r="I10742" s="0" t="s">
        <x:v>21</x:v>
      </x:c>
      <x:c r="K10742" s="0">
        <x:f>hyperlink("https://icd.who.int/dev11/l-ichi/en#/http%3A%2F%2Fid.who.int%2Ficd%2Fentity%2F768188068%2Fichi%2Funspecified","browser")</x:f>
      </x:c>
      <x:c r="L10742" s="0">
        <x:f>hyperlink("","iCat")</x:f>
      </x:c>
      <x:c r="M10742" s="0" t="s">
        <x:v>21</x:v>
      </x:c>
      <x:c r="N10742" s="0" t="s">
        <x:v>46</x:v>
      </x:c>
    </x:row>
    <x:row r="10743" spans="1:16">
      <x:c r="A10743" s="0" t="s">
        <x:v>42835</x:v>
      </x:c>
      <x:c r="B10743" s="0" t="s">
        <x:v>42836</x:v>
      </x:c>
      <x:c r="E10743" s="0" t="s">
        <x:v>42837</x:v>
      </x:c>
      <x:c r="F10743" s="0" t="s">
        <x:v>18</x:v>
      </x:c>
      <x:c r="G10743" s="0" t="s">
        <x:v>19</x:v>
      </x:c>
      <x:c r="H10743" s="0" t="s">
        <x:v>20</x:v>
      </x:c>
      <x:c r="I10743" s="0" t="s">
        <x:v>21</x:v>
      </x:c>
      <x:c r="K10743" s="0">
        <x:f>hyperlink("https://icd.who.int/dev11/l-ichi/en#/http%3A%2F%2Fid.who.int%2Ficd%2Fentity%2F1153570334","browser")</x:f>
      </x:c>
      <x:c r="L10743" s="0">
        <x:f>hyperlink("https://icat2.azurewebsites.net/icat/?ontology=ICD&amp;tab=ClassesTab&amp;id=http%3A%2F%2Fwho.int%2Ficd%23ICHIExtensionCode","iCat")</x:f>
      </x:c>
      <x:c r="M10743" s="0" t="s">
        <x:v>20</x:v>
      </x:c>
      <x:c r="N10743" s="0" t="s">
        <x:v>119</x:v>
      </x:c>
    </x:row>
    <x:row r="10744" spans="1:16">
      <x:c r="A10744" s="0" t="s">
        <x:v>42838</x:v>
      </x:c>
      <x:c r="B10744" s="0" t="s">
        <x:v>42839</x:v>
      </x:c>
      <x:c r="C10744" s="0" t="s">
        <x:v>42840</x:v>
      </x:c>
      <x:c r="E10744" s="0" t="s">
        <x:v>42841</x:v>
      </x:c>
      <x:c r="F10744" s="0" t="s">
        <x:v>45</x:v>
      </x:c>
      <x:c r="G10744" s="0" t="s">
        <x:v>19</x:v>
      </x:c>
      <x:c r="H10744" s="0" t="s">
        <x:v>20</x:v>
      </x:c>
      <x:c r="I10744" s="0" t="s">
        <x:v>21</x:v>
      </x:c>
      <x:c r="K10744" s="0">
        <x:f>hyperlink("https://icd.who.int/dev11/l-ichi/en#/http%3A%2F%2Fid.who.int%2Ficd%2Fentity%2F1399457851","browser")</x:f>
      </x:c>
      <x:c r="L10744" s="0">
        <x:f>hyperlink("https://icat2.azurewebsites.net/icat/?ontology=ICD&amp;tab=ClassesTab&amp;id=http%3A%2F%2Fwho.int%2Ficd%230_bfdc5bfd_508c_4341_981a_49384b51cdc2","iCat")</x:f>
      </x:c>
      <x:c r="M10744" s="0" t="s">
        <x:v>20</x:v>
      </x:c>
      <x:c r="N10744" s="0" t="s">
        <x:v>36</x:v>
      </x:c>
    </x:row>
    <x:row r="10745" spans="1:16">
      <x:c r="A10745" s="0" t="s">
        <x:v>42842</x:v>
      </x:c>
      <x:c r="B10745" s="0" t="s">
        <x:v>42843</x:v>
      </x:c>
      <x:c r="C10745" s="0" t="s">
        <x:v>42840</x:v>
      </x:c>
      <x:c r="E10745" s="0" t="s">
        <x:v>42844</x:v>
      </x:c>
      <x:c r="F10745" s="0" t="s">
        <x:v>45</x:v>
      </x:c>
      <x:c r="G10745" s="0" t="s">
        <x:v>30</x:v>
      </x:c>
      <x:c r="H10745" s="0" t="s">
        <x:v>20</x:v>
      </x:c>
      <x:c r="I10745" s="0" t="s">
        <x:v>21</x:v>
      </x:c>
      <x:c r="K10745" s="0">
        <x:f>hyperlink("https://icd.who.int/dev11/l-ichi/en#/http%3A%2F%2Fid.who.int%2Ficd%2Fentity%2F1718471759","browser")</x:f>
      </x:c>
      <x:c r="L10745" s="0">
        <x:f>hyperlink("https://icat2.azurewebsites.net/icat/?ontology=ICD&amp;tab=ClassesTab&amp;id=http%3A%2F%2Fwho.int%2Ficd%234_bfdc5bfd_508c_4341_981a_49384b51cdc2","iCat")</x:f>
      </x:c>
      <x:c r="M10745" s="0" t="s">
        <x:v>20</x:v>
      </x:c>
      <x:c r="N10745" s="0" t="s">
        <x:v>22</x:v>
      </x:c>
    </x:row>
    <x:row r="10746" spans="1:16">
      <x:c r="A10746" s="0" t="s">
        <x:v>42845</x:v>
      </x:c>
      <x:c r="B10746" s="0" t="s">
        <x:v>42846</x:v>
      </x:c>
      <x:c r="C10746" s="0" t="s">
        <x:v>42840</x:v>
      </x:c>
      <x:c r="E10746" s="0" t="s">
        <x:v>42847</x:v>
      </x:c>
      <x:c r="F10746" s="0" t="s">
        <x:v>45</x:v>
      </x:c>
      <x:c r="G10746" s="0" t="s">
        <x:v>35</x:v>
      </x:c>
      <x:c r="H10746" s="0" t="s">
        <x:v>20</x:v>
      </x:c>
      <x:c r="I10746" s="0" t="s">
        <x:v>21</x:v>
      </x:c>
      <x:c r="K10746" s="0">
        <x:f>hyperlink("https://icd.who.int/dev11/l-ichi/en#/http%3A%2F%2Fid.who.int%2Ficd%2Fentity%2F1024592722","browser")</x:f>
      </x:c>
      <x:c r="L10746" s="0">
        <x:f>hyperlink("https://icat2.azurewebsites.net/icat/?ontology=ICD&amp;tab=ClassesTab&amp;id=http%3A%2F%2Fwho.int%2Ficd%239_bfdc5bfd_508c_4341_981a_49384b51cdc2","iCat")</x:f>
      </x:c>
      <x:c r="M10746" s="0" t="s">
        <x:v>21</x:v>
      </x:c>
      <x:c r="N10746" s="0" t="s">
        <x:v>46</x:v>
      </x:c>
    </x:row>
    <x:row r="10747" spans="1:16">
      <x:c r="A10747" s="0" t="s">
        <x:v>42848</x:v>
      </x:c>
      <x:c r="B10747" s="0" t="s">
        <x:v>42849</x:v>
      </x:c>
      <x:c r="C10747" s="0" t="s">
        <x:v>42840</x:v>
      </x:c>
      <x:c r="E10747" s="0" t="s">
        <x:v>42850</x:v>
      </x:c>
      <x:c r="F10747" s="0" t="s">
        <x:v>45</x:v>
      </x:c>
      <x:c r="G10747" s="0" t="s">
        <x:v>35</x:v>
      </x:c>
      <x:c r="H10747" s="0" t="s">
        <x:v>20</x:v>
      </x:c>
      <x:c r="I10747" s="0" t="s">
        <x:v>21</x:v>
      </x:c>
      <x:c r="K10747" s="0">
        <x:f>hyperlink("https://icd.who.int/dev11/l-ichi/en#/http%3A%2F%2Fid.who.int%2Ficd%2Fentity%2F1783242726","browser")</x:f>
      </x:c>
      <x:c r="L10747" s="0">
        <x:f>hyperlink("https://icat2.azurewebsites.net/icat/?ontology=ICD&amp;tab=ClassesTab&amp;id=http%3A%2F%2Fwho.int%2Ficd%2314_bfdc5bfd_508c_4341_981a_49384b51cdc2","iCat")</x:f>
      </x:c>
      <x:c r="M10747" s="0" t="s">
        <x:v>21</x:v>
      </x:c>
      <x:c r="N10747" s="0" t="s">
        <x:v>46</x:v>
      </x:c>
    </x:row>
    <x:row r="10748" spans="1:16">
      <x:c r="A10748" s="0" t="s">
        <x:v>42851</x:v>
      </x:c>
      <x:c r="B10748" s="0" t="s">
        <x:v>42852</x:v>
      </x:c>
      <x:c r="C10748" s="0" t="s">
        <x:v>42840</x:v>
      </x:c>
      <x:c r="E10748" s="0" t="s">
        <x:v>42853</x:v>
      </x:c>
      <x:c r="F10748" s="0" t="s">
        <x:v>45</x:v>
      </x:c>
      <x:c r="G10748" s="0" t="s">
        <x:v>35</x:v>
      </x:c>
      <x:c r="H10748" s="0" t="s">
        <x:v>20</x:v>
      </x:c>
      <x:c r="I10748" s="0" t="s">
        <x:v>21</x:v>
      </x:c>
      <x:c r="K10748" s="0">
        <x:f>hyperlink("https://icd.who.int/dev11/l-ichi/en#/http%3A%2F%2Fid.who.int%2Ficd%2Fentity%2F825612537","browser")</x:f>
      </x:c>
      <x:c r="L10748" s="0">
        <x:f>hyperlink("https://icat2.azurewebsites.net/icat/?ontology=ICD&amp;tab=ClassesTab&amp;id=http%3A%2F%2Fwho.int%2Ficd%2319_bfdc5bfd_508c_4341_981a_49384b51cdc2","iCat")</x:f>
      </x:c>
      <x:c r="M10748" s="0" t="s">
        <x:v>21</x:v>
      </x:c>
      <x:c r="N10748" s="0" t="s">
        <x:v>46</x:v>
      </x:c>
    </x:row>
    <x:row r="10749" spans="1:16">
      <x:c r="A10749" s="0" t="s">
        <x:v>42854</x:v>
      </x:c>
      <x:c r="B10749" s="0" t="s">
        <x:v>42855</x:v>
      </x:c>
      <x:c r="C10749" s="0" t="s">
        <x:v>42840</x:v>
      </x:c>
      <x:c r="E10749" s="0" t="s">
        <x:v>42856</x:v>
      </x:c>
      <x:c r="F10749" s="0" t="s">
        <x:v>45</x:v>
      </x:c>
      <x:c r="G10749" s="0" t="s">
        <x:v>35</x:v>
      </x:c>
      <x:c r="H10749" s="0" t="s">
        <x:v>20</x:v>
      </x:c>
      <x:c r="I10749" s="0" t="s">
        <x:v>21</x:v>
      </x:c>
      <x:c r="K10749" s="0">
        <x:f>hyperlink("https://icd.who.int/dev11/l-ichi/en#/http%3A%2F%2Fid.who.int%2Ficd%2Fentity%2F721117155","browser")</x:f>
      </x:c>
      <x:c r="L10749" s="0">
        <x:f>hyperlink("https://icat2.azurewebsites.net/icat/?ontology=ICD&amp;tab=ClassesTab&amp;id=http%3A%2F%2Fwho.int%2Ficd%2324_bfdc5bfd_508c_4341_981a_49384b51cdc2","iCat")</x:f>
      </x:c>
      <x:c r="M10749" s="0" t="s">
        <x:v>21</x:v>
      </x:c>
      <x:c r="N10749" s="0" t="s">
        <x:v>46</x:v>
      </x:c>
    </x:row>
    <x:row r="10750" spans="1:16">
      <x:c r="A10750" s="0" t="s">
        <x:v>42857</x:v>
      </x:c>
      <x:c r="B10750" s="0" t="s">
        <x:v>42858</x:v>
      </x:c>
      <x:c r="C10750" s="0" t="s">
        <x:v>42840</x:v>
      </x:c>
      <x:c r="E10750" s="0" t="s">
        <x:v>42859</x:v>
      </x:c>
      <x:c r="F10750" s="0" t="s">
        <x:v>45</x:v>
      </x:c>
      <x:c r="G10750" s="0" t="s">
        <x:v>30</x:v>
      </x:c>
      <x:c r="H10750" s="0" t="s">
        <x:v>20</x:v>
      </x:c>
      <x:c r="I10750" s="0" t="s">
        <x:v>21</x:v>
      </x:c>
      <x:c r="K10750" s="0">
        <x:f>hyperlink("https://icd.who.int/dev11/l-ichi/en#/http%3A%2F%2Fid.who.int%2Ficd%2Fentity%2F1904515326","browser")</x:f>
      </x:c>
      <x:c r="L10750" s="0">
        <x:f>hyperlink("https://icat2.azurewebsites.net/icat/?ontology=ICD&amp;tab=ClassesTab&amp;id=http%3A%2F%2Fwho.int%2Ficd%2329_bfdc5bfd_508c_4341_981a_49384b51cdc2","iCat")</x:f>
      </x:c>
      <x:c r="M10750" s="0" t="s">
        <x:v>20</x:v>
      </x:c>
      <x:c r="N10750" s="0" t="s">
        <x:v>119</x:v>
      </x:c>
    </x:row>
    <x:row r="10751" spans="1:16">
      <x:c r="A10751" s="0" t="s">
        <x:v>42860</x:v>
      </x:c>
      <x:c r="B10751" s="0" t="s">
        <x:v>42861</x:v>
      </x:c>
      <x:c r="C10751" s="0" t="s">
        <x:v>42840</x:v>
      </x:c>
      <x:c r="E10751" s="0" t="s">
        <x:v>42862</x:v>
      </x:c>
      <x:c r="F10751" s="0" t="s">
        <x:v>45</x:v>
      </x:c>
      <x:c r="G10751" s="0" t="s">
        <x:v>35</x:v>
      </x:c>
      <x:c r="H10751" s="0" t="s">
        <x:v>20</x:v>
      </x:c>
      <x:c r="I10751" s="0" t="s">
        <x:v>21</x:v>
      </x:c>
      <x:c r="K10751" s="0">
        <x:f>hyperlink("https://icd.who.int/dev11/l-ichi/en#/http%3A%2F%2Fid.who.int%2Ficd%2Fentity%2F1077856948","browser")</x:f>
      </x:c>
      <x:c r="L10751" s="0">
        <x:f>hyperlink("https://icat2.azurewebsites.net/icat/?ontology=ICD&amp;tab=ClassesTab&amp;id=http%3A%2F%2Fwho.int%2Ficd%2334_bfdc5bfd_508c_4341_981a_49384b51cdc2","iCat")</x:f>
      </x:c>
      <x:c r="M10751" s="0" t="s">
        <x:v>21</x:v>
      </x:c>
      <x:c r="N10751" s="0" t="s">
        <x:v>46</x:v>
      </x:c>
    </x:row>
    <x:row r="10752" spans="1:16">
      <x:c r="A10752" s="0" t="s">
        <x:v>42863</x:v>
      </x:c>
      <x:c r="B10752" s="0" t="s">
        <x:v>42864</x:v>
      </x:c>
      <x:c r="C10752" s="0" t="s">
        <x:v>42840</x:v>
      </x:c>
      <x:c r="E10752" s="0" t="s">
        <x:v>42865</x:v>
      </x:c>
      <x:c r="F10752" s="0" t="s">
        <x:v>45</x:v>
      </x:c>
      <x:c r="G10752" s="0" t="s">
        <x:v>35</x:v>
      </x:c>
      <x:c r="H10752" s="0" t="s">
        <x:v>20</x:v>
      </x:c>
      <x:c r="I10752" s="0" t="s">
        <x:v>21</x:v>
      </x:c>
      <x:c r="K10752" s="0">
        <x:f>hyperlink("https://icd.who.int/dev11/l-ichi/en#/http%3A%2F%2Fid.who.int%2Ficd%2Fentity%2F457248169","browser")</x:f>
      </x:c>
      <x:c r="L10752" s="0">
        <x:f>hyperlink("https://icat2.azurewebsites.net/icat/?ontology=ICD&amp;tab=ClassesTab&amp;id=http%3A%2F%2Fwho.int%2Ficd%2339_bfdc5bfd_508c_4341_981a_49384b51cdc2","iCat")</x:f>
      </x:c>
      <x:c r="M10752" s="0" t="s">
        <x:v>21</x:v>
      </x:c>
      <x:c r="N10752" s="0" t="s">
        <x:v>46</x:v>
      </x:c>
    </x:row>
    <x:row r="10753" spans="1:16">
      <x:c r="A10753" s="0" t="s">
        <x:v>42866</x:v>
      </x:c>
      <x:c r="B10753" s="0" t="s">
        <x:v>42867</x:v>
      </x:c>
      <x:c r="C10753" s="0" t="s">
        <x:v>42840</x:v>
      </x:c>
      <x:c r="E10753" s="0" t="s">
        <x:v>42868</x:v>
      </x:c>
      <x:c r="F10753" s="0" t="s">
        <x:v>45</x:v>
      </x:c>
      <x:c r="G10753" s="0" t="s">
        <x:v>35</x:v>
      </x:c>
      <x:c r="H10753" s="0" t="s">
        <x:v>20</x:v>
      </x:c>
      <x:c r="I10753" s="0" t="s">
        <x:v>21</x:v>
      </x:c>
      <x:c r="K10753" s="0">
        <x:f>hyperlink("https://icd.who.int/dev11/l-ichi/en#/http%3A%2F%2Fid.who.int%2Ficd%2Fentity%2F1894308272","browser")</x:f>
      </x:c>
      <x:c r="L10753" s="0">
        <x:f>hyperlink("https://icat2.azurewebsites.net/icat/?ontology=ICD&amp;tab=ClassesTab&amp;id=http%3A%2F%2Fwho.int%2Ficd%2344_bfdc5bfd_508c_4341_981a_49384b51cdc2","iCat")</x:f>
      </x:c>
      <x:c r="M10753" s="0" t="s">
        <x:v>21</x:v>
      </x:c>
      <x:c r="N10753" s="0" t="s">
        <x:v>46</x:v>
      </x:c>
    </x:row>
    <x:row r="10754" spans="1:16">
      <x:c r="A10754" s="0" t="s">
        <x:v>42869</x:v>
      </x:c>
      <x:c r="B10754" s="0" t="s">
        <x:v>42870</x:v>
      </x:c>
      <x:c r="C10754" s="0" t="s">
        <x:v>42840</x:v>
      </x:c>
      <x:c r="E10754" s="0" t="s">
        <x:v>42871</x:v>
      </x:c>
      <x:c r="F10754" s="0" t="s">
        <x:v>45</x:v>
      </x:c>
      <x:c r="G10754" s="0" t="s">
        <x:v>35</x:v>
      </x:c>
      <x:c r="H10754" s="0" t="s">
        <x:v>20</x:v>
      </x:c>
      <x:c r="I10754" s="0" t="s">
        <x:v>21</x:v>
      </x:c>
      <x:c r="K10754" s="0">
        <x:f>hyperlink("https://icd.who.int/dev11/l-ichi/en#/http%3A%2F%2Fid.who.int%2Ficd%2Fentity%2F731324083","browser")</x:f>
      </x:c>
      <x:c r="L10754" s="0">
        <x:f>hyperlink("https://icat2.azurewebsites.net/icat/?ontology=ICD&amp;tab=ClassesTab&amp;id=http%3A%2F%2Fwho.int%2Ficd%2349_bfdc5bfd_508c_4341_981a_49384b51cdc2","iCat")</x:f>
      </x:c>
      <x:c r="M10754" s="0" t="s">
        <x:v>21</x:v>
      </x:c>
      <x:c r="N10754" s="0" t="s">
        <x:v>46</x:v>
      </x:c>
    </x:row>
    <x:row r="10755" spans="1:16">
      <x:c r="A10755" s="0" t="s">
        <x:v>42872</x:v>
      </x:c>
      <x:c r="B10755" s="0" t="s">
        <x:v>42873</x:v>
      </x:c>
      <x:c r="C10755" s="0" t="s">
        <x:v>42840</x:v>
      </x:c>
      <x:c r="E10755" s="0" t="s">
        <x:v>42874</x:v>
      </x:c>
      <x:c r="F10755" s="0" t="s">
        <x:v>45</x:v>
      </x:c>
      <x:c r="G10755" s="0" t="s">
        <x:v>35</x:v>
      </x:c>
      <x:c r="H10755" s="0" t="s">
        <x:v>20</x:v>
      </x:c>
      <x:c r="I10755" s="0" t="s">
        <x:v>21</x:v>
      </x:c>
      <x:c r="K10755" s="0">
        <x:f>hyperlink("https://icd.who.int/dev11/l-ichi/en#/http%3A%2F%2Fid.who.int%2Ficd%2Fentity%2F439176441","browser")</x:f>
      </x:c>
      <x:c r="L10755" s="0">
        <x:f>hyperlink("https://icat2.azurewebsites.net/icat/?ontology=ICD&amp;tab=ClassesTab&amp;id=http%3A%2F%2Fwho.int%2Ficd%2354_bfdc5bfd_508c_4341_981a_49384b51cdc2","iCat")</x:f>
      </x:c>
      <x:c r="M10755" s="0" t="s">
        <x:v>21</x:v>
      </x:c>
      <x:c r="N10755" s="0" t="s">
        <x:v>46</x:v>
      </x:c>
    </x:row>
    <x:row r="10756" spans="1:16">
      <x:c r="A10756" s="0" t="s">
        <x:v>42875</x:v>
      </x:c>
      <x:c r="B10756" s="0" t="s">
        <x:v>42876</x:v>
      </x:c>
      <x:c r="C10756" s="0" t="s">
        <x:v>42840</x:v>
      </x:c>
      <x:c r="E10756" s="0" t="s">
        <x:v>42877</x:v>
      </x:c>
      <x:c r="F10756" s="0" t="s">
        <x:v>45</x:v>
      </x:c>
      <x:c r="G10756" s="0" t="s">
        <x:v>35</x:v>
      </x:c>
      <x:c r="H10756" s="0" t="s">
        <x:v>20</x:v>
      </x:c>
      <x:c r="I10756" s="0" t="s">
        <x:v>21</x:v>
      </x:c>
      <x:c r="K10756" s="0">
        <x:f>hyperlink("https://icd.who.int/dev11/l-ichi/en#/http%3A%2F%2Fid.who.int%2Ficd%2Fentity%2F1095928806","browser")</x:f>
      </x:c>
      <x:c r="L10756" s="0">
        <x:f>hyperlink("https://icat2.azurewebsites.net/icat/?ontology=ICD&amp;tab=ClassesTab&amp;id=http%3A%2F%2Fwho.int%2Ficd%2359_bfdc5bfd_508c_4341_981a_49384b51cdc2","iCat")</x:f>
      </x:c>
      <x:c r="M10756" s="0" t="s">
        <x:v>21</x:v>
      </x:c>
      <x:c r="N10756" s="0" t="s">
        <x:v>46</x:v>
      </x:c>
    </x:row>
    <x:row r="10757" spans="1:16">
      <x:c r="A10757" s="0" t="s">
        <x:v>42878</x:v>
      </x:c>
      <x:c r="B10757" s="0" t="s">
        <x:v>42879</x:v>
      </x:c>
      <x:c r="C10757" s="0" t="s">
        <x:v>42840</x:v>
      </x:c>
      <x:c r="E10757" s="0" t="s">
        <x:v>42880</x:v>
      </x:c>
      <x:c r="F10757" s="0" t="s">
        <x:v>45</x:v>
      </x:c>
      <x:c r="G10757" s="0" t="s">
        <x:v>35</x:v>
      </x:c>
      <x:c r="H10757" s="0" t="s">
        <x:v>20</x:v>
      </x:c>
      <x:c r="I10757" s="0" t="s">
        <x:v>21</x:v>
      </x:c>
      <x:c r="K10757" s="0">
        <x:f>hyperlink("https://icd.who.int/dev11/l-ichi/en#/http%3A%2F%2Fid.who.int%2Ficd%2Fentity%2F1520176382","browser")</x:f>
      </x:c>
      <x:c r="L10757" s="0">
        <x:f>hyperlink("https://icat2.azurewebsites.net/icat/?ontology=ICD&amp;tab=ClassesTab&amp;id=http%3A%2F%2Fwho.int%2Ficd%2364_bfdc5bfd_508c_4341_981a_49384b51cdc2","iCat")</x:f>
      </x:c>
      <x:c r="M10757" s="0" t="s">
        <x:v>21</x:v>
      </x:c>
      <x:c r="N10757" s="0" t="s">
        <x:v>46</x:v>
      </x:c>
    </x:row>
    <x:row r="10758" spans="1:16">
      <x:c r="A10758" s="0" t="s">
        <x:v>42881</x:v>
      </x:c>
      <x:c r="B10758" s="0" t="s">
        <x:v>42882</x:v>
      </x:c>
      <x:c r="C10758" s="0" t="s">
        <x:v>42840</x:v>
      </x:c>
      <x:c r="E10758" s="0" t="s">
        <x:v>42883</x:v>
      </x:c>
      <x:c r="F10758" s="0" t="s">
        <x:v>45</x:v>
      </x:c>
      <x:c r="G10758" s="0" t="s">
        <x:v>35</x:v>
      </x:c>
      <x:c r="H10758" s="0" t="s">
        <x:v>20</x:v>
      </x:c>
      <x:c r="I10758" s="0" t="s">
        <x:v>21</x:v>
      </x:c>
      <x:c r="K10758" s="0">
        <x:f>hyperlink("https://icd.who.int/dev11/l-ichi/en#/http%3A%2F%2Fid.who.int%2Ficd%2Fentity%2F278981525","browser")</x:f>
      </x:c>
      <x:c r="L10758" s="0">
        <x:f>hyperlink("https://icat2.azurewebsites.net/icat/?ontology=ICD&amp;tab=ClassesTab&amp;id=http%3A%2F%2Fwho.int%2Ficd%2375_bfdc5bfd_508c_4341_981a_49384b51cdc2","iCat")</x:f>
      </x:c>
      <x:c r="M10758" s="0" t="s">
        <x:v>21</x:v>
      </x:c>
      <x:c r="N10758" s="0" t="s">
        <x:v>46</x:v>
      </x:c>
    </x:row>
    <x:row r="10759" spans="1:16">
      <x:c r="A10759" s="0" t="s">
        <x:v>42884</x:v>
      </x:c>
      <x:c r="B10759" s="0" t="s">
        <x:v>42885</x:v>
      </x:c>
      <x:c r="C10759" s="0" t="s">
        <x:v>42840</x:v>
      </x:c>
      <x:c r="E10759" s="0" t="s">
        <x:v>42886</x:v>
      </x:c>
      <x:c r="F10759" s="0" t="s">
        <x:v>45</x:v>
      </x:c>
      <x:c r="G10759" s="0" t="s">
        <x:v>30</x:v>
      </x:c>
      <x:c r="H10759" s="0" t="s">
        <x:v>20</x:v>
      </x:c>
      <x:c r="I10759" s="0" t="s">
        <x:v>21</x:v>
      </x:c>
      <x:c r="K10759" s="0">
        <x:f>hyperlink("https://icd.who.int/dev11/l-ichi/en#/http%3A%2F%2Fid.who.int%2Ficd%2Fentity%2F1619390568","browser")</x:f>
      </x:c>
      <x:c r="L10759" s="0">
        <x:f>hyperlink("https://icat2.azurewebsites.net/icat/?ontology=ICD&amp;tab=ClassesTab&amp;id=http%3A%2F%2Fwho.int%2Ficd%2391_bfdc5bfd_508c_4341_981a_49384b51cdc2","iCat")</x:f>
      </x:c>
      <x:c r="M10759" s="0" t="s">
        <x:v>20</x:v>
      </x:c>
      <x:c r="N10759" s="0" t="s">
        <x:v>903</x:v>
      </x:c>
    </x:row>
    <x:row r="10760" spans="1:16">
      <x:c r="A10760" s="0" t="s">
        <x:v>42887</x:v>
      </x:c>
      <x:c r="B10760" s="0" t="s">
        <x:v>42888</x:v>
      </x:c>
      <x:c r="C10760" s="0" t="s">
        <x:v>42840</x:v>
      </x:c>
      <x:c r="E10760" s="0" t="s">
        <x:v>42889</x:v>
      </x:c>
      <x:c r="F10760" s="0" t="s">
        <x:v>45</x:v>
      </x:c>
      <x:c r="G10760" s="0" t="s">
        <x:v>35</x:v>
      </x:c>
      <x:c r="H10760" s="0" t="s">
        <x:v>20</x:v>
      </x:c>
      <x:c r="I10760" s="0" t="s">
        <x:v>21</x:v>
      </x:c>
      <x:c r="K10760" s="0">
        <x:f>hyperlink("https://icd.who.int/dev11/l-ichi/en#/http%3A%2F%2Fid.who.int%2Ficd%2Fentity%2F1434596382","browser")</x:f>
      </x:c>
      <x:c r="L10760" s="0">
        <x:f>hyperlink("https://icat2.azurewebsites.net/icat/?ontology=ICD&amp;tab=ClassesTab&amp;id=http%3A%2F%2Fwho.int%2Ficd%2395_bfdc5bfd_508c_4341_981a_49384b51cdc2","iCat")</x:f>
      </x:c>
      <x:c r="M10760" s="0" t="s">
        <x:v>21</x:v>
      </x:c>
      <x:c r="N10760" s="0" t="s">
        <x:v>46</x:v>
      </x:c>
    </x:row>
    <x:row r="10761" spans="1:16">
      <x:c r="A10761" s="0" t="s">
        <x:v>42890</x:v>
      </x:c>
      <x:c r="B10761" s="0" t="s">
        <x:v>42891</x:v>
      </x:c>
      <x:c r="C10761" s="0" t="s">
        <x:v>42840</x:v>
      </x:c>
      <x:c r="E10761" s="0" t="s">
        <x:v>42892</x:v>
      </x:c>
      <x:c r="F10761" s="0" t="s">
        <x:v>45</x:v>
      </x:c>
      <x:c r="G10761" s="0" t="s">
        <x:v>35</x:v>
      </x:c>
      <x:c r="H10761" s="0" t="s">
        <x:v>20</x:v>
      </x:c>
      <x:c r="I10761" s="0" t="s">
        <x:v>21</x:v>
      </x:c>
      <x:c r="K10761" s="0">
        <x:f>hyperlink("https://icd.who.int/dev11/l-ichi/en#/http%3A%2F%2Fid.who.int%2Ficd%2Fentity%2F1063487251","browser")</x:f>
      </x:c>
      <x:c r="L10761" s="0">
        <x:f>hyperlink("https://icat2.azurewebsites.net/icat/?ontology=ICD&amp;tab=ClassesTab&amp;id=http%3A%2F%2Fwho.int%2Ficd%23100_bfdc5bfd_508c_4341_981a_49384b51cdc2","iCat")</x:f>
      </x:c>
      <x:c r="M10761" s="0" t="s">
        <x:v>21</x:v>
      </x:c>
      <x:c r="N10761" s="0" t="s">
        <x:v>46</x:v>
      </x:c>
    </x:row>
    <x:row r="10762" spans="1:16">
      <x:c r="A10762" s="0" t="s">
        <x:v>42893</x:v>
      </x:c>
      <x:c r="B10762" s="0" t="s">
        <x:v>42894</x:v>
      </x:c>
      <x:c r="C10762" s="0" t="s">
        <x:v>42840</x:v>
      </x:c>
      <x:c r="E10762" s="0" t="s">
        <x:v>42895</x:v>
      </x:c>
      <x:c r="F10762" s="0" t="s">
        <x:v>45</x:v>
      </x:c>
      <x:c r="G10762" s="0" t="s">
        <x:v>35</x:v>
      </x:c>
      <x:c r="H10762" s="0" t="s">
        <x:v>20</x:v>
      </x:c>
      <x:c r="I10762" s="0" t="s">
        <x:v>21</x:v>
      </x:c>
      <x:c r="K10762" s="0">
        <x:f>hyperlink("https://icd.who.int/dev11/l-ichi/en#/http%3A%2F%2Fid.who.int%2Ficd%2Fentity%2F714944859","browser")</x:f>
      </x:c>
      <x:c r="L10762" s="0">
        <x:f>hyperlink("https://icat2.azurewebsites.net/icat/?ontology=ICD&amp;tab=ClassesTab&amp;id=http%3A%2F%2Fwho.int%2Ficd%23105_bfdc5bfd_508c_4341_981a_49384b51cdc2","iCat")</x:f>
      </x:c>
      <x:c r="M10762" s="0" t="s">
        <x:v>21</x:v>
      </x:c>
      <x:c r="N10762" s="0" t="s">
        <x:v>46</x:v>
      </x:c>
    </x:row>
    <x:row r="10763" spans="1:16">
      <x:c r="A10763" s="0" t="s">
        <x:v>42896</x:v>
      </x:c>
      <x:c r="B10763" s="0" t="s">
        <x:v>42897</x:v>
      </x:c>
      <x:c r="C10763" s="0" t="s">
        <x:v>42840</x:v>
      </x:c>
      <x:c r="E10763" s="0" t="s">
        <x:v>42898</x:v>
      </x:c>
      <x:c r="F10763" s="0" t="s">
        <x:v>45</x:v>
      </x:c>
      <x:c r="G10763" s="0" t="s">
        <x:v>35</x:v>
      </x:c>
      <x:c r="H10763" s="0" t="s">
        <x:v>20</x:v>
      </x:c>
      <x:c r="I10763" s="0" t="s">
        <x:v>21</x:v>
      </x:c>
      <x:c r="K10763" s="0">
        <x:f>hyperlink("https://icd.who.int/dev11/l-ichi/en#/http%3A%2F%2Fid.who.int%2Ficd%2Fentity%2F1436947014","browser")</x:f>
      </x:c>
      <x:c r="L10763" s="0">
        <x:f>hyperlink("https://icat2.azurewebsites.net/icat/?ontology=ICD&amp;tab=ClassesTab&amp;id=http%3A%2F%2Fwho.int%2Ficd%23110_bfdc5bfd_508c_4341_981a_49384b51cdc2","iCat")</x:f>
      </x:c>
      <x:c r="M10763" s="0" t="s">
        <x:v>21</x:v>
      </x:c>
      <x:c r="N10763" s="0" t="s">
        <x:v>46</x:v>
      </x:c>
    </x:row>
    <x:row r="10764" spans="1:16">
      <x:c r="A10764" s="0" t="s">
        <x:v>42899</x:v>
      </x:c>
      <x:c r="B10764" s="0" t="s">
        <x:v>42900</x:v>
      </x:c>
      <x:c r="C10764" s="0" t="s">
        <x:v>42840</x:v>
      </x:c>
      <x:c r="E10764" s="0" t="s">
        <x:v>42901</x:v>
      </x:c>
      <x:c r="F10764" s="0" t="s">
        <x:v>45</x:v>
      </x:c>
      <x:c r="G10764" s="0" t="s">
        <x:v>35</x:v>
      </x:c>
      <x:c r="H10764" s="0" t="s">
        <x:v>20</x:v>
      </x:c>
      <x:c r="I10764" s="0" t="s">
        <x:v>21</x:v>
      </x:c>
      <x:c r="K10764" s="0">
        <x:f>hyperlink("https://icd.who.int/dev11/l-ichi/en#/http%3A%2F%2Fid.who.int%2Ficd%2Fentity%2F171992383","browser")</x:f>
      </x:c>
      <x:c r="L10764" s="0">
        <x:f>hyperlink("https://icat2.azurewebsites.net/icat/?ontology=ICD&amp;tab=ClassesTab&amp;id=http%3A%2F%2Fwho.int%2Ficd%2381_bfdc5bfd_508c_4341_981a_49384b51cdc2","iCat")</x:f>
      </x:c>
      <x:c r="M10764" s="0" t="s">
        <x:v>21</x:v>
      </x:c>
      <x:c r="N10764" s="0" t="s">
        <x:v>46</x:v>
      </x:c>
    </x:row>
    <x:row r="10765" spans="1:16">
      <x:c r="A10765" s="0" t="s">
        <x:v>42902</x:v>
      </x:c>
      <x:c r="B10765" s="0" t="s">
        <x:v>42903</x:v>
      </x:c>
      <x:c r="C10765" s="0" t="s">
        <x:v>42840</x:v>
      </x:c>
      <x:c r="E10765" s="0" t="s">
        <x:v>42904</x:v>
      </x:c>
      <x:c r="F10765" s="0" t="s">
        <x:v>45</x:v>
      </x:c>
      <x:c r="G10765" s="0" t="s">
        <x:v>35</x:v>
      </x:c>
      <x:c r="H10765" s="0" t="s">
        <x:v>20</x:v>
      </x:c>
      <x:c r="I10765" s="0" t="s">
        <x:v>21</x:v>
      </x:c>
      <x:c r="K10765" s="0">
        <x:f>hyperlink("https://icd.who.int/dev11/l-ichi/en#/http%3A%2F%2Fid.who.int%2Ficd%2Fentity%2F1578463652","browser")</x:f>
      </x:c>
      <x:c r="L10765" s="0">
        <x:f>hyperlink("https://icat2.azurewebsites.net/icat/?ontology=ICD&amp;tab=ClassesTab&amp;id=http%3A%2F%2Fwho.int%2Ficd%23334_bfdc5bfd_508c_4341_981a_49384b51cdc2","iCat")</x:f>
      </x:c>
      <x:c r="M10765" s="0" t="s">
        <x:v>21</x:v>
      </x:c>
      <x:c r="N10765" s="0" t="s">
        <x:v>46</x:v>
      </x:c>
    </x:row>
    <x:row r="10766" spans="1:16">
      <x:c r="A10766" s="0" t="s">
        <x:v>42905</x:v>
      </x:c>
      <x:c r="B10766" s="0" t="s">
        <x:v>42906</x:v>
      </x:c>
      <x:c r="C10766" s="0" t="s">
        <x:v>42840</x:v>
      </x:c>
      <x:c r="E10766" s="0" t="s">
        <x:v>42907</x:v>
      </x:c>
      <x:c r="F10766" s="0" t="s">
        <x:v>45</x:v>
      </x:c>
      <x:c r="G10766" s="0" t="s">
        <x:v>35</x:v>
      </x:c>
      <x:c r="H10766" s="0" t="s">
        <x:v>20</x:v>
      </x:c>
      <x:c r="I10766" s="0" t="s">
        <x:v>21</x:v>
      </x:c>
      <x:c r="K10766" s="0">
        <x:f>hyperlink("https://icd.who.int/dev11/l-ichi/en#/http%3A%2F%2Fid.who.int%2Ficd%2Fentity%2F223698746","browser")</x:f>
      </x:c>
      <x:c r="L10766" s="0">
        <x:f>hyperlink("https://icat2.azurewebsites.net/icat/?ontology=ICD&amp;tab=ClassesTab&amp;id=http%3A%2F%2Fwho.int%2Ficd%2337_145da35b_2606_49b1_9645_9e3aeecd5c47","iCat")</x:f>
      </x:c>
      <x:c r="M10766" s="0" t="s">
        <x:v>21</x:v>
      </x:c>
      <x:c r="N10766" s="0" t="s">
        <x:v>46</x:v>
      </x:c>
    </x:row>
    <x:row r="10767" spans="1:16">
      <x:c r="A10767" s="0" t="s">
        <x:v>42908</x:v>
      </x:c>
      <x:c r="B10767" s="0" t="s">
        <x:v>42909</x:v>
      </x:c>
      <x:c r="C10767" s="0" t="s">
        <x:v>42840</x:v>
      </x:c>
      <x:c r="E10767" s="0" t="s">
        <x:v>42910</x:v>
      </x:c>
      <x:c r="F10767" s="0" t="s">
        <x:v>45</x:v>
      </x:c>
      <x:c r="G10767" s="0" t="s">
        <x:v>35</x:v>
      </x:c>
      <x:c r="H10767" s="0" t="s">
        <x:v>20</x:v>
      </x:c>
      <x:c r="I10767" s="0" t="s">
        <x:v>21</x:v>
      </x:c>
      <x:c r="K10767" s="0">
        <x:f>hyperlink("https://icd.who.int/dev11/l-ichi/en#/http%3A%2F%2Fid.who.int%2Ficd%2Fentity%2F2009049929","browser")</x:f>
      </x:c>
      <x:c r="L10767" s="0">
        <x:f>hyperlink("https://icat2.azurewebsites.net/icat/?ontology=ICD&amp;tab=ClassesTab&amp;id=http%3A%2F%2Fwho.int%2Ficd%2356_145da35b_2606_49b1_9645_9e3aeecd5c47","iCat")</x:f>
      </x:c>
      <x:c r="M10767" s="0" t="s">
        <x:v>21</x:v>
      </x:c>
      <x:c r="N10767" s="0" t="s">
        <x:v>46</x:v>
      </x:c>
    </x:row>
    <x:row r="10768" spans="1:16">
      <x:c r="A10768" s="0" t="s">
        <x:v>42911</x:v>
      </x:c>
      <x:c r="B10768" s="0" t="s">
        <x:v>42912</x:v>
      </x:c>
      <x:c r="C10768" s="0" t="s">
        <x:v>42840</x:v>
      </x:c>
      <x:c r="E10768" s="0" t="s">
        <x:v>42913</x:v>
      </x:c>
      <x:c r="F10768" s="0" t="s">
        <x:v>45</x:v>
      </x:c>
      <x:c r="G10768" s="0" t="s">
        <x:v>35</x:v>
      </x:c>
      <x:c r="H10768" s="0" t="s">
        <x:v>20</x:v>
      </x:c>
      <x:c r="I10768" s="0" t="s">
        <x:v>21</x:v>
      </x:c>
      <x:c r="K10768" s="0">
        <x:f>hyperlink("https://icd.who.int/dev11/l-ichi/en#/http%3A%2F%2Fid.who.int%2Ficd%2Fentity%2F407769570","browser")</x:f>
      </x:c>
      <x:c r="L10768" s="0">
        <x:f>hyperlink("https://icat2.azurewebsites.net/icat/?ontology=ICD&amp;tab=ClassesTab&amp;id=http%3A%2F%2Fwho.int%2Ficd%2375_145da35b_2606_49b1_9645_9e3aeecd5c47","iCat")</x:f>
      </x:c>
      <x:c r="M10768" s="0" t="s">
        <x:v>21</x:v>
      </x:c>
      <x:c r="N10768" s="0" t="s">
        <x:v>46</x:v>
      </x:c>
    </x:row>
    <x:row r="10769" spans="1:16">
      <x:c r="A10769" s="0" t="s">
        <x:v>42914</x:v>
      </x:c>
      <x:c r="B10769" s="0" t="s">
        <x:v>42915</x:v>
      </x:c>
      <x:c r="C10769" s="0" t="s">
        <x:v>42840</x:v>
      </x:c>
      <x:c r="E10769" s="0" t="s">
        <x:v>42916</x:v>
      </x:c>
      <x:c r="F10769" s="0" t="s">
        <x:v>45</x:v>
      </x:c>
      <x:c r="G10769" s="0" t="s">
        <x:v>35</x:v>
      </x:c>
      <x:c r="H10769" s="0" t="s">
        <x:v>20</x:v>
      </x:c>
      <x:c r="I10769" s="0" t="s">
        <x:v>21</x:v>
      </x:c>
      <x:c r="K10769" s="0">
        <x:f>hyperlink("https://icd.who.int/dev11/l-ichi/en#/http%3A%2F%2Fid.who.int%2Ficd%2Fentity%2F2106965077","browser")</x:f>
      </x:c>
      <x:c r="L10769" s="0">
        <x:f>hyperlink("https://icat2.azurewebsites.net/icat/?ontology=ICD&amp;tab=ClassesTab&amp;id=http%3A%2F%2Fwho.int%2Ficd%2394_145da35b_2606_49b1_9645_9e3aeecd5c47","iCat")</x:f>
      </x:c>
      <x:c r="M10769" s="0" t="s">
        <x:v>21</x:v>
      </x:c>
      <x:c r="N10769" s="0" t="s">
        <x:v>46</x:v>
      </x:c>
    </x:row>
    <x:row r="10770" spans="1:16">
      <x:c r="A10770" s="0" t="s">
        <x:v>42917</x:v>
      </x:c>
      <x:c r="B10770" s="0" t="s">
        <x:v>42918</x:v>
      </x:c>
      <x:c r="C10770" s="0" t="s">
        <x:v>42840</x:v>
      </x:c>
      <x:c r="E10770" s="0" t="s">
        <x:v>42919</x:v>
      </x:c>
      <x:c r="F10770" s="0" t="s">
        <x:v>45</x:v>
      </x:c>
      <x:c r="G10770" s="0" t="s">
        <x:v>30</x:v>
      </x:c>
      <x:c r="H10770" s="0" t="s">
        <x:v>20</x:v>
      </x:c>
      <x:c r="I10770" s="0" t="s">
        <x:v>21</x:v>
      </x:c>
      <x:c r="K10770" s="0">
        <x:f>hyperlink("https://icd.who.int/dev11/l-ichi/en#/http%3A%2F%2Fid.who.int%2Ficd%2Fentity%2F1079550990","browser")</x:f>
      </x:c>
      <x:c r="L10770" s="0">
        <x:f>hyperlink("https://icat2.azurewebsites.net/icat/?ontology=ICD&amp;tab=ClassesTab&amp;id=http%3A%2F%2Fwho.int%2Ficd%23115_bfdc5bfd_508c_4341_981a_49384b51cdc2","iCat")</x:f>
      </x:c>
      <x:c r="M10770" s="0" t="s">
        <x:v>20</x:v>
      </x:c>
      <x:c r="N10770" s="0" t="s">
        <x:v>22</x:v>
      </x:c>
    </x:row>
    <x:row r="10771" spans="1:16">
      <x:c r="A10771" s="0" t="s">
        <x:v>42920</x:v>
      </x:c>
      <x:c r="B10771" s="0" t="s">
        <x:v>42921</x:v>
      </x:c>
      <x:c r="C10771" s="0" t="s">
        <x:v>42840</x:v>
      </x:c>
      <x:c r="E10771" s="0" t="s">
        <x:v>42922</x:v>
      </x:c>
      <x:c r="F10771" s="0" t="s">
        <x:v>45</x:v>
      </x:c>
      <x:c r="G10771" s="0" t="s">
        <x:v>35</x:v>
      </x:c>
      <x:c r="H10771" s="0" t="s">
        <x:v>20</x:v>
      </x:c>
      <x:c r="I10771" s="0" t="s">
        <x:v>21</x:v>
      </x:c>
      <x:c r="K10771" s="0">
        <x:f>hyperlink("https://icd.who.int/dev11/l-ichi/en#/http%3A%2F%2Fid.who.int%2Ficd%2Fentity%2F1004409133","browser")</x:f>
      </x:c>
      <x:c r="L10771" s="0">
        <x:f>hyperlink("https://icat2.azurewebsites.net/icat/?ontology=ICD&amp;tab=ClassesTab&amp;id=http%3A%2F%2Fwho.int%2Ficd%23119_bfdc5bfd_508c_4341_981a_49384b51cdc2","iCat")</x:f>
      </x:c>
      <x:c r="M10771" s="0" t="s">
        <x:v>21</x:v>
      </x:c>
      <x:c r="N10771" s="0" t="s">
        <x:v>46</x:v>
      </x:c>
    </x:row>
    <x:row r="10772" spans="1:16">
      <x:c r="A10772" s="0" t="s">
        <x:v>42923</x:v>
      </x:c>
      <x:c r="B10772" s="0" t="s">
        <x:v>42924</x:v>
      </x:c>
      <x:c r="C10772" s="0" t="s">
        <x:v>42840</x:v>
      </x:c>
      <x:c r="E10772" s="0" t="s">
        <x:v>42925</x:v>
      </x:c>
      <x:c r="F10772" s="0" t="s">
        <x:v>45</x:v>
      </x:c>
      <x:c r="G10772" s="0" t="s">
        <x:v>35</x:v>
      </x:c>
      <x:c r="H10772" s="0" t="s">
        <x:v>20</x:v>
      </x:c>
      <x:c r="I10772" s="0" t="s">
        <x:v>21</x:v>
      </x:c>
      <x:c r="K10772" s="0">
        <x:f>hyperlink("https://icd.who.int/dev11/l-ichi/en#/http%3A%2F%2Fid.who.int%2Ficd%2Fentity%2F15328267","browser")</x:f>
      </x:c>
      <x:c r="L10772" s="0">
        <x:f>hyperlink("https://icat2.azurewebsites.net/icat/?ontology=ICD&amp;tab=ClassesTab&amp;id=http%3A%2F%2Fwho.int%2Ficd%23125_bfdc5bfd_508c_4341_981a_49384b51cdc2","iCat")</x:f>
      </x:c>
      <x:c r="M10772" s="0" t="s">
        <x:v>21</x:v>
      </x:c>
      <x:c r="N10772" s="0" t="s">
        <x:v>46</x:v>
      </x:c>
    </x:row>
    <x:row r="10773" spans="1:16">
      <x:c r="A10773" s="0" t="s">
        <x:v>42926</x:v>
      </x:c>
      <x:c r="B10773" s="0" t="s">
        <x:v>42927</x:v>
      </x:c>
      <x:c r="C10773" s="0" t="s">
        <x:v>42840</x:v>
      </x:c>
      <x:c r="E10773" s="0" t="s">
        <x:v>42928</x:v>
      </x:c>
      <x:c r="F10773" s="0" t="s">
        <x:v>45</x:v>
      </x:c>
      <x:c r="G10773" s="0" t="s">
        <x:v>35</x:v>
      </x:c>
      <x:c r="H10773" s="0" t="s">
        <x:v>20</x:v>
      </x:c>
      <x:c r="I10773" s="0" t="s">
        <x:v>21</x:v>
      </x:c>
      <x:c r="K10773" s="0">
        <x:f>hyperlink("https://icd.who.int/dev11/l-ichi/en#/http%3A%2F%2Fid.who.int%2Ficd%2Fentity%2F2144519956","browser")</x:f>
      </x:c>
      <x:c r="L10773" s="0">
        <x:f>hyperlink("https://icat2.azurewebsites.net/icat/?ontology=ICD&amp;tab=ClassesTab&amp;id=http%3A%2F%2Fwho.int%2Ficd%23130_bfdc5bfd_508c_4341_981a_49384b51cdc2","iCat")</x:f>
      </x:c>
      <x:c r="M10773" s="0" t="s">
        <x:v>21</x:v>
      </x:c>
      <x:c r="N10773" s="0" t="s">
        <x:v>46</x:v>
      </x:c>
    </x:row>
    <x:row r="10774" spans="1:16">
      <x:c r="A10774" s="0" t="s">
        <x:v>42929</x:v>
      </x:c>
      <x:c r="B10774" s="0" t="s">
        <x:v>42930</x:v>
      </x:c>
      <x:c r="C10774" s="0" t="s">
        <x:v>42840</x:v>
      </x:c>
      <x:c r="E10774" s="0" t="s">
        <x:v>42931</x:v>
      </x:c>
      <x:c r="F10774" s="0" t="s">
        <x:v>45</x:v>
      </x:c>
      <x:c r="G10774" s="0" t="s">
        <x:v>35</x:v>
      </x:c>
      <x:c r="H10774" s="0" t="s">
        <x:v>20</x:v>
      </x:c>
      <x:c r="I10774" s="0" t="s">
        <x:v>21</x:v>
      </x:c>
      <x:c r="K10774" s="0">
        <x:f>hyperlink("https://icd.who.int/dev11/l-ichi/en#/http%3A%2F%2Fid.who.int%2Ficd%2Fentity%2F799612581","browser")</x:f>
      </x:c>
      <x:c r="L10774" s="0">
        <x:f>hyperlink("https://icat2.azurewebsites.net/icat/?ontology=ICD&amp;tab=ClassesTab&amp;id=http%3A%2F%2Fwho.int%2Ficd%23136_bfdc5bfd_508c_4341_981a_49384b51cdc2","iCat")</x:f>
      </x:c>
      <x:c r="M10774" s="0" t="s">
        <x:v>21</x:v>
      </x:c>
      <x:c r="N10774" s="0" t="s">
        <x:v>46</x:v>
      </x:c>
    </x:row>
    <x:row r="10775" spans="1:16">
      <x:c r="A10775" s="0" t="s">
        <x:v>42932</x:v>
      </x:c>
      <x:c r="B10775" s="0" t="s">
        <x:v>42933</x:v>
      </x:c>
      <x:c r="C10775" s="0" t="s">
        <x:v>42840</x:v>
      </x:c>
      <x:c r="E10775" s="0" t="s">
        <x:v>42934</x:v>
      </x:c>
      <x:c r="F10775" s="0" t="s">
        <x:v>45</x:v>
      </x:c>
      <x:c r="G10775" s="0" t="s">
        <x:v>30</x:v>
      </x:c>
      <x:c r="H10775" s="0" t="s">
        <x:v>20</x:v>
      </x:c>
      <x:c r="I10775" s="0" t="s">
        <x:v>21</x:v>
      </x:c>
      <x:c r="K10775" s="0">
        <x:f>hyperlink("https://icd.who.int/dev11/l-ichi/en#/http%3A%2F%2Fid.who.int%2Ficd%2Fentity%2F889968879","browser")</x:f>
      </x:c>
      <x:c r="L10775" s="0">
        <x:f>hyperlink("https://icat2.azurewebsites.net/icat/?ontology=ICD&amp;tab=ClassesTab&amp;id=http%3A%2F%2Fwho.int%2Ficd%23166_bfdc5bfd_508c_4341_981a_49384b51cdc2","iCat")</x:f>
      </x:c>
      <x:c r="M10775" s="0" t="s">
        <x:v>20</x:v>
      </x:c>
      <x:c r="N10775" s="0" t="s">
        <x:v>36</x:v>
      </x:c>
    </x:row>
    <x:row r="10776" spans="1:16">
      <x:c r="A10776" s="0" t="s">
        <x:v>42935</x:v>
      </x:c>
      <x:c r="B10776" s="0" t="s">
        <x:v>42936</x:v>
      </x:c>
      <x:c r="C10776" s="0" t="s">
        <x:v>42840</x:v>
      </x:c>
      <x:c r="E10776" s="0" t="s">
        <x:v>42937</x:v>
      </x:c>
      <x:c r="F10776" s="0" t="s">
        <x:v>45</x:v>
      </x:c>
      <x:c r="G10776" s="0" t="s">
        <x:v>35</x:v>
      </x:c>
      <x:c r="H10776" s="0" t="s">
        <x:v>20</x:v>
      </x:c>
      <x:c r="I10776" s="0" t="s">
        <x:v>21</x:v>
      </x:c>
      <x:c r="K10776" s="0">
        <x:f>hyperlink("https://icd.who.int/dev11/l-ichi/en#/http%3A%2F%2Fid.who.int%2Ficd%2Fentity%2F793568821","browser")</x:f>
      </x:c>
      <x:c r="L10776" s="0">
        <x:f>hyperlink("https://icat2.azurewebsites.net/icat/?ontology=ICD&amp;tab=ClassesTab&amp;id=http%3A%2F%2Fwho.int%2Ficd%23171_bfdc5bfd_508c_4341_981a_49384b51cdc2","iCat")</x:f>
      </x:c>
      <x:c r="M10776" s="0" t="s">
        <x:v>21</x:v>
      </x:c>
      <x:c r="N10776" s="0" t="s">
        <x:v>46</x:v>
      </x:c>
    </x:row>
    <x:row r="10777" spans="1:16">
      <x:c r="A10777" s="0" t="s">
        <x:v>42938</x:v>
      </x:c>
      <x:c r="B10777" s="0" t="s">
        <x:v>42939</x:v>
      </x:c>
      <x:c r="C10777" s="0" t="s">
        <x:v>42840</x:v>
      </x:c>
      <x:c r="E10777" s="0" t="s">
        <x:v>42940</x:v>
      </x:c>
      <x:c r="F10777" s="0" t="s">
        <x:v>45</x:v>
      </x:c>
      <x:c r="G10777" s="0" t="s">
        <x:v>35</x:v>
      </x:c>
      <x:c r="H10777" s="0" t="s">
        <x:v>20</x:v>
      </x:c>
      <x:c r="I10777" s="0" t="s">
        <x:v>21</x:v>
      </x:c>
      <x:c r="K10777" s="0">
        <x:f>hyperlink("https://icd.who.int/dev11/l-ichi/en#/http%3A%2F%2Fid.who.int%2Ficd%2Fentity%2F1607355834","browser")</x:f>
      </x:c>
      <x:c r="L10777" s="0">
        <x:f>hyperlink("https://icat2.azurewebsites.net/icat/?ontology=ICD&amp;tab=ClassesTab&amp;id=http%3A%2F%2Fwho.int%2Ficd%23176_bfdc5bfd_508c_4341_981a_49384b51cdc2","iCat")</x:f>
      </x:c>
      <x:c r="M10777" s="0" t="s">
        <x:v>21</x:v>
      </x:c>
      <x:c r="N10777" s="0" t="s">
        <x:v>46</x:v>
      </x:c>
    </x:row>
    <x:row r="10778" spans="1:16">
      <x:c r="A10778" s="0" t="s">
        <x:v>42941</x:v>
      </x:c>
      <x:c r="B10778" s="0" t="s">
        <x:v>42942</x:v>
      </x:c>
      <x:c r="C10778" s="0" t="s">
        <x:v>42840</x:v>
      </x:c>
      <x:c r="E10778" s="0" t="s">
        <x:v>42943</x:v>
      </x:c>
      <x:c r="F10778" s="0" t="s">
        <x:v>45</x:v>
      </x:c>
      <x:c r="G10778" s="0" t="s">
        <x:v>35</x:v>
      </x:c>
      <x:c r="H10778" s="0" t="s">
        <x:v>20</x:v>
      </x:c>
      <x:c r="I10778" s="0" t="s">
        <x:v>21</x:v>
      </x:c>
      <x:c r="K10778" s="0">
        <x:f>hyperlink("https://icd.who.int/dev11/l-ichi/en#/http%3A%2F%2Fid.who.int%2Ficd%2Fentity%2F1160692498","browser")</x:f>
      </x:c>
      <x:c r="L10778" s="0">
        <x:f>hyperlink("https://icat2.azurewebsites.net/icat/?ontology=ICD&amp;tab=ClassesTab&amp;id=http%3A%2F%2Fwho.int%2Ficd%23182_bfdc5bfd_508c_4341_981a_49384b51cdc2","iCat")</x:f>
      </x:c>
      <x:c r="M10778" s="0" t="s">
        <x:v>21</x:v>
      </x:c>
      <x:c r="N10778" s="0" t="s">
        <x:v>46</x:v>
      </x:c>
    </x:row>
    <x:row r="10779" spans="1:16">
      <x:c r="A10779" s="0" t="s">
        <x:v>42944</x:v>
      </x:c>
      <x:c r="B10779" s="0" t="s">
        <x:v>42945</x:v>
      </x:c>
      <x:c r="C10779" s="0" t="s">
        <x:v>42840</x:v>
      </x:c>
      <x:c r="E10779" s="0" t="s">
        <x:v>42946</x:v>
      </x:c>
      <x:c r="F10779" s="0" t="s">
        <x:v>45</x:v>
      </x:c>
      <x:c r="G10779" s="0" t="s">
        <x:v>35</x:v>
      </x:c>
      <x:c r="H10779" s="0" t="s">
        <x:v>20</x:v>
      </x:c>
      <x:c r="I10779" s="0" t="s">
        <x:v>21</x:v>
      </x:c>
      <x:c r="K10779" s="0">
        <x:f>hyperlink("https://icd.who.int/dev11/l-ichi/en#/http%3A%2F%2Fid.who.int%2Ficd%2Fentity%2F1859366786","browser")</x:f>
      </x:c>
      <x:c r="L10779" s="0">
        <x:f>hyperlink("https://icat2.azurewebsites.net/icat/?ontology=ICD&amp;tab=ClassesTab&amp;id=http%3A%2F%2Fwho.int%2Ficd%23188_bfdc5bfd_508c_4341_981a_49384b51cdc2","iCat")</x:f>
      </x:c>
      <x:c r="M10779" s="0" t="s">
        <x:v>21</x:v>
      </x:c>
      <x:c r="N10779" s="0" t="s">
        <x:v>46</x:v>
      </x:c>
    </x:row>
    <x:row r="10780" spans="1:16">
      <x:c r="A10780" s="0" t="s">
        <x:v>42947</x:v>
      </x:c>
      <x:c r="B10780" s="0" t="s">
        <x:v>42948</x:v>
      </x:c>
      <x:c r="C10780" s="0" t="s">
        <x:v>42840</x:v>
      </x:c>
      <x:c r="E10780" s="0" t="s">
        <x:v>42949</x:v>
      </x:c>
      <x:c r="F10780" s="0" t="s">
        <x:v>45</x:v>
      </x:c>
      <x:c r="G10780" s="0" t="s">
        <x:v>35</x:v>
      </x:c>
      <x:c r="H10780" s="0" t="s">
        <x:v>20</x:v>
      </x:c>
      <x:c r="I10780" s="0" t="s">
        <x:v>21</x:v>
      </x:c>
      <x:c r="K10780" s="0">
        <x:f>hyperlink("https://icd.who.int/dev11/l-ichi/en#/http%3A%2F%2Fid.who.int%2Ficd%2Fentity%2F252847225","browser")</x:f>
      </x:c>
      <x:c r="L10780" s="0">
        <x:f>hyperlink("https://icat2.azurewebsites.net/icat/?ontology=ICD&amp;tab=ClassesTab&amp;id=http%3A%2F%2Fwho.int%2Ficd%23193_bfdc5bfd_508c_4341_981a_49384b51cdc2","iCat")</x:f>
      </x:c>
      <x:c r="M10780" s="0" t="s">
        <x:v>21</x:v>
      </x:c>
      <x:c r="N10780" s="0" t="s">
        <x:v>46</x:v>
      </x:c>
    </x:row>
    <x:row r="10781" spans="1:16">
      <x:c r="A10781" s="0" t="s">
        <x:v>42950</x:v>
      </x:c>
      <x:c r="B10781" s="0" t="s">
        <x:v>42951</x:v>
      </x:c>
      <x:c r="C10781" s="0" t="s">
        <x:v>42840</x:v>
      </x:c>
      <x:c r="E10781" s="0" t="s">
        <x:v>42952</x:v>
      </x:c>
      <x:c r="F10781" s="0" t="s">
        <x:v>45</x:v>
      </x:c>
      <x:c r="G10781" s="0" t="s">
        <x:v>35</x:v>
      </x:c>
      <x:c r="H10781" s="0" t="s">
        <x:v>20</x:v>
      </x:c>
      <x:c r="I10781" s="0" t="s">
        <x:v>21</x:v>
      </x:c>
      <x:c r="K10781" s="0">
        <x:f>hyperlink("https://icd.who.int/dev11/l-ichi/en#/http%3A%2F%2Fid.who.int%2Ficd%2Fentity%2F619661545","browser")</x:f>
      </x:c>
      <x:c r="L10781" s="0">
        <x:f>hyperlink("https://icat2.azurewebsites.net/icat/?ontology=ICD&amp;tab=ClassesTab&amp;id=http%3A%2F%2Fwho.int%2Ficd%23199_bfdc5bfd_508c_4341_981a_49384b51cdc2","iCat")</x:f>
      </x:c>
      <x:c r="M10781" s="0" t="s">
        <x:v>21</x:v>
      </x:c>
      <x:c r="N10781" s="0" t="s">
        <x:v>46</x:v>
      </x:c>
    </x:row>
    <x:row r="10782" spans="1:16">
      <x:c r="A10782" s="0" t="s">
        <x:v>42953</x:v>
      </x:c>
      <x:c r="B10782" s="0" t="s">
        <x:v>42954</x:v>
      </x:c>
      <x:c r="C10782" s="0" t="s">
        <x:v>42840</x:v>
      </x:c>
      <x:c r="E10782" s="0" t="s">
        <x:v>42955</x:v>
      </x:c>
      <x:c r="F10782" s="0" t="s">
        <x:v>45</x:v>
      </x:c>
      <x:c r="G10782" s="0" t="s">
        <x:v>35</x:v>
      </x:c>
      <x:c r="H10782" s="0" t="s">
        <x:v>20</x:v>
      </x:c>
      <x:c r="I10782" s="0" t="s">
        <x:v>21</x:v>
      </x:c>
      <x:c r="K10782" s="0">
        <x:f>hyperlink("https://icd.who.int/dev11/l-ichi/en#/http%3A%2F%2Fid.who.int%2Ficd%2Fentity%2F1434020010","browser")</x:f>
      </x:c>
      <x:c r="L10782" s="0">
        <x:f>hyperlink("https://icat2.azurewebsites.net/icat/?ontology=ICD&amp;tab=ClassesTab&amp;id=http%3A%2F%2Fwho.int%2Ficd%23298_dd4d4347_e398_43b9_84dd_c9611ca6abfa","iCat")</x:f>
      </x:c>
      <x:c r="M10782" s="0" t="s">
        <x:v>21</x:v>
      </x:c>
      <x:c r="N10782" s="0" t="s">
        <x:v>46</x:v>
      </x:c>
    </x:row>
    <x:row r="10783" spans="1:16">
      <x:c r="A10783" s="0" t="s">
        <x:v>42956</x:v>
      </x:c>
      <x:c r="B10783" s="0" t="s">
        <x:v>42957</x:v>
      </x:c>
      <x:c r="C10783" s="0" t="s">
        <x:v>42840</x:v>
      </x:c>
      <x:c r="E10783" s="0" t="s">
        <x:v>42958</x:v>
      </x:c>
      <x:c r="F10783" s="0" t="s">
        <x:v>45</x:v>
      </x:c>
      <x:c r="G10783" s="0" t="s">
        <x:v>35</x:v>
      </x:c>
      <x:c r="H10783" s="0" t="s">
        <x:v>20</x:v>
      </x:c>
      <x:c r="I10783" s="0" t="s">
        <x:v>21</x:v>
      </x:c>
      <x:c r="K10783" s="0">
        <x:f>hyperlink("https://icd.who.int/dev11/l-ichi/en#/http%3A%2F%2Fid.who.int%2Ficd%2Fentity%2F2129595958","browser")</x:f>
      </x:c>
      <x:c r="L10783" s="0">
        <x:f>hyperlink("https://icat2.azurewebsites.net/icat/?ontology=ICD&amp;tab=ClassesTab&amp;id=http%3A%2F%2Fwho.int%2Ficd%23302_dd4d4347_e398_43b9_84dd_c9611ca6abfa","iCat")</x:f>
      </x:c>
      <x:c r="M10783" s="0" t="s">
        <x:v>21</x:v>
      </x:c>
      <x:c r="N10783" s="0" t="s">
        <x:v>46</x:v>
      </x:c>
    </x:row>
    <x:row r="10784" spans="1:16">
      <x:c r="A10784" s="0" t="s">
        <x:v>42959</x:v>
      </x:c>
      <x:c r="B10784" s="0" t="s">
        <x:v>42960</x:v>
      </x:c>
      <x:c r="C10784" s="0" t="s">
        <x:v>42840</x:v>
      </x:c>
      <x:c r="E10784" s="0" t="s">
        <x:v>42961</x:v>
      </x:c>
      <x:c r="F10784" s="0" t="s">
        <x:v>45</x:v>
      </x:c>
      <x:c r="G10784" s="0" t="s">
        <x:v>35</x:v>
      </x:c>
      <x:c r="H10784" s="0" t="s">
        <x:v>20</x:v>
      </x:c>
      <x:c r="I10784" s="0" t="s">
        <x:v>21</x:v>
      </x:c>
      <x:c r="K10784" s="0">
        <x:f>hyperlink("https://icd.who.int/dev11/l-ichi/en#/http%3A%2F%2Fid.who.int%2Ficd%2Fentity%2F1273547328","browser")</x:f>
      </x:c>
      <x:c r="L10784" s="0">
        <x:f>hyperlink("https://icat2.azurewebsites.net/icat/?ontology=ICD&amp;tab=ClassesTab&amp;id=http%3A%2F%2Fwho.int%2Ficd%23306_dd4d4347_e398_43b9_84dd_c9611ca6abfa","iCat")</x:f>
      </x:c>
      <x:c r="M10784" s="0" t="s">
        <x:v>21</x:v>
      </x:c>
      <x:c r="N10784" s="0" t="s">
        <x:v>46</x:v>
      </x:c>
    </x:row>
    <x:row r="10785" spans="1:16">
      <x:c r="A10785" s="0" t="s">
        <x:v>42962</x:v>
      </x:c>
      <x:c r="B10785" s="0" t="s">
        <x:v>42963</x:v>
      </x:c>
      <x:c r="C10785" s="0" t="s">
        <x:v>42840</x:v>
      </x:c>
      <x:c r="E10785" s="0" t="s">
        <x:v>42964</x:v>
      </x:c>
      <x:c r="F10785" s="0" t="s">
        <x:v>45</x:v>
      </x:c>
      <x:c r="G10785" s="0" t="s">
        <x:v>30</x:v>
      </x:c>
      <x:c r="H10785" s="0" t="s">
        <x:v>20</x:v>
      </x:c>
      <x:c r="I10785" s="0" t="s">
        <x:v>21</x:v>
      </x:c>
      <x:c r="K10785" s="0">
        <x:f>hyperlink("https://icd.who.int/dev11/l-ichi/en#/http%3A%2F%2Fid.who.int%2Ficd%2Fentity%2F1000723999","browser")</x:f>
      </x:c>
      <x:c r="L10785" s="0">
        <x:f>hyperlink("https://icat2.azurewebsites.net/icat/?ontology=ICD&amp;tab=ClassesTab&amp;id=http%3A%2F%2Fwho.int%2Ficd%23245_bfdc5bfd_508c_4341_981a_49384b51cdc2","iCat")</x:f>
      </x:c>
      <x:c r="M10785" s="0" t="s">
        <x:v>20</x:v>
      </x:c>
      <x:c r="N10785" s="0" t="s">
        <x:v>35</x:v>
      </x:c>
    </x:row>
    <x:row r="10786" spans="1:16">
      <x:c r="A10786" s="0" t="s">
        <x:v>42965</x:v>
      </x:c>
      <x:c r="B10786" s="0" t="s">
        <x:v>42966</x:v>
      </x:c>
      <x:c r="C10786" s="0" t="s">
        <x:v>42840</x:v>
      </x:c>
      <x:c r="E10786" s="0" t="s">
        <x:v>42967</x:v>
      </x:c>
      <x:c r="F10786" s="0" t="s">
        <x:v>45</x:v>
      </x:c>
      <x:c r="G10786" s="0" t="s">
        <x:v>35</x:v>
      </x:c>
      <x:c r="H10786" s="0" t="s">
        <x:v>20</x:v>
      </x:c>
      <x:c r="I10786" s="0" t="s">
        <x:v>21</x:v>
      </x:c>
      <x:c r="K10786" s="0">
        <x:f>hyperlink("https://icd.who.int/dev11/l-ichi/en#/http%3A%2F%2Fid.who.int%2Ficd%2Fentity%2F1151268096","browser")</x:f>
      </x:c>
      <x:c r="L10786" s="0">
        <x:f>hyperlink("https://icat2.azurewebsites.net/icat/?ontology=ICD&amp;tab=ClassesTab&amp;id=http%3A%2F%2Fwho.int%2Ficd%23250_bfdc5bfd_508c_4341_981a_49384b51cdc2","iCat")</x:f>
      </x:c>
      <x:c r="M10786" s="0" t="s">
        <x:v>21</x:v>
      </x:c>
      <x:c r="N10786" s="0" t="s">
        <x:v>46</x:v>
      </x:c>
    </x:row>
    <x:row r="10787" spans="1:16">
      <x:c r="A10787" s="0" t="s">
        <x:v>42968</x:v>
      </x:c>
      <x:c r="B10787" s="0" t="s">
        <x:v>42969</x:v>
      </x:c>
      <x:c r="C10787" s="0" t="s">
        <x:v>42840</x:v>
      </x:c>
      <x:c r="E10787" s="0" t="s">
        <x:v>42970</x:v>
      </x:c>
      <x:c r="F10787" s="0" t="s">
        <x:v>45</x:v>
      </x:c>
      <x:c r="G10787" s="0" t="s">
        <x:v>35</x:v>
      </x:c>
      <x:c r="H10787" s="0" t="s">
        <x:v>20</x:v>
      </x:c>
      <x:c r="I10787" s="0" t="s">
        <x:v>21</x:v>
      </x:c>
      <x:c r="K10787" s="0">
        <x:f>hyperlink("https://icd.who.int/dev11/l-ichi/en#/http%3A%2F%2Fid.who.int%2Ficd%2Fentity%2F1365263176","browser")</x:f>
      </x:c>
      <x:c r="L10787" s="0">
        <x:f>hyperlink("https://icat2.azurewebsites.net/icat/?ontology=ICD&amp;tab=ClassesTab&amp;id=http%3A%2F%2Fwho.int%2Ficd%23255_bfdc5bfd_508c_4341_981a_49384b51cdc2","iCat")</x:f>
      </x:c>
      <x:c r="M10787" s="0" t="s">
        <x:v>21</x:v>
      </x:c>
      <x:c r="N10787" s="0" t="s">
        <x:v>46</x:v>
      </x:c>
    </x:row>
    <x:row r="10788" spans="1:16">
      <x:c r="A10788" s="0" t="s">
        <x:v>42971</x:v>
      </x:c>
      <x:c r="B10788" s="0" t="s">
        <x:v>42972</x:v>
      </x:c>
      <x:c r="C10788" s="0" t="s">
        <x:v>42840</x:v>
      </x:c>
      <x:c r="E10788" s="0" t="s">
        <x:v>42973</x:v>
      </x:c>
      <x:c r="F10788" s="0" t="s">
        <x:v>45</x:v>
      </x:c>
      <x:c r="G10788" s="0" t="s">
        <x:v>35</x:v>
      </x:c>
      <x:c r="H10788" s="0" t="s">
        <x:v>20</x:v>
      </x:c>
      <x:c r="I10788" s="0" t="s">
        <x:v>21</x:v>
      </x:c>
      <x:c r="K10788" s="0">
        <x:f>hyperlink("https://icd.who.int/dev11/l-ichi/en#/http%3A%2F%2Fid.who.int%2Ficd%2Fentity%2F70235399","browser")</x:f>
      </x:c>
      <x:c r="L10788" s="0">
        <x:f>hyperlink("https://icat2.azurewebsites.net/icat/?ontology=ICD&amp;tab=ClassesTab&amp;id=http%3A%2F%2Fwho.int%2Ficd%23260_bfdc5bfd_508c_4341_981a_49384b51cdc2","iCat")</x:f>
      </x:c>
      <x:c r="M10788" s="0" t="s">
        <x:v>21</x:v>
      </x:c>
      <x:c r="N10788" s="0" t="s">
        <x:v>46</x:v>
      </x:c>
    </x:row>
    <x:row r="10789" spans="1:16">
      <x:c r="A10789" s="0" t="s">
        <x:v>42974</x:v>
      </x:c>
      <x:c r="B10789" s="0" t="s">
        <x:v>42975</x:v>
      </x:c>
      <x:c r="C10789" s="0" t="s">
        <x:v>42840</x:v>
      </x:c>
      <x:c r="E10789" s="0" t="s">
        <x:v>42976</x:v>
      </x:c>
      <x:c r="F10789" s="0" t="s">
        <x:v>45</x:v>
      </x:c>
      <x:c r="G10789" s="0" t="s">
        <x:v>30</x:v>
      </x:c>
      <x:c r="H10789" s="0" t="s">
        <x:v>20</x:v>
      </x:c>
      <x:c r="I10789" s="0" t="s">
        <x:v>21</x:v>
      </x:c>
      <x:c r="K10789" s="0">
        <x:f>hyperlink("https://icd.who.int/dev11/l-ichi/en#/http%3A%2F%2Fid.who.int%2Ficd%2Fentity%2F824734067","browser")</x:f>
      </x:c>
      <x:c r="L10789" s="0">
        <x:f>hyperlink("https://icat2.azurewebsites.net/icat/?ontology=ICD&amp;tab=ClassesTab&amp;id=http%3A%2F%2Fwho.int%2Ficd%23264_bfdc5bfd_508c_4341_981a_49384b51cdc2","iCat")</x:f>
      </x:c>
      <x:c r="M10789" s="0" t="s">
        <x:v>20</x:v>
      </x:c>
      <x:c r="N10789" s="0" t="s">
        <x:v>36</x:v>
      </x:c>
    </x:row>
    <x:row r="10790" spans="1:16">
      <x:c r="A10790" s="0" t="s">
        <x:v>42977</x:v>
      </x:c>
      <x:c r="B10790" s="0" t="s">
        <x:v>42978</x:v>
      </x:c>
      <x:c r="C10790" s="0" t="s">
        <x:v>42840</x:v>
      </x:c>
      <x:c r="E10790" s="0" t="s">
        <x:v>42979</x:v>
      </x:c>
      <x:c r="F10790" s="0" t="s">
        <x:v>45</x:v>
      </x:c>
      <x:c r="G10790" s="0" t="s">
        <x:v>35</x:v>
      </x:c>
      <x:c r="H10790" s="0" t="s">
        <x:v>20</x:v>
      </x:c>
      <x:c r="I10790" s="0" t="s">
        <x:v>21</x:v>
      </x:c>
      <x:c r="K10790" s="0">
        <x:f>hyperlink("https://icd.who.int/dev11/l-ichi/en#/http%3A%2F%2Fid.who.int%2Ficd%2Fentity%2F1252967508","browser")</x:f>
      </x:c>
      <x:c r="L10790" s="0">
        <x:f>hyperlink("https://icat2.azurewebsites.net/icat/?ontology=ICD&amp;tab=ClassesTab&amp;id=http%3A%2F%2Fwho.int%2Ficd%23268_bfdc5bfd_508c_4341_981a_49384b51cdc2","iCat")</x:f>
      </x:c>
      <x:c r="M10790" s="0" t="s">
        <x:v>21</x:v>
      </x:c>
      <x:c r="N10790" s="0" t="s">
        <x:v>46</x:v>
      </x:c>
    </x:row>
    <x:row r="10791" spans="1:16">
      <x:c r="A10791" s="0" t="s">
        <x:v>42980</x:v>
      </x:c>
      <x:c r="B10791" s="0" t="s">
        <x:v>42981</x:v>
      </x:c>
      <x:c r="C10791" s="0" t="s">
        <x:v>42840</x:v>
      </x:c>
      <x:c r="E10791" s="0" t="s">
        <x:v>42982</x:v>
      </x:c>
      <x:c r="F10791" s="0" t="s">
        <x:v>45</x:v>
      </x:c>
      <x:c r="G10791" s="0" t="s">
        <x:v>35</x:v>
      </x:c>
      <x:c r="H10791" s="0" t="s">
        <x:v>20</x:v>
      </x:c>
      <x:c r="I10791" s="0" t="s">
        <x:v>21</x:v>
      </x:c>
      <x:c r="K10791" s="0">
        <x:f>hyperlink("https://icd.who.int/dev11/l-ichi/en#/http%3A%2F%2Fid.who.int%2Ficd%2Fentity%2F728715177","browser")</x:f>
      </x:c>
      <x:c r="L10791" s="0">
        <x:f>hyperlink("https://icat2.azurewebsites.net/icat/?ontology=ICD&amp;tab=ClassesTab&amp;id=http%3A%2F%2Fwho.int%2Ficd%23273_bfdc5bfd_508c_4341_981a_49384b51cdc2","iCat")</x:f>
      </x:c>
      <x:c r="M10791" s="0" t="s">
        <x:v>21</x:v>
      </x:c>
      <x:c r="N10791" s="0" t="s">
        <x:v>46</x:v>
      </x:c>
    </x:row>
    <x:row r="10792" spans="1:16">
      <x:c r="A10792" s="0" t="s">
        <x:v>42983</x:v>
      </x:c>
      <x:c r="B10792" s="0" t="s">
        <x:v>42984</x:v>
      </x:c>
      <x:c r="C10792" s="0" t="s">
        <x:v>42840</x:v>
      </x:c>
      <x:c r="E10792" s="0" t="s">
        <x:v>42985</x:v>
      </x:c>
      <x:c r="F10792" s="0" t="s">
        <x:v>45</x:v>
      </x:c>
      <x:c r="G10792" s="0" t="s">
        <x:v>35</x:v>
      </x:c>
      <x:c r="H10792" s="0" t="s">
        <x:v>20</x:v>
      </x:c>
      <x:c r="I10792" s="0" t="s">
        <x:v>21</x:v>
      </x:c>
      <x:c r="K10792" s="0">
        <x:f>hyperlink("https://icd.who.int/dev11/l-ichi/en#/http%3A%2F%2Fid.who.int%2Ficd%2Fentity%2F543904005","browser")</x:f>
      </x:c>
      <x:c r="L10792" s="0">
        <x:f>hyperlink("https://icat2.azurewebsites.net/icat/?ontology=ICD&amp;tab=ClassesTab&amp;id=http%3A%2F%2Fwho.int%2Ficd%23278_bfdc5bfd_508c_4341_981a_49384b51cdc2","iCat")</x:f>
      </x:c>
      <x:c r="M10792" s="0" t="s">
        <x:v>21</x:v>
      </x:c>
      <x:c r="N10792" s="0" t="s">
        <x:v>46</x:v>
      </x:c>
    </x:row>
    <x:row r="10793" spans="1:16">
      <x:c r="A10793" s="0" t="s">
        <x:v>42986</x:v>
      </x:c>
      <x:c r="B10793" s="0" t="s">
        <x:v>42987</x:v>
      </x:c>
      <x:c r="C10793" s="0" t="s">
        <x:v>42840</x:v>
      </x:c>
      <x:c r="E10793" s="0" t="s">
        <x:v>42988</x:v>
      </x:c>
      <x:c r="F10793" s="0" t="s">
        <x:v>45</x:v>
      </x:c>
      <x:c r="G10793" s="0" t="s">
        <x:v>35</x:v>
      </x:c>
      <x:c r="H10793" s="0" t="s">
        <x:v>20</x:v>
      </x:c>
      <x:c r="I10793" s="0" t="s">
        <x:v>21</x:v>
      </x:c>
      <x:c r="K10793" s="0">
        <x:f>hyperlink("https://icd.who.int/dev11/l-ichi/en#/http%3A%2F%2Fid.who.int%2Ficd%2Fentity%2F76023159","browser")</x:f>
      </x:c>
      <x:c r="L10793" s="0">
        <x:f>hyperlink("https://icat2.azurewebsites.net/icat/?ontology=ICD&amp;tab=ClassesTab&amp;id=http%3A%2F%2Fwho.int%2Ficd%23283_bfdc5bfd_508c_4341_981a_49384b51cdc2","iCat")</x:f>
      </x:c>
      <x:c r="M10793" s="0" t="s">
        <x:v>21</x:v>
      </x:c>
      <x:c r="N10793" s="0" t="s">
        <x:v>46</x:v>
      </x:c>
    </x:row>
    <x:row r="10794" spans="1:16">
      <x:c r="A10794" s="0" t="s">
        <x:v>42989</x:v>
      </x:c>
      <x:c r="B10794" s="0" t="s">
        <x:v>42990</x:v>
      </x:c>
      <x:c r="C10794" s="0" t="s">
        <x:v>42840</x:v>
      </x:c>
      <x:c r="E10794" s="0" t="s">
        <x:v>42991</x:v>
      </x:c>
      <x:c r="F10794" s="0" t="s">
        <x:v>45</x:v>
      </x:c>
      <x:c r="G10794" s="0" t="s">
        <x:v>35</x:v>
      </x:c>
      <x:c r="H10794" s="0" t="s">
        <x:v>20</x:v>
      </x:c>
      <x:c r="I10794" s="0" t="s">
        <x:v>21</x:v>
      </x:c>
      <x:c r="K10794" s="0">
        <x:f>hyperlink("https://icd.who.int/dev11/l-ichi/en#/http%3A%2F%2Fid.who.int%2Ficd%2Fentity%2F1043745169","browser")</x:f>
      </x:c>
      <x:c r="L10794" s="0">
        <x:f>hyperlink("https://icat2.azurewebsites.net/icat/?ontology=ICD&amp;tab=ClassesTab&amp;id=http%3A%2F%2Fwho.int%2Ficd%23295_bfdc5bfd_508c_4341_981a_49384b51cdc2","iCat")</x:f>
      </x:c>
      <x:c r="M10794" s="0" t="s">
        <x:v>21</x:v>
      </x:c>
      <x:c r="N10794" s="0" t="s">
        <x:v>46</x:v>
      </x:c>
    </x:row>
    <x:row r="10795" spans="1:16">
      <x:c r="A10795" s="0" t="s">
        <x:v>42992</x:v>
      </x:c>
      <x:c r="B10795" s="0" t="s">
        <x:v>42993</x:v>
      </x:c>
      <x:c r="C10795" s="0" t="s">
        <x:v>42840</x:v>
      </x:c>
      <x:c r="E10795" s="0" t="s">
        <x:v>42994</x:v>
      </x:c>
      <x:c r="F10795" s="0" t="s">
        <x:v>45</x:v>
      </x:c>
      <x:c r="G10795" s="0" t="s">
        <x:v>35</x:v>
      </x:c>
      <x:c r="H10795" s="0" t="s">
        <x:v>20</x:v>
      </x:c>
      <x:c r="I10795" s="0" t="s">
        <x:v>21</x:v>
      </x:c>
      <x:c r="K10795" s="0">
        <x:f>hyperlink("https://icd.who.int/dev11/l-ichi/en#/http%3A%2F%2Fid.who.int%2Ficd%2Fentity%2F190482411","browser")</x:f>
      </x:c>
      <x:c r="L10795" s="0">
        <x:f>hyperlink("https://icat2.azurewebsites.net/icat/?ontology=ICD&amp;tab=ClassesTab&amp;id=http%3A%2F%2Fwho.int%2Ficd%23301_bfdc5bfd_508c_4341_981a_49384b51cdc2","iCat")</x:f>
      </x:c>
      <x:c r="M10795" s="0" t="s">
        <x:v>21</x:v>
      </x:c>
      <x:c r="N10795" s="0" t="s">
        <x:v>46</x:v>
      </x:c>
    </x:row>
    <x:row r="10796" spans="1:16">
      <x:c r="A10796" s="0" t="s">
        <x:v>42995</x:v>
      </x:c>
      <x:c r="B10796" s="0" t="s">
        <x:v>42996</x:v>
      </x:c>
      <x:c r="C10796" s="0" t="s">
        <x:v>42840</x:v>
      </x:c>
      <x:c r="E10796" s="0" t="s">
        <x:v>42997</x:v>
      </x:c>
      <x:c r="F10796" s="0" t="s">
        <x:v>45</x:v>
      </x:c>
      <x:c r="G10796" s="0" t="s">
        <x:v>35</x:v>
      </x:c>
      <x:c r="H10796" s="0" t="s">
        <x:v>20</x:v>
      </x:c>
      <x:c r="I10796" s="0" t="s">
        <x:v>21</x:v>
      </x:c>
      <x:c r="K10796" s="0">
        <x:f>hyperlink("https://icd.who.int/dev11/l-ichi/en#/http%3A%2F%2Fid.who.int%2Ficd%2Fentity%2F1637814974","browser")</x:f>
      </x:c>
      <x:c r="L10796" s="0">
        <x:f>hyperlink("https://icat2.azurewebsites.net/icat/?ontology=ICD&amp;tab=ClassesTab&amp;id=http%3A%2F%2Fwho.int%2Ficd%23311_bfdc5bfd_508c_4341_981a_49384b51cdc2","iCat")</x:f>
      </x:c>
      <x:c r="M10796" s="0" t="s">
        <x:v>21</x:v>
      </x:c>
      <x:c r="N10796" s="0" t="s">
        <x:v>46</x:v>
      </x:c>
    </x:row>
    <x:row r="10797" spans="1:16">
      <x:c r="A10797" s="0" t="s">
        <x:v>42998</x:v>
      </x:c>
      <x:c r="B10797" s="0" t="s">
        <x:v>42999</x:v>
      </x:c>
      <x:c r="C10797" s="0" t="s">
        <x:v>42840</x:v>
      </x:c>
      <x:c r="E10797" s="0" t="s">
        <x:v>43000</x:v>
      </x:c>
      <x:c r="F10797" s="0" t="s">
        <x:v>45</x:v>
      </x:c>
      <x:c r="G10797" s="0" t="s">
        <x:v>35</x:v>
      </x:c>
      <x:c r="H10797" s="0" t="s">
        <x:v>20</x:v>
      </x:c>
      <x:c r="I10797" s="0" t="s">
        <x:v>21</x:v>
      </x:c>
      <x:c r="K10797" s="0">
        <x:f>hyperlink("https://icd.who.int/dev11/l-ichi/en#/http%3A%2F%2Fid.who.int%2Ficd%2Fentity%2F30875783","browser")</x:f>
      </x:c>
      <x:c r="L10797" s="0">
        <x:f>hyperlink("https://icat2.azurewebsites.net/icat/?ontology=ICD&amp;tab=ClassesTab&amp;id=http%3A%2F%2Fwho.int%2Ficd%23320_bfdc5bfd_508c_4341_981a_49384b51cdc2","iCat")</x:f>
      </x:c>
      <x:c r="M10797" s="0" t="s">
        <x:v>21</x:v>
      </x:c>
      <x:c r="N10797" s="0" t="s">
        <x:v>46</x:v>
      </x:c>
    </x:row>
    <x:row r="10798" spans="1:16">
      <x:c r="A10798" s="0" t="s">
        <x:v>43001</x:v>
      </x:c>
      <x:c r="B10798" s="0" t="s">
        <x:v>43002</x:v>
      </x:c>
      <x:c r="C10798" s="0" t="s">
        <x:v>42840</x:v>
      </x:c>
      <x:c r="E10798" s="0" t="s">
        <x:v>43003</x:v>
      </x:c>
      <x:c r="F10798" s="0" t="s">
        <x:v>45</x:v>
      </x:c>
      <x:c r="G10798" s="0" t="s">
        <x:v>35</x:v>
      </x:c>
      <x:c r="H10798" s="0" t="s">
        <x:v>20</x:v>
      </x:c>
      <x:c r="I10798" s="0" t="s">
        <x:v>21</x:v>
      </x:c>
      <x:c r="K10798" s="0">
        <x:f>hyperlink("https://icd.who.int/dev11/l-ichi/en#/http%3A%2F%2Fid.who.int%2Ficd%2Fentity%2F1873748974","browser")</x:f>
      </x:c>
      <x:c r="L10798" s="0">
        <x:f>hyperlink("https://icat2.azurewebsites.net/icat/?ontology=ICD&amp;tab=ClassesTab&amp;id=http%3A%2F%2Fwho.int%2Ficd%23329_bfdc5bfd_508c_4341_981a_49384b51cdc2","iCat")</x:f>
      </x:c>
      <x:c r="M10798" s="0" t="s">
        <x:v>21</x:v>
      </x:c>
      <x:c r="N10798" s="0" t="s">
        <x:v>46</x:v>
      </x:c>
    </x:row>
    <x:row r="10799" spans="1:16">
      <x:c r="A10799" s="0" t="s">
        <x:v>43004</x:v>
      </x:c>
      <x:c r="B10799" s="0" t="s">
        <x:v>43005</x:v>
      </x:c>
      <x:c r="C10799" s="0" t="s">
        <x:v>42840</x:v>
      </x:c>
      <x:c r="E10799" s="0" t="s">
        <x:v>43006</x:v>
      </x:c>
      <x:c r="F10799" s="0" t="s">
        <x:v>45</x:v>
      </x:c>
      <x:c r="G10799" s="0" t="s">
        <x:v>30</x:v>
      </x:c>
      <x:c r="H10799" s="0" t="s">
        <x:v>20</x:v>
      </x:c>
      <x:c r="I10799" s="0" t="s">
        <x:v>21</x:v>
      </x:c>
      <x:c r="K10799" s="0">
        <x:f>hyperlink("https://icd.who.int/dev11/l-ichi/en#/http%3A%2F%2Fid.who.int%2Ficd%2Fentity%2F90879673","browser")</x:f>
      </x:c>
      <x:c r="L10799" s="0">
        <x:f>hyperlink("https://icat2.azurewebsites.net/icat/?ontology=ICD&amp;tab=ClassesTab&amp;id=http%3A%2F%2Fwho.int%2Ficd%23339_bfdc5bfd_508c_4341_981a_49384b51cdc2","iCat")</x:f>
      </x:c>
      <x:c r="M10799" s="0" t="s">
        <x:v>20</x:v>
      </x:c>
      <x:c r="N10799" s="0" t="s">
        <x:v>35</x:v>
      </x:c>
    </x:row>
    <x:row r="10800" spans="1:16">
      <x:c r="A10800" s="0" t="s">
        <x:v>43007</x:v>
      </x:c>
      <x:c r="B10800" s="0" t="s">
        <x:v>43008</x:v>
      </x:c>
      <x:c r="C10800" s="0" t="s">
        <x:v>42840</x:v>
      </x:c>
      <x:c r="E10800" s="0" t="s">
        <x:v>43009</x:v>
      </x:c>
      <x:c r="F10800" s="0" t="s">
        <x:v>45</x:v>
      </x:c>
      <x:c r="G10800" s="0" t="s">
        <x:v>35</x:v>
      </x:c>
      <x:c r="H10800" s="0" t="s">
        <x:v>20</x:v>
      </x:c>
      <x:c r="I10800" s="0" t="s">
        <x:v>21</x:v>
      </x:c>
      <x:c r="K10800" s="0">
        <x:f>hyperlink("https://icd.who.int/dev11/l-ichi/en#/http%3A%2F%2Fid.who.int%2Ficd%2Fentity%2F1312428162","browser")</x:f>
      </x:c>
      <x:c r="L10800" s="0">
        <x:f>hyperlink("https://icat2.azurewebsites.net/icat/?ontology=ICD&amp;tab=ClassesTab&amp;id=http%3A%2F%2Fwho.int%2Ficd%23345_bfdc5bfd_508c_4341_981a_49384b51cdc2","iCat")</x:f>
      </x:c>
      <x:c r="M10800" s="0" t="s">
        <x:v>21</x:v>
      </x:c>
      <x:c r="N10800" s="0" t="s">
        <x:v>46</x:v>
      </x:c>
    </x:row>
    <x:row r="10801" spans="1:16">
      <x:c r="A10801" s="0" t="s">
        <x:v>43010</x:v>
      </x:c>
      <x:c r="B10801" s="0" t="s">
        <x:v>43011</x:v>
      </x:c>
      <x:c r="C10801" s="0" t="s">
        <x:v>42840</x:v>
      </x:c>
      <x:c r="E10801" s="0" t="s">
        <x:v>43012</x:v>
      </x:c>
      <x:c r="F10801" s="0" t="s">
        <x:v>45</x:v>
      </x:c>
      <x:c r="G10801" s="0" t="s">
        <x:v>35</x:v>
      </x:c>
      <x:c r="H10801" s="0" t="s">
        <x:v>20</x:v>
      </x:c>
      <x:c r="I10801" s="0" t="s">
        <x:v>21</x:v>
      </x:c>
      <x:c r="K10801" s="0">
        <x:f>hyperlink("https://icd.who.int/dev11/l-ichi/en#/http%3A%2F%2Fid.who.int%2Ficd%2Fentity%2F822162333","browser")</x:f>
      </x:c>
      <x:c r="L10801" s="0">
        <x:f>hyperlink("https://icat2.azurewebsites.net/icat/?ontology=ICD&amp;tab=ClassesTab&amp;id=http%3A%2F%2Fwho.int%2Ficd%23350_bfdc5bfd_508c_4341_981a_49384b51cdc2","iCat")</x:f>
      </x:c>
      <x:c r="M10801" s="0" t="s">
        <x:v>20</x:v>
      </x:c>
      <x:c r="N10801" s="0" t="s">
        <x:v>30</x:v>
      </x:c>
    </x:row>
    <x:row r="10802" spans="1:16">
      <x:c r="A10802" s="0" t="s">
        <x:v>43013</x:v>
      </x:c>
      <x:c r="B10802" s="0" t="s">
        <x:v>43014</x:v>
      </x:c>
      <x:c r="C10802" s="0" t="s">
        <x:v>42840</x:v>
      </x:c>
      <x:c r="E10802" s="0" t="s">
        <x:v>43015</x:v>
      </x:c>
      <x:c r="F10802" s="0" t="s">
        <x:v>45</x:v>
      </x:c>
      <x:c r="G10802" s="0" t="s">
        <x:v>22</x:v>
      </x:c>
      <x:c r="H10802" s="0" t="s">
        <x:v>20</x:v>
      </x:c>
      <x:c r="I10802" s="0" t="s">
        <x:v>21</x:v>
      </x:c>
      <x:c r="K10802" s="0">
        <x:f>hyperlink("https://icd.who.int/dev11/l-ichi/en#/http%3A%2F%2Fid.who.int%2Ficd%2Fentity%2F620725717","browser")</x:f>
      </x:c>
      <x:c r="L10802" s="0">
        <x:f>hyperlink("https://icat2.azurewebsites.net/icat/?ontology=ICD&amp;tab=ClassesTab&amp;id=http%3A%2F%2Fwho.int%2Ficd%23355_bfdc5bfd_508c_4341_981a_49384b51cdc2","iCat")</x:f>
      </x:c>
      <x:c r="M10802" s="0" t="s">
        <x:v>21</x:v>
      </x:c>
      <x:c r="N10802" s="0" t="s">
        <x:v>46</x:v>
      </x:c>
    </x:row>
    <x:row r="10803" spans="1:16">
      <x:c r="A10803" s="0" t="s">
        <x:v>43016</x:v>
      </x:c>
      <x:c r="B10803" s="0" t="s">
        <x:v>43017</x:v>
      </x:c>
      <x:c r="C10803" s="0" t="s">
        <x:v>42840</x:v>
      </x:c>
      <x:c r="E10803" s="0" t="s">
        <x:v>43018</x:v>
      </x:c>
      <x:c r="F10803" s="0" t="s">
        <x:v>45</x:v>
      </x:c>
      <x:c r="G10803" s="0" t="s">
        <x:v>22</x:v>
      </x:c>
      <x:c r="H10803" s="0" t="s">
        <x:v>20</x:v>
      </x:c>
      <x:c r="I10803" s="0" t="s">
        <x:v>21</x:v>
      </x:c>
      <x:c r="K10803" s="0">
        <x:f>hyperlink("https://icd.who.int/dev11/l-ichi/en#/http%3A%2F%2Fid.who.int%2Ficd%2Fentity%2F1601777910","browser")</x:f>
      </x:c>
      <x:c r="L10803" s="0">
        <x:f>hyperlink("https://icat2.azurewebsites.net/icat/?ontology=ICD&amp;tab=ClassesTab&amp;id=http%3A%2F%2Fwho.int%2Ficd%23359_bfdc5bfd_508c_4341_981a_49384b51cdc2","iCat")</x:f>
      </x:c>
      <x:c r="M10803" s="0" t="s">
        <x:v>21</x:v>
      </x:c>
      <x:c r="N10803" s="0" t="s">
        <x:v>46</x:v>
      </x:c>
    </x:row>
    <x:row r="10804" spans="1:16">
      <x:c r="A10804" s="0" t="s">
        <x:v>43019</x:v>
      </x:c>
      <x:c r="B10804" s="0" t="s">
        <x:v>43020</x:v>
      </x:c>
      <x:c r="C10804" s="0" t="s">
        <x:v>42840</x:v>
      </x:c>
      <x:c r="E10804" s="0" t="s">
        <x:v>43021</x:v>
      </x:c>
      <x:c r="F10804" s="0" t="s">
        <x:v>45</x:v>
      </x:c>
      <x:c r="G10804" s="0" t="s">
        <x:v>35</x:v>
      </x:c>
      <x:c r="H10804" s="0" t="s">
        <x:v>20</x:v>
      </x:c>
      <x:c r="I10804" s="0" t="s">
        <x:v>21</x:v>
      </x:c>
      <x:c r="K10804" s="0">
        <x:f>hyperlink("https://icd.who.int/dev11/l-ichi/en#/http%3A%2F%2Fid.who.int%2Ficd%2Fentity%2F875895907","browser")</x:f>
      </x:c>
      <x:c r="L10804" s="0">
        <x:f>hyperlink("https://icat2.azurewebsites.net/icat/?ontology=ICD&amp;tab=ClassesTab&amp;id=http%3A%2F%2Fwho.int%2Ficd%23363_bfdc5bfd_508c_4341_981a_49384b51cdc2","iCat")</x:f>
      </x:c>
      <x:c r="M10804" s="0" t="s">
        <x:v>21</x:v>
      </x:c>
      <x:c r="N10804" s="0" t="s">
        <x:v>46</x:v>
      </x:c>
    </x:row>
    <x:row r="10805" spans="1:16">
      <x:c r="A10805" s="0" t="s">
        <x:v>43022</x:v>
      </x:c>
      <x:c r="B10805" s="0" t="s">
        <x:v>43023</x:v>
      </x:c>
      <x:c r="C10805" s="0" t="s">
        <x:v>42840</x:v>
      </x:c>
      <x:c r="E10805" s="0" t="s">
        <x:v>43024</x:v>
      </x:c>
      <x:c r="F10805" s="0" t="s">
        <x:v>45</x:v>
      </x:c>
      <x:c r="G10805" s="0" t="s">
        <x:v>30</x:v>
      </x:c>
      <x:c r="H10805" s="0" t="s">
        <x:v>20</x:v>
      </x:c>
      <x:c r="I10805" s="0" t="s">
        <x:v>21</x:v>
      </x:c>
      <x:c r="K10805" s="0">
        <x:f>hyperlink("https://icd.who.int/dev11/l-ichi/en#/http%3A%2F%2Fid.who.int%2Ficd%2Fentity%2F1060176591","browser")</x:f>
      </x:c>
      <x:c r="L10805" s="0">
        <x:f>hyperlink("https://icat2.azurewebsites.net/icat/?ontology=ICD&amp;tab=ClassesTab&amp;id=http%3A%2F%2Fwho.int%2Ficd%23368_bfdc5bfd_508c_4341_981a_49384b51cdc2","iCat")</x:f>
      </x:c>
      <x:c r="M10805" s="0" t="s">
        <x:v>20</x:v>
      </x:c>
      <x:c r="N10805" s="0" t="s">
        <x:v>40</x:v>
      </x:c>
    </x:row>
    <x:row r="10806" spans="1:16">
      <x:c r="A10806" s="0" t="s">
        <x:v>43025</x:v>
      </x:c>
      <x:c r="B10806" s="0" t="s">
        <x:v>43026</x:v>
      </x:c>
      <x:c r="C10806" s="0" t="s">
        <x:v>42840</x:v>
      </x:c>
      <x:c r="E10806" s="0" t="s">
        <x:v>43027</x:v>
      </x:c>
      <x:c r="F10806" s="0" t="s">
        <x:v>45</x:v>
      </x:c>
      <x:c r="G10806" s="0" t="s">
        <x:v>35</x:v>
      </x:c>
      <x:c r="H10806" s="0" t="s">
        <x:v>20</x:v>
      </x:c>
      <x:c r="I10806" s="0" t="s">
        <x:v>21</x:v>
      </x:c>
      <x:c r="K10806" s="0">
        <x:f>hyperlink("https://icd.who.int/dev11/l-ichi/en#/http%3A%2F%2Fid.who.int%2Ficd%2Fentity%2F779231929","browser")</x:f>
      </x:c>
      <x:c r="L10806" s="0">
        <x:f>hyperlink("https://icat2.azurewebsites.net/icat/?ontology=ICD&amp;tab=ClassesTab&amp;id=http%3A%2F%2Fwho.int%2Ficd%23374_bfdc5bfd_508c_4341_981a_49384b51cdc2","iCat")</x:f>
      </x:c>
      <x:c r="M10806" s="0" t="s">
        <x:v>21</x:v>
      </x:c>
      <x:c r="N10806" s="0" t="s">
        <x:v>46</x:v>
      </x:c>
    </x:row>
    <x:row r="10807" spans="1:16">
      <x:c r="A10807" s="0" t="s">
        <x:v>43028</x:v>
      </x:c>
      <x:c r="B10807" s="0" t="s">
        <x:v>43029</x:v>
      </x:c>
      <x:c r="C10807" s="0" t="s">
        <x:v>42840</x:v>
      </x:c>
      <x:c r="E10807" s="0" t="s">
        <x:v>43030</x:v>
      </x:c>
      <x:c r="F10807" s="0" t="s">
        <x:v>45</x:v>
      </x:c>
      <x:c r="G10807" s="0" t="s">
        <x:v>35</x:v>
      </x:c>
      <x:c r="H10807" s="0" t="s">
        <x:v>20</x:v>
      </x:c>
      <x:c r="I10807" s="0" t="s">
        <x:v>21</x:v>
      </x:c>
      <x:c r="K10807" s="0">
        <x:f>hyperlink("https://icd.who.int/dev11/l-ichi/en#/http%3A%2F%2Fid.who.int%2Ficd%2Fentity%2F1963845028","browser")</x:f>
      </x:c>
      <x:c r="L10807" s="0">
        <x:f>hyperlink("https://icat2.azurewebsites.net/icat/?ontology=ICD&amp;tab=ClassesTab&amp;id=http%3A%2F%2Fwho.int%2Ficd%23379_bfdc5bfd_508c_4341_981a_49384b51cdc2","iCat")</x:f>
      </x:c>
      <x:c r="M10807" s="0" t="s">
        <x:v>21</x:v>
      </x:c>
      <x:c r="N10807" s="0" t="s">
        <x:v>46</x:v>
      </x:c>
    </x:row>
    <x:row r="10808" spans="1:16">
      <x:c r="A10808" s="0" t="s">
        <x:v>43031</x:v>
      </x:c>
      <x:c r="B10808" s="0" t="s">
        <x:v>43032</x:v>
      </x:c>
      <x:c r="C10808" s="0" t="s">
        <x:v>42840</x:v>
      </x:c>
      <x:c r="E10808" s="0" t="s">
        <x:v>43033</x:v>
      </x:c>
      <x:c r="F10808" s="0" t="s">
        <x:v>45</x:v>
      </x:c>
      <x:c r="G10808" s="0" t="s">
        <x:v>35</x:v>
      </x:c>
      <x:c r="H10808" s="0" t="s">
        <x:v>20</x:v>
      </x:c>
      <x:c r="I10808" s="0" t="s">
        <x:v>21</x:v>
      </x:c>
      <x:c r="K10808" s="0">
        <x:f>hyperlink("https://icd.who.int/dev11/l-ichi/en#/http%3A%2F%2Fid.who.int%2Ficd%2Fentity%2F26568807","browser")</x:f>
      </x:c>
      <x:c r="L10808" s="0">
        <x:f>hyperlink("https://icat2.azurewebsites.net/icat/?ontology=ICD&amp;tab=ClassesTab&amp;id=http%3A%2F%2Fwho.int%2Ficd%23384_bfdc5bfd_508c_4341_981a_49384b51cdc2","iCat")</x:f>
      </x:c>
      <x:c r="M10808" s="0" t="s">
        <x:v>21</x:v>
      </x:c>
      <x:c r="N10808" s="0" t="s">
        <x:v>46</x:v>
      </x:c>
    </x:row>
    <x:row r="10809" spans="1:16">
      <x:c r="A10809" s="0" t="s">
        <x:v>43034</x:v>
      </x:c>
      <x:c r="B10809" s="0" t="s">
        <x:v>43035</x:v>
      </x:c>
      <x:c r="C10809" s="0" t="s">
        <x:v>42840</x:v>
      </x:c>
      <x:c r="E10809" s="0" t="s">
        <x:v>43036</x:v>
      </x:c>
      <x:c r="F10809" s="0" t="s">
        <x:v>45</x:v>
      </x:c>
      <x:c r="G10809" s="0" t="s">
        <x:v>35</x:v>
      </x:c>
      <x:c r="H10809" s="0" t="s">
        <x:v>20</x:v>
      </x:c>
      <x:c r="I10809" s="0" t="s">
        <x:v>21</x:v>
      </x:c>
      <x:c r="K10809" s="0">
        <x:f>hyperlink("https://icd.who.int/dev11/l-ichi/en#/http%3A%2F%2Fid.who.int%2Ficd%2Fentity%2F1525329786","browser")</x:f>
      </x:c>
      <x:c r="L10809" s="0">
        <x:f>hyperlink("https://icat2.azurewebsites.net/icat/?ontology=ICD&amp;tab=ClassesTab&amp;id=http%3A%2F%2Fwho.int%2Ficd%23389_bfdc5bfd_508c_4341_981a_49384b51cdc2","iCat")</x:f>
      </x:c>
      <x:c r="M10809" s="0" t="s">
        <x:v>20</x:v>
      </x:c>
      <x:c r="N10809" s="0" t="s">
        <x:v>30</x:v>
      </x:c>
    </x:row>
    <x:row r="10810" spans="1:16">
      <x:c r="A10810" s="0" t="s">
        <x:v>43037</x:v>
      </x:c>
      <x:c r="B10810" s="0" t="s">
        <x:v>43038</x:v>
      </x:c>
      <x:c r="C10810" s="0" t="s">
        <x:v>42840</x:v>
      </x:c>
      <x:c r="E10810" s="0" t="s">
        <x:v>43039</x:v>
      </x:c>
      <x:c r="F10810" s="0" t="s">
        <x:v>45</x:v>
      </x:c>
      <x:c r="G10810" s="0" t="s">
        <x:v>22</x:v>
      </x:c>
      <x:c r="H10810" s="0" t="s">
        <x:v>20</x:v>
      </x:c>
      <x:c r="I10810" s="0" t="s">
        <x:v>21</x:v>
      </x:c>
      <x:c r="K10810" s="0">
        <x:f>hyperlink("https://icd.who.int/dev11/l-ichi/en#/http%3A%2F%2Fid.who.int%2Ficd%2Fentity%2F1800469808","browser")</x:f>
      </x:c>
      <x:c r="L10810" s="0">
        <x:f>hyperlink("https://icat2.azurewebsites.net/icat/?ontology=ICD&amp;tab=ClassesTab&amp;id=http%3A%2F%2Fwho.int%2Ficd%23394_bfdc5bfd_508c_4341_981a_49384b51cdc2","iCat")</x:f>
      </x:c>
      <x:c r="M10810" s="0" t="s">
        <x:v>21</x:v>
      </x:c>
      <x:c r="N10810" s="0" t="s">
        <x:v>46</x:v>
      </x:c>
    </x:row>
    <x:row r="10811" spans="1:16">
      <x:c r="A10811" s="0" t="s">
        <x:v>43040</x:v>
      </x:c>
      <x:c r="B10811" s="0" t="s">
        <x:v>43041</x:v>
      </x:c>
      <x:c r="C10811" s="0" t="s">
        <x:v>42840</x:v>
      </x:c>
      <x:c r="E10811" s="0" t="s">
        <x:v>43042</x:v>
      </x:c>
      <x:c r="F10811" s="0" t="s">
        <x:v>45</x:v>
      </x:c>
      <x:c r="G10811" s="0" t="s">
        <x:v>22</x:v>
      </x:c>
      <x:c r="H10811" s="0" t="s">
        <x:v>20</x:v>
      </x:c>
      <x:c r="I10811" s="0" t="s">
        <x:v>21</x:v>
      </x:c>
      <x:c r="K10811" s="0">
        <x:f>hyperlink("https://icd.who.int/dev11/l-ichi/en#/http%3A%2F%2Fid.who.int%2Ficd%2Fentity%2F808401453","browser")</x:f>
      </x:c>
      <x:c r="L10811" s="0">
        <x:f>hyperlink("https://icat2.azurewebsites.net/icat/?ontology=ICD&amp;tab=ClassesTab&amp;id=http%3A%2F%2Fwho.int%2Ficd%23399_bfdc5bfd_508c_4341_981a_49384b51cdc2","iCat")</x:f>
      </x:c>
      <x:c r="M10811" s="0" t="s">
        <x:v>21</x:v>
      </x:c>
      <x:c r="N10811" s="0" t="s">
        <x:v>46</x:v>
      </x:c>
    </x:row>
    <x:row r="10812" spans="1:16">
      <x:c r="A10812" s="0" t="s">
        <x:v>43043</x:v>
      </x:c>
      <x:c r="B10812" s="0" t="s">
        <x:v>43044</x:v>
      </x:c>
      <x:c r="C10812" s="0" t="s">
        <x:v>42840</x:v>
      </x:c>
      <x:c r="E10812" s="0" t="s">
        <x:v>43045</x:v>
      </x:c>
      <x:c r="F10812" s="0" t="s">
        <x:v>45</x:v>
      </x:c>
      <x:c r="G10812" s="0" t="s">
        <x:v>35</x:v>
      </x:c>
      <x:c r="H10812" s="0" t="s">
        <x:v>20</x:v>
      </x:c>
      <x:c r="I10812" s="0" t="s">
        <x:v>21</x:v>
      </x:c>
      <x:c r="K10812" s="0">
        <x:f>hyperlink("https://icd.who.int/dev11/l-ichi/en#/http%3A%2F%2Fid.who.int%2Ficd%2Fentity%2F1928698319","browser")</x:f>
      </x:c>
      <x:c r="L10812" s="0">
        <x:f>hyperlink("https://icat2.azurewebsites.net/icat/?ontology=ICD&amp;tab=ClassesTab&amp;id=http%3A%2F%2Fwho.int%2Ficd%23404_bfdc5bfd_508c_4341_981a_49384b51cdc2","iCat")</x:f>
      </x:c>
      <x:c r="M10812" s="0" t="s">
        <x:v>21</x:v>
      </x:c>
      <x:c r="N10812" s="0" t="s">
        <x:v>46</x:v>
      </x:c>
    </x:row>
    <x:row r="10813" spans="1:16">
      <x:c r="A10813" s="0" t="s">
        <x:v>43046</x:v>
      </x:c>
      <x:c r="B10813" s="0" t="s">
        <x:v>43047</x:v>
      </x:c>
      <x:c r="C10813" s="0" t="s">
        <x:v>42840</x:v>
      </x:c>
      <x:c r="E10813" s="0" t="s">
        <x:v>43048</x:v>
      </x:c>
      <x:c r="F10813" s="0" t="s">
        <x:v>45</x:v>
      </x:c>
      <x:c r="G10813" s="0" t="s">
        <x:v>19</x:v>
      </x:c>
      <x:c r="H10813" s="0" t="s">
        <x:v>20</x:v>
      </x:c>
      <x:c r="I10813" s="0" t="s">
        <x:v>21</x:v>
      </x:c>
      <x:c r="K10813" s="0">
        <x:f>hyperlink("https://icd.who.int/dev11/l-ichi/en#/http%3A%2F%2Fid.who.int%2Ficd%2Fentity%2F1338961517","browser")</x:f>
      </x:c>
      <x:c r="L10813" s="0">
        <x:f>hyperlink("https://icat2.azurewebsites.net/icat/?ontology=ICD&amp;tab=ClassesTab&amp;id=http%3A%2F%2Fwho.int%2Ficd%233621_bfdc5bfd_508c_4341_981a_49384b51cdc2","iCat")</x:f>
      </x:c>
      <x:c r="M10813" s="0" t="s">
        <x:v>20</x:v>
      </x:c>
      <x:c r="N10813" s="0" t="s">
        <x:v>119</x:v>
      </x:c>
    </x:row>
    <x:row r="10814" spans="1:16">
      <x:c r="A10814" s="0" t="s">
        <x:v>43049</x:v>
      </x:c>
      <x:c r="B10814" s="0" t="s">
        <x:v>43050</x:v>
      </x:c>
      <x:c r="C10814" s="0" t="s">
        <x:v>42840</x:v>
      </x:c>
      <x:c r="E10814" s="0" t="s">
        <x:v>43051</x:v>
      </x:c>
      <x:c r="F10814" s="0" t="s">
        <x:v>45</x:v>
      </x:c>
      <x:c r="G10814" s="0" t="s">
        <x:v>30</x:v>
      </x:c>
      <x:c r="H10814" s="0" t="s">
        <x:v>20</x:v>
      </x:c>
      <x:c r="I10814" s="0" t="s">
        <x:v>21</x:v>
      </x:c>
      <x:c r="K10814" s="0">
        <x:f>hyperlink("https://icd.who.int/dev11/l-ichi/en#/http%3A%2F%2Fid.who.int%2Ficd%2Fentity%2F2060003865","browser")</x:f>
      </x:c>
      <x:c r="L10814" s="0">
        <x:f>hyperlink("https://icat2.azurewebsites.net/icat/?ontology=ICD&amp;tab=ClassesTab&amp;id=http%3A%2F%2Fwho.int%2Ficd%233625_bfdc5bfd_508c_4341_981a_49384b51cdc2","iCat")</x:f>
      </x:c>
      <x:c r="M10814" s="0" t="s">
        <x:v>20</x:v>
      </x:c>
      <x:c r="N10814" s="0" t="s">
        <x:v>27218</x:v>
      </x:c>
    </x:row>
    <x:row r="10815" spans="1:16">
      <x:c r="A10815" s="0" t="s">
        <x:v>43052</x:v>
      </x:c>
      <x:c r="B10815" s="0" t="s">
        <x:v>43053</x:v>
      </x:c>
      <x:c r="C10815" s="0" t="s">
        <x:v>42840</x:v>
      </x:c>
      <x:c r="E10815" s="0" t="s">
        <x:v>43054</x:v>
      </x:c>
      <x:c r="F10815" s="0" t="s">
        <x:v>45</x:v>
      </x:c>
      <x:c r="G10815" s="0" t="s">
        <x:v>35</x:v>
      </x:c>
      <x:c r="H10815" s="0" t="s">
        <x:v>20</x:v>
      </x:c>
      <x:c r="I10815" s="0" t="s">
        <x:v>21</x:v>
      </x:c>
      <x:c r="K10815" s="0">
        <x:f>hyperlink("https://icd.who.int/dev11/l-ichi/en#/http%3A%2F%2Fid.who.int%2Ficd%2Fentity%2F99748104","browser")</x:f>
      </x:c>
      <x:c r="L10815" s="0">
        <x:f>hyperlink("https://icat2.azurewebsites.net/icat/?ontology=ICD&amp;tab=ClassesTab&amp;id=http%3A%2F%2Fwho.int%2Ficd%233630_bfdc5bfd_508c_4341_981a_49384b51cdc2","iCat")</x:f>
      </x:c>
      <x:c r="M10815" s="0" t="s">
        <x:v>21</x:v>
      </x:c>
      <x:c r="N10815" s="0" t="s">
        <x:v>46</x:v>
      </x:c>
    </x:row>
    <x:row r="10816" spans="1:16">
      <x:c r="A10816" s="0" t="s">
        <x:v>43055</x:v>
      </x:c>
      <x:c r="B10816" s="0" t="s">
        <x:v>43056</x:v>
      </x:c>
      <x:c r="C10816" s="0" t="s">
        <x:v>42840</x:v>
      </x:c>
      <x:c r="E10816" s="0" t="s">
        <x:v>43057</x:v>
      </x:c>
      <x:c r="F10816" s="0" t="s">
        <x:v>45</x:v>
      </x:c>
      <x:c r="G10816" s="0" t="s">
        <x:v>35</x:v>
      </x:c>
      <x:c r="H10816" s="0" t="s">
        <x:v>20</x:v>
      </x:c>
      <x:c r="I10816" s="0" t="s">
        <x:v>21</x:v>
      </x:c>
      <x:c r="K10816" s="0">
        <x:f>hyperlink("https://icd.who.int/dev11/l-ichi/en#/http%3A%2F%2Fid.who.int%2Ficd%2Fentity%2F269270864","browser")</x:f>
      </x:c>
      <x:c r="L10816" s="0">
        <x:f>hyperlink("https://icat2.azurewebsites.net/icat/?ontology=ICD&amp;tab=ClassesTab&amp;id=http%3A%2F%2Fwho.int%2Ficd%233635_bfdc5bfd_508c_4341_981a_49384b51cdc2","iCat")</x:f>
      </x:c>
      <x:c r="M10816" s="0" t="s">
        <x:v>21</x:v>
      </x:c>
      <x:c r="N10816" s="0" t="s">
        <x:v>46</x:v>
      </x:c>
    </x:row>
    <x:row r="10817" spans="1:16">
      <x:c r="A10817" s="0" t="s">
        <x:v>43058</x:v>
      </x:c>
      <x:c r="B10817" s="0" t="s">
        <x:v>43059</x:v>
      </x:c>
      <x:c r="C10817" s="0" t="s">
        <x:v>42840</x:v>
      </x:c>
      <x:c r="E10817" s="0" t="s">
        <x:v>43060</x:v>
      </x:c>
      <x:c r="F10817" s="0" t="s">
        <x:v>45</x:v>
      </x:c>
      <x:c r="G10817" s="0" t="s">
        <x:v>35</x:v>
      </x:c>
      <x:c r="H10817" s="0" t="s">
        <x:v>20</x:v>
      </x:c>
      <x:c r="I10817" s="0" t="s">
        <x:v>21</x:v>
      </x:c>
      <x:c r="K10817" s="0">
        <x:f>hyperlink("https://icd.who.int/dev11/l-ichi/en#/http%3A%2F%2Fid.who.int%2Ficd%2Fentity%2F891558428","browser")</x:f>
      </x:c>
      <x:c r="L10817" s="0">
        <x:f>hyperlink("https://icat2.azurewebsites.net/icat/?ontology=ICD&amp;tab=ClassesTab&amp;id=http%3A%2F%2Fwho.int%2Ficd%233640_bfdc5bfd_508c_4341_981a_49384b51cdc2","iCat")</x:f>
      </x:c>
      <x:c r="M10817" s="0" t="s">
        <x:v>21</x:v>
      </x:c>
      <x:c r="N10817" s="0" t="s">
        <x:v>46</x:v>
      </x:c>
    </x:row>
    <x:row r="10818" spans="1:16">
      <x:c r="A10818" s="0" t="s">
        <x:v>43061</x:v>
      </x:c>
      <x:c r="B10818" s="0" t="s">
        <x:v>43062</x:v>
      </x:c>
      <x:c r="C10818" s="0" t="s">
        <x:v>42840</x:v>
      </x:c>
      <x:c r="E10818" s="0" t="s">
        <x:v>43063</x:v>
      </x:c>
      <x:c r="F10818" s="0" t="s">
        <x:v>45</x:v>
      </x:c>
      <x:c r="G10818" s="0" t="s">
        <x:v>35</x:v>
      </x:c>
      <x:c r="H10818" s="0" t="s">
        <x:v>20</x:v>
      </x:c>
      <x:c r="I10818" s="0" t="s">
        <x:v>21</x:v>
      </x:c>
      <x:c r="K10818" s="0">
        <x:f>hyperlink("https://icd.who.int/dev11/l-ichi/en#/http%3A%2F%2Fid.who.int%2Ficd%2Fentity%2F551201876","browser")</x:f>
      </x:c>
      <x:c r="L10818" s="0">
        <x:f>hyperlink("https://icat2.azurewebsites.net/icat/?ontology=ICD&amp;tab=ClassesTab&amp;id=http%3A%2F%2Fwho.int%2Ficd%233645_bfdc5bfd_508c_4341_981a_49384b51cdc2","iCat")</x:f>
      </x:c>
      <x:c r="M10818" s="0" t="s">
        <x:v>21</x:v>
      </x:c>
      <x:c r="N10818" s="0" t="s">
        <x:v>46</x:v>
      </x:c>
    </x:row>
    <x:row r="10819" spans="1:16">
      <x:c r="A10819" s="0" t="s">
        <x:v>43064</x:v>
      </x:c>
      <x:c r="B10819" s="0" t="s">
        <x:v>43065</x:v>
      </x:c>
      <x:c r="C10819" s="0" t="s">
        <x:v>42840</x:v>
      </x:c>
      <x:c r="E10819" s="0" t="s">
        <x:v>43066</x:v>
      </x:c>
      <x:c r="F10819" s="0" t="s">
        <x:v>45</x:v>
      </x:c>
      <x:c r="G10819" s="0" t="s">
        <x:v>35</x:v>
      </x:c>
      <x:c r="H10819" s="0" t="s">
        <x:v>20</x:v>
      </x:c>
      <x:c r="I10819" s="0" t="s">
        <x:v>21</x:v>
      </x:c>
      <x:c r="K10819" s="0">
        <x:f>hyperlink("https://icd.who.int/dev11/l-ichi/en#/http%3A%2F%2Fid.who.int%2Ficd%2Fentity%2F1608617803","browser")</x:f>
      </x:c>
      <x:c r="L10819" s="0">
        <x:f>hyperlink("https://icat2.azurewebsites.net/icat/?ontology=ICD&amp;tab=ClassesTab&amp;id=http%3A%2F%2Fwho.int%2Ficd%233650_bfdc5bfd_508c_4341_981a_49384b51cdc2","iCat")</x:f>
      </x:c>
      <x:c r="M10819" s="0" t="s">
        <x:v>21</x:v>
      </x:c>
      <x:c r="N10819" s="0" t="s">
        <x:v>46</x:v>
      </x:c>
    </x:row>
    <x:row r="10820" spans="1:16">
      <x:c r="A10820" s="0" t="s">
        <x:v>43067</x:v>
      </x:c>
      <x:c r="B10820" s="0" t="s">
        <x:v>43068</x:v>
      </x:c>
      <x:c r="C10820" s="0" t="s">
        <x:v>42840</x:v>
      </x:c>
      <x:c r="E10820" s="0" t="s">
        <x:v>43069</x:v>
      </x:c>
      <x:c r="F10820" s="0" t="s">
        <x:v>45</x:v>
      </x:c>
      <x:c r="G10820" s="0" t="s">
        <x:v>35</x:v>
      </x:c>
      <x:c r="H10820" s="0" t="s">
        <x:v>20</x:v>
      </x:c>
      <x:c r="I10820" s="0" t="s">
        <x:v>21</x:v>
      </x:c>
      <x:c r="K10820" s="0">
        <x:f>hyperlink("https://icd.who.int/dev11/l-ichi/en#/http%3A%2F%2Fid.who.int%2Ficd%2Fentity%2F1243560195","browser")</x:f>
      </x:c>
      <x:c r="L10820" s="0">
        <x:f>hyperlink("https://icat2.azurewebsites.net/icat/?ontology=ICD&amp;tab=ClassesTab&amp;id=http%3A%2F%2Fwho.int%2Ficd%233655_bfdc5bfd_508c_4341_981a_49384b51cdc2","iCat")</x:f>
      </x:c>
      <x:c r="M10820" s="0" t="s">
        <x:v>21</x:v>
      </x:c>
      <x:c r="N10820" s="0" t="s">
        <x:v>46</x:v>
      </x:c>
    </x:row>
    <x:row r="10821" spans="1:16">
      <x:c r="A10821" s="0" t="s">
        <x:v>43070</x:v>
      </x:c>
      <x:c r="B10821" s="0" t="s">
        <x:v>43071</x:v>
      </x:c>
      <x:c r="C10821" s="0" t="s">
        <x:v>42840</x:v>
      </x:c>
      <x:c r="E10821" s="0" t="s">
        <x:v>43072</x:v>
      </x:c>
      <x:c r="F10821" s="0" t="s">
        <x:v>45</x:v>
      </x:c>
      <x:c r="G10821" s="0" t="s">
        <x:v>35</x:v>
      </x:c>
      <x:c r="H10821" s="0" t="s">
        <x:v>20</x:v>
      </x:c>
      <x:c r="I10821" s="0" t="s">
        <x:v>21</x:v>
      </x:c>
      <x:c r="K10821" s="0">
        <x:f>hyperlink("https://icd.who.int/dev11/l-ichi/en#/http%3A%2F%2Fid.who.int%2Ficd%2Fentity%2F1068088688","browser")</x:f>
      </x:c>
      <x:c r="L10821" s="0">
        <x:f>hyperlink("https://icat2.azurewebsites.net/icat/?ontology=ICD&amp;tab=ClassesTab&amp;id=http%3A%2F%2Fwho.int%2Ficd%233661_bfdc5bfd_508c_4341_981a_49384b51cdc2","iCat")</x:f>
      </x:c>
      <x:c r="M10821" s="0" t="s">
        <x:v>21</x:v>
      </x:c>
      <x:c r="N10821" s="0" t="s">
        <x:v>46</x:v>
      </x:c>
    </x:row>
    <x:row r="10822" spans="1:16">
      <x:c r="A10822" s="0" t="s">
        <x:v>43073</x:v>
      </x:c>
      <x:c r="B10822" s="0" t="s">
        <x:v>43074</x:v>
      </x:c>
      <x:c r="C10822" s="0" t="s">
        <x:v>42840</x:v>
      </x:c>
      <x:c r="E10822" s="0" t="s">
        <x:v>43075</x:v>
      </x:c>
      <x:c r="F10822" s="0" t="s">
        <x:v>45</x:v>
      </x:c>
      <x:c r="G10822" s="0" t="s">
        <x:v>35</x:v>
      </x:c>
      <x:c r="H10822" s="0" t="s">
        <x:v>20</x:v>
      </x:c>
      <x:c r="I10822" s="0" t="s">
        <x:v>21</x:v>
      </x:c>
      <x:c r="K10822" s="0">
        <x:f>hyperlink("https://icd.who.int/dev11/l-ichi/en#/http%3A%2F%2Fid.who.int%2Ficd%2Fentity%2F1328223997","browser")</x:f>
      </x:c>
      <x:c r="L10822" s="0">
        <x:f>hyperlink("https://icat2.azurewebsites.net/icat/?ontology=ICD&amp;tab=ClassesTab&amp;id=http%3A%2F%2Fwho.int%2Ficd%233666_bfdc5bfd_508c_4341_981a_49384b51cdc2","iCat")</x:f>
      </x:c>
      <x:c r="M10822" s="0" t="s">
        <x:v>21</x:v>
      </x:c>
      <x:c r="N10822" s="0" t="s">
        <x:v>46</x:v>
      </x:c>
    </x:row>
    <x:row r="10823" spans="1:16">
      <x:c r="A10823" s="0" t="s">
        <x:v>43076</x:v>
      </x:c>
      <x:c r="B10823" s="0" t="s">
        <x:v>43077</x:v>
      </x:c>
      <x:c r="C10823" s="0" t="s">
        <x:v>42840</x:v>
      </x:c>
      <x:c r="E10823" s="0" t="s">
        <x:v>43078</x:v>
      </x:c>
      <x:c r="F10823" s="0" t="s">
        <x:v>45</x:v>
      </x:c>
      <x:c r="G10823" s="0" t="s">
        <x:v>35</x:v>
      </x:c>
      <x:c r="H10823" s="0" t="s">
        <x:v>20</x:v>
      </x:c>
      <x:c r="I10823" s="0" t="s">
        <x:v>21</x:v>
      </x:c>
      <x:c r="K10823" s="0">
        <x:f>hyperlink("https://icd.who.int/dev11/l-ichi/en#/http%3A%2F%2Fid.who.int%2Ficd%2Fentity%2F283723744","browser")</x:f>
      </x:c>
      <x:c r="L10823" s="0">
        <x:f>hyperlink("https://icat2.azurewebsites.net/icat/?ontology=ICD&amp;tab=ClassesTab&amp;id=http%3A%2F%2Fwho.int%2Ficd%233672_bfdc5bfd_508c_4341_981a_49384b51cdc2","iCat")</x:f>
      </x:c>
      <x:c r="M10823" s="0" t="s">
        <x:v>21</x:v>
      </x:c>
      <x:c r="N10823" s="0" t="s">
        <x:v>46</x:v>
      </x:c>
    </x:row>
    <x:row r="10824" spans="1:16">
      <x:c r="A10824" s="0" t="s">
        <x:v>43079</x:v>
      </x:c>
      <x:c r="B10824" s="0" t="s">
        <x:v>43080</x:v>
      </x:c>
      <x:c r="C10824" s="0" t="s">
        <x:v>42840</x:v>
      </x:c>
      <x:c r="E10824" s="0" t="s">
        <x:v>43081</x:v>
      </x:c>
      <x:c r="F10824" s="0" t="s">
        <x:v>45</x:v>
      </x:c>
      <x:c r="G10824" s="0" t="s">
        <x:v>35</x:v>
      </x:c>
      <x:c r="H10824" s="0" t="s">
        <x:v>20</x:v>
      </x:c>
      <x:c r="I10824" s="0" t="s">
        <x:v>21</x:v>
      </x:c>
      <x:c r="K10824" s="0">
        <x:f>hyperlink("https://icd.who.int/dev11/l-ichi/en#/http%3A%2F%2Fid.who.int%2Ficd%2Fentity%2F991177552","browser")</x:f>
      </x:c>
      <x:c r="L10824" s="0">
        <x:f>hyperlink("https://icat2.azurewebsites.net/icat/?ontology=ICD&amp;tab=ClassesTab&amp;id=http%3A%2F%2Fwho.int%2Ficd%233678_bfdc5bfd_508c_4341_981a_49384b51cdc2","iCat")</x:f>
      </x:c>
      <x:c r="M10824" s="0" t="s">
        <x:v>21</x:v>
      </x:c>
      <x:c r="N10824" s="0" t="s">
        <x:v>46</x:v>
      </x:c>
    </x:row>
    <x:row r="10825" spans="1:16">
      <x:c r="A10825" s="0" t="s">
        <x:v>43082</x:v>
      </x:c>
      <x:c r="B10825" s="0" t="s">
        <x:v>43083</x:v>
      </x:c>
      <x:c r="C10825" s="0" t="s">
        <x:v>42840</x:v>
      </x:c>
      <x:c r="E10825" s="0" t="s">
        <x:v>43084</x:v>
      </x:c>
      <x:c r="F10825" s="0" t="s">
        <x:v>45</x:v>
      </x:c>
      <x:c r="G10825" s="0" t="s">
        <x:v>35</x:v>
      </x:c>
      <x:c r="H10825" s="0" t="s">
        <x:v>20</x:v>
      </x:c>
      <x:c r="I10825" s="0" t="s">
        <x:v>21</x:v>
      </x:c>
      <x:c r="K10825" s="0">
        <x:f>hyperlink("https://icd.who.int/dev11/l-ichi/en#/http%3A%2F%2Fid.who.int%2Ficd%2Fentity%2F536313660","browser")</x:f>
      </x:c>
      <x:c r="L10825" s="0">
        <x:f>hyperlink("https://icat2.azurewebsites.net/icat/?ontology=ICD&amp;tab=ClassesTab&amp;id=http%3A%2F%2Fwho.int%2Ficd%233683_bfdc5bfd_508c_4341_981a_49384b51cdc2","iCat")</x:f>
      </x:c>
      <x:c r="M10825" s="0" t="s">
        <x:v>21</x:v>
      </x:c>
      <x:c r="N10825" s="0" t="s">
        <x:v>46</x:v>
      </x:c>
    </x:row>
    <x:row r="10826" spans="1:16">
      <x:c r="A10826" s="0" t="s">
        <x:v>43085</x:v>
      </x:c>
      <x:c r="B10826" s="0" t="s">
        <x:v>43086</x:v>
      </x:c>
      <x:c r="C10826" s="0" t="s">
        <x:v>42840</x:v>
      </x:c>
      <x:c r="E10826" s="0" t="s">
        <x:v>43087</x:v>
      </x:c>
      <x:c r="F10826" s="0" t="s">
        <x:v>45</x:v>
      </x:c>
      <x:c r="G10826" s="0" t="s">
        <x:v>35</x:v>
      </x:c>
      <x:c r="H10826" s="0" t="s">
        <x:v>20</x:v>
      </x:c>
      <x:c r="I10826" s="0" t="s">
        <x:v>21</x:v>
      </x:c>
      <x:c r="K10826" s="0">
        <x:f>hyperlink("https://icd.who.int/dev11/l-ichi/en#/http%3A%2F%2Fid.who.int%2Ficd%2Fentity%2F351494546","browser")</x:f>
      </x:c>
      <x:c r="L10826" s="0">
        <x:f>hyperlink("https://icat2.azurewebsites.net/icat/?ontology=ICD&amp;tab=ClassesTab&amp;id=http%3A%2F%2Fwho.int%2Ficd%233688_bfdc5bfd_508c_4341_981a_49384b51cdc2","iCat")</x:f>
      </x:c>
      <x:c r="M10826" s="0" t="s">
        <x:v>21</x:v>
      </x:c>
      <x:c r="N10826" s="0" t="s">
        <x:v>46</x:v>
      </x:c>
    </x:row>
    <x:row r="10827" spans="1:16">
      <x:c r="A10827" s="0" t="s">
        <x:v>43088</x:v>
      </x:c>
      <x:c r="B10827" s="0" t="s">
        <x:v>43089</x:v>
      </x:c>
      <x:c r="C10827" s="0" t="s">
        <x:v>42840</x:v>
      </x:c>
      <x:c r="E10827" s="0" t="s">
        <x:v>43090</x:v>
      </x:c>
      <x:c r="F10827" s="0" t="s">
        <x:v>45</x:v>
      </x:c>
      <x:c r="G10827" s="0" t="s">
        <x:v>35</x:v>
      </x:c>
      <x:c r="H10827" s="0" t="s">
        <x:v>20</x:v>
      </x:c>
      <x:c r="I10827" s="0" t="s">
        <x:v>21</x:v>
      </x:c>
      <x:c r="K10827" s="0">
        <x:f>hyperlink("https://icd.who.int/dev11/l-ichi/en#/http%3A%2F%2Fid.who.int%2Ficd%2Fentity%2F1439406167","browser")</x:f>
      </x:c>
      <x:c r="L10827" s="0">
        <x:f>hyperlink("https://icat2.azurewebsites.net/icat/?ontology=ICD&amp;tab=ClassesTab&amp;id=http%3A%2F%2Fwho.int%2Ficd%233692_bfdc5bfd_508c_4341_981a_49384b51cdc2","iCat")</x:f>
      </x:c>
      <x:c r="M10827" s="0" t="s">
        <x:v>21</x:v>
      </x:c>
      <x:c r="N10827" s="0" t="s">
        <x:v>46</x:v>
      </x:c>
    </x:row>
    <x:row r="10828" spans="1:16">
      <x:c r="A10828" s="0" t="s">
        <x:v>43091</x:v>
      </x:c>
      <x:c r="B10828" s="0" t="s">
        <x:v>43092</x:v>
      </x:c>
      <x:c r="C10828" s="0" t="s">
        <x:v>42840</x:v>
      </x:c>
      <x:c r="E10828" s="0" t="s">
        <x:v>43093</x:v>
      </x:c>
      <x:c r="F10828" s="0" t="s">
        <x:v>45</x:v>
      </x:c>
      <x:c r="G10828" s="0" t="s">
        <x:v>35</x:v>
      </x:c>
      <x:c r="H10828" s="0" t="s">
        <x:v>20</x:v>
      </x:c>
      <x:c r="I10828" s="0" t="s">
        <x:v>21</x:v>
      </x:c>
      <x:c r="K10828" s="0">
        <x:f>hyperlink("https://icd.who.int/dev11/l-ichi/en#/http%3A%2F%2Fid.who.int%2Ficd%2Fentity%2F1077227039","browser")</x:f>
      </x:c>
      <x:c r="L10828" s="0">
        <x:f>hyperlink("https://icat2.azurewebsites.net/icat/?ontology=ICD&amp;tab=ClassesTab&amp;id=http%3A%2F%2Fwho.int%2Ficd%233697_bfdc5bfd_508c_4341_981a_49384b51cdc2","iCat")</x:f>
      </x:c>
      <x:c r="M10828" s="0" t="s">
        <x:v>21</x:v>
      </x:c>
      <x:c r="N10828" s="0" t="s">
        <x:v>46</x:v>
      </x:c>
    </x:row>
    <x:row r="10829" spans="1:16">
      <x:c r="A10829" s="0" t="s">
        <x:v>43094</x:v>
      </x:c>
      <x:c r="B10829" s="0" t="s">
        <x:v>43095</x:v>
      </x:c>
      <x:c r="C10829" s="0" t="s">
        <x:v>42840</x:v>
      </x:c>
      <x:c r="E10829" s="0" t="s">
        <x:v>43096</x:v>
      </x:c>
      <x:c r="F10829" s="0" t="s">
        <x:v>45</x:v>
      </x:c>
      <x:c r="G10829" s="0" t="s">
        <x:v>35</x:v>
      </x:c>
      <x:c r="H10829" s="0" t="s">
        <x:v>20</x:v>
      </x:c>
      <x:c r="I10829" s="0" t="s">
        <x:v>21</x:v>
      </x:c>
      <x:c r="K10829" s="0">
        <x:f>hyperlink("https://icd.who.int/dev11/l-ichi/en#/http%3A%2F%2Fid.who.int%2Ficd%2Fentity%2F1436586585","browser")</x:f>
      </x:c>
      <x:c r="L10829" s="0">
        <x:f>hyperlink("https://icat2.azurewebsites.net/icat/?ontology=ICD&amp;tab=ClassesTab&amp;id=http%3A%2F%2Fwho.int%2Ficd%233702_bfdc5bfd_508c_4341_981a_49384b51cdc2","iCat")</x:f>
      </x:c>
      <x:c r="M10829" s="0" t="s">
        <x:v>21</x:v>
      </x:c>
      <x:c r="N10829" s="0" t="s">
        <x:v>46</x:v>
      </x:c>
    </x:row>
    <x:row r="10830" spans="1:16">
      <x:c r="A10830" s="0" t="s">
        <x:v>43097</x:v>
      </x:c>
      <x:c r="B10830" s="0" t="s">
        <x:v>43098</x:v>
      </x:c>
      <x:c r="C10830" s="0" t="s">
        <x:v>42840</x:v>
      </x:c>
      <x:c r="E10830" s="0" t="s">
        <x:v>43099</x:v>
      </x:c>
      <x:c r="F10830" s="0" t="s">
        <x:v>45</x:v>
      </x:c>
      <x:c r="G10830" s="0" t="s">
        <x:v>35</x:v>
      </x:c>
      <x:c r="H10830" s="0" t="s">
        <x:v>20</x:v>
      </x:c>
      <x:c r="I10830" s="0" t="s">
        <x:v>21</x:v>
      </x:c>
      <x:c r="K10830" s="0">
        <x:f>hyperlink("https://icd.who.int/dev11/l-ichi/en#/http%3A%2F%2Fid.who.int%2Ficd%2Fentity%2F1079911441","browser")</x:f>
      </x:c>
      <x:c r="L10830" s="0">
        <x:f>hyperlink("https://icat2.azurewebsites.net/icat/?ontology=ICD&amp;tab=ClassesTab&amp;id=http%3A%2F%2Fwho.int%2Ficd%233707_bfdc5bfd_508c_4341_981a_49384b51cdc2","iCat")</x:f>
      </x:c>
      <x:c r="M10830" s="0" t="s">
        <x:v>21</x:v>
      </x:c>
      <x:c r="N10830" s="0" t="s">
        <x:v>46</x:v>
      </x:c>
    </x:row>
    <x:row r="10831" spans="1:16">
      <x:c r="A10831" s="0" t="s">
        <x:v>43100</x:v>
      </x:c>
      <x:c r="B10831" s="0" t="s">
        <x:v>43101</x:v>
      </x:c>
      <x:c r="C10831" s="0" t="s">
        <x:v>42840</x:v>
      </x:c>
      <x:c r="E10831" s="0" t="s">
        <x:v>43102</x:v>
      </x:c>
      <x:c r="F10831" s="0" t="s">
        <x:v>45</x:v>
      </x:c>
      <x:c r="G10831" s="0" t="s">
        <x:v>35</x:v>
      </x:c>
      <x:c r="H10831" s="0" t="s">
        <x:v>20</x:v>
      </x:c>
      <x:c r="I10831" s="0" t="s">
        <x:v>21</x:v>
      </x:c>
      <x:c r="K10831" s="0">
        <x:f>hyperlink("https://icd.who.int/dev11/l-ichi/en#/http%3A%2F%2Fid.who.int%2Ficd%2Fentity%2F1063585550","browser")</x:f>
      </x:c>
      <x:c r="L10831" s="0">
        <x:f>hyperlink("https://icat2.azurewebsites.net/icat/?ontology=ICD&amp;tab=ClassesTab&amp;id=http%3A%2F%2Fwho.int%2Ficd%233712_bfdc5bfd_508c_4341_981a_49384b51cdc2","iCat")</x:f>
      </x:c>
      <x:c r="M10831" s="0" t="s">
        <x:v>21</x:v>
      </x:c>
      <x:c r="N10831" s="0" t="s">
        <x:v>46</x:v>
      </x:c>
    </x:row>
    <x:row r="10832" spans="1:16">
      <x:c r="A10832" s="0" t="s">
        <x:v>43103</x:v>
      </x:c>
      <x:c r="B10832" s="0" t="s">
        <x:v>43104</x:v>
      </x:c>
      <x:c r="C10832" s="0" t="s">
        <x:v>42840</x:v>
      </x:c>
      <x:c r="E10832" s="0" t="s">
        <x:v>43105</x:v>
      </x:c>
      <x:c r="F10832" s="0" t="s">
        <x:v>45</x:v>
      </x:c>
      <x:c r="G10832" s="0" t="s">
        <x:v>35</x:v>
      </x:c>
      <x:c r="H10832" s="0" t="s">
        <x:v>20</x:v>
      </x:c>
      <x:c r="I10832" s="0" t="s">
        <x:v>21</x:v>
      </x:c>
      <x:c r="K10832" s="0">
        <x:f>hyperlink("https://icd.who.int/dev11/l-ichi/en#/http%3A%2F%2Fid.who.int%2Ficd%2Fentity%2F714846534","browser")</x:f>
      </x:c>
      <x:c r="L10832" s="0">
        <x:f>hyperlink("https://icat2.azurewebsites.net/icat/?ontology=ICD&amp;tab=ClassesTab&amp;id=http%3A%2F%2Fwho.int%2Ficd%233717_bfdc5bfd_508c_4341_981a_49384b51cdc2","iCat")</x:f>
      </x:c>
      <x:c r="M10832" s="0" t="s">
        <x:v>21</x:v>
      </x:c>
      <x:c r="N10832" s="0" t="s">
        <x:v>46</x:v>
      </x:c>
    </x:row>
    <x:row r="10833" spans="1:16">
      <x:c r="A10833" s="0" t="s">
        <x:v>43106</x:v>
      </x:c>
      <x:c r="B10833" s="0" t="s">
        <x:v>43107</x:v>
      </x:c>
      <x:c r="C10833" s="0" t="s">
        <x:v>42840</x:v>
      </x:c>
      <x:c r="E10833" s="0" t="s">
        <x:v>43108</x:v>
      </x:c>
      <x:c r="F10833" s="0" t="s">
        <x:v>45</x:v>
      </x:c>
      <x:c r="G10833" s="0" t="s">
        <x:v>35</x:v>
      </x:c>
      <x:c r="H10833" s="0" t="s">
        <x:v>20</x:v>
      </x:c>
      <x:c r="I10833" s="0" t="s">
        <x:v>21</x:v>
      </x:c>
      <x:c r="K10833" s="0">
        <x:f>hyperlink("https://icd.who.int/dev11/l-ichi/en#/http%3A%2F%2Fid.who.int%2Ficd%2Fentity%2F2144618249","browser")</x:f>
      </x:c>
      <x:c r="L10833" s="0">
        <x:f>hyperlink("https://icat2.azurewebsites.net/icat/?ontology=ICD&amp;tab=ClassesTab&amp;id=http%3A%2F%2Fwho.int%2Ficd%233722_bfdc5bfd_508c_4341_981a_49384b51cdc2","iCat")</x:f>
      </x:c>
      <x:c r="M10833" s="0" t="s">
        <x:v>21</x:v>
      </x:c>
      <x:c r="N10833" s="0" t="s">
        <x:v>46</x:v>
      </x:c>
    </x:row>
    <x:row r="10834" spans="1:16">
      <x:c r="A10834" s="0" t="s">
        <x:v>43109</x:v>
      </x:c>
      <x:c r="B10834" s="0" t="s">
        <x:v>43110</x:v>
      </x:c>
      <x:c r="C10834" s="0" t="s">
        <x:v>42840</x:v>
      </x:c>
      <x:c r="E10834" s="0" t="s">
        <x:v>43111</x:v>
      </x:c>
      <x:c r="F10834" s="0" t="s">
        <x:v>45</x:v>
      </x:c>
      <x:c r="G10834" s="0" t="s">
        <x:v>35</x:v>
      </x:c>
      <x:c r="H10834" s="0" t="s">
        <x:v>20</x:v>
      </x:c>
      <x:c r="I10834" s="0" t="s">
        <x:v>21</x:v>
      </x:c>
      <x:c r="K10834" s="0">
        <x:f>hyperlink("https://icd.who.int/dev11/l-ichi/en#/http%3A%2F%2Fid.who.int%2Ficd%2Fentity%2F1781199169","browser")</x:f>
      </x:c>
      <x:c r="L10834" s="0">
        <x:f>hyperlink("https://icat2.azurewebsites.net/icat/?ontology=ICD&amp;tab=ClassesTab&amp;id=http%3A%2F%2Fwho.int%2Ficd%233727_bfdc5bfd_508c_4341_981a_49384b51cdc2","iCat")</x:f>
      </x:c>
      <x:c r="M10834" s="0" t="s">
        <x:v>21</x:v>
      </x:c>
      <x:c r="N10834" s="0" t="s">
        <x:v>46</x:v>
      </x:c>
    </x:row>
    <x:row r="10835" spans="1:16">
      <x:c r="A10835" s="0" t="s">
        <x:v>43112</x:v>
      </x:c>
      <x:c r="B10835" s="0" t="s">
        <x:v>43113</x:v>
      </x:c>
      <x:c r="C10835" s="0" t="s">
        <x:v>42840</x:v>
      </x:c>
      <x:c r="E10835" s="0" t="s">
        <x:v>43114</x:v>
      </x:c>
      <x:c r="F10835" s="0" t="s">
        <x:v>45</x:v>
      </x:c>
      <x:c r="G10835" s="0" t="s">
        <x:v>35</x:v>
      </x:c>
      <x:c r="H10835" s="0" t="s">
        <x:v>20</x:v>
      </x:c>
      <x:c r="I10835" s="0" t="s">
        <x:v>21</x:v>
      </x:c>
      <x:c r="K10835" s="0">
        <x:f>hyperlink("https://icd.who.int/dev11/l-ichi/en#/http%3A%2F%2Fid.who.int%2Ficd%2Fentity%2F353489504","browser")</x:f>
      </x:c>
      <x:c r="L10835" s="0">
        <x:f>hyperlink("https://icat2.azurewebsites.net/icat/?ontology=ICD&amp;tab=ClassesTab&amp;id=http%3A%2F%2Fwho.int%2Ficd%233732_bfdc5bfd_508c_4341_981a_49384b51cdc2","iCat")</x:f>
      </x:c>
      <x:c r="M10835" s="0" t="s">
        <x:v>21</x:v>
      </x:c>
      <x:c r="N10835" s="0" t="s">
        <x:v>46</x:v>
      </x:c>
    </x:row>
    <x:row r="10836" spans="1:16">
      <x:c r="A10836" s="0" t="s">
        <x:v>43115</x:v>
      </x:c>
      <x:c r="B10836" s="0" t="s">
        <x:v>43116</x:v>
      </x:c>
      <x:c r="C10836" s="0" t="s">
        <x:v>42840</x:v>
      </x:c>
      <x:c r="E10836" s="0" t="s">
        <x:v>43117</x:v>
      </x:c>
      <x:c r="F10836" s="0" t="s">
        <x:v>45</x:v>
      </x:c>
      <x:c r="G10836" s="0" t="s">
        <x:v>35</x:v>
      </x:c>
      <x:c r="H10836" s="0" t="s">
        <x:v>20</x:v>
      </x:c>
      <x:c r="I10836" s="0" t="s">
        <x:v>21</x:v>
      </x:c>
      <x:c r="K10836" s="0">
        <x:f>hyperlink("https://icd.who.int/dev11/l-ichi/en#/http%3A%2F%2Fid.who.int%2Ficd%2Fentity%2F15688728","browser")</x:f>
      </x:c>
      <x:c r="L10836" s="0">
        <x:f>hyperlink("https://icat2.azurewebsites.net/icat/?ontology=ICD&amp;tab=ClassesTab&amp;id=http%3A%2F%2Fwho.int%2Ficd%233737_bfdc5bfd_508c_4341_981a_49384b51cdc2","iCat")</x:f>
      </x:c>
      <x:c r="M10836" s="0" t="s">
        <x:v>21</x:v>
      </x:c>
      <x:c r="N10836" s="0" t="s">
        <x:v>46</x:v>
      </x:c>
    </x:row>
    <x:row r="10837" spans="1:16">
      <x:c r="A10837" s="0" t="s">
        <x:v>43118</x:v>
      </x:c>
      <x:c r="B10837" s="0" t="s">
        <x:v>43119</x:v>
      </x:c>
      <x:c r="C10837" s="0" t="s">
        <x:v>42840</x:v>
      </x:c>
      <x:c r="E10837" s="0" t="s">
        <x:v>43120</x:v>
      </x:c>
      <x:c r="F10837" s="0" t="s">
        <x:v>45</x:v>
      </x:c>
      <x:c r="G10837" s="0" t="s">
        <x:v>35</x:v>
      </x:c>
      <x:c r="H10837" s="0" t="s">
        <x:v>20</x:v>
      </x:c>
      <x:c r="I10837" s="0" t="s">
        <x:v>21</x:v>
      </x:c>
      <x:c r="K10837" s="0">
        <x:f>hyperlink("https://icd.who.int/dev11/l-ichi/en#/http%3A%2F%2Fid.who.int%2Ficd%2Fentity%2F633848132","browser")</x:f>
      </x:c>
      <x:c r="L10837" s="0">
        <x:f>hyperlink("https://icat2.azurewebsites.net/icat/?ontology=ICD&amp;tab=ClassesTab&amp;id=http%3A%2F%2Fwho.int%2Ficd%233742_bfdc5bfd_508c_4341_981a_49384b51cdc2","iCat")</x:f>
      </x:c>
      <x:c r="M10837" s="0" t="s">
        <x:v>21</x:v>
      </x:c>
      <x:c r="N10837" s="0" t="s">
        <x:v>46</x:v>
      </x:c>
    </x:row>
    <x:row r="10838" spans="1:16">
      <x:c r="A10838" s="0" t="s">
        <x:v>43121</x:v>
      </x:c>
      <x:c r="B10838" s="0" t="s">
        <x:v>43122</x:v>
      </x:c>
      <x:c r="C10838" s="0" t="s">
        <x:v>42840</x:v>
      </x:c>
      <x:c r="E10838" s="0" t="s">
        <x:v>43123</x:v>
      </x:c>
      <x:c r="F10838" s="0" t="s">
        <x:v>45</x:v>
      </x:c>
      <x:c r="G10838" s="0" t="s">
        <x:v>35</x:v>
      </x:c>
      <x:c r="H10838" s="0" t="s">
        <x:v>20</x:v>
      </x:c>
      <x:c r="I10838" s="0" t="s">
        <x:v>21</x:v>
      </x:c>
      <x:c r="K10838" s="0">
        <x:f>hyperlink("https://icd.who.int/dev11/l-ichi/en#/http%3A%2F%2Fid.who.int%2Ficd%2Fentity%2F809072396","browser")</x:f>
      </x:c>
      <x:c r="L10838" s="0">
        <x:f>hyperlink("https://icat2.azurewebsites.net/icat/?ontology=ICD&amp;tab=ClassesTab&amp;id=http%3A%2F%2Fwho.int%2Ficd%233747_bfdc5bfd_508c_4341_981a_49384b51cdc2","iCat")</x:f>
      </x:c>
      <x:c r="M10838" s="0" t="s">
        <x:v>21</x:v>
      </x:c>
      <x:c r="N10838" s="0" t="s">
        <x:v>46</x:v>
      </x:c>
    </x:row>
    <x:row r="10839" spans="1:16">
      <x:c r="A10839" s="0" t="s">
        <x:v>43124</x:v>
      </x:c>
      <x:c r="B10839" s="0" t="s">
        <x:v>43125</x:v>
      </x:c>
      <x:c r="C10839" s="0" t="s">
        <x:v>42840</x:v>
      </x:c>
      <x:c r="E10839" s="0" t="s">
        <x:v>43126</x:v>
      </x:c>
      <x:c r="F10839" s="0" t="s">
        <x:v>45</x:v>
      </x:c>
      <x:c r="G10839" s="0" t="s">
        <x:v>35</x:v>
      </x:c>
      <x:c r="H10839" s="0" t="s">
        <x:v>20</x:v>
      </x:c>
      <x:c r="I10839" s="0" t="s">
        <x:v>21</x:v>
      </x:c>
      <x:c r="K10839" s="0">
        <x:f>hyperlink("https://icd.who.int/dev11/l-ichi/en#/http%3A%2F%2Fid.who.int%2Ficd%2Fentity%2F1325552659","browser")</x:f>
      </x:c>
      <x:c r="L10839" s="0">
        <x:f>hyperlink("https://icat2.azurewebsites.net/icat/?ontology=ICD&amp;tab=ClassesTab&amp;id=http%3A%2F%2Fwho.int%2Ficd%233752_bfdc5bfd_508c_4341_981a_49384b51cdc2","iCat")</x:f>
      </x:c>
      <x:c r="M10839" s="0" t="s">
        <x:v>21</x:v>
      </x:c>
      <x:c r="N10839" s="0" t="s">
        <x:v>46</x:v>
      </x:c>
    </x:row>
    <x:row r="10840" spans="1:16">
      <x:c r="A10840" s="0" t="s">
        <x:v>43127</x:v>
      </x:c>
      <x:c r="B10840" s="0" t="s">
        <x:v>43128</x:v>
      </x:c>
      <x:c r="C10840" s="0" t="s">
        <x:v>42840</x:v>
      </x:c>
      <x:c r="E10840" s="0" t="s">
        <x:v>43129</x:v>
      </x:c>
      <x:c r="F10840" s="0" t="s">
        <x:v>45</x:v>
      </x:c>
      <x:c r="G10840" s="0" t="s">
        <x:v>35</x:v>
      </x:c>
      <x:c r="H10840" s="0" t="s">
        <x:v>20</x:v>
      </x:c>
      <x:c r="I10840" s="0" t="s">
        <x:v>21</x:v>
      </x:c>
      <x:c r="K10840" s="0">
        <x:f>hyperlink("https://icd.who.int/dev11/l-ichi/en#/http%3A%2F%2Fid.who.int%2Ficd%2Fentity%2F1526522459","browser")</x:f>
      </x:c>
      <x:c r="L10840" s="0">
        <x:f>hyperlink("https://icat2.azurewebsites.net/icat/?ontology=ICD&amp;tab=ClassesTab&amp;id=http%3A%2F%2Fwho.int%2Ficd%233757_bfdc5bfd_508c_4341_981a_49384b51cdc2","iCat")</x:f>
      </x:c>
      <x:c r="M10840" s="0" t="s">
        <x:v>21</x:v>
      </x:c>
      <x:c r="N10840" s="0" t="s">
        <x:v>46</x:v>
      </x:c>
    </x:row>
    <x:row r="10841" spans="1:16">
      <x:c r="A10841" s="0" t="s">
        <x:v>43130</x:v>
      </x:c>
      <x:c r="B10841" s="0" t="s">
        <x:v>43131</x:v>
      </x:c>
      <x:c r="C10841" s="0" t="s">
        <x:v>42840</x:v>
      </x:c>
      <x:c r="E10841" s="0" t="s">
        <x:v>43132</x:v>
      </x:c>
      <x:c r="F10841" s="0" t="s">
        <x:v>45</x:v>
      </x:c>
      <x:c r="G10841" s="0" t="s">
        <x:v>35</x:v>
      </x:c>
      <x:c r="H10841" s="0" t="s">
        <x:v>20</x:v>
      </x:c>
      <x:c r="I10841" s="0" t="s">
        <x:v>21</x:v>
      </x:c>
      <x:c r="K10841" s="0">
        <x:f>hyperlink("https://icd.who.int/dev11/l-ichi/en#/http%3A%2F%2Fid.who.int%2Ficd%2Fentity%2F263394326","browser")</x:f>
      </x:c>
      <x:c r="L10841" s="0">
        <x:f>hyperlink("https://icat2.azurewebsites.net/icat/?ontology=ICD&amp;tab=ClassesTab&amp;id=http%3A%2F%2Fwho.int%2Ficd%233762_bfdc5bfd_508c_4341_981a_49384b51cdc2","iCat")</x:f>
      </x:c>
      <x:c r="M10841" s="0" t="s">
        <x:v>21</x:v>
      </x:c>
      <x:c r="N10841" s="0" t="s">
        <x:v>46</x:v>
      </x:c>
    </x:row>
    <x:row r="10842" spans="1:16">
      <x:c r="A10842" s="0" t="s">
        <x:v>43133</x:v>
      </x:c>
      <x:c r="B10842" s="0" t="s">
        <x:v>43134</x:v>
      </x:c>
      <x:c r="C10842" s="0" t="s">
        <x:v>42840</x:v>
      </x:c>
      <x:c r="E10842" s="0" t="s">
        <x:v>43135</x:v>
      </x:c>
      <x:c r="F10842" s="0" t="s">
        <x:v>45</x:v>
      </x:c>
      <x:c r="G10842" s="0" t="s">
        <x:v>35</x:v>
      </x:c>
      <x:c r="H10842" s="0" t="s">
        <x:v>20</x:v>
      </x:c>
      <x:c r="I10842" s="0" t="s">
        <x:v>21</x:v>
      </x:c>
      <x:c r="K10842" s="0">
        <x:f>hyperlink("https://icd.who.int/dev11/l-ichi/en#/http%3A%2F%2Fid.who.int%2Ficd%2Fentity%2F441295454","browser")</x:f>
      </x:c>
      <x:c r="L10842" s="0">
        <x:f>hyperlink("https://icat2.azurewebsites.net/icat/?ontology=ICD&amp;tab=ClassesTab&amp;id=http%3A%2F%2Fwho.int%2Ficd%233767_bfdc5bfd_508c_4341_981a_49384b51cdc2","iCat")</x:f>
      </x:c>
      <x:c r="M10842" s="0" t="s">
        <x:v>21</x:v>
      </x:c>
      <x:c r="N10842" s="0" t="s">
        <x:v>46</x:v>
      </x:c>
    </x:row>
    <x:row r="10843" spans="1:16">
      <x:c r="A10843" s="0" t="s">
        <x:v>43136</x:v>
      </x:c>
      <x:c r="B10843" s="0" t="s">
        <x:v>43137</x:v>
      </x:c>
      <x:c r="C10843" s="0" t="s">
        <x:v>42840</x:v>
      </x:c>
      <x:c r="E10843" s="0" t="s">
        <x:v>43138</x:v>
      </x:c>
      <x:c r="F10843" s="0" t="s">
        <x:v>45</x:v>
      </x:c>
      <x:c r="G10843" s="0" t="s">
        <x:v>35</x:v>
      </x:c>
      <x:c r="H10843" s="0" t="s">
        <x:v>20</x:v>
      </x:c>
      <x:c r="I10843" s="0" t="s">
        <x:v>21</x:v>
      </x:c>
      <x:c r="K10843" s="0">
        <x:f>hyperlink("https://icd.who.int/dev11/l-ichi/en#/http%3A%2F%2Fid.who.int%2Ficd%2Fentity%2F1702265155","browser")</x:f>
      </x:c>
      <x:c r="L10843" s="0">
        <x:f>hyperlink("https://icat2.azurewebsites.net/icat/?ontology=ICD&amp;tab=ClassesTab&amp;id=http%3A%2F%2Fwho.int%2Ficd%233772_bfdc5bfd_508c_4341_981a_49384b51cdc2","iCat")</x:f>
      </x:c>
      <x:c r="M10843" s="0" t="s">
        <x:v>21</x:v>
      </x:c>
      <x:c r="N10843" s="0" t="s">
        <x:v>46</x:v>
      </x:c>
    </x:row>
    <x:row r="10844" spans="1:16">
      <x:c r="A10844" s="0" t="s">
        <x:v>43139</x:v>
      </x:c>
      <x:c r="B10844" s="0" t="s">
        <x:v>43140</x:v>
      </x:c>
      <x:c r="C10844" s="0" t="s">
        <x:v>42840</x:v>
      </x:c>
      <x:c r="E10844" s="0" t="s">
        <x:v>43141</x:v>
      </x:c>
      <x:c r="F10844" s="0" t="s">
        <x:v>45</x:v>
      </x:c>
      <x:c r="G10844" s="0" t="s">
        <x:v>35</x:v>
      </x:c>
      <x:c r="H10844" s="0" t="s">
        <x:v>20</x:v>
      </x:c>
      <x:c r="I10844" s="0" t="s">
        <x:v>21</x:v>
      </x:c>
      <x:c r="K10844" s="0">
        <x:f>hyperlink("https://icd.who.int/dev11/l-ichi/en#/http%3A%2F%2Fid.who.int%2Ficd%2Fentity%2F1887975179","browser")</x:f>
      </x:c>
      <x:c r="L10844" s="0">
        <x:f>hyperlink("https://icat2.azurewebsites.net/icat/?ontology=ICD&amp;tab=ClassesTab&amp;id=http%3A%2F%2Fwho.int%2Ficd%233777_bfdc5bfd_508c_4341_981a_49384b51cdc2","iCat")</x:f>
      </x:c>
      <x:c r="M10844" s="0" t="s">
        <x:v>21</x:v>
      </x:c>
      <x:c r="N10844" s="0" t="s">
        <x:v>46</x:v>
      </x:c>
    </x:row>
    <x:row r="10845" spans="1:16">
      <x:c r="A10845" s="0" t="s">
        <x:v>43142</x:v>
      </x:c>
      <x:c r="B10845" s="0" t="s">
        <x:v>43143</x:v>
      </x:c>
      <x:c r="C10845" s="0" t="s">
        <x:v>42840</x:v>
      </x:c>
      <x:c r="E10845" s="0" t="s">
        <x:v>43144</x:v>
      </x:c>
      <x:c r="F10845" s="0" t="s">
        <x:v>45</x:v>
      </x:c>
      <x:c r="G10845" s="0" t="s">
        <x:v>35</x:v>
      </x:c>
      <x:c r="H10845" s="0" t="s">
        <x:v>20</x:v>
      </x:c>
      <x:c r="I10845" s="0" t="s">
        <x:v>21</x:v>
      </x:c>
      <x:c r="K10845" s="0">
        <x:f>hyperlink("https://icd.who.int/dev11/l-ichi/en#/http%3A%2F%2Fid.who.int%2Ficd%2Fentity%2F1251068829","browser")</x:f>
      </x:c>
      <x:c r="L10845" s="0">
        <x:f>hyperlink("https://icat2.azurewebsites.net/icat/?ontology=ICD&amp;tab=ClassesTab&amp;id=http%3A%2F%2Fwho.int%2Ficd%233782_bfdc5bfd_508c_4341_981a_49384b51cdc2","iCat")</x:f>
      </x:c>
      <x:c r="M10845" s="0" t="s">
        <x:v>21</x:v>
      </x:c>
      <x:c r="N10845" s="0" t="s">
        <x:v>46</x:v>
      </x:c>
    </x:row>
    <x:row r="10846" spans="1:16">
      <x:c r="A10846" s="0" t="s">
        <x:v>43145</x:v>
      </x:c>
      <x:c r="B10846" s="0" t="s">
        <x:v>43146</x:v>
      </x:c>
      <x:c r="C10846" s="0" t="s">
        <x:v>42840</x:v>
      </x:c>
      <x:c r="E10846" s="0" t="s">
        <x:v>43147</x:v>
      </x:c>
      <x:c r="F10846" s="0" t="s">
        <x:v>45</x:v>
      </x:c>
      <x:c r="G10846" s="0" t="s">
        <x:v>35</x:v>
      </x:c>
      <x:c r="H10846" s="0" t="s">
        <x:v>20</x:v>
      </x:c>
      <x:c r="I10846" s="0" t="s">
        <x:v>21</x:v>
      </x:c>
      <x:c r="K10846" s="0">
        <x:f>hyperlink("https://icd.who.int/dev11/l-ichi/en#/http%3A%2F%2Fid.who.int%2Ficd%2Fentity%2F1601142229","browser")</x:f>
      </x:c>
      <x:c r="L10846" s="0">
        <x:f>hyperlink("https://icat2.azurewebsites.net/icat/?ontology=ICD&amp;tab=ClassesTab&amp;id=http%3A%2F%2Fwho.int%2Ficd%233787_bfdc5bfd_508c_4341_981a_49384b51cdc2","iCat")</x:f>
      </x:c>
      <x:c r="M10846" s="0" t="s">
        <x:v>21</x:v>
      </x:c>
      <x:c r="N10846" s="0" t="s">
        <x:v>46</x:v>
      </x:c>
    </x:row>
    <x:row r="10847" spans="1:16">
      <x:c r="A10847" s="0" t="s">
        <x:v>43148</x:v>
      </x:c>
      <x:c r="B10847" s="0" t="s">
        <x:v>43149</x:v>
      </x:c>
      <x:c r="C10847" s="0" t="s">
        <x:v>42840</x:v>
      </x:c>
      <x:c r="E10847" s="0" t="s">
        <x:v>43150</x:v>
      </x:c>
      <x:c r="F10847" s="0" t="s">
        <x:v>45</x:v>
      </x:c>
      <x:c r="G10847" s="0" t="s">
        <x:v>35</x:v>
      </x:c>
      <x:c r="H10847" s="0" t="s">
        <x:v>20</x:v>
      </x:c>
      <x:c r="I10847" s="0" t="s">
        <x:v>21</x:v>
      </x:c>
      <x:c r="K10847" s="0">
        <x:f>hyperlink("https://icd.who.int/dev11/l-ichi/en#/http%3A%2F%2Fid.who.int%2Ficd%2Fentity%2F542400204","browser")</x:f>
      </x:c>
      <x:c r="L10847" s="0">
        <x:f>hyperlink("https://icat2.azurewebsites.net/icat/?ontology=ICD&amp;tab=ClassesTab&amp;id=http%3A%2F%2Fwho.int%2Ficd%233792_bfdc5bfd_508c_4341_981a_49384b51cdc2","iCat")</x:f>
      </x:c>
      <x:c r="M10847" s="0" t="s">
        <x:v>21</x:v>
      </x:c>
      <x:c r="N10847" s="0" t="s">
        <x:v>46</x:v>
      </x:c>
    </x:row>
    <x:row r="10848" spans="1:16">
      <x:c r="A10848" s="0" t="s">
        <x:v>43151</x:v>
      </x:c>
      <x:c r="B10848" s="0" t="s">
        <x:v>43152</x:v>
      </x:c>
      <x:c r="C10848" s="0" t="s">
        <x:v>42840</x:v>
      </x:c>
      <x:c r="E10848" s="0" t="s">
        <x:v>43153</x:v>
      </x:c>
      <x:c r="F10848" s="0" t="s">
        <x:v>45</x:v>
      </x:c>
      <x:c r="G10848" s="0" t="s">
        <x:v>35</x:v>
      </x:c>
      <x:c r="H10848" s="0" t="s">
        <x:v>20</x:v>
      </x:c>
      <x:c r="I10848" s="0" t="s">
        <x:v>21</x:v>
      </x:c>
      <x:c r="K10848" s="0">
        <x:f>hyperlink("https://icd.who.int/dev11/l-ichi/en#/http%3A%2F%2Fid.who.int%2Ficd%2Fentity%2F900393092","browser")</x:f>
      </x:c>
      <x:c r="L10848" s="0">
        <x:f>hyperlink("https://icat2.azurewebsites.net/icat/?ontology=ICD&amp;tab=ClassesTab&amp;id=http%3A%2F%2Fwho.int%2Ficd%233797_bfdc5bfd_508c_4341_981a_49384b51cdc2","iCat")</x:f>
      </x:c>
      <x:c r="M10848" s="0" t="s">
        <x:v>21</x:v>
      </x:c>
      <x:c r="N10848" s="0" t="s">
        <x:v>46</x:v>
      </x:c>
    </x:row>
    <x:row r="10849" spans="1:16">
      <x:c r="A10849" s="0" t="s">
        <x:v>43154</x:v>
      </x:c>
      <x:c r="B10849" s="0" t="s">
        <x:v>43155</x:v>
      </x:c>
      <x:c r="C10849" s="0" t="s">
        <x:v>42840</x:v>
      </x:c>
      <x:c r="E10849" s="0" t="s">
        <x:v>43156</x:v>
      </x:c>
      <x:c r="F10849" s="0" t="s">
        <x:v>45</x:v>
      </x:c>
      <x:c r="G10849" s="0" t="s">
        <x:v>35</x:v>
      </x:c>
      <x:c r="H10849" s="0" t="s">
        <x:v>20</x:v>
      </x:c>
      <x:c r="I10849" s="0" t="s">
        <x:v>21</x:v>
      </x:c>
      <x:c r="K10849" s="0">
        <x:f>hyperlink("https://icd.who.int/dev11/l-ichi/en#/http%3A%2F%2Fid.who.int%2Ficd%2Fentity%2F1718119846","browser")</x:f>
      </x:c>
      <x:c r="L10849" s="0">
        <x:f>hyperlink("https://icat2.azurewebsites.net/icat/?ontology=ICD&amp;tab=ClassesTab&amp;id=http%3A%2F%2Fwho.int%2Ficd%233801_bfdc5bfd_508c_4341_981a_49384b51cdc2","iCat")</x:f>
      </x:c>
      <x:c r="M10849" s="0" t="s">
        <x:v>21</x:v>
      </x:c>
      <x:c r="N10849" s="0" t="s">
        <x:v>46</x:v>
      </x:c>
    </x:row>
    <x:row r="10850" spans="1:16">
      <x:c r="A10850" s="0" t="s">
        <x:v>43157</x:v>
      </x:c>
      <x:c r="B10850" s="0" t="s">
        <x:v>43158</x:v>
      </x:c>
      <x:c r="C10850" s="0" t="s">
        <x:v>42840</x:v>
      </x:c>
      <x:c r="E10850" s="0" t="s">
        <x:v>43159</x:v>
      </x:c>
      <x:c r="F10850" s="0" t="s">
        <x:v>45</x:v>
      </x:c>
      <x:c r="G10850" s="0" t="s">
        <x:v>35</x:v>
      </x:c>
      <x:c r="H10850" s="0" t="s">
        <x:v>20</x:v>
      </x:c>
      <x:c r="I10850" s="0" t="s">
        <x:v>21</x:v>
      </x:c>
      <x:c r="K10850" s="0">
        <x:f>hyperlink("https://icd.who.int/dev11/l-ichi/en#/http%3A%2F%2Fid.who.int%2Ficd%2Fentity%2F384484907","browser")</x:f>
      </x:c>
      <x:c r="L10850" s="0">
        <x:f>hyperlink("https://icat2.azurewebsites.net/icat/?ontology=ICD&amp;tab=ClassesTab&amp;id=http%3A%2F%2Fwho.int%2Ficd%233806_bfdc5bfd_508c_4341_981a_49384b51cdc2","iCat")</x:f>
      </x:c>
      <x:c r="M10850" s="0" t="s">
        <x:v>21</x:v>
      </x:c>
      <x:c r="N10850" s="0" t="s">
        <x:v>46</x:v>
      </x:c>
    </x:row>
    <x:row r="10851" spans="1:16">
      <x:c r="A10851" s="0" t="s">
        <x:v>43160</x:v>
      </x:c>
      <x:c r="B10851" s="0" t="s">
        <x:v>43161</x:v>
      </x:c>
      <x:c r="C10851" s="0" t="s">
        <x:v>42840</x:v>
      </x:c>
      <x:c r="E10851" s="0" t="s">
        <x:v>43162</x:v>
      </x:c>
      <x:c r="F10851" s="0" t="s">
        <x:v>45</x:v>
      </x:c>
      <x:c r="G10851" s="0" t="s">
        <x:v>35</x:v>
      </x:c>
      <x:c r="H10851" s="0" t="s">
        <x:v>20</x:v>
      </x:c>
      <x:c r="I10851" s="0" t="s">
        <x:v>21</x:v>
      </x:c>
      <x:c r="K10851" s="0">
        <x:f>hyperlink("https://icd.who.int/dev11/l-ichi/en#/http%3A%2F%2Fid.who.int%2Ficd%2Fentity%2F212728049","browser")</x:f>
      </x:c>
      <x:c r="L10851" s="0">
        <x:f>hyperlink("https://icat2.azurewebsites.net/icat/?ontology=ICD&amp;tab=ClassesTab&amp;id=http%3A%2F%2Fwho.int%2Ficd%233811_bfdc5bfd_508c_4341_981a_49384b51cdc2","iCat")</x:f>
      </x:c>
      <x:c r="M10851" s="0" t="s">
        <x:v>21</x:v>
      </x:c>
      <x:c r="N10851" s="0" t="s">
        <x:v>46</x:v>
      </x:c>
    </x:row>
    <x:row r="10852" spans="1:16">
      <x:c r="A10852" s="0" t="s">
        <x:v>43163</x:v>
      </x:c>
      <x:c r="B10852" s="0" t="s">
        <x:v>43164</x:v>
      </x:c>
      <x:c r="C10852" s="0" t="s">
        <x:v>42840</x:v>
      </x:c>
      <x:c r="E10852" s="0" t="s">
        <x:v>43165</x:v>
      </x:c>
      <x:c r="F10852" s="0" t="s">
        <x:v>45</x:v>
      </x:c>
      <x:c r="G10852" s="0" t="s">
        <x:v>35</x:v>
      </x:c>
      <x:c r="H10852" s="0" t="s">
        <x:v>20</x:v>
      </x:c>
      <x:c r="I10852" s="0" t="s">
        <x:v>21</x:v>
      </x:c>
      <x:c r="K10852" s="0">
        <x:f>hyperlink("https://icd.who.int/dev11/l-ichi/en#/http%3A%2F%2Fid.who.int%2Ficd%2Fentity%2F2083476348","browser")</x:f>
      </x:c>
      <x:c r="L10852" s="0">
        <x:f>hyperlink("https://icat2.azurewebsites.net/icat/?ontology=ICD&amp;tab=ClassesTab&amp;id=http%3A%2F%2Fwho.int%2Ficd%233816_bfdc5bfd_508c_4341_981a_49384b51cdc2","iCat")</x:f>
      </x:c>
      <x:c r="M10852" s="0" t="s">
        <x:v>21</x:v>
      </x:c>
      <x:c r="N10852" s="0" t="s">
        <x:v>46</x:v>
      </x:c>
    </x:row>
    <x:row r="10853" spans="1:16">
      <x:c r="A10853" s="0" t="s">
        <x:v>43166</x:v>
      </x:c>
      <x:c r="B10853" s="0" t="s">
        <x:v>43167</x:v>
      </x:c>
      <x:c r="C10853" s="0" t="s">
        <x:v>42840</x:v>
      </x:c>
      <x:c r="E10853" s="0" t="s">
        <x:v>43168</x:v>
      </x:c>
      <x:c r="F10853" s="0" t="s">
        <x:v>45</x:v>
      </x:c>
      <x:c r="G10853" s="0" t="s">
        <x:v>35</x:v>
      </x:c>
      <x:c r="H10853" s="0" t="s">
        <x:v>20</x:v>
      </x:c>
      <x:c r="I10853" s="0" t="s">
        <x:v>21</x:v>
      </x:c>
      <x:c r="K10853" s="0">
        <x:f>hyperlink("https://icd.who.int/dev11/l-ichi/en#/http%3A%2F%2Fid.who.int%2Ficd%2Fentity%2F1276950776","browser")</x:f>
      </x:c>
      <x:c r="L10853" s="0">
        <x:f>hyperlink("https://icat2.azurewebsites.net/icat/?ontology=ICD&amp;tab=ClassesTab&amp;id=http%3A%2F%2Fwho.int%2Ficd%233821_bfdc5bfd_508c_4341_981a_49384b51cdc2","iCat")</x:f>
      </x:c>
      <x:c r="M10853" s="0" t="s">
        <x:v>21</x:v>
      </x:c>
      <x:c r="N10853" s="0" t="s">
        <x:v>46</x:v>
      </x:c>
    </x:row>
    <x:row r="10854" spans="1:16">
      <x:c r="A10854" s="0" t="s">
        <x:v>43169</x:v>
      </x:c>
      <x:c r="B10854" s="0" t="s">
        <x:v>43170</x:v>
      </x:c>
      <x:c r="C10854" s="0" t="s">
        <x:v>42840</x:v>
      </x:c>
      <x:c r="E10854" s="0" t="s">
        <x:v>43171</x:v>
      </x:c>
      <x:c r="F10854" s="0" t="s">
        <x:v>45</x:v>
      </x:c>
      <x:c r="G10854" s="0" t="s">
        <x:v>35</x:v>
      </x:c>
      <x:c r="H10854" s="0" t="s">
        <x:v>20</x:v>
      </x:c>
      <x:c r="I10854" s="0" t="s">
        <x:v>21</x:v>
      </x:c>
      <x:c r="K10854" s="0">
        <x:f>hyperlink("https://icd.who.int/dev11/l-ichi/en#/http%3A%2F%2Fid.who.int%2Ficd%2Fentity%2F1016992635","browser")</x:f>
      </x:c>
      <x:c r="L10854" s="0">
        <x:f>hyperlink("https://icat2.azurewebsites.net/icat/?ontology=ICD&amp;tab=ClassesTab&amp;id=http%3A%2F%2Fwho.int%2Ficd%233826_bfdc5bfd_508c_4341_981a_49384b51cdc2","iCat")</x:f>
      </x:c>
      <x:c r="M10854" s="0" t="s">
        <x:v>21</x:v>
      </x:c>
      <x:c r="N10854" s="0" t="s">
        <x:v>46</x:v>
      </x:c>
    </x:row>
    <x:row r="10855" spans="1:16">
      <x:c r="A10855" s="0" t="s">
        <x:v>43172</x:v>
      </x:c>
      <x:c r="B10855" s="0" t="s">
        <x:v>43173</x:v>
      </x:c>
      <x:c r="C10855" s="0" t="s">
        <x:v>42840</x:v>
      </x:c>
      <x:c r="E10855" s="0" t="s">
        <x:v>43174</x:v>
      </x:c>
      <x:c r="F10855" s="0" t="s">
        <x:v>45</x:v>
      </x:c>
      <x:c r="G10855" s="0" t="s">
        <x:v>35</x:v>
      </x:c>
      <x:c r="H10855" s="0" t="s">
        <x:v>20</x:v>
      </x:c>
      <x:c r="I10855" s="0" t="s">
        <x:v>21</x:v>
      </x:c>
      <x:c r="K10855" s="0">
        <x:f>hyperlink("https://icd.who.int/dev11/l-ichi/en#/http%3A%2F%2Fid.who.int%2Ficd%2Fentity%2F651767201","browser")</x:f>
      </x:c>
      <x:c r="L10855" s="0">
        <x:f>hyperlink("https://icat2.azurewebsites.net/icat/?ontology=ICD&amp;tab=ClassesTab&amp;id=http%3A%2F%2Fwho.int%2Ficd%233831_bfdc5bfd_508c_4341_981a_49384b51cdc2","iCat")</x:f>
      </x:c>
      <x:c r="M10855" s="0" t="s">
        <x:v>21</x:v>
      </x:c>
      <x:c r="N10855" s="0" t="s">
        <x:v>46</x:v>
      </x:c>
    </x:row>
    <x:row r="10856" spans="1:16">
      <x:c r="A10856" s="0" t="s">
        <x:v>43175</x:v>
      </x:c>
      <x:c r="B10856" s="0" t="s">
        <x:v>43176</x:v>
      </x:c>
      <x:c r="C10856" s="0" t="s">
        <x:v>42840</x:v>
      </x:c>
      <x:c r="E10856" s="0" t="s">
        <x:v>43177</x:v>
      </x:c>
      <x:c r="F10856" s="0" t="s">
        <x:v>45</x:v>
      </x:c>
      <x:c r="G10856" s="0" t="s">
        <x:v>35</x:v>
      </x:c>
      <x:c r="H10856" s="0" t="s">
        <x:v>20</x:v>
      </x:c>
      <x:c r="I10856" s="0" t="s">
        <x:v>21</x:v>
      </x:c>
      <x:c r="K10856" s="0">
        <x:f>hyperlink("https://icd.who.int/dev11/l-ichi/en#/http%3A%2F%2Fid.who.int%2Ficd%2Fentity%2F1448838702","browser")</x:f>
      </x:c>
      <x:c r="L10856" s="0">
        <x:f>hyperlink("https://icat2.azurewebsites.net/icat/?ontology=ICD&amp;tab=ClassesTab&amp;id=http%3A%2F%2Fwho.int%2Ficd%233836_bfdc5bfd_508c_4341_981a_49384b51cdc2","iCat")</x:f>
      </x:c>
      <x:c r="M10856" s="0" t="s">
        <x:v>21</x:v>
      </x:c>
      <x:c r="N10856" s="0" t="s">
        <x:v>46</x:v>
      </x:c>
    </x:row>
    <x:row r="10857" spans="1:16">
      <x:c r="A10857" s="0" t="s">
        <x:v>43178</x:v>
      </x:c>
      <x:c r="B10857" s="0" t="s">
        <x:v>43179</x:v>
      </x:c>
      <x:c r="C10857" s="0" t="s">
        <x:v>42840</x:v>
      </x:c>
      <x:c r="E10857" s="0" t="s">
        <x:v>43180</x:v>
      </x:c>
      <x:c r="F10857" s="0" t="s">
        <x:v>45</x:v>
      </x:c>
      <x:c r="G10857" s="0" t="s">
        <x:v>35</x:v>
      </x:c>
      <x:c r="H10857" s="0" t="s">
        <x:v>20</x:v>
      </x:c>
      <x:c r="I10857" s="0" t="s">
        <x:v>21</x:v>
      </x:c>
      <x:c r="K10857" s="0">
        <x:f>hyperlink("https://icd.who.int/dev11/l-ichi/en#/http%3A%2F%2Fid.who.int%2Ficd%2Fentity%2F370097851","browser")</x:f>
      </x:c>
      <x:c r="L10857" s="0">
        <x:f>hyperlink("https://icat2.azurewebsites.net/icat/?ontology=ICD&amp;tab=ClassesTab&amp;id=http%3A%2F%2Fwho.int%2Ficd%233841_bfdc5bfd_508c_4341_981a_49384b51cdc2","iCat")</x:f>
      </x:c>
      <x:c r="M10857" s="0" t="s">
        <x:v>21</x:v>
      </x:c>
      <x:c r="N10857" s="0" t="s">
        <x:v>46</x:v>
      </x:c>
    </x:row>
    <x:row r="10858" spans="1:16">
      <x:c r="A10858" s="0" t="s">
        <x:v>43181</x:v>
      </x:c>
      <x:c r="B10858" s="0" t="s">
        <x:v>43182</x:v>
      </x:c>
      <x:c r="C10858" s="0" t="s">
        <x:v>42840</x:v>
      </x:c>
      <x:c r="E10858" s="0" t="s">
        <x:v>43183</x:v>
      </x:c>
      <x:c r="F10858" s="0" t="s">
        <x:v>45</x:v>
      </x:c>
      <x:c r="G10858" s="0" t="s">
        <x:v>35</x:v>
      </x:c>
      <x:c r="H10858" s="0" t="s">
        <x:v>20</x:v>
      </x:c>
      <x:c r="I10858" s="0" t="s">
        <x:v>21</x:v>
      </x:c>
      <x:c r="K10858" s="0">
        <x:f>hyperlink("https://icd.who.int/dev11/l-ichi/en#/http%3A%2F%2Fid.who.int%2Ficd%2Fentity%2F1720554806","browser")</x:f>
      </x:c>
      <x:c r="L10858" s="0">
        <x:f>hyperlink("https://icat2.azurewebsites.net/icat/?ontology=ICD&amp;tab=ClassesTab&amp;id=http%3A%2F%2Fwho.int%2Ficd%233846_bfdc5bfd_508c_4341_981a_49384b51cdc2","iCat")</x:f>
      </x:c>
      <x:c r="M10858" s="0" t="s">
        <x:v>21</x:v>
      </x:c>
      <x:c r="N10858" s="0" t="s">
        <x:v>46</x:v>
      </x:c>
    </x:row>
    <x:row r="10859" spans="1:16">
      <x:c r="A10859" s="0" t="s">
        <x:v>43184</x:v>
      </x:c>
      <x:c r="B10859" s="0" t="s">
        <x:v>43185</x:v>
      </x:c>
      <x:c r="C10859" s="0" t="s">
        <x:v>42840</x:v>
      </x:c>
      <x:c r="E10859" s="0" t="s">
        <x:v>43186</x:v>
      </x:c>
      <x:c r="F10859" s="0" t="s">
        <x:v>45</x:v>
      </x:c>
      <x:c r="G10859" s="0" t="s">
        <x:v>35</x:v>
      </x:c>
      <x:c r="H10859" s="0" t="s">
        <x:v>20</x:v>
      </x:c>
      <x:c r="I10859" s="0" t="s">
        <x:v>21</x:v>
      </x:c>
      <x:c r="K10859" s="0">
        <x:f>hyperlink("https://icd.who.int/dev11/l-ichi/en#/http%3A%2F%2Fid.who.int%2Ficd%2Fentity%2F2093657068","browser")</x:f>
      </x:c>
      <x:c r="L10859" s="0">
        <x:f>hyperlink("https://icat2.azurewebsites.net/icat/?ontology=ICD&amp;tab=ClassesTab&amp;id=http%3A%2F%2Fwho.int%2Ficd%233851_bfdc5bfd_508c_4341_981a_49384b51cdc2","iCat")</x:f>
      </x:c>
      <x:c r="M10859" s="0" t="s">
        <x:v>21</x:v>
      </x:c>
      <x:c r="N10859" s="0" t="s">
        <x:v>46</x:v>
      </x:c>
    </x:row>
    <x:row r="10860" spans="1:16">
      <x:c r="A10860" s="0" t="s">
        <x:v>43187</x:v>
      </x:c>
      <x:c r="B10860" s="0" t="s">
        <x:v>43188</x:v>
      </x:c>
      <x:c r="C10860" s="0" t="s">
        <x:v>42840</x:v>
      </x:c>
      <x:c r="E10860" s="0" t="s">
        <x:v>43189</x:v>
      </x:c>
      <x:c r="F10860" s="0" t="s">
        <x:v>45</x:v>
      </x:c>
      <x:c r="G10860" s="0" t="s">
        <x:v>30</x:v>
      </x:c>
      <x:c r="H10860" s="0" t="s">
        <x:v>20</x:v>
      </x:c>
      <x:c r="I10860" s="0" t="s">
        <x:v>21</x:v>
      </x:c>
      <x:c r="K10860" s="0">
        <x:f>hyperlink("https://icd.who.int/dev11/l-ichi/en#/http%3A%2F%2Fid.who.int%2Ficd%2Fentity%2F1238200218","browser")</x:f>
      </x:c>
      <x:c r="L10860" s="0">
        <x:f>hyperlink("https://icat2.azurewebsites.net/icat/?ontology=ICD&amp;tab=ClassesTab&amp;id=http%3A%2F%2Fwho.int%2Ficd%233855_bfdc5bfd_508c_4341_981a_49384b51cdc2","iCat")</x:f>
      </x:c>
      <x:c r="M10860" s="0" t="s">
        <x:v>20</x:v>
      </x:c>
      <x:c r="N10860" s="0" t="s">
        <x:v>8440</x:v>
      </x:c>
    </x:row>
    <x:row r="10861" spans="1:16">
      <x:c r="A10861" s="0" t="s">
        <x:v>43190</x:v>
      </x:c>
      <x:c r="B10861" s="0" t="s">
        <x:v>43191</x:v>
      </x:c>
      <x:c r="C10861" s="0" t="s">
        <x:v>42840</x:v>
      </x:c>
      <x:c r="E10861" s="0" t="s">
        <x:v>43192</x:v>
      </x:c>
      <x:c r="F10861" s="0" t="s">
        <x:v>45</x:v>
      </x:c>
      <x:c r="G10861" s="0" t="s">
        <x:v>35</x:v>
      </x:c>
      <x:c r="H10861" s="0" t="s">
        <x:v>20</x:v>
      </x:c>
      <x:c r="I10861" s="0" t="s">
        <x:v>21</x:v>
      </x:c>
      <x:c r="K10861" s="0">
        <x:f>hyperlink("https://icd.who.int/dev11/l-ichi/en#/http%3A%2F%2Fid.who.int%2Ficd%2Fentity%2F478321111","browser")</x:f>
      </x:c>
      <x:c r="L10861" s="0">
        <x:f>hyperlink("https://icat2.azurewebsites.net/icat/?ontology=ICD&amp;tab=ClassesTab&amp;id=http%3A%2F%2Fwho.int%2Ficd%233860_bfdc5bfd_508c_4341_981a_49384b51cdc2","iCat")</x:f>
      </x:c>
      <x:c r="M10861" s="0" t="s">
        <x:v>21</x:v>
      </x:c>
      <x:c r="N10861" s="0" t="s">
        <x:v>46</x:v>
      </x:c>
    </x:row>
    <x:row r="10862" spans="1:16">
      <x:c r="A10862" s="0" t="s">
        <x:v>43193</x:v>
      </x:c>
      <x:c r="B10862" s="0" t="s">
        <x:v>43194</x:v>
      </x:c>
      <x:c r="C10862" s="0" t="s">
        <x:v>42840</x:v>
      </x:c>
      <x:c r="E10862" s="0" t="s">
        <x:v>43195</x:v>
      </x:c>
      <x:c r="F10862" s="0" t="s">
        <x:v>45</x:v>
      </x:c>
      <x:c r="G10862" s="0" t="s">
        <x:v>35</x:v>
      </x:c>
      <x:c r="H10862" s="0" t="s">
        <x:v>20</x:v>
      </x:c>
      <x:c r="I10862" s="0" t="s">
        <x:v>21</x:v>
      </x:c>
      <x:c r="K10862" s="0">
        <x:f>hyperlink("https://icd.who.int/dev11/l-ichi/en#/http%3A%2F%2Fid.who.int%2Ficd%2Fentity%2F159133599","browser")</x:f>
      </x:c>
      <x:c r="L10862" s="0">
        <x:f>hyperlink("https://icat2.azurewebsites.net/icat/?ontology=ICD&amp;tab=ClassesTab&amp;id=http%3A%2F%2Fwho.int%2Ficd%233865_bfdc5bfd_508c_4341_981a_49384b51cdc2","iCat")</x:f>
      </x:c>
      <x:c r="M10862" s="0" t="s">
        <x:v>21</x:v>
      </x:c>
      <x:c r="N10862" s="0" t="s">
        <x:v>46</x:v>
      </x:c>
    </x:row>
    <x:row r="10863" spans="1:16">
      <x:c r="A10863" s="0" t="s">
        <x:v>43196</x:v>
      </x:c>
      <x:c r="B10863" s="0" t="s">
        <x:v>43197</x:v>
      </x:c>
      <x:c r="C10863" s="0" t="s">
        <x:v>42840</x:v>
      </x:c>
      <x:c r="E10863" s="0" t="s">
        <x:v>43198</x:v>
      </x:c>
      <x:c r="F10863" s="0" t="s">
        <x:v>45</x:v>
      </x:c>
      <x:c r="G10863" s="0" t="s">
        <x:v>35</x:v>
      </x:c>
      <x:c r="H10863" s="0" t="s">
        <x:v>20</x:v>
      </x:c>
      <x:c r="I10863" s="0" t="s">
        <x:v>21</x:v>
      </x:c>
      <x:c r="K10863" s="0">
        <x:f>hyperlink("https://icd.who.int/dev11/l-ichi/en#/http%3A%2F%2Fid.who.int%2Ficd%2Fentity%2F1984367744","browser")</x:f>
      </x:c>
      <x:c r="L10863" s="0">
        <x:f>hyperlink("https://icat2.azurewebsites.net/icat/?ontology=ICD&amp;tab=ClassesTab&amp;id=http%3A%2F%2Fwho.int%2Ficd%233870_bfdc5bfd_508c_4341_981a_49384b51cdc2","iCat")</x:f>
      </x:c>
      <x:c r="M10863" s="0" t="s">
        <x:v>21</x:v>
      </x:c>
      <x:c r="N10863" s="0" t="s">
        <x:v>46</x:v>
      </x:c>
    </x:row>
    <x:row r="10864" spans="1:16">
      <x:c r="A10864" s="0" t="s">
        <x:v>43199</x:v>
      </x:c>
      <x:c r="B10864" s="0" t="s">
        <x:v>43200</x:v>
      </x:c>
      <x:c r="C10864" s="0" t="s">
        <x:v>42840</x:v>
      </x:c>
      <x:c r="E10864" s="0" t="s">
        <x:v>43201</x:v>
      </x:c>
      <x:c r="F10864" s="0" t="s">
        <x:v>45</x:v>
      </x:c>
      <x:c r="G10864" s="0" t="s">
        <x:v>35</x:v>
      </x:c>
      <x:c r="H10864" s="0" t="s">
        <x:v>20</x:v>
      </x:c>
      <x:c r="I10864" s="0" t="s">
        <x:v>21</x:v>
      </x:c>
      <x:c r="K10864" s="0">
        <x:f>hyperlink("https://icd.who.int/dev11/l-ichi/en#/http%3A%2F%2Fid.who.int%2Ficd%2Fentity%2F1673116360","browser")</x:f>
      </x:c>
      <x:c r="L10864" s="0">
        <x:f>hyperlink("https://icat2.azurewebsites.net/icat/?ontology=ICD&amp;tab=ClassesTab&amp;id=http%3A%2F%2Fwho.int%2Ficd%233875_bfdc5bfd_508c_4341_981a_49384b51cdc2","iCat")</x:f>
      </x:c>
      <x:c r="M10864" s="0" t="s">
        <x:v>21</x:v>
      </x:c>
      <x:c r="N10864" s="0" t="s">
        <x:v>46</x:v>
      </x:c>
    </x:row>
    <x:row r="10865" spans="1:16">
      <x:c r="A10865" s="0" t="s">
        <x:v>43202</x:v>
      </x:c>
      <x:c r="B10865" s="0" t="s">
        <x:v>43203</x:v>
      </x:c>
      <x:c r="C10865" s="0" t="s">
        <x:v>42840</x:v>
      </x:c>
      <x:c r="E10865" s="0" t="s">
        <x:v>43204</x:v>
      </x:c>
      <x:c r="F10865" s="0" t="s">
        <x:v>45</x:v>
      </x:c>
      <x:c r="G10865" s="0" t="s">
        <x:v>35</x:v>
      </x:c>
      <x:c r="H10865" s="0" t="s">
        <x:v>20</x:v>
      </x:c>
      <x:c r="I10865" s="0" t="s">
        <x:v>21</x:v>
      </x:c>
      <x:c r="K10865" s="0">
        <x:f>hyperlink("https://icd.who.int/dev11/l-ichi/en#/http%3A%2F%2Fid.who.int%2Ficd%2Fentity%2F1503675998","browser")</x:f>
      </x:c>
      <x:c r="L10865" s="0">
        <x:f>hyperlink("https://icat2.azurewebsites.net/icat/?ontology=ICD&amp;tab=ClassesTab&amp;id=http%3A%2F%2Fwho.int%2Ficd%233880_bfdc5bfd_508c_4341_981a_49384b51cdc2","iCat")</x:f>
      </x:c>
      <x:c r="M10865" s="0" t="s">
        <x:v>21</x:v>
      </x:c>
      <x:c r="N10865" s="0" t="s">
        <x:v>46</x:v>
      </x:c>
    </x:row>
    <x:row r="10866" spans="1:16">
      <x:c r="A10866" s="0" t="s">
        <x:v>43205</x:v>
      </x:c>
      <x:c r="B10866" s="0" t="s">
        <x:v>43206</x:v>
      </x:c>
      <x:c r="C10866" s="0" t="s">
        <x:v>42840</x:v>
      </x:c>
      <x:c r="E10866" s="0" t="s">
        <x:v>43207</x:v>
      </x:c>
      <x:c r="F10866" s="0" t="s">
        <x:v>45</x:v>
      </x:c>
      <x:c r="G10866" s="0" t="s">
        <x:v>35</x:v>
      </x:c>
      <x:c r="H10866" s="0" t="s">
        <x:v>20</x:v>
      </x:c>
      <x:c r="I10866" s="0" t="s">
        <x:v>21</x:v>
      </x:c>
      <x:c r="K10866" s="0">
        <x:f>hyperlink("https://icd.who.int/dev11/l-ichi/en#/http%3A%2F%2Fid.who.int%2Ficd%2Fentity%2F1281290262","browser")</x:f>
      </x:c>
      <x:c r="L10866" s="0">
        <x:f>hyperlink("https://icat2.azurewebsites.net/icat/?ontology=ICD&amp;tab=ClassesTab&amp;id=http%3A%2F%2Fwho.int%2Ficd%233885_bfdc5bfd_508c_4341_981a_49384b51cdc2","iCat")</x:f>
      </x:c>
      <x:c r="M10866" s="0" t="s">
        <x:v>21</x:v>
      </x:c>
      <x:c r="N10866" s="0" t="s">
        <x:v>46</x:v>
      </x:c>
    </x:row>
    <x:row r="10867" spans="1:16">
      <x:c r="A10867" s="0" t="s">
        <x:v>43208</x:v>
      </x:c>
      <x:c r="B10867" s="0" t="s">
        <x:v>43209</x:v>
      </x:c>
      <x:c r="C10867" s="0" t="s">
        <x:v>42840</x:v>
      </x:c>
      <x:c r="E10867" s="0" t="s">
        <x:v>43210</x:v>
      </x:c>
      <x:c r="F10867" s="0" t="s">
        <x:v>45</x:v>
      </x:c>
      <x:c r="G10867" s="0" t="s">
        <x:v>35</x:v>
      </x:c>
      <x:c r="H10867" s="0" t="s">
        <x:v>20</x:v>
      </x:c>
      <x:c r="I10867" s="0" t="s">
        <x:v>21</x:v>
      </x:c>
      <x:c r="K10867" s="0">
        <x:f>hyperlink("https://icd.who.int/dev11/l-ichi/en#/http%3A%2F%2Fid.who.int%2Ficd%2Fentity%2F862311177","browser")</x:f>
      </x:c>
      <x:c r="L10867" s="0">
        <x:f>hyperlink("https://icat2.azurewebsites.net/icat/?ontology=ICD&amp;tab=ClassesTab&amp;id=http%3A%2F%2Fwho.int%2Ficd%233890_bfdc5bfd_508c_4341_981a_49384b51cdc2","iCat")</x:f>
      </x:c>
      <x:c r="M10867" s="0" t="s">
        <x:v>21</x:v>
      </x:c>
      <x:c r="N10867" s="0" t="s">
        <x:v>46</x:v>
      </x:c>
    </x:row>
    <x:row r="10868" spans="1:16">
      <x:c r="A10868" s="0" t="s">
        <x:v>43211</x:v>
      </x:c>
      <x:c r="B10868" s="0" t="s">
        <x:v>43212</x:v>
      </x:c>
      <x:c r="C10868" s="0" t="s">
        <x:v>42840</x:v>
      </x:c>
      <x:c r="E10868" s="0" t="s">
        <x:v>43213</x:v>
      </x:c>
      <x:c r="F10868" s="0" t="s">
        <x:v>45</x:v>
      </x:c>
      <x:c r="G10868" s="0" t="s">
        <x:v>35</x:v>
      </x:c>
      <x:c r="H10868" s="0" t="s">
        <x:v>20</x:v>
      </x:c>
      <x:c r="I10868" s="0" t="s">
        <x:v>21</x:v>
      </x:c>
      <x:c r="K10868" s="0">
        <x:f>hyperlink("https://icd.who.int/dev11/l-ichi/en#/http%3A%2F%2Fid.who.int%2Ficd%2Fentity%2F647718209","browser")</x:f>
      </x:c>
      <x:c r="L10868" s="0">
        <x:f>hyperlink("https://icat2.azurewebsites.net/icat/?ontology=ICD&amp;tab=ClassesTab&amp;id=http%3A%2F%2Fwho.int%2Ficd%233895_bfdc5bfd_508c_4341_981a_49384b51cdc2","iCat")</x:f>
      </x:c>
      <x:c r="M10868" s="0" t="s">
        <x:v>21</x:v>
      </x:c>
      <x:c r="N10868" s="0" t="s">
        <x:v>46</x:v>
      </x:c>
    </x:row>
    <x:row r="10869" spans="1:16">
      <x:c r="A10869" s="0" t="s">
        <x:v>43214</x:v>
      </x:c>
      <x:c r="B10869" s="0" t="s">
        <x:v>43215</x:v>
      </x:c>
      <x:c r="C10869" s="0" t="s">
        <x:v>42840</x:v>
      </x:c>
      <x:c r="E10869" s="0" t="s">
        <x:v>43216</x:v>
      </x:c>
      <x:c r="F10869" s="0" t="s">
        <x:v>45</x:v>
      </x:c>
      <x:c r="G10869" s="0" t="s">
        <x:v>35</x:v>
      </x:c>
      <x:c r="H10869" s="0" t="s">
        <x:v>20</x:v>
      </x:c>
      <x:c r="I10869" s="0" t="s">
        <x:v>21</x:v>
      </x:c>
      <x:c r="K10869" s="0">
        <x:f>hyperlink("https://icd.who.int/dev11/l-ichi/en#/http%3A%2F%2Fid.who.int%2Ficd%2Fentity%2F856611079","browser")</x:f>
      </x:c>
      <x:c r="L10869" s="0">
        <x:f>hyperlink("https://icat2.azurewebsites.net/icat/?ontology=ICD&amp;tab=ClassesTab&amp;id=http%3A%2F%2Fwho.int%2Ficd%233900_bfdc5bfd_508c_4341_981a_49384b51cdc2","iCat")</x:f>
      </x:c>
      <x:c r="M10869" s="0" t="s">
        <x:v>21</x:v>
      </x:c>
      <x:c r="N10869" s="0" t="s">
        <x:v>46</x:v>
      </x:c>
    </x:row>
    <x:row r="10870" spans="1:16">
      <x:c r="A10870" s="0" t="s">
        <x:v>43217</x:v>
      </x:c>
      <x:c r="B10870" s="0" t="s">
        <x:v>43218</x:v>
      </x:c>
      <x:c r="C10870" s="0" t="s">
        <x:v>42840</x:v>
      </x:c>
      <x:c r="E10870" s="0" t="s">
        <x:v>43219</x:v>
      </x:c>
      <x:c r="F10870" s="0" t="s">
        <x:v>45</x:v>
      </x:c>
      <x:c r="G10870" s="0" t="s">
        <x:v>35</x:v>
      </x:c>
      <x:c r="H10870" s="0" t="s">
        <x:v>20</x:v>
      </x:c>
      <x:c r="I10870" s="0" t="s">
        <x:v>21</x:v>
      </x:c>
      <x:c r="K10870" s="0">
        <x:f>hyperlink("https://icd.who.int/dev11/l-ichi/en#/http%3A%2F%2Fid.who.int%2Ficd%2Fentity%2F653291343","browser")</x:f>
      </x:c>
      <x:c r="L10870" s="0">
        <x:f>hyperlink("https://icat2.azurewebsites.net/icat/?ontology=ICD&amp;tab=ClassesTab&amp;id=http%3A%2F%2Fwho.int%2Ficd%233905_bfdc5bfd_508c_4341_981a_49384b51cdc2","iCat")</x:f>
      </x:c>
      <x:c r="M10870" s="0" t="s">
        <x:v>21</x:v>
      </x:c>
      <x:c r="N10870" s="0" t="s">
        <x:v>46</x:v>
      </x:c>
    </x:row>
    <x:row r="10871" spans="1:16">
      <x:c r="A10871" s="0" t="s">
        <x:v>43220</x:v>
      </x:c>
      <x:c r="B10871" s="0" t="s">
        <x:v>43221</x:v>
      </x:c>
      <x:c r="C10871" s="0" t="s">
        <x:v>42840</x:v>
      </x:c>
      <x:c r="E10871" s="0" t="s">
        <x:v>43222</x:v>
      </x:c>
      <x:c r="F10871" s="0" t="s">
        <x:v>45</x:v>
      </x:c>
      <x:c r="G10871" s="0" t="s">
        <x:v>35</x:v>
      </x:c>
      <x:c r="H10871" s="0" t="s">
        <x:v>20</x:v>
      </x:c>
      <x:c r="I10871" s="0" t="s">
        <x:v>21</x:v>
      </x:c>
      <x:c r="K10871" s="0">
        <x:f>hyperlink("https://icd.who.int/dev11/l-ichi/en#/http%3A%2F%2Fid.who.int%2Ficd%2Fentity%2F1506495570","browser")</x:f>
      </x:c>
      <x:c r="L10871" s="0">
        <x:f>hyperlink("https://icat2.azurewebsites.net/icat/?ontology=ICD&amp;tab=ClassesTab&amp;id=http%3A%2F%2Fwho.int%2Ficd%233910_bfdc5bfd_508c_4341_981a_49384b51cdc2","iCat")</x:f>
      </x:c>
      <x:c r="M10871" s="0" t="s">
        <x:v>21</x:v>
      </x:c>
      <x:c r="N10871" s="0" t="s">
        <x:v>46</x:v>
      </x:c>
    </x:row>
    <x:row r="10872" spans="1:16">
      <x:c r="A10872" s="0" t="s">
        <x:v>43223</x:v>
      </x:c>
      <x:c r="B10872" s="0" t="s">
        <x:v>43224</x:v>
      </x:c>
      <x:c r="C10872" s="0" t="s">
        <x:v>42840</x:v>
      </x:c>
      <x:c r="E10872" s="0" t="s">
        <x:v>43225</x:v>
      </x:c>
      <x:c r="F10872" s="0" t="s">
        <x:v>45</x:v>
      </x:c>
      <x:c r="G10872" s="0" t="s">
        <x:v>35</x:v>
      </x:c>
      <x:c r="H10872" s="0" t="s">
        <x:v>20</x:v>
      </x:c>
      <x:c r="I10872" s="0" t="s">
        <x:v>21</x:v>
      </x:c>
      <x:c r="K10872" s="0">
        <x:f>hyperlink("https://icd.who.int/dev11/l-ichi/en#/http%3A%2F%2Fid.who.int%2Ficd%2Fentity%2F692709341","browser")</x:f>
      </x:c>
      <x:c r="L10872" s="0">
        <x:f>hyperlink("https://icat2.azurewebsites.net/icat/?ontology=ICD&amp;tab=ClassesTab&amp;id=http%3A%2F%2Fwho.int%2Ficd%233917_bfdc5bfd_508c_4341_981a_49384b51cdc2","iCat")</x:f>
      </x:c>
      <x:c r="M10872" s="0" t="s">
        <x:v>21</x:v>
      </x:c>
      <x:c r="N10872" s="0" t="s">
        <x:v>46</x:v>
      </x:c>
    </x:row>
    <x:row r="10873" spans="1:16">
      <x:c r="A10873" s="0" t="s">
        <x:v>43226</x:v>
      </x:c>
      <x:c r="B10873" s="0" t="s">
        <x:v>43227</x:v>
      </x:c>
      <x:c r="C10873" s="0" t="s">
        <x:v>42840</x:v>
      </x:c>
      <x:c r="E10873" s="0" t="s">
        <x:v>43228</x:v>
      </x:c>
      <x:c r="F10873" s="0" t="s">
        <x:v>45</x:v>
      </x:c>
      <x:c r="G10873" s="0" t="s">
        <x:v>35</x:v>
      </x:c>
      <x:c r="H10873" s="0" t="s">
        <x:v>20</x:v>
      </x:c>
      <x:c r="I10873" s="0" t="s">
        <x:v>21</x:v>
      </x:c>
      <x:c r="K10873" s="0">
        <x:f>hyperlink("https://icd.who.int/dev11/l-ichi/en#/http%3A%2F%2Fid.who.int%2Ficd%2Fentity%2F2080772498","browser")</x:f>
      </x:c>
      <x:c r="L10873" s="0">
        <x:f>hyperlink("https://icat2.azurewebsites.net/icat/?ontology=ICD&amp;tab=ClassesTab&amp;id=http%3A%2F%2Fwho.int%2Ficd%233922_bfdc5bfd_508c_4341_981a_49384b51cdc2","iCat")</x:f>
      </x:c>
      <x:c r="M10873" s="0" t="s">
        <x:v>21</x:v>
      </x:c>
      <x:c r="N10873" s="0" t="s">
        <x:v>46</x:v>
      </x:c>
    </x:row>
    <x:row r="10874" spans="1:16">
      <x:c r="A10874" s="0" t="s">
        <x:v>43229</x:v>
      </x:c>
      <x:c r="B10874" s="0" t="s">
        <x:v>43230</x:v>
      </x:c>
      <x:c r="C10874" s="0" t="s">
        <x:v>42840</x:v>
      </x:c>
      <x:c r="E10874" s="0" t="s">
        <x:v>43231</x:v>
      </x:c>
      <x:c r="F10874" s="0" t="s">
        <x:v>45</x:v>
      </x:c>
      <x:c r="G10874" s="0" t="s">
        <x:v>35</x:v>
      </x:c>
      <x:c r="H10874" s="0" t="s">
        <x:v>20</x:v>
      </x:c>
      <x:c r="I10874" s="0" t="s">
        <x:v>21</x:v>
      </x:c>
      <x:c r="K10874" s="0">
        <x:f>hyperlink("https://icd.who.int/dev11/l-ichi/en#/http%3A%2F%2Fid.who.int%2Ficd%2Fentity%2F1777903578","browser")</x:f>
      </x:c>
      <x:c r="L10874" s="0">
        <x:f>hyperlink("https://icat2.azurewebsites.net/icat/?ontology=ICD&amp;tab=ClassesTab&amp;id=http%3A%2F%2Fwho.int%2Ficd%233927_bfdc5bfd_508c_4341_981a_49384b51cdc2","iCat")</x:f>
      </x:c>
      <x:c r="M10874" s="0" t="s">
        <x:v>21</x:v>
      </x:c>
      <x:c r="N10874" s="0" t="s">
        <x:v>46</x:v>
      </x:c>
    </x:row>
    <x:row r="10875" spans="1:16">
      <x:c r="A10875" s="0" t="s">
        <x:v>43232</x:v>
      </x:c>
      <x:c r="B10875" s="0" t="s">
        <x:v>43233</x:v>
      </x:c>
      <x:c r="C10875" s="0" t="s">
        <x:v>42840</x:v>
      </x:c>
      <x:c r="E10875" s="0" t="s">
        <x:v>43234</x:v>
      </x:c>
      <x:c r="F10875" s="0" t="s">
        <x:v>45</x:v>
      </x:c>
      <x:c r="G10875" s="0" t="s">
        <x:v>35</x:v>
      </x:c>
      <x:c r="H10875" s="0" t="s">
        <x:v>20</x:v>
      </x:c>
      <x:c r="I10875" s="0" t="s">
        <x:v>21</x:v>
      </x:c>
      <x:c r="K10875" s="0">
        <x:f>hyperlink("https://icd.who.int/dev11/l-ichi/en#/http%3A%2F%2Fid.who.int%2Ficd%2Fentity%2F1397156670","browser")</x:f>
      </x:c>
      <x:c r="L10875" s="0">
        <x:f>hyperlink("https://icat2.azurewebsites.net/icat/?ontology=ICD&amp;tab=ClassesTab&amp;id=http%3A%2F%2Fwho.int%2Ficd%233931_bfdc5bfd_508c_4341_981a_49384b51cdc2","iCat")</x:f>
      </x:c>
      <x:c r="M10875" s="0" t="s">
        <x:v>21</x:v>
      </x:c>
      <x:c r="N10875" s="0" t="s">
        <x:v>46</x:v>
      </x:c>
    </x:row>
    <x:row r="10876" spans="1:16">
      <x:c r="A10876" s="0" t="s">
        <x:v>43235</x:v>
      </x:c>
      <x:c r="B10876" s="0" t="s">
        <x:v>43236</x:v>
      </x:c>
      <x:c r="C10876" s="0" t="s">
        <x:v>42840</x:v>
      </x:c>
      <x:c r="E10876" s="0" t="s">
        <x:v>43237</x:v>
      </x:c>
      <x:c r="F10876" s="0" t="s">
        <x:v>45</x:v>
      </x:c>
      <x:c r="G10876" s="0" t="s">
        <x:v>35</x:v>
      </x:c>
      <x:c r="H10876" s="0" t="s">
        <x:v>20</x:v>
      </x:c>
      <x:c r="I10876" s="0" t="s">
        <x:v>21</x:v>
      </x:c>
      <x:c r="K10876" s="0">
        <x:f>hyperlink("https://icd.who.int/dev11/l-ichi/en#/http%3A%2F%2Fid.who.int%2Ficd%2Fentity%2F1715547976","browser")</x:f>
      </x:c>
      <x:c r="L10876" s="0">
        <x:f>hyperlink("https://icat2.azurewebsites.net/icat/?ontology=ICD&amp;tab=ClassesTab&amp;id=http%3A%2F%2Fwho.int%2Ficd%233935_bfdc5bfd_508c_4341_981a_49384b51cdc2","iCat")</x:f>
      </x:c>
      <x:c r="M10876" s="0" t="s">
        <x:v>21</x:v>
      </x:c>
      <x:c r="N10876" s="0" t="s">
        <x:v>46</x:v>
      </x:c>
    </x:row>
    <x:row r="10877" spans="1:16">
      <x:c r="A10877" s="0" t="s">
        <x:v>43238</x:v>
      </x:c>
      <x:c r="B10877" s="0" t="s">
        <x:v>43239</x:v>
      </x:c>
      <x:c r="C10877" s="0" t="s">
        <x:v>42840</x:v>
      </x:c>
      <x:c r="E10877" s="0" t="s">
        <x:v>43240</x:v>
      </x:c>
      <x:c r="F10877" s="0" t="s">
        <x:v>45</x:v>
      </x:c>
      <x:c r="G10877" s="0" t="s">
        <x:v>35</x:v>
      </x:c>
      <x:c r="H10877" s="0" t="s">
        <x:v>20</x:v>
      </x:c>
      <x:c r="I10877" s="0" t="s">
        <x:v>21</x:v>
      </x:c>
      <x:c r="K10877" s="0">
        <x:f>hyperlink("https://icd.who.int/dev11/l-ichi/en#/http%3A%2F%2Fid.who.int%2Ficd%2Fentity%2F1130990108","browser")</x:f>
      </x:c>
      <x:c r="L10877" s="0">
        <x:f>hyperlink("https://icat2.azurewebsites.net/icat/?ontology=ICD&amp;tab=ClassesTab&amp;id=http%3A%2F%2Fwho.int%2Ficd%233940_bfdc5bfd_508c_4341_981a_49384b51cdc2","iCat")</x:f>
      </x:c>
      <x:c r="M10877" s="0" t="s">
        <x:v>21</x:v>
      </x:c>
      <x:c r="N10877" s="0" t="s">
        <x:v>46</x:v>
      </x:c>
    </x:row>
    <x:row r="10878" spans="1:16">
      <x:c r="A10878" s="0" t="s">
        <x:v>43241</x:v>
      </x:c>
      <x:c r="B10878" s="0" t="s">
        <x:v>43242</x:v>
      </x:c>
      <x:c r="C10878" s="0" t="s">
        <x:v>42840</x:v>
      </x:c>
      <x:c r="E10878" s="0" t="s">
        <x:v>43243</x:v>
      </x:c>
      <x:c r="F10878" s="0" t="s">
        <x:v>45</x:v>
      </x:c>
      <x:c r="G10878" s="0" t="s">
        <x:v>35</x:v>
      </x:c>
      <x:c r="H10878" s="0" t="s">
        <x:v>20</x:v>
      </x:c>
      <x:c r="I10878" s="0" t="s">
        <x:v>21</x:v>
      </x:c>
      <x:c r="K10878" s="0">
        <x:f>hyperlink("https://icd.who.int/dev11/l-ichi/en#/http%3A%2F%2Fid.who.int%2Ficd%2Fentity%2F1452751956","browser")</x:f>
      </x:c>
      <x:c r="L10878" s="0">
        <x:f>hyperlink("https://icat2.azurewebsites.net/icat/?ontology=ICD&amp;tab=ClassesTab&amp;id=http%3A%2F%2Fwho.int%2Ficd%233945_bfdc5bfd_508c_4341_981a_49384b51cdc2","iCat")</x:f>
      </x:c>
      <x:c r="M10878" s="0" t="s">
        <x:v>21</x:v>
      </x:c>
      <x:c r="N10878" s="0" t="s">
        <x:v>46</x:v>
      </x:c>
    </x:row>
    <x:row r="10879" spans="1:16">
      <x:c r="A10879" s="0" t="s">
        <x:v>43244</x:v>
      </x:c>
      <x:c r="B10879" s="0" t="s">
        <x:v>43245</x:v>
      </x:c>
      <x:c r="C10879" s="0" t="s">
        <x:v>42840</x:v>
      </x:c>
      <x:c r="E10879" s="0" t="s">
        <x:v>43246</x:v>
      </x:c>
      <x:c r="F10879" s="0" t="s">
        <x:v>45</x:v>
      </x:c>
      <x:c r="G10879" s="0" t="s">
        <x:v>35</x:v>
      </x:c>
      <x:c r="H10879" s="0" t="s">
        <x:v>20</x:v>
      </x:c>
      <x:c r="I10879" s="0" t="s">
        <x:v>21</x:v>
      </x:c>
      <x:c r="K10879" s="0">
        <x:f>hyperlink("https://icd.who.int/dev11/l-ichi/en#/http%3A%2F%2Fid.who.int%2Ficd%2Fentity%2F699146061","browser")</x:f>
      </x:c>
      <x:c r="L10879" s="0">
        <x:f>hyperlink("https://icat2.azurewebsites.net/icat/?ontology=ICD&amp;tab=ClassesTab&amp;id=http%3A%2F%2Fwho.int%2Ficd%233950_bfdc5bfd_508c_4341_981a_49384b51cdc2","iCat")</x:f>
      </x:c>
      <x:c r="M10879" s="0" t="s">
        <x:v>21</x:v>
      </x:c>
      <x:c r="N10879" s="0" t="s">
        <x:v>46</x:v>
      </x:c>
    </x:row>
    <x:row r="10880" spans="1:16">
      <x:c r="A10880" s="0" t="s">
        <x:v>43247</x:v>
      </x:c>
      <x:c r="B10880" s="0" t="s">
        <x:v>43248</x:v>
      </x:c>
      <x:c r="C10880" s="0" t="s">
        <x:v>42840</x:v>
      </x:c>
      <x:c r="E10880" s="0" t="s">
        <x:v>43249</x:v>
      </x:c>
      <x:c r="F10880" s="0" t="s">
        <x:v>45</x:v>
      </x:c>
      <x:c r="G10880" s="0" t="s">
        <x:v>35</x:v>
      </x:c>
      <x:c r="H10880" s="0" t="s">
        <x:v>20</x:v>
      </x:c>
      <x:c r="I10880" s="0" t="s">
        <x:v>21</x:v>
      </x:c>
      <x:c r="K10880" s="0">
        <x:f>hyperlink("https://icd.who.int/dev11/l-ichi/en#/http%3A%2F%2Fid.who.int%2Ficd%2Fentity%2F481024825","browser")</x:f>
      </x:c>
      <x:c r="L10880" s="0">
        <x:f>hyperlink("https://icat2.azurewebsites.net/icat/?ontology=ICD&amp;tab=ClassesTab&amp;id=http%3A%2F%2Fwho.int%2Ficd%233954_bfdc5bfd_508c_4341_981a_49384b51cdc2","iCat")</x:f>
      </x:c>
      <x:c r="M10880" s="0" t="s">
        <x:v>21</x:v>
      </x:c>
      <x:c r="N10880" s="0" t="s">
        <x:v>46</x:v>
      </x:c>
    </x:row>
    <x:row r="10881" spans="1:16">
      <x:c r="A10881" s="0" t="s">
        <x:v>43250</x:v>
      </x:c>
      <x:c r="B10881" s="0" t="s">
        <x:v>43251</x:v>
      </x:c>
      <x:c r="C10881" s="0" t="s">
        <x:v>42840</x:v>
      </x:c>
      <x:c r="E10881" s="0" t="s">
        <x:v>43252</x:v>
      </x:c>
      <x:c r="F10881" s="0" t="s">
        <x:v>45</x:v>
      </x:c>
      <x:c r="G10881" s="0" t="s">
        <x:v>35</x:v>
      </x:c>
      <x:c r="H10881" s="0" t="s">
        <x:v>20</x:v>
      </x:c>
      <x:c r="I10881" s="0" t="s">
        <x:v>21</x:v>
      </x:c>
      <x:c r="K10881" s="0">
        <x:f>hyperlink("https://icd.who.int/dev11/l-ichi/en#/http%3A%2F%2Fid.who.int%2Ficd%2Fentity%2F1205083172","browser")</x:f>
      </x:c>
      <x:c r="L10881" s="0">
        <x:f>hyperlink("https://icat2.azurewebsites.net/icat/?ontology=ICD&amp;tab=ClassesTab&amp;id=http%3A%2F%2Fwho.int%2Ficd%233959_bfdc5bfd_508c_4341_981a_49384b51cdc2","iCat")</x:f>
      </x:c>
      <x:c r="M10881" s="0" t="s">
        <x:v>21</x:v>
      </x:c>
      <x:c r="N10881" s="0" t="s">
        <x:v>46</x:v>
      </x:c>
    </x:row>
    <x:row r="10882" spans="1:16">
      <x:c r="A10882" s="0" t="s">
        <x:v>43253</x:v>
      </x:c>
      <x:c r="B10882" s="0" t="s">
        <x:v>43254</x:v>
      </x:c>
      <x:c r="C10882" s="0" t="s">
        <x:v>42840</x:v>
      </x:c>
      <x:c r="E10882" s="0" t="s">
        <x:v>43255</x:v>
      </x:c>
      <x:c r="F10882" s="0" t="s">
        <x:v>45</x:v>
      </x:c>
      <x:c r="G10882" s="0" t="s">
        <x:v>35</x:v>
      </x:c>
      <x:c r="H10882" s="0" t="s">
        <x:v>20</x:v>
      </x:c>
      <x:c r="I10882" s="0" t="s">
        <x:v>21</x:v>
      </x:c>
      <x:c r="K10882" s="0">
        <x:f>hyperlink("https://icd.who.int/dev11/l-ichi/en#/http%3A%2F%2Fid.who.int%2Ficd%2Fentity%2F1545247552","browser")</x:f>
      </x:c>
      <x:c r="L10882" s="0">
        <x:f>hyperlink("https://icat2.azurewebsites.net/icat/?ontology=ICD&amp;tab=ClassesTab&amp;id=http%3A%2F%2Fwho.int%2Ficd%233964_bfdc5bfd_508c_4341_981a_49384b51cdc2","iCat")</x:f>
      </x:c>
      <x:c r="M10882" s="0" t="s">
        <x:v>21</x:v>
      </x:c>
      <x:c r="N10882" s="0" t="s">
        <x:v>46</x:v>
      </x:c>
    </x:row>
    <x:row r="10883" spans="1:16">
      <x:c r="A10883" s="0" t="s">
        <x:v>43256</x:v>
      </x:c>
      <x:c r="B10883" s="0" t="s">
        <x:v>43257</x:v>
      </x:c>
      <x:c r="C10883" s="0" t="s">
        <x:v>42840</x:v>
      </x:c>
      <x:c r="E10883" s="0" t="s">
        <x:v>43258</x:v>
      </x:c>
      <x:c r="F10883" s="0" t="s">
        <x:v>45</x:v>
      </x:c>
      <x:c r="G10883" s="0" t="s">
        <x:v>35</x:v>
      </x:c>
      <x:c r="H10883" s="0" t="s">
        <x:v>20</x:v>
      </x:c>
      <x:c r="I10883" s="0" t="s">
        <x:v>21</x:v>
      </x:c>
      <x:c r="K10883" s="0">
        <x:f>hyperlink("https://icd.who.int/dev11/l-ichi/en#/http%3A%2F%2Fid.who.int%2Ficd%2Fentity%2F124083235","browser")</x:f>
      </x:c>
      <x:c r="L10883" s="0">
        <x:f>hyperlink("https://icat2.azurewebsites.net/icat/?ontology=ICD&amp;tab=ClassesTab&amp;id=http%3A%2F%2Fwho.int%2Ficd%233969_bfdc5bfd_508c_4341_981a_49384b51cdc2","iCat")</x:f>
      </x:c>
      <x:c r="M10883" s="0" t="s">
        <x:v>21</x:v>
      </x:c>
      <x:c r="N10883" s="0" t="s">
        <x:v>46</x:v>
      </x:c>
    </x:row>
    <x:row r="10884" spans="1:16">
      <x:c r="A10884" s="0" t="s">
        <x:v>43259</x:v>
      </x:c>
      <x:c r="B10884" s="0" t="s">
        <x:v>43260</x:v>
      </x:c>
      <x:c r="C10884" s="0" t="s">
        <x:v>42840</x:v>
      </x:c>
      <x:c r="E10884" s="0" t="s">
        <x:v>43261</x:v>
      </x:c>
      <x:c r="F10884" s="0" t="s">
        <x:v>45</x:v>
      </x:c>
      <x:c r="G10884" s="0" t="s">
        <x:v>35</x:v>
      </x:c>
      <x:c r="H10884" s="0" t="s">
        <x:v>20</x:v>
      </x:c>
      <x:c r="I10884" s="0" t="s">
        <x:v>21</x:v>
      </x:c>
      <x:c r="K10884" s="0">
        <x:f>hyperlink("https://icd.who.int/dev11/l-ichi/en#/http%3A%2F%2Fid.who.int%2Ficd%2Fentity%2F920587881","browser")</x:f>
      </x:c>
      <x:c r="L10884" s="0">
        <x:f>hyperlink("https://icat2.azurewebsites.net/icat/?ontology=ICD&amp;tab=ClassesTab&amp;id=http%3A%2F%2Fwho.int%2Ficd%233974_bfdc5bfd_508c_4341_981a_49384b51cdc2","iCat")</x:f>
      </x:c>
      <x:c r="M10884" s="0" t="s">
        <x:v>21</x:v>
      </x:c>
      <x:c r="N10884" s="0" t="s">
        <x:v>46</x:v>
      </x:c>
    </x:row>
    <x:row r="10885" spans="1:16">
      <x:c r="A10885" s="0" t="s">
        <x:v>43262</x:v>
      </x:c>
      <x:c r="B10885" s="0" t="s">
        <x:v>43263</x:v>
      </x:c>
      <x:c r="C10885" s="0" t="s">
        <x:v>42840</x:v>
      </x:c>
      <x:c r="E10885" s="0" t="s">
        <x:v>43264</x:v>
      </x:c>
      <x:c r="F10885" s="0" t="s">
        <x:v>45</x:v>
      </x:c>
      <x:c r="G10885" s="0" t="s">
        <x:v>35</x:v>
      </x:c>
      <x:c r="H10885" s="0" t="s">
        <x:v>20</x:v>
      </x:c>
      <x:c r="I10885" s="0" t="s">
        <x:v>21</x:v>
      </x:c>
      <x:c r="K10885" s="0">
        <x:f>hyperlink("https://icd.who.int/dev11/l-ichi/en#/http%3A%2F%2Fid.who.int%2Ficd%2Fentity%2F1839253878","browser")</x:f>
      </x:c>
      <x:c r="L10885" s="0">
        <x:f>hyperlink("https://icat2.azurewebsites.net/icat/?ontology=ICD&amp;tab=ClassesTab&amp;id=http%3A%2F%2Fwho.int%2Ficd%233979_bfdc5bfd_508c_4341_981a_49384b51cdc2","iCat")</x:f>
      </x:c>
      <x:c r="M10885" s="0" t="s">
        <x:v>21</x:v>
      </x:c>
      <x:c r="N10885" s="0" t="s">
        <x:v>46</x:v>
      </x:c>
    </x:row>
    <x:row r="10886" spans="1:16">
      <x:c r="A10886" s="0" t="s">
        <x:v>43265</x:v>
      </x:c>
      <x:c r="B10886" s="0" t="s">
        <x:v>43266</x:v>
      </x:c>
      <x:c r="C10886" s="0" t="s">
        <x:v>42840</x:v>
      </x:c>
      <x:c r="E10886" s="0" t="s">
        <x:v>43267</x:v>
      </x:c>
      <x:c r="F10886" s="0" t="s">
        <x:v>45</x:v>
      </x:c>
      <x:c r="G10886" s="0" t="s">
        <x:v>35</x:v>
      </x:c>
      <x:c r="H10886" s="0" t="s">
        <x:v>20</x:v>
      </x:c>
      <x:c r="I10886" s="0" t="s">
        <x:v>21</x:v>
      </x:c>
      <x:c r="K10886" s="0">
        <x:f>hyperlink("https://icd.who.int/dev11/l-ichi/en#/http%3A%2F%2Fid.who.int%2Ficd%2Fentity%2F423118007","browser")</x:f>
      </x:c>
      <x:c r="L10886" s="0">
        <x:f>hyperlink("https://icat2.azurewebsites.net/icat/?ontology=ICD&amp;tab=ClassesTab&amp;id=http%3A%2F%2Fwho.int%2Ficd%233984_bfdc5bfd_508c_4341_981a_49384b51cdc2","iCat")</x:f>
      </x:c>
      <x:c r="M10886" s="0" t="s">
        <x:v>21</x:v>
      </x:c>
      <x:c r="N10886" s="0" t="s">
        <x:v>46</x:v>
      </x:c>
    </x:row>
    <x:row r="10887" spans="1:16">
      <x:c r="A10887" s="0" t="s">
        <x:v>43268</x:v>
      </x:c>
      <x:c r="B10887" s="0" t="s">
        <x:v>43269</x:v>
      </x:c>
      <x:c r="C10887" s="0" t="s">
        <x:v>42840</x:v>
      </x:c>
      <x:c r="E10887" s="0" t="s">
        <x:v>43270</x:v>
      </x:c>
      <x:c r="F10887" s="0" t="s">
        <x:v>45</x:v>
      </x:c>
      <x:c r="G10887" s="0" t="s">
        <x:v>30</x:v>
      </x:c>
      <x:c r="H10887" s="0" t="s">
        <x:v>20</x:v>
      </x:c>
      <x:c r="I10887" s="0" t="s">
        <x:v>21</x:v>
      </x:c>
      <x:c r="K10887" s="0">
        <x:f>hyperlink("https://icd.who.int/dev11/l-ichi/en#/http%3A%2F%2Fid.who.int%2Ficd%2Fentity%2F1656680854","browser")</x:f>
      </x:c>
      <x:c r="L10887" s="0">
        <x:f>hyperlink("https://icat2.azurewebsites.net/icat/?ontology=ICD&amp;tab=ClassesTab&amp;id=http%3A%2F%2Fwho.int%2Ficd%233988_bfdc5bfd_508c_4341_981a_49384b51cdc2","iCat")</x:f>
      </x:c>
      <x:c r="M10887" s="0" t="s">
        <x:v>20</x:v>
      </x:c>
      <x:c r="N10887" s="0" t="s">
        <x:v>6718</x:v>
      </x:c>
    </x:row>
    <x:row r="10888" spans="1:16">
      <x:c r="A10888" s="0" t="s">
        <x:v>43271</x:v>
      </x:c>
      <x:c r="B10888" s="0" t="s">
        <x:v>43272</x:v>
      </x:c>
      <x:c r="C10888" s="0" t="s">
        <x:v>42840</x:v>
      </x:c>
      <x:c r="E10888" s="0" t="s">
        <x:v>43273</x:v>
      </x:c>
      <x:c r="F10888" s="0" t="s">
        <x:v>45</x:v>
      </x:c>
      <x:c r="G10888" s="0" t="s">
        <x:v>35</x:v>
      </x:c>
      <x:c r="H10888" s="0" t="s">
        <x:v>20</x:v>
      </x:c>
      <x:c r="I10888" s="0" t="s">
        <x:v>21</x:v>
      </x:c>
      <x:c r="K10888" s="0">
        <x:f>hyperlink("https://icd.who.int/dev11/l-ichi/en#/http%3A%2F%2Fid.who.int%2Ficd%2Fentity%2F58686061","browser")</x:f>
      </x:c>
      <x:c r="L10888" s="0">
        <x:f>hyperlink("https://icat2.azurewebsites.net/icat/?ontology=ICD&amp;tab=ClassesTab&amp;id=http%3A%2F%2Fwho.int%2Ficd%233993_bfdc5bfd_508c_4341_981a_49384b51cdc2","iCat")</x:f>
      </x:c>
      <x:c r="M10888" s="0" t="s">
        <x:v>21</x:v>
      </x:c>
      <x:c r="N10888" s="0" t="s">
        <x:v>46</x:v>
      </x:c>
    </x:row>
    <x:row r="10889" spans="1:16">
      <x:c r="A10889" s="0" t="s">
        <x:v>43274</x:v>
      </x:c>
      <x:c r="B10889" s="0" t="s">
        <x:v>43275</x:v>
      </x:c>
      <x:c r="C10889" s="0" t="s">
        <x:v>42840</x:v>
      </x:c>
      <x:c r="E10889" s="0" t="s">
        <x:v>43276</x:v>
      </x:c>
      <x:c r="F10889" s="0" t="s">
        <x:v>45</x:v>
      </x:c>
      <x:c r="G10889" s="0" t="s">
        <x:v>35</x:v>
      </x:c>
      <x:c r="H10889" s="0" t="s">
        <x:v>20</x:v>
      </x:c>
      <x:c r="I10889" s="0" t="s">
        <x:v>21</x:v>
      </x:c>
      <x:c r="K10889" s="0">
        <x:f>hyperlink("https://icd.who.int/dev11/l-ichi/en#/http%3A%2F%2Fid.who.int%2Ficd%2Fentity%2F142304449","browser")</x:f>
      </x:c>
      <x:c r="L10889" s="0">
        <x:f>hyperlink("https://icat2.azurewebsites.net/icat/?ontology=ICD&amp;tab=ClassesTab&amp;id=http%3A%2F%2Fwho.int%2Ficd%233998_bfdc5bfd_508c_4341_981a_49384b51cdc2","iCat")</x:f>
      </x:c>
      <x:c r="M10889" s="0" t="s">
        <x:v>21</x:v>
      </x:c>
      <x:c r="N10889" s="0" t="s">
        <x:v>46</x:v>
      </x:c>
    </x:row>
    <x:row r="10890" spans="1:16">
      <x:c r="A10890" s="0" t="s">
        <x:v>43277</x:v>
      </x:c>
      <x:c r="B10890" s="0" t="s">
        <x:v>43278</x:v>
      </x:c>
      <x:c r="C10890" s="0" t="s">
        <x:v>42840</x:v>
      </x:c>
      <x:c r="E10890" s="0" t="s">
        <x:v>43279</x:v>
      </x:c>
      <x:c r="F10890" s="0" t="s">
        <x:v>45</x:v>
      </x:c>
      <x:c r="G10890" s="0" t="s">
        <x:v>35</x:v>
      </x:c>
      <x:c r="H10890" s="0" t="s">
        <x:v>20</x:v>
      </x:c>
      <x:c r="I10890" s="0" t="s">
        <x:v>21</x:v>
      </x:c>
      <x:c r="K10890" s="0">
        <x:f>hyperlink("https://icd.who.int/dev11/l-ichi/en#/http%3A%2F%2Fid.who.int%2Ficd%2Fentity%2F1351551128","browser")</x:f>
      </x:c>
      <x:c r="L10890" s="0">
        <x:f>hyperlink("https://icat2.azurewebsites.net/icat/?ontology=ICD&amp;tab=ClassesTab&amp;id=http%3A%2F%2Fwho.int%2Ficd%234003_bfdc5bfd_508c_4341_981a_49384b51cdc2","iCat")</x:f>
      </x:c>
      <x:c r="M10890" s="0" t="s">
        <x:v>21</x:v>
      </x:c>
      <x:c r="N10890" s="0" t="s">
        <x:v>46</x:v>
      </x:c>
    </x:row>
    <x:row r="10891" spans="1:16">
      <x:c r="A10891" s="0" t="s">
        <x:v>43280</x:v>
      </x:c>
      <x:c r="B10891" s="0" t="s">
        <x:v>43281</x:v>
      </x:c>
      <x:c r="C10891" s="0" t="s">
        <x:v>42840</x:v>
      </x:c>
      <x:c r="E10891" s="0" t="s">
        <x:v>43282</x:v>
      </x:c>
      <x:c r="F10891" s="0" t="s">
        <x:v>45</x:v>
      </x:c>
      <x:c r="G10891" s="0" t="s">
        <x:v>35</x:v>
      </x:c>
      <x:c r="H10891" s="0" t="s">
        <x:v>20</x:v>
      </x:c>
      <x:c r="I10891" s="0" t="s">
        <x:v>21</x:v>
      </x:c>
      <x:c r="K10891" s="0">
        <x:f>hyperlink("https://icd.who.int/dev11/l-ichi/en#/http%3A%2F%2Fid.who.int%2Ficd%2Fentity%2F1535841850","browser")</x:f>
      </x:c>
      <x:c r="L10891" s="0">
        <x:f>hyperlink("https://icat2.azurewebsites.net/icat/?ontology=ICD&amp;tab=ClassesTab&amp;id=http%3A%2F%2Fwho.int%2Ficd%234008_bfdc5bfd_508c_4341_981a_49384b51cdc2","iCat")</x:f>
      </x:c>
      <x:c r="M10891" s="0" t="s">
        <x:v>21</x:v>
      </x:c>
      <x:c r="N10891" s="0" t="s">
        <x:v>46</x:v>
      </x:c>
    </x:row>
    <x:row r="10892" spans="1:16">
      <x:c r="A10892" s="0" t="s">
        <x:v>43283</x:v>
      </x:c>
      <x:c r="B10892" s="0" t="s">
        <x:v>43284</x:v>
      </x:c>
      <x:c r="C10892" s="0" t="s">
        <x:v>42840</x:v>
      </x:c>
      <x:c r="E10892" s="0" t="s">
        <x:v>43285</x:v>
      </x:c>
      <x:c r="F10892" s="0" t="s">
        <x:v>45</x:v>
      </x:c>
      <x:c r="G10892" s="0" t="s">
        <x:v>35</x:v>
      </x:c>
      <x:c r="H10892" s="0" t="s">
        <x:v>20</x:v>
      </x:c>
      <x:c r="I10892" s="0" t="s">
        <x:v>21</x:v>
      </x:c>
      <x:c r="K10892" s="0">
        <x:f>hyperlink("https://icd.who.int/dev11/l-ichi/en#/http%3A%2F%2Fid.who.int%2Ficd%2Fentity%2F977968577","browser")</x:f>
      </x:c>
      <x:c r="L10892" s="0">
        <x:f>hyperlink("https://icat2.azurewebsites.net/icat/?ontology=ICD&amp;tab=ClassesTab&amp;id=http%3A%2F%2Fwho.int%2Ficd%234013_bfdc5bfd_508c_4341_981a_49384b51cdc2","iCat")</x:f>
      </x:c>
      <x:c r="M10892" s="0" t="s">
        <x:v>21</x:v>
      </x:c>
      <x:c r="N10892" s="0" t="s">
        <x:v>46</x:v>
      </x:c>
    </x:row>
    <x:row r="10893" spans="1:16">
      <x:c r="A10893" s="0" t="s">
        <x:v>43286</x:v>
      </x:c>
      <x:c r="B10893" s="0" t="s">
        <x:v>43287</x:v>
      </x:c>
      <x:c r="C10893" s="0" t="s">
        <x:v>42840</x:v>
      </x:c>
      <x:c r="E10893" s="0" t="s">
        <x:v>43288</x:v>
      </x:c>
      <x:c r="F10893" s="0" t="s">
        <x:v>45</x:v>
      </x:c>
      <x:c r="G10893" s="0" t="s">
        <x:v>35</x:v>
      </x:c>
      <x:c r="H10893" s="0" t="s">
        <x:v>20</x:v>
      </x:c>
      <x:c r="I10893" s="0" t="s">
        <x:v>21</x:v>
      </x:c>
      <x:c r="K10893" s="0">
        <x:f>hyperlink("https://icd.who.int/dev11/l-ichi/en#/http%3A%2F%2Fid.who.int%2Ficd%2Fentity%2F256727477","browser")</x:f>
      </x:c>
      <x:c r="L10893" s="0">
        <x:f>hyperlink("https://icat2.azurewebsites.net/icat/?ontology=ICD&amp;tab=ClassesTab&amp;id=http%3A%2F%2Fwho.int%2Ficd%234017_bfdc5bfd_508c_4341_981a_49384b51cdc2","iCat")</x:f>
      </x:c>
      <x:c r="M10893" s="0" t="s">
        <x:v>21</x:v>
      </x:c>
      <x:c r="N10893" s="0" t="s">
        <x:v>46</x:v>
      </x:c>
    </x:row>
    <x:row r="10894" spans="1:16">
      <x:c r="A10894" s="0" t="s">
        <x:v>43289</x:v>
      </x:c>
      <x:c r="B10894" s="0" t="s">
        <x:v>43290</x:v>
      </x:c>
      <x:c r="C10894" s="0" t="s">
        <x:v>42840</x:v>
      </x:c>
      <x:c r="E10894" s="0" t="s">
        <x:v>43291</x:v>
      </x:c>
      <x:c r="F10894" s="0" t="s">
        <x:v>45</x:v>
      </x:c>
      <x:c r="G10894" s="0" t="s">
        <x:v>35</x:v>
      </x:c>
      <x:c r="H10894" s="0" t="s">
        <x:v>20</x:v>
      </x:c>
      <x:c r="I10894" s="0" t="s">
        <x:v>21</x:v>
      </x:c>
      <x:c r="K10894" s="0">
        <x:f>hyperlink("https://icd.who.int/dev11/l-ichi/en#/http%3A%2F%2Fid.who.int%2Ficd%2Fentity%2F1510125564","browser")</x:f>
      </x:c>
      <x:c r="L10894" s="0">
        <x:f>hyperlink("https://icat2.azurewebsites.net/icat/?ontology=ICD&amp;tab=ClassesTab&amp;id=http%3A%2F%2Fwho.int%2Ficd%234022_bfdc5bfd_508c_4341_981a_49384b51cdc2","iCat")</x:f>
      </x:c>
      <x:c r="M10894" s="0" t="s">
        <x:v>21</x:v>
      </x:c>
      <x:c r="N10894" s="0" t="s">
        <x:v>46</x:v>
      </x:c>
    </x:row>
    <x:row r="10895" spans="1:16">
      <x:c r="A10895" s="0" t="s">
        <x:v>43292</x:v>
      </x:c>
      <x:c r="B10895" s="0" t="s">
        <x:v>43293</x:v>
      </x:c>
      <x:c r="C10895" s="0" t="s">
        <x:v>42840</x:v>
      </x:c>
      <x:c r="E10895" s="0" t="s">
        <x:v>43294</x:v>
      </x:c>
      <x:c r="F10895" s="0" t="s">
        <x:v>45</x:v>
      </x:c>
      <x:c r="G10895" s="0" t="s">
        <x:v>35</x:v>
      </x:c>
      <x:c r="H10895" s="0" t="s">
        <x:v>20</x:v>
      </x:c>
      <x:c r="I10895" s="0" t="s">
        <x:v>21</x:v>
      </x:c>
      <x:c r="K10895" s="0">
        <x:f>hyperlink("https://icd.who.int/dev11/l-ichi/en#/http%3A%2F%2Fid.who.int%2Ficd%2Fentity%2F1341921716","browser")</x:f>
      </x:c>
      <x:c r="L10895" s="0">
        <x:f>hyperlink("https://icat2.azurewebsites.net/icat/?ontology=ICD&amp;tab=ClassesTab&amp;id=http%3A%2F%2Fwho.int%2Ficd%234027_bfdc5bfd_508c_4341_981a_49384b51cdc2","iCat")</x:f>
      </x:c>
      <x:c r="M10895" s="0" t="s">
        <x:v>21</x:v>
      </x:c>
      <x:c r="N10895" s="0" t="s">
        <x:v>46</x:v>
      </x:c>
    </x:row>
    <x:row r="10896" spans="1:16">
      <x:c r="A10896" s="0" t="s">
        <x:v>43295</x:v>
      </x:c>
      <x:c r="B10896" s="0" t="s">
        <x:v>43296</x:v>
      </x:c>
      <x:c r="C10896" s="0" t="s">
        <x:v>42840</x:v>
      </x:c>
      <x:c r="E10896" s="0" t="s">
        <x:v>43297</x:v>
      </x:c>
      <x:c r="F10896" s="0" t="s">
        <x:v>45</x:v>
      </x:c>
      <x:c r="G10896" s="0" t="s">
        <x:v>35</x:v>
      </x:c>
      <x:c r="H10896" s="0" t="s">
        <x:v>20</x:v>
      </x:c>
      <x:c r="I10896" s="0" t="s">
        <x:v>21</x:v>
      </x:c>
      <x:c r="K10896" s="0">
        <x:f>hyperlink("https://icd.who.int/dev11/l-ichi/en#/http%3A%2F%2Fid.who.int%2Ficd%2Fentity%2F818363053","browser")</x:f>
      </x:c>
      <x:c r="L10896" s="0">
        <x:f>hyperlink("https://icat2.azurewebsites.net/icat/?ontology=ICD&amp;tab=ClassesTab&amp;id=http%3A%2F%2Fwho.int%2Ficd%234032_bfdc5bfd_508c_4341_981a_49384b51cdc2","iCat")</x:f>
      </x:c>
      <x:c r="M10896" s="0" t="s">
        <x:v>21</x:v>
      </x:c>
      <x:c r="N10896" s="0" t="s">
        <x:v>46</x:v>
      </x:c>
    </x:row>
    <x:row r="10897" spans="1:16">
      <x:c r="A10897" s="0" t="s">
        <x:v>43298</x:v>
      </x:c>
      <x:c r="B10897" s="0" t="s">
        <x:v>43299</x:v>
      </x:c>
      <x:c r="C10897" s="0" t="s">
        <x:v>42840</x:v>
      </x:c>
      <x:c r="E10897" s="0" t="s">
        <x:v>43300</x:v>
      </x:c>
      <x:c r="F10897" s="0" t="s">
        <x:v>45</x:v>
      </x:c>
      <x:c r="G10897" s="0" t="s">
        <x:v>35</x:v>
      </x:c>
      <x:c r="H10897" s="0" t="s">
        <x:v>20</x:v>
      </x:c>
      <x:c r="I10897" s="0" t="s">
        <x:v>21</x:v>
      </x:c>
      <x:c r="K10897" s="0">
        <x:f>hyperlink("https://icd.who.int/dev11/l-ichi/en#/http%3A%2F%2Fid.who.int%2Ficd%2Fentity%2F624528613","browser")</x:f>
      </x:c>
      <x:c r="L10897" s="0">
        <x:f>hyperlink("https://icat2.azurewebsites.net/icat/?ontology=ICD&amp;tab=ClassesTab&amp;id=http%3A%2F%2Fwho.int%2Ficd%234037_bfdc5bfd_508c_4341_981a_49384b51cdc2","iCat")</x:f>
      </x:c>
      <x:c r="M10897" s="0" t="s">
        <x:v>21</x:v>
      </x:c>
      <x:c r="N10897" s="0" t="s">
        <x:v>46</x:v>
      </x:c>
    </x:row>
    <x:row r="10898" spans="1:16">
      <x:c r="A10898" s="0" t="s">
        <x:v>43301</x:v>
      </x:c>
      <x:c r="B10898" s="0" t="s">
        <x:v>43302</x:v>
      </x:c>
      <x:c r="C10898" s="0" t="s">
        <x:v>42840</x:v>
      </x:c>
      <x:c r="E10898" s="0" t="s">
        <x:v>43303</x:v>
      </x:c>
      <x:c r="F10898" s="0" t="s">
        <x:v>45</x:v>
      </x:c>
      <x:c r="G10898" s="0" t="s">
        <x:v>35</x:v>
      </x:c>
      <x:c r="H10898" s="0" t="s">
        <x:v>20</x:v>
      </x:c>
      <x:c r="I10898" s="0" t="s">
        <x:v>21</x:v>
      </x:c>
      <x:c r="K10898" s="0">
        <x:f>hyperlink("https://icd.who.int/dev11/l-ichi/en#/http%3A%2F%2Fid.who.int%2Ficd%2Fentity%2F1124791","browser")</x:f>
      </x:c>
      <x:c r="L10898" s="0">
        <x:f>hyperlink("https://icat2.azurewebsites.net/icat/?ontology=ICD&amp;tab=ClassesTab&amp;id=http%3A%2F%2Fwho.int%2Ficd%234042_bfdc5bfd_508c_4341_981a_49384b51cdc2","iCat")</x:f>
      </x:c>
      <x:c r="M10898" s="0" t="s">
        <x:v>21</x:v>
      </x:c>
      <x:c r="N10898" s="0" t="s">
        <x:v>46</x:v>
      </x:c>
    </x:row>
    <x:row r="10899" spans="1:16">
      <x:c r="A10899" s="0" t="s">
        <x:v>43304</x:v>
      </x:c>
      <x:c r="B10899" s="0" t="s">
        <x:v>43305</x:v>
      </x:c>
      <x:c r="C10899" s="0" t="s">
        <x:v>42840</x:v>
      </x:c>
      <x:c r="E10899" s="0" t="s">
        <x:v>43306</x:v>
      </x:c>
      <x:c r="F10899" s="0" t="s">
        <x:v>45</x:v>
      </x:c>
      <x:c r="G10899" s="0" t="s">
        <x:v>35</x:v>
      </x:c>
      <x:c r="H10899" s="0" t="s">
        <x:v>20</x:v>
      </x:c>
      <x:c r="I10899" s="0" t="s">
        <x:v>21</x:v>
      </x:c>
      <x:c r="K10899" s="0">
        <x:f>hyperlink("https://icd.who.int/dev11/l-ichi/en#/http%3A%2F%2Fid.who.int%2Ficd%2Fentity%2F368025599","browser")</x:f>
      </x:c>
      <x:c r="L10899" s="0">
        <x:f>hyperlink("https://icat2.azurewebsites.net/icat/?ontology=ICD&amp;tab=ClassesTab&amp;id=http%3A%2F%2Fwho.int%2Ficd%234047_bfdc5bfd_508c_4341_981a_49384b51cdc2","iCat")</x:f>
      </x:c>
      <x:c r="M10899" s="0" t="s">
        <x:v>21</x:v>
      </x:c>
      <x:c r="N10899" s="0" t="s">
        <x:v>46</x:v>
      </x:c>
    </x:row>
    <x:row r="10900" spans="1:16">
      <x:c r="A10900" s="0" t="s">
        <x:v>43307</x:v>
      </x:c>
      <x:c r="B10900" s="0" t="s">
        <x:v>43308</x:v>
      </x:c>
      <x:c r="C10900" s="0" t="s">
        <x:v>42840</x:v>
      </x:c>
      <x:c r="E10900" s="0" t="s">
        <x:v>43309</x:v>
      </x:c>
      <x:c r="F10900" s="0" t="s">
        <x:v>45</x:v>
      </x:c>
      <x:c r="G10900" s="0" t="s">
        <x:v>35</x:v>
      </x:c>
      <x:c r="H10900" s="0" t="s">
        <x:v>20</x:v>
      </x:c>
      <x:c r="I10900" s="0" t="s">
        <x:v>21</x:v>
      </x:c>
      <x:c r="K10900" s="0">
        <x:f>hyperlink("https://icd.who.int/dev11/l-ichi/en#/http%3A%2F%2Fid.who.int%2Ficd%2Fentity%2F1792326880","browser")</x:f>
      </x:c>
      <x:c r="L10900" s="0">
        <x:f>hyperlink("https://icat2.azurewebsites.net/icat/?ontology=ICD&amp;tab=ClassesTab&amp;id=http%3A%2F%2Fwho.int%2Ficd%234052_bfdc5bfd_508c_4341_981a_49384b51cdc2","iCat")</x:f>
      </x:c>
      <x:c r="M10900" s="0" t="s">
        <x:v>21</x:v>
      </x:c>
      <x:c r="N10900" s="0" t="s">
        <x:v>46</x:v>
      </x:c>
    </x:row>
    <x:row r="10901" spans="1:16">
      <x:c r="A10901" s="0" t="s">
        <x:v>43310</x:v>
      </x:c>
      <x:c r="B10901" s="0" t="s">
        <x:v>43311</x:v>
      </x:c>
      <x:c r="C10901" s="0" t="s">
        <x:v>42840</x:v>
      </x:c>
      <x:c r="E10901" s="0" t="s">
        <x:v>43312</x:v>
      </x:c>
      <x:c r="F10901" s="0" t="s">
        <x:v>45</x:v>
      </x:c>
      <x:c r="G10901" s="0" t="s">
        <x:v>35</x:v>
      </x:c>
      <x:c r="H10901" s="0" t="s">
        <x:v>20</x:v>
      </x:c>
      <x:c r="I10901" s="0" t="s">
        <x:v>21</x:v>
      </x:c>
      <x:c r="K10901" s="0">
        <x:f>hyperlink("https://icd.who.int/dev11/l-ichi/en#/http%3A%2F%2Fid.who.int%2Ficd%2Fentity%2F2133461672","browser")</x:f>
      </x:c>
      <x:c r="L10901" s="0">
        <x:f>hyperlink("https://icat2.azurewebsites.net/icat/?ontology=ICD&amp;tab=ClassesTab&amp;id=http%3A%2F%2Fwho.int%2Ficd%234057_bfdc5bfd_508c_4341_981a_49384b51cdc2","iCat")</x:f>
      </x:c>
      <x:c r="M10901" s="0" t="s">
        <x:v>21</x:v>
      </x:c>
      <x:c r="N10901" s="0" t="s">
        <x:v>46</x:v>
      </x:c>
    </x:row>
    <x:row r="10902" spans="1:16">
      <x:c r="A10902" s="0" t="s">
        <x:v>43313</x:v>
      </x:c>
      <x:c r="B10902" s="0" t="s">
        <x:v>43314</x:v>
      </x:c>
      <x:c r="C10902" s="0" t="s">
        <x:v>42840</x:v>
      </x:c>
      <x:c r="E10902" s="0" t="s">
        <x:v>43315</x:v>
      </x:c>
      <x:c r="F10902" s="0" t="s">
        <x:v>45</x:v>
      </x:c>
      <x:c r="G10902" s="0" t="s">
        <x:v>35</x:v>
      </x:c>
      <x:c r="H10902" s="0" t="s">
        <x:v>20</x:v>
      </x:c>
      <x:c r="I10902" s="0" t="s">
        <x:v>21</x:v>
      </x:c>
      <x:c r="K10902" s="0">
        <x:f>hyperlink("https://icd.who.int/dev11/l-ichi/en#/http%3A%2F%2Fid.who.int%2Ficd%2Fentity%2F711326951","browser")</x:f>
      </x:c>
      <x:c r="L10902" s="0">
        <x:f>hyperlink("https://icat2.azurewebsites.net/icat/?ontology=ICD&amp;tab=ClassesTab&amp;id=http%3A%2F%2Fwho.int%2Ficd%234062_bfdc5bfd_508c_4341_981a_49384b51cdc2","iCat")</x:f>
      </x:c>
      <x:c r="M10902" s="0" t="s">
        <x:v>21</x:v>
      </x:c>
      <x:c r="N10902" s="0" t="s">
        <x:v>46</x:v>
      </x:c>
    </x:row>
    <x:row r="10903" spans="1:16">
      <x:c r="A10903" s="0" t="s">
        <x:v>43316</x:v>
      </x:c>
      <x:c r="B10903" s="0" t="s">
        <x:v>43317</x:v>
      </x:c>
      <x:c r="C10903" s="0" t="s">
        <x:v>42840</x:v>
      </x:c>
      <x:c r="E10903" s="0" t="s">
        <x:v>43318</x:v>
      </x:c>
      <x:c r="F10903" s="0" t="s">
        <x:v>45</x:v>
      </x:c>
      <x:c r="G10903" s="0" t="s">
        <x:v>35</x:v>
      </x:c>
      <x:c r="H10903" s="0" t="s">
        <x:v>20</x:v>
      </x:c>
      <x:c r="I10903" s="0" t="s">
        <x:v>21</x:v>
      </x:c>
      <x:c r="K10903" s="0">
        <x:f>hyperlink("https://icd.who.int/dev11/l-ichi/en#/http%3A%2F%2Fid.who.int%2Ficd%2Fentity%2F1067141807","browser")</x:f>
      </x:c>
      <x:c r="L10903" s="0">
        <x:f>hyperlink("https://icat2.azurewebsites.net/icat/?ontology=ICD&amp;tab=ClassesTab&amp;id=http%3A%2F%2Fwho.int%2Ficd%234067_bfdc5bfd_508c_4341_981a_49384b51cdc2","iCat")</x:f>
      </x:c>
      <x:c r="M10903" s="0" t="s">
        <x:v>21</x:v>
      </x:c>
      <x:c r="N10903" s="0" t="s">
        <x:v>46</x:v>
      </x:c>
    </x:row>
    <x:row r="10904" spans="1:16">
      <x:c r="A10904" s="0" t="s">
        <x:v>43319</x:v>
      </x:c>
      <x:c r="B10904" s="0" t="s">
        <x:v>43320</x:v>
      </x:c>
      <x:c r="C10904" s="0" t="s">
        <x:v>42840</x:v>
      </x:c>
      <x:c r="E10904" s="0" t="s">
        <x:v>43321</x:v>
      </x:c>
      <x:c r="F10904" s="0" t="s">
        <x:v>45</x:v>
      </x:c>
      <x:c r="G10904" s="0" t="s">
        <x:v>35</x:v>
      </x:c>
      <x:c r="H10904" s="0" t="s">
        <x:v>20</x:v>
      </x:c>
      <x:c r="I10904" s="0" t="s">
        <x:v>21</x:v>
      </x:c>
      <x:c r="K10904" s="0">
        <x:f>hyperlink("https://icd.who.int/dev11/l-ichi/en#/http%3A%2F%2Fid.who.int%2Ficd%2Fentity%2F1084254642","browser")</x:f>
      </x:c>
      <x:c r="L10904" s="0">
        <x:f>hyperlink("https://icat2.azurewebsites.net/icat/?ontology=ICD&amp;tab=ClassesTab&amp;id=http%3A%2F%2Fwho.int%2Ficd%234072_bfdc5bfd_508c_4341_981a_49384b51cdc2","iCat")</x:f>
      </x:c>
      <x:c r="M10904" s="0" t="s">
        <x:v>21</x:v>
      </x:c>
      <x:c r="N10904" s="0" t="s">
        <x:v>46</x:v>
      </x:c>
    </x:row>
    <x:row r="10905" spans="1:16">
      <x:c r="A10905" s="0" t="s">
        <x:v>43322</x:v>
      </x:c>
      <x:c r="B10905" s="0" t="s">
        <x:v>43323</x:v>
      </x:c>
      <x:c r="C10905" s="0" t="s">
        <x:v>42840</x:v>
      </x:c>
      <x:c r="E10905" s="0" t="s">
        <x:v>43324</x:v>
      </x:c>
      <x:c r="F10905" s="0" t="s">
        <x:v>45</x:v>
      </x:c>
      <x:c r="G10905" s="0" t="s">
        <x:v>35</x:v>
      </x:c>
      <x:c r="H10905" s="0" t="s">
        <x:v>20</x:v>
      </x:c>
      <x:c r="I10905" s="0" t="s">
        <x:v>21</x:v>
      </x:c>
      <x:c r="K10905" s="0">
        <x:f>hyperlink("https://icd.who.int/dev11/l-ichi/en#/http%3A%2F%2Fid.who.int%2Ficd%2Fentity%2F1432281082","browser")</x:f>
      </x:c>
      <x:c r="L10905" s="0">
        <x:f>hyperlink("https://icat2.azurewebsites.net/icat/?ontology=ICD&amp;tab=ClassesTab&amp;id=http%3A%2F%2Fwho.int%2Ficd%234077_bfdc5bfd_508c_4341_981a_49384b51cdc2","iCat")</x:f>
      </x:c>
      <x:c r="M10905" s="0" t="s">
        <x:v>21</x:v>
      </x:c>
      <x:c r="N10905" s="0" t="s">
        <x:v>46</x:v>
      </x:c>
    </x:row>
    <x:row r="10906" spans="1:16">
      <x:c r="A10906" s="0" t="s">
        <x:v>43325</x:v>
      </x:c>
      <x:c r="B10906" s="0" t="s">
        <x:v>43326</x:v>
      </x:c>
      <x:c r="C10906" s="0" t="s">
        <x:v>42840</x:v>
      </x:c>
      <x:c r="E10906" s="0" t="s">
        <x:v>43327</x:v>
      </x:c>
      <x:c r="F10906" s="0" t="s">
        <x:v>45</x:v>
      </x:c>
      <x:c r="G10906" s="0" t="s">
        <x:v>35</x:v>
      </x:c>
      <x:c r="H10906" s="0" t="s">
        <x:v>20</x:v>
      </x:c>
      <x:c r="I10906" s="0" t="s">
        <x:v>21</x:v>
      </x:c>
      <x:c r="K10906" s="0">
        <x:f>hyperlink("https://icd.who.int/dev11/l-ichi/en#/http%3A%2F%2Fid.who.int%2Ficd%2Fentity%2F1866933104","browser")</x:f>
      </x:c>
      <x:c r="L10906" s="0">
        <x:f>hyperlink("https://icat2.azurewebsites.net/icat/?ontology=ICD&amp;tab=ClassesTab&amp;id=http%3A%2F%2Fwho.int%2Ficd%234082_bfdc5bfd_508c_4341_981a_49384b51cdc2","iCat")</x:f>
      </x:c>
      <x:c r="M10906" s="0" t="s">
        <x:v>21</x:v>
      </x:c>
      <x:c r="N10906" s="0" t="s">
        <x:v>46</x:v>
      </x:c>
    </x:row>
    <x:row r="10907" spans="1:16">
      <x:c r="A10907" s="0" t="s">
        <x:v>43328</x:v>
      </x:c>
      <x:c r="B10907" s="0" t="s">
        <x:v>43329</x:v>
      </x:c>
      <x:c r="C10907" s="0" t="s">
        <x:v>42840</x:v>
      </x:c>
      <x:c r="E10907" s="0" t="s">
        <x:v>43330</x:v>
      </x:c>
      <x:c r="F10907" s="0" t="s">
        <x:v>45</x:v>
      </x:c>
      <x:c r="G10907" s="0" t="s">
        <x:v>35</x:v>
      </x:c>
      <x:c r="H10907" s="0" t="s">
        <x:v>20</x:v>
      </x:c>
      <x:c r="I10907" s="0" t="s">
        <x:v>21</x:v>
      </x:c>
      <x:c r="K10907" s="0">
        <x:f>hyperlink("https://icd.who.int/dev11/l-ichi/en#/http%3A%2F%2Fid.who.int%2Ficd%2Fentity%2F2058982696","browser")</x:f>
      </x:c>
      <x:c r="L10907" s="0">
        <x:f>hyperlink("https://icat2.azurewebsites.net/icat/?ontology=ICD&amp;tab=ClassesTab&amp;id=http%3A%2F%2Fwho.int%2Ficd%234087_bfdc5bfd_508c_4341_981a_49384b51cdc2","iCat")</x:f>
      </x:c>
      <x:c r="M10907" s="0" t="s">
        <x:v>21</x:v>
      </x:c>
      <x:c r="N10907" s="0" t="s">
        <x:v>46</x:v>
      </x:c>
    </x:row>
    <x:row r="10908" spans="1:16">
      <x:c r="A10908" s="0" t="s">
        <x:v>43331</x:v>
      </x:c>
      <x:c r="B10908" s="0" t="s">
        <x:v>43332</x:v>
      </x:c>
      <x:c r="C10908" s="0" t="s">
        <x:v>42840</x:v>
      </x:c>
      <x:c r="E10908" s="0" t="s">
        <x:v>43333</x:v>
      </x:c>
      <x:c r="F10908" s="0" t="s">
        <x:v>45</x:v>
      </x:c>
      <x:c r="G10908" s="0" t="s">
        <x:v>35</x:v>
      </x:c>
      <x:c r="H10908" s="0" t="s">
        <x:v>20</x:v>
      </x:c>
      <x:c r="I10908" s="0" t="s">
        <x:v>21</x:v>
      </x:c>
      <x:c r="K10908" s="0">
        <x:f>hyperlink("https://icd.who.int/dev11/l-ichi/en#/http%3A%2F%2Fid.who.int%2Ficd%2Fentity%2F92452409","browser")</x:f>
      </x:c>
      <x:c r="L10908" s="0">
        <x:f>hyperlink("https://icat2.azurewebsites.net/icat/?ontology=ICD&amp;tab=ClassesTab&amp;id=http%3A%2F%2Fwho.int%2Ficd%234092_bfdc5bfd_508c_4341_981a_49384b51cdc2","iCat")</x:f>
      </x:c>
      <x:c r="M10908" s="0" t="s">
        <x:v>21</x:v>
      </x:c>
      <x:c r="N10908" s="0" t="s">
        <x:v>46</x:v>
      </x:c>
    </x:row>
    <x:row r="10909" spans="1:16">
      <x:c r="A10909" s="0" t="s">
        <x:v>43334</x:v>
      </x:c>
      <x:c r="B10909" s="0" t="s">
        <x:v>43335</x:v>
      </x:c>
      <x:c r="C10909" s="0" t="s">
        <x:v>42840</x:v>
      </x:c>
      <x:c r="E10909" s="0" t="s">
        <x:v>43336</x:v>
      </x:c>
      <x:c r="F10909" s="0" t="s">
        <x:v>45</x:v>
      </x:c>
      <x:c r="G10909" s="0" t="s">
        <x:v>35</x:v>
      </x:c>
      <x:c r="H10909" s="0" t="s">
        <x:v>20</x:v>
      </x:c>
      <x:c r="I10909" s="0" t="s">
        <x:v>21</x:v>
      </x:c>
      <x:c r="K10909" s="0">
        <x:f>hyperlink("https://icd.who.int/dev11/l-ichi/en#/http%3A%2F%2Fid.who.int%2Ficd%2Fentity%2F814051917","browser")</x:f>
      </x:c>
      <x:c r="L10909" s="0">
        <x:f>hyperlink("https://icat2.azurewebsites.net/icat/?ontology=ICD&amp;tab=ClassesTab&amp;id=http%3A%2F%2Fwho.int%2Ficd%234096_bfdc5bfd_508c_4341_981a_49384b51cdc2","iCat")</x:f>
      </x:c>
      <x:c r="M10909" s="0" t="s">
        <x:v>21</x:v>
      </x:c>
      <x:c r="N10909" s="0" t="s">
        <x:v>46</x:v>
      </x:c>
    </x:row>
    <x:row r="10910" spans="1:16">
      <x:c r="A10910" s="0" t="s">
        <x:v>43337</x:v>
      </x:c>
      <x:c r="B10910" s="0" t="s">
        <x:v>43338</x:v>
      </x:c>
      <x:c r="C10910" s="0" t="s">
        <x:v>42840</x:v>
      </x:c>
      <x:c r="E10910" s="0" t="s">
        <x:v>43339</x:v>
      </x:c>
      <x:c r="F10910" s="0" t="s">
        <x:v>45</x:v>
      </x:c>
      <x:c r="G10910" s="0" t="s">
        <x:v>35</x:v>
      </x:c>
      <x:c r="H10910" s="0" t="s">
        <x:v>20</x:v>
      </x:c>
      <x:c r="I10910" s="0" t="s">
        <x:v>21</x:v>
      </x:c>
      <x:c r="K10910" s="0">
        <x:f>hyperlink("https://icd.who.int/dev11/l-ichi/en#/http%3A%2F%2Fid.who.int%2Ficd%2Fentity%2F1080873936","browser")</x:f>
      </x:c>
      <x:c r="L10910" s="0">
        <x:f>hyperlink("https://icat2.azurewebsites.net/icat/?ontology=ICD&amp;tab=ClassesTab&amp;id=http%3A%2F%2Fwho.int%2Ficd%234101_bfdc5bfd_508c_4341_981a_49384b51cdc2","iCat")</x:f>
      </x:c>
      <x:c r="M10910" s="0" t="s">
        <x:v>21</x:v>
      </x:c>
      <x:c r="N10910" s="0" t="s">
        <x:v>46</x:v>
      </x:c>
    </x:row>
    <x:row r="10911" spans="1:16">
      <x:c r="A10911" s="0" t="s">
        <x:v>43340</x:v>
      </x:c>
      <x:c r="B10911" s="0" t="s">
        <x:v>43341</x:v>
      </x:c>
      <x:c r="C10911" s="0" t="s">
        <x:v>42840</x:v>
      </x:c>
      <x:c r="E10911" s="0" t="s">
        <x:v>43342</x:v>
      </x:c>
      <x:c r="F10911" s="0" t="s">
        <x:v>45</x:v>
      </x:c>
      <x:c r="G10911" s="0" t="s">
        <x:v>35</x:v>
      </x:c>
      <x:c r="H10911" s="0" t="s">
        <x:v>20</x:v>
      </x:c>
      <x:c r="I10911" s="0" t="s">
        <x:v>21</x:v>
      </x:c>
      <x:c r="K10911" s="0">
        <x:f>hyperlink("https://icd.who.int/dev11/l-ichi/en#/http%3A%2F%2Fid.who.int%2Ficd%2Fentity%2F820934723","browser")</x:f>
      </x:c>
      <x:c r="L10911" s="0">
        <x:f>hyperlink("https://icat2.azurewebsites.net/icat/?ontology=ICD&amp;tab=ClassesTab&amp;id=http%3A%2F%2Fwho.int%2Ficd%234106_bfdc5bfd_508c_4341_981a_49384b51cdc2","iCat")</x:f>
      </x:c>
      <x:c r="M10911" s="0" t="s">
        <x:v>21</x:v>
      </x:c>
      <x:c r="N10911" s="0" t="s">
        <x:v>46</x:v>
      </x:c>
    </x:row>
    <x:row r="10912" spans="1:16">
      <x:c r="A10912" s="0" t="s">
        <x:v>43343</x:v>
      </x:c>
      <x:c r="B10912" s="0" t="s">
        <x:v>43344</x:v>
      </x:c>
      <x:c r="C10912" s="0" t="s">
        <x:v>42840</x:v>
      </x:c>
      <x:c r="E10912" s="0" t="s">
        <x:v>43345</x:v>
      </x:c>
      <x:c r="F10912" s="0" t="s">
        <x:v>45</x:v>
      </x:c>
      <x:c r="G10912" s="0" t="s">
        <x:v>35</x:v>
      </x:c>
      <x:c r="H10912" s="0" t="s">
        <x:v>20</x:v>
      </x:c>
      <x:c r="I10912" s="0" t="s">
        <x:v>21</x:v>
      </x:c>
      <x:c r="K10912" s="0">
        <x:f>hyperlink("https://icd.who.int/dev11/l-ichi/en#/http%3A%2F%2Fid.who.int%2Ficd%2Fentity%2F715736729","browser")</x:f>
      </x:c>
      <x:c r="L10912" s="0">
        <x:f>hyperlink("https://icat2.azurewebsites.net/icat/?ontology=ICD&amp;tab=ClassesTab&amp;id=http%3A%2F%2Fwho.int%2Ficd%234111_bfdc5bfd_508c_4341_981a_49384b51cdc2","iCat")</x:f>
      </x:c>
      <x:c r="M10912" s="0" t="s">
        <x:v>21</x:v>
      </x:c>
      <x:c r="N10912" s="0" t="s">
        <x:v>46</x:v>
      </x:c>
    </x:row>
    <x:row r="10913" spans="1:16">
      <x:c r="A10913" s="0" t="s">
        <x:v>43346</x:v>
      </x:c>
      <x:c r="B10913" s="0" t="s">
        <x:v>43347</x:v>
      </x:c>
      <x:c r="C10913" s="0" t="s">
        <x:v>42840</x:v>
      </x:c>
      <x:c r="E10913" s="0" t="s">
        <x:v>43348</x:v>
      </x:c>
      <x:c r="F10913" s="0" t="s">
        <x:v>45</x:v>
      </x:c>
      <x:c r="G10913" s="0" t="s">
        <x:v>35</x:v>
      </x:c>
      <x:c r="H10913" s="0" t="s">
        <x:v>20</x:v>
      </x:c>
      <x:c r="I10913" s="0" t="s">
        <x:v>21</x:v>
      </x:c>
      <x:c r="K10913" s="0">
        <x:f>hyperlink("https://icd.who.int/dev11/l-ichi/en#/http%3A%2F%2Fid.who.int%2Ficd%2Fentity%2F1512828182","browser")</x:f>
      </x:c>
      <x:c r="L10913" s="0">
        <x:f>hyperlink("https://icat2.azurewebsites.net/icat/?ontology=ICD&amp;tab=ClassesTab&amp;id=http%3A%2F%2Fwho.int%2Ficd%234116_bfdc5bfd_508c_4341_981a_49384b51cdc2","iCat")</x:f>
      </x:c>
      <x:c r="M10913" s="0" t="s">
        <x:v>21</x:v>
      </x:c>
      <x:c r="N10913" s="0" t="s">
        <x:v>46</x:v>
      </x:c>
    </x:row>
    <x:row r="10914" spans="1:16">
      <x:c r="A10914" s="0" t="s">
        <x:v>43349</x:v>
      </x:c>
      <x:c r="B10914" s="0" t="s">
        <x:v>43350</x:v>
      </x:c>
      <x:c r="C10914" s="0" t="s">
        <x:v>42840</x:v>
      </x:c>
      <x:c r="E10914" s="0" t="s">
        <x:v>43351</x:v>
      </x:c>
      <x:c r="F10914" s="0" t="s">
        <x:v>45</x:v>
      </x:c>
      <x:c r="G10914" s="0" t="s">
        <x:v>35</x:v>
      </x:c>
      <x:c r="H10914" s="0" t="s">
        <x:v>20</x:v>
      </x:c>
      <x:c r="I10914" s="0" t="s">
        <x:v>21</x:v>
      </x:c>
      <x:c r="K10914" s="0">
        <x:f>hyperlink("https://icd.who.int/dev11/l-ichi/en#/http%3A%2F%2Fid.who.int%2Ficd%2Fentity%2F1779959454","browser")</x:f>
      </x:c>
      <x:c r="L10914" s="0">
        <x:f>hyperlink("https://icat2.azurewebsites.net/icat/?ontology=ICD&amp;tab=ClassesTab&amp;id=http%3A%2F%2Fwho.int%2Ficd%234121_bfdc5bfd_508c_4341_981a_49384b51cdc2","iCat")</x:f>
      </x:c>
      <x:c r="M10914" s="0" t="s">
        <x:v>21</x:v>
      </x:c>
      <x:c r="N10914" s="0" t="s">
        <x:v>46</x:v>
      </x:c>
    </x:row>
    <x:row r="10915" spans="1:16">
      <x:c r="A10915" s="0" t="s">
        <x:v>43352</x:v>
      </x:c>
      <x:c r="B10915" s="0" t="s">
        <x:v>43353</x:v>
      </x:c>
      <x:c r="C10915" s="0" t="s">
        <x:v>42840</x:v>
      </x:c>
      <x:c r="E10915" s="0" t="s">
        <x:v>43354</x:v>
      </x:c>
      <x:c r="F10915" s="0" t="s">
        <x:v>45</x:v>
      </x:c>
      <x:c r="G10915" s="0" t="s">
        <x:v>35</x:v>
      </x:c>
      <x:c r="H10915" s="0" t="s">
        <x:v>20</x:v>
      </x:c>
      <x:c r="I10915" s="0" t="s">
        <x:v>21</x:v>
      </x:c>
      <x:c r="K10915" s="0">
        <x:f>hyperlink("https://icd.who.int/dev11/l-ichi/en#/http%3A%2F%2Fid.who.int%2Ficd%2Fentity%2F446344467","browser")</x:f>
      </x:c>
      <x:c r="L10915" s="0">
        <x:f>hyperlink("https://icat2.azurewebsites.net/icat/?ontology=ICD&amp;tab=ClassesTab&amp;id=http%3A%2F%2Fwho.int%2Ficd%234126_bfdc5bfd_508c_4341_981a_49384b51cdc2","iCat")</x:f>
      </x:c>
      <x:c r="M10915" s="0" t="s">
        <x:v>21</x:v>
      </x:c>
      <x:c r="N10915" s="0" t="s">
        <x:v>46</x:v>
      </x:c>
    </x:row>
    <x:row r="10916" spans="1:16">
      <x:c r="A10916" s="0" t="s">
        <x:v>43355</x:v>
      </x:c>
      <x:c r="B10916" s="0" t="s">
        <x:v>43356</x:v>
      </x:c>
      <x:c r="C10916" s="0" t="s">
        <x:v>42840</x:v>
      </x:c>
      <x:c r="E10916" s="0" t="s">
        <x:v>43357</x:v>
      </x:c>
      <x:c r="F10916" s="0" t="s">
        <x:v>45</x:v>
      </x:c>
      <x:c r="G10916" s="0" t="s">
        <x:v>35</x:v>
      </x:c>
      <x:c r="H10916" s="0" t="s">
        <x:v>20</x:v>
      </x:c>
      <x:c r="I10916" s="0" t="s">
        <x:v>21</x:v>
      </x:c>
      <x:c r="K10916" s="0">
        <x:f>hyperlink("https://icd.who.int/dev11/l-ichi/en#/http%3A%2F%2Fid.who.int%2Ficd%2Fentity%2F14521289","browser")</x:f>
      </x:c>
      <x:c r="L10916" s="0">
        <x:f>hyperlink("https://icat2.azurewebsites.net/icat/?ontology=ICD&amp;tab=ClassesTab&amp;id=http%3A%2F%2Fwho.int%2Ficd%234131_bfdc5bfd_508c_4341_981a_49384b51cdc2","iCat")</x:f>
      </x:c>
      <x:c r="M10916" s="0" t="s">
        <x:v>21</x:v>
      </x:c>
      <x:c r="N10916" s="0" t="s">
        <x:v>46</x:v>
      </x:c>
    </x:row>
    <x:row r="10917" spans="1:16">
      <x:c r="A10917" s="0" t="s">
        <x:v>43358</x:v>
      </x:c>
      <x:c r="B10917" s="0" t="s">
        <x:v>43359</x:v>
      </x:c>
      <x:c r="C10917" s="0" t="s">
        <x:v>42840</x:v>
      </x:c>
      <x:c r="E10917" s="0" t="s">
        <x:v>43360</x:v>
      </x:c>
      <x:c r="F10917" s="0" t="s">
        <x:v>45</x:v>
      </x:c>
      <x:c r="G10917" s="0" t="s">
        <x:v>35</x:v>
      </x:c>
      <x:c r="H10917" s="0" t="s">
        <x:v>20</x:v>
      </x:c>
      <x:c r="I10917" s="0" t="s">
        <x:v>21</x:v>
      </x:c>
      <x:c r="K10917" s="0">
        <x:f>hyperlink("https://icd.who.int/dev11/l-ichi/en#/http%3A%2F%2Fid.who.int%2Ficd%2Fentity%2F1885288516","browser")</x:f>
      </x:c>
      <x:c r="L10917" s="0">
        <x:f>hyperlink("https://icat2.azurewebsites.net/icat/?ontology=ICD&amp;tab=ClassesTab&amp;id=http%3A%2F%2Fwho.int%2Ficd%234136_bfdc5bfd_508c_4341_981a_49384b51cdc2","iCat")</x:f>
      </x:c>
      <x:c r="M10917" s="0" t="s">
        <x:v>21</x:v>
      </x:c>
      <x:c r="N10917" s="0" t="s">
        <x:v>46</x:v>
      </x:c>
    </x:row>
    <x:row r="10918" spans="1:16">
      <x:c r="A10918" s="0" t="s">
        <x:v>43361</x:v>
      </x:c>
      <x:c r="B10918" s="0" t="s">
        <x:v>43362</x:v>
      </x:c>
      <x:c r="C10918" s="0" t="s">
        <x:v>42840</x:v>
      </x:c>
      <x:c r="E10918" s="0" t="s">
        <x:v>43363</x:v>
      </x:c>
      <x:c r="F10918" s="0" t="s">
        <x:v>45</x:v>
      </x:c>
      <x:c r="G10918" s="0" t="s">
        <x:v>30</x:v>
      </x:c>
      <x:c r="H10918" s="0" t="s">
        <x:v>20</x:v>
      </x:c>
      <x:c r="I10918" s="0" t="s">
        <x:v>21</x:v>
      </x:c>
      <x:c r="K10918" s="0">
        <x:f>hyperlink("https://icd.who.int/dev11/l-ichi/en#/http%3A%2F%2Fid.who.int%2Ficd%2Fentity%2F284357359","browser")</x:f>
      </x:c>
      <x:c r="L10918" s="0">
        <x:f>hyperlink("https://icat2.azurewebsites.net/icat/?ontology=ICD&amp;tab=ClassesTab&amp;id=http%3A%2F%2Fwho.int%2Ficd%234140_bfdc5bfd_508c_4341_981a_49384b51cdc2","iCat")</x:f>
      </x:c>
      <x:c r="M10918" s="0" t="s">
        <x:v>20</x:v>
      </x:c>
      <x:c r="N10918" s="0" t="s">
        <x:v>431</x:v>
      </x:c>
    </x:row>
    <x:row r="10919" spans="1:16">
      <x:c r="A10919" s="0" t="s">
        <x:v>43364</x:v>
      </x:c>
      <x:c r="B10919" s="0" t="s">
        <x:v>43365</x:v>
      </x:c>
      <x:c r="C10919" s="0" t="s">
        <x:v>42840</x:v>
      </x:c>
      <x:c r="E10919" s="0" t="s">
        <x:v>43366</x:v>
      </x:c>
      <x:c r="F10919" s="0" t="s">
        <x:v>45</x:v>
      </x:c>
      <x:c r="G10919" s="0" t="s">
        <x:v>35</x:v>
      </x:c>
      <x:c r="H10919" s="0" t="s">
        <x:v>20</x:v>
      </x:c>
      <x:c r="I10919" s="0" t="s">
        <x:v>21</x:v>
      </x:c>
      <x:c r="K10919" s="0">
        <x:f>hyperlink("https://icd.who.int/dev11/l-ichi/en#/http%3A%2F%2Fid.who.int%2Ficd%2Fentity%2F84690087","browser")</x:f>
      </x:c>
      <x:c r="L10919" s="0">
        <x:f>hyperlink("https://icat2.azurewebsites.net/icat/?ontology=ICD&amp;tab=ClassesTab&amp;id=http%3A%2F%2Fwho.int%2Ficd%234145_bfdc5bfd_508c_4341_981a_49384b51cdc2","iCat")</x:f>
      </x:c>
      <x:c r="M10919" s="0" t="s">
        <x:v>21</x:v>
      </x:c>
      <x:c r="N10919" s="0" t="s">
        <x:v>46</x:v>
      </x:c>
    </x:row>
    <x:row r="10920" spans="1:16">
      <x:c r="A10920" s="0" t="s">
        <x:v>43367</x:v>
      </x:c>
      <x:c r="B10920" s="0" t="s">
        <x:v>43368</x:v>
      </x:c>
      <x:c r="C10920" s="0" t="s">
        <x:v>42840</x:v>
      </x:c>
      <x:c r="E10920" s="0" t="s">
        <x:v>43369</x:v>
      </x:c>
      <x:c r="F10920" s="0" t="s">
        <x:v>45</x:v>
      </x:c>
      <x:c r="G10920" s="0" t="s">
        <x:v>35</x:v>
      </x:c>
      <x:c r="H10920" s="0" t="s">
        <x:v>20</x:v>
      </x:c>
      <x:c r="I10920" s="0" t="s">
        <x:v>21</x:v>
      </x:c>
      <x:c r="K10920" s="0">
        <x:f>hyperlink("https://icd.who.int/dev11/l-ichi/en#/http%3A%2F%2Fid.who.int%2Ficd%2Fentity%2F2050451384","browser")</x:f>
      </x:c>
      <x:c r="L10920" s="0">
        <x:f>hyperlink("https://icat2.azurewebsites.net/icat/?ontology=ICD&amp;tab=ClassesTab&amp;id=http%3A%2F%2Fwho.int%2Ficd%234150_bfdc5bfd_508c_4341_981a_49384b51cdc2","iCat")</x:f>
      </x:c>
      <x:c r="M10920" s="0" t="s">
        <x:v>21</x:v>
      </x:c>
      <x:c r="N10920" s="0" t="s">
        <x:v>46</x:v>
      </x:c>
    </x:row>
    <x:row r="10921" spans="1:16">
      <x:c r="A10921" s="0" t="s">
        <x:v>43370</x:v>
      </x:c>
      <x:c r="B10921" s="0" t="s">
        <x:v>43371</x:v>
      </x:c>
      <x:c r="C10921" s="0" t="s">
        <x:v>42840</x:v>
      </x:c>
      <x:c r="E10921" s="0" t="s">
        <x:v>43372</x:v>
      </x:c>
      <x:c r="F10921" s="0" t="s">
        <x:v>45</x:v>
      </x:c>
      <x:c r="G10921" s="0" t="s">
        <x:v>35</x:v>
      </x:c>
      <x:c r="H10921" s="0" t="s">
        <x:v>20</x:v>
      </x:c>
      <x:c r="I10921" s="0" t="s">
        <x:v>21</x:v>
      </x:c>
      <x:c r="K10921" s="0">
        <x:f>hyperlink("https://icd.who.int/dev11/l-ichi/en#/http%3A%2F%2Fid.who.int%2Ficd%2Fentity%2F1875497456","browser")</x:f>
      </x:c>
      <x:c r="L10921" s="0">
        <x:f>hyperlink("https://icat2.azurewebsites.net/icat/?ontology=ICD&amp;tab=ClassesTab&amp;id=http%3A%2F%2Fwho.int%2Ficd%234155_bfdc5bfd_508c_4341_981a_49384b51cdc2","iCat")</x:f>
      </x:c>
      <x:c r="M10921" s="0" t="s">
        <x:v>21</x:v>
      </x:c>
      <x:c r="N10921" s="0" t="s">
        <x:v>46</x:v>
      </x:c>
    </x:row>
    <x:row r="10922" spans="1:16">
      <x:c r="A10922" s="0" t="s">
        <x:v>43373</x:v>
      </x:c>
      <x:c r="B10922" s="0" t="s">
        <x:v>43374</x:v>
      </x:c>
      <x:c r="C10922" s="0" t="s">
        <x:v>42840</x:v>
      </x:c>
      <x:c r="E10922" s="0" t="s">
        <x:v>43375</x:v>
      </x:c>
      <x:c r="F10922" s="0" t="s">
        <x:v>45</x:v>
      </x:c>
      <x:c r="G10922" s="0" t="s">
        <x:v>35</x:v>
      </x:c>
      <x:c r="H10922" s="0" t="s">
        <x:v>20</x:v>
      </x:c>
      <x:c r="I10922" s="0" t="s">
        <x:v>21</x:v>
      </x:c>
      <x:c r="K10922" s="0">
        <x:f>hyperlink("https://icd.who.int/dev11/l-ichi/en#/http%3A%2F%2Fid.who.int%2Ficd%2Fentity%2F981870527","browser")</x:f>
      </x:c>
      <x:c r="L10922" s="0">
        <x:f>hyperlink("https://icat2.azurewebsites.net/icat/?ontology=ICD&amp;tab=ClassesTab&amp;id=http%3A%2F%2Fwho.int%2Ficd%234160_bfdc5bfd_508c_4341_981a_49384b51cdc2","iCat")</x:f>
      </x:c>
      <x:c r="M10922" s="0" t="s">
        <x:v>21</x:v>
      </x:c>
      <x:c r="N10922" s="0" t="s">
        <x:v>46</x:v>
      </x:c>
    </x:row>
    <x:row r="10923" spans="1:16">
      <x:c r="A10923" s="0" t="s">
        <x:v>43376</x:v>
      </x:c>
      <x:c r="B10923" s="0" t="s">
        <x:v>43377</x:v>
      </x:c>
      <x:c r="C10923" s="0" t="s">
        <x:v>42840</x:v>
      </x:c>
      <x:c r="E10923" s="0" t="s">
        <x:v>43378</x:v>
      </x:c>
      <x:c r="F10923" s="0" t="s">
        <x:v>45</x:v>
      </x:c>
      <x:c r="G10923" s="0" t="s">
        <x:v>35</x:v>
      </x:c>
      <x:c r="H10923" s="0" t="s">
        <x:v>20</x:v>
      </x:c>
      <x:c r="I10923" s="0" t="s">
        <x:v>21</x:v>
      </x:c>
      <x:c r="K10923" s="0">
        <x:f>hyperlink("https://icd.who.int/dev11/l-ichi/en#/http%3A%2F%2Fid.who.int%2Ficd%2Fentity%2F796430839","browser")</x:f>
      </x:c>
      <x:c r="L10923" s="0">
        <x:f>hyperlink("https://icat2.azurewebsites.net/icat/?ontology=ICD&amp;tab=ClassesTab&amp;id=http%3A%2F%2Fwho.int%2Ficd%234165_bfdc5bfd_508c_4341_981a_49384b51cdc2","iCat")</x:f>
      </x:c>
      <x:c r="M10923" s="0" t="s">
        <x:v>21</x:v>
      </x:c>
      <x:c r="N10923" s="0" t="s">
        <x:v>46</x:v>
      </x:c>
    </x:row>
    <x:row r="10924" spans="1:16">
      <x:c r="A10924" s="0" t="s">
        <x:v>43379</x:v>
      </x:c>
      <x:c r="B10924" s="0" t="s">
        <x:v>43380</x:v>
      </x:c>
      <x:c r="C10924" s="0" t="s">
        <x:v>42840</x:v>
      </x:c>
      <x:c r="E10924" s="0" t="s">
        <x:v>43381</x:v>
      </x:c>
      <x:c r="F10924" s="0" t="s">
        <x:v>45</x:v>
      </x:c>
      <x:c r="G10924" s="0" t="s">
        <x:v>35</x:v>
      </x:c>
      <x:c r="H10924" s="0" t="s">
        <x:v>20</x:v>
      </x:c>
      <x:c r="I10924" s="0" t="s">
        <x:v>21</x:v>
      </x:c>
      <x:c r="K10924" s="0">
        <x:f>hyperlink("https://icd.who.int/dev11/l-ichi/en#/http%3A%2F%2Fid.who.int%2Ficd%2Fentity%2F1346613994","browser")</x:f>
      </x:c>
      <x:c r="L10924" s="0">
        <x:f>hyperlink("https://icat2.azurewebsites.net/icat/?ontology=ICD&amp;tab=ClassesTab&amp;id=http%3A%2F%2Fwho.int%2Ficd%234170_bfdc5bfd_508c_4341_981a_49384b51cdc2","iCat")</x:f>
      </x:c>
      <x:c r="M10924" s="0" t="s">
        <x:v>21</x:v>
      </x:c>
      <x:c r="N10924" s="0" t="s">
        <x:v>46</x:v>
      </x:c>
    </x:row>
    <x:row r="10925" spans="1:16">
      <x:c r="A10925" s="0" t="s">
        <x:v>43382</x:v>
      </x:c>
      <x:c r="B10925" s="0" t="s">
        <x:v>43383</x:v>
      </x:c>
      <x:c r="C10925" s="0" t="s">
        <x:v>42840</x:v>
      </x:c>
      <x:c r="E10925" s="0" t="s">
        <x:v>43384</x:v>
      </x:c>
      <x:c r="F10925" s="0" t="s">
        <x:v>45</x:v>
      </x:c>
      <x:c r="G10925" s="0" t="s">
        <x:v>35</x:v>
      </x:c>
      <x:c r="H10925" s="0" t="s">
        <x:v>20</x:v>
      </x:c>
      <x:c r="I10925" s="0" t="s">
        <x:v>21</x:v>
      </x:c>
      <x:c r="K10925" s="0">
        <x:f>hyperlink("https://icd.who.int/dev11/l-ichi/en#/http%3A%2F%2Fid.who.int%2Ficd%2Fentity%2F1170015394","browser")</x:f>
      </x:c>
      <x:c r="L10925" s="0">
        <x:f>hyperlink("https://icat2.azurewebsites.net/icat/?ontology=ICD&amp;tab=ClassesTab&amp;id=http%3A%2F%2Fwho.int%2Ficd%234175_bfdc5bfd_508c_4341_981a_49384b51cdc2","iCat")</x:f>
      </x:c>
      <x:c r="M10925" s="0" t="s">
        <x:v>21</x:v>
      </x:c>
      <x:c r="N10925" s="0" t="s">
        <x:v>46</x:v>
      </x:c>
    </x:row>
    <x:row r="10926" spans="1:16">
      <x:c r="A10926" s="0" t="s">
        <x:v>43385</x:v>
      </x:c>
      <x:c r="B10926" s="0" t="s">
        <x:v>43386</x:v>
      </x:c>
      <x:c r="C10926" s="0" t="s">
        <x:v>42840</x:v>
      </x:c>
      <x:c r="E10926" s="0" t="s">
        <x:v>43387</x:v>
      </x:c>
      <x:c r="F10926" s="0" t="s">
        <x:v>45</x:v>
      </x:c>
      <x:c r="G10926" s="0" t="s">
        <x:v>30</x:v>
      </x:c>
      <x:c r="H10926" s="0" t="s">
        <x:v>20</x:v>
      </x:c>
      <x:c r="I10926" s="0" t="s">
        <x:v>21</x:v>
      </x:c>
      <x:c r="K10926" s="0">
        <x:f>hyperlink("https://icd.who.int/dev11/l-ichi/en#/http%3A%2F%2Fid.who.int%2Ficd%2Fentity%2F1044099457","browser")</x:f>
      </x:c>
      <x:c r="L10926" s="0">
        <x:f>hyperlink("https://icat2.azurewebsites.net/icat/?ontology=ICD&amp;tab=ClassesTab&amp;id=http%3A%2F%2Fwho.int%2Ficd%234179_bfdc5bfd_508c_4341_981a_49384b51cdc2","iCat")</x:f>
      </x:c>
      <x:c r="M10926" s="0" t="s">
        <x:v>20</x:v>
      </x:c>
      <x:c r="N10926" s="0" t="s">
        <x:v>36</x:v>
      </x:c>
    </x:row>
    <x:row r="10927" spans="1:16">
      <x:c r="A10927" s="0" t="s">
        <x:v>43388</x:v>
      </x:c>
      <x:c r="B10927" s="0" t="s">
        <x:v>43389</x:v>
      </x:c>
      <x:c r="C10927" s="0" t="s">
        <x:v>42840</x:v>
      </x:c>
      <x:c r="E10927" s="0" t="s">
        <x:v>43390</x:v>
      </x:c>
      <x:c r="F10927" s="0" t="s">
        <x:v>45</x:v>
      </x:c>
      <x:c r="G10927" s="0" t="s">
        <x:v>35</x:v>
      </x:c>
      <x:c r="H10927" s="0" t="s">
        <x:v>20</x:v>
      </x:c>
      <x:c r="I10927" s="0" t="s">
        <x:v>21</x:v>
      </x:c>
      <x:c r="K10927" s="0">
        <x:f>hyperlink("https://icd.who.int/dev11/l-ichi/en#/http%3A%2F%2Fid.who.int%2Ficd%2Fentity%2F1252211778","browser")</x:f>
      </x:c>
      <x:c r="L10927" s="0">
        <x:f>hyperlink("https://icat2.azurewebsites.net/icat/?ontology=ICD&amp;tab=ClassesTab&amp;id=http%3A%2F%2Fwho.int%2Ficd%234184_bfdc5bfd_508c_4341_981a_49384b51cdc2","iCat")</x:f>
      </x:c>
      <x:c r="M10927" s="0" t="s">
        <x:v>21</x:v>
      </x:c>
      <x:c r="N10927" s="0" t="s">
        <x:v>46</x:v>
      </x:c>
    </x:row>
    <x:row r="10928" spans="1:16">
      <x:c r="A10928" s="0" t="s">
        <x:v>43391</x:v>
      </x:c>
      <x:c r="B10928" s="0" t="s">
        <x:v>43392</x:v>
      </x:c>
      <x:c r="C10928" s="0" t="s">
        <x:v>42840</x:v>
      </x:c>
      <x:c r="E10928" s="0" t="s">
        <x:v>43393</x:v>
      </x:c>
      <x:c r="F10928" s="0" t="s">
        <x:v>45</x:v>
      </x:c>
      <x:c r="G10928" s="0" t="s">
        <x:v>35</x:v>
      </x:c>
      <x:c r="H10928" s="0" t="s">
        <x:v>20</x:v>
      </x:c>
      <x:c r="I10928" s="0" t="s">
        <x:v>21</x:v>
      </x:c>
      <x:c r="K10928" s="0">
        <x:f>hyperlink("https://icd.who.int/dev11/l-ichi/en#/http%3A%2F%2Fid.who.int%2Ficd%2Fentity%2F299694943","browser")</x:f>
      </x:c>
      <x:c r="L10928" s="0">
        <x:f>hyperlink("https://icat2.azurewebsites.net/icat/?ontology=ICD&amp;tab=ClassesTab&amp;id=http%3A%2F%2Fwho.int%2Ficd%234189_bfdc5bfd_508c_4341_981a_49384b51cdc2","iCat")</x:f>
      </x:c>
      <x:c r="M10928" s="0" t="s">
        <x:v>21</x:v>
      </x:c>
      <x:c r="N10928" s="0" t="s">
        <x:v>46</x:v>
      </x:c>
    </x:row>
    <x:row r="10929" spans="1:16">
      <x:c r="A10929" s="0" t="s">
        <x:v>43394</x:v>
      </x:c>
      <x:c r="B10929" s="0" t="s">
        <x:v>43395</x:v>
      </x:c>
      <x:c r="C10929" s="0" t="s">
        <x:v>42840</x:v>
      </x:c>
      <x:c r="E10929" s="0" t="s">
        <x:v>43396</x:v>
      </x:c>
      <x:c r="F10929" s="0" t="s">
        <x:v>45</x:v>
      </x:c>
      <x:c r="G10929" s="0" t="s">
        <x:v>35</x:v>
      </x:c>
      <x:c r="H10929" s="0" t="s">
        <x:v>20</x:v>
      </x:c>
      <x:c r="I10929" s="0" t="s">
        <x:v>21</x:v>
      </x:c>
      <x:c r="K10929" s="0">
        <x:f>hyperlink("https://icd.who.int/dev11/l-ichi/en#/http%3A%2F%2Fid.who.int%2Ficd%2Fentity%2F543598869","browser")</x:f>
      </x:c>
      <x:c r="L10929" s="0">
        <x:f>hyperlink("https://icat2.azurewebsites.net/icat/?ontology=ICD&amp;tab=ClassesTab&amp;id=http%3A%2F%2Fwho.int%2Ficd%234194_bfdc5bfd_508c_4341_981a_49384b51cdc2","iCat")</x:f>
      </x:c>
      <x:c r="M10929" s="0" t="s">
        <x:v>21</x:v>
      </x:c>
      <x:c r="N10929" s="0" t="s">
        <x:v>46</x:v>
      </x:c>
    </x:row>
    <x:row r="10930" spans="1:16">
      <x:c r="A10930" s="0" t="s">
        <x:v>43397</x:v>
      </x:c>
      <x:c r="B10930" s="0" t="s">
        <x:v>43398</x:v>
      </x:c>
      <x:c r="C10930" s="0" t="s">
        <x:v>42840</x:v>
      </x:c>
      <x:c r="E10930" s="0" t="s">
        <x:v>43399</x:v>
      </x:c>
      <x:c r="F10930" s="0" t="s">
        <x:v>45</x:v>
      </x:c>
      <x:c r="G10930" s="0" t="s">
        <x:v>35</x:v>
      </x:c>
      <x:c r="H10930" s="0" t="s">
        <x:v>20</x:v>
      </x:c>
      <x:c r="I10930" s="0" t="s">
        <x:v>21</x:v>
      </x:c>
      <x:c r="K10930" s="0">
        <x:f>hyperlink("https://icd.who.int/dev11/l-ichi/en#/http%3A%2F%2Fid.who.int%2Ficd%2Fentity%2F2065264136","browser")</x:f>
      </x:c>
      <x:c r="L10930" s="0">
        <x:f>hyperlink("https://icat2.azurewebsites.net/icat/?ontology=ICD&amp;tab=ClassesTab&amp;id=http%3A%2F%2Fwho.int%2Ficd%234199_bfdc5bfd_508c_4341_981a_49384b51cdc2","iCat")</x:f>
      </x:c>
      <x:c r="M10930" s="0" t="s">
        <x:v>21</x:v>
      </x:c>
      <x:c r="N10930" s="0" t="s">
        <x:v>46</x:v>
      </x:c>
    </x:row>
    <x:row r="10931" spans="1:16">
      <x:c r="A10931" s="0" t="s">
        <x:v>43400</x:v>
      </x:c>
      <x:c r="B10931" s="0" t="s">
        <x:v>43401</x:v>
      </x:c>
      <x:c r="C10931" s="0" t="s">
        <x:v>42840</x:v>
      </x:c>
      <x:c r="E10931" s="0" t="s">
        <x:v>43402</x:v>
      </x:c>
      <x:c r="F10931" s="0" t="s">
        <x:v>45</x:v>
      </x:c>
      <x:c r="G10931" s="0" t="s">
        <x:v>35</x:v>
      </x:c>
      <x:c r="H10931" s="0" t="s">
        <x:v>20</x:v>
      </x:c>
      <x:c r="I10931" s="0" t="s">
        <x:v>21</x:v>
      </x:c>
      <x:c r="K10931" s="0">
        <x:f>hyperlink("https://icd.who.int/dev11/l-ichi/en#/http%3A%2F%2Fid.who.int%2Ficd%2Fentity%2F1146059346","browser")</x:f>
      </x:c>
      <x:c r="L10931" s="0">
        <x:f>hyperlink("https://icat2.azurewebsites.net/icat/?ontology=ICD&amp;tab=ClassesTab&amp;id=http%3A%2F%2Fwho.int%2Ficd%234203_bfdc5bfd_508c_4341_981a_49384b51cdc2","iCat")</x:f>
      </x:c>
      <x:c r="M10931" s="0" t="s">
        <x:v>21</x:v>
      </x:c>
      <x:c r="N10931" s="0" t="s">
        <x:v>46</x:v>
      </x:c>
    </x:row>
    <x:row r="10932" spans="1:16">
      <x:c r="A10932" s="0" t="s">
        <x:v>43403</x:v>
      </x:c>
      <x:c r="B10932" s="0" t="s">
        <x:v>43404</x:v>
      </x:c>
      <x:c r="C10932" s="0" t="s">
        <x:v>42840</x:v>
      </x:c>
      <x:c r="E10932" s="0" t="s">
        <x:v>43405</x:v>
      </x:c>
      <x:c r="F10932" s="0" t="s">
        <x:v>45</x:v>
      </x:c>
      <x:c r="G10932" s="0" t="s">
        <x:v>35</x:v>
      </x:c>
      <x:c r="H10932" s="0" t="s">
        <x:v>20</x:v>
      </x:c>
      <x:c r="I10932" s="0" t="s">
        <x:v>21</x:v>
      </x:c>
      <x:c r="K10932" s="0">
        <x:f>hyperlink("https://icd.who.int/dev11/l-ichi/en#/http%3A%2F%2Fid.who.int%2Ficd%2Fentity%2F1330341120","browser")</x:f>
      </x:c>
      <x:c r="L10932" s="0">
        <x:f>hyperlink("https://icat2.azurewebsites.net/icat/?ontology=ICD&amp;tab=ClassesTab&amp;id=http%3A%2F%2Fwho.int%2Ficd%234208_bfdc5bfd_508c_4341_981a_49384b51cdc2","iCat")</x:f>
      </x:c>
      <x:c r="M10932" s="0" t="s">
        <x:v>21</x:v>
      </x:c>
      <x:c r="N10932" s="0" t="s">
        <x:v>46</x:v>
      </x:c>
    </x:row>
    <x:row r="10933" spans="1:16">
      <x:c r="A10933" s="0" t="s">
        <x:v>43406</x:v>
      </x:c>
      <x:c r="B10933" s="0" t="s">
        <x:v>43407</x:v>
      </x:c>
      <x:c r="C10933" s="0" t="s">
        <x:v>42840</x:v>
      </x:c>
      <x:c r="E10933" s="0" t="s">
        <x:v>43408</x:v>
      </x:c>
      <x:c r="F10933" s="0" t="s">
        <x:v>45</x:v>
      </x:c>
      <x:c r="G10933" s="0" t="s">
        <x:v>35</x:v>
      </x:c>
      <x:c r="H10933" s="0" t="s">
        <x:v>20</x:v>
      </x:c>
      <x:c r="I10933" s="0" t="s">
        <x:v>21</x:v>
      </x:c>
      <x:c r="K10933" s="0">
        <x:f>hyperlink("https://icd.who.int/dev11/l-ichi/en#/http%3A%2F%2Fid.who.int%2Ficd%2Fentity%2F780857093","browser")</x:f>
      </x:c>
      <x:c r="L10933" s="0">
        <x:f>hyperlink("https://icat2.azurewebsites.net/icat/?ontology=ICD&amp;tab=ClassesTab&amp;id=http%3A%2F%2Fwho.int%2Ficd%234213_bfdc5bfd_508c_4341_981a_49384b51cdc2","iCat")</x:f>
      </x:c>
      <x:c r="M10933" s="0" t="s">
        <x:v>21</x:v>
      </x:c>
      <x:c r="N10933" s="0" t="s">
        <x:v>46</x:v>
      </x:c>
    </x:row>
    <x:row r="10934" spans="1:16">
      <x:c r="A10934" s="0" t="s">
        <x:v>43409</x:v>
      </x:c>
      <x:c r="B10934" s="0" t="s">
        <x:v>43410</x:v>
      </x:c>
      <x:c r="C10934" s="0" t="s">
        <x:v>42840</x:v>
      </x:c>
      <x:c r="E10934" s="0" t="s">
        <x:v>43411</x:v>
      </x:c>
      <x:c r="F10934" s="0" t="s">
        <x:v>45</x:v>
      </x:c>
      <x:c r="G10934" s="0" t="s">
        <x:v>35</x:v>
      </x:c>
      <x:c r="H10934" s="0" t="s">
        <x:v>20</x:v>
      </x:c>
      <x:c r="I10934" s="0" t="s">
        <x:v>21</x:v>
      </x:c>
      <x:c r="K10934" s="0">
        <x:f>hyperlink("https://icd.who.int/dev11/l-ichi/en#/http%3A%2F%2Fid.who.int%2Ficd%2Fentity%2F630124969","browser")</x:f>
      </x:c>
      <x:c r="L10934" s="0">
        <x:f>hyperlink("https://icat2.azurewebsites.net/icat/?ontology=ICD&amp;tab=ClassesTab&amp;id=http%3A%2F%2Fwho.int%2Ficd%234218_bfdc5bfd_508c_4341_981a_49384b51cdc2","iCat")</x:f>
      </x:c>
      <x:c r="M10934" s="0" t="s">
        <x:v>21</x:v>
      </x:c>
      <x:c r="N10934" s="0" t="s">
        <x:v>46</x:v>
      </x:c>
    </x:row>
    <x:row r="10935" spans="1:16">
      <x:c r="A10935" s="0" t="s">
        <x:v>43412</x:v>
      </x:c>
      <x:c r="B10935" s="0" t="s">
        <x:v>43413</x:v>
      </x:c>
      <x:c r="C10935" s="0" t="s">
        <x:v>42840</x:v>
      </x:c>
      <x:c r="E10935" s="0" t="s">
        <x:v>43414</x:v>
      </x:c>
      <x:c r="F10935" s="0" t="s">
        <x:v>45</x:v>
      </x:c>
      <x:c r="G10935" s="0" t="s">
        <x:v>35</x:v>
      </x:c>
      <x:c r="H10935" s="0" t="s">
        <x:v>20</x:v>
      </x:c>
      <x:c r="I10935" s="0" t="s">
        <x:v>21</x:v>
      </x:c>
      <x:c r="K10935" s="0">
        <x:f>hyperlink("https://icd.who.int/dev11/l-ichi/en#/http%3A%2F%2Fid.who.int%2Ficd%2Fentity%2F1321393470","browser")</x:f>
      </x:c>
      <x:c r="L10935" s="0">
        <x:f>hyperlink("https://icat2.azurewebsites.net/icat/?ontology=ICD&amp;tab=ClassesTab&amp;id=http%3A%2F%2Fwho.int%2Ficd%234222_bfdc5bfd_508c_4341_981a_49384b51cdc2","iCat")</x:f>
      </x:c>
      <x:c r="M10935" s="0" t="s">
        <x:v>21</x:v>
      </x:c>
      <x:c r="N10935" s="0" t="s">
        <x:v>46</x:v>
      </x:c>
    </x:row>
    <x:row r="10936" spans="1:16">
      <x:c r="A10936" s="0" t="s">
        <x:v>43415</x:v>
      </x:c>
      <x:c r="B10936" s="0" t="s">
        <x:v>43416</x:v>
      </x:c>
      <x:c r="C10936" s="0" t="s">
        <x:v>42840</x:v>
      </x:c>
      <x:c r="E10936" s="0" t="s">
        <x:v>43417</x:v>
      </x:c>
      <x:c r="F10936" s="0" t="s">
        <x:v>45</x:v>
      </x:c>
      <x:c r="G10936" s="0" t="s">
        <x:v>30</x:v>
      </x:c>
      <x:c r="H10936" s="0" t="s">
        <x:v>20</x:v>
      </x:c>
      <x:c r="I10936" s="0" t="s">
        <x:v>21</x:v>
      </x:c>
      <x:c r="K10936" s="0">
        <x:f>hyperlink("https://icd.who.int/dev11/l-ichi/en#/http%3A%2F%2Fid.who.int%2Ficd%2Fentity%2F2076514636","browser")</x:f>
      </x:c>
      <x:c r="L10936" s="0">
        <x:f>hyperlink("https://icat2.azurewebsites.net/icat/?ontology=ICD&amp;tab=ClassesTab&amp;id=http%3A%2F%2Fwho.int%2Ficd%234226_bfdc5bfd_508c_4341_981a_49384b51cdc2","iCat")</x:f>
      </x:c>
      <x:c r="M10936" s="0" t="s">
        <x:v>20</x:v>
      </x:c>
      <x:c r="N10936" s="0" t="s">
        <x:v>903</x:v>
      </x:c>
    </x:row>
    <x:row r="10937" spans="1:16">
      <x:c r="A10937" s="0" t="s">
        <x:v>43418</x:v>
      </x:c>
      <x:c r="B10937" s="0" t="s">
        <x:v>43419</x:v>
      </x:c>
      <x:c r="C10937" s="0" t="s">
        <x:v>42840</x:v>
      </x:c>
      <x:c r="E10937" s="0" t="s">
        <x:v>43420</x:v>
      </x:c>
      <x:c r="F10937" s="0" t="s">
        <x:v>45</x:v>
      </x:c>
      <x:c r="G10937" s="0" t="s">
        <x:v>35</x:v>
      </x:c>
      <x:c r="H10937" s="0" t="s">
        <x:v>20</x:v>
      </x:c>
      <x:c r="I10937" s="0" t="s">
        <x:v>21</x:v>
      </x:c>
      <x:c r="K10937" s="0">
        <x:f>hyperlink("https://icd.who.int/dev11/l-ichi/en#/http%3A%2F%2Fid.who.int%2Ficd%2Fentity%2F1635919762","browser")</x:f>
      </x:c>
      <x:c r="L10937" s="0">
        <x:f>hyperlink("https://icat2.azurewebsites.net/icat/?ontology=ICD&amp;tab=ClassesTab&amp;id=http%3A%2F%2Fwho.int%2Ficd%234231_bfdc5bfd_508c_4341_981a_49384b51cdc2","iCat")</x:f>
      </x:c>
      <x:c r="M10937" s="0" t="s">
        <x:v>21</x:v>
      </x:c>
      <x:c r="N10937" s="0" t="s">
        <x:v>46</x:v>
      </x:c>
    </x:row>
    <x:row r="10938" spans="1:16">
      <x:c r="A10938" s="0" t="s">
        <x:v>43421</x:v>
      </x:c>
      <x:c r="B10938" s="0" t="s">
        <x:v>43422</x:v>
      </x:c>
      <x:c r="C10938" s="0" t="s">
        <x:v>42840</x:v>
      </x:c>
      <x:c r="E10938" s="0" t="s">
        <x:v>43423</x:v>
      </x:c>
      <x:c r="F10938" s="0" t="s">
        <x:v>45</x:v>
      </x:c>
      <x:c r="G10938" s="0" t="s">
        <x:v>35</x:v>
      </x:c>
      <x:c r="H10938" s="0" t="s">
        <x:v>20</x:v>
      </x:c>
      <x:c r="I10938" s="0" t="s">
        <x:v>21</x:v>
      </x:c>
      <x:c r="K10938" s="0">
        <x:f>hyperlink("https://icd.who.int/dev11/l-ichi/en#/http%3A%2F%2Fid.who.int%2Ficd%2Fentity%2F285248541","browser")</x:f>
      </x:c>
      <x:c r="L10938" s="0">
        <x:f>hyperlink("https://icat2.azurewebsites.net/icat/?ontology=ICD&amp;tab=ClassesTab&amp;id=http%3A%2F%2Fwho.int%2Ficd%234236_bfdc5bfd_508c_4341_981a_49384b51cdc2","iCat")</x:f>
      </x:c>
      <x:c r="M10938" s="0" t="s">
        <x:v>21</x:v>
      </x:c>
      <x:c r="N10938" s="0" t="s">
        <x:v>46</x:v>
      </x:c>
    </x:row>
    <x:row r="10939" spans="1:16">
      <x:c r="A10939" s="0" t="s">
        <x:v>43424</x:v>
      </x:c>
      <x:c r="B10939" s="0" t="s">
        <x:v>43425</x:v>
      </x:c>
      <x:c r="C10939" s="0" t="s">
        <x:v>42840</x:v>
      </x:c>
      <x:c r="E10939" s="0" t="s">
        <x:v>43426</x:v>
      </x:c>
      <x:c r="F10939" s="0" t="s">
        <x:v>45</x:v>
      </x:c>
      <x:c r="G10939" s="0" t="s">
        <x:v>35</x:v>
      </x:c>
      <x:c r="H10939" s="0" t="s">
        <x:v>20</x:v>
      </x:c>
      <x:c r="I10939" s="0" t="s">
        <x:v>21</x:v>
      </x:c>
      <x:c r="K10939" s="0">
        <x:f>hyperlink("https://icd.who.int/dev11/l-ichi/en#/http%3A%2F%2Fid.who.int%2Ficd%2Fentity%2F1907181240","browser")</x:f>
      </x:c>
      <x:c r="L10939" s="0">
        <x:f>hyperlink("https://icat2.azurewebsites.net/icat/?ontology=ICD&amp;tab=ClassesTab&amp;id=http%3A%2F%2Fwho.int%2Ficd%234240_bfdc5bfd_508c_4341_981a_49384b51cdc2","iCat")</x:f>
      </x:c>
      <x:c r="M10939" s="0" t="s">
        <x:v>21</x:v>
      </x:c>
      <x:c r="N10939" s="0" t="s">
        <x:v>46</x:v>
      </x:c>
    </x:row>
    <x:row r="10940" spans="1:16">
      <x:c r="A10940" s="0" t="s">
        <x:v>43427</x:v>
      </x:c>
      <x:c r="B10940" s="0" t="s">
        <x:v>43428</x:v>
      </x:c>
      <x:c r="C10940" s="0" t="s">
        <x:v>42840</x:v>
      </x:c>
      <x:c r="E10940" s="0" t="s">
        <x:v>43429</x:v>
      </x:c>
      <x:c r="F10940" s="0" t="s">
        <x:v>45</x:v>
      </x:c>
      <x:c r="G10940" s="0" t="s">
        <x:v>35</x:v>
      </x:c>
      <x:c r="H10940" s="0" t="s">
        <x:v>20</x:v>
      </x:c>
      <x:c r="I10940" s="0" t="s">
        <x:v>21</x:v>
      </x:c>
      <x:c r="K10940" s="0">
        <x:f>hyperlink("https://icd.who.int/dev11/l-ichi/en#/http%3A%2F%2Fid.who.int%2Ficd%2Fentity%2F1152025282","browser")</x:f>
      </x:c>
      <x:c r="L10940" s="0">
        <x:f>hyperlink("https://icat2.azurewebsites.net/icat/?ontology=ICD&amp;tab=ClassesTab&amp;id=http%3A%2F%2Fwho.int%2Ficd%234244_bfdc5bfd_508c_4341_981a_49384b51cdc2","iCat")</x:f>
      </x:c>
      <x:c r="M10940" s="0" t="s">
        <x:v>21</x:v>
      </x:c>
      <x:c r="N10940" s="0" t="s">
        <x:v>46</x:v>
      </x:c>
    </x:row>
    <x:row r="10941" spans="1:16">
      <x:c r="A10941" s="0" t="s">
        <x:v>43430</x:v>
      </x:c>
      <x:c r="B10941" s="0" t="s">
        <x:v>43431</x:v>
      </x:c>
      <x:c r="C10941" s="0" t="s">
        <x:v>42840</x:v>
      </x:c>
      <x:c r="E10941" s="0" t="s">
        <x:v>43432</x:v>
      </x:c>
      <x:c r="F10941" s="0" t="s">
        <x:v>45</x:v>
      </x:c>
      <x:c r="G10941" s="0" t="s">
        <x:v>35</x:v>
      </x:c>
      <x:c r="H10941" s="0" t="s">
        <x:v>20</x:v>
      </x:c>
      <x:c r="I10941" s="0" t="s">
        <x:v>21</x:v>
      </x:c>
      <x:c r="K10941" s="0">
        <x:f>hyperlink("https://icd.who.int/dev11/l-ichi/en#/http%3A%2F%2Fid.who.int%2Ficd%2Fentity%2F1059862499","browser")</x:f>
      </x:c>
      <x:c r="L10941" s="0">
        <x:f>hyperlink("https://icat2.azurewebsites.net/icat/?ontology=ICD&amp;tab=ClassesTab&amp;id=http%3A%2F%2Fwho.int%2Ficd%234248_bfdc5bfd_508c_4341_981a_49384b51cdc2","iCat")</x:f>
      </x:c>
      <x:c r="M10941" s="0" t="s">
        <x:v>21</x:v>
      </x:c>
      <x:c r="N10941" s="0" t="s">
        <x:v>46</x:v>
      </x:c>
    </x:row>
    <x:row r="10942" spans="1:16">
      <x:c r="A10942" s="0" t="s">
        <x:v>43433</x:v>
      </x:c>
      <x:c r="B10942" s="0" t="s">
        <x:v>43434</x:v>
      </x:c>
      <x:c r="C10942" s="0" t="s">
        <x:v>42840</x:v>
      </x:c>
      <x:c r="E10942" s="0" t="s">
        <x:v>43435</x:v>
      </x:c>
      <x:c r="F10942" s="0" t="s">
        <x:v>45</x:v>
      </x:c>
      <x:c r="G10942" s="0" t="s">
        <x:v>35</x:v>
      </x:c>
      <x:c r="H10942" s="0" t="s">
        <x:v>20</x:v>
      </x:c>
      <x:c r="I10942" s="0" t="s">
        <x:v>21</x:v>
      </x:c>
      <x:c r="K10942" s="0">
        <x:f>hyperlink("https://icd.who.int/dev11/l-ichi/en#/http%3A%2F%2Fid.who.int%2Ficd%2Fentity%2F2115292710","browser")</x:f>
      </x:c>
      <x:c r="L10942" s="0">
        <x:f>hyperlink("https://icat2.azurewebsites.net/icat/?ontology=ICD&amp;tab=ClassesTab&amp;id=http%3A%2F%2Fwho.int%2Ficd%234252_bfdc5bfd_508c_4341_981a_49384b51cdc2","iCat")</x:f>
      </x:c>
      <x:c r="M10942" s="0" t="s">
        <x:v>21</x:v>
      </x:c>
      <x:c r="N10942" s="0" t="s">
        <x:v>46</x:v>
      </x:c>
    </x:row>
    <x:row r="10943" spans="1:16">
      <x:c r="A10943" s="0" t="s">
        <x:v>43436</x:v>
      </x:c>
      <x:c r="B10943" s="0" t="s">
        <x:v>43437</x:v>
      </x:c>
      <x:c r="C10943" s="0" t="s">
        <x:v>42840</x:v>
      </x:c>
      <x:c r="E10943" s="0" t="s">
        <x:v>43438</x:v>
      </x:c>
      <x:c r="F10943" s="0" t="s">
        <x:v>45</x:v>
      </x:c>
      <x:c r="G10943" s="0" t="s">
        <x:v>35</x:v>
      </x:c>
      <x:c r="H10943" s="0" t="s">
        <x:v>20</x:v>
      </x:c>
      <x:c r="I10943" s="0" t="s">
        <x:v>21</x:v>
      </x:c>
      <x:c r="K10943" s="0">
        <x:f>hyperlink("https://icd.who.int/dev11/l-ichi/en#/http%3A%2F%2Fid.who.int%2Ficd%2Fentity%2F1259539024","browser")</x:f>
      </x:c>
      <x:c r="L10943" s="0">
        <x:f>hyperlink("https://icat2.azurewebsites.net/icat/?ontology=ICD&amp;tab=ClassesTab&amp;id=http%3A%2F%2Fwho.int%2Ficd%234256_bfdc5bfd_508c_4341_981a_49384b51cdc2","iCat")</x:f>
      </x:c>
      <x:c r="M10943" s="0" t="s">
        <x:v>21</x:v>
      </x:c>
      <x:c r="N10943" s="0" t="s">
        <x:v>46</x:v>
      </x:c>
    </x:row>
    <x:row r="10944" spans="1:16">
      <x:c r="A10944" s="0" t="s">
        <x:v>43439</x:v>
      </x:c>
      <x:c r="B10944" s="0" t="s">
        <x:v>43440</x:v>
      </x:c>
      <x:c r="C10944" s="0" t="s">
        <x:v>42840</x:v>
      </x:c>
      <x:c r="E10944" s="0" t="s">
        <x:v>43441</x:v>
      </x:c>
      <x:c r="F10944" s="0" t="s">
        <x:v>45</x:v>
      </x:c>
      <x:c r="G10944" s="0" t="s">
        <x:v>35</x:v>
      </x:c>
      <x:c r="H10944" s="0" t="s">
        <x:v>20</x:v>
      </x:c>
      <x:c r="I10944" s="0" t="s">
        <x:v>21</x:v>
      </x:c>
      <x:c r="K10944" s="0">
        <x:f>hyperlink("https://icd.who.int/dev11/l-ichi/en#/http%3A%2F%2Fid.who.int%2Ficd%2Fentity%2F1540985830","browser")</x:f>
      </x:c>
      <x:c r="L10944" s="0">
        <x:f>hyperlink("https://icat2.azurewebsites.net/icat/?ontology=ICD&amp;tab=ClassesTab&amp;id=http%3A%2F%2Fwho.int%2Ficd%234260_bfdc5bfd_508c_4341_981a_49384b51cdc2","iCat")</x:f>
      </x:c>
      <x:c r="M10944" s="0" t="s">
        <x:v>21</x:v>
      </x:c>
      <x:c r="N10944" s="0" t="s">
        <x:v>46</x:v>
      </x:c>
    </x:row>
    <x:row r="10945" spans="1:16">
      <x:c r="A10945" s="0" t="s">
        <x:v>43442</x:v>
      </x:c>
      <x:c r="B10945" s="0" t="s">
        <x:v>43443</x:v>
      </x:c>
      <x:c r="C10945" s="0" t="s">
        <x:v>42840</x:v>
      </x:c>
      <x:c r="E10945" s="0" t="s">
        <x:v>43444</x:v>
      </x:c>
      <x:c r="F10945" s="0" t="s">
        <x:v>45</x:v>
      </x:c>
      <x:c r="G10945" s="0" t="s">
        <x:v>35</x:v>
      </x:c>
      <x:c r="H10945" s="0" t="s">
        <x:v>20</x:v>
      </x:c>
      <x:c r="I10945" s="0" t="s">
        <x:v>21</x:v>
      </x:c>
      <x:c r="K10945" s="0">
        <x:f>hyperlink("https://icd.who.int/dev11/l-ichi/en#/http%3A%2F%2Fid.who.int%2Ficd%2Fentity%2F1860065172","browser")</x:f>
      </x:c>
      <x:c r="L10945" s="0">
        <x:f>hyperlink("https://icat2.azurewebsites.net/icat/?ontology=ICD&amp;tab=ClassesTab&amp;id=http%3A%2F%2Fwho.int%2Ficd%234264_bfdc5bfd_508c_4341_981a_49384b51cdc2","iCat")</x:f>
      </x:c>
      <x:c r="M10945" s="0" t="s">
        <x:v>21</x:v>
      </x:c>
      <x:c r="N10945" s="0" t="s">
        <x:v>46</x:v>
      </x:c>
    </x:row>
    <x:row r="10946" spans="1:16">
      <x:c r="A10946" s="0" t="s">
        <x:v>43445</x:v>
      </x:c>
      <x:c r="B10946" s="0" t="s">
        <x:v>43446</x:v>
      </x:c>
      <x:c r="C10946" s="0" t="s">
        <x:v>42840</x:v>
      </x:c>
      <x:c r="E10946" s="0" t="s">
        <x:v>43447</x:v>
      </x:c>
      <x:c r="F10946" s="0" t="s">
        <x:v>45</x:v>
      </x:c>
      <x:c r="G10946" s="0" t="s">
        <x:v>35</x:v>
      </x:c>
      <x:c r="H10946" s="0" t="s">
        <x:v>20</x:v>
      </x:c>
      <x:c r="I10946" s="0" t="s">
        <x:v>21</x:v>
      </x:c>
      <x:c r="K10946" s="0">
        <x:f>hyperlink("https://icd.who.int/dev11/l-ichi/en#/http%3A%2F%2Fid.who.int%2Ficd%2Fentity%2F358146739","browser")</x:f>
      </x:c>
      <x:c r="L10946" s="0">
        <x:f>hyperlink("https://icat2.azurewebsites.net/icat/?ontology=ICD&amp;tab=ClassesTab&amp;id=http%3A%2F%2Fwho.int%2Ficd%234268_bfdc5bfd_508c_4341_981a_49384b51cdc2","iCat")</x:f>
      </x:c>
      <x:c r="M10946" s="0" t="s">
        <x:v>21</x:v>
      </x:c>
      <x:c r="N10946" s="0" t="s">
        <x:v>46</x:v>
      </x:c>
    </x:row>
    <x:row r="10947" spans="1:16">
      <x:c r="A10947" s="0" t="s">
        <x:v>43448</x:v>
      </x:c>
      <x:c r="B10947" s="0" t="s">
        <x:v>43449</x:v>
      </x:c>
      <x:c r="C10947" s="0" t="s">
        <x:v>42840</x:v>
      </x:c>
      <x:c r="E10947" s="0" t="s">
        <x:v>43450</x:v>
      </x:c>
      <x:c r="F10947" s="0" t="s">
        <x:v>45</x:v>
      </x:c>
      <x:c r="G10947" s="0" t="s">
        <x:v>30</x:v>
      </x:c>
      <x:c r="H10947" s="0" t="s">
        <x:v>20</x:v>
      </x:c>
      <x:c r="I10947" s="0" t="s">
        <x:v>21</x:v>
      </x:c>
      <x:c r="K10947" s="0">
        <x:f>hyperlink("https://icd.who.int/dev11/l-ichi/en#/http%3A%2F%2Fid.who.int%2Ficd%2Fentity%2F1415584628","browser")</x:f>
      </x:c>
      <x:c r="L10947" s="0">
        <x:f>hyperlink("https://icat2.azurewebsites.net/icat/?ontology=ICD&amp;tab=ClassesTab&amp;id=http%3A%2F%2Fwho.int%2Ficd%234272_bfdc5bfd_508c_4341_981a_49384b51cdc2","iCat")</x:f>
      </x:c>
      <x:c r="M10947" s="0" t="s">
        <x:v>20</x:v>
      </x:c>
      <x:c r="N10947" s="0" t="s">
        <x:v>19</x:v>
      </x:c>
    </x:row>
    <x:row r="10948" spans="1:16">
      <x:c r="A10948" s="0" t="s">
        <x:v>43451</x:v>
      </x:c>
      <x:c r="B10948" s="0" t="s">
        <x:v>43452</x:v>
      </x:c>
      <x:c r="C10948" s="0" t="s">
        <x:v>42840</x:v>
      </x:c>
      <x:c r="E10948" s="0" t="s">
        <x:v>43453</x:v>
      </x:c>
      <x:c r="F10948" s="0" t="s">
        <x:v>45</x:v>
      </x:c>
      <x:c r="G10948" s="0" t="s">
        <x:v>35</x:v>
      </x:c>
      <x:c r="H10948" s="0" t="s">
        <x:v>20</x:v>
      </x:c>
      <x:c r="I10948" s="0" t="s">
        <x:v>21</x:v>
      </x:c>
      <x:c r="K10948" s="0">
        <x:f>hyperlink("https://icd.who.int/dev11/l-ichi/en#/http%3A%2F%2Fid.who.int%2Ficd%2Fentity%2F1100918076","browser")</x:f>
      </x:c>
      <x:c r="L10948" s="0">
        <x:f>hyperlink("https://icat2.azurewebsites.net/icat/?ontology=ICD&amp;tab=ClassesTab&amp;id=http%3A%2F%2Fwho.int%2Ficd%234277_bfdc5bfd_508c_4341_981a_49384b51cdc2","iCat")</x:f>
      </x:c>
      <x:c r="M10948" s="0" t="s">
        <x:v>21</x:v>
      </x:c>
      <x:c r="N10948" s="0" t="s">
        <x:v>46</x:v>
      </x:c>
    </x:row>
    <x:row r="10949" spans="1:16">
      <x:c r="A10949" s="0" t="s">
        <x:v>43454</x:v>
      </x:c>
      <x:c r="B10949" s="0" t="s">
        <x:v>43455</x:v>
      </x:c>
      <x:c r="C10949" s="0" t="s">
        <x:v>42840</x:v>
      </x:c>
      <x:c r="E10949" s="0" t="s">
        <x:v>43456</x:v>
      </x:c>
      <x:c r="F10949" s="0" t="s">
        <x:v>45</x:v>
      </x:c>
      <x:c r="G10949" s="0" t="s">
        <x:v>30</x:v>
      </x:c>
      <x:c r="H10949" s="0" t="s">
        <x:v>20</x:v>
      </x:c>
      <x:c r="I10949" s="0" t="s">
        <x:v>21</x:v>
      </x:c>
      <x:c r="K10949" s="0">
        <x:f>hyperlink("https://icd.who.int/dev11/l-ichi/en#/http%3A%2F%2Fid.who.int%2Ficd%2Fentity%2F1040334419","browser")</x:f>
      </x:c>
      <x:c r="L10949" s="0">
        <x:f>hyperlink("https://icat2.azurewebsites.net/icat/?ontology=ICD&amp;tab=ClassesTab&amp;id=http%3A%2F%2Fwho.int%2Ficd%234281_bfdc5bfd_508c_4341_981a_49384b51cdc2","iCat")</x:f>
      </x:c>
      <x:c r="M10949" s="0" t="s">
        <x:v>20</x:v>
      </x:c>
      <x:c r="N10949" s="0" t="s">
        <x:v>903</x:v>
      </x:c>
    </x:row>
    <x:row r="10950" spans="1:16">
      <x:c r="A10950" s="0" t="s">
        <x:v>43457</x:v>
      </x:c>
      <x:c r="B10950" s="0" t="s">
        <x:v>43458</x:v>
      </x:c>
      <x:c r="C10950" s="0" t="s">
        <x:v>42840</x:v>
      </x:c>
      <x:c r="E10950" s="0" t="s">
        <x:v>43459</x:v>
      </x:c>
      <x:c r="F10950" s="0" t="s">
        <x:v>45</x:v>
      </x:c>
      <x:c r="G10950" s="0" t="s">
        <x:v>35</x:v>
      </x:c>
      <x:c r="H10950" s="0" t="s">
        <x:v>20</x:v>
      </x:c>
      <x:c r="I10950" s="0" t="s">
        <x:v>21</x:v>
      </x:c>
      <x:c r="K10950" s="0">
        <x:f>hyperlink("https://icd.who.int/dev11/l-ichi/en#/http%3A%2F%2Fid.who.int%2Ficd%2Fentity%2F184941095","browser")</x:f>
      </x:c>
      <x:c r="L10950" s="0">
        <x:f>hyperlink("https://icat2.azurewebsites.net/icat/?ontology=ICD&amp;tab=ClassesTab&amp;id=http%3A%2F%2Fwho.int%2Ficd%234285_bfdc5bfd_508c_4341_981a_49384b51cdc2","iCat")</x:f>
      </x:c>
      <x:c r="M10950" s="0" t="s">
        <x:v>21</x:v>
      </x:c>
      <x:c r="N10950" s="0" t="s">
        <x:v>46</x:v>
      </x:c>
    </x:row>
    <x:row r="10951" spans="1:16">
      <x:c r="A10951" s="0" t="s">
        <x:v>43460</x:v>
      </x:c>
      <x:c r="B10951" s="0" t="s">
        <x:v>43461</x:v>
      </x:c>
      <x:c r="C10951" s="0" t="s">
        <x:v>42840</x:v>
      </x:c>
      <x:c r="E10951" s="0" t="s">
        <x:v>43462</x:v>
      </x:c>
      <x:c r="F10951" s="0" t="s">
        <x:v>45</x:v>
      </x:c>
      <x:c r="G10951" s="0" t="s">
        <x:v>35</x:v>
      </x:c>
      <x:c r="H10951" s="0" t="s">
        <x:v>20</x:v>
      </x:c>
      <x:c r="I10951" s="0" t="s">
        <x:v>21</x:v>
      </x:c>
      <x:c r="K10951" s="0">
        <x:f>hyperlink("https://icd.who.int/dev11/l-ichi/en#/http%3A%2F%2Fid.who.int%2Ficd%2Fentity%2F1950275896","browser")</x:f>
      </x:c>
      <x:c r="L10951" s="0">
        <x:f>hyperlink("https://icat2.azurewebsites.net/icat/?ontology=ICD&amp;tab=ClassesTab&amp;id=http%3A%2F%2Fwho.int%2Ficd%234290_bfdc5bfd_508c_4341_981a_49384b51cdc2","iCat")</x:f>
      </x:c>
      <x:c r="M10951" s="0" t="s">
        <x:v>21</x:v>
      </x:c>
      <x:c r="N10951" s="0" t="s">
        <x:v>46</x:v>
      </x:c>
    </x:row>
    <x:row r="10952" spans="1:16">
      <x:c r="A10952" s="0" t="s">
        <x:v>43463</x:v>
      </x:c>
      <x:c r="B10952" s="0" t="s">
        <x:v>43464</x:v>
      </x:c>
      <x:c r="C10952" s="0" t="s">
        <x:v>42840</x:v>
      </x:c>
      <x:c r="E10952" s="0" t="s">
        <x:v>43465</x:v>
      </x:c>
      <x:c r="F10952" s="0" t="s">
        <x:v>45</x:v>
      </x:c>
      <x:c r="G10952" s="0" t="s">
        <x:v>35</x:v>
      </x:c>
      <x:c r="H10952" s="0" t="s">
        <x:v>20</x:v>
      </x:c>
      <x:c r="I10952" s="0" t="s">
        <x:v>21</x:v>
      </x:c>
      <x:c r="K10952" s="0">
        <x:f>hyperlink("https://icd.who.int/dev11/l-ichi/en#/http%3A%2F%2Fid.who.int%2Ficd%2Fentity%2F1640001392","browser")</x:f>
      </x:c>
      <x:c r="L10952" s="0">
        <x:f>hyperlink("https://icat2.azurewebsites.net/icat/?ontology=ICD&amp;tab=ClassesTab&amp;id=http%3A%2F%2Fwho.int%2Ficd%234295_bfdc5bfd_508c_4341_981a_49384b51cdc2","iCat")</x:f>
      </x:c>
      <x:c r="M10952" s="0" t="s">
        <x:v>21</x:v>
      </x:c>
      <x:c r="N10952" s="0" t="s">
        <x:v>46</x:v>
      </x:c>
    </x:row>
    <x:row r="10953" spans="1:16">
      <x:c r="A10953" s="0" t="s">
        <x:v>43466</x:v>
      </x:c>
      <x:c r="B10953" s="0" t="s">
        <x:v>43467</x:v>
      </x:c>
      <x:c r="C10953" s="0" t="s">
        <x:v>42840</x:v>
      </x:c>
      <x:c r="E10953" s="0" t="s">
        <x:v>43468</x:v>
      </x:c>
      <x:c r="F10953" s="0" t="s">
        <x:v>45</x:v>
      </x:c>
      <x:c r="G10953" s="0" t="s">
        <x:v>35</x:v>
      </x:c>
      <x:c r="H10953" s="0" t="s">
        <x:v>20</x:v>
      </x:c>
      <x:c r="I10953" s="0" t="s">
        <x:v>21</x:v>
      </x:c>
      <x:c r="K10953" s="0">
        <x:f>hyperlink("https://icd.who.int/dev11/l-ichi/en#/http%3A%2F%2Fid.who.int%2Ficd%2Fentity%2F440851025","browser")</x:f>
      </x:c>
      <x:c r="L10953" s="0">
        <x:f>hyperlink("https://icat2.azurewebsites.net/icat/?ontology=ICD&amp;tab=ClassesTab&amp;id=http%3A%2F%2Fwho.int%2Ficd%234299_bfdc5bfd_508c_4341_981a_49384b51cdc2","iCat")</x:f>
      </x:c>
      <x:c r="M10953" s="0" t="s">
        <x:v>21</x:v>
      </x:c>
      <x:c r="N10953" s="0" t="s">
        <x:v>46</x:v>
      </x:c>
    </x:row>
    <x:row r="10954" spans="1:16">
      <x:c r="A10954" s="0" t="s">
        <x:v>43469</x:v>
      </x:c>
      <x:c r="B10954" s="0" t="s">
        <x:v>43470</x:v>
      </x:c>
      <x:c r="C10954" s="0" t="s">
        <x:v>42840</x:v>
      </x:c>
      <x:c r="E10954" s="0" t="s">
        <x:v>43471</x:v>
      </x:c>
      <x:c r="F10954" s="0" t="s">
        <x:v>45</x:v>
      </x:c>
      <x:c r="G10954" s="0" t="s">
        <x:v>35</x:v>
      </x:c>
      <x:c r="H10954" s="0" t="s">
        <x:v>20</x:v>
      </x:c>
      <x:c r="I10954" s="0" t="s">
        <x:v>21</x:v>
      </x:c>
      <x:c r="K10954" s="0">
        <x:f>hyperlink("https://icd.who.int/dev11/l-ichi/en#/http%3A%2F%2Fid.who.int%2Ficd%2Fentity%2F1095898946","browser")</x:f>
      </x:c>
      <x:c r="L10954" s="0">
        <x:f>hyperlink("https://icat2.azurewebsites.net/icat/?ontology=ICD&amp;tab=ClassesTab&amp;id=http%3A%2F%2Fwho.int%2Ficd%234304_bfdc5bfd_508c_4341_981a_49384b51cdc2","iCat")</x:f>
      </x:c>
      <x:c r="M10954" s="0" t="s">
        <x:v>21</x:v>
      </x:c>
      <x:c r="N10954" s="0" t="s">
        <x:v>46</x:v>
      </x:c>
    </x:row>
    <x:row r="10955" spans="1:16">
      <x:c r="A10955" s="0" t="s">
        <x:v>43472</x:v>
      </x:c>
      <x:c r="B10955" s="0" t="s">
        <x:v>43473</x:v>
      </x:c>
      <x:c r="C10955" s="0" t="s">
        <x:v>42840</x:v>
      </x:c>
      <x:c r="E10955" s="0" t="s">
        <x:v>43474</x:v>
      </x:c>
      <x:c r="F10955" s="0" t="s">
        <x:v>45</x:v>
      </x:c>
      <x:c r="G10955" s="0" t="s">
        <x:v>35</x:v>
      </x:c>
      <x:c r="H10955" s="0" t="s">
        <x:v>20</x:v>
      </x:c>
      <x:c r="I10955" s="0" t="s">
        <x:v>21</x:v>
      </x:c>
      <x:c r="K10955" s="0">
        <x:f>hyperlink("https://icd.who.int/dev11/l-ichi/en#/http%3A%2F%2Fid.who.int%2Ficd%2Fentity%2F987013731","browser")</x:f>
      </x:c>
      <x:c r="L10955" s="0">
        <x:f>hyperlink("https://icat2.azurewebsites.net/icat/?ontology=ICD&amp;tab=ClassesTab&amp;id=http%3A%2F%2Fwho.int%2Ficd%234308_bfdc5bfd_508c_4341_981a_49384b51cdc2","iCat")</x:f>
      </x:c>
      <x:c r="M10955" s="0" t="s">
        <x:v>21</x:v>
      </x:c>
      <x:c r="N10955" s="0" t="s">
        <x:v>46</x:v>
      </x:c>
    </x:row>
    <x:row r="10956" spans="1:16">
      <x:c r="A10956" s="0" t="s">
        <x:v>43475</x:v>
      </x:c>
      <x:c r="B10956" s="0" t="s">
        <x:v>43476</x:v>
      </x:c>
      <x:c r="C10956" s="0" t="s">
        <x:v>42840</x:v>
      </x:c>
      <x:c r="E10956" s="0" t="s">
        <x:v>43477</x:v>
      </x:c>
      <x:c r="F10956" s="0" t="s">
        <x:v>45</x:v>
      </x:c>
      <x:c r="G10956" s="0" t="s">
        <x:v>35</x:v>
      </x:c>
      <x:c r="H10956" s="0" t="s">
        <x:v>20</x:v>
      </x:c>
      <x:c r="I10956" s="0" t="s">
        <x:v>21</x:v>
      </x:c>
      <x:c r="K10956" s="0">
        <x:f>hyperlink("https://icd.who.int/dev11/l-ichi/en#/http%3A%2F%2Fid.who.int%2Ficd%2Fentity%2F1528113560","browser")</x:f>
      </x:c>
      <x:c r="L10956" s="0">
        <x:f>hyperlink("https://icat2.azurewebsites.net/icat/?ontology=ICD&amp;tab=ClassesTab&amp;id=http%3A%2F%2Fwho.int%2Ficd%234313_bfdc5bfd_508c_4341_981a_49384b51cdc2","iCat")</x:f>
      </x:c>
      <x:c r="M10956" s="0" t="s">
        <x:v>21</x:v>
      </x:c>
      <x:c r="N10956" s="0" t="s">
        <x:v>46</x:v>
      </x:c>
    </x:row>
    <x:row r="10957" spans="1:16">
      <x:c r="A10957" s="0" t="s">
        <x:v>43478</x:v>
      </x:c>
      <x:c r="B10957" s="0" t="s">
        <x:v>43479</x:v>
      </x:c>
      <x:c r="C10957" s="0" t="s">
        <x:v>42840</x:v>
      </x:c>
      <x:c r="E10957" s="0" t="s">
        <x:v>43480</x:v>
      </x:c>
      <x:c r="F10957" s="0" t="s">
        <x:v>45</x:v>
      </x:c>
      <x:c r="G10957" s="0" t="s">
        <x:v>35</x:v>
      </x:c>
      <x:c r="H10957" s="0" t="s">
        <x:v>20</x:v>
      </x:c>
      <x:c r="I10957" s="0" t="s">
        <x:v>21</x:v>
      </x:c>
      <x:c r="K10957" s="0">
        <x:f>hyperlink("https://icd.who.int/dev11/l-ichi/en#/http%3A%2F%2Fid.who.int%2Ficd%2Fentity%2F1343305526","browser")</x:f>
      </x:c>
      <x:c r="L10957" s="0">
        <x:f>hyperlink("https://icat2.azurewebsites.net/icat/?ontology=ICD&amp;tab=ClassesTab&amp;id=http%3A%2F%2Fwho.int%2Ficd%234318_bfdc5bfd_508c_4341_981a_49384b51cdc2","iCat")</x:f>
      </x:c>
      <x:c r="M10957" s="0" t="s">
        <x:v>21</x:v>
      </x:c>
      <x:c r="N10957" s="0" t="s">
        <x:v>46</x:v>
      </x:c>
    </x:row>
    <x:row r="10958" spans="1:16">
      <x:c r="A10958" s="0" t="s">
        <x:v>43481</x:v>
      </x:c>
      <x:c r="B10958" s="0" t="s">
        <x:v>43482</x:v>
      </x:c>
      <x:c r="C10958" s="0" t="s">
        <x:v>42840</x:v>
      </x:c>
      <x:c r="E10958" s="0" t="s">
        <x:v>43483</x:v>
      </x:c>
      <x:c r="F10958" s="0" t="s">
        <x:v>45</x:v>
      </x:c>
      <x:c r="G10958" s="0" t="s">
        <x:v>35</x:v>
      </x:c>
      <x:c r="H10958" s="0" t="s">
        <x:v>20</x:v>
      </x:c>
      <x:c r="I10958" s="0" t="s">
        <x:v>21</x:v>
      </x:c>
      <x:c r="K10958" s="0">
        <x:f>hyperlink("https://icd.who.int/dev11/l-ichi/en#/http%3A%2F%2Fid.who.int%2Ficd%2Fentity%2F463759775","browser")</x:f>
      </x:c>
      <x:c r="L10958" s="0">
        <x:f>hyperlink("https://icat2.azurewebsites.net/icat/?ontology=ICD&amp;tab=ClassesTab&amp;id=http%3A%2F%2Fwho.int%2Ficd%234323_bfdc5bfd_508c_4341_981a_49384b51cdc2","iCat")</x:f>
      </x:c>
      <x:c r="M10958" s="0" t="s">
        <x:v>21</x:v>
      </x:c>
      <x:c r="N10958" s="0" t="s">
        <x:v>46</x:v>
      </x:c>
    </x:row>
    <x:row r="10959" spans="1:16">
      <x:c r="A10959" s="0" t="s">
        <x:v>43484</x:v>
      </x:c>
      <x:c r="B10959" s="0" t="s">
        <x:v>43485</x:v>
      </x:c>
      <x:c r="C10959" s="0" t="s">
        <x:v>42840</x:v>
      </x:c>
      <x:c r="E10959" s="0" t="s">
        <x:v>43486</x:v>
      </x:c>
      <x:c r="F10959" s="0" t="s">
        <x:v>45</x:v>
      </x:c>
      <x:c r="G10959" s="0" t="s">
        <x:v>35</x:v>
      </x:c>
      <x:c r="H10959" s="0" t="s">
        <x:v>20</x:v>
      </x:c>
      <x:c r="I10959" s="0" t="s">
        <x:v>21</x:v>
      </x:c>
      <x:c r="K10959" s="0">
        <x:f>hyperlink("https://icd.who.int/dev11/l-ichi/en#/http%3A%2F%2Fid.who.int%2Ficd%2Fentity%2F782478827","browser")</x:f>
      </x:c>
      <x:c r="L10959" s="0">
        <x:f>hyperlink("https://icat2.azurewebsites.net/icat/?ontology=ICD&amp;tab=ClassesTab&amp;id=http%3A%2F%2Fwho.int%2Ficd%234327_bfdc5bfd_508c_4341_981a_49384b51cdc2","iCat")</x:f>
      </x:c>
      <x:c r="M10959" s="0" t="s">
        <x:v>21</x:v>
      </x:c>
      <x:c r="N10959" s="0" t="s">
        <x:v>46</x:v>
      </x:c>
    </x:row>
    <x:row r="10960" spans="1:16">
      <x:c r="A10960" s="0" t="s">
        <x:v>43487</x:v>
      </x:c>
      <x:c r="B10960" s="0" t="s">
        <x:v>43488</x:v>
      </x:c>
      <x:c r="C10960" s="0" t="s">
        <x:v>42840</x:v>
      </x:c>
      <x:c r="E10960" s="0" t="s">
        <x:v>43489</x:v>
      </x:c>
      <x:c r="F10960" s="0" t="s">
        <x:v>45</x:v>
      </x:c>
      <x:c r="G10960" s="0" t="s">
        <x:v>19</x:v>
      </x:c>
      <x:c r="H10960" s="0" t="s">
        <x:v>20</x:v>
      </x:c>
      <x:c r="I10960" s="0" t="s">
        <x:v>21</x:v>
      </x:c>
      <x:c r="K10960" s="0">
        <x:f>hyperlink("https://icd.who.int/dev11/l-ichi/en#/http%3A%2F%2Fid.who.int%2Ficd%2Fentity%2F337502477","browser")</x:f>
      </x:c>
      <x:c r="L10960" s="0">
        <x:f>hyperlink("https://icat2.azurewebsites.net/icat/?ontology=ICD&amp;tab=ClassesTab&amp;id=http%3A%2F%2Fwho.int%2Ficd%234331_bfdc5bfd_508c_4341_981a_49384b51cdc2","iCat")</x:f>
      </x:c>
      <x:c r="M10960" s="0" t="s">
        <x:v>20</x:v>
      </x:c>
      <x:c r="N10960" s="0" t="s">
        <x:v>43490</x:v>
      </x:c>
    </x:row>
    <x:row r="10961" spans="1:16">
      <x:c r="A10961" s="0" t="s">
        <x:v>43491</x:v>
      </x:c>
      <x:c r="B10961" s="0" t="s">
        <x:v>43492</x:v>
      </x:c>
      <x:c r="C10961" s="0" t="s">
        <x:v>42840</x:v>
      </x:c>
      <x:c r="E10961" s="0" t="s">
        <x:v>43493</x:v>
      </x:c>
      <x:c r="F10961" s="0" t="s">
        <x:v>45</x:v>
      </x:c>
      <x:c r="G10961" s="0" t="s">
        <x:v>30</x:v>
      </x:c>
      <x:c r="H10961" s="0" t="s">
        <x:v>20</x:v>
      </x:c>
      <x:c r="I10961" s="0" t="s">
        <x:v>21</x:v>
      </x:c>
      <x:c r="K10961" s="0">
        <x:f>hyperlink("https://icd.who.int/dev11/l-ichi/en#/http%3A%2F%2Fid.who.int%2Ficd%2Fentity%2F555361657","browser")</x:f>
      </x:c>
      <x:c r="L10961" s="0">
        <x:f>hyperlink("https://icat2.azurewebsites.net/icat/?ontology=ICD&amp;tab=ClassesTab&amp;id=http%3A%2F%2Fwho.int%2Ficd%234335_bfdc5bfd_508c_4341_981a_49384b51cdc2","iCat")</x:f>
      </x:c>
      <x:c r="M10961" s="0" t="s">
        <x:v>21</x:v>
      </x:c>
      <x:c r="N10961" s="0" t="s">
        <x:v>46</x:v>
      </x:c>
    </x:row>
    <x:row r="10962" spans="1:16">
      <x:c r="A10962" s="0" t="s">
        <x:v>43494</x:v>
      </x:c>
      <x:c r="B10962" s="0" t="s">
        <x:v>43495</x:v>
      </x:c>
      <x:c r="C10962" s="0" t="s">
        <x:v>42840</x:v>
      </x:c>
      <x:c r="E10962" s="0" t="s">
        <x:v>43496</x:v>
      </x:c>
      <x:c r="F10962" s="0" t="s">
        <x:v>45</x:v>
      </x:c>
      <x:c r="G10962" s="0" t="s">
        <x:v>30</x:v>
      </x:c>
      <x:c r="H10962" s="0" t="s">
        <x:v>20</x:v>
      </x:c>
      <x:c r="I10962" s="0" t="s">
        <x:v>21</x:v>
      </x:c>
      <x:c r="K10962" s="0">
        <x:f>hyperlink("https://icd.who.int/dev11/l-ichi/en#/http%3A%2F%2Fid.who.int%2Ficd%2Fentity%2F1520210010","browser")</x:f>
      </x:c>
      <x:c r="L10962" s="0">
        <x:f>hyperlink("https://icat2.azurewebsites.net/icat/?ontology=ICD&amp;tab=ClassesTab&amp;id=http%3A%2F%2Fwho.int%2Ficd%234339_bfdc5bfd_508c_4341_981a_49384b51cdc2","iCat")</x:f>
      </x:c>
      <x:c r="M10962" s="0" t="s">
        <x:v>21</x:v>
      </x:c>
      <x:c r="N10962" s="0" t="s">
        <x:v>46</x:v>
      </x:c>
    </x:row>
    <x:row r="10963" spans="1:16">
      <x:c r="A10963" s="0" t="s">
        <x:v>43497</x:v>
      </x:c>
      <x:c r="B10963" s="0" t="s">
        <x:v>43498</x:v>
      </x:c>
      <x:c r="C10963" s="0" t="s">
        <x:v>42840</x:v>
      </x:c>
      <x:c r="E10963" s="0" t="s">
        <x:v>43499</x:v>
      </x:c>
      <x:c r="F10963" s="0" t="s">
        <x:v>45</x:v>
      </x:c>
      <x:c r="G10963" s="0" t="s">
        <x:v>30</x:v>
      </x:c>
      <x:c r="H10963" s="0" t="s">
        <x:v>20</x:v>
      </x:c>
      <x:c r="I10963" s="0" t="s">
        <x:v>21</x:v>
      </x:c>
      <x:c r="K10963" s="0">
        <x:f>hyperlink("https://icd.who.int/dev11/l-ichi/en#/http%3A%2F%2Fid.who.int%2Ficd%2Fentity%2F1102573522","browser")</x:f>
      </x:c>
      <x:c r="L10963" s="0">
        <x:f>hyperlink("https://icat2.azurewebsites.net/icat/?ontology=ICD&amp;tab=ClassesTab&amp;id=http%3A%2F%2Fwho.int%2Ficd%234343_bfdc5bfd_508c_4341_981a_49384b51cdc2","iCat")</x:f>
      </x:c>
      <x:c r="M10963" s="0" t="s">
        <x:v>21</x:v>
      </x:c>
      <x:c r="N10963" s="0" t="s">
        <x:v>46</x:v>
      </x:c>
    </x:row>
    <x:row r="10964" spans="1:16">
      <x:c r="A10964" s="0" t="s">
        <x:v>43500</x:v>
      </x:c>
      <x:c r="B10964" s="0" t="s">
        <x:v>43501</x:v>
      </x:c>
      <x:c r="C10964" s="0" t="s">
        <x:v>42840</x:v>
      </x:c>
      <x:c r="E10964" s="0" t="s">
        <x:v>43502</x:v>
      </x:c>
      <x:c r="F10964" s="0" t="s">
        <x:v>45</x:v>
      </x:c>
      <x:c r="G10964" s="0" t="s">
        <x:v>30</x:v>
      </x:c>
      <x:c r="H10964" s="0" t="s">
        <x:v>20</x:v>
      </x:c>
      <x:c r="I10964" s="0" t="s">
        <x:v>21</x:v>
      </x:c>
      <x:c r="K10964" s="0">
        <x:f>hyperlink("https://icd.who.int/dev11/l-ichi/en#/http%3A%2F%2Fid.who.int%2Ficd%2Fentity%2F1957702568","browser")</x:f>
      </x:c>
      <x:c r="L10964" s="0">
        <x:f>hyperlink("https://icat2.azurewebsites.net/icat/?ontology=ICD&amp;tab=ClassesTab&amp;id=http%3A%2F%2Fwho.int%2Ficd%234347_bfdc5bfd_508c_4341_981a_49384b51cdc2","iCat")</x:f>
      </x:c>
      <x:c r="M10964" s="0" t="s">
        <x:v>21</x:v>
      </x:c>
      <x:c r="N10964" s="0" t="s">
        <x:v>46</x:v>
      </x:c>
    </x:row>
    <x:row r="10965" spans="1:16">
      <x:c r="A10965" s="0" t="s">
        <x:v>43503</x:v>
      </x:c>
      <x:c r="B10965" s="0" t="s">
        <x:v>43504</x:v>
      </x:c>
      <x:c r="C10965" s="0" t="s">
        <x:v>42840</x:v>
      </x:c>
      <x:c r="E10965" s="0" t="s">
        <x:v>43505</x:v>
      </x:c>
      <x:c r="F10965" s="0" t="s">
        <x:v>45</x:v>
      </x:c>
      <x:c r="G10965" s="0" t="s">
        <x:v>30</x:v>
      </x:c>
      <x:c r="H10965" s="0" t="s">
        <x:v>20</x:v>
      </x:c>
      <x:c r="I10965" s="0" t="s">
        <x:v>21</x:v>
      </x:c>
      <x:c r="K10965" s="0">
        <x:f>hyperlink("https://icd.who.int/dev11/l-ichi/en#/http%3A%2F%2Fid.who.int%2Ficd%2Fentity%2F1309566784","browser")</x:f>
      </x:c>
      <x:c r="L10965" s="0">
        <x:f>hyperlink("https://icat2.azurewebsites.net/icat/?ontology=ICD&amp;tab=ClassesTab&amp;id=http%3A%2F%2Fwho.int%2Ficd%234351_bfdc5bfd_508c_4341_981a_49384b51cdc2","iCat")</x:f>
      </x:c>
      <x:c r="M10965" s="0" t="s">
        <x:v>21</x:v>
      </x:c>
      <x:c r="N10965" s="0" t="s">
        <x:v>46</x:v>
      </x:c>
    </x:row>
    <x:row r="10966" spans="1:16">
      <x:c r="A10966" s="0" t="s">
        <x:v>43506</x:v>
      </x:c>
      <x:c r="B10966" s="0" t="s">
        <x:v>43507</x:v>
      </x:c>
      <x:c r="C10966" s="0" t="s">
        <x:v>42840</x:v>
      </x:c>
      <x:c r="E10966" s="0" t="s">
        <x:v>43508</x:v>
      </x:c>
      <x:c r="F10966" s="0" t="s">
        <x:v>45</x:v>
      </x:c>
      <x:c r="G10966" s="0" t="s">
        <x:v>30</x:v>
      </x:c>
      <x:c r="H10966" s="0" t="s">
        <x:v>20</x:v>
      </x:c>
      <x:c r="I10966" s="0" t="s">
        <x:v>21</x:v>
      </x:c>
      <x:c r="K10966" s="0">
        <x:f>hyperlink("https://icd.who.int/dev11/l-ichi/en#/http%3A%2F%2Fid.who.int%2Ficd%2Fentity%2F2064229174","browser")</x:f>
      </x:c>
      <x:c r="L10966" s="0">
        <x:f>hyperlink("https://icat2.azurewebsites.net/icat/?ontology=ICD&amp;tab=ClassesTab&amp;id=http%3A%2F%2Fwho.int%2Ficd%234355_bfdc5bfd_508c_4341_981a_49384b51cdc2","iCat")</x:f>
      </x:c>
      <x:c r="M10966" s="0" t="s">
        <x:v>21</x:v>
      </x:c>
      <x:c r="N10966" s="0" t="s">
        <x:v>46</x:v>
      </x:c>
    </x:row>
    <x:row r="10967" spans="1:16">
      <x:c r="A10967" s="0" t="s">
        <x:v>43509</x:v>
      </x:c>
      <x:c r="B10967" s="0" t="s">
        <x:v>43510</x:v>
      </x:c>
      <x:c r="C10967" s="0" t="s">
        <x:v>42840</x:v>
      </x:c>
      <x:c r="E10967" s="0" t="s">
        <x:v>43511</x:v>
      </x:c>
      <x:c r="F10967" s="0" t="s">
        <x:v>45</x:v>
      </x:c>
      <x:c r="G10967" s="0" t="s">
        <x:v>30</x:v>
      </x:c>
      <x:c r="H10967" s="0" t="s">
        <x:v>20</x:v>
      </x:c>
      <x:c r="I10967" s="0" t="s">
        <x:v>21</x:v>
      </x:c>
      <x:c r="K10967" s="0">
        <x:f>hyperlink("https://icd.who.int/dev11/l-ichi/en#/http%3A%2F%2Fid.who.int%2Ficd%2Fentity%2F9377301","browser")</x:f>
      </x:c>
      <x:c r="L10967" s="0">
        <x:f>hyperlink("https://icat2.azurewebsites.net/icat/?ontology=ICD&amp;tab=ClassesTab&amp;id=http%3A%2F%2Fwho.int%2Ficd%234359_bfdc5bfd_508c_4341_981a_49384b51cdc2","iCat")</x:f>
      </x:c>
      <x:c r="M10967" s="0" t="s">
        <x:v>21</x:v>
      </x:c>
      <x:c r="N10967" s="0" t="s">
        <x:v>46</x:v>
      </x:c>
    </x:row>
    <x:row r="10968" spans="1:16">
      <x:c r="A10968" s="0" t="s">
        <x:v>43512</x:v>
      </x:c>
      <x:c r="B10968" s="0" t="s">
        <x:v>43513</x:v>
      </x:c>
      <x:c r="C10968" s="0" t="s">
        <x:v>42840</x:v>
      </x:c>
      <x:c r="E10968" s="0" t="s">
        <x:v>43514</x:v>
      </x:c>
      <x:c r="F10968" s="0" t="s">
        <x:v>45</x:v>
      </x:c>
      <x:c r="G10968" s="0" t="s">
        <x:v>30</x:v>
      </x:c>
      <x:c r="H10968" s="0" t="s">
        <x:v>20</x:v>
      </x:c>
      <x:c r="I10968" s="0" t="s">
        <x:v>21</x:v>
      </x:c>
      <x:c r="K10968" s="0">
        <x:f>hyperlink("https://icd.who.int/dev11/l-ichi/en#/http%3A%2F%2Fid.who.int%2Ficd%2Fentity%2F1807956612","browser")</x:f>
      </x:c>
      <x:c r="L10968" s="0">
        <x:f>hyperlink("https://icat2.azurewebsites.net/icat/?ontology=ICD&amp;tab=ClassesTab&amp;id=http%3A%2F%2Fwho.int%2Ficd%234363_bfdc5bfd_508c_4341_981a_49384b51cdc2","iCat")</x:f>
      </x:c>
      <x:c r="M10968" s="0" t="s">
        <x:v>21</x:v>
      </x:c>
      <x:c r="N10968" s="0" t="s">
        <x:v>46</x:v>
      </x:c>
    </x:row>
    <x:row r="10969" spans="1:16">
      <x:c r="A10969" s="0" t="s">
        <x:v>43515</x:v>
      </x:c>
      <x:c r="B10969" s="0" t="s">
        <x:v>43516</x:v>
      </x:c>
      <x:c r="C10969" s="0" t="s">
        <x:v>42840</x:v>
      </x:c>
      <x:c r="E10969" s="0" t="s">
        <x:v>43517</x:v>
      </x:c>
      <x:c r="F10969" s="0" t="s">
        <x:v>45</x:v>
      </x:c>
      <x:c r="G10969" s="0" t="s">
        <x:v>30</x:v>
      </x:c>
      <x:c r="H10969" s="0" t="s">
        <x:v>20</x:v>
      </x:c>
      <x:c r="I10969" s="0" t="s">
        <x:v>21</x:v>
      </x:c>
      <x:c r="K10969" s="0">
        <x:f>hyperlink("https://icd.who.int/dev11/l-ichi/en#/http%3A%2F%2Fid.who.int%2Ficd%2Fentity%2F1589968630","browser")</x:f>
      </x:c>
      <x:c r="L10969" s="0">
        <x:f>hyperlink("https://icat2.azurewebsites.net/icat/?ontology=ICD&amp;tab=ClassesTab&amp;id=http%3A%2F%2Fwho.int%2Ficd%234367_bfdc5bfd_508c_4341_981a_49384b51cdc2","iCat")</x:f>
      </x:c>
      <x:c r="M10969" s="0" t="s">
        <x:v>21</x:v>
      </x:c>
      <x:c r="N10969" s="0" t="s">
        <x:v>46</x:v>
      </x:c>
    </x:row>
    <x:row r="10970" spans="1:16">
      <x:c r="A10970" s="0" t="s">
        <x:v>43518</x:v>
      </x:c>
      <x:c r="B10970" s="0" t="s">
        <x:v>43519</x:v>
      </x:c>
      <x:c r="C10970" s="0" t="s">
        <x:v>42840</x:v>
      </x:c>
      <x:c r="E10970" s="0" t="s">
        <x:v>43520</x:v>
      </x:c>
      <x:c r="F10970" s="0" t="s">
        <x:v>45</x:v>
      </x:c>
      <x:c r="G10970" s="0" t="s">
        <x:v>30</x:v>
      </x:c>
      <x:c r="H10970" s="0" t="s">
        <x:v>20</x:v>
      </x:c>
      <x:c r="I10970" s="0" t="s">
        <x:v>21</x:v>
      </x:c>
      <x:c r="K10970" s="0">
        <x:f>hyperlink("https://icd.who.int/dev11/l-ichi/en#/http%3A%2F%2Fid.who.int%2Ficd%2Fentity%2F1685762578","browser")</x:f>
      </x:c>
      <x:c r="L10970" s="0">
        <x:f>hyperlink("https://icat2.azurewebsites.net/icat/?ontology=ICD&amp;tab=ClassesTab&amp;id=http%3A%2F%2Fwho.int%2Ficd%234371_bfdc5bfd_508c_4341_981a_49384b51cdc2","iCat")</x:f>
      </x:c>
      <x:c r="M10970" s="0" t="s">
        <x:v>21</x:v>
      </x:c>
      <x:c r="N10970" s="0" t="s">
        <x:v>46</x:v>
      </x:c>
    </x:row>
    <x:row r="10971" spans="1:16">
      <x:c r="A10971" s="0" t="s">
        <x:v>43521</x:v>
      </x:c>
      <x:c r="B10971" s="0" t="s">
        <x:v>43522</x:v>
      </x:c>
      <x:c r="C10971" s="0" t="s">
        <x:v>42840</x:v>
      </x:c>
      <x:c r="E10971" s="0" t="s">
        <x:v>43523</x:v>
      </x:c>
      <x:c r="F10971" s="0" t="s">
        <x:v>45</x:v>
      </x:c>
      <x:c r="G10971" s="0" t="s">
        <x:v>30</x:v>
      </x:c>
      <x:c r="H10971" s="0" t="s">
        <x:v>20</x:v>
      </x:c>
      <x:c r="I10971" s="0" t="s">
        <x:v>21</x:v>
      </x:c>
      <x:c r="K10971" s="0">
        <x:f>hyperlink("https://icd.who.int/dev11/l-ichi/en#/http%3A%2F%2Fid.who.int%2Ficd%2Fentity%2F1367176804","browser")</x:f>
      </x:c>
      <x:c r="L10971" s="0">
        <x:f>hyperlink("https://icat2.azurewebsites.net/icat/?ontology=ICD&amp;tab=ClassesTab&amp;id=http%3A%2F%2Fwho.int%2Ficd%234375_bfdc5bfd_508c_4341_981a_49384b51cdc2","iCat")</x:f>
      </x:c>
      <x:c r="M10971" s="0" t="s">
        <x:v>21</x:v>
      </x:c>
      <x:c r="N10971" s="0" t="s">
        <x:v>46</x:v>
      </x:c>
    </x:row>
    <x:row r="10972" spans="1:16">
      <x:c r="A10972" s="0" t="s">
        <x:v>43524</x:v>
      </x:c>
      <x:c r="B10972" s="0" t="s">
        <x:v>43525</x:v>
      </x:c>
      <x:c r="C10972" s="0" t="s">
        <x:v>42840</x:v>
      </x:c>
      <x:c r="E10972" s="0" t="s">
        <x:v>43526</x:v>
      </x:c>
      <x:c r="F10972" s="0" t="s">
        <x:v>45</x:v>
      </x:c>
      <x:c r="G10972" s="0" t="s">
        <x:v>30</x:v>
      </x:c>
      <x:c r="H10972" s="0" t="s">
        <x:v>20</x:v>
      </x:c>
      <x:c r="I10972" s="0" t="s">
        <x:v>21</x:v>
      </x:c>
      <x:c r="K10972" s="0">
        <x:f>hyperlink("https://icd.who.int/dev11/l-ichi/en#/http%3A%2F%2Fid.who.int%2Ficd%2Fentity%2F1771132597","browser")</x:f>
      </x:c>
      <x:c r="L10972" s="0">
        <x:f>hyperlink("https://icat2.azurewebsites.net/icat/?ontology=ICD&amp;tab=ClassesTab&amp;id=http%3A%2F%2Fwho.int%2Ficd%234736_bfdc5bfd_508c_4341_981a_49384b51cdc2","iCat")</x:f>
      </x:c>
      <x:c r="M10972" s="0" t="s">
        <x:v>21</x:v>
      </x:c>
      <x:c r="N10972" s="0" t="s">
        <x:v>46</x:v>
      </x:c>
    </x:row>
    <x:row r="10973" spans="1:16">
      <x:c r="A10973" s="0" t="s">
        <x:v>43527</x:v>
      </x:c>
      <x:c r="B10973" s="0" t="s">
        <x:v>43528</x:v>
      </x:c>
      <x:c r="C10973" s="0" t="s">
        <x:v>42840</x:v>
      </x:c>
      <x:c r="E10973" s="0" t="s">
        <x:v>43529</x:v>
      </x:c>
      <x:c r="F10973" s="0" t="s">
        <x:v>45</x:v>
      </x:c>
      <x:c r="G10973" s="0" t="s">
        <x:v>30</x:v>
      </x:c>
      <x:c r="H10973" s="0" t="s">
        <x:v>20</x:v>
      </x:c>
      <x:c r="I10973" s="0" t="s">
        <x:v>21</x:v>
      </x:c>
      <x:c r="K10973" s="0">
        <x:f>hyperlink("https://icd.who.int/dev11/l-ichi/en#/http%3A%2F%2Fid.who.int%2Ficd%2Fentity%2F154967072","browser")</x:f>
      </x:c>
      <x:c r="L10973" s="0">
        <x:f>hyperlink("https://icat2.azurewebsites.net/icat/?ontology=ICD&amp;tab=ClassesTab&amp;id=http%3A%2F%2Fwho.int%2Ficd%234740_bfdc5bfd_508c_4341_981a_49384b51cdc2","iCat")</x:f>
      </x:c>
      <x:c r="M10973" s="0" t="s">
        <x:v>21</x:v>
      </x:c>
      <x:c r="N10973" s="0" t="s">
        <x:v>46</x:v>
      </x:c>
    </x:row>
    <x:row r="10974" spans="1:16">
      <x:c r="A10974" s="0" t="s">
        <x:v>43530</x:v>
      </x:c>
      <x:c r="B10974" s="0" t="s">
        <x:v>43531</x:v>
      </x:c>
      <x:c r="C10974" s="0" t="s">
        <x:v>42840</x:v>
      </x:c>
      <x:c r="E10974" s="0" t="s">
        <x:v>43532</x:v>
      </x:c>
      <x:c r="F10974" s="0" t="s">
        <x:v>45</x:v>
      </x:c>
      <x:c r="G10974" s="0" t="s">
        <x:v>30</x:v>
      </x:c>
      <x:c r="H10974" s="0" t="s">
        <x:v>20</x:v>
      </x:c>
      <x:c r="I10974" s="0" t="s">
        <x:v>21</x:v>
      </x:c>
      <x:c r="K10974" s="0">
        <x:f>hyperlink("https://icd.who.int/dev11/l-ichi/en#/http%3A%2F%2Fid.who.int%2Ficd%2Fentity%2F1010522218","browser")</x:f>
      </x:c>
      <x:c r="L10974" s="0">
        <x:f>hyperlink("https://icat2.azurewebsites.net/icat/?ontology=ICD&amp;tab=ClassesTab&amp;id=http%3A%2F%2Fwho.int%2Ficd%234744_bfdc5bfd_508c_4341_981a_49384b51cdc2","iCat")</x:f>
      </x:c>
      <x:c r="M10974" s="0" t="s">
        <x:v>21</x:v>
      </x:c>
      <x:c r="N10974" s="0" t="s">
        <x:v>46</x:v>
      </x:c>
    </x:row>
    <x:row r="10975" spans="1:16">
      <x:c r="A10975" s="0" t="s">
        <x:v>43533</x:v>
      </x:c>
      <x:c r="B10975" s="0" t="s">
        <x:v>43534</x:v>
      </x:c>
      <x:c r="C10975" s="0" t="s">
        <x:v>42840</x:v>
      </x:c>
      <x:c r="E10975" s="0" t="s">
        <x:v>43535</x:v>
      </x:c>
      <x:c r="F10975" s="0" t="s">
        <x:v>45</x:v>
      </x:c>
      <x:c r="G10975" s="0" t="s">
        <x:v>30</x:v>
      </x:c>
      <x:c r="H10975" s="0" t="s">
        <x:v>20</x:v>
      </x:c>
      <x:c r="I10975" s="0" t="s">
        <x:v>21</x:v>
      </x:c>
      <x:c r="K10975" s="0">
        <x:f>hyperlink("https://icd.who.int/dev11/l-ichi/en#/http%3A%2F%2Fid.who.int%2Ficd%2Fentity%2F1203629387","browser")</x:f>
      </x:c>
      <x:c r="L10975" s="0">
        <x:f>hyperlink("https://icat2.azurewebsites.net/icat/?ontology=ICD&amp;tab=ClassesTab&amp;id=http%3A%2F%2Fwho.int%2Ficd%234748_bfdc5bfd_508c_4341_981a_49384b51cdc2","iCat")</x:f>
      </x:c>
      <x:c r="M10975" s="0" t="s">
        <x:v>21</x:v>
      </x:c>
      <x:c r="N10975" s="0" t="s">
        <x:v>46</x:v>
      </x:c>
    </x:row>
    <x:row r="10976" spans="1:16">
      <x:c r="A10976" s="0" t="s">
        <x:v>43536</x:v>
      </x:c>
      <x:c r="B10976" s="0" t="s">
        <x:v>43537</x:v>
      </x:c>
      <x:c r="C10976" s="0" t="s">
        <x:v>42840</x:v>
      </x:c>
      <x:c r="E10976" s="0" t="s">
        <x:v>43538</x:v>
      </x:c>
      <x:c r="F10976" s="0" t="s">
        <x:v>45</x:v>
      </x:c>
      <x:c r="G10976" s="0" t="s">
        <x:v>30</x:v>
      </x:c>
      <x:c r="H10976" s="0" t="s">
        <x:v>20</x:v>
      </x:c>
      <x:c r="I10976" s="0" t="s">
        <x:v>21</x:v>
      </x:c>
      <x:c r="K10976" s="0">
        <x:f>hyperlink("https://icd.who.int/dev11/l-ichi/en#/http%3A%2F%2Fid.who.int%2Ficd%2Fentity%2F109384846","browser")</x:f>
      </x:c>
      <x:c r="L10976" s="0">
        <x:f>hyperlink("https://icat2.azurewebsites.net/icat/?ontology=ICD&amp;tab=ClassesTab&amp;id=http%3A%2F%2Fwho.int%2Ficd%234752_bfdc5bfd_508c_4341_981a_49384b51cdc2","iCat")</x:f>
      </x:c>
      <x:c r="M10976" s="0" t="s">
        <x:v>21</x:v>
      </x:c>
      <x:c r="N10976" s="0" t="s">
        <x:v>46</x:v>
      </x:c>
    </x:row>
    <x:row r="10977" spans="1:16">
      <x:c r="A10977" s="0" t="s">
        <x:v>43539</x:v>
      </x:c>
      <x:c r="B10977" s="0" t="s">
        <x:v>43540</x:v>
      </x:c>
      <x:c r="C10977" s="0" t="s">
        <x:v>42840</x:v>
      </x:c>
      <x:c r="E10977" s="0" t="s">
        <x:v>43541</x:v>
      </x:c>
      <x:c r="F10977" s="0" t="s">
        <x:v>45</x:v>
      </x:c>
      <x:c r="G10977" s="0" t="s">
        <x:v>30</x:v>
      </x:c>
      <x:c r="H10977" s="0" t="s">
        <x:v>20</x:v>
      </x:c>
      <x:c r="I10977" s="0" t="s">
        <x:v>21</x:v>
      </x:c>
      <x:c r="K10977" s="0">
        <x:f>hyperlink("https://icd.who.int/dev11/l-ichi/en#/http%3A%2F%2Fid.who.int%2Ficd%2Fentity%2F864211192","browser")</x:f>
      </x:c>
      <x:c r="L10977" s="0">
        <x:f>hyperlink("https://icat2.azurewebsites.net/icat/?ontology=ICD&amp;tab=ClassesTab&amp;id=http%3A%2F%2Fwho.int%2Ficd%234756_bfdc5bfd_508c_4341_981a_49384b51cdc2","iCat")</x:f>
      </x:c>
      <x:c r="M10977" s="0" t="s">
        <x:v>21</x:v>
      </x:c>
      <x:c r="N10977" s="0" t="s">
        <x:v>46</x:v>
      </x:c>
    </x:row>
    <x:row r="10978" spans="1:16">
      <x:c r="A10978" s="0" t="s">
        <x:v>43542</x:v>
      </x:c>
      <x:c r="B10978" s="0" t="s">
        <x:v>43543</x:v>
      </x:c>
      <x:c r="C10978" s="0" t="s">
        <x:v>42840</x:v>
      </x:c>
      <x:c r="E10978" s="0" t="s">
        <x:v>43544</x:v>
      </x:c>
      <x:c r="F10978" s="0" t="s">
        <x:v>45</x:v>
      </x:c>
      <x:c r="G10978" s="0" t="s">
        <x:v>30</x:v>
      </x:c>
      <x:c r="H10978" s="0" t="s">
        <x:v>20</x:v>
      </x:c>
      <x:c r="I10978" s="0" t="s">
        <x:v>21</x:v>
      </x:c>
      <x:c r="K10978" s="0">
        <x:f>hyperlink("https://icd.who.int/dev11/l-ichi/en#/http%3A%2F%2Fid.who.int%2Ficd%2Fentity%2F591939918","browser")</x:f>
      </x:c>
      <x:c r="L10978" s="0">
        <x:f>hyperlink("https://icat2.azurewebsites.net/icat/?ontology=ICD&amp;tab=ClassesTab&amp;id=http%3A%2F%2Fwho.int%2Ficd%234760_bfdc5bfd_508c_4341_981a_49384b51cdc2","iCat")</x:f>
      </x:c>
      <x:c r="M10978" s="0" t="s">
        <x:v>21</x:v>
      </x:c>
      <x:c r="N10978" s="0" t="s">
        <x:v>46</x:v>
      </x:c>
    </x:row>
    <x:row r="10979" spans="1:16">
      <x:c r="A10979" s="0" t="s">
        <x:v>43545</x:v>
      </x:c>
      <x:c r="B10979" s="0" t="s">
        <x:v>43546</x:v>
      </x:c>
      <x:c r="C10979" s="0" t="s">
        <x:v>42840</x:v>
      </x:c>
      <x:c r="E10979" s="0" t="s">
        <x:v>43547</x:v>
      </x:c>
      <x:c r="F10979" s="0" t="s">
        <x:v>45</x:v>
      </x:c>
      <x:c r="G10979" s="0" t="s">
        <x:v>30</x:v>
      </x:c>
      <x:c r="H10979" s="0" t="s">
        <x:v>20</x:v>
      </x:c>
      <x:c r="I10979" s="0" t="s">
        <x:v>21</x:v>
      </x:c>
      <x:c r="K10979" s="0">
        <x:f>hyperlink("https://icd.who.int/dev11/l-ichi/en#/http%3A%2F%2Fid.who.int%2Ficd%2Fentity%2F374312252","browser")</x:f>
      </x:c>
      <x:c r="L10979" s="0">
        <x:f>hyperlink("https://icat2.azurewebsites.net/icat/?ontology=ICD&amp;tab=ClassesTab&amp;id=http%3A%2F%2Fwho.int%2Ficd%234764_bfdc5bfd_508c_4341_981a_49384b51cdc2","iCat")</x:f>
      </x:c>
      <x:c r="M10979" s="0" t="s">
        <x:v>21</x:v>
      </x:c>
      <x:c r="N10979" s="0" t="s">
        <x:v>46</x:v>
      </x:c>
    </x:row>
    <x:row r="10980" spans="1:16">
      <x:c r="A10980" s="0" t="s">
        <x:v>43548</x:v>
      </x:c>
      <x:c r="B10980" s="0" t="s">
        <x:v>43549</x:v>
      </x:c>
      <x:c r="C10980" s="0" t="s">
        <x:v>42840</x:v>
      </x:c>
      <x:c r="E10980" s="0" t="s">
        <x:v>43550</x:v>
      </x:c>
      <x:c r="F10980" s="0" t="s">
        <x:v>45</x:v>
      </x:c>
      <x:c r="G10980" s="0" t="s">
        <x:v>30</x:v>
      </x:c>
      <x:c r="H10980" s="0" t="s">
        <x:v>20</x:v>
      </x:c>
      <x:c r="I10980" s="0" t="s">
        <x:v>21</x:v>
      </x:c>
      <x:c r="K10980" s="0">
        <x:f>hyperlink("https://icd.who.int/dev11/l-ichi/en#/http%3A%2F%2Fid.who.int%2Ficd%2Fentity%2F1841903643","browser")</x:f>
      </x:c>
      <x:c r="L10980" s="0">
        <x:f>hyperlink("https://icat2.azurewebsites.net/icat/?ontology=ICD&amp;tab=ClassesTab&amp;id=http%3A%2F%2Fwho.int%2Ficd%234768_bfdc5bfd_508c_4341_981a_49384b51cdc2","iCat")</x:f>
      </x:c>
      <x:c r="M10980" s="0" t="s">
        <x:v>21</x:v>
      </x:c>
      <x:c r="N10980" s="0" t="s">
        <x:v>46</x:v>
      </x:c>
    </x:row>
    <x:row r="10981" spans="1:16">
      <x:c r="A10981" s="0" t="s">
        <x:v>43551</x:v>
      </x:c>
      <x:c r="B10981" s="0" t="s">
        <x:v>43552</x:v>
      </x:c>
      <x:c r="C10981" s="0" t="s">
        <x:v>42840</x:v>
      </x:c>
      <x:c r="E10981" s="0" t="s">
        <x:v>43553</x:v>
      </x:c>
      <x:c r="F10981" s="0" t="s">
        <x:v>45</x:v>
      </x:c>
      <x:c r="G10981" s="0" t="s">
        <x:v>30</x:v>
      </x:c>
      <x:c r="H10981" s="0" t="s">
        <x:v>20</x:v>
      </x:c>
      <x:c r="I10981" s="0" t="s">
        <x:v>21</x:v>
      </x:c>
      <x:c r="K10981" s="0">
        <x:f>hyperlink("https://icd.who.int/dev11/l-ichi/en#/http%3A%2F%2Fid.who.int%2Ficd%2Fentity%2F754041308","browser")</x:f>
      </x:c>
      <x:c r="L10981" s="0">
        <x:f>hyperlink("https://icat2.azurewebsites.net/icat/?ontology=ICD&amp;tab=ClassesTab&amp;id=http%3A%2F%2Fwho.int%2Ficd%234772_bfdc5bfd_508c_4341_981a_49384b51cdc2","iCat")</x:f>
      </x:c>
      <x:c r="M10981" s="0" t="s">
        <x:v>21</x:v>
      </x:c>
      <x:c r="N10981" s="0" t="s">
        <x:v>46</x:v>
      </x:c>
    </x:row>
    <x:row r="10982" spans="1:16">
      <x:c r="A10982" s="0" t="s">
        <x:v>43554</x:v>
      </x:c>
      <x:c r="B10982" s="0" t="s">
        <x:v>43555</x:v>
      </x:c>
      <x:c r="C10982" s="0" t="s">
        <x:v>42840</x:v>
      </x:c>
      <x:c r="E10982" s="0" t="s">
        <x:v>43556</x:v>
      </x:c>
      <x:c r="F10982" s="0" t="s">
        <x:v>45</x:v>
      </x:c>
      <x:c r="G10982" s="0" t="s">
        <x:v>30</x:v>
      </x:c>
      <x:c r="H10982" s="0" t="s">
        <x:v>20</x:v>
      </x:c>
      <x:c r="I10982" s="0" t="s">
        <x:v>21</x:v>
      </x:c>
      <x:c r="K10982" s="0">
        <x:f>hyperlink("https://icd.who.int/dev11/l-ichi/en#/http%3A%2F%2Fid.who.int%2Ficd%2Fentity%2F721142597","browser")</x:f>
      </x:c>
      <x:c r="L10982" s="0">
        <x:f>hyperlink("https://icat2.azurewebsites.net/icat/?ontology=ICD&amp;tab=ClassesTab&amp;id=http%3A%2F%2Fwho.int%2Ficd%234379_bfdc5bfd_508c_4341_981a_49384b51cdc2","iCat")</x:f>
      </x:c>
      <x:c r="M10982" s="0" t="s">
        <x:v>21</x:v>
      </x:c>
      <x:c r="N10982" s="0" t="s">
        <x:v>46</x:v>
      </x:c>
    </x:row>
    <x:row r="10983" spans="1:16">
      <x:c r="A10983" s="0" t="s">
        <x:v>43557</x:v>
      </x:c>
      <x:c r="B10983" s="0" t="s">
        <x:v>43558</x:v>
      </x:c>
      <x:c r="C10983" s="0" t="s">
        <x:v>42840</x:v>
      </x:c>
      <x:c r="E10983" s="0" t="s">
        <x:v>43559</x:v>
      </x:c>
      <x:c r="F10983" s="0" t="s">
        <x:v>45</x:v>
      </x:c>
      <x:c r="G10983" s="0" t="s">
        <x:v>30</x:v>
      </x:c>
      <x:c r="H10983" s="0" t="s">
        <x:v>20</x:v>
      </x:c>
      <x:c r="I10983" s="0" t="s">
        <x:v>21</x:v>
      </x:c>
      <x:c r="K10983" s="0">
        <x:f>hyperlink("https://icd.who.int/dev11/l-ichi/en#/http%3A%2F%2Fid.who.int%2Ficd%2Fentity%2F435553706","browser")</x:f>
      </x:c>
      <x:c r="L10983" s="0">
        <x:f>hyperlink("https://icat2.azurewebsites.net/icat/?ontology=ICD&amp;tab=ClassesTab&amp;id=http%3A%2F%2Fwho.int%2Ficd%234776_bfdc5bfd_508c_4341_981a_49384b51cdc2","iCat")</x:f>
      </x:c>
      <x:c r="M10983" s="0" t="s">
        <x:v>21</x:v>
      </x:c>
      <x:c r="N10983" s="0" t="s">
        <x:v>46</x:v>
      </x:c>
    </x:row>
    <x:row r="10984" spans="1:16">
      <x:c r="A10984" s="0" t="s">
        <x:v>43560</x:v>
      </x:c>
      <x:c r="B10984" s="0" t="s">
        <x:v>43561</x:v>
      </x:c>
      <x:c r="C10984" s="0" t="s">
        <x:v>42840</x:v>
      </x:c>
      <x:c r="E10984" s="0" t="s">
        <x:v>43562</x:v>
      </x:c>
      <x:c r="F10984" s="0" t="s">
        <x:v>45</x:v>
      </x:c>
      <x:c r="G10984" s="0" t="s">
        <x:v>30</x:v>
      </x:c>
      <x:c r="H10984" s="0" t="s">
        <x:v>20</x:v>
      </x:c>
      <x:c r="I10984" s="0" t="s">
        <x:v>21</x:v>
      </x:c>
      <x:c r="K10984" s="0">
        <x:f>hyperlink("https://icd.who.int/dev11/l-ichi/en#/http%3A%2F%2Fid.who.int%2Ficd%2Fentity%2F1718261447","browser")</x:f>
      </x:c>
      <x:c r="L10984" s="0">
        <x:f>hyperlink("https://icat2.azurewebsites.net/icat/?ontology=ICD&amp;tab=ClassesTab&amp;id=http%3A%2F%2Fwho.int%2Ficd%234780_bfdc5bfd_508c_4341_981a_49384b51cdc2","iCat")</x:f>
      </x:c>
      <x:c r="M10984" s="0" t="s">
        <x:v>21</x:v>
      </x:c>
      <x:c r="N10984" s="0" t="s">
        <x:v>46</x:v>
      </x:c>
    </x:row>
    <x:row r="10985" spans="1:16">
      <x:c r="A10985" s="0" t="s">
        <x:v>43563</x:v>
      </x:c>
      <x:c r="B10985" s="0" t="s">
        <x:v>43564</x:v>
      </x:c>
      <x:c r="C10985" s="0" t="s">
        <x:v>42840</x:v>
      </x:c>
      <x:c r="E10985" s="0" t="s">
        <x:v>43565</x:v>
      </x:c>
      <x:c r="F10985" s="0" t="s">
        <x:v>45</x:v>
      </x:c>
      <x:c r="G10985" s="0" t="s">
        <x:v>30</x:v>
      </x:c>
      <x:c r="H10985" s="0" t="s">
        <x:v>20</x:v>
      </x:c>
      <x:c r="I10985" s="0" t="s">
        <x:v>21</x:v>
      </x:c>
      <x:c r="K10985" s="0">
        <x:f>hyperlink("https://icd.who.int/dev11/l-ichi/en#/http%3A%2F%2Fid.who.int%2Ficd%2Fentity%2F1399673523","browser")</x:f>
      </x:c>
      <x:c r="L10985" s="0">
        <x:f>hyperlink("https://icat2.azurewebsites.net/icat/?ontology=ICD&amp;tab=ClassesTab&amp;id=http%3A%2F%2Fwho.int%2Ficd%234784_bfdc5bfd_508c_4341_981a_49384b51cdc2","iCat")</x:f>
      </x:c>
      <x:c r="M10985" s="0" t="s">
        <x:v>21</x:v>
      </x:c>
      <x:c r="N10985" s="0" t="s">
        <x:v>46</x:v>
      </x:c>
    </x:row>
    <x:row r="10986" spans="1:16">
      <x:c r="A10986" s="0" t="s">
        <x:v>43566</x:v>
      </x:c>
      <x:c r="B10986" s="0" t="s">
        <x:v>43567</x:v>
      </x:c>
      <x:c r="C10986" s="0" t="s">
        <x:v>42840</x:v>
      </x:c>
      <x:c r="E10986" s="0" t="s">
        <x:v>43568</x:v>
      </x:c>
      <x:c r="F10986" s="0" t="s">
        <x:v>45</x:v>
      </x:c>
      <x:c r="G10986" s="0" t="s">
        <x:v>30</x:v>
      </x:c>
      <x:c r="H10986" s="0" t="s">
        <x:v>20</x:v>
      </x:c>
      <x:c r="I10986" s="0" t="s">
        <x:v>21</x:v>
      </x:c>
      <x:c r="K10986" s="0">
        <x:f>hyperlink("https://icd.who.int/dev11/l-ichi/en#/http%3A%2F%2Fid.who.int%2Ficd%2Fentity%2F686548882","browser")</x:f>
      </x:c>
      <x:c r="L10986" s="0">
        <x:f>hyperlink("https://icat2.azurewebsites.net/icat/?ontology=ICD&amp;tab=ClassesTab&amp;id=http%3A%2F%2Fwho.int%2Ficd%234788_bfdc5bfd_508c_4341_981a_49384b51cdc2","iCat")</x:f>
      </x:c>
      <x:c r="M10986" s="0" t="s">
        <x:v>21</x:v>
      </x:c>
      <x:c r="N10986" s="0" t="s">
        <x:v>46</x:v>
      </x:c>
    </x:row>
    <x:row r="10987" spans="1:16">
      <x:c r="A10987" s="0" t="s">
        <x:v>43569</x:v>
      </x:c>
      <x:c r="B10987" s="0" t="s">
        <x:v>43570</x:v>
      </x:c>
      <x:c r="C10987" s="0" t="s">
        <x:v>42840</x:v>
      </x:c>
      <x:c r="E10987" s="0" t="s">
        <x:v>43571</x:v>
      </x:c>
      <x:c r="F10987" s="0" t="s">
        <x:v>45</x:v>
      </x:c>
      <x:c r="G10987" s="0" t="s">
        <x:v>30</x:v>
      </x:c>
      <x:c r="H10987" s="0" t="s">
        <x:v>20</x:v>
      </x:c>
      <x:c r="I10987" s="0" t="s">
        <x:v>21</x:v>
      </x:c>
      <x:c r="K10987" s="0">
        <x:f>hyperlink("https://icd.who.int/dev11/l-ichi/en#/http%3A%2F%2Fid.who.int%2Ficd%2Fentity%2F1775443541","browser")</x:f>
      </x:c>
      <x:c r="L10987" s="0">
        <x:f>hyperlink("https://icat2.azurewebsites.net/icat/?ontology=ICD&amp;tab=ClassesTab&amp;id=http%3A%2F%2Fwho.int%2Ficd%234792_bfdc5bfd_508c_4341_981a_49384b51cdc2","iCat")</x:f>
      </x:c>
      <x:c r="M10987" s="0" t="s">
        <x:v>21</x:v>
      </x:c>
      <x:c r="N10987" s="0" t="s">
        <x:v>46</x:v>
      </x:c>
    </x:row>
    <x:row r="10988" spans="1:16">
      <x:c r="A10988" s="0" t="s">
        <x:v>43572</x:v>
      </x:c>
      <x:c r="B10988" s="0" t="s">
        <x:v>43573</x:v>
      </x:c>
      <x:c r="C10988" s="0" t="s">
        <x:v>42840</x:v>
      </x:c>
      <x:c r="E10988" s="0" t="s">
        <x:v>43574</x:v>
      </x:c>
      <x:c r="F10988" s="0" t="s">
        <x:v>45</x:v>
      </x:c>
      <x:c r="G10988" s="0" t="s">
        <x:v>30</x:v>
      </x:c>
      <x:c r="H10988" s="0" t="s">
        <x:v>20</x:v>
      </x:c>
      <x:c r="I10988" s="0" t="s">
        <x:v>21</x:v>
      </x:c>
      <x:c r="K10988" s="0">
        <x:f>hyperlink("https://icd.who.int/dev11/l-ichi/en#/http%3A%2F%2Fid.who.int%2Ficd%2Fentity%2F1557453345","browser")</x:f>
      </x:c>
      <x:c r="L10988" s="0">
        <x:f>hyperlink("https://icat2.azurewebsites.net/icat/?ontology=ICD&amp;tab=ClassesTab&amp;id=http%3A%2F%2Fwho.int%2Ficd%234796_bfdc5bfd_508c_4341_981a_49384b51cdc2","iCat")</x:f>
      </x:c>
      <x:c r="M10988" s="0" t="s">
        <x:v>21</x:v>
      </x:c>
      <x:c r="N10988" s="0" t="s">
        <x:v>46</x:v>
      </x:c>
    </x:row>
    <x:row r="10989" spans="1:16">
      <x:c r="A10989" s="0" t="s">
        <x:v>43575</x:v>
      </x:c>
      <x:c r="B10989" s="0" t="s">
        <x:v>43576</x:v>
      </x:c>
      <x:c r="C10989" s="0" t="s">
        <x:v>42840</x:v>
      </x:c>
      <x:c r="E10989" s="0" t="s">
        <x:v>43577</x:v>
      </x:c>
      <x:c r="F10989" s="0" t="s">
        <x:v>45</x:v>
      </x:c>
      <x:c r="G10989" s="0" t="s">
        <x:v>30</x:v>
      </x:c>
      <x:c r="H10989" s="0" t="s">
        <x:v>20</x:v>
      </x:c>
      <x:c r="I10989" s="0" t="s">
        <x:v>21</x:v>
      </x:c>
      <x:c r="K10989" s="0">
        <x:f>hyperlink("https://icd.who.int/dev11/l-ichi/en#/http%3A%2F%2Fid.who.int%2Ficd%2Fentity%2F253124357","browser")</x:f>
      </x:c>
      <x:c r="L10989" s="0">
        <x:f>hyperlink("https://icat2.azurewebsites.net/icat/?ontology=ICD&amp;tab=ClassesTab&amp;id=http%3A%2F%2Fwho.int%2Ficd%234800_bfdc5bfd_508c_4341_981a_49384b51cdc2","iCat")</x:f>
      </x:c>
      <x:c r="M10989" s="0" t="s">
        <x:v>21</x:v>
      </x:c>
      <x:c r="N10989" s="0" t="s">
        <x:v>46</x:v>
      </x:c>
    </x:row>
    <x:row r="10990" spans="1:16">
      <x:c r="A10990" s="0" t="s">
        <x:v>43578</x:v>
      </x:c>
      <x:c r="B10990" s="0" t="s">
        <x:v>43579</x:v>
      </x:c>
      <x:c r="C10990" s="0" t="s">
        <x:v>42840</x:v>
      </x:c>
      <x:c r="E10990" s="0" t="s">
        <x:v>43580</x:v>
      </x:c>
      <x:c r="F10990" s="0" t="s">
        <x:v>45</x:v>
      </x:c>
      <x:c r="G10990" s="0" t="s">
        <x:v>30</x:v>
      </x:c>
      <x:c r="H10990" s="0" t="s">
        <x:v>20</x:v>
      </x:c>
      <x:c r="I10990" s="0" t="s">
        <x:v>21</x:v>
      </x:c>
      <x:c r="K10990" s="0">
        <x:f>hyperlink("https://icd.who.int/dev11/l-ichi/en#/http%3A%2F%2Fid.who.int%2Ficd%2Fentity%2F1334426561","browser")</x:f>
      </x:c>
      <x:c r="L10990" s="0">
        <x:f>hyperlink("https://icat2.azurewebsites.net/icat/?ontology=ICD&amp;tab=ClassesTab&amp;id=http%3A%2F%2Fwho.int%2Ficd%230_bf6e7c66_ec40_421d_9f8c_a2093621229f","iCat")</x:f>
      </x:c>
      <x:c r="M10990" s="0" t="s">
        <x:v>21</x:v>
      </x:c>
      <x:c r="N10990" s="0" t="s">
        <x:v>46</x:v>
      </x:c>
    </x:row>
    <x:row r="10991" spans="1:16">
      <x:c r="A10991" s="0" t="s">
        <x:v>43581</x:v>
      </x:c>
      <x:c r="B10991" s="0" t="s">
        <x:v>43582</x:v>
      </x:c>
      <x:c r="C10991" s="0" t="s">
        <x:v>42840</x:v>
      </x:c>
      <x:c r="E10991" s="0" t="s">
        <x:v>43583</x:v>
      </x:c>
      <x:c r="F10991" s="0" t="s">
        <x:v>45</x:v>
      </x:c>
      <x:c r="G10991" s="0" t="s">
        <x:v>30</x:v>
      </x:c>
      <x:c r="H10991" s="0" t="s">
        <x:v>20</x:v>
      </x:c>
      <x:c r="I10991" s="0" t="s">
        <x:v>21</x:v>
      </x:c>
      <x:c r="K10991" s="0">
        <x:f>hyperlink("https://icd.who.int/dev11/l-ichi/en#/http%3A%2F%2Fid.who.int%2Ficd%2Fentity%2F2056159157","browser")</x:f>
      </x:c>
      <x:c r="L10991" s="0">
        <x:f>hyperlink("https://icat2.azurewebsites.net/icat/?ontology=ICD&amp;tab=ClassesTab&amp;id=http%3A%2F%2Fwho.int%2Ficd%234_bf6e7c66_ec40_421d_9f8c_a2093621229f","iCat")</x:f>
      </x:c>
      <x:c r="M10991" s="0" t="s">
        <x:v>21</x:v>
      </x:c>
      <x:c r="N10991" s="0" t="s">
        <x:v>46</x:v>
      </x:c>
    </x:row>
    <x:row r="10992" spans="1:16">
      <x:c r="A10992" s="0" t="s">
        <x:v>43584</x:v>
      </x:c>
      <x:c r="B10992" s="0" t="s">
        <x:v>43585</x:v>
      </x:c>
      <x:c r="C10992" s="0" t="s">
        <x:v>42840</x:v>
      </x:c>
      <x:c r="E10992" s="0" t="s">
        <x:v>43586</x:v>
      </x:c>
      <x:c r="F10992" s="0" t="s">
        <x:v>45</x:v>
      </x:c>
      <x:c r="G10992" s="0" t="s">
        <x:v>30</x:v>
      </x:c>
      <x:c r="H10992" s="0" t="s">
        <x:v>20</x:v>
      </x:c>
      <x:c r="I10992" s="0" t="s">
        <x:v>21</x:v>
      </x:c>
      <x:c r="K10992" s="0">
        <x:f>hyperlink("https://icd.who.int/dev11/l-ichi/en#/http%3A%2F%2Fid.who.int%2Ficd%2Fentity%2F786556171","browser")</x:f>
      </x:c>
      <x:c r="L10992" s="0">
        <x:f>hyperlink("https://icat2.azurewebsites.net/icat/?ontology=ICD&amp;tab=ClassesTab&amp;id=http%3A%2F%2Fwho.int%2Ficd%234383_bfdc5bfd_508c_4341_981a_49384b51cdc2","iCat")</x:f>
      </x:c>
      <x:c r="M10992" s="0" t="s">
        <x:v>21</x:v>
      </x:c>
      <x:c r="N10992" s="0" t="s">
        <x:v>46</x:v>
      </x:c>
    </x:row>
    <x:row r="10993" spans="1:16">
      <x:c r="A10993" s="0" t="s">
        <x:v>43587</x:v>
      </x:c>
      <x:c r="B10993" s="0" t="s">
        <x:v>43588</x:v>
      </x:c>
      <x:c r="C10993" s="0" t="s">
        <x:v>42840</x:v>
      </x:c>
      <x:c r="E10993" s="0" t="s">
        <x:v>43589</x:v>
      </x:c>
      <x:c r="F10993" s="0" t="s">
        <x:v>45</x:v>
      </x:c>
      <x:c r="G10993" s="0" t="s">
        <x:v>30</x:v>
      </x:c>
      <x:c r="H10993" s="0" t="s">
        <x:v>20</x:v>
      </x:c>
      <x:c r="I10993" s="0" t="s">
        <x:v>21</x:v>
      </x:c>
      <x:c r="K10993" s="0">
        <x:f>hyperlink("https://icd.who.int/dev11/l-ichi/en#/http%3A%2F%2Fid.who.int%2Ficd%2Fentity%2F468066687","browser")</x:f>
      </x:c>
      <x:c r="L10993" s="0">
        <x:f>hyperlink("https://icat2.azurewebsites.net/icat/?ontology=ICD&amp;tab=ClassesTab&amp;id=http%3A%2F%2Fwho.int%2Ficd%234387_bfdc5bfd_508c_4341_981a_49384b51cdc2","iCat")</x:f>
      </x:c>
      <x:c r="M10993" s="0" t="s">
        <x:v>21</x:v>
      </x:c>
      <x:c r="N10993" s="0" t="s">
        <x:v>46</x:v>
      </x:c>
    </x:row>
    <x:row r="10994" spans="1:16">
      <x:c r="A10994" s="0" t="s">
        <x:v>43590</x:v>
      </x:c>
      <x:c r="B10994" s="0" t="s">
        <x:v>43591</x:v>
      </x:c>
      <x:c r="C10994" s="0" t="s">
        <x:v>42840</x:v>
      </x:c>
      <x:c r="E10994" s="0" t="s">
        <x:v>43592</x:v>
      </x:c>
      <x:c r="F10994" s="0" t="s">
        <x:v>45</x:v>
      </x:c>
      <x:c r="G10994" s="0" t="s">
        <x:v>30</x:v>
      </x:c>
      <x:c r="H10994" s="0" t="s">
        <x:v>20</x:v>
      </x:c>
      <x:c r="I10994" s="0" t="s">
        <x:v>21</x:v>
      </x:c>
      <x:c r="K10994" s="0">
        <x:f>hyperlink("https://icd.who.int/dev11/l-ichi/en#/http%3A%2F%2Fid.who.int%2Ficd%2Fentity%2F559443353","browser")</x:f>
      </x:c>
      <x:c r="L10994" s="0">
        <x:f>hyperlink("https://icat2.azurewebsites.net/icat/?ontology=ICD&amp;tab=ClassesTab&amp;id=http%3A%2F%2Fwho.int%2Ficd%234391_bfdc5bfd_508c_4341_981a_49384b51cdc2","iCat")</x:f>
      </x:c>
      <x:c r="M10994" s="0" t="s">
        <x:v>21</x:v>
      </x:c>
      <x:c r="N10994" s="0" t="s">
        <x:v>46</x:v>
      </x:c>
    </x:row>
    <x:row r="10995" spans="1:16">
      <x:c r="A10995" s="0" t="s">
        <x:v>43593</x:v>
      </x:c>
      <x:c r="B10995" s="0" t="s">
        <x:v>43594</x:v>
      </x:c>
      <x:c r="C10995" s="0" t="s">
        <x:v>42840</x:v>
      </x:c>
      <x:c r="E10995" s="0" t="s">
        <x:v>43595</x:v>
      </x:c>
      <x:c r="F10995" s="0" t="s">
        <x:v>45</x:v>
      </x:c>
      <x:c r="G10995" s="0" t="s">
        <x:v>30</x:v>
      </x:c>
      <x:c r="H10995" s="0" t="s">
        <x:v>20</x:v>
      </x:c>
      <x:c r="I10995" s="0" t="s">
        <x:v>21</x:v>
      </x:c>
      <x:c r="K10995" s="0">
        <x:f>hyperlink("https://icd.who.int/dev11/l-ichi/en#/http%3A%2F%2Fid.who.int%2Ficd%2Fentity%2F341813741","browser")</x:f>
      </x:c>
      <x:c r="L10995" s="0">
        <x:f>hyperlink("https://icat2.azurewebsites.net/icat/?ontology=ICD&amp;tab=ClassesTab&amp;id=http%3A%2F%2Fwho.int%2Ficd%234395_bfdc5bfd_508c_4341_981a_49384b51cdc2","iCat")</x:f>
      </x:c>
      <x:c r="M10995" s="0" t="s">
        <x:v>21</x:v>
      </x:c>
      <x:c r="N10995" s="0" t="s">
        <x:v>46</x:v>
      </x:c>
    </x:row>
    <x:row r="10996" spans="1:16">
      <x:c r="A10996" s="0" t="s">
        <x:v>43596</x:v>
      </x:c>
      <x:c r="B10996" s="0" t="s">
        <x:v>43597</x:v>
      </x:c>
      <x:c r="C10996" s="0" t="s">
        <x:v>42840</x:v>
      </x:c>
      <x:c r="E10996" s="0" t="s">
        <x:v>43598</x:v>
      </x:c>
      <x:c r="F10996" s="0" t="s">
        <x:v>45</x:v>
      </x:c>
      <x:c r="G10996" s="0" t="s">
        <x:v>30</x:v>
      </x:c>
      <x:c r="H10996" s="0" t="s">
        <x:v>20</x:v>
      </x:c>
      <x:c r="I10996" s="0" t="s">
        <x:v>21</x:v>
      </x:c>
      <x:c r="K10996" s="0">
        <x:f>hyperlink("https://icd.who.int/dev11/l-ichi/en#/http%3A%2F%2Fid.who.int%2Ficd%2Fentity%2F1876499662","browser")</x:f>
      </x:c>
      <x:c r="L10996" s="0">
        <x:f>hyperlink("https://icat2.azurewebsites.net/icat/?ontology=ICD&amp;tab=ClassesTab&amp;id=http%3A%2F%2Fwho.int%2Ficd%234399_bfdc5bfd_508c_4341_981a_49384b51cdc2","iCat")</x:f>
      </x:c>
      <x:c r="M10996" s="0" t="s">
        <x:v>21</x:v>
      </x:c>
      <x:c r="N10996" s="0" t="s">
        <x:v>46</x:v>
      </x:c>
    </x:row>
    <x:row r="10997" spans="1:16">
      <x:c r="A10997" s="0" t="s">
        <x:v>43599</x:v>
      </x:c>
      <x:c r="B10997" s="0" t="s">
        <x:v>43600</x:v>
      </x:c>
      <x:c r="C10997" s="0" t="s">
        <x:v>42840</x:v>
      </x:c>
      <x:c r="E10997" s="0" t="s">
        <x:v>43601</x:v>
      </x:c>
      <x:c r="F10997" s="0" t="s">
        <x:v>45</x:v>
      </x:c>
      <x:c r="G10997" s="0" t="s">
        <x:v>30</x:v>
      </x:c>
      <x:c r="H10997" s="0" t="s">
        <x:v>20</x:v>
      </x:c>
      <x:c r="I10997" s="0" t="s">
        <x:v>21</x:v>
      </x:c>
      <x:c r="K10997" s="0">
        <x:f>hyperlink("https://icd.who.int/dev11/l-ichi/en#/http%3A%2F%2Fid.who.int%2Ficd%2Fentity%2F1568740515","browser")</x:f>
      </x:c>
      <x:c r="L10997" s="0">
        <x:f>hyperlink("https://icat2.azurewebsites.net/icat/?ontology=ICD&amp;tab=ClassesTab&amp;id=http%3A%2F%2Fwho.int%2Ficd%234403_bfdc5bfd_508c_4341_981a_49384b51cdc2","iCat")</x:f>
      </x:c>
      <x:c r="M10997" s="0" t="s">
        <x:v>21</x:v>
      </x:c>
      <x:c r="N10997" s="0" t="s">
        <x:v>46</x:v>
      </x:c>
    </x:row>
    <x:row r="10998" spans="1:16">
      <x:c r="A10998" s="0" t="s">
        <x:v>43602</x:v>
      </x:c>
      <x:c r="B10998" s="0" t="s">
        <x:v>43603</x:v>
      </x:c>
      <x:c r="C10998" s="0" t="s">
        <x:v>42840</x:v>
      </x:c>
      <x:c r="E10998" s="0" t="s">
        <x:v>43604</x:v>
      </x:c>
      <x:c r="F10998" s="0" t="s">
        <x:v>45</x:v>
      </x:c>
      <x:c r="G10998" s="0" t="s">
        <x:v>30</x:v>
      </x:c>
      <x:c r="H10998" s="0" t="s">
        <x:v>20</x:v>
      </x:c>
      <x:c r="I10998" s="0" t="s">
        <x:v>21</x:v>
      </x:c>
      <x:c r="K10998" s="0">
        <x:f>hyperlink("https://icd.who.int/dev11/l-ichi/en#/http%3A%2F%2Fid.who.int%2Ficd%2Fentity%2F1451559439","browser")</x:f>
      </x:c>
      <x:c r="L10998" s="0">
        <x:f>hyperlink("https://icat2.azurewebsites.net/icat/?ontology=ICD&amp;tab=ClassesTab&amp;id=http%3A%2F%2Fwho.int%2Ficd%234408_bfdc5bfd_508c_4341_981a_49384b51cdc2","iCat")</x:f>
      </x:c>
      <x:c r="M10998" s="0" t="s">
        <x:v>21</x:v>
      </x:c>
      <x:c r="N10998" s="0" t="s">
        <x:v>46</x:v>
      </x:c>
    </x:row>
    <x:row r="10999" spans="1:16">
      <x:c r="A10999" s="0" t="s">
        <x:v>43605</x:v>
      </x:c>
      <x:c r="B10999" s="0" t="s">
        <x:v>43606</x:v>
      </x:c>
      <x:c r="C10999" s="0" t="s">
        <x:v>42840</x:v>
      </x:c>
      <x:c r="E10999" s="0" t="s">
        <x:v>43607</x:v>
      </x:c>
      <x:c r="F10999" s="0" t="s">
        <x:v>45</x:v>
      </x:c>
      <x:c r="G10999" s="0" t="s">
        <x:v>30</x:v>
      </x:c>
      <x:c r="H10999" s="0" t="s">
        <x:v>20</x:v>
      </x:c>
      <x:c r="I10999" s="0" t="s">
        <x:v>21</x:v>
      </x:c>
      <x:c r="K10999" s="0">
        <x:f>hyperlink("https://icd.who.int/dev11/l-ichi/en#/http%3A%2F%2Fid.who.int%2Ficd%2Fentity%2F398324680","browser")</x:f>
      </x:c>
      <x:c r="L10999" s="0">
        <x:f>hyperlink("https://icat2.azurewebsites.net/icat/?ontology=ICD&amp;tab=ClassesTab&amp;id=http%3A%2F%2Fwho.int%2Ficd%234412_bfdc5bfd_508c_4341_981a_49384b51cdc2","iCat")</x:f>
      </x:c>
      <x:c r="M10999" s="0" t="s">
        <x:v>21</x:v>
      </x:c>
      <x:c r="N10999" s="0" t="s">
        <x:v>46</x:v>
      </x:c>
    </x:row>
    <x:row r="11000" spans="1:16">
      <x:c r="A11000" s="0" t="s">
        <x:v>43608</x:v>
      </x:c>
      <x:c r="B11000" s="0" t="s">
        <x:v>43609</x:v>
      </x:c>
      <x:c r="C11000" s="0" t="s">
        <x:v>42840</x:v>
      </x:c>
      <x:c r="E11000" s="0" t="s">
        <x:v>43610</x:v>
      </x:c>
      <x:c r="F11000" s="0" t="s">
        <x:v>45</x:v>
      </x:c>
      <x:c r="G11000" s="0" t="s">
        <x:v>30</x:v>
      </x:c>
      <x:c r="H11000" s="0" t="s">
        <x:v>20</x:v>
      </x:c>
      <x:c r="I11000" s="0" t="s">
        <x:v>21</x:v>
      </x:c>
      <x:c r="K11000" s="0">
        <x:f>hyperlink("https://icd.who.int/dev11/l-ichi/en#/http%3A%2F%2Fid.who.int%2Ficd%2Fentity%2F582629310","browser")</x:f>
      </x:c>
      <x:c r="L11000" s="0">
        <x:f>hyperlink("https://icat2.azurewebsites.net/icat/?ontology=ICD&amp;tab=ClassesTab&amp;id=http%3A%2F%2Fwho.int%2Ficd%234416_bfdc5bfd_508c_4341_981a_49384b51cdc2","iCat")</x:f>
      </x:c>
      <x:c r="M11000" s="0" t="s">
        <x:v>21</x:v>
      </x:c>
      <x:c r="N11000" s="0" t="s">
        <x:v>46</x:v>
      </x:c>
    </x:row>
    <x:row r="11001" spans="1:16">
      <x:c r="A11001" s="0" t="s">
        <x:v>43611</x:v>
      </x:c>
      <x:c r="B11001" s="0" t="s">
        <x:v>43612</x:v>
      </x:c>
      <x:c r="C11001" s="0" t="s">
        <x:v>42840</x:v>
      </x:c>
      <x:c r="E11001" s="0" t="s">
        <x:v>43613</x:v>
      </x:c>
      <x:c r="F11001" s="0" t="s">
        <x:v>45</x:v>
      </x:c>
      <x:c r="G11001" s="0" t="s">
        <x:v>30</x:v>
      </x:c>
      <x:c r="H11001" s="0" t="s">
        <x:v>20</x:v>
      </x:c>
      <x:c r="I11001" s="0" t="s">
        <x:v>21</x:v>
      </x:c>
      <x:c r="K11001" s="0">
        <x:f>hyperlink("https://icd.who.int/dev11/l-ichi/en#/http%3A%2F%2Fid.who.int%2Ficd%2Fentity%2F846245388","browser")</x:f>
      </x:c>
      <x:c r="L11001" s="0">
        <x:f>hyperlink("https://icat2.azurewebsites.net/icat/?ontology=ICD&amp;tab=ClassesTab&amp;id=http%3A%2F%2Fwho.int%2Ficd%234420_bfdc5bfd_508c_4341_981a_49384b51cdc2","iCat")</x:f>
      </x:c>
      <x:c r="M11001" s="0" t="s">
        <x:v>21</x:v>
      </x:c>
      <x:c r="N11001" s="0" t="s">
        <x:v>46</x:v>
      </x:c>
    </x:row>
    <x:row r="11002" spans="1:16">
      <x:c r="A11002" s="0" t="s">
        <x:v>43614</x:v>
      </x:c>
      <x:c r="B11002" s="0" t="s">
        <x:v>43615</x:v>
      </x:c>
      <x:c r="C11002" s="0" t="s">
        <x:v>42840</x:v>
      </x:c>
      <x:c r="E11002" s="0" t="s">
        <x:v>43616</x:v>
      </x:c>
      <x:c r="F11002" s="0" t="s">
        <x:v>45</x:v>
      </x:c>
      <x:c r="G11002" s="0" t="s">
        <x:v>30</x:v>
      </x:c>
      <x:c r="H11002" s="0" t="s">
        <x:v>20</x:v>
      </x:c>
      <x:c r="I11002" s="0" t="s">
        <x:v>21</x:v>
      </x:c>
      <x:c r="K11002" s="0">
        <x:f>hyperlink("https://icd.who.int/dev11/l-ichi/en#/http%3A%2F%2Fid.who.int%2Ficd%2Fentity%2F125266558","browser")</x:f>
      </x:c>
      <x:c r="L11002" s="0">
        <x:f>hyperlink("https://icat2.azurewebsites.net/icat/?ontology=ICD&amp;tab=ClassesTab&amp;id=http%3A%2F%2Fwho.int%2Ficd%234424_bfdc5bfd_508c_4341_981a_49384b51cdc2","iCat")</x:f>
      </x:c>
      <x:c r="M11002" s="0" t="s">
        <x:v>21</x:v>
      </x:c>
      <x:c r="N11002" s="0" t="s">
        <x:v>46</x:v>
      </x:c>
    </x:row>
    <x:row r="11003" spans="1:16">
      <x:c r="A11003" s="0" t="s">
        <x:v>43617</x:v>
      </x:c>
      <x:c r="B11003" s="0" t="s">
        <x:v>43618</x:v>
      </x:c>
      <x:c r="C11003" s="0" t="s">
        <x:v>42840</x:v>
      </x:c>
      <x:c r="E11003" s="0" t="s">
        <x:v>43619</x:v>
      </x:c>
      <x:c r="F11003" s="0" t="s">
        <x:v>45</x:v>
      </x:c>
      <x:c r="G11003" s="0" t="s">
        <x:v>30</x:v>
      </x:c>
      <x:c r="H11003" s="0" t="s">
        <x:v>20</x:v>
      </x:c>
      <x:c r="I11003" s="0" t="s">
        <x:v>21</x:v>
      </x:c>
      <x:c r="K11003" s="0">
        <x:f>hyperlink("https://icd.who.int/dev11/l-ichi/en#/http%3A%2F%2Fid.who.int%2Ficd%2Fentity%2F2096226143","browser")</x:f>
      </x:c>
      <x:c r="L11003" s="0">
        <x:f>hyperlink("https://icat2.azurewebsites.net/icat/?ontology=ICD&amp;tab=ClassesTab&amp;id=http%3A%2F%2Fwho.int%2Ficd%234428_bfdc5bfd_508c_4341_981a_49384b51cdc2","iCat")</x:f>
      </x:c>
      <x:c r="M11003" s="0" t="s">
        <x:v>21</x:v>
      </x:c>
      <x:c r="N11003" s="0" t="s">
        <x:v>46</x:v>
      </x:c>
    </x:row>
    <x:row r="11004" spans="1:16">
      <x:c r="A11004" s="0" t="s">
        <x:v>43620</x:v>
      </x:c>
      <x:c r="B11004" s="0" t="s">
        <x:v>43621</x:v>
      </x:c>
      <x:c r="C11004" s="0" t="s">
        <x:v>42840</x:v>
      </x:c>
      <x:c r="E11004" s="0" t="s">
        <x:v>43622</x:v>
      </x:c>
      <x:c r="F11004" s="0" t="s">
        <x:v>45</x:v>
      </x:c>
      <x:c r="G11004" s="0" t="s">
        <x:v>30</x:v>
      </x:c>
      <x:c r="H11004" s="0" t="s">
        <x:v>20</x:v>
      </x:c>
      <x:c r="I11004" s="0" t="s">
        <x:v>21</x:v>
      </x:c>
      <x:c r="K11004" s="0">
        <x:f>hyperlink("https://icd.who.int/dev11/l-ichi/en#/http%3A%2F%2Fid.who.int%2Ficd%2Fentity%2F1036592794","browser")</x:f>
      </x:c>
      <x:c r="L11004" s="0">
        <x:f>hyperlink("https://icat2.azurewebsites.net/icat/?ontology=ICD&amp;tab=ClassesTab&amp;id=http%3A%2F%2Fwho.int%2Ficd%234432_bfdc5bfd_508c_4341_981a_49384b51cdc2","iCat")</x:f>
      </x:c>
      <x:c r="M11004" s="0" t="s">
        <x:v>21</x:v>
      </x:c>
      <x:c r="N11004" s="0" t="s">
        <x:v>46</x:v>
      </x:c>
    </x:row>
    <x:row r="11005" spans="1:16">
      <x:c r="A11005" s="0" t="s">
        <x:v>43623</x:v>
      </x:c>
      <x:c r="B11005" s="0" t="s">
        <x:v>43624</x:v>
      </x:c>
      <x:c r="C11005" s="0" t="s">
        <x:v>42840</x:v>
      </x:c>
      <x:c r="E11005" s="0" t="s">
        <x:v>43625</x:v>
      </x:c>
      <x:c r="F11005" s="0" t="s">
        <x:v>45</x:v>
      </x:c>
      <x:c r="G11005" s="0" t="s">
        <x:v>30</x:v>
      </x:c>
      <x:c r="H11005" s="0" t="s">
        <x:v>20</x:v>
      </x:c>
      <x:c r="I11005" s="0" t="s">
        <x:v>21</x:v>
      </x:c>
      <x:c r="K11005" s="0">
        <x:f>hyperlink("https://icd.who.int/dev11/l-ichi/en#/http%3A%2F%2Fid.who.int%2Ficd%2Fentity%2F147776236","browser")</x:f>
      </x:c>
      <x:c r="L11005" s="0">
        <x:f>hyperlink("https://icat2.azurewebsites.net/icat/?ontology=ICD&amp;tab=ClassesTab&amp;id=http%3A%2F%2Fwho.int%2Ficd%234436_bfdc5bfd_508c_4341_981a_49384b51cdc2","iCat")</x:f>
      </x:c>
      <x:c r="M11005" s="0" t="s">
        <x:v>21</x:v>
      </x:c>
      <x:c r="N11005" s="0" t="s">
        <x:v>46</x:v>
      </x:c>
    </x:row>
    <x:row r="11006" spans="1:16">
      <x:c r="A11006" s="0" t="s">
        <x:v>43626</x:v>
      </x:c>
      <x:c r="B11006" s="0" t="s">
        <x:v>43627</x:v>
      </x:c>
      <x:c r="C11006" s="0" t="s">
        <x:v>42840</x:v>
      </x:c>
      <x:c r="E11006" s="0" t="s">
        <x:v>43628</x:v>
      </x:c>
      <x:c r="F11006" s="0" t="s">
        <x:v>45</x:v>
      </x:c>
      <x:c r="G11006" s="0" t="s">
        <x:v>30</x:v>
      </x:c>
      <x:c r="H11006" s="0" t="s">
        <x:v>20</x:v>
      </x:c>
      <x:c r="I11006" s="0" t="s">
        <x:v>21</x:v>
      </x:c>
      <x:c r="K11006" s="0">
        <x:f>hyperlink("https://icd.who.int/dev11/l-ichi/en#/http%3A%2F%2Fid.who.int%2Ficd%2Fentity%2F1751328839","browser")</x:f>
      </x:c>
      <x:c r="L11006" s="0">
        <x:f>hyperlink("https://icat2.azurewebsites.net/icat/?ontology=ICD&amp;tab=ClassesTab&amp;id=http%3A%2F%2Fwho.int%2Ficd%234440_bfdc5bfd_508c_4341_981a_49384b51cdc2","iCat")</x:f>
      </x:c>
      <x:c r="M11006" s="0" t="s">
        <x:v>21</x:v>
      </x:c>
      <x:c r="N11006" s="0" t="s">
        <x:v>46</x:v>
      </x:c>
    </x:row>
    <x:row r="11007" spans="1:16">
      <x:c r="A11007" s="0" t="s">
        <x:v>43629</x:v>
      </x:c>
      <x:c r="B11007" s="0" t="s">
        <x:v>43630</x:v>
      </x:c>
      <x:c r="C11007" s="0" t="s">
        <x:v>42840</x:v>
      </x:c>
      <x:c r="E11007" s="0" t="s">
        <x:v>43631</x:v>
      </x:c>
      <x:c r="F11007" s="0" t="s">
        <x:v>45</x:v>
      </x:c>
      <x:c r="G11007" s="0" t="s">
        <x:v>30</x:v>
      </x:c>
      <x:c r="H11007" s="0" t="s">
        <x:v>20</x:v>
      </x:c>
      <x:c r="I11007" s="0" t="s">
        <x:v>21</x:v>
      </x:c>
      <x:c r="K11007" s="0">
        <x:f>hyperlink("https://icd.who.int/dev11/l-ichi/en#/http%3A%2F%2Fid.who.int%2Ficd%2Fentity%2F1566895155","browser")</x:f>
      </x:c>
      <x:c r="L11007" s="0">
        <x:f>hyperlink("https://icat2.azurewebsites.net/icat/?ontology=ICD&amp;tab=ClassesTab&amp;id=http%3A%2F%2Fwho.int%2Ficd%234444_bfdc5bfd_508c_4341_981a_49384b51cdc2","iCat")</x:f>
      </x:c>
      <x:c r="M11007" s="0" t="s">
        <x:v>21</x:v>
      </x:c>
      <x:c r="N11007" s="0" t="s">
        <x:v>46</x:v>
      </x:c>
    </x:row>
    <x:row r="11008" spans="1:16">
      <x:c r="A11008" s="0" t="s">
        <x:v>43632</x:v>
      </x:c>
      <x:c r="B11008" s="0" t="s">
        <x:v>43633</x:v>
      </x:c>
      <x:c r="C11008" s="0" t="s">
        <x:v>42840</x:v>
      </x:c>
      <x:c r="E11008" s="0" t="s">
        <x:v>43634</x:v>
      </x:c>
      <x:c r="F11008" s="0" t="s">
        <x:v>45</x:v>
      </x:c>
      <x:c r="G11008" s="0" t="s">
        <x:v>30</x:v>
      </x:c>
      <x:c r="H11008" s="0" t="s">
        <x:v>20</x:v>
      </x:c>
      <x:c r="I11008" s="0" t="s">
        <x:v>21</x:v>
      </x:c>
      <x:c r="K11008" s="0">
        <x:f>hyperlink("https://icd.who.int/dev11/l-ichi/en#/http%3A%2F%2Fid.who.int%2Ficd%2Fentity%2F652368146","browser")</x:f>
      </x:c>
      <x:c r="L11008" s="0">
        <x:f>hyperlink("https://icat2.azurewebsites.net/icat/?ontology=ICD&amp;tab=ClassesTab&amp;id=http%3A%2F%2Fwho.int%2Ficd%234448_bfdc5bfd_508c_4341_981a_49384b51cdc2","iCat")</x:f>
      </x:c>
      <x:c r="M11008" s="0" t="s">
        <x:v>21</x:v>
      </x:c>
      <x:c r="N11008" s="0" t="s">
        <x:v>46</x:v>
      </x:c>
    </x:row>
    <x:row r="11009" spans="1:16">
      <x:c r="A11009" s="0" t="s">
        <x:v>43635</x:v>
      </x:c>
      <x:c r="B11009" s="0" t="s">
        <x:v>43636</x:v>
      </x:c>
      <x:c r="C11009" s="0" t="s">
        <x:v>42840</x:v>
      </x:c>
      <x:c r="E11009" s="0" t="s">
        <x:v>43637</x:v>
      </x:c>
      <x:c r="F11009" s="0" t="s">
        <x:v>45</x:v>
      </x:c>
      <x:c r="G11009" s="0" t="s">
        <x:v>30</x:v>
      </x:c>
      <x:c r="H11009" s="0" t="s">
        <x:v>20</x:v>
      </x:c>
      <x:c r="I11009" s="0" t="s">
        <x:v>21</x:v>
      </x:c>
      <x:c r="K11009" s="0">
        <x:f>hyperlink("https://icd.who.int/dev11/l-ichi/en#/http%3A%2F%2Fid.who.int%2Ficd%2Fentity%2F1742381269","browser")</x:f>
      </x:c>
      <x:c r="L11009" s="0">
        <x:f>hyperlink("https://icat2.azurewebsites.net/icat/?ontology=ICD&amp;tab=ClassesTab&amp;id=http%3A%2F%2Fwho.int%2Ficd%234452_bfdc5bfd_508c_4341_981a_49384b51cdc2","iCat")</x:f>
      </x:c>
      <x:c r="M11009" s="0" t="s">
        <x:v>21</x:v>
      </x:c>
      <x:c r="N11009" s="0" t="s">
        <x:v>46</x:v>
      </x:c>
    </x:row>
    <x:row r="11010" spans="1:16">
      <x:c r="A11010" s="0" t="s">
        <x:v>43638</x:v>
      </x:c>
      <x:c r="B11010" s="0" t="s">
        <x:v>43639</x:v>
      </x:c>
      <x:c r="C11010" s="0" t="s">
        <x:v>42840</x:v>
      </x:c>
      <x:c r="E11010" s="0" t="s">
        <x:v>43640</x:v>
      </x:c>
      <x:c r="F11010" s="0" t="s">
        <x:v>45</x:v>
      </x:c>
      <x:c r="G11010" s="0" t="s">
        <x:v>30</x:v>
      </x:c>
      <x:c r="H11010" s="0" t="s">
        <x:v>20</x:v>
      </x:c>
      <x:c r="I11010" s="0" t="s">
        <x:v>21</x:v>
      </x:c>
      <x:c r="K11010" s="0">
        <x:f>hyperlink("https://icd.who.int/dev11/l-ichi/en#/http%3A%2F%2Fid.who.int%2Ficd%2Fentity%2F1390240929","browser")</x:f>
      </x:c>
      <x:c r="L11010" s="0">
        <x:f>hyperlink("https://icat2.azurewebsites.net/icat/?ontology=ICD&amp;tab=ClassesTab&amp;id=http%3A%2F%2Fwho.int%2Ficd%234456_bfdc5bfd_508c_4341_981a_49384b51cdc2","iCat")</x:f>
      </x:c>
      <x:c r="M11010" s="0" t="s">
        <x:v>21</x:v>
      </x:c>
      <x:c r="N11010" s="0" t="s">
        <x:v>46</x:v>
      </x:c>
    </x:row>
    <x:row r="11011" spans="1:16">
      <x:c r="A11011" s="0" t="s">
        <x:v>43641</x:v>
      </x:c>
      <x:c r="B11011" s="0" t="s">
        <x:v>43642</x:v>
      </x:c>
      <x:c r="C11011" s="0" t="s">
        <x:v>42840</x:v>
      </x:c>
      <x:c r="E11011" s="0" t="s">
        <x:v>43643</x:v>
      </x:c>
      <x:c r="F11011" s="0" t="s">
        <x:v>45</x:v>
      </x:c>
      <x:c r="G11011" s="0" t="s">
        <x:v>30</x:v>
      </x:c>
      <x:c r="H11011" s="0" t="s">
        <x:v>20</x:v>
      </x:c>
      <x:c r="I11011" s="0" t="s">
        <x:v>21</x:v>
      </x:c>
      <x:c r="K11011" s="0">
        <x:f>hyperlink("https://icd.who.int/dev11/l-ichi/en#/http%3A%2F%2Fid.who.int%2Ficd%2Fentity%2F1108868375","browser")</x:f>
      </x:c>
      <x:c r="L11011" s="0">
        <x:f>hyperlink("https://icat2.azurewebsites.net/icat/?ontology=ICD&amp;tab=ClassesTab&amp;id=http%3A%2F%2Fwho.int%2Ficd%234460_bfdc5bfd_508c_4341_981a_49384b51cdc2","iCat")</x:f>
      </x:c>
      <x:c r="M11011" s="0" t="s">
        <x:v>21</x:v>
      </x:c>
      <x:c r="N11011" s="0" t="s">
        <x:v>46</x:v>
      </x:c>
    </x:row>
    <x:row r="11012" spans="1:16">
      <x:c r="A11012" s="0" t="s">
        <x:v>43644</x:v>
      </x:c>
      <x:c r="B11012" s="0" t="s">
        <x:v>43645</x:v>
      </x:c>
      <x:c r="C11012" s="0" t="s">
        <x:v>42840</x:v>
      </x:c>
      <x:c r="E11012" s="0" t="s">
        <x:v>43646</x:v>
      </x:c>
      <x:c r="F11012" s="0" t="s">
        <x:v>45</x:v>
      </x:c>
      <x:c r="G11012" s="0" t="s">
        <x:v>30</x:v>
      </x:c>
      <x:c r="H11012" s="0" t="s">
        <x:v>20</x:v>
      </x:c>
      <x:c r="I11012" s="0" t="s">
        <x:v>21</x:v>
      </x:c>
      <x:c r="K11012" s="0">
        <x:f>hyperlink("https://icd.who.int/dev11/l-ichi/en#/http%3A%2F%2Fid.who.int%2Ficd%2Fentity%2F1997551971","browser")</x:f>
      </x:c>
      <x:c r="L11012" s="0">
        <x:f>hyperlink("https://icat2.azurewebsites.net/icat/?ontology=ICD&amp;tab=ClassesTab&amp;id=http%3A%2F%2Fwho.int%2Ficd%234464_bfdc5bfd_508c_4341_981a_49384b51cdc2","iCat")</x:f>
      </x:c>
      <x:c r="M11012" s="0" t="s">
        <x:v>21</x:v>
      </x:c>
      <x:c r="N11012" s="0" t="s">
        <x:v>46</x:v>
      </x:c>
    </x:row>
    <x:row r="11013" spans="1:16">
      <x:c r="A11013" s="0" t="s">
        <x:v>43647</x:v>
      </x:c>
      <x:c r="B11013" s="0" t="s">
        <x:v>43648</x:v>
      </x:c>
      <x:c r="C11013" s="0" t="s">
        <x:v>42840</x:v>
      </x:c>
      <x:c r="E11013" s="0" t="s">
        <x:v>43649</x:v>
      </x:c>
      <x:c r="F11013" s="0" t="s">
        <x:v>45</x:v>
      </x:c>
      <x:c r="G11013" s="0" t="s">
        <x:v>30</x:v>
      </x:c>
      <x:c r="H11013" s="0" t="s">
        <x:v>20</x:v>
      </x:c>
      <x:c r="I11013" s="0" t="s">
        <x:v>21</x:v>
      </x:c>
      <x:c r="K11013" s="0">
        <x:f>hyperlink("https://icd.who.int/dev11/l-ichi/en#/http%3A%2F%2Fid.who.int%2Ficd%2Fentity%2F211192900","browser")</x:f>
      </x:c>
      <x:c r="L11013" s="0">
        <x:f>hyperlink("https://icat2.azurewebsites.net/icat/?ontology=ICD&amp;tab=ClassesTab&amp;id=http%3A%2F%2Fwho.int%2Ficd%234468_bfdc5bfd_508c_4341_981a_49384b51cdc2","iCat")</x:f>
      </x:c>
      <x:c r="M11013" s="0" t="s">
        <x:v>21</x:v>
      </x:c>
      <x:c r="N11013" s="0" t="s">
        <x:v>46</x:v>
      </x:c>
    </x:row>
    <x:row r="11014" spans="1:16">
      <x:c r="A11014" s="0" t="s">
        <x:v>43650</x:v>
      </x:c>
      <x:c r="B11014" s="0" t="s">
        <x:v>43651</x:v>
      </x:c>
      <x:c r="C11014" s="0" t="s">
        <x:v>42840</x:v>
      </x:c>
      <x:c r="E11014" s="0" t="s">
        <x:v>43652</x:v>
      </x:c>
      <x:c r="F11014" s="0" t="s">
        <x:v>45</x:v>
      </x:c>
      <x:c r="G11014" s="0" t="s">
        <x:v>30</x:v>
      </x:c>
      <x:c r="H11014" s="0" t="s">
        <x:v>20</x:v>
      </x:c>
      <x:c r="I11014" s="0" t="s">
        <x:v>21</x:v>
      </x:c>
      <x:c r="K11014" s="0">
        <x:f>hyperlink("https://icd.who.int/dev11/l-ichi/en#/http%3A%2F%2Fid.who.int%2Ficd%2Fentity%2F1303278981","browser")</x:f>
      </x:c>
      <x:c r="L11014" s="0">
        <x:f>hyperlink("https://icat2.azurewebsites.net/icat/?ontology=ICD&amp;tab=ClassesTab&amp;id=http%3A%2F%2Fwho.int%2Ficd%234472_bfdc5bfd_508c_4341_981a_49384b51cdc2","iCat")</x:f>
      </x:c>
      <x:c r="M11014" s="0" t="s">
        <x:v>21</x:v>
      </x:c>
      <x:c r="N11014" s="0" t="s">
        <x:v>46</x:v>
      </x:c>
    </x:row>
    <x:row r="11015" spans="1:16">
      <x:c r="A11015" s="0" t="s">
        <x:v>43653</x:v>
      </x:c>
      <x:c r="B11015" s="0" t="s">
        <x:v>43654</x:v>
      </x:c>
      <x:c r="C11015" s="0" t="s">
        <x:v>42840</x:v>
      </x:c>
      <x:c r="E11015" s="0" t="s">
        <x:v>43655</x:v>
      </x:c>
      <x:c r="F11015" s="0" t="s">
        <x:v>45</x:v>
      </x:c>
      <x:c r="G11015" s="0" t="s">
        <x:v>30</x:v>
      </x:c>
      <x:c r="H11015" s="0" t="s">
        <x:v>20</x:v>
      </x:c>
      <x:c r="I11015" s="0" t="s">
        <x:v>21</x:v>
      </x:c>
      <x:c r="K11015" s="0">
        <x:f>hyperlink("https://icd.who.int/dev11/l-ichi/en#/http%3A%2F%2Fid.who.int%2Ficd%2Fentity%2F2024387057","browser")</x:f>
      </x:c>
      <x:c r="L11015" s="0">
        <x:f>hyperlink("https://icat2.azurewebsites.net/icat/?ontology=ICD&amp;tab=ClassesTab&amp;id=http%3A%2F%2Fwho.int%2Ficd%234476_bfdc5bfd_508c_4341_981a_49384b51cdc2","iCat")</x:f>
      </x:c>
      <x:c r="M11015" s="0" t="s">
        <x:v>21</x:v>
      </x:c>
      <x:c r="N11015" s="0" t="s">
        <x:v>46</x:v>
      </x:c>
    </x:row>
    <x:row r="11016" spans="1:16">
      <x:c r="A11016" s="0" t="s">
        <x:v>43656</x:v>
      </x:c>
      <x:c r="B11016" s="0" t="s">
        <x:v>43657</x:v>
      </x:c>
      <x:c r="C11016" s="0" t="s">
        <x:v>42840</x:v>
      </x:c>
      <x:c r="E11016" s="0" t="s">
        <x:v>43658</x:v>
      </x:c>
      <x:c r="F11016" s="0" t="s">
        <x:v>45</x:v>
      </x:c>
      <x:c r="G11016" s="0" t="s">
        <x:v>30</x:v>
      </x:c>
      <x:c r="H11016" s="0" t="s">
        <x:v>20</x:v>
      </x:c>
      <x:c r="I11016" s="0" t="s">
        <x:v>21</x:v>
      </x:c>
      <x:c r="K11016" s="0">
        <x:f>hyperlink("https://icd.who.int/dev11/l-ichi/en#/http%3A%2F%2Fid.who.int%2Ficd%2Fentity%2F120922784","browser")</x:f>
      </x:c>
      <x:c r="L11016" s="0">
        <x:f>hyperlink("https://icat2.azurewebsites.net/icat/?ontology=ICD&amp;tab=ClassesTab&amp;id=http%3A%2F%2Fwho.int%2Ficd%234480_bfdc5bfd_508c_4341_981a_49384b51cdc2","iCat")</x:f>
      </x:c>
      <x:c r="M11016" s="0" t="s">
        <x:v>21</x:v>
      </x:c>
      <x:c r="N11016" s="0" t="s">
        <x:v>46</x:v>
      </x:c>
    </x:row>
    <x:row r="11017" spans="1:16">
      <x:c r="A11017" s="0" t="s">
        <x:v>43659</x:v>
      </x:c>
      <x:c r="B11017" s="0" t="s">
        <x:v>43660</x:v>
      </x:c>
      <x:c r="C11017" s="0" t="s">
        <x:v>42840</x:v>
      </x:c>
      <x:c r="E11017" s="0" t="s">
        <x:v>43661</x:v>
      </x:c>
      <x:c r="F11017" s="0" t="s">
        <x:v>45</x:v>
      </x:c>
      <x:c r="G11017" s="0" t="s">
        <x:v>30</x:v>
      </x:c>
      <x:c r="H11017" s="0" t="s">
        <x:v>20</x:v>
      </x:c>
      <x:c r="I11017" s="0" t="s">
        <x:v>21</x:v>
      </x:c>
      <x:c r="K11017" s="0">
        <x:f>hyperlink("https://icd.who.int/dev11/l-ichi/en#/http%3A%2F%2Fid.who.int%2Ficd%2Fentity%2F842196714","browser")</x:f>
      </x:c>
      <x:c r="L11017" s="0">
        <x:f>hyperlink("https://icat2.azurewebsites.net/icat/?ontology=ICD&amp;tab=ClassesTab&amp;id=http%3A%2F%2Fwho.int%2Ficd%234484_bfdc5bfd_508c_4341_981a_49384b51cdc2","iCat")</x:f>
      </x:c>
      <x:c r="M11017" s="0" t="s">
        <x:v>21</x:v>
      </x:c>
      <x:c r="N11017" s="0" t="s">
        <x:v>46</x:v>
      </x:c>
    </x:row>
    <x:row r="11018" spans="1:16">
      <x:c r="A11018" s="0" t="s">
        <x:v>43662</x:v>
      </x:c>
      <x:c r="B11018" s="0" t="s">
        <x:v>43663</x:v>
      </x:c>
      <x:c r="C11018" s="0" t="s">
        <x:v>42840</x:v>
      </x:c>
      <x:c r="E11018" s="0" t="s">
        <x:v>43664</x:v>
      </x:c>
      <x:c r="F11018" s="0" t="s">
        <x:v>45</x:v>
      </x:c>
      <x:c r="G11018" s="0" t="s">
        <x:v>30</x:v>
      </x:c>
      <x:c r="H11018" s="0" t="s">
        <x:v>20</x:v>
      </x:c>
      <x:c r="I11018" s="0" t="s">
        <x:v>21</x:v>
      </x:c>
      <x:c r="K11018" s="0">
        <x:f>hyperlink("https://icd.who.int/dev11/l-ichi/en#/http%3A%2F%2Fid.who.int%2Ficd%2Fentity%2F1236554699","browser")</x:f>
      </x:c>
      <x:c r="L11018" s="0">
        <x:f>hyperlink("https://icat2.azurewebsites.net/icat/?ontology=ICD&amp;tab=ClassesTab&amp;id=http%3A%2F%2Fwho.int%2Ficd%234488_bfdc5bfd_508c_4341_981a_49384b51cdc2","iCat")</x:f>
      </x:c>
      <x:c r="M11018" s="0" t="s">
        <x:v>21</x:v>
      </x:c>
      <x:c r="N11018" s="0" t="s">
        <x:v>46</x:v>
      </x:c>
    </x:row>
    <x:row r="11019" spans="1:16">
      <x:c r="A11019" s="0" t="s">
        <x:v>43665</x:v>
      </x:c>
      <x:c r="B11019" s="0" t="s">
        <x:v>43666</x:v>
      </x:c>
      <x:c r="C11019" s="0" t="s">
        <x:v>42840</x:v>
      </x:c>
      <x:c r="E11019" s="0" t="s">
        <x:v>43667</x:v>
      </x:c>
      <x:c r="F11019" s="0" t="s">
        <x:v>45</x:v>
      </x:c>
      <x:c r="G11019" s="0" t="s">
        <x:v>30</x:v>
      </x:c>
      <x:c r="H11019" s="0" t="s">
        <x:v>20</x:v>
      </x:c>
      <x:c r="I11019" s="0" t="s">
        <x:v>21</x:v>
      </x:c>
      <x:c r="K11019" s="0">
        <x:f>hyperlink("https://icd.who.int/dev11/l-ichi/en#/http%3A%2F%2Fid.who.int%2Ficd%2Fentity%2F143436302","browser")</x:f>
      </x:c>
      <x:c r="L11019" s="0">
        <x:f>hyperlink("https://icat2.azurewebsites.net/icat/?ontology=ICD&amp;tab=ClassesTab&amp;id=http%3A%2F%2Fwho.int%2Ficd%234492_bfdc5bfd_508c_4341_981a_49384b51cdc2","iCat")</x:f>
      </x:c>
      <x:c r="M11019" s="0" t="s">
        <x:v>21</x:v>
      </x:c>
      <x:c r="N11019" s="0" t="s">
        <x:v>46</x:v>
      </x:c>
    </x:row>
    <x:row r="11020" spans="1:16">
      <x:c r="A11020" s="0" t="s">
        <x:v>43668</x:v>
      </x:c>
      <x:c r="B11020" s="0" t="s">
        <x:v>43669</x:v>
      </x:c>
      <x:c r="C11020" s="0" t="s">
        <x:v>42840</x:v>
      </x:c>
      <x:c r="E11020" s="0" t="s">
        <x:v>43670</x:v>
      </x:c>
      <x:c r="F11020" s="0" t="s">
        <x:v>45</x:v>
      </x:c>
      <x:c r="G11020" s="0" t="s">
        <x:v>30</x:v>
      </x:c>
      <x:c r="H11020" s="0" t="s">
        <x:v>20</x:v>
      </x:c>
      <x:c r="I11020" s="0" t="s">
        <x:v>21</x:v>
      </x:c>
      <x:c r="K11020" s="0">
        <x:f>hyperlink("https://icd.who.int/dev11/l-ichi/en#/http%3A%2F%2Fid.who.int%2Ficd%2Fentity%2F1032547960","browser")</x:f>
      </x:c>
      <x:c r="L11020" s="0">
        <x:f>hyperlink("https://icat2.azurewebsites.net/icat/?ontology=ICD&amp;tab=ClassesTab&amp;id=http%3A%2F%2Fwho.int%2Ficd%234496_bfdc5bfd_508c_4341_981a_49384b51cdc2","iCat")</x:f>
      </x:c>
      <x:c r="M11020" s="0" t="s">
        <x:v>21</x:v>
      </x:c>
      <x:c r="N11020" s="0" t="s">
        <x:v>46</x:v>
      </x:c>
    </x:row>
    <x:row r="11021" spans="1:16">
      <x:c r="A11021" s="0" t="s">
        <x:v>43671</x:v>
      </x:c>
      <x:c r="B11021" s="0" t="s">
        <x:v>43672</x:v>
      </x:c>
      <x:c r="C11021" s="0" t="s">
        <x:v>42840</x:v>
      </x:c>
      <x:c r="E11021" s="0" t="s">
        <x:v>43673</x:v>
      </x:c>
      <x:c r="F11021" s="0" t="s">
        <x:v>45</x:v>
      </x:c>
      <x:c r="G11021" s="0" t="s">
        <x:v>30</x:v>
      </x:c>
      <x:c r="H11021" s="0" t="s">
        <x:v>20</x:v>
      </x:c>
      <x:c r="I11021" s="0" t="s">
        <x:v>21</x:v>
      </x:c>
      <x:c r="K11021" s="0">
        <x:f>hyperlink("https://icd.who.int/dev11/l-ichi/en#/http%3A%2F%2Fid.who.int%2Ficd%2Fentity%2F1838923207","browser")</x:f>
      </x:c>
      <x:c r="L11021" s="0">
        <x:f>hyperlink("https://icat2.azurewebsites.net/icat/?ontology=ICD&amp;tab=ClassesTab&amp;id=http%3A%2F%2Fwho.int%2Ficd%234500_bfdc5bfd_508c_4341_981a_49384b51cdc2","iCat")</x:f>
      </x:c>
      <x:c r="M11021" s="0" t="s">
        <x:v>21</x:v>
      </x:c>
      <x:c r="N11021" s="0" t="s">
        <x:v>46</x:v>
      </x:c>
    </x:row>
    <x:row r="11022" spans="1:16">
      <x:c r="A11022" s="0" t="s">
        <x:v>43674</x:v>
      </x:c>
      <x:c r="B11022" s="0" t="s">
        <x:v>43675</x:v>
      </x:c>
      <x:c r="C11022" s="0" t="s">
        <x:v>42840</x:v>
      </x:c>
      <x:c r="E11022" s="0" t="s">
        <x:v>43676</x:v>
      </x:c>
      <x:c r="F11022" s="0" t="s">
        <x:v>45</x:v>
      </x:c>
      <x:c r="G11022" s="0" t="s">
        <x:v>30</x:v>
      </x:c>
      <x:c r="H11022" s="0" t="s">
        <x:v>20</x:v>
      </x:c>
      <x:c r="I11022" s="0" t="s">
        <x:v>21</x:v>
      </x:c>
      <x:c r="K11022" s="0">
        <x:f>hyperlink("https://icd.who.int/dev11/l-ichi/en#/http%3A%2F%2Fid.who.int%2Ficd%2Fentity%2F1486649779","browser")</x:f>
      </x:c>
      <x:c r="L11022" s="0">
        <x:f>hyperlink("https://icat2.azurewebsites.net/icat/?ontology=ICD&amp;tab=ClassesTab&amp;id=http%3A%2F%2Fwho.int%2Ficd%234504_bfdc5bfd_508c_4341_981a_49384b51cdc2","iCat")</x:f>
      </x:c>
      <x:c r="M11022" s="0" t="s">
        <x:v>21</x:v>
      </x:c>
      <x:c r="N11022" s="0" t="s">
        <x:v>46</x:v>
      </x:c>
    </x:row>
    <x:row r="11023" spans="1:16">
      <x:c r="A11023" s="0" t="s">
        <x:v>43677</x:v>
      </x:c>
      <x:c r="B11023" s="0" t="s">
        <x:v>43678</x:v>
      </x:c>
      <x:c r="C11023" s="0" t="s">
        <x:v>42840</x:v>
      </x:c>
      <x:c r="E11023" s="0" t="s">
        <x:v>43679</x:v>
      </x:c>
      <x:c r="F11023" s="0" t="s">
        <x:v>45</x:v>
      </x:c>
      <x:c r="G11023" s="0" t="s">
        <x:v>30</x:v>
      </x:c>
      <x:c r="H11023" s="0" t="s">
        <x:v>20</x:v>
      </x:c>
      <x:c r="I11023" s="0" t="s">
        <x:v>21</x:v>
      </x:c>
      <x:c r="K11023" s="0">
        <x:f>hyperlink("https://icd.who.int/dev11/l-ichi/en#/http%3A%2F%2Fid.who.int%2Ficd%2Fentity%2F588958866","browser")</x:f>
      </x:c>
      <x:c r="L11023" s="0">
        <x:f>hyperlink("https://icat2.azurewebsites.net/icat/?ontology=ICD&amp;tab=ClassesTab&amp;id=http%3A%2F%2Fwho.int%2Ficd%234508_bfdc5bfd_508c_4341_981a_49384b51cdc2","iCat")</x:f>
      </x:c>
      <x:c r="M11023" s="0" t="s">
        <x:v>21</x:v>
      </x:c>
      <x:c r="N11023" s="0" t="s">
        <x:v>46</x:v>
      </x:c>
    </x:row>
    <x:row r="11024" spans="1:16">
      <x:c r="A11024" s="0" t="s">
        <x:v>43680</x:v>
      </x:c>
      <x:c r="B11024" s="0" t="s">
        <x:v>43681</x:v>
      </x:c>
      <x:c r="C11024" s="0" t="s">
        <x:v>42840</x:v>
      </x:c>
      <x:c r="E11024" s="0" t="s">
        <x:v>43682</x:v>
      </x:c>
      <x:c r="F11024" s="0" t="s">
        <x:v>45</x:v>
      </x:c>
      <x:c r="G11024" s="0" t="s">
        <x:v>30</x:v>
      </x:c>
      <x:c r="H11024" s="0" t="s">
        <x:v>20</x:v>
      </x:c>
      <x:c r="I11024" s="0" t="s">
        <x:v>21</x:v>
      </x:c>
      <x:c r="K11024" s="0">
        <x:f>hyperlink("https://icd.who.int/dev11/l-ichi/en#/http%3A%2F%2Fid.who.int%2Ficd%2Fentity%2F1646409045","browser")</x:f>
      </x:c>
      <x:c r="L11024" s="0">
        <x:f>hyperlink("https://icat2.azurewebsites.net/icat/?ontology=ICD&amp;tab=ClassesTab&amp;id=http%3A%2F%2Fwho.int%2Ficd%234512_bfdc5bfd_508c_4341_981a_49384b51cdc2","iCat")</x:f>
      </x:c>
      <x:c r="M11024" s="0" t="s">
        <x:v>21</x:v>
      </x:c>
      <x:c r="N11024" s="0" t="s">
        <x:v>46</x:v>
      </x:c>
    </x:row>
    <x:row r="11025" spans="1:16">
      <x:c r="A11025" s="0" t="s">
        <x:v>43683</x:v>
      </x:c>
      <x:c r="B11025" s="0" t="s">
        <x:v>43684</x:v>
      </x:c>
      <x:c r="C11025" s="0" t="s">
        <x:v>42840</x:v>
      </x:c>
      <x:c r="E11025" s="0" t="s">
        <x:v>43685</x:v>
      </x:c>
      <x:c r="F11025" s="0" t="s">
        <x:v>45</x:v>
      </x:c>
      <x:c r="G11025" s="0" t="s">
        <x:v>30</x:v>
      </x:c>
      <x:c r="H11025" s="0" t="s">
        <x:v>20</x:v>
      </x:c>
      <x:c r="I11025" s="0" t="s">
        <x:v>21</x:v>
      </x:c>
      <x:c r="K11025" s="0">
        <x:f>hyperlink("https://icd.who.int/dev11/l-ichi/en#/http%3A%2F%2Fid.who.int%2Ficd%2Fentity%2F1462104353","browser")</x:f>
      </x:c>
      <x:c r="L11025" s="0">
        <x:f>hyperlink("https://icat2.azurewebsites.net/icat/?ontology=ICD&amp;tab=ClassesTab&amp;id=http%3A%2F%2Fwho.int%2Ficd%234516_bfdc5bfd_508c_4341_981a_49384b51cdc2","iCat")</x:f>
      </x:c>
      <x:c r="M11025" s="0" t="s">
        <x:v>21</x:v>
      </x:c>
      <x:c r="N11025" s="0" t="s">
        <x:v>46</x:v>
      </x:c>
    </x:row>
    <x:row r="11026" spans="1:16">
      <x:c r="A11026" s="0" t="s">
        <x:v>43686</x:v>
      </x:c>
      <x:c r="B11026" s="0" t="s">
        <x:v>43687</x:v>
      </x:c>
      <x:c r="C11026" s="0" t="s">
        <x:v>42840</x:v>
      </x:c>
      <x:c r="E11026" s="0" t="s">
        <x:v>43688</x:v>
      </x:c>
      <x:c r="F11026" s="0" t="s">
        <x:v>45</x:v>
      </x:c>
      <x:c r="G11026" s="0" t="s">
        <x:v>30</x:v>
      </x:c>
      <x:c r="H11026" s="0" t="s">
        <x:v>20</x:v>
      </x:c>
      <x:c r="I11026" s="0" t="s">
        <x:v>21</x:v>
      </x:c>
      <x:c r="K11026" s="0">
        <x:f>hyperlink("https://icd.who.int/dev11/l-ichi/en#/http%3A%2F%2Fid.who.int%2Ficd%2Fentity%2F1206872215","browser")</x:f>
      </x:c>
      <x:c r="L11026" s="0">
        <x:f>hyperlink("https://icat2.azurewebsites.net/icat/?ontology=ICD&amp;tab=ClassesTab&amp;id=http%3A%2F%2Fwho.int%2Ficd%234520_bfdc5bfd_508c_4341_981a_49384b51cdc2","iCat")</x:f>
      </x:c>
      <x:c r="M11026" s="0" t="s">
        <x:v>21</x:v>
      </x:c>
      <x:c r="N11026" s="0" t="s">
        <x:v>46</x:v>
      </x:c>
    </x:row>
    <x:row r="11027" spans="1:16">
      <x:c r="A11027" s="0" t="s">
        <x:v>43689</x:v>
      </x:c>
      <x:c r="B11027" s="0" t="s">
        <x:v>43690</x:v>
      </x:c>
      <x:c r="C11027" s="0" t="s">
        <x:v>42840</x:v>
      </x:c>
      <x:c r="E11027" s="0" t="s">
        <x:v>43691</x:v>
      </x:c>
      <x:c r="F11027" s="0" t="s">
        <x:v>45</x:v>
      </x:c>
      <x:c r="G11027" s="0" t="s">
        <x:v>30</x:v>
      </x:c>
      <x:c r="H11027" s="0" t="s">
        <x:v>20</x:v>
      </x:c>
      <x:c r="I11027" s="0" t="s">
        <x:v>21</x:v>
      </x:c>
      <x:c r="K11027" s="0">
        <x:f>hyperlink("https://icd.who.int/dev11/l-ichi/en#/http%3A%2F%2Fid.who.int%2Ficd%2Fentity%2F1927851235","browser")</x:f>
      </x:c>
      <x:c r="L11027" s="0">
        <x:f>hyperlink("https://icat2.azurewebsites.net/icat/?ontology=ICD&amp;tab=ClassesTab&amp;id=http%3A%2F%2Fwho.int%2Ficd%234524_bfdc5bfd_508c_4341_981a_49384b51cdc2","iCat")</x:f>
      </x:c>
      <x:c r="M11027" s="0" t="s">
        <x:v>21</x:v>
      </x:c>
      <x:c r="N11027" s="0" t="s">
        <x:v>46</x:v>
      </x:c>
    </x:row>
    <x:row r="11028" spans="1:16">
      <x:c r="A11028" s="0" t="s">
        <x:v>43692</x:v>
      </x:c>
      <x:c r="B11028" s="0" t="s">
        <x:v>43693</x:v>
      </x:c>
      <x:c r="C11028" s="0" t="s">
        <x:v>42840</x:v>
      </x:c>
      <x:c r="E11028" s="0" t="s">
        <x:v>43694</x:v>
      </x:c>
      <x:c r="F11028" s="0" t="s">
        <x:v>45</x:v>
      </x:c>
      <x:c r="G11028" s="0" t="s">
        <x:v>30</x:v>
      </x:c>
      <x:c r="H11028" s="0" t="s">
        <x:v>20</x:v>
      </x:c>
      <x:c r="I11028" s="0" t="s">
        <x:v>21</x:v>
      </x:c>
      <x:c r="K11028" s="0">
        <x:f>hyperlink("https://icd.who.int/dev11/l-ichi/en#/http%3A%2F%2Fid.who.int%2Ficd%2Fentity%2F158210500","browser")</x:f>
      </x:c>
      <x:c r="L11028" s="0">
        <x:f>hyperlink("https://icat2.azurewebsites.net/icat/?ontology=ICD&amp;tab=ClassesTab&amp;id=http%3A%2F%2Fwho.int%2Ficd%234528_bfdc5bfd_508c_4341_981a_49384b51cdc2","iCat")</x:f>
      </x:c>
      <x:c r="M11028" s="0" t="s">
        <x:v>21</x:v>
      </x:c>
      <x:c r="N11028" s="0" t="s">
        <x:v>46</x:v>
      </x:c>
    </x:row>
    <x:row r="11029" spans="1:16">
      <x:c r="A11029" s="0" t="s">
        <x:v>43695</x:v>
      </x:c>
      <x:c r="B11029" s="0" t="s">
        <x:v>43696</x:v>
      </x:c>
      <x:c r="C11029" s="0" t="s">
        <x:v>42840</x:v>
      </x:c>
      <x:c r="E11029" s="0" t="s">
        <x:v>43697</x:v>
      </x:c>
      <x:c r="F11029" s="0" t="s">
        <x:v>45</x:v>
      </x:c>
      <x:c r="G11029" s="0" t="s">
        <x:v>30</x:v>
      </x:c>
      <x:c r="H11029" s="0" t="s">
        <x:v>20</x:v>
      </x:c>
      <x:c r="I11029" s="0" t="s">
        <x:v>21</x:v>
      </x:c>
      <x:c r="K11029" s="0">
        <x:f>hyperlink("https://icd.who.int/dev11/l-ichi/en#/http%3A%2F%2Fid.who.int%2Ficd%2Fentity%2F1213652997","browser")</x:f>
      </x:c>
      <x:c r="L11029" s="0">
        <x:f>hyperlink("https://icat2.azurewebsites.net/icat/?ontology=ICD&amp;tab=ClassesTab&amp;id=http%3A%2F%2Fwho.int%2Ficd%234532_bfdc5bfd_508c_4341_981a_49384b51cdc2","iCat")</x:f>
      </x:c>
      <x:c r="M11029" s="0" t="s">
        <x:v>21</x:v>
      </x:c>
      <x:c r="N11029" s="0" t="s">
        <x:v>46</x:v>
      </x:c>
    </x:row>
    <x:row r="11030" spans="1:16">
      <x:c r="A11030" s="0" t="s">
        <x:v>43698</x:v>
      </x:c>
      <x:c r="B11030" s="0" t="s">
        <x:v>43699</x:v>
      </x:c>
      <x:c r="C11030" s="0" t="s">
        <x:v>42840</x:v>
      </x:c>
      <x:c r="E11030" s="0" t="s">
        <x:v>43700</x:v>
      </x:c>
      <x:c r="F11030" s="0" t="s">
        <x:v>45</x:v>
      </x:c>
      <x:c r="G11030" s="0" t="s">
        <x:v>30</x:v>
      </x:c>
      <x:c r="H11030" s="0" t="s">
        <x:v>20</x:v>
      </x:c>
      <x:c r="I11030" s="0" t="s">
        <x:v>21</x:v>
      </x:c>
      <x:c r="K11030" s="0">
        <x:f>hyperlink("https://icd.who.int/dev11/l-ichi/en#/http%3A%2F%2Fid.who.int%2Ficd%2Fentity%2F2102469745","browser")</x:f>
      </x:c>
      <x:c r="L11030" s="0">
        <x:f>hyperlink("https://icat2.azurewebsites.net/icat/?ontology=ICD&amp;tab=ClassesTab&amp;id=http%3A%2F%2Fwho.int%2Ficd%234536_bfdc5bfd_508c_4341_981a_49384b51cdc2","iCat")</x:f>
      </x:c>
      <x:c r="M11030" s="0" t="s">
        <x:v>21</x:v>
      </x:c>
      <x:c r="N11030" s="0" t="s">
        <x:v>46</x:v>
      </x:c>
    </x:row>
    <x:row r="11031" spans="1:16">
      <x:c r="A11031" s="0" t="s">
        <x:v>43701</x:v>
      </x:c>
      <x:c r="B11031" s="0" t="s">
        <x:v>43702</x:v>
      </x:c>
      <x:c r="C11031" s="0" t="s">
        <x:v>42840</x:v>
      </x:c>
      <x:c r="E11031" s="0" t="s">
        <x:v>43703</x:v>
      </x:c>
      <x:c r="F11031" s="0" t="s">
        <x:v>45</x:v>
      </x:c>
      <x:c r="G11031" s="0" t="s">
        <x:v>30</x:v>
      </x:c>
      <x:c r="H11031" s="0" t="s">
        <x:v>20</x:v>
      </x:c>
      <x:c r="I11031" s="0" t="s">
        <x:v>21</x:v>
      </x:c>
      <x:c r="K11031" s="0">
        <x:f>hyperlink("https://icd.who.int/dev11/l-ichi/en#/http%3A%2F%2Fid.who.int%2Ficd%2Fentity%2F503115482","browser")</x:f>
      </x:c>
      <x:c r="L11031" s="0">
        <x:f>hyperlink("https://icat2.azurewebsites.net/icat/?ontology=ICD&amp;tab=ClassesTab&amp;id=http%3A%2F%2Fwho.int%2Ficd%234540_bfdc5bfd_508c_4341_981a_49384b51cdc2","iCat")</x:f>
      </x:c>
      <x:c r="M11031" s="0" t="s">
        <x:v>21</x:v>
      </x:c>
      <x:c r="N11031" s="0" t="s">
        <x:v>46</x:v>
      </x:c>
    </x:row>
    <x:row r="11032" spans="1:16">
      <x:c r="A11032" s="0" t="s">
        <x:v>43704</x:v>
      </x:c>
      <x:c r="B11032" s="0" t="s">
        <x:v>43705</x:v>
      </x:c>
      <x:c r="C11032" s="0" t="s">
        <x:v>42840</x:v>
      </x:c>
      <x:c r="E11032" s="0" t="s">
        <x:v>43706</x:v>
      </x:c>
      <x:c r="F11032" s="0" t="s">
        <x:v>45</x:v>
      </x:c>
      <x:c r="G11032" s="0" t="s">
        <x:v>30</x:v>
      </x:c>
      <x:c r="H11032" s="0" t="s">
        <x:v>20</x:v>
      </x:c>
      <x:c r="I11032" s="0" t="s">
        <x:v>21</x:v>
      </x:c>
      <x:c r="K11032" s="0">
        <x:f>hyperlink("https://icd.who.int/dev11/l-ichi/en#/http%3A%2F%2Fid.who.int%2Ficd%2Fentity%2F687549104","browser")</x:f>
      </x:c>
      <x:c r="L11032" s="0">
        <x:f>hyperlink("https://icat2.azurewebsites.net/icat/?ontology=ICD&amp;tab=ClassesTab&amp;id=http%3A%2F%2Fwho.int%2Ficd%234544_bfdc5bfd_508c_4341_981a_49384b51cdc2","iCat")</x:f>
      </x:c>
      <x:c r="M11032" s="0" t="s">
        <x:v>21</x:v>
      </x:c>
      <x:c r="N11032" s="0" t="s">
        <x:v>46</x:v>
      </x:c>
    </x:row>
    <x:row r="11033" spans="1:16">
      <x:c r="A11033" s="0" t="s">
        <x:v>43707</x:v>
      </x:c>
      <x:c r="B11033" s="0" t="s">
        <x:v>43708</x:v>
      </x:c>
      <x:c r="C11033" s="0" t="s">
        <x:v>42840</x:v>
      </x:c>
      <x:c r="E11033" s="0" t="s">
        <x:v>43709</x:v>
      </x:c>
      <x:c r="F11033" s="0" t="s">
        <x:v>45</x:v>
      </x:c>
      <x:c r="G11033" s="0" t="s">
        <x:v>30</x:v>
      </x:c>
      <x:c r="H11033" s="0" t="s">
        <x:v>20</x:v>
      </x:c>
      <x:c r="I11033" s="0" t="s">
        <x:v>21</x:v>
      </x:c>
      <x:c r="K11033" s="0">
        <x:f>hyperlink("https://icd.who.int/dev11/l-ichi/en#/http%3A%2F%2Fid.who.int%2Ficd%2Fentity%2F1400741775","browser")</x:f>
      </x:c>
      <x:c r="L11033" s="0">
        <x:f>hyperlink("https://icat2.azurewebsites.net/icat/?ontology=ICD&amp;tab=ClassesTab&amp;id=http%3A%2F%2Fwho.int%2Ficd%234548_bfdc5bfd_508c_4341_981a_49384b51cdc2","iCat")</x:f>
      </x:c>
      <x:c r="M11033" s="0" t="s">
        <x:v>21</x:v>
      </x:c>
      <x:c r="N11033" s="0" t="s">
        <x:v>46</x:v>
      </x:c>
    </x:row>
    <x:row r="11034" spans="1:16">
      <x:c r="A11034" s="0" t="s">
        <x:v>43710</x:v>
      </x:c>
      <x:c r="B11034" s="0" t="s">
        <x:v>43711</x:v>
      </x:c>
      <x:c r="C11034" s="0" t="s">
        <x:v>42840</x:v>
      </x:c>
      <x:c r="E11034" s="0" t="s">
        <x:v>43712</x:v>
      </x:c>
      <x:c r="F11034" s="0" t="s">
        <x:v>45</x:v>
      </x:c>
      <x:c r="G11034" s="0" t="s">
        <x:v>30</x:v>
      </x:c>
      <x:c r="H11034" s="0" t="s">
        <x:v>20</x:v>
      </x:c>
      <x:c r="I11034" s="0" t="s">
        <x:v>21</x:v>
      </x:c>
      <x:c r="K11034" s="0">
        <x:f>hyperlink("https://icd.who.int/dev11/l-ichi/en#/http%3A%2F%2Fid.who.int%2Ficd%2Fentity%2F306538056","browser")</x:f>
      </x:c>
      <x:c r="L11034" s="0">
        <x:f>hyperlink("https://icat2.azurewebsites.net/icat/?ontology=ICD&amp;tab=ClassesTab&amp;id=http%3A%2F%2Fwho.int%2Ficd%234552_bfdc5bfd_508c_4341_981a_49384b51cdc2","iCat")</x:f>
      </x:c>
      <x:c r="M11034" s="0" t="s">
        <x:v>21</x:v>
      </x:c>
      <x:c r="N11034" s="0" t="s">
        <x:v>46</x:v>
      </x:c>
    </x:row>
    <x:row r="11035" spans="1:16">
      <x:c r="A11035" s="0" t="s">
        <x:v>43713</x:v>
      </x:c>
      <x:c r="B11035" s="0" t="s">
        <x:v>43714</x:v>
      </x:c>
      <x:c r="C11035" s="0" t="s">
        <x:v>42840</x:v>
      </x:c>
      <x:c r="E11035" s="0" t="s">
        <x:v>43715</x:v>
      </x:c>
      <x:c r="F11035" s="0" t="s">
        <x:v>45</x:v>
      </x:c>
      <x:c r="G11035" s="0" t="s">
        <x:v>30</x:v>
      </x:c>
      <x:c r="H11035" s="0" t="s">
        <x:v>20</x:v>
      </x:c>
      <x:c r="I11035" s="0" t="s">
        <x:v>21</x:v>
      </x:c>
      <x:c r="K11035" s="0">
        <x:f>hyperlink("https://icd.who.int/dev11/l-ichi/en#/http%3A%2F%2Fid.who.int%2Ficd%2Fentity%2F658678334","browser")</x:f>
      </x:c>
      <x:c r="L11035" s="0">
        <x:f>hyperlink("https://icat2.azurewebsites.net/icat/?ontology=ICD&amp;tab=ClassesTab&amp;id=http%3A%2F%2Fwho.int%2Ficd%234556_bfdc5bfd_508c_4341_981a_49384b51cdc2","iCat")</x:f>
      </x:c>
      <x:c r="M11035" s="0" t="s">
        <x:v>21</x:v>
      </x:c>
      <x:c r="N11035" s="0" t="s">
        <x:v>46</x:v>
      </x:c>
    </x:row>
    <x:row r="11036" spans="1:16">
      <x:c r="A11036" s="0" t="s">
        <x:v>43716</x:v>
      </x:c>
      <x:c r="B11036" s="0" t="s">
        <x:v>43717</x:v>
      </x:c>
      <x:c r="C11036" s="0" t="s">
        <x:v>42840</x:v>
      </x:c>
      <x:c r="E11036" s="0" t="s">
        <x:v>43718</x:v>
      </x:c>
      <x:c r="F11036" s="0" t="s">
        <x:v>45</x:v>
      </x:c>
      <x:c r="G11036" s="0" t="s">
        <x:v>30</x:v>
      </x:c>
      <x:c r="H11036" s="0" t="s">
        <x:v>20</x:v>
      </x:c>
      <x:c r="I11036" s="0" t="s">
        <x:v>21</x:v>
      </x:c>
      <x:c r="K11036" s="0">
        <x:f>hyperlink("https://icd.who.int/dev11/l-ichi/en#/http%3A%2F%2Fid.who.int%2Ficd%2Fentity%2F931675020","browser")</x:f>
      </x:c>
      <x:c r="L11036" s="0">
        <x:f>hyperlink("https://icat2.azurewebsites.net/icat/?ontology=ICD&amp;tab=ClassesTab&amp;id=http%3A%2F%2Fwho.int%2Ficd%234560_bfdc5bfd_508c_4341_981a_49384b51cdc2","iCat")</x:f>
      </x:c>
      <x:c r="M11036" s="0" t="s">
        <x:v>21</x:v>
      </x:c>
      <x:c r="N11036" s="0" t="s">
        <x:v>46</x:v>
      </x:c>
    </x:row>
    <x:row r="11037" spans="1:16">
      <x:c r="A11037" s="0" t="s">
        <x:v>43719</x:v>
      </x:c>
      <x:c r="B11037" s="0" t="s">
        <x:v>43720</x:v>
      </x:c>
      <x:c r="C11037" s="0" t="s">
        <x:v>42840</x:v>
      </x:c>
      <x:c r="E11037" s="0" t="s">
        <x:v>43721</x:v>
      </x:c>
      <x:c r="F11037" s="0" t="s">
        <x:v>45</x:v>
      </x:c>
      <x:c r="G11037" s="0" t="s">
        <x:v>30</x:v>
      </x:c>
      <x:c r="H11037" s="0" t="s">
        <x:v>20</x:v>
      </x:c>
      <x:c r="I11037" s="0" t="s">
        <x:v>21</x:v>
      </x:c>
      <x:c r="K11037" s="0">
        <x:f>hyperlink("https://icd.who.int/dev11/l-ichi/en#/http%3A%2F%2Fid.who.int%2Ficd%2Fentity%2F42991614","browser")</x:f>
      </x:c>
      <x:c r="L11037" s="0">
        <x:f>hyperlink("https://icat2.azurewebsites.net/icat/?ontology=ICD&amp;tab=ClassesTab&amp;id=http%3A%2F%2Fwho.int%2Ficd%234564_bfdc5bfd_508c_4341_981a_49384b51cdc2","iCat")</x:f>
      </x:c>
      <x:c r="M11037" s="0" t="s">
        <x:v>21</x:v>
      </x:c>
      <x:c r="N11037" s="0" t="s">
        <x:v>46</x:v>
      </x:c>
    </x:row>
    <x:row r="11038" spans="1:16">
      <x:c r="A11038" s="0" t="s">
        <x:v>43722</x:v>
      </x:c>
      <x:c r="B11038" s="0" t="s">
        <x:v>43723</x:v>
      </x:c>
      <x:c r="C11038" s="0" t="s">
        <x:v>42840</x:v>
      </x:c>
      <x:c r="E11038" s="0" t="s">
        <x:v>43724</x:v>
      </x:c>
      <x:c r="F11038" s="0" t="s">
        <x:v>45</x:v>
      </x:c>
      <x:c r="G11038" s="0" t="s">
        <x:v>30</x:v>
      </x:c>
      <x:c r="H11038" s="0" t="s">
        <x:v>20</x:v>
      </x:c>
      <x:c r="I11038" s="0" t="s">
        <x:v>21</x:v>
      </x:c>
      <x:c r="K11038" s="0">
        <x:f>hyperlink("https://icd.who.int/dev11/l-ichi/en#/http%3A%2F%2Fid.who.int%2Ficd%2Fentity%2F2030652127","browser")</x:f>
      </x:c>
      <x:c r="L11038" s="0">
        <x:f>hyperlink("https://icat2.azurewebsites.net/icat/?ontology=ICD&amp;tab=ClassesTab&amp;id=http%3A%2F%2Fwho.int%2Ficd%234568_bfdc5bfd_508c_4341_981a_49384b51cdc2","iCat")</x:f>
      </x:c>
      <x:c r="M11038" s="0" t="s">
        <x:v>21</x:v>
      </x:c>
      <x:c r="N11038" s="0" t="s">
        <x:v>46</x:v>
      </x:c>
    </x:row>
    <x:row r="11039" spans="1:16">
      <x:c r="A11039" s="0" t="s">
        <x:v>43725</x:v>
      </x:c>
      <x:c r="B11039" s="0" t="s">
        <x:v>43726</x:v>
      </x:c>
      <x:c r="C11039" s="0" t="s">
        <x:v>42840</x:v>
      </x:c>
      <x:c r="E11039" s="0" t="s">
        <x:v>43727</x:v>
      </x:c>
      <x:c r="F11039" s="0" t="s">
        <x:v>45</x:v>
      </x:c>
      <x:c r="G11039" s="0" t="s">
        <x:v>30</x:v>
      </x:c>
      <x:c r="H11039" s="0" t="s">
        <x:v>20</x:v>
      </x:c>
      <x:c r="I11039" s="0" t="s">
        <x:v>21</x:v>
      </x:c>
      <x:c r="K11039" s="0">
        <x:f>hyperlink("https://icd.who.int/dev11/l-ichi/en#/http%3A%2F%2Fid.who.int%2Ficd%2Fentity%2F942781210","browser")</x:f>
      </x:c>
      <x:c r="L11039" s="0">
        <x:f>hyperlink("https://icat2.azurewebsites.net/icat/?ontology=ICD&amp;tab=ClassesTab&amp;id=http%3A%2F%2Fwho.int%2Ficd%234572_bfdc5bfd_508c_4341_981a_49384b51cdc2","iCat")</x:f>
      </x:c>
      <x:c r="M11039" s="0" t="s">
        <x:v>21</x:v>
      </x:c>
      <x:c r="N11039" s="0" t="s">
        <x:v>46</x:v>
      </x:c>
    </x:row>
    <x:row r="11040" spans="1:16">
      <x:c r="A11040" s="0" t="s">
        <x:v>43728</x:v>
      </x:c>
      <x:c r="B11040" s="0" t="s">
        <x:v>43729</x:v>
      </x:c>
      <x:c r="C11040" s="0" t="s">
        <x:v>42840</x:v>
      </x:c>
      <x:c r="E11040" s="0" t="s">
        <x:v>43730</x:v>
      </x:c>
      <x:c r="F11040" s="0" t="s">
        <x:v>45</x:v>
      </x:c>
      <x:c r="G11040" s="0" t="s">
        <x:v>30</x:v>
      </x:c>
      <x:c r="H11040" s="0" t="s">
        <x:v>20</x:v>
      </x:c>
      <x:c r="I11040" s="0" t="s">
        <x:v>21</x:v>
      </x:c>
      <x:c r="K11040" s="0">
        <x:f>hyperlink("https://icd.who.int/dev11/l-ichi/en#/http%3A%2F%2Fid.who.int%2Ficd%2Fentity%2F221673324","browser")</x:f>
      </x:c>
      <x:c r="L11040" s="0">
        <x:f>hyperlink("https://icat2.azurewebsites.net/icat/?ontology=ICD&amp;tab=ClassesTab&amp;id=http%3A%2F%2Fwho.int%2Ficd%234576_bfdc5bfd_508c_4341_981a_49384b51cdc2","iCat")</x:f>
      </x:c>
      <x:c r="M11040" s="0" t="s">
        <x:v>21</x:v>
      </x:c>
      <x:c r="N11040" s="0" t="s">
        <x:v>46</x:v>
      </x:c>
    </x:row>
    <x:row r="11041" spans="1:16">
      <x:c r="A11041" s="0" t="s">
        <x:v>43731</x:v>
      </x:c>
      <x:c r="B11041" s="0" t="s">
        <x:v>43732</x:v>
      </x:c>
      <x:c r="C11041" s="0" t="s">
        <x:v>42840</x:v>
      </x:c>
      <x:c r="E11041" s="0" t="s">
        <x:v>43733</x:v>
      </x:c>
      <x:c r="F11041" s="0" t="s">
        <x:v>45</x:v>
      </x:c>
      <x:c r="G11041" s="0" t="s">
        <x:v>30</x:v>
      </x:c>
      <x:c r="H11041" s="0" t="s">
        <x:v>20</x:v>
      </x:c>
      <x:c r="I11041" s="0" t="s">
        <x:v>21</x:v>
      </x:c>
      <x:c r="K11041" s="0">
        <x:f>hyperlink("https://icd.who.int/dev11/l-ichi/en#/http%3A%2F%2Fid.who.int%2Ficd%2Fentity%2F1923802115","browser")</x:f>
      </x:c>
      <x:c r="L11041" s="0">
        <x:f>hyperlink("https://icat2.azurewebsites.net/icat/?ontology=ICD&amp;tab=ClassesTab&amp;id=http%3A%2F%2Fwho.int%2Ficd%234580_bfdc5bfd_508c_4341_981a_49384b51cdc2","iCat")</x:f>
      </x:c>
      <x:c r="M11041" s="0" t="s">
        <x:v>21</x:v>
      </x:c>
      <x:c r="N11041" s="0" t="s">
        <x:v>46</x:v>
      </x:c>
    </x:row>
    <x:row r="11042" spans="1:16">
      <x:c r="A11042" s="0" t="s">
        <x:v>43734</x:v>
      </x:c>
      <x:c r="B11042" s="0" t="s">
        <x:v>43735</x:v>
      </x:c>
      <x:c r="C11042" s="0" t="s">
        <x:v>42840</x:v>
      </x:c>
      <x:c r="E11042" s="0" t="s">
        <x:v>43736</x:v>
      </x:c>
      <x:c r="F11042" s="0" t="s">
        <x:v>45</x:v>
      </x:c>
      <x:c r="G11042" s="0" t="s">
        <x:v>30</x:v>
      </x:c>
      <x:c r="H11042" s="0" t="s">
        <x:v>20</x:v>
      </x:c>
      <x:c r="I11042" s="0" t="s">
        <x:v>21</x:v>
      </x:c>
      <x:c r="K11042" s="0">
        <x:f>hyperlink("https://icd.who.int/dev11/l-ichi/en#/http%3A%2F%2Fid.who.int%2Ficd%2Fentity%2F1202528375","browser")</x:f>
      </x:c>
      <x:c r="L11042" s="0">
        <x:f>hyperlink("https://icat2.azurewebsites.net/icat/?ontology=ICD&amp;tab=ClassesTab&amp;id=http%3A%2F%2Fwho.int%2Ficd%234584_bfdc5bfd_508c_4341_981a_49384b51cdc2","iCat")</x:f>
      </x:c>
      <x:c r="M11042" s="0" t="s">
        <x:v>21</x:v>
      </x:c>
      <x:c r="N11042" s="0" t="s">
        <x:v>46</x:v>
      </x:c>
    </x:row>
    <x:row r="11043" spans="1:16">
      <x:c r="A11043" s="0" t="s">
        <x:v>43737</x:v>
      </x:c>
      <x:c r="B11043" s="0" t="s">
        <x:v>43738</x:v>
      </x:c>
      <x:c r="C11043" s="0" t="s">
        <x:v>42840</x:v>
      </x:c>
      <x:c r="E11043" s="0" t="s">
        <x:v>43739</x:v>
      </x:c>
      <x:c r="F11043" s="0" t="s">
        <x:v>45</x:v>
      </x:c>
      <x:c r="G11043" s="0" t="s">
        <x:v>30</x:v>
      </x:c>
      <x:c r="H11043" s="0" t="s">
        <x:v>20</x:v>
      </x:c>
      <x:c r="I11043" s="0" t="s">
        <x:v>21</x:v>
      </x:c>
      <x:c r="K11043" s="0">
        <x:f>hyperlink("https://icd.who.int/dev11/l-ichi/en#/http%3A%2F%2Fid.who.int%2Ficd%2Fentity%2F1009489240","browser")</x:f>
      </x:c>
      <x:c r="L11043" s="0">
        <x:f>hyperlink("https://icat2.azurewebsites.net/icat/?ontology=ICD&amp;tab=ClassesTab&amp;id=http%3A%2F%2Fwho.int%2Ficd%234588_bfdc5bfd_508c_4341_981a_49384b51cdc2","iCat")</x:f>
      </x:c>
      <x:c r="M11043" s="0" t="s">
        <x:v>21</x:v>
      </x:c>
      <x:c r="N11043" s="0" t="s">
        <x:v>46</x:v>
      </x:c>
    </x:row>
    <x:row r="11044" spans="1:16">
      <x:c r="A11044" s="0" t="s">
        <x:v>43740</x:v>
      </x:c>
      <x:c r="B11044" s="0" t="s">
        <x:v>43741</x:v>
      </x:c>
      <x:c r="C11044" s="0" t="s">
        <x:v>42840</x:v>
      </x:c>
      <x:c r="E11044" s="0" t="s">
        <x:v>43742</x:v>
      </x:c>
      <x:c r="F11044" s="0" t="s">
        <x:v>45</x:v>
      </x:c>
      <x:c r="G11044" s="0" t="s">
        <x:v>30</x:v>
      </x:c>
      <x:c r="H11044" s="0" t="s">
        <x:v>20</x:v>
      </x:c>
      <x:c r="I11044" s="0" t="s">
        <x:v>21</x:v>
      </x:c>
      <x:c r="K11044" s="0">
        <x:f>hyperlink("https://icd.who.int/dev11/l-ichi/en#/http%3A%2F%2Fid.who.int%2Ficd%2Fentity%2F2098424977","browser")</x:f>
      </x:c>
      <x:c r="L11044" s="0">
        <x:f>hyperlink("https://icat2.azurewebsites.net/icat/?ontology=ICD&amp;tab=ClassesTab&amp;id=http%3A%2F%2Fwho.int%2Ficd%234592_bfdc5bfd_508c_4341_981a_49384b51cdc2","iCat")</x:f>
      </x:c>
      <x:c r="M11044" s="0" t="s">
        <x:v>21</x:v>
      </x:c>
      <x:c r="N11044" s="0" t="s">
        <x:v>46</x:v>
      </x:c>
    </x:row>
    <x:row r="11045" spans="1:16">
      <x:c r="A11045" s="0" t="s">
        <x:v>43743</x:v>
      </x:c>
      <x:c r="B11045" s="0" t="s">
        <x:v>43744</x:v>
      </x:c>
      <x:c r="C11045" s="0" t="s">
        <x:v>42840</x:v>
      </x:c>
      <x:c r="E11045" s="0" t="s">
        <x:v>43745</x:v>
      </x:c>
      <x:c r="F11045" s="0" t="s">
        <x:v>45</x:v>
      </x:c>
      <x:c r="G11045" s="0" t="s">
        <x:v>30</x:v>
      </x:c>
      <x:c r="H11045" s="0" t="s">
        <x:v>20</x:v>
      </x:c>
      <x:c r="I11045" s="0" t="s">
        <x:v>21</x:v>
      </x:c>
      <x:c r="K11045" s="0">
        <x:f>hyperlink("https://icd.who.int/dev11/l-ichi/en#/http%3A%2F%2Fid.who.int%2Ficd%2Fentity%2F1209313509","browser")</x:f>
      </x:c>
      <x:c r="L11045" s="0">
        <x:f>hyperlink("https://icat2.azurewebsites.net/icat/?ontology=ICD&amp;tab=ClassesTab&amp;id=http%3A%2F%2Fwho.int%2Ficd%234596_bfdc5bfd_508c_4341_981a_49384b51cdc2","iCat")</x:f>
      </x:c>
      <x:c r="M11045" s="0" t="s">
        <x:v>21</x:v>
      </x:c>
      <x:c r="N11045" s="0" t="s">
        <x:v>46</x:v>
      </x:c>
    </x:row>
    <x:row r="11046" spans="1:16">
      <x:c r="A11046" s="0" t="s">
        <x:v>43746</x:v>
      </x:c>
      <x:c r="B11046" s="0" t="s">
        <x:v>43747</x:v>
      </x:c>
      <x:c r="C11046" s="0" t="s">
        <x:v>42840</x:v>
      </x:c>
      <x:c r="E11046" s="0" t="s">
        <x:v>43748</x:v>
      </x:c>
      <x:c r="F11046" s="0" t="s">
        <x:v>45</x:v>
      </x:c>
      <x:c r="G11046" s="0" t="s">
        <x:v>30</x:v>
      </x:c>
      <x:c r="H11046" s="0" t="s">
        <x:v>20</x:v>
      </x:c>
      <x:c r="I11046" s="0" t="s">
        <x:v>21</x:v>
      </x:c>
      <x:c r="K11046" s="0">
        <x:f>hyperlink("https://icd.who.int/dev11/l-ichi/en#/http%3A%2F%2Fid.who.int%2Ficd%2Fentity%2F214174112","browser")</x:f>
      </x:c>
      <x:c r="L11046" s="0">
        <x:f>hyperlink("https://icat2.azurewebsites.net/icat/?ontology=ICD&amp;tab=ClassesTab&amp;id=http%3A%2F%2Fwho.int%2Ficd%234600_bfdc5bfd_508c_4341_981a_49384b51cdc2","iCat")</x:f>
      </x:c>
      <x:c r="M11046" s="0" t="s">
        <x:v>21</x:v>
      </x:c>
      <x:c r="N11046" s="0" t="s">
        <x:v>46</x:v>
      </x:c>
    </x:row>
    <x:row r="11047" spans="1:16">
      <x:c r="A11047" s="0" t="s">
        <x:v>43749</x:v>
      </x:c>
      <x:c r="B11047" s="0" t="s">
        <x:v>43750</x:v>
      </x:c>
      <x:c r="C11047" s="0" t="s">
        <x:v>42840</x:v>
      </x:c>
      <x:c r="E11047" s="0" t="s">
        <x:v>43751</x:v>
      </x:c>
      <x:c r="F11047" s="0" t="s">
        <x:v>45</x:v>
      </x:c>
      <x:c r="G11047" s="0" t="s">
        <x:v>30</x:v>
      </x:c>
      <x:c r="H11047" s="0" t="s">
        <x:v>20</x:v>
      </x:c>
      <x:c r="I11047" s="0" t="s">
        <x:v>21</x:v>
      </x:c>
      <x:c r="K11047" s="0">
        <x:f>hyperlink("https://icd.who.int/dev11/l-ichi/en#/http%3A%2F%2Fid.who.int%2Ficd%2Fentity%2F969133546","browser")</x:f>
      </x:c>
      <x:c r="L11047" s="0">
        <x:f>hyperlink("https://icat2.azurewebsites.net/icat/?ontology=ICD&amp;tab=ClassesTab&amp;id=http%3A%2F%2Fwho.int%2Ficd%234604_bfdc5bfd_508c_4341_981a_49384b51cdc2","iCat")</x:f>
      </x:c>
      <x:c r="M11047" s="0" t="s">
        <x:v>21</x:v>
      </x:c>
      <x:c r="N11047" s="0" t="s">
        <x:v>46</x:v>
      </x:c>
    </x:row>
    <x:row r="11048" spans="1:16">
      <x:c r="A11048" s="0" t="s">
        <x:v>43752</x:v>
      </x:c>
      <x:c r="B11048" s="0" t="s">
        <x:v>43753</x:v>
      </x:c>
      <x:c r="C11048" s="0" t="s">
        <x:v>42840</x:v>
      </x:c>
      <x:c r="E11048" s="0" t="s">
        <x:v>43754</x:v>
      </x:c>
      <x:c r="F11048" s="0" t="s">
        <x:v>45</x:v>
      </x:c>
      <x:c r="G11048" s="0" t="s">
        <x:v>30</x:v>
      </x:c>
      <x:c r="H11048" s="0" t="s">
        <x:v>20</x:v>
      </x:c>
      <x:c r="I11048" s="0" t="s">
        <x:v>21</x:v>
      </x:c>
      <x:c r="K11048" s="0">
        <x:f>hyperlink("https://icd.who.int/dev11/l-ichi/en#/http%3A%2F%2Fid.who.int%2Ficd%2Fentity%2F1111849163","browser")</x:f>
      </x:c>
      <x:c r="L11048" s="0">
        <x:f>hyperlink("https://icat2.azurewebsites.net/icat/?ontology=ICD&amp;tab=ClassesTab&amp;id=http%3A%2F%2Fwho.int%2Ficd%234608_bfdc5bfd_508c_4341_981a_49384b51cdc2","iCat")</x:f>
      </x:c>
      <x:c r="M11048" s="0" t="s">
        <x:v>21</x:v>
      </x:c>
      <x:c r="N11048" s="0" t="s">
        <x:v>46</x:v>
      </x:c>
    </x:row>
    <x:row r="11049" spans="1:16">
      <x:c r="A11049" s="0" t="s">
        <x:v>43755</x:v>
      </x:c>
      <x:c r="B11049" s="0" t="s">
        <x:v>43756</x:v>
      </x:c>
      <x:c r="C11049" s="0" t="s">
        <x:v>42840</x:v>
      </x:c>
      <x:c r="E11049" s="0" t="s">
        <x:v>43757</x:v>
      </x:c>
      <x:c r="F11049" s="0" t="s">
        <x:v>45</x:v>
      </x:c>
      <x:c r="G11049" s="0" t="s">
        <x:v>30</x:v>
      </x:c>
      <x:c r="H11049" s="0" t="s">
        <x:v>20</x:v>
      </x:c>
      <x:c r="I11049" s="0" t="s">
        <x:v>21</x:v>
      </x:c>
      <x:c r="K11049" s="0">
        <x:f>hyperlink("https://icd.who.int/dev11/l-ichi/en#/http%3A%2F%2Fid.who.int%2Ficd%2Fentity%2F58556686","browser")</x:f>
      </x:c>
      <x:c r="L11049" s="0">
        <x:f>hyperlink("https://icat2.azurewebsites.net/icat/?ontology=ICD&amp;tab=ClassesTab&amp;id=http%3A%2F%2Fwho.int%2Ficd%234612_bfdc5bfd_508c_4341_981a_49384b51cdc2","iCat")</x:f>
      </x:c>
      <x:c r="M11049" s="0" t="s">
        <x:v>21</x:v>
      </x:c>
      <x:c r="N11049" s="0" t="s">
        <x:v>46</x:v>
      </x:c>
    </x:row>
    <x:row r="11050" spans="1:16">
      <x:c r="A11050" s="0" t="s">
        <x:v>43758</x:v>
      </x:c>
      <x:c r="B11050" s="0" t="s">
        <x:v>43759</x:v>
      </x:c>
      <x:c r="C11050" s="0" t="s">
        <x:v>42840</x:v>
      </x:c>
      <x:c r="E11050" s="0" t="s">
        <x:v>43760</x:v>
      </x:c>
      <x:c r="F11050" s="0" t="s">
        <x:v>45</x:v>
      </x:c>
      <x:c r="G11050" s="0" t="s">
        <x:v>30</x:v>
      </x:c>
      <x:c r="H11050" s="0" t="s">
        <x:v>20</x:v>
      </x:c>
      <x:c r="I11050" s="0" t="s">
        <x:v>21</x:v>
      </x:c>
      <x:c r="K11050" s="0">
        <x:f>hyperlink("https://icd.who.int/dev11/l-ichi/en#/http%3A%2F%2Fid.who.int%2Ficd%2Fentity%2F913982840","browser")</x:f>
      </x:c>
      <x:c r="L11050" s="0">
        <x:f>hyperlink("https://icat2.azurewebsites.net/icat/?ontology=ICD&amp;tab=ClassesTab&amp;id=http%3A%2F%2Fwho.int%2Ficd%234616_bfdc5bfd_508c_4341_981a_49384b51cdc2","iCat")</x:f>
      </x:c>
      <x:c r="M11050" s="0" t="s">
        <x:v>21</x:v>
      </x:c>
      <x:c r="N11050" s="0" t="s">
        <x:v>46</x:v>
      </x:c>
    </x:row>
    <x:row r="11051" spans="1:16">
      <x:c r="A11051" s="0" t="s">
        <x:v>43761</x:v>
      </x:c>
      <x:c r="B11051" s="0" t="s">
        <x:v>43762</x:v>
      </x:c>
      <x:c r="C11051" s="0" t="s">
        <x:v>42840</x:v>
      </x:c>
      <x:c r="E11051" s="0" t="s">
        <x:v>43763</x:v>
      </x:c>
      <x:c r="F11051" s="0" t="s">
        <x:v>45</x:v>
      </x:c>
      <x:c r="G11051" s="0" t="s">
        <x:v>30</x:v>
      </x:c>
      <x:c r="H11051" s="0" t="s">
        <x:v>20</x:v>
      </x:c>
      <x:c r="I11051" s="0" t="s">
        <x:v>21</x:v>
      </x:c>
      <x:c r="K11051" s="0">
        <x:f>hyperlink("https://icd.who.int/dev11/l-ichi/en#/http%3A%2F%2Fid.who.int%2Ficd%2Fentity%2F649125070","browser")</x:f>
      </x:c>
      <x:c r="L11051" s="0">
        <x:f>hyperlink("https://icat2.azurewebsites.net/icat/?ontology=ICD&amp;tab=ClassesTab&amp;id=http%3A%2F%2Fwho.int%2Ficd%234620_bfdc5bfd_508c_4341_981a_49384b51cdc2","iCat")</x:f>
      </x:c>
      <x:c r="M11051" s="0" t="s">
        <x:v>21</x:v>
      </x:c>
      <x:c r="N11051" s="0" t="s">
        <x:v>46</x:v>
      </x:c>
    </x:row>
    <x:row r="11052" spans="1:16">
      <x:c r="A11052" s="0" t="s">
        <x:v>43764</x:v>
      </x:c>
      <x:c r="B11052" s="0" t="s">
        <x:v>43765</x:v>
      </x:c>
      <x:c r="C11052" s="0" t="s">
        <x:v>42840</x:v>
      </x:c>
      <x:c r="E11052" s="0" t="s">
        <x:v>43766</x:v>
      </x:c>
      <x:c r="F11052" s="0" t="s">
        <x:v>45</x:v>
      </x:c>
      <x:c r="G11052" s="0" t="s">
        <x:v>30</x:v>
      </x:c>
      <x:c r="H11052" s="0" t="s">
        <x:v>20</x:v>
      </x:c>
      <x:c r="I11052" s="0" t="s">
        <x:v>21</x:v>
      </x:c>
      <x:c r="K11052" s="0">
        <x:f>hyperlink("https://icd.who.int/dev11/l-ichi/en#/http%3A%2F%2Fid.who.int%2Ficd%2Fentity%2F330766524","browser")</x:f>
      </x:c>
      <x:c r="L11052" s="0">
        <x:f>hyperlink("https://icat2.azurewebsites.net/icat/?ontology=ICD&amp;tab=ClassesTab&amp;id=http%3A%2F%2Fwho.int%2Ficd%234624_bfdc5bfd_508c_4341_981a_49384b51cdc2","iCat")</x:f>
      </x:c>
      <x:c r="M11052" s="0" t="s">
        <x:v>21</x:v>
      </x:c>
      <x:c r="N11052" s="0" t="s">
        <x:v>46</x:v>
      </x:c>
    </x:row>
    <x:row r="11053" spans="1:16">
      <x:c r="A11053" s="0" t="s">
        <x:v>43767</x:v>
      </x:c>
      <x:c r="B11053" s="0" t="s">
        <x:v>43768</x:v>
      </x:c>
      <x:c r="C11053" s="0" t="s">
        <x:v>42840</x:v>
      </x:c>
      <x:c r="E11053" s="0" t="s">
        <x:v>43769</x:v>
      </x:c>
      <x:c r="F11053" s="0" t="s">
        <x:v>45</x:v>
      </x:c>
      <x:c r="G11053" s="0" t="s">
        <x:v>30</x:v>
      </x:c>
      <x:c r="H11053" s="0" t="s">
        <x:v>20</x:v>
      </x:c>
      <x:c r="I11053" s="0" t="s">
        <x:v>21</x:v>
      </x:c>
      <x:c r="K11053" s="0">
        <x:f>hyperlink("https://icd.who.int/dev11/l-ichi/en#/http%3A%2F%2Fid.who.int%2Ficd%2Fentity%2F1748086171","browser")</x:f>
      </x:c>
      <x:c r="L11053" s="0">
        <x:f>hyperlink("https://icat2.azurewebsites.net/icat/?ontology=ICD&amp;tab=ClassesTab&amp;id=http%3A%2F%2Fwho.int%2Ficd%234628_bfdc5bfd_508c_4341_981a_49384b51cdc2","iCat")</x:f>
      </x:c>
      <x:c r="M11053" s="0" t="s">
        <x:v>21</x:v>
      </x:c>
      <x:c r="N11053" s="0" t="s">
        <x:v>46</x:v>
      </x:c>
    </x:row>
    <x:row r="11054" spans="1:16">
      <x:c r="A11054" s="0" t="s">
        <x:v>43770</x:v>
      </x:c>
      <x:c r="B11054" s="0" t="s">
        <x:v>43771</x:v>
      </x:c>
      <x:c r="C11054" s="0" t="s">
        <x:v>42840</x:v>
      </x:c>
      <x:c r="E11054" s="0" t="s">
        <x:v>43772</x:v>
      </x:c>
      <x:c r="F11054" s="0" t="s">
        <x:v>45</x:v>
      </x:c>
      <x:c r="G11054" s="0" t="s">
        <x:v>30</x:v>
      </x:c>
      <x:c r="H11054" s="0" t="s">
        <x:v>20</x:v>
      </x:c>
      <x:c r="I11054" s="0" t="s">
        <x:v>21</x:v>
      </x:c>
      <x:c r="K11054" s="0">
        <x:f>hyperlink("https://icd.who.int/dev11/l-ichi/en#/http%3A%2F%2Fid.who.int%2Ficd%2Fentity%2F688477276","browser")</x:f>
      </x:c>
      <x:c r="L11054" s="0">
        <x:f>hyperlink("https://icat2.azurewebsites.net/icat/?ontology=ICD&amp;tab=ClassesTab&amp;id=http%3A%2F%2Fwho.int%2Ficd%234632_bfdc5bfd_508c_4341_981a_49384b51cdc2","iCat")</x:f>
      </x:c>
      <x:c r="M11054" s="0" t="s">
        <x:v>21</x:v>
      </x:c>
      <x:c r="N11054" s="0" t="s">
        <x:v>46</x:v>
      </x:c>
    </x:row>
    <x:row r="11055" spans="1:16">
      <x:c r="A11055" s="0" t="s">
        <x:v>43773</x:v>
      </x:c>
      <x:c r="B11055" s="0" t="s">
        <x:v>43774</x:v>
      </x:c>
      <x:c r="C11055" s="0" t="s">
        <x:v>42840</x:v>
      </x:c>
      <x:c r="E11055" s="0" t="s">
        <x:v>43775</x:v>
      </x:c>
      <x:c r="F11055" s="0" t="s">
        <x:v>45</x:v>
      </x:c>
      <x:c r="G11055" s="0" t="s">
        <x:v>30</x:v>
      </x:c>
      <x:c r="H11055" s="0" t="s">
        <x:v>20</x:v>
      </x:c>
      <x:c r="I11055" s="0" t="s">
        <x:v>21</x:v>
      </x:c>
      <x:c r="K11055" s="0">
        <x:f>hyperlink("https://icd.who.int/dev11/l-ichi/en#/http%3A%2F%2Fid.who.int%2Ficd%2Fentity%2F470716458","browser")</x:f>
      </x:c>
      <x:c r="L11055" s="0">
        <x:f>hyperlink("https://icat2.azurewebsites.net/icat/?ontology=ICD&amp;tab=ClassesTab&amp;id=http%3A%2F%2Fwho.int%2Ficd%234636_bfdc5bfd_508c_4341_981a_49384b51cdc2","iCat")</x:f>
      </x:c>
      <x:c r="M11055" s="0" t="s">
        <x:v>21</x:v>
      </x:c>
      <x:c r="N11055" s="0" t="s">
        <x:v>46</x:v>
      </x:c>
    </x:row>
    <x:row r="11056" spans="1:16">
      <x:c r="A11056" s="0" t="s">
        <x:v>43776</x:v>
      </x:c>
      <x:c r="B11056" s="0" t="s">
        <x:v>43777</x:v>
      </x:c>
      <x:c r="C11056" s="0" t="s">
        <x:v>42840</x:v>
      </x:c>
      <x:c r="E11056" s="0" t="s">
        <x:v>43778</x:v>
      </x:c>
      <x:c r="F11056" s="0" t="s">
        <x:v>45</x:v>
      </x:c>
      <x:c r="G11056" s="0" t="s">
        <x:v>30</x:v>
      </x:c>
      <x:c r="H11056" s="0" t="s">
        <x:v>20</x:v>
      </x:c>
      <x:c r="I11056" s="0" t="s">
        <x:v>21</x:v>
      </x:c>
      <x:c r="K11056" s="0">
        <x:f>hyperlink("https://icd.who.int/dev11/l-ichi/en#/http%3A%2F%2Fid.who.int%2Ficd%2Fentity%2F2091080323","browser")</x:f>
      </x:c>
      <x:c r="L11056" s="0">
        <x:f>hyperlink("https://icat2.azurewebsites.net/icat/?ontology=ICD&amp;tab=ClassesTab&amp;id=http%3A%2F%2Fwho.int%2Ficd%234640_bfdc5bfd_508c_4341_981a_49384b51cdc2","iCat")</x:f>
      </x:c>
      <x:c r="M11056" s="0" t="s">
        <x:v>21</x:v>
      </x:c>
      <x:c r="N11056" s="0" t="s">
        <x:v>46</x:v>
      </x:c>
    </x:row>
    <x:row r="11057" spans="1:16">
      <x:c r="A11057" s="0" t="s">
        <x:v>43779</x:v>
      </x:c>
      <x:c r="B11057" s="0" t="s">
        <x:v>43780</x:v>
      </x:c>
      <x:c r="C11057" s="0" t="s">
        <x:v>42840</x:v>
      </x:c>
      <x:c r="E11057" s="0" t="s">
        <x:v>43781</x:v>
      </x:c>
      <x:c r="F11057" s="0" t="s">
        <x:v>45</x:v>
      </x:c>
      <x:c r="G11057" s="0" t="s">
        <x:v>30</x:v>
      </x:c>
      <x:c r="H11057" s="0" t="s">
        <x:v>20</x:v>
      </x:c>
      <x:c r="I11057" s="0" t="s">
        <x:v>21</x:v>
      </x:c>
      <x:c r="K11057" s="0">
        <x:f>hyperlink("https://icd.who.int/dev11/l-ichi/en#/http%3A%2F%2Fid.who.int%2Ficd%2Fentity%2F1235525367","browser")</x:f>
      </x:c>
      <x:c r="L11057" s="0">
        <x:f>hyperlink("https://icat2.azurewebsites.net/icat/?ontology=ICD&amp;tab=ClassesTab&amp;id=http%3A%2F%2Fwho.int%2Ficd%234644_bfdc5bfd_508c_4341_981a_49384b51cdc2","iCat")</x:f>
      </x:c>
      <x:c r="M11057" s="0" t="s">
        <x:v>21</x:v>
      </x:c>
      <x:c r="N11057" s="0" t="s">
        <x:v>46</x:v>
      </x:c>
    </x:row>
    <x:row r="11058" spans="1:16">
      <x:c r="A11058" s="0" t="s">
        <x:v>43782</x:v>
      </x:c>
      <x:c r="B11058" s="0" t="s">
        <x:v>43783</x:v>
      </x:c>
      <x:c r="C11058" s="0" t="s">
        <x:v>42840</x:v>
      </x:c>
      <x:c r="E11058" s="0" t="s">
        <x:v>43784</x:v>
      </x:c>
      <x:c r="F11058" s="0" t="s">
        <x:v>45</x:v>
      </x:c>
      <x:c r="G11058" s="0" t="s">
        <x:v>30</x:v>
      </x:c>
      <x:c r="H11058" s="0" t="s">
        <x:v>20</x:v>
      </x:c>
      <x:c r="I11058" s="0" t="s">
        <x:v>21</x:v>
      </x:c>
      <x:c r="K11058" s="0">
        <x:f>hyperlink("https://icd.who.int/dev11/l-ichi/en#/http%3A%2F%2Fid.who.int%2Ficd%2Fentity%2F841100248","browser")</x:f>
      </x:c>
      <x:c r="L11058" s="0">
        <x:f>hyperlink("https://icat2.azurewebsites.net/icat/?ontology=ICD&amp;tab=ClassesTab&amp;id=http%3A%2F%2Fwho.int%2Ficd%234648_bfdc5bfd_508c_4341_981a_49384b51cdc2","iCat")</x:f>
      </x:c>
      <x:c r="M11058" s="0" t="s">
        <x:v>21</x:v>
      </x:c>
      <x:c r="N11058" s="0" t="s">
        <x:v>46</x:v>
      </x:c>
    </x:row>
    <x:row r="11059" spans="1:16">
      <x:c r="A11059" s="0" t="s">
        <x:v>43785</x:v>
      </x:c>
      <x:c r="B11059" s="0" t="s">
        <x:v>43786</x:v>
      </x:c>
      <x:c r="C11059" s="0" t="s">
        <x:v>42840</x:v>
      </x:c>
      <x:c r="E11059" s="0" t="s">
        <x:v>43787</x:v>
      </x:c>
      <x:c r="F11059" s="0" t="s">
        <x:v>45</x:v>
      </x:c>
      <x:c r="G11059" s="0" t="s">
        <x:v>30</x:v>
      </x:c>
      <x:c r="H11059" s="0" t="s">
        <x:v>20</x:v>
      </x:c>
      <x:c r="I11059" s="0" t="s">
        <x:v>21</x:v>
      </x:c>
      <x:c r="K11059" s="0">
        <x:f>hyperlink("https://icd.who.int/dev11/l-ichi/en#/http%3A%2F%2Fid.who.int%2Ficd%2Fentity%2F1931137553","browser")</x:f>
      </x:c>
      <x:c r="L11059" s="0">
        <x:f>hyperlink("https://icat2.azurewebsites.net/icat/?ontology=ICD&amp;tab=ClassesTab&amp;id=http%3A%2F%2Fwho.int%2Ficd%234652_bfdc5bfd_508c_4341_981a_49384b51cdc2","iCat")</x:f>
      </x:c>
      <x:c r="M11059" s="0" t="s">
        <x:v>21</x:v>
      </x:c>
      <x:c r="N11059" s="0" t="s">
        <x:v>46</x:v>
      </x:c>
    </x:row>
    <x:row r="11060" spans="1:16">
      <x:c r="A11060" s="0" t="s">
        <x:v>43788</x:v>
      </x:c>
      <x:c r="B11060" s="0" t="s">
        <x:v>43789</x:v>
      </x:c>
      <x:c r="C11060" s="0" t="s">
        <x:v>42840</x:v>
      </x:c>
      <x:c r="E11060" s="0" t="s">
        <x:v>43790</x:v>
      </x:c>
      <x:c r="F11060" s="0" t="s">
        <x:v>45</x:v>
      </x:c>
      <x:c r="G11060" s="0" t="s">
        <x:v>30</x:v>
      </x:c>
      <x:c r="H11060" s="0" t="s">
        <x:v>20</x:v>
      </x:c>
      <x:c r="I11060" s="0" t="s">
        <x:v>21</x:v>
      </x:c>
      <x:c r="K11060" s="0">
        <x:f>hyperlink("https://icd.who.int/dev11/l-ichi/en#/http%3A%2F%2Fid.who.int%2Ficd%2Fentity%2F1176311397","browser")</x:f>
      </x:c>
      <x:c r="L11060" s="0">
        <x:f>hyperlink("https://icat2.azurewebsites.net/icat/?ontology=ICD&amp;tab=ClassesTab&amp;id=http%3A%2F%2Fwho.int%2Ficd%234656_bfdc5bfd_508c_4341_981a_49384b51cdc2","iCat")</x:f>
      </x:c>
      <x:c r="M11060" s="0" t="s">
        <x:v>21</x:v>
      </x:c>
      <x:c r="N11060" s="0" t="s">
        <x:v>46</x:v>
      </x:c>
    </x:row>
    <x:row r="11061" spans="1:16">
      <x:c r="A11061" s="0" t="s">
        <x:v>43791</x:v>
      </x:c>
      <x:c r="B11061" s="0" t="s">
        <x:v>43792</x:v>
      </x:c>
      <x:c r="C11061" s="0" t="s">
        <x:v>42840</x:v>
      </x:c>
      <x:c r="E11061" s="0" t="s">
        <x:v>43793</x:v>
      </x:c>
      <x:c r="F11061" s="0" t="s">
        <x:v>45</x:v>
      </x:c>
      <x:c r="G11061" s="0" t="s">
        <x:v>30</x:v>
      </x:c>
      <x:c r="H11061" s="0" t="s">
        <x:v>20</x:v>
      </x:c>
      <x:c r="I11061" s="0" t="s">
        <x:v>21</x:v>
      </x:c>
      <x:c r="K11061" s="0">
        <x:f>hyperlink("https://icd.who.int/dev11/l-ichi/en#/http%3A%2F%2Fid.who.int%2Ficd%2Fentity%2F1456967635","browser")</x:f>
      </x:c>
      <x:c r="L11061" s="0">
        <x:f>hyperlink("https://icat2.azurewebsites.net/icat/?ontology=ICD&amp;tab=ClassesTab&amp;id=http%3A%2F%2Fwho.int%2Ficd%234660_bfdc5bfd_508c_4341_981a_49384b51cdc2","iCat")</x:f>
      </x:c>
      <x:c r="M11061" s="0" t="s">
        <x:v>21</x:v>
      </x:c>
      <x:c r="N11061" s="0" t="s">
        <x:v>46</x:v>
      </x:c>
    </x:row>
    <x:row r="11062" spans="1:16">
      <x:c r="A11062" s="0" t="s">
        <x:v>43794</x:v>
      </x:c>
      <x:c r="B11062" s="0" t="s">
        <x:v>43795</x:v>
      </x:c>
      <x:c r="C11062" s="0" t="s">
        <x:v>42840</x:v>
      </x:c>
      <x:c r="E11062" s="0" t="s">
        <x:v>43796</x:v>
      </x:c>
      <x:c r="F11062" s="0" t="s">
        <x:v>45</x:v>
      </x:c>
      <x:c r="G11062" s="0" t="s">
        <x:v>30</x:v>
      </x:c>
      <x:c r="H11062" s="0" t="s">
        <x:v>20</x:v>
      </x:c>
      <x:c r="I11062" s="0" t="s">
        <x:v>21</x:v>
      </x:c>
      <x:c r="K11062" s="0">
        <x:f>hyperlink("https://icd.who.int/dev11/l-ichi/en#/http%3A%2F%2Fid.who.int%2Ficd%2Fentity%2F1674595239","browser")</x:f>
      </x:c>
      <x:c r="L11062" s="0">
        <x:f>hyperlink("https://icat2.azurewebsites.net/icat/?ontology=ICD&amp;tab=ClassesTab&amp;id=http%3A%2F%2Fwho.int%2Ficd%234664_bfdc5bfd_508c_4341_981a_49384b51cdc2","iCat")</x:f>
      </x:c>
      <x:c r="M11062" s="0" t="s">
        <x:v>21</x:v>
      </x:c>
      <x:c r="N11062" s="0" t="s">
        <x:v>46</x:v>
      </x:c>
    </x:row>
    <x:row r="11063" spans="1:16">
      <x:c r="A11063" s="0" t="s">
        <x:v>43797</x:v>
      </x:c>
      <x:c r="B11063" s="0" t="s">
        <x:v>43798</x:v>
      </x:c>
      <x:c r="C11063" s="0" t="s">
        <x:v>42840</x:v>
      </x:c>
      <x:c r="E11063" s="0" t="s">
        <x:v>43799</x:v>
      </x:c>
      <x:c r="F11063" s="0" t="s">
        <x:v>45</x:v>
      </x:c>
      <x:c r="G11063" s="0" t="s">
        <x:v>30</x:v>
      </x:c>
      <x:c r="H11063" s="0" t="s">
        <x:v>20</x:v>
      </x:c>
      <x:c r="I11063" s="0" t="s">
        <x:v>21</x:v>
      </x:c>
      <x:c r="K11063" s="0">
        <x:f>hyperlink("https://icd.who.int/dev11/l-ichi/en#/http%3A%2F%2Fid.who.int%2Ficd%2Fentity%2F408354438","browser")</x:f>
      </x:c>
      <x:c r="L11063" s="0">
        <x:f>hyperlink("https://icat2.azurewebsites.net/icat/?ontology=ICD&amp;tab=ClassesTab&amp;id=http%3A%2F%2Fwho.int%2Ficd%234668_bfdc5bfd_508c_4341_981a_49384b51cdc2","iCat")</x:f>
      </x:c>
      <x:c r="M11063" s="0" t="s">
        <x:v>21</x:v>
      </x:c>
      <x:c r="N11063" s="0" t="s">
        <x:v>46</x:v>
      </x:c>
    </x:row>
    <x:row r="11064" spans="1:16">
      <x:c r="A11064" s="0" t="s">
        <x:v>43800</x:v>
      </x:c>
      <x:c r="B11064" s="0" t="s">
        <x:v>43801</x:v>
      </x:c>
      <x:c r="C11064" s="0" t="s">
        <x:v>42840</x:v>
      </x:c>
      <x:c r="E11064" s="0" t="s">
        <x:v>43802</x:v>
      </x:c>
      <x:c r="F11064" s="0" t="s">
        <x:v>45</x:v>
      </x:c>
      <x:c r="G11064" s="0" t="s">
        <x:v>30</x:v>
      </x:c>
      <x:c r="H11064" s="0" t="s">
        <x:v>20</x:v>
      </x:c>
      <x:c r="I11064" s="0" t="s">
        <x:v>21</x:v>
      </x:c>
      <x:c r="K11064" s="0">
        <x:f>hyperlink("https://icd.who.int/dev11/l-ichi/en#/http%3A%2F%2Fid.who.int%2Ficd%2Fentity%2F1500383041","browser")</x:f>
      </x:c>
      <x:c r="L11064" s="0">
        <x:f>hyperlink("https://icat2.azurewebsites.net/icat/?ontology=ICD&amp;tab=ClassesTab&amp;id=http%3A%2F%2Fwho.int%2Ficd%234672_bfdc5bfd_508c_4341_981a_49384b51cdc2","iCat")</x:f>
      </x:c>
      <x:c r="M11064" s="0" t="s">
        <x:v>21</x:v>
      </x:c>
      <x:c r="N11064" s="0" t="s">
        <x:v>46</x:v>
      </x:c>
    </x:row>
    <x:row r="11065" spans="1:16">
      <x:c r="A11065" s="0" t="s">
        <x:v>43803</x:v>
      </x:c>
      <x:c r="B11065" s="0" t="s">
        <x:v>43804</x:v>
      </x:c>
      <x:c r="C11065" s="0" t="s">
        <x:v>42840</x:v>
      </x:c>
      <x:c r="E11065" s="0" t="s">
        <x:v>43805</x:v>
      </x:c>
      <x:c r="F11065" s="0" t="s">
        <x:v>45</x:v>
      </x:c>
      <x:c r="G11065" s="0" t="s">
        <x:v>30</x:v>
      </x:c>
      <x:c r="H11065" s="0" t="s">
        <x:v>20</x:v>
      </x:c>
      <x:c r="I11065" s="0" t="s">
        <x:v>21</x:v>
      </x:c>
      <x:c r="K11065" s="0">
        <x:f>hyperlink("https://icd.who.int/dev11/l-ichi/en#/http%3A%2F%2Fid.who.int%2Ficd%2Fentity%2F1818870581","browser")</x:f>
      </x:c>
      <x:c r="L11065" s="0">
        <x:f>hyperlink("https://icat2.azurewebsites.net/icat/?ontology=ICD&amp;tab=ClassesTab&amp;id=http%3A%2F%2Fwho.int%2Ficd%234676_bfdc5bfd_508c_4341_981a_49384b51cdc2","iCat")</x:f>
      </x:c>
      <x:c r="M11065" s="0" t="s">
        <x:v>21</x:v>
      </x:c>
      <x:c r="N11065" s="0" t="s">
        <x:v>46</x:v>
      </x:c>
    </x:row>
    <x:row r="11066" spans="1:16">
      <x:c r="A11066" s="0" t="s">
        <x:v>43806</x:v>
      </x:c>
      <x:c r="B11066" s="0" t="s">
        <x:v>43807</x:v>
      </x:c>
      <x:c r="C11066" s="0" t="s">
        <x:v>42840</x:v>
      </x:c>
      <x:c r="E11066" s="0" t="s">
        <x:v>43808</x:v>
      </x:c>
      <x:c r="F11066" s="0" t="s">
        <x:v>45</x:v>
      </x:c>
      <x:c r="G11066" s="0" t="s">
        <x:v>30</x:v>
      </x:c>
      <x:c r="H11066" s="0" t="s">
        <x:v>20</x:v>
      </x:c>
      <x:c r="I11066" s="0" t="s">
        <x:v>21</x:v>
      </x:c>
      <x:c r="K11066" s="0">
        <x:f>hyperlink("https://icd.who.int/dev11/l-ichi/en#/http%3A%2F%2Fid.who.int%2Ficd%2Fentity%2F334843994","browser")</x:f>
      </x:c>
      <x:c r="L11066" s="0">
        <x:f>hyperlink("https://icat2.azurewebsites.net/icat/?ontology=ICD&amp;tab=ClassesTab&amp;id=http%3A%2F%2Fwho.int%2Ficd%234680_bfdc5bfd_508c_4341_981a_49384b51cdc2","iCat")</x:f>
      </x:c>
      <x:c r="M11066" s="0" t="s">
        <x:v>21</x:v>
      </x:c>
      <x:c r="N11066" s="0" t="s">
        <x:v>46</x:v>
      </x:c>
    </x:row>
    <x:row r="11067" spans="1:16">
      <x:c r="A11067" s="0" t="s">
        <x:v>43809</x:v>
      </x:c>
      <x:c r="B11067" s="0" t="s">
        <x:v>43810</x:v>
      </x:c>
      <x:c r="C11067" s="0" t="s">
        <x:v>42840</x:v>
      </x:c>
      <x:c r="E11067" s="0" t="s">
        <x:v>43811</x:v>
      </x:c>
      <x:c r="F11067" s="0" t="s">
        <x:v>45</x:v>
      </x:c>
      <x:c r="G11067" s="0" t="s">
        <x:v>30</x:v>
      </x:c>
      <x:c r="H11067" s="0" t="s">
        <x:v>20</x:v>
      </x:c>
      <x:c r="I11067" s="0" t="s">
        <x:v>21</x:v>
      </x:c>
      <x:c r="K11067" s="0">
        <x:f>hyperlink("https://icd.who.int/dev11/l-ichi/en#/http%3A%2F%2Fid.who.int%2Ficd%2Fentity%2F653431856","browser")</x:f>
      </x:c>
      <x:c r="L11067" s="0">
        <x:f>hyperlink("https://icat2.azurewebsites.net/icat/?ontology=ICD&amp;tab=ClassesTab&amp;id=http%3A%2F%2Fwho.int%2Ficd%234684_bfdc5bfd_508c_4341_981a_49384b51cdc2","iCat")</x:f>
      </x:c>
      <x:c r="M11067" s="0" t="s">
        <x:v>21</x:v>
      </x:c>
      <x:c r="N11067" s="0" t="s">
        <x:v>46</x:v>
      </x:c>
    </x:row>
    <x:row r="11068" spans="1:16">
      <x:c r="A11068" s="0" t="s">
        <x:v>43812</x:v>
      </x:c>
      <x:c r="B11068" s="0" t="s">
        <x:v>43813</x:v>
      </x:c>
      <x:c r="C11068" s="0" t="s">
        <x:v>42840</x:v>
      </x:c>
      <x:c r="E11068" s="0" t="s">
        <x:v>43814</x:v>
      </x:c>
      <x:c r="F11068" s="0" t="s">
        <x:v>45</x:v>
      </x:c>
      <x:c r="G11068" s="0" t="s">
        <x:v>30</x:v>
      </x:c>
      <x:c r="H11068" s="0" t="s">
        <x:v>20</x:v>
      </x:c>
      <x:c r="I11068" s="0" t="s">
        <x:v>21</x:v>
      </x:c>
      <x:c r="K11068" s="0">
        <x:f>hyperlink("https://icd.who.int/dev11/l-ichi/en#/http%3A%2F%2Fid.who.int%2Ficd%2Fentity%2F1567891727","browser")</x:f>
      </x:c>
      <x:c r="L11068" s="0">
        <x:f>hyperlink("https://icat2.azurewebsites.net/icat/?ontology=ICD&amp;tab=ClassesTab&amp;id=http%3A%2F%2Fwho.int%2Ficd%234688_bfdc5bfd_508c_4341_981a_49384b51cdc2","iCat")</x:f>
      </x:c>
      <x:c r="M11068" s="0" t="s">
        <x:v>21</x:v>
      </x:c>
      <x:c r="N11068" s="0" t="s">
        <x:v>46</x:v>
      </x:c>
    </x:row>
    <x:row r="11069" spans="1:16">
      <x:c r="A11069" s="0" t="s">
        <x:v>43815</x:v>
      </x:c>
      <x:c r="B11069" s="0" t="s">
        <x:v>43816</x:v>
      </x:c>
      <x:c r="C11069" s="0" t="s">
        <x:v>42840</x:v>
      </x:c>
      <x:c r="E11069" s="0" t="s">
        <x:v>43817</x:v>
      </x:c>
      <x:c r="F11069" s="0" t="s">
        <x:v>45</x:v>
      </x:c>
      <x:c r="G11069" s="0" t="s">
        <x:v>30</x:v>
      </x:c>
      <x:c r="H11069" s="0" t="s">
        <x:v>20</x:v>
      </x:c>
      <x:c r="I11069" s="0" t="s">
        <x:v>21</x:v>
      </x:c>
      <x:c r="K11069" s="0">
        <x:f>hyperlink("https://icd.who.int/dev11/l-ichi/en#/http%3A%2F%2Fid.who.int%2Ficd%2Fentity%2F474798280","browser")</x:f>
      </x:c>
      <x:c r="L11069" s="0">
        <x:f>hyperlink("https://icat2.azurewebsites.net/icat/?ontology=ICD&amp;tab=ClassesTab&amp;id=http%3A%2F%2Fwho.int%2Ficd%234692_bfdc5bfd_508c_4341_981a_49384b51cdc2","iCat")</x:f>
      </x:c>
      <x:c r="M11069" s="0" t="s">
        <x:v>21</x:v>
      </x:c>
      <x:c r="N11069" s="0" t="s">
        <x:v>46</x:v>
      </x:c>
    </x:row>
    <x:row r="11070" spans="1:16">
      <x:c r="A11070" s="0" t="s">
        <x:v>43818</x:v>
      </x:c>
      <x:c r="B11070" s="0" t="s">
        <x:v>43819</x:v>
      </x:c>
      <x:c r="C11070" s="0" t="s">
        <x:v>42840</x:v>
      </x:c>
      <x:c r="E11070" s="0" t="s">
        <x:v>43820</x:v>
      </x:c>
      <x:c r="F11070" s="0" t="s">
        <x:v>45</x:v>
      </x:c>
      <x:c r="G11070" s="0" t="s">
        <x:v>30</x:v>
      </x:c>
      <x:c r="H11070" s="0" t="s">
        <x:v>20</x:v>
      </x:c>
      <x:c r="I11070" s="0" t="s">
        <x:v>21</x:v>
      </x:c>
      <x:c r="K11070" s="0">
        <x:f>hyperlink("https://icd.who.int/dev11/l-ichi/en#/http%3A%2F%2Fid.who.int%2Ficd%2Fentity%2F692788414","browser")</x:f>
      </x:c>
      <x:c r="L11070" s="0">
        <x:f>hyperlink("https://icat2.azurewebsites.net/icat/?ontology=ICD&amp;tab=ClassesTab&amp;id=http%3A%2F%2Fwho.int%2Ficd%234696_bfdc5bfd_508c_4341_981a_49384b51cdc2","iCat")</x:f>
      </x:c>
      <x:c r="M11070" s="0" t="s">
        <x:v>21</x:v>
      </x:c>
      <x:c r="N11070" s="0" t="s">
        <x:v>46</x:v>
      </x:c>
    </x:row>
    <x:row r="11071" spans="1:16">
      <x:c r="A11071" s="0" t="s">
        <x:v>43821</x:v>
      </x:c>
      <x:c r="B11071" s="0" t="s">
        <x:v>43822</x:v>
      </x:c>
      <x:c r="C11071" s="0" t="s">
        <x:v>42840</x:v>
      </x:c>
      <x:c r="E11071" s="0" t="s">
        <x:v>43823</x:v>
      </x:c>
      <x:c r="F11071" s="0" t="s">
        <x:v>45</x:v>
      </x:c>
      <x:c r="G11071" s="0" t="s">
        <x:v>30</x:v>
      </x:c>
      <x:c r="H11071" s="0" t="s">
        <x:v>20</x:v>
      </x:c>
      <x:c r="I11071" s="0" t="s">
        <x:v>21</x:v>
      </x:c>
      <x:c r="K11071" s="0">
        <x:f>hyperlink("https://icd.who.int/dev11/l-ichi/en#/http%3A%2F%2Fid.who.int%2Ficd%2Fentity%2F2036059907","browser")</x:f>
      </x:c>
      <x:c r="L11071" s="0">
        <x:f>hyperlink("https://icat2.azurewebsites.net/icat/?ontology=ICD&amp;tab=ClassesTab&amp;id=http%3A%2F%2Fwho.int%2Ficd%234700_bfdc5bfd_508c_4341_981a_49384b51cdc2","iCat")</x:f>
      </x:c>
      <x:c r="M11071" s="0" t="s">
        <x:v>21</x:v>
      </x:c>
      <x:c r="N11071" s="0" t="s">
        <x:v>46</x:v>
      </x:c>
    </x:row>
    <x:row r="11072" spans="1:16">
      <x:c r="A11072" s="0" t="s">
        <x:v>43824</x:v>
      </x:c>
      <x:c r="B11072" s="0" t="s">
        <x:v>43825</x:v>
      </x:c>
      <x:c r="C11072" s="0" t="s">
        <x:v>42840</x:v>
      </x:c>
      <x:c r="E11072" s="0" t="s">
        <x:v>43826</x:v>
      </x:c>
      <x:c r="F11072" s="0" t="s">
        <x:v>45</x:v>
      </x:c>
      <x:c r="G11072" s="0" t="s">
        <x:v>30</x:v>
      </x:c>
      <x:c r="H11072" s="0" t="s">
        <x:v>20</x:v>
      </x:c>
      <x:c r="I11072" s="0" t="s">
        <x:v>21</x:v>
      </x:c>
      <x:c r="K11072" s="0">
        <x:f>hyperlink("https://icd.who.int/dev11/l-ichi/en#/http%3A%2F%2Fid.who.int%2Ficd%2Fentity%2F1281100663","browser")</x:f>
      </x:c>
      <x:c r="L11072" s="0">
        <x:f>hyperlink("https://icat2.azurewebsites.net/icat/?ontology=ICD&amp;tab=ClassesTab&amp;id=http%3A%2F%2Fwho.int%2Ficd%234704_bfdc5bfd_508c_4341_981a_49384b51cdc2","iCat")</x:f>
      </x:c>
      <x:c r="M11072" s="0" t="s">
        <x:v>21</x:v>
      </x:c>
      <x:c r="N11072" s="0" t="s">
        <x:v>46</x:v>
      </x:c>
    </x:row>
    <x:row r="11073" spans="1:16">
      <x:c r="A11073" s="0" t="s">
        <x:v>43827</x:v>
      </x:c>
      <x:c r="B11073" s="0" t="s">
        <x:v>43828</x:v>
      </x:c>
      <x:c r="C11073" s="0" t="s">
        <x:v>42840</x:v>
      </x:c>
      <x:c r="E11073" s="0" t="s">
        <x:v>43829</x:v>
      </x:c>
      <x:c r="F11073" s="0" t="s">
        <x:v>45</x:v>
      </x:c>
      <x:c r="G11073" s="0" t="s">
        <x:v>30</x:v>
      </x:c>
      <x:c r="H11073" s="0" t="s">
        <x:v>20</x:v>
      </x:c>
      <x:c r="I11073" s="0" t="s">
        <x:v>21</x:v>
      </x:c>
      <x:c r="K11073" s="0">
        <x:f>hyperlink("https://icd.who.int/dev11/l-ichi/en#/http%3A%2F%2Fid.who.int%2Ficd%2Fentity%2F937082456","browser")</x:f>
      </x:c>
      <x:c r="L11073" s="0">
        <x:f>hyperlink("https://icat2.azurewebsites.net/icat/?ontology=ICD&amp;tab=ClassesTab&amp;id=http%3A%2F%2Fwho.int%2Ficd%234708_bfdc5bfd_508c_4341_981a_49384b51cdc2","iCat")</x:f>
      </x:c>
      <x:c r="M11073" s="0" t="s">
        <x:v>21</x:v>
      </x:c>
      <x:c r="N11073" s="0" t="s">
        <x:v>46</x:v>
      </x:c>
    </x:row>
    <x:row r="11074" spans="1:16">
      <x:c r="A11074" s="0" t="s">
        <x:v>43830</x:v>
      </x:c>
      <x:c r="B11074" s="0" t="s">
        <x:v>43831</x:v>
      </x:c>
      <x:c r="C11074" s="0" t="s">
        <x:v>42840</x:v>
      </x:c>
      <x:c r="E11074" s="0" t="s">
        <x:v>43832</x:v>
      </x:c>
      <x:c r="F11074" s="0" t="s">
        <x:v>45</x:v>
      </x:c>
      <x:c r="G11074" s="0" t="s">
        <x:v>30</x:v>
      </x:c>
      <x:c r="H11074" s="0" t="s">
        <x:v>20</x:v>
      </x:c>
      <x:c r="I11074" s="0" t="s">
        <x:v>21</x:v>
      </x:c>
      <x:c r="K11074" s="0">
        <x:f>hyperlink("https://icd.who.int/dev11/l-ichi/en#/http%3A%2F%2Fid.who.int%2Ficd%2Fentity%2F1994540945","browser")</x:f>
      </x:c>
      <x:c r="L11074" s="0">
        <x:f>hyperlink("https://icat2.azurewebsites.net/icat/?ontology=ICD&amp;tab=ClassesTab&amp;id=http%3A%2F%2Fwho.int%2Ficd%234712_bfdc5bfd_508c_4341_981a_49384b51cdc2","iCat")</x:f>
      </x:c>
      <x:c r="M11074" s="0" t="s">
        <x:v>21</x:v>
      </x:c>
      <x:c r="N11074" s="0" t="s">
        <x:v>46</x:v>
      </x:c>
    </x:row>
    <x:row r="11075" spans="1:16">
      <x:c r="A11075" s="0" t="s">
        <x:v>43833</x:v>
      </x:c>
      <x:c r="B11075" s="0" t="s">
        <x:v>43834</x:v>
      </x:c>
      <x:c r="C11075" s="0" t="s">
        <x:v>42840</x:v>
      </x:c>
      <x:c r="E11075" s="0" t="s">
        <x:v>43835</x:v>
      </x:c>
      <x:c r="F11075" s="0" t="s">
        <x:v>45</x:v>
      </x:c>
      <x:c r="G11075" s="0" t="s">
        <x:v>30</x:v>
      </x:c>
      <x:c r="H11075" s="0" t="s">
        <x:v>20</x:v>
      </x:c>
      <x:c r="I11075" s="0" t="s">
        <x:v>21</x:v>
      </x:c>
      <x:c r="K11075" s="0">
        <x:f>hyperlink("https://icd.who.int/dev11/l-ichi/en#/http%3A%2F%2Fid.who.int%2Ficd%2Fentity%2F1139114981","browser")</x:f>
      </x:c>
      <x:c r="L11075" s="0">
        <x:f>hyperlink("https://icat2.azurewebsites.net/icat/?ontology=ICD&amp;tab=ClassesTab&amp;id=http%3A%2F%2Fwho.int%2Ficd%234716_bfdc5bfd_508c_4341_981a_49384b51cdc2","iCat")</x:f>
      </x:c>
      <x:c r="M11075" s="0" t="s">
        <x:v>21</x:v>
      </x:c>
      <x:c r="N11075" s="0" t="s">
        <x:v>46</x:v>
      </x:c>
    </x:row>
    <x:row r="11076" spans="1:16">
      <x:c r="A11076" s="0" t="s">
        <x:v>43836</x:v>
      </x:c>
      <x:c r="B11076" s="0" t="s">
        <x:v>43837</x:v>
      </x:c>
      <x:c r="C11076" s="0" t="s">
        <x:v>42840</x:v>
      </x:c>
      <x:c r="E11076" s="0" t="s">
        <x:v>43838</x:v>
      </x:c>
      <x:c r="F11076" s="0" t="s">
        <x:v>45</x:v>
      </x:c>
      <x:c r="G11076" s="0" t="s">
        <x:v>30</x:v>
      </x:c>
      <x:c r="H11076" s="0" t="s">
        <x:v>20</x:v>
      </x:c>
      <x:c r="I11076" s="0" t="s">
        <x:v>21</x:v>
      </x:c>
      <x:c r="K11076" s="0">
        <x:f>hyperlink("https://icd.who.int/dev11/l-ichi/en#/http%3A%2F%2Fid.who.int%2Ficd%2Fentity%2F1395595859","browser")</x:f>
      </x:c>
      <x:c r="L11076" s="0">
        <x:f>hyperlink("https://icat2.azurewebsites.net/icat/?ontology=ICD&amp;tab=ClassesTab&amp;id=http%3A%2F%2Fwho.int%2Ficd%234720_bfdc5bfd_508c_4341_981a_49384b51cdc2","iCat")</x:f>
      </x:c>
      <x:c r="M11076" s="0" t="s">
        <x:v>21</x:v>
      </x:c>
      <x:c r="N11076" s="0" t="s">
        <x:v>46</x:v>
      </x:c>
    </x:row>
    <x:row r="11077" spans="1:16">
      <x:c r="A11077" s="0" t="s">
        <x:v>43839</x:v>
      </x:c>
      <x:c r="B11077" s="0" t="s">
        <x:v>43840</x:v>
      </x:c>
      <x:c r="C11077" s="0" t="s">
        <x:v>42840</x:v>
      </x:c>
      <x:c r="E11077" s="0" t="s">
        <x:v>43841</x:v>
      </x:c>
      <x:c r="F11077" s="0" t="s">
        <x:v>45</x:v>
      </x:c>
      <x:c r="G11077" s="0" t="s">
        <x:v>30</x:v>
      </x:c>
      <x:c r="H11077" s="0" t="s">
        <x:v>20</x:v>
      </x:c>
      <x:c r="I11077" s="0" t="s">
        <x:v>21</x:v>
      </x:c>
      <x:c r="K11077" s="0">
        <x:f>hyperlink("https://icd.who.int/dev11/l-ichi/en#/http%3A%2F%2Fid.who.int%2Ficd%2Fentity%2F1713954343","browser")</x:f>
      </x:c>
      <x:c r="L11077" s="0">
        <x:f>hyperlink("https://icat2.azurewebsites.net/icat/?ontology=ICD&amp;tab=ClassesTab&amp;id=http%3A%2F%2Fwho.int%2Ficd%234724_bfdc5bfd_508c_4341_981a_49384b51cdc2","iCat")</x:f>
      </x:c>
      <x:c r="M11077" s="0" t="s">
        <x:v>21</x:v>
      </x:c>
      <x:c r="N11077" s="0" t="s">
        <x:v>46</x:v>
      </x:c>
    </x:row>
    <x:row r="11078" spans="1:16">
      <x:c r="A11078" s="0" t="s">
        <x:v>43842</x:v>
      </x:c>
      <x:c r="B11078" s="0" t="s">
        <x:v>43843</x:v>
      </x:c>
      <x:c r="C11078" s="0" t="s">
        <x:v>42840</x:v>
      </x:c>
      <x:c r="E11078" s="0" t="s">
        <x:v>43844</x:v>
      </x:c>
      <x:c r="F11078" s="0" t="s">
        <x:v>45</x:v>
      </x:c>
      <x:c r="G11078" s="0" t="s">
        <x:v>30</x:v>
      </x:c>
      <x:c r="H11078" s="0" t="s">
        <x:v>20</x:v>
      </x:c>
      <x:c r="I11078" s="0" t="s">
        <x:v>21</x:v>
      </x:c>
      <x:c r="K11078" s="0">
        <x:f>hyperlink("https://icd.who.int/dev11/l-ichi/en#/http%3A%2F%2Fid.who.int%2Ficd%2Fentity%2F497969926","browser")</x:f>
      </x:c>
      <x:c r="L11078" s="0">
        <x:f>hyperlink("https://icat2.azurewebsites.net/icat/?ontology=ICD&amp;tab=ClassesTab&amp;id=http%3A%2F%2Fwho.int%2Ficd%234728_bfdc5bfd_508c_4341_981a_49384b51cdc2","iCat")</x:f>
      </x:c>
      <x:c r="M11078" s="0" t="s">
        <x:v>21</x:v>
      </x:c>
      <x:c r="N11078" s="0" t="s">
        <x:v>46</x:v>
      </x:c>
    </x:row>
    <x:row r="11079" spans="1:16">
      <x:c r="A11079" s="0" t="s">
        <x:v>43845</x:v>
      </x:c>
      <x:c r="B11079" s="0" t="s">
        <x:v>43846</x:v>
      </x:c>
      <x:c r="C11079" s="0" t="s">
        <x:v>42840</x:v>
      </x:c>
      <x:c r="E11079" s="0" t="s">
        <x:v>43847</x:v>
      </x:c>
      <x:c r="F11079" s="0" t="s">
        <x:v>45</x:v>
      </x:c>
      <x:c r="G11079" s="0" t="s">
        <x:v>30</x:v>
      </x:c>
      <x:c r="H11079" s="0" t="s">
        <x:v>20</x:v>
      </x:c>
      <x:c r="I11079" s="0" t="s">
        <x:v>21</x:v>
      </x:c>
      <x:c r="K11079" s="0">
        <x:f>hyperlink("https://icd.who.int/dev11/l-ichi/en#/http%3A%2F%2Fid.who.int%2Ficd%2Fentity%2F1553371841","browser")</x:f>
      </x:c>
      <x:c r="L11079" s="0">
        <x:f>hyperlink("https://icat2.azurewebsites.net/icat/?ontology=ICD&amp;tab=ClassesTab&amp;id=http%3A%2F%2Fwho.int%2Ficd%234732_bfdc5bfd_508c_4341_981a_49384b51cdc2","iCat")</x:f>
      </x:c>
      <x:c r="M11079" s="0" t="s">
        <x:v>21</x:v>
      </x:c>
      <x:c r="N11079" s="0" t="s">
        <x:v>46</x:v>
      </x:c>
    </x:row>
    <x:row r="11080" spans="1:16">
      <x:c r="A11080" s="0" t="s">
        <x:v>43848</x:v>
      </x:c>
      <x:c r="B11080" s="0" t="s">
        <x:v>43849</x:v>
      </x:c>
      <x:c r="C11080" s="0" t="s">
        <x:v>42840</x:v>
      </x:c>
      <x:c r="E11080" s="0" t="s">
        <x:v>43850</x:v>
      </x:c>
      <x:c r="F11080" s="0" t="s">
        <x:v>45</x:v>
      </x:c>
      <x:c r="G11080" s="0" t="s">
        <x:v>19</x:v>
      </x:c>
      <x:c r="H11080" s="0" t="s">
        <x:v>20</x:v>
      </x:c>
      <x:c r="I11080" s="0" t="s">
        <x:v>21</x:v>
      </x:c>
      <x:c r="K11080" s="0">
        <x:f>hyperlink("https://icd.who.int/dev11/l-ichi/en#/http%3A%2F%2Fid.who.int%2Ficd%2Fentity%2F974232433","browser")</x:f>
      </x:c>
      <x:c r="L11080" s="0">
        <x:f>hyperlink("https://icat2.azurewebsites.net/icat/?ontology=ICD&amp;tab=ClassesTab&amp;id=http%3A%2F%2Fwho.int%2Ficd%234804_bfdc5bfd_508c_4341_981a_49384b51cdc2","iCat")</x:f>
      </x:c>
      <x:c r="M11080" s="0" t="s">
        <x:v>20</x:v>
      </x:c>
      <x:c r="N11080" s="0" t="s">
        <x:v>35</x:v>
      </x:c>
    </x:row>
    <x:row r="11081" spans="1:16">
      <x:c r="A11081" s="0" t="s">
        <x:v>43851</x:v>
      </x:c>
      <x:c r="B11081" s="0" t="s">
        <x:v>43852</x:v>
      </x:c>
      <x:c r="C11081" s="0" t="s">
        <x:v>42840</x:v>
      </x:c>
      <x:c r="E11081" s="0" t="s">
        <x:v>43853</x:v>
      </x:c>
      <x:c r="F11081" s="0" t="s">
        <x:v>45</x:v>
      </x:c>
      <x:c r="G11081" s="0" t="s">
        <x:v>30</x:v>
      </x:c>
      <x:c r="H11081" s="0" t="s">
        <x:v>20</x:v>
      </x:c>
      <x:c r="I11081" s="0" t="s">
        <x:v>21</x:v>
      </x:c>
      <x:c r="K11081" s="0">
        <x:f>hyperlink("https://icd.who.int/dev11/l-ichi/en#/http%3A%2F%2Fid.who.int%2Ficd%2Fentity%2F1100426832","browser")</x:f>
      </x:c>
      <x:c r="L11081" s="0">
        <x:f>hyperlink("https://icat2.azurewebsites.net/icat/?ontology=ICD&amp;tab=ClassesTab&amp;id=http%3A%2F%2Fwho.int%2Ficd%234808_bfdc5bfd_508c_4341_981a_49384b51cdc2","iCat")</x:f>
      </x:c>
      <x:c r="M11081" s="0" t="s">
        <x:v>20</x:v>
      </x:c>
      <x:c r="N11081" s="0" t="s">
        <x:v>36</x:v>
      </x:c>
    </x:row>
    <x:row r="11082" spans="1:16">
      <x:c r="A11082" s="0" t="s">
        <x:v>43854</x:v>
      </x:c>
      <x:c r="B11082" s="0" t="s">
        <x:v>43855</x:v>
      </x:c>
      <x:c r="C11082" s="0" t="s">
        <x:v>42840</x:v>
      </x:c>
      <x:c r="E11082" s="0" t="s">
        <x:v>43856</x:v>
      </x:c>
      <x:c r="F11082" s="0" t="s">
        <x:v>45</x:v>
      </x:c>
      <x:c r="G11082" s="0" t="s">
        <x:v>35</x:v>
      </x:c>
      <x:c r="H11082" s="0" t="s">
        <x:v>20</x:v>
      </x:c>
      <x:c r="I11082" s="0" t="s">
        <x:v>21</x:v>
      </x:c>
      <x:c r="K11082" s="0">
        <x:f>hyperlink("https://icd.who.int/dev11/l-ichi/en#/http%3A%2F%2Fid.who.int%2Ficd%2Fentity%2F357655007","browser")</x:f>
      </x:c>
      <x:c r="L11082" s="0">
        <x:f>hyperlink("https://icat2.azurewebsites.net/icat/?ontology=ICD&amp;tab=ClassesTab&amp;id=http%3A%2F%2Fwho.int%2Ficd%234817_bfdc5bfd_508c_4341_981a_49384b51cdc2","iCat")</x:f>
      </x:c>
      <x:c r="M11082" s="0" t="s">
        <x:v>21</x:v>
      </x:c>
      <x:c r="N11082" s="0" t="s">
        <x:v>46</x:v>
      </x:c>
    </x:row>
    <x:row r="11083" spans="1:16">
      <x:c r="A11083" s="0" t="s">
        <x:v>43857</x:v>
      </x:c>
      <x:c r="B11083" s="0" t="s">
        <x:v>43858</x:v>
      </x:c>
      <x:c r="C11083" s="0" t="s">
        <x:v>42840</x:v>
      </x:c>
      <x:c r="E11083" s="0" t="s">
        <x:v>43859</x:v>
      </x:c>
      <x:c r="F11083" s="0" t="s">
        <x:v>45</x:v>
      </x:c>
      <x:c r="G11083" s="0" t="s">
        <x:v>35</x:v>
      </x:c>
      <x:c r="H11083" s="0" t="s">
        <x:v>20</x:v>
      </x:c>
      <x:c r="I11083" s="0" t="s">
        <x:v>21</x:v>
      </x:c>
      <x:c r="K11083" s="0">
        <x:f>hyperlink("https://icd.who.int/dev11/l-ichi/en#/http%3A%2F%2Fid.who.int%2Ficd%2Fentity%2F94107753","browser")</x:f>
      </x:c>
      <x:c r="L11083" s="0">
        <x:f>hyperlink("https://icat2.azurewebsites.net/icat/?ontology=ICD&amp;tab=ClassesTab&amp;id=http%3A%2F%2Fwho.int%2Ficd%234821_bfdc5bfd_508c_4341_981a_49384b51cdc2","iCat")</x:f>
      </x:c>
      <x:c r="M11083" s="0" t="s">
        <x:v>21</x:v>
      </x:c>
      <x:c r="N11083" s="0" t="s">
        <x:v>46</x:v>
      </x:c>
    </x:row>
    <x:row r="11084" spans="1:16">
      <x:c r="A11084" s="0" t="s">
        <x:v>43860</x:v>
      </x:c>
      <x:c r="B11084" s="0" t="s">
        <x:v>43861</x:v>
      </x:c>
      <x:c r="C11084" s="0" t="s">
        <x:v>42840</x:v>
      </x:c>
      <x:c r="E11084" s="0" t="s">
        <x:v>43862</x:v>
      </x:c>
      <x:c r="F11084" s="0" t="s">
        <x:v>45</x:v>
      </x:c>
      <x:c r="G11084" s="0" t="s">
        <x:v>35</x:v>
      </x:c>
      <x:c r="H11084" s="0" t="s">
        <x:v>20</x:v>
      </x:c>
      <x:c r="I11084" s="0" t="s">
        <x:v>21</x:v>
      </x:c>
      <x:c r="K11084" s="0">
        <x:f>hyperlink("https://icd.who.int/dev11/l-ichi/en#/http%3A%2F%2Fid.who.int%2Ficd%2Fentity%2F815545373","browser")</x:f>
      </x:c>
      <x:c r="L11084" s="0">
        <x:f>hyperlink("https://icat2.azurewebsites.net/icat/?ontology=ICD&amp;tab=ClassesTab&amp;id=http%3A%2F%2Fwho.int%2Ficd%234825_bfdc5bfd_508c_4341_981a_49384b51cdc2","iCat")</x:f>
      </x:c>
      <x:c r="M11084" s="0" t="s">
        <x:v>21</x:v>
      </x:c>
      <x:c r="N11084" s="0" t="s">
        <x:v>46</x:v>
      </x:c>
    </x:row>
    <x:row r="11085" spans="1:16">
      <x:c r="A11085" s="0" t="s">
        <x:v>43863</x:v>
      </x:c>
      <x:c r="B11085" s="0" t="s">
        <x:v>43864</x:v>
      </x:c>
      <x:c r="C11085" s="0" t="s">
        <x:v>42840</x:v>
      </x:c>
      <x:c r="E11085" s="0" t="s">
        <x:v>43865</x:v>
      </x:c>
      <x:c r="F11085" s="0" t="s">
        <x:v>45</x:v>
      </x:c>
      <x:c r="G11085" s="0" t="s">
        <x:v>35</x:v>
      </x:c>
      <x:c r="H11085" s="0" t="s">
        <x:v>20</x:v>
      </x:c>
      <x:c r="I11085" s="0" t="s">
        <x:v>21</x:v>
      </x:c>
      <x:c r="K11085" s="0">
        <x:f>hyperlink("https://icd.who.int/dev11/l-ichi/en#/http%3A%2F%2Fid.who.int%2Ficd%2Fentity%2F1260030268","browser")</x:f>
      </x:c>
      <x:c r="L11085" s="0">
        <x:f>hyperlink("https://icat2.azurewebsites.net/icat/?ontology=ICD&amp;tab=ClassesTab&amp;id=http%3A%2F%2Fwho.int%2Ficd%234829_bfdc5bfd_508c_4341_981a_49384b51cdc2","iCat")</x:f>
      </x:c>
      <x:c r="M11085" s="0" t="s">
        <x:v>21</x:v>
      </x:c>
      <x:c r="N11085" s="0" t="s">
        <x:v>46</x:v>
      </x:c>
    </x:row>
    <x:row r="11086" spans="1:16">
      <x:c r="A11086" s="0" t="s">
        <x:v>43866</x:v>
      </x:c>
      <x:c r="B11086" s="0" t="s">
        <x:v>43867</x:v>
      </x:c>
      <x:c r="C11086" s="0" t="s">
        <x:v>42840</x:v>
      </x:c>
      <x:c r="E11086" s="0" t="s">
        <x:v>43868</x:v>
      </x:c>
      <x:c r="F11086" s="0" t="s">
        <x:v>45</x:v>
      </x:c>
      <x:c r="G11086" s="0" t="s">
        <x:v>35</x:v>
      </x:c>
      <x:c r="H11086" s="0" t="s">
        <x:v>20</x:v>
      </x:c>
      <x:c r="I11086" s="0" t="s">
        <x:v>21</x:v>
      </x:c>
      <x:c r="K11086" s="0">
        <x:f>hyperlink("https://icd.who.int/dev11/l-ichi/en#/http%3A%2F%2Fid.who.int%2Ficd%2Fentity%2F170029307","browser")</x:f>
      </x:c>
      <x:c r="L11086" s="0">
        <x:f>hyperlink("https://icat2.azurewebsites.net/icat/?ontology=ICD&amp;tab=ClassesTab&amp;id=http%3A%2F%2Fwho.int%2Ficd%234833_bfdc5bfd_508c_4341_981a_49384b51cdc2","iCat")</x:f>
      </x:c>
      <x:c r="M11086" s="0" t="s">
        <x:v>21</x:v>
      </x:c>
      <x:c r="N11086" s="0" t="s">
        <x:v>46</x:v>
      </x:c>
    </x:row>
    <x:row r="11087" spans="1:16">
      <x:c r="A11087" s="0" t="s">
        <x:v>43869</x:v>
      </x:c>
      <x:c r="B11087" s="0" t="s">
        <x:v>43870</x:v>
      </x:c>
      <x:c r="C11087" s="0" t="s">
        <x:v>42840</x:v>
      </x:c>
      <x:c r="E11087" s="0" t="s">
        <x:v>43871</x:v>
      </x:c>
      <x:c r="F11087" s="0" t="s">
        <x:v>45</x:v>
      </x:c>
      <x:c r="G11087" s="0" t="s">
        <x:v>35</x:v>
      </x:c>
      <x:c r="H11087" s="0" t="s">
        <x:v>20</x:v>
      </x:c>
      <x:c r="I11087" s="0" t="s">
        <x:v>21</x:v>
      </x:c>
      <x:c r="K11087" s="0">
        <x:f>hyperlink("https://icd.who.int/dev11/l-ichi/en#/http%3A%2F%2Fid.who.int%2Ficd%2Fentity%2F1059435663","browser")</x:f>
      </x:c>
      <x:c r="L11087" s="0">
        <x:f>hyperlink("https://icat2.azurewebsites.net/icat/?ontology=ICD&amp;tab=ClassesTab&amp;id=http%3A%2F%2Fwho.int%2Ficd%234837_bfdc5bfd_508c_4341_981a_49384b51cdc2","iCat")</x:f>
      </x:c>
      <x:c r="M11087" s="0" t="s">
        <x:v>21</x:v>
      </x:c>
      <x:c r="N11087" s="0" t="s">
        <x:v>46</x:v>
      </x:c>
    </x:row>
    <x:row r="11088" spans="1:16">
      <x:c r="A11088" s="0" t="s">
        <x:v>43872</x:v>
      </x:c>
      <x:c r="B11088" s="0" t="s">
        <x:v>43873</x:v>
      </x:c>
      <x:c r="C11088" s="0" t="s">
        <x:v>42840</x:v>
      </x:c>
      <x:c r="E11088" s="0" t="s">
        <x:v>43874</x:v>
      </x:c>
      <x:c r="F11088" s="0" t="s">
        <x:v>45</x:v>
      </x:c>
      <x:c r="G11088" s="0" t="s">
        <x:v>35</x:v>
      </x:c>
      <x:c r="H11088" s="0" t="s">
        <x:v>20</x:v>
      </x:c>
      <x:c r="I11088" s="0" t="s">
        <x:v>21</x:v>
      </x:c>
      <x:c r="K11088" s="0">
        <x:f>hyperlink("https://icd.who.int/dev11/l-ichi/en#/http%3A%2F%2Fid.who.int%2Ficd%2Fentity%2F1602780710","browser")</x:f>
      </x:c>
      <x:c r="L11088" s="0">
        <x:f>hyperlink("https://icat2.azurewebsites.net/icat/?ontology=ICD&amp;tab=ClassesTab&amp;id=http%3A%2F%2Fwho.int%2Ficd%234841_bfdc5bfd_508c_4341_981a_49384b51cdc2","iCat")</x:f>
      </x:c>
      <x:c r="M11088" s="0" t="s">
        <x:v>21</x:v>
      </x:c>
      <x:c r="N11088" s="0" t="s">
        <x:v>46</x:v>
      </x:c>
    </x:row>
    <x:row r="11089" spans="1:16">
      <x:c r="A11089" s="0" t="s">
        <x:v>43875</x:v>
      </x:c>
      <x:c r="B11089" s="0" t="s">
        <x:v>43876</x:v>
      </x:c>
      <x:c r="C11089" s="0" t="s">
        <x:v>42840</x:v>
      </x:c>
      <x:c r="E11089" s="0" t="s">
        <x:v>43877</x:v>
      </x:c>
      <x:c r="F11089" s="0" t="s">
        <x:v>45</x:v>
      </x:c>
      <x:c r="G11089" s="0" t="s">
        <x:v>35</x:v>
      </x:c>
      <x:c r="H11089" s="0" t="s">
        <x:v>20</x:v>
      </x:c>
      <x:c r="I11089" s="0" t="s">
        <x:v>21</x:v>
      </x:c>
      <x:c r="K11089" s="0">
        <x:f>hyperlink("https://icd.who.int/dev11/l-ichi/en#/http%3A%2F%2Fid.who.int%2Ficd%2Fentity%2F1787804240","browser")</x:f>
      </x:c>
      <x:c r="L11089" s="0">
        <x:f>hyperlink("https://icat2.azurewebsites.net/icat/?ontology=ICD&amp;tab=ClassesTab&amp;id=http%3A%2F%2Fwho.int%2Ficd%234845_bfdc5bfd_508c_4341_981a_49384b51cdc2","iCat")</x:f>
      </x:c>
      <x:c r="M11089" s="0" t="s">
        <x:v>21</x:v>
      </x:c>
      <x:c r="N11089" s="0" t="s">
        <x:v>46</x:v>
      </x:c>
    </x:row>
    <x:row r="11090" spans="1:16">
      <x:c r="A11090" s="0" t="s">
        <x:v>43878</x:v>
      </x:c>
      <x:c r="B11090" s="0" t="s">
        <x:v>43879</x:v>
      </x:c>
      <x:c r="C11090" s="0" t="s">
        <x:v>42840</x:v>
      </x:c>
      <x:c r="E11090" s="0" t="s">
        <x:v>43880</x:v>
      </x:c>
      <x:c r="F11090" s="0" t="s">
        <x:v>45</x:v>
      </x:c>
      <x:c r="G11090" s="0" t="s">
        <x:v>35</x:v>
      </x:c>
      <x:c r="H11090" s="0" t="s">
        <x:v>20</x:v>
      </x:c>
      <x:c r="I11090" s="0" t="s">
        <x:v>21</x:v>
      </x:c>
      <x:c r="K11090" s="0">
        <x:f>hyperlink("https://icd.who.int/dev11/l-ichi/en#/http%3A%2F%2Fid.who.int%2Ficd%2Fentity%2F542549419","browser")</x:f>
      </x:c>
      <x:c r="L11090" s="0">
        <x:f>hyperlink("https://icat2.azurewebsites.net/icat/?ontology=ICD&amp;tab=ClassesTab&amp;id=http%3A%2F%2Fwho.int%2Ficd%234813_bfdc5bfd_508c_4341_981a_49384b51cdc2","iCat")</x:f>
      </x:c>
      <x:c r="M11090" s="0" t="s">
        <x:v>21</x:v>
      </x:c>
      <x:c r="N11090" s="0" t="s">
        <x:v>46</x:v>
      </x:c>
    </x:row>
    <x:row r="11091" spans="1:16">
      <x:c r="A11091" s="0" t="s">
        <x:v>43881</x:v>
      </x:c>
      <x:c r="B11091" s="0" t="s">
        <x:v>43882</x:v>
      </x:c>
      <x:c r="C11091" s="0" t="s">
        <x:v>42840</x:v>
      </x:c>
      <x:c r="E11091" s="0" t="s">
        <x:v>43883</x:v>
      </x:c>
      <x:c r="F11091" s="0" t="s">
        <x:v>45</x:v>
      </x:c>
      <x:c r="G11091" s="0" t="s">
        <x:v>30</x:v>
      </x:c>
      <x:c r="H11091" s="0" t="s">
        <x:v>20</x:v>
      </x:c>
      <x:c r="I11091" s="0" t="s">
        <x:v>21</x:v>
      </x:c>
      <x:c r="K11091" s="0">
        <x:f>hyperlink("https://icd.who.int/dev11/l-ichi/en#/http%3A%2F%2Fid.who.int%2Ficd%2Fentity%2F285806449","browser")</x:f>
      </x:c>
      <x:c r="L11091" s="0">
        <x:f>hyperlink("https://icat2.azurewebsites.net/icat/?ontology=ICD&amp;tab=ClassesTab&amp;id=http%3A%2F%2Fwho.int%2Ficd%234849_bfdc5bfd_508c_4341_981a_49384b51cdc2","iCat")</x:f>
      </x:c>
      <x:c r="M11091" s="0" t="s">
        <x:v>20</x:v>
      </x:c>
      <x:c r="N11091" s="0" t="s">
        <x:v>36</x:v>
      </x:c>
    </x:row>
    <x:row r="11092" spans="1:16">
      <x:c r="A11092" s="0" t="s">
        <x:v>43884</x:v>
      </x:c>
      <x:c r="B11092" s="0" t="s">
        <x:v>43885</x:v>
      </x:c>
      <x:c r="C11092" s="0" t="s">
        <x:v>42840</x:v>
      </x:c>
      <x:c r="E11092" s="0" t="s">
        <x:v>43886</x:v>
      </x:c>
      <x:c r="F11092" s="0" t="s">
        <x:v>45</x:v>
      </x:c>
      <x:c r="G11092" s="0" t="s">
        <x:v>35</x:v>
      </x:c>
      <x:c r="H11092" s="0" t="s">
        <x:v>20</x:v>
      </x:c>
      <x:c r="I11092" s="0" t="s">
        <x:v>21</x:v>
      </x:c>
      <x:c r="K11092" s="0">
        <x:f>hyperlink("https://icd.who.int/dev11/l-ichi/en#/http%3A%2F%2Fid.who.int%2Ficd%2Fentity%2F1530259482","browser")</x:f>
      </x:c>
      <x:c r="L11092" s="0">
        <x:f>hyperlink("https://icat2.azurewebsites.net/icat/?ontology=ICD&amp;tab=ClassesTab&amp;id=http%3A%2F%2Fwho.int%2Ficd%234858_bfdc5bfd_508c_4341_981a_49384b51cdc2","iCat")</x:f>
      </x:c>
      <x:c r="M11092" s="0" t="s">
        <x:v>21</x:v>
      </x:c>
      <x:c r="N11092" s="0" t="s">
        <x:v>46</x:v>
      </x:c>
    </x:row>
    <x:row r="11093" spans="1:16">
      <x:c r="A11093" s="0" t="s">
        <x:v>43887</x:v>
      </x:c>
      <x:c r="B11093" s="0" t="s">
        <x:v>43888</x:v>
      </x:c>
      <x:c r="C11093" s="0" t="s">
        <x:v>42840</x:v>
      </x:c>
      <x:c r="E11093" s="0" t="s">
        <x:v>43889</x:v>
      </x:c>
      <x:c r="F11093" s="0" t="s">
        <x:v>45</x:v>
      </x:c>
      <x:c r="G11093" s="0" t="s">
        <x:v>35</x:v>
      </x:c>
      <x:c r="H11093" s="0" t="s">
        <x:v>20</x:v>
      </x:c>
      <x:c r="I11093" s="0" t="s">
        <x:v>21</x:v>
      </x:c>
      <x:c r="K11093" s="0">
        <x:f>hyperlink("https://icd.who.int/dev11/l-ichi/en#/http%3A%2F%2Fid.who.int%2Ficd%2Fentity%2F813286541","browser")</x:f>
      </x:c>
      <x:c r="L11093" s="0">
        <x:f>hyperlink("https://icat2.azurewebsites.net/icat/?ontology=ICD&amp;tab=ClassesTab&amp;id=http%3A%2F%2Fwho.int%2Ficd%234862_bfdc5bfd_508c_4341_981a_49384b51cdc2","iCat")</x:f>
      </x:c>
      <x:c r="M11093" s="0" t="s">
        <x:v>21</x:v>
      </x:c>
      <x:c r="N11093" s="0" t="s">
        <x:v>46</x:v>
      </x:c>
    </x:row>
    <x:row r="11094" spans="1:16">
      <x:c r="A11094" s="0" t="s">
        <x:v>43890</x:v>
      </x:c>
      <x:c r="B11094" s="0" t="s">
        <x:v>43891</x:v>
      </x:c>
      <x:c r="C11094" s="0" t="s">
        <x:v>42840</x:v>
      </x:c>
      <x:c r="E11094" s="0" t="s">
        <x:v>43892</x:v>
      </x:c>
      <x:c r="F11094" s="0" t="s">
        <x:v>45</x:v>
      </x:c>
      <x:c r="G11094" s="0" t="s">
        <x:v>35</x:v>
      </x:c>
      <x:c r="H11094" s="0" t="s">
        <x:v>20</x:v>
      </x:c>
      <x:c r="I11094" s="0" t="s">
        <x:v>21</x:v>
      </x:c>
      <x:c r="K11094" s="0">
        <x:f>hyperlink("https://icd.who.int/dev11/l-ichi/en#/http%3A%2F%2Fid.who.int%2Ficd%2Fentity%2F92143865","browser")</x:f>
      </x:c>
      <x:c r="L11094" s="0">
        <x:f>hyperlink("https://icat2.azurewebsites.net/icat/?ontology=ICD&amp;tab=ClassesTab&amp;id=http%3A%2F%2Fwho.int%2Ficd%234866_bfdc5bfd_508c_4341_981a_49384b51cdc2","iCat")</x:f>
      </x:c>
      <x:c r="M11094" s="0" t="s">
        <x:v>21</x:v>
      </x:c>
      <x:c r="N11094" s="0" t="s">
        <x:v>46</x:v>
      </x:c>
    </x:row>
    <x:row r="11095" spans="1:16">
      <x:c r="A11095" s="0" t="s">
        <x:v>43893</x:v>
      </x:c>
      <x:c r="B11095" s="0" t="s">
        <x:v>43894</x:v>
      </x:c>
      <x:c r="C11095" s="0" t="s">
        <x:v>42840</x:v>
      </x:c>
      <x:c r="E11095" s="0" t="s">
        <x:v>43895</x:v>
      </x:c>
      <x:c r="F11095" s="0" t="s">
        <x:v>45</x:v>
      </x:c>
      <x:c r="G11095" s="0" t="s">
        <x:v>35</x:v>
      </x:c>
      <x:c r="H11095" s="0" t="s">
        <x:v>20</x:v>
      </x:c>
      <x:c r="I11095" s="0" t="s">
        <x:v>21</x:v>
      </x:c>
      <x:c r="K11095" s="0">
        <x:f>hyperlink("https://icd.who.int/dev11/l-ichi/en#/http%3A%2F%2Fid.who.int%2Ficd%2Fentity%2F1069567007","browser")</x:f>
      </x:c>
      <x:c r="L11095" s="0">
        <x:f>hyperlink("https://icat2.azurewebsites.net/icat/?ontology=ICD&amp;tab=ClassesTab&amp;id=http%3A%2F%2Fwho.int%2Ficd%234870_bfdc5bfd_508c_4341_981a_49384b51cdc2","iCat")</x:f>
      </x:c>
      <x:c r="M11095" s="0" t="s">
        <x:v>21</x:v>
      </x:c>
      <x:c r="N11095" s="0" t="s">
        <x:v>46</x:v>
      </x:c>
    </x:row>
    <x:row r="11096" spans="1:16">
      <x:c r="A11096" s="0" t="s">
        <x:v>43896</x:v>
      </x:c>
      <x:c r="B11096" s="0" t="s">
        <x:v>43897</x:v>
      </x:c>
      <x:c r="C11096" s="0" t="s">
        <x:v>42840</x:v>
      </x:c>
      <x:c r="E11096" s="0" t="s">
        <x:v>43898</x:v>
      </x:c>
      <x:c r="F11096" s="0" t="s">
        <x:v>45</x:v>
      </x:c>
      <x:c r="G11096" s="0" t="s">
        <x:v>35</x:v>
      </x:c>
      <x:c r="H11096" s="0" t="s">
        <x:v>20</x:v>
      </x:c>
      <x:c r="I11096" s="0" t="s">
        <x:v>21</x:v>
      </x:c>
      <x:c r="K11096" s="0">
        <x:f>hyperlink("https://icd.who.int/dev11/l-ichi/en#/http%3A%2F%2Fid.who.int%2Ficd%2Fentity%2F180848747","browser")</x:f>
      </x:c>
      <x:c r="L11096" s="0">
        <x:f>hyperlink("https://icat2.azurewebsites.net/icat/?ontology=ICD&amp;tab=ClassesTab&amp;id=http%3A%2F%2Fwho.int%2Ficd%234874_bfdc5bfd_508c_4341_981a_49384b51cdc2","iCat")</x:f>
      </x:c>
      <x:c r="M11096" s="0" t="s">
        <x:v>21</x:v>
      </x:c>
      <x:c r="N11096" s="0" t="s">
        <x:v>46</x:v>
      </x:c>
    </x:row>
    <x:row r="11097" spans="1:16">
      <x:c r="A11097" s="0" t="s">
        <x:v>43899</x:v>
      </x:c>
      <x:c r="B11097" s="0" t="s">
        <x:v>43900</x:v>
      </x:c>
      <x:c r="C11097" s="0" t="s">
        <x:v>42840</x:v>
      </x:c>
      <x:c r="E11097" s="0" t="s">
        <x:v>43901</x:v>
      </x:c>
      <x:c r="F11097" s="0" t="s">
        <x:v>45</x:v>
      </x:c>
      <x:c r="G11097" s="0" t="s">
        <x:v>35</x:v>
      </x:c>
      <x:c r="H11097" s="0" t="s">
        <x:v>20</x:v>
      </x:c>
      <x:c r="I11097" s="0" t="s">
        <x:v>21</x:v>
      </x:c>
      <x:c r="K11097" s="0">
        <x:f>hyperlink("https://icd.who.int/dev11/l-ichi/en#/http%3A%2F%2Fid.who.int%2Ficd%2Fentity%2F1900100940","browser")</x:f>
      </x:c>
      <x:c r="L11097" s="0">
        <x:f>hyperlink("https://icat2.azurewebsites.net/icat/?ontology=ICD&amp;tab=ClassesTab&amp;id=http%3A%2F%2Fwho.int%2Ficd%234878_bfdc5bfd_508c_4341_981a_49384b51cdc2","iCat")</x:f>
      </x:c>
      <x:c r="M11097" s="0" t="s">
        <x:v>21</x:v>
      </x:c>
      <x:c r="N11097" s="0" t="s">
        <x:v>46</x:v>
      </x:c>
    </x:row>
    <x:row r="11098" spans="1:16">
      <x:c r="A11098" s="0" t="s">
        <x:v>43902</x:v>
      </x:c>
      <x:c r="B11098" s="0" t="s">
        <x:v>43903</x:v>
      </x:c>
      <x:c r="C11098" s="0" t="s">
        <x:v>42840</x:v>
      </x:c>
      <x:c r="E11098" s="0" t="s">
        <x:v>43904</x:v>
      </x:c>
      <x:c r="F11098" s="0" t="s">
        <x:v>45</x:v>
      </x:c>
      <x:c r="G11098" s="0" t="s">
        <x:v>35</x:v>
      </x:c>
      <x:c r="H11098" s="0" t="s">
        <x:v>20</x:v>
      </x:c>
      <x:c r="I11098" s="0" t="s">
        <x:v>21</x:v>
      </x:c>
      <x:c r="K11098" s="0">
        <x:f>hyperlink("https://icd.who.int/dev11/l-ichi/en#/http%3A%2F%2Fid.who.int%2Ficd%2Fentity%2F1968904966","browser")</x:f>
      </x:c>
      <x:c r="L11098" s="0">
        <x:f>hyperlink("https://icat2.azurewebsites.net/icat/?ontology=ICD&amp;tab=ClassesTab&amp;id=http%3A%2F%2Fwho.int%2Ficd%234882_bfdc5bfd_508c_4341_981a_49384b51cdc2","iCat")</x:f>
      </x:c>
      <x:c r="M11098" s="0" t="s">
        <x:v>21</x:v>
      </x:c>
      <x:c r="N11098" s="0" t="s">
        <x:v>46</x:v>
      </x:c>
    </x:row>
    <x:row r="11099" spans="1:16">
      <x:c r="A11099" s="0" t="s">
        <x:v>43905</x:v>
      </x:c>
      <x:c r="B11099" s="0" t="s">
        <x:v>43906</x:v>
      </x:c>
      <x:c r="C11099" s="0" t="s">
        <x:v>42840</x:v>
      </x:c>
      <x:c r="E11099" s="0" t="s">
        <x:v>43907</x:v>
      </x:c>
      <x:c r="F11099" s="0" t="s">
        <x:v>45</x:v>
      </x:c>
      <x:c r="G11099" s="0" t="s">
        <x:v>35</x:v>
      </x:c>
      <x:c r="H11099" s="0" t="s">
        <x:v>20</x:v>
      </x:c>
      <x:c r="I11099" s="0" t="s">
        <x:v>21</x:v>
      </x:c>
      <x:c r="K11099" s="0">
        <x:f>hyperlink("https://icd.who.int/dev11/l-ichi/en#/http%3A%2F%2Fid.who.int%2Ficd%2Fentity%2F1079828336","browser")</x:f>
      </x:c>
      <x:c r="L11099" s="0">
        <x:f>hyperlink("https://icat2.azurewebsites.net/icat/?ontology=ICD&amp;tab=ClassesTab&amp;id=http%3A%2F%2Fwho.int%2Ficd%234886_bfdc5bfd_508c_4341_981a_49384b51cdc2","iCat")</x:f>
      </x:c>
      <x:c r="M11099" s="0" t="s">
        <x:v>21</x:v>
      </x:c>
      <x:c r="N11099" s="0" t="s">
        <x:v>46</x:v>
      </x:c>
    </x:row>
    <x:row r="11100" spans="1:16">
      <x:c r="A11100" s="0" t="s">
        <x:v>43908</x:v>
      </x:c>
      <x:c r="B11100" s="0" t="s">
        <x:v>43909</x:v>
      </x:c>
      <x:c r="C11100" s="0" t="s">
        <x:v>42840</x:v>
      </x:c>
      <x:c r="E11100" s="0" t="s">
        <x:v>43910</x:v>
      </x:c>
      <x:c r="F11100" s="0" t="s">
        <x:v>45</x:v>
      </x:c>
      <x:c r="G11100" s="0" t="s">
        <x:v>35</x:v>
      </x:c>
      <x:c r="H11100" s="0" t="s">
        <x:v>20</x:v>
      </x:c>
      <x:c r="I11100" s="0" t="s">
        <x:v>21</x:v>
      </x:c>
      <x:c r="K11100" s="0">
        <x:f>hyperlink("https://icd.who.int/dev11/l-ichi/en#/http%3A%2F%2Fid.who.int%2Ficd%2Fentity%2F548625723","browser")</x:f>
      </x:c>
      <x:c r="L11100" s="0">
        <x:f>hyperlink("https://icat2.azurewebsites.net/icat/?ontology=ICD&amp;tab=ClassesTab&amp;id=http%3A%2F%2Fwho.int%2Ficd%234854_bfdc5bfd_508c_4341_981a_49384b51cdc2","iCat")</x:f>
      </x:c>
      <x:c r="M11100" s="0" t="s">
        <x:v>21</x:v>
      </x:c>
      <x:c r="N11100" s="0" t="s">
        <x:v>46</x:v>
      </x:c>
    </x:row>
    <x:row r="11101" spans="1:16">
      <x:c r="A11101" s="0" t="s">
        <x:v>43911</x:v>
      </x:c>
      <x:c r="B11101" s="0" t="s">
        <x:v>43912</x:v>
      </x:c>
      <x:c r="C11101" s="0" t="s">
        <x:v>42840</x:v>
      </x:c>
      <x:c r="E11101" s="0" t="s">
        <x:v>43913</x:v>
      </x:c>
      <x:c r="F11101" s="0" t="s">
        <x:v>45</x:v>
      </x:c>
      <x:c r="G11101" s="0" t="s">
        <x:v>30</x:v>
      </x:c>
      <x:c r="H11101" s="0" t="s">
        <x:v>20</x:v>
      </x:c>
      <x:c r="I11101" s="0" t="s">
        <x:v>21</x:v>
      </x:c>
      <x:c r="K11101" s="0">
        <x:f>hyperlink("https://icd.who.int/dev11/l-ichi/en#/http%3A%2F%2Fid.who.int%2Ficd%2Fentity%2F2061669272","browser")</x:f>
      </x:c>
      <x:c r="L11101" s="0">
        <x:f>hyperlink("https://icat2.azurewebsites.net/icat/?ontology=ICD&amp;tab=ClassesTab&amp;id=http%3A%2F%2Fwho.int%2Ficd%234890_bfdc5bfd_508c_4341_981a_49384b51cdc2","iCat")</x:f>
      </x:c>
      <x:c r="M11101" s="0" t="s">
        <x:v>20</x:v>
      </x:c>
      <x:c r="N11101" s="0" t="s">
        <x:v>36</x:v>
      </x:c>
    </x:row>
    <x:row r="11102" spans="1:16">
      <x:c r="A11102" s="0" t="s">
        <x:v>43914</x:v>
      </x:c>
      <x:c r="B11102" s="0" t="s">
        <x:v>43915</x:v>
      </x:c>
      <x:c r="C11102" s="0" t="s">
        <x:v>42840</x:v>
      </x:c>
      <x:c r="E11102" s="0" t="s">
        <x:v>43916</x:v>
      </x:c>
      <x:c r="F11102" s="0" t="s">
        <x:v>45</x:v>
      </x:c>
      <x:c r="G11102" s="0" t="s">
        <x:v>35</x:v>
      </x:c>
      <x:c r="H11102" s="0" t="s">
        <x:v>20</x:v>
      </x:c>
      <x:c r="I11102" s="0" t="s">
        <x:v>21</x:v>
      </x:c>
      <x:c r="K11102" s="0">
        <x:f>hyperlink("https://icd.who.int/dev11/l-ichi/en#/http%3A%2F%2Fid.who.int%2Ficd%2Fentity%2F345673983","browser")</x:f>
      </x:c>
      <x:c r="L11102" s="0">
        <x:f>hyperlink("https://icat2.azurewebsites.net/icat/?ontology=ICD&amp;tab=ClassesTab&amp;id=http%3A%2F%2Fwho.int%2Ficd%234899_bfdc5bfd_508c_4341_981a_49384b51cdc2","iCat")</x:f>
      </x:c>
      <x:c r="M11102" s="0" t="s">
        <x:v>21</x:v>
      </x:c>
      <x:c r="N11102" s="0" t="s">
        <x:v>46</x:v>
      </x:c>
    </x:row>
    <x:row r="11103" spans="1:16">
      <x:c r="A11103" s="0" t="s">
        <x:v>43917</x:v>
      </x:c>
      <x:c r="B11103" s="0" t="s">
        <x:v>43918</x:v>
      </x:c>
      <x:c r="C11103" s="0" t="s">
        <x:v>42840</x:v>
      </x:c>
      <x:c r="E11103" s="0" t="s">
        <x:v>43919</x:v>
      </x:c>
      <x:c r="F11103" s="0" t="s">
        <x:v>45</x:v>
      </x:c>
      <x:c r="G11103" s="0" t="s">
        <x:v>35</x:v>
      </x:c>
      <x:c r="H11103" s="0" t="s">
        <x:v>20</x:v>
      </x:c>
      <x:c r="I11103" s="0" t="s">
        <x:v>21</x:v>
      </x:c>
      <x:c r="K11103" s="0">
        <x:f>hyperlink("https://icd.who.int/dev11/l-ichi/en#/http%3A%2F%2Fid.who.int%2Ficd%2Fentity%2F1057814113","browser")</x:f>
      </x:c>
      <x:c r="L11103" s="0">
        <x:f>hyperlink("https://icat2.azurewebsites.net/icat/?ontology=ICD&amp;tab=ClassesTab&amp;id=http%3A%2F%2Fwho.int%2Ficd%234903_bfdc5bfd_508c_4341_981a_49384b51cdc2","iCat")</x:f>
      </x:c>
      <x:c r="M11103" s="0" t="s">
        <x:v>21</x:v>
      </x:c>
      <x:c r="N11103" s="0" t="s">
        <x:v>46</x:v>
      </x:c>
    </x:row>
    <x:row r="11104" spans="1:16">
      <x:c r="A11104" s="0" t="s">
        <x:v>43920</x:v>
      </x:c>
      <x:c r="B11104" s="0" t="s">
        <x:v>43921</x:v>
      </x:c>
      <x:c r="C11104" s="0" t="s">
        <x:v>42840</x:v>
      </x:c>
      <x:c r="E11104" s="0" t="s">
        <x:v>43922</x:v>
      </x:c>
      <x:c r="F11104" s="0" t="s">
        <x:v>45</x:v>
      </x:c>
      <x:c r="G11104" s="0" t="s">
        <x:v>35</x:v>
      </x:c>
      <x:c r="H11104" s="0" t="s">
        <x:v>20</x:v>
      </x:c>
      <x:c r="I11104" s="0" t="s">
        <x:v>21</x:v>
      </x:c>
      <x:c r="K11104" s="0">
        <x:f>hyperlink("https://icd.who.int/dev11/l-ichi/en#/http%3A%2F%2Fid.who.int%2Ficd%2Fentity%2F168505877","browser")</x:f>
      </x:c>
      <x:c r="L11104" s="0">
        <x:f>hyperlink("https://icat2.azurewebsites.net/icat/?ontology=ICD&amp;tab=ClassesTab&amp;id=http%3A%2F%2Fwho.int%2Ficd%234907_bfdc5bfd_508c_4341_981a_49384b51cdc2","iCat")</x:f>
      </x:c>
      <x:c r="M11104" s="0" t="s">
        <x:v>21</x:v>
      </x:c>
      <x:c r="N11104" s="0" t="s">
        <x:v>46</x:v>
      </x:c>
    </x:row>
    <x:row r="11105" spans="1:16">
      <x:c r="A11105" s="0" t="s">
        <x:v>43923</x:v>
      </x:c>
      <x:c r="B11105" s="0" t="s">
        <x:v>43924</x:v>
      </x:c>
      <x:c r="C11105" s="0" t="s">
        <x:v>42840</x:v>
      </x:c>
      <x:c r="E11105" s="0" t="s">
        <x:v>43925</x:v>
      </x:c>
      <x:c r="F11105" s="0" t="s">
        <x:v>45</x:v>
      </x:c>
      <x:c r="G11105" s="0" t="s">
        <x:v>35</x:v>
      </x:c>
      <x:c r="H11105" s="0" t="s">
        <x:v>20</x:v>
      </x:c>
      <x:c r="I11105" s="0" t="s">
        <x:v>21</x:v>
      </x:c>
      <x:c r="K11105" s="0">
        <x:f>hyperlink("https://icd.who.int/dev11/l-ichi/en#/http%3A%2F%2Fid.who.int%2Ficd%2Fentity%2F817200883","browser")</x:f>
      </x:c>
      <x:c r="L11105" s="0">
        <x:f>hyperlink("https://icat2.azurewebsites.net/icat/?ontology=ICD&amp;tab=ClassesTab&amp;id=http%3A%2F%2Fwho.int%2Ficd%234911_bfdc5bfd_508c_4341_981a_49384b51cdc2","iCat")</x:f>
      </x:c>
      <x:c r="M11105" s="0" t="s">
        <x:v>21</x:v>
      </x:c>
      <x:c r="N11105" s="0" t="s">
        <x:v>46</x:v>
      </x:c>
    </x:row>
    <x:row r="11106" spans="1:16">
      <x:c r="A11106" s="0" t="s">
        <x:v>43926</x:v>
      </x:c>
      <x:c r="B11106" s="0" t="s">
        <x:v>43927</x:v>
      </x:c>
      <x:c r="C11106" s="0" t="s">
        <x:v>42840</x:v>
      </x:c>
      <x:c r="E11106" s="0" t="s">
        <x:v>43928</x:v>
      </x:c>
      <x:c r="F11106" s="0" t="s">
        <x:v>45</x:v>
      </x:c>
      <x:c r="G11106" s="0" t="s">
        <x:v>35</x:v>
      </x:c>
      <x:c r="H11106" s="0" t="s">
        <x:v>20</x:v>
      </x:c>
      <x:c r="I11106" s="0" t="s">
        <x:v>21</x:v>
      </x:c>
      <x:c r="K11106" s="0">
        <x:f>hyperlink("https://icd.who.int/dev11/l-ichi/en#/http%3A%2F%2Fid.who.int%2Ficd%2Fentity%2F95599239","browser")</x:f>
      </x:c>
      <x:c r="L11106" s="0">
        <x:f>hyperlink("https://icat2.azurewebsites.net/icat/?ontology=ICD&amp;tab=ClassesTab&amp;id=http%3A%2F%2Fwho.int%2Ficd%234915_bfdc5bfd_508c_4341_981a_49384b51cdc2","iCat")</x:f>
      </x:c>
      <x:c r="M11106" s="0" t="s">
        <x:v>21</x:v>
      </x:c>
      <x:c r="N11106" s="0" t="s">
        <x:v>46</x:v>
      </x:c>
    </x:row>
    <x:row r="11107" spans="1:16">
      <x:c r="A11107" s="0" t="s">
        <x:v>43929</x:v>
      </x:c>
      <x:c r="B11107" s="0" t="s">
        <x:v>43930</x:v>
      </x:c>
      <x:c r="C11107" s="0" t="s">
        <x:v>42840</x:v>
      </x:c>
      <x:c r="E11107" s="0" t="s">
        <x:v>43931</x:v>
      </x:c>
      <x:c r="F11107" s="0" t="s">
        <x:v>45</x:v>
      </x:c>
      <x:c r="G11107" s="0" t="s">
        <x:v>35</x:v>
      </x:c>
      <x:c r="H11107" s="0" t="s">
        <x:v>20</x:v>
      </x:c>
      <x:c r="I11107" s="0" t="s">
        <x:v>21</x:v>
      </x:c>
      <x:c r="K11107" s="0">
        <x:f>hyperlink("https://icd.who.int/dev11/l-ichi/en#/http%3A%2F%2Fid.who.int%2Ficd%2Fentity%2F2117341096","browser")</x:f>
      </x:c>
      <x:c r="L11107" s="0">
        <x:f>hyperlink("https://icat2.azurewebsites.net/icat/?ontology=ICD&amp;tab=ClassesTab&amp;id=http%3A%2F%2Fwho.int%2Ficd%234919_bfdc5bfd_508c_4341_981a_49384b51cdc2","iCat")</x:f>
      </x:c>
      <x:c r="M11107" s="0" t="s">
        <x:v>21</x:v>
      </x:c>
      <x:c r="N11107" s="0" t="s">
        <x:v>46</x:v>
      </x:c>
    </x:row>
    <x:row r="11108" spans="1:16">
      <x:c r="A11108" s="0" t="s">
        <x:v>43932</x:v>
      </x:c>
      <x:c r="B11108" s="0" t="s">
        <x:v>43933</x:v>
      </x:c>
      <x:c r="C11108" s="0" t="s">
        <x:v>42840</x:v>
      </x:c>
      <x:c r="E11108" s="0" t="s">
        <x:v>43934</x:v>
      </x:c>
      <x:c r="F11108" s="0" t="s">
        <x:v>45</x:v>
      </x:c>
      <x:c r="G11108" s="0" t="s">
        <x:v>35</x:v>
      </x:c>
      <x:c r="H11108" s="0" t="s">
        <x:v>20</x:v>
      </x:c>
      <x:c r="I11108" s="0" t="s">
        <x:v>21</x:v>
      </x:c>
      <x:c r="K11108" s="0">
        <x:f>hyperlink("https://icd.who.int/dev11/l-ichi/en#/http%3A%2F%2Fid.who.int%2Ficd%2Fentity%2F360194865","browser")</x:f>
      </x:c>
      <x:c r="L11108" s="0">
        <x:f>hyperlink("https://icat2.azurewebsites.net/icat/?ontology=ICD&amp;tab=ClassesTab&amp;id=http%3A%2F%2Fwho.int%2Ficd%234923_bfdc5bfd_508c_4341_981a_49384b51cdc2","iCat")</x:f>
      </x:c>
      <x:c r="M11108" s="0" t="s">
        <x:v>21</x:v>
      </x:c>
      <x:c r="N11108" s="0" t="s">
        <x:v>46</x:v>
      </x:c>
    </x:row>
    <x:row r="11109" spans="1:16">
      <x:c r="A11109" s="0" t="s">
        <x:v>43935</x:v>
      </x:c>
      <x:c r="B11109" s="0" t="s">
        <x:v>43936</x:v>
      </x:c>
      <x:c r="C11109" s="0" t="s">
        <x:v>42840</x:v>
      </x:c>
      <x:c r="E11109" s="0" t="s">
        <x:v>43937</x:v>
      </x:c>
      <x:c r="F11109" s="0" t="s">
        <x:v>45</x:v>
      </x:c>
      <x:c r="G11109" s="0" t="s">
        <x:v>35</x:v>
      </x:c>
      <x:c r="H11109" s="0" t="s">
        <x:v>20</x:v>
      </x:c>
      <x:c r="I11109" s="0" t="s">
        <x:v>21</x:v>
      </x:c>
      <x:c r="K11109" s="0">
        <x:f>hyperlink("https://icd.who.int/dev11/l-ichi/en#/http%3A%2F%2Fid.who.int%2Ficd%2Fentity%2F545253189","browser")</x:f>
      </x:c>
      <x:c r="L11109" s="0">
        <x:f>hyperlink("https://icat2.azurewebsites.net/icat/?ontology=ICD&amp;tab=ClassesTab&amp;id=http%3A%2F%2Fwho.int%2Ficd%234927_bfdc5bfd_508c_4341_981a_49384b51cdc2","iCat")</x:f>
      </x:c>
      <x:c r="M11109" s="0" t="s">
        <x:v>21</x:v>
      </x:c>
      <x:c r="N11109" s="0" t="s">
        <x:v>46</x:v>
      </x:c>
    </x:row>
    <x:row r="11110" spans="1:16">
      <x:c r="A11110" s="0" t="s">
        <x:v>43938</x:v>
      </x:c>
      <x:c r="B11110" s="0" t="s">
        <x:v>43939</x:v>
      </x:c>
      <x:c r="C11110" s="0" t="s">
        <x:v>42840</x:v>
      </x:c>
      <x:c r="E11110" s="0" t="s">
        <x:v>43940</x:v>
      </x:c>
      <x:c r="F11110" s="0" t="s">
        <x:v>45</x:v>
      </x:c>
      <x:c r="G11110" s="0" t="s">
        <x:v>35</x:v>
      </x:c>
      <x:c r="H11110" s="0" t="s">
        <x:v>20</x:v>
      </x:c>
      <x:c r="I11110" s="0" t="s">
        <x:v>21</x:v>
      </x:c>
      <x:c r="K11110" s="0">
        <x:f>hyperlink("https://icd.who.int/dev11/l-ichi/en#/http%3A%2F%2Fid.who.int%2Ficd%2Fentity%2F1864115680","browser")</x:f>
      </x:c>
      <x:c r="L11110" s="0">
        <x:f>hyperlink("https://icat2.azurewebsites.net/icat/?ontology=ICD&amp;tab=ClassesTab&amp;id=http%3A%2F%2Fwho.int%2Ficd%234895_bfdc5bfd_508c_4341_981a_49384b51cdc2","iCat")</x:f>
      </x:c>
      <x:c r="M11110" s="0" t="s">
        <x:v>21</x:v>
      </x:c>
      <x:c r="N11110" s="0" t="s">
        <x:v>46</x:v>
      </x:c>
    </x:row>
    <x:row r="11111" spans="1:16">
      <x:c r="A11111" s="0" t="s">
        <x:v>43941</x:v>
      </x:c>
      <x:c r="B11111" s="0" t="s">
        <x:v>43942</x:v>
      </x:c>
      <x:c r="C11111" s="0" t="s">
        <x:v>42840</x:v>
      </x:c>
      <x:c r="E11111" s="0" t="s">
        <x:v>43943</x:v>
      </x:c>
      <x:c r="F11111" s="0" t="s">
        <x:v>45</x:v>
      </x:c>
      <x:c r="G11111" s="0" t="s">
        <x:v>19</x:v>
      </x:c>
      <x:c r="H11111" s="0" t="s">
        <x:v>20</x:v>
      </x:c>
      <x:c r="I11111" s="0" t="s">
        <x:v>21</x:v>
      </x:c>
      <x:c r="K11111" s="0">
        <x:f>hyperlink("https://icd.who.int/dev11/l-ichi/en#/http%3A%2F%2Fid.who.int%2Ficd%2Fentity%2F448900003","browser")</x:f>
      </x:c>
      <x:c r="L11111" s="0">
        <x:f>hyperlink("https://icat2.azurewebsites.net/icat/?ontology=ICD&amp;tab=ClassesTab&amp;id=http%3A%2F%2Fwho.int%2Ficd%234931_bfdc5bfd_508c_4341_981a_49384b51cdc2","iCat")</x:f>
      </x:c>
      <x:c r="M11111" s="0" t="s">
        <x:v>20</x:v>
      </x:c>
      <x:c r="N11111" s="0" t="s">
        <x:v>35</x:v>
      </x:c>
    </x:row>
    <x:row r="11112" spans="1:16">
      <x:c r="A11112" s="0" t="s">
        <x:v>43944</x:v>
      </x:c>
      <x:c r="B11112" s="0" t="s">
        <x:v>43945</x:v>
      </x:c>
      <x:c r="C11112" s="0" t="s">
        <x:v>42840</x:v>
      </x:c>
      <x:c r="E11112" s="0" t="s">
        <x:v>43946</x:v>
      </x:c>
      <x:c r="F11112" s="0" t="s">
        <x:v>45</x:v>
      </x:c>
      <x:c r="G11112" s="0" t="s">
        <x:v>30</x:v>
      </x:c>
      <x:c r="H11112" s="0" t="s">
        <x:v>20</x:v>
      </x:c>
      <x:c r="I11112" s="0" t="s">
        <x:v>21</x:v>
      </x:c>
      <x:c r="K11112" s="0">
        <x:f>hyperlink("https://icd.who.int/dev11/l-ichi/en#/http%3A%2F%2Fid.who.int%2Ficd%2Fentity%2F801533911","browser")</x:f>
      </x:c>
      <x:c r="L11112" s="0">
        <x:f>hyperlink("https://icat2.azurewebsites.net/icat/?ontology=ICD&amp;tab=ClassesTab&amp;id=http%3A%2F%2Fwho.int%2Ficd%234935_bfdc5bfd_508c_4341_981a_49384b51cdc2","iCat")</x:f>
      </x:c>
      <x:c r="M11112" s="0" t="s">
        <x:v>21</x:v>
      </x:c>
      <x:c r="N11112" s="0" t="s">
        <x:v>46</x:v>
      </x:c>
    </x:row>
    <x:row r="11113" spans="1:16">
      <x:c r="A11113" s="0" t="s">
        <x:v>43947</x:v>
      </x:c>
      <x:c r="B11113" s="0" t="s">
        <x:v>43948</x:v>
      </x:c>
      <x:c r="C11113" s="0" t="s">
        <x:v>42840</x:v>
      </x:c>
      <x:c r="E11113" s="0" t="s">
        <x:v>43949</x:v>
      </x:c>
      <x:c r="F11113" s="0" t="s">
        <x:v>45</x:v>
      </x:c>
      <x:c r="G11113" s="0" t="s">
        <x:v>30</x:v>
      </x:c>
      <x:c r="H11113" s="0" t="s">
        <x:v>20</x:v>
      </x:c>
      <x:c r="I11113" s="0" t="s">
        <x:v>21</x:v>
      </x:c>
      <x:c r="K11113" s="0">
        <x:f>hyperlink("https://icd.who.int/dev11/l-ichi/en#/http%3A%2F%2Fid.who.int%2Ficd%2Fentity%2F706197689","browser")</x:f>
      </x:c>
      <x:c r="L11113" s="0">
        <x:f>hyperlink("https://icat2.azurewebsites.net/icat/?ontology=ICD&amp;tab=ClassesTab&amp;id=http%3A%2F%2Fwho.int%2Ficd%234941_bfdc5bfd_508c_4341_981a_49384b51cdc2","iCat")</x:f>
      </x:c>
      <x:c r="M11113" s="0" t="s">
        <x:v>21</x:v>
      </x:c>
      <x:c r="N11113" s="0" t="s">
        <x:v>46</x:v>
      </x:c>
    </x:row>
    <x:row r="11114" spans="1:16">
      <x:c r="A11114" s="0" t="s">
        <x:v>43950</x:v>
      </x:c>
      <x:c r="B11114" s="0" t="s">
        <x:v>43951</x:v>
      </x:c>
      <x:c r="C11114" s="0" t="s">
        <x:v>42840</x:v>
      </x:c>
      <x:c r="E11114" s="0" t="s">
        <x:v>43952</x:v>
      </x:c>
      <x:c r="F11114" s="0" t="s">
        <x:v>45</x:v>
      </x:c>
      <x:c r="G11114" s="0" t="s">
        <x:v>30</x:v>
      </x:c>
      <x:c r="H11114" s="0" t="s">
        <x:v>20</x:v>
      </x:c>
      <x:c r="I11114" s="0" t="s">
        <x:v>21</x:v>
      </x:c>
      <x:c r="K11114" s="0">
        <x:f>hyperlink("https://icd.who.int/dev11/l-ichi/en#/http%3A%2F%2Fid.who.int%2Ficd%2Fentity%2F2053923080","browser")</x:f>
      </x:c>
      <x:c r="L11114" s="0">
        <x:f>hyperlink("https://icat2.azurewebsites.net/icat/?ontology=ICD&amp;tab=ClassesTab&amp;id=http%3A%2F%2Fwho.int%2Ficd%234947_bfdc5bfd_508c_4341_981a_49384b51cdc2","iCat")</x:f>
      </x:c>
      <x:c r="M11114" s="0" t="s">
        <x:v>21</x:v>
      </x:c>
      <x:c r="N11114" s="0" t="s">
        <x:v>46</x:v>
      </x:c>
    </x:row>
    <x:row r="11115" spans="1:16">
      <x:c r="A11115" s="0" t="s">
        <x:v>43953</x:v>
      </x:c>
      <x:c r="B11115" s="0" t="s">
        <x:v>43954</x:v>
      </x:c>
      <x:c r="C11115" s="0" t="s">
        <x:v>42840</x:v>
      </x:c>
      <x:c r="E11115" s="0" t="s">
        <x:v>43955</x:v>
      </x:c>
      <x:c r="F11115" s="0" t="s">
        <x:v>45</x:v>
      </x:c>
      <x:c r="G11115" s="0" t="s">
        <x:v>19</x:v>
      </x:c>
      <x:c r="H11115" s="0" t="s">
        <x:v>20</x:v>
      </x:c>
      <x:c r="I11115" s="0" t="s">
        <x:v>21</x:v>
      </x:c>
      <x:c r="K11115" s="0">
        <x:f>hyperlink("https://icd.who.int/dev11/l-ichi/en#/http%3A%2F%2Fid.who.int%2Ficd%2Fentity%2F89604631","browser")</x:f>
      </x:c>
      <x:c r="L11115" s="0">
        <x:f>hyperlink("https://icat2.azurewebsites.net/icat/?ontology=ICD&amp;tab=ClassesTab&amp;id=http%3A%2F%2Fwho.int%2Ficd%234952_bfdc5bfd_508c_4341_981a_49384b51cdc2","iCat")</x:f>
      </x:c>
      <x:c r="M11115" s="0" t="s">
        <x:v>20</x:v>
      </x:c>
      <x:c r="N11115" s="0" t="s">
        <x:v>31</x:v>
      </x:c>
    </x:row>
    <x:row r="11116" spans="1:16">
      <x:c r="A11116" s="0" t="s">
        <x:v>43956</x:v>
      </x:c>
      <x:c r="B11116" s="0" t="s">
        <x:v>43957</x:v>
      </x:c>
      <x:c r="C11116" s="0" t="s">
        <x:v>42840</x:v>
      </x:c>
      <x:c r="E11116" s="0" t="s">
        <x:v>43958</x:v>
      </x:c>
      <x:c r="F11116" s="0" t="s">
        <x:v>45</x:v>
      </x:c>
      <x:c r="G11116" s="0" t="s">
        <x:v>30</x:v>
      </x:c>
      <x:c r="H11116" s="0" t="s">
        <x:v>20</x:v>
      </x:c>
      <x:c r="I11116" s="0" t="s">
        <x:v>21</x:v>
      </x:c>
      <x:c r="K11116" s="0">
        <x:f>hyperlink("https://icd.who.int/dev11/l-ichi/en#/http%3A%2F%2Fid.who.int%2Ficd%2Fentity%2F810583651","browser")</x:f>
      </x:c>
      <x:c r="L11116" s="0">
        <x:f>hyperlink("https://icat2.azurewebsites.net/icat/?ontology=ICD&amp;tab=ClassesTab&amp;id=http%3A%2F%2Fwho.int%2Ficd%234956_bfdc5bfd_508c_4341_981a_49384b51cdc2","iCat")</x:f>
      </x:c>
      <x:c r="M11116" s="0" t="s">
        <x:v>20</x:v>
      </x:c>
      <x:c r="N11116" s="0" t="s">
        <x:v>16295</x:v>
      </x:c>
    </x:row>
    <x:row r="11117" spans="1:16">
      <x:c r="A11117" s="0" t="s">
        <x:v>43959</x:v>
      </x:c>
      <x:c r="B11117" s="0" t="s">
        <x:v>43960</x:v>
      </x:c>
      <x:c r="C11117" s="0" t="s">
        <x:v>42840</x:v>
      </x:c>
      <x:c r="E11117" s="0" t="s">
        <x:v>43961</x:v>
      </x:c>
      <x:c r="F11117" s="0" t="s">
        <x:v>45</x:v>
      </x:c>
      <x:c r="G11117" s="0" t="s">
        <x:v>35</x:v>
      </x:c>
      <x:c r="H11117" s="0" t="s">
        <x:v>20</x:v>
      </x:c>
      <x:c r="I11117" s="0" t="s">
        <x:v>21</x:v>
      </x:c>
      <x:c r="K11117" s="0">
        <x:f>hyperlink("https://icd.who.int/dev11/l-ichi/en#/http%3A%2F%2Fid.who.int%2Ficd%2Fentity%2F546971605","browser")</x:f>
      </x:c>
      <x:c r="L11117" s="0">
        <x:f>hyperlink("https://icat2.azurewebsites.net/icat/?ontology=ICD&amp;tab=ClassesTab&amp;id=http%3A%2F%2Fwho.int%2Ficd%234960_bfdc5bfd_508c_4341_981a_49384b51cdc2","iCat")</x:f>
      </x:c>
      <x:c r="M11117" s="0" t="s">
        <x:v>21</x:v>
      </x:c>
      <x:c r="N11117" s="0" t="s">
        <x:v>46</x:v>
      </x:c>
    </x:row>
    <x:row r="11118" spans="1:16">
      <x:c r="A11118" s="0" t="s">
        <x:v>43962</x:v>
      </x:c>
      <x:c r="B11118" s="0" t="s">
        <x:v>43963</x:v>
      </x:c>
      <x:c r="C11118" s="0" t="s">
        <x:v>42840</x:v>
      </x:c>
      <x:c r="E11118" s="0" t="s">
        <x:v>43964</x:v>
      </x:c>
      <x:c r="F11118" s="0" t="s">
        <x:v>45</x:v>
      </x:c>
      <x:c r="G11118" s="0" t="s">
        <x:v>35</x:v>
      </x:c>
      <x:c r="H11118" s="0" t="s">
        <x:v>20</x:v>
      </x:c>
      <x:c r="I11118" s="0" t="s">
        <x:v>21</x:v>
      </x:c>
      <x:c r="K11118" s="0">
        <x:f>hyperlink("https://icd.who.int/dev11/l-ichi/en#/http%3A%2F%2Fid.who.int%2Ficd%2Fentity%2F362666913","browser")</x:f>
      </x:c>
      <x:c r="L11118" s="0">
        <x:f>hyperlink("https://icat2.azurewebsites.net/icat/?ontology=ICD&amp;tab=ClassesTab&amp;id=http%3A%2F%2Fwho.int%2Ficd%234964_bfdc5bfd_508c_4341_981a_49384b51cdc2","iCat")</x:f>
      </x:c>
      <x:c r="M11118" s="0" t="s">
        <x:v>21</x:v>
      </x:c>
      <x:c r="N11118" s="0" t="s">
        <x:v>46</x:v>
      </x:c>
    </x:row>
    <x:row r="11119" spans="1:16">
      <x:c r="A11119" s="0" t="s">
        <x:v>43965</x:v>
      </x:c>
      <x:c r="B11119" s="0" t="s">
        <x:v>43966</x:v>
      </x:c>
      <x:c r="C11119" s="0" t="s">
        <x:v>42840</x:v>
      </x:c>
      <x:c r="E11119" s="0" t="s">
        <x:v>43967</x:v>
      </x:c>
      <x:c r="F11119" s="0" t="s">
        <x:v>45</x:v>
      </x:c>
      <x:c r="G11119" s="0" t="s">
        <x:v>35</x:v>
      </x:c>
      <x:c r="H11119" s="0" t="s">
        <x:v>20</x:v>
      </x:c>
      <x:c r="I11119" s="0" t="s">
        <x:v>21</x:v>
      </x:c>
      <x:c r="K11119" s="0">
        <x:f>hyperlink("https://icd.who.int/dev11/l-ichi/en#/http%3A%2F%2Fid.who.int%2Ficd%2Fentity%2F1323441340","browser")</x:f>
      </x:c>
      <x:c r="L11119" s="0">
        <x:f>hyperlink("https://icat2.azurewebsites.net/icat/?ontology=ICD&amp;tab=ClassesTab&amp;id=http%3A%2F%2Fwho.int%2Ficd%234969_bfdc5bfd_508c_4341_981a_49384b51cdc2","iCat")</x:f>
      </x:c>
      <x:c r="M11119" s="0" t="s">
        <x:v>21</x:v>
      </x:c>
      <x:c r="N11119" s="0" t="s">
        <x:v>46</x:v>
      </x:c>
    </x:row>
    <x:row r="11120" spans="1:16">
      <x:c r="A11120" s="0" t="s">
        <x:v>43968</x:v>
      </x:c>
      <x:c r="B11120" s="0" t="s">
        <x:v>43969</x:v>
      </x:c>
      <x:c r="C11120" s="0" t="s">
        <x:v>42840</x:v>
      </x:c>
      <x:c r="E11120" s="0" t="s">
        <x:v>43970</x:v>
      </x:c>
      <x:c r="F11120" s="0" t="s">
        <x:v>45</x:v>
      </x:c>
      <x:c r="G11120" s="0" t="s">
        <x:v>35</x:v>
      </x:c>
      <x:c r="H11120" s="0" t="s">
        <x:v>20</x:v>
      </x:c>
      <x:c r="I11120" s="0" t="s">
        <x:v>21</x:v>
      </x:c>
      <x:c r="K11120" s="0">
        <x:f>hyperlink("https://icd.who.int/dev11/l-ichi/en#/http%3A%2F%2Fid.who.int%2Ficd%2Fentity%2F1604402380","browser")</x:f>
      </x:c>
      <x:c r="L11120" s="0">
        <x:f>hyperlink("https://icat2.azurewebsites.net/icat/?ontology=ICD&amp;tab=ClassesTab&amp;id=http%3A%2F%2Fwho.int%2Ficd%234975_bfdc5bfd_508c_4341_981a_49384b51cdc2","iCat")</x:f>
      </x:c>
      <x:c r="M11120" s="0" t="s">
        <x:v>21</x:v>
      </x:c>
      <x:c r="N11120" s="0" t="s">
        <x:v>46</x:v>
      </x:c>
    </x:row>
    <x:row r="11121" spans="1:16">
      <x:c r="A11121" s="0" t="s">
        <x:v>43971</x:v>
      </x:c>
      <x:c r="B11121" s="0" t="s">
        <x:v>43972</x:v>
      </x:c>
      <x:c r="C11121" s="0" t="s">
        <x:v>42840</x:v>
      </x:c>
      <x:c r="E11121" s="0" t="s">
        <x:v>43973</x:v>
      </x:c>
      <x:c r="F11121" s="0" t="s">
        <x:v>45</x:v>
      </x:c>
      <x:c r="G11121" s="0" t="s">
        <x:v>35</x:v>
      </x:c>
      <x:c r="H11121" s="0" t="s">
        <x:v>20</x:v>
      </x:c>
      <x:c r="I11121" s="0" t="s">
        <x:v>21</x:v>
      </x:c>
      <x:c r="K11121" s="0">
        <x:f>hyperlink("https://icd.who.int/dev11/l-ichi/en#/http%3A%2F%2Fid.who.int%2Ficd%2Fentity%2F606570987","browser")</x:f>
      </x:c>
      <x:c r="L11121" s="0">
        <x:f>hyperlink("https://icat2.azurewebsites.net/icat/?ontology=ICD&amp;tab=ClassesTab&amp;id=http%3A%2F%2Fwho.int%2Ficd%234979_bfdc5bfd_508c_4341_981a_49384b51cdc2","iCat")</x:f>
      </x:c>
      <x:c r="M11121" s="0" t="s">
        <x:v>21</x:v>
      </x:c>
      <x:c r="N11121" s="0" t="s">
        <x:v>46</x:v>
      </x:c>
    </x:row>
    <x:row r="11122" spans="1:16">
      <x:c r="A11122" s="0" t="s">
        <x:v>43974</x:v>
      </x:c>
      <x:c r="B11122" s="0" t="s">
        <x:v>43975</x:v>
      </x:c>
      <x:c r="C11122" s="0" t="s">
        <x:v>42840</x:v>
      </x:c>
      <x:c r="E11122" s="0" t="s">
        <x:v>43976</x:v>
      </x:c>
      <x:c r="F11122" s="0" t="s">
        <x:v>45</x:v>
      </x:c>
      <x:c r="G11122" s="0" t="s">
        <x:v>35</x:v>
      </x:c>
      <x:c r="H11122" s="0" t="s">
        <x:v>20</x:v>
      </x:c>
      <x:c r="I11122" s="0" t="s">
        <x:v>21</x:v>
      </x:c>
      <x:c r="K11122" s="0">
        <x:f>hyperlink("https://icd.who.int/dev11/l-ichi/en#/http%3A%2F%2Fid.who.int%2Ficd%2Fentity%2F197182261","browser")</x:f>
      </x:c>
      <x:c r="L11122" s="0">
        <x:f>hyperlink("https://icat2.azurewebsites.net/icat/?ontology=ICD&amp;tab=ClassesTab&amp;id=http%3A%2F%2Fwho.int%2Ficd%234989_bfdc5bfd_508c_4341_981a_49384b51cdc2","iCat")</x:f>
      </x:c>
      <x:c r="M11122" s="0" t="s">
        <x:v>21</x:v>
      </x:c>
      <x:c r="N11122" s="0" t="s">
        <x:v>46</x:v>
      </x:c>
    </x:row>
    <x:row r="11123" spans="1:16">
      <x:c r="A11123" s="0" t="s">
        <x:v>43977</x:v>
      </x:c>
      <x:c r="B11123" s="0" t="s">
        <x:v>43978</x:v>
      </x:c>
      <x:c r="C11123" s="0" t="s">
        <x:v>42840</x:v>
      </x:c>
      <x:c r="E11123" s="0" t="s">
        <x:v>43979</x:v>
      </x:c>
      <x:c r="F11123" s="0" t="s">
        <x:v>45</x:v>
      </x:c>
      <x:c r="G11123" s="0" t="s">
        <x:v>35</x:v>
      </x:c>
      <x:c r="H11123" s="0" t="s">
        <x:v>20</x:v>
      </x:c>
      <x:c r="I11123" s="0" t="s">
        <x:v>21</x:v>
      </x:c>
      <x:c r="K11123" s="0">
        <x:f>hyperlink("https://icd.who.int/dev11/l-ichi/en#/http%3A%2F%2Fid.who.int%2Ficd%2Fentity%2F2095320288","browser")</x:f>
      </x:c>
      <x:c r="L11123" s="0">
        <x:f>hyperlink("https://icat2.azurewebsites.net/icat/?ontology=ICD&amp;tab=ClassesTab&amp;id=http%3A%2F%2Fwho.int%2Ficd%235001_bfdc5bfd_508c_4341_981a_49384b51cdc2","iCat")</x:f>
      </x:c>
      <x:c r="M11123" s="0" t="s">
        <x:v>21</x:v>
      </x:c>
      <x:c r="N11123" s="0" t="s">
        <x:v>46</x:v>
      </x:c>
    </x:row>
    <x:row r="11124" spans="1:16">
      <x:c r="A11124" s="0" t="s">
        <x:v>43980</x:v>
      </x:c>
      <x:c r="B11124" s="0" t="s">
        <x:v>43981</x:v>
      </x:c>
      <x:c r="C11124" s="0" t="s">
        <x:v>42840</x:v>
      </x:c>
      <x:c r="E11124" s="0" t="s">
        <x:v>43982</x:v>
      </x:c>
      <x:c r="F11124" s="0" t="s">
        <x:v>45</x:v>
      </x:c>
      <x:c r="G11124" s="0" t="s">
        <x:v>35</x:v>
      </x:c>
      <x:c r="H11124" s="0" t="s">
        <x:v>20</x:v>
      </x:c>
      <x:c r="I11124" s="0" t="s">
        <x:v>21</x:v>
      </x:c>
      <x:c r="K11124" s="0">
        <x:f>hyperlink("https://icd.who.int/dev11/l-ichi/en#/http%3A%2F%2Fid.who.int%2Ficd%2Fentity%2F208054125","browser")</x:f>
      </x:c>
      <x:c r="L11124" s="0">
        <x:f>hyperlink("https://icat2.azurewebsites.net/icat/?ontology=ICD&amp;tab=ClassesTab&amp;id=http%3A%2F%2Fwho.int%2Ficd%235006_bfdc5bfd_508c_4341_981a_49384b51cdc2","iCat")</x:f>
      </x:c>
      <x:c r="M11124" s="0" t="s">
        <x:v>21</x:v>
      </x:c>
      <x:c r="N11124" s="0" t="s">
        <x:v>46</x:v>
      </x:c>
    </x:row>
    <x:row r="11125" spans="1:16">
      <x:c r="A11125" s="0" t="s">
        <x:v>43983</x:v>
      </x:c>
      <x:c r="B11125" s="0" t="s">
        <x:v>43984</x:v>
      </x:c>
      <x:c r="C11125" s="0" t="s">
        <x:v>42840</x:v>
      </x:c>
      <x:c r="E11125" s="0" t="s">
        <x:v>43985</x:v>
      </x:c>
      <x:c r="F11125" s="0" t="s">
        <x:v>45</x:v>
      </x:c>
      <x:c r="G11125" s="0" t="s">
        <x:v>35</x:v>
      </x:c>
      <x:c r="H11125" s="0" t="s">
        <x:v>20</x:v>
      </x:c>
      <x:c r="I11125" s="0" t="s">
        <x:v>21</x:v>
      </x:c>
      <x:c r="K11125" s="0">
        <x:f>hyperlink("https://icd.who.int/dev11/l-ichi/en#/http%3A%2F%2Fid.who.int%2Ficd%2Fentity%2F371300791","browser")</x:f>
      </x:c>
      <x:c r="L11125" s="0">
        <x:f>hyperlink("https://icat2.azurewebsites.net/icat/?ontology=ICD&amp;tab=ClassesTab&amp;id=http%3A%2F%2Fwho.int%2Ficd%235011_bfdc5bfd_508c_4341_981a_49384b51cdc2","iCat")</x:f>
      </x:c>
      <x:c r="M11125" s="0" t="s">
        <x:v>21</x:v>
      </x:c>
      <x:c r="N11125" s="0" t="s">
        <x:v>46</x:v>
      </x:c>
    </x:row>
    <x:row r="11126" spans="1:16">
      <x:c r="A11126" s="0" t="s">
        <x:v>43986</x:v>
      </x:c>
      <x:c r="B11126" s="0" t="s">
        <x:v>43987</x:v>
      </x:c>
      <x:c r="C11126" s="0" t="s">
        <x:v>42840</x:v>
      </x:c>
      <x:c r="E11126" s="0" t="s">
        <x:v>43988</x:v>
      </x:c>
      <x:c r="F11126" s="0" t="s">
        <x:v>45</x:v>
      </x:c>
      <x:c r="G11126" s="0" t="s">
        <x:v>35</x:v>
      </x:c>
      <x:c r="H11126" s="0" t="s">
        <x:v>20</x:v>
      </x:c>
      <x:c r="I11126" s="0" t="s">
        <x:v>21</x:v>
      </x:c>
      <x:c r="K11126" s="0">
        <x:f>hyperlink("https://icd.who.int/dev11/l-ichi/en#/http%3A%2F%2Fid.who.int%2Ficd%2Fentity%2F1721971258","browser")</x:f>
      </x:c>
      <x:c r="L11126" s="0">
        <x:f>hyperlink("https://icat2.azurewebsites.net/icat/?ontology=ICD&amp;tab=ClassesTab&amp;id=http%3A%2F%2Fwho.int%2Ficd%235016_bfdc5bfd_508c_4341_981a_49384b51cdc2","iCat")</x:f>
      </x:c>
      <x:c r="M11126" s="0" t="s">
        <x:v>21</x:v>
      </x:c>
      <x:c r="N11126" s="0" t="s">
        <x:v>46</x:v>
      </x:c>
    </x:row>
    <x:row r="11127" spans="1:16">
      <x:c r="A11127" s="0" t="s">
        <x:v>43989</x:v>
      </x:c>
      <x:c r="B11127" s="0" t="s">
        <x:v>43990</x:v>
      </x:c>
      <x:c r="C11127" s="0" t="s">
        <x:v>42840</x:v>
      </x:c>
      <x:c r="E11127" s="0" t="s">
        <x:v>43991</x:v>
      </x:c>
      <x:c r="F11127" s="0" t="s">
        <x:v>45</x:v>
      </x:c>
      <x:c r="G11127" s="0" t="s">
        <x:v>35</x:v>
      </x:c>
      <x:c r="H11127" s="0" t="s">
        <x:v>20</x:v>
      </x:c>
      <x:c r="I11127" s="0" t="s">
        <x:v>21</x:v>
      </x:c>
      <x:c r="K11127" s="0">
        <x:f>hyperlink("https://icd.who.int/dev11/l-ichi/en#/http%3A%2F%2Fid.who.int%2Ficd%2Fentity%2F320190025","browser")</x:f>
      </x:c>
      <x:c r="L11127" s="0">
        <x:f>hyperlink("https://icat2.azurewebsites.net/icat/?ontology=ICD&amp;tab=ClassesTab&amp;id=http%3A%2F%2Fwho.int%2Ficd%235022_bfdc5bfd_508c_4341_981a_49384b51cdc2","iCat")</x:f>
      </x:c>
      <x:c r="M11127" s="0" t="s">
        <x:v>21</x:v>
      </x:c>
      <x:c r="N11127" s="0" t="s">
        <x:v>46</x:v>
      </x:c>
    </x:row>
    <x:row r="11128" spans="1:16">
      <x:c r="A11128" s="0" t="s">
        <x:v>43992</x:v>
      </x:c>
      <x:c r="B11128" s="0" t="s">
        <x:v>43993</x:v>
      </x:c>
      <x:c r="C11128" s="0" t="s">
        <x:v>42840</x:v>
      </x:c>
      <x:c r="E11128" s="0" t="s">
        <x:v>43994</x:v>
      </x:c>
      <x:c r="F11128" s="0" t="s">
        <x:v>45</x:v>
      </x:c>
      <x:c r="G11128" s="0" t="s">
        <x:v>35</x:v>
      </x:c>
      <x:c r="H11128" s="0" t="s">
        <x:v>20</x:v>
      </x:c>
      <x:c r="I11128" s="0" t="s">
        <x:v>21</x:v>
      </x:c>
      <x:c r="K11128" s="0">
        <x:f>hyperlink("https://icd.who.int/dev11/l-ichi/en#/http%3A%2F%2Fid.who.int%2Ficd%2Fentity%2F954784473","browser")</x:f>
      </x:c>
      <x:c r="L11128" s="0">
        <x:f>hyperlink("https://icat2.azurewebsites.net/icat/?ontology=ICD&amp;tab=ClassesTab&amp;id=http%3A%2F%2Fwho.int%2Ficd%235028_bfdc5bfd_508c_4341_981a_49384b51cdc2","iCat")</x:f>
      </x:c>
      <x:c r="M11128" s="0" t="s">
        <x:v>21</x:v>
      </x:c>
      <x:c r="N11128" s="0" t="s">
        <x:v>46</x:v>
      </x:c>
    </x:row>
    <x:row r="11129" spans="1:16">
      <x:c r="A11129" s="0" t="s">
        <x:v>43995</x:v>
      </x:c>
      <x:c r="B11129" s="0" t="s">
        <x:v>43996</x:v>
      </x:c>
      <x:c r="C11129" s="0" t="s">
        <x:v>42840</x:v>
      </x:c>
      <x:c r="E11129" s="0" t="s">
        <x:v>43997</x:v>
      </x:c>
      <x:c r="F11129" s="0" t="s">
        <x:v>45</x:v>
      </x:c>
      <x:c r="G11129" s="0" t="s">
        <x:v>35</x:v>
      </x:c>
      <x:c r="H11129" s="0" t="s">
        <x:v>20</x:v>
      </x:c>
      <x:c r="I11129" s="0" t="s">
        <x:v>21</x:v>
      </x:c>
      <x:c r="K11129" s="0">
        <x:f>hyperlink("https://icd.who.int/dev11/l-ichi/en#/http%3A%2F%2Fid.who.int%2Ficd%2Fentity%2F699136687","browser")</x:f>
      </x:c>
      <x:c r="L11129" s="0">
        <x:f>hyperlink("https://icat2.azurewebsites.net/icat/?ontology=ICD&amp;tab=ClassesTab&amp;id=http%3A%2F%2Fwho.int%2Ficd%235034_bfdc5bfd_508c_4341_981a_49384b51cdc2","iCat")</x:f>
      </x:c>
      <x:c r="M11129" s="0" t="s">
        <x:v>21</x:v>
      </x:c>
      <x:c r="N11129" s="0" t="s">
        <x:v>46</x:v>
      </x:c>
    </x:row>
    <x:row r="11130" spans="1:16">
      <x:c r="A11130" s="0" t="s">
        <x:v>43998</x:v>
      </x:c>
      <x:c r="B11130" s="0" t="s">
        <x:v>43999</x:v>
      </x:c>
      <x:c r="C11130" s="0" t="s">
        <x:v>42840</x:v>
      </x:c>
      <x:c r="E11130" s="0" t="s">
        <x:v>44000</x:v>
      </x:c>
      <x:c r="F11130" s="0" t="s">
        <x:v>45</x:v>
      </x:c>
      <x:c r="G11130" s="0" t="s">
        <x:v>35</x:v>
      </x:c>
      <x:c r="H11130" s="0" t="s">
        <x:v>20</x:v>
      </x:c>
      <x:c r="I11130" s="0" t="s">
        <x:v>21</x:v>
      </x:c>
      <x:c r="K11130" s="0">
        <x:f>hyperlink("https://icd.who.int/dev11/l-ichi/en#/http%3A%2F%2Fid.who.int%2Ficd%2Fentity%2F1926512052","browser")</x:f>
      </x:c>
      <x:c r="L11130" s="0">
        <x:f>hyperlink("https://icat2.azurewebsites.net/icat/?ontology=ICD&amp;tab=ClassesTab&amp;id=http%3A%2F%2Fwho.int%2Ficd%235039_bfdc5bfd_508c_4341_981a_49384b51cdc2","iCat")</x:f>
      </x:c>
      <x:c r="M11130" s="0" t="s">
        <x:v>21</x:v>
      </x:c>
      <x:c r="N11130" s="0" t="s">
        <x:v>46</x:v>
      </x:c>
    </x:row>
    <x:row r="11131" spans="1:16">
      <x:c r="A11131" s="0" t="s">
        <x:v>44001</x:v>
      </x:c>
      <x:c r="B11131" s="0" t="s">
        <x:v>44002</x:v>
      </x:c>
      <x:c r="C11131" s="0" t="s">
        <x:v>42840</x:v>
      </x:c>
      <x:c r="E11131" s="0" t="s">
        <x:v>44003</x:v>
      </x:c>
      <x:c r="F11131" s="0" t="s">
        <x:v>45</x:v>
      </x:c>
      <x:c r="G11131" s="0" t="s">
        <x:v>35</x:v>
      </x:c>
      <x:c r="H11131" s="0" t="s">
        <x:v>20</x:v>
      </x:c>
      <x:c r="I11131" s="0" t="s">
        <x:v>21</x:v>
      </x:c>
      <x:c r="K11131" s="0">
        <x:f>hyperlink("https://icd.who.int/dev11/l-ichi/en#/http%3A%2F%2Fid.who.int%2Ficd%2Fentity%2F427682229","browser")</x:f>
      </x:c>
      <x:c r="L11131" s="0">
        <x:f>hyperlink("https://icat2.azurewebsites.net/icat/?ontology=ICD&amp;tab=ClassesTab&amp;id=http%3A%2F%2Fwho.int%2Ficd%235044_bfdc5bfd_508c_4341_981a_49384b51cdc2","iCat")</x:f>
      </x:c>
      <x:c r="M11131" s="0" t="s">
        <x:v>21</x:v>
      </x:c>
      <x:c r="N11131" s="0" t="s">
        <x:v>46</x:v>
      </x:c>
    </x:row>
    <x:row r="11132" spans="1:16">
      <x:c r="A11132" s="0" t="s">
        <x:v>44004</x:v>
      </x:c>
      <x:c r="B11132" s="0" t="s">
        <x:v>44005</x:v>
      </x:c>
      <x:c r="C11132" s="0" t="s">
        <x:v>42840</x:v>
      </x:c>
      <x:c r="E11132" s="0" t="s">
        <x:v>44006</x:v>
      </x:c>
      <x:c r="F11132" s="0" t="s">
        <x:v>45</x:v>
      </x:c>
      <x:c r="G11132" s="0" t="s">
        <x:v>35</x:v>
      </x:c>
      <x:c r="H11132" s="0" t="s">
        <x:v>20</x:v>
      </x:c>
      <x:c r="I11132" s="0" t="s">
        <x:v>21</x:v>
      </x:c>
      <x:c r="K11132" s="0">
        <x:f>hyperlink("https://icd.who.int/dev11/l-ichi/en#/http%3A%2F%2Fid.who.int%2Ficd%2Fentity%2F1107439272","browser")</x:f>
      </x:c>
      <x:c r="L11132" s="0">
        <x:f>hyperlink("https://icat2.azurewebsites.net/icat/?ontology=ICD&amp;tab=ClassesTab&amp;id=http%3A%2F%2Fwho.int%2Ficd%235049_bfdc5bfd_508c_4341_981a_49384b51cdc2","iCat")</x:f>
      </x:c>
      <x:c r="M11132" s="0" t="s">
        <x:v>21</x:v>
      </x:c>
      <x:c r="N11132" s="0" t="s">
        <x:v>46</x:v>
      </x:c>
    </x:row>
    <x:row r="11133" spans="1:16">
      <x:c r="A11133" s="0" t="s">
        <x:v>44007</x:v>
      </x:c>
      <x:c r="B11133" s="0" t="s">
        <x:v>44008</x:v>
      </x:c>
      <x:c r="C11133" s="0" t="s">
        <x:v>42840</x:v>
      </x:c>
      <x:c r="E11133" s="0" t="s">
        <x:v>44009</x:v>
      </x:c>
      <x:c r="F11133" s="0" t="s">
        <x:v>45</x:v>
      </x:c>
      <x:c r="G11133" s="0" t="s">
        <x:v>35</x:v>
      </x:c>
      <x:c r="H11133" s="0" t="s">
        <x:v>20</x:v>
      </x:c>
      <x:c r="I11133" s="0" t="s">
        <x:v>21</x:v>
      </x:c>
      <x:c r="K11133" s="0">
        <x:f>hyperlink("https://icd.who.int/dev11/l-ichi/en#/http%3A%2F%2Fid.who.int%2Ficd%2Fentity%2F1396772576","browser")</x:f>
      </x:c>
      <x:c r="L11133" s="0">
        <x:f>hyperlink("https://icat2.azurewebsites.net/icat/?ontology=ICD&amp;tab=ClassesTab&amp;id=http%3A%2F%2Fwho.int%2Ficd%235055_bfdc5bfd_508c_4341_981a_49384b51cdc2","iCat")</x:f>
      </x:c>
      <x:c r="M11133" s="0" t="s">
        <x:v>21</x:v>
      </x:c>
      <x:c r="N11133" s="0" t="s">
        <x:v>46</x:v>
      </x:c>
    </x:row>
    <x:row r="11134" spans="1:16">
      <x:c r="A11134" s="0" t="s">
        <x:v>44010</x:v>
      </x:c>
      <x:c r="B11134" s="0" t="s">
        <x:v>44011</x:v>
      </x:c>
      <x:c r="C11134" s="0" t="s">
        <x:v>42840</x:v>
      </x:c>
      <x:c r="E11134" s="0" t="s">
        <x:v>44012</x:v>
      </x:c>
      <x:c r="F11134" s="0" t="s">
        <x:v>45</x:v>
      </x:c>
      <x:c r="G11134" s="0" t="s">
        <x:v>35</x:v>
      </x:c>
      <x:c r="H11134" s="0" t="s">
        <x:v>20</x:v>
      </x:c>
      <x:c r="I11134" s="0" t="s">
        <x:v>21</x:v>
      </x:c>
      <x:c r="K11134" s="0">
        <x:f>hyperlink("https://icd.who.int/dev11/l-ichi/en#/http%3A%2F%2Fid.who.int%2Ficd%2Fentity%2F684178431","browser")</x:f>
      </x:c>
      <x:c r="L11134" s="0">
        <x:f>hyperlink("https://icat2.azurewebsites.net/icat/?ontology=ICD&amp;tab=ClassesTab&amp;id=http%3A%2F%2Fwho.int%2Ficd%235059_bfdc5bfd_508c_4341_981a_49384b51cdc2","iCat")</x:f>
      </x:c>
      <x:c r="M11134" s="0" t="s">
        <x:v>21</x:v>
      </x:c>
      <x:c r="N11134" s="0" t="s">
        <x:v>46</x:v>
      </x:c>
    </x:row>
    <x:row r="11135" spans="1:16">
      <x:c r="A11135" s="0" t="s">
        <x:v>44013</x:v>
      </x:c>
      <x:c r="B11135" s="0" t="s">
        <x:v>44014</x:v>
      </x:c>
      <x:c r="C11135" s="0" t="s">
        <x:v>42840</x:v>
      </x:c>
      <x:c r="E11135" s="0" t="s">
        <x:v>44015</x:v>
      </x:c>
      <x:c r="F11135" s="0" t="s">
        <x:v>45</x:v>
      </x:c>
      <x:c r="G11135" s="0" t="s">
        <x:v>35</x:v>
      </x:c>
      <x:c r="H11135" s="0" t="s">
        <x:v>20</x:v>
      </x:c>
      <x:c r="I11135" s="0" t="s">
        <x:v>21</x:v>
      </x:c>
      <x:c r="K11135" s="0">
        <x:f>hyperlink("https://icd.who.int/dev11/l-ichi/en#/http%3A%2F%2Fid.who.int%2Ficd%2Fentity%2F1450516770","browser")</x:f>
      </x:c>
      <x:c r="L11135" s="0">
        <x:f>hyperlink("https://icat2.azurewebsites.net/icat/?ontology=ICD&amp;tab=ClassesTab&amp;id=http%3A%2F%2Fwho.int%2Ficd%235066_bfdc5bfd_508c_4341_981a_49384b51cdc2","iCat")</x:f>
      </x:c>
      <x:c r="M11135" s="0" t="s">
        <x:v>21</x:v>
      </x:c>
      <x:c r="N11135" s="0" t="s">
        <x:v>46</x:v>
      </x:c>
    </x:row>
    <x:row r="11136" spans="1:16">
      <x:c r="A11136" s="0" t="s">
        <x:v>44016</x:v>
      </x:c>
      <x:c r="B11136" s="0" t="s">
        <x:v>44017</x:v>
      </x:c>
      <x:c r="C11136" s="0" t="s">
        <x:v>42840</x:v>
      </x:c>
      <x:c r="E11136" s="0" t="s">
        <x:v>44018</x:v>
      </x:c>
      <x:c r="F11136" s="0" t="s">
        <x:v>45</x:v>
      </x:c>
      <x:c r="G11136" s="0" t="s">
        <x:v>35</x:v>
      </x:c>
      <x:c r="H11136" s="0" t="s">
        <x:v>20</x:v>
      </x:c>
      <x:c r="I11136" s="0" t="s">
        <x:v>21</x:v>
      </x:c>
      <x:c r="K11136" s="0">
        <x:f>hyperlink("https://icd.who.int/dev11/l-ichi/en#/http%3A%2F%2Fid.who.int%2Ficd%2Fentity%2F1825271238","browser")</x:f>
      </x:c>
      <x:c r="L11136" s="0">
        <x:f>hyperlink("https://icat2.azurewebsites.net/icat/?ontology=ICD&amp;tab=ClassesTab&amp;id=http%3A%2F%2Fwho.int%2Ficd%235070_bfdc5bfd_508c_4341_981a_49384b51cdc2","iCat")</x:f>
      </x:c>
      <x:c r="M11136" s="0" t="s">
        <x:v>21</x:v>
      </x:c>
      <x:c r="N11136" s="0" t="s">
        <x:v>46</x:v>
      </x:c>
    </x:row>
    <x:row r="11137" spans="1:16">
      <x:c r="A11137" s="0" t="s">
        <x:v>44019</x:v>
      </x:c>
      <x:c r="B11137" s="0" t="s">
        <x:v>44020</x:v>
      </x:c>
      <x:c r="C11137" s="0" t="s">
        <x:v>42840</x:v>
      </x:c>
      <x:c r="E11137" s="0" t="s">
        <x:v>44021</x:v>
      </x:c>
      <x:c r="F11137" s="0" t="s">
        <x:v>45</x:v>
      </x:c>
      <x:c r="G11137" s="0" t="s">
        <x:v>35</x:v>
      </x:c>
      <x:c r="H11137" s="0" t="s">
        <x:v>20</x:v>
      </x:c>
      <x:c r="I11137" s="0" t="s">
        <x:v>21</x:v>
      </x:c>
      <x:c r="K11137" s="0">
        <x:f>hyperlink("https://icd.who.int/dev11/l-ichi/en#/http%3A%2F%2Fid.who.int%2Ficd%2Fentity%2F1506585012","browser")</x:f>
      </x:c>
      <x:c r="L11137" s="0">
        <x:f>hyperlink("https://icat2.azurewebsites.net/icat/?ontology=ICD&amp;tab=ClassesTab&amp;id=http%3A%2F%2Fwho.int%2Ficd%235074_bfdc5bfd_508c_4341_981a_49384b51cdc2","iCat")</x:f>
      </x:c>
      <x:c r="M11137" s="0" t="s">
        <x:v>21</x:v>
      </x:c>
      <x:c r="N11137" s="0" t="s">
        <x:v>46</x:v>
      </x:c>
    </x:row>
    <x:row r="11138" spans="1:16">
      <x:c r="A11138" s="0" t="s">
        <x:v>44022</x:v>
      </x:c>
      <x:c r="B11138" s="0" t="s">
        <x:v>44023</x:v>
      </x:c>
      <x:c r="C11138" s="0" t="s">
        <x:v>42840</x:v>
      </x:c>
      <x:c r="E11138" s="0" t="s">
        <x:v>44024</x:v>
      </x:c>
      <x:c r="F11138" s="0" t="s">
        <x:v>45</x:v>
      </x:c>
      <x:c r="G11138" s="0" t="s">
        <x:v>35</x:v>
      </x:c>
      <x:c r="H11138" s="0" t="s">
        <x:v>20</x:v>
      </x:c>
      <x:c r="I11138" s="0" t="s">
        <x:v>21</x:v>
      </x:c>
      <x:c r="K11138" s="0">
        <x:f>hyperlink("https://icd.who.int/dev11/l-ichi/en#/http%3A%2F%2Fid.who.int%2Ficd%2Fentity%2F798351548","browser")</x:f>
      </x:c>
      <x:c r="L11138" s="0">
        <x:f>hyperlink("https://icat2.azurewebsites.net/icat/?ontology=ICD&amp;tab=ClassesTab&amp;id=http%3A%2F%2Fwho.int%2Ficd%2313172_4869915e_217e_423d_acb3_33c0f920ef4b","iCat")</x:f>
      </x:c>
      <x:c r="M11138" s="0" t="s">
        <x:v>21</x:v>
      </x:c>
      <x:c r="N11138" s="0" t="s">
        <x:v>46</x:v>
      </x:c>
    </x:row>
    <x:row r="11139" spans="1:16">
      <x:c r="A11139" s="0" t="s">
        <x:v>44025</x:v>
      </x:c>
      <x:c r="B11139" s="0" t="s">
        <x:v>44026</x:v>
      </x:c>
      <x:c r="C11139" s="0" t="s">
        <x:v>42840</x:v>
      </x:c>
      <x:c r="E11139" s="0" t="s">
        <x:v>44027</x:v>
      </x:c>
      <x:c r="F11139" s="0" t="s">
        <x:v>45</x:v>
      </x:c>
      <x:c r="G11139" s="0" t="s">
        <x:v>35</x:v>
      </x:c>
      <x:c r="H11139" s="0" t="s">
        <x:v>20</x:v>
      </x:c>
      <x:c r="I11139" s="0" t="s">
        <x:v>21</x:v>
      </x:c>
      <x:c r="K11139" s="0">
        <x:f>hyperlink("https://icd.who.int/dev11/l-ichi/en#/http%3A%2F%2Fid.who.int%2Ficd%2Fentity%2F575282323","browser")</x:f>
      </x:c>
      <x:c r="L11139" s="0">
        <x:f>hyperlink("https://icat2.azurewebsites.net/icat/?ontology=ICD&amp;tab=ClassesTab&amp;id=http%3A%2F%2Fwho.int%2Ficd%235078_bfdc5bfd_508c_4341_981a_49384b51cdc2","iCat")</x:f>
      </x:c>
      <x:c r="M11139" s="0" t="s">
        <x:v>21</x:v>
      </x:c>
      <x:c r="N11139" s="0" t="s">
        <x:v>46</x:v>
      </x:c>
    </x:row>
    <x:row r="11140" spans="1:16">
      <x:c r="A11140" s="0" t="s">
        <x:v>44028</x:v>
      </x:c>
      <x:c r="B11140" s="0" t="s">
        <x:v>44029</x:v>
      </x:c>
      <x:c r="C11140" s="0" t="s">
        <x:v>42840</x:v>
      </x:c>
      <x:c r="E11140" s="0" t="s">
        <x:v>44030</x:v>
      </x:c>
      <x:c r="F11140" s="0" t="s">
        <x:v>45</x:v>
      </x:c>
      <x:c r="G11140" s="0" t="s">
        <x:v>35</x:v>
      </x:c>
      <x:c r="H11140" s="0" t="s">
        <x:v>20</x:v>
      </x:c>
      <x:c r="I11140" s="0" t="s">
        <x:v>21</x:v>
      </x:c>
      <x:c r="K11140" s="0">
        <x:f>hyperlink("https://icd.who.int/dev11/l-ichi/en#/http%3A%2F%2Fid.who.int%2Ficd%2Fentity%2F111757537","browser")</x:f>
      </x:c>
      <x:c r="L11140" s="0">
        <x:f>hyperlink("https://icat2.azurewebsites.net/icat/?ontology=ICD&amp;tab=ClassesTab&amp;id=http%3A%2F%2Fwho.int%2Ficd%235083_bfdc5bfd_508c_4341_981a_49384b51cdc2","iCat")</x:f>
      </x:c>
      <x:c r="M11140" s="0" t="s">
        <x:v>21</x:v>
      </x:c>
      <x:c r="N11140" s="0" t="s">
        <x:v>46</x:v>
      </x:c>
    </x:row>
    <x:row r="11141" spans="1:16">
      <x:c r="A11141" s="0" t="s">
        <x:v>44031</x:v>
      </x:c>
      <x:c r="B11141" s="0" t="s">
        <x:v>44032</x:v>
      </x:c>
      <x:c r="C11141" s="0" t="s">
        <x:v>42840</x:v>
      </x:c>
      <x:c r="E11141" s="0" t="s">
        <x:v>44033</x:v>
      </x:c>
      <x:c r="F11141" s="0" t="s">
        <x:v>45</x:v>
      </x:c>
      <x:c r="G11141" s="0" t="s">
        <x:v>35</x:v>
      </x:c>
      <x:c r="H11141" s="0" t="s">
        <x:v>20</x:v>
      </x:c>
      <x:c r="I11141" s="0" t="s">
        <x:v>21</x:v>
      </x:c>
      <x:c r="K11141" s="0">
        <x:f>hyperlink("https://icd.who.int/dev11/l-ichi/en#/http%3A%2F%2Fid.who.int%2Ficd%2Fentity%2F229463629","browser")</x:f>
      </x:c>
      <x:c r="L11141" s="0">
        <x:f>hyperlink("https://icat2.azurewebsites.net/icat/?ontology=ICD&amp;tab=ClassesTab&amp;id=http%3A%2F%2Fwho.int%2Ficd%235088_bfdc5bfd_508c_4341_981a_49384b51cdc2","iCat")</x:f>
      </x:c>
      <x:c r="M11141" s="0" t="s">
        <x:v>21</x:v>
      </x:c>
      <x:c r="N11141" s="0" t="s">
        <x:v>46</x:v>
      </x:c>
    </x:row>
    <x:row r="11142" spans="1:16">
      <x:c r="A11142" s="0" t="s">
        <x:v>44034</x:v>
      </x:c>
      <x:c r="B11142" s="0" t="s">
        <x:v>44035</x:v>
      </x:c>
      <x:c r="C11142" s="0" t="s">
        <x:v>42840</x:v>
      </x:c>
      <x:c r="E11142" s="0" t="s">
        <x:v>44036</x:v>
      </x:c>
      <x:c r="F11142" s="0" t="s">
        <x:v>45</x:v>
      </x:c>
      <x:c r="G11142" s="0" t="s">
        <x:v>35</x:v>
      </x:c>
      <x:c r="H11142" s="0" t="s">
        <x:v>20</x:v>
      </x:c>
      <x:c r="I11142" s="0" t="s">
        <x:v>21</x:v>
      </x:c>
      <x:c r="K11142" s="0">
        <x:f>hyperlink("https://icd.who.int/dev11/l-ichi/en#/http%3A%2F%2Fid.who.int%2Ficd%2Fentity%2F1284878218","browser")</x:f>
      </x:c>
      <x:c r="L11142" s="0">
        <x:f>hyperlink("https://icat2.azurewebsites.net/icat/?ontology=ICD&amp;tab=ClassesTab&amp;id=http%3A%2F%2Fwho.int%2Ficd%235092_bfdc5bfd_508c_4341_981a_49384b51cdc2","iCat")</x:f>
      </x:c>
      <x:c r="M11142" s="0" t="s">
        <x:v>21</x:v>
      </x:c>
      <x:c r="N11142" s="0" t="s">
        <x:v>46</x:v>
      </x:c>
    </x:row>
    <x:row r="11143" spans="1:16">
      <x:c r="A11143" s="0" t="s">
        <x:v>44037</x:v>
      </x:c>
      <x:c r="B11143" s="0" t="s">
        <x:v>44038</x:v>
      </x:c>
      <x:c r="C11143" s="0" t="s">
        <x:v>42840</x:v>
      </x:c>
      <x:c r="E11143" s="0" t="s">
        <x:v>44039</x:v>
      </x:c>
      <x:c r="F11143" s="0" t="s">
        <x:v>45</x:v>
      </x:c>
      <x:c r="G11143" s="0" t="s">
        <x:v>35</x:v>
      </x:c>
      <x:c r="H11143" s="0" t="s">
        <x:v>20</x:v>
      </x:c>
      <x:c r="I11143" s="0" t="s">
        <x:v>21</x:v>
      </x:c>
      <x:c r="K11143" s="0">
        <x:f>hyperlink("https://icd.who.int/dev11/l-ichi/en#/http%3A%2F%2Fid.who.int%2Ficd%2Fentity%2F2039639040","browser")</x:f>
      </x:c>
      <x:c r="L11143" s="0">
        <x:f>hyperlink("https://icat2.azurewebsites.net/icat/?ontology=ICD&amp;tab=ClassesTab&amp;id=http%3A%2F%2Fwho.int%2Ficd%235096_bfdc5bfd_508c_4341_981a_49384b51cdc2","iCat")</x:f>
      </x:c>
      <x:c r="M11143" s="0" t="s">
        <x:v>21</x:v>
      </x:c>
      <x:c r="N11143" s="0" t="s">
        <x:v>46</x:v>
      </x:c>
    </x:row>
    <x:row r="11144" spans="1:16">
      <x:c r="A11144" s="0" t="s">
        <x:v>44040</x:v>
      </x:c>
      <x:c r="B11144" s="0" t="s">
        <x:v>44041</x:v>
      </x:c>
      <x:c r="C11144" s="0" t="s">
        <x:v>42840</x:v>
      </x:c>
      <x:c r="E11144" s="0" t="s">
        <x:v>44042</x:v>
      </x:c>
      <x:c r="F11144" s="0" t="s">
        <x:v>45</x:v>
      </x:c>
      <x:c r="G11144" s="0" t="s">
        <x:v>35</x:v>
      </x:c>
      <x:c r="H11144" s="0" t="s">
        <x:v>20</x:v>
      </x:c>
      <x:c r="I11144" s="0" t="s">
        <x:v>21</x:v>
      </x:c>
      <x:c r="K11144" s="0">
        <x:f>hyperlink("https://icd.who.int/dev11/l-ichi/en#/http%3A%2F%2Fid.who.int%2Ficd%2Fentity%2F696432705","browser")</x:f>
      </x:c>
      <x:c r="L11144" s="0">
        <x:f>hyperlink("https://icat2.azurewebsites.net/icat/?ontology=ICD&amp;tab=ClassesTab&amp;id=http%3A%2F%2Fwho.int%2Ficd%235100_bfdc5bfd_508c_4341_981a_49384b51cdc2","iCat")</x:f>
      </x:c>
      <x:c r="M11144" s="0" t="s">
        <x:v>21</x:v>
      </x:c>
      <x:c r="N11144" s="0" t="s">
        <x:v>46</x:v>
      </x:c>
    </x:row>
    <x:row r="11145" spans="1:16">
      <x:c r="A11145" s="0" t="s">
        <x:v>44043</x:v>
      </x:c>
      <x:c r="B11145" s="0" t="s">
        <x:v>44044</x:v>
      </x:c>
      <x:c r="C11145" s="0" t="s">
        <x:v>42840</x:v>
      </x:c>
      <x:c r="E11145" s="0" t="s">
        <x:v>44045</x:v>
      </x:c>
      <x:c r="F11145" s="0" t="s">
        <x:v>45</x:v>
      </x:c>
      <x:c r="G11145" s="0" t="s">
        <x:v>35</x:v>
      </x:c>
      <x:c r="H11145" s="0" t="s">
        <x:v>20</x:v>
      </x:c>
      <x:c r="I11145" s="0" t="s">
        <x:v>21</x:v>
      </x:c>
      <x:c r="K11145" s="0">
        <x:f>hyperlink("https://icd.who.int/dev11/l-ichi/en#/http%3A%2F%2Fid.who.int%2Ficd%2Fentity%2F478510133","browser")</x:f>
      </x:c>
      <x:c r="L11145" s="0">
        <x:f>hyperlink("https://icat2.azurewebsites.net/icat/?ontology=ICD&amp;tab=ClassesTab&amp;id=http%3A%2F%2Fwho.int%2Ficd%235104_bfdc5bfd_508c_4341_981a_49384b51cdc2","iCat")</x:f>
      </x:c>
      <x:c r="M11145" s="0" t="s">
        <x:v>21</x:v>
      </x:c>
      <x:c r="N11145" s="0" t="s">
        <x:v>46</x:v>
      </x:c>
    </x:row>
    <x:row r="11146" spans="1:16">
      <x:c r="A11146" s="0" t="s">
        <x:v>44046</x:v>
      </x:c>
      <x:c r="B11146" s="0" t="s">
        <x:v>44047</x:v>
      </x:c>
      <x:c r="C11146" s="0" t="s">
        <x:v>42840</x:v>
      </x:c>
      <x:c r="E11146" s="0" t="s">
        <x:v>44048</x:v>
      </x:c>
      <x:c r="F11146" s="0" t="s">
        <x:v>45</x:v>
      </x:c>
      <x:c r="G11146" s="0" t="s">
        <x:v>35</x:v>
      </x:c>
      <x:c r="H11146" s="0" t="s">
        <x:v>20</x:v>
      </x:c>
      <x:c r="I11146" s="0" t="s">
        <x:v>21</x:v>
      </x:c>
      <x:c r="K11146" s="0">
        <x:f>hyperlink("https://icd.who.int/dev11/l-ichi/en#/http%3A%2F%2Fid.who.int%2Ficd%2Fentity%2F1728301334","browser")</x:f>
      </x:c>
      <x:c r="L11146" s="0">
        <x:f>hyperlink("https://icat2.azurewebsites.net/icat/?ontology=ICD&amp;tab=ClassesTab&amp;id=http%3A%2F%2Fwho.int%2Ficd%235108_bfdc5bfd_508c_4341_981a_49384b51cdc2","iCat")</x:f>
      </x:c>
      <x:c r="M11146" s="0" t="s">
        <x:v>21</x:v>
      </x:c>
      <x:c r="N11146" s="0" t="s">
        <x:v>46</x:v>
      </x:c>
    </x:row>
    <x:row r="11147" spans="1:16">
      <x:c r="A11147" s="0" t="s">
        <x:v>44049</x:v>
      </x:c>
      <x:c r="B11147" s="0" t="s">
        <x:v>44050</x:v>
      </x:c>
      <x:c r="C11147" s="0" t="s">
        <x:v>42840</x:v>
      </x:c>
      <x:c r="E11147" s="0" t="s">
        <x:v>44051</x:v>
      </x:c>
      <x:c r="F11147" s="0" t="s">
        <x:v>45</x:v>
      </x:c>
      <x:c r="G11147" s="0" t="s">
        <x:v>35</x:v>
      </x:c>
      <x:c r="H11147" s="0" t="s">
        <x:v>20</x:v>
      </x:c>
      <x:c r="I11147" s="0" t="s">
        <x:v>21</x:v>
      </x:c>
      <x:c r="K11147" s="0">
        <x:f>hyperlink("https://icd.who.int/dev11/l-ichi/en#/http%3A%2F%2Fid.who.int%2Ficd%2Fentity%2F641413331","browser")</x:f>
      </x:c>
      <x:c r="L11147" s="0">
        <x:f>hyperlink("https://icat2.azurewebsites.net/icat/?ontology=ICD&amp;tab=ClassesTab&amp;id=http%3A%2F%2Fwho.int%2Ficd%235112_bfdc5bfd_508c_4341_981a_49384b51cdc2","iCat")</x:f>
      </x:c>
      <x:c r="M11147" s="0" t="s">
        <x:v>21</x:v>
      </x:c>
      <x:c r="N11147" s="0" t="s">
        <x:v>46</x:v>
      </x:c>
    </x:row>
    <x:row r="11148" spans="1:16">
      <x:c r="A11148" s="0" t="s">
        <x:v>44052</x:v>
      </x:c>
      <x:c r="B11148" s="0" t="s">
        <x:v>44053</x:v>
      </x:c>
      <x:c r="C11148" s="0" t="s">
        <x:v>42840</x:v>
      </x:c>
      <x:c r="E11148" s="0" t="s">
        <x:v>44054</x:v>
      </x:c>
      <x:c r="F11148" s="0" t="s">
        <x:v>45</x:v>
      </x:c>
      <x:c r="G11148" s="0" t="s">
        <x:v>35</x:v>
      </x:c>
      <x:c r="H11148" s="0" t="s">
        <x:v>20</x:v>
      </x:c>
      <x:c r="I11148" s="0" t="s">
        <x:v>21</x:v>
      </x:c>
      <x:c r="K11148" s="0">
        <x:f>hyperlink("https://icd.who.int/dev11/l-ichi/en#/http%3A%2F%2Fid.who.int%2Ficd%2Fentity%2F322761895","browser")</x:f>
      </x:c>
      <x:c r="L11148" s="0">
        <x:f>hyperlink("https://icat2.azurewebsites.net/icat/?ontology=ICD&amp;tab=ClassesTab&amp;id=http%3A%2F%2Fwho.int%2Ficd%235116_bfdc5bfd_508c_4341_981a_49384b51cdc2","iCat")</x:f>
      </x:c>
      <x:c r="M11148" s="0" t="s">
        <x:v>21</x:v>
      </x:c>
      <x:c r="N11148" s="0" t="s">
        <x:v>46</x:v>
      </x:c>
    </x:row>
    <x:row r="11149" spans="1:16">
      <x:c r="A11149" s="0" t="s">
        <x:v>44055</x:v>
      </x:c>
      <x:c r="B11149" s="0" t="s">
        <x:v>44056</x:v>
      </x:c>
      <x:c r="C11149" s="0" t="s">
        <x:v>42840</x:v>
      </x:c>
      <x:c r="E11149" s="0" t="s">
        <x:v>44057</x:v>
      </x:c>
      <x:c r="F11149" s="0" t="s">
        <x:v>45</x:v>
      </x:c>
      <x:c r="G11149" s="0" t="s">
        <x:v>35</x:v>
      </x:c>
      <x:c r="H11149" s="0" t="s">
        <x:v>20</x:v>
      </x:c>
      <x:c r="I11149" s="0" t="s">
        <x:v>21</x:v>
      </x:c>
      <x:c r="K11149" s="0">
        <x:f>hyperlink("https://icd.who.int/dev11/l-ichi/en#/http%3A%2F%2Fid.who.int%2Ficd%2Fentity%2F66481425","browser")</x:f>
      </x:c>
      <x:c r="L11149" s="0">
        <x:f>hyperlink("https://icat2.azurewebsites.net/icat/?ontology=ICD&amp;tab=ClassesTab&amp;id=http%3A%2F%2Fwho.int%2Ficd%235120_bfdc5bfd_508c_4341_981a_49384b51cdc2","iCat")</x:f>
      </x:c>
      <x:c r="M11149" s="0" t="s">
        <x:v>21</x:v>
      </x:c>
      <x:c r="N11149" s="0" t="s">
        <x:v>46</x:v>
      </x:c>
    </x:row>
    <x:row r="11150" spans="1:16">
      <x:c r="A11150" s="0" t="s">
        <x:v>44058</x:v>
      </x:c>
      <x:c r="B11150" s="0" t="s">
        <x:v>44059</x:v>
      </x:c>
      <x:c r="C11150" s="0" t="s">
        <x:v>42840</x:v>
      </x:c>
      <x:c r="E11150" s="0" t="s">
        <x:v>44060</x:v>
      </x:c>
      <x:c r="F11150" s="0" t="s">
        <x:v>45</x:v>
      </x:c>
      <x:c r="G11150" s="0" t="s">
        <x:v>30</x:v>
      </x:c>
      <x:c r="H11150" s="0" t="s">
        <x:v>20</x:v>
      </x:c>
      <x:c r="I11150" s="0" t="s">
        <x:v>21</x:v>
      </x:c>
      <x:c r="K11150" s="0">
        <x:f>hyperlink("https://icd.who.int/dev11/l-ichi/en#/http%3A%2F%2Fid.who.int%2Ficd%2Fentity%2F921807205","browser")</x:f>
      </x:c>
      <x:c r="L11150" s="0">
        <x:f>hyperlink("https://icat2.azurewebsites.net/icat/?ontology=ICD&amp;tab=ClassesTab&amp;id=http%3A%2F%2Fwho.int%2Ficd%235124_bfdc5bfd_508c_4341_981a_49384b51cdc2","iCat")</x:f>
      </x:c>
      <x:c r="M11150" s="0" t="s">
        <x:v>20</x:v>
      </x:c>
      <x:c r="N11150" s="0" t="s">
        <x:v>206</x:v>
      </x:c>
    </x:row>
    <x:row r="11151" spans="1:16">
      <x:c r="A11151" s="0" t="s">
        <x:v>44061</x:v>
      </x:c>
      <x:c r="B11151" s="0" t="s">
        <x:v>44062</x:v>
      </x:c>
      <x:c r="C11151" s="0" t="s">
        <x:v>42840</x:v>
      </x:c>
      <x:c r="E11151" s="0" t="s">
        <x:v>44063</x:v>
      </x:c>
      <x:c r="F11151" s="0" t="s">
        <x:v>45</x:v>
      </x:c>
      <x:c r="G11151" s="0" t="s">
        <x:v>35</x:v>
      </x:c>
      <x:c r="H11151" s="0" t="s">
        <x:v>20</x:v>
      </x:c>
      <x:c r="I11151" s="0" t="s">
        <x:v>21</x:v>
      </x:c>
      <x:c r="K11151" s="0">
        <x:f>hyperlink("https://icd.who.int/dev11/l-ichi/en#/http%3A%2F%2Fid.who.int%2Ficd%2Fentity%2F1299651652","browser")</x:f>
      </x:c>
      <x:c r="L11151" s="0">
        <x:f>hyperlink("https://icat2.azurewebsites.net/icat/?ontology=ICD&amp;tab=ClassesTab&amp;id=http%3A%2F%2Fwho.int%2Ficd%235128_bfdc5bfd_508c_4341_981a_49384b51cdc2","iCat")</x:f>
      </x:c>
      <x:c r="M11151" s="0" t="s">
        <x:v>21</x:v>
      </x:c>
      <x:c r="N11151" s="0" t="s">
        <x:v>46</x:v>
      </x:c>
    </x:row>
    <x:row r="11152" spans="1:16">
      <x:c r="A11152" s="0" t="s">
        <x:v>44064</x:v>
      </x:c>
      <x:c r="B11152" s="0" t="s">
        <x:v>44065</x:v>
      </x:c>
      <x:c r="C11152" s="0" t="s">
        <x:v>42840</x:v>
      </x:c>
      <x:c r="E11152" s="0" t="s">
        <x:v>44066</x:v>
      </x:c>
      <x:c r="F11152" s="0" t="s">
        <x:v>45</x:v>
      </x:c>
      <x:c r="G11152" s="0" t="s">
        <x:v>35</x:v>
      </x:c>
      <x:c r="H11152" s="0" t="s">
        <x:v>20</x:v>
      </x:c>
      <x:c r="I11152" s="0" t="s">
        <x:v>21</x:v>
      </x:c>
      <x:c r="K11152" s="0">
        <x:f>hyperlink("https://icd.who.int/dev11/l-ichi/en#/http%3A%2F%2Fid.who.int%2Ficd%2Fentity%2F2093829646","browser")</x:f>
      </x:c>
      <x:c r="L11152" s="0">
        <x:f>hyperlink("https://icat2.azurewebsites.net/icat/?ontology=ICD&amp;tab=ClassesTab&amp;id=http%3A%2F%2Fwho.int%2Ficd%235135_bfdc5bfd_508c_4341_981a_49384b51cdc2","iCat")</x:f>
      </x:c>
      <x:c r="M11152" s="0" t="s">
        <x:v>21</x:v>
      </x:c>
      <x:c r="N11152" s="0" t="s">
        <x:v>46</x:v>
      </x:c>
    </x:row>
    <x:row r="11153" spans="1:16">
      <x:c r="A11153" s="0" t="s">
        <x:v>44067</x:v>
      </x:c>
      <x:c r="B11153" s="0" t="s">
        <x:v>44068</x:v>
      </x:c>
      <x:c r="C11153" s="0" t="s">
        <x:v>42840</x:v>
      </x:c>
      <x:c r="E11153" s="0" t="s">
        <x:v>44069</x:v>
      </x:c>
      <x:c r="F11153" s="0" t="s">
        <x:v>45</x:v>
      </x:c>
      <x:c r="G11153" s="0" t="s">
        <x:v>35</x:v>
      </x:c>
      <x:c r="H11153" s="0" t="s">
        <x:v>20</x:v>
      </x:c>
      <x:c r="I11153" s="0" t="s">
        <x:v>21</x:v>
      </x:c>
      <x:c r="K11153" s="0">
        <x:f>hyperlink("https://icd.who.int/dev11/l-ichi/en#/http%3A%2F%2Fid.who.int%2Ficd%2Fentity%2F122420015","browser")</x:f>
      </x:c>
      <x:c r="L11153" s="0">
        <x:f>hyperlink("https://icat2.azurewebsites.net/icat/?ontology=ICD&amp;tab=ClassesTab&amp;id=http%3A%2F%2Fwho.int%2Ficd%235139_bfdc5bfd_508c_4341_981a_49384b51cdc2","iCat")</x:f>
      </x:c>
      <x:c r="M11153" s="0" t="s">
        <x:v>21</x:v>
      </x:c>
      <x:c r="N11153" s="0" t="s">
        <x:v>46</x:v>
      </x:c>
    </x:row>
    <x:row r="11154" spans="1:16">
      <x:c r="A11154" s="0" t="s">
        <x:v>44070</x:v>
      </x:c>
      <x:c r="B11154" s="0" t="s">
        <x:v>44071</x:v>
      </x:c>
      <x:c r="C11154" s="0" t="s">
        <x:v>42840</x:v>
      </x:c>
      <x:c r="E11154" s="0" t="s">
        <x:v>44072</x:v>
      </x:c>
      <x:c r="F11154" s="0" t="s">
        <x:v>45</x:v>
      </x:c>
      <x:c r="G11154" s="0" t="s">
        <x:v>35</x:v>
      </x:c>
      <x:c r="H11154" s="0" t="s">
        <x:v>20</x:v>
      </x:c>
      <x:c r="I11154" s="0" t="s">
        <x:v>21</x:v>
      </x:c>
      <x:c r="K11154" s="0">
        <x:f>hyperlink("https://icd.who.int/dev11/l-ichi/en#/http%3A%2F%2Fid.who.int%2Ficd%2Fentity%2F476087461","browser")</x:f>
      </x:c>
      <x:c r="L11154" s="0">
        <x:f>hyperlink("https://icat2.azurewebsites.net/icat/?ontology=ICD&amp;tab=ClassesTab&amp;id=http%3A%2F%2Fwho.int%2Ficd%235143_bfdc5bfd_508c_4341_981a_49384b51cdc2","iCat")</x:f>
      </x:c>
      <x:c r="M11154" s="0" t="s">
        <x:v>21</x:v>
      </x:c>
      <x:c r="N11154" s="0" t="s">
        <x:v>46</x:v>
      </x:c>
    </x:row>
    <x:row r="11155" spans="1:16">
      <x:c r="A11155" s="0" t="s">
        <x:v>44073</x:v>
      </x:c>
      <x:c r="B11155" s="0" t="s">
        <x:v>44074</x:v>
      </x:c>
      <x:c r="C11155" s="0" t="s">
        <x:v>42840</x:v>
      </x:c>
      <x:c r="E11155" s="0" t="s">
        <x:v>44075</x:v>
      </x:c>
      <x:c r="F11155" s="0" t="s">
        <x:v>45</x:v>
      </x:c>
      <x:c r="G11155" s="0" t="s">
        <x:v>35</x:v>
      </x:c>
      <x:c r="H11155" s="0" t="s">
        <x:v>20</x:v>
      </x:c>
      <x:c r="I11155" s="0" t="s">
        <x:v>21</x:v>
      </x:c>
      <x:c r="K11155" s="0">
        <x:f>hyperlink("https://icd.who.int/dev11/l-ichi/en#/http%3A%2F%2Fid.who.int%2Ficd%2Fentity%2F694632657","browser")</x:f>
      </x:c>
      <x:c r="L11155" s="0">
        <x:f>hyperlink("https://icat2.azurewebsites.net/icat/?ontology=ICD&amp;tab=ClassesTab&amp;id=http%3A%2F%2Fwho.int%2Ficd%235147_bfdc5bfd_508c_4341_981a_49384b51cdc2","iCat")</x:f>
      </x:c>
      <x:c r="M11155" s="0" t="s">
        <x:v>21</x:v>
      </x:c>
      <x:c r="N11155" s="0" t="s">
        <x:v>46</x:v>
      </x:c>
    </x:row>
    <x:row r="11156" spans="1:16">
      <x:c r="A11156" s="0" t="s">
        <x:v>44076</x:v>
      </x:c>
      <x:c r="B11156" s="0" t="s">
        <x:v>44077</x:v>
      </x:c>
      <x:c r="C11156" s="0" t="s">
        <x:v>42840</x:v>
      </x:c>
      <x:c r="E11156" s="0" t="s">
        <x:v>44078</x:v>
      </x:c>
      <x:c r="F11156" s="0" t="s">
        <x:v>45</x:v>
      </x:c>
      <x:c r="G11156" s="0" t="s">
        <x:v>35</x:v>
      </x:c>
      <x:c r="H11156" s="0" t="s">
        <x:v>20</x:v>
      </x:c>
      <x:c r="I11156" s="0" t="s">
        <x:v>21</x:v>
      </x:c>
      <x:c r="K11156" s="0">
        <x:f>hyperlink("https://icd.who.int/dev11/l-ichi/en#/http%3A%2F%2Fid.who.int%2Ficd%2Fentity%2F1448895440","browser")</x:f>
      </x:c>
      <x:c r="L11156" s="0">
        <x:f>hyperlink("https://icat2.azurewebsites.net/icat/?ontology=ICD&amp;tab=ClassesTab&amp;id=http%3A%2F%2Fwho.int%2Ficd%235152_bfdc5bfd_508c_4341_981a_49384b51cdc2","iCat")</x:f>
      </x:c>
      <x:c r="M11156" s="0" t="s">
        <x:v>21</x:v>
      </x:c>
      <x:c r="N11156" s="0" t="s">
        <x:v>46</x:v>
      </x:c>
    </x:row>
    <x:row r="11157" spans="1:16">
      <x:c r="A11157" s="0" t="s">
        <x:v>44079</x:v>
      </x:c>
      <x:c r="B11157" s="0" t="s">
        <x:v>44080</x:v>
      </x:c>
      <x:c r="C11157" s="0" t="s">
        <x:v>42840</x:v>
      </x:c>
      <x:c r="E11157" s="0" t="s">
        <x:v>44081</x:v>
      </x:c>
      <x:c r="F11157" s="0" t="s">
        <x:v>45</x:v>
      </x:c>
      <x:c r="G11157" s="0" t="s">
        <x:v>30</x:v>
      </x:c>
      <x:c r="H11157" s="0" t="s">
        <x:v>20</x:v>
      </x:c>
      <x:c r="I11157" s="0" t="s">
        <x:v>21</x:v>
      </x:c>
      <x:c r="K11157" s="0">
        <x:f>hyperlink("https://icd.who.int/dev11/l-ichi/en#/http%3A%2F%2Fid.who.int%2Ficd%2Fentity%2F1666951098","browser")</x:f>
      </x:c>
      <x:c r="L11157" s="0">
        <x:f>hyperlink("https://icat2.azurewebsites.net/icat/?ontology=ICD&amp;tab=ClassesTab&amp;id=http%3A%2F%2Fwho.int%2Ficd%235156_bfdc5bfd_508c_4341_981a_49384b51cdc2","iCat")</x:f>
      </x:c>
      <x:c r="M11157" s="0" t="s">
        <x:v>20</x:v>
      </x:c>
      <x:c r="N11157" s="0" t="s">
        <x:v>22</x:v>
      </x:c>
    </x:row>
    <x:row r="11158" spans="1:16">
      <x:c r="A11158" s="0" t="s">
        <x:v>44082</x:v>
      </x:c>
      <x:c r="B11158" s="0" t="s">
        <x:v>44083</x:v>
      </x:c>
      <x:c r="C11158" s="0" t="s">
        <x:v>42840</x:v>
      </x:c>
      <x:c r="E11158" s="0" t="s">
        <x:v>44084</x:v>
      </x:c>
      <x:c r="F11158" s="0" t="s">
        <x:v>45</x:v>
      </x:c>
      <x:c r="G11158" s="0" t="s">
        <x:v>35</x:v>
      </x:c>
      <x:c r="H11158" s="0" t="s">
        <x:v>20</x:v>
      </x:c>
      <x:c r="I11158" s="0" t="s">
        <x:v>21</x:v>
      </x:c>
      <x:c r="K11158" s="0">
        <x:f>hyperlink("https://icd.who.int/dev11/l-ichi/en#/http%3A%2F%2Fid.who.int%2Ficd%2Fentity%2F1938898444","browser")</x:f>
      </x:c>
      <x:c r="L11158" s="0">
        <x:f>hyperlink("https://icat2.azurewebsites.net/icat/?ontology=ICD&amp;tab=ClassesTab&amp;id=http%3A%2F%2Fwho.int%2Ficd%235160_bfdc5bfd_508c_4341_981a_49384b51cdc2","iCat")</x:f>
      </x:c>
      <x:c r="M11158" s="0" t="s">
        <x:v>21</x:v>
      </x:c>
      <x:c r="N11158" s="0" t="s">
        <x:v>46</x:v>
      </x:c>
    </x:row>
    <x:row r="11159" spans="1:16">
      <x:c r="A11159" s="0" t="s">
        <x:v>44085</x:v>
      </x:c>
      <x:c r="B11159" s="0" t="s">
        <x:v>44086</x:v>
      </x:c>
      <x:c r="C11159" s="0" t="s">
        <x:v>42840</x:v>
      </x:c>
      <x:c r="E11159" s="0" t="s">
        <x:v>44087</x:v>
      </x:c>
      <x:c r="F11159" s="0" t="s">
        <x:v>45</x:v>
      </x:c>
      <x:c r="G11159" s="0" t="s">
        <x:v>35</x:v>
      </x:c>
      <x:c r="H11159" s="0" t="s">
        <x:v>20</x:v>
      </x:c>
      <x:c r="I11159" s="0" t="s">
        <x:v>21</x:v>
      </x:c>
      <x:c r="K11159" s="0">
        <x:f>hyperlink("https://icd.who.int/dev11/l-ichi/en#/http%3A%2F%2Fid.who.int%2Ficd%2Fentity%2F602597309","browser")</x:f>
      </x:c>
      <x:c r="L11159" s="0">
        <x:f>hyperlink("https://icat2.azurewebsites.net/icat/?ontology=ICD&amp;tab=ClassesTab&amp;id=http%3A%2F%2Fwho.int%2Ficd%235166_bfdc5bfd_508c_4341_981a_49384b51cdc2","iCat")</x:f>
      </x:c>
      <x:c r="M11159" s="0" t="s">
        <x:v>21</x:v>
      </x:c>
      <x:c r="N11159" s="0" t="s">
        <x:v>46</x:v>
      </x:c>
    </x:row>
    <x:row r="11160" spans="1:16">
      <x:c r="A11160" s="0" t="s">
        <x:v>44088</x:v>
      </x:c>
      <x:c r="B11160" s="0" t="s">
        <x:v>44089</x:v>
      </x:c>
      <x:c r="C11160" s="0" t="s">
        <x:v>42840</x:v>
      </x:c>
      <x:c r="E11160" s="0" t="s">
        <x:v>44090</x:v>
      </x:c>
      <x:c r="F11160" s="0" t="s">
        <x:v>45</x:v>
      </x:c>
      <x:c r="G11160" s="0" t="s">
        <x:v>35</x:v>
      </x:c>
      <x:c r="H11160" s="0" t="s">
        <x:v>20</x:v>
      </x:c>
      <x:c r="I11160" s="0" t="s">
        <x:v>21</x:v>
      </x:c>
      <x:c r="K11160" s="0">
        <x:f>hyperlink("https://icd.who.int/dev11/l-ichi/en#/http%3A%2F%2Fid.who.int%2Ficd%2Fentity%2F424979291","browser")</x:f>
      </x:c>
      <x:c r="L11160" s="0">
        <x:f>hyperlink("https://icat2.azurewebsites.net/icat/?ontology=ICD&amp;tab=ClassesTab&amp;id=http%3A%2F%2Fwho.int%2Ficd%235170_bfdc5bfd_508c_4341_981a_49384b51cdc2","iCat")</x:f>
      </x:c>
      <x:c r="M11160" s="0" t="s">
        <x:v>21</x:v>
      </x:c>
      <x:c r="N11160" s="0" t="s">
        <x:v>46</x:v>
      </x:c>
    </x:row>
    <x:row r="11161" spans="1:16">
      <x:c r="A11161" s="0" t="s">
        <x:v>44091</x:v>
      </x:c>
      <x:c r="B11161" s="0" t="s">
        <x:v>44092</x:v>
      </x:c>
      <x:c r="C11161" s="0" t="s">
        <x:v>42840</x:v>
      </x:c>
      <x:c r="E11161" s="0" t="s">
        <x:v>44093</x:v>
      </x:c>
      <x:c r="F11161" s="0" t="s">
        <x:v>45</x:v>
      </x:c>
      <x:c r="G11161" s="0" t="s">
        <x:v>35</x:v>
      </x:c>
      <x:c r="H11161" s="0" t="s">
        <x:v>20</x:v>
      </x:c>
      <x:c r="I11161" s="0" t="s">
        <x:v>21</x:v>
      </x:c>
      <x:c r="K11161" s="0">
        <x:f>hyperlink("https://icd.who.int/dev11/l-ichi/en#/http%3A%2F%2Fid.who.int%2Ficd%2Fentity%2F743665455","browser")</x:f>
      </x:c>
      <x:c r="L11161" s="0">
        <x:f>hyperlink("https://icat2.azurewebsites.net/icat/?ontology=ICD&amp;tab=ClassesTab&amp;id=http%3A%2F%2Fwho.int%2Ficd%235174_bfdc5bfd_508c_4341_981a_49384b51cdc2","iCat")</x:f>
      </x:c>
      <x:c r="M11161" s="0" t="s">
        <x:v>21</x:v>
      </x:c>
      <x:c r="N11161" s="0" t="s">
        <x:v>46</x:v>
      </x:c>
    </x:row>
    <x:row r="11162" spans="1:16">
      <x:c r="A11162" s="0" t="s">
        <x:v>44094</x:v>
      </x:c>
      <x:c r="B11162" s="0" t="s">
        <x:v>44095</x:v>
      </x:c>
      <x:c r="C11162" s="0" t="s">
        <x:v>42840</x:v>
      </x:c>
      <x:c r="E11162" s="0" t="s">
        <x:v>44096</x:v>
      </x:c>
      <x:c r="F11162" s="0" t="s">
        <x:v>45</x:v>
      </x:c>
      <x:c r="G11162" s="0" t="s">
        <x:v>30</x:v>
      </x:c>
      <x:c r="H11162" s="0" t="s">
        <x:v>20</x:v>
      </x:c>
      <x:c r="I11162" s="0" t="s">
        <x:v>21</x:v>
      </x:c>
      <x:c r="K11162" s="0">
        <x:f>hyperlink("https://icd.who.int/dev11/l-ichi/en#/http%3A%2F%2Fid.who.int%2Ficd%2Fentity%2F1473632782","browser")</x:f>
      </x:c>
      <x:c r="L11162" s="0">
        <x:f>hyperlink("https://icat2.azurewebsites.net/icat/?ontology=ICD&amp;tab=ClassesTab&amp;id=http%3A%2F%2Fwho.int%2Ficd%235178_bfdc5bfd_508c_4341_981a_49384b51cdc2","iCat")</x:f>
      </x:c>
      <x:c r="M11162" s="0" t="s">
        <x:v>20</x:v>
      </x:c>
      <x:c r="N11162" s="0" t="s">
        <x:v>431</x:v>
      </x:c>
    </x:row>
    <x:row r="11163" spans="1:16">
      <x:c r="A11163" s="0" t="s">
        <x:v>44097</x:v>
      </x:c>
      <x:c r="B11163" s="0" t="s">
        <x:v>44098</x:v>
      </x:c>
      <x:c r="C11163" s="0" t="s">
        <x:v>42840</x:v>
      </x:c>
      <x:c r="E11163" s="0" t="s">
        <x:v>44099</x:v>
      </x:c>
      <x:c r="F11163" s="0" t="s">
        <x:v>45</x:v>
      </x:c>
      <x:c r="G11163" s="0" t="s">
        <x:v>35</x:v>
      </x:c>
      <x:c r="H11163" s="0" t="s">
        <x:v>20</x:v>
      </x:c>
      <x:c r="I11163" s="0" t="s">
        <x:v>21</x:v>
      </x:c>
      <x:c r="K11163" s="0">
        <x:f>hyperlink("https://icd.who.int/dev11/l-ichi/en#/http%3A%2F%2Fid.who.int%2Ficd%2Fentity%2F1406139456","browser")</x:f>
      </x:c>
      <x:c r="L11163" s="0">
        <x:f>hyperlink("https://icat2.azurewebsites.net/icat/?ontology=ICD&amp;tab=ClassesTab&amp;id=http%3A%2F%2Fwho.int%2Ficd%235182_bfdc5bfd_508c_4341_981a_49384b51cdc2","iCat")</x:f>
      </x:c>
      <x:c r="M11163" s="0" t="s">
        <x:v>21</x:v>
      </x:c>
      <x:c r="N11163" s="0" t="s">
        <x:v>46</x:v>
      </x:c>
    </x:row>
    <x:row r="11164" spans="1:16">
      <x:c r="A11164" s="0" t="s">
        <x:v>44100</x:v>
      </x:c>
      <x:c r="B11164" s="0" t="s">
        <x:v>44101</x:v>
      </x:c>
      <x:c r="C11164" s="0" t="s">
        <x:v>42840</x:v>
      </x:c>
      <x:c r="E11164" s="0" t="s">
        <x:v>44102</x:v>
      </x:c>
      <x:c r="F11164" s="0" t="s">
        <x:v>45</x:v>
      </x:c>
      <x:c r="G11164" s="0" t="s">
        <x:v>35</x:v>
      </x:c>
      <x:c r="H11164" s="0" t="s">
        <x:v>20</x:v>
      </x:c>
      <x:c r="I11164" s="0" t="s">
        <x:v>21</x:v>
      </x:c>
      <x:c r="K11164" s="0">
        <x:f>hyperlink("https://icd.who.int/dev11/l-ichi/en#/http%3A%2F%2Fid.who.int%2Ficd%2Fentity%2F2016579792","browser")</x:f>
      </x:c>
      <x:c r="L11164" s="0">
        <x:f>hyperlink("https://icat2.azurewebsites.net/icat/?ontology=ICD&amp;tab=ClassesTab&amp;id=http%3A%2F%2Fwho.int%2Ficd%235188_bfdc5bfd_508c_4341_981a_49384b51cdc2","iCat")</x:f>
      </x:c>
      <x:c r="M11164" s="0" t="s">
        <x:v>21</x:v>
      </x:c>
      <x:c r="N11164" s="0" t="s">
        <x:v>46</x:v>
      </x:c>
    </x:row>
    <x:row r="11165" spans="1:16">
      <x:c r="A11165" s="0" t="s">
        <x:v>44103</x:v>
      </x:c>
      <x:c r="B11165" s="0" t="s">
        <x:v>44104</x:v>
      </x:c>
      <x:c r="C11165" s="0" t="s">
        <x:v>42840</x:v>
      </x:c>
      <x:c r="E11165" s="0" t="s">
        <x:v>44105</x:v>
      </x:c>
      <x:c r="F11165" s="0" t="s">
        <x:v>45</x:v>
      </x:c>
      <x:c r="G11165" s="0" t="s">
        <x:v>35</x:v>
      </x:c>
      <x:c r="H11165" s="0" t="s">
        <x:v>20</x:v>
      </x:c>
      <x:c r="I11165" s="0" t="s">
        <x:v>21</x:v>
      </x:c>
      <x:c r="K11165" s="0">
        <x:f>hyperlink("https://icd.who.int/dev11/l-ichi/en#/http%3A%2F%2Fid.who.int%2Ficd%2Fentity%2F1769058472","browser")</x:f>
      </x:c>
      <x:c r="L11165" s="0">
        <x:f>hyperlink("https://icat2.azurewebsites.net/icat/?ontology=ICD&amp;tab=ClassesTab&amp;id=http%3A%2F%2Fwho.int%2Ficd%235194_bfdc5bfd_508c_4341_981a_49384b51cdc2","iCat")</x:f>
      </x:c>
      <x:c r="M11165" s="0" t="s">
        <x:v>21</x:v>
      </x:c>
      <x:c r="N11165" s="0" t="s">
        <x:v>46</x:v>
      </x:c>
    </x:row>
    <x:row r="11166" spans="1:16">
      <x:c r="A11166" s="0" t="s">
        <x:v>44106</x:v>
      </x:c>
      <x:c r="B11166" s="0" t="s">
        <x:v>44107</x:v>
      </x:c>
      <x:c r="C11166" s="0" t="s">
        <x:v>42840</x:v>
      </x:c>
      <x:c r="E11166" s="0" t="s">
        <x:v>44108</x:v>
      </x:c>
      <x:c r="F11166" s="0" t="s">
        <x:v>45</x:v>
      </x:c>
      <x:c r="G11166" s="0" t="s">
        <x:v>35</x:v>
      </x:c>
      <x:c r="H11166" s="0" t="s">
        <x:v>20</x:v>
      </x:c>
      <x:c r="I11166" s="0" t="s">
        <x:v>21</x:v>
      </x:c>
      <x:c r="K11166" s="0">
        <x:f>hyperlink("https://icd.who.int/dev11/l-ichi/en#/http%3A%2F%2Fid.who.int%2Ficd%2Fentity%2F1222446104","browser")</x:f>
      </x:c>
      <x:c r="L11166" s="0">
        <x:f>hyperlink("https://icat2.azurewebsites.net/icat/?ontology=ICD&amp;tab=ClassesTab&amp;id=http%3A%2F%2Fwho.int%2Ficd%235200_bfdc5bfd_508c_4341_981a_49384b51cdc2","iCat")</x:f>
      </x:c>
      <x:c r="M11166" s="0" t="s">
        <x:v>21</x:v>
      </x:c>
      <x:c r="N11166" s="0" t="s">
        <x:v>46</x:v>
      </x:c>
    </x:row>
    <x:row r="11167" spans="1:16">
      <x:c r="A11167" s="0" t="s">
        <x:v>44109</x:v>
      </x:c>
      <x:c r="B11167" s="0" t="s">
        <x:v>44110</x:v>
      </x:c>
      <x:c r="C11167" s="0" t="s">
        <x:v>42840</x:v>
      </x:c>
      <x:c r="E11167" s="0" t="s">
        <x:v>44111</x:v>
      </x:c>
      <x:c r="F11167" s="0" t="s">
        <x:v>45</x:v>
      </x:c>
      <x:c r="G11167" s="0" t="s">
        <x:v>35</x:v>
      </x:c>
      <x:c r="H11167" s="0" t="s">
        <x:v>20</x:v>
      </x:c>
      <x:c r="I11167" s="0" t="s">
        <x:v>21</x:v>
      </x:c>
      <x:c r="K11167" s="0">
        <x:f>hyperlink("https://icd.who.int/dev11/l-ichi/en#/http%3A%2F%2Fid.who.int%2Ficd%2Fentity%2F2111490158","browser")</x:f>
      </x:c>
      <x:c r="L11167" s="0">
        <x:f>hyperlink("https://icat2.azurewebsites.net/icat/?ontology=ICD&amp;tab=ClassesTab&amp;id=http%3A%2F%2Fwho.int%2Ficd%235204_bfdc5bfd_508c_4341_981a_49384b51cdc2","iCat")</x:f>
      </x:c>
      <x:c r="M11167" s="0" t="s">
        <x:v>21</x:v>
      </x:c>
      <x:c r="N11167" s="0" t="s">
        <x:v>46</x:v>
      </x:c>
    </x:row>
    <x:row r="11168" spans="1:16">
      <x:c r="A11168" s="0" t="s">
        <x:v>44112</x:v>
      </x:c>
      <x:c r="B11168" s="0" t="s">
        <x:v>44113</x:v>
      </x:c>
      <x:c r="C11168" s="0" t="s">
        <x:v>42840</x:v>
      </x:c>
      <x:c r="E11168" s="0" t="s">
        <x:v>44114</x:v>
      </x:c>
      <x:c r="F11168" s="0" t="s">
        <x:v>45</x:v>
      </x:c>
      <x:c r="G11168" s="0" t="s">
        <x:v>35</x:v>
      </x:c>
      <x:c r="H11168" s="0" t="s">
        <x:v>20</x:v>
      </x:c>
      <x:c r="I11168" s="0" t="s">
        <x:v>21</x:v>
      </x:c>
      <x:c r="K11168" s="0">
        <x:f>hyperlink("https://icd.who.int/dev11/l-ichi/en#/http%3A%2F%2Fid.who.int%2Ficd%2Fentity%2F106724685","browser")</x:f>
      </x:c>
      <x:c r="L11168" s="0">
        <x:f>hyperlink("https://icat2.azurewebsites.net/icat/?ontology=ICD&amp;tab=ClassesTab&amp;id=http%3A%2F%2Fwho.int%2Ficd%235208_bfdc5bfd_508c_4341_981a_49384b51cdc2","iCat")</x:f>
      </x:c>
      <x:c r="M11168" s="0" t="s">
        <x:v>21</x:v>
      </x:c>
      <x:c r="N11168" s="0" t="s">
        <x:v>46</x:v>
      </x:c>
    </x:row>
    <x:row r="11169" spans="1:16">
      <x:c r="A11169" s="0" t="s">
        <x:v>44115</x:v>
      </x:c>
      <x:c r="B11169" s="0" t="s">
        <x:v>44116</x:v>
      </x:c>
      <x:c r="C11169" s="0" t="s">
        <x:v>42840</x:v>
      </x:c>
      <x:c r="E11169" s="0" t="s">
        <x:v>44117</x:v>
      </x:c>
      <x:c r="F11169" s="0" t="s">
        <x:v>45</x:v>
      </x:c>
      <x:c r="G11169" s="0" t="s">
        <x:v>35</x:v>
      </x:c>
      <x:c r="H11169" s="0" t="s">
        <x:v>20</x:v>
      </x:c>
      <x:c r="I11169" s="0" t="s">
        <x:v>21</x:v>
      </x:c>
      <x:c r="K11169" s="0">
        <x:f>hyperlink("https://icd.who.int/dev11/l-ichi/en#/http%3A%2F%2Fid.who.int%2Ficd%2Fentity%2F1738405560","browser")</x:f>
      </x:c>
      <x:c r="L11169" s="0">
        <x:f>hyperlink("https://icat2.azurewebsites.net/icat/?ontology=ICD&amp;tab=ClassesTab&amp;id=http%3A%2F%2Fwho.int%2Ficd%235213_bfdc5bfd_508c_4341_981a_49384b51cdc2","iCat")</x:f>
      </x:c>
      <x:c r="M11169" s="0" t="s">
        <x:v>21</x:v>
      </x:c>
      <x:c r="N11169" s="0" t="s">
        <x:v>46</x:v>
      </x:c>
    </x:row>
    <x:row r="11170" spans="1:16">
      <x:c r="A11170" s="0" t="s">
        <x:v>44118</x:v>
      </x:c>
      <x:c r="B11170" s="0" t="s">
        <x:v>44119</x:v>
      </x:c>
      <x:c r="C11170" s="0" t="s">
        <x:v>42840</x:v>
      </x:c>
      <x:c r="E11170" s="0" t="s">
        <x:v>44120</x:v>
      </x:c>
      <x:c r="F11170" s="0" t="s">
        <x:v>45</x:v>
      </x:c>
      <x:c r="G11170" s="0" t="s">
        <x:v>30</x:v>
      </x:c>
      <x:c r="H11170" s="0" t="s">
        <x:v>20</x:v>
      </x:c>
      <x:c r="I11170" s="0" t="s">
        <x:v>21</x:v>
      </x:c>
      <x:c r="K11170" s="0">
        <x:f>hyperlink("https://icd.who.int/dev11/l-ichi/en#/http%3A%2F%2Fid.who.int%2Ficd%2Fentity%2F1281399336","browser")</x:f>
      </x:c>
      <x:c r="L11170" s="0">
        <x:f>hyperlink("https://icat2.azurewebsites.net/icat/?ontology=ICD&amp;tab=ClassesTab&amp;id=http%3A%2F%2Fwho.int%2Ficd%235219_bfdc5bfd_508c_4341_981a_49384b51cdc2","iCat")</x:f>
      </x:c>
      <x:c r="M11170" s="0" t="s">
        <x:v>20</x:v>
      </x:c>
      <x:c r="N11170" s="0" t="s">
        <x:v>903</x:v>
      </x:c>
    </x:row>
    <x:row r="11171" spans="1:16">
      <x:c r="A11171" s="0" t="s">
        <x:v>44121</x:v>
      </x:c>
      <x:c r="B11171" s="0" t="s">
        <x:v>44122</x:v>
      </x:c>
      <x:c r="C11171" s="0" t="s">
        <x:v>42840</x:v>
      </x:c>
      <x:c r="E11171" s="0" t="s">
        <x:v>44123</x:v>
      </x:c>
      <x:c r="F11171" s="0" t="s">
        <x:v>45</x:v>
      </x:c>
      <x:c r="G11171" s="0" t="s">
        <x:v>35</x:v>
      </x:c>
      <x:c r="H11171" s="0" t="s">
        <x:v>20</x:v>
      </x:c>
      <x:c r="I11171" s="0" t="s">
        <x:v>21</x:v>
      </x:c>
      <x:c r="K11171" s="0">
        <x:f>hyperlink("https://icd.who.int/dev11/l-ichi/en#/http%3A%2F%2Fid.who.int%2Ficd%2Fentity%2F657241777","browser")</x:f>
      </x:c>
      <x:c r="L11171" s="0">
        <x:f>hyperlink("https://icat2.azurewebsites.net/icat/?ontology=ICD&amp;tab=ClassesTab&amp;id=http%3A%2F%2Fwho.int%2Ficd%235223_bfdc5bfd_508c_4341_981a_49384b51cdc2","iCat")</x:f>
      </x:c>
      <x:c r="M11171" s="0" t="s">
        <x:v>21</x:v>
      </x:c>
      <x:c r="N11171" s="0" t="s">
        <x:v>46</x:v>
      </x:c>
    </x:row>
    <x:row r="11172" spans="1:16">
      <x:c r="A11172" s="0" t="s">
        <x:v>44124</x:v>
      </x:c>
      <x:c r="B11172" s="0" t="s">
        <x:v>44125</x:v>
      </x:c>
      <x:c r="C11172" s="0" t="s">
        <x:v>42840</x:v>
      </x:c>
      <x:c r="E11172" s="0" t="s">
        <x:v>44126</x:v>
      </x:c>
      <x:c r="F11172" s="0" t="s">
        <x:v>45</x:v>
      </x:c>
      <x:c r="G11172" s="0" t="s">
        <x:v>35</x:v>
      </x:c>
      <x:c r="H11172" s="0" t="s">
        <x:v>20</x:v>
      </x:c>
      <x:c r="I11172" s="0" t="s">
        <x:v>21</x:v>
      </x:c>
      <x:c r="K11172" s="0">
        <x:f>hyperlink("https://icd.who.int/dev11/l-ichi/en#/http%3A%2F%2Fid.who.int%2Ficd%2Fentity%2F304837317","browser")</x:f>
      </x:c>
      <x:c r="L11172" s="0">
        <x:f>hyperlink("https://icat2.azurewebsites.net/icat/?ontology=ICD&amp;tab=ClassesTab&amp;id=http%3A%2F%2Fwho.int%2Ficd%235227_bfdc5bfd_508c_4341_981a_49384b51cdc2","iCat")</x:f>
      </x:c>
      <x:c r="M11172" s="0" t="s">
        <x:v>21</x:v>
      </x:c>
      <x:c r="N11172" s="0" t="s">
        <x:v>46</x:v>
      </x:c>
    </x:row>
    <x:row r="11173" spans="1:16">
      <x:c r="A11173" s="0" t="s">
        <x:v>44127</x:v>
      </x:c>
      <x:c r="B11173" s="0" t="s">
        <x:v>44128</x:v>
      </x:c>
      <x:c r="C11173" s="0" t="s">
        <x:v>42840</x:v>
      </x:c>
      <x:c r="E11173" s="0" t="s">
        <x:v>44129</x:v>
      </x:c>
      <x:c r="F11173" s="0" t="s">
        <x:v>45</x:v>
      </x:c>
      <x:c r="G11173" s="0" t="s">
        <x:v>35</x:v>
      </x:c>
      <x:c r="H11173" s="0" t="s">
        <x:v>20</x:v>
      </x:c>
      <x:c r="I11173" s="0" t="s">
        <x:v>21</x:v>
      </x:c>
      <x:c r="K11173" s="0">
        <x:f>hyperlink("https://icd.who.int/dev11/l-ichi/en#/http%3A%2F%2Fid.who.int%2Ficd%2Fentity%2F1829786076","browser")</x:f>
      </x:c>
      <x:c r="L11173" s="0">
        <x:f>hyperlink("https://icat2.azurewebsites.net/icat/?ontology=ICD&amp;tab=ClassesTab&amp;id=http%3A%2F%2Fwho.int%2Ficd%235232_bfdc5bfd_508c_4341_981a_49384b51cdc2","iCat")</x:f>
      </x:c>
      <x:c r="M11173" s="0" t="s">
        <x:v>20</x:v>
      </x:c>
      <x:c r="N11173" s="0" t="s">
        <x:v>22</x:v>
      </x:c>
    </x:row>
    <x:row r="11174" spans="1:16">
      <x:c r="A11174" s="0" t="s">
        <x:v>44130</x:v>
      </x:c>
      <x:c r="B11174" s="0" t="s">
        <x:v>44131</x:v>
      </x:c>
      <x:c r="C11174" s="0" t="s">
        <x:v>42840</x:v>
      </x:c>
      <x:c r="E11174" s="0" t="s">
        <x:v>44132</x:v>
      </x:c>
      <x:c r="F11174" s="0" t="s">
        <x:v>45</x:v>
      </x:c>
      <x:c r="G11174" s="0" t="s">
        <x:v>22</x:v>
      </x:c>
      <x:c r="H11174" s="0" t="s">
        <x:v>20</x:v>
      </x:c>
      <x:c r="I11174" s="0" t="s">
        <x:v>21</x:v>
      </x:c>
      <x:c r="K11174" s="0">
        <x:f>hyperlink("https://icd.who.int/dev11/l-ichi/en#/http%3A%2F%2Fid.who.int%2Ficd%2Fentity%2F1477940654","browser")</x:f>
      </x:c>
      <x:c r="L11174" s="0">
        <x:f>hyperlink("https://icat2.azurewebsites.net/icat/?ontology=ICD&amp;tab=ClassesTab&amp;id=http%3A%2F%2Fwho.int%2Ficd%235236_bfdc5bfd_508c_4341_981a_49384b51cdc2","iCat")</x:f>
      </x:c>
      <x:c r="M11174" s="0" t="s">
        <x:v>21</x:v>
      </x:c>
      <x:c r="N11174" s="0" t="s">
        <x:v>46</x:v>
      </x:c>
    </x:row>
    <x:row r="11175" spans="1:16">
      <x:c r="A11175" s="0" t="s">
        <x:v>44133</x:v>
      </x:c>
      <x:c r="B11175" s="0" t="s">
        <x:v>44134</x:v>
      </x:c>
      <x:c r="C11175" s="0" t="s">
        <x:v>42840</x:v>
      </x:c>
      <x:c r="E11175" s="0" t="s">
        <x:v>44135</x:v>
      </x:c>
      <x:c r="F11175" s="0" t="s">
        <x:v>45</x:v>
      </x:c>
      <x:c r="G11175" s="0" t="s">
        <x:v>22</x:v>
      </x:c>
      <x:c r="H11175" s="0" t="s">
        <x:v>20</x:v>
      </x:c>
      <x:c r="I11175" s="0" t="s">
        <x:v>21</x:v>
      </x:c>
      <x:c r="K11175" s="0">
        <x:f>hyperlink("https://icd.who.int/dev11/l-ichi/en#/http%3A%2F%2Fid.who.int%2Ficd%2Fentity%2F407055673","browser")</x:f>
      </x:c>
      <x:c r="L11175" s="0">
        <x:f>hyperlink("https://icat2.azurewebsites.net/icat/?ontology=ICD&amp;tab=ClassesTab&amp;id=http%3A%2F%2Fwho.int%2Ficd%235241_bfdc5bfd_508c_4341_981a_49384b51cdc2","iCat")</x:f>
      </x:c>
      <x:c r="M11175" s="0" t="s">
        <x:v>21</x:v>
      </x:c>
      <x:c r="N11175" s="0" t="s">
        <x:v>46</x:v>
      </x:c>
    </x:row>
    <x:row r="11176" spans="1:16">
      <x:c r="A11176" s="0" t="s">
        <x:v>44136</x:v>
      </x:c>
      <x:c r="B11176" s="0" t="s">
        <x:v>44137</x:v>
      </x:c>
      <x:c r="C11176" s="0" t="s">
        <x:v>42840</x:v>
      </x:c>
      <x:c r="E11176" s="0" t="s">
        <x:v>44138</x:v>
      </x:c>
      <x:c r="F11176" s="0" t="s">
        <x:v>45</x:v>
      </x:c>
      <x:c r="G11176" s="0" t="s">
        <x:v>22</x:v>
      </x:c>
      <x:c r="H11176" s="0" t="s">
        <x:v>20</x:v>
      </x:c>
      <x:c r="I11176" s="0" t="s">
        <x:v>21</x:v>
      </x:c>
      <x:c r="K11176" s="0">
        <x:f>hyperlink("https://icd.who.int/dev11/l-ichi/en#/http%3A%2F%2Fid.who.int%2Ficd%2Fentity%2F1757513398","browser")</x:f>
      </x:c>
      <x:c r="L11176" s="0">
        <x:f>hyperlink("https://icat2.azurewebsites.net/icat/?ontology=ICD&amp;tab=ClassesTab&amp;id=http%3A%2F%2Fwho.int%2Ficd%235246_bfdc5bfd_508c_4341_981a_49384b51cdc2","iCat")</x:f>
      </x:c>
      <x:c r="M11176" s="0" t="s">
        <x:v>21</x:v>
      </x:c>
      <x:c r="N11176" s="0" t="s">
        <x:v>46</x:v>
      </x:c>
    </x:row>
    <x:row r="11177" spans="1:16">
      <x:c r="A11177" s="0" t="s">
        <x:v>44139</x:v>
      </x:c>
      <x:c r="B11177" s="0" t="s">
        <x:v>44140</x:v>
      </x:c>
      <x:c r="C11177" s="0" t="s">
        <x:v>42840</x:v>
      </x:c>
      <x:c r="E11177" s="0" t="s">
        <x:v>44141</x:v>
      </x:c>
      <x:c r="F11177" s="0" t="s">
        <x:v>45</x:v>
      </x:c>
      <x:c r="G11177" s="0" t="s">
        <x:v>22</x:v>
      </x:c>
      <x:c r="H11177" s="0" t="s">
        <x:v>20</x:v>
      </x:c>
      <x:c r="I11177" s="0" t="s">
        <x:v>21</x:v>
      </x:c>
      <x:c r="K11177" s="0">
        <x:f>hyperlink("https://icd.who.int/dev11/l-ichi/en#/http%3A%2F%2Fid.who.int%2Ficd%2Fentity%2F1384106578","browser")</x:f>
      </x:c>
      <x:c r="L11177" s="0">
        <x:f>hyperlink("https://icat2.azurewebsites.net/icat/?ontology=ICD&amp;tab=ClassesTab&amp;id=http%3A%2F%2Fwho.int%2Ficd%235250_bfdc5bfd_508c_4341_981a_49384b51cdc2","iCat")</x:f>
      </x:c>
      <x:c r="M11177" s="0" t="s">
        <x:v>21</x:v>
      </x:c>
      <x:c r="N11177" s="0" t="s">
        <x:v>46</x:v>
      </x:c>
    </x:row>
    <x:row r="11178" spans="1:16">
      <x:c r="B11178" s="0" t="s">
        <x:v>44142</x:v>
      </x:c>
      <x:c r="C11178" s="0" t="s">
        <x:v>42840</x:v>
      </x:c>
      <x:c r="E11178" s="0" t="s">
        <x:v>44143</x:v>
      </x:c>
      <x:c r="F11178" s="0" t="s">
        <x:v>45</x:v>
      </x:c>
      <x:c r="G11178" s="0" t="s">
        <x:v>22</x:v>
      </x:c>
      <x:c r="H11178" s="0" t="s">
        <x:v>21</x:v>
      </x:c>
      <x:c r="I11178" s="0" t="s">
        <x:v>21</x:v>
      </x:c>
      <x:c r="K11178" s="0">
        <x:f>hyperlink("https://icd.who.int/dev11/l-ichi/en#/http%3A%2F%2Fid.who.int%2Ficd%2Fentity%2F1829786076%2Fichi%2Fother","browser")</x:f>
      </x:c>
      <x:c r="L11178" s="0">
        <x:f>hyperlink("","iCat")</x:f>
      </x:c>
      <x:c r="M11178" s="0" t="s">
        <x:v>21</x:v>
      </x:c>
      <x:c r="N11178" s="0" t="s">
        <x:v>46</x:v>
      </x:c>
    </x:row>
    <x:row r="11179" spans="1:16">
      <x:c r="B11179" s="0" t="s">
        <x:v>44144</x:v>
      </x:c>
      <x:c r="C11179" s="0" t="s">
        <x:v>42840</x:v>
      </x:c>
      <x:c r="E11179" s="0" t="s">
        <x:v>44145</x:v>
      </x:c>
      <x:c r="F11179" s="0" t="s">
        <x:v>45</x:v>
      </x:c>
      <x:c r="G11179" s="0" t="s">
        <x:v>22</x:v>
      </x:c>
      <x:c r="H11179" s="0" t="s">
        <x:v>21</x:v>
      </x:c>
      <x:c r="I11179" s="0" t="s">
        <x:v>21</x:v>
      </x:c>
      <x:c r="K11179" s="0">
        <x:f>hyperlink("https://icd.who.int/dev11/l-ichi/en#/http%3A%2F%2Fid.who.int%2Ficd%2Fentity%2F1829786076%2Fichi%2Funspecified","browser")</x:f>
      </x:c>
      <x:c r="L11179" s="0">
        <x:f>hyperlink("","iCat")</x:f>
      </x:c>
      <x:c r="M11179" s="0" t="s">
        <x:v>21</x:v>
      </x:c>
      <x:c r="N11179" s="0" t="s">
        <x:v>46</x:v>
      </x:c>
    </x:row>
    <x:row r="11180" spans="1:16">
      <x:c r="A11180" s="0" t="s">
        <x:v>44146</x:v>
      </x:c>
      <x:c r="B11180" s="0" t="s">
        <x:v>44147</x:v>
      </x:c>
      <x:c r="C11180" s="0" t="s">
        <x:v>42840</x:v>
      </x:c>
      <x:c r="E11180" s="0" t="s">
        <x:v>44148</x:v>
      </x:c>
      <x:c r="F11180" s="0" t="s">
        <x:v>45</x:v>
      </x:c>
      <x:c r="G11180" s="0" t="s">
        <x:v>35</x:v>
      </x:c>
      <x:c r="H11180" s="0" t="s">
        <x:v>20</x:v>
      </x:c>
      <x:c r="I11180" s="0" t="s">
        <x:v>21</x:v>
      </x:c>
      <x:c r="K11180" s="0">
        <x:f>hyperlink("https://icd.who.int/dev11/l-ichi/en#/http%3A%2F%2Fid.who.int%2Ficd%2Fentity%2F1735921192","browser")</x:f>
      </x:c>
      <x:c r="L11180" s="0">
        <x:f>hyperlink("https://icat2.azurewebsites.net/icat/?ontology=ICD&amp;tab=ClassesTab&amp;id=http%3A%2F%2Fwho.int%2Ficd%235254_bfdc5bfd_508c_4341_981a_49384b51cdc2","iCat")</x:f>
      </x:c>
      <x:c r="M11180" s="0" t="s">
        <x:v>21</x:v>
      </x:c>
      <x:c r="N11180" s="0" t="s">
        <x:v>46</x:v>
      </x:c>
    </x:row>
    <x:row r="11181" spans="1:16">
      <x:c r="A11181" s="0" t="s">
        <x:v>44149</x:v>
      </x:c>
      <x:c r="B11181" s="0" t="s">
        <x:v>44150</x:v>
      </x:c>
      <x:c r="C11181" s="0" t="s">
        <x:v>42840</x:v>
      </x:c>
      <x:c r="E11181" s="0" t="s">
        <x:v>44151</x:v>
      </x:c>
      <x:c r="F11181" s="0" t="s">
        <x:v>45</x:v>
      </x:c>
      <x:c r="G11181" s="0" t="s">
        <x:v>35</x:v>
      </x:c>
      <x:c r="H11181" s="0" t="s">
        <x:v>20</x:v>
      </x:c>
      <x:c r="I11181" s="0" t="s">
        <x:v>21</x:v>
      </x:c>
      <x:c r="K11181" s="0">
        <x:f>hyperlink("https://icd.who.int/dev11/l-ichi/en#/http%3A%2F%2Fid.who.int%2Ficd%2Fentity%2F1007143227","browser")</x:f>
      </x:c>
      <x:c r="L11181" s="0">
        <x:f>hyperlink("https://icat2.azurewebsites.net/icat/?ontology=ICD&amp;tab=ClassesTab&amp;id=http%3A%2F%2Fwho.int%2Ficd%235259_bfdc5bfd_508c_4341_981a_49384b51cdc2","iCat")</x:f>
      </x:c>
      <x:c r="M11181" s="0" t="s">
        <x:v>21</x:v>
      </x:c>
      <x:c r="N11181" s="0" t="s">
        <x:v>46</x:v>
      </x:c>
    </x:row>
    <x:row r="11182" spans="1:16">
      <x:c r="A11182" s="0" t="s">
        <x:v>44152</x:v>
      </x:c>
      <x:c r="B11182" s="0" t="s">
        <x:v>44153</x:v>
      </x:c>
      <x:c r="C11182" s="0" t="s">
        <x:v>42840</x:v>
      </x:c>
      <x:c r="E11182" s="0" t="s">
        <x:v>44154</x:v>
      </x:c>
      <x:c r="F11182" s="0" t="s">
        <x:v>45</x:v>
      </x:c>
      <x:c r="G11182" s="0" t="s">
        <x:v>35</x:v>
      </x:c>
      <x:c r="H11182" s="0" t="s">
        <x:v>20</x:v>
      </x:c>
      <x:c r="I11182" s="0" t="s">
        <x:v>21</x:v>
      </x:c>
      <x:c r="K11182" s="0">
        <x:f>hyperlink("https://icd.who.int/dev11/l-ichi/en#/http%3A%2F%2Fid.who.int%2Ficd%2Fentity%2F1464591788","browser")</x:f>
      </x:c>
      <x:c r="L11182" s="0">
        <x:f>hyperlink("https://icat2.azurewebsites.net/icat/?ontology=ICD&amp;tab=ClassesTab&amp;id=http%3A%2F%2Fwho.int%2Ficd%235263_bfdc5bfd_508c_4341_981a_49384b51cdc2","iCat")</x:f>
      </x:c>
      <x:c r="M11182" s="0" t="s">
        <x:v>21</x:v>
      </x:c>
      <x:c r="N11182" s="0" t="s">
        <x:v>46</x:v>
      </x:c>
    </x:row>
    <x:row r="11183" spans="1:16">
      <x:c r="A11183" s="0" t="s">
        <x:v>44155</x:v>
      </x:c>
      <x:c r="B11183" s="0" t="s">
        <x:v>44156</x:v>
      </x:c>
      <x:c r="C11183" s="0" t="s">
        <x:v>42840</x:v>
      </x:c>
      <x:c r="E11183" s="0" t="s">
        <x:v>44157</x:v>
      </x:c>
      <x:c r="F11183" s="0" t="s">
        <x:v>45</x:v>
      </x:c>
      <x:c r="G11183" s="0" t="s">
        <x:v>35</x:v>
      </x:c>
      <x:c r="H11183" s="0" t="s">
        <x:v>20</x:v>
      </x:c>
      <x:c r="I11183" s="0" t="s">
        <x:v>21</x:v>
      </x:c>
      <x:c r="K11183" s="0">
        <x:f>hyperlink("https://icd.who.int/dev11/l-ichi/en#/http%3A%2F%2Fid.who.int%2Ficd%2Fentity%2F1649156570","browser")</x:f>
      </x:c>
      <x:c r="L11183" s="0">
        <x:f>hyperlink("https://icat2.azurewebsites.net/icat/?ontology=ICD&amp;tab=ClassesTab&amp;id=http%3A%2F%2Fwho.int%2Ficd%235267_bfdc5bfd_508c_4341_981a_49384b51cdc2","iCat")</x:f>
      </x:c>
      <x:c r="M11183" s="0" t="s">
        <x:v>21</x:v>
      </x:c>
      <x:c r="N11183" s="0" t="s">
        <x:v>46</x:v>
      </x:c>
    </x:row>
    <x:row r="11184" spans="1:16">
      <x:c r="A11184" s="0" t="s">
        <x:v>44158</x:v>
      </x:c>
      <x:c r="B11184" s="0" t="s">
        <x:v>44159</x:v>
      </x:c>
      <x:c r="C11184" s="0" t="s">
        <x:v>42840</x:v>
      </x:c>
      <x:c r="E11184" s="0" t="s">
        <x:v>44160</x:v>
      </x:c>
      <x:c r="F11184" s="0" t="s">
        <x:v>45</x:v>
      </x:c>
      <x:c r="G11184" s="0" t="s">
        <x:v>35</x:v>
      </x:c>
      <x:c r="H11184" s="0" t="s">
        <x:v>20</x:v>
      </x:c>
      <x:c r="I11184" s="0" t="s">
        <x:v>21</x:v>
      </x:c>
      <x:c r="K11184" s="0">
        <x:f>hyperlink("https://icd.who.int/dev11/l-ichi/en#/http%3A%2F%2Fid.who.int%2Ficd%2Fentity%2F1292688246","browser")</x:f>
      </x:c>
      <x:c r="L11184" s="0">
        <x:f>hyperlink("https://icat2.azurewebsites.net/icat/?ontology=ICD&amp;tab=ClassesTab&amp;id=http%3A%2F%2Fwho.int%2Ficd%235274_bfdc5bfd_508c_4341_981a_49384b51cdc2","iCat")</x:f>
      </x:c>
      <x:c r="M11184" s="0" t="s">
        <x:v>21</x:v>
      </x:c>
      <x:c r="N11184" s="0" t="s">
        <x:v>46</x:v>
      </x:c>
    </x:row>
    <x:row r="11185" spans="1:16">
      <x:c r="A11185" s="0" t="s">
        <x:v>44161</x:v>
      </x:c>
      <x:c r="B11185" s="0" t="s">
        <x:v>44162</x:v>
      </x:c>
      <x:c r="C11185" s="0" t="s">
        <x:v>42840</x:v>
      </x:c>
      <x:c r="E11185" s="0" t="s">
        <x:v>44163</x:v>
      </x:c>
      <x:c r="F11185" s="0" t="s">
        <x:v>45</x:v>
      </x:c>
      <x:c r="G11185" s="0" t="s">
        <x:v>35</x:v>
      </x:c>
      <x:c r="H11185" s="0" t="s">
        <x:v>20</x:v>
      </x:c>
      <x:c r="I11185" s="0" t="s">
        <x:v>21</x:v>
      </x:c>
      <x:c r="K11185" s="0">
        <x:f>hyperlink("https://icd.who.int/dev11/l-ichi/en#/http%3A%2F%2Fid.who.int%2Ficd%2Fentity%2F376642667","browser")</x:f>
      </x:c>
      <x:c r="L11185" s="0">
        <x:f>hyperlink("https://icat2.azurewebsites.net/icat/?ontology=ICD&amp;tab=ClassesTab&amp;id=http%3A%2F%2Fwho.int%2Ficd%235279_bfdc5bfd_508c_4341_981a_49384b51cdc2","iCat")</x:f>
      </x:c>
      <x:c r="M11185" s="0" t="s">
        <x:v>21</x:v>
      </x:c>
      <x:c r="N11185" s="0" t="s">
        <x:v>46</x:v>
      </x:c>
    </x:row>
    <x:row r="11186" spans="1:16">
      <x:c r="A11186" s="0" t="s">
        <x:v>44164</x:v>
      </x:c>
      <x:c r="B11186" s="0" t="s">
        <x:v>44165</x:v>
      </x:c>
      <x:c r="C11186" s="0" t="s">
        <x:v>42840</x:v>
      </x:c>
      <x:c r="E11186" s="0" t="s">
        <x:v>44166</x:v>
      </x:c>
      <x:c r="F11186" s="0" t="s">
        <x:v>45</x:v>
      </x:c>
      <x:c r="G11186" s="0" t="s">
        <x:v>35</x:v>
      </x:c>
      <x:c r="H11186" s="0" t="s">
        <x:v>20</x:v>
      </x:c>
      <x:c r="I11186" s="0" t="s">
        <x:v>21</x:v>
      </x:c>
      <x:c r="K11186" s="0">
        <x:f>hyperlink("https://icd.who.int/dev11/l-ichi/en#/http%3A%2F%2Fid.who.int%2Ficd%2Fentity%2F308886053","browser")</x:f>
      </x:c>
      <x:c r="L11186" s="0">
        <x:f>hyperlink("https://icat2.azurewebsites.net/icat/?ontology=ICD&amp;tab=ClassesTab&amp;id=http%3A%2F%2Fwho.int%2Ficd%235283_bfdc5bfd_508c_4341_981a_49384b51cdc2","iCat")</x:f>
      </x:c>
      <x:c r="M11186" s="0" t="s">
        <x:v>21</x:v>
      </x:c>
      <x:c r="N11186" s="0" t="s">
        <x:v>46</x:v>
      </x:c>
    </x:row>
    <x:row r="11187" spans="1:16">
      <x:c r="A11187" s="0" t="s">
        <x:v>44167</x:v>
      </x:c>
      <x:c r="B11187" s="0" t="s">
        <x:v>44168</x:v>
      </x:c>
      <x:c r="C11187" s="0" t="s">
        <x:v>42840</x:v>
      </x:c>
      <x:c r="E11187" s="0" t="s">
        <x:v>44169</x:v>
      </x:c>
      <x:c r="F11187" s="0" t="s">
        <x:v>45</x:v>
      </x:c>
      <x:c r="G11187" s="0" t="s">
        <x:v>30</x:v>
      </x:c>
      <x:c r="H11187" s="0" t="s">
        <x:v>20</x:v>
      </x:c>
      <x:c r="I11187" s="0" t="s">
        <x:v>21</x:v>
      </x:c>
      <x:c r="K11187" s="0">
        <x:f>hyperlink("https://icd.who.int/dev11/l-ichi/en#/http%3A%2F%2Fid.who.int%2Ficd%2Fentity%2F426583177","browser")</x:f>
      </x:c>
      <x:c r="L11187" s="0">
        <x:f>hyperlink("https://icat2.azurewebsites.net/icat/?ontology=ICD&amp;tab=ClassesTab&amp;id=http%3A%2F%2Fwho.int%2Ficd%235288_bfdc5bfd_508c_4341_981a_49384b51cdc2","iCat")</x:f>
      </x:c>
      <x:c r="M11187" s="0" t="s">
        <x:v>20</x:v>
      </x:c>
      <x:c r="N11187" s="0" t="s">
        <x:v>903</x:v>
      </x:c>
    </x:row>
    <x:row r="11188" spans="1:16">
      <x:c r="A11188" s="0" t="s">
        <x:v>44170</x:v>
      </x:c>
      <x:c r="B11188" s="0" t="s">
        <x:v>44171</x:v>
      </x:c>
      <x:c r="C11188" s="0" t="s">
        <x:v>42840</x:v>
      </x:c>
      <x:c r="E11188" s="0" t="s">
        <x:v>44172</x:v>
      </x:c>
      <x:c r="F11188" s="0" t="s">
        <x:v>45</x:v>
      </x:c>
      <x:c r="G11188" s="0" t="s">
        <x:v>35</x:v>
      </x:c>
      <x:c r="H11188" s="0" t="s">
        <x:v>20</x:v>
      </x:c>
      <x:c r="I11188" s="0" t="s">
        <x:v>21</x:v>
      </x:c>
      <x:c r="K11188" s="0">
        <x:f>hyperlink("https://icd.who.int/dev11/l-ichi/en#/http%3A%2F%2Fid.who.int%2Ficd%2Fentity%2F1482022224","browser")</x:f>
      </x:c>
      <x:c r="L11188" s="0">
        <x:f>hyperlink("https://icat2.azurewebsites.net/icat/?ontology=ICD&amp;tab=ClassesTab&amp;id=http%3A%2F%2Fwho.int%2Ficd%235292_bfdc5bfd_508c_4341_981a_49384b51cdc2","iCat")</x:f>
      </x:c>
      <x:c r="M11188" s="0" t="s">
        <x:v>21</x:v>
      </x:c>
      <x:c r="N11188" s="0" t="s">
        <x:v>46</x:v>
      </x:c>
    </x:row>
    <x:row r="11189" spans="1:16">
      <x:c r="A11189" s="0" t="s">
        <x:v>44173</x:v>
      </x:c>
      <x:c r="B11189" s="0" t="s">
        <x:v>44174</x:v>
      </x:c>
      <x:c r="C11189" s="0" t="s">
        <x:v>42840</x:v>
      </x:c>
      <x:c r="E11189" s="0" t="s">
        <x:v>44175</x:v>
      </x:c>
      <x:c r="F11189" s="0" t="s">
        <x:v>45</x:v>
      </x:c>
      <x:c r="G11189" s="0" t="s">
        <x:v>35</x:v>
      </x:c>
      <x:c r="H11189" s="0" t="s">
        <x:v>20</x:v>
      </x:c>
      <x:c r="I11189" s="0" t="s">
        <x:v>21</x:v>
      </x:c>
      <x:c r="K11189" s="0">
        <x:f>hyperlink("https://icd.who.int/dev11/l-ichi/en#/http%3A%2F%2Fid.who.int%2Ficd%2Fentity%2F1397867490","browser")</x:f>
      </x:c>
      <x:c r="L11189" s="0">
        <x:f>hyperlink("https://icat2.azurewebsites.net/icat/?ontology=ICD&amp;tab=ClassesTab&amp;id=http%3A%2F%2Fwho.int%2Ficd%235299_bfdc5bfd_508c_4341_981a_49384b51cdc2","iCat")</x:f>
      </x:c>
      <x:c r="M11189" s="0" t="s">
        <x:v>21</x:v>
      </x:c>
      <x:c r="N11189" s="0" t="s">
        <x:v>46</x:v>
      </x:c>
    </x:row>
    <x:row r="11190" spans="1:16">
      <x:c r="A11190" s="0" t="s">
        <x:v>44176</x:v>
      </x:c>
      <x:c r="B11190" s="0" t="s">
        <x:v>44177</x:v>
      </x:c>
      <x:c r="C11190" s="0" t="s">
        <x:v>42840</x:v>
      </x:c>
      <x:c r="E11190" s="0" t="s">
        <x:v>44178</x:v>
      </x:c>
      <x:c r="F11190" s="0" t="s">
        <x:v>45</x:v>
      </x:c>
      <x:c r="G11190" s="0" t="s">
        <x:v>35</x:v>
      </x:c>
      <x:c r="H11190" s="0" t="s">
        <x:v>20</x:v>
      </x:c>
      <x:c r="I11190" s="0" t="s">
        <x:v>21</x:v>
      </x:c>
      <x:c r="K11190" s="0">
        <x:f>hyperlink("https://icd.who.int/dev11/l-ichi/en#/http%3A%2F%2Fid.who.int%2Ficd%2Fentity%2F2026349950","browser")</x:f>
      </x:c>
      <x:c r="L11190" s="0">
        <x:f>hyperlink("https://icat2.azurewebsites.net/icat/?ontology=ICD&amp;tab=ClassesTab&amp;id=http%3A%2F%2Fwho.int%2Ficd%235303_bfdc5bfd_508c_4341_981a_49384b51cdc2","iCat")</x:f>
      </x:c>
      <x:c r="M11190" s="0" t="s">
        <x:v>21</x:v>
      </x:c>
      <x:c r="N11190" s="0" t="s">
        <x:v>46</x:v>
      </x:c>
    </x:row>
    <x:row r="11191" spans="1:16">
      <x:c r="A11191" s="0" t="s">
        <x:v>44179</x:v>
      </x:c>
      <x:c r="B11191" s="0" t="s">
        <x:v>44180</x:v>
      </x:c>
      <x:c r="C11191" s="0" t="s">
        <x:v>42840</x:v>
      </x:c>
      <x:c r="E11191" s="0" t="s">
        <x:v>44181</x:v>
      </x:c>
      <x:c r="F11191" s="0" t="s">
        <x:v>45</x:v>
      </x:c>
      <x:c r="G11191" s="0" t="s">
        <x:v>35</x:v>
      </x:c>
      <x:c r="H11191" s="0" t="s">
        <x:v>20</x:v>
      </x:c>
      <x:c r="I11191" s="0" t="s">
        <x:v>21</x:v>
      </x:c>
      <x:c r="K11191" s="0">
        <x:f>hyperlink("https://icd.who.int/dev11/l-ichi/en#/http%3A%2F%2Fid.who.int%2Ficd%2Fentity%2F1942207440","browser")</x:f>
      </x:c>
      <x:c r="L11191" s="0">
        <x:f>hyperlink("https://icat2.azurewebsites.net/icat/?ontology=ICD&amp;tab=ClassesTab&amp;id=http%3A%2F%2Fwho.int%2Ficd%235308_bfdc5bfd_508c_4341_981a_49384b51cdc2","iCat")</x:f>
      </x:c>
      <x:c r="M11191" s="0" t="s">
        <x:v>21</x:v>
      </x:c>
      <x:c r="N11191" s="0" t="s">
        <x:v>46</x:v>
      </x:c>
    </x:row>
    <x:row r="11192" spans="1:16">
      <x:c r="A11192" s="0" t="s">
        <x:v>44182</x:v>
      </x:c>
      <x:c r="B11192" s="0" t="s">
        <x:v>44183</x:v>
      </x:c>
      <x:c r="C11192" s="0" t="s">
        <x:v>42840</x:v>
      </x:c>
      <x:c r="E11192" s="0" t="s">
        <x:v>44184</x:v>
      </x:c>
      <x:c r="F11192" s="0" t="s">
        <x:v>45</x:v>
      </x:c>
      <x:c r="G11192" s="0" t="s">
        <x:v>35</x:v>
      </x:c>
      <x:c r="H11192" s="0" t="s">
        <x:v>20</x:v>
      </x:c>
      <x:c r="I11192" s="0" t="s">
        <x:v>21</x:v>
      </x:c>
      <x:c r="K11192" s="0">
        <x:f>hyperlink("https://icd.who.int/dev11/l-ichi/en#/http%3A%2F%2Fid.who.int%2Ficd%2Fentity%2F855327255","browser")</x:f>
      </x:c>
      <x:c r="L11192" s="0">
        <x:f>hyperlink("https://icat2.azurewebsites.net/icat/?ontology=ICD&amp;tab=ClassesTab&amp;id=http%3A%2F%2Fwho.int%2Ficd%235312_bfdc5bfd_508c_4341_981a_49384b51cdc2","iCat")</x:f>
      </x:c>
      <x:c r="M11192" s="0" t="s">
        <x:v>21</x:v>
      </x:c>
      <x:c r="N11192" s="0" t="s">
        <x:v>46</x:v>
      </x:c>
    </x:row>
    <x:row r="11193" spans="1:16">
      <x:c r="A11193" s="0" t="s">
        <x:v>44185</x:v>
      </x:c>
      <x:c r="B11193" s="0" t="s">
        <x:v>44186</x:v>
      </x:c>
      <x:c r="C11193" s="0" t="s">
        <x:v>42840</x:v>
      </x:c>
      <x:c r="E11193" s="0" t="s">
        <x:v>44187</x:v>
      </x:c>
      <x:c r="F11193" s="0" t="s">
        <x:v>45</x:v>
      </x:c>
      <x:c r="G11193" s="0" t="s">
        <x:v>35</x:v>
      </x:c>
      <x:c r="H11193" s="0" t="s">
        <x:v>20</x:v>
      </x:c>
      <x:c r="I11193" s="0" t="s">
        <x:v>21</x:v>
      </x:c>
      <x:c r="K11193" s="0">
        <x:f>hyperlink("https://icd.who.int/dev11/l-ichi/en#/http%3A%2F%2Fid.who.int%2Ficd%2Fentity%2F419835527","browser")</x:f>
      </x:c>
      <x:c r="L11193" s="0">
        <x:f>hyperlink("https://icat2.azurewebsites.net/icat/?ontology=ICD&amp;tab=ClassesTab&amp;id=http%3A%2F%2Fwho.int%2Ficd%235318_bfdc5bfd_508c_4341_981a_49384b51cdc2","iCat")</x:f>
      </x:c>
      <x:c r="M11193" s="0" t="s">
        <x:v>21</x:v>
      </x:c>
      <x:c r="N11193" s="0" t="s">
        <x:v>46</x:v>
      </x:c>
    </x:row>
    <x:row r="11194" spans="1:16">
      <x:c r="A11194" s="0" t="s">
        <x:v>44188</x:v>
      </x:c>
      <x:c r="B11194" s="0" t="s">
        <x:v>44189</x:v>
      </x:c>
      <x:c r="C11194" s="0" t="s">
        <x:v>42840</x:v>
      </x:c>
      <x:c r="E11194" s="0" t="s">
        <x:v>44190</x:v>
      </x:c>
      <x:c r="F11194" s="0" t="s">
        <x:v>45</x:v>
      </x:c>
      <x:c r="G11194" s="0" t="s">
        <x:v>35</x:v>
      </x:c>
      <x:c r="H11194" s="0" t="s">
        <x:v>20</x:v>
      </x:c>
      <x:c r="I11194" s="0" t="s">
        <x:v>21</x:v>
      </x:c>
      <x:c r="K11194" s="0">
        <x:f>hyperlink("https://icd.who.int/dev11/l-ichi/en#/http%3A%2F%2Fid.who.int%2Ficd%2Fentity%2F1387491372","browser")</x:f>
      </x:c>
      <x:c r="L11194" s="0">
        <x:f>hyperlink("https://icat2.azurewebsites.net/icat/?ontology=ICD&amp;tab=ClassesTab&amp;id=http%3A%2F%2Fwho.int%2Ficd%235323_bfdc5bfd_508c_4341_981a_49384b51cdc2","iCat")</x:f>
      </x:c>
      <x:c r="M11194" s="0" t="s">
        <x:v>21</x:v>
      </x:c>
      <x:c r="N11194" s="0" t="s">
        <x:v>46</x:v>
      </x:c>
    </x:row>
    <x:row r="11195" spans="1:16">
      <x:c r="A11195" s="0" t="s">
        <x:v>44191</x:v>
      </x:c>
      <x:c r="B11195" s="0" t="s">
        <x:v>44192</x:v>
      </x:c>
      <x:c r="C11195" s="0" t="s">
        <x:v>42840</x:v>
      </x:c>
      <x:c r="E11195" s="0" t="s">
        <x:v>44193</x:v>
      </x:c>
      <x:c r="F11195" s="0" t="s">
        <x:v>45</x:v>
      </x:c>
      <x:c r="G11195" s="0" t="s">
        <x:v>35</x:v>
      </x:c>
      <x:c r="H11195" s="0" t="s">
        <x:v>20</x:v>
      </x:c>
      <x:c r="I11195" s="0" t="s">
        <x:v>21</x:v>
      </x:c>
      <x:c r="K11195" s="0">
        <x:f>hyperlink("https://icd.who.int/dev11/l-ichi/en#/http%3A%2F%2Fid.who.int%2Ficd%2Fentity%2F1739895898","browser")</x:f>
      </x:c>
      <x:c r="L11195" s="0">
        <x:f>hyperlink("https://icat2.azurewebsites.net/icat/?ontology=ICD&amp;tab=ClassesTab&amp;id=http%3A%2F%2Fwho.int%2Ficd%235327_bfdc5bfd_508c_4341_981a_49384b51cdc2","iCat")</x:f>
      </x:c>
      <x:c r="M11195" s="0" t="s">
        <x:v>21</x:v>
      </x:c>
      <x:c r="N11195" s="0" t="s">
        <x:v>46</x:v>
      </x:c>
    </x:row>
    <x:row r="11196" spans="1:16">
      <x:c r="A11196" s="0" t="s">
        <x:v>44194</x:v>
      </x:c>
      <x:c r="B11196" s="0" t="s">
        <x:v>44195</x:v>
      </x:c>
      <x:c r="C11196" s="0" t="s">
        <x:v>42840</x:v>
      </x:c>
      <x:c r="E11196" s="0" t="s">
        <x:v>44196</x:v>
      </x:c>
      <x:c r="F11196" s="0" t="s">
        <x:v>45</x:v>
      </x:c>
      <x:c r="G11196" s="0" t="s">
        <x:v>35</x:v>
      </x:c>
      <x:c r="H11196" s="0" t="s">
        <x:v>20</x:v>
      </x:c>
      <x:c r="I11196" s="0" t="s">
        <x:v>21</x:v>
      </x:c>
      <x:c r="K11196" s="0">
        <x:f>hyperlink("https://icd.who.int/dev11/l-ichi/en#/http%3A%2F%2Fid.who.int%2Ficd%2Fentity%2F1561000126","browser")</x:f>
      </x:c>
      <x:c r="L11196" s="0">
        <x:f>hyperlink("https://icat2.azurewebsites.net/icat/?ontology=ICD&amp;tab=ClassesTab&amp;id=http%3A%2F%2Fwho.int%2Ficd%235331_bfdc5bfd_508c_4341_981a_49384b51cdc2","iCat")</x:f>
      </x:c>
      <x:c r="M11196" s="0" t="s">
        <x:v>21</x:v>
      </x:c>
      <x:c r="N11196" s="0" t="s">
        <x:v>46</x:v>
      </x:c>
    </x:row>
    <x:row r="11197" spans="1:16">
      <x:c r="A11197" s="0" t="s">
        <x:v>44197</x:v>
      </x:c>
      <x:c r="B11197" s="0" t="s">
        <x:v>44198</x:v>
      </x:c>
      <x:c r="C11197" s="0" t="s">
        <x:v>42840</x:v>
      </x:c>
      <x:c r="E11197" s="0" t="s">
        <x:v>44199</x:v>
      </x:c>
      <x:c r="F11197" s="0" t="s">
        <x:v>45</x:v>
      </x:c>
      <x:c r="G11197" s="0" t="s">
        <x:v>35</x:v>
      </x:c>
      <x:c r="H11197" s="0" t="s">
        <x:v>20</x:v>
      </x:c>
      <x:c r="I11197" s="0" t="s">
        <x:v>21</x:v>
      </x:c>
      <x:c r="K11197" s="0">
        <x:f>hyperlink("https://icd.who.int/dev11/l-ichi/en#/http%3A%2F%2Fid.who.int%2Ficd%2Fentity%2F763908915","browser")</x:f>
      </x:c>
      <x:c r="L11197" s="0">
        <x:f>hyperlink("https://icat2.azurewebsites.net/icat/?ontology=ICD&amp;tab=ClassesTab&amp;id=http%3A%2F%2Fwho.int%2Ficd%235336_bfdc5bfd_508c_4341_981a_49384b51cdc2","iCat")</x:f>
      </x:c>
      <x:c r="M11197" s="0" t="s">
        <x:v>21</x:v>
      </x:c>
      <x:c r="N11197" s="0" t="s">
        <x:v>46</x:v>
      </x:c>
    </x:row>
    <x:row r="11198" spans="1:16">
      <x:c r="A11198" s="0" t="s">
        <x:v>44200</x:v>
      </x:c>
      <x:c r="B11198" s="0" t="s">
        <x:v>44201</x:v>
      </x:c>
      <x:c r="C11198" s="0" t="s">
        <x:v>42840</x:v>
      </x:c>
      <x:c r="E11198" s="0" t="s">
        <x:v>44202</x:v>
      </x:c>
      <x:c r="F11198" s="0" t="s">
        <x:v>45</x:v>
      </x:c>
      <x:c r="G11198" s="0" t="s">
        <x:v>30</x:v>
      </x:c>
      <x:c r="H11198" s="0" t="s">
        <x:v>20</x:v>
      </x:c>
      <x:c r="I11198" s="0" t="s">
        <x:v>21</x:v>
      </x:c>
      <x:c r="K11198" s="0">
        <x:f>hyperlink("https://icd.who.int/dev11/l-ichi/en#/http%3A%2F%2Fid.who.int%2Ficd%2Fentity%2F1294309784","browser")</x:f>
      </x:c>
      <x:c r="L11198" s="0">
        <x:f>hyperlink("https://icat2.azurewebsites.net/icat/?ontology=ICD&amp;tab=ClassesTab&amp;id=http%3A%2F%2Fwho.int%2Ficd%235340_bfdc5bfd_508c_4341_981a_49384b51cdc2","iCat")</x:f>
      </x:c>
      <x:c r="M11198" s="0" t="s">
        <x:v>20</x:v>
      </x:c>
      <x:c r="N11198" s="0" t="s">
        <x:v>1298</x:v>
      </x:c>
    </x:row>
    <x:row r="11199" spans="1:16">
      <x:c r="A11199" s="0" t="s">
        <x:v>44203</x:v>
      </x:c>
      <x:c r="B11199" s="0" t="s">
        <x:v>44204</x:v>
      </x:c>
      <x:c r="C11199" s="0" t="s">
        <x:v>42840</x:v>
      </x:c>
      <x:c r="E11199" s="0" t="s">
        <x:v>44205</x:v>
      </x:c>
      <x:c r="F11199" s="0" t="s">
        <x:v>45</x:v>
      </x:c>
      <x:c r="G11199" s="0" t="s">
        <x:v>35</x:v>
      </x:c>
      <x:c r="H11199" s="0" t="s">
        <x:v>20</x:v>
      </x:c>
      <x:c r="I11199" s="0" t="s">
        <x:v>21</x:v>
      </x:c>
      <x:c r="K11199" s="0">
        <x:f>hyperlink("https://icd.who.int/dev11/l-ichi/en#/http%3A%2F%2Fid.who.int%2Ficd%2Fentity%2F2015518190","browser")</x:f>
      </x:c>
      <x:c r="L11199" s="0">
        <x:f>hyperlink("https://icat2.azurewebsites.net/icat/?ontology=ICD&amp;tab=ClassesTab&amp;id=http%3A%2F%2Fwho.int%2Ficd%235344_bfdc5bfd_508c_4341_981a_49384b51cdc2","iCat")</x:f>
      </x:c>
      <x:c r="M11199" s="0" t="s">
        <x:v>21</x:v>
      </x:c>
      <x:c r="N11199" s="0" t="s">
        <x:v>46</x:v>
      </x:c>
    </x:row>
    <x:row r="11200" spans="1:16">
      <x:c r="A11200" s="0" t="s">
        <x:v>44206</x:v>
      </x:c>
      <x:c r="B11200" s="0" t="s">
        <x:v>44207</x:v>
      </x:c>
      <x:c r="C11200" s="0" t="s">
        <x:v>42840</x:v>
      </x:c>
      <x:c r="E11200" s="0" t="s">
        <x:v>44208</x:v>
      </x:c>
      <x:c r="F11200" s="0" t="s">
        <x:v>45</x:v>
      </x:c>
      <x:c r="G11200" s="0" t="s">
        <x:v>35</x:v>
      </x:c>
      <x:c r="H11200" s="0" t="s">
        <x:v>20</x:v>
      </x:c>
      <x:c r="I11200" s="0" t="s">
        <x:v>21</x:v>
      </x:c>
      <x:c r="K11200" s="0">
        <x:f>hyperlink("https://icd.who.int/dev11/l-ichi/en#/http%3A%2F%2Fid.who.int%2Ficd%2Fentity%2F593337073","browser")</x:f>
      </x:c>
      <x:c r="L11200" s="0">
        <x:f>hyperlink("https://icat2.azurewebsites.net/icat/?ontology=ICD&amp;tab=ClassesTab&amp;id=http%3A%2F%2Fwho.int%2Ficd%235349_bfdc5bfd_508c_4341_981a_49384b51cdc2","iCat")</x:f>
      </x:c>
      <x:c r="M11200" s="0" t="s">
        <x:v>21</x:v>
      </x:c>
      <x:c r="N11200" s="0" t="s">
        <x:v>46</x:v>
      </x:c>
    </x:row>
    <x:row r="11201" spans="1:16">
      <x:c r="A11201" s="0" t="s">
        <x:v>44209</x:v>
      </x:c>
      <x:c r="B11201" s="0" t="s">
        <x:v>44210</x:v>
      </x:c>
      <x:c r="C11201" s="0" t="s">
        <x:v>42840</x:v>
      </x:c>
      <x:c r="E11201" s="0" t="s">
        <x:v>44211</x:v>
      </x:c>
      <x:c r="F11201" s="0" t="s">
        <x:v>45</x:v>
      </x:c>
      <x:c r="G11201" s="0" t="s">
        <x:v>35</x:v>
      </x:c>
      <x:c r="H11201" s="0" t="s">
        <x:v>20</x:v>
      </x:c>
      <x:c r="I11201" s="0" t="s">
        <x:v>21</x:v>
      </x:c>
      <x:c r="K11201" s="0">
        <x:f>hyperlink("https://icd.who.int/dev11/l-ichi/en#/http%3A%2F%2Fid.who.int%2Ficd%2Fentity%2F1650811704","browser")</x:f>
      </x:c>
      <x:c r="L11201" s="0">
        <x:f>hyperlink("https://icat2.azurewebsites.net/icat/?ontology=ICD&amp;tab=ClassesTab&amp;id=http%3A%2F%2Fwho.int%2Ficd%235353_bfdc5bfd_508c_4341_981a_49384b51cdc2","iCat")</x:f>
      </x:c>
      <x:c r="M11201" s="0" t="s">
        <x:v>21</x:v>
      </x:c>
      <x:c r="N11201" s="0" t="s">
        <x:v>46</x:v>
      </x:c>
    </x:row>
    <x:row r="11202" spans="1:16">
      <x:c r="A11202" s="0" t="s">
        <x:v>44212</x:v>
      </x:c>
      <x:c r="B11202" s="0" t="s">
        <x:v>44213</x:v>
      </x:c>
      <x:c r="C11202" s="0" t="s">
        <x:v>42840</x:v>
      </x:c>
      <x:c r="E11202" s="0" t="s">
        <x:v>44214</x:v>
      </x:c>
      <x:c r="F11202" s="0" t="s">
        <x:v>45</x:v>
      </x:c>
      <x:c r="G11202" s="0" t="s">
        <x:v>35</x:v>
      </x:c>
      <x:c r="H11202" s="0" t="s">
        <x:v>20</x:v>
      </x:c>
      <x:c r="I11202" s="0" t="s">
        <x:v>21</x:v>
      </x:c>
      <x:c r="K11202" s="0">
        <x:f>hyperlink("https://icd.who.int/dev11/l-ichi/en#/http%3A%2F%2Fid.who.int%2Ficd%2Fentity%2F1466083138","browser")</x:f>
      </x:c>
      <x:c r="L11202" s="0">
        <x:f>hyperlink("https://icat2.azurewebsites.net/icat/?ontology=ICD&amp;tab=ClassesTab&amp;id=http%3A%2F%2Fwho.int%2Ficd%235357_bfdc5bfd_508c_4341_981a_49384b51cdc2","iCat")</x:f>
      </x:c>
      <x:c r="M11202" s="0" t="s">
        <x:v>21</x:v>
      </x:c>
      <x:c r="N11202" s="0" t="s">
        <x:v>46</x:v>
      </x:c>
    </x:row>
    <x:row r="11203" spans="1:16">
      <x:c r="A11203" s="0" t="s">
        <x:v>44215</x:v>
      </x:c>
      <x:c r="B11203" s="0" t="s">
        <x:v>44216</x:v>
      </x:c>
      <x:c r="C11203" s="0" t="s">
        <x:v>42840</x:v>
      </x:c>
      <x:c r="E11203" s="0" t="s">
        <x:v>44217</x:v>
      </x:c>
      <x:c r="F11203" s="0" t="s">
        <x:v>45</x:v>
      </x:c>
      <x:c r="G11203" s="0" t="s">
        <x:v>35</x:v>
      </x:c>
      <x:c r="H11203" s="0" t="s">
        <x:v>20</x:v>
      </x:c>
      <x:c r="I11203" s="0" t="s">
        <x:v>21</x:v>
      </x:c>
      <x:c r="K11203" s="0">
        <x:f>hyperlink("https://icd.who.int/dev11/l-ichi/en#/http%3A%2F%2Fid.who.int%2Ficd%2Fentity%2F36524301","browser")</x:f>
      </x:c>
      <x:c r="L11203" s="0">
        <x:f>hyperlink("https://icat2.azurewebsites.net/icat/?ontology=ICD&amp;tab=ClassesTab&amp;id=http%3A%2F%2Fwho.int%2Ficd%235362_bfdc5bfd_508c_4341_981a_49384b51cdc2","iCat")</x:f>
      </x:c>
      <x:c r="M11203" s="0" t="s">
        <x:v>21</x:v>
      </x:c>
      <x:c r="N11203" s="0" t="s">
        <x:v>46</x:v>
      </x:c>
    </x:row>
    <x:row r="11204" spans="1:16">
      <x:c r="A11204" s="0" t="s">
        <x:v>44218</x:v>
      </x:c>
      <x:c r="B11204" s="0" t="s">
        <x:v>44219</x:v>
      </x:c>
      <x:c r="C11204" s="0" t="s">
        <x:v>42840</x:v>
      </x:c>
      <x:c r="E11204" s="0" t="s">
        <x:v>44220</x:v>
      </x:c>
      <x:c r="F11204" s="0" t="s">
        <x:v>45</x:v>
      </x:c>
      <x:c r="G11204" s="0" t="s">
        <x:v>35</x:v>
      </x:c>
      <x:c r="H11204" s="0" t="s">
        <x:v>20</x:v>
      </x:c>
      <x:c r="I11204" s="0" t="s">
        <x:v>21</x:v>
      </x:c>
      <x:c r="K11204" s="0">
        <x:f>hyperlink("https://icd.who.int/dev11/l-ichi/en#/http%3A%2F%2Fid.who.int%2Ficd%2Fentity%2F925537657","browser")</x:f>
      </x:c>
      <x:c r="L11204" s="0">
        <x:f>hyperlink("https://icat2.azurewebsites.net/icat/?ontology=ICD&amp;tab=ClassesTab&amp;id=http%3A%2F%2Fwho.int%2Ficd%235366_bfdc5bfd_508c_4341_981a_49384b51cdc2","iCat")</x:f>
      </x:c>
      <x:c r="M11204" s="0" t="s">
        <x:v>21</x:v>
      </x:c>
      <x:c r="N11204" s="0" t="s">
        <x:v>46</x:v>
      </x:c>
    </x:row>
    <x:row r="11205" spans="1:16">
      <x:c r="A11205" s="0" t="s">
        <x:v>44221</x:v>
      </x:c>
      <x:c r="B11205" s="0" t="s">
        <x:v>44222</x:v>
      </x:c>
      <x:c r="C11205" s="0" t="s">
        <x:v>42840</x:v>
      </x:c>
      <x:c r="E11205" s="0" t="s">
        <x:v>44223</x:v>
      </x:c>
      <x:c r="F11205" s="0" t="s">
        <x:v>45</x:v>
      </x:c>
      <x:c r="G11205" s="0" t="s">
        <x:v>35</x:v>
      </x:c>
      <x:c r="H11205" s="0" t="s">
        <x:v>20</x:v>
      </x:c>
      <x:c r="I11205" s="0" t="s">
        <x:v>21</x:v>
      </x:c>
      <x:c r="K11205" s="0">
        <x:f>hyperlink("https://icd.who.int/dev11/l-ichi/en#/http%3A%2F%2Fid.who.int%2Ficd%2Fentity%2F227858847","browser")</x:f>
      </x:c>
      <x:c r="L11205" s="0">
        <x:f>hyperlink("https://icat2.azurewebsites.net/icat/?ontology=ICD&amp;tab=ClassesTab&amp;id=http%3A%2F%2Fwho.int%2Ficd%235370_bfdc5bfd_508c_4341_981a_49384b51cdc2","iCat")</x:f>
      </x:c>
      <x:c r="M11205" s="0" t="s">
        <x:v>21</x:v>
      </x:c>
      <x:c r="N11205" s="0" t="s">
        <x:v>46</x:v>
      </x:c>
    </x:row>
    <x:row r="11206" spans="1:16">
      <x:c r="A11206" s="0" t="s">
        <x:v>44224</x:v>
      </x:c>
      <x:c r="B11206" s="0" t="s">
        <x:v>44225</x:v>
      </x:c>
      <x:c r="C11206" s="0" t="s">
        <x:v>42840</x:v>
      </x:c>
      <x:c r="E11206" s="0" t="s">
        <x:v>44226</x:v>
      </x:c>
      <x:c r="F11206" s="0" t="s">
        <x:v>45</x:v>
      </x:c>
      <x:c r="G11206" s="0" t="s">
        <x:v>35</x:v>
      </x:c>
      <x:c r="H11206" s="0" t="s">
        <x:v>20</x:v>
      </x:c>
      <x:c r="I11206" s="0" t="s">
        <x:v>21</x:v>
      </x:c>
      <x:c r="K11206" s="0">
        <x:f>hyperlink("https://icd.who.int/dev11/l-ichi/en#/http%3A%2F%2Fid.who.int%2Ficd%2Fentity%2F949165547","browser")</x:f>
      </x:c>
      <x:c r="L11206" s="0">
        <x:f>hyperlink("https://icat2.azurewebsites.net/icat/?ontology=ICD&amp;tab=ClassesTab&amp;id=http%3A%2F%2Fwho.int%2Ficd%235374_bfdc5bfd_508c_4341_981a_49384b51cdc2","iCat")</x:f>
      </x:c>
      <x:c r="M11206" s="0" t="s">
        <x:v>21</x:v>
      </x:c>
      <x:c r="N11206" s="0" t="s">
        <x:v>46</x:v>
      </x:c>
    </x:row>
    <x:row r="11207" spans="1:16">
      <x:c r="A11207" s="0" t="s">
        <x:v>44227</x:v>
      </x:c>
      <x:c r="B11207" s="0" t="s">
        <x:v>44228</x:v>
      </x:c>
      <x:c r="C11207" s="0" t="s">
        <x:v>42840</x:v>
      </x:c>
      <x:c r="E11207" s="0" t="s">
        <x:v>44229</x:v>
      </x:c>
      <x:c r="F11207" s="0" t="s">
        <x:v>45</x:v>
      </x:c>
      <x:c r="G11207" s="0" t="s">
        <x:v>35</x:v>
      </x:c>
      <x:c r="H11207" s="0" t="s">
        <x:v>20</x:v>
      </x:c>
      <x:c r="I11207" s="0" t="s">
        <x:v>21</x:v>
      </x:c>
      <x:c r="K11207" s="0">
        <x:f>hyperlink("https://icd.who.int/dev11/l-ichi/en#/http%3A%2F%2Fid.who.int%2Ficd%2Fentity%2F1125492940","browser")</x:f>
      </x:c>
      <x:c r="L11207" s="0">
        <x:f>hyperlink("https://icat2.azurewebsites.net/icat/?ontology=ICD&amp;tab=ClassesTab&amp;id=http%3A%2F%2Fwho.int%2Ficd%235378_bfdc5bfd_508c_4341_981a_49384b51cdc2","iCat")</x:f>
      </x:c>
      <x:c r="M11207" s="0" t="s">
        <x:v>21</x:v>
      </x:c>
      <x:c r="N11207" s="0" t="s">
        <x:v>46</x:v>
      </x:c>
    </x:row>
    <x:row r="11208" spans="1:16">
      <x:c r="A11208" s="0" t="s">
        <x:v>44230</x:v>
      </x:c>
      <x:c r="B11208" s="0" t="s">
        <x:v>44231</x:v>
      </x:c>
      <x:c r="C11208" s="0" t="s">
        <x:v>42840</x:v>
      </x:c>
      <x:c r="E11208" s="0" t="s">
        <x:v>44232</x:v>
      </x:c>
      <x:c r="F11208" s="0" t="s">
        <x:v>45</x:v>
      </x:c>
      <x:c r="G11208" s="0" t="s">
        <x:v>35</x:v>
      </x:c>
      <x:c r="H11208" s="0" t="s">
        <x:v>20</x:v>
      </x:c>
      <x:c r="I11208" s="0" t="s">
        <x:v>21</x:v>
      </x:c>
      <x:c r="K11208" s="0">
        <x:f>hyperlink("https://icd.who.int/dev11/l-ichi/en#/http%3A%2F%2Fid.who.int%2Ficd%2Fentity%2F1192201862","browser")</x:f>
      </x:c>
      <x:c r="L11208" s="0">
        <x:f>hyperlink("https://icat2.azurewebsites.net/icat/?ontology=ICD&amp;tab=ClassesTab&amp;id=http%3A%2F%2Fwho.int%2Ficd%235382_bfdc5bfd_508c_4341_981a_49384b51cdc2","iCat")</x:f>
      </x:c>
      <x:c r="M11208" s="0" t="s">
        <x:v>21</x:v>
      </x:c>
      <x:c r="N11208" s="0" t="s">
        <x:v>46</x:v>
      </x:c>
    </x:row>
    <x:row r="11209" spans="1:16">
      <x:c r="A11209" s="0" t="s">
        <x:v>44233</x:v>
      </x:c>
      <x:c r="B11209" s="0" t="s">
        <x:v>44234</x:v>
      </x:c>
      <x:c r="C11209" s="0" t="s">
        <x:v>42840</x:v>
      </x:c>
      <x:c r="E11209" s="0" t="s">
        <x:v>44235</x:v>
      </x:c>
      <x:c r="F11209" s="0" t="s">
        <x:v>45</x:v>
      </x:c>
      <x:c r="G11209" s="0" t="s">
        <x:v>35</x:v>
      </x:c>
      <x:c r="H11209" s="0" t="s">
        <x:v>20</x:v>
      </x:c>
      <x:c r="I11209" s="0" t="s">
        <x:v>21</x:v>
      </x:c>
      <x:c r="K11209" s="0">
        <x:f>hyperlink("https://icd.who.int/dev11/l-ichi/en#/http%3A%2F%2Fid.who.int%2Ficd%2Fentity%2F1391540430","browser")</x:f>
      </x:c>
      <x:c r="L11209" s="0">
        <x:f>hyperlink("https://icat2.azurewebsites.net/icat/?ontology=ICD&amp;tab=ClassesTab&amp;id=http%3A%2F%2Fwho.int%2Ficd%235387_bfdc5bfd_508c_4341_981a_49384b51cdc2","iCat")</x:f>
      </x:c>
      <x:c r="M11209" s="0" t="s">
        <x:v>21</x:v>
      </x:c>
      <x:c r="N11209" s="0" t="s">
        <x:v>46</x:v>
      </x:c>
    </x:row>
    <x:row r="11210" spans="1:16">
      <x:c r="A11210" s="0" t="s">
        <x:v>44236</x:v>
      </x:c>
      <x:c r="B11210" s="0" t="s">
        <x:v>44237</x:v>
      </x:c>
      <x:c r="C11210" s="0" t="s">
        <x:v>42840</x:v>
      </x:c>
      <x:c r="E11210" s="0" t="s">
        <x:v>44238</x:v>
      </x:c>
      <x:c r="F11210" s="0" t="s">
        <x:v>45</x:v>
      </x:c>
      <x:c r="G11210" s="0" t="s">
        <x:v>35</x:v>
      </x:c>
      <x:c r="H11210" s="0" t="s">
        <x:v>20</x:v>
      </x:c>
      <x:c r="I11210" s="0" t="s">
        <x:v>21</x:v>
      </x:c>
      <x:c r="K11210" s="0">
        <x:f>hyperlink("https://icd.who.int/dev11/l-ichi/en#/http%3A%2F%2Fid.who.int%2Ficd%2Fentity%2F221473263","browser")</x:f>
      </x:c>
      <x:c r="L11210" s="0">
        <x:f>hyperlink("https://icat2.azurewebsites.net/icat/?ontology=ICD&amp;tab=ClassesTab&amp;id=http%3A%2F%2Fwho.int%2Ficd%235393_bfdc5bfd_508c_4341_981a_49384b51cdc2","iCat")</x:f>
      </x:c>
      <x:c r="M11210" s="0" t="s">
        <x:v>21</x:v>
      </x:c>
      <x:c r="N11210" s="0" t="s">
        <x:v>46</x:v>
      </x:c>
    </x:row>
    <x:row r="11211" spans="1:16">
      <x:c r="A11211" s="0" t="s">
        <x:v>44239</x:v>
      </x:c>
      <x:c r="B11211" s="0" t="s">
        <x:v>44240</x:v>
      </x:c>
      <x:c r="C11211" s="0" t="s">
        <x:v>42840</x:v>
      </x:c>
      <x:c r="E11211" s="0" t="s">
        <x:v>44241</x:v>
      </x:c>
      <x:c r="F11211" s="0" t="s">
        <x:v>45</x:v>
      </x:c>
      <x:c r="G11211" s="0" t="s">
        <x:v>35</x:v>
      </x:c>
      <x:c r="H11211" s="0" t="s">
        <x:v>20</x:v>
      </x:c>
      <x:c r="I11211" s="0" t="s">
        <x:v>21</x:v>
      </x:c>
      <x:c r="K11211" s="0">
        <x:f>hyperlink("https://icd.who.int/dev11/l-ichi/en#/http%3A%2F%2Fid.who.int%2Ficd%2Fentity%2F1360225001","browser")</x:f>
      </x:c>
      <x:c r="L11211" s="0">
        <x:f>hyperlink("https://icat2.azurewebsites.net/icat/?ontology=ICD&amp;tab=ClassesTab&amp;id=http%3A%2F%2Fwho.int%2Ficd%235400_bfdc5bfd_508c_4341_981a_49384b51cdc2","iCat")</x:f>
      </x:c>
      <x:c r="M11211" s="0" t="s">
        <x:v>21</x:v>
      </x:c>
      <x:c r="N11211" s="0" t="s">
        <x:v>46</x:v>
      </x:c>
    </x:row>
    <x:row r="11212" spans="1:16">
      <x:c r="A11212" s="0" t="s">
        <x:v>44242</x:v>
      </x:c>
      <x:c r="B11212" s="0" t="s">
        <x:v>44243</x:v>
      </x:c>
      <x:c r="C11212" s="0" t="s">
        <x:v>42840</x:v>
      </x:c>
      <x:c r="E11212" s="0" t="s">
        <x:v>44244</x:v>
      </x:c>
      <x:c r="F11212" s="0" t="s">
        <x:v>45</x:v>
      </x:c>
      <x:c r="G11212" s="0" t="s">
        <x:v>35</x:v>
      </x:c>
      <x:c r="H11212" s="0" t="s">
        <x:v>20</x:v>
      </x:c>
      <x:c r="I11212" s="0" t="s">
        <x:v>21</x:v>
      </x:c>
      <x:c r="K11212" s="0">
        <x:f>hyperlink("https://icd.who.int/dev11/l-ichi/en#/http%3A%2F%2Fid.who.int%2Ficd%2Fentity%2F1156437153","browser")</x:f>
      </x:c>
      <x:c r="L11212" s="0">
        <x:f>hyperlink("https://icat2.azurewebsites.net/icat/?ontology=ICD&amp;tab=ClassesTab&amp;id=http%3A%2F%2Fwho.int%2Ficd%235405_bfdc5bfd_508c_4341_981a_49384b51cdc2","iCat")</x:f>
      </x:c>
      <x:c r="M11212" s="0" t="s">
        <x:v>21</x:v>
      </x:c>
      <x:c r="N11212" s="0" t="s">
        <x:v>46</x:v>
      </x:c>
    </x:row>
    <x:row r="11213" spans="1:16">
      <x:c r="A11213" s="0" t="s">
        <x:v>44245</x:v>
      </x:c>
      <x:c r="B11213" s="0" t="s">
        <x:v>44246</x:v>
      </x:c>
      <x:c r="C11213" s="0" t="s">
        <x:v>42840</x:v>
      </x:c>
      <x:c r="E11213" s="0" t="s">
        <x:v>44247</x:v>
      </x:c>
      <x:c r="F11213" s="0" t="s">
        <x:v>45</x:v>
      </x:c>
      <x:c r="G11213" s="0" t="s">
        <x:v>30</x:v>
      </x:c>
      <x:c r="H11213" s="0" t="s">
        <x:v>20</x:v>
      </x:c>
      <x:c r="I11213" s="0" t="s">
        <x:v>21</x:v>
      </x:c>
      <x:c r="K11213" s="0">
        <x:f>hyperlink("https://icd.who.int/dev11/l-ichi/en#/http%3A%2F%2Fid.who.int%2Ficd%2Fentity%2F1064001920","browser")</x:f>
      </x:c>
      <x:c r="L11213" s="0">
        <x:f>hyperlink("https://icat2.azurewebsites.net/icat/?ontology=ICD&amp;tab=ClassesTab&amp;id=http%3A%2F%2Fwho.int%2Ficd%235409_bfdc5bfd_508c_4341_981a_49384b51cdc2","iCat")</x:f>
      </x:c>
      <x:c r="M11213" s="0" t="s">
        <x:v>20</x:v>
      </x:c>
      <x:c r="N11213" s="0" t="s">
        <x:v>1298</x:v>
      </x:c>
    </x:row>
    <x:row r="11214" spans="1:16">
      <x:c r="A11214" s="0" t="s">
        <x:v>44248</x:v>
      </x:c>
      <x:c r="B11214" s="0" t="s">
        <x:v>44249</x:v>
      </x:c>
      <x:c r="C11214" s="0" t="s">
        <x:v>42840</x:v>
      </x:c>
      <x:c r="E11214" s="0" t="s">
        <x:v>44250</x:v>
      </x:c>
      <x:c r="F11214" s="0" t="s">
        <x:v>45</x:v>
      </x:c>
      <x:c r="G11214" s="0" t="s">
        <x:v>35</x:v>
      </x:c>
      <x:c r="H11214" s="0" t="s">
        <x:v>20</x:v>
      </x:c>
      <x:c r="I11214" s="0" t="s">
        <x:v>21</x:v>
      </x:c>
      <x:c r="K11214" s="0">
        <x:f>hyperlink("https://icd.who.int/dev11/l-ichi/en#/http%3A%2F%2Fid.who.int%2Ficd%2Fentity%2F2119407687","browser")</x:f>
      </x:c>
      <x:c r="L11214" s="0">
        <x:f>hyperlink("https://icat2.azurewebsites.net/icat/?ontology=ICD&amp;tab=ClassesTab&amp;id=http%3A%2F%2Fwho.int%2Ficd%235413_bfdc5bfd_508c_4341_981a_49384b51cdc2","iCat")</x:f>
      </x:c>
      <x:c r="M11214" s="0" t="s">
        <x:v>21</x:v>
      </x:c>
      <x:c r="N11214" s="0" t="s">
        <x:v>46</x:v>
      </x:c>
    </x:row>
    <x:row r="11215" spans="1:16">
      <x:c r="A11215" s="0" t="s">
        <x:v>44251</x:v>
      </x:c>
      <x:c r="B11215" s="0" t="s">
        <x:v>44252</x:v>
      </x:c>
      <x:c r="C11215" s="0" t="s">
        <x:v>42840</x:v>
      </x:c>
      <x:c r="E11215" s="0" t="s">
        <x:v>44253</x:v>
      </x:c>
      <x:c r="F11215" s="0" t="s">
        <x:v>45</x:v>
      </x:c>
      <x:c r="G11215" s="0" t="s">
        <x:v>35</x:v>
      </x:c>
      <x:c r="H11215" s="0" t="s">
        <x:v>20</x:v>
      </x:c>
      <x:c r="I11215" s="0" t="s">
        <x:v>21</x:v>
      </x:c>
      <x:c r="K11215" s="0">
        <x:f>hyperlink("https://icd.who.int/dev11/l-ichi/en#/http%3A%2F%2Fid.who.int%2Ficd%2Fentity%2F1437529303","browser")</x:f>
      </x:c>
      <x:c r="L11215" s="0">
        <x:f>hyperlink("https://icat2.azurewebsites.net/icat/?ontology=ICD&amp;tab=ClassesTab&amp;id=http%3A%2F%2Fwho.int%2Ficd%235419_bfdc5bfd_508c_4341_981a_49384b51cdc2","iCat")</x:f>
      </x:c>
      <x:c r="M11215" s="0" t="s">
        <x:v>21</x:v>
      </x:c>
      <x:c r="N11215" s="0" t="s">
        <x:v>46</x:v>
      </x:c>
    </x:row>
    <x:row r="11216" spans="1:16">
      <x:c r="A11216" s="0" t="s">
        <x:v>44254</x:v>
      </x:c>
      <x:c r="B11216" s="0" t="s">
        <x:v>44255</x:v>
      </x:c>
      <x:c r="C11216" s="0" t="s">
        <x:v>42840</x:v>
      </x:c>
      <x:c r="E11216" s="0" t="s">
        <x:v>44256</x:v>
      </x:c>
      <x:c r="F11216" s="0" t="s">
        <x:v>45</x:v>
      </x:c>
      <x:c r="G11216" s="0" t="s">
        <x:v>35</x:v>
      </x:c>
      <x:c r="H11216" s="0" t="s">
        <x:v>20</x:v>
      </x:c>
      <x:c r="I11216" s="0" t="s">
        <x:v>21</x:v>
      </x:c>
      <x:c r="K11216" s="0">
        <x:f>hyperlink("https://icd.who.int/dev11/l-ichi/en#/http%3A%2F%2Fid.who.int%2Ficd%2Fentity%2F1055053890","browser")</x:f>
      </x:c>
      <x:c r="L11216" s="0">
        <x:f>hyperlink("https://icat2.azurewebsites.net/icat/?ontology=ICD&amp;tab=ClassesTab&amp;id=http%3A%2F%2Fwho.int%2Ficd%235423_bfdc5bfd_508c_4341_981a_49384b51cdc2","iCat")</x:f>
      </x:c>
      <x:c r="M11216" s="0" t="s">
        <x:v>21</x:v>
      </x:c>
      <x:c r="N11216" s="0" t="s">
        <x:v>46</x:v>
      </x:c>
    </x:row>
    <x:row r="11217" spans="1:16">
      <x:c r="A11217" s="0" t="s">
        <x:v>44257</x:v>
      </x:c>
      <x:c r="B11217" s="0" t="s">
        <x:v>44258</x:v>
      </x:c>
      <x:c r="C11217" s="0" t="s">
        <x:v>42840</x:v>
      </x:c>
      <x:c r="E11217" s="0" t="s">
        <x:v>44259</x:v>
      </x:c>
      <x:c r="F11217" s="0" t="s">
        <x:v>45</x:v>
      </x:c>
      <x:c r="G11217" s="0" t="s">
        <x:v>35</x:v>
      </x:c>
      <x:c r="H11217" s="0" t="s">
        <x:v>20</x:v>
      </x:c>
      <x:c r="I11217" s="0" t="s">
        <x:v>21</x:v>
      </x:c>
      <x:c r="K11217" s="0">
        <x:f>hyperlink("https://icd.who.int/dev11/l-ichi/en#/http%3A%2F%2Fid.who.int%2Ficd%2Fentity%2F354399442","browser")</x:f>
      </x:c>
      <x:c r="L11217" s="0">
        <x:f>hyperlink("https://icat2.azurewebsites.net/icat/?ontology=ICD&amp;tab=ClassesTab&amp;id=http%3A%2F%2Fwho.int%2Ficd%235429_bfdc5bfd_508c_4341_981a_49384b51cdc2","iCat")</x:f>
      </x:c>
      <x:c r="M11217" s="0" t="s">
        <x:v>21</x:v>
      </x:c>
      <x:c r="N11217" s="0" t="s">
        <x:v>46</x:v>
      </x:c>
    </x:row>
    <x:row r="11218" spans="1:16">
      <x:c r="A11218" s="0" t="s">
        <x:v>44260</x:v>
      </x:c>
      <x:c r="B11218" s="0" t="s">
        <x:v>44261</x:v>
      </x:c>
      <x:c r="C11218" s="0" t="s">
        <x:v>42840</x:v>
      </x:c>
      <x:c r="E11218" s="0" t="s">
        <x:v>44262</x:v>
      </x:c>
      <x:c r="F11218" s="0" t="s">
        <x:v>45</x:v>
      </x:c>
      <x:c r="G11218" s="0" t="s">
        <x:v>35</x:v>
      </x:c>
      <x:c r="H11218" s="0" t="s">
        <x:v>20</x:v>
      </x:c>
      <x:c r="I11218" s="0" t="s">
        <x:v>21</x:v>
      </x:c>
      <x:c r="K11218" s="0">
        <x:f>hyperlink("https://icd.who.int/dev11/l-ichi/en#/http%3A%2F%2Fid.who.int%2Ficd%2Fentity%2F73176230","browser")</x:f>
      </x:c>
      <x:c r="L11218" s="0">
        <x:f>hyperlink("https://icat2.azurewebsites.net/icat/?ontology=ICD&amp;tab=ClassesTab&amp;id=http%3A%2F%2Fwho.int%2Ficd%235435_bfdc5bfd_508c_4341_981a_49384b51cdc2","iCat")</x:f>
      </x:c>
      <x:c r="M11218" s="0" t="s">
        <x:v>21</x:v>
      </x:c>
      <x:c r="N11218" s="0" t="s">
        <x:v>46</x:v>
      </x:c>
    </x:row>
    <x:row r="11219" spans="1:16">
      <x:c r="A11219" s="0" t="s">
        <x:v>44263</x:v>
      </x:c>
      <x:c r="B11219" s="0" t="s">
        <x:v>44264</x:v>
      </x:c>
      <x:c r="C11219" s="0" t="s">
        <x:v>42840</x:v>
      </x:c>
      <x:c r="E11219" s="0" t="s">
        <x:v>44265</x:v>
      </x:c>
      <x:c r="F11219" s="0" t="s">
        <x:v>45</x:v>
      </x:c>
      <x:c r="G11219" s="0" t="s">
        <x:v>35</x:v>
      </x:c>
      <x:c r="H11219" s="0" t="s">
        <x:v>20</x:v>
      </x:c>
      <x:c r="I11219" s="0" t="s">
        <x:v>21</x:v>
      </x:c>
      <x:c r="K11219" s="0">
        <x:f>hyperlink("https://icd.who.int/dev11/l-ichi/en#/http%3A%2F%2Fid.who.int%2Ficd%2Fentity%2F2145001863","browser")</x:f>
      </x:c>
      <x:c r="L11219" s="0">
        <x:f>hyperlink("https://icat2.azurewebsites.net/icat/?ontology=ICD&amp;tab=ClassesTab&amp;id=http%3A%2F%2Fwho.int%2Ficd%235439_bfdc5bfd_508c_4341_981a_49384b51cdc2","iCat")</x:f>
      </x:c>
      <x:c r="M11219" s="0" t="s">
        <x:v>21</x:v>
      </x:c>
      <x:c r="N11219" s="0" t="s">
        <x:v>46</x:v>
      </x:c>
    </x:row>
    <x:row r="11220" spans="1:16">
      <x:c r="A11220" s="0" t="s">
        <x:v>44266</x:v>
      </x:c>
      <x:c r="B11220" s="0" t="s">
        <x:v>44267</x:v>
      </x:c>
      <x:c r="C11220" s="0" t="s">
        <x:v>42840</x:v>
      </x:c>
      <x:c r="E11220" s="0" t="s">
        <x:v>44268</x:v>
      </x:c>
      <x:c r="F11220" s="0" t="s">
        <x:v>45</x:v>
      </x:c>
      <x:c r="G11220" s="0" t="s">
        <x:v>35</x:v>
      </x:c>
      <x:c r="H11220" s="0" t="s">
        <x:v>20</x:v>
      </x:c>
      <x:c r="I11220" s="0" t="s">
        <x:v>21</x:v>
      </x:c>
      <x:c r="K11220" s="0">
        <x:f>hyperlink("https://icd.who.int/dev11/l-ichi/en#/http%3A%2F%2Fid.who.int%2Ficd%2Fentity%2F1896867909","browser")</x:f>
      </x:c>
      <x:c r="L11220" s="0">
        <x:f>hyperlink("https://icat2.azurewebsites.net/icat/?ontology=ICD&amp;tab=ClassesTab&amp;id=http%3A%2F%2Fwho.int%2Ficd%235446_bfdc5bfd_508c_4341_981a_49384b51cdc2","iCat")</x:f>
      </x:c>
      <x:c r="M11220" s="0" t="s">
        <x:v>21</x:v>
      </x:c>
      <x:c r="N11220" s="0" t="s">
        <x:v>46</x:v>
      </x:c>
    </x:row>
    <x:row r="11221" spans="1:16">
      <x:c r="A11221" s="0" t="s">
        <x:v>44269</x:v>
      </x:c>
      <x:c r="B11221" s="0" t="s">
        <x:v>44270</x:v>
      </x:c>
      <x:c r="C11221" s="0" t="s">
        <x:v>42840</x:v>
      </x:c>
      <x:c r="E11221" s="0" t="s">
        <x:v>44271</x:v>
      </x:c>
      <x:c r="F11221" s="0" t="s">
        <x:v>45</x:v>
      </x:c>
      <x:c r="G11221" s="0" t="s">
        <x:v>35</x:v>
      </x:c>
      <x:c r="H11221" s="0" t="s">
        <x:v>20</x:v>
      </x:c>
      <x:c r="I11221" s="0" t="s">
        <x:v>21</x:v>
      </x:c>
      <x:c r="K11221" s="0">
        <x:f>hyperlink("https://icd.who.int/dev11/l-ichi/en#/http%3A%2F%2Fid.who.int%2Ficd%2Fentity%2F1269933219","browser")</x:f>
      </x:c>
      <x:c r="L11221" s="0">
        <x:f>hyperlink("https://icat2.azurewebsites.net/icat/?ontology=ICD&amp;tab=ClassesTab&amp;id=http%3A%2F%2Fwho.int%2Ficd%235450_bfdc5bfd_508c_4341_981a_49384b51cdc2","iCat")</x:f>
      </x:c>
      <x:c r="M11221" s="0" t="s">
        <x:v>21</x:v>
      </x:c>
      <x:c r="N11221" s="0" t="s">
        <x:v>46</x:v>
      </x:c>
    </x:row>
    <x:row r="11222" spans="1:16">
      <x:c r="A11222" s="0" t="s">
        <x:v>44272</x:v>
      </x:c>
      <x:c r="B11222" s="0" t="s">
        <x:v>44273</x:v>
      </x:c>
      <x:c r="C11222" s="0" t="s">
        <x:v>42840</x:v>
      </x:c>
      <x:c r="E11222" s="0" t="s">
        <x:v>44274</x:v>
      </x:c>
      <x:c r="F11222" s="0" t="s">
        <x:v>45</x:v>
      </x:c>
      <x:c r="G11222" s="0" t="s">
        <x:v>35</x:v>
      </x:c>
      <x:c r="H11222" s="0" t="s">
        <x:v>20</x:v>
      </x:c>
      <x:c r="I11222" s="0" t="s">
        <x:v>21</x:v>
      </x:c>
      <x:c r="K11222" s="0">
        <x:f>hyperlink("https://icd.who.int/dev11/l-ichi/en#/http%3A%2F%2Fid.who.int%2Ficd%2Fentity%2F1582240491","browser")</x:f>
      </x:c>
      <x:c r="L11222" s="0">
        <x:f>hyperlink("https://icat2.azurewebsites.net/icat/?ontology=ICD&amp;tab=ClassesTab&amp;id=http%3A%2F%2Fwho.int%2Ficd%235455_bfdc5bfd_508c_4341_981a_49384b51cdc2","iCat")</x:f>
      </x:c>
      <x:c r="M11222" s="0" t="s">
        <x:v>21</x:v>
      </x:c>
      <x:c r="N11222" s="0" t="s">
        <x:v>46</x:v>
      </x:c>
    </x:row>
    <x:row r="11223" spans="1:16">
      <x:c r="A11223" s="0" t="s">
        <x:v>44275</x:v>
      </x:c>
      <x:c r="B11223" s="0" t="s">
        <x:v>44276</x:v>
      </x:c>
      <x:c r="C11223" s="0" t="s">
        <x:v>42840</x:v>
      </x:c>
      <x:c r="E11223" s="0" t="s">
        <x:v>44277</x:v>
      </x:c>
      <x:c r="F11223" s="0" t="s">
        <x:v>45</x:v>
      </x:c>
      <x:c r="G11223" s="0" t="s">
        <x:v>35</x:v>
      </x:c>
      <x:c r="H11223" s="0" t="s">
        <x:v>20</x:v>
      </x:c>
      <x:c r="I11223" s="0" t="s">
        <x:v>21</x:v>
      </x:c>
      <x:c r="K11223" s="0">
        <x:f>hyperlink("https://icd.who.int/dev11/l-ichi/en#/http%3A%2F%2Fid.who.int%2Ficd%2Fentity%2F633972682","browser")</x:f>
      </x:c>
      <x:c r="L11223" s="0">
        <x:f>hyperlink("https://icat2.azurewebsites.net/icat/?ontology=ICD&amp;tab=ClassesTab&amp;id=http%3A%2F%2Fwho.int%2Ficd%235459_bfdc5bfd_508c_4341_981a_49384b51cdc2","iCat")</x:f>
      </x:c>
      <x:c r="M11223" s="0" t="s">
        <x:v>21</x:v>
      </x:c>
      <x:c r="N11223" s="0" t="s">
        <x:v>46</x:v>
      </x:c>
    </x:row>
    <x:row r="11224" spans="1:16">
      <x:c r="A11224" s="0" t="s">
        <x:v>44278</x:v>
      </x:c>
      <x:c r="B11224" s="0" t="s">
        <x:v>44279</x:v>
      </x:c>
      <x:c r="C11224" s="0" t="s">
        <x:v>42840</x:v>
      </x:c>
      <x:c r="E11224" s="0" t="s">
        <x:v>44280</x:v>
      </x:c>
      <x:c r="F11224" s="0" t="s">
        <x:v>45</x:v>
      </x:c>
      <x:c r="G11224" s="0" t="s">
        <x:v>35</x:v>
      </x:c>
      <x:c r="H11224" s="0" t="s">
        <x:v>20</x:v>
      </x:c>
      <x:c r="I11224" s="0" t="s">
        <x:v>21</x:v>
      </x:c>
      <x:c r="K11224" s="0">
        <x:f>hyperlink("https://icd.who.int/dev11/l-ichi/en#/http%3A%2F%2Fid.who.int%2Ficd%2Fentity%2F1317374813","browser")</x:f>
      </x:c>
      <x:c r="L11224" s="0">
        <x:f>hyperlink("https://icat2.azurewebsites.net/icat/?ontology=ICD&amp;tab=ClassesTab&amp;id=http%3A%2F%2Fwho.int%2Ficd%235463_bfdc5bfd_508c_4341_981a_49384b51cdc2","iCat")</x:f>
      </x:c>
      <x:c r="M11224" s="0" t="s">
        <x:v>21</x:v>
      </x:c>
      <x:c r="N11224" s="0" t="s">
        <x:v>46</x:v>
      </x:c>
    </x:row>
    <x:row r="11225" spans="1:16">
      <x:c r="A11225" s="0" t="s">
        <x:v>44281</x:v>
      </x:c>
      <x:c r="B11225" s="0" t="s">
        <x:v>44282</x:v>
      </x:c>
      <x:c r="C11225" s="0" t="s">
        <x:v>42840</x:v>
      </x:c>
      <x:c r="E11225" s="0" t="s">
        <x:v>44283</x:v>
      </x:c>
      <x:c r="F11225" s="0" t="s">
        <x:v>45</x:v>
      </x:c>
      <x:c r="G11225" s="0" t="s">
        <x:v>35</x:v>
      </x:c>
      <x:c r="H11225" s="0" t="s">
        <x:v>20</x:v>
      </x:c>
      <x:c r="I11225" s="0" t="s">
        <x:v>21</x:v>
      </x:c>
      <x:c r="K11225" s="0">
        <x:f>hyperlink("https://icd.who.int/dev11/l-ichi/en#/http%3A%2F%2Fid.who.int%2Ficd%2Fentity%2F1166120433","browser")</x:f>
      </x:c>
      <x:c r="L11225" s="0">
        <x:f>hyperlink("https://icat2.azurewebsites.net/icat/?ontology=ICD&amp;tab=ClassesTab&amp;id=http%3A%2F%2Fwho.int%2Ficd%235468_bfdc5bfd_508c_4341_981a_49384b51cdc2","iCat")</x:f>
      </x:c>
      <x:c r="M11225" s="0" t="s">
        <x:v>21</x:v>
      </x:c>
      <x:c r="N11225" s="0" t="s">
        <x:v>46</x:v>
      </x:c>
    </x:row>
    <x:row r="11226" spans="1:16">
      <x:c r="A11226" s="0" t="s">
        <x:v>44284</x:v>
      </x:c>
      <x:c r="B11226" s="0" t="s">
        <x:v>44285</x:v>
      </x:c>
      <x:c r="C11226" s="0" t="s">
        <x:v>42840</x:v>
      </x:c>
      <x:c r="E11226" s="0" t="s">
        <x:v>44286</x:v>
      </x:c>
      <x:c r="F11226" s="0" t="s">
        <x:v>45</x:v>
      </x:c>
      <x:c r="G11226" s="0" t="s">
        <x:v>35</x:v>
      </x:c>
      <x:c r="H11226" s="0" t="s">
        <x:v>20</x:v>
      </x:c>
      <x:c r="I11226" s="0" t="s">
        <x:v>21</x:v>
      </x:c>
      <x:c r="K11226" s="0">
        <x:f>hyperlink("https://icd.who.int/dev11/l-ichi/en#/http%3A%2F%2Fid.who.int%2Ficd%2Fentity%2F79260726","browser")</x:f>
      </x:c>
      <x:c r="L11226" s="0">
        <x:f>hyperlink("https://icat2.azurewebsites.net/icat/?ontology=ICD&amp;tab=ClassesTab&amp;id=http%3A%2F%2Fwho.int%2Ficd%235472_bfdc5bfd_508c_4341_981a_49384b51cdc2","iCat")</x:f>
      </x:c>
      <x:c r="M11226" s="0" t="s">
        <x:v>21</x:v>
      </x:c>
      <x:c r="N11226" s="0" t="s">
        <x:v>46</x:v>
      </x:c>
    </x:row>
    <x:row r="11227" spans="1:16">
      <x:c r="A11227" s="0" t="s">
        <x:v>44287</x:v>
      </x:c>
      <x:c r="B11227" s="0" t="s">
        <x:v>44288</x:v>
      </x:c>
      <x:c r="C11227" s="0" t="s">
        <x:v>42840</x:v>
      </x:c>
      <x:c r="E11227" s="0" t="s">
        <x:v>44289</x:v>
      </x:c>
      <x:c r="F11227" s="0" t="s">
        <x:v>45</x:v>
      </x:c>
      <x:c r="G11227" s="0" t="s">
        <x:v>35</x:v>
      </x:c>
      <x:c r="H11227" s="0" t="s">
        <x:v>20</x:v>
      </x:c>
      <x:c r="I11227" s="0" t="s">
        <x:v>21</x:v>
      </x:c>
      <x:c r="K11227" s="0">
        <x:f>hyperlink("https://icd.who.int/dev11/l-ichi/en#/http%3A%2F%2Fid.who.int%2Ficd%2Fentity%2F289921662","browser")</x:f>
      </x:c>
      <x:c r="L11227" s="0">
        <x:f>hyperlink("https://icat2.azurewebsites.net/icat/?ontology=ICD&amp;tab=ClassesTab&amp;id=http%3A%2F%2Fwho.int%2Ficd%235477_bfdc5bfd_508c_4341_981a_49384b51cdc2","iCat")</x:f>
      </x:c>
      <x:c r="M11227" s="0" t="s">
        <x:v>21</x:v>
      </x:c>
      <x:c r="N11227" s="0" t="s">
        <x:v>46</x:v>
      </x:c>
    </x:row>
    <x:row r="11228" spans="1:16">
      <x:c r="A11228" s="0" t="s">
        <x:v>44290</x:v>
      </x:c>
      <x:c r="B11228" s="0" t="s">
        <x:v>44291</x:v>
      </x:c>
      <x:c r="C11228" s="0" t="s">
        <x:v>42840</x:v>
      </x:c>
      <x:c r="E11228" s="0" t="s">
        <x:v>44292</x:v>
      </x:c>
      <x:c r="F11228" s="0" t="s">
        <x:v>45</x:v>
      </x:c>
      <x:c r="G11228" s="0" t="s">
        <x:v>30</x:v>
      </x:c>
      <x:c r="H11228" s="0" t="s">
        <x:v>20</x:v>
      </x:c>
      <x:c r="I11228" s="0" t="s">
        <x:v>21</x:v>
      </x:c>
      <x:c r="K11228" s="0">
        <x:f>hyperlink("https://icd.who.int/dev11/l-ichi/en#/http%3A%2F%2Fid.who.int%2Ficd%2Fentity%2F1859864849","browser")</x:f>
      </x:c>
      <x:c r="L11228" s="0">
        <x:f>hyperlink("https://icat2.azurewebsites.net/icat/?ontology=ICD&amp;tab=ClassesTab&amp;id=http%3A%2F%2Fwho.int%2Ficd%235481_bfdc5bfd_508c_4341_981a_49384b51cdc2","iCat")</x:f>
      </x:c>
      <x:c r="M11228" s="0" t="s">
        <x:v>20</x:v>
      </x:c>
      <x:c r="N11228" s="0" t="s">
        <x:v>44293</x:v>
      </x:c>
    </x:row>
    <x:row r="11229" spans="1:16">
      <x:c r="A11229" s="0" t="s">
        <x:v>44294</x:v>
      </x:c>
      <x:c r="B11229" s="0" t="s">
        <x:v>44295</x:v>
      </x:c>
      <x:c r="C11229" s="0" t="s">
        <x:v>42840</x:v>
      </x:c>
      <x:c r="E11229" s="0" t="s">
        <x:v>44296</x:v>
      </x:c>
      <x:c r="F11229" s="0" t="s">
        <x:v>45</x:v>
      </x:c>
      <x:c r="G11229" s="0" t="s">
        <x:v>35</x:v>
      </x:c>
      <x:c r="H11229" s="0" t="s">
        <x:v>20</x:v>
      </x:c>
      <x:c r="I11229" s="0" t="s">
        <x:v>21</x:v>
      </x:c>
      <x:c r="K11229" s="0">
        <x:f>hyperlink("https://icd.who.int/dev11/l-ichi/en#/http%3A%2F%2Fid.who.int%2Ficd%2Fentity%2F1541180773","browser")</x:f>
      </x:c>
      <x:c r="L11229" s="0">
        <x:f>hyperlink("https://icat2.azurewebsites.net/icat/?ontology=ICD&amp;tab=ClassesTab&amp;id=http%3A%2F%2Fwho.int%2Ficd%235485_bfdc5bfd_508c_4341_981a_49384b51cdc2","iCat")</x:f>
      </x:c>
      <x:c r="M11229" s="0" t="s">
        <x:v>21</x:v>
      </x:c>
      <x:c r="N11229" s="0" t="s">
        <x:v>46</x:v>
      </x:c>
    </x:row>
    <x:row r="11230" spans="1:16">
      <x:c r="A11230" s="0" t="s">
        <x:v>44297</x:v>
      </x:c>
      <x:c r="B11230" s="0" t="s">
        <x:v>44298</x:v>
      </x:c>
      <x:c r="C11230" s="0" t="s">
        <x:v>42840</x:v>
      </x:c>
      <x:c r="E11230" s="0" t="s">
        <x:v>44299</x:v>
      </x:c>
      <x:c r="F11230" s="0" t="s">
        <x:v>45</x:v>
      </x:c>
      <x:c r="G11230" s="0" t="s">
        <x:v>35</x:v>
      </x:c>
      <x:c r="H11230" s="0" t="s">
        <x:v>20</x:v>
      </x:c>
      <x:c r="I11230" s="0" t="s">
        <x:v>21</x:v>
      </x:c>
      <x:c r="K11230" s="0">
        <x:f>hyperlink("https://icd.who.int/dev11/l-ichi/en#/http%3A%2F%2Fid.who.int%2Ficd%2Fentity%2F542783558","browser")</x:f>
      </x:c>
      <x:c r="L11230" s="0">
        <x:f>hyperlink("https://icat2.azurewebsites.net/icat/?ontology=ICD&amp;tab=ClassesTab&amp;id=http%3A%2F%2Fwho.int%2Ficd%235489_bfdc5bfd_508c_4341_981a_49384b51cdc2","iCat")</x:f>
      </x:c>
      <x:c r="M11230" s="0" t="s">
        <x:v>21</x:v>
      </x:c>
      <x:c r="N11230" s="0" t="s">
        <x:v>46</x:v>
      </x:c>
    </x:row>
    <x:row r="11231" spans="1:16">
      <x:c r="A11231" s="0" t="s">
        <x:v>44300</x:v>
      </x:c>
      <x:c r="B11231" s="0" t="s">
        <x:v>44301</x:v>
      </x:c>
      <x:c r="C11231" s="0" t="s">
        <x:v>42840</x:v>
      </x:c>
      <x:c r="E11231" s="0" t="s">
        <x:v>44302</x:v>
      </x:c>
      <x:c r="F11231" s="0" t="s">
        <x:v>45</x:v>
      </x:c>
      <x:c r="G11231" s="0" t="s">
        <x:v>35</x:v>
      </x:c>
      <x:c r="H11231" s="0" t="s">
        <x:v>20</x:v>
      </x:c>
      <x:c r="I11231" s="0" t="s">
        <x:v>21</x:v>
      </x:c>
      <x:c r="K11231" s="0">
        <x:f>hyperlink("https://icd.who.int/dev11/l-ichi/en#/http%3A%2F%2Fid.who.int%2Ficd%2Fentity%2F1628031885","browser")</x:f>
      </x:c>
      <x:c r="L11231" s="0">
        <x:f>hyperlink("https://icat2.azurewebsites.net/icat/?ontology=ICD&amp;tab=ClassesTab&amp;id=http%3A%2F%2Fwho.int%2Ficd%235503_bfdc5bfd_508c_4341_981a_49384b51cdc2","iCat")</x:f>
      </x:c>
      <x:c r="M11231" s="0" t="s">
        <x:v>21</x:v>
      </x:c>
      <x:c r="N11231" s="0" t="s">
        <x:v>46</x:v>
      </x:c>
    </x:row>
    <x:row r="11232" spans="1:16">
      <x:c r="A11232" s="0" t="s">
        <x:v>44303</x:v>
      </x:c>
      <x:c r="B11232" s="0" t="s">
        <x:v>44304</x:v>
      </x:c>
      <x:c r="C11232" s="0" t="s">
        <x:v>42840</x:v>
      </x:c>
      <x:c r="E11232" s="0" t="s">
        <x:v>44305</x:v>
      </x:c>
      <x:c r="F11232" s="0" t="s">
        <x:v>45</x:v>
      </x:c>
      <x:c r="G11232" s="0" t="s">
        <x:v>35</x:v>
      </x:c>
      <x:c r="H11232" s="0" t="s">
        <x:v>20</x:v>
      </x:c>
      <x:c r="I11232" s="0" t="s">
        <x:v>21</x:v>
      </x:c>
      <x:c r="K11232" s="0">
        <x:f>hyperlink("https://icd.who.int/dev11/l-ichi/en#/http%3A%2F%2Fid.who.int%2Ficd%2Fentity%2F1410207737","browser")</x:f>
      </x:c>
      <x:c r="L11232" s="0">
        <x:f>hyperlink("https://icat2.azurewebsites.net/icat/?ontology=ICD&amp;tab=ClassesTab&amp;id=http%3A%2F%2Fwho.int%2Ficd%235507_bfdc5bfd_508c_4341_981a_49384b51cdc2","iCat")</x:f>
      </x:c>
      <x:c r="M11232" s="0" t="s">
        <x:v>21</x:v>
      </x:c>
      <x:c r="N11232" s="0" t="s">
        <x:v>46</x:v>
      </x:c>
    </x:row>
    <x:row r="11233" spans="1:16">
      <x:c r="A11233" s="0" t="s">
        <x:v>44306</x:v>
      </x:c>
      <x:c r="B11233" s="0" t="s">
        <x:v>44307</x:v>
      </x:c>
      <x:c r="C11233" s="0" t="s">
        <x:v>42840</x:v>
      </x:c>
      <x:c r="E11233" s="0" t="s">
        <x:v>44308</x:v>
      </x:c>
      <x:c r="F11233" s="0" t="s">
        <x:v>45</x:v>
      </x:c>
      <x:c r="G11233" s="0" t="s">
        <x:v>35</x:v>
      </x:c>
      <x:c r="H11233" s="0" t="s">
        <x:v>20</x:v>
      </x:c>
      <x:c r="I11233" s="0" t="s">
        <x:v>21</x:v>
      </x:c>
      <x:c r="K11233" s="0">
        <x:f>hyperlink("https://icd.who.int/dev11/l-ichi/en#/http%3A%2F%2Fid.who.int%2Ficd%2Fentity%2F1857045279","browser")</x:f>
      </x:c>
      <x:c r="L11233" s="0">
        <x:f>hyperlink("https://icat2.azurewebsites.net/icat/?ontology=ICD&amp;tab=ClassesTab&amp;id=http%3A%2F%2Fwho.int%2Ficd%235511_bfdc5bfd_508c_4341_981a_49384b51cdc2","iCat")</x:f>
      </x:c>
      <x:c r="M11233" s="0" t="s">
        <x:v>21</x:v>
      </x:c>
      <x:c r="N11233" s="0" t="s">
        <x:v>46</x:v>
      </x:c>
    </x:row>
    <x:row r="11234" spans="1:16">
      <x:c r="A11234" s="0" t="s">
        <x:v>44309</x:v>
      </x:c>
      <x:c r="B11234" s="0" t="s">
        <x:v>44310</x:v>
      </x:c>
      <x:c r="C11234" s="0" t="s">
        <x:v>42840</x:v>
      </x:c>
      <x:c r="E11234" s="0" t="s">
        <x:v>44311</x:v>
      </x:c>
      <x:c r="F11234" s="0" t="s">
        <x:v>45</x:v>
      </x:c>
      <x:c r="G11234" s="0" t="s">
        <x:v>35</x:v>
      </x:c>
      <x:c r="H11234" s="0" t="s">
        <x:v>20</x:v>
      </x:c>
      <x:c r="I11234" s="0" t="s">
        <x:v>21</x:v>
      </x:c>
      <x:c r="K11234" s="0">
        <x:f>hyperlink("https://icd.who.int/dev11/l-ichi/en#/http%3A%2F%2Fid.who.int%2Ficd%2Fentity%2F1538754411","browser")</x:f>
      </x:c>
      <x:c r="L11234" s="0">
        <x:f>hyperlink("https://icat2.azurewebsites.net/icat/?ontology=ICD&amp;tab=ClassesTab&amp;id=http%3A%2F%2Fwho.int%2Ficd%235515_bfdc5bfd_508c_4341_981a_49384b51cdc2","iCat")</x:f>
      </x:c>
      <x:c r="M11234" s="0" t="s">
        <x:v>21</x:v>
      </x:c>
      <x:c r="N11234" s="0" t="s">
        <x:v>46</x:v>
      </x:c>
    </x:row>
    <x:row r="11235" spans="1:16">
      <x:c r="A11235" s="0" t="s">
        <x:v>44312</x:v>
      </x:c>
      <x:c r="B11235" s="0" t="s">
        <x:v>44313</x:v>
      </x:c>
      <x:c r="C11235" s="0" t="s">
        <x:v>42840</x:v>
      </x:c>
      <x:c r="E11235" s="0" t="s">
        <x:v>44314</x:v>
      </x:c>
      <x:c r="F11235" s="0" t="s">
        <x:v>45</x:v>
      </x:c>
      <x:c r="G11235" s="0" t="s">
        <x:v>35</x:v>
      </x:c>
      <x:c r="H11235" s="0" t="s">
        <x:v>20</x:v>
      </x:c>
      <x:c r="I11235" s="0" t="s">
        <x:v>21</x:v>
      </x:c>
      <x:c r="K11235" s="0">
        <x:f>hyperlink("https://icd.who.int/dev11/l-ichi/en#/http%3A%2F%2Fid.who.int%2Ficd%2Fentity%2F540095050","browser")</x:f>
      </x:c>
      <x:c r="L11235" s="0">
        <x:f>hyperlink("https://icat2.azurewebsites.net/icat/?ontology=ICD&amp;tab=ClassesTab&amp;id=http%3A%2F%2Fwho.int%2Ficd%235519_bfdc5bfd_508c_4341_981a_49384b51cdc2","iCat")</x:f>
      </x:c>
      <x:c r="M11235" s="0" t="s">
        <x:v>21</x:v>
      </x:c>
      <x:c r="N11235" s="0" t="s">
        <x:v>46</x:v>
      </x:c>
    </x:row>
    <x:row r="11236" spans="1:16">
      <x:c r="A11236" s="0" t="s">
        <x:v>44315</x:v>
      </x:c>
      <x:c r="B11236" s="0" t="s">
        <x:v>44316</x:v>
      </x:c>
      <x:c r="C11236" s="0" t="s">
        <x:v>42840</x:v>
      </x:c>
      <x:c r="E11236" s="0" t="s">
        <x:v>44317</x:v>
      </x:c>
      <x:c r="F11236" s="0" t="s">
        <x:v>45</x:v>
      </x:c>
      <x:c r="G11236" s="0" t="s">
        <x:v>35</x:v>
      </x:c>
      <x:c r="H11236" s="0" t="s">
        <x:v>20</x:v>
      </x:c>
      <x:c r="I11236" s="0" t="s">
        <x:v>21</x:v>
      </x:c>
      <x:c r="K11236" s="0">
        <x:f>hyperlink("https://icd.who.int/dev11/l-ichi/en#/http%3A%2F%2Fid.who.int%2Ficd%2Fentity%2F1266491101","browser")</x:f>
      </x:c>
      <x:c r="L11236" s="0">
        <x:f>hyperlink("https://icat2.azurewebsites.net/icat/?ontology=ICD&amp;tab=ClassesTab&amp;id=http%3A%2F%2Fwho.int%2Ficd%235523_bfdc5bfd_508c_4341_981a_49384b51cdc2","iCat")</x:f>
      </x:c>
      <x:c r="M11236" s="0" t="s">
        <x:v>21</x:v>
      </x:c>
      <x:c r="N11236" s="0" t="s">
        <x:v>46</x:v>
      </x:c>
    </x:row>
    <x:row r="11237" spans="1:16">
      <x:c r="A11237" s="0" t="s">
        <x:v>44318</x:v>
      </x:c>
      <x:c r="B11237" s="0" t="s">
        <x:v>44319</x:v>
      </x:c>
      <x:c r="C11237" s="0" t="s">
        <x:v>42840</x:v>
      </x:c>
      <x:c r="E11237" s="0" t="s">
        <x:v>44320</x:v>
      </x:c>
      <x:c r="F11237" s="0" t="s">
        <x:v>45</x:v>
      </x:c>
      <x:c r="G11237" s="0" t="s">
        <x:v>35</x:v>
      </x:c>
      <x:c r="H11237" s="0" t="s">
        <x:v>20</x:v>
      </x:c>
      <x:c r="I11237" s="0" t="s">
        <x:v>21</x:v>
      </x:c>
      <x:c r="K11237" s="0">
        <x:f>hyperlink("https://icd.who.int/dev11/l-ichi/en#/http%3A%2F%2Fid.who.int%2Ficd%2Fentity%2F2121980585","browser")</x:f>
      </x:c>
      <x:c r="L11237" s="0">
        <x:f>hyperlink("https://icat2.azurewebsites.net/icat/?ontology=ICD&amp;tab=ClassesTab&amp;id=http%3A%2F%2Fwho.int%2Ficd%235527_bfdc5bfd_508c_4341_981a_49384b51cdc2","iCat")</x:f>
      </x:c>
      <x:c r="M11237" s="0" t="s">
        <x:v>21</x:v>
      </x:c>
      <x:c r="N11237" s="0" t="s">
        <x:v>46</x:v>
      </x:c>
    </x:row>
    <x:row r="11238" spans="1:16">
      <x:c r="A11238" s="0" t="s">
        <x:v>44321</x:v>
      </x:c>
      <x:c r="B11238" s="0" t="s">
        <x:v>44322</x:v>
      </x:c>
      <x:c r="C11238" s="0" t="s">
        <x:v>42840</x:v>
      </x:c>
      <x:c r="E11238" s="0" t="s">
        <x:v>44323</x:v>
      </x:c>
      <x:c r="F11238" s="0" t="s">
        <x:v>45</x:v>
      </x:c>
      <x:c r="G11238" s="0" t="s">
        <x:v>35</x:v>
      </x:c>
      <x:c r="H11238" s="0" t="s">
        <x:v>20</x:v>
      </x:c>
      <x:c r="I11238" s="0" t="s">
        <x:v>21</x:v>
      </x:c>
      <x:c r="K11238" s="0">
        <x:f>hyperlink("https://icd.who.int/dev11/l-ichi/en#/http%3A%2F%2Fid.who.int%2Ficd%2Fentity%2F1153734223","browser")</x:f>
      </x:c>
      <x:c r="L11238" s="0">
        <x:f>hyperlink("https://icat2.azurewebsites.net/icat/?ontology=ICD&amp;tab=ClassesTab&amp;id=http%3A%2F%2Fwho.int%2Ficd%235531_bfdc5bfd_508c_4341_981a_49384b51cdc2","iCat")</x:f>
      </x:c>
      <x:c r="M11238" s="0" t="s">
        <x:v>21</x:v>
      </x:c>
      <x:c r="N11238" s="0" t="s">
        <x:v>46</x:v>
      </x:c>
    </x:row>
    <x:row r="11239" spans="1:16">
      <x:c r="A11239" s="0" t="s">
        <x:v>44324</x:v>
      </x:c>
      <x:c r="B11239" s="0" t="s">
        <x:v>44325</x:v>
      </x:c>
      <x:c r="C11239" s="0" t="s">
        <x:v>42840</x:v>
      </x:c>
      <x:c r="E11239" s="0" t="s">
        <x:v>44326</x:v>
      </x:c>
      <x:c r="F11239" s="0" t="s">
        <x:v>45</x:v>
      </x:c>
      <x:c r="G11239" s="0" t="s">
        <x:v>35</x:v>
      </x:c>
      <x:c r="H11239" s="0" t="s">
        <x:v>20</x:v>
      </x:c>
      <x:c r="I11239" s="0" t="s">
        <x:v>21</x:v>
      </x:c>
      <x:c r="K11239" s="0">
        <x:f>hyperlink("https://icd.who.int/dev11/l-ichi/en#/http%3A%2F%2Fid.who.int%2Ficd%2Fentity%2F1908625979","browser")</x:f>
      </x:c>
      <x:c r="L11239" s="0">
        <x:f>hyperlink("https://icat2.azurewebsites.net/icat/?ontology=ICD&amp;tab=ClassesTab&amp;id=http%3A%2F%2Fwho.int%2Ficd%235535_bfdc5bfd_508c_4341_981a_49384b51cdc2","iCat")</x:f>
      </x:c>
      <x:c r="M11239" s="0" t="s">
        <x:v>21</x:v>
      </x:c>
      <x:c r="N11239" s="0" t="s">
        <x:v>46</x:v>
      </x:c>
    </x:row>
    <x:row r="11240" spans="1:16">
      <x:c r="A11240" s="0" t="s">
        <x:v>44327</x:v>
      </x:c>
      <x:c r="B11240" s="0" t="s">
        <x:v>44328</x:v>
      </x:c>
      <x:c r="C11240" s="0" t="s">
        <x:v>42840</x:v>
      </x:c>
      <x:c r="E11240" s="0" t="s">
        <x:v>44329</x:v>
      </x:c>
      <x:c r="F11240" s="0" t="s">
        <x:v>45</x:v>
      </x:c>
      <x:c r="G11240" s="0" t="s">
        <x:v>35</x:v>
      </x:c>
      <x:c r="H11240" s="0" t="s">
        <x:v>20</x:v>
      </x:c>
      <x:c r="I11240" s="0" t="s">
        <x:v>21</x:v>
      </x:c>
      <x:c r="K11240" s="0">
        <x:f>hyperlink("https://icd.who.int/dev11/l-ichi/en#/http%3A%2F%2Fid.who.int%2Ficd%2Fentity%2F610884838","browser")</x:f>
      </x:c>
      <x:c r="L11240" s="0">
        <x:f>hyperlink("https://icat2.azurewebsites.net/icat/?ontology=ICD&amp;tab=ClassesTab&amp;id=http%3A%2F%2Fwho.int%2Ficd%235547_bfdc5bfd_508c_4341_981a_49384b51cdc2","iCat")</x:f>
      </x:c>
      <x:c r="M11240" s="0" t="s">
        <x:v>21</x:v>
      </x:c>
      <x:c r="N11240" s="0" t="s">
        <x:v>46</x:v>
      </x:c>
    </x:row>
    <x:row r="11241" spans="1:16">
      <x:c r="A11241" s="0" t="s">
        <x:v>44330</x:v>
      </x:c>
      <x:c r="B11241" s="0" t="s">
        <x:v>44331</x:v>
      </x:c>
      <x:c r="C11241" s="0" t="s">
        <x:v>42840</x:v>
      </x:c>
      <x:c r="E11241" s="0" t="s">
        <x:v>44332</x:v>
      </x:c>
      <x:c r="F11241" s="0" t="s">
        <x:v>45</x:v>
      </x:c>
      <x:c r="G11241" s="0" t="s">
        <x:v>35</x:v>
      </x:c>
      <x:c r="H11241" s="0" t="s">
        <x:v>20</x:v>
      </x:c>
      <x:c r="I11241" s="0" t="s">
        <x:v>21</x:v>
      </x:c>
      <x:c r="K11241" s="0">
        <x:f>hyperlink("https://icd.who.int/dev11/l-ichi/en#/http%3A%2F%2Fid.who.int%2Ficd%2Fentity%2F517410818","browser")</x:f>
      </x:c>
      <x:c r="L11241" s="0">
        <x:f>hyperlink("https://icat2.azurewebsites.net/icat/?ontology=ICD&amp;tab=ClassesTab&amp;id=http%3A%2F%2Fwho.int%2Ficd%235551_bfdc5bfd_508c_4341_981a_49384b51cdc2","iCat")</x:f>
      </x:c>
      <x:c r="M11241" s="0" t="s">
        <x:v>21</x:v>
      </x:c>
      <x:c r="N11241" s="0" t="s">
        <x:v>46</x:v>
      </x:c>
    </x:row>
    <x:row r="11242" spans="1:16">
      <x:c r="A11242" s="0" t="s">
        <x:v>44333</x:v>
      </x:c>
      <x:c r="B11242" s="0" t="s">
        <x:v>44334</x:v>
      </x:c>
      <x:c r="C11242" s="0" t="s">
        <x:v>42840</x:v>
      </x:c>
      <x:c r="E11242" s="0" t="s">
        <x:v>44335</x:v>
      </x:c>
      <x:c r="F11242" s="0" t="s">
        <x:v>45</x:v>
      </x:c>
      <x:c r="G11242" s="0" t="s">
        <x:v>35</x:v>
      </x:c>
      <x:c r="H11242" s="0" t="s">
        <x:v>20</x:v>
      </x:c>
      <x:c r="I11242" s="0" t="s">
        <x:v>21</x:v>
      </x:c>
      <x:c r="K11242" s="0">
        <x:f>hyperlink("https://icd.who.int/dev11/l-ichi/en#/http%3A%2F%2Fid.who.int%2Ficd%2Fentity%2F735106168","browser")</x:f>
      </x:c>
      <x:c r="L11242" s="0">
        <x:f>hyperlink("https://icat2.azurewebsites.net/icat/?ontology=ICD&amp;tab=ClassesTab&amp;id=http%3A%2F%2Fwho.int%2Ficd%235555_bfdc5bfd_508c_4341_981a_49384b51cdc2","iCat")</x:f>
      </x:c>
      <x:c r="M11242" s="0" t="s">
        <x:v>21</x:v>
      </x:c>
      <x:c r="N11242" s="0" t="s">
        <x:v>46</x:v>
      </x:c>
    </x:row>
    <x:row r="11243" spans="1:16">
      <x:c r="A11243" s="0" t="s">
        <x:v>44336</x:v>
      </x:c>
      <x:c r="B11243" s="0" t="s">
        <x:v>44337</x:v>
      </x:c>
      <x:c r="C11243" s="0" t="s">
        <x:v>42840</x:v>
      </x:c>
      <x:c r="E11243" s="0" t="s">
        <x:v>44338</x:v>
      </x:c>
      <x:c r="F11243" s="0" t="s">
        <x:v>45</x:v>
      </x:c>
      <x:c r="G11243" s="0" t="s">
        <x:v>35</x:v>
      </x:c>
      <x:c r="H11243" s="0" t="s">
        <x:v>20</x:v>
      </x:c>
      <x:c r="I11243" s="0" t="s">
        <x:v>21</x:v>
      </x:c>
      <x:c r="K11243" s="0">
        <x:f>hyperlink("https://icd.who.int/dev11/l-ichi/en#/http%3A%2F%2Fid.who.int%2Ficd%2Fentity%2F1347838295","browser")</x:f>
      </x:c>
      <x:c r="L11243" s="0">
        <x:f>hyperlink("https://icat2.azurewebsites.net/icat/?ontology=ICD&amp;tab=ClassesTab&amp;id=http%3A%2F%2Fwho.int%2Ficd%235559_bfdc5bfd_508c_4341_981a_49384b51cdc2","iCat")</x:f>
      </x:c>
      <x:c r="M11243" s="0" t="s">
        <x:v>21</x:v>
      </x:c>
      <x:c r="N11243" s="0" t="s">
        <x:v>46</x:v>
      </x:c>
    </x:row>
    <x:row r="11244" spans="1:16">
      <x:c r="A11244" s="0" t="s">
        <x:v>44339</x:v>
      </x:c>
      <x:c r="B11244" s="0" t="s">
        <x:v>44340</x:v>
      </x:c>
      <x:c r="C11244" s="0" t="s">
        <x:v>42840</x:v>
      </x:c>
      <x:c r="E11244" s="0" t="s">
        <x:v>44341</x:v>
      </x:c>
      <x:c r="F11244" s="0" t="s">
        <x:v>45</x:v>
      </x:c>
      <x:c r="G11244" s="0" t="s">
        <x:v>35</x:v>
      </x:c>
      <x:c r="H11244" s="0" t="s">
        <x:v>20</x:v>
      </x:c>
      <x:c r="I11244" s="0" t="s">
        <x:v>21</x:v>
      </x:c>
      <x:c r="K11244" s="0">
        <x:f>hyperlink("https://icd.who.int/dev11/l-ichi/en#/http%3A%2F%2Fid.who.int%2Ficd%2Fentity%2F991579586","browser")</x:f>
      </x:c>
      <x:c r="L11244" s="0">
        <x:f>hyperlink("https://icat2.azurewebsites.net/icat/?ontology=ICD&amp;tab=ClassesTab&amp;id=http%3A%2F%2Fwho.int%2Ficd%235563_bfdc5bfd_508c_4341_981a_49384b51cdc2","iCat")</x:f>
      </x:c>
      <x:c r="M11244" s="0" t="s">
        <x:v>21</x:v>
      </x:c>
      <x:c r="N11244" s="0" t="s">
        <x:v>46</x:v>
      </x:c>
    </x:row>
    <x:row r="11245" spans="1:16">
      <x:c r="A11245" s="0" t="s">
        <x:v>44342</x:v>
      </x:c>
      <x:c r="B11245" s="0" t="s">
        <x:v>44343</x:v>
      </x:c>
      <x:c r="C11245" s="0" t="s">
        <x:v>42840</x:v>
      </x:c>
      <x:c r="E11245" s="0" t="s">
        <x:v>44344</x:v>
      </x:c>
      <x:c r="F11245" s="0" t="s">
        <x:v>45</x:v>
      </x:c>
      <x:c r="G11245" s="0" t="s">
        <x:v>35</x:v>
      </x:c>
      <x:c r="H11245" s="0" t="s">
        <x:v>20</x:v>
      </x:c>
      <x:c r="I11245" s="0" t="s">
        <x:v>21</x:v>
      </x:c>
      <x:c r="K11245" s="0">
        <x:f>hyperlink("https://icd.who.int/dev11/l-ichi/en#/http%3A%2F%2Fid.who.int%2Ficd%2Fentity%2F807293804","browser")</x:f>
      </x:c>
      <x:c r="L11245" s="0">
        <x:f>hyperlink("https://icat2.azurewebsites.net/icat/?ontology=ICD&amp;tab=ClassesTab&amp;id=http%3A%2F%2Fwho.int%2Ficd%235568_bfdc5bfd_508c_4341_981a_49384b51cdc2","iCat")</x:f>
      </x:c>
      <x:c r="M11245" s="0" t="s">
        <x:v>21</x:v>
      </x:c>
      <x:c r="N11245" s="0" t="s">
        <x:v>46</x:v>
      </x:c>
    </x:row>
    <x:row r="11246" spans="1:16">
      <x:c r="A11246" s="0" t="s">
        <x:v>44345</x:v>
      </x:c>
      <x:c r="B11246" s="0" t="s">
        <x:v>44346</x:v>
      </x:c>
      <x:c r="C11246" s="0" t="s">
        <x:v>42840</x:v>
      </x:c>
      <x:c r="E11246" s="0" t="s">
        <x:v>44347</x:v>
      </x:c>
      <x:c r="F11246" s="0" t="s">
        <x:v>45</x:v>
      </x:c>
      <x:c r="G11246" s="0" t="s">
        <x:v>35</x:v>
      </x:c>
      <x:c r="H11246" s="0" t="s">
        <x:v>20</x:v>
      </x:c>
      <x:c r="I11246" s="0" t="s">
        <x:v>21</x:v>
      </x:c>
      <x:c r="K11246" s="0">
        <x:f>hyperlink("https://icd.who.int/dev11/l-ichi/en#/http%3A%2F%2Fid.who.int%2Ficd%2Fentity%2F1898359467","browser")</x:f>
      </x:c>
      <x:c r="L11246" s="0">
        <x:f>hyperlink("https://icat2.azurewebsites.net/icat/?ontology=ICD&amp;tab=ClassesTab&amp;id=http%3A%2F%2Fwho.int%2Ficd%235572_bfdc5bfd_508c_4341_981a_49384b51cdc2","iCat")</x:f>
      </x:c>
      <x:c r="M11246" s="0" t="s">
        <x:v>21</x:v>
      </x:c>
      <x:c r="N11246" s="0" t="s">
        <x:v>46</x:v>
      </x:c>
    </x:row>
    <x:row r="11247" spans="1:16">
      <x:c r="A11247" s="0" t="s">
        <x:v>44348</x:v>
      </x:c>
      <x:c r="B11247" s="0" t="s">
        <x:v>44349</x:v>
      </x:c>
      <x:c r="C11247" s="0" t="s">
        <x:v>42840</x:v>
      </x:c>
      <x:c r="E11247" s="0" t="s">
        <x:v>44350</x:v>
      </x:c>
      <x:c r="F11247" s="0" t="s">
        <x:v>45</x:v>
      </x:c>
      <x:c r="G11247" s="0" t="s">
        <x:v>35</x:v>
      </x:c>
      <x:c r="H11247" s="0" t="s">
        <x:v>20</x:v>
      </x:c>
      <x:c r="I11247" s="0" t="s">
        <x:v>21</x:v>
      </x:c>
      <x:c r="K11247" s="0">
        <x:f>hyperlink("https://icd.who.int/dev11/l-ichi/en#/http%3A%2F%2Fid.who.int%2Ficd%2Fentity%2F1143041759","browser")</x:f>
      </x:c>
      <x:c r="L11247" s="0">
        <x:f>hyperlink("https://icat2.azurewebsites.net/icat/?ontology=ICD&amp;tab=ClassesTab&amp;id=http%3A%2F%2Fwho.int%2Ficd%235576_bfdc5bfd_508c_4341_981a_49384b51cdc2","iCat")</x:f>
      </x:c>
      <x:c r="M11247" s="0" t="s">
        <x:v>21</x:v>
      </x:c>
      <x:c r="N11247" s="0" t="s">
        <x:v>46</x:v>
      </x:c>
    </x:row>
    <x:row r="11248" spans="1:16">
      <x:c r="A11248" s="0" t="s">
        <x:v>44351</x:v>
      </x:c>
      <x:c r="B11248" s="0" t="s">
        <x:v>44352</x:v>
      </x:c>
      <x:c r="C11248" s="0" t="s">
        <x:v>42840</x:v>
      </x:c>
      <x:c r="E11248" s="0" t="s">
        <x:v>44353</x:v>
      </x:c>
      <x:c r="F11248" s="0" t="s">
        <x:v>45</x:v>
      </x:c>
      <x:c r="G11248" s="0" t="s">
        <x:v>35</x:v>
      </x:c>
      <x:c r="H11248" s="0" t="s">
        <x:v>20</x:v>
      </x:c>
      <x:c r="I11248" s="0" t="s">
        <x:v>21</x:v>
      </x:c>
      <x:c r="K11248" s="0">
        <x:f>hyperlink("https://icd.who.int/dev11/l-ichi/en#/http%3A%2F%2Fid.who.int%2Ficd%2Fentity%2F457478030","browser")</x:f>
      </x:c>
      <x:c r="L11248" s="0">
        <x:f>hyperlink("https://icat2.azurewebsites.net/icat/?ontology=ICD&amp;tab=ClassesTab&amp;id=http%3A%2F%2Fwho.int%2Ficd%235581_bfdc5bfd_508c_4341_981a_49384b51cdc2","iCat")</x:f>
      </x:c>
      <x:c r="M11248" s="0" t="s">
        <x:v>21</x:v>
      </x:c>
      <x:c r="N11248" s="0" t="s">
        <x:v>46</x:v>
      </x:c>
    </x:row>
    <x:row r="11249" spans="1:16">
      <x:c r="A11249" s="0" t="s">
        <x:v>44354</x:v>
      </x:c>
      <x:c r="B11249" s="0" t="s">
        <x:v>44355</x:v>
      </x:c>
      <x:c r="C11249" s="0" t="s">
        <x:v>42840</x:v>
      </x:c>
      <x:c r="E11249" s="0" t="s">
        <x:v>44356</x:v>
      </x:c>
      <x:c r="F11249" s="0" t="s">
        <x:v>45</x:v>
      </x:c>
      <x:c r="G11249" s="0" t="s">
        <x:v>35</x:v>
      </x:c>
      <x:c r="H11249" s="0" t="s">
        <x:v>20</x:v>
      </x:c>
      <x:c r="I11249" s="0" t="s">
        <x:v>21</x:v>
      </x:c>
      <x:c r="K11249" s="0">
        <x:f>hyperlink("https://icd.who.int/dev11/l-ichi/en#/http%3A%2F%2Fid.who.int%2Ficd%2Fentity%2F776162296","browser")</x:f>
      </x:c>
      <x:c r="L11249" s="0">
        <x:f>hyperlink("https://icat2.azurewebsites.net/icat/?ontology=ICD&amp;tab=ClassesTab&amp;id=http%3A%2F%2Fwho.int%2Ficd%235585_bfdc5bfd_508c_4341_981a_49384b51cdc2","iCat")</x:f>
      </x:c>
      <x:c r="M11249" s="0" t="s">
        <x:v>21</x:v>
      </x:c>
      <x:c r="N11249" s="0" t="s">
        <x:v>46</x:v>
      </x:c>
    </x:row>
    <x:row r="11250" spans="1:16">
      <x:c r="A11250" s="0" t="s">
        <x:v>44357</x:v>
      </x:c>
      <x:c r="B11250" s="0" t="s">
        <x:v>44358</x:v>
      </x:c>
      <x:c r="C11250" s="0" t="s">
        <x:v>42840</x:v>
      </x:c>
      <x:c r="E11250" s="0" t="s">
        <x:v>44359</x:v>
      </x:c>
      <x:c r="F11250" s="0" t="s">
        <x:v>45</x:v>
      </x:c>
      <x:c r="G11250" s="0" t="s">
        <x:v>35</x:v>
      </x:c>
      <x:c r="H11250" s="0" t="s">
        <x:v>20</x:v>
      </x:c>
      <x:c r="I11250" s="0" t="s">
        <x:v>21</x:v>
      </x:c>
      <x:c r="K11250" s="0">
        <x:f>hyperlink("https://icd.who.int/dev11/l-ichi/en#/http%3A%2F%2Fid.who.int%2Ficd%2Fentity%2F1439039193","browser")</x:f>
      </x:c>
      <x:c r="L11250" s="0">
        <x:f>hyperlink("https://icat2.azurewebsites.net/icat/?ontology=ICD&amp;tab=ClassesTab&amp;id=http%3A%2F%2Fwho.int%2Ficd%235589_bfdc5bfd_508c_4341_981a_49384b51cdc2","iCat")</x:f>
      </x:c>
      <x:c r="M11250" s="0" t="s">
        <x:v>21</x:v>
      </x:c>
      <x:c r="N11250" s="0" t="s">
        <x:v>46</x:v>
      </x:c>
    </x:row>
    <x:row r="11251" spans="1:16">
      <x:c r="A11251" s="0" t="s">
        <x:v>44360</x:v>
      </x:c>
      <x:c r="B11251" s="0" t="s">
        <x:v>44361</x:v>
      </x:c>
      <x:c r="C11251" s="0" t="s">
        <x:v>42840</x:v>
      </x:c>
      <x:c r="E11251" s="0" t="s">
        <x:v>44362</x:v>
      </x:c>
      <x:c r="F11251" s="0" t="s">
        <x:v>45</x:v>
      </x:c>
      <x:c r="G11251" s="0" t="s">
        <x:v>35</x:v>
      </x:c>
      <x:c r="H11251" s="0" t="s">
        <x:v>20</x:v>
      </x:c>
      <x:c r="I11251" s="0" t="s">
        <x:v>21</x:v>
      </x:c>
      <x:c r="K11251" s="0">
        <x:f>hyperlink("https://icd.who.int/dev11/l-ichi/en#/http%3A%2F%2Fid.who.int%2Ficd%2Fentity%2F352126752","browser")</x:f>
      </x:c>
      <x:c r="L11251" s="0">
        <x:f>hyperlink("https://icat2.azurewebsites.net/icat/?ontology=ICD&amp;tab=ClassesTab&amp;id=http%3A%2F%2Fwho.int%2Ficd%235593_bfdc5bfd_508c_4341_981a_49384b51cdc2","iCat")</x:f>
      </x:c>
      <x:c r="M11251" s="0" t="s">
        <x:v>21</x:v>
      </x:c>
      <x:c r="N11251" s="0" t="s">
        <x:v>46</x:v>
      </x:c>
    </x:row>
    <x:row r="11252" spans="1:16">
      <x:c r="A11252" s="0" t="s">
        <x:v>44363</x:v>
      </x:c>
      <x:c r="B11252" s="0" t="s">
        <x:v>44364</x:v>
      </x:c>
      <x:c r="C11252" s="0" t="s">
        <x:v>42840</x:v>
      </x:c>
      <x:c r="E11252" s="0" t="s">
        <x:v>44365</x:v>
      </x:c>
      <x:c r="F11252" s="0" t="s">
        <x:v>45</x:v>
      </x:c>
      <x:c r="G11252" s="0" t="s">
        <x:v>35</x:v>
      </x:c>
      <x:c r="H11252" s="0" t="s">
        <x:v>20</x:v>
      </x:c>
      <x:c r="I11252" s="0" t="s">
        <x:v>21</x:v>
      </x:c>
      <x:c r="K11252" s="0">
        <x:f>hyperlink("https://icd.who.int/dev11/l-ichi/en#/http%3A%2F%2Fid.who.int%2Ficd%2Fentity%2F570082154","browser")</x:f>
      </x:c>
      <x:c r="L11252" s="0">
        <x:f>hyperlink("https://icat2.azurewebsites.net/icat/?ontology=ICD&amp;tab=ClassesTab&amp;id=http%3A%2F%2Fwho.int%2Ficd%235597_bfdc5bfd_508c_4341_981a_49384b51cdc2","iCat")</x:f>
      </x:c>
      <x:c r="M11252" s="0" t="s">
        <x:v>21</x:v>
      </x:c>
      <x:c r="N11252" s="0" t="s">
        <x:v>46</x:v>
      </x:c>
    </x:row>
    <x:row r="11253" spans="1:16">
      <x:c r="A11253" s="0" t="s">
        <x:v>44366</x:v>
      </x:c>
      <x:c r="B11253" s="0" t="s">
        <x:v>44367</x:v>
      </x:c>
      <x:c r="C11253" s="0" t="s">
        <x:v>42840</x:v>
      </x:c>
      <x:c r="E11253" s="0" t="s">
        <x:v>44368</x:v>
      </x:c>
      <x:c r="F11253" s="0" t="s">
        <x:v>45</x:v>
      </x:c>
      <x:c r="G11253" s="0" t="s">
        <x:v>35</x:v>
      </x:c>
      <x:c r="H11253" s="0" t="s">
        <x:v>20</x:v>
      </x:c>
      <x:c r="I11253" s="0" t="s">
        <x:v>21</x:v>
      </x:c>
      <x:c r="K11253" s="0">
        <x:f>hyperlink("https://icd.who.int/dev11/l-ichi/en#/http%3A%2F%2Fid.who.int%2Ficd%2Fentity%2F1697276433","browser")</x:f>
      </x:c>
      <x:c r="L11253" s="0">
        <x:f>hyperlink("https://icat2.azurewebsites.net/icat/?ontology=ICD&amp;tab=ClassesTab&amp;id=http%3A%2F%2Fwho.int%2Ficd%235601_bfdc5bfd_508c_4341_981a_49384b51cdc2","iCat")</x:f>
      </x:c>
      <x:c r="M11253" s="0" t="s">
        <x:v>21</x:v>
      </x:c>
      <x:c r="N11253" s="0" t="s">
        <x:v>46</x:v>
      </x:c>
    </x:row>
    <x:row r="11254" spans="1:16">
      <x:c r="A11254" s="0" t="s">
        <x:v>44369</x:v>
      </x:c>
      <x:c r="B11254" s="0" t="s">
        <x:v>44370</x:v>
      </x:c>
      <x:c r="C11254" s="0" t="s">
        <x:v>42840</x:v>
      </x:c>
      <x:c r="E11254" s="0" t="s">
        <x:v>44371</x:v>
      </x:c>
      <x:c r="F11254" s="0" t="s">
        <x:v>45</x:v>
      </x:c>
      <x:c r="G11254" s="0" t="s">
        <x:v>35</x:v>
      </x:c>
      <x:c r="H11254" s="0" t="s">
        <x:v>20</x:v>
      </x:c>
      <x:c r="I11254" s="0" t="s">
        <x:v>21</x:v>
      </x:c>
      <x:c r="K11254" s="0">
        <x:f>hyperlink("https://icd.who.int/dev11/l-ichi/en#/http%3A%2F%2Fid.who.int%2Ficd%2Fentity%2F363383198","browser")</x:f>
      </x:c>
      <x:c r="L11254" s="0">
        <x:f>hyperlink("https://icat2.azurewebsites.net/icat/?ontology=ICD&amp;tab=ClassesTab&amp;id=http%3A%2F%2Fwho.int%2Ficd%235606_bfdc5bfd_508c_4341_981a_49384b51cdc2","iCat")</x:f>
      </x:c>
      <x:c r="M11254" s="0" t="s">
        <x:v>21</x:v>
      </x:c>
      <x:c r="N11254" s="0" t="s">
        <x:v>46</x:v>
      </x:c>
    </x:row>
    <x:row r="11255" spans="1:16">
      <x:c r="A11255" s="0" t="s">
        <x:v>44372</x:v>
      </x:c>
      <x:c r="B11255" s="0" t="s">
        <x:v>44373</x:v>
      </x:c>
      <x:c r="C11255" s="0" t="s">
        <x:v>42840</x:v>
      </x:c>
      <x:c r="E11255" s="0" t="s">
        <x:v>44374</x:v>
      </x:c>
      <x:c r="F11255" s="0" t="s">
        <x:v>45</x:v>
      </x:c>
      <x:c r="G11255" s="0" t="s">
        <x:v>35</x:v>
      </x:c>
      <x:c r="H11255" s="0" t="s">
        <x:v>20</x:v>
      </x:c>
      <x:c r="I11255" s="0" t="s">
        <x:v>21</x:v>
      </x:c>
      <x:c r="K11255" s="0">
        <x:f>hyperlink("https://icd.who.int/dev11/l-ichi/en#/http%3A%2F%2Fid.who.int%2Ficd%2Fentity%2F790005114","browser")</x:f>
      </x:c>
      <x:c r="L11255" s="0">
        <x:f>hyperlink("https://icat2.azurewebsites.net/icat/?ontology=ICD&amp;tab=ClassesTab&amp;id=http%3A%2F%2Fwho.int%2Ficd%235610_bfdc5bfd_508c_4341_981a_49384b51cdc2","iCat")</x:f>
      </x:c>
      <x:c r="M11255" s="0" t="s">
        <x:v>21</x:v>
      </x:c>
      <x:c r="N11255" s="0" t="s">
        <x:v>46</x:v>
      </x:c>
    </x:row>
    <x:row r="11256" spans="1:16">
      <x:c r="A11256" s="0" t="s">
        <x:v>44375</x:v>
      </x:c>
      <x:c r="B11256" s="0" t="s">
        <x:v>44376</x:v>
      </x:c>
      <x:c r="C11256" s="0" t="s">
        <x:v>42840</x:v>
      </x:c>
      <x:c r="E11256" s="0" t="s">
        <x:v>44377</x:v>
      </x:c>
      <x:c r="F11256" s="0" t="s">
        <x:v>45</x:v>
      </x:c>
      <x:c r="G11256" s="0" t="s">
        <x:v>35</x:v>
      </x:c>
      <x:c r="H11256" s="0" t="s">
        <x:v>20</x:v>
      </x:c>
      <x:c r="I11256" s="0" t="s">
        <x:v>21</x:v>
      </x:c>
      <x:c r="K11256" s="0">
        <x:f>hyperlink("https://icd.who.int/dev11/l-ichi/en#/http%3A%2F%2Fid.who.int%2Ficd%2Fentity%2F437338384","browser")</x:f>
      </x:c>
      <x:c r="L11256" s="0">
        <x:f>hyperlink("https://icat2.azurewebsites.net/icat/?ontology=ICD&amp;tab=ClassesTab&amp;id=http%3A%2F%2Fwho.int%2Ficd%235614_bfdc5bfd_508c_4341_981a_49384b51cdc2","iCat")</x:f>
      </x:c>
      <x:c r="M11256" s="0" t="s">
        <x:v>21</x:v>
      </x:c>
      <x:c r="N11256" s="0" t="s">
        <x:v>46</x:v>
      </x:c>
    </x:row>
    <x:row r="11257" spans="1:16">
      <x:c r="A11257" s="0" t="s">
        <x:v>44378</x:v>
      </x:c>
      <x:c r="B11257" s="0" t="s">
        <x:v>44379</x:v>
      </x:c>
      <x:c r="C11257" s="0" t="s">
        <x:v>42840</x:v>
      </x:c>
      <x:c r="E11257" s="0" t="s">
        <x:v>44380</x:v>
      </x:c>
      <x:c r="F11257" s="0" t="s">
        <x:v>45</x:v>
      </x:c>
      <x:c r="G11257" s="0" t="s">
        <x:v>35</x:v>
      </x:c>
      <x:c r="H11257" s="0" t="s">
        <x:v>20</x:v>
      </x:c>
      <x:c r="I11257" s="0" t="s">
        <x:v>21</x:v>
      </x:c>
      <x:c r="K11257" s="0">
        <x:f>hyperlink("https://icd.who.int/dev11/l-ichi/en#/http%3A%2F%2Fid.who.int%2Ficd%2Fentity%2F1637348399","browser")</x:f>
      </x:c>
      <x:c r="L11257" s="0">
        <x:f>hyperlink("https://icat2.azurewebsites.net/icat/?ontology=ICD&amp;tab=ClassesTab&amp;id=http%3A%2F%2Fwho.int%2Ficd%235618_bfdc5bfd_508c_4341_981a_49384b51cdc2","iCat")</x:f>
      </x:c>
      <x:c r="M11257" s="0" t="s">
        <x:v>21</x:v>
      </x:c>
      <x:c r="N11257" s="0" t="s">
        <x:v>46</x:v>
      </x:c>
    </x:row>
    <x:row r="11258" spans="1:16">
      <x:c r="A11258" s="0" t="s">
        <x:v>44381</x:v>
      </x:c>
      <x:c r="B11258" s="0" t="s">
        <x:v>44382</x:v>
      </x:c>
      <x:c r="C11258" s="0" t="s">
        <x:v>42840</x:v>
      </x:c>
      <x:c r="E11258" s="0" t="s">
        <x:v>44383</x:v>
      </x:c>
      <x:c r="F11258" s="0" t="s">
        <x:v>45</x:v>
      </x:c>
      <x:c r="G11258" s="0" t="s">
        <x:v>35</x:v>
      </x:c>
      <x:c r="H11258" s="0" t="s">
        <x:v>20</x:v>
      </x:c>
      <x:c r="I11258" s="0" t="s">
        <x:v>21</x:v>
      </x:c>
      <x:c r="K11258" s="0">
        <x:f>hyperlink("https://icd.who.int/dev11/l-ichi/en#/http%3A%2F%2Fid.who.int%2Ficd%2Fentity%2F182180026","browser")</x:f>
      </x:c>
      <x:c r="L11258" s="0">
        <x:f>hyperlink("https://icat2.azurewebsites.net/icat/?ontology=ICD&amp;tab=ClassesTab&amp;id=http%3A%2F%2Fwho.int%2Ficd%235622_bfdc5bfd_508c_4341_981a_49384b51cdc2","iCat")</x:f>
      </x:c>
      <x:c r="M11258" s="0" t="s">
        <x:v>21</x:v>
      </x:c>
      <x:c r="N11258" s="0" t="s">
        <x:v>46</x:v>
      </x:c>
    </x:row>
    <x:row r="11259" spans="1:16">
      <x:c r="A11259" s="0" t="s">
        <x:v>44384</x:v>
      </x:c>
      <x:c r="B11259" s="0" t="s">
        <x:v>44385</x:v>
      </x:c>
      <x:c r="C11259" s="0" t="s">
        <x:v>42840</x:v>
      </x:c>
      <x:c r="E11259" s="0" t="s">
        <x:v>44386</x:v>
      </x:c>
      <x:c r="F11259" s="0" t="s">
        <x:v>45</x:v>
      </x:c>
      <x:c r="G11259" s="0" t="s">
        <x:v>35</x:v>
      </x:c>
      <x:c r="H11259" s="0" t="s">
        <x:v>20</x:v>
      </x:c>
      <x:c r="I11259" s="0" t="s">
        <x:v>21</x:v>
      </x:c>
      <x:c r="K11259" s="0">
        <x:f>hyperlink("https://icd.who.int/dev11/l-ichi/en#/http%3A%2F%2Fid.who.int%2Ficd%2Fentity%2F1071389900","browser")</x:f>
      </x:c>
      <x:c r="L11259" s="0">
        <x:f>hyperlink("https://icat2.azurewebsites.net/icat/?ontology=ICD&amp;tab=ClassesTab&amp;id=http%3A%2F%2Fwho.int%2Ficd%235626_bfdc5bfd_508c_4341_981a_49384b51cdc2","iCat")</x:f>
      </x:c>
      <x:c r="M11259" s="0" t="s">
        <x:v>21</x:v>
      </x:c>
      <x:c r="N11259" s="0" t="s">
        <x:v>46</x:v>
      </x:c>
    </x:row>
    <x:row r="11260" spans="1:16">
      <x:c r="A11260" s="0" t="s">
        <x:v>44387</x:v>
      </x:c>
      <x:c r="B11260" s="0" t="s">
        <x:v>44388</x:v>
      </x:c>
      <x:c r="C11260" s="0" t="s">
        <x:v>42840</x:v>
      </x:c>
      <x:c r="E11260" s="0" t="s">
        <x:v>44389</x:v>
      </x:c>
      <x:c r="F11260" s="0" t="s">
        <x:v>45</x:v>
      </x:c>
      <x:c r="G11260" s="0" t="s">
        <x:v>35</x:v>
      </x:c>
      <x:c r="H11260" s="0" t="s">
        <x:v>20</x:v>
      </x:c>
      <x:c r="I11260" s="0" t="s">
        <x:v>21</x:v>
      </x:c>
      <x:c r="K11260" s="0">
        <x:f>hyperlink("https://icd.who.int/dev11/l-ichi/en#/http%3A%2F%2Fid.who.int%2Ficd%2Fentity%2F1088896979","browser")</x:f>
      </x:c>
      <x:c r="L11260" s="0">
        <x:f>hyperlink("https://icat2.azurewebsites.net/icat/?ontology=ICD&amp;tab=ClassesTab&amp;id=http%3A%2F%2Fwho.int%2Ficd%235633_bfdc5bfd_508c_4341_981a_49384b51cdc2","iCat")</x:f>
      </x:c>
      <x:c r="M11260" s="0" t="s">
        <x:v>21</x:v>
      </x:c>
      <x:c r="N11260" s="0" t="s">
        <x:v>46</x:v>
      </x:c>
    </x:row>
    <x:row r="11261" spans="1:16">
      <x:c r="A11261" s="0" t="s">
        <x:v>44390</x:v>
      </x:c>
      <x:c r="B11261" s="0" t="s">
        <x:v>44391</x:v>
      </x:c>
      <x:c r="C11261" s="0" t="s">
        <x:v>42840</x:v>
      </x:c>
      <x:c r="E11261" s="0" t="s">
        <x:v>44392</x:v>
      </x:c>
      <x:c r="F11261" s="0" t="s">
        <x:v>45</x:v>
      </x:c>
      <x:c r="G11261" s="0" t="s">
        <x:v>35</x:v>
      </x:c>
      <x:c r="H11261" s="0" t="s">
        <x:v>20</x:v>
      </x:c>
      <x:c r="I11261" s="0" t="s">
        <x:v>21</x:v>
      </x:c>
      <x:c r="K11261" s="0">
        <x:f>hyperlink("https://icd.who.int/dev11/l-ichi/en#/http%3A%2F%2Fid.who.int%2Ficd%2Fentity%2F1273176447","browser")</x:f>
      </x:c>
      <x:c r="L11261" s="0">
        <x:f>hyperlink("https://icat2.azurewebsites.net/icat/?ontology=ICD&amp;tab=ClassesTab&amp;id=http%3A%2F%2Fwho.int%2Ficd%235638_bfdc5bfd_508c_4341_981a_49384b51cdc2","iCat")</x:f>
      </x:c>
      <x:c r="M11261" s="0" t="s">
        <x:v>21</x:v>
      </x:c>
      <x:c r="N11261" s="0" t="s">
        <x:v>46</x:v>
      </x:c>
    </x:row>
    <x:row r="11262" spans="1:16">
      <x:c r="A11262" s="0" t="s">
        <x:v>44393</x:v>
      </x:c>
      <x:c r="B11262" s="0" t="s">
        <x:v>44394</x:v>
      </x:c>
      <x:c r="C11262" s="0" t="s">
        <x:v>42840</x:v>
      </x:c>
      <x:c r="E11262" s="0" t="s">
        <x:v>44395</x:v>
      </x:c>
      <x:c r="F11262" s="0" t="s">
        <x:v>45</x:v>
      </x:c>
      <x:c r="G11262" s="0" t="s">
        <x:v>35</x:v>
      </x:c>
      <x:c r="H11262" s="0" t="s">
        <x:v>20</x:v>
      </x:c>
      <x:c r="I11262" s="0" t="s">
        <x:v>21</x:v>
      </x:c>
      <x:c r="K11262" s="0">
        <x:f>hyperlink("https://icd.who.int/dev11/l-ichi/en#/http%3A%2F%2Fid.who.int%2Ficd%2Fentity%2F541783416","browser")</x:f>
      </x:c>
      <x:c r="L11262" s="0">
        <x:f>hyperlink("https://icat2.azurewebsites.net/icat/?ontology=ICD&amp;tab=ClassesTab&amp;id=http%3A%2F%2Fwho.int%2Ficd%235645_bfdc5bfd_508c_4341_981a_49384b51cdc2","iCat")</x:f>
      </x:c>
      <x:c r="M11262" s="0" t="s">
        <x:v>21</x:v>
      </x:c>
      <x:c r="N11262" s="0" t="s">
        <x:v>46</x:v>
      </x:c>
    </x:row>
    <x:row r="11263" spans="1:16">
      <x:c r="A11263" s="0" t="s">
        <x:v>44396</x:v>
      </x:c>
      <x:c r="B11263" s="0" t="s">
        <x:v>44397</x:v>
      </x:c>
      <x:c r="C11263" s="0" t="s">
        <x:v>42840</x:v>
      </x:c>
      <x:c r="E11263" s="0" t="s">
        <x:v>44398</x:v>
      </x:c>
      <x:c r="F11263" s="0" t="s">
        <x:v>45</x:v>
      </x:c>
      <x:c r="G11263" s="0" t="s">
        <x:v>35</x:v>
      </x:c>
      <x:c r="H11263" s="0" t="s">
        <x:v>20</x:v>
      </x:c>
      <x:c r="I11263" s="0" t="s">
        <x:v>21</x:v>
      </x:c>
      <x:c r="K11263" s="0">
        <x:f>hyperlink("https://icd.who.int/dev11/l-ichi/en#/http%3A%2F%2Fid.who.int%2Ficd%2Fentity%2F1540112473","browser")</x:f>
      </x:c>
      <x:c r="L11263" s="0">
        <x:f>hyperlink("https://icat2.azurewebsites.net/icat/?ontology=ICD&amp;tab=ClassesTab&amp;id=http%3A%2F%2Fwho.int%2Ficd%235649_bfdc5bfd_508c_4341_981a_49384b51cdc2","iCat")</x:f>
      </x:c>
      <x:c r="M11263" s="0" t="s">
        <x:v>21</x:v>
      </x:c>
      <x:c r="N11263" s="0" t="s">
        <x:v>46</x:v>
      </x:c>
    </x:row>
    <x:row r="11264" spans="1:16">
      <x:c r="A11264" s="0" t="s">
        <x:v>44399</x:v>
      </x:c>
      <x:c r="B11264" s="0" t="s">
        <x:v>44400</x:v>
      </x:c>
      <x:c r="C11264" s="0" t="s">
        <x:v>42840</x:v>
      </x:c>
      <x:c r="E11264" s="0" t="s">
        <x:v>44401</x:v>
      </x:c>
      <x:c r="F11264" s="0" t="s">
        <x:v>45</x:v>
      </x:c>
      <x:c r="G11264" s="0" t="s">
        <x:v>35</x:v>
      </x:c>
      <x:c r="H11264" s="0" t="s">
        <x:v>20</x:v>
      </x:c>
      <x:c r="I11264" s="0" t="s">
        <x:v>21</x:v>
      </x:c>
      <x:c r="K11264" s="0">
        <x:f>hyperlink("https://icd.who.int/dev11/l-ichi/en#/http%3A%2F%2Fid.who.int%2Ficd%2Fentity%2F452245920","browser")</x:f>
      </x:c>
      <x:c r="L11264" s="0">
        <x:f>hyperlink("https://icat2.azurewebsites.net/icat/?ontology=ICD&amp;tab=ClassesTab&amp;id=http%3A%2F%2Fwho.int%2Ficd%235653_bfdc5bfd_508c_4341_981a_49384b51cdc2","iCat")</x:f>
      </x:c>
      <x:c r="M11264" s="0" t="s">
        <x:v>21</x:v>
      </x:c>
      <x:c r="N11264" s="0" t="s">
        <x:v>46</x:v>
      </x:c>
    </x:row>
    <x:row r="11265" spans="1:16">
      <x:c r="A11265" s="0" t="s">
        <x:v>44402</x:v>
      </x:c>
      <x:c r="B11265" s="0" t="s">
        <x:v>44403</x:v>
      </x:c>
      <x:c r="C11265" s="0" t="s">
        <x:v>42840</x:v>
      </x:c>
      <x:c r="E11265" s="0" t="s">
        <x:v>44404</x:v>
      </x:c>
      <x:c r="F11265" s="0" t="s">
        <x:v>45</x:v>
      </x:c>
      <x:c r="G11265" s="0" t="s">
        <x:v>35</x:v>
      </x:c>
      <x:c r="H11265" s="0" t="s">
        <x:v>20</x:v>
      </x:c>
      <x:c r="I11265" s="0" t="s">
        <x:v>21</x:v>
      </x:c>
      <x:c r="K11265" s="0">
        <x:f>hyperlink("https://icd.who.int/dev11/l-ichi/en#/http%3A%2F%2Fid.who.int%2Ficd%2Fentity%2F804486634","browser")</x:f>
      </x:c>
      <x:c r="L11265" s="0">
        <x:f>hyperlink("https://icat2.azurewebsites.net/icat/?ontology=ICD&amp;tab=ClassesTab&amp;id=http%3A%2F%2Fwho.int%2Ficd%235657_bfdc5bfd_508c_4341_981a_49384b51cdc2","iCat")</x:f>
      </x:c>
      <x:c r="M11265" s="0" t="s">
        <x:v>21</x:v>
      </x:c>
      <x:c r="N11265" s="0" t="s">
        <x:v>46</x:v>
      </x:c>
    </x:row>
    <x:row r="11266" spans="1:16">
      <x:c r="A11266" s="0" t="s">
        <x:v>44405</x:v>
      </x:c>
      <x:c r="B11266" s="0" t="s">
        <x:v>44406</x:v>
      </x:c>
      <x:c r="C11266" s="0" t="s">
        <x:v>42840</x:v>
      </x:c>
      <x:c r="E11266" s="0" t="s">
        <x:v>44407</x:v>
      </x:c>
      <x:c r="F11266" s="0" t="s">
        <x:v>45</x:v>
      </x:c>
      <x:c r="G11266" s="0" t="s">
        <x:v>35</x:v>
      </x:c>
      <x:c r="H11266" s="0" t="s">
        <x:v>20</x:v>
      </x:c>
      <x:c r="I11266" s="0" t="s">
        <x:v>21</x:v>
      </x:c>
      <x:c r="K11266" s="0">
        <x:f>hyperlink("https://icd.who.int/dev11/l-ichi/en#/http%3A%2F%2Fid.who.int%2Ficd%2Fentity%2F1060758620","browser")</x:f>
      </x:c>
      <x:c r="L11266" s="0">
        <x:f>hyperlink("https://icat2.azurewebsites.net/icat/?ontology=ICD&amp;tab=ClassesTab&amp;id=http%3A%2F%2Fwho.int%2Ficd%235661_bfdc5bfd_508c_4341_981a_49384b51cdc2","iCat")</x:f>
      </x:c>
      <x:c r="M11266" s="0" t="s">
        <x:v>21</x:v>
      </x:c>
      <x:c r="N11266" s="0" t="s">
        <x:v>46</x:v>
      </x:c>
    </x:row>
    <x:row r="11267" spans="1:16">
      <x:c r="A11267" s="0" t="s">
        <x:v>44408</x:v>
      </x:c>
      <x:c r="B11267" s="0" t="s">
        <x:v>44409</x:v>
      </x:c>
      <x:c r="C11267" s="0" t="s">
        <x:v>42840</x:v>
      </x:c>
      <x:c r="E11267" s="0" t="s">
        <x:v>44410</x:v>
      </x:c>
      <x:c r="F11267" s="0" t="s">
        <x:v>45</x:v>
      </x:c>
      <x:c r="G11267" s="0" t="s">
        <x:v>35</x:v>
      </x:c>
      <x:c r="H11267" s="0" t="s">
        <x:v>20</x:v>
      </x:c>
      <x:c r="I11267" s="0" t="s">
        <x:v>21</x:v>
      </x:c>
      <x:c r="K11267" s="0">
        <x:f>hyperlink("https://icd.who.int/dev11/l-ichi/en#/http%3A%2F%2Fid.who.int%2Ficd%2Fentity%2F171843626","browser")</x:f>
      </x:c>
      <x:c r="L11267" s="0">
        <x:f>hyperlink("https://icat2.azurewebsites.net/icat/?ontology=ICD&amp;tab=ClassesTab&amp;id=http%3A%2F%2Fwho.int%2Ficd%235665_bfdc5bfd_508c_4341_981a_49384b51cdc2","iCat")</x:f>
      </x:c>
      <x:c r="M11267" s="0" t="s">
        <x:v>21</x:v>
      </x:c>
      <x:c r="N11267" s="0" t="s">
        <x:v>46</x:v>
      </x:c>
    </x:row>
    <x:row r="11268" spans="1:16">
      <x:c r="A11268" s="0" t="s">
        <x:v>44411</x:v>
      </x:c>
      <x:c r="B11268" s="0" t="s">
        <x:v>44412</x:v>
      </x:c>
      <x:c r="C11268" s="0" t="s">
        <x:v>42840</x:v>
      </x:c>
      <x:c r="E11268" s="0" t="s">
        <x:v>44413</x:v>
      </x:c>
      <x:c r="F11268" s="0" t="s">
        <x:v>45</x:v>
      </x:c>
      <x:c r="G11268" s="0" t="s">
        <x:v>30</x:v>
      </x:c>
      <x:c r="H11268" s="0" t="s">
        <x:v>20</x:v>
      </x:c>
      <x:c r="I11268" s="0" t="s">
        <x:v>21</x:v>
      </x:c>
      <x:c r="K11268" s="0">
        <x:f>hyperlink("https://icd.who.int/dev11/l-ichi/en#/http%3A%2F%2Fid.who.int%2Ficd%2Fentity%2F1963262775","browser")</x:f>
      </x:c>
      <x:c r="L11268" s="0">
        <x:f>hyperlink("https://icat2.azurewebsites.net/icat/?ontology=ICD&amp;tab=ClassesTab&amp;id=http%3A%2F%2Fwho.int%2Ficd%235670_bfdc5bfd_508c_4341_981a_49384b51cdc2","iCat")</x:f>
      </x:c>
      <x:c r="M11268" s="0" t="s">
        <x:v>20</x:v>
      </x:c>
      <x:c r="N11268" s="0" t="s">
        <x:v>1079</x:v>
      </x:c>
    </x:row>
    <x:row r="11269" spans="1:16">
      <x:c r="A11269" s="0" t="s">
        <x:v>44414</x:v>
      </x:c>
      <x:c r="B11269" s="0" t="s">
        <x:v>44415</x:v>
      </x:c>
      <x:c r="C11269" s="0" t="s">
        <x:v>42840</x:v>
      </x:c>
      <x:c r="E11269" s="0" t="s">
        <x:v>44416</x:v>
      </x:c>
      <x:c r="F11269" s="0" t="s">
        <x:v>45</x:v>
      </x:c>
      <x:c r="G11269" s="0" t="s">
        <x:v>35</x:v>
      </x:c>
      <x:c r="H11269" s="0" t="s">
        <x:v>20</x:v>
      </x:c>
      <x:c r="I11269" s="0" t="s">
        <x:v>21</x:v>
      </x:c>
      <x:c r="K11269" s="0">
        <x:f>hyperlink("https://icd.who.int/dev11/l-ichi/en#/http%3A%2F%2Fid.who.int%2Ficd%2Fentity%2F1073923907","browser")</x:f>
      </x:c>
      <x:c r="L11269" s="0">
        <x:f>hyperlink("https://icat2.azurewebsites.net/icat/?ontology=ICD&amp;tab=ClassesTab&amp;id=http%3A%2F%2Fwho.int%2Ficd%235674_bfdc5bfd_508c_4341_981a_49384b51cdc2","iCat")</x:f>
      </x:c>
      <x:c r="M11269" s="0" t="s">
        <x:v>21</x:v>
      </x:c>
      <x:c r="N11269" s="0" t="s">
        <x:v>46</x:v>
      </x:c>
    </x:row>
    <x:row r="11270" spans="1:16">
      <x:c r="A11270" s="0" t="s">
        <x:v>44417</x:v>
      </x:c>
      <x:c r="B11270" s="0" t="s">
        <x:v>44418</x:v>
      </x:c>
      <x:c r="C11270" s="0" t="s">
        <x:v>42840</x:v>
      </x:c>
      <x:c r="E11270" s="0" t="s">
        <x:v>44419</x:v>
      </x:c>
      <x:c r="F11270" s="0" t="s">
        <x:v>45</x:v>
      </x:c>
      <x:c r="G11270" s="0" t="s">
        <x:v>35</x:v>
      </x:c>
      <x:c r="H11270" s="0" t="s">
        <x:v>20</x:v>
      </x:c>
      <x:c r="I11270" s="0" t="s">
        <x:v>21</x:v>
      </x:c>
      <x:c r="K11270" s="0">
        <x:f>hyperlink("https://icd.who.int/dev11/l-ichi/en#/http%3A%2F%2Fid.who.int%2Ficd%2Fentity%2F998535780","browser")</x:f>
      </x:c>
      <x:c r="L11270" s="0">
        <x:f>hyperlink("https://icat2.azurewebsites.net/icat/?ontology=ICD&amp;tab=ClassesTab&amp;id=http%3A%2F%2Fwho.int%2Ficd%235678_bfdc5bfd_508c_4341_981a_49384b51cdc2","iCat")</x:f>
      </x:c>
      <x:c r="M11270" s="0" t="s">
        <x:v>21</x:v>
      </x:c>
      <x:c r="N11270" s="0" t="s">
        <x:v>46</x:v>
      </x:c>
    </x:row>
    <x:row r="11271" spans="1:16">
      <x:c r="A11271" s="0" t="s">
        <x:v>44420</x:v>
      </x:c>
      <x:c r="B11271" s="0" t="s">
        <x:v>44421</x:v>
      </x:c>
      <x:c r="C11271" s="0" t="s">
        <x:v>42840</x:v>
      </x:c>
      <x:c r="E11271" s="0" t="s">
        <x:v>44422</x:v>
      </x:c>
      <x:c r="F11271" s="0" t="s">
        <x:v>45</x:v>
      </x:c>
      <x:c r="G11271" s="0" t="s">
        <x:v>35</x:v>
      </x:c>
      <x:c r="H11271" s="0" t="s">
        <x:v>20</x:v>
      </x:c>
      <x:c r="I11271" s="0" t="s">
        <x:v>21</x:v>
      </x:c>
      <x:c r="K11271" s="0">
        <x:f>hyperlink("https://icd.who.int/dev11/l-ichi/en#/http%3A%2F%2Fid.who.int%2Ficd%2Fentity%2F1877314973","browser")</x:f>
      </x:c>
      <x:c r="L11271" s="0">
        <x:f>hyperlink("https://icat2.azurewebsites.net/icat/?ontology=ICD&amp;tab=ClassesTab&amp;id=http%3A%2F%2Fwho.int%2Ficd%235684_bfdc5bfd_508c_4341_981a_49384b51cdc2","iCat")</x:f>
      </x:c>
      <x:c r="M11271" s="0" t="s">
        <x:v>21</x:v>
      </x:c>
      <x:c r="N11271" s="0" t="s">
        <x:v>46</x:v>
      </x:c>
    </x:row>
    <x:row r="11272" spans="1:16">
      <x:c r="A11272" s="0" t="s">
        <x:v>44423</x:v>
      </x:c>
      <x:c r="B11272" s="0" t="s">
        <x:v>44424</x:v>
      </x:c>
      <x:c r="C11272" s="0" t="s">
        <x:v>42840</x:v>
      </x:c>
      <x:c r="E11272" s="0" t="s">
        <x:v>44425</x:v>
      </x:c>
      <x:c r="F11272" s="0" t="s">
        <x:v>45</x:v>
      </x:c>
      <x:c r="G11272" s="0" t="s">
        <x:v>35</x:v>
      </x:c>
      <x:c r="H11272" s="0" t="s">
        <x:v>20</x:v>
      </x:c>
      <x:c r="I11272" s="0" t="s">
        <x:v>21</x:v>
      </x:c>
      <x:c r="K11272" s="0">
        <x:f>hyperlink("https://icd.who.int/dev11/l-ichi/en#/http%3A%2F%2Fid.who.int%2Ficd%2Fentity%2F342046910","browser")</x:f>
      </x:c>
      <x:c r="L11272" s="0">
        <x:f>hyperlink("https://icat2.azurewebsites.net/icat/?ontology=ICD&amp;tab=ClassesTab&amp;id=http%3A%2F%2Fwho.int%2Ficd%235688_bfdc5bfd_508c_4341_981a_49384b51cdc2","iCat")</x:f>
      </x:c>
      <x:c r="M11272" s="0" t="s">
        <x:v>21</x:v>
      </x:c>
      <x:c r="N11272" s="0" t="s">
        <x:v>46</x:v>
      </x:c>
    </x:row>
    <x:row r="11273" spans="1:16">
      <x:c r="A11273" s="0" t="s">
        <x:v>44426</x:v>
      </x:c>
      <x:c r="B11273" s="0" t="s">
        <x:v>44427</x:v>
      </x:c>
      <x:c r="C11273" s="0" t="s">
        <x:v>42840</x:v>
      </x:c>
      <x:c r="E11273" s="0" t="s">
        <x:v>44428</x:v>
      </x:c>
      <x:c r="F11273" s="0" t="s">
        <x:v>45</x:v>
      </x:c>
      <x:c r="G11273" s="0" t="s">
        <x:v>35</x:v>
      </x:c>
      <x:c r="H11273" s="0" t="s">
        <x:v>20</x:v>
      </x:c>
      <x:c r="I11273" s="0" t="s">
        <x:v>21</x:v>
      </x:c>
      <x:c r="K11273" s="0">
        <x:f>hyperlink("https://icd.who.int/dev11/l-ichi/en#/http%3A%2F%2Fid.who.int%2Ficd%2Fentity%2F85989578","browser")</x:f>
      </x:c>
      <x:c r="L11273" s="0">
        <x:f>hyperlink("https://icat2.azurewebsites.net/icat/?ontology=ICD&amp;tab=ClassesTab&amp;id=http%3A%2F%2Fwho.int%2Ficd%235694_bfdc5bfd_508c_4341_981a_49384b51cdc2","iCat")</x:f>
      </x:c>
      <x:c r="M11273" s="0" t="s">
        <x:v>21</x:v>
      </x:c>
      <x:c r="N11273" s="0" t="s">
        <x:v>46</x:v>
      </x:c>
    </x:row>
    <x:row r="11274" spans="1:16">
      <x:c r="A11274" s="0" t="s">
        <x:v>44429</x:v>
      </x:c>
      <x:c r="B11274" s="0" t="s">
        <x:v>44430</x:v>
      </x:c>
      <x:c r="C11274" s="0" t="s">
        <x:v>42840</x:v>
      </x:c>
      <x:c r="E11274" s="0" t="s">
        <x:v>44431</x:v>
      </x:c>
      <x:c r="F11274" s="0" t="s">
        <x:v>45</x:v>
      </x:c>
      <x:c r="G11274" s="0" t="s">
        <x:v>35</x:v>
      </x:c>
      <x:c r="H11274" s="0" t="s">
        <x:v>20</x:v>
      </x:c>
      <x:c r="I11274" s="0" t="s">
        <x:v>21</x:v>
      </x:c>
      <x:c r="K11274" s="0">
        <x:f>hyperlink("https://icd.who.int/dev11/l-ichi/en#/http%3A%2F%2Fid.who.int%2Ficd%2Fentity%2F2124852715","browser")</x:f>
      </x:c>
      <x:c r="L11274" s="0">
        <x:f>hyperlink("https://icat2.azurewebsites.net/icat/?ontology=ICD&amp;tab=ClassesTab&amp;id=http%3A%2F%2Fwho.int%2Ficd%235698_bfdc5bfd_508c_4341_981a_49384b51cdc2","iCat")</x:f>
      </x:c>
      <x:c r="M11274" s="0" t="s">
        <x:v>21</x:v>
      </x:c>
      <x:c r="N11274" s="0" t="s">
        <x:v>46</x:v>
      </x:c>
    </x:row>
    <x:row r="11275" spans="1:16">
      <x:c r="A11275" s="0" t="s">
        <x:v>44432</x:v>
      </x:c>
      <x:c r="B11275" s="0" t="s">
        <x:v>44433</x:v>
      </x:c>
      <x:c r="C11275" s="0" t="s">
        <x:v>42840</x:v>
      </x:c>
      <x:c r="E11275" s="0" t="s">
        <x:v>44434</x:v>
      </x:c>
      <x:c r="F11275" s="0" t="s">
        <x:v>45</x:v>
      </x:c>
      <x:c r="G11275" s="0" t="s">
        <x:v>35</x:v>
      </x:c>
      <x:c r="H11275" s="0" t="s">
        <x:v>20</x:v>
      </x:c>
      <x:c r="I11275" s="0" t="s">
        <x:v>21</x:v>
      </x:c>
      <x:c r="K11275" s="0">
        <x:f>hyperlink("https://icd.who.int/dev11/l-ichi/en#/http%3A%2F%2Fid.who.int%2Ficd%2Fentity%2F1429261173","browser")</x:f>
      </x:c>
      <x:c r="L11275" s="0">
        <x:f>hyperlink("https://icat2.azurewebsites.net/icat/?ontology=ICD&amp;tab=ClassesTab&amp;id=http%3A%2F%2Fwho.int%2Ficd%235702_bfdc5bfd_508c_4341_981a_49384b51cdc2","iCat")</x:f>
      </x:c>
      <x:c r="M11275" s="0" t="s">
        <x:v>21</x:v>
      </x:c>
      <x:c r="N11275" s="0" t="s">
        <x:v>46</x:v>
      </x:c>
    </x:row>
    <x:row r="11276" spans="1:16">
      <x:c r="A11276" s="0" t="s">
        <x:v>44435</x:v>
      </x:c>
      <x:c r="B11276" s="0" t="s">
        <x:v>44436</x:v>
      </x:c>
      <x:c r="C11276" s="0" t="s">
        <x:v>42840</x:v>
      </x:c>
      <x:c r="E11276" s="0" t="s">
        <x:v>44437</x:v>
      </x:c>
      <x:c r="F11276" s="0" t="s">
        <x:v>45</x:v>
      </x:c>
      <x:c r="G11276" s="0" t="s">
        <x:v>35</x:v>
      </x:c>
      <x:c r="H11276" s="0" t="s">
        <x:v>20</x:v>
      </x:c>
      <x:c r="I11276" s="0" t="s">
        <x:v>21</x:v>
      </x:c>
      <x:c r="K11276" s="0">
        <x:f>hyperlink("https://icd.who.int/dev11/l-ichi/en#/http%3A%2F%2Fid.who.int%2Ficd%2Fentity%2F1614221057","browser")</x:f>
      </x:c>
      <x:c r="L11276" s="0">
        <x:f>hyperlink("https://icat2.azurewebsites.net/icat/?ontology=ICD&amp;tab=ClassesTab&amp;id=http%3A%2F%2Fwho.int%2Ficd%235706_bfdc5bfd_508c_4341_981a_49384b51cdc2","iCat")</x:f>
      </x:c>
      <x:c r="M11276" s="0" t="s">
        <x:v>21</x:v>
      </x:c>
      <x:c r="N11276" s="0" t="s">
        <x:v>46</x:v>
      </x:c>
    </x:row>
    <x:row r="11277" spans="1:16">
      <x:c r="A11277" s="0" t="s">
        <x:v>44438</x:v>
      </x:c>
      <x:c r="B11277" s="0" t="s">
        <x:v>44439</x:v>
      </x:c>
      <x:c r="C11277" s="0" t="s">
        <x:v>42840</x:v>
      </x:c>
      <x:c r="E11277" s="0" t="s">
        <x:v>44440</x:v>
      </x:c>
      <x:c r="F11277" s="0" t="s">
        <x:v>45</x:v>
      </x:c>
      <x:c r="G11277" s="0" t="s">
        <x:v>35</x:v>
      </x:c>
      <x:c r="H11277" s="0" t="s">
        <x:v>20</x:v>
      </x:c>
      <x:c r="I11277" s="0" t="s">
        <x:v>21</x:v>
      </x:c>
      <x:c r="K11277" s="0">
        <x:f>hyperlink("https://icd.who.int/dev11/l-ichi/en#/http%3A%2F%2Fid.who.int%2Ficd%2Fentity%2F1518945255","browser")</x:f>
      </x:c>
      <x:c r="L11277" s="0">
        <x:f>hyperlink("https://icat2.azurewebsites.net/icat/?ontology=ICD&amp;tab=ClassesTab&amp;id=http%3A%2F%2Fwho.int%2Ficd%235710_bfdc5bfd_508c_4341_981a_49384b51cdc2","iCat")</x:f>
      </x:c>
      <x:c r="M11277" s="0" t="s">
        <x:v>21</x:v>
      </x:c>
      <x:c r="N11277" s="0" t="s">
        <x:v>46</x:v>
      </x:c>
    </x:row>
    <x:row r="11278" spans="1:16">
      <x:c r="A11278" s="0" t="s">
        <x:v>44441</x:v>
      </x:c>
      <x:c r="B11278" s="0" t="s">
        <x:v>44442</x:v>
      </x:c>
      <x:c r="C11278" s="0" t="s">
        <x:v>42840</x:v>
      </x:c>
      <x:c r="E11278" s="0" t="s">
        <x:v>44443</x:v>
      </x:c>
      <x:c r="F11278" s="0" t="s">
        <x:v>45</x:v>
      </x:c>
      <x:c r="G11278" s="0" t="s">
        <x:v>35</x:v>
      </x:c>
      <x:c r="H11278" s="0" t="s">
        <x:v>20</x:v>
      </x:c>
      <x:c r="I11278" s="0" t="s">
        <x:v>21</x:v>
      </x:c>
      <x:c r="K11278" s="0">
        <x:f>hyperlink("https://icd.who.int/dev11/l-ichi/en#/http%3A%2F%2Fid.who.int%2Ficd%2Fentity%2F1871611795","browser")</x:f>
      </x:c>
      <x:c r="L11278" s="0">
        <x:f>hyperlink("https://icat2.azurewebsites.net/icat/?ontology=ICD&amp;tab=ClassesTab&amp;id=http%3A%2F%2Fwho.int%2Ficd%235714_bfdc5bfd_508c_4341_981a_49384b51cdc2","iCat")</x:f>
      </x:c>
      <x:c r="M11278" s="0" t="s">
        <x:v>21</x:v>
      </x:c>
      <x:c r="N11278" s="0" t="s">
        <x:v>46</x:v>
      </x:c>
    </x:row>
    <x:row r="11279" spans="1:16">
      <x:c r="A11279" s="0" t="s">
        <x:v>44444</x:v>
      </x:c>
      <x:c r="B11279" s="0" t="s">
        <x:v>44445</x:v>
      </x:c>
      <x:c r="C11279" s="0" t="s">
        <x:v>42840</x:v>
      </x:c>
      <x:c r="E11279" s="0" t="s">
        <x:v>44446</x:v>
      </x:c>
      <x:c r="F11279" s="0" t="s">
        <x:v>45</x:v>
      </x:c>
      <x:c r="G11279" s="0" t="s">
        <x:v>35</x:v>
      </x:c>
      <x:c r="H11279" s="0" t="s">
        <x:v>20</x:v>
      </x:c>
      <x:c r="I11279" s="0" t="s">
        <x:v>21</x:v>
      </x:c>
      <x:c r="K11279" s="0">
        <x:f>hyperlink("https://icd.who.int/dev11/l-ichi/en#/http%3A%2F%2Fid.who.int%2Ficd%2Fentity%2F888225936","browser")</x:f>
      </x:c>
      <x:c r="L11279" s="0">
        <x:f>hyperlink("https://icat2.azurewebsites.net/icat/?ontology=ICD&amp;tab=ClassesTab&amp;id=http%3A%2F%2Fwho.int%2Ficd%235719_bfdc5bfd_508c_4341_981a_49384b51cdc2","iCat")</x:f>
      </x:c>
      <x:c r="M11279" s="0" t="s">
        <x:v>21</x:v>
      </x:c>
      <x:c r="N11279" s="0" t="s">
        <x:v>46</x:v>
      </x:c>
    </x:row>
    <x:row r="11280" spans="1:16">
      <x:c r="A11280" s="0" t="s">
        <x:v>44447</x:v>
      </x:c>
      <x:c r="B11280" s="0" t="s">
        <x:v>44448</x:v>
      </x:c>
      <x:c r="C11280" s="0" t="s">
        <x:v>42840</x:v>
      </x:c>
      <x:c r="E11280" s="0" t="s">
        <x:v>44449</x:v>
      </x:c>
      <x:c r="F11280" s="0" t="s">
        <x:v>45</x:v>
      </x:c>
      <x:c r="G11280" s="0" t="s">
        <x:v>30</x:v>
      </x:c>
      <x:c r="H11280" s="0" t="s">
        <x:v>20</x:v>
      </x:c>
      <x:c r="I11280" s="0" t="s">
        <x:v>21</x:v>
      </x:c>
      <x:c r="K11280" s="0">
        <x:f>hyperlink("https://icd.who.int/dev11/l-ichi/en#/http%3A%2F%2Fid.who.int%2Ficd%2Fentity%2F1606249497","browser")</x:f>
      </x:c>
      <x:c r="L11280" s="0">
        <x:f>hyperlink("https://icat2.azurewebsites.net/icat/?ontology=ICD&amp;tab=ClassesTab&amp;id=http%3A%2F%2Fwho.int%2Ficd%235723_bfdc5bfd_508c_4341_981a_49384b51cdc2","iCat")</x:f>
      </x:c>
      <x:c r="M11280" s="0" t="s">
        <x:v>20</x:v>
      </x:c>
      <x:c r="N11280" s="0" t="s">
        <x:v>119</x:v>
      </x:c>
    </x:row>
    <x:row r="11281" spans="1:16">
      <x:c r="A11281" s="0" t="s">
        <x:v>44450</x:v>
      </x:c>
      <x:c r="B11281" s="0" t="s">
        <x:v>44451</x:v>
      </x:c>
      <x:c r="C11281" s="0" t="s">
        <x:v>42840</x:v>
      </x:c>
      <x:c r="E11281" s="0" t="s">
        <x:v>44452</x:v>
      </x:c>
      <x:c r="F11281" s="0" t="s">
        <x:v>45</x:v>
      </x:c>
      <x:c r="G11281" s="0" t="s">
        <x:v>35</x:v>
      </x:c>
      <x:c r="H11281" s="0" t="s">
        <x:v>20</x:v>
      </x:c>
      <x:c r="I11281" s="0" t="s">
        <x:v>21</x:v>
      </x:c>
      <x:c r="K11281" s="0">
        <x:f>hyperlink("https://icd.who.int/dev11/l-ichi/en#/http%3A%2F%2Fid.who.int%2Ficd%2Fentity%2F1790617709","browser")</x:f>
      </x:c>
      <x:c r="L11281" s="0">
        <x:f>hyperlink("https://icat2.azurewebsites.net/icat/?ontology=ICD&amp;tab=ClassesTab&amp;id=http%3A%2F%2Fwho.int%2Ficd%235727_bfdc5bfd_508c_4341_981a_49384b51cdc2","iCat")</x:f>
      </x:c>
      <x:c r="M11281" s="0" t="s">
        <x:v>21</x:v>
      </x:c>
      <x:c r="N11281" s="0" t="s">
        <x:v>46</x:v>
      </x:c>
    </x:row>
    <x:row r="11282" spans="1:16">
      <x:c r="A11282" s="0" t="s">
        <x:v>44453</x:v>
      </x:c>
      <x:c r="B11282" s="0" t="s">
        <x:v>44454</x:v>
      </x:c>
      <x:c r="C11282" s="0" t="s">
        <x:v>42840</x:v>
      </x:c>
      <x:c r="E11282" s="0" t="s">
        <x:v>44455</x:v>
      </x:c>
      <x:c r="F11282" s="0" t="s">
        <x:v>45</x:v>
      </x:c>
      <x:c r="G11282" s="0" t="s">
        <x:v>35</x:v>
      </x:c>
      <x:c r="H11282" s="0" t="s">
        <x:v>20</x:v>
      </x:c>
      <x:c r="I11282" s="0" t="s">
        <x:v>21</x:v>
      </x:c>
      <x:c r="K11282" s="0">
        <x:f>hyperlink("https://icd.who.int/dev11/l-ichi/en#/http%3A%2F%2Fid.who.int%2Ficd%2Fentity%2F1694703871","browser")</x:f>
      </x:c>
      <x:c r="L11282" s="0">
        <x:f>hyperlink("https://icat2.azurewebsites.net/icat/?ontology=ICD&amp;tab=ClassesTab&amp;id=http%3A%2F%2Fwho.int%2Ficd%235735_bfdc5bfd_508c_4341_981a_49384b51cdc2","iCat")</x:f>
      </x:c>
      <x:c r="M11282" s="0" t="s">
        <x:v>21</x:v>
      </x:c>
      <x:c r="N11282" s="0" t="s">
        <x:v>46</x:v>
      </x:c>
    </x:row>
    <x:row r="11283" spans="1:16">
      <x:c r="A11283" s="0" t="s">
        <x:v>44456</x:v>
      </x:c>
      <x:c r="B11283" s="0" t="s">
        <x:v>44457</x:v>
      </x:c>
      <x:c r="C11283" s="0" t="s">
        <x:v>42840</x:v>
      </x:c>
      <x:c r="E11283" s="0" t="s">
        <x:v>44458</x:v>
      </x:c>
      <x:c r="F11283" s="0" t="s">
        <x:v>45</x:v>
      </x:c>
      <x:c r="G11283" s="0" t="s">
        <x:v>35</x:v>
      </x:c>
      <x:c r="H11283" s="0" t="s">
        <x:v>20</x:v>
      </x:c>
      <x:c r="I11283" s="0" t="s">
        <x:v>21</x:v>
      </x:c>
      <x:c r="K11283" s="0">
        <x:f>hyperlink("https://icd.who.int/dev11/l-ichi/en#/http%3A%2F%2Fid.who.int%2Ficd%2Fentity%2F512071134","browser")</x:f>
      </x:c>
      <x:c r="L11283" s="0">
        <x:f>hyperlink("https://icat2.azurewebsites.net/icat/?ontology=ICD&amp;tab=ClassesTab&amp;id=http%3A%2F%2Fwho.int%2Ficd%235739_bfdc5bfd_508c_4341_981a_49384b51cdc2","iCat")</x:f>
      </x:c>
      <x:c r="M11283" s="0" t="s">
        <x:v>21</x:v>
      </x:c>
      <x:c r="N11283" s="0" t="s">
        <x:v>46</x:v>
      </x:c>
    </x:row>
    <x:row r="11284" spans="1:16">
      <x:c r="A11284" s="0" t="s">
        <x:v>44459</x:v>
      </x:c>
      <x:c r="B11284" s="0" t="s">
        <x:v>44460</x:v>
      </x:c>
      <x:c r="C11284" s="0" t="s">
        <x:v>42840</x:v>
      </x:c>
      <x:c r="E11284" s="0" t="s">
        <x:v>44461</x:v>
      </x:c>
      <x:c r="F11284" s="0" t="s">
        <x:v>45</x:v>
      </x:c>
      <x:c r="G11284" s="0" t="s">
        <x:v>35</x:v>
      </x:c>
      <x:c r="H11284" s="0" t="s">
        <x:v>20</x:v>
      </x:c>
      <x:c r="I11284" s="0" t="s">
        <x:v>21</x:v>
      </x:c>
      <x:c r="K11284" s="0">
        <x:f>hyperlink("https://icd.who.int/dev11/l-ichi/en#/http%3A%2F%2Fid.who.int%2Ficd%2Fentity%2F95349334","browser")</x:f>
      </x:c>
      <x:c r="L11284" s="0">
        <x:f>hyperlink("https://icat2.azurewebsites.net/icat/?ontology=ICD&amp;tab=ClassesTab&amp;id=http%3A%2F%2Fwho.int%2Ficd%235743_bfdc5bfd_508c_4341_981a_49384b51cdc2","iCat")</x:f>
      </x:c>
      <x:c r="M11284" s="0" t="s">
        <x:v>21</x:v>
      </x:c>
      <x:c r="N11284" s="0" t="s">
        <x:v>46</x:v>
      </x:c>
    </x:row>
    <x:row r="11285" spans="1:16">
      <x:c r="A11285" s="0" t="s">
        <x:v>44462</x:v>
      </x:c>
      <x:c r="B11285" s="0" t="s">
        <x:v>44463</x:v>
      </x:c>
      <x:c r="C11285" s="0" t="s">
        <x:v>42840</x:v>
      </x:c>
      <x:c r="E11285" s="0" t="s">
        <x:v>44464</x:v>
      </x:c>
      <x:c r="F11285" s="0" t="s">
        <x:v>45</x:v>
      </x:c>
      <x:c r="G11285" s="0" t="s">
        <x:v>35</x:v>
      </x:c>
      <x:c r="H11285" s="0" t="s">
        <x:v>20</x:v>
      </x:c>
      <x:c r="I11285" s="0" t="s">
        <x:v>21</x:v>
      </x:c>
      <x:c r="K11285" s="0">
        <x:f>hyperlink("https://icd.who.int/dev11/l-ichi/en#/http%3A%2F%2Fid.who.int%2Ficd%2Fentity%2F816393760","browser")</x:f>
      </x:c>
      <x:c r="L11285" s="0">
        <x:f>hyperlink("https://icat2.azurewebsites.net/icat/?ontology=ICD&amp;tab=ClassesTab&amp;id=http%3A%2F%2Fwho.int%2Ficd%235747_bfdc5bfd_508c_4341_981a_49384b51cdc2","iCat")</x:f>
      </x:c>
      <x:c r="M11285" s="0" t="s">
        <x:v>21</x:v>
      </x:c>
      <x:c r="N11285" s="0" t="s">
        <x:v>46</x:v>
      </x:c>
    </x:row>
    <x:row r="11286" spans="1:16">
      <x:c r="A11286" s="0" t="s">
        <x:v>44465</x:v>
      </x:c>
      <x:c r="B11286" s="0" t="s">
        <x:v>44466</x:v>
      </x:c>
      <x:c r="C11286" s="0" t="s">
        <x:v>42840</x:v>
      </x:c>
      <x:c r="E11286" s="0" t="s">
        <x:v>44467</x:v>
      </x:c>
      <x:c r="F11286" s="0" t="s">
        <x:v>45</x:v>
      </x:c>
      <x:c r="G11286" s="0" t="s">
        <x:v>35</x:v>
      </x:c>
      <x:c r="H11286" s="0" t="s">
        <x:v>20</x:v>
      </x:c>
      <x:c r="I11286" s="0" t="s">
        <x:v>21</x:v>
      </x:c>
      <x:c r="K11286" s="0">
        <x:f>hyperlink("https://icd.who.int/dev11/l-ichi/en#/http%3A%2F%2Fid.who.int%2Ficd%2Fentity%2F169304776","browser")</x:f>
      </x:c>
      <x:c r="L11286" s="0">
        <x:f>hyperlink("https://icat2.azurewebsites.net/icat/?ontology=ICD&amp;tab=ClassesTab&amp;id=http%3A%2F%2Fwho.int%2Ficd%235751_bfdc5bfd_508c_4341_981a_49384b51cdc2","iCat")</x:f>
      </x:c>
      <x:c r="M11286" s="0" t="s">
        <x:v>21</x:v>
      </x:c>
      <x:c r="N11286" s="0" t="s">
        <x:v>46</x:v>
      </x:c>
    </x:row>
    <x:row r="11287" spans="1:16">
      <x:c r="A11287" s="0" t="s">
        <x:v>44468</x:v>
      </x:c>
      <x:c r="B11287" s="0" t="s">
        <x:v>44469</x:v>
      </x:c>
      <x:c r="C11287" s="0" t="s">
        <x:v>42840</x:v>
      </x:c>
      <x:c r="E11287" s="0" t="s">
        <x:v>44470</x:v>
      </x:c>
      <x:c r="F11287" s="0" t="s">
        <x:v>45</x:v>
      </x:c>
      <x:c r="G11287" s="0" t="s">
        <x:v>35</x:v>
      </x:c>
      <x:c r="H11287" s="0" t="s">
        <x:v>20</x:v>
      </x:c>
      <x:c r="I11287" s="0" t="s">
        <x:v>21</x:v>
      </x:c>
      <x:c r="K11287" s="0">
        <x:f>hyperlink("https://icd.who.int/dev11/l-ichi/en#/http%3A%2F%2Fid.who.int%2Ficd%2Fentity%2F1685021103","browser")</x:f>
      </x:c>
      <x:c r="L11287" s="0">
        <x:f>hyperlink("https://icat2.azurewebsites.net/icat/?ontology=ICD&amp;tab=ClassesTab&amp;id=http%3A%2F%2Fwho.int%2Ficd%235758_bfdc5bfd_508c_4341_981a_49384b51cdc2","iCat")</x:f>
      </x:c>
      <x:c r="M11287" s="0" t="s">
        <x:v>21</x:v>
      </x:c>
      <x:c r="N11287" s="0" t="s">
        <x:v>46</x:v>
      </x:c>
    </x:row>
    <x:row r="11288" spans="1:16">
      <x:c r="A11288" s="0" t="s">
        <x:v>44471</x:v>
      </x:c>
      <x:c r="B11288" s="0" t="s">
        <x:v>44472</x:v>
      </x:c>
      <x:c r="C11288" s="0" t="s">
        <x:v>42840</x:v>
      </x:c>
      <x:c r="E11288" s="0" t="s">
        <x:v>44473</x:v>
      </x:c>
      <x:c r="F11288" s="0" t="s">
        <x:v>45</x:v>
      </x:c>
      <x:c r="G11288" s="0" t="s">
        <x:v>35</x:v>
      </x:c>
      <x:c r="H11288" s="0" t="s">
        <x:v>20</x:v>
      </x:c>
      <x:c r="I11288" s="0" t="s">
        <x:v>21</x:v>
      </x:c>
      <x:c r="K11288" s="0">
        <x:f>hyperlink("https://icd.who.int/dev11/l-ichi/en#/http%3A%2F%2Fid.who.int%2Ficd%2Fentity%2F802832132","browser")</x:f>
      </x:c>
      <x:c r="L11288" s="0">
        <x:f>hyperlink("https://icat2.azurewebsites.net/icat/?ontology=ICD&amp;tab=ClassesTab&amp;id=http%3A%2F%2Fwho.int%2Ficd%235763_bfdc5bfd_508c_4341_981a_49384b51cdc2","iCat")</x:f>
      </x:c>
      <x:c r="M11288" s="0" t="s">
        <x:v>21</x:v>
      </x:c>
      <x:c r="N11288" s="0" t="s">
        <x:v>46</x:v>
      </x:c>
    </x:row>
    <x:row r="11289" spans="1:16">
      <x:c r="A11289" s="0" t="s">
        <x:v>44474</x:v>
      </x:c>
      <x:c r="B11289" s="0" t="s">
        <x:v>44475</x:v>
      </x:c>
      <x:c r="C11289" s="0" t="s">
        <x:v>42840</x:v>
      </x:c>
      <x:c r="E11289" s="0" t="s">
        <x:v>44476</x:v>
      </x:c>
      <x:c r="F11289" s="0" t="s">
        <x:v>45</x:v>
      </x:c>
      <x:c r="G11289" s="0" t="s">
        <x:v>30</x:v>
      </x:c>
      <x:c r="H11289" s="0" t="s">
        <x:v>20</x:v>
      </x:c>
      <x:c r="I11289" s="0" t="s">
        <x:v>21</x:v>
      </x:c>
      <x:c r="K11289" s="0">
        <x:f>hyperlink("https://icd.who.int/dev11/l-ichi/en#/http%3A%2F%2Fid.who.int%2Ficd%2Fentity%2F450755442","browser")</x:f>
      </x:c>
      <x:c r="L11289" s="0">
        <x:f>hyperlink("https://icat2.azurewebsites.net/icat/?ontology=ICD&amp;tab=ClassesTab&amp;id=http%3A%2F%2Fwho.int%2Ficd%235767_bfdc5bfd_508c_4341_981a_49384b51cdc2","iCat")</x:f>
      </x:c>
      <x:c r="M11289" s="0" t="s">
        <x:v>20</x:v>
      </x:c>
      <x:c r="N11289" s="0" t="s">
        <x:v>40</x:v>
      </x:c>
    </x:row>
    <x:row r="11290" spans="1:16">
      <x:c r="A11290" s="0" t="s">
        <x:v>44477</x:v>
      </x:c>
      <x:c r="B11290" s="0" t="s">
        <x:v>44478</x:v>
      </x:c>
      <x:c r="C11290" s="0" t="s">
        <x:v>42840</x:v>
      </x:c>
      <x:c r="E11290" s="0" t="s">
        <x:v>44479</x:v>
      </x:c>
      <x:c r="F11290" s="0" t="s">
        <x:v>45</x:v>
      </x:c>
      <x:c r="G11290" s="0" t="s">
        <x:v>35</x:v>
      </x:c>
      <x:c r="H11290" s="0" t="s">
        <x:v>20</x:v>
      </x:c>
      <x:c r="I11290" s="0" t="s">
        <x:v>21</x:v>
      </x:c>
      <x:c r="K11290" s="0">
        <x:f>hyperlink("https://icd.who.int/dev11/l-ichi/en#/http%3A%2F%2Fid.who.int%2Ficd%2Fentity%2F543405974","browser")</x:f>
      </x:c>
      <x:c r="L11290" s="0">
        <x:f>hyperlink("https://icat2.azurewebsites.net/icat/?ontology=ICD&amp;tab=ClassesTab&amp;id=http%3A%2F%2Fwho.int%2Ficd%235771_bfdc5bfd_508c_4341_981a_49384b51cdc2","iCat")</x:f>
      </x:c>
      <x:c r="M11290" s="0" t="s">
        <x:v>21</x:v>
      </x:c>
      <x:c r="N11290" s="0" t="s">
        <x:v>46</x:v>
      </x:c>
    </x:row>
    <x:row r="11291" spans="1:16">
      <x:c r="A11291" s="0" t="s">
        <x:v>44480</x:v>
      </x:c>
      <x:c r="B11291" s="0" t="s">
        <x:v>44481</x:v>
      </x:c>
      <x:c r="C11291" s="0" t="s">
        <x:v>42840</x:v>
      </x:c>
      <x:c r="E11291" s="0" t="s">
        <x:v>44482</x:v>
      </x:c>
      <x:c r="F11291" s="0" t="s">
        <x:v>45</x:v>
      </x:c>
      <x:c r="G11291" s="0" t="s">
        <x:v>35</x:v>
      </x:c>
      <x:c r="H11291" s="0" t="s">
        <x:v>20</x:v>
      </x:c>
      <x:c r="I11291" s="0" t="s">
        <x:v>21</x:v>
      </x:c>
      <x:c r="K11291" s="0">
        <x:f>hyperlink("https://icd.who.int/dev11/l-ichi/en#/http%3A%2F%2Fid.who.int%2Ficd%2Fentity%2F358904804","browser")</x:f>
      </x:c>
      <x:c r="L11291" s="0">
        <x:f>hyperlink("https://icat2.azurewebsites.net/icat/?ontology=ICD&amp;tab=ClassesTab&amp;id=http%3A%2F%2Fwho.int%2Ficd%235775_bfdc5bfd_508c_4341_981a_49384b51cdc2","iCat")</x:f>
      </x:c>
      <x:c r="M11291" s="0" t="s">
        <x:v>21</x:v>
      </x:c>
      <x:c r="N11291" s="0" t="s">
        <x:v>46</x:v>
      </x:c>
    </x:row>
    <x:row r="11292" spans="1:16">
      <x:c r="A11292" s="0" t="s">
        <x:v>44483</x:v>
      </x:c>
      <x:c r="B11292" s="0" t="s">
        <x:v>44484</x:v>
      </x:c>
      <x:c r="C11292" s="0" t="s">
        <x:v>42840</x:v>
      </x:c>
      <x:c r="E11292" s="0" t="s">
        <x:v>44485</x:v>
      </x:c>
      <x:c r="F11292" s="0" t="s">
        <x:v>45</x:v>
      </x:c>
      <x:c r="G11292" s="0" t="s">
        <x:v>35</x:v>
      </x:c>
      <x:c r="H11292" s="0" t="s">
        <x:v>20</x:v>
      </x:c>
      <x:c r="I11292" s="0" t="s">
        <x:v>21</x:v>
      </x:c>
      <x:c r="K11292" s="0">
        <x:f>hyperlink("https://icd.who.int/dev11/l-ichi/en#/http%3A%2F%2Fid.who.int%2Ficd%2Fentity%2F796757878","browser")</x:f>
      </x:c>
      <x:c r="L11292" s="0">
        <x:f>hyperlink("https://icat2.azurewebsites.net/icat/?ontology=ICD&amp;tab=ClassesTab&amp;id=http%3A%2F%2Fwho.int%2Ficd%235780_bfdc5bfd_508c_4341_981a_49384b51cdc2","iCat")</x:f>
      </x:c>
      <x:c r="M11292" s="0" t="s">
        <x:v>21</x:v>
      </x:c>
      <x:c r="N11292" s="0" t="s">
        <x:v>46</x:v>
      </x:c>
    </x:row>
    <x:row r="11293" spans="1:16">
      <x:c r="A11293" s="0" t="s">
        <x:v>44486</x:v>
      </x:c>
      <x:c r="B11293" s="0" t="s">
        <x:v>44487</x:v>
      </x:c>
      <x:c r="C11293" s="0" t="s">
        <x:v>42840</x:v>
      </x:c>
      <x:c r="E11293" s="0" t="s">
        <x:v>44488</x:v>
      </x:c>
      <x:c r="F11293" s="0" t="s">
        <x:v>45</x:v>
      </x:c>
      <x:c r="G11293" s="0" t="s">
        <x:v>35</x:v>
      </x:c>
      <x:c r="H11293" s="0" t="s">
        <x:v>20</x:v>
      </x:c>
      <x:c r="I11293" s="0" t="s">
        <x:v>21</x:v>
      </x:c>
      <x:c r="K11293" s="0">
        <x:f>hyperlink("https://icd.who.int/dev11/l-ichi/en#/http%3A%2F%2Fid.who.int%2Ficd%2Fentity%2F981678398","browser")</x:f>
      </x:c>
      <x:c r="L11293" s="0">
        <x:f>hyperlink("https://icat2.azurewebsites.net/icat/?ontology=ICD&amp;tab=ClassesTab&amp;id=http%3A%2F%2Fwho.int%2Ficd%235785_bfdc5bfd_508c_4341_981a_49384b51cdc2","iCat")</x:f>
      </x:c>
      <x:c r="M11293" s="0" t="s">
        <x:v>21</x:v>
      </x:c>
      <x:c r="N11293" s="0" t="s">
        <x:v>46</x:v>
      </x:c>
    </x:row>
    <x:row r="11294" spans="1:16">
      <x:c r="A11294" s="0" t="s">
        <x:v>44489</x:v>
      </x:c>
      <x:c r="B11294" s="0" t="s">
        <x:v>44490</x:v>
      </x:c>
      <x:c r="C11294" s="0" t="s">
        <x:v>42840</x:v>
      </x:c>
      <x:c r="E11294" s="0" t="s">
        <x:v>44491</x:v>
      </x:c>
      <x:c r="F11294" s="0" t="s">
        <x:v>45</x:v>
      </x:c>
      <x:c r="G11294" s="0" t="s">
        <x:v>35</x:v>
      </x:c>
      <x:c r="H11294" s="0" t="s">
        <x:v>20</x:v>
      </x:c>
      <x:c r="I11294" s="0" t="s">
        <x:v>21</x:v>
      </x:c>
      <x:c r="K11294" s="0">
        <x:f>hyperlink("https://icd.who.int/dev11/l-ichi/en#/http%3A%2F%2Fid.who.int%2Ficd%2Fentity%2F1090882589","browser")</x:f>
      </x:c>
      <x:c r="L11294" s="0">
        <x:f>hyperlink("https://icat2.azurewebsites.net/icat/?ontology=ICD&amp;tab=ClassesTab&amp;id=http%3A%2F%2Fwho.int%2Ficd%235789_bfdc5bfd_508c_4341_981a_49384b51cdc2","iCat")</x:f>
      </x:c>
      <x:c r="M11294" s="0" t="s">
        <x:v>21</x:v>
      </x:c>
      <x:c r="N11294" s="0" t="s">
        <x:v>46</x:v>
      </x:c>
    </x:row>
    <x:row r="11295" spans="1:16">
      <x:c r="A11295" s="0" t="s">
        <x:v>44492</x:v>
      </x:c>
      <x:c r="B11295" s="0" t="s">
        <x:v>44493</x:v>
      </x:c>
      <x:c r="D11295" s="0" t="s">
        <x:v>44494</x:v>
      </x:c>
      <x:c r="E11295" s="0" t="s">
        <x:v>44495</x:v>
      </x:c>
      <x:c r="F11295" s="0" t="s">
        <x:v>26</x:v>
      </x:c>
      <x:c r="G11295" s="0" t="s">
        <x:v>19</x:v>
      </x:c>
      <x:c r="H11295" s="0" t="s">
        <x:v>20</x:v>
      </x:c>
      <x:c r="I11295" s="0" t="s">
        <x:v>21</x:v>
      </x:c>
      <x:c r="K11295" s="0">
        <x:f>hyperlink("https://icd.who.int/dev11/l-ichi/en#/http%3A%2F%2Fid.who.int%2Ficd%2Fentity%2F1154280071","browser")</x:f>
      </x:c>
      <x:c r="L11295" s="0">
        <x:f>hyperlink("https://icat2.azurewebsites.net/icat/?ontology=ICD&amp;tab=ClassesTab&amp;id=http%3A%2F%2Fwho.int%2Ficd%23SpecificAnatomicLocation_1000","iCat")</x:f>
      </x:c>
      <x:c r="M11295" s="0" t="s">
        <x:v>20</x:v>
      </x:c>
      <x:c r="N11295" s="0" t="s">
        <x:v>30</x:v>
      </x:c>
    </x:row>
    <x:row r="11296" spans="1:16">
      <x:c r="A11296" s="0" t="s">
        <x:v>44496</x:v>
      </x:c>
      <x:c r="B11296" s="0" t="s">
        <x:v>44497</x:v>
      </x:c>
      <x:c r="D11296" s="0" t="s">
        <x:v>44498</x:v>
      </x:c>
      <x:c r="E11296" s="0" t="s">
        <x:v>44499</x:v>
      </x:c>
      <x:c r="F11296" s="0" t="s">
        <x:v>26</x:v>
      </x:c>
      <x:c r="G11296" s="0" t="s">
        <x:v>30</x:v>
      </x:c>
      <x:c r="H11296" s="0" t="s">
        <x:v>20</x:v>
      </x:c>
      <x:c r="I11296" s="0" t="s">
        <x:v>21</x:v>
      </x:c>
      <x:c r="K11296" s="0">
        <x:f>hyperlink("https://icd.who.int/dev11/l-ichi/en#/http%3A%2F%2Fid.who.int%2Ficd%2Fentity%2F1644747126","browser")</x:f>
      </x:c>
      <x:c r="L11296" s="0">
        <x:f>hyperlink("https://icat2.azurewebsites.net/icat/?ontology=ICD&amp;tab=ClassesTab&amp;id=http%3A%2F%2Fwho.int%2Ficd%23SpecificAnatomicLocation_1020","iCat")</x:f>
      </x:c>
      <x:c r="M11296" s="0" t="s">
        <x:v>20</x:v>
      </x:c>
      <x:c r="N11296" s="0" t="s">
        <x:v>31</x:v>
      </x:c>
    </x:row>
    <x:row r="11297" spans="1:16">
      <x:c r="A11297" s="0" t="s">
        <x:v>44500</x:v>
      </x:c>
      <x:c r="B11297" s="0" t="s">
        <x:v>44501</x:v>
      </x:c>
      <x:c r="D11297" s="0" t="s">
        <x:v>44502</x:v>
      </x:c>
      <x:c r="E11297" s="0" t="s">
        <x:v>44503</x:v>
      </x:c>
      <x:c r="F11297" s="0" t="s">
        <x:v>26</x:v>
      </x:c>
      <x:c r="G11297" s="0" t="s">
        <x:v>35</x:v>
      </x:c>
      <x:c r="H11297" s="0" t="s">
        <x:v>20</x:v>
      </x:c>
      <x:c r="I11297" s="0" t="s">
        <x:v>21</x:v>
      </x:c>
      <x:c r="K11297" s="0">
        <x:f>hyperlink("https://icd.who.int/dev11/l-ichi/en#/http%3A%2F%2Fid.who.int%2Ficd%2Fentity%2F256187719","browser")</x:f>
      </x:c>
      <x:c r="L11297" s="0">
        <x:f>hyperlink("https://icat2.azurewebsites.net/icat/?ontology=ICD&amp;tab=ClassesTab&amp;id=http%3A%2F%2Fwho.int%2Ficd%23SpecificAnatomicLocation_1005","iCat")</x:f>
      </x:c>
      <x:c r="M11297" s="0" t="s">
        <x:v>20</x:v>
      </x:c>
      <x:c r="N11297" s="0" t="s">
        <x:v>19</x:v>
      </x:c>
    </x:row>
    <x:row r="11298" spans="1:16">
      <x:c r="A11298" s="0" t="s">
        <x:v>44504</x:v>
      </x:c>
      <x:c r="B11298" s="0" t="s">
        <x:v>44505</x:v>
      </x:c>
      <x:c r="C11298" s="0" t="s">
        <x:v>42840</x:v>
      </x:c>
      <x:c r="E11298" s="0" t="s">
        <x:v>44506</x:v>
      </x:c>
      <x:c r="F11298" s="0" t="s">
        <x:v>45</x:v>
      </x:c>
      <x:c r="G11298" s="0" t="s">
        <x:v>19</x:v>
      </x:c>
      <x:c r="H11298" s="0" t="s">
        <x:v>20</x:v>
      </x:c>
      <x:c r="I11298" s="0" t="s">
        <x:v>21</x:v>
      </x:c>
      <x:c r="K11298" s="0">
        <x:f>hyperlink("https://icd.who.int/dev11/l-ichi/en#/http%3A%2F%2Fid.who.int%2Ficd%2Fentity%2F1207618189","browser")</x:f>
      </x:c>
      <x:c r="L11298" s="0">
        <x:f>hyperlink("https://icat2.azurewebsites.net/icat/?ontology=ICD&amp;tab=ClassesTab&amp;id=http%3A%2F%2Fwho.int%2Ficd%2329896_735007d5_2555_4eb5_a762_282e008a1468","iCat")</x:f>
      </x:c>
      <x:c r="M11298" s="0" t="s">
        <x:v>20</x:v>
      </x:c>
      <x:c r="N11298" s="0" t="s">
        <x:v>19</x:v>
      </x:c>
    </x:row>
    <x:row r="11299" spans="1:16">
      <x:c r="A11299" s="0" t="s">
        <x:v>44507</x:v>
      </x:c>
      <x:c r="B11299" s="0" t="s">
        <x:v>44508</x:v>
      </x:c>
      <x:c r="C11299" s="0" t="s">
        <x:v>42840</x:v>
      </x:c>
      <x:c r="E11299" s="0" t="s">
        <x:v>44509</x:v>
      </x:c>
      <x:c r="F11299" s="0" t="s">
        <x:v>45</x:v>
      </x:c>
      <x:c r="G11299" s="0" t="s">
        <x:v>30</x:v>
      </x:c>
      <x:c r="H11299" s="0" t="s">
        <x:v>20</x:v>
      </x:c>
      <x:c r="I11299" s="0" t="s">
        <x:v>21</x:v>
      </x:c>
      <x:c r="K11299" s="0">
        <x:f>hyperlink("https://icd.who.int/dev11/l-ichi/en#/http%3A%2F%2Fid.who.int%2Ficd%2Fentity%2F1062867618","browser")</x:f>
      </x:c>
      <x:c r="L11299" s="0">
        <x:f>hyperlink("https://icat2.azurewebsites.net/icat/?ontology=ICD&amp;tab=ClassesTab&amp;id=http%3A%2F%2Fwho.int%2Ficd%231666_b35e2f26_f485_4668_800f_7416297697bb","iCat")</x:f>
      </x:c>
      <x:c r="M11299" s="0" t="s">
        <x:v>20</x:v>
      </x:c>
      <x:c r="N11299" s="0" t="s">
        <x:v>35</x:v>
      </x:c>
    </x:row>
    <x:row r="11300" spans="1:16">
      <x:c r="A11300" s="0" t="s">
        <x:v>44510</x:v>
      </x:c>
      <x:c r="B11300" s="0" t="s">
        <x:v>44511</x:v>
      </x:c>
      <x:c r="C11300" s="0" t="s">
        <x:v>42840</x:v>
      </x:c>
      <x:c r="E11300" s="0" t="s">
        <x:v>44512</x:v>
      </x:c>
      <x:c r="F11300" s="0" t="s">
        <x:v>45</x:v>
      </x:c>
      <x:c r="G11300" s="0" t="s">
        <x:v>35</x:v>
      </x:c>
      <x:c r="H11300" s="0" t="s">
        <x:v>20</x:v>
      </x:c>
      <x:c r="I11300" s="0" t="s">
        <x:v>21</x:v>
      </x:c>
      <x:c r="K11300" s="0">
        <x:f>hyperlink("https://icd.who.int/dev11/l-ichi/en#/http%3A%2F%2Fid.who.int%2Ficd%2Fentity%2F2052462000","browser")</x:f>
      </x:c>
      <x:c r="L11300" s="0">
        <x:f>hyperlink("https://icat2.azurewebsites.net/icat/?ontology=ICD&amp;tab=ClassesTab&amp;id=http%3A%2F%2Fwho.int%2Ficd%234423_16e67c35_8b57_40bb_9220_818553425a8c","iCat")</x:f>
      </x:c>
      <x:c r="M11300" s="0" t="s">
        <x:v>21</x:v>
      </x:c>
      <x:c r="N11300" s="0" t="s">
        <x:v>46</x:v>
      </x:c>
    </x:row>
    <x:row r="11301" spans="1:16">
      <x:c r="A11301" s="0" t="s">
        <x:v>44513</x:v>
      </x:c>
      <x:c r="B11301" s="0" t="s">
        <x:v>44514</x:v>
      </x:c>
      <x:c r="C11301" s="0" t="s">
        <x:v>42840</x:v>
      </x:c>
      <x:c r="E11301" s="0" t="s">
        <x:v>44515</x:v>
      </x:c>
      <x:c r="F11301" s="0" t="s">
        <x:v>45</x:v>
      </x:c>
      <x:c r="G11301" s="0" t="s">
        <x:v>35</x:v>
      </x:c>
      <x:c r="H11301" s="0" t="s">
        <x:v>20</x:v>
      </x:c>
      <x:c r="I11301" s="0" t="s">
        <x:v>21</x:v>
      </x:c>
      <x:c r="K11301" s="0">
        <x:f>hyperlink("https://icd.who.int/dev11/l-ichi/en#/http%3A%2F%2Fid.who.int%2Ficd%2Fentity%2F282481264","browser")</x:f>
      </x:c>
      <x:c r="L11301" s="0">
        <x:f>hyperlink("https://icat2.azurewebsites.net/icat/?ontology=ICD&amp;tab=ClassesTab&amp;id=http%3A%2F%2Fwho.int%2Ficd%231706_b35e2f26_f485_4668_800f_7416297697bb","iCat")</x:f>
      </x:c>
      <x:c r="M11301" s="0" t="s">
        <x:v>21</x:v>
      </x:c>
      <x:c r="N11301" s="0" t="s">
        <x:v>46</x:v>
      </x:c>
    </x:row>
    <x:row r="11302" spans="1:16">
      <x:c r="A11302" s="0" t="s">
        <x:v>44516</x:v>
      </x:c>
      <x:c r="B11302" s="0" t="s">
        <x:v>44517</x:v>
      </x:c>
      <x:c r="C11302" s="0" t="s">
        <x:v>42840</x:v>
      </x:c>
      <x:c r="E11302" s="0" t="s">
        <x:v>44518</x:v>
      </x:c>
      <x:c r="F11302" s="0" t="s">
        <x:v>45</x:v>
      </x:c>
      <x:c r="G11302" s="0" t="s">
        <x:v>35</x:v>
      </x:c>
      <x:c r="H11302" s="0" t="s">
        <x:v>20</x:v>
      </x:c>
      <x:c r="I11302" s="0" t="s">
        <x:v>21</x:v>
      </x:c>
      <x:c r="K11302" s="0">
        <x:f>hyperlink("https://icd.who.int/dev11/l-ichi/en#/http%3A%2F%2Fid.who.int%2Ficd%2Fentity%2F2133321945","browser")</x:f>
      </x:c>
      <x:c r="L11302" s="0">
        <x:f>hyperlink("https://icat2.azurewebsites.net/icat/?ontology=ICD&amp;tab=ClassesTab&amp;id=http%3A%2F%2Fwho.int%2Ficd%231725_b35e2f26_f485_4668_800f_7416297697bb","iCat")</x:f>
      </x:c>
      <x:c r="M11302" s="0" t="s">
        <x:v>21</x:v>
      </x:c>
      <x:c r="N11302" s="0" t="s">
        <x:v>46</x:v>
      </x:c>
    </x:row>
    <x:row r="11303" spans="1:16">
      <x:c r="A11303" s="0" t="s">
        <x:v>44519</x:v>
      </x:c>
      <x:c r="B11303" s="0" t="s">
        <x:v>44520</x:v>
      </x:c>
      <x:c r="D11303" s="0" t="s">
        <x:v>44502</x:v>
      </x:c>
      <x:c r="E11303" s="0" t="s">
        <x:v>44521</x:v>
      </x:c>
      <x:c r="F11303" s="0" t="s">
        <x:v>26</x:v>
      </x:c>
      <x:c r="G11303" s="0" t="s">
        <x:v>35</x:v>
      </x:c>
      <x:c r="H11303" s="0" t="s">
        <x:v>20</x:v>
      </x:c>
      <x:c r="I11303" s="0" t="s">
        <x:v>21</x:v>
      </x:c>
      <x:c r="K11303" s="0">
        <x:f>hyperlink("https://icd.who.int/dev11/l-ichi/en#/http%3A%2F%2Fid.who.int%2Ficd%2Fentity%2F910012423","browser")</x:f>
      </x:c>
      <x:c r="L11303" s="0">
        <x:f>hyperlink("https://icat2.azurewebsites.net/icat/?ontology=ICD&amp;tab=ClassesTab&amp;id=http%3A%2F%2Fwho.int%2Ficd%23SpecificAnatomicLocation_1006","iCat")</x:f>
      </x:c>
      <x:c r="M11303" s="0" t="s">
        <x:v>20</x:v>
      </x:c>
      <x:c r="N11303" s="0" t="s">
        <x:v>30</x:v>
      </x:c>
    </x:row>
    <x:row r="11304" spans="1:16">
      <x:c r="A11304" s="0" t="s">
        <x:v>44522</x:v>
      </x:c>
      <x:c r="B11304" s="0" t="s">
        <x:v>44523</x:v>
      </x:c>
      <x:c r="D11304" s="0" t="s">
        <x:v>44524</x:v>
      </x:c>
      <x:c r="E11304" s="0" t="s">
        <x:v>44525</x:v>
      </x:c>
      <x:c r="F11304" s="0" t="s">
        <x:v>26</x:v>
      </x:c>
      <x:c r="G11304" s="0" t="s">
        <x:v>22</x:v>
      </x:c>
      <x:c r="H11304" s="0" t="s">
        <x:v>20</x:v>
      </x:c>
      <x:c r="I11304" s="0" t="s">
        <x:v>21</x:v>
      </x:c>
      <x:c r="K11304" s="0">
        <x:f>hyperlink("https://icd.who.int/dev11/l-ichi/en#/http%3A%2F%2Fid.who.int%2Ficd%2Fentity%2F1867340648","browser")</x:f>
      </x:c>
      <x:c r="L11304" s="0">
        <x:f>hyperlink("https://icat2.azurewebsites.net/icat/?ontology=ICD&amp;tab=ClassesTab&amp;id=http%3A%2F%2Fwho.int%2Ficd%234461_16e67c35_8b57_40bb_9220_818553425a8c","iCat")</x:f>
      </x:c>
      <x:c r="M11304" s="0" t="s">
        <x:v>20</x:v>
      </x:c>
      <x:c r="N11304" s="0" t="s">
        <x:v>30</x:v>
      </x:c>
    </x:row>
    <x:row r="11305" spans="1:16">
      <x:c r="A11305" s="0" t="s">
        <x:v>44526</x:v>
      </x:c>
      <x:c r="B11305" s="0" t="s">
        <x:v>44527</x:v>
      </x:c>
      <x:c r="C11305" s="0" t="s">
        <x:v>42840</x:v>
      </x:c>
      <x:c r="E11305" s="0" t="s">
        <x:v>44528</x:v>
      </x:c>
      <x:c r="F11305" s="0" t="s">
        <x:v>45</x:v>
      </x:c>
      <x:c r="G11305" s="0" t="s">
        <x:v>19</x:v>
      </x:c>
      <x:c r="H11305" s="0" t="s">
        <x:v>20</x:v>
      </x:c>
      <x:c r="I11305" s="0" t="s">
        <x:v>21</x:v>
      </x:c>
      <x:c r="K11305" s="0">
        <x:f>hyperlink("https://icd.who.int/dev11/l-ichi/en#/http%3A%2F%2Fid.who.int%2Ficd%2Fentity%2F198809973","browser")</x:f>
      </x:c>
      <x:c r="L11305" s="0">
        <x:f>hyperlink("https://icat2.azurewebsites.net/icat/?ontology=ICD&amp;tab=ClassesTab&amp;id=http%3A%2F%2Fwho.int%2Ficd%23SpecificAnatomicLocation_2900","iCat")</x:f>
      </x:c>
      <x:c r="M11305" s="0" t="s">
        <x:v>20</x:v>
      </x:c>
      <x:c r="N11305" s="0" t="s">
        <x:v>19</x:v>
      </x:c>
    </x:row>
    <x:row r="11306" spans="1:16">
      <x:c r="A11306" s="0" t="s">
        <x:v>44529</x:v>
      </x:c>
      <x:c r="B11306" s="0" t="s">
        <x:v>44530</x:v>
      </x:c>
      <x:c r="C11306" s="0" t="s">
        <x:v>42840</x:v>
      </x:c>
      <x:c r="E11306" s="0" t="s">
        <x:v>44531</x:v>
      </x:c>
      <x:c r="F11306" s="0" t="s">
        <x:v>45</x:v>
      </x:c>
      <x:c r="G11306" s="0" t="s">
        <x:v>30</x:v>
      </x:c>
      <x:c r="H11306" s="0" t="s">
        <x:v>20</x:v>
      </x:c>
      <x:c r="I11306" s="0" t="s">
        <x:v>21</x:v>
      </x:c>
      <x:c r="K11306" s="0">
        <x:f>hyperlink("https://icd.who.int/dev11/l-ichi/en#/http%3A%2F%2Fid.who.int%2Ficd%2Fentity%2F1682242339","browser")</x:f>
      </x:c>
      <x:c r="L11306" s="0">
        <x:f>hyperlink("https://icat2.azurewebsites.net/icat/?ontology=ICD&amp;tab=ClassesTab&amp;id=http%3A%2F%2Fwho.int%2Ficd%238367_1a025aad_bab4_45d3_85b5_2f8609f7d6c2","iCat")</x:f>
      </x:c>
      <x:c r="M11306" s="0" t="s">
        <x:v>21</x:v>
      </x:c>
      <x:c r="N11306" s="0" t="s">
        <x:v>46</x:v>
      </x:c>
    </x:row>
    <x:row r="11307" spans="1:16">
      <x:c r="A11307" s="0" t="s">
        <x:v>44532</x:v>
      </x:c>
      <x:c r="B11307" s="0" t="s">
        <x:v>44533</x:v>
      </x:c>
      <x:c r="C11307" s="0" t="s">
        <x:v>42840</x:v>
      </x:c>
      <x:c r="E11307" s="0" t="s">
        <x:v>44534</x:v>
      </x:c>
      <x:c r="F11307" s="0" t="s">
        <x:v>45</x:v>
      </x:c>
      <x:c r="G11307" s="0" t="s">
        <x:v>19</x:v>
      </x:c>
      <x:c r="H11307" s="0" t="s">
        <x:v>20</x:v>
      </x:c>
      <x:c r="I11307" s="0" t="s">
        <x:v>21</x:v>
      </x:c>
      <x:c r="K11307" s="0">
        <x:f>hyperlink("https://icd.who.int/dev11/l-ichi/en#/http%3A%2F%2Fid.who.int%2Ficd%2Fentity%2F579489467","browser")</x:f>
      </x:c>
      <x:c r="L11307" s="0">
        <x:f>hyperlink("https://icat2.azurewebsites.net/icat/?ontology=ICD&amp;tab=ClassesTab&amp;id=http%3A%2F%2Fwho.int%2Ficd%23SpecificAnatomicLocation_3056","iCat")</x:f>
      </x:c>
      <x:c r="M11307" s="0" t="s">
        <x:v>21</x:v>
      </x:c>
      <x:c r="N11307" s="0" t="s">
        <x:v>46</x:v>
      </x:c>
    </x:row>
    <x:row r="11308" spans="1:16">
      <x:c r="A11308" s="0" t="s">
        <x:v>44535</x:v>
      </x:c>
      <x:c r="B11308" s="0" t="s">
        <x:v>44536</x:v>
      </x:c>
      <x:c r="C11308" s="0" t="s">
        <x:v>42840</x:v>
      </x:c>
      <x:c r="E11308" s="0" t="s">
        <x:v>44537</x:v>
      </x:c>
      <x:c r="F11308" s="0" t="s">
        <x:v>45</x:v>
      </x:c>
      <x:c r="G11308" s="0" t="s">
        <x:v>19</x:v>
      </x:c>
      <x:c r="H11308" s="0" t="s">
        <x:v>20</x:v>
      </x:c>
      <x:c r="I11308" s="0" t="s">
        <x:v>21</x:v>
      </x:c>
      <x:c r="K11308" s="0">
        <x:f>hyperlink("https://icd.who.int/dev11/l-ichi/en#/http%3A%2F%2Fid.who.int%2Ficd%2Fentity%2F785854420","browser")</x:f>
      </x:c>
      <x:c r="L11308" s="0">
        <x:f>hyperlink("https://icat2.azurewebsites.net/icat/?ontology=ICD&amp;tab=ClassesTab&amp;id=http%3A%2F%2Fwho.int%2Ficd%2338307_5068053d_dbae_4066_9fec_a83d5dd174ab","iCat")</x:f>
      </x:c>
      <x:c r="M11308" s="0" t="s">
        <x:v>21</x:v>
      </x:c>
      <x:c r="N11308" s="0" t="s">
        <x:v>46</x:v>
      </x:c>
    </x:row>
    <x:row r="11309" spans="1:16">
      <x:c r="A11309" s="0" t="s">
        <x:v>44538</x:v>
      </x:c>
      <x:c r="B11309" s="0" t="s">
        <x:v>44539</x:v>
      </x:c>
      <x:c r="D11309" s="0" t="s">
        <x:v>44502</x:v>
      </x:c>
      <x:c r="E11309" s="0" t="s">
        <x:v>44540</x:v>
      </x:c>
      <x:c r="F11309" s="0" t="s">
        <x:v>26</x:v>
      </x:c>
      <x:c r="G11309" s="0" t="s">
        <x:v>35</x:v>
      </x:c>
      <x:c r="H11309" s="0" t="s">
        <x:v>20</x:v>
      </x:c>
      <x:c r="I11309" s="0" t="s">
        <x:v>21</x:v>
      </x:c>
      <x:c r="K11309" s="0">
        <x:f>hyperlink("https://icd.who.int/dev11/l-ichi/en#/http%3A%2F%2Fid.who.int%2Ficd%2Fentity%2F340179422","browser")</x:f>
      </x:c>
      <x:c r="L11309" s="0">
        <x:f>hyperlink("https://icat2.azurewebsites.net/icat/?ontology=ICD&amp;tab=ClassesTab&amp;id=http%3A%2F%2Fwho.int%2Ficd%23SpecificAnatomicLocation_1012","iCat")</x:f>
      </x:c>
      <x:c r="M11309" s="0" t="s">
        <x:v>20</x:v>
      </x:c>
      <x:c r="N11309" s="0" t="s">
        <x:v>22</x:v>
      </x:c>
    </x:row>
    <x:row r="11310" spans="1:16">
      <x:c r="A11310" s="0" t="s">
        <x:v>44541</x:v>
      </x:c>
      <x:c r="B11310" s="0" t="s">
        <x:v>44542</x:v>
      </x:c>
      <x:c r="C11310" s="0" t="s">
        <x:v>42840</x:v>
      </x:c>
      <x:c r="E11310" s="0" t="s">
        <x:v>44543</x:v>
      </x:c>
      <x:c r="F11310" s="0" t="s">
        <x:v>45</x:v>
      </x:c>
      <x:c r="G11310" s="0" t="s">
        <x:v>19</x:v>
      </x:c>
      <x:c r="H11310" s="0" t="s">
        <x:v>20</x:v>
      </x:c>
      <x:c r="I11310" s="0" t="s">
        <x:v>21</x:v>
      </x:c>
      <x:c r="K11310" s="0">
        <x:f>hyperlink("https://icd.who.int/dev11/l-ichi/en#/http%3A%2F%2Fid.who.int%2Ficd%2Fentity%2F974549086","browser")</x:f>
      </x:c>
      <x:c r="L11310" s="0">
        <x:f>hyperlink("https://icat2.azurewebsites.net/icat/?ontology=ICD&amp;tab=ClassesTab&amp;id=http%3A%2F%2Fwho.int%2Ficd%23SpecificAnatomicLocation_1010","iCat")</x:f>
      </x:c>
      <x:c r="M11310" s="0" t="s">
        <x:v>20</x:v>
      </x:c>
      <x:c r="N11310" s="0" t="s">
        <x:v>30</x:v>
      </x:c>
    </x:row>
    <x:row r="11311" spans="1:16">
      <x:c r="A11311" s="0" t="s">
        <x:v>44544</x:v>
      </x:c>
      <x:c r="B11311" s="0" t="s">
        <x:v>44545</x:v>
      </x:c>
      <x:c r="C11311" s="0" t="s">
        <x:v>42840</x:v>
      </x:c>
      <x:c r="E11311" s="0" t="s">
        <x:v>44546</x:v>
      </x:c>
      <x:c r="F11311" s="0" t="s">
        <x:v>45</x:v>
      </x:c>
      <x:c r="G11311" s="0" t="s">
        <x:v>30</x:v>
      </x:c>
      <x:c r="H11311" s="0" t="s">
        <x:v>20</x:v>
      </x:c>
      <x:c r="I11311" s="0" t="s">
        <x:v>21</x:v>
      </x:c>
      <x:c r="K11311" s="0">
        <x:f>hyperlink("https://icd.who.int/dev11/l-ichi/en#/http%3A%2F%2Fid.who.int%2Ficd%2Fentity%2F1537714794","browser")</x:f>
      </x:c>
      <x:c r="L11311" s="0">
        <x:f>hyperlink("https://icat2.azurewebsites.net/icat/?ontology=ICD&amp;tab=ClassesTab&amp;id=http%3A%2F%2Fwho.int%2Ficd%23SpecificAnatomicLocation_2943","iCat")</x:f>
      </x:c>
      <x:c r="M11311" s="0" t="s">
        <x:v>20</x:v>
      </x:c>
      <x:c r="N11311" s="0" t="s">
        <x:v>40</x:v>
      </x:c>
    </x:row>
    <x:row r="11312" spans="1:16">
      <x:c r="A11312" s="0" t="s">
        <x:v>44547</x:v>
      </x:c>
      <x:c r="B11312" s="0" t="s">
        <x:v>44548</x:v>
      </x:c>
      <x:c r="C11312" s="0" t="s">
        <x:v>42840</x:v>
      </x:c>
      <x:c r="E11312" s="0" t="s">
        <x:v>44549</x:v>
      </x:c>
      <x:c r="F11312" s="0" t="s">
        <x:v>45</x:v>
      </x:c>
      <x:c r="G11312" s="0" t="s">
        <x:v>35</x:v>
      </x:c>
      <x:c r="H11312" s="0" t="s">
        <x:v>20</x:v>
      </x:c>
      <x:c r="I11312" s="0" t="s">
        <x:v>21</x:v>
      </x:c>
      <x:c r="K11312" s="0">
        <x:f>hyperlink("https://icd.who.int/dev11/l-ichi/en#/http%3A%2F%2Fid.who.int%2Ficd%2Fentity%2F1979147242","browser")</x:f>
      </x:c>
      <x:c r="L11312" s="0">
        <x:f>hyperlink("https://icat2.azurewebsites.net/icat/?ontology=ICD&amp;tab=ClassesTab&amp;id=http%3A%2F%2Fwho.int%2Ficd%23SpecificAnatomicLocation_2941","iCat")</x:f>
      </x:c>
      <x:c r="M11312" s="0" t="s">
        <x:v>20</x:v>
      </x:c>
      <x:c r="N11312" s="0" t="s">
        <x:v>40</x:v>
      </x:c>
    </x:row>
    <x:row r="11313" spans="1:16">
      <x:c r="A11313" s="0" t="s">
        <x:v>44550</x:v>
      </x:c>
      <x:c r="B11313" s="0" t="s">
        <x:v>44551</x:v>
      </x:c>
      <x:c r="C11313" s="0" t="s">
        <x:v>42840</x:v>
      </x:c>
      <x:c r="E11313" s="0" t="s">
        <x:v>44552</x:v>
      </x:c>
      <x:c r="F11313" s="0" t="s">
        <x:v>45</x:v>
      </x:c>
      <x:c r="G11313" s="0" t="s">
        <x:v>22</x:v>
      </x:c>
      <x:c r="H11313" s="0" t="s">
        <x:v>20</x:v>
      </x:c>
      <x:c r="I11313" s="0" t="s">
        <x:v>21</x:v>
      </x:c>
      <x:c r="K11313" s="0">
        <x:f>hyperlink("https://icd.who.int/dev11/l-ichi/en#/http%3A%2F%2Fid.who.int%2Ficd%2Fentity%2F1243042431","browser")</x:f>
      </x:c>
      <x:c r="L11313" s="0">
        <x:f>hyperlink("https://icat2.azurewebsites.net/icat/?ontology=ICD&amp;tab=ClassesTab&amp;id=http%3A%2F%2Fwho.int%2Ficd%231651_9e276f94_8a58_44b1_9833_7049a406a459","iCat")</x:f>
      </x:c>
      <x:c r="M11313" s="0" t="s">
        <x:v>21</x:v>
      </x:c>
      <x:c r="N11313" s="0" t="s">
        <x:v>46</x:v>
      </x:c>
    </x:row>
    <x:row r="11314" spans="1:16">
      <x:c r="A11314" s="0" t="s">
        <x:v>44553</x:v>
      </x:c>
      <x:c r="B11314" s="0" t="s">
        <x:v>44554</x:v>
      </x:c>
      <x:c r="C11314" s="0" t="s">
        <x:v>42840</x:v>
      </x:c>
      <x:c r="E11314" s="0" t="s">
        <x:v>44555</x:v>
      </x:c>
      <x:c r="F11314" s="0" t="s">
        <x:v>45</x:v>
      </x:c>
      <x:c r="G11314" s="0" t="s">
        <x:v>22</x:v>
      </x:c>
      <x:c r="H11314" s="0" t="s">
        <x:v>20</x:v>
      </x:c>
      <x:c r="I11314" s="0" t="s">
        <x:v>21</x:v>
      </x:c>
      <x:c r="K11314" s="0">
        <x:f>hyperlink("https://icd.who.int/dev11/l-ichi/en#/http%3A%2F%2Fid.who.int%2Ficd%2Fentity%2F536810562","browser")</x:f>
      </x:c>
      <x:c r="L11314" s="0">
        <x:f>hyperlink("https://icat2.azurewebsites.net/icat/?ontology=ICD&amp;tab=ClassesTab&amp;id=http%3A%2F%2Fwho.int%2Ficd%231687_9e276f94_8a58_44b1_9833_7049a406a459","iCat")</x:f>
      </x:c>
      <x:c r="M11314" s="0" t="s">
        <x:v>21</x:v>
      </x:c>
      <x:c r="N11314" s="0" t="s">
        <x:v>46</x:v>
      </x:c>
    </x:row>
    <x:row r="11315" spans="1:16">
      <x:c r="A11315" s="0" t="s">
        <x:v>44556</x:v>
      </x:c>
      <x:c r="B11315" s="0" t="s">
        <x:v>44557</x:v>
      </x:c>
      <x:c r="C11315" s="0" t="s">
        <x:v>42840</x:v>
      </x:c>
      <x:c r="E11315" s="0" t="s">
        <x:v>44558</x:v>
      </x:c>
      <x:c r="F11315" s="0" t="s">
        <x:v>45</x:v>
      </x:c>
      <x:c r="G11315" s="0" t="s">
        <x:v>22</x:v>
      </x:c>
      <x:c r="H11315" s="0" t="s">
        <x:v>20</x:v>
      </x:c>
      <x:c r="I11315" s="0" t="s">
        <x:v>21</x:v>
      </x:c>
      <x:c r="K11315" s="0">
        <x:f>hyperlink("https://icd.who.int/dev11/l-ichi/en#/http%3A%2F%2Fid.who.int%2Ficd%2Fentity%2F1143431981","browser")</x:f>
      </x:c>
      <x:c r="L11315" s="0">
        <x:f>hyperlink("https://icat2.azurewebsites.net/icat/?ontology=ICD&amp;tab=ClassesTab&amp;id=http%3A%2F%2Fwho.int%2Ficd%231669_9e276f94_8a58_44b1_9833_7049a406a459","iCat")</x:f>
      </x:c>
      <x:c r="M11315" s="0" t="s">
        <x:v>21</x:v>
      </x:c>
      <x:c r="N11315" s="0" t="s">
        <x:v>46</x:v>
      </x:c>
    </x:row>
    <x:row r="11316" spans="1:16">
      <x:c r="A11316" s="0" t="s">
        <x:v>44559</x:v>
      </x:c>
      <x:c r="B11316" s="0" t="s">
        <x:v>44560</x:v>
      </x:c>
      <x:c r="C11316" s="0" t="s">
        <x:v>42840</x:v>
      </x:c>
      <x:c r="E11316" s="0" t="s">
        <x:v>44561</x:v>
      </x:c>
      <x:c r="F11316" s="0" t="s">
        <x:v>45</x:v>
      </x:c>
      <x:c r="G11316" s="0" t="s">
        <x:v>22</x:v>
      </x:c>
      <x:c r="H11316" s="0" t="s">
        <x:v>20</x:v>
      </x:c>
      <x:c r="I11316" s="0" t="s">
        <x:v>21</x:v>
      </x:c>
      <x:c r="K11316" s="0">
        <x:f>hyperlink("https://icd.who.int/dev11/l-ichi/en#/http%3A%2F%2Fid.who.int%2Ficd%2Fentity%2F613924498","browser")</x:f>
      </x:c>
      <x:c r="L11316" s="0">
        <x:f>hyperlink("https://icat2.azurewebsites.net/icat/?ontology=ICD&amp;tab=ClassesTab&amp;id=http%3A%2F%2Fwho.int%2Ficd%23SpecificAnatomicLocation_2919","iCat")</x:f>
      </x:c>
      <x:c r="M11316" s="0" t="s">
        <x:v>21</x:v>
      </x:c>
      <x:c r="N11316" s="0" t="s">
        <x:v>46</x:v>
      </x:c>
    </x:row>
    <x:row r="11317" spans="1:16">
      <x:c r="A11317" s="0" t="s">
        <x:v>44562</x:v>
      </x:c>
      <x:c r="B11317" s="0" t="s">
        <x:v>44563</x:v>
      </x:c>
      <x:c r="C11317" s="0" t="s">
        <x:v>42840</x:v>
      </x:c>
      <x:c r="E11317" s="0" t="s">
        <x:v>44564</x:v>
      </x:c>
      <x:c r="F11317" s="0" t="s">
        <x:v>45</x:v>
      </x:c>
      <x:c r="G11317" s="0" t="s">
        <x:v>22</x:v>
      </x:c>
      <x:c r="H11317" s="0" t="s">
        <x:v>20</x:v>
      </x:c>
      <x:c r="I11317" s="0" t="s">
        <x:v>21</x:v>
      </x:c>
      <x:c r="K11317" s="0">
        <x:f>hyperlink("https://icd.who.int/dev11/l-ichi/en#/http%3A%2F%2Fid.who.int%2Ficd%2Fentity%2F1753770831","browser")</x:f>
      </x:c>
      <x:c r="L11317" s="0">
        <x:f>hyperlink("https://icat2.azurewebsites.net/icat/?ontology=ICD&amp;tab=ClassesTab&amp;id=http%3A%2F%2Fwho.int%2Ficd%23270_d9027f82_5e3d_47a4_a6fe_3c65954dde3a","iCat")</x:f>
      </x:c>
      <x:c r="M11317" s="0" t="s">
        <x:v>20</x:v>
      </x:c>
      <x:c r="N11317" s="0" t="s">
        <x:v>30</x:v>
      </x:c>
    </x:row>
    <x:row r="11318" spans="1:16">
      <x:c r="A11318" s="0" t="s">
        <x:v>44565</x:v>
      </x:c>
      <x:c r="B11318" s="0" t="s">
        <x:v>44566</x:v>
      </x:c>
      <x:c r="C11318" s="0" t="s">
        <x:v>42840</x:v>
      </x:c>
      <x:c r="E11318" s="0" t="s">
        <x:v>44567</x:v>
      </x:c>
      <x:c r="F11318" s="0" t="s">
        <x:v>45</x:v>
      </x:c>
      <x:c r="G11318" s="0" t="s">
        <x:v>40</x:v>
      </x:c>
      <x:c r="H11318" s="0" t="s">
        <x:v>20</x:v>
      </x:c>
      <x:c r="I11318" s="0" t="s">
        <x:v>21</x:v>
      </x:c>
      <x:c r="K11318" s="0">
        <x:f>hyperlink("https://icd.who.int/dev11/l-ichi/en#/http%3A%2F%2Fid.who.int%2Ficd%2Fentity%2F907939357","browser")</x:f>
      </x:c>
      <x:c r="L11318" s="0">
        <x:f>hyperlink("https://icat2.azurewebsites.net/icat/?ontology=ICD&amp;tab=ClassesTab&amp;id=http%3A%2F%2Fwho.int%2Ficd%23SpecificAnatomicLocation_2937","iCat")</x:f>
      </x:c>
      <x:c r="M11318" s="0" t="s">
        <x:v>21</x:v>
      </x:c>
      <x:c r="N11318" s="0" t="s">
        <x:v>46</x:v>
      </x:c>
    </x:row>
    <x:row r="11319" spans="1:16">
      <x:c r="A11319" s="0" t="s">
        <x:v>44568</x:v>
      </x:c>
      <x:c r="B11319" s="0" t="s">
        <x:v>44569</x:v>
      </x:c>
      <x:c r="C11319" s="0" t="s">
        <x:v>42840</x:v>
      </x:c>
      <x:c r="E11319" s="0" t="s">
        <x:v>44570</x:v>
      </x:c>
      <x:c r="F11319" s="0" t="s">
        <x:v>45</x:v>
      </x:c>
      <x:c r="G11319" s="0" t="s">
        <x:v>40</x:v>
      </x:c>
      <x:c r="H11319" s="0" t="s">
        <x:v>20</x:v>
      </x:c>
      <x:c r="I11319" s="0" t="s">
        <x:v>21</x:v>
      </x:c>
      <x:c r="K11319" s="0">
        <x:f>hyperlink("https://icd.who.int/dev11/l-ichi/en#/http%3A%2F%2Fid.who.int%2Ficd%2Fentity%2F1085519869","browser")</x:f>
      </x:c>
      <x:c r="L11319" s="0">
        <x:f>hyperlink("https://icat2.azurewebsites.net/icat/?ontology=ICD&amp;tab=ClassesTab&amp;id=http%3A%2F%2Fwho.int%2Ficd%231744_9e276f94_8a58_44b1_9833_7049a406a459","iCat")</x:f>
      </x:c>
      <x:c r="M11319" s="0" t="s">
        <x:v>21</x:v>
      </x:c>
      <x:c r="N11319" s="0" t="s">
        <x:v>46</x:v>
      </x:c>
    </x:row>
    <x:row r="11320" spans="1:16">
      <x:c r="A11320" s="0" t="s">
        <x:v>44571</x:v>
      </x:c>
      <x:c r="B11320" s="0" t="s">
        <x:v>44572</x:v>
      </x:c>
      <x:c r="C11320" s="0" t="s">
        <x:v>42840</x:v>
      </x:c>
      <x:c r="E11320" s="0" t="s">
        <x:v>44573</x:v>
      </x:c>
      <x:c r="F11320" s="0" t="s">
        <x:v>45</x:v>
      </x:c>
      <x:c r="G11320" s="0" t="s">
        <x:v>35</x:v>
      </x:c>
      <x:c r="H11320" s="0" t="s">
        <x:v>20</x:v>
      </x:c>
      <x:c r="I11320" s="0" t="s">
        <x:v>21</x:v>
      </x:c>
      <x:c r="K11320" s="0">
        <x:f>hyperlink("https://icd.who.int/dev11/l-ichi/en#/http%3A%2F%2Fid.who.int%2Ficd%2Fentity%2F1284492970","browser")</x:f>
      </x:c>
      <x:c r="L11320" s="0">
        <x:f>hyperlink("https://icat2.azurewebsites.net/icat/?ontology=ICD&amp;tab=ClassesTab&amp;id=http%3A%2F%2Fwho.int%2Ficd%23SpecificAnatomicLocation_2942","iCat")</x:f>
      </x:c>
      <x:c r="M11320" s="0" t="s">
        <x:v>20</x:v>
      </x:c>
      <x:c r="N11320" s="0" t="s">
        <x:v>35</x:v>
      </x:c>
    </x:row>
    <x:row r="11321" spans="1:16">
      <x:c r="A11321" s="0" t="s">
        <x:v>44574</x:v>
      </x:c>
      <x:c r="B11321" s="0" t="s">
        <x:v>44575</x:v>
      </x:c>
      <x:c r="C11321" s="0" t="s">
        <x:v>42840</x:v>
      </x:c>
      <x:c r="E11321" s="0" t="s">
        <x:v>44576</x:v>
      </x:c>
      <x:c r="F11321" s="0" t="s">
        <x:v>45</x:v>
      </x:c>
      <x:c r="G11321" s="0" t="s">
        <x:v>22</x:v>
      </x:c>
      <x:c r="H11321" s="0" t="s">
        <x:v>20</x:v>
      </x:c>
      <x:c r="I11321" s="0" t="s">
        <x:v>21</x:v>
      </x:c>
      <x:c r="K11321" s="0">
        <x:f>hyperlink("https://icd.who.int/dev11/l-ichi/en#/http%3A%2F%2Fid.who.int%2Ficd%2Fentity%2F259507478","browser")</x:f>
      </x:c>
      <x:c r="L11321" s="0">
        <x:f>hyperlink("https://icat2.azurewebsites.net/icat/?ontology=ICD&amp;tab=ClassesTab&amp;id=http%3A%2F%2Fwho.int%2Ficd%231615_9e276f94_8a58_44b1_9833_7049a406a459","iCat")</x:f>
      </x:c>
      <x:c r="M11321" s="0" t="s">
        <x:v>21</x:v>
      </x:c>
      <x:c r="N11321" s="0" t="s">
        <x:v>46</x:v>
      </x:c>
    </x:row>
    <x:row r="11322" spans="1:16">
      <x:c r="A11322" s="0" t="s">
        <x:v>44577</x:v>
      </x:c>
      <x:c r="B11322" s="0" t="s">
        <x:v>44578</x:v>
      </x:c>
      <x:c r="C11322" s="0" t="s">
        <x:v>42840</x:v>
      </x:c>
      <x:c r="E11322" s="0" t="s">
        <x:v>44579</x:v>
      </x:c>
      <x:c r="F11322" s="0" t="s">
        <x:v>45</x:v>
      </x:c>
      <x:c r="G11322" s="0" t="s">
        <x:v>22</x:v>
      </x:c>
      <x:c r="H11322" s="0" t="s">
        <x:v>20</x:v>
      </x:c>
      <x:c r="I11322" s="0" t="s">
        <x:v>21</x:v>
      </x:c>
      <x:c r="K11322" s="0">
        <x:f>hyperlink("https://icd.who.int/dev11/l-ichi/en#/http%3A%2F%2Fid.who.int%2Ficd%2Fentity%2F342177102","browser")</x:f>
      </x:c>
      <x:c r="L11322" s="0">
        <x:f>hyperlink("https://icat2.azurewebsites.net/icat/?ontology=ICD&amp;tab=ClassesTab&amp;id=http%3A%2F%2Fwho.int%2Ficd%231597_9e276f94_8a58_44b1_9833_7049a406a459","iCat")</x:f>
      </x:c>
      <x:c r="M11322" s="0" t="s">
        <x:v>21</x:v>
      </x:c>
      <x:c r="N11322" s="0" t="s">
        <x:v>46</x:v>
      </x:c>
    </x:row>
    <x:row r="11323" spans="1:16">
      <x:c r="A11323" s="0" t="s">
        <x:v>44580</x:v>
      </x:c>
      <x:c r="B11323" s="0" t="s">
        <x:v>44581</x:v>
      </x:c>
      <x:c r="C11323" s="0" t="s">
        <x:v>42840</x:v>
      </x:c>
      <x:c r="E11323" s="0" t="s">
        <x:v>44582</x:v>
      </x:c>
      <x:c r="F11323" s="0" t="s">
        <x:v>45</x:v>
      </x:c>
      <x:c r="G11323" s="0" t="s">
        <x:v>22</x:v>
      </x:c>
      <x:c r="H11323" s="0" t="s">
        <x:v>20</x:v>
      </x:c>
      <x:c r="I11323" s="0" t="s">
        <x:v>21</x:v>
      </x:c>
      <x:c r="K11323" s="0">
        <x:f>hyperlink("https://icd.who.int/dev11/l-ichi/en#/http%3A%2F%2Fid.who.int%2Ficd%2Fentity%2F1970850295","browser")</x:f>
      </x:c>
      <x:c r="L11323" s="0">
        <x:f>hyperlink("https://icat2.azurewebsites.net/icat/?ontology=ICD&amp;tab=ClassesTab&amp;id=http%3A%2F%2Fwho.int%2Ficd%231633_9e276f94_8a58_44b1_9833_7049a406a459","iCat")</x:f>
      </x:c>
      <x:c r="M11323" s="0" t="s">
        <x:v>21</x:v>
      </x:c>
      <x:c r="N11323" s="0" t="s">
        <x:v>46</x:v>
      </x:c>
    </x:row>
    <x:row r="11324" spans="1:16">
      <x:c r="A11324" s="0" t="s">
        <x:v>44583</x:v>
      </x:c>
      <x:c r="B11324" s="0" t="s">
        <x:v>44584</x:v>
      </x:c>
      <x:c r="C11324" s="0" t="s">
        <x:v>42840</x:v>
      </x:c>
      <x:c r="E11324" s="0" t="s">
        <x:v>44585</x:v>
      </x:c>
      <x:c r="F11324" s="0" t="s">
        <x:v>45</x:v>
      </x:c>
      <x:c r="G11324" s="0" t="s">
        <x:v>35</x:v>
      </x:c>
      <x:c r="H11324" s="0" t="s">
        <x:v>20</x:v>
      </x:c>
      <x:c r="I11324" s="0" t="s">
        <x:v>21</x:v>
      </x:c>
      <x:c r="K11324" s="0">
        <x:f>hyperlink("https://icd.who.int/dev11/l-ichi/en#/http%3A%2F%2Fid.who.int%2Ficd%2Fentity%2F360442275","browser")</x:f>
      </x:c>
      <x:c r="L11324" s="0">
        <x:f>hyperlink("https://icat2.azurewebsites.net/icat/?ontology=ICD&amp;tab=ClassesTab&amp;id=http%3A%2F%2Fwho.int%2Ficd%23SpecificAnatomicLocation_2938","iCat")</x:f>
      </x:c>
      <x:c r="M11324" s="0" t="s">
        <x:v>21</x:v>
      </x:c>
      <x:c r="N11324" s="0" t="s">
        <x:v>46</x:v>
      </x:c>
    </x:row>
    <x:row r="11325" spans="1:16">
      <x:c r="A11325" s="0" t="s">
        <x:v>44586</x:v>
      </x:c>
      <x:c r="B11325" s="0" t="s">
        <x:v>44587</x:v>
      </x:c>
      <x:c r="C11325" s="0" t="s">
        <x:v>42840</x:v>
      </x:c>
      <x:c r="E11325" s="0" t="s">
        <x:v>44588</x:v>
      </x:c>
      <x:c r="F11325" s="0" t="s">
        <x:v>45</x:v>
      </x:c>
      <x:c r="G11325" s="0" t="s">
        <x:v>35</x:v>
      </x:c>
      <x:c r="H11325" s="0" t="s">
        <x:v>20</x:v>
      </x:c>
      <x:c r="I11325" s="0" t="s">
        <x:v>21</x:v>
      </x:c>
      <x:c r="K11325" s="0">
        <x:f>hyperlink("https://icd.who.int/dev11/l-ichi/en#/http%3A%2F%2Fid.who.int%2Ficd%2Fentity%2F1658783530","browser")</x:f>
      </x:c>
      <x:c r="L11325" s="0">
        <x:f>hyperlink("https://icat2.azurewebsites.net/icat/?ontology=ICD&amp;tab=ClassesTab&amp;id=http%3A%2F%2Fwho.int%2Ficd%23SpecificAnatomicLocation_2940","iCat")</x:f>
      </x:c>
      <x:c r="M11325" s="0" t="s">
        <x:v>21</x:v>
      </x:c>
      <x:c r="N11325" s="0" t="s">
        <x:v>46</x:v>
      </x:c>
    </x:row>
    <x:row r="11326" spans="1:16">
      <x:c r="A11326" s="0" t="s">
        <x:v>44589</x:v>
      </x:c>
      <x:c r="B11326" s="0" t="s">
        <x:v>44590</x:v>
      </x:c>
      <x:c r="C11326" s="0" t="s">
        <x:v>42840</x:v>
      </x:c>
      <x:c r="E11326" s="0" t="s">
        <x:v>44591</x:v>
      </x:c>
      <x:c r="F11326" s="0" t="s">
        <x:v>45</x:v>
      </x:c>
      <x:c r="G11326" s="0" t="s">
        <x:v>35</x:v>
      </x:c>
      <x:c r="H11326" s="0" t="s">
        <x:v>20</x:v>
      </x:c>
      <x:c r="I11326" s="0" t="s">
        <x:v>21</x:v>
      </x:c>
      <x:c r="K11326" s="0">
        <x:f>hyperlink("https://icd.who.int/dev11/l-ichi/en#/http%3A%2F%2Fid.who.int%2Ficd%2Fentity%2F39030115","browser")</x:f>
      </x:c>
      <x:c r="L11326" s="0">
        <x:f>hyperlink("https://icat2.azurewebsites.net/icat/?ontology=ICD&amp;tab=ClassesTab&amp;id=http%3A%2F%2Fwho.int%2Ficd%23SpecificAnatomicLocation_2939","iCat")</x:f>
      </x:c>
      <x:c r="M11326" s="0" t="s">
        <x:v>21</x:v>
      </x:c>
      <x:c r="N11326" s="0" t="s">
        <x:v>46</x:v>
      </x:c>
    </x:row>
    <x:row r="11327" spans="1:16">
      <x:c r="A11327" s="0" t="s">
        <x:v>44592</x:v>
      </x:c>
      <x:c r="B11327" s="0" t="s">
        <x:v>44593</x:v>
      </x:c>
      <x:c r="C11327" s="0" t="s">
        <x:v>42840</x:v>
      </x:c>
      <x:c r="E11327" s="0" t="s">
        <x:v>69</x:v>
      </x:c>
      <x:c r="F11327" s="0" t="s">
        <x:v>45</x:v>
      </x:c>
      <x:c r="G11327" s="0" t="s">
        <x:v>30</x:v>
      </x:c>
      <x:c r="H11327" s="0" t="s">
        <x:v>20</x:v>
      </x:c>
      <x:c r="I11327" s="0" t="s">
        <x:v>21</x:v>
      </x:c>
      <x:c r="K11327" s="0">
        <x:f>hyperlink("https://icd.who.int/dev11/l-ichi/en#/http%3A%2F%2Fid.who.int%2Ficd%2Fentity%2F1150229943","browser")</x:f>
      </x:c>
      <x:c r="L11327" s="0">
        <x:f>hyperlink("https://icat2.azurewebsites.net/icat/?ontology=ICD&amp;tab=ClassesTab&amp;id=http%3A%2F%2Fwho.int%2Ficd%23SpecificAnatomicLocation_1195","iCat")</x:f>
      </x:c>
      <x:c r="M11327" s="0" t="s">
        <x:v>20</x:v>
      </x:c>
      <x:c r="N11327" s="0" t="s">
        <x:v>22</x:v>
      </x:c>
    </x:row>
    <x:row r="11328" spans="1:16">
      <x:c r="A11328" s="0" t="s">
        <x:v>44594</x:v>
      </x:c>
      <x:c r="B11328" s="0" t="s">
        <x:v>44595</x:v>
      </x:c>
      <x:c r="C11328" s="0" t="s">
        <x:v>42840</x:v>
      </x:c>
      <x:c r="E11328" s="0" t="s">
        <x:v>44596</x:v>
      </x:c>
      <x:c r="F11328" s="0" t="s">
        <x:v>45</x:v>
      </x:c>
      <x:c r="G11328" s="0" t="s">
        <x:v>35</x:v>
      </x:c>
      <x:c r="H11328" s="0" t="s">
        <x:v>20</x:v>
      </x:c>
      <x:c r="I11328" s="0" t="s">
        <x:v>21</x:v>
      </x:c>
      <x:c r="K11328" s="0">
        <x:f>hyperlink("https://icd.who.int/dev11/l-ichi/en#/http%3A%2F%2Fid.who.int%2Ficd%2Fentity%2F559293431","browser")</x:f>
      </x:c>
      <x:c r="L11328" s="0">
        <x:f>hyperlink("https://icat2.azurewebsites.net/icat/?ontology=ICD&amp;tab=ClassesTab&amp;id=http%3A%2F%2Fwho.int%2Ficd%23SpecificAnatomicLocation_1192","iCat")</x:f>
      </x:c>
      <x:c r="M11328" s="0" t="s">
        <x:v>20</x:v>
      </x:c>
      <x:c r="N11328" s="0" t="s">
        <x:v>119</x:v>
      </x:c>
    </x:row>
    <x:row r="11329" spans="1:16">
      <x:c r="A11329" s="0" t="s">
        <x:v>44597</x:v>
      </x:c>
      <x:c r="B11329" s="0" t="s">
        <x:v>44598</x:v>
      </x:c>
      <x:c r="C11329" s="0" t="s">
        <x:v>42840</x:v>
      </x:c>
      <x:c r="E11329" s="0" t="s">
        <x:v>44599</x:v>
      </x:c>
      <x:c r="F11329" s="0" t="s">
        <x:v>45</x:v>
      </x:c>
      <x:c r="G11329" s="0" t="s">
        <x:v>22</x:v>
      </x:c>
      <x:c r="H11329" s="0" t="s">
        <x:v>20</x:v>
      </x:c>
      <x:c r="I11329" s="0" t="s">
        <x:v>21</x:v>
      </x:c>
      <x:c r="K11329" s="0">
        <x:f>hyperlink("https://icd.who.int/dev11/l-ichi/en#/http%3A%2F%2Fid.who.int%2Ficd%2Fentity%2F1700621186","browser")</x:f>
      </x:c>
      <x:c r="L11329" s="0">
        <x:f>hyperlink("https://icat2.azurewebsites.net/icat/?ontology=ICD&amp;tab=ClassesTab&amp;id=http%3A%2F%2Fwho.int%2Ficd%236536_b42302c6_9ff1_412e_a40f_2f411ad4c932","iCat")</x:f>
      </x:c>
      <x:c r="M11329" s="0" t="s">
        <x:v>21</x:v>
      </x:c>
      <x:c r="N11329" s="0" t="s">
        <x:v>46</x:v>
      </x:c>
    </x:row>
    <x:row r="11330" spans="1:16">
      <x:c r="A11330" s="0" t="s">
        <x:v>44600</x:v>
      </x:c>
      <x:c r="B11330" s="0" t="s">
        <x:v>44601</x:v>
      </x:c>
      <x:c r="C11330" s="0" t="s">
        <x:v>42840</x:v>
      </x:c>
      <x:c r="E11330" s="0" t="s">
        <x:v>44602</x:v>
      </x:c>
      <x:c r="F11330" s="0" t="s">
        <x:v>45</x:v>
      </x:c>
      <x:c r="G11330" s="0" t="s">
        <x:v>22</x:v>
      </x:c>
      <x:c r="H11330" s="0" t="s">
        <x:v>20</x:v>
      </x:c>
      <x:c r="I11330" s="0" t="s">
        <x:v>21</x:v>
      </x:c>
      <x:c r="K11330" s="0">
        <x:f>hyperlink("https://icd.who.int/dev11/l-ichi/en#/http%3A%2F%2Fid.who.int%2Ficd%2Fentity%2F1513287692","browser")</x:f>
      </x:c>
      <x:c r="L11330" s="0">
        <x:f>hyperlink("https://icat2.azurewebsites.net/icat/?ontology=ICD&amp;tab=ClassesTab&amp;id=http%3A%2F%2Fwho.int%2Ficd%236554_b42302c6_9ff1_412e_a40f_2f411ad4c932","iCat")</x:f>
      </x:c>
      <x:c r="M11330" s="0" t="s">
        <x:v>21</x:v>
      </x:c>
      <x:c r="N11330" s="0" t="s">
        <x:v>46</x:v>
      </x:c>
    </x:row>
    <x:row r="11331" spans="1:16">
      <x:c r="A11331" s="0" t="s">
        <x:v>44603</x:v>
      </x:c>
      <x:c r="B11331" s="0" t="s">
        <x:v>44604</x:v>
      </x:c>
      <x:c r="C11331" s="0" t="s">
        <x:v>42840</x:v>
      </x:c>
      <x:c r="E11331" s="0" t="s">
        <x:v>44605</x:v>
      </x:c>
      <x:c r="F11331" s="0" t="s">
        <x:v>45</x:v>
      </x:c>
      <x:c r="G11331" s="0" t="s">
        <x:v>22</x:v>
      </x:c>
      <x:c r="H11331" s="0" t="s">
        <x:v>20</x:v>
      </x:c>
      <x:c r="I11331" s="0" t="s">
        <x:v>21</x:v>
      </x:c>
      <x:c r="K11331" s="0">
        <x:f>hyperlink("https://icd.who.int/dev11/l-ichi/en#/http%3A%2F%2Fid.who.int%2Ficd%2Fentity%2F540933355","browser")</x:f>
      </x:c>
      <x:c r="L11331" s="0">
        <x:f>hyperlink("https://icat2.azurewebsites.net/icat/?ontology=ICD&amp;tab=ClassesTab&amp;id=http%3A%2F%2Fwho.int%2Ficd%236572_b42302c6_9ff1_412e_a40f_2f411ad4c932","iCat")</x:f>
      </x:c>
      <x:c r="M11331" s="0" t="s">
        <x:v>21</x:v>
      </x:c>
      <x:c r="N11331" s="0" t="s">
        <x:v>46</x:v>
      </x:c>
    </x:row>
    <x:row r="11332" spans="1:16">
      <x:c r="A11332" s="0" t="s">
        <x:v>44606</x:v>
      </x:c>
      <x:c r="B11332" s="0" t="s">
        <x:v>44607</x:v>
      </x:c>
      <x:c r="C11332" s="0" t="s">
        <x:v>42840</x:v>
      </x:c>
      <x:c r="E11332" s="0" t="s">
        <x:v>44608</x:v>
      </x:c>
      <x:c r="F11332" s="0" t="s">
        <x:v>45</x:v>
      </x:c>
      <x:c r="G11332" s="0" t="s">
        <x:v>22</x:v>
      </x:c>
      <x:c r="H11332" s="0" t="s">
        <x:v>20</x:v>
      </x:c>
      <x:c r="I11332" s="0" t="s">
        <x:v>21</x:v>
      </x:c>
      <x:c r="K11332" s="0">
        <x:f>hyperlink("https://icd.who.int/dev11/l-ichi/en#/http%3A%2F%2Fid.who.int%2Ficd%2Fentity%2F6504103","browser")</x:f>
      </x:c>
      <x:c r="L11332" s="0">
        <x:f>hyperlink("https://icat2.azurewebsites.net/icat/?ontology=ICD&amp;tab=ClassesTab&amp;id=http%3A%2F%2Fwho.int%2Ficd%236590_b42302c6_9ff1_412e_a40f_2f411ad4c932","iCat")</x:f>
      </x:c>
      <x:c r="M11332" s="0" t="s">
        <x:v>21</x:v>
      </x:c>
      <x:c r="N11332" s="0" t="s">
        <x:v>46</x:v>
      </x:c>
    </x:row>
    <x:row r="11333" spans="1:16">
      <x:c r="A11333" s="0" t="s">
        <x:v>44609</x:v>
      </x:c>
      <x:c r="B11333" s="0" t="s">
        <x:v>44610</x:v>
      </x:c>
      <x:c r="C11333" s="0" t="s">
        <x:v>42840</x:v>
      </x:c>
      <x:c r="E11333" s="0" t="s">
        <x:v>44611</x:v>
      </x:c>
      <x:c r="F11333" s="0" t="s">
        <x:v>45</x:v>
      </x:c>
      <x:c r="G11333" s="0" t="s">
        <x:v>22</x:v>
      </x:c>
      <x:c r="H11333" s="0" t="s">
        <x:v>20</x:v>
      </x:c>
      <x:c r="I11333" s="0" t="s">
        <x:v>21</x:v>
      </x:c>
      <x:c r="K11333" s="0">
        <x:f>hyperlink("https://icd.who.int/dev11/l-ichi/en#/http%3A%2F%2Fid.who.int%2Ficd%2Fentity%2F1514747706","browser")</x:f>
      </x:c>
      <x:c r="L11333" s="0">
        <x:f>hyperlink("https://icat2.azurewebsites.net/icat/?ontology=ICD&amp;tab=ClassesTab&amp;id=http%3A%2F%2Fwho.int%2Ficd%236608_b42302c6_9ff1_412e_a40f_2f411ad4c932","iCat")</x:f>
      </x:c>
      <x:c r="M11333" s="0" t="s">
        <x:v>21</x:v>
      </x:c>
      <x:c r="N11333" s="0" t="s">
        <x:v>46</x:v>
      </x:c>
    </x:row>
    <x:row r="11334" spans="1:16">
      <x:c r="A11334" s="0" t="s">
        <x:v>44612</x:v>
      </x:c>
      <x:c r="B11334" s="0" t="s">
        <x:v>44613</x:v>
      </x:c>
      <x:c r="C11334" s="0" t="s">
        <x:v>42840</x:v>
      </x:c>
      <x:c r="E11334" s="0" t="s">
        <x:v>44614</x:v>
      </x:c>
      <x:c r="F11334" s="0" t="s">
        <x:v>45</x:v>
      </x:c>
      <x:c r="G11334" s="0" t="s">
        <x:v>22</x:v>
      </x:c>
      <x:c r="H11334" s="0" t="s">
        <x:v>20</x:v>
      </x:c>
      <x:c r="I11334" s="0" t="s">
        <x:v>21</x:v>
      </x:c>
      <x:c r="K11334" s="0">
        <x:f>hyperlink("https://icd.who.int/dev11/l-ichi/en#/http%3A%2F%2Fid.who.int%2Ficd%2Fentity%2F1858554510","browser")</x:f>
      </x:c>
      <x:c r="L11334" s="0">
        <x:f>hyperlink("https://icat2.azurewebsites.net/icat/?ontology=ICD&amp;tab=ClassesTab&amp;id=http%3A%2F%2Fwho.int%2Ficd%236626_b42302c6_9ff1_412e_a40f_2f411ad4c932","iCat")</x:f>
      </x:c>
      <x:c r="M11334" s="0" t="s">
        <x:v>21</x:v>
      </x:c>
      <x:c r="N11334" s="0" t="s">
        <x:v>46</x:v>
      </x:c>
    </x:row>
    <x:row r="11335" spans="1:16">
      <x:c r="A11335" s="0" t="s">
        <x:v>44615</x:v>
      </x:c>
      <x:c r="B11335" s="0" t="s">
        <x:v>44616</x:v>
      </x:c>
      <x:c r="C11335" s="0" t="s">
        <x:v>42840</x:v>
      </x:c>
      <x:c r="E11335" s="0" t="s">
        <x:v>44617</x:v>
      </x:c>
      <x:c r="F11335" s="0" t="s">
        <x:v>45</x:v>
      </x:c>
      <x:c r="G11335" s="0" t="s">
        <x:v>22</x:v>
      </x:c>
      <x:c r="H11335" s="0" t="s">
        <x:v>20</x:v>
      </x:c>
      <x:c r="I11335" s="0" t="s">
        <x:v>21</x:v>
      </x:c>
      <x:c r="K11335" s="0">
        <x:f>hyperlink("https://icd.who.int/dev11/l-ichi/en#/http%3A%2F%2Fid.who.int%2Ficd%2Fentity%2F1370018052","browser")</x:f>
      </x:c>
      <x:c r="L11335" s="0">
        <x:f>hyperlink("https://icat2.azurewebsites.net/icat/?ontology=ICD&amp;tab=ClassesTab&amp;id=http%3A%2F%2Fwho.int%2Ficd%236644_b42302c6_9ff1_412e_a40f_2f411ad4c932","iCat")</x:f>
      </x:c>
      <x:c r="M11335" s="0" t="s">
        <x:v>21</x:v>
      </x:c>
      <x:c r="N11335" s="0" t="s">
        <x:v>46</x:v>
      </x:c>
    </x:row>
    <x:row r="11336" spans="1:16">
      <x:c r="A11336" s="0" t="s">
        <x:v>44618</x:v>
      </x:c>
      <x:c r="B11336" s="0" t="s">
        <x:v>44619</x:v>
      </x:c>
      <x:c r="C11336" s="0" t="s">
        <x:v>42840</x:v>
      </x:c>
      <x:c r="E11336" s="0" t="s">
        <x:v>44620</x:v>
      </x:c>
      <x:c r="F11336" s="0" t="s">
        <x:v>45</x:v>
      </x:c>
      <x:c r="G11336" s="0" t="s">
        <x:v>22</x:v>
      </x:c>
      <x:c r="H11336" s="0" t="s">
        <x:v>20</x:v>
      </x:c>
      <x:c r="I11336" s="0" t="s">
        <x:v>21</x:v>
      </x:c>
      <x:c r="K11336" s="0">
        <x:f>hyperlink("https://icd.who.int/dev11/l-ichi/en#/http%3A%2F%2Fid.who.int%2Ficd%2Fentity%2F732421605","browser")</x:f>
      </x:c>
      <x:c r="L11336" s="0">
        <x:f>hyperlink("https://icat2.azurewebsites.net/icat/?ontology=ICD&amp;tab=ClassesTab&amp;id=http%3A%2F%2Fwho.int%2Ficd%236662_b42302c6_9ff1_412e_a40f_2f411ad4c932","iCat")</x:f>
      </x:c>
      <x:c r="M11336" s="0" t="s">
        <x:v>21</x:v>
      </x:c>
      <x:c r="N11336" s="0" t="s">
        <x:v>46</x:v>
      </x:c>
    </x:row>
    <x:row r="11337" spans="1:16">
      <x:c r="A11337" s="0" t="s">
        <x:v>44621</x:v>
      </x:c>
      <x:c r="B11337" s="0" t="s">
        <x:v>44622</x:v>
      </x:c>
      <x:c r="C11337" s="0" t="s">
        <x:v>42840</x:v>
      </x:c>
      <x:c r="E11337" s="0" t="s">
        <x:v>44623</x:v>
      </x:c>
      <x:c r="F11337" s="0" t="s">
        <x:v>45</x:v>
      </x:c>
      <x:c r="G11337" s="0" t="s">
        <x:v>35</x:v>
      </x:c>
      <x:c r="H11337" s="0" t="s">
        <x:v>20</x:v>
      </x:c>
      <x:c r="I11337" s="0" t="s">
        <x:v>21</x:v>
      </x:c>
      <x:c r="K11337" s="0">
        <x:f>hyperlink("https://icd.who.int/dev11/l-ichi/en#/http%3A%2F%2Fid.who.int%2Ficd%2Fentity%2F914245431","browser")</x:f>
      </x:c>
      <x:c r="L11337" s="0">
        <x:f>hyperlink("https://icat2.azurewebsites.net/icat/?ontology=ICD&amp;tab=ClassesTab&amp;id=http%3A%2F%2Fwho.int%2Ficd%23SpecificAnatomicLocation_1193","iCat")</x:f>
      </x:c>
      <x:c r="M11337" s="0" t="s">
        <x:v>20</x:v>
      </x:c>
      <x:c r="N11337" s="0" t="s">
        <x:v>31</x:v>
      </x:c>
    </x:row>
    <x:row r="11338" spans="1:16">
      <x:c r="A11338" s="0" t="s">
        <x:v>44624</x:v>
      </x:c>
      <x:c r="B11338" s="0" t="s">
        <x:v>44625</x:v>
      </x:c>
      <x:c r="C11338" s="0" t="s">
        <x:v>42840</x:v>
      </x:c>
      <x:c r="E11338" s="0" t="s">
        <x:v>44626</x:v>
      </x:c>
      <x:c r="F11338" s="0" t="s">
        <x:v>45</x:v>
      </x:c>
      <x:c r="G11338" s="0" t="s">
        <x:v>22</x:v>
      </x:c>
      <x:c r="H11338" s="0" t="s">
        <x:v>20</x:v>
      </x:c>
      <x:c r="I11338" s="0" t="s">
        <x:v>21</x:v>
      </x:c>
      <x:c r="K11338" s="0">
        <x:f>hyperlink("https://icd.who.int/dev11/l-ichi/en#/http%3A%2F%2Fid.who.int%2Ficd%2Fentity%2F1367446506","browser")</x:f>
      </x:c>
      <x:c r="L11338" s="0">
        <x:f>hyperlink("https://icat2.azurewebsites.net/icat/?ontology=ICD&amp;tab=ClassesTab&amp;id=http%3A%2F%2Fwho.int%2Ficd%236770_b42302c6_9ff1_412e_a40f_2f411ad4c932","iCat")</x:f>
      </x:c>
      <x:c r="M11338" s="0" t="s">
        <x:v>21</x:v>
      </x:c>
      <x:c r="N11338" s="0" t="s">
        <x:v>46</x:v>
      </x:c>
    </x:row>
    <x:row r="11339" spans="1:16">
      <x:c r="A11339" s="0" t="s">
        <x:v>44627</x:v>
      </x:c>
      <x:c r="B11339" s="0" t="s">
        <x:v>44628</x:v>
      </x:c>
      <x:c r="C11339" s="0" t="s">
        <x:v>42840</x:v>
      </x:c>
      <x:c r="E11339" s="0" t="s">
        <x:v>44629</x:v>
      </x:c>
      <x:c r="F11339" s="0" t="s">
        <x:v>45</x:v>
      </x:c>
      <x:c r="G11339" s="0" t="s">
        <x:v>22</x:v>
      </x:c>
      <x:c r="H11339" s="0" t="s">
        <x:v>20</x:v>
      </x:c>
      <x:c r="I11339" s="0" t="s">
        <x:v>21</x:v>
      </x:c>
      <x:c r="K11339" s="0">
        <x:f>hyperlink("https://icd.who.int/dev11/l-ichi/en#/http%3A%2F%2Fid.who.int%2Ficd%2Fentity%2F820488289","browser")</x:f>
      </x:c>
      <x:c r="L11339" s="0">
        <x:f>hyperlink("https://icat2.azurewebsites.net/icat/?ontology=ICD&amp;tab=ClassesTab&amp;id=http%3A%2F%2Fwho.int%2Ficd%236788_b42302c6_9ff1_412e_a40f_2f411ad4c932","iCat")</x:f>
      </x:c>
      <x:c r="M11339" s="0" t="s">
        <x:v>21</x:v>
      </x:c>
      <x:c r="N11339" s="0" t="s">
        <x:v>46</x:v>
      </x:c>
    </x:row>
    <x:row r="11340" spans="1:16">
      <x:c r="A11340" s="0" t="s">
        <x:v>44630</x:v>
      </x:c>
      <x:c r="B11340" s="0" t="s">
        <x:v>44631</x:v>
      </x:c>
      <x:c r="C11340" s="0" t="s">
        <x:v>42840</x:v>
      </x:c>
      <x:c r="E11340" s="0" t="s">
        <x:v>44632</x:v>
      </x:c>
      <x:c r="F11340" s="0" t="s">
        <x:v>45</x:v>
      </x:c>
      <x:c r="G11340" s="0" t="s">
        <x:v>22</x:v>
      </x:c>
      <x:c r="H11340" s="0" t="s">
        <x:v>20</x:v>
      </x:c>
      <x:c r="I11340" s="0" t="s">
        <x:v>21</x:v>
      </x:c>
      <x:c r="K11340" s="0">
        <x:f>hyperlink("https://icd.who.int/dev11/l-ichi/en#/http%3A%2F%2Fid.who.int%2Ficd%2Fentity%2F1197590855","browser")</x:f>
      </x:c>
      <x:c r="L11340" s="0">
        <x:f>hyperlink("https://icat2.azurewebsites.net/icat/?ontology=ICD&amp;tab=ClassesTab&amp;id=http%3A%2F%2Fwho.int%2Ficd%236806_b42302c6_9ff1_412e_a40f_2f411ad4c932","iCat")</x:f>
      </x:c>
      <x:c r="M11340" s="0" t="s">
        <x:v>21</x:v>
      </x:c>
      <x:c r="N11340" s="0" t="s">
        <x:v>46</x:v>
      </x:c>
    </x:row>
    <x:row r="11341" spans="1:16">
      <x:c r="A11341" s="0" t="s">
        <x:v>44633</x:v>
      </x:c>
      <x:c r="B11341" s="0" t="s">
        <x:v>44634</x:v>
      </x:c>
      <x:c r="C11341" s="0" t="s">
        <x:v>42840</x:v>
      </x:c>
      <x:c r="E11341" s="0" t="s">
        <x:v>44635</x:v>
      </x:c>
      <x:c r="F11341" s="0" t="s">
        <x:v>45</x:v>
      </x:c>
      <x:c r="G11341" s="0" t="s">
        <x:v>22</x:v>
      </x:c>
      <x:c r="H11341" s="0" t="s">
        <x:v>20</x:v>
      </x:c>
      <x:c r="I11341" s="0" t="s">
        <x:v>21</x:v>
      </x:c>
      <x:c r="K11341" s="0">
        <x:f>hyperlink("https://icd.who.int/dev11/l-ichi/en#/http%3A%2F%2Fid.who.int%2Ficd%2Fentity%2F141099474","browser")</x:f>
      </x:c>
      <x:c r="L11341" s="0">
        <x:f>hyperlink("https://icat2.azurewebsites.net/icat/?ontology=ICD&amp;tab=ClassesTab&amp;id=http%3A%2F%2Fwho.int%2Ficd%236824_b42302c6_9ff1_412e_a40f_2f411ad4c932","iCat")</x:f>
      </x:c>
      <x:c r="M11341" s="0" t="s">
        <x:v>21</x:v>
      </x:c>
      <x:c r="N11341" s="0" t="s">
        <x:v>46</x:v>
      </x:c>
    </x:row>
    <x:row r="11342" spans="1:16">
      <x:c r="A11342" s="0" t="s">
        <x:v>44636</x:v>
      </x:c>
      <x:c r="B11342" s="0" t="s">
        <x:v>44637</x:v>
      </x:c>
      <x:c r="C11342" s="0" t="s">
        <x:v>42840</x:v>
      </x:c>
      <x:c r="E11342" s="0" t="s">
        <x:v>44638</x:v>
      </x:c>
      <x:c r="F11342" s="0" t="s">
        <x:v>45</x:v>
      </x:c>
      <x:c r="G11342" s="0" t="s">
        <x:v>22</x:v>
      </x:c>
      <x:c r="H11342" s="0" t="s">
        <x:v>20</x:v>
      </x:c>
      <x:c r="I11342" s="0" t="s">
        <x:v>21</x:v>
      </x:c>
      <x:c r="K11342" s="0">
        <x:f>hyperlink("https://icd.who.int/dev11/l-ichi/en#/http%3A%2F%2Fid.who.int%2Ficd%2Fentity%2F33644078","browser")</x:f>
      </x:c>
      <x:c r="L11342" s="0">
        <x:f>hyperlink("https://icat2.azurewebsites.net/icat/?ontology=ICD&amp;tab=ClassesTab&amp;id=http%3A%2F%2Fwho.int%2Ficd%236842_b42302c6_9ff1_412e_a40f_2f411ad4c932","iCat")</x:f>
      </x:c>
      <x:c r="M11342" s="0" t="s">
        <x:v>21</x:v>
      </x:c>
      <x:c r="N11342" s="0" t="s">
        <x:v>46</x:v>
      </x:c>
    </x:row>
    <x:row r="11343" spans="1:16">
      <x:c r="A11343" s="0" t="s">
        <x:v>44639</x:v>
      </x:c>
      <x:c r="B11343" s="0" t="s">
        <x:v>44640</x:v>
      </x:c>
      <x:c r="C11343" s="0" t="s">
        <x:v>42840</x:v>
      </x:c>
      <x:c r="E11343" s="0" t="s">
        <x:v>44641</x:v>
      </x:c>
      <x:c r="F11343" s="0" t="s">
        <x:v>45</x:v>
      </x:c>
      <x:c r="G11343" s="0" t="s">
        <x:v>22</x:v>
      </x:c>
      <x:c r="H11343" s="0" t="s">
        <x:v>20</x:v>
      </x:c>
      <x:c r="I11343" s="0" t="s">
        <x:v>21</x:v>
      </x:c>
      <x:c r="K11343" s="0">
        <x:f>hyperlink("https://icd.who.int/dev11/l-ichi/en#/http%3A%2F%2Fid.who.int%2Ficd%2Fentity%2F1292474043","browser")</x:f>
      </x:c>
      <x:c r="L11343" s="0">
        <x:f>hyperlink("https://icat2.azurewebsites.net/icat/?ontology=ICD&amp;tab=ClassesTab&amp;id=http%3A%2F%2Fwho.int%2Ficd%236860_b42302c6_9ff1_412e_a40f_2f411ad4c932","iCat")</x:f>
      </x:c>
      <x:c r="M11343" s="0" t="s">
        <x:v>21</x:v>
      </x:c>
      <x:c r="N11343" s="0" t="s">
        <x:v>46</x:v>
      </x:c>
    </x:row>
    <x:row r="11344" spans="1:16">
      <x:c r="A11344" s="0" t="s">
        <x:v>44642</x:v>
      </x:c>
      <x:c r="B11344" s="0" t="s">
        <x:v>44643</x:v>
      </x:c>
      <x:c r="C11344" s="0" t="s">
        <x:v>42840</x:v>
      </x:c>
      <x:c r="E11344" s="0" t="s">
        <x:v>44644</x:v>
      </x:c>
      <x:c r="F11344" s="0" t="s">
        <x:v>45</x:v>
      </x:c>
      <x:c r="G11344" s="0" t="s">
        <x:v>22</x:v>
      </x:c>
      <x:c r="H11344" s="0" t="s">
        <x:v>20</x:v>
      </x:c>
      <x:c r="I11344" s="0" t="s">
        <x:v>21</x:v>
      </x:c>
      <x:c r="K11344" s="0">
        <x:f>hyperlink("https://icd.who.int/dev11/l-ichi/en#/http%3A%2F%2Fid.who.int%2Ficd%2Fentity%2F1766683321","browser")</x:f>
      </x:c>
      <x:c r="L11344" s="0">
        <x:f>hyperlink("https://icat2.azurewebsites.net/icat/?ontology=ICD&amp;tab=ClassesTab&amp;id=http%3A%2F%2Fwho.int%2Ficd%236878_b42302c6_9ff1_412e_a40f_2f411ad4c932","iCat")</x:f>
      </x:c>
      <x:c r="M11344" s="0" t="s">
        <x:v>21</x:v>
      </x:c>
      <x:c r="N11344" s="0" t="s">
        <x:v>46</x:v>
      </x:c>
    </x:row>
    <x:row r="11345" spans="1:16">
      <x:c r="A11345" s="0" t="s">
        <x:v>44645</x:v>
      </x:c>
      <x:c r="B11345" s="0" t="s">
        <x:v>44646</x:v>
      </x:c>
      <x:c r="C11345" s="0" t="s">
        <x:v>42840</x:v>
      </x:c>
      <x:c r="E11345" s="0" t="s">
        <x:v>44647</x:v>
      </x:c>
      <x:c r="F11345" s="0" t="s">
        <x:v>45</x:v>
      </x:c>
      <x:c r="G11345" s="0" t="s">
        <x:v>22</x:v>
      </x:c>
      <x:c r="H11345" s="0" t="s">
        <x:v>20</x:v>
      </x:c>
      <x:c r="I11345" s="0" t="s">
        <x:v>21</x:v>
      </x:c>
      <x:c r="K11345" s="0">
        <x:f>hyperlink("https://icd.who.int/dev11/l-ichi/en#/http%3A%2F%2Fid.who.int%2Ficd%2Fentity%2F848627156","browser")</x:f>
      </x:c>
      <x:c r="L11345" s="0">
        <x:f>hyperlink("https://icat2.azurewebsites.net/icat/?ontology=ICD&amp;tab=ClassesTab&amp;id=http%3A%2F%2Fwho.int%2Ficd%236896_b42302c6_9ff1_412e_a40f_2f411ad4c932","iCat")</x:f>
      </x:c>
      <x:c r="M11345" s="0" t="s">
        <x:v>21</x:v>
      </x:c>
      <x:c r="N11345" s="0" t="s">
        <x:v>46</x:v>
      </x:c>
    </x:row>
    <x:row r="11346" spans="1:16">
      <x:c r="A11346" s="0" t="s">
        <x:v>44648</x:v>
      </x:c>
      <x:c r="B11346" s="0" t="s">
        <x:v>44649</x:v>
      </x:c>
      <x:c r="C11346" s="0" t="s">
        <x:v>42840</x:v>
      </x:c>
      <x:c r="E11346" s="0" t="s">
        <x:v>44650</x:v>
      </x:c>
      <x:c r="F11346" s="0" t="s">
        <x:v>45</x:v>
      </x:c>
      <x:c r="G11346" s="0" t="s">
        <x:v>22</x:v>
      </x:c>
      <x:c r="H11346" s="0" t="s">
        <x:v>20</x:v>
      </x:c>
      <x:c r="I11346" s="0" t="s">
        <x:v>21</x:v>
      </x:c>
      <x:c r="K11346" s="0">
        <x:f>hyperlink("https://icd.who.int/dev11/l-ichi/en#/http%3A%2F%2Fid.who.int%2Ficd%2Fentity%2F1028097866","browser")</x:f>
      </x:c>
      <x:c r="L11346" s="0">
        <x:f>hyperlink("https://icat2.azurewebsites.net/icat/?ontology=ICD&amp;tab=ClassesTab&amp;id=http%3A%2F%2Fwho.int%2Ficd%236914_b42302c6_9ff1_412e_a40f_2f411ad4c932","iCat")</x:f>
      </x:c>
      <x:c r="M11346" s="0" t="s">
        <x:v>21</x:v>
      </x:c>
      <x:c r="N11346" s="0" t="s">
        <x:v>46</x:v>
      </x:c>
    </x:row>
    <x:row r="11347" spans="1:16">
      <x:c r="A11347" s="0" t="s">
        <x:v>44651</x:v>
      </x:c>
      <x:c r="B11347" s="0" t="s">
        <x:v>44652</x:v>
      </x:c>
      <x:c r="C11347" s="0" t="s">
        <x:v>42840</x:v>
      </x:c>
      <x:c r="E11347" s="0" t="s">
        <x:v>44653</x:v>
      </x:c>
      <x:c r="F11347" s="0" t="s">
        <x:v>45</x:v>
      </x:c>
      <x:c r="G11347" s="0" t="s">
        <x:v>22</x:v>
      </x:c>
      <x:c r="H11347" s="0" t="s">
        <x:v>20</x:v>
      </x:c>
      <x:c r="I11347" s="0" t="s">
        <x:v>21</x:v>
      </x:c>
      <x:c r="K11347" s="0">
        <x:f>hyperlink("https://icd.who.int/dev11/l-ichi/en#/http%3A%2F%2Fid.who.int%2Ficd%2Fentity%2F1195936681","browser")</x:f>
      </x:c>
      <x:c r="L11347" s="0">
        <x:f>hyperlink("https://icat2.azurewebsites.net/icat/?ontology=ICD&amp;tab=ClassesTab&amp;id=http%3A%2F%2Fwho.int%2Ficd%236932_b42302c6_9ff1_412e_a40f_2f411ad4c932","iCat")</x:f>
      </x:c>
      <x:c r="M11347" s="0" t="s">
        <x:v>21</x:v>
      </x:c>
      <x:c r="N11347" s="0" t="s">
        <x:v>46</x:v>
      </x:c>
    </x:row>
    <x:row r="11348" spans="1:16">
      <x:c r="A11348" s="0" t="s">
        <x:v>44654</x:v>
      </x:c>
      <x:c r="B11348" s="0" t="s">
        <x:v>44655</x:v>
      </x:c>
      <x:c r="C11348" s="0" t="s">
        <x:v>42840</x:v>
      </x:c>
      <x:c r="E11348" s="0" t="s">
        <x:v>44656</x:v>
      </x:c>
      <x:c r="F11348" s="0" t="s">
        <x:v>45</x:v>
      </x:c>
      <x:c r="G11348" s="0" t="s">
        <x:v>22</x:v>
      </x:c>
      <x:c r="H11348" s="0" t="s">
        <x:v>20</x:v>
      </x:c>
      <x:c r="I11348" s="0" t="s">
        <x:v>21</x:v>
      </x:c>
      <x:c r="K11348" s="0">
        <x:f>hyperlink("https://icd.who.int/dev11/l-ichi/en#/http%3A%2F%2Fid.who.int%2Ficd%2Fentity%2F2015825953","browser")</x:f>
      </x:c>
      <x:c r="L11348" s="0">
        <x:f>hyperlink("https://icat2.azurewebsites.net/icat/?ontology=ICD&amp;tab=ClassesTab&amp;id=http%3A%2F%2Fwho.int%2Ficd%236950_b42302c6_9ff1_412e_a40f_2f411ad4c932","iCat")</x:f>
      </x:c>
      <x:c r="M11348" s="0" t="s">
        <x:v>21</x:v>
      </x:c>
      <x:c r="N11348" s="0" t="s">
        <x:v>46</x:v>
      </x:c>
    </x:row>
    <x:row r="11349" spans="1:16">
      <x:c r="A11349" s="0" t="s">
        <x:v>44657</x:v>
      </x:c>
      <x:c r="B11349" s="0" t="s">
        <x:v>44658</x:v>
      </x:c>
      <x:c r="C11349" s="0" t="s">
        <x:v>42840</x:v>
      </x:c>
      <x:c r="E11349" s="0" t="s">
        <x:v>44659</x:v>
      </x:c>
      <x:c r="F11349" s="0" t="s">
        <x:v>45</x:v>
      </x:c>
      <x:c r="G11349" s="0" t="s">
        <x:v>22</x:v>
      </x:c>
      <x:c r="H11349" s="0" t="s">
        <x:v>20</x:v>
      </x:c>
      <x:c r="I11349" s="0" t="s">
        <x:v>21</x:v>
      </x:c>
      <x:c r="K11349" s="0">
        <x:f>hyperlink("https://icd.who.int/dev11/l-ichi/en#/http%3A%2F%2Fid.who.int%2Ficd%2Fentity%2F1981227379","browser")</x:f>
      </x:c>
      <x:c r="L11349" s="0">
        <x:f>hyperlink("https://icat2.azurewebsites.net/icat/?ontology=ICD&amp;tab=ClassesTab&amp;id=http%3A%2F%2Fwho.int%2Ficd%236968_b42302c6_9ff1_412e_a40f_2f411ad4c932","iCat")</x:f>
      </x:c>
      <x:c r="M11349" s="0" t="s">
        <x:v>21</x:v>
      </x:c>
      <x:c r="N11349" s="0" t="s">
        <x:v>46</x:v>
      </x:c>
    </x:row>
    <x:row r="11350" spans="1:16">
      <x:c r="A11350" s="0" t="s">
        <x:v>44660</x:v>
      </x:c>
      <x:c r="B11350" s="0" t="s">
        <x:v>44661</x:v>
      </x:c>
      <x:c r="C11350" s="0" t="s">
        <x:v>42840</x:v>
      </x:c>
      <x:c r="E11350" s="0" t="s">
        <x:v>44662</x:v>
      </x:c>
      <x:c r="F11350" s="0" t="s">
        <x:v>45</x:v>
      </x:c>
      <x:c r="G11350" s="0" t="s">
        <x:v>35</x:v>
      </x:c>
      <x:c r="H11350" s="0" t="s">
        <x:v>20</x:v>
      </x:c>
      <x:c r="I11350" s="0" t="s">
        <x:v>21</x:v>
      </x:c>
      <x:c r="K11350" s="0">
        <x:f>hyperlink("https://icd.who.int/dev11/l-ichi/en#/http%3A%2F%2Fid.who.int%2Ficd%2Fentity%2F1403484535","browser")</x:f>
      </x:c>
      <x:c r="L11350" s="0">
        <x:f>hyperlink("https://icat2.azurewebsites.net/icat/?ontology=ICD&amp;tab=ClassesTab&amp;id=http%3A%2F%2Fwho.int%2Ficd%23SpecificAnatomicLocation_1194","iCat")</x:f>
      </x:c>
      <x:c r="M11350" s="0" t="s">
        <x:v>20</x:v>
      </x:c>
      <x:c r="N11350" s="0" t="s">
        <x:v>40</x:v>
      </x:c>
    </x:row>
    <x:row r="11351" spans="1:16">
      <x:c r="A11351" s="0" t="s">
        <x:v>44663</x:v>
      </x:c>
      <x:c r="B11351" s="0" t="s">
        <x:v>44664</x:v>
      </x:c>
      <x:c r="C11351" s="0" t="s">
        <x:v>42840</x:v>
      </x:c>
      <x:c r="E11351" s="0" t="s">
        <x:v>44665</x:v>
      </x:c>
      <x:c r="F11351" s="0" t="s">
        <x:v>45</x:v>
      </x:c>
      <x:c r="G11351" s="0" t="s">
        <x:v>22</x:v>
      </x:c>
      <x:c r="H11351" s="0" t="s">
        <x:v>20</x:v>
      </x:c>
      <x:c r="I11351" s="0" t="s">
        <x:v>21</x:v>
      </x:c>
      <x:c r="K11351" s="0">
        <x:f>hyperlink("https://icd.who.int/dev11/l-ichi/en#/http%3A%2F%2Fid.who.int%2Ficd%2Fentity%2F200875945","browser")</x:f>
      </x:c>
      <x:c r="L11351" s="0">
        <x:f>hyperlink("https://icat2.azurewebsites.net/icat/?ontology=ICD&amp;tab=ClassesTab&amp;id=http%3A%2F%2Fwho.int%2Ficd%236680_b42302c6_9ff1_412e_a40f_2f411ad4c932","iCat")</x:f>
      </x:c>
      <x:c r="M11351" s="0" t="s">
        <x:v>21</x:v>
      </x:c>
      <x:c r="N11351" s="0" t="s">
        <x:v>46</x:v>
      </x:c>
    </x:row>
    <x:row r="11352" spans="1:16">
      <x:c r="A11352" s="0" t="s">
        <x:v>44666</x:v>
      </x:c>
      <x:c r="B11352" s="0" t="s">
        <x:v>44667</x:v>
      </x:c>
      <x:c r="C11352" s="0" t="s">
        <x:v>42840</x:v>
      </x:c>
      <x:c r="E11352" s="0" t="s">
        <x:v>44668</x:v>
      </x:c>
      <x:c r="F11352" s="0" t="s">
        <x:v>45</x:v>
      </x:c>
      <x:c r="G11352" s="0" t="s">
        <x:v>22</x:v>
      </x:c>
      <x:c r="H11352" s="0" t="s">
        <x:v>20</x:v>
      </x:c>
      <x:c r="I11352" s="0" t="s">
        <x:v>21</x:v>
      </x:c>
      <x:c r="K11352" s="0">
        <x:f>hyperlink("https://icd.who.int/dev11/l-ichi/en#/http%3A%2F%2Fid.who.int%2Ficd%2Fentity%2F800979883","browser")</x:f>
      </x:c>
      <x:c r="L11352" s="0">
        <x:f>hyperlink("https://icat2.azurewebsites.net/icat/?ontology=ICD&amp;tab=ClassesTab&amp;id=http%3A%2F%2Fwho.int%2Ficd%236698_b42302c6_9ff1_412e_a40f_2f411ad4c932","iCat")</x:f>
      </x:c>
      <x:c r="M11352" s="0" t="s">
        <x:v>21</x:v>
      </x:c>
      <x:c r="N11352" s="0" t="s">
        <x:v>46</x:v>
      </x:c>
    </x:row>
    <x:row r="11353" spans="1:16">
      <x:c r="A11353" s="0" t="s">
        <x:v>44669</x:v>
      </x:c>
      <x:c r="B11353" s="0" t="s">
        <x:v>44670</x:v>
      </x:c>
      <x:c r="C11353" s="0" t="s">
        <x:v>42840</x:v>
      </x:c>
      <x:c r="E11353" s="0" t="s">
        <x:v>44671</x:v>
      </x:c>
      <x:c r="F11353" s="0" t="s">
        <x:v>45</x:v>
      </x:c>
      <x:c r="G11353" s="0" t="s">
        <x:v>22</x:v>
      </x:c>
      <x:c r="H11353" s="0" t="s">
        <x:v>20</x:v>
      </x:c>
      <x:c r="I11353" s="0" t="s">
        <x:v>21</x:v>
      </x:c>
      <x:c r="K11353" s="0">
        <x:f>hyperlink("https://icd.who.int/dev11/l-ichi/en#/http%3A%2F%2Fid.who.int%2Ficd%2Fentity%2F1542048790","browser")</x:f>
      </x:c>
      <x:c r="L11353" s="0">
        <x:f>hyperlink("https://icat2.azurewebsites.net/icat/?ontology=ICD&amp;tab=ClassesTab&amp;id=http%3A%2F%2Fwho.int%2Ficd%236716_b42302c6_9ff1_412e_a40f_2f411ad4c932","iCat")</x:f>
      </x:c>
      <x:c r="M11353" s="0" t="s">
        <x:v>21</x:v>
      </x:c>
      <x:c r="N11353" s="0" t="s">
        <x:v>46</x:v>
      </x:c>
    </x:row>
    <x:row r="11354" spans="1:16">
      <x:c r="A11354" s="0" t="s">
        <x:v>44672</x:v>
      </x:c>
      <x:c r="B11354" s="0" t="s">
        <x:v>44673</x:v>
      </x:c>
      <x:c r="C11354" s="0" t="s">
        <x:v>42840</x:v>
      </x:c>
      <x:c r="E11354" s="0" t="s">
        <x:v>44674</x:v>
      </x:c>
      <x:c r="F11354" s="0" t="s">
        <x:v>45</x:v>
      </x:c>
      <x:c r="G11354" s="0" t="s">
        <x:v>22</x:v>
      </x:c>
      <x:c r="H11354" s="0" t="s">
        <x:v>20</x:v>
      </x:c>
      <x:c r="I11354" s="0" t="s">
        <x:v>21</x:v>
      </x:c>
      <x:c r="K11354" s="0">
        <x:f>hyperlink("https://icd.who.int/dev11/l-ichi/en#/http%3A%2F%2Fid.who.int%2Ficd%2Fentity%2F350291075","browser")</x:f>
      </x:c>
      <x:c r="L11354" s="0">
        <x:f>hyperlink("https://icat2.azurewebsites.net/icat/?ontology=ICD&amp;tab=ClassesTab&amp;id=http%3A%2F%2Fwho.int%2Ficd%236734_b42302c6_9ff1_412e_a40f_2f411ad4c932","iCat")</x:f>
      </x:c>
      <x:c r="M11354" s="0" t="s">
        <x:v>21</x:v>
      </x:c>
      <x:c r="N11354" s="0" t="s">
        <x:v>46</x:v>
      </x:c>
    </x:row>
    <x:row r="11355" spans="1:16">
      <x:c r="A11355" s="0" t="s">
        <x:v>44675</x:v>
      </x:c>
      <x:c r="B11355" s="0" t="s">
        <x:v>44676</x:v>
      </x:c>
      <x:c r="C11355" s="0" t="s">
        <x:v>42840</x:v>
      </x:c>
      <x:c r="E11355" s="0" t="s">
        <x:v>44677</x:v>
      </x:c>
      <x:c r="F11355" s="0" t="s">
        <x:v>45</x:v>
      </x:c>
      <x:c r="G11355" s="0" t="s">
        <x:v>22</x:v>
      </x:c>
      <x:c r="H11355" s="0" t="s">
        <x:v>20</x:v>
      </x:c>
      <x:c r="I11355" s="0" t="s">
        <x:v>21</x:v>
      </x:c>
      <x:c r="K11355" s="0">
        <x:f>hyperlink("https://icd.who.int/dev11/l-ichi/en#/http%3A%2F%2Fid.who.int%2Ficd%2Fentity%2F512318335","browser")</x:f>
      </x:c>
      <x:c r="L11355" s="0">
        <x:f>hyperlink("https://icat2.azurewebsites.net/icat/?ontology=ICD&amp;tab=ClassesTab&amp;id=http%3A%2F%2Fwho.int%2Ficd%236752_b42302c6_9ff1_412e_a40f_2f411ad4c932","iCat")</x:f>
      </x:c>
      <x:c r="M11355" s="0" t="s">
        <x:v>21</x:v>
      </x:c>
      <x:c r="N11355" s="0" t="s">
        <x:v>46</x:v>
      </x:c>
    </x:row>
    <x:row r="11356" spans="1:16">
      <x:c r="A11356" s="0" t="s">
        <x:v>44678</x:v>
      </x:c>
      <x:c r="B11356" s="0" t="s">
        <x:v>44679</x:v>
      </x:c>
      <x:c r="C11356" s="0" t="s">
        <x:v>42840</x:v>
      </x:c>
      <x:c r="E11356" s="0" t="s">
        <x:v>44680</x:v>
      </x:c>
      <x:c r="F11356" s="0" t="s">
        <x:v>45</x:v>
      </x:c>
      <x:c r="G11356" s="0" t="s">
        <x:v>35</x:v>
      </x:c>
      <x:c r="H11356" s="0" t="s">
        <x:v>20</x:v>
      </x:c>
      <x:c r="I11356" s="0" t="s">
        <x:v>21</x:v>
      </x:c>
      <x:c r="K11356" s="0">
        <x:f>hyperlink("https://icd.who.int/dev11/l-ichi/en#/http%3A%2F%2Fid.who.int%2Ficd%2Fentity%2F1495611560","browser")</x:f>
      </x:c>
      <x:c r="L11356" s="0">
        <x:f>hyperlink("https://icat2.azurewebsites.net/icat/?ontology=ICD&amp;tab=ClassesTab&amp;id=http%3A%2F%2Fwho.int%2Ficd%232388_9e276f94_8a58_44b1_9833_7049a406a459","iCat")</x:f>
      </x:c>
      <x:c r="M11356" s="0" t="s">
        <x:v>20</x:v>
      </x:c>
      <x:c r="N11356" s="0" t="s">
        <x:v>40</x:v>
      </x:c>
    </x:row>
    <x:row r="11357" spans="1:16">
      <x:c r="A11357" s="0" t="s">
        <x:v>44681</x:v>
      </x:c>
      <x:c r="B11357" s="0" t="s">
        <x:v>44682</x:v>
      </x:c>
      <x:c r="C11357" s="0" t="s">
        <x:v>42840</x:v>
      </x:c>
      <x:c r="E11357" s="0" t="s">
        <x:v>44683</x:v>
      </x:c>
      <x:c r="F11357" s="0" t="s">
        <x:v>45</x:v>
      </x:c>
      <x:c r="G11357" s="0" t="s">
        <x:v>22</x:v>
      </x:c>
      <x:c r="H11357" s="0" t="s">
        <x:v>20</x:v>
      </x:c>
      <x:c r="I11357" s="0" t="s">
        <x:v>21</x:v>
      </x:c>
      <x:c r="K11357" s="0">
        <x:f>hyperlink("https://icd.who.int/dev11/l-ichi/en#/http%3A%2F%2Fid.who.int%2Ficd%2Fentity%2F2075634047","browser")</x:f>
      </x:c>
      <x:c r="L11357" s="0">
        <x:f>hyperlink("https://icat2.azurewebsites.net/icat/?ontology=ICD&amp;tab=ClassesTab&amp;id=http%3A%2F%2Fwho.int%2Ficd%232424_9e276f94_8a58_44b1_9833_7049a406a459","iCat")</x:f>
      </x:c>
      <x:c r="M11357" s="0" t="s">
        <x:v>21</x:v>
      </x:c>
      <x:c r="N11357" s="0" t="s">
        <x:v>46</x:v>
      </x:c>
    </x:row>
    <x:row r="11358" spans="1:16">
      <x:c r="A11358" s="0" t="s">
        <x:v>44684</x:v>
      </x:c>
      <x:c r="B11358" s="0" t="s">
        <x:v>44685</x:v>
      </x:c>
      <x:c r="C11358" s="0" t="s">
        <x:v>42840</x:v>
      </x:c>
      <x:c r="E11358" s="0" t="s">
        <x:v>44686</x:v>
      </x:c>
      <x:c r="F11358" s="0" t="s">
        <x:v>45</x:v>
      </x:c>
      <x:c r="G11358" s="0" t="s">
        <x:v>22</x:v>
      </x:c>
      <x:c r="H11358" s="0" t="s">
        <x:v>20</x:v>
      </x:c>
      <x:c r="I11358" s="0" t="s">
        <x:v>21</x:v>
      </x:c>
      <x:c r="K11358" s="0">
        <x:f>hyperlink("https://icd.who.int/dev11/l-ichi/en#/http%3A%2F%2Fid.who.int%2Ficd%2Fentity%2F1910503043","browser")</x:f>
      </x:c>
      <x:c r="L11358" s="0">
        <x:f>hyperlink("https://icat2.azurewebsites.net/icat/?ontology=ICD&amp;tab=ClassesTab&amp;id=http%3A%2F%2Fwho.int%2Ficd%232442_9e276f94_8a58_44b1_9833_7049a406a459","iCat")</x:f>
      </x:c>
      <x:c r="M11358" s="0" t="s">
        <x:v>21</x:v>
      </x:c>
      <x:c r="N11358" s="0" t="s">
        <x:v>46</x:v>
      </x:c>
    </x:row>
    <x:row r="11359" spans="1:16">
      <x:c r="A11359" s="0" t="s">
        <x:v>44687</x:v>
      </x:c>
      <x:c r="B11359" s="0" t="s">
        <x:v>44688</x:v>
      </x:c>
      <x:c r="C11359" s="0" t="s">
        <x:v>42840</x:v>
      </x:c>
      <x:c r="E11359" s="0" t="s">
        <x:v>44689</x:v>
      </x:c>
      <x:c r="F11359" s="0" t="s">
        <x:v>45</x:v>
      </x:c>
      <x:c r="G11359" s="0" t="s">
        <x:v>22</x:v>
      </x:c>
      <x:c r="H11359" s="0" t="s">
        <x:v>20</x:v>
      </x:c>
      <x:c r="I11359" s="0" t="s">
        <x:v>21</x:v>
      </x:c>
      <x:c r="K11359" s="0">
        <x:f>hyperlink("https://icd.who.int/dev11/l-ichi/en#/http%3A%2F%2Fid.who.int%2Ficd%2Fentity%2F1054293526","browser")</x:f>
      </x:c>
      <x:c r="L11359" s="0">
        <x:f>hyperlink("https://icat2.azurewebsites.net/icat/?ontology=ICD&amp;tab=ClassesTab&amp;id=http%3A%2F%2Fwho.int%2Ficd%232460_9e276f94_8a58_44b1_9833_7049a406a459","iCat")</x:f>
      </x:c>
      <x:c r="M11359" s="0" t="s">
        <x:v>21</x:v>
      </x:c>
      <x:c r="N11359" s="0" t="s">
        <x:v>46</x:v>
      </x:c>
    </x:row>
    <x:row r="11360" spans="1:16">
      <x:c r="A11360" s="0" t="s">
        <x:v>44690</x:v>
      </x:c>
      <x:c r="B11360" s="0" t="s">
        <x:v>44691</x:v>
      </x:c>
      <x:c r="C11360" s="0" t="s">
        <x:v>42840</x:v>
      </x:c>
      <x:c r="E11360" s="0" t="s">
        <x:v>44692</x:v>
      </x:c>
      <x:c r="F11360" s="0" t="s">
        <x:v>45</x:v>
      </x:c>
      <x:c r="G11360" s="0" t="s">
        <x:v>22</x:v>
      </x:c>
      <x:c r="H11360" s="0" t="s">
        <x:v>20</x:v>
      </x:c>
      <x:c r="I11360" s="0" t="s">
        <x:v>21</x:v>
      </x:c>
      <x:c r="K11360" s="0">
        <x:f>hyperlink("https://icd.who.int/dev11/l-ichi/en#/http%3A%2F%2Fid.who.int%2Ficd%2Fentity%2F445897236","browser")</x:f>
      </x:c>
      <x:c r="L11360" s="0">
        <x:f>hyperlink("https://icat2.azurewebsites.net/icat/?ontology=ICD&amp;tab=ClassesTab&amp;id=http%3A%2F%2Fwho.int%2Ficd%232478_9e276f94_8a58_44b1_9833_7049a406a459","iCat")</x:f>
      </x:c>
      <x:c r="M11360" s="0" t="s">
        <x:v>21</x:v>
      </x:c>
      <x:c r="N11360" s="0" t="s">
        <x:v>46</x:v>
      </x:c>
    </x:row>
    <x:row r="11361" spans="1:16">
      <x:c r="A11361" s="0" t="s">
        <x:v>44693</x:v>
      </x:c>
      <x:c r="B11361" s="0" t="s">
        <x:v>44694</x:v>
      </x:c>
      <x:c r="C11361" s="0" t="s">
        <x:v>42840</x:v>
      </x:c>
      <x:c r="E11361" s="0" t="s">
        <x:v>44695</x:v>
      </x:c>
      <x:c r="F11361" s="0" t="s">
        <x:v>45</x:v>
      </x:c>
      <x:c r="G11361" s="0" t="s">
        <x:v>22</x:v>
      </x:c>
      <x:c r="H11361" s="0" t="s">
        <x:v>20</x:v>
      </x:c>
      <x:c r="I11361" s="0" t="s">
        <x:v>21</x:v>
      </x:c>
      <x:c r="K11361" s="0">
        <x:f>hyperlink("https://icd.who.int/dev11/l-ichi/en#/http%3A%2F%2Fid.who.int%2Ficd%2Fentity%2F1095478649","browser")</x:f>
      </x:c>
      <x:c r="L11361" s="0">
        <x:f>hyperlink("https://icat2.azurewebsites.net/icat/?ontology=ICD&amp;tab=ClassesTab&amp;id=http%3A%2F%2Fwho.int%2Ficd%232496_9e276f94_8a58_44b1_9833_7049a406a459","iCat")</x:f>
      </x:c>
      <x:c r="M11361" s="0" t="s">
        <x:v>21</x:v>
      </x:c>
      <x:c r="N11361" s="0" t="s">
        <x:v>46</x:v>
      </x:c>
    </x:row>
    <x:row r="11362" spans="1:16">
      <x:c r="A11362" s="0" t="s">
        <x:v>44696</x:v>
      </x:c>
      <x:c r="B11362" s="0" t="s">
        <x:v>44697</x:v>
      </x:c>
      <x:c r="C11362" s="0" t="s">
        <x:v>42840</x:v>
      </x:c>
      <x:c r="E11362" s="0" t="s">
        <x:v>85</x:v>
      </x:c>
      <x:c r="F11362" s="0" t="s">
        <x:v>45</x:v>
      </x:c>
      <x:c r="G11362" s="0" t="s">
        <x:v>19</x:v>
      </x:c>
      <x:c r="H11362" s="0" t="s">
        <x:v>20</x:v>
      </x:c>
      <x:c r="I11362" s="0" t="s">
        <x:v>21</x:v>
      </x:c>
      <x:c r="K11362" s="0">
        <x:f>hyperlink("https://icd.who.int/dev11/l-ichi/en#/http%3A%2F%2Fid.who.int%2Ficd%2Fentity%2F759043230","browser")</x:f>
      </x:c>
      <x:c r="L11362" s="0">
        <x:f>hyperlink("https://icat2.azurewebsites.net/icat/?ontology=ICD&amp;tab=ClassesTab&amp;id=http%3A%2F%2Fwho.int%2Ficd%23SpecificAnatomicLocation_1011","iCat")</x:f>
      </x:c>
      <x:c r="M11362" s="0" t="s">
        <x:v>21</x:v>
      </x:c>
      <x:c r="N11362" s="0" t="s">
        <x:v>46</x:v>
      </x:c>
    </x:row>
    <x:row r="11363" spans="1:16">
      <x:c r="A11363" s="0" t="s">
        <x:v>44698</x:v>
      </x:c>
      <x:c r="B11363" s="0" t="s">
        <x:v>44699</x:v>
      </x:c>
      <x:c r="C11363" s="0" t="s">
        <x:v>42840</x:v>
      </x:c>
      <x:c r="E11363" s="0" t="s">
        <x:v>44700</x:v>
      </x:c>
      <x:c r="F11363" s="0" t="s">
        <x:v>45</x:v>
      </x:c>
      <x:c r="G11363" s="0" t="s">
        <x:v>19</x:v>
      </x:c>
      <x:c r="H11363" s="0" t="s">
        <x:v>20</x:v>
      </x:c>
      <x:c r="I11363" s="0" t="s">
        <x:v>21</x:v>
      </x:c>
      <x:c r="K11363" s="0">
        <x:f>hyperlink("https://icd.who.int/dev11/l-ichi/en#/http%3A%2F%2Fid.who.int%2Ficd%2Fentity%2F591377318","browser")</x:f>
      </x:c>
      <x:c r="L11363" s="0">
        <x:f>hyperlink("https://icat2.azurewebsites.net/icat/?ontology=ICD&amp;tab=ClassesTab&amp;id=http%3A%2F%2Fwho.int%2Ficd%23SpecificAnatomicLocation_2056","iCat")</x:f>
      </x:c>
      <x:c r="M11363" s="0" t="s">
        <x:v>20</x:v>
      </x:c>
      <x:c r="N11363" s="0" t="s">
        <x:v>35</x:v>
      </x:c>
    </x:row>
    <x:row r="11364" spans="1:16">
      <x:c r="A11364" s="0" t="s">
        <x:v>44701</x:v>
      </x:c>
      <x:c r="B11364" s="0" t="s">
        <x:v>44702</x:v>
      </x:c>
      <x:c r="C11364" s="0" t="s">
        <x:v>42840</x:v>
      </x:c>
      <x:c r="E11364" s="0" t="s">
        <x:v>44703</x:v>
      </x:c>
      <x:c r="F11364" s="0" t="s">
        <x:v>45</x:v>
      </x:c>
      <x:c r="G11364" s="0" t="s">
        <x:v>30</x:v>
      </x:c>
      <x:c r="H11364" s="0" t="s">
        <x:v>20</x:v>
      </x:c>
      <x:c r="I11364" s="0" t="s">
        <x:v>21</x:v>
      </x:c>
      <x:c r="K11364" s="0">
        <x:f>hyperlink("https://icd.who.int/dev11/l-ichi/en#/http%3A%2F%2Fid.who.int%2Ficd%2Fentity%2F1392197834","browser")</x:f>
      </x:c>
      <x:c r="L11364" s="0">
        <x:f>hyperlink("https://icat2.azurewebsites.net/icat/?ontology=ICD&amp;tab=ClassesTab&amp;id=http%3A%2F%2Fwho.int%2Ficd%235764_16e67c35_8b57_40bb_9220_818553425a8c","iCat")</x:f>
      </x:c>
      <x:c r="M11364" s="0" t="s">
        <x:v>20</x:v>
      </x:c>
      <x:c r="N11364" s="0" t="s">
        <x:v>22</x:v>
      </x:c>
    </x:row>
    <x:row r="11365" spans="1:16">
      <x:c r="A11365" s="0" t="s">
        <x:v>44704</x:v>
      </x:c>
      <x:c r="B11365" s="0" t="s">
        <x:v>44705</x:v>
      </x:c>
      <x:c r="C11365" s="0" t="s">
        <x:v>42840</x:v>
      </x:c>
      <x:c r="E11365" s="0" t="s">
        <x:v>44706</x:v>
      </x:c>
      <x:c r="F11365" s="0" t="s">
        <x:v>45</x:v>
      </x:c>
      <x:c r="G11365" s="0" t="s">
        <x:v>35</x:v>
      </x:c>
      <x:c r="H11365" s="0" t="s">
        <x:v>20</x:v>
      </x:c>
      <x:c r="I11365" s="0" t="s">
        <x:v>21</x:v>
      </x:c>
      <x:c r="K11365" s="0">
        <x:f>hyperlink("https://icd.who.int/dev11/l-ichi/en#/http%3A%2F%2Fid.who.int%2Ficd%2Fentity%2F1381822652","browser")</x:f>
      </x:c>
      <x:c r="L11365" s="0">
        <x:f>hyperlink("https://icat2.azurewebsites.net/icat/?ontology=ICD&amp;tab=ClassesTab&amp;id=http%3A%2F%2Fwho.int%2Ficd%235787_16e67c35_8b57_40bb_9220_818553425a8c","iCat")</x:f>
      </x:c>
      <x:c r="M11365" s="0" t="s">
        <x:v>21</x:v>
      </x:c>
      <x:c r="N11365" s="0" t="s">
        <x:v>46</x:v>
      </x:c>
    </x:row>
    <x:row r="11366" spans="1:16">
      <x:c r="A11366" s="0" t="s">
        <x:v>44707</x:v>
      </x:c>
      <x:c r="B11366" s="0" t="s">
        <x:v>44708</x:v>
      </x:c>
      <x:c r="C11366" s="0" t="s">
        <x:v>42840</x:v>
      </x:c>
      <x:c r="E11366" s="0" t="s">
        <x:v>44709</x:v>
      </x:c>
      <x:c r="F11366" s="0" t="s">
        <x:v>45</x:v>
      </x:c>
      <x:c r="G11366" s="0" t="s">
        <x:v>35</x:v>
      </x:c>
      <x:c r="H11366" s="0" t="s">
        <x:v>20</x:v>
      </x:c>
      <x:c r="I11366" s="0" t="s">
        <x:v>21</x:v>
      </x:c>
      <x:c r="K11366" s="0">
        <x:f>hyperlink("https://icd.who.int/dev11/l-ichi/en#/http%3A%2F%2Fid.who.int%2Ficd%2Fentity%2F670061318","browser")</x:f>
      </x:c>
      <x:c r="L11366" s="0">
        <x:f>hyperlink("https://icat2.azurewebsites.net/icat/?ontology=ICD&amp;tab=ClassesTab&amp;id=http%3A%2F%2Fwho.int%2Ficd%23SpecificAnatomicLocation_1791","iCat")</x:f>
      </x:c>
      <x:c r="M11366" s="0" t="s">
        <x:v>21</x:v>
      </x:c>
      <x:c r="N11366" s="0" t="s">
        <x:v>46</x:v>
      </x:c>
    </x:row>
    <x:row r="11367" spans="1:16">
      <x:c r="A11367" s="0" t="s">
        <x:v>44710</x:v>
      </x:c>
      <x:c r="B11367" s="0" t="s">
        <x:v>44711</x:v>
      </x:c>
      <x:c r="C11367" s="0" t="s">
        <x:v>42840</x:v>
      </x:c>
      <x:c r="E11367" s="0" t="s">
        <x:v>44712</x:v>
      </x:c>
      <x:c r="F11367" s="0" t="s">
        <x:v>45</x:v>
      </x:c>
      <x:c r="G11367" s="0" t="s">
        <x:v>35</x:v>
      </x:c>
      <x:c r="H11367" s="0" t="s">
        <x:v>20</x:v>
      </x:c>
      <x:c r="I11367" s="0" t="s">
        <x:v>21</x:v>
      </x:c>
      <x:c r="K11367" s="0">
        <x:f>hyperlink("https://icd.who.int/dev11/l-ichi/en#/http%3A%2F%2Fid.who.int%2Ficd%2Fentity%2F1941299455","browser")</x:f>
      </x:c>
      <x:c r="L11367" s="0">
        <x:f>hyperlink("https://icat2.azurewebsites.net/icat/?ontology=ICD&amp;tab=ClassesTab&amp;id=http%3A%2F%2Fwho.int%2Ficd%23SpecificAnatomicLocation_2044","iCat")</x:f>
      </x:c>
      <x:c r="M11367" s="0" t="s">
        <x:v>21</x:v>
      </x:c>
      <x:c r="N11367" s="0" t="s">
        <x:v>46</x:v>
      </x:c>
    </x:row>
    <x:row r="11368" spans="1:16">
      <x:c r="A11368" s="0" t="s">
        <x:v>44713</x:v>
      </x:c>
      <x:c r="B11368" s="0" t="s">
        <x:v>44714</x:v>
      </x:c>
      <x:c r="C11368" s="0" t="s">
        <x:v>42840</x:v>
      </x:c>
      <x:c r="E11368" s="0" t="s">
        <x:v>44715</x:v>
      </x:c>
      <x:c r="F11368" s="0" t="s">
        <x:v>45</x:v>
      </x:c>
      <x:c r="G11368" s="0" t="s">
        <x:v>35</x:v>
      </x:c>
      <x:c r="H11368" s="0" t="s">
        <x:v>20</x:v>
      </x:c>
      <x:c r="I11368" s="0" t="s">
        <x:v>21</x:v>
      </x:c>
      <x:c r="K11368" s="0">
        <x:f>hyperlink("https://icd.who.int/dev11/l-ichi/en#/http%3A%2F%2Fid.who.int%2Ficd%2Fentity%2F1575299455","browser")</x:f>
      </x:c>
      <x:c r="L11368" s="0">
        <x:f>hyperlink("https://icat2.azurewebsites.net/icat/?ontology=ICD&amp;tab=ClassesTab&amp;id=http%3A%2F%2Fwho.int%2Ficd%23SpecificAnatomicLocation_2046","iCat")</x:f>
      </x:c>
      <x:c r="M11368" s="0" t="s">
        <x:v>21</x:v>
      </x:c>
      <x:c r="N11368" s="0" t="s">
        <x:v>46</x:v>
      </x:c>
    </x:row>
    <x:row r="11369" spans="1:16">
      <x:c r="A11369" s="0" t="s">
        <x:v>44716</x:v>
      </x:c>
      <x:c r="B11369" s="0" t="s">
        <x:v>44717</x:v>
      </x:c>
      <x:c r="C11369" s="0" t="s">
        <x:v>42840</x:v>
      </x:c>
      <x:c r="E11369" s="0" t="s">
        <x:v>44718</x:v>
      </x:c>
      <x:c r="F11369" s="0" t="s">
        <x:v>45</x:v>
      </x:c>
      <x:c r="G11369" s="0" t="s">
        <x:v>30</x:v>
      </x:c>
      <x:c r="H11369" s="0" t="s">
        <x:v>20</x:v>
      </x:c>
      <x:c r="I11369" s="0" t="s">
        <x:v>21</x:v>
      </x:c>
      <x:c r="K11369" s="0">
        <x:f>hyperlink("https://icd.who.int/dev11/l-ichi/en#/http%3A%2F%2Fid.who.int%2Ficd%2Fentity%2F440868582","browser")</x:f>
      </x:c>
      <x:c r="L11369" s="0">
        <x:f>hyperlink("https://icat2.azurewebsites.net/icat/?ontology=ICD&amp;tab=ClassesTab&amp;id=http%3A%2F%2Fwho.int%2Ficd%23SpecificAnatomicLocation_2055","iCat")</x:f>
      </x:c>
      <x:c r="M11369" s="0" t="s">
        <x:v>21</x:v>
      </x:c>
      <x:c r="N11369" s="0" t="s">
        <x:v>46</x:v>
      </x:c>
    </x:row>
    <x:row r="11370" spans="1:16">
      <x:c r="A11370" s="0" t="s">
        <x:v>44719</x:v>
      </x:c>
      <x:c r="B11370" s="0" t="s">
        <x:v>44720</x:v>
      </x:c>
      <x:c r="C11370" s="0" t="s">
        <x:v>42840</x:v>
      </x:c>
      <x:c r="E11370" s="0" t="s">
        <x:v>44721</x:v>
      </x:c>
      <x:c r="F11370" s="0" t="s">
        <x:v>45</x:v>
      </x:c>
      <x:c r="G11370" s="0" t="s">
        <x:v>30</x:v>
      </x:c>
      <x:c r="H11370" s="0" t="s">
        <x:v>20</x:v>
      </x:c>
      <x:c r="I11370" s="0" t="s">
        <x:v>21</x:v>
      </x:c>
      <x:c r="K11370" s="0">
        <x:f>hyperlink("https://icd.who.int/dev11/l-ichi/en#/http%3A%2F%2Fid.who.int%2Ficd%2Fentity%2F225409574","browser")</x:f>
      </x:c>
      <x:c r="L11370" s="0">
        <x:f>hyperlink("https://icat2.azurewebsites.net/icat/?ontology=ICD&amp;tab=ClassesTab&amp;id=http%3A%2F%2Fwho.int%2Ficd%23SpecificAnatomicLocation_2054","iCat")</x:f>
      </x:c>
      <x:c r="M11370" s="0" t="s">
        <x:v>21</x:v>
      </x:c>
      <x:c r="N11370" s="0" t="s">
        <x:v>46</x:v>
      </x:c>
    </x:row>
    <x:row r="11371" spans="1:16">
      <x:c r="A11371" s="0" t="s">
        <x:v>44722</x:v>
      </x:c>
      <x:c r="B11371" s="0" t="s">
        <x:v>44723</x:v>
      </x:c>
      <x:c r="D11371" s="0" t="s">
        <x:v>44524</x:v>
      </x:c>
      <x:c r="E11371" s="0" t="s">
        <x:v>44724</x:v>
      </x:c>
      <x:c r="F11371" s="0" t="s">
        <x:v>26</x:v>
      </x:c>
      <x:c r="G11371" s="0" t="s">
        <x:v>22</x:v>
      </x:c>
      <x:c r="H11371" s="0" t="s">
        <x:v>20</x:v>
      </x:c>
      <x:c r="I11371" s="0" t="s">
        <x:v>21</x:v>
      </x:c>
      <x:c r="K11371" s="0">
        <x:f>hyperlink("https://icd.who.int/dev11/l-ichi/en#/http%3A%2F%2Fid.who.int%2Ficd%2Fentity%2F519578830","browser")</x:f>
      </x:c>
      <x:c r="L11371" s="0">
        <x:f>hyperlink("https://icat2.azurewebsites.net/icat/?ontology=ICD&amp;tab=ClassesTab&amp;id=http%3A%2F%2Fwho.int%2Ficd%23SpecificAnatomicLocation_2061","iCat")</x:f>
      </x:c>
      <x:c r="M11371" s="0" t="s">
        <x:v>20</x:v>
      </x:c>
      <x:c r="N11371" s="0" t="s">
        <x:v>44725</x:v>
      </x:c>
    </x:row>
    <x:row r="11372" spans="1:16">
      <x:c r="A11372" s="0" t="s">
        <x:v>44726</x:v>
      </x:c>
      <x:c r="B11372" s="0" t="s">
        <x:v>44727</x:v>
      </x:c>
      <x:c r="C11372" s="0" t="s">
        <x:v>42840</x:v>
      </x:c>
      <x:c r="E11372" s="0" t="s">
        <x:v>44728</x:v>
      </x:c>
      <x:c r="F11372" s="0" t="s">
        <x:v>45</x:v>
      </x:c>
      <x:c r="G11372" s="0" t="s">
        <x:v>19</x:v>
      </x:c>
      <x:c r="H11372" s="0" t="s">
        <x:v>20</x:v>
      </x:c>
      <x:c r="I11372" s="0" t="s">
        <x:v>21</x:v>
      </x:c>
      <x:c r="K11372" s="0">
        <x:f>hyperlink("https://icd.who.int/dev11/l-ichi/en#/http%3A%2F%2Fid.who.int%2Ficd%2Fentity%2F1752769951","browser")</x:f>
      </x:c>
      <x:c r="L11372" s="0">
        <x:f>hyperlink("https://icat2.azurewebsites.net/icat/?ontology=ICD&amp;tab=ClassesTab&amp;id=http%3A%2F%2Fwho.int%2Ficd%234968_d9027f82_5e3d_47a4_a6fe_3c65954dde3a","iCat")</x:f>
      </x:c>
      <x:c r="M11372" s="0" t="s">
        <x:v>21</x:v>
      </x:c>
      <x:c r="N11372" s="0" t="s">
        <x:v>46</x:v>
      </x:c>
    </x:row>
    <x:row r="11373" spans="1:16">
      <x:c r="A11373" s="0" t="s">
        <x:v>44729</x:v>
      </x:c>
      <x:c r="B11373" s="0" t="s">
        <x:v>44730</x:v>
      </x:c>
      <x:c r="C11373" s="0" t="s">
        <x:v>42840</x:v>
      </x:c>
      <x:c r="E11373" s="0" t="s">
        <x:v>44731</x:v>
      </x:c>
      <x:c r="F11373" s="0" t="s">
        <x:v>45</x:v>
      </x:c>
      <x:c r="G11373" s="0" t="s">
        <x:v>19</x:v>
      </x:c>
      <x:c r="H11373" s="0" t="s">
        <x:v>20</x:v>
      </x:c>
      <x:c r="I11373" s="0" t="s">
        <x:v>21</x:v>
      </x:c>
      <x:c r="K11373" s="0">
        <x:f>hyperlink("https://icd.who.int/dev11/l-ichi/en#/http%3A%2F%2Fid.who.int%2Ficd%2Fentity%2F1390958888","browser")</x:f>
      </x:c>
      <x:c r="L11373" s="0">
        <x:f>hyperlink("https://icat2.azurewebsites.net/icat/?ontology=ICD&amp;tab=ClassesTab&amp;id=http%3A%2F%2Fwho.int%2Ficd%23SpecificAnatomicLocation_1770","iCat")</x:f>
      </x:c>
      <x:c r="M11373" s="0" t="s">
        <x:v>21</x:v>
      </x:c>
      <x:c r="N11373" s="0" t="s">
        <x:v>46</x:v>
      </x:c>
    </x:row>
    <x:row r="11374" spans="1:16">
      <x:c r="A11374" s="0" t="s">
        <x:v>44732</x:v>
      </x:c>
      <x:c r="B11374" s="0" t="s">
        <x:v>44733</x:v>
      </x:c>
      <x:c r="C11374" s="0" t="s">
        <x:v>42840</x:v>
      </x:c>
      <x:c r="E11374" s="0" t="s">
        <x:v>44734</x:v>
      </x:c>
      <x:c r="F11374" s="0" t="s">
        <x:v>45</x:v>
      </x:c>
      <x:c r="G11374" s="0" t="s">
        <x:v>19</x:v>
      </x:c>
      <x:c r="H11374" s="0" t="s">
        <x:v>20</x:v>
      </x:c>
      <x:c r="I11374" s="0" t="s">
        <x:v>21</x:v>
      </x:c>
      <x:c r="K11374" s="0">
        <x:f>hyperlink("https://icd.who.int/dev11/l-ichi/en#/http%3A%2F%2Fid.who.int%2Ficd%2Fentity%2F1170226664","browser")</x:f>
      </x:c>
      <x:c r="L11374" s="0">
        <x:f>hyperlink("https://icat2.azurewebsites.net/icat/?ontology=ICD&amp;tab=ClassesTab&amp;id=http%3A%2F%2Fwho.int%2Ficd%23SpecificAnatomicLocation_1771","iCat")</x:f>
      </x:c>
      <x:c r="M11374" s="0" t="s">
        <x:v>21</x:v>
      </x:c>
      <x:c r="N11374" s="0" t="s">
        <x:v>46</x:v>
      </x:c>
    </x:row>
    <x:row r="11375" spans="1:16">
      <x:c r="A11375" s="0" t="s">
        <x:v>44735</x:v>
      </x:c>
      <x:c r="B11375" s="0" t="s">
        <x:v>44736</x:v>
      </x:c>
      <x:c r="C11375" s="0" t="s">
        <x:v>42840</x:v>
      </x:c>
      <x:c r="E11375" s="0" t="s">
        <x:v>44737</x:v>
      </x:c>
      <x:c r="F11375" s="0" t="s">
        <x:v>45</x:v>
      </x:c>
      <x:c r="G11375" s="0" t="s">
        <x:v>19</x:v>
      </x:c>
      <x:c r="H11375" s="0" t="s">
        <x:v>20</x:v>
      </x:c>
      <x:c r="I11375" s="0" t="s">
        <x:v>21</x:v>
      </x:c>
      <x:c r="K11375" s="0">
        <x:f>hyperlink("https://icd.who.int/dev11/l-ichi/en#/http%3A%2F%2Fid.who.int%2Ficd%2Fentity%2F2092470440","browser")</x:f>
      </x:c>
      <x:c r="L11375" s="0">
        <x:f>hyperlink("https://icat2.azurewebsites.net/icat/?ontology=ICD&amp;tab=ClassesTab&amp;id=http%3A%2F%2Fwho.int%2Ficd%23SpecificAnatomicLocation_1772","iCat")</x:f>
      </x:c>
      <x:c r="M11375" s="0" t="s">
        <x:v>21</x:v>
      </x:c>
      <x:c r="N11375" s="0" t="s">
        <x:v>46</x:v>
      </x:c>
    </x:row>
    <x:row r="11376" spans="1:16">
      <x:c r="A11376" s="0" t="s">
        <x:v>44738</x:v>
      </x:c>
      <x:c r="B11376" s="0" t="s">
        <x:v>44739</x:v>
      </x:c>
      <x:c r="C11376" s="0" t="s">
        <x:v>42840</x:v>
      </x:c>
      <x:c r="E11376" s="0" t="s">
        <x:v>44740</x:v>
      </x:c>
      <x:c r="F11376" s="0" t="s">
        <x:v>45</x:v>
      </x:c>
      <x:c r="G11376" s="0" t="s">
        <x:v>19</x:v>
      </x:c>
      <x:c r="H11376" s="0" t="s">
        <x:v>20</x:v>
      </x:c>
      <x:c r="I11376" s="0" t="s">
        <x:v>21</x:v>
      </x:c>
      <x:c r="K11376" s="0">
        <x:f>hyperlink("https://icd.who.int/dev11/l-ichi/en#/http%3A%2F%2Fid.who.int%2Ficd%2Fentity%2F1804661864","browser")</x:f>
      </x:c>
      <x:c r="L11376" s="0">
        <x:f>hyperlink("https://icat2.azurewebsites.net/icat/?ontology=ICD&amp;tab=ClassesTab&amp;id=http%3A%2F%2Fwho.int%2Ficd%23SpecificAnatomicLocation_1773","iCat")</x:f>
      </x:c>
      <x:c r="M11376" s="0" t="s">
        <x:v>21</x:v>
      </x:c>
      <x:c r="N11376" s="0" t="s">
        <x:v>46</x:v>
      </x:c>
    </x:row>
    <x:row r="11377" spans="1:16">
      <x:c r="A11377" s="0" t="s">
        <x:v>44741</x:v>
      </x:c>
      <x:c r="B11377" s="0" t="s">
        <x:v>44742</x:v>
      </x:c>
      <x:c r="C11377" s="0" t="s">
        <x:v>42840</x:v>
      </x:c>
      <x:c r="E11377" s="0" t="s">
        <x:v>44743</x:v>
      </x:c>
      <x:c r="F11377" s="0" t="s">
        <x:v>45</x:v>
      </x:c>
      <x:c r="G11377" s="0" t="s">
        <x:v>19</x:v>
      </x:c>
      <x:c r="H11377" s="0" t="s">
        <x:v>20</x:v>
      </x:c>
      <x:c r="I11377" s="0" t="s">
        <x:v>21</x:v>
      </x:c>
      <x:c r="K11377" s="0">
        <x:f>hyperlink("https://icd.who.int/dev11/l-ichi/en#/http%3A%2F%2Fid.who.int%2Ficd%2Fentity%2F239716904","browser")</x:f>
      </x:c>
      <x:c r="L11377" s="0">
        <x:f>hyperlink("https://icat2.azurewebsites.net/icat/?ontology=ICD&amp;tab=ClassesTab&amp;id=http%3A%2F%2Fwho.int%2Ficd%23SpecificAnatomicLocation_1774","iCat")</x:f>
      </x:c>
      <x:c r="M11377" s="0" t="s">
        <x:v>21</x:v>
      </x:c>
      <x:c r="N11377" s="0" t="s">
        <x:v>46</x:v>
      </x:c>
    </x:row>
    <x:row r="11378" spans="1:16">
      <x:c r="A11378" s="0" t="s">
        <x:v>44744</x:v>
      </x:c>
      <x:c r="B11378" s="0" t="s">
        <x:v>44745</x:v>
      </x:c>
      <x:c r="C11378" s="0" t="s">
        <x:v>42840</x:v>
      </x:c>
      <x:c r="E11378" s="0" t="s">
        <x:v>44746</x:v>
      </x:c>
      <x:c r="F11378" s="0" t="s">
        <x:v>45</x:v>
      </x:c>
      <x:c r="G11378" s="0" t="s">
        <x:v>19</x:v>
      </x:c>
      <x:c r="H11378" s="0" t="s">
        <x:v>20</x:v>
      </x:c>
      <x:c r="I11378" s="0" t="s">
        <x:v>21</x:v>
      </x:c>
      <x:c r="K11378" s="0">
        <x:f>hyperlink("https://icd.who.int/dev11/l-ichi/en#/http%3A%2F%2Fid.who.int%2Ficd%2Fentity%2F425832168","browser")</x:f>
      </x:c>
      <x:c r="L11378" s="0">
        <x:f>hyperlink("https://icat2.azurewebsites.net/icat/?ontology=ICD&amp;tab=ClassesTab&amp;id=http%3A%2F%2Fwho.int%2Ficd%23SpecificAnatomicLocation_1775","iCat")</x:f>
      </x:c>
      <x:c r="M11378" s="0" t="s">
        <x:v>21</x:v>
      </x:c>
      <x:c r="N11378" s="0" t="s">
        <x:v>46</x:v>
      </x:c>
    </x:row>
    <x:row r="11379" spans="1:16">
      <x:c r="A11379" s="0" t="s">
        <x:v>44747</x:v>
      </x:c>
      <x:c r="B11379" s="0" t="s">
        <x:v>44748</x:v>
      </x:c>
      <x:c r="C11379" s="0" t="s">
        <x:v>42840</x:v>
      </x:c>
      <x:c r="E11379" s="0" t="s">
        <x:v>44749</x:v>
      </x:c>
      <x:c r="F11379" s="0" t="s">
        <x:v>45</x:v>
      </x:c>
      <x:c r="G11379" s="0" t="s">
        <x:v>19</x:v>
      </x:c>
      <x:c r="H11379" s="0" t="s">
        <x:v>20</x:v>
      </x:c>
      <x:c r="I11379" s="0" t="s">
        <x:v>21</x:v>
      </x:c>
      <x:c r="K11379" s="0">
        <x:f>hyperlink("https://icd.who.int/dev11/l-ichi/en#/http%3A%2F%2Fid.who.int%2Ficd%2Fentity%2F1802766222","browser")</x:f>
      </x:c>
      <x:c r="L11379" s="0">
        <x:f>hyperlink("https://icat2.azurewebsites.net/icat/?ontology=ICD&amp;tab=ClassesTab&amp;id=http%3A%2F%2Fwho.int%2Ficd%23SpecificAnatomicLocation_1875","iCat")</x:f>
      </x:c>
      <x:c r="M11379" s="0" t="s">
        <x:v>21</x:v>
      </x:c>
      <x:c r="N11379" s="0" t="s">
        <x:v>46</x:v>
      </x:c>
    </x:row>
    <x:row r="11380" spans="1:16">
      <x:c r="A11380" s="0" t="s">
        <x:v>44750</x:v>
      </x:c>
      <x:c r="B11380" s="0" t="s">
        <x:v>44751</x:v>
      </x:c>
      <x:c r="C11380" s="0" t="s">
        <x:v>42840</x:v>
      </x:c>
      <x:c r="E11380" s="0" t="s">
        <x:v>44752</x:v>
      </x:c>
      <x:c r="F11380" s="0" t="s">
        <x:v>45</x:v>
      </x:c>
      <x:c r="G11380" s="0" t="s">
        <x:v>19</x:v>
      </x:c>
      <x:c r="H11380" s="0" t="s">
        <x:v>20</x:v>
      </x:c>
      <x:c r="I11380" s="0" t="s">
        <x:v>21</x:v>
      </x:c>
      <x:c r="K11380" s="0">
        <x:f>hyperlink("https://icd.who.int/dev11/l-ichi/en#/http%3A%2F%2Fid.who.int%2Ficd%2Fentity%2F1376561870","browser")</x:f>
      </x:c>
      <x:c r="L11380" s="0">
        <x:f>hyperlink("https://icat2.azurewebsites.net/icat/?ontology=ICD&amp;tab=ClassesTab&amp;id=http%3A%2F%2Fwho.int%2Ficd%23SpecificAnatomicLocation_1876","iCat")</x:f>
      </x:c>
      <x:c r="M11380" s="0" t="s">
        <x:v>21</x:v>
      </x:c>
      <x:c r="N11380" s="0" t="s">
        <x:v>46</x:v>
      </x:c>
    </x:row>
    <x:row r="11381" spans="1:16">
      <x:c r="A11381" s="0" t="s">
        <x:v>44753</x:v>
      </x:c>
      <x:c r="B11381" s="0" t="s">
        <x:v>44754</x:v>
      </x:c>
      <x:c r="C11381" s="0" t="s">
        <x:v>42840</x:v>
      </x:c>
      <x:c r="E11381" s="0" t="s">
        <x:v>44755</x:v>
      </x:c>
      <x:c r="F11381" s="0" t="s">
        <x:v>45</x:v>
      </x:c>
      <x:c r="G11381" s="0" t="s">
        <x:v>19</x:v>
      </x:c>
      <x:c r="H11381" s="0" t="s">
        <x:v>20</x:v>
      </x:c>
      <x:c r="I11381" s="0" t="s">
        <x:v>21</x:v>
      </x:c>
      <x:c r="K11381" s="0">
        <x:f>hyperlink("https://icd.who.int/dev11/l-ichi/en#/http%3A%2F%2Fid.who.int%2Ficd%2Fentity%2F1715546546","browser")</x:f>
      </x:c>
      <x:c r="L11381" s="0">
        <x:f>hyperlink("https://icat2.azurewebsites.net/icat/?ontology=ICD&amp;tab=ClassesTab&amp;id=http%3A%2F%2Fwho.int%2Ficd%23SpecificAnatomicLocation_1878","iCat")</x:f>
      </x:c>
      <x:c r="M11381" s="0" t="s">
        <x:v>21</x:v>
      </x:c>
      <x:c r="N11381" s="0" t="s">
        <x:v>46</x:v>
      </x:c>
    </x:row>
    <x:row r="11382" spans="1:16">
      <x:c r="A11382" s="0" t="s">
        <x:v>44756</x:v>
      </x:c>
      <x:c r="B11382" s="0" t="s">
        <x:v>44757</x:v>
      </x:c>
      <x:c r="C11382" s="0" t="s">
        <x:v>42840</x:v>
      </x:c>
      <x:c r="E11382" s="0" t="s">
        <x:v>44758</x:v>
      </x:c>
      <x:c r="F11382" s="0" t="s">
        <x:v>45</x:v>
      </x:c>
      <x:c r="G11382" s="0" t="s">
        <x:v>19</x:v>
      </x:c>
      <x:c r="H11382" s="0" t="s">
        <x:v>20</x:v>
      </x:c>
      <x:c r="I11382" s="0" t="s">
        <x:v>21</x:v>
      </x:c>
      <x:c r="K11382" s="0">
        <x:f>hyperlink("https://icd.who.int/dev11/l-ichi/en#/http%3A%2F%2Fid.who.int%2Ficd%2Fentity%2F1902726514","browser")</x:f>
      </x:c>
      <x:c r="L11382" s="0">
        <x:f>hyperlink("https://icat2.azurewebsites.net/icat/?ontology=ICD&amp;tab=ClassesTab&amp;id=http%3A%2F%2Fwho.int%2Ficd%23SpecificAnatomicLocation_1879","iCat")</x:f>
      </x:c>
      <x:c r="M11382" s="0" t="s">
        <x:v>21</x:v>
      </x:c>
      <x:c r="N11382" s="0" t="s">
        <x:v>46</x:v>
      </x:c>
    </x:row>
    <x:row r="11383" spans="1:16">
      <x:c r="A11383" s="0" t="s">
        <x:v>44759</x:v>
      </x:c>
      <x:c r="B11383" s="0" t="s">
        <x:v>44760</x:v>
      </x:c>
      <x:c r="C11383" s="0" t="s">
        <x:v>42840</x:v>
      </x:c>
      <x:c r="E11383" s="0" t="s">
        <x:v>44761</x:v>
      </x:c>
      <x:c r="F11383" s="0" t="s">
        <x:v>45</x:v>
      </x:c>
      <x:c r="G11383" s="0" t="s">
        <x:v>19</x:v>
      </x:c>
      <x:c r="H11383" s="0" t="s">
        <x:v>20</x:v>
      </x:c>
      <x:c r="I11383" s="0" t="s">
        <x:v>21</x:v>
      </x:c>
      <x:c r="K11383" s="0">
        <x:f>hyperlink("https://icd.who.int/dev11/l-ichi/en#/http%3A%2F%2Fid.who.int%2Ficd%2Fentity%2F1008141435","browser")</x:f>
      </x:c>
      <x:c r="L11383" s="0">
        <x:f>hyperlink("https://icat2.azurewebsites.net/icat/?ontology=ICD&amp;tab=ClassesTab&amp;id=http%3A%2F%2Fwho.int%2Ficd%23SpecificAnatomicLocation_1880","iCat")</x:f>
      </x:c>
      <x:c r="M11383" s="0" t="s">
        <x:v>21</x:v>
      </x:c>
      <x:c r="N11383" s="0" t="s">
        <x:v>46</x:v>
      </x:c>
    </x:row>
    <x:row r="11384" spans="1:16">
      <x:c r="A11384" s="0" t="s">
        <x:v>44762</x:v>
      </x:c>
      <x:c r="B11384" s="0" t="s">
        <x:v>44763</x:v>
      </x:c>
      <x:c r="C11384" s="0" t="s">
        <x:v>42840</x:v>
      </x:c>
      <x:c r="E11384" s="0" t="s">
        <x:v>44764</x:v>
      </x:c>
      <x:c r="F11384" s="0" t="s">
        <x:v>45</x:v>
      </x:c>
      <x:c r="G11384" s="0" t="s">
        <x:v>19</x:v>
      </x:c>
      <x:c r="H11384" s="0" t="s">
        <x:v>20</x:v>
      </x:c>
      <x:c r="I11384" s="0" t="s">
        <x:v>21</x:v>
      </x:c>
      <x:c r="K11384" s="0">
        <x:f>hyperlink("https://icd.who.int/dev11/l-ichi/en#/http%3A%2F%2Fid.who.int%2Ficd%2Fentity%2F1189514726","browser")</x:f>
      </x:c>
      <x:c r="L11384" s="0">
        <x:f>hyperlink("https://icat2.azurewebsites.net/icat/?ontology=ICD&amp;tab=ClassesTab&amp;id=http%3A%2F%2Fwho.int%2Ficd%23SpecificAnatomicLocation_2051","iCat")</x:f>
      </x:c>
      <x:c r="M11384" s="0" t="s">
        <x:v>21</x:v>
      </x:c>
      <x:c r="N11384" s="0" t="s">
        <x:v>46</x:v>
      </x:c>
    </x:row>
    <x:row r="11385" spans="1:16">
      <x:c r="A11385" s="0" t="s">
        <x:v>44765</x:v>
      </x:c>
      <x:c r="B11385" s="0" t="s">
        <x:v>44766</x:v>
      </x:c>
      <x:c r="C11385" s="0" t="s">
        <x:v>42840</x:v>
      </x:c>
      <x:c r="E11385" s="0" t="s">
        <x:v>44767</x:v>
      </x:c>
      <x:c r="F11385" s="0" t="s">
        <x:v>45</x:v>
      </x:c>
      <x:c r="G11385" s="0" t="s">
        <x:v>19</x:v>
      </x:c>
      <x:c r="H11385" s="0" t="s">
        <x:v>20</x:v>
      </x:c>
      <x:c r="I11385" s="0" t="s">
        <x:v>21</x:v>
      </x:c>
      <x:c r="K11385" s="0">
        <x:f>hyperlink("https://icd.who.int/dev11/l-ichi/en#/http%3A%2F%2Fid.who.int%2Ficd%2Fentity%2F58516504","browser")</x:f>
      </x:c>
      <x:c r="L11385" s="0">
        <x:f>hyperlink("https://icat2.azurewebsites.net/icat/?ontology=ICD&amp;tab=ClassesTab&amp;id=http%3A%2F%2Fwho.int%2Ficd%23SpecificAnatomicLocation_1779","iCat")</x:f>
      </x:c>
      <x:c r="M11385" s="0" t="s">
        <x:v>21</x:v>
      </x:c>
      <x:c r="N11385" s="0" t="s">
        <x:v>46</x:v>
      </x:c>
    </x:row>
    <x:row r="11386" spans="1:16">
      <x:c r="A11386" s="0" t="s">
        <x:v>44768</x:v>
      </x:c>
      <x:c r="B11386" s="0" t="s">
        <x:v>44769</x:v>
      </x:c>
      <x:c r="C11386" s="0" t="s">
        <x:v>42840</x:v>
      </x:c>
      <x:c r="E11386" s="0" t="s">
        <x:v>44770</x:v>
      </x:c>
      <x:c r="F11386" s="0" t="s">
        <x:v>45</x:v>
      </x:c>
      <x:c r="G11386" s="0" t="s">
        <x:v>19</x:v>
      </x:c>
      <x:c r="H11386" s="0" t="s">
        <x:v>20</x:v>
      </x:c>
      <x:c r="I11386" s="0" t="s">
        <x:v>21</x:v>
      </x:c>
      <x:c r="K11386" s="0">
        <x:f>hyperlink("https://icd.who.int/dev11/l-ichi/en#/http%3A%2F%2Fid.who.int%2Ficd%2Fentity%2F2141069478","browser")</x:f>
      </x:c>
      <x:c r="L11386" s="0">
        <x:f>hyperlink("https://icat2.azurewebsites.net/icat/?ontology=ICD&amp;tab=ClassesTab&amp;id=http%3A%2F%2Fwho.int%2Ficd%23SpecificAnatomicLocation_2052","iCat")</x:f>
      </x:c>
      <x:c r="M11386" s="0" t="s">
        <x:v>21</x:v>
      </x:c>
      <x:c r="N11386" s="0" t="s">
        <x:v>46</x:v>
      </x:c>
    </x:row>
    <x:row r="11387" spans="1:16">
      <x:c r="A11387" s="0" t="s">
        <x:v>44771</x:v>
      </x:c>
      <x:c r="B11387" s="0" t="s">
        <x:v>44772</x:v>
      </x:c>
      <x:c r="C11387" s="0" t="s">
        <x:v>42840</x:v>
      </x:c>
      <x:c r="E11387" s="0" t="s">
        <x:v>44773</x:v>
      </x:c>
      <x:c r="F11387" s="0" t="s">
        <x:v>45</x:v>
      </x:c>
      <x:c r="G11387" s="0" t="s">
        <x:v>19</x:v>
      </x:c>
      <x:c r="H11387" s="0" t="s">
        <x:v>20</x:v>
      </x:c>
      <x:c r="I11387" s="0" t="s">
        <x:v>21</x:v>
      </x:c>
      <x:c r="K11387" s="0">
        <x:f>hyperlink("https://icd.who.int/dev11/l-ichi/en#/http%3A%2F%2Fid.who.int%2Ficd%2Fentity%2F1622579067","browser")</x:f>
      </x:c>
      <x:c r="L11387" s="0">
        <x:f>hyperlink("https://icat2.azurewebsites.net/icat/?ontology=ICD&amp;tab=ClassesTab&amp;id=http%3A%2F%2Fwho.int%2Ficd%23SpecificAnatomicLocation_1884","iCat")</x:f>
      </x:c>
      <x:c r="M11387" s="0" t="s">
        <x:v>21</x:v>
      </x:c>
      <x:c r="N11387" s="0" t="s">
        <x:v>46</x:v>
      </x:c>
    </x:row>
    <x:row r="11388" spans="1:16">
      <x:c r="A11388" s="0" t="s">
        <x:v>44774</x:v>
      </x:c>
      <x:c r="B11388" s="0" t="s">
        <x:v>44775</x:v>
      </x:c>
      <x:c r="C11388" s="0" t="s">
        <x:v>42840</x:v>
      </x:c>
      <x:c r="E11388" s="0" t="s">
        <x:v>44776</x:v>
      </x:c>
      <x:c r="F11388" s="0" t="s">
        <x:v>45</x:v>
      </x:c>
      <x:c r="G11388" s="0" t="s">
        <x:v>19</x:v>
      </x:c>
      <x:c r="H11388" s="0" t="s">
        <x:v>20</x:v>
      </x:c>
      <x:c r="I11388" s="0" t="s">
        <x:v>21</x:v>
      </x:c>
      <x:c r="K11388" s="0">
        <x:f>hyperlink("https://icd.who.int/dev11/l-ichi/en#/http%3A%2F%2Fid.who.int%2Ficd%2Fentity%2F2006905787","browser")</x:f>
      </x:c>
      <x:c r="L11388" s="0">
        <x:f>hyperlink("https://icat2.azurewebsites.net/icat/?ontology=ICD&amp;tab=ClassesTab&amp;id=http%3A%2F%2Fwho.int%2Ficd%23SpecificAnatomicLocation_1885","iCat")</x:f>
      </x:c>
      <x:c r="M11388" s="0" t="s">
        <x:v>21</x:v>
      </x:c>
      <x:c r="N11388" s="0" t="s">
        <x:v>46</x:v>
      </x:c>
    </x:row>
    <x:row r="11389" spans="1:16">
      <x:c r="A11389" s="0" t="s">
        <x:v>44777</x:v>
      </x:c>
      <x:c r="B11389" s="0" t="s">
        <x:v>44778</x:v>
      </x:c>
      <x:c r="C11389" s="0" t="s">
        <x:v>42840</x:v>
      </x:c>
      <x:c r="E11389" s="0" t="s">
        <x:v>44779</x:v>
      </x:c>
      <x:c r="F11389" s="0" t="s">
        <x:v>45</x:v>
      </x:c>
      <x:c r="G11389" s="0" t="s">
        <x:v>19</x:v>
      </x:c>
      <x:c r="H11389" s="0" t="s">
        <x:v>20</x:v>
      </x:c>
      <x:c r="I11389" s="0" t="s">
        <x:v>21</x:v>
      </x:c>
      <x:c r="K11389" s="0">
        <x:f>hyperlink("https://icd.who.int/dev11/l-ichi/en#/http%3A%2F%2Fid.who.int%2Ficd%2Fentity%2F1323720443","browser")</x:f>
      </x:c>
      <x:c r="L11389" s="0">
        <x:f>hyperlink("https://icat2.azurewebsites.net/icat/?ontology=ICD&amp;tab=ClassesTab&amp;id=http%3A%2F%2Fwho.int%2Ficd%23SpecificAnatomicLocation_1886","iCat")</x:f>
      </x:c>
      <x:c r="M11389" s="0" t="s">
        <x:v>21</x:v>
      </x:c>
      <x:c r="N11389" s="0" t="s">
        <x:v>46</x:v>
      </x:c>
    </x:row>
    <x:row r="11390" spans="1:16">
      <x:c r="A11390" s="0" t="s">
        <x:v>44780</x:v>
      </x:c>
      <x:c r="B11390" s="0" t="s">
        <x:v>44781</x:v>
      </x:c>
      <x:c r="C11390" s="0" t="s">
        <x:v>42840</x:v>
      </x:c>
      <x:c r="E11390" s="0" t="s">
        <x:v>44782</x:v>
      </x:c>
      <x:c r="F11390" s="0" t="s">
        <x:v>45</x:v>
      </x:c>
      <x:c r="G11390" s="0" t="s">
        <x:v>19</x:v>
      </x:c>
      <x:c r="H11390" s="0" t="s">
        <x:v>20</x:v>
      </x:c>
      <x:c r="I11390" s="0" t="s">
        <x:v>21</x:v>
      </x:c>
      <x:c r="K11390" s="0">
        <x:f>hyperlink("https://icd.who.int/dev11/l-ichi/en#/http%3A%2F%2Fid.who.int%2Ficd%2Fentity%2F1506687547","browser")</x:f>
      </x:c>
      <x:c r="L11390" s="0">
        <x:f>hyperlink("https://icat2.azurewebsites.net/icat/?ontology=ICD&amp;tab=ClassesTab&amp;id=http%3A%2F%2Fwho.int%2Ficd%23SpecificAnatomicLocation_1887","iCat")</x:f>
      </x:c>
      <x:c r="M11390" s="0" t="s">
        <x:v>21</x:v>
      </x:c>
      <x:c r="N11390" s="0" t="s">
        <x:v>46</x:v>
      </x:c>
    </x:row>
    <x:row r="11391" spans="1:16">
      <x:c r="A11391" s="0" t="s">
        <x:v>44783</x:v>
      </x:c>
      <x:c r="B11391" s="0" t="s">
        <x:v>44784</x:v>
      </x:c>
      <x:c r="C11391" s="0" t="s">
        <x:v>42840</x:v>
      </x:c>
      <x:c r="E11391" s="0" t="s">
        <x:v>44785</x:v>
      </x:c>
      <x:c r="F11391" s="0" t="s">
        <x:v>45</x:v>
      </x:c>
      <x:c r="G11391" s="0" t="s">
        <x:v>19</x:v>
      </x:c>
      <x:c r="H11391" s="0" t="s">
        <x:v>20</x:v>
      </x:c>
      <x:c r="I11391" s="0" t="s">
        <x:v>21</x:v>
      </x:c>
      <x:c r="K11391" s="0">
        <x:f>hyperlink("https://icd.who.int/dev11/l-ichi/en#/http%3A%2F%2Fid.who.int%2Ficd%2Fentity%2F2058083717","browser")</x:f>
      </x:c>
      <x:c r="L11391" s="0">
        <x:f>hyperlink("https://icat2.azurewebsites.net/icat/?ontology=ICD&amp;tab=ClassesTab&amp;id=http%3A%2F%2Fwho.int%2Ficd%23SpecificAnatomicLocation_1888","iCat")</x:f>
      </x:c>
      <x:c r="M11391" s="0" t="s">
        <x:v>21</x:v>
      </x:c>
      <x:c r="N11391" s="0" t="s">
        <x:v>46</x:v>
      </x:c>
    </x:row>
    <x:row r="11392" spans="1:16">
      <x:c r="A11392" s="0" t="s">
        <x:v>44786</x:v>
      </x:c>
      <x:c r="B11392" s="0" t="s">
        <x:v>44787</x:v>
      </x:c>
      <x:c r="C11392" s="0" t="s">
        <x:v>42840</x:v>
      </x:c>
      <x:c r="E11392" s="0" t="s">
        <x:v>44788</x:v>
      </x:c>
      <x:c r="F11392" s="0" t="s">
        <x:v>45</x:v>
      </x:c>
      <x:c r="G11392" s="0" t="s">
        <x:v>19</x:v>
      </x:c>
      <x:c r="H11392" s="0" t="s">
        <x:v>20</x:v>
      </x:c>
      <x:c r="I11392" s="0" t="s">
        <x:v>21</x:v>
      </x:c>
      <x:c r="K11392" s="0">
        <x:f>hyperlink("https://icd.who.int/dev11/l-ichi/en#/http%3A%2F%2Fid.who.int%2Ficd%2Fentity%2F1837349189","browser")</x:f>
      </x:c>
      <x:c r="L11392" s="0">
        <x:f>hyperlink("https://icat2.azurewebsites.net/icat/?ontology=ICD&amp;tab=ClassesTab&amp;id=http%3A%2F%2Fwho.int%2Ficd%23SpecificAnatomicLocation_1889","iCat")</x:f>
      </x:c>
      <x:c r="M11392" s="0" t="s">
        <x:v>21</x:v>
      </x:c>
      <x:c r="N11392" s="0" t="s">
        <x:v>46</x:v>
      </x:c>
    </x:row>
    <x:row r="11393" spans="1:16">
      <x:c r="A11393" s="0" t="s">
        <x:v>44789</x:v>
      </x:c>
      <x:c r="B11393" s="0" t="s">
        <x:v>44790</x:v>
      </x:c>
      <x:c r="C11393" s="0" t="s">
        <x:v>42840</x:v>
      </x:c>
      <x:c r="E11393" s="0" t="s">
        <x:v>44791</x:v>
      </x:c>
      <x:c r="F11393" s="0" t="s">
        <x:v>45</x:v>
      </x:c>
      <x:c r="G11393" s="0" t="s">
        <x:v>19</x:v>
      </x:c>
      <x:c r="H11393" s="0" t="s">
        <x:v>20</x:v>
      </x:c>
      <x:c r="I11393" s="0" t="s">
        <x:v>21</x:v>
      </x:c>
      <x:c r="K11393" s="0">
        <x:f>hyperlink("https://icd.who.int/dev11/l-ichi/en#/http%3A%2F%2Fid.who.int%2Ficd%2Fentity%2F1120771748","browser")</x:f>
      </x:c>
      <x:c r="L11393" s="0">
        <x:f>hyperlink("https://icat2.azurewebsites.net/icat/?ontology=ICD&amp;tab=ClassesTab&amp;id=http%3A%2F%2Fwho.int%2Ficd%23SpecificAnatomicLocation_1890","iCat")</x:f>
      </x:c>
      <x:c r="M11393" s="0" t="s">
        <x:v>21</x:v>
      </x:c>
      <x:c r="N11393" s="0" t="s">
        <x:v>46</x:v>
      </x:c>
    </x:row>
    <x:row r="11394" spans="1:16">
      <x:c r="A11394" s="0" t="s">
        <x:v>44792</x:v>
      </x:c>
      <x:c r="B11394" s="0" t="s">
        <x:v>44793</x:v>
      </x:c>
      <x:c r="C11394" s="0" t="s">
        <x:v>42840</x:v>
      </x:c>
      <x:c r="E11394" s="0" t="s">
        <x:v>44794</x:v>
      </x:c>
      <x:c r="F11394" s="0" t="s">
        <x:v>45</x:v>
      </x:c>
      <x:c r="G11394" s="0" t="s">
        <x:v>19</x:v>
      </x:c>
      <x:c r="H11394" s="0" t="s">
        <x:v>20</x:v>
      </x:c>
      <x:c r="I11394" s="0" t="s">
        <x:v>21</x:v>
      </x:c>
      <x:c r="K11394" s="0">
        <x:f>hyperlink("https://icd.who.int/dev11/l-ichi/en#/http%3A%2F%2Fid.who.int%2Ficd%2Fentity%2F1441135204","browser")</x:f>
      </x:c>
      <x:c r="L11394" s="0">
        <x:f>hyperlink("https://icat2.azurewebsites.net/icat/?ontology=ICD&amp;tab=ClassesTab&amp;id=http%3A%2F%2Fwho.int%2Ficd%23SpecificAnatomicLocation_1891","iCat")</x:f>
      </x:c>
      <x:c r="M11394" s="0" t="s">
        <x:v>21</x:v>
      </x:c>
      <x:c r="N11394" s="0" t="s">
        <x:v>46</x:v>
      </x:c>
    </x:row>
    <x:row r="11395" spans="1:16">
      <x:c r="A11395" s="0" t="s">
        <x:v>44795</x:v>
      </x:c>
      <x:c r="B11395" s="0" t="s">
        <x:v>44796</x:v>
      </x:c>
      <x:c r="D11395" s="0" t="s">
        <x:v>44797</x:v>
      </x:c>
      <x:c r="E11395" s="0" t="s">
        <x:v>44798</x:v>
      </x:c>
      <x:c r="F11395" s="0" t="s">
        <x:v>26</x:v>
      </x:c>
      <x:c r="G11395" s="0" t="s">
        <x:v>40</x:v>
      </x:c>
      <x:c r="H11395" s="0" t="s">
        <x:v>20</x:v>
      </x:c>
      <x:c r="I11395" s="0" t="s">
        <x:v>21</x:v>
      </x:c>
      <x:c r="K11395" s="0">
        <x:f>hyperlink("https://icd.who.int/dev11/l-ichi/en#/http%3A%2F%2Fid.who.int%2Ficd%2Fentity%2F164642830","browser")</x:f>
      </x:c>
      <x:c r="L11395" s="0">
        <x:f>hyperlink("https://icat2.azurewebsites.net/icat/?ontology=ICD&amp;tab=ClassesTab&amp;id=http%3A%2F%2Fwho.int%2Ficd%23SpecificAnatomicLocation_2060","iCat")</x:f>
      </x:c>
      <x:c r="M11395" s="0" t="s">
        <x:v>20</x:v>
      </x:c>
      <x:c r="N11395" s="0" t="s">
        <x:v>30</x:v>
      </x:c>
    </x:row>
    <x:row r="11396" spans="1:16">
      <x:c r="A11396" s="0" t="s">
        <x:v>44799</x:v>
      </x:c>
      <x:c r="B11396" s="0" t="s">
        <x:v>44800</x:v>
      </x:c>
      <x:c r="C11396" s="0" t="s">
        <x:v>42840</x:v>
      </x:c>
      <x:c r="E11396" s="0" t="s">
        <x:v>44801</x:v>
      </x:c>
      <x:c r="F11396" s="0" t="s">
        <x:v>45</x:v>
      </x:c>
      <x:c r="G11396" s="0" t="s">
        <x:v>19</x:v>
      </x:c>
      <x:c r="H11396" s="0" t="s">
        <x:v>20</x:v>
      </x:c>
      <x:c r="I11396" s="0" t="s">
        <x:v>21</x:v>
      </x:c>
      <x:c r="K11396" s="0">
        <x:f>hyperlink("https://icd.who.int/dev11/l-ichi/en#/http%3A%2F%2Fid.who.int%2Ficd%2Fentity%2F5919770","browser")</x:f>
      </x:c>
      <x:c r="L11396" s="0">
        <x:f>hyperlink("https://icat2.azurewebsites.net/icat/?ontology=ICD&amp;tab=ClassesTab&amp;id=http%3A%2F%2Fwho.int%2Ficd%23SpecificAnatomicLocation_2059","iCat")</x:f>
      </x:c>
      <x:c r="M11396" s="0" t="s">
        <x:v>21</x:v>
      </x:c>
      <x:c r="N11396" s="0" t="s">
        <x:v>46</x:v>
      </x:c>
    </x:row>
    <x:row r="11397" spans="1:16">
      <x:c r="A11397" s="0" t="s">
        <x:v>44802</x:v>
      </x:c>
      <x:c r="B11397" s="0" t="s">
        <x:v>44803</x:v>
      </x:c>
      <x:c r="C11397" s="0" t="s">
        <x:v>42840</x:v>
      </x:c>
      <x:c r="E11397" s="0" t="s">
        <x:v>44804</x:v>
      </x:c>
      <x:c r="F11397" s="0" t="s">
        <x:v>45</x:v>
      </x:c>
      <x:c r="G11397" s="0" t="s">
        <x:v>19</x:v>
      </x:c>
      <x:c r="H11397" s="0" t="s">
        <x:v>20</x:v>
      </x:c>
      <x:c r="I11397" s="0" t="s">
        <x:v>21</x:v>
      </x:c>
      <x:c r="K11397" s="0">
        <x:f>hyperlink("https://icd.who.int/dev11/l-ichi/en#/http%3A%2F%2Fid.who.int%2Ficd%2Fentity%2F393359578","browser")</x:f>
      </x:c>
      <x:c r="L11397" s="0">
        <x:f>hyperlink("https://icat2.azurewebsites.net/icat/?ontology=ICD&amp;tab=ClassesTab&amp;id=http%3A%2F%2Fwho.int%2Ficd%23SpecificAnatomicLocation_2058","iCat")</x:f>
      </x:c>
      <x:c r="M11397" s="0" t="s">
        <x:v>21</x:v>
      </x:c>
      <x:c r="N11397" s="0" t="s">
        <x:v>46</x:v>
      </x:c>
    </x:row>
    <x:row r="11398" spans="1:16">
      <x:c r="A11398" s="0" t="s">
        <x:v>44805</x:v>
      </x:c>
      <x:c r="B11398" s="0" t="s">
        <x:v>44806</x:v>
      </x:c>
      <x:c r="C11398" s="0" t="s">
        <x:v>42840</x:v>
      </x:c>
      <x:c r="E11398" s="0" t="s">
        <x:v>44807</x:v>
      </x:c>
      <x:c r="F11398" s="0" t="s">
        <x:v>45</x:v>
      </x:c>
      <x:c r="G11398" s="0" t="s">
        <x:v>19</x:v>
      </x:c>
      <x:c r="H11398" s="0" t="s">
        <x:v>20</x:v>
      </x:c>
      <x:c r="I11398" s="0" t="s">
        <x:v>21</x:v>
      </x:c>
      <x:c r="K11398" s="0">
        <x:f>hyperlink("https://icd.who.int/dev11/l-ichi/en#/http%3A%2F%2Fid.who.int%2Ficd%2Fentity%2F1822250788","browser")</x:f>
      </x:c>
      <x:c r="L11398" s="0">
        <x:f>hyperlink("https://icat2.azurewebsites.net/icat/?ontology=ICD&amp;tab=ClassesTab&amp;id=http%3A%2F%2Fwho.int%2Ficd%23SpecificAnatomicLocation_1892","iCat")</x:f>
      </x:c>
      <x:c r="M11398" s="0" t="s">
        <x:v>21</x:v>
      </x:c>
      <x:c r="N11398" s="0" t="s">
        <x:v>46</x:v>
      </x:c>
    </x:row>
    <x:row r="11399" spans="1:16">
      <x:c r="A11399" s="0" t="s">
        <x:v>44808</x:v>
      </x:c>
      <x:c r="B11399" s="0" t="s">
        <x:v>44809</x:v>
      </x:c>
      <x:c r="C11399" s="0" t="s">
        <x:v>42840</x:v>
      </x:c>
      <x:c r="E11399" s="0" t="s">
        <x:v>44810</x:v>
      </x:c>
      <x:c r="F11399" s="0" t="s">
        <x:v>45</x:v>
      </x:c>
      <x:c r="G11399" s="0" t="s">
        <x:v>19</x:v>
      </x:c>
      <x:c r="H11399" s="0" t="s">
        <x:v>20</x:v>
      </x:c>
      <x:c r="I11399" s="0" t="s">
        <x:v>21</x:v>
      </x:c>
      <x:c r="K11399" s="0">
        <x:f>hyperlink("https://icd.who.int/dev11/l-ichi/en#/http%3A%2F%2Fid.who.int%2Ficd%2Fentity%2F2075472868","browser")</x:f>
      </x:c>
      <x:c r="L11399" s="0">
        <x:f>hyperlink("https://icat2.azurewebsites.net/icat/?ontology=ICD&amp;tab=ClassesTab&amp;id=http%3A%2F%2Fwho.int%2Ficd%23SpecificAnatomicLocation_1893","iCat")</x:f>
      </x:c>
      <x:c r="M11399" s="0" t="s">
        <x:v>21</x:v>
      </x:c>
      <x:c r="N11399" s="0" t="s">
        <x:v>46</x:v>
      </x:c>
    </x:row>
    <x:row r="11400" spans="1:16">
      <x:c r="A11400" s="0" t="s">
        <x:v>44811</x:v>
      </x:c>
      <x:c r="B11400" s="0" t="s">
        <x:v>44812</x:v>
      </x:c>
      <x:c r="C11400" s="0" t="s">
        <x:v>42840</x:v>
      </x:c>
      <x:c r="E11400" s="0" t="s">
        <x:v>44813</x:v>
      </x:c>
      <x:c r="F11400" s="0" t="s">
        <x:v>45</x:v>
      </x:c>
      <x:c r="G11400" s="0" t="s">
        <x:v>19</x:v>
      </x:c>
      <x:c r="H11400" s="0" t="s">
        <x:v>20</x:v>
      </x:c>
      <x:c r="I11400" s="0" t="s">
        <x:v>21</x:v>
      </x:c>
      <x:c r="K11400" s="0">
        <x:f>hyperlink("https://icd.who.int/dev11/l-ichi/en#/http%3A%2F%2Fid.who.int%2Ficd%2Fentity%2F510397860","browser")</x:f>
      </x:c>
      <x:c r="L11400" s="0">
        <x:f>hyperlink("https://icat2.azurewebsites.net/icat/?ontology=ICD&amp;tab=ClassesTab&amp;id=http%3A%2F%2Fwho.int%2Ficd%23SpecificAnatomicLocation_1894","iCat")</x:f>
      </x:c>
      <x:c r="M11400" s="0" t="s">
        <x:v>21</x:v>
      </x:c>
      <x:c r="N11400" s="0" t="s">
        <x:v>46</x:v>
      </x:c>
    </x:row>
    <x:row r="11401" spans="1:16">
      <x:c r="A11401" s="0" t="s">
        <x:v>44814</x:v>
      </x:c>
      <x:c r="B11401" s="0" t="s">
        <x:v>44815</x:v>
      </x:c>
      <x:c r="C11401" s="0" t="s">
        <x:v>42840</x:v>
      </x:c>
      <x:c r="E11401" s="0" t="s">
        <x:v>44816</x:v>
      </x:c>
      <x:c r="F11401" s="0" t="s">
        <x:v>45</x:v>
      </x:c>
      <x:c r="G11401" s="0" t="s">
        <x:v>19</x:v>
      </x:c>
      <x:c r="H11401" s="0" t="s">
        <x:v>20</x:v>
      </x:c>
      <x:c r="I11401" s="0" t="s">
        <x:v>21</x:v>
      </x:c>
      <x:c r="K11401" s="0">
        <x:f>hyperlink("https://icd.who.int/dev11/l-ichi/en#/http%3A%2F%2Fid.who.int%2Ficd%2Fentity%2F655663332","browser")</x:f>
      </x:c>
      <x:c r="L11401" s="0">
        <x:f>hyperlink("https://icat2.azurewebsites.net/icat/?ontology=ICD&amp;tab=ClassesTab&amp;id=http%3A%2F%2Fwho.int%2Ficd%23SpecificAnatomicLocation_1897","iCat")</x:f>
      </x:c>
      <x:c r="M11401" s="0" t="s">
        <x:v>21</x:v>
      </x:c>
      <x:c r="N11401" s="0" t="s">
        <x:v>46</x:v>
      </x:c>
    </x:row>
    <x:row r="11402" spans="1:16">
      <x:c r="A11402" s="0" t="s">
        <x:v>44817</x:v>
      </x:c>
      <x:c r="B11402" s="0" t="s">
        <x:v>44818</x:v>
      </x:c>
      <x:c r="C11402" s="0" t="s">
        <x:v>42840</x:v>
      </x:c>
      <x:c r="E11402" s="0" t="s">
        <x:v>44819</x:v>
      </x:c>
      <x:c r="F11402" s="0" t="s">
        <x:v>45</x:v>
      </x:c>
      <x:c r="G11402" s="0" t="s">
        <x:v>19</x:v>
      </x:c>
      <x:c r="H11402" s="0" t="s">
        <x:v>20</x:v>
      </x:c>
      <x:c r="I11402" s="0" t="s">
        <x:v>21</x:v>
      </x:c>
      <x:c r="K11402" s="0">
        <x:f>hyperlink("https://icd.who.int/dev11/l-ichi/en#/http%3A%2F%2Fid.who.int%2Ficd%2Fentity%2F74532700","browser")</x:f>
      </x:c>
      <x:c r="L11402" s="0">
        <x:f>hyperlink("https://icat2.azurewebsites.net/icat/?ontology=ICD&amp;tab=ClassesTab&amp;id=http%3A%2F%2Fwho.int%2Ficd%23SpecificAnatomicLocation_1898","iCat")</x:f>
      </x:c>
      <x:c r="M11402" s="0" t="s">
        <x:v>21</x:v>
      </x:c>
      <x:c r="N11402" s="0" t="s">
        <x:v>46</x:v>
      </x:c>
    </x:row>
    <x:row r="11403" spans="1:16">
      <x:c r="A11403" s="0" t="s">
        <x:v>44820</x:v>
      </x:c>
      <x:c r="B11403" s="0" t="s">
        <x:v>44821</x:v>
      </x:c>
      <x:c r="C11403" s="0" t="s">
        <x:v>42840</x:v>
      </x:c>
      <x:c r="E11403" s="0" t="s">
        <x:v>44822</x:v>
      </x:c>
      <x:c r="F11403" s="0" t="s">
        <x:v>45</x:v>
      </x:c>
      <x:c r="G11403" s="0" t="s">
        <x:v>19</x:v>
      </x:c>
      <x:c r="H11403" s="0" t="s">
        <x:v>20</x:v>
      </x:c>
      <x:c r="I11403" s="0" t="s">
        <x:v>21</x:v>
      </x:c>
      <x:c r="K11403" s="0">
        <x:f>hyperlink("https://icd.who.int/dev11/l-ichi/en#/http%3A%2F%2Fid.who.int%2Ficd%2Fentity%2F1787697679","browser")</x:f>
      </x:c>
      <x:c r="L11403" s="0">
        <x:f>hyperlink("https://icat2.azurewebsites.net/icat/?ontology=ICD&amp;tab=ClassesTab&amp;id=http%3A%2F%2Fwho.int%2Ficd%23SpecificAnatomicLocation_1768","iCat")</x:f>
      </x:c>
      <x:c r="M11403" s="0" t="s">
        <x:v>21</x:v>
      </x:c>
      <x:c r="N11403" s="0" t="s">
        <x:v>46</x:v>
      </x:c>
    </x:row>
    <x:row r="11404" spans="1:16">
      <x:c r="A11404" s="0" t="s">
        <x:v>44823</x:v>
      </x:c>
      <x:c r="B11404" s="0" t="s">
        <x:v>44824</x:v>
      </x:c>
      <x:c r="C11404" s="0" t="s">
        <x:v>42840</x:v>
      </x:c>
      <x:c r="E11404" s="0" t="s">
        <x:v>551</x:v>
      </x:c>
      <x:c r="F11404" s="0" t="s">
        <x:v>45</x:v>
      </x:c>
      <x:c r="G11404" s="0" t="s">
        <x:v>19</x:v>
      </x:c>
      <x:c r="H11404" s="0" t="s">
        <x:v>20</x:v>
      </x:c>
      <x:c r="I11404" s="0" t="s">
        <x:v>21</x:v>
      </x:c>
      <x:c r="K11404" s="0">
        <x:f>hyperlink("https://icd.who.int/dev11/l-ichi/en#/http%3A%2F%2Fid.who.int%2Ficd%2Fentity%2F312688159","browser")</x:f>
      </x:c>
      <x:c r="L11404" s="0">
        <x:f>hyperlink("https://icat2.azurewebsites.net/icat/?ontology=ICD&amp;tab=ClassesTab&amp;id=http%3A%2F%2Fwho.int%2Ficd%23SpecificAnatomicLocation_1784","iCat")</x:f>
      </x:c>
      <x:c r="M11404" s="0" t="s">
        <x:v>21</x:v>
      </x:c>
      <x:c r="N11404" s="0" t="s">
        <x:v>46</x:v>
      </x:c>
    </x:row>
    <x:row r="11405" spans="1:16">
      <x:c r="A11405" s="0" t="s">
        <x:v>44825</x:v>
      </x:c>
      <x:c r="B11405" s="0" t="s">
        <x:v>44826</x:v>
      </x:c>
      <x:c r="C11405" s="0" t="s">
        <x:v>42840</x:v>
      </x:c>
      <x:c r="E11405" s="0" t="s">
        <x:v>44827</x:v>
      </x:c>
      <x:c r="F11405" s="0" t="s">
        <x:v>45</x:v>
      </x:c>
      <x:c r="G11405" s="0" t="s">
        <x:v>19</x:v>
      </x:c>
      <x:c r="H11405" s="0" t="s">
        <x:v>20</x:v>
      </x:c>
      <x:c r="I11405" s="0" t="s">
        <x:v>21</x:v>
      </x:c>
      <x:c r="K11405" s="0">
        <x:f>hyperlink("https://icd.who.int/dev11/l-ichi/en#/http%3A%2F%2Fid.who.int%2Ficd%2Fentity%2F151494226","browser")</x:f>
      </x:c>
      <x:c r="L11405" s="0">
        <x:f>hyperlink("https://icat2.azurewebsites.net/icat/?ontology=ICD&amp;tab=ClassesTab&amp;id=http%3A%2F%2Fwho.int%2Ficd%23SpecificAnatomicLocation_1900","iCat")</x:f>
      </x:c>
      <x:c r="M11405" s="0" t="s">
        <x:v>21</x:v>
      </x:c>
      <x:c r="N11405" s="0" t="s">
        <x:v>46</x:v>
      </x:c>
    </x:row>
    <x:row r="11406" spans="1:16">
      <x:c r="A11406" s="0" t="s">
        <x:v>44828</x:v>
      </x:c>
      <x:c r="B11406" s="0" t="s">
        <x:v>44829</x:v>
      </x:c>
      <x:c r="C11406" s="0" t="s">
        <x:v>42840</x:v>
      </x:c>
      <x:c r="E11406" s="0" t="s">
        <x:v>44830</x:v>
      </x:c>
      <x:c r="F11406" s="0" t="s">
        <x:v>45</x:v>
      </x:c>
      <x:c r="G11406" s="0" t="s">
        <x:v>19</x:v>
      </x:c>
      <x:c r="H11406" s="0" t="s">
        <x:v>20</x:v>
      </x:c>
      <x:c r="I11406" s="0" t="s">
        <x:v>21</x:v>
      </x:c>
      <x:c r="K11406" s="0">
        <x:f>hyperlink("https://icd.who.int/dev11/l-ichi/en#/http%3A%2F%2Fid.who.int%2Ficd%2Fentity%2F506460818","browser")</x:f>
      </x:c>
      <x:c r="L11406" s="0">
        <x:f>hyperlink("https://icat2.azurewebsites.net/icat/?ontology=ICD&amp;tab=ClassesTab&amp;id=http%3A%2F%2Fwho.int%2Ficd%23SpecificAnatomicLocation_1901","iCat")</x:f>
      </x:c>
      <x:c r="M11406" s="0" t="s">
        <x:v>21</x:v>
      </x:c>
      <x:c r="N11406" s="0" t="s">
        <x:v>46</x:v>
      </x:c>
    </x:row>
    <x:row r="11407" spans="1:16">
      <x:c r="A11407" s="0" t="s">
        <x:v>44831</x:v>
      </x:c>
      <x:c r="B11407" s="0" t="s">
        <x:v>44832</x:v>
      </x:c>
      <x:c r="C11407" s="0" t="s">
        <x:v>42840</x:v>
      </x:c>
      <x:c r="E11407" s="0" t="s">
        <x:v>44833</x:v>
      </x:c>
      <x:c r="F11407" s="0" t="s">
        <x:v>45</x:v>
      </x:c>
      <x:c r="G11407" s="0" t="s">
        <x:v>19</x:v>
      </x:c>
      <x:c r="H11407" s="0" t="s">
        <x:v>20</x:v>
      </x:c>
      <x:c r="I11407" s="0" t="s">
        <x:v>21</x:v>
      </x:c>
      <x:c r="K11407" s="0">
        <x:f>hyperlink("https://icd.who.int/dev11/l-ichi/en#/http%3A%2F%2Fid.who.int%2Ficd%2Fentity%2F660035538","browser")</x:f>
      </x:c>
      <x:c r="L11407" s="0">
        <x:f>hyperlink("https://icat2.azurewebsites.net/icat/?ontology=ICD&amp;tab=ClassesTab&amp;id=http%3A%2F%2Fwho.int%2Ficd%23SpecificAnatomicLocation_1902","iCat")</x:f>
      </x:c>
      <x:c r="M11407" s="0" t="s">
        <x:v>21</x:v>
      </x:c>
      <x:c r="N11407" s="0" t="s">
        <x:v>46</x:v>
      </x:c>
    </x:row>
    <x:row r="11408" spans="1:16">
      <x:c r="A11408" s="0" t="s">
        <x:v>44834</x:v>
      </x:c>
      <x:c r="B11408" s="0" t="s">
        <x:v>44835</x:v>
      </x:c>
      <x:c r="C11408" s="0" t="s">
        <x:v>42840</x:v>
      </x:c>
      <x:c r="E11408" s="0" t="s">
        <x:v>44836</x:v>
      </x:c>
      <x:c r="F11408" s="0" t="s">
        <x:v>45</x:v>
      </x:c>
      <x:c r="G11408" s="0" t="s">
        <x:v>19</x:v>
      </x:c>
      <x:c r="H11408" s="0" t="s">
        <x:v>20</x:v>
      </x:c>
      <x:c r="I11408" s="0" t="s">
        <x:v>21</x:v>
      </x:c>
      <x:c r="K11408" s="0">
        <x:f>hyperlink("https://icd.who.int/dev11/l-ichi/en#/http%3A%2F%2Fid.who.int%2Ficd%2Fentity%2F813642514","browser")</x:f>
      </x:c>
      <x:c r="L11408" s="0">
        <x:f>hyperlink("https://icat2.azurewebsites.net/icat/?ontology=ICD&amp;tab=ClassesTab&amp;id=http%3A%2F%2Fwho.int%2Ficd%23SpecificAnatomicLocation_1903","iCat")</x:f>
      </x:c>
      <x:c r="M11408" s="0" t="s">
        <x:v>21</x:v>
      </x:c>
      <x:c r="N11408" s="0" t="s">
        <x:v>46</x:v>
      </x:c>
    </x:row>
    <x:row r="11409" spans="1:16">
      <x:c r="A11409" s="0" t="s">
        <x:v>44837</x:v>
      </x:c>
      <x:c r="B11409" s="0" t="s">
        <x:v>44838</x:v>
      </x:c>
      <x:c r="C11409" s="0" t="s">
        <x:v>42840</x:v>
      </x:c>
      <x:c r="E11409" s="0" t="s">
        <x:v>44839</x:v>
      </x:c>
      <x:c r="F11409" s="0" t="s">
        <x:v>45</x:v>
      </x:c>
      <x:c r="G11409" s="0" t="s">
        <x:v>19</x:v>
      </x:c>
      <x:c r="H11409" s="0" t="s">
        <x:v>20</x:v>
      </x:c>
      <x:c r="I11409" s="0" t="s">
        <x:v>21</x:v>
      </x:c>
      <x:c r="K11409" s="0">
        <x:f>hyperlink("https://icd.who.int/dev11/l-ichi/en#/http%3A%2F%2Fid.who.int%2Ficd%2Fentity%2F2079769810","browser")</x:f>
      </x:c>
      <x:c r="L11409" s="0">
        <x:f>hyperlink("https://icat2.azurewebsites.net/icat/?ontology=ICD&amp;tab=ClassesTab&amp;id=http%3A%2F%2Fwho.int%2Ficd%23SpecificAnatomicLocation_1906","iCat")</x:f>
      </x:c>
      <x:c r="M11409" s="0" t="s">
        <x:v>21</x:v>
      </x:c>
      <x:c r="N11409" s="0" t="s">
        <x:v>46</x:v>
      </x:c>
    </x:row>
    <x:row r="11410" spans="1:16">
      <x:c r="A11410" s="0" t="s">
        <x:v>44840</x:v>
      </x:c>
      <x:c r="B11410" s="0" t="s">
        <x:v>44841</x:v>
      </x:c>
      <x:c r="C11410" s="0" t="s">
        <x:v>42840</x:v>
      </x:c>
      <x:c r="E11410" s="0" t="s">
        <x:v>44842</x:v>
      </x:c>
      <x:c r="F11410" s="0" t="s">
        <x:v>45</x:v>
      </x:c>
      <x:c r="G11410" s="0" t="s">
        <x:v>19</x:v>
      </x:c>
      <x:c r="H11410" s="0" t="s">
        <x:v>20</x:v>
      </x:c>
      <x:c r="I11410" s="0" t="s">
        <x:v>21</x:v>
      </x:c>
      <x:c r="K11410" s="0">
        <x:f>hyperlink("https://icd.who.int/dev11/l-ichi/en#/http%3A%2F%2Fid.who.int%2Ficd%2Fentity%2F1826529298","browser")</x:f>
      </x:c>
      <x:c r="L11410" s="0">
        <x:f>hyperlink("https://icat2.azurewebsites.net/icat/?ontology=ICD&amp;tab=ClassesTab&amp;id=http%3A%2F%2Fwho.int%2Ficd%23SpecificAnatomicLocation_1907","iCat")</x:f>
      </x:c>
      <x:c r="M11410" s="0" t="s">
        <x:v>21</x:v>
      </x:c>
      <x:c r="N11410" s="0" t="s">
        <x:v>46</x:v>
      </x:c>
    </x:row>
    <x:row r="11411" spans="1:16">
      <x:c r="A11411" s="0" t="s">
        <x:v>44843</x:v>
      </x:c>
      <x:c r="B11411" s="0" t="s">
        <x:v>44844</x:v>
      </x:c>
      <x:c r="C11411" s="0" t="s">
        <x:v>42840</x:v>
      </x:c>
      <x:c r="E11411" s="0" t="s">
        <x:v>44845</x:v>
      </x:c>
      <x:c r="F11411" s="0" t="s">
        <x:v>45</x:v>
      </x:c>
      <x:c r="G11411" s="0" t="s">
        <x:v>19</x:v>
      </x:c>
      <x:c r="H11411" s="0" t="s">
        <x:v>20</x:v>
      </x:c>
      <x:c r="I11411" s="0" t="s">
        <x:v>21</x:v>
      </x:c>
      <x:c r="K11411" s="0">
        <x:f>hyperlink("https://icd.who.int/dev11/l-ichi/en#/http%3A%2F%2Fid.who.int%2Ficd%2Fentity%2F1486037870","browser")</x:f>
      </x:c>
      <x:c r="L11411" s="0">
        <x:f>hyperlink("https://icat2.azurewebsites.net/icat/?ontology=ICD&amp;tab=ClassesTab&amp;id=http%3A%2F%2Fwho.int%2Ficd%23SpecificAnatomicLocation_1909","iCat")</x:f>
      </x:c>
      <x:c r="M11411" s="0" t="s">
        <x:v>21</x:v>
      </x:c>
      <x:c r="N11411" s="0" t="s">
        <x:v>46</x:v>
      </x:c>
    </x:row>
    <x:row r="11412" spans="1:16">
      <x:c r="A11412" s="0" t="s">
        <x:v>44846</x:v>
      </x:c>
      <x:c r="B11412" s="0" t="s">
        <x:v>44847</x:v>
      </x:c>
      <x:c r="C11412" s="0" t="s">
        <x:v>42840</x:v>
      </x:c>
      <x:c r="E11412" s="0" t="s">
        <x:v>44848</x:v>
      </x:c>
      <x:c r="F11412" s="0" t="s">
        <x:v>45</x:v>
      </x:c>
      <x:c r="G11412" s="0" t="s">
        <x:v>19</x:v>
      </x:c>
      <x:c r="H11412" s="0" t="s">
        <x:v>20</x:v>
      </x:c>
      <x:c r="I11412" s="0" t="s">
        <x:v>21</x:v>
      </x:c>
      <x:c r="K11412" s="0">
        <x:f>hyperlink("https://icd.who.int/dev11/l-ichi/en#/http%3A%2F%2Fid.who.int%2Ficd%2Fentity%2F1436945746","browser")</x:f>
      </x:c>
      <x:c r="L11412" s="0">
        <x:f>hyperlink("https://icat2.azurewebsites.net/icat/?ontology=ICD&amp;tab=ClassesTab&amp;id=http%3A%2F%2Fwho.int%2Ficd%23SpecificAnatomicLocation_1904","iCat")</x:f>
      </x:c>
      <x:c r="M11412" s="0" t="s">
        <x:v>21</x:v>
      </x:c>
      <x:c r="N11412" s="0" t="s">
        <x:v>46</x:v>
      </x:c>
    </x:row>
    <x:row r="11413" spans="1:16">
      <x:c r="A11413" s="0" t="s">
        <x:v>44849</x:v>
      </x:c>
      <x:c r="B11413" s="0" t="s">
        <x:v>44850</x:v>
      </x:c>
      <x:c r="C11413" s="0" t="s">
        <x:v>42840</x:v>
      </x:c>
      <x:c r="E11413" s="0" t="s">
        <x:v>44851</x:v>
      </x:c>
      <x:c r="F11413" s="0" t="s">
        <x:v>45</x:v>
      </x:c>
      <x:c r="G11413" s="0" t="s">
        <x:v>19</x:v>
      </x:c>
      <x:c r="H11413" s="0" t="s">
        <x:v>20</x:v>
      </x:c>
      <x:c r="I11413" s="0" t="s">
        <x:v>21</x:v>
      </x:c>
      <x:c r="K11413" s="0">
        <x:f>hyperlink("https://icd.who.int/dev11/l-ichi/en#/http%3A%2F%2Fid.who.int%2Ficd%2Fentity%2F1626693707","browser")</x:f>
      </x:c>
      <x:c r="L11413" s="0">
        <x:f>hyperlink("https://icat2.azurewebsites.net/icat/?ontology=ICD&amp;tab=ClassesTab&amp;id=http%3A%2F%2Fwho.int%2Ficd%23SpecificAnatomicLocation_1911","iCat")</x:f>
      </x:c>
      <x:c r="M11413" s="0" t="s">
        <x:v>21</x:v>
      </x:c>
      <x:c r="N11413" s="0" t="s">
        <x:v>46</x:v>
      </x:c>
    </x:row>
    <x:row r="11414" spans="1:16">
      <x:c r="A11414" s="0" t="s">
        <x:v>44852</x:v>
      </x:c>
      <x:c r="B11414" s="0" t="s">
        <x:v>44853</x:v>
      </x:c>
      <x:c r="C11414" s="0" t="s">
        <x:v>42840</x:v>
      </x:c>
      <x:c r="E11414" s="0" t="s">
        <x:v>44854</x:v>
      </x:c>
      <x:c r="F11414" s="0" t="s">
        <x:v>45</x:v>
      </x:c>
      <x:c r="G11414" s="0" t="s">
        <x:v>19</x:v>
      </x:c>
      <x:c r="H11414" s="0" t="s">
        <x:v>20</x:v>
      </x:c>
      <x:c r="I11414" s="0" t="s">
        <x:v>21</x:v>
      </x:c>
      <x:c r="K11414" s="0">
        <x:f>hyperlink("https://icd.who.int/dev11/l-ichi/en#/http%3A%2F%2Fid.who.int%2Ficd%2Fentity%2F1502465291","browser")</x:f>
      </x:c>
      <x:c r="L11414" s="0">
        <x:f>hyperlink("https://icat2.azurewebsites.net/icat/?ontology=ICD&amp;tab=ClassesTab&amp;id=http%3A%2F%2Fwho.int%2Ficd%23SpecificAnatomicLocation_1912","iCat")</x:f>
      </x:c>
      <x:c r="M11414" s="0" t="s">
        <x:v>21</x:v>
      </x:c>
      <x:c r="N11414" s="0" t="s">
        <x:v>46</x:v>
      </x:c>
    </x:row>
    <x:row r="11415" spans="1:16">
      <x:c r="A11415" s="0" t="s">
        <x:v>44855</x:v>
      </x:c>
      <x:c r="B11415" s="0" t="s">
        <x:v>44856</x:v>
      </x:c>
      <x:c r="C11415" s="0" t="s">
        <x:v>42840</x:v>
      </x:c>
      <x:c r="E11415" s="0" t="s">
        <x:v>44857</x:v>
      </x:c>
      <x:c r="F11415" s="0" t="s">
        <x:v>45</x:v>
      </x:c>
      <x:c r="G11415" s="0" t="s">
        <x:v>19</x:v>
      </x:c>
      <x:c r="H11415" s="0" t="s">
        <x:v>20</x:v>
      </x:c>
      <x:c r="I11415" s="0" t="s">
        <x:v>21</x:v>
      </x:c>
      <x:c r="K11415" s="0">
        <x:f>hyperlink("https://icd.who.int/dev11/l-ichi/en#/http%3A%2F%2Fid.who.int%2Ficd%2Fentity%2F1319479755","browser")</x:f>
      </x:c>
      <x:c r="L11415" s="0">
        <x:f>hyperlink("https://icat2.azurewebsites.net/icat/?ontology=ICD&amp;tab=ClassesTab&amp;id=http%3A%2F%2Fwho.int%2Ficd%23SpecificAnatomicLocation_1913","iCat")</x:f>
      </x:c>
      <x:c r="M11415" s="0" t="s">
        <x:v>21</x:v>
      </x:c>
      <x:c r="N11415" s="0" t="s">
        <x:v>46</x:v>
      </x:c>
    </x:row>
    <x:row r="11416" spans="1:16">
      <x:c r="A11416" s="0" t="s">
        <x:v>44858</x:v>
      </x:c>
      <x:c r="B11416" s="0" t="s">
        <x:v>44859</x:v>
      </x:c>
      <x:c r="C11416" s="0" t="s">
        <x:v>42840</x:v>
      </x:c>
      <x:c r="E11416" s="0" t="s">
        <x:v>44860</x:v>
      </x:c>
      <x:c r="F11416" s="0" t="s">
        <x:v>45</x:v>
      </x:c>
      <x:c r="G11416" s="0" t="s">
        <x:v>19</x:v>
      </x:c>
      <x:c r="H11416" s="0" t="s">
        <x:v>20</x:v>
      </x:c>
      <x:c r="I11416" s="0" t="s">
        <x:v>21</x:v>
      </x:c>
      <x:c r="K11416" s="0">
        <x:f>hyperlink("https://icd.who.int/dev11/l-ichi/en#/http%3A%2F%2Fid.who.int%2Ficd%2Fentity%2F729585547","browser")</x:f>
      </x:c>
      <x:c r="L11416" s="0">
        <x:f>hyperlink("https://icat2.azurewebsites.net/icat/?ontology=ICD&amp;tab=ClassesTab&amp;id=http%3A%2F%2Fwho.int%2Ficd%23SpecificAnatomicLocation_1914","iCat")</x:f>
      </x:c>
      <x:c r="M11416" s="0" t="s">
        <x:v>21</x:v>
      </x:c>
      <x:c r="N11416" s="0" t="s">
        <x:v>46</x:v>
      </x:c>
    </x:row>
    <x:row r="11417" spans="1:16">
      <x:c r="A11417" s="0" t="s">
        <x:v>44861</x:v>
      </x:c>
      <x:c r="B11417" s="0" t="s">
        <x:v>44862</x:v>
      </x:c>
      <x:c r="C11417" s="0" t="s">
        <x:v>42840</x:v>
      </x:c>
      <x:c r="E11417" s="0" t="s">
        <x:v>44863</x:v>
      </x:c>
      <x:c r="F11417" s="0" t="s">
        <x:v>45</x:v>
      </x:c>
      <x:c r="G11417" s="0" t="s">
        <x:v>19</x:v>
      </x:c>
      <x:c r="H11417" s="0" t="s">
        <x:v>20</x:v>
      </x:c>
      <x:c r="I11417" s="0" t="s">
        <x:v>21</x:v>
      </x:c>
      <x:c r="K11417" s="0">
        <x:f>hyperlink("https://icd.who.int/dev11/l-ichi/en#/http%3A%2F%2Fid.who.int%2Ficd%2Fentity%2F1012200267","browser")</x:f>
      </x:c>
      <x:c r="L11417" s="0">
        <x:f>hyperlink("https://icat2.azurewebsites.net/icat/?ontology=ICD&amp;tab=ClassesTab&amp;id=http%3A%2F%2Fwho.int%2Ficd%23SpecificAnatomicLocation_1915","iCat")</x:f>
      </x:c>
      <x:c r="M11417" s="0" t="s">
        <x:v>21</x:v>
      </x:c>
      <x:c r="N11417" s="0" t="s">
        <x:v>46</x:v>
      </x:c>
    </x:row>
    <x:row r="11418" spans="1:16">
      <x:c r="A11418" s="0" t="s">
        <x:v>44864</x:v>
      </x:c>
      <x:c r="B11418" s="0" t="s">
        <x:v>44865</x:v>
      </x:c>
      <x:c r="C11418" s="0" t="s">
        <x:v>42840</x:v>
      </x:c>
      <x:c r="E11418" s="0" t="s">
        <x:v>44866</x:v>
      </x:c>
      <x:c r="F11418" s="0" t="s">
        <x:v>45</x:v>
      </x:c>
      <x:c r="G11418" s="0" t="s">
        <x:v>19</x:v>
      </x:c>
      <x:c r="H11418" s="0" t="s">
        <x:v>20</x:v>
      </x:c>
      <x:c r="I11418" s="0" t="s">
        <x:v>21</x:v>
      </x:c>
      <x:c r="K11418" s="0">
        <x:f>hyperlink("https://icd.who.int/dev11/l-ichi/en#/http%3A%2F%2Fid.who.int%2Ficd%2Fentity%2F86793739","browser")</x:f>
      </x:c>
      <x:c r="L11418" s="0">
        <x:f>hyperlink("https://icat2.azurewebsites.net/icat/?ontology=ICD&amp;tab=ClassesTab&amp;id=http%3A%2F%2Fwho.int%2Ficd%23SpecificAnatomicLocation_1916","iCat")</x:f>
      </x:c>
      <x:c r="M11418" s="0" t="s">
        <x:v>21</x:v>
      </x:c>
      <x:c r="N11418" s="0" t="s">
        <x:v>46</x:v>
      </x:c>
    </x:row>
    <x:row r="11419" spans="1:16">
      <x:c r="A11419" s="0" t="s">
        <x:v>44867</x:v>
      </x:c>
      <x:c r="B11419" s="0" t="s">
        <x:v>44868</x:v>
      </x:c>
      <x:c r="C11419" s="0" t="s">
        <x:v>42840</x:v>
      </x:c>
      <x:c r="E11419" s="0" t="s">
        <x:v>44869</x:v>
      </x:c>
      <x:c r="F11419" s="0" t="s">
        <x:v>45</x:v>
      </x:c>
      <x:c r="G11419" s="0" t="s">
        <x:v>19</x:v>
      </x:c>
      <x:c r="H11419" s="0" t="s">
        <x:v>20</x:v>
      </x:c>
      <x:c r="I11419" s="0" t="s">
        <x:v>21</x:v>
      </x:c>
      <x:c r="K11419" s="0">
        <x:f>hyperlink("https://icd.who.int/dev11/l-ichi/en#/http%3A%2F%2Fid.who.int%2Ficd%2Fentity%2F302267083","browser")</x:f>
      </x:c>
      <x:c r="L11419" s="0">
        <x:f>hyperlink("https://icat2.azurewebsites.net/icat/?ontology=ICD&amp;tab=ClassesTab&amp;id=http%3A%2F%2Fwho.int%2Ficd%23SpecificAnatomicLocation_1917","iCat")</x:f>
      </x:c>
      <x:c r="M11419" s="0" t="s">
        <x:v>21</x:v>
      </x:c>
      <x:c r="N11419" s="0" t="s">
        <x:v>46</x:v>
      </x:c>
    </x:row>
    <x:row r="11420" spans="1:16">
      <x:c r="A11420" s="0" t="s">
        <x:v>44870</x:v>
      </x:c>
      <x:c r="B11420" s="0" t="s">
        <x:v>44871</x:v>
      </x:c>
      <x:c r="C11420" s="0" t="s">
        <x:v>42840</x:v>
      </x:c>
      <x:c r="E11420" s="0" t="s">
        <x:v>44872</x:v>
      </x:c>
      <x:c r="F11420" s="0" t="s">
        <x:v>45</x:v>
      </x:c>
      <x:c r="G11420" s="0" t="s">
        <x:v>19</x:v>
      </x:c>
      <x:c r="H11420" s="0" t="s">
        <x:v>20</x:v>
      </x:c>
      <x:c r="I11420" s="0" t="s">
        <x:v>21</x:v>
      </x:c>
      <x:c r="K11420" s="0">
        <x:f>hyperlink("https://icd.who.int/dev11/l-ichi/en#/http%3A%2F%2Fid.who.int%2Ficd%2Fentity%2F828497269","browser")</x:f>
      </x:c>
      <x:c r="L11420" s="0">
        <x:f>hyperlink("https://icat2.azurewebsites.net/icat/?ontology=ICD&amp;tab=ClassesTab&amp;id=http%3A%2F%2Fwho.int%2Ficd%23SpecificAnatomicLocation_1918","iCat")</x:f>
      </x:c>
      <x:c r="M11420" s="0" t="s">
        <x:v>21</x:v>
      </x:c>
      <x:c r="N11420" s="0" t="s">
        <x:v>46</x:v>
      </x:c>
    </x:row>
    <x:row r="11421" spans="1:16">
      <x:c r="A11421" s="0" t="s">
        <x:v>44873</x:v>
      </x:c>
      <x:c r="B11421" s="0" t="s">
        <x:v>44874</x:v>
      </x:c>
      <x:c r="C11421" s="0" t="s">
        <x:v>42840</x:v>
      </x:c>
      <x:c r="E11421" s="0" t="s">
        <x:v>44875</x:v>
      </x:c>
      <x:c r="F11421" s="0" t="s">
        <x:v>45</x:v>
      </x:c>
      <x:c r="G11421" s="0" t="s">
        <x:v>19</x:v>
      </x:c>
      <x:c r="H11421" s="0" t="s">
        <x:v>20</x:v>
      </x:c>
      <x:c r="I11421" s="0" t="s">
        <x:v>21</x:v>
      </x:c>
      <x:c r="K11421" s="0">
        <x:f>hyperlink("https://icd.who.int/dev11/l-ichi/en#/http%3A%2F%2Fid.who.int%2Ficd%2Fentity%2F642365877","browser")</x:f>
      </x:c>
      <x:c r="L11421" s="0">
        <x:f>hyperlink("https://icat2.azurewebsites.net/icat/?ontology=ICD&amp;tab=ClassesTab&amp;id=http%3A%2F%2Fwho.int%2Ficd%23SpecificAnatomicLocation_1919","iCat")</x:f>
      </x:c>
      <x:c r="M11421" s="0" t="s">
        <x:v>21</x:v>
      </x:c>
      <x:c r="N11421" s="0" t="s">
        <x:v>46</x:v>
      </x:c>
    </x:row>
    <x:row r="11422" spans="1:16">
      <x:c r="A11422" s="0" t="s">
        <x:v>44876</x:v>
      </x:c>
      <x:c r="B11422" s="0" t="s">
        <x:v>44877</x:v>
      </x:c>
      <x:c r="C11422" s="0" t="s">
        <x:v>42840</x:v>
      </x:c>
      <x:c r="E11422" s="0" t="s">
        <x:v>44878</x:v>
      </x:c>
      <x:c r="F11422" s="0" t="s">
        <x:v>45</x:v>
      </x:c>
      <x:c r="G11422" s="0" t="s">
        <x:v>19</x:v>
      </x:c>
      <x:c r="H11422" s="0" t="s">
        <x:v>20</x:v>
      </x:c>
      <x:c r="I11422" s="0" t="s">
        <x:v>21</x:v>
      </x:c>
      <x:c r="K11422" s="0">
        <x:f>hyperlink("https://icd.who.int/dev11/l-ichi/en#/http%3A%2F%2Fid.who.int%2Ficd%2Fentity%2F677972541","browser")</x:f>
      </x:c>
      <x:c r="L11422" s="0">
        <x:f>hyperlink("https://icat2.azurewebsites.net/icat/?ontology=ICD&amp;tab=ClassesTab&amp;id=http%3A%2F%2Fwho.int%2Ficd%23SpecificAnatomicLocation_1852","iCat")</x:f>
      </x:c>
      <x:c r="M11422" s="0" t="s">
        <x:v>21</x:v>
      </x:c>
      <x:c r="N11422" s="0" t="s">
        <x:v>46</x:v>
      </x:c>
    </x:row>
    <x:row r="11423" spans="1:16">
      <x:c r="A11423" s="0" t="s">
        <x:v>44879</x:v>
      </x:c>
      <x:c r="B11423" s="0" t="s">
        <x:v>44880</x:v>
      </x:c>
      <x:c r="C11423" s="0" t="s">
        <x:v>42840</x:v>
      </x:c>
      <x:c r="E11423" s="0" t="s">
        <x:v>44881</x:v>
      </x:c>
      <x:c r="F11423" s="0" t="s">
        <x:v>45</x:v>
      </x:c>
      <x:c r="G11423" s="0" t="s">
        <x:v>19</x:v>
      </x:c>
      <x:c r="H11423" s="0" t="s">
        <x:v>20</x:v>
      </x:c>
      <x:c r="I11423" s="0" t="s">
        <x:v>21</x:v>
      </x:c>
      <x:c r="K11423" s="0">
        <x:f>hyperlink("https://icd.who.int/dev11/l-ichi/en#/http%3A%2F%2Fid.who.int%2Ficd%2Fentity%2F954976611","browser")</x:f>
      </x:c>
      <x:c r="L11423" s="0">
        <x:f>hyperlink("https://icat2.azurewebsites.net/icat/?ontology=ICD&amp;tab=ClassesTab&amp;id=http%3A%2F%2Fwho.int%2Ficd%23SpecificAnatomicLocation_1921","iCat")</x:f>
      </x:c>
      <x:c r="M11423" s="0" t="s">
        <x:v>21</x:v>
      </x:c>
      <x:c r="N11423" s="0" t="s">
        <x:v>46</x:v>
      </x:c>
    </x:row>
    <x:row r="11424" spans="1:16">
      <x:c r="A11424" s="0" t="s">
        <x:v>44882</x:v>
      </x:c>
      <x:c r="B11424" s="0" t="s">
        <x:v>44883</x:v>
      </x:c>
      <x:c r="C11424" s="0" t="s">
        <x:v>42840</x:v>
      </x:c>
      <x:c r="E11424" s="0" t="s">
        <x:v>44884</x:v>
      </x:c>
      <x:c r="F11424" s="0" t="s">
        <x:v>45</x:v>
      </x:c>
      <x:c r="G11424" s="0" t="s">
        <x:v>19</x:v>
      </x:c>
      <x:c r="H11424" s="0" t="s">
        <x:v>20</x:v>
      </x:c>
      <x:c r="I11424" s="0" t="s">
        <x:v>21</x:v>
      </x:c>
      <x:c r="K11424" s="0">
        <x:f>hyperlink("https://icd.who.int/dev11/l-ichi/en#/http%3A%2F%2Fid.who.int%2Ficd%2Fentity%2F26436643","browser")</x:f>
      </x:c>
      <x:c r="L11424" s="0">
        <x:f>hyperlink("https://icat2.azurewebsites.net/icat/?ontology=ICD&amp;tab=ClassesTab&amp;id=http%3A%2F%2Fwho.int%2Ficd%23SpecificAnatomicLocation_1922","iCat")</x:f>
      </x:c>
      <x:c r="M11424" s="0" t="s">
        <x:v>21</x:v>
      </x:c>
      <x:c r="N11424" s="0" t="s">
        <x:v>46</x:v>
      </x:c>
    </x:row>
    <x:row r="11425" spans="1:16">
      <x:c r="A11425" s="0" t="s">
        <x:v>44885</x:v>
      </x:c>
      <x:c r="B11425" s="0" t="s">
        <x:v>44886</x:v>
      </x:c>
      <x:c r="C11425" s="0" t="s">
        <x:v>42840</x:v>
      </x:c>
      <x:c r="E11425" s="0" t="s">
        <x:v>44887</x:v>
      </x:c>
      <x:c r="F11425" s="0" t="s">
        <x:v>45</x:v>
      </x:c>
      <x:c r="G11425" s="0" t="s">
        <x:v>19</x:v>
      </x:c>
      <x:c r="H11425" s="0" t="s">
        <x:v>20</x:v>
      </x:c>
      <x:c r="I11425" s="0" t="s">
        <x:v>21</x:v>
      </x:c>
      <x:c r="K11425" s="0">
        <x:f>hyperlink("https://icd.who.int/dev11/l-ichi/en#/http%3A%2F%2Fid.who.int%2Ficd%2Fentity%2F1935818403","browser")</x:f>
      </x:c>
      <x:c r="L11425" s="0">
        <x:f>hyperlink("https://icat2.azurewebsites.net/icat/?ontology=ICD&amp;tab=ClassesTab&amp;id=http%3A%2F%2Fwho.int%2Ficd%23SpecificAnatomicLocation_1924","iCat")</x:f>
      </x:c>
      <x:c r="M11425" s="0" t="s">
        <x:v>21</x:v>
      </x:c>
      <x:c r="N11425" s="0" t="s">
        <x:v>46</x:v>
      </x:c>
    </x:row>
    <x:row r="11426" spans="1:16">
      <x:c r="A11426" s="0" t="s">
        <x:v>44888</x:v>
      </x:c>
      <x:c r="B11426" s="0" t="s">
        <x:v>44889</x:v>
      </x:c>
      <x:c r="C11426" s="0" t="s">
        <x:v>42840</x:v>
      </x:c>
      <x:c r="E11426" s="0" t="s">
        <x:v>44890</x:v>
      </x:c>
      <x:c r="F11426" s="0" t="s">
        <x:v>45</x:v>
      </x:c>
      <x:c r="G11426" s="0" t="s">
        <x:v>19</x:v>
      </x:c>
      <x:c r="H11426" s="0" t="s">
        <x:v>20</x:v>
      </x:c>
      <x:c r="I11426" s="0" t="s">
        <x:v>21</x:v>
      </x:c>
      <x:c r="K11426" s="0">
        <x:f>hyperlink("https://icd.who.int/dev11/l-ichi/en#/http%3A%2F%2Fid.who.int%2Ficd%2Fentity%2F1563621155","browser")</x:f>
      </x:c>
      <x:c r="L11426" s="0">
        <x:f>hyperlink("https://icat2.azurewebsites.net/icat/?ontology=ICD&amp;tab=ClassesTab&amp;id=http%3A%2F%2Fwho.int%2Ficd%23SpecificAnatomicLocation_1926","iCat")</x:f>
      </x:c>
      <x:c r="M11426" s="0" t="s">
        <x:v>21</x:v>
      </x:c>
      <x:c r="N11426" s="0" t="s">
        <x:v>46</x:v>
      </x:c>
    </x:row>
    <x:row r="11427" spans="1:16">
      <x:c r="A11427" s="0" t="s">
        <x:v>44891</x:v>
      </x:c>
      <x:c r="B11427" s="0" t="s">
        <x:v>44892</x:v>
      </x:c>
      <x:c r="C11427" s="0" t="s">
        <x:v>42840</x:v>
      </x:c>
      <x:c r="E11427" s="0" t="s">
        <x:v>44893</x:v>
      </x:c>
      <x:c r="F11427" s="0" t="s">
        <x:v>45</x:v>
      </x:c>
      <x:c r="G11427" s="0" t="s">
        <x:v>19</x:v>
      </x:c>
      <x:c r="H11427" s="0" t="s">
        <x:v>20</x:v>
      </x:c>
      <x:c r="I11427" s="0" t="s">
        <x:v>21</x:v>
      </x:c>
      <x:c r="K11427" s="0">
        <x:f>hyperlink("https://icd.who.int/dev11/l-ichi/en#/http%3A%2F%2Fid.who.int%2Ficd%2Fentity%2F1769960541","browser")</x:f>
      </x:c>
      <x:c r="L11427" s="0">
        <x:f>hyperlink("https://icat2.azurewebsites.net/icat/?ontology=ICD&amp;tab=ClassesTab&amp;id=http%3A%2F%2Fwho.int%2Ficd%23SpecificAnatomicLocation_1928","iCat")</x:f>
      </x:c>
      <x:c r="M11427" s="0" t="s">
        <x:v>21</x:v>
      </x:c>
      <x:c r="N11427" s="0" t="s">
        <x:v>46</x:v>
      </x:c>
    </x:row>
    <x:row r="11428" spans="1:16">
      <x:c r="A11428" s="0" t="s">
        <x:v>44894</x:v>
      </x:c>
      <x:c r="B11428" s="0" t="s">
        <x:v>44895</x:v>
      </x:c>
      <x:c r="C11428" s="0" t="s">
        <x:v>42840</x:v>
      </x:c>
      <x:c r="E11428" s="0" t="s">
        <x:v>44896</x:v>
      </x:c>
      <x:c r="F11428" s="0" t="s">
        <x:v>45</x:v>
      </x:c>
      <x:c r="G11428" s="0" t="s">
        <x:v>19</x:v>
      </x:c>
      <x:c r="H11428" s="0" t="s">
        <x:v>20</x:v>
      </x:c>
      <x:c r="I11428" s="0" t="s">
        <x:v>21</x:v>
      </x:c>
      <x:c r="K11428" s="0">
        <x:f>hyperlink("https://icd.who.int/dev11/l-ichi/en#/http%3A%2F%2Fid.who.int%2Ficd%2Fentity%2F2119635101","browser")</x:f>
      </x:c>
      <x:c r="L11428" s="0">
        <x:f>hyperlink("https://icat2.azurewebsites.net/icat/?ontology=ICD&amp;tab=ClassesTab&amp;id=http%3A%2F%2Fwho.int%2Ficd%23SpecificAnatomicLocation_1929","iCat")</x:f>
      </x:c>
      <x:c r="M11428" s="0" t="s">
        <x:v>21</x:v>
      </x:c>
      <x:c r="N11428" s="0" t="s">
        <x:v>46</x:v>
      </x:c>
    </x:row>
    <x:row r="11429" spans="1:16">
      <x:c r="A11429" s="0" t="s">
        <x:v>44897</x:v>
      </x:c>
      <x:c r="B11429" s="0" t="s">
        <x:v>44898</x:v>
      </x:c>
      <x:c r="C11429" s="0" t="s">
        <x:v>42840</x:v>
      </x:c>
      <x:c r="E11429" s="0" t="s">
        <x:v>44899</x:v>
      </x:c>
      <x:c r="F11429" s="0" t="s">
        <x:v>45</x:v>
      </x:c>
      <x:c r="G11429" s="0" t="s">
        <x:v>19</x:v>
      </x:c>
      <x:c r="H11429" s="0" t="s">
        <x:v>20</x:v>
      </x:c>
      <x:c r="I11429" s="0" t="s">
        <x:v>21</x:v>
      </x:c>
      <x:c r="K11429" s="0">
        <x:f>hyperlink("https://icd.who.int/dev11/l-ichi/en#/http%3A%2F%2Fid.who.int%2Ficd%2Fentity%2F1360607098","browser")</x:f>
      </x:c>
      <x:c r="L11429" s="0">
        <x:f>hyperlink("https://icat2.azurewebsites.net/icat/?ontology=ICD&amp;tab=ClassesTab&amp;id=http%3A%2F%2Fwho.int%2Ficd%23SpecificAnatomicLocation_1930","iCat")</x:f>
      </x:c>
      <x:c r="M11429" s="0" t="s">
        <x:v>21</x:v>
      </x:c>
      <x:c r="N11429" s="0" t="s">
        <x:v>46</x:v>
      </x:c>
    </x:row>
    <x:row r="11430" spans="1:16">
      <x:c r="A11430" s="0" t="s">
        <x:v>44900</x:v>
      </x:c>
      <x:c r="B11430" s="0" t="s">
        <x:v>44901</x:v>
      </x:c>
      <x:c r="C11430" s="0" t="s">
        <x:v>42840</x:v>
      </x:c>
      <x:c r="E11430" s="0" t="s">
        <x:v>44902</x:v>
      </x:c>
      <x:c r="F11430" s="0" t="s">
        <x:v>45</x:v>
      </x:c>
      <x:c r="G11430" s="0" t="s">
        <x:v>19</x:v>
      </x:c>
      <x:c r="H11430" s="0" t="s">
        <x:v>20</x:v>
      </x:c>
      <x:c r="I11430" s="0" t="s">
        <x:v>21</x:v>
      </x:c>
      <x:c r="K11430" s="0">
        <x:f>hyperlink("https://icd.who.int/dev11/l-ichi/en#/http%3A%2F%2Fid.who.int%2Ficd%2Fentity%2F1177637818","browser")</x:f>
      </x:c>
      <x:c r="L11430" s="0">
        <x:f>hyperlink("https://icat2.azurewebsites.net/icat/?ontology=ICD&amp;tab=ClassesTab&amp;id=http%3A%2F%2Fwho.int%2Ficd%23SpecificAnatomicLocation_1931","iCat")</x:f>
      </x:c>
      <x:c r="M11430" s="0" t="s">
        <x:v>21</x:v>
      </x:c>
      <x:c r="N11430" s="0" t="s">
        <x:v>46</x:v>
      </x:c>
    </x:row>
    <x:row r="11431" spans="1:16">
      <x:c r="A11431" s="0" t="s">
        <x:v>44903</x:v>
      </x:c>
      <x:c r="B11431" s="0" t="s">
        <x:v>44904</x:v>
      </x:c>
      <x:c r="C11431" s="0" t="s">
        <x:v>42840</x:v>
      </x:c>
      <x:c r="E11431" s="0" t="s">
        <x:v>44905</x:v>
      </x:c>
      <x:c r="F11431" s="0" t="s">
        <x:v>45</x:v>
      </x:c>
      <x:c r="G11431" s="0" t="s">
        <x:v>19</x:v>
      </x:c>
      <x:c r="H11431" s="0" t="s">
        <x:v>20</x:v>
      </x:c>
      <x:c r="I11431" s="0" t="s">
        <x:v>21</x:v>
      </x:c>
      <x:c r="K11431" s="0">
        <x:f>hyperlink("https://icd.who.int/dev11/l-ichi/en#/http%3A%2F%2Fid.who.int%2Ficd%2Fentity%2F1751226938","browser")</x:f>
      </x:c>
      <x:c r="L11431" s="0">
        <x:f>hyperlink("https://icat2.azurewebsites.net/icat/?ontology=ICD&amp;tab=ClassesTab&amp;id=http%3A%2F%2Fwho.int%2Ficd%23SpecificAnatomicLocation_1933","iCat")</x:f>
      </x:c>
      <x:c r="M11431" s="0" t="s">
        <x:v>21</x:v>
      </x:c>
      <x:c r="N11431" s="0" t="s">
        <x:v>46</x:v>
      </x:c>
    </x:row>
    <x:row r="11432" spans="1:16">
      <x:c r="A11432" s="0" t="s">
        <x:v>44906</x:v>
      </x:c>
      <x:c r="B11432" s="0" t="s">
        <x:v>44907</x:v>
      </x:c>
      <x:c r="C11432" s="0" t="s">
        <x:v>42840</x:v>
      </x:c>
      <x:c r="E11432" s="0" t="s">
        <x:v>44908</x:v>
      </x:c>
      <x:c r="F11432" s="0" t="s">
        <x:v>45</x:v>
      </x:c>
      <x:c r="G11432" s="0" t="s">
        <x:v>19</x:v>
      </x:c>
      <x:c r="H11432" s="0" t="s">
        <x:v>20</x:v>
      </x:c>
      <x:c r="I11432" s="0" t="s">
        <x:v>21</x:v>
      </x:c>
      <x:c r="K11432" s="0">
        <x:f>hyperlink("https://icd.who.int/dev11/l-ichi/en#/http%3A%2F%2Fid.who.int%2Ficd%2Fentity%2F602435066","browser")</x:f>
      </x:c>
      <x:c r="L11432" s="0">
        <x:f>hyperlink("https://icat2.azurewebsites.net/icat/?ontology=ICD&amp;tab=ClassesTab&amp;id=http%3A%2F%2Fwho.int%2Ficd%23SpecificAnatomicLocation_1936","iCat")</x:f>
      </x:c>
      <x:c r="M11432" s="0" t="s">
        <x:v>21</x:v>
      </x:c>
      <x:c r="N11432" s="0" t="s">
        <x:v>46</x:v>
      </x:c>
    </x:row>
    <x:row r="11433" spans="1:16">
      <x:c r="A11433" s="0" t="s">
        <x:v>44909</x:v>
      </x:c>
      <x:c r="B11433" s="0" t="s">
        <x:v>44910</x:v>
      </x:c>
      <x:c r="C11433" s="0" t="s">
        <x:v>42840</x:v>
      </x:c>
      <x:c r="E11433" s="0" t="s">
        <x:v>44911</x:v>
      </x:c>
      <x:c r="F11433" s="0" t="s">
        <x:v>45</x:v>
      </x:c>
      <x:c r="G11433" s="0" t="s">
        <x:v>19</x:v>
      </x:c>
      <x:c r="H11433" s="0" t="s">
        <x:v>20</x:v>
      </x:c>
      <x:c r="I11433" s="0" t="s">
        <x:v>21</x:v>
      </x:c>
      <x:c r="K11433" s="0">
        <x:f>hyperlink("https://icd.who.int/dev11/l-ichi/en#/http%3A%2F%2Fid.who.int%2Ficd%2Fentity%2F885000506","browser")</x:f>
      </x:c>
      <x:c r="L11433" s="0">
        <x:f>hyperlink("https://icat2.azurewebsites.net/icat/?ontology=ICD&amp;tab=ClassesTab&amp;id=http%3A%2F%2Fwho.int%2Ficd%23SpecificAnatomicLocation_1937","iCat")</x:f>
      </x:c>
      <x:c r="M11433" s="0" t="s">
        <x:v>21</x:v>
      </x:c>
      <x:c r="N11433" s="0" t="s">
        <x:v>46</x:v>
      </x:c>
    </x:row>
    <x:row r="11434" spans="1:16">
      <x:c r="A11434" s="0" t="s">
        <x:v>44912</x:v>
      </x:c>
      <x:c r="B11434" s="0" t="s">
        <x:v>44913</x:v>
      </x:c>
      <x:c r="C11434" s="0" t="s">
        <x:v>42840</x:v>
      </x:c>
      <x:c r="E11434" s="0" t="s">
        <x:v>44914</x:v>
      </x:c>
      <x:c r="F11434" s="0" t="s">
        <x:v>45</x:v>
      </x:c>
      <x:c r="G11434" s="0" t="s">
        <x:v>19</x:v>
      </x:c>
      <x:c r="H11434" s="0" t="s">
        <x:v>20</x:v>
      </x:c>
      <x:c r="I11434" s="0" t="s">
        <x:v>21</x:v>
      </x:c>
      <x:c r="K11434" s="0">
        <x:f>hyperlink("https://icd.who.int/dev11/l-ichi/en#/http%3A%2F%2Fid.who.int%2Ficd%2Fentity%2F396750470","browser")</x:f>
      </x:c>
      <x:c r="L11434" s="0">
        <x:f>hyperlink("https://icat2.azurewebsites.net/icat/?ontology=ICD&amp;tab=ClassesTab&amp;id=http%3A%2F%2Fwho.int%2Ficd%23SpecificAnatomicLocation_1938","iCat")</x:f>
      </x:c>
      <x:c r="M11434" s="0" t="s">
        <x:v>21</x:v>
      </x:c>
      <x:c r="N11434" s="0" t="s">
        <x:v>46</x:v>
      </x:c>
    </x:row>
    <x:row r="11435" spans="1:16">
      <x:c r="A11435" s="0" t="s">
        <x:v>44915</x:v>
      </x:c>
      <x:c r="B11435" s="0" t="s">
        <x:v>44916</x:v>
      </x:c>
      <x:c r="C11435" s="0" t="s">
        <x:v>42840</x:v>
      </x:c>
      <x:c r="E11435" s="0" t="s">
        <x:v>44917</x:v>
      </x:c>
      <x:c r="F11435" s="0" t="s">
        <x:v>45</x:v>
      </x:c>
      <x:c r="G11435" s="0" t="s">
        <x:v>19</x:v>
      </x:c>
      <x:c r="H11435" s="0" t="s">
        <x:v>20</x:v>
      </x:c>
      <x:c r="I11435" s="0" t="s">
        <x:v>21</x:v>
      </x:c>
      <x:c r="K11435" s="0">
        <x:f>hyperlink("https://icd.who.int/dev11/l-ichi/en#/http%3A%2F%2Fid.who.int%2Ficd%2Fentity%2F9275974","browser")</x:f>
      </x:c>
      <x:c r="L11435" s="0">
        <x:f>hyperlink("https://icat2.azurewebsites.net/icat/?ontology=ICD&amp;tab=ClassesTab&amp;id=http%3A%2F%2Fwho.int%2Ficd%23SpecificAnatomicLocation_1939","iCat")</x:f>
      </x:c>
      <x:c r="M11435" s="0" t="s">
        <x:v>21</x:v>
      </x:c>
      <x:c r="N11435" s="0" t="s">
        <x:v>46</x:v>
      </x:c>
    </x:row>
    <x:row r="11436" spans="1:16">
      <x:c r="A11436" s="0" t="s">
        <x:v>44918</x:v>
      </x:c>
      <x:c r="B11436" s="0" t="s">
        <x:v>44919</x:v>
      </x:c>
      <x:c r="C11436" s="0" t="s">
        <x:v>42840</x:v>
      </x:c>
      <x:c r="E11436" s="0" t="s">
        <x:v>44920</x:v>
      </x:c>
      <x:c r="F11436" s="0" t="s">
        <x:v>45</x:v>
      </x:c>
      <x:c r="G11436" s="0" t="s">
        <x:v>19</x:v>
      </x:c>
      <x:c r="H11436" s="0" t="s">
        <x:v>20</x:v>
      </x:c>
      <x:c r="I11436" s="0" t="s">
        <x:v>21</x:v>
      </x:c>
      <x:c r="K11436" s="0">
        <x:f>hyperlink("https://icd.who.int/dev11/l-ichi/en#/http%3A%2F%2Fid.who.int%2Ficd%2Fentity%2F1610678285","browser")</x:f>
      </x:c>
      <x:c r="L11436" s="0">
        <x:f>hyperlink("https://icat2.azurewebsites.net/icat/?ontology=ICD&amp;tab=ClassesTab&amp;id=http%3A%2F%2Fwho.int%2Ficd%23SpecificAnatomicLocation_1940","iCat")</x:f>
      </x:c>
      <x:c r="M11436" s="0" t="s">
        <x:v>21</x:v>
      </x:c>
      <x:c r="N11436" s="0" t="s">
        <x:v>46</x:v>
      </x:c>
    </x:row>
    <x:row r="11437" spans="1:16">
      <x:c r="A11437" s="0" t="s">
        <x:v>44921</x:v>
      </x:c>
      <x:c r="B11437" s="0" t="s">
        <x:v>44922</x:v>
      </x:c>
      <x:c r="C11437" s="0" t="s">
        <x:v>42840</x:v>
      </x:c>
      <x:c r="E11437" s="0" t="s">
        <x:v>44923</x:v>
      </x:c>
      <x:c r="F11437" s="0" t="s">
        <x:v>45</x:v>
      </x:c>
      <x:c r="G11437" s="0" t="s">
        <x:v>19</x:v>
      </x:c>
      <x:c r="H11437" s="0" t="s">
        <x:v>20</x:v>
      </x:c>
      <x:c r="I11437" s="0" t="s">
        <x:v>21</x:v>
      </x:c>
      <x:c r="K11437" s="0">
        <x:f>hyperlink("https://icd.who.int/dev11/l-ichi/en#/http%3A%2F%2Fid.who.int%2Ficd%2Fentity%2F2004484191","browser")</x:f>
      </x:c>
      <x:c r="L11437" s="0">
        <x:f>hyperlink("https://icat2.azurewebsites.net/icat/?ontology=ICD&amp;tab=ClassesTab&amp;id=http%3A%2F%2Fwho.int%2Ficd%23SpecificAnatomicLocation_1783","iCat")</x:f>
      </x:c>
      <x:c r="M11437" s="0" t="s">
        <x:v>21</x:v>
      </x:c>
      <x:c r="N11437" s="0" t="s">
        <x:v>46</x:v>
      </x:c>
    </x:row>
    <x:row r="11438" spans="1:16">
      <x:c r="A11438" s="0" t="s">
        <x:v>44924</x:v>
      </x:c>
      <x:c r="B11438" s="0" t="s">
        <x:v>44925</x:v>
      </x:c>
      <x:c r="C11438" s="0" t="s">
        <x:v>42840</x:v>
      </x:c>
      <x:c r="E11438" s="0" t="s">
        <x:v>44926</x:v>
      </x:c>
      <x:c r="F11438" s="0" t="s">
        <x:v>45</x:v>
      </x:c>
      <x:c r="G11438" s="0" t="s">
        <x:v>19</x:v>
      </x:c>
      <x:c r="H11438" s="0" t="s">
        <x:v>20</x:v>
      </x:c>
      <x:c r="I11438" s="0" t="s">
        <x:v>21</x:v>
      </x:c>
      <x:c r="K11438" s="0">
        <x:f>hyperlink("https://icd.who.int/dev11/l-ichi/en#/http%3A%2F%2Fid.who.int%2Ficd%2Fentity%2F1999201485","browser")</x:f>
      </x:c>
      <x:c r="L11438" s="0">
        <x:f>hyperlink("https://icat2.azurewebsites.net/icat/?ontology=ICD&amp;tab=ClassesTab&amp;id=http%3A%2F%2Fwho.int%2Ficd%23SpecificAnatomicLocation_1941","iCat")</x:f>
      </x:c>
      <x:c r="M11438" s="0" t="s">
        <x:v>21</x:v>
      </x:c>
      <x:c r="N11438" s="0" t="s">
        <x:v>46</x:v>
      </x:c>
    </x:row>
    <x:row r="11439" spans="1:16">
      <x:c r="A11439" s="0" t="s">
        <x:v>44927</x:v>
      </x:c>
      <x:c r="B11439" s="0" t="s">
        <x:v>44928</x:v>
      </x:c>
      <x:c r="C11439" s="0" t="s">
        <x:v>42840</x:v>
      </x:c>
      <x:c r="E11439" s="0" t="s">
        <x:v>44929</x:v>
      </x:c>
      <x:c r="F11439" s="0" t="s">
        <x:v>45</x:v>
      </x:c>
      <x:c r="G11439" s="0" t="s">
        <x:v>19</x:v>
      </x:c>
      <x:c r="H11439" s="0" t="s">
        <x:v>20</x:v>
      </x:c>
      <x:c r="I11439" s="0" t="s">
        <x:v>21</x:v>
      </x:c>
      <x:c r="K11439" s="0">
        <x:f>hyperlink("https://icd.who.int/dev11/l-ichi/en#/http%3A%2F%2Fid.who.int%2Ficd%2Fentity%2F1313982861","browser")</x:f>
      </x:c>
      <x:c r="L11439" s="0">
        <x:f>hyperlink("https://icat2.azurewebsites.net/icat/?ontology=ICD&amp;tab=ClassesTab&amp;id=http%3A%2F%2Fwho.int%2Ficd%23SpecificAnatomicLocation_1942","iCat")</x:f>
      </x:c>
      <x:c r="M11439" s="0" t="s">
        <x:v>21</x:v>
      </x:c>
      <x:c r="N11439" s="0" t="s">
        <x:v>46</x:v>
      </x:c>
    </x:row>
    <x:row r="11440" spans="1:16">
      <x:c r="A11440" s="0" t="s">
        <x:v>44930</x:v>
      </x:c>
      <x:c r="B11440" s="0" t="s">
        <x:v>44931</x:v>
      </x:c>
      <x:c r="C11440" s="0" t="s">
        <x:v>42840</x:v>
      </x:c>
      <x:c r="E11440" s="0" t="s">
        <x:v>44932</x:v>
      </x:c>
      <x:c r="F11440" s="0" t="s">
        <x:v>45</x:v>
      </x:c>
      <x:c r="G11440" s="0" t="s">
        <x:v>19</x:v>
      </x:c>
      <x:c r="H11440" s="0" t="s">
        <x:v>20</x:v>
      </x:c>
      <x:c r="I11440" s="0" t="s">
        <x:v>21</x:v>
      </x:c>
      <x:c r="K11440" s="0">
        <x:f>hyperlink("https://icd.who.int/dev11/l-ichi/en#/http%3A%2F%2Fid.who.int%2Ficd%2Fentity%2F1501146445","browser")</x:f>
      </x:c>
      <x:c r="L11440" s="0">
        <x:f>hyperlink("https://icat2.azurewebsites.net/icat/?ontology=ICD&amp;tab=ClassesTab&amp;id=http%3A%2F%2Fwho.int%2Ficd%23SpecificAnatomicLocation_1943","iCat")</x:f>
      </x:c>
      <x:c r="M11440" s="0" t="s">
        <x:v>21</x:v>
      </x:c>
      <x:c r="N11440" s="0" t="s">
        <x:v>46</x:v>
      </x:c>
    </x:row>
    <x:row r="11441" spans="1:16">
      <x:c r="A11441" s="0" t="s">
        <x:v>44933</x:v>
      </x:c>
      <x:c r="B11441" s="0" t="s">
        <x:v>44934</x:v>
      </x:c>
      <x:c r="C11441" s="0" t="s">
        <x:v>42840</x:v>
      </x:c>
      <x:c r="E11441" s="0" t="s">
        <x:v>44935</x:v>
      </x:c>
      <x:c r="F11441" s="0" t="s">
        <x:v>45</x:v>
      </x:c>
      <x:c r="G11441" s="0" t="s">
        <x:v>19</x:v>
      </x:c>
      <x:c r="H11441" s="0" t="s">
        <x:v>20</x:v>
      </x:c>
      <x:c r="I11441" s="0" t="s">
        <x:v>21</x:v>
      </x:c>
      <x:c r="K11441" s="0">
        <x:f>hyperlink("https://icd.who.int/dev11/l-ichi/en#/http%3A%2F%2Fid.who.int%2Ficd%2Fentity%2F1017156365","browser")</x:f>
      </x:c>
      <x:c r="L11441" s="0">
        <x:f>hyperlink("https://icat2.azurewebsites.net/icat/?ontology=ICD&amp;tab=ClassesTab&amp;id=http%3A%2F%2Fwho.int%2Ficd%23SpecificAnatomicLocation_1944","iCat")</x:f>
      </x:c>
      <x:c r="M11441" s="0" t="s">
        <x:v>21</x:v>
      </x:c>
      <x:c r="N11441" s="0" t="s">
        <x:v>46</x:v>
      </x:c>
    </x:row>
    <x:row r="11442" spans="1:16">
      <x:c r="A11442" s="0" t="s">
        <x:v>44936</x:v>
      </x:c>
      <x:c r="B11442" s="0" t="s">
        <x:v>44937</x:v>
      </x:c>
      <x:c r="C11442" s="0" t="s">
        <x:v>42840</x:v>
      </x:c>
      <x:c r="E11442" s="0" t="s">
        <x:v>44938</x:v>
      </x:c>
      <x:c r="F11442" s="0" t="s">
        <x:v>45</x:v>
      </x:c>
      <x:c r="G11442" s="0" t="s">
        <x:v>19</x:v>
      </x:c>
      <x:c r="H11442" s="0" t="s">
        <x:v>20</x:v>
      </x:c>
      <x:c r="I11442" s="0" t="s">
        <x:v>21</x:v>
      </x:c>
      <x:c r="K11442" s="0">
        <x:f>hyperlink("https://icd.who.int/dev11/l-ichi/en#/http%3A%2F%2Fid.who.int%2Ficd%2Fentity%2F98057805","browser")</x:f>
      </x:c>
      <x:c r="L11442" s="0">
        <x:f>hyperlink("https://icat2.azurewebsites.net/icat/?ontology=ICD&amp;tab=ClassesTab&amp;id=http%3A%2F%2Fwho.int%2Ficd%23SpecificAnatomicLocation_1947","iCat")</x:f>
      </x:c>
      <x:c r="M11442" s="0" t="s">
        <x:v>21</x:v>
      </x:c>
      <x:c r="N11442" s="0" t="s">
        <x:v>46</x:v>
      </x:c>
    </x:row>
    <x:row r="11443" spans="1:16">
      <x:c r="A11443" s="0" t="s">
        <x:v>44939</x:v>
      </x:c>
      <x:c r="B11443" s="0" t="s">
        <x:v>44940</x:v>
      </x:c>
      <x:c r="C11443" s="0" t="s">
        <x:v>42840</x:v>
      </x:c>
      <x:c r="E11443" s="0" t="s">
        <x:v>44941</x:v>
      </x:c>
      <x:c r="F11443" s="0" t="s">
        <x:v>45</x:v>
      </x:c>
      <x:c r="G11443" s="0" t="s">
        <x:v>19</x:v>
      </x:c>
      <x:c r="H11443" s="0" t="s">
        <x:v>20</x:v>
      </x:c>
      <x:c r="I11443" s="0" t="s">
        <x:v>21</x:v>
      </x:c>
      <x:c r="K11443" s="0">
        <x:f>hyperlink("https://icd.who.int/dev11/l-ichi/en#/http%3A%2F%2Fid.who.int%2Ficd%2Fentity%2F649976307","browser")</x:f>
      </x:c>
      <x:c r="L11443" s="0">
        <x:f>hyperlink("https://icat2.azurewebsites.net/icat/?ontology=ICD&amp;tab=ClassesTab&amp;id=http%3A%2F%2Fwho.int%2Ficd%23SpecificAnatomicLocation_1948","iCat")</x:f>
      </x:c>
      <x:c r="M11443" s="0" t="s">
        <x:v>21</x:v>
      </x:c>
      <x:c r="N11443" s="0" t="s">
        <x:v>46</x:v>
      </x:c>
    </x:row>
    <x:row r="11444" spans="1:16">
      <x:c r="A11444" s="0" t="s">
        <x:v>44942</x:v>
      </x:c>
      <x:c r="B11444" s="0" t="s">
        <x:v>44943</x:v>
      </x:c>
      <x:c r="C11444" s="0" t="s">
        <x:v>42840</x:v>
      </x:c>
      <x:c r="E11444" s="0" t="s">
        <x:v>44944</x:v>
      </x:c>
      <x:c r="F11444" s="0" t="s">
        <x:v>45</x:v>
      </x:c>
      <x:c r="G11444" s="0" t="s">
        <x:v>19</x:v>
      </x:c>
      <x:c r="H11444" s="0" t="s">
        <x:v>20</x:v>
      </x:c>
      <x:c r="I11444" s="0" t="s">
        <x:v>21</x:v>
      </x:c>
      <x:c r="K11444" s="0">
        <x:f>hyperlink("https://icd.who.int/dev11/l-ichi/en#/http%3A%2F%2Fid.who.int%2Ficd%2Fentity%2F161520262","browser")</x:f>
      </x:c>
      <x:c r="L11444" s="0">
        <x:f>hyperlink("https://icat2.azurewebsites.net/icat/?ontology=ICD&amp;tab=ClassesTab&amp;id=http%3A%2F%2Fwho.int%2Ficd%23SpecificAnatomicLocation_1793","iCat")</x:f>
      </x:c>
      <x:c r="M11444" s="0" t="s">
        <x:v>21</x:v>
      </x:c>
      <x:c r="N11444" s="0" t="s">
        <x:v>46</x:v>
      </x:c>
    </x:row>
    <x:row r="11445" spans="1:16">
      <x:c r="A11445" s="0" t="s">
        <x:v>44945</x:v>
      </x:c>
      <x:c r="B11445" s="0" t="s">
        <x:v>44946</x:v>
      </x:c>
      <x:c r="C11445" s="0" t="s">
        <x:v>42840</x:v>
      </x:c>
      <x:c r="E11445" s="0" t="s">
        <x:v>44947</x:v>
      </x:c>
      <x:c r="F11445" s="0" t="s">
        <x:v>45</x:v>
      </x:c>
      <x:c r="G11445" s="0" t="s">
        <x:v>19</x:v>
      </x:c>
      <x:c r="H11445" s="0" t="s">
        <x:v>20</x:v>
      </x:c>
      <x:c r="I11445" s="0" t="s">
        <x:v>21</x:v>
      </x:c>
      <x:c r="K11445" s="0">
        <x:f>hyperlink("https://icd.who.int/dev11/l-ichi/en#/http%3A%2F%2Fid.who.int%2Ficd%2Fentity%2F166985238","browser")</x:f>
      </x:c>
      <x:c r="L11445" s="0">
        <x:f>hyperlink("https://icat2.azurewebsites.net/icat/?ontology=ICD&amp;tab=ClassesTab&amp;id=http%3A%2F%2Fwho.int%2Ficd%23SpecificAnatomicLocation_1951","iCat")</x:f>
      </x:c>
      <x:c r="M11445" s="0" t="s">
        <x:v>21</x:v>
      </x:c>
      <x:c r="N11445" s="0" t="s">
        <x:v>46</x:v>
      </x:c>
    </x:row>
    <x:row r="11446" spans="1:16">
      <x:c r="A11446" s="0" t="s">
        <x:v>44948</x:v>
      </x:c>
      <x:c r="B11446" s="0" t="s">
        <x:v>44949</x:v>
      </x:c>
      <x:c r="C11446" s="0" t="s">
        <x:v>42840</x:v>
      </x:c>
      <x:c r="E11446" s="0" t="s">
        <x:v>44950</x:v>
      </x:c>
      <x:c r="F11446" s="0" t="s">
        <x:v>45</x:v>
      </x:c>
      <x:c r="G11446" s="0" t="s">
        <x:v>19</x:v>
      </x:c>
      <x:c r="H11446" s="0" t="s">
        <x:v>20</x:v>
      </x:c>
      <x:c r="I11446" s="0" t="s">
        <x:v>21</x:v>
      </x:c>
      <x:c r="K11446" s="0">
        <x:f>hyperlink("https://icd.who.int/dev11/l-ichi/en#/http%3A%2F%2Fid.who.int%2Ficd%2Fentity%2F1115294166","browser")</x:f>
      </x:c>
      <x:c r="L11446" s="0">
        <x:f>hyperlink("https://icat2.azurewebsites.net/icat/?ontology=ICD&amp;tab=ClassesTab&amp;id=http%3A%2F%2Fwho.int%2Ficd%23SpecificAnatomicLocation_1954","iCat")</x:f>
      </x:c>
      <x:c r="M11446" s="0" t="s">
        <x:v>21</x:v>
      </x:c>
      <x:c r="N11446" s="0" t="s">
        <x:v>46</x:v>
      </x:c>
    </x:row>
    <x:row r="11447" spans="1:16">
      <x:c r="A11447" s="0" t="s">
        <x:v>44951</x:v>
      </x:c>
      <x:c r="B11447" s="0" t="s">
        <x:v>44952</x:v>
      </x:c>
      <x:c r="C11447" s="0" t="s">
        <x:v>42840</x:v>
      </x:c>
      <x:c r="E11447" s="0" t="s">
        <x:v>44953</x:v>
      </x:c>
      <x:c r="F11447" s="0" t="s">
        <x:v>45</x:v>
      </x:c>
      <x:c r="G11447" s="0" t="s">
        <x:v>19</x:v>
      </x:c>
      <x:c r="H11447" s="0" t="s">
        <x:v>20</x:v>
      </x:c>
      <x:c r="I11447" s="0" t="s">
        <x:v>21</x:v>
      </x:c>
      <x:c r="K11447" s="0">
        <x:f>hyperlink("https://icd.who.int/dev11/l-ichi/en#/http%3A%2F%2Fid.who.int%2Ficd%2Fentity%2F1431465238","browser")</x:f>
      </x:c>
      <x:c r="L11447" s="0">
        <x:f>hyperlink("https://icat2.azurewebsites.net/icat/?ontology=ICD&amp;tab=ClassesTab&amp;id=http%3A%2F%2Fwho.int%2Ficd%23SpecificAnatomicLocation_1955","iCat")</x:f>
      </x:c>
      <x:c r="M11447" s="0" t="s">
        <x:v>21</x:v>
      </x:c>
      <x:c r="N11447" s="0" t="s">
        <x:v>46</x:v>
      </x:c>
    </x:row>
    <x:row r="11448" spans="1:16">
      <x:c r="A11448" s="0" t="s">
        <x:v>44954</x:v>
      </x:c>
      <x:c r="B11448" s="0" t="s">
        <x:v>44955</x:v>
      </x:c>
      <x:c r="C11448" s="0" t="s">
        <x:v>42840</x:v>
      </x:c>
      <x:c r="E11448" s="0" t="s">
        <x:v>44956</x:v>
      </x:c>
      <x:c r="F11448" s="0" t="s">
        <x:v>45</x:v>
      </x:c>
      <x:c r="G11448" s="0" t="s">
        <x:v>19</x:v>
      </x:c>
      <x:c r="H11448" s="0" t="s">
        <x:v>20</x:v>
      </x:c>
      <x:c r="I11448" s="0" t="s">
        <x:v>21</x:v>
      </x:c>
      <x:c r="K11448" s="0">
        <x:f>hyperlink("https://icd.who.int/dev11/l-ichi/en#/http%3A%2F%2Fid.who.int%2Ficd%2Fentity%2F1814741078","browser")</x:f>
      </x:c>
      <x:c r="L11448" s="0">
        <x:f>hyperlink("https://icat2.azurewebsites.net/icat/?ontology=ICD&amp;tab=ClassesTab&amp;id=http%3A%2F%2Fwho.int%2Ficd%23SpecificAnatomicLocation_1956","iCat")</x:f>
      </x:c>
      <x:c r="M11448" s="0" t="s">
        <x:v>21</x:v>
      </x:c>
      <x:c r="N11448" s="0" t="s">
        <x:v>46</x:v>
      </x:c>
    </x:row>
    <x:row r="11449" spans="1:16">
      <x:c r="A11449" s="0" t="s">
        <x:v>44957</x:v>
      </x:c>
      <x:c r="B11449" s="0" t="s">
        <x:v>44958</x:v>
      </x:c>
      <x:c r="C11449" s="0" t="s">
        <x:v>42840</x:v>
      </x:c>
      <x:c r="E11449" s="0" t="s">
        <x:v>44959</x:v>
      </x:c>
      <x:c r="F11449" s="0" t="s">
        <x:v>45</x:v>
      </x:c>
      <x:c r="G11449" s="0" t="s">
        <x:v>19</x:v>
      </x:c>
      <x:c r="H11449" s="0" t="s">
        <x:v>20</x:v>
      </x:c>
      <x:c r="I11449" s="0" t="s">
        <x:v>21</x:v>
      </x:c>
      <x:c r="K11449" s="0">
        <x:f>hyperlink("https://icd.who.int/dev11/l-ichi/en#/http%3A%2F%2Fid.who.int%2Ficd%2Fentity%2F2063770774","browser")</x:f>
      </x:c>
      <x:c r="L11449" s="0">
        <x:f>hyperlink("https://icat2.azurewebsites.net/icat/?ontology=ICD&amp;tab=ClassesTab&amp;id=http%3A%2F%2Fwho.int%2Ficd%23SpecificAnatomicLocation_1957","iCat")</x:f>
      </x:c>
      <x:c r="M11449" s="0" t="s">
        <x:v>21</x:v>
      </x:c>
      <x:c r="N11449" s="0" t="s">
        <x:v>46</x:v>
      </x:c>
    </x:row>
    <x:row r="11450" spans="1:16">
      <x:c r="A11450" s="0" t="s">
        <x:v>44960</x:v>
      </x:c>
      <x:c r="B11450" s="0" t="s">
        <x:v>44961</x:v>
      </x:c>
      <x:c r="C11450" s="0" t="s">
        <x:v>42840</x:v>
      </x:c>
      <x:c r="E11450" s="0" t="s">
        <x:v>44962</x:v>
      </x:c>
      <x:c r="F11450" s="0" t="s">
        <x:v>45</x:v>
      </x:c>
      <x:c r="G11450" s="0" t="s">
        <x:v>19</x:v>
      </x:c>
      <x:c r="H11450" s="0" t="s">
        <x:v>20</x:v>
      </x:c>
      <x:c r="I11450" s="0" t="s">
        <x:v>21</x:v>
      </x:c>
      <x:c r="K11450" s="0">
        <x:f>hyperlink("https://icd.who.int/dev11/l-ichi/en#/http%3A%2F%2Fid.who.int%2Ficd%2Fentity%2F1483162410","browser")</x:f>
      </x:c>
      <x:c r="L11450" s="0">
        <x:f>hyperlink("https://icat2.azurewebsites.net/icat/?ontology=ICD&amp;tab=ClassesTab&amp;id=http%3A%2F%2Fwho.int%2Ficd%23SpecificAnatomicLocation_1958","iCat")</x:f>
      </x:c>
      <x:c r="M11450" s="0" t="s">
        <x:v>21</x:v>
      </x:c>
      <x:c r="N11450" s="0" t="s">
        <x:v>46</x:v>
      </x:c>
    </x:row>
    <x:row r="11451" spans="1:16">
      <x:c r="A11451" s="0" t="s">
        <x:v>44963</x:v>
      </x:c>
      <x:c r="B11451" s="0" t="s">
        <x:v>44964</x:v>
      </x:c>
      <x:c r="C11451" s="0" t="s">
        <x:v>42840</x:v>
      </x:c>
      <x:c r="E11451" s="0" t="s">
        <x:v>44965</x:v>
      </x:c>
      <x:c r="F11451" s="0" t="s">
        <x:v>45</x:v>
      </x:c>
      <x:c r="G11451" s="0" t="s">
        <x:v>19</x:v>
      </x:c>
      <x:c r="H11451" s="0" t="s">
        <x:v>20</x:v>
      </x:c>
      <x:c r="I11451" s="0" t="s">
        <x:v>21</x:v>
      </x:c>
      <x:c r="K11451" s="0">
        <x:f>hyperlink("https://icd.who.int/dev11/l-ichi/en#/http%3A%2F%2Fid.who.int%2Ficd%2Fentity%2F1330587626","browser")</x:f>
      </x:c>
      <x:c r="L11451" s="0">
        <x:f>hyperlink("https://icat2.azurewebsites.net/icat/?ontology=ICD&amp;tab=ClassesTab&amp;id=http%3A%2F%2Fwho.int%2Ficd%23SpecificAnatomicLocation_1959","iCat")</x:f>
      </x:c>
      <x:c r="M11451" s="0" t="s">
        <x:v>21</x:v>
      </x:c>
      <x:c r="N11451" s="0" t="s">
        <x:v>46</x:v>
      </x:c>
    </x:row>
    <x:row r="11452" spans="1:16">
      <x:c r="A11452" s="0" t="s">
        <x:v>44966</x:v>
      </x:c>
      <x:c r="B11452" s="0" t="s">
        <x:v>44967</x:v>
      </x:c>
      <x:c r="C11452" s="0" t="s">
        <x:v>42840</x:v>
      </x:c>
      <x:c r="E11452" s="0" t="s">
        <x:v>44968</x:v>
      </x:c>
      <x:c r="F11452" s="0" t="s">
        <x:v>45</x:v>
      </x:c>
      <x:c r="G11452" s="0" t="s">
        <x:v>19</x:v>
      </x:c>
      <x:c r="H11452" s="0" t="s">
        <x:v>20</x:v>
      </x:c>
      <x:c r="I11452" s="0" t="s">
        <x:v>21</x:v>
      </x:c>
      <x:c r="K11452" s="0">
        <x:f>hyperlink("https://icd.who.int/dev11/l-ichi/en#/http%3A%2F%2Fid.who.int%2Ficd%2Fentity%2F1187329022","browser")</x:f>
      </x:c>
      <x:c r="L11452" s="0">
        <x:f>hyperlink("https://icat2.azurewebsites.net/icat/?ontology=ICD&amp;tab=ClassesTab&amp;id=http%3A%2F%2Fwho.int%2Ficd%23SpecificAnatomicLocation_1960","iCat")</x:f>
      </x:c>
      <x:c r="M11452" s="0" t="s">
        <x:v>21</x:v>
      </x:c>
      <x:c r="N11452" s="0" t="s">
        <x:v>46</x:v>
      </x:c>
    </x:row>
    <x:row r="11453" spans="1:16">
      <x:c r="A11453" s="0" t="s">
        <x:v>44969</x:v>
      </x:c>
      <x:c r="B11453" s="0" t="s">
        <x:v>44970</x:v>
      </x:c>
      <x:c r="C11453" s="0" t="s">
        <x:v>42840</x:v>
      </x:c>
      <x:c r="E11453" s="0" t="s">
        <x:v>44971</x:v>
      </x:c>
      <x:c r="F11453" s="0" t="s">
        <x:v>45</x:v>
      </x:c>
      <x:c r="G11453" s="0" t="s">
        <x:v>19</x:v>
      </x:c>
      <x:c r="H11453" s="0" t="s">
        <x:v>20</x:v>
      </x:c>
      <x:c r="I11453" s="0" t="s">
        <x:v>21</x:v>
      </x:c>
      <x:c r="K11453" s="0">
        <x:f>hyperlink("https://icd.who.int/dev11/l-ichi/en#/http%3A%2F%2Fid.who.int%2Ficd%2Fentity%2F1374508862","browser")</x:f>
      </x:c>
      <x:c r="L11453" s="0">
        <x:f>hyperlink("https://icat2.azurewebsites.net/icat/?ontology=ICD&amp;tab=ClassesTab&amp;id=http%3A%2F%2Fwho.int%2Ficd%23SpecificAnatomicLocation_1961","iCat")</x:f>
      </x:c>
      <x:c r="M11453" s="0" t="s">
        <x:v>21</x:v>
      </x:c>
      <x:c r="N11453" s="0" t="s">
        <x:v>46</x:v>
      </x:c>
    </x:row>
    <x:row r="11454" spans="1:16">
      <x:c r="A11454" s="0" t="s">
        <x:v>44972</x:v>
      </x:c>
      <x:c r="B11454" s="0" t="s">
        <x:v>44973</x:v>
      </x:c>
      <x:c r="C11454" s="0" t="s">
        <x:v>42840</x:v>
      </x:c>
      <x:c r="E11454" s="0" t="s">
        <x:v>44974</x:v>
      </x:c>
      <x:c r="F11454" s="0" t="s">
        <x:v>45</x:v>
      </x:c>
      <x:c r="G11454" s="0" t="s">
        <x:v>19</x:v>
      </x:c>
      <x:c r="H11454" s="0" t="s">
        <x:v>20</x:v>
      </x:c>
      <x:c r="I11454" s="0" t="s">
        <x:v>21</x:v>
      </x:c>
      <x:c r="K11454" s="0">
        <x:f>hyperlink("https://icd.who.int/dev11/l-ichi/en#/http%3A%2F%2Fid.who.int%2Ficd%2Fentity%2F1819911366","browser")</x:f>
      </x:c>
      <x:c r="L11454" s="0">
        <x:f>hyperlink("https://icat2.azurewebsites.net/icat/?ontology=ICD&amp;tab=ClassesTab&amp;id=http%3A%2F%2Fwho.int%2Ficd%23SpecificAnatomicLocation_1794","iCat")</x:f>
      </x:c>
      <x:c r="M11454" s="0" t="s">
        <x:v>21</x:v>
      </x:c>
      <x:c r="N11454" s="0" t="s">
        <x:v>46</x:v>
      </x:c>
    </x:row>
    <x:row r="11455" spans="1:16">
      <x:c r="A11455" s="0" t="s">
        <x:v>44975</x:v>
      </x:c>
      <x:c r="B11455" s="0" t="s">
        <x:v>44976</x:v>
      </x:c>
      <x:c r="C11455" s="0" t="s">
        <x:v>42840</x:v>
      </x:c>
      <x:c r="E11455" s="0" t="s">
        <x:v>44977</x:v>
      </x:c>
      <x:c r="F11455" s="0" t="s">
        <x:v>45</x:v>
      </x:c>
      <x:c r="G11455" s="0" t="s">
        <x:v>19</x:v>
      </x:c>
      <x:c r="H11455" s="0" t="s">
        <x:v>20</x:v>
      </x:c>
      <x:c r="I11455" s="0" t="s">
        <x:v>21</x:v>
      </x:c>
      <x:c r="K11455" s="0">
        <x:f>hyperlink("https://icd.who.int/dev11/l-ichi/en#/http%3A%2F%2Fid.who.int%2Ficd%2Fentity%2F1754659454","browser")</x:f>
      </x:c>
      <x:c r="L11455" s="0">
        <x:f>hyperlink("https://icat2.azurewebsites.net/icat/?ontology=ICD&amp;tab=ClassesTab&amp;id=http%3A%2F%2Fwho.int%2Ficd%23SpecificAnatomicLocation_1962","iCat")</x:f>
      </x:c>
      <x:c r="M11455" s="0" t="s">
        <x:v>21</x:v>
      </x:c>
      <x:c r="N11455" s="0" t="s">
        <x:v>46</x:v>
      </x:c>
    </x:row>
    <x:row r="11456" spans="1:16">
      <x:c r="A11456" s="0" t="s">
        <x:v>44978</x:v>
      </x:c>
      <x:c r="B11456" s="0" t="s">
        <x:v>44979</x:v>
      </x:c>
      <x:c r="C11456" s="0" t="s">
        <x:v>42840</x:v>
      </x:c>
      <x:c r="E11456" s="0" t="s">
        <x:v>44980</x:v>
      </x:c>
      <x:c r="F11456" s="0" t="s">
        <x:v>45</x:v>
      </x:c>
      <x:c r="G11456" s="0" t="s">
        <x:v>19</x:v>
      </x:c>
      <x:c r="H11456" s="0" t="s">
        <x:v>20</x:v>
      </x:c>
      <x:c r="I11456" s="0" t="s">
        <x:v>21</x:v>
      </x:c>
      <x:c r="K11456" s="0">
        <x:f>hyperlink("https://icd.who.int/dev11/l-ichi/en#/http%3A%2F%2Fid.who.int%2Ficd%2Fentity%2F2143133374","browser")</x:f>
      </x:c>
      <x:c r="L11456" s="0">
        <x:f>hyperlink("https://icat2.azurewebsites.net/icat/?ontology=ICD&amp;tab=ClassesTab&amp;id=http%3A%2F%2Fwho.int%2Ficd%23SpecificAnatomicLocation_1963","iCat")</x:f>
      </x:c>
      <x:c r="M11456" s="0" t="s">
        <x:v>21</x:v>
      </x:c>
      <x:c r="N11456" s="0" t="s">
        <x:v>46</x:v>
      </x:c>
    </x:row>
    <x:row r="11457" spans="1:16">
      <x:c r="A11457" s="0" t="s">
        <x:v>44981</x:v>
      </x:c>
      <x:c r="B11457" s="0" t="s">
        <x:v>44982</x:v>
      </x:c>
      <x:c r="C11457" s="0" t="s">
        <x:v>42840</x:v>
      </x:c>
      <x:c r="E11457" s="0" t="s">
        <x:v>44983</x:v>
      </x:c>
      <x:c r="F11457" s="0" t="s">
        <x:v>45</x:v>
      </x:c>
      <x:c r="G11457" s="0" t="s">
        <x:v>19</x:v>
      </x:c>
      <x:c r="H11457" s="0" t="s">
        <x:v>20</x:v>
      </x:c>
      <x:c r="I11457" s="0" t="s">
        <x:v>21</x:v>
      </x:c>
      <x:c r="K11457" s="0">
        <x:f>hyperlink("https://icd.who.int/dev11/l-ichi/en#/http%3A%2F%2Fid.who.int%2Ficd%2Fentity%2F442802430","browser")</x:f>
      </x:c>
      <x:c r="L11457" s="0">
        <x:f>hyperlink("https://icat2.azurewebsites.net/icat/?ontology=ICD&amp;tab=ClassesTab&amp;id=http%3A%2F%2Fwho.int%2Ficd%23SpecificAnatomicLocation_1964","iCat")</x:f>
      </x:c>
      <x:c r="M11457" s="0" t="s">
        <x:v>21</x:v>
      </x:c>
      <x:c r="N11457" s="0" t="s">
        <x:v>46</x:v>
      </x:c>
    </x:row>
    <x:row r="11458" spans="1:16">
      <x:c r="A11458" s="0" t="s">
        <x:v>44984</x:v>
      </x:c>
      <x:c r="B11458" s="0" t="s">
        <x:v>44985</x:v>
      </x:c>
      <x:c r="C11458" s="0" t="s">
        <x:v>42840</x:v>
      </x:c>
      <x:c r="E11458" s="0" t="s">
        <x:v>44986</x:v>
      </x:c>
      <x:c r="F11458" s="0" t="s">
        <x:v>45</x:v>
      </x:c>
      <x:c r="G11458" s="0" t="s">
        <x:v>19</x:v>
      </x:c>
      <x:c r="H11458" s="0" t="s">
        <x:v>20</x:v>
      </x:c>
      <x:c r="I11458" s="0" t="s">
        <x:v>21</x:v>
      </x:c>
      <x:c r="K11458" s="0">
        <x:f>hyperlink("https://icd.who.int/dev11/l-ichi/en#/http%3A%2F%2Fid.who.int%2Ficd%2Fentity%2F223134782","browser")</x:f>
      </x:c>
      <x:c r="L11458" s="0">
        <x:f>hyperlink("https://icat2.azurewebsites.net/icat/?ontology=ICD&amp;tab=ClassesTab&amp;id=http%3A%2F%2Fwho.int%2Ficd%23SpecificAnatomicLocation_1965","iCat")</x:f>
      </x:c>
      <x:c r="M11458" s="0" t="s">
        <x:v>21</x:v>
      </x:c>
      <x:c r="N11458" s="0" t="s">
        <x:v>46</x:v>
      </x:c>
    </x:row>
    <x:row r="11459" spans="1:16">
      <x:c r="A11459" s="0" t="s">
        <x:v>44987</x:v>
      </x:c>
      <x:c r="B11459" s="0" t="s">
        <x:v>44988</x:v>
      </x:c>
      <x:c r="C11459" s="0" t="s">
        <x:v>42840</x:v>
      </x:c>
      <x:c r="E11459" s="0" t="s">
        <x:v>44989</x:v>
      </x:c>
      <x:c r="F11459" s="0" t="s">
        <x:v>45</x:v>
      </x:c>
      <x:c r="G11459" s="0" t="s">
        <x:v>19</x:v>
      </x:c>
      <x:c r="H11459" s="0" t="s">
        <x:v>20</x:v>
      </x:c>
      <x:c r="I11459" s="0" t="s">
        <x:v>21</x:v>
      </x:c>
      <x:c r="K11459" s="0">
        <x:f>hyperlink("https://icd.who.int/dev11/l-ichi/en#/http%3A%2F%2Fid.who.int%2Ficd%2Fentity%2F875850110","browser")</x:f>
      </x:c>
      <x:c r="L11459" s="0">
        <x:f>hyperlink("https://icat2.azurewebsites.net/icat/?ontology=ICD&amp;tab=ClassesTab&amp;id=http%3A%2F%2Fwho.int%2Ficd%23SpecificAnatomicLocation_1966","iCat")</x:f>
      </x:c>
      <x:c r="M11459" s="0" t="s">
        <x:v>21</x:v>
      </x:c>
      <x:c r="N11459" s="0" t="s">
        <x:v>46</x:v>
      </x:c>
    </x:row>
    <x:row r="11460" spans="1:16">
      <x:c r="A11460" s="0" t="s">
        <x:v>44990</x:v>
      </x:c>
      <x:c r="B11460" s="0" t="s">
        <x:v>44991</x:v>
      </x:c>
      <x:c r="C11460" s="0" t="s">
        <x:v>42840</x:v>
      </x:c>
      <x:c r="E11460" s="0" t="s">
        <x:v>44992</x:v>
      </x:c>
      <x:c r="F11460" s="0" t="s">
        <x:v>45</x:v>
      </x:c>
      <x:c r="G11460" s="0" t="s">
        <x:v>19</x:v>
      </x:c>
      <x:c r="H11460" s="0" t="s">
        <x:v>20</x:v>
      </x:c>
      <x:c r="I11460" s="0" t="s">
        <x:v>21</x:v>
      </x:c>
      <x:c r="K11460" s="0">
        <x:f>hyperlink("https://icd.who.int/dev11/l-ichi/en#/http%3A%2F%2Fid.who.int%2Ficd%2Fentity%2F1688044607","browser")</x:f>
      </x:c>
      <x:c r="L11460" s="0">
        <x:f>hyperlink("https://icat2.azurewebsites.net/icat/?ontology=ICD&amp;tab=ClassesTab&amp;id=http%3A%2F%2Fwho.int%2Ficd%23SpecificAnatomicLocation_2045","iCat")</x:f>
      </x:c>
      <x:c r="M11460" s="0" t="s">
        <x:v>21</x:v>
      </x:c>
      <x:c r="N11460" s="0" t="s">
        <x:v>46</x:v>
      </x:c>
    </x:row>
    <x:row r="11461" spans="1:16">
      <x:c r="A11461" s="0" t="s">
        <x:v>44993</x:v>
      </x:c>
      <x:c r="B11461" s="0" t="s">
        <x:v>44994</x:v>
      </x:c>
      <x:c r="C11461" s="0" t="s">
        <x:v>42840</x:v>
      </x:c>
      <x:c r="E11461" s="0" t="s">
        <x:v>44995</x:v>
      </x:c>
      <x:c r="F11461" s="0" t="s">
        <x:v>45</x:v>
      </x:c>
      <x:c r="G11461" s="0" t="s">
        <x:v>19</x:v>
      </x:c>
      <x:c r="H11461" s="0" t="s">
        <x:v>20</x:v>
      </x:c>
      <x:c r="I11461" s="0" t="s">
        <x:v>21</x:v>
      </x:c>
      <x:c r="K11461" s="0">
        <x:f>hyperlink("https://icd.who.int/dev11/l-ichi/en#/http%3A%2F%2Fid.who.int%2Ficd%2Fentity%2F1254968767","browser")</x:f>
      </x:c>
      <x:c r="L11461" s="0">
        <x:f>hyperlink("https://icat2.azurewebsites.net/icat/?ontology=ICD&amp;tab=ClassesTab&amp;id=http%3A%2F%2Fwho.int%2Ficd%23SpecificAnatomicLocation_2047","iCat")</x:f>
      </x:c>
      <x:c r="M11461" s="0" t="s">
        <x:v>21</x:v>
      </x:c>
      <x:c r="N11461" s="0" t="s">
        <x:v>46</x:v>
      </x:c>
    </x:row>
    <x:row r="11462" spans="1:16">
      <x:c r="A11462" s="0" t="s">
        <x:v>44996</x:v>
      </x:c>
      <x:c r="B11462" s="0" t="s">
        <x:v>44997</x:v>
      </x:c>
      <x:c r="C11462" s="0" t="s">
        <x:v>42840</x:v>
      </x:c>
      <x:c r="E11462" s="0" t="s">
        <x:v>44998</x:v>
      </x:c>
      <x:c r="F11462" s="0" t="s">
        <x:v>45</x:v>
      </x:c>
      <x:c r="G11462" s="0" t="s">
        <x:v>19</x:v>
      </x:c>
      <x:c r="H11462" s="0" t="s">
        <x:v>20</x:v>
      </x:c>
      <x:c r="I11462" s="0" t="s">
        <x:v>21</x:v>
      </x:c>
      <x:c r="K11462" s="0">
        <x:f>hyperlink("https://icd.who.int/dev11/l-ichi/en#/http%3A%2F%2Fid.who.int%2Ficd%2Fentity%2F2068955142","browser")</x:f>
      </x:c>
      <x:c r="L11462" s="0">
        <x:f>hyperlink("https://icat2.azurewebsites.net/icat/?ontology=ICD&amp;tab=ClassesTab&amp;id=http%3A%2F%2Fwho.int%2Ficd%23SpecificAnatomicLocation_1795","iCat")</x:f>
      </x:c>
      <x:c r="M11462" s="0" t="s">
        <x:v>21</x:v>
      </x:c>
      <x:c r="N11462" s="0" t="s">
        <x:v>46</x:v>
      </x:c>
    </x:row>
    <x:row r="11463" spans="1:16">
      <x:c r="A11463" s="0" t="s">
        <x:v>44999</x:v>
      </x:c>
      <x:c r="B11463" s="0" t="s">
        <x:v>45000</x:v>
      </x:c>
      <x:c r="C11463" s="0" t="s">
        <x:v>42840</x:v>
      </x:c>
      <x:c r="E11463" s="0" t="s">
        <x:v>45001</x:v>
      </x:c>
      <x:c r="F11463" s="0" t="s">
        <x:v>45</x:v>
      </x:c>
      <x:c r="G11463" s="0" t="s">
        <x:v>19</x:v>
      </x:c>
      <x:c r="H11463" s="0" t="s">
        <x:v>20</x:v>
      </x:c>
      <x:c r="I11463" s="0" t="s">
        <x:v>21</x:v>
      </x:c>
      <x:c r="K11463" s="0">
        <x:f>hyperlink("https://icd.who.int/dev11/l-ichi/en#/http%3A%2F%2Fid.who.int%2Ficd%2Fentity%2F1110011206","browser")</x:f>
      </x:c>
      <x:c r="L11463" s="0">
        <x:f>hyperlink("https://icat2.azurewebsites.net/icat/?ontology=ICD&amp;tab=ClassesTab&amp;id=http%3A%2F%2Fwho.int%2Ficd%23SpecificAnatomicLocation_1796","iCat")</x:f>
      </x:c>
      <x:c r="M11463" s="0" t="s">
        <x:v>21</x:v>
      </x:c>
      <x:c r="N11463" s="0" t="s">
        <x:v>46</x:v>
      </x:c>
    </x:row>
    <x:row r="11464" spans="1:16">
      <x:c r="A11464" s="0" t="s">
        <x:v>45002</x:v>
      </x:c>
      <x:c r="B11464" s="0" t="s">
        <x:v>45003</x:v>
      </x:c>
      <x:c r="C11464" s="0" t="s">
        <x:v>42840</x:v>
      </x:c>
      <x:c r="E11464" s="0" t="s">
        <x:v>45004</x:v>
      </x:c>
      <x:c r="F11464" s="0" t="s">
        <x:v>45</x:v>
      </x:c>
      <x:c r="G11464" s="0" t="s">
        <x:v>19</x:v>
      </x:c>
      <x:c r="H11464" s="0" t="s">
        <x:v>20</x:v>
      </x:c>
      <x:c r="I11464" s="0" t="s">
        <x:v>21</x:v>
      </x:c>
      <x:c r="K11464" s="0">
        <x:f>hyperlink("https://icd.who.int/dev11/l-ichi/en#/http%3A%2F%2Fid.who.int%2Ficd%2Fentity%2F1632406266","browser")</x:f>
      </x:c>
      <x:c r="L11464" s="0">
        <x:f>hyperlink("https://icat2.azurewebsites.net/icat/?ontology=ICD&amp;tab=ClassesTab&amp;id=http%3A%2F%2Fwho.int%2Ficd%23SpecificAnatomicLocation_1799","iCat")</x:f>
      </x:c>
      <x:c r="M11464" s="0" t="s">
        <x:v>21</x:v>
      </x:c>
      <x:c r="N11464" s="0" t="s">
        <x:v>46</x:v>
      </x:c>
    </x:row>
    <x:row r="11465" spans="1:16">
      <x:c r="A11465" s="0" t="s">
        <x:v>45005</x:v>
      </x:c>
      <x:c r="B11465" s="0" t="s">
        <x:v>45006</x:v>
      </x:c>
      <x:c r="C11465" s="0" t="s">
        <x:v>42840</x:v>
      </x:c>
      <x:c r="E11465" s="0" t="s">
        <x:v>45007</x:v>
      </x:c>
      <x:c r="F11465" s="0" t="s">
        <x:v>45</x:v>
      </x:c>
      <x:c r="G11465" s="0" t="s">
        <x:v>19</x:v>
      </x:c>
      <x:c r="H11465" s="0" t="s">
        <x:v>20</x:v>
      </x:c>
      <x:c r="I11465" s="0" t="s">
        <x:v>21</x:v>
      </x:c>
      <x:c r="K11465" s="0">
        <x:f>hyperlink("https://icd.who.int/dev11/l-ichi/en#/http%3A%2F%2Fid.who.int%2Ficd%2Fentity%2F1986326074","browser")</x:f>
      </x:c>
      <x:c r="L11465" s="0">
        <x:f>hyperlink("https://icat2.azurewebsites.net/icat/?ontology=ICD&amp;tab=ClassesTab&amp;id=http%3A%2F%2Fwho.int%2Ficd%23SpecificAnatomicLocation_1798","iCat")</x:f>
      </x:c>
      <x:c r="M11465" s="0" t="s">
        <x:v>21</x:v>
      </x:c>
      <x:c r="N11465" s="0" t="s">
        <x:v>46</x:v>
      </x:c>
    </x:row>
    <x:row r="11466" spans="1:16">
      <x:c r="A11466" s="0" t="s">
        <x:v>45008</x:v>
      </x:c>
      <x:c r="B11466" s="0" t="s">
        <x:v>45009</x:v>
      </x:c>
      <x:c r="C11466" s="0" t="s">
        <x:v>42840</x:v>
      </x:c>
      <x:c r="E11466" s="0" t="s">
        <x:v>45010</x:v>
      </x:c>
      <x:c r="F11466" s="0" t="s">
        <x:v>45</x:v>
      </x:c>
      <x:c r="G11466" s="0" t="s">
        <x:v>19</x:v>
      </x:c>
      <x:c r="H11466" s="0" t="s">
        <x:v>20</x:v>
      </x:c>
      <x:c r="I11466" s="0" t="s">
        <x:v>21</x:v>
      </x:c>
      <x:c r="K11466" s="0">
        <x:f>hyperlink("https://icd.who.int/dev11/l-ichi/en#/http%3A%2F%2Fid.who.int%2Ficd%2Fentity%2F300271419","browser")</x:f>
      </x:c>
      <x:c r="L11466" s="0">
        <x:f>hyperlink("https://icat2.azurewebsites.net/icat/?ontology=ICD&amp;tab=ClassesTab&amp;id=http%3A%2F%2Fwho.int%2Ficd%23SpecificAnatomicLocation_1800","iCat")</x:f>
      </x:c>
      <x:c r="M11466" s="0" t="s">
        <x:v>21</x:v>
      </x:c>
      <x:c r="N11466" s="0" t="s">
        <x:v>46</x:v>
      </x:c>
    </x:row>
    <x:row r="11467" spans="1:16">
      <x:c r="A11467" s="0" t="s">
        <x:v>45011</x:v>
      </x:c>
      <x:c r="B11467" s="0" t="s">
        <x:v>45012</x:v>
      </x:c>
      <x:c r="C11467" s="0" t="s">
        <x:v>42840</x:v>
      </x:c>
      <x:c r="E11467" s="0" t="s">
        <x:v>45013</x:v>
      </x:c>
      <x:c r="F11467" s="0" t="s">
        <x:v>45</x:v>
      </x:c>
      <x:c r="G11467" s="0" t="s">
        <x:v>19</x:v>
      </x:c>
      <x:c r="H11467" s="0" t="s">
        <x:v>20</x:v>
      </x:c>
      <x:c r="I11467" s="0" t="s">
        <x:v>21</x:v>
      </x:c>
      <x:c r="K11467" s="0">
        <x:f>hyperlink("https://icd.who.int/dev11/l-ichi/en#/http%3A%2F%2Fid.who.int%2Ficd%2Fentity%2F114140155","browser")</x:f>
      </x:c>
      <x:c r="L11467" s="0">
        <x:f>hyperlink("https://icat2.azurewebsites.net/icat/?ontology=ICD&amp;tab=ClassesTab&amp;id=http%3A%2F%2Fwho.int%2Ficd%23SpecificAnatomicLocation_1801","iCat")</x:f>
      </x:c>
      <x:c r="M11467" s="0" t="s">
        <x:v>21</x:v>
      </x:c>
      <x:c r="N11467" s="0" t="s">
        <x:v>46</x:v>
      </x:c>
    </x:row>
    <x:row r="11468" spans="1:16">
      <x:c r="A11468" s="0" t="s">
        <x:v>45014</x:v>
      </x:c>
      <x:c r="B11468" s="0" t="s">
        <x:v>45015</x:v>
      </x:c>
      <x:c r="C11468" s="0" t="s">
        <x:v>42840</x:v>
      </x:c>
      <x:c r="E11468" s="0" t="s">
        <x:v>45016</x:v>
      </x:c>
      <x:c r="F11468" s="0" t="s">
        <x:v>45</x:v>
      </x:c>
      <x:c r="G11468" s="0" t="s">
        <x:v>19</x:v>
      </x:c>
      <x:c r="H11468" s="0" t="s">
        <x:v>20</x:v>
      </x:c>
      <x:c r="I11468" s="0" t="s">
        <x:v>21</x:v>
      </x:c>
      <x:c r="K11468" s="0">
        <x:f>hyperlink("https://icd.who.int/dev11/l-ichi/en#/http%3A%2F%2Fid.who.int%2Ficd%2Fentity%2F1068830395","browser")</x:f>
      </x:c>
      <x:c r="L11468" s="0">
        <x:f>hyperlink("https://icat2.azurewebsites.net/icat/?ontology=ICD&amp;tab=ClassesTab&amp;id=http%3A%2F%2Fwho.int%2Ficd%23SpecificAnatomicLocation_1802","iCat")</x:f>
      </x:c>
      <x:c r="M11468" s="0" t="s">
        <x:v>21</x:v>
      </x:c>
      <x:c r="N11468" s="0" t="s">
        <x:v>46</x:v>
      </x:c>
    </x:row>
    <x:row r="11469" spans="1:16">
      <x:c r="A11469" s="0" t="s">
        <x:v>45017</x:v>
      </x:c>
      <x:c r="B11469" s="0" t="s">
        <x:v>45018</x:v>
      </x:c>
      <x:c r="C11469" s="0" t="s">
        <x:v>42840</x:v>
      </x:c>
      <x:c r="E11469" s="0" t="s">
        <x:v>45019</x:v>
      </x:c>
      <x:c r="F11469" s="0" t="s">
        <x:v>45</x:v>
      </x:c>
      <x:c r="G11469" s="0" t="s">
        <x:v>19</x:v>
      </x:c>
      <x:c r="H11469" s="0" t="s">
        <x:v>20</x:v>
      </x:c>
      <x:c r="I11469" s="0" t="s">
        <x:v>21</x:v>
      </x:c>
      <x:c r="K11469" s="0">
        <x:f>hyperlink("https://icd.who.int/dev11/l-ichi/en#/http%3A%2F%2Fid.who.int%2Ficd%2Fentity%2F1296323643","browser")</x:f>
      </x:c>
      <x:c r="L11469" s="0">
        <x:f>hyperlink("https://icat2.azurewebsites.net/icat/?ontology=ICD&amp;tab=ClassesTab&amp;id=http%3A%2F%2Fwho.int%2Ficd%23SpecificAnatomicLocation_1804","iCat")</x:f>
      </x:c>
      <x:c r="M11469" s="0" t="s">
        <x:v>21</x:v>
      </x:c>
      <x:c r="N11469" s="0" t="s">
        <x:v>46</x:v>
      </x:c>
    </x:row>
    <x:row r="11470" spans="1:16">
      <x:c r="A11470" s="0" t="s">
        <x:v>45020</x:v>
      </x:c>
      <x:c r="B11470" s="0" t="s">
        <x:v>45021</x:v>
      </x:c>
      <x:c r="C11470" s="0" t="s">
        <x:v>42840</x:v>
      </x:c>
      <x:c r="E11470" s="0" t="s">
        <x:v>45022</x:v>
      </x:c>
      <x:c r="F11470" s="0" t="s">
        <x:v>45</x:v>
      </x:c>
      <x:c r="G11470" s="0" t="s">
        <x:v>19</x:v>
      </x:c>
      <x:c r="H11470" s="0" t="s">
        <x:v>20</x:v>
      </x:c>
      <x:c r="I11470" s="0" t="s">
        <x:v>21</x:v>
      </x:c>
      <x:c r="K11470" s="0">
        <x:f>hyperlink("https://icd.who.int/dev11/l-ichi/en#/http%3A%2F%2Fid.who.int%2Ficd%2Fentity%2F936744078","browser")</x:f>
      </x:c>
      <x:c r="L11470" s="0">
        <x:f>hyperlink("https://icat2.azurewebsites.net/icat/?ontology=ICD&amp;tab=ClassesTab&amp;id=http%3A%2F%2Fwho.int%2Ficd%23SpecificAnatomicLocation_1871","iCat")</x:f>
      </x:c>
      <x:c r="M11470" s="0" t="s">
        <x:v>21</x:v>
      </x:c>
      <x:c r="N11470" s="0" t="s">
        <x:v>46</x:v>
      </x:c>
    </x:row>
    <x:row r="11471" spans="1:16">
      <x:c r="A11471" s="0" t="s">
        <x:v>45023</x:v>
      </x:c>
      <x:c r="B11471" s="0" t="s">
        <x:v>45024</x:v>
      </x:c>
      <x:c r="C11471" s="0" t="s">
        <x:v>42840</x:v>
      </x:c>
      <x:c r="E11471" s="0" t="s">
        <x:v>45025</x:v>
      </x:c>
      <x:c r="F11471" s="0" t="s">
        <x:v>45</x:v>
      </x:c>
      <x:c r="G11471" s="0" t="s">
        <x:v>19</x:v>
      </x:c>
      <x:c r="H11471" s="0" t="s">
        <x:v>20</x:v>
      </x:c>
      <x:c r="I11471" s="0" t="s">
        <x:v>21</x:v>
      </x:c>
      <x:c r="K11471" s="0">
        <x:f>hyperlink("https://icd.who.int/dev11/l-ichi/en#/http%3A%2F%2Fid.who.int%2Ficd%2Fentity%2F1517039867","browser")</x:f>
      </x:c>
      <x:c r="L11471" s="0">
        <x:f>hyperlink("https://icat2.azurewebsites.net/icat/?ontology=ICD&amp;tab=ClassesTab&amp;id=http%3A%2F%2Fwho.int%2Ficd%23SpecificAnatomicLocation_1805","iCat")</x:f>
      </x:c>
      <x:c r="M11471" s="0" t="s">
        <x:v>21</x:v>
      </x:c>
      <x:c r="N11471" s="0" t="s">
        <x:v>46</x:v>
      </x:c>
    </x:row>
    <x:row r="11472" spans="1:16">
      <x:c r="A11472" s="0" t="s">
        <x:v>45026</x:v>
      </x:c>
      <x:c r="B11472" s="0" t="s">
        <x:v>45027</x:v>
      </x:c>
      <x:c r="C11472" s="0" t="s">
        <x:v>42840</x:v>
      </x:c>
      <x:c r="E11472" s="0" t="s">
        <x:v>45028</x:v>
      </x:c>
      <x:c r="F11472" s="0" t="s">
        <x:v>45</x:v>
      </x:c>
      <x:c r="G11472" s="0" t="s">
        <x:v>19</x:v>
      </x:c>
      <x:c r="H11472" s="0" t="s">
        <x:v>20</x:v>
      </x:c>
      <x:c r="I11472" s="0" t="s">
        <x:v>21</x:v>
      </x:c>
      <x:c r="K11472" s="0">
        <x:f>hyperlink("https://icd.who.int/dev11/l-ichi/en#/http%3A%2F%2Fid.who.int%2Ficd%2Fentity%2F1662295483","browser")</x:f>
      </x:c>
      <x:c r="L11472" s="0">
        <x:f>hyperlink("https://icat2.azurewebsites.net/icat/?ontology=ICD&amp;tab=ClassesTab&amp;id=http%3A%2F%2Fwho.int%2Ficd%23SpecificAnatomicLocation_1806","iCat")</x:f>
      </x:c>
      <x:c r="M11472" s="0" t="s">
        <x:v>21</x:v>
      </x:c>
      <x:c r="N11472" s="0" t="s">
        <x:v>46</x:v>
      </x:c>
    </x:row>
    <x:row r="11473" spans="1:16">
      <x:c r="A11473" s="0" t="s">
        <x:v>45029</x:v>
      </x:c>
      <x:c r="B11473" s="0" t="s">
        <x:v>45030</x:v>
      </x:c>
      <x:c r="C11473" s="0" t="s">
        <x:v>42840</x:v>
      </x:c>
      <x:c r="E11473" s="0" t="s">
        <x:v>45031</x:v>
      </x:c>
      <x:c r="F11473" s="0" t="s">
        <x:v>45</x:v>
      </x:c>
      <x:c r="G11473" s="0" t="s">
        <x:v>19</x:v>
      </x:c>
      <x:c r="H11473" s="0" t="s">
        <x:v>20</x:v>
      </x:c>
      <x:c r="I11473" s="0" t="s">
        <x:v>21</x:v>
      </x:c>
      <x:c r="K11473" s="0">
        <x:f>hyperlink("https://icd.who.int/dev11/l-ichi/en#/http%3A%2F%2Fid.who.int%2Ficd%2Fentity%2F1950153083","browser")</x:f>
      </x:c>
      <x:c r="L11473" s="0">
        <x:f>hyperlink("https://icat2.azurewebsites.net/icat/?ontology=ICD&amp;tab=ClassesTab&amp;id=http%3A%2F%2Fwho.int%2Ficd%23SpecificAnatomicLocation_1807","iCat")</x:f>
      </x:c>
      <x:c r="M11473" s="0" t="s">
        <x:v>21</x:v>
      </x:c>
      <x:c r="N11473" s="0" t="s">
        <x:v>46</x:v>
      </x:c>
    </x:row>
    <x:row r="11474" spans="1:16">
      <x:c r="A11474" s="0" t="s">
        <x:v>45032</x:v>
      </x:c>
      <x:c r="B11474" s="0" t="s">
        <x:v>45033</x:v>
      </x:c>
      <x:c r="C11474" s="0" t="s">
        <x:v>42840</x:v>
      </x:c>
      <x:c r="E11474" s="0" t="s">
        <x:v>45034</x:v>
      </x:c>
      <x:c r="F11474" s="0" t="s">
        <x:v>45</x:v>
      </x:c>
      <x:c r="G11474" s="0" t="s">
        <x:v>19</x:v>
      </x:c>
      <x:c r="H11474" s="0" t="s">
        <x:v>20</x:v>
      </x:c>
      <x:c r="I11474" s="0" t="s">
        <x:v>21</x:v>
      </x:c>
      <x:c r="K11474" s="0">
        <x:f>hyperlink("https://icd.who.int/dev11/l-ichi/en#/http%3A%2F%2Fid.who.int%2Ficd%2Fentity%2F1465458373","browser")</x:f>
      </x:c>
      <x:c r="L11474" s="0">
        <x:f>hyperlink("https://icat2.azurewebsites.net/icat/?ontology=ICD&amp;tab=ClassesTab&amp;id=http%3A%2F%2Fwho.int%2Ficd%23SpecificAnatomicLocation_1808","iCat")</x:f>
      </x:c>
      <x:c r="M11474" s="0" t="s">
        <x:v>21</x:v>
      </x:c>
      <x:c r="N11474" s="0" t="s">
        <x:v>46</x:v>
      </x:c>
    </x:row>
    <x:row r="11475" spans="1:16">
      <x:c r="A11475" s="0" t="s">
        <x:v>45035</x:v>
      </x:c>
      <x:c r="B11475" s="0" t="s">
        <x:v>45036</x:v>
      </x:c>
      <x:c r="C11475" s="0" t="s">
        <x:v>42840</x:v>
      </x:c>
      <x:c r="E11475" s="0" t="s">
        <x:v>45037</x:v>
      </x:c>
      <x:c r="F11475" s="0" t="s">
        <x:v>45</x:v>
      </x:c>
      <x:c r="G11475" s="0" t="s">
        <x:v>19</x:v>
      </x:c>
      <x:c r="H11475" s="0" t="s">
        <x:v>20</x:v>
      </x:c>
      <x:c r="I11475" s="0" t="s">
        <x:v>21</x:v>
      </x:c>
      <x:c r="K11475" s="0">
        <x:f>hyperlink("https://icd.who.int/dev11/l-ichi/en#/http%3A%2F%2Fid.who.int%2Ficd%2Fentity%2F2014787874","browser")</x:f>
      </x:c>
      <x:c r="L11475" s="0">
        <x:f>hyperlink("https://icat2.azurewebsites.net/icat/?ontology=ICD&amp;tab=ClassesTab&amp;id=http%3A%2F%2Fwho.int%2Ficd%23SpecificAnatomicLocation_1811","iCat")</x:f>
      </x:c>
      <x:c r="M11475" s="0" t="s">
        <x:v>21</x:v>
      </x:c>
      <x:c r="N11475" s="0" t="s">
        <x:v>46</x:v>
      </x:c>
    </x:row>
    <x:row r="11476" spans="1:16">
      <x:c r="A11476" s="0" t="s">
        <x:v>45038</x:v>
      </x:c>
      <x:c r="B11476" s="0" t="s">
        <x:v>45039</x:v>
      </x:c>
      <x:c r="C11476" s="0" t="s">
        <x:v>42840</x:v>
      </x:c>
      <x:c r="E11476" s="0" t="s">
        <x:v>45040</x:v>
      </x:c>
      <x:c r="F11476" s="0" t="s">
        <x:v>45</x:v>
      </x:c>
      <x:c r="G11476" s="0" t="s">
        <x:v>19</x:v>
      </x:c>
      <x:c r="H11476" s="0" t="s">
        <x:v>20</x:v>
      </x:c>
      <x:c r="I11476" s="0" t="s">
        <x:v>21</x:v>
      </x:c>
      <x:c r="K11476" s="0">
        <x:f>hyperlink("https://icd.who.int/dev11/l-ichi/en#/http%3A%2F%2Fid.who.int%2Ficd%2Fentity%2F1447555234","browser")</x:f>
      </x:c>
      <x:c r="L11476" s="0">
        <x:f>hyperlink("https://icat2.azurewebsites.net/icat/?ontology=ICD&amp;tab=ClassesTab&amp;id=http%3A%2F%2Fwho.int%2Ficd%23SpecificAnatomicLocation_1813","iCat")</x:f>
      </x:c>
      <x:c r="M11476" s="0" t="s">
        <x:v>21</x:v>
      </x:c>
      <x:c r="N11476" s="0" t="s">
        <x:v>46</x:v>
      </x:c>
    </x:row>
    <x:row r="11477" spans="1:16">
      <x:c r="A11477" s="0" t="s">
        <x:v>45041</x:v>
      </x:c>
      <x:c r="B11477" s="0" t="s">
        <x:v>45042</x:v>
      </x:c>
      <x:c r="C11477" s="0" t="s">
        <x:v>42840</x:v>
      </x:c>
      <x:c r="E11477" s="0" t="s">
        <x:v>45043</x:v>
      </x:c>
      <x:c r="F11477" s="0" t="s">
        <x:v>45</x:v>
      </x:c>
      <x:c r="G11477" s="0" t="s">
        <x:v>19</x:v>
      </x:c>
      <x:c r="H11477" s="0" t="s">
        <x:v>20</x:v>
      </x:c>
      <x:c r="I11477" s="0" t="s">
        <x:v>21</x:v>
      </x:c>
      <x:c r="K11477" s="0">
        <x:f>hyperlink("https://icd.who.int/dev11/l-ichi/en#/http%3A%2F%2Fid.who.int%2Ficd%2Fentity%2F500041570","browser")</x:f>
      </x:c>
      <x:c r="L11477" s="0">
        <x:f>hyperlink("https://icat2.azurewebsites.net/icat/?ontology=ICD&amp;tab=ClassesTab&amp;id=http%3A%2F%2Fwho.int%2Ficd%23SpecificAnatomicLocation_1816","iCat")</x:f>
      </x:c>
      <x:c r="M11477" s="0" t="s">
        <x:v>21</x:v>
      </x:c>
      <x:c r="N11477" s="0" t="s">
        <x:v>46</x:v>
      </x:c>
    </x:row>
    <x:row r="11478" spans="1:16">
      <x:c r="A11478" s="0" t="s">
        <x:v>45044</x:v>
      </x:c>
      <x:c r="B11478" s="0" t="s">
        <x:v>45045</x:v>
      </x:c>
      <x:c r="C11478" s="0" t="s">
        <x:v>42840</x:v>
      </x:c>
      <x:c r="E11478" s="0" t="s">
        <x:v>45046</x:v>
      </x:c>
      <x:c r="F11478" s="0" t="s">
        <x:v>45</x:v>
      </x:c>
      <x:c r="G11478" s="0" t="s">
        <x:v>19</x:v>
      </x:c>
      <x:c r="H11478" s="0" t="s">
        <x:v>20</x:v>
      </x:c>
      <x:c r="I11478" s="0" t="s">
        <x:v>21</x:v>
      </x:c>
      <x:c r="K11478" s="0">
        <x:f>hyperlink("https://icd.who.int/dev11/l-ichi/en#/http%3A%2F%2Fid.who.int%2Ficd%2Fentity%2F182870946","browser")</x:f>
      </x:c>
      <x:c r="L11478" s="0">
        <x:f>hyperlink("https://icat2.azurewebsites.net/icat/?ontology=ICD&amp;tab=ClassesTab&amp;id=http%3A%2F%2Fwho.int%2Ficd%23SpecificAnatomicLocation_1817","iCat")</x:f>
      </x:c>
      <x:c r="M11478" s="0" t="s">
        <x:v>21</x:v>
      </x:c>
      <x:c r="N11478" s="0" t="s">
        <x:v>46</x:v>
      </x:c>
    </x:row>
    <x:row r="11479" spans="1:16">
      <x:c r="A11479" s="0" t="s">
        <x:v>45047</x:v>
      </x:c>
      <x:c r="B11479" s="0" t="s">
        <x:v>45048</x:v>
      </x:c>
      <x:c r="C11479" s="0" t="s">
        <x:v>42840</x:v>
      </x:c>
      <x:c r="E11479" s="0" t="s">
        <x:v>45049</x:v>
      </x:c>
      <x:c r="F11479" s="0" t="s">
        <x:v>45</x:v>
      </x:c>
      <x:c r="G11479" s="0" t="s">
        <x:v>19</x:v>
      </x:c>
      <x:c r="H11479" s="0" t="s">
        <x:v>20</x:v>
      </x:c>
      <x:c r="I11479" s="0" t="s">
        <x:v>21</x:v>
      </x:c>
      <x:c r="K11479" s="0">
        <x:f>hyperlink("https://icd.who.int/dev11/l-ichi/en#/http%3A%2F%2Fid.who.int%2Ficd%2Fentity%2F696484894","browser")</x:f>
      </x:c>
      <x:c r="L11479" s="0">
        <x:f>hyperlink("https://icat2.azurewebsites.net/icat/?ontology=ICD&amp;tab=ClassesTab&amp;id=http%3A%2F%2Fwho.int%2Ficd%23SpecificAnatomicLocation_1818","iCat")</x:f>
      </x:c>
      <x:c r="M11479" s="0" t="s">
        <x:v>21</x:v>
      </x:c>
      <x:c r="N11479" s="0" t="s">
        <x:v>46</x:v>
      </x:c>
    </x:row>
    <x:row r="11480" spans="1:16">
      <x:c r="A11480" s="0" t="s">
        <x:v>45050</x:v>
      </x:c>
      <x:c r="B11480" s="0" t="s">
        <x:v>45051</x:v>
      </x:c>
      <x:c r="C11480" s="0" t="s">
        <x:v>42840</x:v>
      </x:c>
      <x:c r="E11480" s="0" t="s">
        <x:v>45052</x:v>
      </x:c>
      <x:c r="F11480" s="0" t="s">
        <x:v>45</x:v>
      </x:c>
      <x:c r="G11480" s="0" t="s">
        <x:v>19</x:v>
      </x:c>
      <x:c r="H11480" s="0" t="s">
        <x:v>20</x:v>
      </x:c>
      <x:c r="I11480" s="0" t="s">
        <x:v>21</x:v>
      </x:c>
      <x:c r="K11480" s="0">
        <x:f>hyperlink("https://icd.who.int/dev11/l-ichi/en#/http%3A%2F%2Fid.who.int%2Ficd%2Fentity%2F1051451614","browser")</x:f>
      </x:c>
      <x:c r="L11480" s="0">
        <x:f>hyperlink("https://icat2.azurewebsites.net/icat/?ontology=ICD&amp;tab=ClassesTab&amp;id=http%3A%2F%2Fwho.int%2Ficd%23SpecificAnatomicLocation_1819","iCat")</x:f>
      </x:c>
      <x:c r="M11480" s="0" t="s">
        <x:v>21</x:v>
      </x:c>
      <x:c r="N11480" s="0" t="s">
        <x:v>46</x:v>
      </x:c>
    </x:row>
    <x:row r="11481" spans="1:16">
      <x:c r="A11481" s="0" t="s">
        <x:v>45053</x:v>
      </x:c>
      <x:c r="B11481" s="0" t="s">
        <x:v>45054</x:v>
      </x:c>
      <x:c r="C11481" s="0" t="s">
        <x:v>42840</x:v>
      </x:c>
      <x:c r="E11481" s="0" t="s">
        <x:v>45055</x:v>
      </x:c>
      <x:c r="F11481" s="0" t="s">
        <x:v>45</x:v>
      </x:c>
      <x:c r="G11481" s="0" t="s">
        <x:v>19</x:v>
      </x:c>
      <x:c r="H11481" s="0" t="s">
        <x:v>20</x:v>
      </x:c>
      <x:c r="I11481" s="0" t="s">
        <x:v>21</x:v>
      </x:c>
      <x:c r="K11481" s="0">
        <x:f>hyperlink("https://icd.who.int/dev11/l-ichi/en#/http%3A%2F%2Fid.who.int%2Ficd%2Fentity%2F924972234","browser")</x:f>
      </x:c>
      <x:c r="L11481" s="0">
        <x:f>hyperlink("https://icat2.azurewebsites.net/icat/?ontology=ICD&amp;tab=ClassesTab&amp;id=http%3A%2F%2Fwho.int%2Ficd%23SpecificAnatomicLocation_1820","iCat")</x:f>
      </x:c>
      <x:c r="M11481" s="0" t="s">
        <x:v>21</x:v>
      </x:c>
      <x:c r="N11481" s="0" t="s">
        <x:v>46</x:v>
      </x:c>
    </x:row>
    <x:row r="11482" spans="1:16">
      <x:c r="A11482" s="0" t="s">
        <x:v>45056</x:v>
      </x:c>
      <x:c r="B11482" s="0" t="s">
        <x:v>45057</x:v>
      </x:c>
      <x:c r="C11482" s="0" t="s">
        <x:v>42840</x:v>
      </x:c>
      <x:c r="E11482" s="0" t="s">
        <x:v>45058</x:v>
      </x:c>
      <x:c r="F11482" s="0" t="s">
        <x:v>45</x:v>
      </x:c>
      <x:c r="G11482" s="0" t="s">
        <x:v>19</x:v>
      </x:c>
      <x:c r="H11482" s="0" t="s">
        <x:v>20</x:v>
      </x:c>
      <x:c r="I11482" s="0" t="s">
        <x:v>21</x:v>
      </x:c>
      <x:c r="K11482" s="0">
        <x:f>hyperlink("https://icd.who.int/dev11/l-ichi/en#/http%3A%2F%2Fid.who.int%2Ficd%2Fentity%2F537497610","browser")</x:f>
      </x:c>
      <x:c r="L11482" s="0">
        <x:f>hyperlink("https://icat2.azurewebsites.net/icat/?ontology=ICD&amp;tab=ClassesTab&amp;id=http%3A%2F%2Fwho.int%2Ficd%23SpecificAnatomicLocation_1821","iCat")</x:f>
      </x:c>
      <x:c r="M11482" s="0" t="s">
        <x:v>21</x:v>
      </x:c>
      <x:c r="N11482" s="0" t="s">
        <x:v>46</x:v>
      </x:c>
    </x:row>
    <x:row r="11483" spans="1:16">
      <x:c r="A11483" s="0" t="s">
        <x:v>45059</x:v>
      </x:c>
      <x:c r="B11483" s="0" t="s">
        <x:v>45060</x:v>
      </x:c>
      <x:c r="C11483" s="0" t="s">
        <x:v>42840</x:v>
      </x:c>
      <x:c r="E11483" s="0" t="s">
        <x:v>45061</x:v>
      </x:c>
      <x:c r="F11483" s="0" t="s">
        <x:v>45</x:v>
      </x:c>
      <x:c r="G11483" s="0" t="s">
        <x:v>19</x:v>
      </x:c>
      <x:c r="H11483" s="0" t="s">
        <x:v>20</x:v>
      </x:c>
      <x:c r="I11483" s="0" t="s">
        <x:v>21</x:v>
      </x:c>
      <x:c r="K11483" s="0">
        <x:f>hyperlink("https://icd.who.int/dev11/l-ichi/en#/http%3A%2F%2Fid.who.int%2Ficd%2Fentity%2F426851658","browser")</x:f>
      </x:c>
      <x:c r="L11483" s="0">
        <x:f>hyperlink("https://icat2.azurewebsites.net/icat/?ontology=ICD&amp;tab=ClassesTab&amp;id=http%3A%2F%2Fwho.int%2Ficd%23SpecificAnatomicLocation_1822","iCat")</x:f>
      </x:c>
      <x:c r="M11483" s="0" t="s">
        <x:v>21</x:v>
      </x:c>
      <x:c r="N11483" s="0" t="s">
        <x:v>46</x:v>
      </x:c>
    </x:row>
    <x:row r="11484" spans="1:16">
      <x:c r="A11484" s="0" t="s">
        <x:v>45062</x:v>
      </x:c>
      <x:c r="B11484" s="0" t="s">
        <x:v>45063</x:v>
      </x:c>
      <x:c r="C11484" s="0" t="s">
        <x:v>42840</x:v>
      </x:c>
      <x:c r="E11484" s="0" t="s">
        <x:v>45064</x:v>
      </x:c>
      <x:c r="F11484" s="0" t="s">
        <x:v>45</x:v>
      </x:c>
      <x:c r="G11484" s="0" t="s">
        <x:v>19</x:v>
      </x:c>
      <x:c r="H11484" s="0" t="s">
        <x:v>20</x:v>
      </x:c>
      <x:c r="I11484" s="0" t="s">
        <x:v>21</x:v>
      </x:c>
      <x:c r="K11484" s="0">
        <x:f>hyperlink("https://icd.who.int/dev11/l-ichi/en#/http%3A%2F%2Fid.who.int%2Ficd%2Fentity%2F1803577290","browser")</x:f>
      </x:c>
      <x:c r="L11484" s="0">
        <x:f>hyperlink("https://icat2.azurewebsites.net/icat/?ontology=ICD&amp;tab=ClassesTab&amp;id=http%3A%2F%2Fwho.int%2Ficd%23SpecificAnatomicLocation_1824","iCat")</x:f>
      </x:c>
      <x:c r="M11484" s="0" t="s">
        <x:v>21</x:v>
      </x:c>
      <x:c r="N11484" s="0" t="s">
        <x:v>46</x:v>
      </x:c>
    </x:row>
    <x:row r="11485" spans="1:16">
      <x:c r="A11485" s="0" t="s">
        <x:v>45065</x:v>
      </x:c>
      <x:c r="B11485" s="0" t="s">
        <x:v>45066</x:v>
      </x:c>
      <x:c r="C11485" s="0" t="s">
        <x:v>42840</x:v>
      </x:c>
      <x:c r="E11485" s="0" t="s">
        <x:v>45067</x:v>
      </x:c>
      <x:c r="F11485" s="0" t="s">
        <x:v>45</x:v>
      </x:c>
      <x:c r="G11485" s="0" t="s">
        <x:v>19</x:v>
      </x:c>
      <x:c r="H11485" s="0" t="s">
        <x:v>20</x:v>
      </x:c>
      <x:c r="I11485" s="0" t="s">
        <x:v>21</x:v>
      </x:c>
      <x:c r="K11485" s="0">
        <x:f>hyperlink("https://icd.who.int/dev11/l-ichi/en#/http%3A%2F%2Fid.who.int%2Ficd%2Fentity%2F2091385610","browser")</x:f>
      </x:c>
      <x:c r="L11485" s="0">
        <x:f>hyperlink("https://icat2.azurewebsites.net/icat/?ontology=ICD&amp;tab=ClassesTab&amp;id=http%3A%2F%2Fwho.int%2Ficd%23SpecificAnatomicLocation_1825","iCat")</x:f>
      </x:c>
      <x:c r="M11485" s="0" t="s">
        <x:v>21</x:v>
      </x:c>
      <x:c r="N11485" s="0" t="s">
        <x:v>46</x:v>
      </x:c>
    </x:row>
    <x:row r="11486" spans="1:16">
      <x:c r="A11486" s="0" t="s">
        <x:v>45068</x:v>
      </x:c>
      <x:c r="B11486" s="0" t="s">
        <x:v>45069</x:v>
      </x:c>
      <x:c r="C11486" s="0" t="s">
        <x:v>42840</x:v>
      </x:c>
      <x:c r="E11486" s="0" t="s">
        <x:v>45070</x:v>
      </x:c>
      <x:c r="F11486" s="0" t="s">
        <x:v>45</x:v>
      </x:c>
      <x:c r="G11486" s="0" t="s">
        <x:v>19</x:v>
      </x:c>
      <x:c r="H11486" s="0" t="s">
        <x:v>20</x:v>
      </x:c>
      <x:c r="I11486" s="0" t="s">
        <x:v>21</x:v>
      </x:c>
      <x:c r="K11486" s="0">
        <x:f>hyperlink("https://icd.who.int/dev11/l-ichi/en#/http%3A%2F%2Fid.who.int%2Ficd%2Fentity%2F1392036490","browser")</x:f>
      </x:c>
      <x:c r="L11486" s="0">
        <x:f>hyperlink("https://icat2.azurewebsites.net/icat/?ontology=ICD&amp;tab=ClassesTab&amp;id=http%3A%2F%2Fwho.int%2Ficd%23SpecificAnatomicLocation_1827","iCat")</x:f>
      </x:c>
      <x:c r="M11486" s="0" t="s">
        <x:v>21</x:v>
      </x:c>
      <x:c r="N11486" s="0" t="s">
        <x:v>46</x:v>
      </x:c>
    </x:row>
    <x:row r="11487" spans="1:16">
      <x:c r="A11487" s="0" t="s">
        <x:v>45071</x:v>
      </x:c>
      <x:c r="B11487" s="0" t="s">
        <x:v>45072</x:v>
      </x:c>
      <x:c r="C11487" s="0" t="s">
        <x:v>42840</x:v>
      </x:c>
      <x:c r="E11487" s="0" t="s">
        <x:v>45073</x:v>
      </x:c>
      <x:c r="F11487" s="0" t="s">
        <x:v>45</x:v>
      </x:c>
      <x:c r="G11487" s="0" t="s">
        <x:v>19</x:v>
      </x:c>
      <x:c r="H11487" s="0" t="s">
        <x:v>20</x:v>
      </x:c>
      <x:c r="I11487" s="0" t="s">
        <x:v>21</x:v>
      </x:c>
      <x:c r="K11487" s="0">
        <x:f>hyperlink("https://icd.who.int/dev11/l-ichi/en#/http%3A%2F%2Fid.who.int%2Ficd%2Fentity%2F1906126134","browser")</x:f>
      </x:c>
      <x:c r="L11487" s="0">
        <x:f>hyperlink("https://icat2.azurewebsites.net/icat/?ontology=ICD&amp;tab=ClassesTab&amp;id=http%3A%2F%2Fwho.int%2Ficd%23SpecificAnatomicLocation_1828","iCat")</x:f>
      </x:c>
      <x:c r="M11487" s="0" t="s">
        <x:v>21</x:v>
      </x:c>
      <x:c r="N11487" s="0" t="s">
        <x:v>46</x:v>
      </x:c>
    </x:row>
    <x:row r="11488" spans="1:16">
      <x:c r="A11488" s="0" t="s">
        <x:v>45074</x:v>
      </x:c>
      <x:c r="B11488" s="0" t="s">
        <x:v>45075</x:v>
      </x:c>
      <x:c r="C11488" s="0" t="s">
        <x:v>42840</x:v>
      </x:c>
      <x:c r="E11488" s="0" t="s">
        <x:v>45076</x:v>
      </x:c>
      <x:c r="F11488" s="0" t="s">
        <x:v>45</x:v>
      </x:c>
      <x:c r="G11488" s="0" t="s">
        <x:v>19</x:v>
      </x:c>
      <x:c r="H11488" s="0" t="s">
        <x:v>20</x:v>
      </x:c>
      <x:c r="I11488" s="0" t="s">
        <x:v>21</x:v>
      </x:c>
      <x:c r="K11488" s="0">
        <x:f>hyperlink("https://icd.who.int/dev11/l-ichi/en#/http%3A%2F%2Fid.who.int%2Ficd%2Fentity%2F1723156982","browser")</x:f>
      </x:c>
      <x:c r="L11488" s="0">
        <x:f>hyperlink("https://icat2.azurewebsites.net/icat/?ontology=ICD&amp;tab=ClassesTab&amp;id=http%3A%2F%2Fwho.int%2Ficd%23SpecificAnatomicLocation_1829","iCat")</x:f>
      </x:c>
      <x:c r="M11488" s="0" t="s">
        <x:v>21</x:v>
      </x:c>
      <x:c r="N11488" s="0" t="s">
        <x:v>46</x:v>
      </x:c>
    </x:row>
    <x:row r="11489" spans="1:16">
      <x:c r="A11489" s="0" t="s">
        <x:v>45077</x:v>
      </x:c>
      <x:c r="B11489" s="0" t="s">
        <x:v>45078</x:v>
      </x:c>
      <x:c r="C11489" s="0" t="s">
        <x:v>42840</x:v>
      </x:c>
      <x:c r="E11489" s="0" t="s">
        <x:v>45079</x:v>
      </x:c>
      <x:c r="F11489" s="0" t="s">
        <x:v>45</x:v>
      </x:c>
      <x:c r="G11489" s="0" t="s">
        <x:v>19</x:v>
      </x:c>
      <x:c r="H11489" s="0" t="s">
        <x:v>20</x:v>
      </x:c>
      <x:c r="I11489" s="0" t="s">
        <x:v>21</x:v>
      </x:c>
      <x:c r="K11489" s="0">
        <x:f>hyperlink("https://icd.who.int/dev11/l-ichi/en#/http%3A%2F%2Fid.who.int%2Ficd%2Fentity%2F1241214483","browser")</x:f>
      </x:c>
      <x:c r="L11489" s="0">
        <x:f>hyperlink("https://icat2.azurewebsites.net/icat/?ontology=ICD&amp;tab=ClassesTab&amp;id=http%3A%2F%2Fwho.int%2Ficd%23SpecificAnatomicLocation_1830","iCat")</x:f>
      </x:c>
      <x:c r="M11489" s="0" t="s">
        <x:v>21</x:v>
      </x:c>
      <x:c r="N11489" s="0" t="s">
        <x:v>46</x:v>
      </x:c>
    </x:row>
    <x:row r="11490" spans="1:16">
      <x:c r="A11490" s="0" t="s">
        <x:v>45080</x:v>
      </x:c>
      <x:c r="B11490" s="0" t="s">
        <x:v>45081</x:v>
      </x:c>
      <x:c r="C11490" s="0" t="s">
        <x:v>42840</x:v>
      </x:c>
      <x:c r="E11490" s="0" t="s">
        <x:v>45082</x:v>
      </x:c>
      <x:c r="F11490" s="0" t="s">
        <x:v>45</x:v>
      </x:c>
      <x:c r="G11490" s="0" t="s">
        <x:v>19</x:v>
      </x:c>
      <x:c r="H11490" s="0" t="s">
        <x:v>20</x:v>
      </x:c>
      <x:c r="I11490" s="0" t="s">
        <x:v>21</x:v>
      </x:c>
      <x:c r="K11490" s="0">
        <x:f>hyperlink("https://icd.who.int/dev11/l-ichi/en#/http%3A%2F%2Fid.who.int%2Ficd%2Fentity%2F41064915","browser")</x:f>
      </x:c>
      <x:c r="L11490" s="0">
        <x:f>hyperlink("https://icat2.azurewebsites.net/icat/?ontology=ICD&amp;tab=ClassesTab&amp;id=http%3A%2F%2Fwho.int%2Ficd%23SpecificAnatomicLocation_1835","iCat")</x:f>
      </x:c>
      <x:c r="M11490" s="0" t="s">
        <x:v>21</x:v>
      </x:c>
      <x:c r="N11490" s="0" t="s">
        <x:v>46</x:v>
      </x:c>
    </x:row>
    <x:row r="11491" spans="1:16">
      <x:c r="A11491" s="0" t="s">
        <x:v>45083</x:v>
      </x:c>
      <x:c r="B11491" s="0" t="s">
        <x:v>45084</x:v>
      </x:c>
      <x:c r="C11491" s="0" t="s">
        <x:v>42840</x:v>
      </x:c>
      <x:c r="E11491" s="0" t="s">
        <x:v>45085</x:v>
      </x:c>
      <x:c r="F11491" s="0" t="s">
        <x:v>45</x:v>
      </x:c>
      <x:c r="G11491" s="0" t="s">
        <x:v>19</x:v>
      </x:c>
      <x:c r="H11491" s="0" t="s">
        <x:v>20</x:v>
      </x:c>
      <x:c r="I11491" s="0" t="s">
        <x:v>21</x:v>
      </x:c>
      <x:c r="K11491" s="0">
        <x:f>hyperlink("https://icd.who.int/dev11/l-ichi/en#/http%3A%2F%2Fid.who.int%2Ficd%2Fentity%2F990524563","browser")</x:f>
      </x:c>
      <x:c r="L11491" s="0">
        <x:f>hyperlink("https://icat2.azurewebsites.net/icat/?ontology=ICD&amp;tab=ClassesTab&amp;id=http%3A%2F%2Fwho.int%2Ficd%23SpecificAnatomicLocation_1836","iCat")</x:f>
      </x:c>
      <x:c r="M11491" s="0" t="s">
        <x:v>21</x:v>
      </x:c>
      <x:c r="N11491" s="0" t="s">
        <x:v>46</x:v>
      </x:c>
    </x:row>
    <x:row r="11492" spans="1:16">
      <x:c r="A11492" s="0" t="s">
        <x:v>45086</x:v>
      </x:c>
      <x:c r="B11492" s="0" t="s">
        <x:v>45087</x:v>
      </x:c>
      <x:c r="C11492" s="0" t="s">
        <x:v>42840</x:v>
      </x:c>
      <x:c r="E11492" s="0" t="s">
        <x:v>45088</x:v>
      </x:c>
      <x:c r="F11492" s="0" t="s">
        <x:v>45</x:v>
      </x:c>
      <x:c r="G11492" s="0" t="s">
        <x:v>19</x:v>
      </x:c>
      <x:c r="H11492" s="0" t="s">
        <x:v>20</x:v>
      </x:c>
      <x:c r="I11492" s="0" t="s">
        <x:v>21</x:v>
      </x:c>
      <x:c r="K11492" s="0">
        <x:f>hyperlink("https://icd.who.int/dev11/l-ichi/en#/http%3A%2F%2Fid.who.int%2Ficd%2Fentity%2F740446291","browser")</x:f>
      </x:c>
      <x:c r="L11492" s="0">
        <x:f>hyperlink("https://icat2.azurewebsites.net/icat/?ontology=ICD&amp;tab=ClassesTab&amp;id=http%3A%2F%2Fwho.int%2Ficd%23SpecificAnatomicLocation_1837","iCat")</x:f>
      </x:c>
      <x:c r="M11492" s="0" t="s">
        <x:v>21</x:v>
      </x:c>
      <x:c r="N11492" s="0" t="s">
        <x:v>46</x:v>
      </x:c>
    </x:row>
    <x:row r="11493" spans="1:16">
      <x:c r="A11493" s="0" t="s">
        <x:v>45089</x:v>
      </x:c>
      <x:c r="B11493" s="0" t="s">
        <x:v>45090</x:v>
      </x:c>
      <x:c r="C11493" s="0" t="s">
        <x:v>42840</x:v>
      </x:c>
      <x:c r="E11493" s="0" t="s">
        <x:v>45091</x:v>
      </x:c>
      <x:c r="F11493" s="0" t="s">
        <x:v>45</x:v>
      </x:c>
      <x:c r="G11493" s="0" t="s">
        <x:v>19</x:v>
      </x:c>
      <x:c r="H11493" s="0" t="s">
        <x:v>20</x:v>
      </x:c>
      <x:c r="I11493" s="0" t="s">
        <x:v>21</x:v>
      </x:c>
      <x:c r="K11493" s="0">
        <x:f>hyperlink("https://icd.who.int/dev11/l-ichi/en#/http%3A%2F%2Fid.who.int%2Ficd%2Fentity%2F256358381","browser")</x:f>
      </x:c>
      <x:c r="L11493" s="0">
        <x:f>hyperlink("https://icat2.azurewebsites.net/icat/?ontology=ICD&amp;tab=ClassesTab&amp;id=http%3A%2F%2Fwho.int%2Ficd%23SpecificAnatomicLocation_1838","iCat")</x:f>
      </x:c>
      <x:c r="M11493" s="0" t="s">
        <x:v>21</x:v>
      </x:c>
      <x:c r="N11493" s="0" t="s">
        <x:v>46</x:v>
      </x:c>
    </x:row>
    <x:row r="11494" spans="1:16">
      <x:c r="A11494" s="0" t="s">
        <x:v>45092</x:v>
      </x:c>
      <x:c r="B11494" s="0" t="s">
        <x:v>45093</x:v>
      </x:c>
      <x:c r="C11494" s="0" t="s">
        <x:v>42840</x:v>
      </x:c>
      <x:c r="E11494" s="0" t="s">
        <x:v>45094</x:v>
      </x:c>
      <x:c r="F11494" s="0" t="s">
        <x:v>45</x:v>
      </x:c>
      <x:c r="G11494" s="0" t="s">
        <x:v>19</x:v>
      </x:c>
      <x:c r="H11494" s="0" t="s">
        <x:v>20</x:v>
      </x:c>
      <x:c r="I11494" s="0" t="s">
        <x:v>21</x:v>
      </x:c>
      <x:c r="K11494" s="0">
        <x:f>hyperlink("https://icd.who.int/dev11/l-ichi/en#/http%3A%2F%2Fid.who.int%2Ficd%2Fentity%2F2028165478","browser")</x:f>
      </x:c>
      <x:c r="L11494" s="0">
        <x:f>hyperlink("https://icat2.azurewebsites.net/icat/?ontology=ICD&amp;tab=ClassesTab&amp;id=http%3A%2F%2Fwho.int%2Ficd%23SpecificAnatomicLocation_1840","iCat")</x:f>
      </x:c>
      <x:c r="M11494" s="0" t="s">
        <x:v>21</x:v>
      </x:c>
      <x:c r="N11494" s="0" t="s">
        <x:v>46</x:v>
      </x:c>
    </x:row>
    <x:row r="11495" spans="1:16">
      <x:c r="A11495" s="0" t="s">
        <x:v>45095</x:v>
      </x:c>
      <x:c r="B11495" s="0" t="s">
        <x:v>45096</x:v>
      </x:c>
      <x:c r="C11495" s="0" t="s">
        <x:v>42840</x:v>
      </x:c>
      <x:c r="E11495" s="0" t="s">
        <x:v>45097</x:v>
      </x:c>
      <x:c r="F11495" s="0" t="s">
        <x:v>45</x:v>
      </x:c>
      <x:c r="G11495" s="0" t="s">
        <x:v>19</x:v>
      </x:c>
      <x:c r="H11495" s="0" t="s">
        <x:v>20</x:v>
      </x:c>
      <x:c r="I11495" s="0" t="s">
        <x:v>21</x:v>
      </x:c>
      <x:c r="K11495" s="0">
        <x:f>hyperlink("https://icd.who.int/dev11/l-ichi/en#/http%3A%2F%2Fid.who.int%2Ficd%2Fentity%2F1875590566","browser")</x:f>
      </x:c>
      <x:c r="L11495" s="0">
        <x:f>hyperlink("https://icat2.azurewebsites.net/icat/?ontology=ICD&amp;tab=ClassesTab&amp;id=http%3A%2F%2Fwho.int%2Ficd%23SpecificAnatomicLocation_1841","iCat")</x:f>
      </x:c>
      <x:c r="M11495" s="0" t="s">
        <x:v>21</x:v>
      </x:c>
      <x:c r="N11495" s="0" t="s">
        <x:v>46</x:v>
      </x:c>
    </x:row>
    <x:row r="11496" spans="1:16">
      <x:c r="A11496" s="0" t="s">
        <x:v>45098</x:v>
      </x:c>
      <x:c r="B11496" s="0" t="s">
        <x:v>45099</x:v>
      </x:c>
      <x:c r="C11496" s="0" t="s">
        <x:v>42840</x:v>
      </x:c>
      <x:c r="E11496" s="0" t="s">
        <x:v>45100</x:v>
      </x:c>
      <x:c r="F11496" s="0" t="s">
        <x:v>45</x:v>
      </x:c>
      <x:c r="G11496" s="0" t="s">
        <x:v>19</x:v>
      </x:c>
      <x:c r="H11496" s="0" t="s">
        <x:v>20</x:v>
      </x:c>
      <x:c r="I11496" s="0" t="s">
        <x:v>21</x:v>
      </x:c>
      <x:c r="K11496" s="0">
        <x:f>hyperlink("https://icd.who.int/dev11/l-ichi/en#/http%3A%2F%2Fid.who.int%2Ficd%2Fentity%2F1100739622","browser")</x:f>
      </x:c>
      <x:c r="L11496" s="0">
        <x:f>hyperlink("https://icat2.azurewebsites.net/icat/?ontology=ICD&amp;tab=ClassesTab&amp;id=http%3A%2F%2Fwho.int%2Ficd%23SpecificAnatomicLocation_1843","iCat")</x:f>
      </x:c>
      <x:c r="M11496" s="0" t="s">
        <x:v>21</x:v>
      </x:c>
      <x:c r="N11496" s="0" t="s">
        <x:v>46</x:v>
      </x:c>
    </x:row>
    <x:row r="11497" spans="1:16">
      <x:c r="A11497" s="0" t="s">
        <x:v>45101</x:v>
      </x:c>
      <x:c r="B11497" s="0" t="s">
        <x:v>45102</x:v>
      </x:c>
      <x:c r="C11497" s="0" t="s">
        <x:v>42840</x:v>
      </x:c>
      <x:c r="E11497" s="0" t="s">
        <x:v>45103</x:v>
      </x:c>
      <x:c r="F11497" s="0" t="s">
        <x:v>45</x:v>
      </x:c>
      <x:c r="G11497" s="0" t="s">
        <x:v>19</x:v>
      </x:c>
      <x:c r="H11497" s="0" t="s">
        <x:v>20</x:v>
      </x:c>
      <x:c r="I11497" s="0" t="s">
        <x:v>21</x:v>
      </x:c>
      <x:c r="K11497" s="0">
        <x:f>hyperlink("https://icd.who.int/dev11/l-ichi/en#/http%3A%2F%2Fid.who.int%2Ficd%2Fentity%2F608356966","browser")</x:f>
      </x:c>
      <x:c r="L11497" s="0">
        <x:f>hyperlink("https://icat2.azurewebsites.net/icat/?ontology=ICD&amp;tab=ClassesTab&amp;id=http%3A%2F%2Fwho.int%2Ficd%23SpecificAnatomicLocation_1844","iCat")</x:f>
      </x:c>
      <x:c r="M11497" s="0" t="s">
        <x:v>21</x:v>
      </x:c>
      <x:c r="N11497" s="0" t="s">
        <x:v>46</x:v>
      </x:c>
    </x:row>
    <x:row r="11498" spans="1:16">
      <x:c r="A11498" s="0" t="s">
        <x:v>45104</x:v>
      </x:c>
      <x:c r="B11498" s="0" t="s">
        <x:v>45105</x:v>
      </x:c>
      <x:c r="C11498" s="0" t="s">
        <x:v>42840</x:v>
      </x:c>
      <x:c r="E11498" s="0" t="s">
        <x:v>45106</x:v>
      </x:c>
      <x:c r="F11498" s="0" t="s">
        <x:v>45</x:v>
      </x:c>
      <x:c r="G11498" s="0" t="s">
        <x:v>19</x:v>
      </x:c>
      <x:c r="H11498" s="0" t="s">
        <x:v>20</x:v>
      </x:c>
      <x:c r="I11498" s="0" t="s">
        <x:v>21</x:v>
      </x:c>
      <x:c r="K11498" s="0">
        <x:f>hyperlink("https://icd.who.int/dev11/l-ichi/en#/http%3A%2F%2Fid.who.int%2Ficd%2Fentity%2F862629542","browser")</x:f>
      </x:c>
      <x:c r="L11498" s="0">
        <x:f>hyperlink("https://icat2.azurewebsites.net/icat/?ontology=ICD&amp;tab=ClassesTab&amp;id=http%3A%2F%2Fwho.int%2Ficd%23SpecificAnatomicLocation_1845","iCat")</x:f>
      </x:c>
      <x:c r="M11498" s="0" t="s">
        <x:v>21</x:v>
      </x:c>
      <x:c r="N11498" s="0" t="s">
        <x:v>46</x:v>
      </x:c>
    </x:row>
    <x:row r="11499" spans="1:16">
      <x:c r="A11499" s="0" t="s">
        <x:v>45107</x:v>
      </x:c>
      <x:c r="B11499" s="0" t="s">
        <x:v>45108</x:v>
      </x:c>
      <x:c r="C11499" s="0" t="s">
        <x:v>42840</x:v>
      </x:c>
      <x:c r="E11499" s="0" t="s">
        <x:v>45109</x:v>
      </x:c>
      <x:c r="F11499" s="0" t="s">
        <x:v>45</x:v>
      </x:c>
      <x:c r="G11499" s="0" t="s">
        <x:v>19</x:v>
      </x:c>
      <x:c r="H11499" s="0" t="s">
        <x:v>20</x:v>
      </x:c>
      <x:c r="I11499" s="0" t="s">
        <x:v>21</x:v>
      </x:c>
      <x:c r="K11499" s="0">
        <x:f>hyperlink("https://icd.who.int/dev11/l-ichi/en#/http%3A%2F%2Fid.who.int%2Ficd%2Fentity%2F1116629394","browser")</x:f>
      </x:c>
      <x:c r="L11499" s="0">
        <x:f>hyperlink("https://icat2.azurewebsites.net/icat/?ontology=ICD&amp;tab=ClassesTab&amp;id=http%3A%2F%2Fwho.int%2Ficd%23SpecificAnatomicLocation_1905","iCat")</x:f>
      </x:c>
      <x:c r="M11499" s="0" t="s">
        <x:v>21</x:v>
      </x:c>
      <x:c r="N11499" s="0" t="s">
        <x:v>46</x:v>
      </x:c>
    </x:row>
    <x:row r="11500" spans="1:16">
      <x:c r="A11500" s="0" t="s">
        <x:v>45110</x:v>
      </x:c>
      <x:c r="B11500" s="0" t="s">
        <x:v>45111</x:v>
      </x:c>
      <x:c r="C11500" s="0" t="s">
        <x:v>42840</x:v>
      </x:c>
      <x:c r="E11500" s="0" t="s">
        <x:v>45112</x:v>
      </x:c>
      <x:c r="F11500" s="0" t="s">
        <x:v>45</x:v>
      </x:c>
      <x:c r="G11500" s="0" t="s">
        <x:v>19</x:v>
      </x:c>
      <x:c r="H11500" s="0" t="s">
        <x:v>20</x:v>
      </x:c>
      <x:c r="I11500" s="0" t="s">
        <x:v>21</x:v>
      </x:c>
      <x:c r="K11500" s="0">
        <x:f>hyperlink("https://icd.who.int/dev11/l-ichi/en#/http%3A%2F%2Fid.who.int%2Ficd%2Fentity%2F168952806","browser")</x:f>
      </x:c>
      <x:c r="L11500" s="0">
        <x:f>hyperlink("https://icat2.azurewebsites.net/icat/?ontology=ICD&amp;tab=ClassesTab&amp;id=http%3A%2F%2Fwho.int%2Ficd%23SpecificAnatomicLocation_1846","iCat")</x:f>
      </x:c>
      <x:c r="M11500" s="0" t="s">
        <x:v>21</x:v>
      </x:c>
      <x:c r="N11500" s="0" t="s">
        <x:v>46</x:v>
      </x:c>
    </x:row>
    <x:row r="11501" spans="1:16">
      <x:c r="A11501" s="0" t="s">
        <x:v>45113</x:v>
      </x:c>
      <x:c r="B11501" s="0" t="s">
        <x:v>45114</x:v>
      </x:c>
      <x:c r="C11501" s="0" t="s">
        <x:v>42840</x:v>
      </x:c>
      <x:c r="E11501" s="0" t="s">
        <x:v>45115</x:v>
      </x:c>
      <x:c r="F11501" s="0" t="s">
        <x:v>45</x:v>
      </x:c>
      <x:c r="G11501" s="0" t="s">
        <x:v>19</x:v>
      </x:c>
      <x:c r="H11501" s="0" t="s">
        <x:v>20</x:v>
      </x:c>
      <x:c r="I11501" s="0" t="s">
        <x:v>21</x:v>
      </x:c>
      <x:c r="K11501" s="0">
        <x:f>hyperlink("https://icd.who.int/dev11/l-ichi/en#/http%3A%2F%2Fid.who.int%2Ficd%2Fentity%2F490366758","browser")</x:f>
      </x:c>
      <x:c r="L11501" s="0">
        <x:f>hyperlink("https://icat2.azurewebsites.net/icat/?ontology=ICD&amp;tab=ClassesTab&amp;id=http%3A%2F%2Fwho.int%2Ficd%23SpecificAnatomicLocation_1847","iCat")</x:f>
      </x:c>
      <x:c r="M11501" s="0" t="s">
        <x:v>21</x:v>
      </x:c>
      <x:c r="N11501" s="0" t="s">
        <x:v>46</x:v>
      </x:c>
    </x:row>
    <x:row r="11502" spans="1:16">
      <x:c r="A11502" s="0" t="s">
        <x:v>45116</x:v>
      </x:c>
      <x:c r="B11502" s="0" t="s">
        <x:v>45117</x:v>
      </x:c>
      <x:c r="C11502" s="0" t="s">
        <x:v>42840</x:v>
      </x:c>
      <x:c r="E11502" s="0" t="s">
        <x:v>45118</x:v>
      </x:c>
      <x:c r="F11502" s="0" t="s">
        <x:v>45</x:v>
      </x:c>
      <x:c r="G11502" s="0" t="s">
        <x:v>19</x:v>
      </x:c>
      <x:c r="H11502" s="0" t="s">
        <x:v>20</x:v>
      </x:c>
      <x:c r="I11502" s="0" t="s">
        <x:v>21</x:v>
      </x:c>
      <x:c r="K11502" s="0">
        <x:f>hyperlink("https://icd.who.int/dev11/l-ichi/en#/http%3A%2F%2Fid.who.int%2Ficd%2Fentity%2F1682594403","browser")</x:f>
      </x:c>
      <x:c r="L11502" s="0">
        <x:f>hyperlink("https://icat2.azurewebsites.net/icat/?ontology=ICD&amp;tab=ClassesTab&amp;id=http%3A%2F%2Fwho.int%2Ficd%23SpecificAnatomicLocation_1925","iCat")</x:f>
      </x:c>
      <x:c r="M11502" s="0" t="s">
        <x:v>21</x:v>
      </x:c>
      <x:c r="N11502" s="0" t="s">
        <x:v>46</x:v>
      </x:c>
    </x:row>
    <x:row r="11503" spans="1:16">
      <x:c r="A11503" s="0" t="s">
        <x:v>45119</x:v>
      </x:c>
      <x:c r="B11503" s="0" t="s">
        <x:v>45120</x:v>
      </x:c>
      <x:c r="C11503" s="0" t="s">
        <x:v>42840</x:v>
      </x:c>
      <x:c r="E11503" s="0" t="s">
        <x:v>45121</x:v>
      </x:c>
      <x:c r="F11503" s="0" t="s">
        <x:v>45</x:v>
      </x:c>
      <x:c r="G11503" s="0" t="s">
        <x:v>19</x:v>
      </x:c>
      <x:c r="H11503" s="0" t="s">
        <x:v>20</x:v>
      </x:c>
      <x:c r="I11503" s="0" t="s">
        <x:v>21</x:v>
      </x:c>
      <x:c r="K11503" s="0">
        <x:f>hyperlink("https://icd.who.int/dev11/l-ichi/en#/http%3A%2F%2Fid.who.int%2Ficd%2Fentity%2F695723098","browser")</x:f>
      </x:c>
      <x:c r="L11503" s="0">
        <x:f>hyperlink("https://icat2.azurewebsites.net/icat/?ontology=ICD&amp;tab=ClassesTab&amp;id=http%3A%2F%2Fwho.int%2Ficd%23SpecificAnatomicLocation_1849","iCat")</x:f>
      </x:c>
      <x:c r="M11503" s="0" t="s">
        <x:v>21</x:v>
      </x:c>
      <x:c r="N11503" s="0" t="s">
        <x:v>46</x:v>
      </x:c>
    </x:row>
    <x:row r="11504" spans="1:16">
      <x:c r="A11504" s="0" t="s">
        <x:v>45122</x:v>
      </x:c>
      <x:c r="B11504" s="0" t="s">
        <x:v>45123</x:v>
      </x:c>
      <x:c r="C11504" s="0" t="s">
        <x:v>42840</x:v>
      </x:c>
      <x:c r="E11504" s="0" t="s">
        <x:v>45124</x:v>
      </x:c>
      <x:c r="F11504" s="0" t="s">
        <x:v>45</x:v>
      </x:c>
      <x:c r="G11504" s="0" t="s">
        <x:v>19</x:v>
      </x:c>
      <x:c r="H11504" s="0" t="s">
        <x:v>20</x:v>
      </x:c>
      <x:c r="I11504" s="0" t="s">
        <x:v>21</x:v>
      </x:c>
      <x:c r="K11504" s="0">
        <x:f>hyperlink("https://icd.who.int/dev11/l-ichi/en#/http%3A%2F%2Fid.who.int%2Ficd%2Fentity%2F1519931581","browser")</x:f>
      </x:c>
      <x:c r="L11504" s="0">
        <x:f>hyperlink("https://icat2.azurewebsites.net/icat/?ontology=ICD&amp;tab=ClassesTab&amp;id=http%3A%2F%2Fwho.int%2Ficd%23SpecificAnatomicLocation_1854","iCat")</x:f>
      </x:c>
      <x:c r="M11504" s="0" t="s">
        <x:v>21</x:v>
      </x:c>
      <x:c r="N11504" s="0" t="s">
        <x:v>46</x:v>
      </x:c>
    </x:row>
    <x:row r="11505" spans="1:16">
      <x:c r="A11505" s="0" t="s">
        <x:v>45125</x:v>
      </x:c>
      <x:c r="B11505" s="0" t="s">
        <x:v>45126</x:v>
      </x:c>
      <x:c r="C11505" s="0" t="s">
        <x:v>42840</x:v>
      </x:c>
      <x:c r="E11505" s="0" t="s">
        <x:v>45127</x:v>
      </x:c>
      <x:c r="F11505" s="0" t="s">
        <x:v>45</x:v>
      </x:c>
      <x:c r="G11505" s="0" t="s">
        <x:v>19</x:v>
      </x:c>
      <x:c r="H11505" s="0" t="s">
        <x:v>20</x:v>
      </x:c>
      <x:c r="I11505" s="0" t="s">
        <x:v>21</x:v>
      </x:c>
      <x:c r="K11505" s="0">
        <x:f>hyperlink("https://icd.who.int/dev11/l-ichi/en#/http%3A%2F%2Fid.who.int%2Ficd%2Fentity%2F1303393405","browser")</x:f>
      </x:c>
      <x:c r="L11505" s="0">
        <x:f>hyperlink("https://icat2.azurewebsites.net/icat/?ontology=ICD&amp;tab=ClassesTab&amp;id=http%3A%2F%2Fwho.int%2Ficd%23SpecificAnatomicLocation_1855","iCat")</x:f>
      </x:c>
      <x:c r="M11505" s="0" t="s">
        <x:v>21</x:v>
      </x:c>
      <x:c r="N11505" s="0" t="s">
        <x:v>46</x:v>
      </x:c>
    </x:row>
    <x:row r="11506" spans="1:16">
      <x:c r="A11506" s="0" t="s">
        <x:v>45128</x:v>
      </x:c>
      <x:c r="B11506" s="0" t="s">
        <x:v>45129</x:v>
      </x:c>
      <x:c r="C11506" s="0" t="s">
        <x:v>42840</x:v>
      </x:c>
      <x:c r="E11506" s="0" t="s">
        <x:v>45130</x:v>
      </x:c>
      <x:c r="F11506" s="0" t="s">
        <x:v>45</x:v>
      </x:c>
      <x:c r="G11506" s="0" t="s">
        <x:v>19</x:v>
      </x:c>
      <x:c r="H11506" s="0" t="s">
        <x:v>20</x:v>
      </x:c>
      <x:c r="I11506" s="0" t="s">
        <x:v>21</x:v>
      </x:c>
      <x:c r="K11506" s="0">
        <x:f>hyperlink("https://icd.who.int/dev11/l-ichi/en#/http%3A%2F%2Fid.who.int%2Ficd%2Fentity%2F1959303485","browser")</x:f>
      </x:c>
      <x:c r="L11506" s="0">
        <x:f>hyperlink("https://icat2.azurewebsites.net/icat/?ontology=ICD&amp;tab=ClassesTab&amp;id=http%3A%2F%2Fwho.int%2Ficd%23SpecificAnatomicLocation_1856","iCat")</x:f>
      </x:c>
      <x:c r="M11506" s="0" t="s">
        <x:v>21</x:v>
      </x:c>
      <x:c r="N11506" s="0" t="s">
        <x:v>46</x:v>
      </x:c>
    </x:row>
    <x:row r="11507" spans="1:16">
      <x:c r="A11507" s="0" t="s">
        <x:v>45131</x:v>
      </x:c>
      <x:c r="B11507" s="0" t="s">
        <x:v>45132</x:v>
      </x:c>
      <x:c r="C11507" s="0" t="s">
        <x:v>42840</x:v>
      </x:c>
      <x:c r="E11507" s="0" t="s">
        <x:v>45133</x:v>
      </x:c>
      <x:c r="F11507" s="0" t="s">
        <x:v>45</x:v>
      </x:c>
      <x:c r="G11507" s="0" t="s">
        <x:v>19</x:v>
      </x:c>
      <x:c r="H11507" s="0" t="s">
        <x:v>20</x:v>
      </x:c>
      <x:c r="I11507" s="0" t="s">
        <x:v>21</x:v>
      </x:c>
      <x:c r="K11507" s="0">
        <x:f>hyperlink("https://icd.who.int/dev11/l-ichi/en#/http%3A%2F%2Fid.who.int%2Ficd%2Fentity%2F1675689469","browser")</x:f>
      </x:c>
      <x:c r="L11507" s="0">
        <x:f>hyperlink("https://icat2.azurewebsites.net/icat/?ontology=ICD&amp;tab=ClassesTab&amp;id=http%3A%2F%2Fwho.int%2Ficd%23SpecificAnatomicLocation_1857","iCat")</x:f>
      </x:c>
      <x:c r="M11507" s="0" t="s">
        <x:v>21</x:v>
      </x:c>
      <x:c r="N11507" s="0" t="s">
        <x:v>46</x:v>
      </x:c>
    </x:row>
    <x:row r="11508" spans="1:16">
      <x:c r="A11508" s="0" t="s">
        <x:v>45134</x:v>
      </x:c>
      <x:c r="B11508" s="0" t="s">
        <x:v>45135</x:v>
      </x:c>
      <x:c r="C11508" s="0" t="s">
        <x:v>42840</x:v>
      </x:c>
      <x:c r="E11508" s="0" t="s">
        <x:v>45136</x:v>
      </x:c>
      <x:c r="F11508" s="0" t="s">
        <x:v>45</x:v>
      </x:c>
      <x:c r="G11508" s="0" t="s">
        <x:v>19</x:v>
      </x:c>
      <x:c r="H11508" s="0" t="s">
        <x:v>20</x:v>
      </x:c>
      <x:c r="I11508" s="0" t="s">
        <x:v>21</x:v>
      </x:c>
      <x:c r="K11508" s="0">
        <x:f>hyperlink("https://icd.who.int/dev11/l-ichi/en#/http%3A%2F%2Fid.who.int%2Ficd%2Fentity%2F1082464835","browser")</x:f>
      </x:c>
      <x:c r="L11508" s="0">
        <x:f>hyperlink("https://icat2.azurewebsites.net/icat/?ontology=ICD&amp;tab=ClassesTab&amp;id=http%3A%2F%2Fwho.int%2Ficd%23SpecificAnatomicLocation_1858","iCat")</x:f>
      </x:c>
      <x:c r="M11508" s="0" t="s">
        <x:v>21</x:v>
      </x:c>
      <x:c r="N11508" s="0" t="s">
        <x:v>46</x:v>
      </x:c>
    </x:row>
    <x:row r="11509" spans="1:16">
      <x:c r="A11509" s="0" t="s">
        <x:v>45137</x:v>
      </x:c>
      <x:c r="B11509" s="0" t="s">
        <x:v>45138</x:v>
      </x:c>
      <x:c r="C11509" s="0" t="s">
        <x:v>42840</x:v>
      </x:c>
      <x:c r="E11509" s="0" t="s">
        <x:v>45139</x:v>
      </x:c>
      <x:c r="F11509" s="0" t="s">
        <x:v>45</x:v>
      </x:c>
      <x:c r="G11509" s="0" t="s">
        <x:v>19</x:v>
      </x:c>
      <x:c r="H11509" s="0" t="s">
        <x:v>20</x:v>
      </x:c>
      <x:c r="I11509" s="0" t="s">
        <x:v>21</x:v>
      </x:c>
      <x:c r="K11509" s="0">
        <x:f>hyperlink("https://icd.who.int/dev11/l-ichi/en#/http%3A%2F%2Fid.who.int%2Ficd%2Fentity%2F1470987907","browser")</x:f>
      </x:c>
      <x:c r="L11509" s="0">
        <x:f>hyperlink("https://icat2.azurewebsites.net/icat/?ontology=ICD&amp;tab=ClassesTab&amp;id=http%3A%2F%2Fwho.int%2Ficd%23SpecificAnatomicLocation_1859","iCat")</x:f>
      </x:c>
      <x:c r="M11509" s="0" t="s">
        <x:v>21</x:v>
      </x:c>
      <x:c r="N11509" s="0" t="s">
        <x:v>46</x:v>
      </x:c>
    </x:row>
    <x:row r="11510" spans="1:16">
      <x:c r="A11510" s="0" t="s">
        <x:v>45140</x:v>
      </x:c>
      <x:c r="B11510" s="0" t="s">
        <x:v>45141</x:v>
      </x:c>
      <x:c r="C11510" s="0" t="s">
        <x:v>42840</x:v>
      </x:c>
      <x:c r="E11510" s="0" t="s">
        <x:v>45142</x:v>
      </x:c>
      <x:c r="F11510" s="0" t="s">
        <x:v>45</x:v>
      </x:c>
      <x:c r="G11510" s="0" t="s">
        <x:v>19</x:v>
      </x:c>
      <x:c r="H11510" s="0" t="s">
        <x:v>20</x:v>
      </x:c>
      <x:c r="I11510" s="0" t="s">
        <x:v>21</x:v>
      </x:c>
      <x:c r="K11510" s="0">
        <x:f>hyperlink("https://icd.who.int/dev11/l-ichi/en#/http%3A%2F%2Fid.who.int%2Ficd%2Fentity%2F1579641493","browser")</x:f>
      </x:c>
      <x:c r="L11510" s="0">
        <x:f>hyperlink("https://icat2.azurewebsites.net/icat/?ontology=ICD&amp;tab=ClassesTab&amp;id=http%3A%2F%2Fwho.int%2Ficd%23SpecificAnatomicLocation_1860","iCat")</x:f>
      </x:c>
      <x:c r="M11510" s="0" t="s">
        <x:v>21</x:v>
      </x:c>
      <x:c r="N11510" s="0" t="s">
        <x:v>46</x:v>
      </x:c>
    </x:row>
    <x:row r="11511" spans="1:16">
      <x:c r="A11511" s="0" t="s">
        <x:v>45143</x:v>
      </x:c>
      <x:c r="B11511" s="0" t="s">
        <x:v>45144</x:v>
      </x:c>
      <x:c r="C11511" s="0" t="s">
        <x:v>42840</x:v>
      </x:c>
      <x:c r="E11511" s="0" t="s">
        <x:v>45145</x:v>
      </x:c>
      <x:c r="F11511" s="0" t="s">
        <x:v>45</x:v>
      </x:c>
      <x:c r="G11511" s="0" t="s">
        <x:v>19</x:v>
      </x:c>
      <x:c r="H11511" s="0" t="s">
        <x:v>20</x:v>
      </x:c>
      <x:c r="I11511" s="0" t="s">
        <x:v>21</x:v>
      </x:c>
      <x:c r="K11511" s="0">
        <x:f>hyperlink("https://icd.who.int/dev11/l-ichi/en#/http%3A%2F%2Fid.who.int%2Ficd%2Fentity%2F1225723477","browser")</x:f>
      </x:c>
      <x:c r="L11511" s="0">
        <x:f>hyperlink("https://icat2.azurewebsites.net/icat/?ontology=ICD&amp;tab=ClassesTab&amp;id=http%3A%2F%2Fwho.int%2Ficd%23SpecificAnatomicLocation_1861","iCat")</x:f>
      </x:c>
      <x:c r="M11511" s="0" t="s">
        <x:v>21</x:v>
      </x:c>
      <x:c r="N11511" s="0" t="s">
        <x:v>46</x:v>
      </x:c>
    </x:row>
    <x:row r="11512" spans="1:16">
      <x:c r="A11512" s="0" t="s">
        <x:v>45146</x:v>
      </x:c>
      <x:c r="B11512" s="0" t="s">
        <x:v>45147</x:v>
      </x:c>
      <x:c r="C11512" s="0" t="s">
        <x:v>42840</x:v>
      </x:c>
      <x:c r="E11512" s="0" t="s">
        <x:v>45148</x:v>
      </x:c>
      <x:c r="F11512" s="0" t="s">
        <x:v>45</x:v>
      </x:c>
      <x:c r="G11512" s="0" t="s">
        <x:v>19</x:v>
      </x:c>
      <x:c r="H11512" s="0" t="s">
        <x:v>20</x:v>
      </x:c>
      <x:c r="I11512" s="0" t="s">
        <x:v>21</x:v>
      </x:c>
      <x:c r="K11512" s="0">
        <x:f>hyperlink("https://icd.who.int/dev11/l-ichi/en#/http%3A%2F%2Fid.who.int%2Ficd%2Fentity%2F1734330325","browser")</x:f>
      </x:c>
      <x:c r="L11512" s="0">
        <x:f>hyperlink("https://icat2.azurewebsites.net/icat/?ontology=ICD&amp;tab=ClassesTab&amp;id=http%3A%2F%2Fwho.int%2Ficd%23SpecificAnatomicLocation_1863","iCat")</x:f>
      </x:c>
      <x:c r="M11512" s="0" t="s">
        <x:v>21</x:v>
      </x:c>
      <x:c r="N11512" s="0" t="s">
        <x:v>46</x:v>
      </x:c>
    </x:row>
    <x:row r="11513" spans="1:16">
      <x:c r="A11513" s="0" t="s">
        <x:v>45149</x:v>
      </x:c>
      <x:c r="B11513" s="0" t="s">
        <x:v>45150</x:v>
      </x:c>
      <x:c r="C11513" s="0" t="s">
        <x:v>42840</x:v>
      </x:c>
      <x:c r="E11513" s="0" t="s">
        <x:v>45151</x:v>
      </x:c>
      <x:c r="F11513" s="0" t="s">
        <x:v>45</x:v>
      </x:c>
      <x:c r="G11513" s="0" t="s">
        <x:v>19</x:v>
      </x:c>
      <x:c r="H11513" s="0" t="s">
        <x:v>20</x:v>
      </x:c>
      <x:c r="I11513" s="0" t="s">
        <x:v>21</x:v>
      </x:c>
      <x:c r="K11513" s="0">
        <x:f>hyperlink("https://icd.who.int/dev11/l-ichi/en#/http%3A%2F%2Fid.who.int%2Ficd%2Fentity%2F42400149","browser")</x:f>
      </x:c>
      <x:c r="L11513" s="0">
        <x:f>hyperlink("https://icat2.azurewebsites.net/icat/?ontology=ICD&amp;tab=ClassesTab&amp;id=http%3A%2F%2Fwho.int%2Ficd%23SpecificAnatomicLocation_1864","iCat")</x:f>
      </x:c>
      <x:c r="M11513" s="0" t="s">
        <x:v>21</x:v>
      </x:c>
      <x:c r="N11513" s="0" t="s">
        <x:v>46</x:v>
      </x:c>
    </x:row>
    <x:row r="11514" spans="1:16">
      <x:c r="A11514" s="0" t="s">
        <x:v>45152</x:v>
      </x:c>
      <x:c r="B11514" s="0" t="s">
        <x:v>45153</x:v>
      </x:c>
      <x:c r="C11514" s="0" t="s">
        <x:v>42840</x:v>
      </x:c>
      <x:c r="E11514" s="0" t="s">
        <x:v>45154</x:v>
      </x:c>
      <x:c r="F11514" s="0" t="s">
        <x:v>45</x:v>
      </x:c>
      <x:c r="G11514" s="0" t="s">
        <x:v>19</x:v>
      </x:c>
      <x:c r="H11514" s="0" t="s">
        <x:v>20</x:v>
      </x:c>
      <x:c r="I11514" s="0" t="s">
        <x:v>21</x:v>
      </x:c>
      <x:c r="K11514" s="0">
        <x:f>hyperlink("https://icd.who.int/dev11/l-ichi/en#/http%3A%2F%2Fid.who.int%2Ficd%2Fentity%2F363765077","browser")</x:f>
      </x:c>
      <x:c r="L11514" s="0">
        <x:f>hyperlink("https://icat2.azurewebsites.net/icat/?ontology=ICD&amp;tab=ClassesTab&amp;id=http%3A%2F%2Fwho.int%2Ficd%23SpecificAnatomicLocation_1865","iCat")</x:f>
      </x:c>
      <x:c r="M11514" s="0" t="s">
        <x:v>21</x:v>
      </x:c>
      <x:c r="N11514" s="0" t="s">
        <x:v>46</x:v>
      </x:c>
    </x:row>
    <x:row r="11515" spans="1:16">
      <x:c r="A11515" s="0" t="s">
        <x:v>45155</x:v>
      </x:c>
      <x:c r="B11515" s="0" t="s">
        <x:v>45156</x:v>
      </x:c>
      <x:c r="C11515" s="0" t="s">
        <x:v>42840</x:v>
      </x:c>
      <x:c r="E11515" s="0" t="s">
        <x:v>45157</x:v>
      </x:c>
      <x:c r="F11515" s="0" t="s">
        <x:v>45</x:v>
      </x:c>
      <x:c r="G11515" s="0" t="s">
        <x:v>19</x:v>
      </x:c>
      <x:c r="H11515" s="0" t="s">
        <x:v>20</x:v>
      </x:c>
      <x:c r="I11515" s="0" t="s">
        <x:v>21</x:v>
      </x:c>
      <x:c r="K11515" s="0">
        <x:f>hyperlink("https://icd.who.int/dev11/l-ichi/en#/http%3A%2F%2Fid.who.int%2Ficd%2Fentity%2F752234517","browser")</x:f>
      </x:c>
      <x:c r="L11515" s="0">
        <x:f>hyperlink("https://icat2.azurewebsites.net/icat/?ontology=ICD&amp;tab=ClassesTab&amp;id=http%3A%2F%2Fwho.int%2Ficd%23SpecificAnatomicLocation_1866","iCat")</x:f>
      </x:c>
      <x:c r="M11515" s="0" t="s">
        <x:v>21</x:v>
      </x:c>
      <x:c r="N11515" s="0" t="s">
        <x:v>46</x:v>
      </x:c>
    </x:row>
    <x:row r="11516" spans="1:16">
      <x:c r="A11516" s="0" t="s">
        <x:v>45158</x:v>
      </x:c>
      <x:c r="B11516" s="0" t="s">
        <x:v>45159</x:v>
      </x:c>
      <x:c r="C11516" s="0" t="s">
        <x:v>42840</x:v>
      </x:c>
      <x:c r="E11516" s="0" t="s">
        <x:v>45160</x:v>
      </x:c>
      <x:c r="F11516" s="0" t="s">
        <x:v>45</x:v>
      </x:c>
      <x:c r="G11516" s="0" t="s">
        <x:v>19</x:v>
      </x:c>
      <x:c r="H11516" s="0" t="s">
        <x:v>20</x:v>
      </x:c>
      <x:c r="I11516" s="0" t="s">
        <x:v>21</x:v>
      </x:c>
      <x:c r="K11516" s="0">
        <x:f>hyperlink("https://icd.who.int/dev11/l-ichi/en#/http%3A%2F%2Fid.who.int%2Ficd%2Fentity%2F1006523605","browser")</x:f>
      </x:c>
      <x:c r="L11516" s="0">
        <x:f>hyperlink("https://icat2.azurewebsites.net/icat/?ontology=ICD&amp;tab=ClassesTab&amp;id=http%3A%2F%2Fwho.int%2Ficd%23SpecificAnatomicLocation_1867","iCat")</x:f>
      </x:c>
      <x:c r="M11516" s="0" t="s">
        <x:v>21</x:v>
      </x:c>
      <x:c r="N11516" s="0" t="s">
        <x:v>46</x:v>
      </x:c>
    </x:row>
    <x:row r="11517" spans="1:16">
      <x:c r="A11517" s="0" t="s">
        <x:v>45161</x:v>
      </x:c>
      <x:c r="B11517" s="0" t="s">
        <x:v>45162</x:v>
      </x:c>
      <x:c r="C11517" s="0" t="s">
        <x:v>42840</x:v>
      </x:c>
      <x:c r="E11517" s="0" t="s">
        <x:v>45163</x:v>
      </x:c>
      <x:c r="F11517" s="0" t="s">
        <x:v>45</x:v>
      </x:c>
      <x:c r="G11517" s="0" t="s">
        <x:v>19</x:v>
      </x:c>
      <x:c r="H11517" s="0" t="s">
        <x:v>20</x:v>
      </x:c>
      <x:c r="I11517" s="0" t="s">
        <x:v>21</x:v>
      </x:c>
      <x:c r="K11517" s="0">
        <x:f>hyperlink("https://icd.who.int/dev11/l-ichi/en#/http%3A%2F%2Fid.who.int%2Ficd%2Fentity%2F412857195","browser")</x:f>
      </x:c>
      <x:c r="L11517" s="0">
        <x:f>hyperlink("https://icat2.azurewebsites.net/icat/?ontology=ICD&amp;tab=ClassesTab&amp;id=http%3A%2F%2Fwho.int%2Ficd%23SpecificAnatomicLocation_1868","iCat")</x:f>
      </x:c>
      <x:c r="M11517" s="0" t="s">
        <x:v>21</x:v>
      </x:c>
      <x:c r="N11517" s="0" t="s">
        <x:v>46</x:v>
      </x:c>
    </x:row>
    <x:row r="11518" spans="1:16">
      <x:c r="A11518" s="0" t="s">
        <x:v>45164</x:v>
      </x:c>
      <x:c r="B11518" s="0" t="s">
        <x:v>45165</x:v>
      </x:c>
      <x:c r="C11518" s="0" t="s">
        <x:v>42840</x:v>
      </x:c>
      <x:c r="E11518" s="0" t="s">
        <x:v>45166</x:v>
      </x:c>
      <x:c r="F11518" s="0" t="s">
        <x:v>45</x:v>
      </x:c>
      <x:c r="G11518" s="0" t="s">
        <x:v>19</x:v>
      </x:c>
      <x:c r="H11518" s="0" t="s">
        <x:v>20</x:v>
      </x:c>
      <x:c r="I11518" s="0" t="s">
        <x:v>21</x:v>
      </x:c>
      <x:c r="K11518" s="0">
        <x:f>hyperlink("https://icd.who.int/dev11/l-ichi/en#/http%3A%2F%2Fid.who.int%2Ficd%2Fentity%2F263444395","browser")</x:f>
      </x:c>
      <x:c r="L11518" s="0">
        <x:f>hyperlink("https://icat2.azurewebsites.net/icat/?ontology=ICD&amp;tab=ClassesTab&amp;id=http%3A%2F%2Fwho.int%2Ficd%23SpecificAnatomicLocation_1869","iCat")</x:f>
      </x:c>
      <x:c r="M11518" s="0" t="s">
        <x:v>21</x:v>
      </x:c>
      <x:c r="N11518" s="0" t="s">
        <x:v>46</x:v>
      </x:c>
    </x:row>
    <x:row r="11519" spans="1:16">
      <x:c r="A11519" s="0" t="s">
        <x:v>45167</x:v>
      </x:c>
      <x:c r="B11519" s="0" t="s">
        <x:v>45168</x:v>
      </x:c>
      <x:c r="C11519" s="0" t="s">
        <x:v>42840</x:v>
      </x:c>
      <x:c r="E11519" s="0" t="s">
        <x:v>45169</x:v>
      </x:c>
      <x:c r="F11519" s="0" t="s">
        <x:v>45</x:v>
      </x:c>
      <x:c r="G11519" s="0" t="s">
        <x:v>19</x:v>
      </x:c>
      <x:c r="H11519" s="0" t="s">
        <x:v>20</x:v>
      </x:c>
      <x:c r="I11519" s="0" t="s">
        <x:v>21</x:v>
      </x:c>
      <x:c r="K11519" s="0">
        <x:f>hyperlink("https://icd.who.int/dev11/l-ichi/en#/http%3A%2F%2Fid.who.int%2Ficd%2Fentity%2F246233550","browser")</x:f>
      </x:c>
      <x:c r="L11519" s="0">
        <x:f>hyperlink("https://icat2.azurewebsites.net/icat/?ontology=ICD&amp;tab=ClassesTab&amp;id=http%3A%2F%2Fwho.int%2Ficd%23SpecificAnatomicLocation_1872","iCat")</x:f>
      </x:c>
      <x:c r="M11519" s="0" t="s">
        <x:v>21</x:v>
      </x:c>
      <x:c r="N11519" s="0" t="s">
        <x:v>46</x:v>
      </x:c>
    </x:row>
    <x:row r="11520" spans="1:16">
      <x:c r="A11520" s="0" t="s">
        <x:v>45170</x:v>
      </x:c>
      <x:c r="B11520" s="0" t="s">
        <x:v>45171</x:v>
      </x:c>
      <x:c r="D11520" s="0" t="s">
        <x:v>44502</x:v>
      </x:c>
      <x:c r="E11520" s="0" t="s">
        <x:v>45172</x:v>
      </x:c>
      <x:c r="F11520" s="0" t="s">
        <x:v>26</x:v>
      </x:c>
      <x:c r="G11520" s="0" t="s">
        <x:v>35</x:v>
      </x:c>
      <x:c r="H11520" s="0" t="s">
        <x:v>20</x:v>
      </x:c>
      <x:c r="I11520" s="0" t="s">
        <x:v>21</x:v>
      </x:c>
      <x:c r="K11520" s="0">
        <x:f>hyperlink("https://icd.who.int/dev11/l-ichi/en#/http%3A%2F%2Fid.who.int%2Ficd%2Fentity%2F358111161","browser")</x:f>
      </x:c>
      <x:c r="L11520" s="0">
        <x:f>hyperlink("https://icat2.azurewebsites.net/icat/?ontology=ICD&amp;tab=ClassesTab&amp;id=http%3A%2F%2Fwho.int%2Ficd%23SpecificAnatomicLocation_1009","iCat")</x:f>
      </x:c>
      <x:c r="M11520" s="0" t="s">
        <x:v>20</x:v>
      </x:c>
      <x:c r="N11520" s="0" t="s">
        <x:v>30</x:v>
      </x:c>
    </x:row>
    <x:row r="11521" spans="1:16">
      <x:c r="A11521" s="0" t="s">
        <x:v>45173</x:v>
      </x:c>
      <x:c r="B11521" s="0" t="s">
        <x:v>45174</x:v>
      </x:c>
      <x:c r="C11521" s="0" t="s">
        <x:v>42840</x:v>
      </x:c>
      <x:c r="E11521" s="0" t="s">
        <x:v>45175</x:v>
      </x:c>
      <x:c r="F11521" s="0" t="s">
        <x:v>45</x:v>
      </x:c>
      <x:c r="G11521" s="0" t="s">
        <x:v>19</x:v>
      </x:c>
      <x:c r="H11521" s="0" t="s">
        <x:v>20</x:v>
      </x:c>
      <x:c r="I11521" s="0" t="s">
        <x:v>21</x:v>
      </x:c>
      <x:c r="K11521" s="0">
        <x:f>hyperlink("https://icd.who.int/dev11/l-ichi/en#/http%3A%2F%2Fid.who.int%2Ficd%2Fentity%2F28784496","browser")</x:f>
      </x:c>
      <x:c r="L11521" s="0">
        <x:f>hyperlink("https://icat2.azurewebsites.net/icat/?ontology=ICD&amp;tab=ClassesTab&amp;id=http%3A%2F%2Fwho.int%2Ficd%235925_16e67c35_8b57_40bb_9220_818553425a8c","iCat")</x:f>
      </x:c>
      <x:c r="M11521" s="0" t="s">
        <x:v>20</x:v>
      </x:c>
      <x:c r="N11521" s="0" t="s">
        <x:v>22</x:v>
      </x:c>
    </x:row>
    <x:row r="11522" spans="1:16">
      <x:c r="A11522" s="0" t="s">
        <x:v>45176</x:v>
      </x:c>
      <x:c r="B11522" s="0" t="s">
        <x:v>45177</x:v>
      </x:c>
      <x:c r="C11522" s="0" t="s">
        <x:v>42840</x:v>
      </x:c>
      <x:c r="E11522" s="0" t="s">
        <x:v>45178</x:v>
      </x:c>
      <x:c r="F11522" s="0" t="s">
        <x:v>45</x:v>
      </x:c>
      <x:c r="G11522" s="0" t="s">
        <x:v>30</x:v>
      </x:c>
      <x:c r="H11522" s="0" t="s">
        <x:v>20</x:v>
      </x:c>
      <x:c r="I11522" s="0" t="s">
        <x:v>21</x:v>
      </x:c>
      <x:c r="K11522" s="0">
        <x:f>hyperlink("https://icd.who.int/dev11/l-ichi/en#/http%3A%2F%2Fid.who.int%2Ficd%2Fentity%2F1223272140","browser")</x:f>
      </x:c>
      <x:c r="L11522" s="0">
        <x:f>hyperlink("https://icat2.azurewebsites.net/icat/?ontology=ICD&amp;tab=ClassesTab&amp;id=http%3A%2F%2Fwho.int%2Ficd%233778_d9027f82_5e3d_47a4_a6fe_3c65954dde3a","iCat")</x:f>
      </x:c>
      <x:c r="M11522" s="0" t="s">
        <x:v>21</x:v>
      </x:c>
      <x:c r="N11522" s="0" t="s">
        <x:v>46</x:v>
      </x:c>
    </x:row>
    <x:row r="11523" spans="1:16">
      <x:c r="A11523" s="0" t="s">
        <x:v>45179</x:v>
      </x:c>
      <x:c r="B11523" s="0" t="s">
        <x:v>45180</x:v>
      </x:c>
      <x:c r="C11523" s="0" t="s">
        <x:v>42840</x:v>
      </x:c>
      <x:c r="E11523" s="0" t="s">
        <x:v>45181</x:v>
      </x:c>
      <x:c r="F11523" s="0" t="s">
        <x:v>45</x:v>
      </x:c>
      <x:c r="G11523" s="0" t="s">
        <x:v>30</x:v>
      </x:c>
      <x:c r="H11523" s="0" t="s">
        <x:v>20</x:v>
      </x:c>
      <x:c r="I11523" s="0" t="s">
        <x:v>21</x:v>
      </x:c>
      <x:c r="K11523" s="0">
        <x:f>hyperlink("https://icd.who.int/dev11/l-ichi/en#/http%3A%2F%2Fid.who.int%2Ficd%2Fentity%2F628961459","browser")</x:f>
      </x:c>
      <x:c r="L11523" s="0">
        <x:f>hyperlink("https://icat2.azurewebsites.net/icat/?ontology=ICD&amp;tab=ClassesTab&amp;id=http%3A%2F%2Fwho.int%2Ficd%23SpecificAnatomicLocation_2953","iCat")</x:f>
      </x:c>
      <x:c r="M11523" s="0" t="s">
        <x:v>20</x:v>
      </x:c>
      <x:c r="N11523" s="0" t="s">
        <x:v>30</x:v>
      </x:c>
    </x:row>
    <x:row r="11524" spans="1:16">
      <x:c r="A11524" s="0" t="s">
        <x:v>45182</x:v>
      </x:c>
      <x:c r="B11524" s="0" t="s">
        <x:v>45183</x:v>
      </x:c>
      <x:c r="C11524" s="0" t="s">
        <x:v>42840</x:v>
      </x:c>
      <x:c r="E11524" s="0" t="s">
        <x:v>45184</x:v>
      </x:c>
      <x:c r="F11524" s="0" t="s">
        <x:v>45</x:v>
      </x:c>
      <x:c r="G11524" s="0" t="s">
        <x:v>35</x:v>
      </x:c>
      <x:c r="H11524" s="0" t="s">
        <x:v>20</x:v>
      </x:c>
      <x:c r="I11524" s="0" t="s">
        <x:v>21</x:v>
      </x:c>
      <x:c r="K11524" s="0">
        <x:f>hyperlink("https://icd.who.int/dev11/l-ichi/en#/http%3A%2F%2Fid.who.int%2Ficd%2Fentity%2F466248034","browser")</x:f>
      </x:c>
      <x:c r="L11524" s="0">
        <x:f>hyperlink("https://icat2.azurewebsites.net/icat/?ontology=ICD&amp;tab=ClassesTab&amp;id=http%3A%2F%2Fwho.int%2Ficd%236011_16e67c35_8b57_40bb_9220_818553425a8c","iCat")</x:f>
      </x:c>
      <x:c r="M11524" s="0" t="s">
        <x:v>21</x:v>
      </x:c>
      <x:c r="N11524" s="0" t="s">
        <x:v>46</x:v>
      </x:c>
    </x:row>
    <x:row r="11525" spans="1:16">
      <x:c r="A11525" s="0" t="s">
        <x:v>45185</x:v>
      </x:c>
      <x:c r="B11525" s="0" t="s">
        <x:v>45186</x:v>
      </x:c>
      <x:c r="C11525" s="0" t="s">
        <x:v>42840</x:v>
      </x:c>
      <x:c r="E11525" s="0" t="s">
        <x:v>45187</x:v>
      </x:c>
      <x:c r="F11525" s="0" t="s">
        <x:v>45</x:v>
      </x:c>
      <x:c r="G11525" s="0" t="s">
        <x:v>35</x:v>
      </x:c>
      <x:c r="H11525" s="0" t="s">
        <x:v>20</x:v>
      </x:c>
      <x:c r="I11525" s="0" t="s">
        <x:v>21</x:v>
      </x:c>
      <x:c r="K11525" s="0">
        <x:f>hyperlink("https://icd.who.int/dev11/l-ichi/en#/http%3A%2F%2Fid.who.int%2Ficd%2Fentity%2F289916430","browser")</x:f>
      </x:c>
      <x:c r="L11525" s="0">
        <x:f>hyperlink("https://icat2.azurewebsites.net/icat/?ontology=ICD&amp;tab=ClassesTab&amp;id=http%3A%2F%2Fwho.int%2Ficd%236030_16e67c35_8b57_40bb_9220_818553425a8c","iCat")</x:f>
      </x:c>
      <x:c r="M11525" s="0" t="s">
        <x:v>21</x:v>
      </x:c>
      <x:c r="N11525" s="0" t="s">
        <x:v>46</x:v>
      </x:c>
    </x:row>
    <x:row r="11526" spans="1:16">
      <x:c r="A11526" s="0" t="s">
        <x:v>45188</x:v>
      </x:c>
      <x:c r="B11526" s="0" t="s">
        <x:v>45189</x:v>
      </x:c>
      <x:c r="C11526" s="0" t="s">
        <x:v>42840</x:v>
      </x:c>
      <x:c r="E11526" s="0" t="s">
        <x:v>45190</x:v>
      </x:c>
      <x:c r="F11526" s="0" t="s">
        <x:v>45</x:v>
      </x:c>
      <x:c r="G11526" s="0" t="s">
        <x:v>30</x:v>
      </x:c>
      <x:c r="H11526" s="0" t="s">
        <x:v>20</x:v>
      </x:c>
      <x:c r="I11526" s="0" t="s">
        <x:v>21</x:v>
      </x:c>
      <x:c r="K11526" s="0">
        <x:f>hyperlink("https://icd.who.int/dev11/l-ichi/en#/http%3A%2F%2Fid.who.int%2Ficd%2Fentity%2F1263812675","browser")</x:f>
      </x:c>
      <x:c r="L11526" s="0">
        <x:f>hyperlink("https://icat2.azurewebsites.net/icat/?ontology=ICD&amp;tab=ClassesTab&amp;id=http%3A%2F%2Fwho.int%2Ficd%236050_16e67c35_8b57_40bb_9220_818553425a8c","iCat")</x:f>
      </x:c>
      <x:c r="M11526" s="0" t="s">
        <x:v>21</x:v>
      </x:c>
      <x:c r="N11526" s="0" t="s">
        <x:v>46</x:v>
      </x:c>
    </x:row>
    <x:row r="11527" spans="1:16">
      <x:c r="A11527" s="0" t="s">
        <x:v>45191</x:v>
      </x:c>
      <x:c r="B11527" s="0" t="s">
        <x:v>45192</x:v>
      </x:c>
      <x:c r="C11527" s="0" t="s">
        <x:v>42840</x:v>
      </x:c>
      <x:c r="E11527" s="0" t="s">
        <x:v>45193</x:v>
      </x:c>
      <x:c r="F11527" s="0" t="s">
        <x:v>45</x:v>
      </x:c>
      <x:c r="G11527" s="0" t="s">
        <x:v>30</x:v>
      </x:c>
      <x:c r="H11527" s="0" t="s">
        <x:v>20</x:v>
      </x:c>
      <x:c r="I11527" s="0" t="s">
        <x:v>21</x:v>
      </x:c>
      <x:c r="K11527" s="0">
        <x:f>hyperlink("https://icd.who.int/dev11/l-ichi/en#/http%3A%2F%2Fid.who.int%2Ficd%2Fentity%2F640375349","browser")</x:f>
      </x:c>
      <x:c r="L11527" s="0">
        <x:f>hyperlink("https://icat2.azurewebsites.net/icat/?ontology=ICD&amp;tab=ClassesTab&amp;id=http%3A%2F%2Fwho.int%2Ficd%23SpecificAnatomicLocation_2980","iCat")</x:f>
      </x:c>
      <x:c r="M11527" s="0" t="s">
        <x:v>21</x:v>
      </x:c>
      <x:c r="N11527" s="0" t="s">
        <x:v>46</x:v>
      </x:c>
    </x:row>
    <x:row r="11528" spans="1:16">
      <x:c r="A11528" s="0" t="s">
        <x:v>45194</x:v>
      </x:c>
      <x:c r="B11528" s="0" t="s">
        <x:v>45195</x:v>
      </x:c>
      <x:c r="C11528" s="0" t="s">
        <x:v>42840</x:v>
      </x:c>
      <x:c r="E11528" s="0" t="s">
        <x:v>45196</x:v>
      </x:c>
      <x:c r="F11528" s="0" t="s">
        <x:v>45</x:v>
      </x:c>
      <x:c r="G11528" s="0" t="s">
        <x:v>19</x:v>
      </x:c>
      <x:c r="H11528" s="0" t="s">
        <x:v>20</x:v>
      </x:c>
      <x:c r="I11528" s="0" t="s">
        <x:v>21</x:v>
      </x:c>
      <x:c r="K11528" s="0">
        <x:f>hyperlink("https://icd.who.int/dev11/l-ichi/en#/http%3A%2F%2Fid.who.int%2Ficd%2Fentity%2F822296309","browser")</x:f>
      </x:c>
      <x:c r="L11528" s="0">
        <x:f>hyperlink("https://icat2.azurewebsites.net/icat/?ontology=ICD&amp;tab=ClassesTab&amp;id=http%3A%2F%2Fwho.int%2Ficd%23SpecificAnatomicLocation_2981","iCat")</x:f>
      </x:c>
      <x:c r="M11528" s="0" t="s">
        <x:v>20</x:v>
      </x:c>
      <x:c r="N11528" s="0" t="s">
        <x:v>19</x:v>
      </x:c>
    </x:row>
    <x:row r="11529" spans="1:16">
      <x:c r="A11529" s="0" t="s">
        <x:v>45197</x:v>
      </x:c>
      <x:c r="B11529" s="0" t="s">
        <x:v>45198</x:v>
      </x:c>
      <x:c r="C11529" s="0" t="s">
        <x:v>42840</x:v>
      </x:c>
      <x:c r="E11529" s="0" t="s">
        <x:v>45199</x:v>
      </x:c>
      <x:c r="F11529" s="0" t="s">
        <x:v>45</x:v>
      </x:c>
      <x:c r="G11529" s="0" t="s">
        <x:v>30</x:v>
      </x:c>
      <x:c r="H11529" s="0" t="s">
        <x:v>20</x:v>
      </x:c>
      <x:c r="I11529" s="0" t="s">
        <x:v>21</x:v>
      </x:c>
      <x:c r="K11529" s="0">
        <x:f>hyperlink("https://icd.who.int/dev11/l-ichi/en#/http%3A%2F%2Fid.who.int%2Ficd%2Fentity%2F1999532114","browser")</x:f>
      </x:c>
      <x:c r="L11529" s="0">
        <x:f>hyperlink("https://icat2.azurewebsites.net/icat/?ontology=ICD&amp;tab=ClassesTab&amp;id=http%3A%2F%2Fwho.int%2Ficd%238472_1a025aad_bab4_45d3_85b5_2f8609f7d6c2","iCat")</x:f>
      </x:c>
      <x:c r="M11529" s="0" t="s">
        <x:v>20</x:v>
      </x:c>
      <x:c r="N11529" s="0" t="s">
        <x:v>30</x:v>
      </x:c>
    </x:row>
    <x:row r="11530" spans="1:16">
      <x:c r="A11530" s="0" t="s">
        <x:v>45200</x:v>
      </x:c>
      <x:c r="B11530" s="0" t="s">
        <x:v>45201</x:v>
      </x:c>
      <x:c r="C11530" s="0" t="s">
        <x:v>42840</x:v>
      </x:c>
      <x:c r="E11530" s="0" t="s">
        <x:v>45202</x:v>
      </x:c>
      <x:c r="F11530" s="0" t="s">
        <x:v>45</x:v>
      </x:c>
      <x:c r="G11530" s="0" t="s">
        <x:v>35</x:v>
      </x:c>
      <x:c r="H11530" s="0" t="s">
        <x:v>20</x:v>
      </x:c>
      <x:c r="I11530" s="0" t="s">
        <x:v>21</x:v>
      </x:c>
      <x:c r="K11530" s="0">
        <x:f>hyperlink("https://icd.who.int/dev11/l-ichi/en#/http%3A%2F%2Fid.who.int%2Ficd%2Fentity%2F547695392","browser")</x:f>
      </x:c>
      <x:c r="L11530" s="0">
        <x:f>hyperlink("https://icat2.azurewebsites.net/icat/?ontology=ICD&amp;tab=ClassesTab&amp;id=http%3A%2F%2Fwho.int%2Ficd%23SpecificAnatomicLocation_2577","iCat")</x:f>
      </x:c>
      <x:c r="M11530" s="0" t="s">
        <x:v>21</x:v>
      </x:c>
      <x:c r="N11530" s="0" t="s">
        <x:v>46</x:v>
      </x:c>
    </x:row>
    <x:row r="11531" spans="1:16">
      <x:c r="A11531" s="0" t="s">
        <x:v>45203</x:v>
      </x:c>
      <x:c r="B11531" s="0" t="s">
        <x:v>45204</x:v>
      </x:c>
      <x:c r="C11531" s="0" t="s">
        <x:v>42840</x:v>
      </x:c>
      <x:c r="E11531" s="0" t="s">
        <x:v>45205</x:v>
      </x:c>
      <x:c r="F11531" s="0" t="s">
        <x:v>45</x:v>
      </x:c>
      <x:c r="G11531" s="0" t="s">
        <x:v>35</x:v>
      </x:c>
      <x:c r="H11531" s="0" t="s">
        <x:v>20</x:v>
      </x:c>
      <x:c r="I11531" s="0" t="s">
        <x:v>21</x:v>
      </x:c>
      <x:c r="K11531" s="0">
        <x:f>hyperlink("https://icd.who.int/dev11/l-ichi/en#/http%3A%2F%2Fid.who.int%2Ficd%2Fentity%2F1907141160","browser")</x:f>
      </x:c>
      <x:c r="L11531" s="0">
        <x:f>hyperlink("https://icat2.azurewebsites.net/icat/?ontology=ICD&amp;tab=ClassesTab&amp;id=http%3A%2F%2Fwho.int%2Ficd%23SpecificAnatomicLocation_2673","iCat")</x:f>
      </x:c>
      <x:c r="M11531" s="0" t="s">
        <x:v>21</x:v>
      </x:c>
      <x:c r="N11531" s="0" t="s">
        <x:v>46</x:v>
      </x:c>
    </x:row>
    <x:row r="11532" spans="1:16">
      <x:c r="A11532" s="0" t="s">
        <x:v>45206</x:v>
      </x:c>
      <x:c r="B11532" s="0" t="s">
        <x:v>45207</x:v>
      </x:c>
      <x:c r="D11532" s="0" t="s">
        <x:v>44502</x:v>
      </x:c>
      <x:c r="E11532" s="0" t="s">
        <x:v>45208</x:v>
      </x:c>
      <x:c r="F11532" s="0" t="s">
        <x:v>26</x:v>
      </x:c>
      <x:c r="G11532" s="0" t="s">
        <x:v>35</x:v>
      </x:c>
      <x:c r="H11532" s="0" t="s">
        <x:v>20</x:v>
      </x:c>
      <x:c r="I11532" s="0" t="s">
        <x:v>21</x:v>
      </x:c>
      <x:c r="K11532" s="0">
        <x:f>hyperlink("https://icd.who.int/dev11/l-ichi/en#/http%3A%2F%2Fid.who.int%2Ficd%2Fentity%2F583069829","browser")</x:f>
      </x:c>
      <x:c r="L11532" s="0">
        <x:f>hyperlink("https://icat2.azurewebsites.net/icat/?ontology=ICD&amp;tab=ClassesTab&amp;id=http%3A%2F%2Fwho.int%2Ficd%233657_16e67c35_8b57_40bb_9220_818553425a8c","iCat")</x:f>
      </x:c>
      <x:c r="M11532" s="0" t="s">
        <x:v>20</x:v>
      </x:c>
      <x:c r="N11532" s="0" t="s">
        <x:v>19</x:v>
      </x:c>
    </x:row>
    <x:row r="11533" spans="1:16">
      <x:c r="A11533" s="0" t="s">
        <x:v>45209</x:v>
      </x:c>
      <x:c r="B11533" s="0" t="s">
        <x:v>45210</x:v>
      </x:c>
      <x:c r="C11533" s="0" t="s">
        <x:v>42840</x:v>
      </x:c>
      <x:c r="E11533" s="0" t="s">
        <x:v>45211</x:v>
      </x:c>
      <x:c r="F11533" s="0" t="s">
        <x:v>45</x:v>
      </x:c>
      <x:c r="G11533" s="0" t="s">
        <x:v>19</x:v>
      </x:c>
      <x:c r="H11533" s="0" t="s">
        <x:v>20</x:v>
      </x:c>
      <x:c r="I11533" s="0" t="s">
        <x:v>21</x:v>
      </x:c>
      <x:c r="K11533" s="0">
        <x:f>hyperlink("https://icd.who.int/dev11/l-ichi/en#/http%3A%2F%2Fid.who.int%2Ficd%2Fentity%2F1144556225","browser")</x:f>
      </x:c>
      <x:c r="L11533" s="0">
        <x:f>hyperlink("https://icat2.azurewebsites.net/icat/?ontology=ICD&amp;tab=ClassesTab&amp;id=http%3A%2F%2Fwho.int%2Ficd%23SpecificAnatomicLocation_1051","iCat")</x:f>
      </x:c>
      <x:c r="M11533" s="0" t="s">
        <x:v>20</x:v>
      </x:c>
      <x:c r="N11533" s="0" t="s">
        <x:v>35</x:v>
      </x:c>
    </x:row>
    <x:row r="11534" spans="1:16">
      <x:c r="A11534" s="0" t="s">
        <x:v>45212</x:v>
      </x:c>
      <x:c r="B11534" s="0" t="s">
        <x:v>45213</x:v>
      </x:c>
      <x:c r="C11534" s="0" t="s">
        <x:v>42840</x:v>
      </x:c>
      <x:c r="E11534" s="0" t="s">
        <x:v>45214</x:v>
      </x:c>
      <x:c r="F11534" s="0" t="s">
        <x:v>45</x:v>
      </x:c>
      <x:c r="G11534" s="0" t="s">
        <x:v>30</x:v>
      </x:c>
      <x:c r="H11534" s="0" t="s">
        <x:v>20</x:v>
      </x:c>
      <x:c r="I11534" s="0" t="s">
        <x:v>21</x:v>
      </x:c>
      <x:c r="K11534" s="0">
        <x:f>hyperlink("https://icd.who.int/dev11/l-ichi/en#/http%3A%2F%2Fid.who.int%2Ficd%2Fentity%2F1393618433","browser")</x:f>
      </x:c>
      <x:c r="L11534" s="0">
        <x:f>hyperlink("https://icat2.azurewebsites.net/icat/?ontology=ICD&amp;tab=ClassesTab&amp;id=http%3A%2F%2Fwho.int%2Ficd%23SpecificAnatomicLocation_1050","iCat")</x:f>
      </x:c>
      <x:c r="M11534" s="0" t="s">
        <x:v>20</x:v>
      </x:c>
      <x:c r="N11534" s="0" t="s">
        <x:v>40</x:v>
      </x:c>
    </x:row>
    <x:row r="11535" spans="1:16">
      <x:c r="A11535" s="0" t="s">
        <x:v>45215</x:v>
      </x:c>
      <x:c r="B11535" s="0" t="s">
        <x:v>45216</x:v>
      </x:c>
      <x:c r="C11535" s="0" t="s">
        <x:v>42840</x:v>
      </x:c>
      <x:c r="E11535" s="0" t="s">
        <x:v>45217</x:v>
      </x:c>
      <x:c r="F11535" s="0" t="s">
        <x:v>45</x:v>
      </x:c>
      <x:c r="G11535" s="0" t="s">
        <x:v>35</x:v>
      </x:c>
      <x:c r="H11535" s="0" t="s">
        <x:v>20</x:v>
      </x:c>
      <x:c r="I11535" s="0" t="s">
        <x:v>21</x:v>
      </x:c>
      <x:c r="K11535" s="0">
        <x:f>hyperlink("https://icd.who.int/dev11/l-ichi/en#/http%3A%2F%2Fid.who.int%2Ficd%2Fentity%2F1802939686","browser")</x:f>
      </x:c>
      <x:c r="L11535" s="0">
        <x:f>hyperlink("https://icat2.azurewebsites.net/icat/?ontology=ICD&amp;tab=ClassesTab&amp;id=http%3A%2F%2Fwho.int%2Ficd%23SpecificAnatomicLocation_1048","iCat")</x:f>
      </x:c>
      <x:c r="M11535" s="0" t="s">
        <x:v>21</x:v>
      </x:c>
      <x:c r="N11535" s="0" t="s">
        <x:v>46</x:v>
      </x:c>
    </x:row>
    <x:row r="11536" spans="1:16">
      <x:c r="A11536" s="0" t="s">
        <x:v>45218</x:v>
      </x:c>
      <x:c r="B11536" s="0" t="s">
        <x:v>45219</x:v>
      </x:c>
      <x:c r="C11536" s="0" t="s">
        <x:v>42840</x:v>
      </x:c>
      <x:c r="E11536" s="0" t="s">
        <x:v>45220</x:v>
      </x:c>
      <x:c r="F11536" s="0" t="s">
        <x:v>45</x:v>
      </x:c>
      <x:c r="G11536" s="0" t="s">
        <x:v>35</x:v>
      </x:c>
      <x:c r="H11536" s="0" t="s">
        <x:v>20</x:v>
      </x:c>
      <x:c r="I11536" s="0" t="s">
        <x:v>21</x:v>
      </x:c>
      <x:c r="K11536" s="0">
        <x:f>hyperlink("https://icd.who.int/dev11/l-ichi/en#/http%3A%2F%2Fid.who.int%2Ficd%2Fentity%2F1597714010","browser")</x:f>
      </x:c>
      <x:c r="L11536" s="0">
        <x:f>hyperlink("https://icat2.azurewebsites.net/icat/?ontology=ICD&amp;tab=ClassesTab&amp;id=http%3A%2F%2Fwho.int%2Ficd%23SpecificAnatomicLocation_1046","iCat")</x:f>
      </x:c>
      <x:c r="M11536" s="0" t="s">
        <x:v>21</x:v>
      </x:c>
      <x:c r="N11536" s="0" t="s">
        <x:v>46</x:v>
      </x:c>
    </x:row>
    <x:row r="11537" spans="1:16">
      <x:c r="A11537" s="0" t="s">
        <x:v>45221</x:v>
      </x:c>
      <x:c r="B11537" s="0" t="s">
        <x:v>45222</x:v>
      </x:c>
      <x:c r="C11537" s="0" t="s">
        <x:v>42840</x:v>
      </x:c>
      <x:c r="E11537" s="0" t="s">
        <x:v>45223</x:v>
      </x:c>
      <x:c r="F11537" s="0" t="s">
        <x:v>45</x:v>
      </x:c>
      <x:c r="G11537" s="0" t="s">
        <x:v>35</x:v>
      </x:c>
      <x:c r="H11537" s="0" t="s">
        <x:v>20</x:v>
      </x:c>
      <x:c r="I11537" s="0" t="s">
        <x:v>21</x:v>
      </x:c>
      <x:c r="K11537" s="0">
        <x:f>hyperlink("https://icd.who.int/dev11/l-ichi/en#/http%3A%2F%2Fid.who.int%2Ficd%2Fentity%2F1715700506","browser")</x:f>
      </x:c>
      <x:c r="L11537" s="0">
        <x:f>hyperlink("https://icat2.azurewebsites.net/icat/?ontology=ICD&amp;tab=ClassesTab&amp;id=http%3A%2F%2Fwho.int%2Ficd%23SpecificAnatomicLocation_1045","iCat")</x:f>
      </x:c>
      <x:c r="M11537" s="0" t="s">
        <x:v>21</x:v>
      </x:c>
      <x:c r="N11537" s="0" t="s">
        <x:v>46</x:v>
      </x:c>
    </x:row>
    <x:row r="11538" spans="1:16">
      <x:c r="A11538" s="0" t="s">
        <x:v>45224</x:v>
      </x:c>
      <x:c r="B11538" s="0" t="s">
        <x:v>45225</x:v>
      </x:c>
      <x:c r="C11538" s="0" t="s">
        <x:v>42840</x:v>
      </x:c>
      <x:c r="E11538" s="0" t="s">
        <x:v>45226</x:v>
      </x:c>
      <x:c r="F11538" s="0" t="s">
        <x:v>45</x:v>
      </x:c>
      <x:c r="G11538" s="0" t="s">
        <x:v>35</x:v>
      </x:c>
      <x:c r="H11538" s="0" t="s">
        <x:v>20</x:v>
      </x:c>
      <x:c r="I11538" s="0" t="s">
        <x:v>21</x:v>
      </x:c>
      <x:c r="K11538" s="0">
        <x:f>hyperlink("https://icd.who.int/dev11/l-ichi/en#/http%3A%2F%2Fid.who.int%2Ficd%2Fentity%2F2086586854","browser")</x:f>
      </x:c>
      <x:c r="L11538" s="0">
        <x:f>hyperlink("https://icat2.azurewebsites.net/icat/?ontology=ICD&amp;tab=ClassesTab&amp;id=http%3A%2F%2Fwho.int%2Ficd%23SpecificAnatomicLocation_1049","iCat")</x:f>
      </x:c>
      <x:c r="M11538" s="0" t="s">
        <x:v>21</x:v>
      </x:c>
      <x:c r="N11538" s="0" t="s">
        <x:v>46</x:v>
      </x:c>
    </x:row>
    <x:row r="11539" spans="1:16">
      <x:c r="A11539" s="0" t="s">
        <x:v>45227</x:v>
      </x:c>
      <x:c r="B11539" s="0" t="s">
        <x:v>45228</x:v>
      </x:c>
      <x:c r="C11539" s="0" t="s">
        <x:v>42840</x:v>
      </x:c>
      <x:c r="E11539" s="0" t="s">
        <x:v>45229</x:v>
      </x:c>
      <x:c r="F11539" s="0" t="s">
        <x:v>45</x:v>
      </x:c>
      <x:c r="G11539" s="0" t="s">
        <x:v>35</x:v>
      </x:c>
      <x:c r="H11539" s="0" t="s">
        <x:v>20</x:v>
      </x:c>
      <x:c r="I11539" s="0" t="s">
        <x:v>21</x:v>
      </x:c>
      <x:c r="K11539" s="0">
        <x:f>hyperlink("https://icd.who.int/dev11/l-ichi/en#/http%3A%2F%2Fid.who.int%2Ficd%2Fentity%2F1209223834","browser")</x:f>
      </x:c>
      <x:c r="L11539" s="0">
        <x:f>hyperlink("https://icat2.azurewebsites.net/icat/?ontology=ICD&amp;tab=ClassesTab&amp;id=http%3A%2F%2Fwho.int%2Ficd%23SpecificAnatomicLocation_1047","iCat")</x:f>
      </x:c>
      <x:c r="M11539" s="0" t="s">
        <x:v>21</x:v>
      </x:c>
      <x:c r="N11539" s="0" t="s">
        <x:v>46</x:v>
      </x:c>
    </x:row>
    <x:row r="11540" spans="1:16">
      <x:c r="A11540" s="0" t="s">
        <x:v>45230</x:v>
      </x:c>
      <x:c r="B11540" s="0" t="s">
        <x:v>45231</x:v>
      </x:c>
      <x:c r="C11540" s="0" t="s">
        <x:v>42840</x:v>
      </x:c>
      <x:c r="E11540" s="0" t="s">
        <x:v>45232</x:v>
      </x:c>
      <x:c r="F11540" s="0" t="s">
        <x:v>45</x:v>
      </x:c>
      <x:c r="G11540" s="0" t="s">
        <x:v>30</x:v>
      </x:c>
      <x:c r="H11540" s="0" t="s">
        <x:v>20</x:v>
      </x:c>
      <x:c r="I11540" s="0" t="s">
        <x:v>21</x:v>
      </x:c>
      <x:c r="K11540" s="0">
        <x:f>hyperlink("https://icd.who.int/dev11/l-ichi/en#/http%3A%2F%2Fid.who.int%2Ficd%2Fentity%2F1902897114","browser")</x:f>
      </x:c>
      <x:c r="L11540" s="0">
        <x:f>hyperlink("https://icat2.azurewebsites.net/icat/?ontology=ICD&amp;tab=ClassesTab&amp;id=http%3A%2F%2Fwho.int%2Ficd%23SpecificAnatomicLocation_1044","iCat")</x:f>
      </x:c>
      <x:c r="M11540" s="0" t="s">
        <x:v>20</x:v>
      </x:c>
      <x:c r="N11540" s="0" t="s">
        <x:v>22</x:v>
      </x:c>
    </x:row>
    <x:row r="11541" spans="1:16">
      <x:c r="A11541" s="0" t="s">
        <x:v>45233</x:v>
      </x:c>
      <x:c r="B11541" s="0" t="s">
        <x:v>45234</x:v>
      </x:c>
      <x:c r="C11541" s="0" t="s">
        <x:v>42840</x:v>
      </x:c>
      <x:c r="E11541" s="0" t="s">
        <x:v>45235</x:v>
      </x:c>
      <x:c r="F11541" s="0" t="s">
        <x:v>45</x:v>
      </x:c>
      <x:c r="G11541" s="0" t="s">
        <x:v>35</x:v>
      </x:c>
      <x:c r="H11541" s="0" t="s">
        <x:v>20</x:v>
      </x:c>
      <x:c r="I11541" s="0" t="s">
        <x:v>21</x:v>
      </x:c>
      <x:c r="K11541" s="0">
        <x:f>hyperlink("https://icd.who.int/dev11/l-ichi/en#/http%3A%2F%2Fid.who.int%2Ficd%2Fentity%2F987893786","browser")</x:f>
      </x:c>
      <x:c r="L11541" s="0">
        <x:f>hyperlink("https://icat2.azurewebsites.net/icat/?ontology=ICD&amp;tab=ClassesTab&amp;id=http%3A%2F%2Fwho.int%2Ficd%23SpecificAnatomicLocation_1041","iCat")</x:f>
      </x:c>
      <x:c r="M11541" s="0" t="s">
        <x:v>21</x:v>
      </x:c>
      <x:c r="N11541" s="0" t="s">
        <x:v>46</x:v>
      </x:c>
    </x:row>
    <x:row r="11542" spans="1:16">
      <x:c r="A11542" s="0" t="s">
        <x:v>45236</x:v>
      </x:c>
      <x:c r="B11542" s="0" t="s">
        <x:v>45237</x:v>
      </x:c>
      <x:c r="C11542" s="0" t="s">
        <x:v>42840</x:v>
      </x:c>
      <x:c r="E11542" s="0" t="s">
        <x:v>45238</x:v>
      </x:c>
      <x:c r="F11542" s="0" t="s">
        <x:v>45</x:v>
      </x:c>
      <x:c r="G11542" s="0" t="s">
        <x:v>35</x:v>
      </x:c>
      <x:c r="H11542" s="0" t="s">
        <x:v>20</x:v>
      </x:c>
      <x:c r="I11542" s="0" t="s">
        <x:v>21</x:v>
      </x:c>
      <x:c r="K11542" s="0">
        <x:f>hyperlink("https://icd.who.int/dev11/l-ichi/en#/http%3A%2F%2Fid.who.int%2Ficd%2Fentity%2F60472666","browser")</x:f>
      </x:c>
      <x:c r="L11542" s="0">
        <x:f>hyperlink("https://icat2.azurewebsites.net/icat/?ontology=ICD&amp;tab=ClassesTab&amp;id=http%3A%2F%2Fwho.int%2Ficd%23SpecificAnatomicLocation_1042","iCat")</x:f>
      </x:c>
      <x:c r="M11542" s="0" t="s">
        <x:v>21</x:v>
      </x:c>
      <x:c r="N11542" s="0" t="s">
        <x:v>46</x:v>
      </x:c>
    </x:row>
    <x:row r="11543" spans="1:16">
      <x:c r="A11543" s="0" t="s">
        <x:v>45239</x:v>
      </x:c>
      <x:c r="B11543" s="0" t="s">
        <x:v>45240</x:v>
      </x:c>
      <x:c r="C11543" s="0" t="s">
        <x:v>42840</x:v>
      </x:c>
      <x:c r="E11543" s="0" t="s">
        <x:v>45241</x:v>
      </x:c>
      <x:c r="F11543" s="0" t="s">
        <x:v>45</x:v>
      </x:c>
      <x:c r="G11543" s="0" t="s">
        <x:v>35</x:v>
      </x:c>
      <x:c r="H11543" s="0" t="s">
        <x:v>20</x:v>
      </x:c>
      <x:c r="I11543" s="0" t="s">
        <x:v>21</x:v>
      </x:c>
      <x:c r="K11543" s="0">
        <x:f>hyperlink("https://icd.who.int/dev11/l-ichi/en#/http%3A%2F%2Fid.who.int%2Ficd%2Fentity%2F595221519","browser")</x:f>
      </x:c>
      <x:c r="L11543" s="0">
        <x:f>hyperlink("https://icat2.azurewebsites.net/icat/?ontology=ICD&amp;tab=ClassesTab&amp;id=http%3A%2F%2Fwho.int%2Ficd%2337789_5068053d_dbae_4066_9fec_a83d5dd174ab","iCat")</x:f>
      </x:c>
      <x:c r="M11543" s="0" t="s">
        <x:v>21</x:v>
      </x:c>
      <x:c r="N11543" s="0" t="s">
        <x:v>46</x:v>
      </x:c>
    </x:row>
    <x:row r="11544" spans="1:16">
      <x:c r="A11544" s="0" t="s">
        <x:v>45242</x:v>
      </x:c>
      <x:c r="B11544" s="0" t="s">
        <x:v>45243</x:v>
      </x:c>
      <x:c r="C11544" s="0" t="s">
        <x:v>42840</x:v>
      </x:c>
      <x:c r="E11544" s="0" t="s">
        <x:v>45244</x:v>
      </x:c>
      <x:c r="F11544" s="0" t="s">
        <x:v>45</x:v>
      </x:c>
      <x:c r="G11544" s="0" t="s">
        <x:v>35</x:v>
      </x:c>
      <x:c r="H11544" s="0" t="s">
        <x:v>20</x:v>
      </x:c>
      <x:c r="I11544" s="0" t="s">
        <x:v>21</x:v>
      </x:c>
      <x:c r="K11544" s="0">
        <x:f>hyperlink("https://icd.who.int/dev11/l-ichi/en#/http%3A%2F%2Fid.who.int%2Ficd%2Fentity%2F122233677","browser")</x:f>
      </x:c>
      <x:c r="L11544" s="0">
        <x:f>hyperlink("https://icat2.azurewebsites.net/icat/?ontology=ICD&amp;tab=ClassesTab&amp;id=http%3A%2F%2Fwho.int%2Ficd%238432_1a025aad_bab4_45d3_85b5_2f8609f7d6c2","iCat")</x:f>
      </x:c>
      <x:c r="M11544" s="0" t="s">
        <x:v>21</x:v>
      </x:c>
      <x:c r="N11544" s="0" t="s">
        <x:v>46</x:v>
      </x:c>
    </x:row>
    <x:row r="11545" spans="1:16">
      <x:c r="A11545" s="0" t="s">
        <x:v>45245</x:v>
      </x:c>
      <x:c r="B11545" s="0" t="s">
        <x:v>45246</x:v>
      </x:c>
      <x:c r="C11545" s="0" t="s">
        <x:v>42840</x:v>
      </x:c>
      <x:c r="E11545" s="0" t="s">
        <x:v>45247</x:v>
      </x:c>
      <x:c r="F11545" s="0" t="s">
        <x:v>45</x:v>
      </x:c>
      <x:c r="G11545" s="0" t="s">
        <x:v>30</x:v>
      </x:c>
      <x:c r="H11545" s="0" t="s">
        <x:v>20</x:v>
      </x:c>
      <x:c r="I11545" s="0" t="s">
        <x:v>21</x:v>
      </x:c>
      <x:c r="K11545" s="0">
        <x:f>hyperlink("https://icd.who.int/dev11/l-ichi/en#/http%3A%2F%2Fid.who.int%2Ficd%2Fentity%2F768242906","browser")</x:f>
      </x:c>
      <x:c r="L11545" s="0">
        <x:f>hyperlink("https://icat2.azurewebsites.net/icat/?ontology=ICD&amp;tab=ClassesTab&amp;id=http%3A%2F%2Fwho.int%2Ficd%23SpecificAnatomicLocation_1040","iCat")</x:f>
      </x:c>
      <x:c r="M11545" s="0" t="s">
        <x:v>20</x:v>
      </x:c>
      <x:c r="N11545" s="0" t="s">
        <x:v>35</x:v>
      </x:c>
    </x:row>
    <x:row r="11546" spans="1:16">
      <x:c r="A11546" s="0" t="s">
        <x:v>45248</x:v>
      </x:c>
      <x:c r="B11546" s="0" t="s">
        <x:v>45249</x:v>
      </x:c>
      <x:c r="C11546" s="0" t="s">
        <x:v>42840</x:v>
      </x:c>
      <x:c r="E11546" s="0" t="s">
        <x:v>45250</x:v>
      </x:c>
      <x:c r="F11546" s="0" t="s">
        <x:v>45</x:v>
      </x:c>
      <x:c r="G11546" s="0" t="s">
        <x:v>35</x:v>
      </x:c>
      <x:c r="H11546" s="0" t="s">
        <x:v>20</x:v>
      </x:c>
      <x:c r="I11546" s="0" t="s">
        <x:v>21</x:v>
      </x:c>
      <x:c r="K11546" s="0">
        <x:f>hyperlink("https://icd.who.int/dev11/l-ichi/en#/http%3A%2F%2Fid.who.int%2Ficd%2Fentity%2F2030796271","browser")</x:f>
      </x:c>
      <x:c r="L11546" s="0">
        <x:f>hyperlink("https://icat2.azurewebsites.net/icat/?ontology=ICD&amp;tab=ClassesTab&amp;id=http%3A%2F%2Fwho.int%2Ficd%23SpecificAnatomicLocation_1037","iCat")</x:f>
      </x:c>
      <x:c r="M11546" s="0" t="s">
        <x:v>20</x:v>
      </x:c>
      <x:c r="N11546" s="0" t="s">
        <x:v>903</x:v>
      </x:c>
    </x:row>
    <x:row r="11547" spans="1:16">
      <x:c r="A11547" s="0" t="s">
        <x:v>45251</x:v>
      </x:c>
      <x:c r="B11547" s="0" t="s">
        <x:v>45252</x:v>
      </x:c>
      <x:c r="C11547" s="0" t="s">
        <x:v>42840</x:v>
      </x:c>
      <x:c r="E11547" s="0" t="s">
        <x:v>45253</x:v>
      </x:c>
      <x:c r="F11547" s="0" t="s">
        <x:v>45</x:v>
      </x:c>
      <x:c r="G11547" s="0" t="s">
        <x:v>22</x:v>
      </x:c>
      <x:c r="H11547" s="0" t="s">
        <x:v>20</x:v>
      </x:c>
      <x:c r="I11547" s="0" t="s">
        <x:v>21</x:v>
      </x:c>
      <x:c r="K11547" s="0">
        <x:f>hyperlink("https://icd.who.int/dev11/l-ichi/en#/http%3A%2F%2Fid.who.int%2Ficd%2Fentity%2F696331958","browser")</x:f>
      </x:c>
      <x:c r="L11547" s="0">
        <x:f>hyperlink("https://icat2.azurewebsites.net/icat/?ontology=ICD&amp;tab=ClassesTab&amp;id=http%3A%2F%2Fwho.int%2Ficd%23SpecificAnatomicLocation_1025","iCat")</x:f>
      </x:c>
      <x:c r="M11547" s="0" t="s">
        <x:v>20</x:v>
      </x:c>
      <x:c r="N11547" s="0" t="s">
        <x:v>22</x:v>
      </x:c>
    </x:row>
    <x:row r="11548" spans="1:16">
      <x:c r="A11548" s="0" t="s">
        <x:v>45254</x:v>
      </x:c>
      <x:c r="B11548" s="0" t="s">
        <x:v>45255</x:v>
      </x:c>
      <x:c r="C11548" s="0" t="s">
        <x:v>42840</x:v>
      </x:c>
      <x:c r="E11548" s="0" t="s">
        <x:v>45256</x:v>
      </x:c>
      <x:c r="F11548" s="0" t="s">
        <x:v>45</x:v>
      </x:c>
      <x:c r="G11548" s="0" t="s">
        <x:v>40</x:v>
      </x:c>
      <x:c r="H11548" s="0" t="s">
        <x:v>20</x:v>
      </x:c>
      <x:c r="I11548" s="0" t="s">
        <x:v>21</x:v>
      </x:c>
      <x:c r="K11548" s="0">
        <x:f>hyperlink("https://icd.who.int/dev11/l-ichi/en#/http%3A%2F%2Fid.who.int%2Ficd%2Fentity%2F1280839926","browser")</x:f>
      </x:c>
      <x:c r="L11548" s="0">
        <x:f>hyperlink("https://icat2.azurewebsites.net/icat/?ontology=ICD&amp;tab=ClassesTab&amp;id=http%3A%2F%2Fwho.int%2Ficd%23SpecificAnatomicLocation_1022","iCat")</x:f>
      </x:c>
      <x:c r="M11548" s="0" t="s">
        <x:v>21</x:v>
      </x:c>
      <x:c r="N11548" s="0" t="s">
        <x:v>46</x:v>
      </x:c>
    </x:row>
    <x:row r="11549" spans="1:16">
      <x:c r="A11549" s="0" t="s">
        <x:v>45257</x:v>
      </x:c>
      <x:c r="B11549" s="0" t="s">
        <x:v>45258</x:v>
      </x:c>
      <x:c r="C11549" s="0" t="s">
        <x:v>42840</x:v>
      </x:c>
      <x:c r="E11549" s="0" t="s">
        <x:v>45259</x:v>
      </x:c>
      <x:c r="F11549" s="0" t="s">
        <x:v>45</x:v>
      </x:c>
      <x:c r="G11549" s="0" t="s">
        <x:v>40</x:v>
      </x:c>
      <x:c r="H11549" s="0" t="s">
        <x:v>20</x:v>
      </x:c>
      <x:c r="I11549" s="0" t="s">
        <x:v>21</x:v>
      </x:c>
      <x:c r="K11549" s="0">
        <x:f>hyperlink("https://icd.who.int/dev11/l-ichi/en#/http%3A%2F%2Fid.who.int%2Ficd%2Fentity%2F1965079990","browser")</x:f>
      </x:c>
      <x:c r="L11549" s="0">
        <x:f>hyperlink("https://icat2.azurewebsites.net/icat/?ontology=ICD&amp;tab=ClassesTab&amp;id=http%3A%2F%2Fwho.int%2Ficd%23SpecificAnatomicLocation_1021","iCat")</x:f>
      </x:c>
      <x:c r="M11549" s="0" t="s">
        <x:v>21</x:v>
      </x:c>
      <x:c r="N11549" s="0" t="s">
        <x:v>46</x:v>
      </x:c>
    </x:row>
    <x:row r="11550" spans="1:16">
      <x:c r="A11550" s="0" t="s">
        <x:v>45260</x:v>
      </x:c>
      <x:c r="B11550" s="0" t="s">
        <x:v>45261</x:v>
      </x:c>
      <x:c r="C11550" s="0" t="s">
        <x:v>42840</x:v>
      </x:c>
      <x:c r="E11550" s="0" t="s">
        <x:v>45262</x:v>
      </x:c>
      <x:c r="F11550" s="0" t="s">
        <x:v>45</x:v>
      </x:c>
      <x:c r="G11550" s="0" t="s">
        <x:v>40</x:v>
      </x:c>
      <x:c r="H11550" s="0" t="s">
        <x:v>20</x:v>
      </x:c>
      <x:c r="I11550" s="0" t="s">
        <x:v>21</x:v>
      </x:c>
      <x:c r="K11550" s="0">
        <x:f>hyperlink("https://icd.who.int/dev11/l-ichi/en#/http%3A%2F%2Fid.who.int%2Ficd%2Fentity%2F1534096438","browser")</x:f>
      </x:c>
      <x:c r="L11550" s="0">
        <x:f>hyperlink("https://icat2.azurewebsites.net/icat/?ontology=ICD&amp;tab=ClassesTab&amp;id=http%3A%2F%2Fwho.int%2Ficd%23SpecificAnatomicLocation_1023","iCat")</x:f>
      </x:c>
      <x:c r="M11550" s="0" t="s">
        <x:v>21</x:v>
      </x:c>
      <x:c r="N11550" s="0" t="s">
        <x:v>46</x:v>
      </x:c>
    </x:row>
    <x:row r="11551" spans="1:16">
      <x:c r="A11551" s="0" t="s">
        <x:v>45263</x:v>
      </x:c>
      <x:c r="B11551" s="0" t="s">
        <x:v>45264</x:v>
      </x:c>
      <x:c r="C11551" s="0" t="s">
        <x:v>42840</x:v>
      </x:c>
      <x:c r="E11551" s="0" t="s">
        <x:v>45265</x:v>
      </x:c>
      <x:c r="F11551" s="0" t="s">
        <x:v>45</x:v>
      </x:c>
      <x:c r="G11551" s="0" t="s">
        <x:v>40</x:v>
      </x:c>
      <x:c r="H11551" s="0" t="s">
        <x:v>20</x:v>
      </x:c>
      <x:c r="I11551" s="0" t="s">
        <x:v>21</x:v>
      </x:c>
      <x:c r="K11551" s="0">
        <x:f>hyperlink("https://icd.who.int/dev11/l-ichi/en#/http%3A%2F%2Fid.who.int%2Ficd%2Fentity%2F1051282038","browser")</x:f>
      </x:c>
      <x:c r="L11551" s="0">
        <x:f>hyperlink("https://icat2.azurewebsites.net/icat/?ontology=ICD&amp;tab=ClassesTab&amp;id=http%3A%2F%2Fwho.int%2Ficd%23SpecificAnatomicLocation_1024","iCat")</x:f>
      </x:c>
      <x:c r="M11551" s="0" t="s">
        <x:v>21</x:v>
      </x:c>
      <x:c r="N11551" s="0" t="s">
        <x:v>46</x:v>
      </x:c>
    </x:row>
    <x:row r="11552" spans="1:16">
      <x:c r="A11552" s="0" t="s">
        <x:v>45266</x:v>
      </x:c>
      <x:c r="B11552" s="0" t="s">
        <x:v>45267</x:v>
      </x:c>
      <x:c r="C11552" s="0" t="s">
        <x:v>42840</x:v>
      </x:c>
      <x:c r="E11552" s="0" t="s">
        <x:v>45268</x:v>
      </x:c>
      <x:c r="F11552" s="0" t="s">
        <x:v>45</x:v>
      </x:c>
      <x:c r="G11552" s="0" t="s">
        <x:v>22</x:v>
      </x:c>
      <x:c r="H11552" s="0" t="s">
        <x:v>20</x:v>
      </x:c>
      <x:c r="I11552" s="0" t="s">
        <x:v>21</x:v>
      </x:c>
      <x:c r="K11552" s="0">
        <x:f>hyperlink("https://icd.who.int/dev11/l-ichi/en#/http%3A%2F%2Fid.who.int%2Ficd%2Fentity%2F615776394","browser")</x:f>
      </x:c>
      <x:c r="L11552" s="0">
        <x:f>hyperlink("https://icat2.azurewebsites.net/icat/?ontology=ICD&amp;tab=ClassesTab&amp;id=http%3A%2F%2Fwho.int%2Ficd%23SpecificAnatomicLocation_1028","iCat")</x:f>
      </x:c>
      <x:c r="M11552" s="0" t="s">
        <x:v>20</x:v>
      </x:c>
      <x:c r="N11552" s="0" t="s">
        <x:v>30</x:v>
      </x:c>
    </x:row>
    <x:row r="11553" spans="1:16">
      <x:c r="A11553" s="0" t="s">
        <x:v>45269</x:v>
      </x:c>
      <x:c r="B11553" s="0" t="s">
        <x:v>45270</x:v>
      </x:c>
      <x:c r="C11553" s="0" t="s">
        <x:v>42840</x:v>
      </x:c>
      <x:c r="E11553" s="0" t="s">
        <x:v>45271</x:v>
      </x:c>
      <x:c r="F11553" s="0" t="s">
        <x:v>45</x:v>
      </x:c>
      <x:c r="G11553" s="0" t="s">
        <x:v>40</x:v>
      </x:c>
      <x:c r="H11553" s="0" t="s">
        <x:v>20</x:v>
      </x:c>
      <x:c r="I11553" s="0" t="s">
        <x:v>21</x:v>
      </x:c>
      <x:c r="K11553" s="0">
        <x:f>hyperlink("https://icd.who.int/dev11/l-ichi/en#/http%3A%2F%2Fid.who.int%2Ficd%2Fentity%2F131196726","browser")</x:f>
      </x:c>
      <x:c r="L11553" s="0">
        <x:f>hyperlink("https://icat2.azurewebsites.net/icat/?ontology=ICD&amp;tab=ClassesTab&amp;id=http%3A%2F%2Fwho.int%2Ficd%23SpecificAnatomicLocation_1027","iCat")</x:f>
      </x:c>
      <x:c r="M11553" s="0" t="s">
        <x:v>21</x:v>
      </x:c>
      <x:c r="N11553" s="0" t="s">
        <x:v>46</x:v>
      </x:c>
    </x:row>
    <x:row r="11554" spans="1:16">
      <x:c r="A11554" s="0" t="s">
        <x:v>45272</x:v>
      </x:c>
      <x:c r="B11554" s="0" t="s">
        <x:v>45273</x:v>
      </x:c>
      <x:c r="C11554" s="0" t="s">
        <x:v>42840</x:v>
      </x:c>
      <x:c r="E11554" s="0" t="s">
        <x:v>45274</x:v>
      </x:c>
      <x:c r="F11554" s="0" t="s">
        <x:v>45</x:v>
      </x:c>
      <x:c r="G11554" s="0" t="s">
        <x:v>40</x:v>
      </x:c>
      <x:c r="H11554" s="0" t="s">
        <x:v>20</x:v>
      </x:c>
      <x:c r="I11554" s="0" t="s">
        <x:v>21</x:v>
      </x:c>
      <x:c r="K11554" s="0">
        <x:f>hyperlink("https://icd.who.int/dev11/l-ichi/en#/http%3A%2F%2Fid.who.int%2Ficd%2Fentity%2F284787702","browser")</x:f>
      </x:c>
      <x:c r="L11554" s="0">
        <x:f>hyperlink("https://icat2.azurewebsites.net/icat/?ontology=ICD&amp;tab=ClassesTab&amp;id=http%3A%2F%2Fwho.int%2Ficd%23SpecificAnatomicLocation_1026","iCat")</x:f>
      </x:c>
      <x:c r="M11554" s="0" t="s">
        <x:v>21</x:v>
      </x:c>
      <x:c r="N11554" s="0" t="s">
        <x:v>46</x:v>
      </x:c>
    </x:row>
    <x:row r="11555" spans="1:16">
      <x:c r="A11555" s="0" t="s">
        <x:v>45275</x:v>
      </x:c>
      <x:c r="B11555" s="0" t="s">
        <x:v>45276</x:v>
      </x:c>
      <x:c r="C11555" s="0" t="s">
        <x:v>42840</x:v>
      </x:c>
      <x:c r="E11555" s="0" t="s">
        <x:v>45277</x:v>
      </x:c>
      <x:c r="F11555" s="0" t="s">
        <x:v>45</x:v>
      </x:c>
      <x:c r="G11555" s="0" t="s">
        <x:v>22</x:v>
      </x:c>
      <x:c r="H11555" s="0" t="s">
        <x:v>20</x:v>
      </x:c>
      <x:c r="I11555" s="0" t="s">
        <x:v>21</x:v>
      </x:c>
      <x:c r="K11555" s="0">
        <x:f>hyperlink("https://icd.who.int/dev11/l-ichi/en#/http%3A%2F%2Fid.who.int%2Ficd%2Fentity%2F483541935","browser")</x:f>
      </x:c>
      <x:c r="L11555" s="0">
        <x:f>hyperlink("https://icat2.azurewebsites.net/icat/?ontology=ICD&amp;tab=ClassesTab&amp;id=http%3A%2F%2Fwho.int%2Ficd%23SpecificAnatomicLocation_1030","iCat")</x:f>
      </x:c>
      <x:c r="M11555" s="0" t="s">
        <x:v>20</x:v>
      </x:c>
      <x:c r="N11555" s="0" t="s">
        <x:v>30</x:v>
      </x:c>
    </x:row>
    <x:row r="11556" spans="1:16">
      <x:c r="A11556" s="0" t="s">
        <x:v>45278</x:v>
      </x:c>
      <x:c r="B11556" s="0" t="s">
        <x:v>45279</x:v>
      </x:c>
      <x:c r="C11556" s="0" t="s">
        <x:v>42840</x:v>
      </x:c>
      <x:c r="E11556" s="0" t="s">
        <x:v>45280</x:v>
      </x:c>
      <x:c r="F11556" s="0" t="s">
        <x:v>45</x:v>
      </x:c>
      <x:c r="G11556" s="0" t="s">
        <x:v>40</x:v>
      </x:c>
      <x:c r="H11556" s="0" t="s">
        <x:v>20</x:v>
      </x:c>
      <x:c r="I11556" s="0" t="s">
        <x:v>21</x:v>
      </x:c>
      <x:c r="K11556" s="0">
        <x:f>hyperlink("https://icd.who.int/dev11/l-ichi/en#/http%3A%2F%2Fid.who.int%2Ficd%2Fentity%2F1867929275","browser")</x:f>
      </x:c>
      <x:c r="L11556" s="0">
        <x:f>hyperlink("https://icat2.azurewebsites.net/icat/?ontology=ICD&amp;tab=ClassesTab&amp;id=http%3A%2F%2Fwho.int%2Ficd%233854_d9027f82_5e3d_47a4_a6fe_3c65954dde3a","iCat")</x:f>
      </x:c>
      <x:c r="M11556" s="0" t="s">
        <x:v>21</x:v>
      </x:c>
      <x:c r="N11556" s="0" t="s">
        <x:v>46</x:v>
      </x:c>
    </x:row>
    <x:row r="11557" spans="1:16">
      <x:c r="A11557" s="0" t="s">
        <x:v>45281</x:v>
      </x:c>
      <x:c r="B11557" s="0" t="s">
        <x:v>45282</x:v>
      </x:c>
      <x:c r="C11557" s="0" t="s">
        <x:v>42840</x:v>
      </x:c>
      <x:c r="E11557" s="0" t="s">
        <x:v>45283</x:v>
      </x:c>
      <x:c r="F11557" s="0" t="s">
        <x:v>45</x:v>
      </x:c>
      <x:c r="G11557" s="0" t="s">
        <x:v>40</x:v>
      </x:c>
      <x:c r="H11557" s="0" t="s">
        <x:v>20</x:v>
      </x:c>
      <x:c r="I11557" s="0" t="s">
        <x:v>21</x:v>
      </x:c>
      <x:c r="K11557" s="0">
        <x:f>hyperlink("https://icd.who.int/dev11/l-ichi/en#/http%3A%2F%2Fid.who.int%2Ficd%2Fentity%2F792766158","browser")</x:f>
      </x:c>
      <x:c r="L11557" s="0">
        <x:f>hyperlink("https://icat2.azurewebsites.net/icat/?ontology=ICD&amp;tab=ClassesTab&amp;id=http%3A%2F%2Fwho.int%2Ficd%233887_d9027f82_5e3d_47a4_a6fe_3c65954dde3a","iCat")</x:f>
      </x:c>
      <x:c r="M11557" s="0" t="s">
        <x:v>21</x:v>
      </x:c>
      <x:c r="N11557" s="0" t="s">
        <x:v>46</x:v>
      </x:c>
    </x:row>
    <x:row r="11558" spans="1:16">
      <x:c r="A11558" s="0" t="s">
        <x:v>45284</x:v>
      </x:c>
      <x:c r="B11558" s="0" t="s">
        <x:v>45285</x:v>
      </x:c>
      <x:c r="C11558" s="0" t="s">
        <x:v>42840</x:v>
      </x:c>
      <x:c r="E11558" s="0" t="s">
        <x:v>45286</x:v>
      </x:c>
      <x:c r="F11558" s="0" t="s">
        <x:v>45</x:v>
      </x:c>
      <x:c r="G11558" s="0" t="s">
        <x:v>22</x:v>
      </x:c>
      <x:c r="H11558" s="0" t="s">
        <x:v>20</x:v>
      </x:c>
      <x:c r="I11558" s="0" t="s">
        <x:v>21</x:v>
      </x:c>
      <x:c r="K11558" s="0">
        <x:f>hyperlink("https://icd.who.int/dev11/l-ichi/en#/http%3A%2F%2Fid.who.int%2Ficd%2Fentity%2F865887306","browser")</x:f>
      </x:c>
      <x:c r="L11558" s="0">
        <x:f>hyperlink("https://icat2.azurewebsites.net/icat/?ontology=ICD&amp;tab=ClassesTab&amp;id=http%3A%2F%2Fwho.int%2Ficd%23SpecificAnatomicLocation_1029","iCat")</x:f>
      </x:c>
      <x:c r="M11558" s="0" t="s">
        <x:v>21</x:v>
      </x:c>
      <x:c r="N11558" s="0" t="s">
        <x:v>46</x:v>
      </x:c>
    </x:row>
    <x:row r="11559" spans="1:16">
      <x:c r="A11559" s="0" t="s">
        <x:v>45287</x:v>
      </x:c>
      <x:c r="B11559" s="0" t="s">
        <x:v>45288</x:v>
      </x:c>
      <x:c r="C11559" s="0" t="s">
        <x:v>42840</x:v>
      </x:c>
      <x:c r="E11559" s="0" t="s">
        <x:v>45289</x:v>
      </x:c>
      <x:c r="F11559" s="0" t="s">
        <x:v>45</x:v>
      </x:c>
      <x:c r="G11559" s="0" t="s">
        <x:v>22</x:v>
      </x:c>
      <x:c r="H11559" s="0" t="s">
        <x:v>20</x:v>
      </x:c>
      <x:c r="I11559" s="0" t="s">
        <x:v>21</x:v>
      </x:c>
      <x:c r="K11559" s="0">
        <x:f>hyperlink("https://icd.who.int/dev11/l-ichi/en#/http%3A%2F%2Fid.who.int%2Ficd%2Fentity%2F200943471","browser")</x:f>
      </x:c>
      <x:c r="L11559" s="0">
        <x:f>hyperlink("https://icat2.azurewebsites.net/icat/?ontology=ICD&amp;tab=ClassesTab&amp;id=http%3A%2F%2Fwho.int%2Ficd%23SpecificAnatomicLocation_1031","iCat")</x:f>
      </x:c>
      <x:c r="M11559" s="0" t="s">
        <x:v>21</x:v>
      </x:c>
      <x:c r="N11559" s="0" t="s">
        <x:v>46</x:v>
      </x:c>
    </x:row>
    <x:row r="11560" spans="1:16">
      <x:c r="A11560" s="0" t="s">
        <x:v>45290</x:v>
      </x:c>
      <x:c r="B11560" s="0" t="s">
        <x:v>45291</x:v>
      </x:c>
      <x:c r="C11560" s="0" t="s">
        <x:v>42840</x:v>
      </x:c>
      <x:c r="E11560" s="0" t="s">
        <x:v>45292</x:v>
      </x:c>
      <x:c r="F11560" s="0" t="s">
        <x:v>45</x:v>
      </x:c>
      <x:c r="G11560" s="0" t="s">
        <x:v>22</x:v>
      </x:c>
      <x:c r="H11560" s="0" t="s">
        <x:v>20</x:v>
      </x:c>
      <x:c r="I11560" s="0" t="s">
        <x:v>21</x:v>
      </x:c>
      <x:c r="K11560" s="0">
        <x:f>hyperlink("https://icd.who.int/dev11/l-ichi/en#/http%3A%2F%2Fid.who.int%2Ficd%2Fentity%2F847415855","browser")</x:f>
      </x:c>
      <x:c r="L11560" s="0">
        <x:f>hyperlink("https://icat2.azurewebsites.net/icat/?ontology=ICD&amp;tab=ClassesTab&amp;id=http%3A%2F%2Fwho.int%2Ficd%23SpecificAnatomicLocation_1032","iCat")</x:f>
      </x:c>
      <x:c r="M11560" s="0" t="s">
        <x:v>21</x:v>
      </x:c>
      <x:c r="N11560" s="0" t="s">
        <x:v>46</x:v>
      </x:c>
    </x:row>
    <x:row r="11561" spans="1:16">
      <x:c r="A11561" s="0" t="s">
        <x:v>45293</x:v>
      </x:c>
      <x:c r="B11561" s="0" t="s">
        <x:v>45294</x:v>
      </x:c>
      <x:c r="C11561" s="0" t="s">
        <x:v>42840</x:v>
      </x:c>
      <x:c r="E11561" s="0" t="s">
        <x:v>45295</x:v>
      </x:c>
      <x:c r="F11561" s="0" t="s">
        <x:v>45</x:v>
      </x:c>
      <x:c r="G11561" s="0" t="s">
        <x:v>22</x:v>
      </x:c>
      <x:c r="H11561" s="0" t="s">
        <x:v>20</x:v>
      </x:c>
      <x:c r="I11561" s="0" t="s">
        <x:v>21</x:v>
      </x:c>
      <x:c r="K11561" s="0">
        <x:f>hyperlink("https://icd.who.int/dev11/l-ichi/en#/http%3A%2F%2Fid.who.int%2Ficd%2Fentity%2F1081331887","browser")</x:f>
      </x:c>
      <x:c r="L11561" s="0">
        <x:f>hyperlink("https://icat2.azurewebsites.net/icat/?ontology=ICD&amp;tab=ClassesTab&amp;id=http%3A%2F%2Fwho.int%2Ficd%23SpecificAnatomicLocation_1034","iCat")</x:f>
      </x:c>
      <x:c r="M11561" s="0" t="s">
        <x:v>21</x:v>
      </x:c>
      <x:c r="N11561" s="0" t="s">
        <x:v>46</x:v>
      </x:c>
    </x:row>
    <x:row r="11562" spans="1:16">
      <x:c r="A11562" s="0" t="s">
        <x:v>45296</x:v>
      </x:c>
      <x:c r="B11562" s="0" t="s">
        <x:v>45297</x:v>
      </x:c>
      <x:c r="C11562" s="0" t="s">
        <x:v>42840</x:v>
      </x:c>
      <x:c r="E11562" s="0" t="s">
        <x:v>45298</x:v>
      </x:c>
      <x:c r="F11562" s="0" t="s">
        <x:v>45</x:v>
      </x:c>
      <x:c r="G11562" s="0" t="s">
        <x:v>22</x:v>
      </x:c>
      <x:c r="H11562" s="0" t="s">
        <x:v>20</x:v>
      </x:c>
      <x:c r="I11562" s="0" t="s">
        <x:v>21</x:v>
      </x:c>
      <x:c r="K11562" s="0">
        <x:f>hyperlink("https://icd.who.int/dev11/l-ichi/en#/http%3A%2F%2Fid.who.int%2Ficd%2Fentity%2F631959279","browser")</x:f>
      </x:c>
      <x:c r="L11562" s="0">
        <x:f>hyperlink("https://icat2.azurewebsites.net/icat/?ontology=ICD&amp;tab=ClassesTab&amp;id=http%3A%2F%2Fwho.int%2Ficd%23SpecificAnatomicLocation_1033","iCat")</x:f>
      </x:c>
      <x:c r="M11562" s="0" t="s">
        <x:v>21</x:v>
      </x:c>
      <x:c r="N11562" s="0" t="s">
        <x:v>46</x:v>
      </x:c>
    </x:row>
    <x:row r="11563" spans="1:16">
      <x:c r="A11563" s="0" t="s">
        <x:v>45299</x:v>
      </x:c>
      <x:c r="B11563" s="0" t="s">
        <x:v>45300</x:v>
      </x:c>
      <x:c r="C11563" s="0" t="s">
        <x:v>42840</x:v>
      </x:c>
      <x:c r="E11563" s="0" t="s">
        <x:v>45301</x:v>
      </x:c>
      <x:c r="F11563" s="0" t="s">
        <x:v>45</x:v>
      </x:c>
      <x:c r="G11563" s="0" t="s">
        <x:v>22</x:v>
      </x:c>
      <x:c r="H11563" s="0" t="s">
        <x:v>20</x:v>
      </x:c>
      <x:c r="I11563" s="0" t="s">
        <x:v>21</x:v>
      </x:c>
      <x:c r="K11563" s="0">
        <x:f>hyperlink("https://icd.who.int/dev11/l-ichi/en#/http%3A%2F%2Fid.who.int%2Ficd%2Fentity%2F1847793967","browser")</x:f>
      </x:c>
      <x:c r="L11563" s="0">
        <x:f>hyperlink("https://icat2.azurewebsites.net/icat/?ontology=ICD&amp;tab=ClassesTab&amp;id=http%3A%2F%2Fwho.int%2Ficd%23SpecificAnatomicLocation_1036","iCat")</x:f>
      </x:c>
      <x:c r="M11563" s="0" t="s">
        <x:v>20</x:v>
      </x:c>
      <x:c r="N11563" s="0" t="s">
        <x:v>22</x:v>
      </x:c>
    </x:row>
    <x:row r="11564" spans="1:16">
      <x:c r="A11564" s="0" t="s">
        <x:v>45302</x:v>
      </x:c>
      <x:c r="B11564" s="0" t="s">
        <x:v>45303</x:v>
      </x:c>
      <x:c r="C11564" s="0" t="s">
        <x:v>42840</x:v>
      </x:c>
      <x:c r="E11564" s="0" t="s">
        <x:v>45304</x:v>
      </x:c>
      <x:c r="F11564" s="0" t="s">
        <x:v>45</x:v>
      </x:c>
      <x:c r="G11564" s="0" t="s">
        <x:v>40</x:v>
      </x:c>
      <x:c r="H11564" s="0" t="s">
        <x:v>20</x:v>
      </x:c>
      <x:c r="I11564" s="0" t="s">
        <x:v>21</x:v>
      </x:c>
      <x:c r="K11564" s="0">
        <x:f>hyperlink("https://icd.who.int/dev11/l-ichi/en#/http%3A%2F%2Fid.who.int%2Ficd%2Fentity%2F1413633920","browser")</x:f>
      </x:c>
      <x:c r="L11564" s="0">
        <x:f>hyperlink("https://icat2.azurewebsites.net/icat/?ontology=ICD&amp;tab=ClassesTab&amp;id=http%3A%2F%2Fwho.int%2Ficd%23535_c2bcae44_676f_45e2_a0ed_5b5e8fc8d58e","iCat")</x:f>
      </x:c>
      <x:c r="M11564" s="0" t="s">
        <x:v>21</x:v>
      </x:c>
      <x:c r="N11564" s="0" t="s">
        <x:v>46</x:v>
      </x:c>
    </x:row>
    <x:row r="11565" spans="1:16">
      <x:c r="A11565" s="0" t="s">
        <x:v>45305</x:v>
      </x:c>
      <x:c r="B11565" s="0" t="s">
        <x:v>45306</x:v>
      </x:c>
      <x:c r="C11565" s="0" t="s">
        <x:v>42840</x:v>
      </x:c>
      <x:c r="E11565" s="0" t="s">
        <x:v>45307</x:v>
      </x:c>
      <x:c r="F11565" s="0" t="s">
        <x:v>45</x:v>
      </x:c>
      <x:c r="G11565" s="0" t="s">
        <x:v>40</x:v>
      </x:c>
      <x:c r="H11565" s="0" t="s">
        <x:v>20</x:v>
      </x:c>
      <x:c r="I11565" s="0" t="s">
        <x:v>21</x:v>
      </x:c>
      <x:c r="K11565" s="0">
        <x:f>hyperlink("https://icd.who.int/dev11/l-ichi/en#/http%3A%2F%2Fid.who.int%2Ficd%2Fentity%2F782803727","browser")</x:f>
      </x:c>
      <x:c r="L11565" s="0">
        <x:f>hyperlink("https://icat2.azurewebsites.net/icat/?ontology=ICD&amp;tab=ClassesTab&amp;id=http%3A%2F%2Fwho.int%2Ficd%23554_c2bcae44_676f_45e2_a0ed_5b5e8fc8d58e","iCat")</x:f>
      </x:c>
      <x:c r="M11565" s="0" t="s">
        <x:v>21</x:v>
      </x:c>
      <x:c r="N11565" s="0" t="s">
        <x:v>46</x:v>
      </x:c>
    </x:row>
    <x:row r="11566" spans="1:16">
      <x:c r="A11566" s="0" t="s">
        <x:v>45308</x:v>
      </x:c>
      <x:c r="B11566" s="0" t="s">
        <x:v>45309</x:v>
      </x:c>
      <x:c r="C11566" s="0" t="s">
        <x:v>42840</x:v>
      </x:c>
      <x:c r="E11566" s="0" t="s">
        <x:v>45310</x:v>
      </x:c>
      <x:c r="F11566" s="0" t="s">
        <x:v>45</x:v>
      </x:c>
      <x:c r="G11566" s="0" t="s">
        <x:v>40</x:v>
      </x:c>
      <x:c r="H11566" s="0" t="s">
        <x:v>20</x:v>
      </x:c>
      <x:c r="I11566" s="0" t="s">
        <x:v>21</x:v>
      </x:c>
      <x:c r="K11566" s="0">
        <x:f>hyperlink("https://icd.who.int/dev11/l-ichi/en#/http%3A%2F%2Fid.who.int%2Ficd%2Fentity%2F1952374226","browser")</x:f>
      </x:c>
      <x:c r="L11566" s="0">
        <x:f>hyperlink("https://icat2.azurewebsites.net/icat/?ontology=ICD&amp;tab=ClassesTab&amp;id=http%3A%2F%2Fwho.int%2Ficd%23573_c2bcae44_676f_45e2_a0ed_5b5e8fc8d58e","iCat")</x:f>
      </x:c>
      <x:c r="M11566" s="0" t="s">
        <x:v>21</x:v>
      </x:c>
      <x:c r="N11566" s="0" t="s">
        <x:v>46</x:v>
      </x:c>
    </x:row>
    <x:row r="11567" spans="1:16">
      <x:c r="A11567" s="0" t="s">
        <x:v>45311</x:v>
      </x:c>
      <x:c r="B11567" s="0" t="s">
        <x:v>45312</x:v>
      </x:c>
      <x:c r="C11567" s="0" t="s">
        <x:v>42840</x:v>
      </x:c>
      <x:c r="E11567" s="0" t="s">
        <x:v>45313</x:v>
      </x:c>
      <x:c r="F11567" s="0" t="s">
        <x:v>45</x:v>
      </x:c>
      <x:c r="G11567" s="0" t="s">
        <x:v>40</x:v>
      </x:c>
      <x:c r="H11567" s="0" t="s">
        <x:v>20</x:v>
      </x:c>
      <x:c r="I11567" s="0" t="s">
        <x:v>21</x:v>
      </x:c>
      <x:c r="K11567" s="0">
        <x:f>hyperlink("https://icd.who.int/dev11/l-ichi/en#/http%3A%2F%2Fid.who.int%2Ficd%2Fentity%2F293957735","browser")</x:f>
      </x:c>
      <x:c r="L11567" s="0">
        <x:f>hyperlink("https://icat2.azurewebsites.net/icat/?ontology=ICD&amp;tab=ClassesTab&amp;id=http%3A%2F%2Fwho.int%2Ficd%23592_c2bcae44_676f_45e2_a0ed_5b5e8fc8d58e","iCat")</x:f>
      </x:c>
      <x:c r="M11567" s="0" t="s">
        <x:v>21</x:v>
      </x:c>
      <x:c r="N11567" s="0" t="s">
        <x:v>46</x:v>
      </x:c>
    </x:row>
    <x:row r="11568" spans="1:16">
      <x:c r="A11568" s="0" t="s">
        <x:v>45314</x:v>
      </x:c>
      <x:c r="B11568" s="0" t="s">
        <x:v>45315</x:v>
      </x:c>
      <x:c r="C11568" s="0" t="s">
        <x:v>42840</x:v>
      </x:c>
      <x:c r="E11568" s="0" t="s">
        <x:v>45316</x:v>
      </x:c>
      <x:c r="F11568" s="0" t="s">
        <x:v>45</x:v>
      </x:c>
      <x:c r="G11568" s="0" t="s">
        <x:v>22</x:v>
      </x:c>
      <x:c r="H11568" s="0" t="s">
        <x:v>20</x:v>
      </x:c>
      <x:c r="I11568" s="0" t="s">
        <x:v>21</x:v>
      </x:c>
      <x:c r="K11568" s="0">
        <x:f>hyperlink("https://icd.who.int/dev11/l-ichi/en#/http%3A%2F%2Fid.who.int%2Ficd%2Fentity%2F1465627759","browser")</x:f>
      </x:c>
      <x:c r="L11568" s="0">
        <x:f>hyperlink("https://icat2.azurewebsites.net/icat/?ontology=ICD&amp;tab=ClassesTab&amp;id=http%3A%2F%2Fwho.int%2Ficd%23SpecificAnatomicLocation_1035","iCat")</x:f>
      </x:c>
      <x:c r="M11568" s="0" t="s">
        <x:v>21</x:v>
      </x:c>
      <x:c r="N11568" s="0" t="s">
        <x:v>46</x:v>
      </x:c>
    </x:row>
    <x:row r="11569" spans="1:16">
      <x:c r="A11569" s="0" t="s">
        <x:v>45317</x:v>
      </x:c>
      <x:c r="B11569" s="0" t="s">
        <x:v>45318</x:v>
      </x:c>
      <x:c r="C11569" s="0" t="s">
        <x:v>42840</x:v>
      </x:c>
      <x:c r="E11569" s="0" t="s">
        <x:v>45319</x:v>
      </x:c>
      <x:c r="F11569" s="0" t="s">
        <x:v>45</x:v>
      </x:c>
      <x:c r="G11569" s="0" t="s">
        <x:v>35</x:v>
      </x:c>
      <x:c r="H11569" s="0" t="s">
        <x:v>20</x:v>
      </x:c>
      <x:c r="I11569" s="0" t="s">
        <x:v>21</x:v>
      </x:c>
      <x:c r="K11569" s="0">
        <x:f>hyperlink("https://icd.who.int/dev11/l-ichi/en#/http%3A%2F%2Fid.who.int%2Ficd%2Fentity%2F1296498321","browser")</x:f>
      </x:c>
      <x:c r="L11569" s="0">
        <x:f>hyperlink("https://icat2.azurewebsites.net/icat/?ontology=ICD&amp;tab=ClassesTab&amp;id=http%3A%2F%2Fwho.int%2Ficd%23SpecificAnatomicLocation_1039","iCat")</x:f>
      </x:c>
      <x:c r="M11569" s="0" t="s">
        <x:v>20</x:v>
      </x:c>
      <x:c r="N11569" s="0" t="s">
        <x:v>30</x:v>
      </x:c>
    </x:row>
    <x:row r="11570" spans="1:16">
      <x:c r="A11570" s="0" t="s">
        <x:v>45320</x:v>
      </x:c>
      <x:c r="B11570" s="0" t="s">
        <x:v>45321</x:v>
      </x:c>
      <x:c r="C11570" s="0" t="s">
        <x:v>42840</x:v>
      </x:c>
      <x:c r="E11570" s="0" t="s">
        <x:v>45322</x:v>
      </x:c>
      <x:c r="F11570" s="0" t="s">
        <x:v>45</x:v>
      </x:c>
      <x:c r="G11570" s="0" t="s">
        <x:v>22</x:v>
      </x:c>
      <x:c r="H11570" s="0" t="s">
        <x:v>20</x:v>
      </x:c>
      <x:c r="I11570" s="0" t="s">
        <x:v>21</x:v>
      </x:c>
      <x:c r="K11570" s="0">
        <x:f>hyperlink("https://icd.who.int/dev11/l-ichi/en#/http%3A%2F%2Fid.who.int%2Ficd%2Fentity%2F1517197905","browser")</x:f>
      </x:c>
      <x:c r="L11570" s="0">
        <x:f>hyperlink("https://icat2.azurewebsites.net/icat/?ontology=ICD&amp;tab=ClassesTab&amp;id=http%3A%2F%2Fwho.int%2Ficd%23SpecificAnatomicLocation_1038","iCat")</x:f>
      </x:c>
      <x:c r="M11570" s="0" t="s">
        <x:v>21</x:v>
      </x:c>
      <x:c r="N11570" s="0" t="s">
        <x:v>46</x:v>
      </x:c>
    </x:row>
    <x:row r="11571" spans="1:16">
      <x:c r="A11571" s="0" t="s">
        <x:v>45323</x:v>
      </x:c>
      <x:c r="B11571" s="0" t="s">
        <x:v>45324</x:v>
      </x:c>
      <x:c r="C11571" s="0" t="s">
        <x:v>42840</x:v>
      </x:c>
      <x:c r="E11571" s="0" t="s">
        <x:v>45325</x:v>
      </x:c>
      <x:c r="F11571" s="0" t="s">
        <x:v>45</x:v>
      </x:c>
      <x:c r="G11571" s="0" t="s">
        <x:v>22</x:v>
      </x:c>
      <x:c r="H11571" s="0" t="s">
        <x:v>20</x:v>
      </x:c>
      <x:c r="I11571" s="0" t="s">
        <x:v>21</x:v>
      </x:c>
      <x:c r="K11571" s="0">
        <x:f>hyperlink("https://icd.who.int/dev11/l-ichi/en#/http%3A%2F%2Fid.who.int%2Ficd%2Fentity%2F893767926","browser")</x:f>
      </x:c>
      <x:c r="L11571" s="0">
        <x:f>hyperlink("https://icat2.azurewebsites.net/icat/?ontology=ICD&amp;tab=ClassesTab&amp;id=http%3A%2F%2Fwho.int%2Ficd%233834_d9027f82_5e3d_47a4_a6fe_3c65954dde3a","iCat")</x:f>
      </x:c>
      <x:c r="M11571" s="0" t="s">
        <x:v>21</x:v>
      </x:c>
      <x:c r="N11571" s="0" t="s">
        <x:v>46</x:v>
      </x:c>
    </x:row>
    <x:row r="11572" spans="1:16">
      <x:c r="A11572" s="0" t="s">
        <x:v>45326</x:v>
      </x:c>
      <x:c r="B11572" s="0" t="s">
        <x:v>45327</x:v>
      </x:c>
      <x:c r="C11572" s="0" t="s">
        <x:v>42840</x:v>
      </x:c>
      <x:c r="E11572" s="0" t="s">
        <x:v>45328</x:v>
      </x:c>
      <x:c r="F11572" s="0" t="s">
        <x:v>45</x:v>
      </x:c>
      <x:c r="G11572" s="0" t="s">
        <x:v>35</x:v>
      </x:c>
      <x:c r="H11572" s="0" t="s">
        <x:v>20</x:v>
      </x:c>
      <x:c r="I11572" s="0" t="s">
        <x:v>21</x:v>
      </x:c>
      <x:c r="K11572" s="0">
        <x:f>hyperlink("https://icd.who.int/dev11/l-ichi/en#/http%3A%2F%2Fid.who.int%2Ficd%2Fentity%2F1070102426","browser")</x:f>
      </x:c>
      <x:c r="L11572" s="0">
        <x:f>hyperlink("https://icat2.azurewebsites.net/icat/?ontology=ICD&amp;tab=ClassesTab&amp;id=http%3A%2F%2Fwho.int%2Ficd%233815_d9027f82_5e3d_47a4_a6fe_3c65954dde3a","iCat")</x:f>
      </x:c>
      <x:c r="M11572" s="0" t="s">
        <x:v>21</x:v>
      </x:c>
      <x:c r="N11572" s="0" t="s">
        <x:v>46</x:v>
      </x:c>
    </x:row>
    <x:row r="11573" spans="1:16">
      <x:c r="A11573" s="0" t="s">
        <x:v>45329</x:v>
      </x:c>
      <x:c r="B11573" s="0" t="s">
        <x:v>45330</x:v>
      </x:c>
      <x:c r="D11573" s="0" t="s">
        <x:v>44502</x:v>
      </x:c>
      <x:c r="E11573" s="0" t="s">
        <x:v>45331</x:v>
      </x:c>
      <x:c r="F11573" s="0" t="s">
        <x:v>26</x:v>
      </x:c>
      <x:c r="G11573" s="0" t="s">
        <x:v>35</x:v>
      </x:c>
      <x:c r="H11573" s="0" t="s">
        <x:v>20</x:v>
      </x:c>
      <x:c r="I11573" s="0" t="s">
        <x:v>21</x:v>
      </x:c>
      <x:c r="K11573" s="0">
        <x:f>hyperlink("https://icd.who.int/dev11/l-ichi/en#/http%3A%2F%2Fid.who.int%2Ficd%2Fentity%2F2079332103","browser")</x:f>
      </x:c>
      <x:c r="L11573" s="0">
        <x:f>hyperlink("https://icat2.azurewebsites.net/icat/?ontology=ICD&amp;tab=ClassesTab&amp;id=http%3A%2F%2Fwho.int%2Ficd%236903_16e67c35_8b57_40bb_9220_818553425a8c","iCat")</x:f>
      </x:c>
      <x:c r="M11573" s="0" t="s">
        <x:v>20</x:v>
      </x:c>
      <x:c r="N11573" s="0" t="s">
        <x:v>30</x:v>
      </x:c>
    </x:row>
    <x:row r="11574" spans="1:16">
      <x:c r="A11574" s="0" t="s">
        <x:v>45332</x:v>
      </x:c>
      <x:c r="B11574" s="0" t="s">
        <x:v>45333</x:v>
      </x:c>
      <x:c r="C11574" s="0" t="s">
        <x:v>42840</x:v>
      </x:c>
      <x:c r="E11574" s="0" t="s">
        <x:v>45334</x:v>
      </x:c>
      <x:c r="F11574" s="0" t="s">
        <x:v>45</x:v>
      </x:c>
      <x:c r="G11574" s="0" t="s">
        <x:v>19</x:v>
      </x:c>
      <x:c r="H11574" s="0" t="s">
        <x:v>20</x:v>
      </x:c>
      <x:c r="I11574" s="0" t="s">
        <x:v>21</x:v>
      </x:c>
      <x:c r="K11574" s="0">
        <x:f>hyperlink("https://icd.who.int/dev11/l-ichi/en#/http%3A%2F%2Fid.who.int%2Ficd%2Fentity%2F1788617479","browser")</x:f>
      </x:c>
      <x:c r="L11574" s="0">
        <x:f>hyperlink("https://icat2.azurewebsites.net/icat/?ontology=ICD&amp;tab=ClassesTab&amp;id=http%3A%2F%2Fwho.int%2Ficd%23SpecificAnatomicLocation_1002","iCat")</x:f>
      </x:c>
      <x:c r="M11574" s="0" t="s">
        <x:v>20</x:v>
      </x:c>
      <x:c r="N11574" s="0" t="s">
        <x:v>35</x:v>
      </x:c>
    </x:row>
    <x:row r="11575" spans="1:16">
      <x:c r="A11575" s="0" t="s">
        <x:v>45335</x:v>
      </x:c>
      <x:c r="B11575" s="0" t="s">
        <x:v>45336</x:v>
      </x:c>
      <x:c r="C11575" s="0" t="s">
        <x:v>42840</x:v>
      </x:c>
      <x:c r="E11575" s="0" t="s">
        <x:v>45337</x:v>
      </x:c>
      <x:c r="F11575" s="0" t="s">
        <x:v>45</x:v>
      </x:c>
      <x:c r="G11575" s="0" t="s">
        <x:v>30</x:v>
      </x:c>
      <x:c r="H11575" s="0" t="s">
        <x:v>20</x:v>
      </x:c>
      <x:c r="I11575" s="0" t="s">
        <x:v>21</x:v>
      </x:c>
      <x:c r="K11575" s="0">
        <x:f>hyperlink("https://icd.who.int/dev11/l-ichi/en#/http%3A%2F%2Fid.who.int%2Ficd%2Fentity%2F1933239759","browser")</x:f>
      </x:c>
      <x:c r="L11575" s="0">
        <x:f>hyperlink("https://icat2.azurewebsites.net/icat/?ontology=ICD&amp;tab=ClassesTab&amp;id=http%3A%2F%2Fwho.int%2Ficd%23SpecificAnatomicLocation_2423","iCat")</x:f>
      </x:c>
      <x:c r="M11575" s="0" t="s">
        <x:v>20</x:v>
      </x:c>
      <x:c r="N11575" s="0" t="s">
        <x:v>119</x:v>
      </x:c>
    </x:row>
    <x:row r="11576" spans="1:16">
      <x:c r="A11576" s="0" t="s">
        <x:v>45338</x:v>
      </x:c>
      <x:c r="B11576" s="0" t="s">
        <x:v>45339</x:v>
      </x:c>
      <x:c r="C11576" s="0" t="s">
        <x:v>42840</x:v>
      </x:c>
      <x:c r="E11576" s="0" t="s">
        <x:v>45340</x:v>
      </x:c>
      <x:c r="F11576" s="0" t="s">
        <x:v>45</x:v>
      </x:c>
      <x:c r="G11576" s="0" t="s">
        <x:v>35</x:v>
      </x:c>
      <x:c r="H11576" s="0" t="s">
        <x:v>20</x:v>
      </x:c>
      <x:c r="I11576" s="0" t="s">
        <x:v>21</x:v>
      </x:c>
      <x:c r="K11576" s="0">
        <x:f>hyperlink("https://icd.who.int/dev11/l-ichi/en#/http%3A%2F%2Fid.who.int%2Ficd%2Fentity%2F852143287","browser")</x:f>
      </x:c>
      <x:c r="L11576" s="0">
        <x:f>hyperlink("https://icat2.azurewebsites.net/icat/?ontology=ICD&amp;tab=ClassesTab&amp;id=http%3A%2F%2Fwho.int%2Ficd%231697_1a025aad_bab4_45d3_85b5_2f8609f7d6c2","iCat")</x:f>
      </x:c>
      <x:c r="M11576" s="0" t="s">
        <x:v>20</x:v>
      </x:c>
      <x:c r="N11576" s="0" t="s">
        <x:v>19748</x:v>
      </x:c>
    </x:row>
    <x:row r="11577" spans="1:16">
      <x:c r="A11577" s="0" t="s">
        <x:v>45341</x:v>
      </x:c>
      <x:c r="B11577" s="0" t="s">
        <x:v>45342</x:v>
      </x:c>
      <x:c r="C11577" s="0" t="s">
        <x:v>42840</x:v>
      </x:c>
      <x:c r="E11577" s="0" t="s">
        <x:v>45343</x:v>
      </x:c>
      <x:c r="F11577" s="0" t="s">
        <x:v>45</x:v>
      </x:c>
      <x:c r="G11577" s="0" t="s">
        <x:v>22</x:v>
      </x:c>
      <x:c r="H11577" s="0" t="s">
        <x:v>20</x:v>
      </x:c>
      <x:c r="I11577" s="0" t="s">
        <x:v>21</x:v>
      </x:c>
      <x:c r="K11577" s="0">
        <x:f>hyperlink("https://icd.who.int/dev11/l-ichi/en#/http%3A%2F%2Fid.who.int%2Ficd%2Fentity%2F698366470","browser")</x:f>
      </x:c>
      <x:c r="L11577" s="0">
        <x:f>hyperlink("https://icat2.azurewebsites.net/icat/?ontology=ICD&amp;tab=ClassesTab&amp;id=http%3A%2F%2Fwho.int%2Ficd%23SpecificAnatomicLocation_2129","iCat")</x:f>
      </x:c>
      <x:c r="M11577" s="0" t="s">
        <x:v>21</x:v>
      </x:c>
      <x:c r="N11577" s="0" t="s">
        <x:v>46</x:v>
      </x:c>
    </x:row>
    <x:row r="11578" spans="1:16">
      <x:c r="A11578" s="0" t="s">
        <x:v>45344</x:v>
      </x:c>
      <x:c r="B11578" s="0" t="s">
        <x:v>45345</x:v>
      </x:c>
      <x:c r="C11578" s="0" t="s">
        <x:v>42840</x:v>
      </x:c>
      <x:c r="E11578" s="0" t="s">
        <x:v>45346</x:v>
      </x:c>
      <x:c r="F11578" s="0" t="s">
        <x:v>45</x:v>
      </x:c>
      <x:c r="G11578" s="0" t="s">
        <x:v>22</x:v>
      </x:c>
      <x:c r="H11578" s="0" t="s">
        <x:v>20</x:v>
      </x:c>
      <x:c r="I11578" s="0" t="s">
        <x:v>21</x:v>
      </x:c>
      <x:c r="K11578" s="0">
        <x:f>hyperlink("https://icd.who.int/dev11/l-ichi/en#/http%3A%2F%2Fid.who.int%2Ficd%2Fentity%2F38873033","browser")</x:f>
      </x:c>
      <x:c r="L11578" s="0">
        <x:f>hyperlink("https://icat2.azurewebsites.net/icat/?ontology=ICD&amp;tab=ClassesTab&amp;id=http%3A%2F%2Fwho.int%2Ficd%23SpecificAnatomicLocation_2104","iCat")</x:f>
      </x:c>
      <x:c r="M11578" s="0" t="s">
        <x:v>20</x:v>
      </x:c>
      <x:c r="N11578" s="0" t="s">
        <x:v>19</x:v>
      </x:c>
    </x:row>
    <x:row r="11579" spans="1:16">
      <x:c r="A11579" s="0" t="s">
        <x:v>45347</x:v>
      </x:c>
      <x:c r="B11579" s="0" t="s">
        <x:v>45348</x:v>
      </x:c>
      <x:c r="C11579" s="0" t="s">
        <x:v>42840</x:v>
      </x:c>
      <x:c r="E11579" s="0" t="s">
        <x:v>45349</x:v>
      </x:c>
      <x:c r="F11579" s="0" t="s">
        <x:v>45</x:v>
      </x:c>
      <x:c r="G11579" s="0" t="s">
        <x:v>40</x:v>
      </x:c>
      <x:c r="H11579" s="0" t="s">
        <x:v>20</x:v>
      </x:c>
      <x:c r="I11579" s="0" t="s">
        <x:v>21</x:v>
      </x:c>
      <x:c r="K11579" s="0">
        <x:f>hyperlink("https://icd.who.int/dev11/l-ichi/en#/http%3A%2F%2Fid.who.int%2Ficd%2Fentity%2F360268553","browser")</x:f>
      </x:c>
      <x:c r="L11579" s="0">
        <x:f>hyperlink("https://icat2.azurewebsites.net/icat/?ontology=ICD&amp;tab=ClassesTab&amp;id=http%3A%2F%2Fwho.int%2Ficd%23SpecificAnatomicLocation_2105","iCat")</x:f>
      </x:c>
      <x:c r="M11579" s="0" t="s">
        <x:v>21</x:v>
      </x:c>
      <x:c r="N11579" s="0" t="s">
        <x:v>46</x:v>
      </x:c>
    </x:row>
    <x:row r="11580" spans="1:16">
      <x:c r="A11580" s="0" t="s">
        <x:v>45350</x:v>
      </x:c>
      <x:c r="B11580" s="0" t="s">
        <x:v>45351</x:v>
      </x:c>
      <x:c r="C11580" s="0" t="s">
        <x:v>42840</x:v>
      </x:c>
      <x:c r="E11580" s="0" t="s">
        <x:v>45352</x:v>
      </x:c>
      <x:c r="F11580" s="0" t="s">
        <x:v>45</x:v>
      </x:c>
      <x:c r="G11580" s="0" t="s">
        <x:v>22</x:v>
      </x:c>
      <x:c r="H11580" s="0" t="s">
        <x:v>20</x:v>
      </x:c>
      <x:c r="I11580" s="0" t="s">
        <x:v>21</x:v>
      </x:c>
      <x:c r="K11580" s="0">
        <x:f>hyperlink("https://icd.who.int/dev11/l-ichi/en#/http%3A%2F%2Fid.who.int%2Ficd%2Fentity%2F754290191","browser")</x:f>
      </x:c>
      <x:c r="L11580" s="0">
        <x:f>hyperlink("https://icat2.azurewebsites.net/icat/?ontology=ICD&amp;tab=ClassesTab&amp;id=http%3A%2F%2Fwho.int%2Ficd%23SpecificAnatomicLocation_2157","iCat")</x:f>
      </x:c>
      <x:c r="M11580" s="0" t="s">
        <x:v>21</x:v>
      </x:c>
      <x:c r="N11580" s="0" t="s">
        <x:v>46</x:v>
      </x:c>
    </x:row>
    <x:row r="11581" spans="1:16">
      <x:c r="A11581" s="0" t="s">
        <x:v>45353</x:v>
      </x:c>
      <x:c r="B11581" s="0" t="s">
        <x:v>45354</x:v>
      </x:c>
      <x:c r="C11581" s="0" t="s">
        <x:v>42840</x:v>
      </x:c>
      <x:c r="E11581" s="0" t="s">
        <x:v>45355</x:v>
      </x:c>
      <x:c r="F11581" s="0" t="s">
        <x:v>45</x:v>
      </x:c>
      <x:c r="G11581" s="0" t="s">
        <x:v>22</x:v>
      </x:c>
      <x:c r="H11581" s="0" t="s">
        <x:v>20</x:v>
      </x:c>
      <x:c r="I11581" s="0" t="s">
        <x:v>21</x:v>
      </x:c>
      <x:c r="K11581" s="0">
        <x:f>hyperlink("https://icd.who.int/dev11/l-ichi/en#/http%3A%2F%2Fid.who.int%2Ficd%2Fentity%2F1565703689","browser")</x:f>
      </x:c>
      <x:c r="L11581" s="0">
        <x:f>hyperlink("https://icat2.azurewebsites.net/icat/?ontology=ICD&amp;tab=ClassesTab&amp;id=http%3A%2F%2Fwho.int%2Ficd%23SpecificAnatomicLocation_2182","iCat")</x:f>
      </x:c>
      <x:c r="M11581" s="0" t="s">
        <x:v>21</x:v>
      </x:c>
      <x:c r="N11581" s="0" t="s">
        <x:v>46</x:v>
      </x:c>
    </x:row>
    <x:row r="11582" spans="1:16">
      <x:c r="A11582" s="0" t="s">
        <x:v>45356</x:v>
      </x:c>
      <x:c r="B11582" s="0" t="s">
        <x:v>45357</x:v>
      </x:c>
      <x:c r="C11582" s="0" t="s">
        <x:v>42840</x:v>
      </x:c>
      <x:c r="E11582" s="0" t="s">
        <x:v>45358</x:v>
      </x:c>
      <x:c r="F11582" s="0" t="s">
        <x:v>45</x:v>
      </x:c>
      <x:c r="G11582" s="0" t="s">
        <x:v>22</x:v>
      </x:c>
      <x:c r="H11582" s="0" t="s">
        <x:v>20</x:v>
      </x:c>
      <x:c r="I11582" s="0" t="s">
        <x:v>21</x:v>
      </x:c>
      <x:c r="K11582" s="0">
        <x:f>hyperlink("https://icd.who.int/dev11/l-ichi/en#/http%3A%2F%2Fid.who.int%2Ficd%2Fentity%2F383470025","browser")</x:f>
      </x:c>
      <x:c r="L11582" s="0">
        <x:f>hyperlink("https://icat2.azurewebsites.net/icat/?ontology=ICD&amp;tab=ClassesTab&amp;id=http%3A%2F%2Fwho.int%2Ficd%23SpecificAnatomicLocation_2187","iCat")</x:f>
      </x:c>
      <x:c r="M11582" s="0" t="s">
        <x:v>21</x:v>
      </x:c>
      <x:c r="N11582" s="0" t="s">
        <x:v>46</x:v>
      </x:c>
    </x:row>
    <x:row r="11583" spans="1:16">
      <x:c r="A11583" s="0" t="s">
        <x:v>45359</x:v>
      </x:c>
      <x:c r="B11583" s="0" t="s">
        <x:v>45360</x:v>
      </x:c>
      <x:c r="C11583" s="0" t="s">
        <x:v>42840</x:v>
      </x:c>
      <x:c r="E11583" s="0" t="s">
        <x:v>45361</x:v>
      </x:c>
      <x:c r="F11583" s="0" t="s">
        <x:v>45</x:v>
      </x:c>
      <x:c r="G11583" s="0" t="s">
        <x:v>22</x:v>
      </x:c>
      <x:c r="H11583" s="0" t="s">
        <x:v>20</x:v>
      </x:c>
      <x:c r="I11583" s="0" t="s">
        <x:v>21</x:v>
      </x:c>
      <x:c r="K11583" s="0">
        <x:f>hyperlink("https://icd.who.int/dev11/l-ichi/en#/http%3A%2F%2Fid.who.int%2Ficd%2Fentity%2F34787577","browser")</x:f>
      </x:c>
      <x:c r="L11583" s="0">
        <x:f>hyperlink("https://icat2.azurewebsites.net/icat/?ontology=ICD&amp;tab=ClassesTab&amp;id=http%3A%2F%2Fwho.int%2Ficd%23SpecificAnatomicLocation_2091","iCat")</x:f>
      </x:c>
      <x:c r="M11583" s="0" t="s">
        <x:v>20</x:v>
      </x:c>
      <x:c r="N11583" s="0" t="s">
        <x:v>35</x:v>
      </x:c>
    </x:row>
    <x:row r="11584" spans="1:16">
      <x:c r="A11584" s="0" t="s">
        <x:v>45362</x:v>
      </x:c>
      <x:c r="B11584" s="0" t="s">
        <x:v>45363</x:v>
      </x:c>
      <x:c r="C11584" s="0" t="s">
        <x:v>42840</x:v>
      </x:c>
      <x:c r="E11584" s="0" t="s">
        <x:v>45364</x:v>
      </x:c>
      <x:c r="F11584" s="0" t="s">
        <x:v>45</x:v>
      </x:c>
      <x:c r="G11584" s="0" t="s">
        <x:v>40</x:v>
      </x:c>
      <x:c r="H11584" s="0" t="s">
        <x:v>20</x:v>
      </x:c>
      <x:c r="I11584" s="0" t="s">
        <x:v>21</x:v>
      </x:c>
      <x:c r="K11584" s="0">
        <x:f>hyperlink("https://icd.who.int/dev11/l-ichi/en#/http%3A%2F%2Fid.who.int%2Ficd%2Fentity%2F420574304","browser")</x:f>
      </x:c>
      <x:c r="L11584" s="0">
        <x:f>hyperlink("https://icat2.azurewebsites.net/icat/?ontology=ICD&amp;tab=ClassesTab&amp;id=http%3A%2F%2Fwho.int%2Ficd%23SpecificAnatomicLocation_2086","iCat")</x:f>
      </x:c>
      <x:c r="M11584" s="0" t="s">
        <x:v>21</x:v>
      </x:c>
      <x:c r="N11584" s="0" t="s">
        <x:v>46</x:v>
      </x:c>
    </x:row>
    <x:row r="11585" spans="1:16">
      <x:c r="A11585" s="0" t="s">
        <x:v>45365</x:v>
      </x:c>
      <x:c r="B11585" s="0" t="s">
        <x:v>45366</x:v>
      </x:c>
      <x:c r="C11585" s="0" t="s">
        <x:v>42840</x:v>
      </x:c>
      <x:c r="E11585" s="0" t="s">
        <x:v>45367</x:v>
      </x:c>
      <x:c r="F11585" s="0" t="s">
        <x:v>45</x:v>
      </x:c>
      <x:c r="G11585" s="0" t="s">
        <x:v>40</x:v>
      </x:c>
      <x:c r="H11585" s="0" t="s">
        <x:v>20</x:v>
      </x:c>
      <x:c r="I11585" s="0" t="s">
        <x:v>21</x:v>
      </x:c>
      <x:c r="K11585" s="0">
        <x:f>hyperlink("https://icd.who.int/dev11/l-ichi/en#/http%3A%2F%2Fid.who.int%2Ficd%2Fentity%2F980718560","browser")</x:f>
      </x:c>
      <x:c r="L11585" s="0">
        <x:f>hyperlink("https://icat2.azurewebsites.net/icat/?ontology=ICD&amp;tab=ClassesTab&amp;id=http%3A%2F%2Fwho.int%2Ficd%23SpecificAnatomicLocation_2089","iCat")</x:f>
      </x:c>
      <x:c r="M11585" s="0" t="s">
        <x:v>20</x:v>
      </x:c>
      <x:c r="N11585" s="0" t="s">
        <x:v>19</x:v>
      </x:c>
    </x:row>
    <x:row r="11586" spans="1:16">
      <x:c r="A11586" s="0" t="s">
        <x:v>45368</x:v>
      </x:c>
      <x:c r="B11586" s="0" t="s">
        <x:v>45369</x:v>
      </x:c>
      <x:c r="C11586" s="0" t="s">
        <x:v>42840</x:v>
      </x:c>
      <x:c r="E11586" s="0" t="s">
        <x:v>45370</x:v>
      </x:c>
      <x:c r="F11586" s="0" t="s">
        <x:v>45</x:v>
      </x:c>
      <x:c r="G11586" s="0" t="s">
        <x:v>206</x:v>
      </x:c>
      <x:c r="H11586" s="0" t="s">
        <x:v>20</x:v>
      </x:c>
      <x:c r="I11586" s="0" t="s">
        <x:v>21</x:v>
      </x:c>
      <x:c r="K11586" s="0">
        <x:f>hyperlink("https://icd.who.int/dev11/l-ichi/en#/http%3A%2F%2Fid.who.int%2Ficd%2Fentity%2F996834745","browser")</x:f>
      </x:c>
      <x:c r="L11586" s="0">
        <x:f>hyperlink("https://icat2.azurewebsites.net/icat/?ontology=ICD&amp;tab=ClassesTab&amp;id=http%3A%2F%2Fwho.int%2Ficd%23SpecificAnatomicLocation_2092","iCat")</x:f>
      </x:c>
      <x:c r="M11586" s="0" t="s">
        <x:v>21</x:v>
      </x:c>
      <x:c r="N11586" s="0" t="s">
        <x:v>46</x:v>
      </x:c>
    </x:row>
    <x:row r="11587" spans="1:16">
      <x:c r="A11587" s="0" t="s">
        <x:v>45371</x:v>
      </x:c>
      <x:c r="B11587" s="0" t="s">
        <x:v>45372</x:v>
      </x:c>
      <x:c r="C11587" s="0" t="s">
        <x:v>42840</x:v>
      </x:c>
      <x:c r="E11587" s="0" t="s">
        <x:v>45373</x:v>
      </x:c>
      <x:c r="F11587" s="0" t="s">
        <x:v>45</x:v>
      </x:c>
      <x:c r="G11587" s="0" t="s">
        <x:v>40</x:v>
      </x:c>
      <x:c r="H11587" s="0" t="s">
        <x:v>20</x:v>
      </x:c>
      <x:c r="I11587" s="0" t="s">
        <x:v>21</x:v>
      </x:c>
      <x:c r="K11587" s="0">
        <x:f>hyperlink("https://icd.who.int/dev11/l-ichi/en#/http%3A%2F%2Fid.who.int%2Ficd%2Fentity%2F807921792","browser")</x:f>
      </x:c>
      <x:c r="L11587" s="0">
        <x:f>hyperlink("https://icat2.azurewebsites.net/icat/?ontology=ICD&amp;tab=ClassesTab&amp;id=http%3A%2F%2Fwho.int%2Ficd%23SpecificAnatomicLocation_2404","iCat")</x:f>
      </x:c>
      <x:c r="M11587" s="0" t="s">
        <x:v>21</x:v>
      </x:c>
      <x:c r="N11587" s="0" t="s">
        <x:v>46</x:v>
      </x:c>
    </x:row>
    <x:row r="11588" spans="1:16">
      <x:c r="A11588" s="0" t="s">
        <x:v>45374</x:v>
      </x:c>
      <x:c r="B11588" s="0" t="s">
        <x:v>45375</x:v>
      </x:c>
      <x:c r="C11588" s="0" t="s">
        <x:v>42840</x:v>
      </x:c>
      <x:c r="E11588" s="0" t="s">
        <x:v>45376</x:v>
      </x:c>
      <x:c r="F11588" s="0" t="s">
        <x:v>45</x:v>
      </x:c>
      <x:c r="G11588" s="0" t="s">
        <x:v>22</x:v>
      </x:c>
      <x:c r="H11588" s="0" t="s">
        <x:v>20</x:v>
      </x:c>
      <x:c r="I11588" s="0" t="s">
        <x:v>21</x:v>
      </x:c>
      <x:c r="K11588" s="0">
        <x:f>hyperlink("https://icd.who.int/dev11/l-ichi/en#/http%3A%2F%2Fid.who.int%2Ficd%2Fentity%2F914462863","browser")</x:f>
      </x:c>
      <x:c r="L11588" s="0">
        <x:f>hyperlink("https://icat2.azurewebsites.net/icat/?ontology=ICD&amp;tab=ClassesTab&amp;id=http%3A%2F%2Fwho.int%2Ficd%23SpecificAnatomicLocation_2207","iCat")</x:f>
      </x:c>
      <x:c r="M11588" s="0" t="s">
        <x:v>21</x:v>
      </x:c>
      <x:c r="N11588" s="0" t="s">
        <x:v>46</x:v>
      </x:c>
    </x:row>
    <x:row r="11589" spans="1:16">
      <x:c r="A11589" s="0" t="s">
        <x:v>45377</x:v>
      </x:c>
      <x:c r="B11589" s="0" t="s">
        <x:v>45378</x:v>
      </x:c>
      <x:c r="C11589" s="0" t="s">
        <x:v>42840</x:v>
      </x:c>
      <x:c r="E11589" s="0" t="s">
        <x:v>45379</x:v>
      </x:c>
      <x:c r="F11589" s="0" t="s">
        <x:v>45</x:v>
      </x:c>
      <x:c r="G11589" s="0" t="s">
        <x:v>22</x:v>
      </x:c>
      <x:c r="H11589" s="0" t="s">
        <x:v>20</x:v>
      </x:c>
      <x:c r="I11589" s="0" t="s">
        <x:v>21</x:v>
      </x:c>
      <x:c r="K11589" s="0">
        <x:f>hyperlink("https://icd.who.int/dev11/l-ichi/en#/http%3A%2F%2Fid.who.int%2Ficd%2Fentity%2F868053242","browser")</x:f>
      </x:c>
      <x:c r="L11589" s="0">
        <x:f>hyperlink("https://icat2.azurewebsites.net/icat/?ontology=ICD&amp;tab=ClassesTab&amp;id=http%3A%2F%2Fwho.int%2Ficd%23SpecificAnatomicLocation_2125","iCat")</x:f>
      </x:c>
      <x:c r="M11589" s="0" t="s">
        <x:v>20</x:v>
      </x:c>
      <x:c r="N11589" s="0" t="s">
        <x:v>40</x:v>
      </x:c>
    </x:row>
    <x:row r="11590" spans="1:16">
      <x:c r="A11590" s="0" t="s">
        <x:v>45380</x:v>
      </x:c>
      <x:c r="B11590" s="0" t="s">
        <x:v>45381</x:v>
      </x:c>
      <x:c r="C11590" s="0" t="s">
        <x:v>42840</x:v>
      </x:c>
      <x:c r="E11590" s="0" t="s">
        <x:v>45382</x:v>
      </x:c>
      <x:c r="F11590" s="0" t="s">
        <x:v>45</x:v>
      </x:c>
      <x:c r="G11590" s="0" t="s">
        <x:v>40</x:v>
      </x:c>
      <x:c r="H11590" s="0" t="s">
        <x:v>20</x:v>
      </x:c>
      <x:c r="I11590" s="0" t="s">
        <x:v>21</x:v>
      </x:c>
      <x:c r="K11590" s="0">
        <x:f>hyperlink("https://icd.who.int/dev11/l-ichi/en#/http%3A%2F%2Fid.who.int%2Ficd%2Fentity%2F1449414330","browser")</x:f>
      </x:c>
      <x:c r="L11590" s="0">
        <x:f>hyperlink("https://icat2.azurewebsites.net/icat/?ontology=ICD&amp;tab=ClassesTab&amp;id=http%3A%2F%2Fwho.int%2Ficd%23SpecificAnatomicLocation_2122","iCat")</x:f>
      </x:c>
      <x:c r="M11590" s="0" t="s">
        <x:v>21</x:v>
      </x:c>
      <x:c r="N11590" s="0" t="s">
        <x:v>46</x:v>
      </x:c>
    </x:row>
    <x:row r="11591" spans="1:16">
      <x:c r="A11591" s="0" t="s">
        <x:v>45383</x:v>
      </x:c>
      <x:c r="B11591" s="0" t="s">
        <x:v>45384</x:v>
      </x:c>
      <x:c r="C11591" s="0" t="s">
        <x:v>42840</x:v>
      </x:c>
      <x:c r="E11591" s="0" t="s">
        <x:v>45385</x:v>
      </x:c>
      <x:c r="F11591" s="0" t="s">
        <x:v>45</x:v>
      </x:c>
      <x:c r="G11591" s="0" t="s">
        <x:v>40</x:v>
      </x:c>
      <x:c r="H11591" s="0" t="s">
        <x:v>20</x:v>
      </x:c>
      <x:c r="I11591" s="0" t="s">
        <x:v>21</x:v>
      </x:c>
      <x:c r="K11591" s="0">
        <x:f>hyperlink("https://icd.who.int/dev11/l-ichi/en#/http%3A%2F%2Fid.who.int%2Ficd%2Fentity%2F267990479","browser")</x:f>
      </x:c>
      <x:c r="L11591" s="0">
        <x:f>hyperlink("https://icat2.azurewebsites.net/icat/?ontology=ICD&amp;tab=ClassesTab&amp;id=http%3A%2F%2Fwho.int%2Ficd%23SpecificAnatomicLocation_2204","iCat")</x:f>
      </x:c>
      <x:c r="M11591" s="0" t="s">
        <x:v>20</x:v>
      </x:c>
      <x:c r="N11591" s="0" t="s">
        <x:v>19</x:v>
      </x:c>
    </x:row>
    <x:row r="11592" spans="1:16">
      <x:c r="A11592" s="0" t="s">
        <x:v>45386</x:v>
      </x:c>
      <x:c r="B11592" s="0" t="s">
        <x:v>45387</x:v>
      </x:c>
      <x:c r="C11592" s="0" t="s">
        <x:v>42840</x:v>
      </x:c>
      <x:c r="E11592" s="0" t="s">
        <x:v>45388</x:v>
      </x:c>
      <x:c r="F11592" s="0" t="s">
        <x:v>45</x:v>
      </x:c>
      <x:c r="G11592" s="0" t="s">
        <x:v>206</x:v>
      </x:c>
      <x:c r="H11592" s="0" t="s">
        <x:v>20</x:v>
      </x:c>
      <x:c r="I11592" s="0" t="s">
        <x:v>21</x:v>
      </x:c>
      <x:c r="K11592" s="0">
        <x:f>hyperlink("https://icd.who.int/dev11/l-ichi/en#/http%3A%2F%2Fid.who.int%2Ficd%2Fentity%2F367296305","browser")</x:f>
      </x:c>
      <x:c r="L11592" s="0">
        <x:f>hyperlink("https://icat2.azurewebsites.net/icat/?ontology=ICD&amp;tab=ClassesTab&amp;id=http%3A%2F%2Fwho.int%2Ficd%23SpecificAnatomicLocation_2208","iCat")</x:f>
      </x:c>
      <x:c r="M11592" s="0" t="s">
        <x:v>21</x:v>
      </x:c>
      <x:c r="N11592" s="0" t="s">
        <x:v>46</x:v>
      </x:c>
    </x:row>
    <x:row r="11593" spans="1:16">
      <x:c r="A11593" s="0" t="s">
        <x:v>45389</x:v>
      </x:c>
      <x:c r="B11593" s="0" t="s">
        <x:v>45390</x:v>
      </x:c>
      <x:c r="C11593" s="0" t="s">
        <x:v>42840</x:v>
      </x:c>
      <x:c r="E11593" s="0" t="s">
        <x:v>45391</x:v>
      </x:c>
      <x:c r="F11593" s="0" t="s">
        <x:v>45</x:v>
      </x:c>
      <x:c r="G11593" s="0" t="s">
        <x:v>40</x:v>
      </x:c>
      <x:c r="H11593" s="0" t="s">
        <x:v>20</x:v>
      </x:c>
      <x:c r="I11593" s="0" t="s">
        <x:v>21</x:v>
      </x:c>
      <x:c r="K11593" s="0">
        <x:f>hyperlink("https://icd.who.int/dev11/l-ichi/en#/http%3A%2F%2Fid.who.int%2Ficd%2Fentity%2F613749818","browser")</x:f>
      </x:c>
      <x:c r="L11593" s="0">
        <x:f>hyperlink("https://icat2.azurewebsites.net/icat/?ontology=ICD&amp;tab=ClassesTab&amp;id=http%3A%2F%2Fwho.int%2Ficd%23SpecificAnatomicLocation_2124","iCat")</x:f>
      </x:c>
      <x:c r="M11593" s="0" t="s">
        <x:v>21</x:v>
      </x:c>
      <x:c r="N11593" s="0" t="s">
        <x:v>46</x:v>
      </x:c>
    </x:row>
    <x:row r="11594" spans="1:16">
      <x:c r="A11594" s="0" t="s">
        <x:v>45392</x:v>
      </x:c>
      <x:c r="B11594" s="0" t="s">
        <x:v>45393</x:v>
      </x:c>
      <x:c r="C11594" s="0" t="s">
        <x:v>42840</x:v>
      </x:c>
      <x:c r="E11594" s="0" t="s">
        <x:v>45394</x:v>
      </x:c>
      <x:c r="F11594" s="0" t="s">
        <x:v>45</x:v>
      </x:c>
      <x:c r="G11594" s="0" t="s">
        <x:v>40</x:v>
      </x:c>
      <x:c r="H11594" s="0" t="s">
        <x:v>20</x:v>
      </x:c>
      <x:c r="I11594" s="0" t="s">
        <x:v>21</x:v>
      </x:c>
      <x:c r="K11594" s="0">
        <x:f>hyperlink("https://icd.who.int/dev11/l-ichi/en#/http%3A%2F%2Fid.who.int%2Ficd%2Fentity%2F180739514","browser")</x:f>
      </x:c>
      <x:c r="L11594" s="0">
        <x:f>hyperlink("https://icat2.azurewebsites.net/icat/?ontology=ICD&amp;tab=ClassesTab&amp;id=http%3A%2F%2Fwho.int%2Ficd%23SpecificAnatomicLocation_2126","iCat")</x:f>
      </x:c>
      <x:c r="M11594" s="0" t="s">
        <x:v>21</x:v>
      </x:c>
      <x:c r="N11594" s="0" t="s">
        <x:v>46</x:v>
      </x:c>
    </x:row>
    <x:row r="11595" spans="1:16">
      <x:c r="A11595" s="0" t="s">
        <x:v>45395</x:v>
      </x:c>
      <x:c r="B11595" s="0" t="s">
        <x:v>45396</x:v>
      </x:c>
      <x:c r="C11595" s="0" t="s">
        <x:v>42840</x:v>
      </x:c>
      <x:c r="E11595" s="0" t="s">
        <x:v>45397</x:v>
      </x:c>
      <x:c r="F11595" s="0" t="s">
        <x:v>45</x:v>
      </x:c>
      <x:c r="G11595" s="0" t="s">
        <x:v>40</x:v>
      </x:c>
      <x:c r="H11595" s="0" t="s">
        <x:v>20</x:v>
      </x:c>
      <x:c r="I11595" s="0" t="s">
        <x:v>21</x:v>
      </x:c>
      <x:c r="K11595" s="0">
        <x:f>hyperlink("https://icd.who.int/dev11/l-ichi/en#/http%3A%2F%2Fid.who.int%2Ficd%2Fentity%2F1095510650","browser")</x:f>
      </x:c>
      <x:c r="L11595" s="0">
        <x:f>hyperlink("https://icat2.azurewebsites.net/icat/?ontology=ICD&amp;tab=ClassesTab&amp;id=http%3A%2F%2Fwho.int%2Ficd%23SpecificAnatomicLocation_2123","iCat")</x:f>
      </x:c>
      <x:c r="M11595" s="0" t="s">
        <x:v>21</x:v>
      </x:c>
      <x:c r="N11595" s="0" t="s">
        <x:v>46</x:v>
      </x:c>
    </x:row>
    <x:row r="11596" spans="1:16">
      <x:c r="A11596" s="0" t="s">
        <x:v>45398</x:v>
      </x:c>
      <x:c r="B11596" s="0" t="s">
        <x:v>45399</x:v>
      </x:c>
      <x:c r="C11596" s="0" t="s">
        <x:v>42840</x:v>
      </x:c>
      <x:c r="E11596" s="0" t="s">
        <x:v>45400</x:v>
      </x:c>
      <x:c r="F11596" s="0" t="s">
        <x:v>45</x:v>
      </x:c>
      <x:c r="G11596" s="0" t="s">
        <x:v>22</x:v>
      </x:c>
      <x:c r="H11596" s="0" t="s">
        <x:v>20</x:v>
      </x:c>
      <x:c r="I11596" s="0" t="s">
        <x:v>21</x:v>
      </x:c>
      <x:c r="K11596" s="0">
        <x:f>hyperlink("https://icd.who.int/dev11/l-ichi/en#/http%3A%2F%2Fid.who.int%2Ficd%2Fentity%2F476998439","browser")</x:f>
      </x:c>
      <x:c r="L11596" s="0">
        <x:f>hyperlink("https://icat2.azurewebsites.net/icat/?ontology=ICD&amp;tab=ClassesTab&amp;id=http%3A%2F%2Fwho.int%2Ficd%23SpecificAnatomicLocation_2231","iCat")</x:f>
      </x:c>
      <x:c r="M11596" s="0" t="s">
        <x:v>21</x:v>
      </x:c>
      <x:c r="N11596" s="0" t="s">
        <x:v>46</x:v>
      </x:c>
    </x:row>
    <x:row r="11597" spans="1:16">
      <x:c r="A11597" s="0" t="s">
        <x:v>45401</x:v>
      </x:c>
      <x:c r="B11597" s="0" t="s">
        <x:v>45402</x:v>
      </x:c>
      <x:c r="C11597" s="0" t="s">
        <x:v>42840</x:v>
      </x:c>
      <x:c r="E11597" s="0" t="s">
        <x:v>45403</x:v>
      </x:c>
      <x:c r="F11597" s="0" t="s">
        <x:v>45</x:v>
      </x:c>
      <x:c r="G11597" s="0" t="s">
        <x:v>22</x:v>
      </x:c>
      <x:c r="H11597" s="0" t="s">
        <x:v>20</x:v>
      </x:c>
      <x:c r="I11597" s="0" t="s">
        <x:v>21</x:v>
      </x:c>
      <x:c r="K11597" s="0">
        <x:f>hyperlink("https://icd.who.int/dev11/l-ichi/en#/http%3A%2F%2Fid.who.int%2Ficd%2Fentity%2F361571151","browser")</x:f>
      </x:c>
      <x:c r="L11597" s="0">
        <x:f>hyperlink("https://icat2.azurewebsites.net/icat/?ontology=ICD&amp;tab=ClassesTab&amp;id=http%3A%2F%2Fwho.int%2Ficd%23SpecificAnatomicLocation_2154","iCat")</x:f>
      </x:c>
      <x:c r="M11597" s="0" t="s">
        <x:v>21</x:v>
      </x:c>
      <x:c r="N11597" s="0" t="s">
        <x:v>46</x:v>
      </x:c>
    </x:row>
    <x:row r="11598" spans="1:16">
      <x:c r="A11598" s="0" t="s">
        <x:v>45404</x:v>
      </x:c>
      <x:c r="B11598" s="0" t="s">
        <x:v>45405</x:v>
      </x:c>
      <x:c r="C11598" s="0" t="s">
        <x:v>42840</x:v>
      </x:c>
      <x:c r="E11598" s="0" t="s">
        <x:v>45406</x:v>
      </x:c>
      <x:c r="F11598" s="0" t="s">
        <x:v>45</x:v>
      </x:c>
      <x:c r="G11598" s="0" t="s">
        <x:v>22</x:v>
      </x:c>
      <x:c r="H11598" s="0" t="s">
        <x:v>20</x:v>
      </x:c>
      <x:c r="I11598" s="0" t="s">
        <x:v>21</x:v>
      </x:c>
      <x:c r="K11598" s="0">
        <x:f>hyperlink("https://icd.who.int/dev11/l-ichi/en#/http%3A%2F%2Fid.who.int%2Ficd%2Fentity%2F189140967","browser")</x:f>
      </x:c>
      <x:c r="L11598" s="0">
        <x:f>hyperlink("https://icat2.azurewebsites.net/icat/?ontology=ICD&amp;tab=ClassesTab&amp;id=http%3A%2F%2Fwho.int%2Ficd%23SpecificAnatomicLocation_2230","iCat")</x:f>
      </x:c>
      <x:c r="M11598" s="0" t="s">
        <x:v>21</x:v>
      </x:c>
      <x:c r="N11598" s="0" t="s">
        <x:v>46</x:v>
      </x:c>
    </x:row>
    <x:row r="11599" spans="1:16">
      <x:c r="A11599" s="0" t="s">
        <x:v>45407</x:v>
      </x:c>
      <x:c r="B11599" s="0" t="s">
        <x:v>45408</x:v>
      </x:c>
      <x:c r="C11599" s="0" t="s">
        <x:v>42840</x:v>
      </x:c>
      <x:c r="E11599" s="0" t="s">
        <x:v>45409</x:v>
      </x:c>
      <x:c r="F11599" s="0" t="s">
        <x:v>45</x:v>
      </x:c>
      <x:c r="G11599" s="0" t="s">
        <x:v>22</x:v>
      </x:c>
      <x:c r="H11599" s="0" t="s">
        <x:v>20</x:v>
      </x:c>
      <x:c r="I11599" s="0" t="s">
        <x:v>21</x:v>
      </x:c>
      <x:c r="K11599" s="0">
        <x:f>hyperlink("https://icd.who.int/dev11/l-ichi/en#/http%3A%2F%2Fid.who.int%2Ficd%2Fentity%2F539635218","browser")</x:f>
      </x:c>
      <x:c r="L11599" s="0">
        <x:f>hyperlink("https://icat2.azurewebsites.net/icat/?ontology=ICD&amp;tab=ClassesTab&amp;id=http%3A%2F%2Fwho.int%2Ficd%23SpecificAnatomicLocation_2110","iCat")</x:f>
      </x:c>
      <x:c r="M11599" s="0" t="s">
        <x:v>20</x:v>
      </x:c>
      <x:c r="N11599" s="0" t="s">
        <x:v>30</x:v>
      </x:c>
    </x:row>
    <x:row r="11600" spans="1:16">
      <x:c r="A11600" s="0" t="s">
        <x:v>45410</x:v>
      </x:c>
      <x:c r="B11600" s="0" t="s">
        <x:v>45411</x:v>
      </x:c>
      <x:c r="C11600" s="0" t="s">
        <x:v>42840</x:v>
      </x:c>
      <x:c r="E11600" s="0" t="s">
        <x:v>45412</x:v>
      </x:c>
      <x:c r="F11600" s="0" t="s">
        <x:v>45</x:v>
      </x:c>
      <x:c r="G11600" s="0" t="s">
        <x:v>40</x:v>
      </x:c>
      <x:c r="H11600" s="0" t="s">
        <x:v>20</x:v>
      </x:c>
      <x:c r="I11600" s="0" t="s">
        <x:v>21</x:v>
      </x:c>
      <x:c r="K11600" s="0">
        <x:f>hyperlink("https://icd.who.int/dev11/l-ichi/en#/http%3A%2F%2Fid.who.int%2Ficd%2Fentity%2F242935698","browser")</x:f>
      </x:c>
      <x:c r="L11600" s="0">
        <x:f>hyperlink("https://icat2.azurewebsites.net/icat/?ontology=ICD&amp;tab=ClassesTab&amp;id=http%3A%2F%2Fwho.int%2Ficd%23SpecificAnatomicLocation_2112","iCat")</x:f>
      </x:c>
      <x:c r="M11600" s="0" t="s">
        <x:v>21</x:v>
      </x:c>
      <x:c r="N11600" s="0" t="s">
        <x:v>46</x:v>
      </x:c>
    </x:row>
    <x:row r="11601" spans="1:16">
      <x:c r="A11601" s="0" t="s">
        <x:v>45413</x:v>
      </x:c>
      <x:c r="B11601" s="0" t="s">
        <x:v>45414</x:v>
      </x:c>
      <x:c r="C11601" s="0" t="s">
        <x:v>42840</x:v>
      </x:c>
      <x:c r="E11601" s="0" t="s">
        <x:v>45415</x:v>
      </x:c>
      <x:c r="F11601" s="0" t="s">
        <x:v>45</x:v>
      </x:c>
      <x:c r="G11601" s="0" t="s">
        <x:v>40</x:v>
      </x:c>
      <x:c r="H11601" s="0" t="s">
        <x:v>20</x:v>
      </x:c>
      <x:c r="I11601" s="0" t="s">
        <x:v>21</x:v>
      </x:c>
      <x:c r="K11601" s="0">
        <x:f>hyperlink("https://icd.who.int/dev11/l-ichi/en#/http%3A%2F%2Fid.who.int%2Ficd%2Fentity%2F424837970","browser")</x:f>
      </x:c>
      <x:c r="L11601" s="0">
        <x:f>hyperlink("https://icat2.azurewebsites.net/icat/?ontology=ICD&amp;tab=ClassesTab&amp;id=http%3A%2F%2Fwho.int%2Ficd%23SpecificAnatomicLocation_2113","iCat")</x:f>
      </x:c>
      <x:c r="M11601" s="0" t="s">
        <x:v>21</x:v>
      </x:c>
      <x:c r="N11601" s="0" t="s">
        <x:v>46</x:v>
      </x:c>
    </x:row>
    <x:row r="11602" spans="1:16">
      <x:c r="A11602" s="0" t="s">
        <x:v>45416</x:v>
      </x:c>
      <x:c r="B11602" s="0" t="s">
        <x:v>45417</x:v>
      </x:c>
      <x:c r="C11602" s="0" t="s">
        <x:v>42840</x:v>
      </x:c>
      <x:c r="E11602" s="0" t="s">
        <x:v>45418</x:v>
      </x:c>
      <x:c r="F11602" s="0" t="s">
        <x:v>45</x:v>
      </x:c>
      <x:c r="G11602" s="0" t="s">
        <x:v>22</x:v>
      </x:c>
      <x:c r="H11602" s="0" t="s">
        <x:v>20</x:v>
      </x:c>
      <x:c r="I11602" s="0" t="s">
        <x:v>21</x:v>
      </x:c>
      <x:c r="K11602" s="0">
        <x:f>hyperlink("https://icd.who.int/dev11/l-ichi/en#/http%3A%2F%2Fid.who.int%2Ficd%2Fentity%2F1049124550","browser")</x:f>
      </x:c>
      <x:c r="L11602" s="0">
        <x:f>hyperlink("https://icat2.azurewebsites.net/icat/?ontology=ICD&amp;tab=ClassesTab&amp;id=http%3A%2F%2Fwho.int%2Ficd%23SpecificAnatomicLocation_2128","iCat")</x:f>
      </x:c>
      <x:c r="M11602" s="0" t="s">
        <x:v>21</x:v>
      </x:c>
      <x:c r="N11602" s="0" t="s">
        <x:v>46</x:v>
      </x:c>
    </x:row>
    <x:row r="11603" spans="1:16">
      <x:c r="A11603" s="0" t="s">
        <x:v>45419</x:v>
      </x:c>
      <x:c r="B11603" s="0" t="s">
        <x:v>45420</x:v>
      </x:c>
      <x:c r="C11603" s="0" t="s">
        <x:v>42840</x:v>
      </x:c>
      <x:c r="E11603" s="0" t="s">
        <x:v>45421</x:v>
      </x:c>
      <x:c r="F11603" s="0" t="s">
        <x:v>45</x:v>
      </x:c>
      <x:c r="G11603" s="0" t="s">
        <x:v>22</x:v>
      </x:c>
      <x:c r="H11603" s="0" t="s">
        <x:v>20</x:v>
      </x:c>
      <x:c r="I11603" s="0" t="s">
        <x:v>21</x:v>
      </x:c>
      <x:c r="K11603" s="0">
        <x:f>hyperlink("https://icd.who.int/dev11/l-ichi/en#/http%3A%2F%2Fid.who.int%2Ficd%2Fentity%2F1079165983","browser")</x:f>
      </x:c>
      <x:c r="L11603" s="0">
        <x:f>hyperlink("https://icat2.azurewebsites.net/icat/?ontology=ICD&amp;tab=ClassesTab&amp;id=http%3A%2F%2Fwho.int%2Ficd%23SpecificAnatomicLocation_2138","iCat")</x:f>
      </x:c>
      <x:c r="M11603" s="0" t="s">
        <x:v>20</x:v>
      </x:c>
      <x:c r="N11603" s="0" t="s">
        <x:v>40</x:v>
      </x:c>
    </x:row>
    <x:row r="11604" spans="1:16">
      <x:c r="A11604" s="0" t="s">
        <x:v>45422</x:v>
      </x:c>
      <x:c r="B11604" s="0" t="s">
        <x:v>45423</x:v>
      </x:c>
      <x:c r="C11604" s="0" t="s">
        <x:v>42840</x:v>
      </x:c>
      <x:c r="E11604" s="0" t="s">
        <x:v>45424</x:v>
      </x:c>
      <x:c r="F11604" s="0" t="s">
        <x:v>45</x:v>
      </x:c>
      <x:c r="G11604" s="0" t="s">
        <x:v>40</x:v>
      </x:c>
      <x:c r="H11604" s="0" t="s">
        <x:v>20</x:v>
      </x:c>
      <x:c r="I11604" s="0" t="s">
        <x:v>21</x:v>
      </x:c>
      <x:c r="K11604" s="0">
        <x:f>hyperlink("https://icd.who.int/dev11/l-ichi/en#/http%3A%2F%2Fid.who.int%2Ficd%2Fentity%2F938879638","browser")</x:f>
      </x:c>
      <x:c r="L11604" s="0">
        <x:f>hyperlink("https://icat2.azurewebsites.net/icat/?ontology=ICD&amp;tab=ClassesTab&amp;id=http%3A%2F%2Fwho.int%2Ficd%23SpecificAnatomicLocation_2140","iCat")</x:f>
      </x:c>
      <x:c r="M11604" s="0" t="s">
        <x:v>21</x:v>
      </x:c>
      <x:c r="N11604" s="0" t="s">
        <x:v>46</x:v>
      </x:c>
    </x:row>
    <x:row r="11605" spans="1:16">
      <x:c r="A11605" s="0" t="s">
        <x:v>45425</x:v>
      </x:c>
      <x:c r="B11605" s="0" t="s">
        <x:v>45426</x:v>
      </x:c>
      <x:c r="C11605" s="0" t="s">
        <x:v>42840</x:v>
      </x:c>
      <x:c r="E11605" s="0" t="s">
        <x:v>45427</x:v>
      </x:c>
      <x:c r="F11605" s="0" t="s">
        <x:v>45</x:v>
      </x:c>
      <x:c r="G11605" s="0" t="s">
        <x:v>40</x:v>
      </x:c>
      <x:c r="H11605" s="0" t="s">
        <x:v>20</x:v>
      </x:c>
      <x:c r="I11605" s="0" t="s">
        <x:v>21</x:v>
      </x:c>
      <x:c r="K11605" s="0">
        <x:f>hyperlink("https://icd.who.int/dev11/l-ichi/en#/http%3A%2F%2Fid.who.int%2Ficd%2Fentity%2F1378817238","browser")</x:f>
      </x:c>
      <x:c r="L11605" s="0">
        <x:f>hyperlink("https://icat2.azurewebsites.net/icat/?ontology=ICD&amp;tab=ClassesTab&amp;id=http%3A%2F%2Fwho.int%2Ficd%23SpecificAnatomicLocation_2147","iCat")</x:f>
      </x:c>
      <x:c r="M11605" s="0" t="s">
        <x:v>21</x:v>
      </x:c>
      <x:c r="N11605" s="0" t="s">
        <x:v>46</x:v>
      </x:c>
    </x:row>
    <x:row r="11606" spans="1:16">
      <x:c r="A11606" s="0" t="s">
        <x:v>45428</x:v>
      </x:c>
      <x:c r="B11606" s="0" t="s">
        <x:v>45429</x:v>
      </x:c>
      <x:c r="C11606" s="0" t="s">
        <x:v>42840</x:v>
      </x:c>
      <x:c r="E11606" s="0" t="s">
        <x:v>45430</x:v>
      </x:c>
      <x:c r="F11606" s="0" t="s">
        <x:v>45</x:v>
      </x:c>
      <x:c r="G11606" s="0" t="s">
        <x:v>40</x:v>
      </x:c>
      <x:c r="H11606" s="0" t="s">
        <x:v>20</x:v>
      </x:c>
      <x:c r="I11606" s="0" t="s">
        <x:v>21</x:v>
      </x:c>
      <x:c r="K11606" s="0">
        <x:f>hyperlink("https://icd.who.int/dev11/l-ichi/en#/http%3A%2F%2Fid.who.int%2Ficd%2Fentity%2F1158115350","browser")</x:f>
      </x:c>
      <x:c r="L11606" s="0">
        <x:f>hyperlink("https://icat2.azurewebsites.net/icat/?ontology=ICD&amp;tab=ClassesTab&amp;id=http%3A%2F%2Fwho.int%2Ficd%23SpecificAnatomicLocation_2146","iCat")</x:f>
      </x:c>
      <x:c r="M11606" s="0" t="s">
        <x:v>21</x:v>
      </x:c>
      <x:c r="N11606" s="0" t="s">
        <x:v>46</x:v>
      </x:c>
    </x:row>
    <x:row r="11607" spans="1:16">
      <x:c r="A11607" s="0" t="s">
        <x:v>45431</x:v>
      </x:c>
      <x:c r="B11607" s="0" t="s">
        <x:v>45432</x:v>
      </x:c>
      <x:c r="C11607" s="0" t="s">
        <x:v>42840</x:v>
      </x:c>
      <x:c r="E11607" s="0" t="s">
        <x:v>45433</x:v>
      </x:c>
      <x:c r="F11607" s="0" t="s">
        <x:v>45</x:v>
      </x:c>
      <x:c r="G11607" s="0" t="s">
        <x:v>40</x:v>
      </x:c>
      <x:c r="H11607" s="0" t="s">
        <x:v>20</x:v>
      </x:c>
      <x:c r="I11607" s="0" t="s">
        <x:v>21</x:v>
      </x:c>
      <x:c r="K11607" s="0">
        <x:f>hyperlink("https://icd.who.int/dev11/l-ichi/en#/http%3A%2F%2Fid.who.int%2Ficd%2Fentity%2F1717737386","browser")</x:f>
      </x:c>
      <x:c r="L11607" s="0">
        <x:f>hyperlink("https://icat2.azurewebsites.net/icat/?ontology=ICD&amp;tab=ClassesTab&amp;id=http%3A%2F%2Fwho.int%2Ficd%23SpecificAnatomicLocation_2149","iCat")</x:f>
      </x:c>
      <x:c r="M11607" s="0" t="s">
        <x:v>21</x:v>
      </x:c>
      <x:c r="N11607" s="0" t="s">
        <x:v>46</x:v>
      </x:c>
    </x:row>
    <x:row r="11608" spans="1:16">
      <x:c r="A11608" s="0" t="s">
        <x:v>45434</x:v>
      </x:c>
      <x:c r="B11608" s="0" t="s">
        <x:v>45435</x:v>
      </x:c>
      <x:c r="C11608" s="0" t="s">
        <x:v>42840</x:v>
      </x:c>
      <x:c r="E11608" s="0" t="s">
        <x:v>45436</x:v>
      </x:c>
      <x:c r="F11608" s="0" t="s">
        <x:v>45</x:v>
      </x:c>
      <x:c r="G11608" s="0" t="s">
        <x:v>40</x:v>
      </x:c>
      <x:c r="H11608" s="0" t="s">
        <x:v>20</x:v>
      </x:c>
      <x:c r="I11608" s="0" t="s">
        <x:v>21</x:v>
      </x:c>
      <x:c r="K11608" s="0">
        <x:f>hyperlink("https://icd.who.int/dev11/l-ichi/en#/http%3A%2F%2Fid.who.int%2Ficd%2Fentity%2F1467654367","browser")</x:f>
      </x:c>
      <x:c r="L11608" s="0">
        <x:f>hyperlink("https://icat2.azurewebsites.net/icat/?ontology=ICD&amp;tab=ClassesTab&amp;id=http%3A%2F%2Fwho.int%2Ficd%23SpecificAnatomicLocation_2139","iCat")</x:f>
      </x:c>
      <x:c r="M11608" s="0" t="s">
        <x:v>20</x:v>
      </x:c>
      <x:c r="N11608" s="0" t="s">
        <x:v>19</x:v>
      </x:c>
    </x:row>
    <x:row r="11609" spans="1:16">
      <x:c r="A11609" s="0" t="s">
        <x:v>45437</x:v>
      </x:c>
      <x:c r="B11609" s="0" t="s">
        <x:v>45438</x:v>
      </x:c>
      <x:c r="C11609" s="0" t="s">
        <x:v>42840</x:v>
      </x:c>
      <x:c r="E11609" s="0" t="s">
        <x:v>45439</x:v>
      </x:c>
      <x:c r="F11609" s="0" t="s">
        <x:v>45</x:v>
      </x:c>
      <x:c r="G11609" s="0" t="s">
        <x:v>206</x:v>
      </x:c>
      <x:c r="H11609" s="0" t="s">
        <x:v>20</x:v>
      </x:c>
      <x:c r="I11609" s="0" t="s">
        <x:v>21</x:v>
      </x:c>
      <x:c r="K11609" s="0">
        <x:f>hyperlink("https://icd.who.int/dev11/l-ichi/en#/http%3A%2F%2Fid.who.int%2Ficd%2Fentity%2F1800911254","browser")</x:f>
      </x:c>
      <x:c r="L11609" s="0">
        <x:f>hyperlink("https://icat2.azurewebsites.net/icat/?ontology=ICD&amp;tab=ClassesTab&amp;id=http%3A%2F%2Fwho.int%2Ficd%23SpecificAnatomicLocation_2144","iCat")</x:f>
      </x:c>
      <x:c r="M11609" s="0" t="s">
        <x:v>21</x:v>
      </x:c>
      <x:c r="N11609" s="0" t="s">
        <x:v>46</x:v>
      </x:c>
    </x:row>
    <x:row r="11610" spans="1:16">
      <x:c r="A11610" s="0" t="s">
        <x:v>45440</x:v>
      </x:c>
      <x:c r="B11610" s="0" t="s">
        <x:v>45441</x:v>
      </x:c>
      <x:c r="C11610" s="0" t="s">
        <x:v>42840</x:v>
      </x:c>
      <x:c r="E11610" s="0" t="s">
        <x:v>45442</x:v>
      </x:c>
      <x:c r="F11610" s="0" t="s">
        <x:v>45</x:v>
      </x:c>
      <x:c r="G11610" s="0" t="s">
        <x:v>22</x:v>
      </x:c>
      <x:c r="H11610" s="0" t="s">
        <x:v>20</x:v>
      </x:c>
      <x:c r="I11610" s="0" t="s">
        <x:v>21</x:v>
      </x:c>
      <x:c r="K11610" s="0">
        <x:f>hyperlink("https://icd.who.int/dev11/l-ichi/en#/http%3A%2F%2Fid.who.int%2Ficd%2Fentity%2F2088754518","browser")</x:f>
      </x:c>
      <x:c r="L11610" s="0">
        <x:f>hyperlink("https://icat2.azurewebsites.net/icat/?ontology=ICD&amp;tab=ClassesTab&amp;id=http%3A%2F%2Fwho.int%2Ficd%23SpecificAnatomicLocation_2145","iCat")</x:f>
      </x:c>
      <x:c r="M11610" s="0" t="s">
        <x:v>21</x:v>
      </x:c>
      <x:c r="N11610" s="0" t="s">
        <x:v>46</x:v>
      </x:c>
    </x:row>
    <x:row r="11611" spans="1:16">
      <x:c r="A11611" s="0" t="s">
        <x:v>45443</x:v>
      </x:c>
      <x:c r="B11611" s="0" t="s">
        <x:v>45444</x:v>
      </x:c>
      <x:c r="C11611" s="0" t="s">
        <x:v>42840</x:v>
      </x:c>
      <x:c r="E11611" s="0" t="s">
        <x:v>45445</x:v>
      </x:c>
      <x:c r="F11611" s="0" t="s">
        <x:v>45</x:v>
      </x:c>
      <x:c r="G11611" s="0" t="s">
        <x:v>22</x:v>
      </x:c>
      <x:c r="H11611" s="0" t="s">
        <x:v>20</x:v>
      </x:c>
      <x:c r="I11611" s="0" t="s">
        <x:v>21</x:v>
      </x:c>
      <x:c r="K11611" s="0">
        <x:f>hyperlink("https://icd.who.int/dev11/l-ichi/en#/http%3A%2F%2Fid.who.int%2Ficd%2Fentity%2F693393986","browser")</x:f>
      </x:c>
      <x:c r="L11611" s="0">
        <x:f>hyperlink("https://icat2.azurewebsites.net/icat/?ontology=ICD&amp;tab=ClassesTab&amp;id=http%3A%2F%2Fwho.int%2Ficd%23SpecificAnatomicLocation_2178","iCat")</x:f>
      </x:c>
      <x:c r="M11611" s="0" t="s">
        <x:v>21</x:v>
      </x:c>
      <x:c r="N11611" s="0" t="s">
        <x:v>46</x:v>
      </x:c>
    </x:row>
    <x:row r="11612" spans="1:16">
      <x:c r="A11612" s="0" t="s">
        <x:v>45446</x:v>
      </x:c>
      <x:c r="B11612" s="0" t="s">
        <x:v>45447</x:v>
      </x:c>
      <x:c r="C11612" s="0" t="s">
        <x:v>42840</x:v>
      </x:c>
      <x:c r="E11612" s="0" t="s">
        <x:v>45448</x:v>
      </x:c>
      <x:c r="F11612" s="0" t="s">
        <x:v>45</x:v>
      </x:c>
      <x:c r="G11612" s="0" t="s">
        <x:v>22</x:v>
      </x:c>
      <x:c r="H11612" s="0" t="s">
        <x:v>20</x:v>
      </x:c>
      <x:c r="I11612" s="0" t="s">
        <x:v>21</x:v>
      </x:c>
      <x:c r="K11612" s="0">
        <x:f>hyperlink("https://icd.who.int/dev11/l-ichi/en#/http%3A%2F%2Fid.who.int%2Ficd%2Fentity%2F683594849","browser")</x:f>
      </x:c>
      <x:c r="L11612" s="0">
        <x:f>hyperlink("https://icat2.azurewebsites.net/icat/?ontology=ICD&amp;tab=ClassesTab&amp;id=http%3A%2F%2Fwho.int%2Ficd%23SpecificAnatomicLocation_2132","iCat")</x:f>
      </x:c>
      <x:c r="M11612" s="0" t="s">
        <x:v>21</x:v>
      </x:c>
      <x:c r="N11612" s="0" t="s">
        <x:v>46</x:v>
      </x:c>
    </x:row>
    <x:row r="11613" spans="1:16">
      <x:c r="A11613" s="0" t="s">
        <x:v>45449</x:v>
      </x:c>
      <x:c r="B11613" s="0" t="s">
        <x:v>45450</x:v>
      </x:c>
      <x:c r="C11613" s="0" t="s">
        <x:v>42840</x:v>
      </x:c>
      <x:c r="E11613" s="0" t="s">
        <x:v>45451</x:v>
      </x:c>
      <x:c r="F11613" s="0" t="s">
        <x:v>45</x:v>
      </x:c>
      <x:c r="G11613" s="0" t="s">
        <x:v>22</x:v>
      </x:c>
      <x:c r="H11613" s="0" t="s">
        <x:v>20</x:v>
      </x:c>
      <x:c r="I11613" s="0" t="s">
        <x:v>21</x:v>
      </x:c>
      <x:c r="K11613" s="0">
        <x:f>hyperlink("https://icd.who.int/dev11/l-ichi/en#/http%3A%2F%2Fid.who.int%2Ficd%2Fentity%2F407661879","browser")</x:f>
      </x:c>
      <x:c r="L11613" s="0">
        <x:f>hyperlink("https://icat2.azurewebsites.net/icat/?ontology=ICD&amp;tab=ClassesTab&amp;id=http%3A%2F%2Fwho.int%2Ficd%23SpecificAnatomicLocation_2108","iCat")</x:f>
      </x:c>
      <x:c r="M11613" s="0" t="s">
        <x:v>21</x:v>
      </x:c>
      <x:c r="N11613" s="0" t="s">
        <x:v>46</x:v>
      </x:c>
    </x:row>
    <x:row r="11614" spans="1:16">
      <x:c r="A11614" s="0" t="s">
        <x:v>45452</x:v>
      </x:c>
      <x:c r="B11614" s="0" t="s">
        <x:v>45453</x:v>
      </x:c>
      <x:c r="C11614" s="0" t="s">
        <x:v>42840</x:v>
      </x:c>
      <x:c r="E11614" s="0" t="s">
        <x:v>45454</x:v>
      </x:c>
      <x:c r="F11614" s="0" t="s">
        <x:v>45</x:v>
      </x:c>
      <x:c r="G11614" s="0" t="s">
        <x:v>22</x:v>
      </x:c>
      <x:c r="H11614" s="0" t="s">
        <x:v>20</x:v>
      </x:c>
      <x:c r="I11614" s="0" t="s">
        <x:v>21</x:v>
      </x:c>
      <x:c r="K11614" s="0">
        <x:f>hyperlink("https://icd.who.int/dev11/l-ichi/en#/http%3A%2F%2Fid.who.int%2Ficd%2Fentity%2F502118778","browser")</x:f>
      </x:c>
      <x:c r="L11614" s="0">
        <x:f>hyperlink("https://icat2.azurewebsites.net/icat/?ontology=ICD&amp;tab=ClassesTab&amp;id=http%3A%2F%2Fwho.int%2Ficd%23SpecificAnatomicLocation_2127","iCat")</x:f>
      </x:c>
      <x:c r="M11614" s="0" t="s">
        <x:v>21</x:v>
      </x:c>
      <x:c r="N11614" s="0" t="s">
        <x:v>46</x:v>
      </x:c>
    </x:row>
    <x:row r="11615" spans="1:16">
      <x:c r="A11615" s="0" t="s">
        <x:v>45455</x:v>
      </x:c>
      <x:c r="B11615" s="0" t="s">
        <x:v>45456</x:v>
      </x:c>
      <x:c r="C11615" s="0" t="s">
        <x:v>42840</x:v>
      </x:c>
      <x:c r="E11615" s="0" t="s">
        <x:v>45457</x:v>
      </x:c>
      <x:c r="F11615" s="0" t="s">
        <x:v>45</x:v>
      </x:c>
      <x:c r="G11615" s="0" t="s">
        <x:v>22</x:v>
      </x:c>
      <x:c r="H11615" s="0" t="s">
        <x:v>20</x:v>
      </x:c>
      <x:c r="I11615" s="0" t="s">
        <x:v>21</x:v>
      </x:c>
      <x:c r="K11615" s="0">
        <x:f>hyperlink("https://icd.who.int/dev11/l-ichi/en#/http%3A%2F%2Fid.who.int%2Ficd%2Fentity%2F1997200087","browser")</x:f>
      </x:c>
      <x:c r="L11615" s="0">
        <x:f>hyperlink("https://icat2.azurewebsites.net/icat/?ontology=ICD&amp;tab=ClassesTab&amp;id=http%3A%2F%2Fwho.int%2Ficd%23SpecificAnatomicLocation_2070","iCat")</x:f>
      </x:c>
      <x:c r="M11615" s="0" t="s">
        <x:v>21</x:v>
      </x:c>
      <x:c r="N11615" s="0" t="s">
        <x:v>46</x:v>
      </x:c>
    </x:row>
    <x:row r="11616" spans="1:16">
      <x:c r="A11616" s="0" t="s">
        <x:v>45458</x:v>
      </x:c>
      <x:c r="B11616" s="0" t="s">
        <x:v>45459</x:v>
      </x:c>
      <x:c r="C11616" s="0" t="s">
        <x:v>42840</x:v>
      </x:c>
      <x:c r="E11616" s="0" t="s">
        <x:v>45460</x:v>
      </x:c>
      <x:c r="F11616" s="0" t="s">
        <x:v>45</x:v>
      </x:c>
      <x:c r="G11616" s="0" t="s">
        <x:v>22</x:v>
      </x:c>
      <x:c r="H11616" s="0" t="s">
        <x:v>20</x:v>
      </x:c>
      <x:c r="I11616" s="0" t="s">
        <x:v>21</x:v>
      </x:c>
      <x:c r="K11616" s="0">
        <x:f>hyperlink("https://icd.who.int/dev11/l-ichi/en#/http%3A%2F%2Fid.who.int%2Ficd%2Fentity%2F1780485007","browser")</x:f>
      </x:c>
      <x:c r="L11616" s="0">
        <x:f>hyperlink("https://icat2.azurewebsites.net/icat/?ontology=ICD&amp;tab=ClassesTab&amp;id=http%3A%2F%2Fwho.int%2Ficd%23SpecificAnatomicLocation_2203","iCat")</x:f>
      </x:c>
      <x:c r="M11616" s="0" t="s">
        <x:v>21</x:v>
      </x:c>
      <x:c r="N11616" s="0" t="s">
        <x:v>46</x:v>
      </x:c>
    </x:row>
    <x:row r="11617" spans="1:16">
      <x:c r="A11617" s="0" t="s">
        <x:v>45461</x:v>
      </x:c>
      <x:c r="B11617" s="0" t="s">
        <x:v>45462</x:v>
      </x:c>
      <x:c r="C11617" s="0" t="s">
        <x:v>42840</x:v>
      </x:c>
      <x:c r="E11617" s="0" t="s">
        <x:v>45463</x:v>
      </x:c>
      <x:c r="F11617" s="0" t="s">
        <x:v>45</x:v>
      </x:c>
      <x:c r="G11617" s="0" t="s">
        <x:v>22</x:v>
      </x:c>
      <x:c r="H11617" s="0" t="s">
        <x:v>20</x:v>
      </x:c>
      <x:c r="I11617" s="0" t="s">
        <x:v>21</x:v>
      </x:c>
      <x:c r="K11617" s="0">
        <x:f>hyperlink("https://icd.who.int/dev11/l-ichi/en#/http%3A%2F%2Fid.who.int%2Ficd%2Fentity%2F1900737386","browser")</x:f>
      </x:c>
      <x:c r="L11617" s="0">
        <x:f>hyperlink("https://icat2.azurewebsites.net/icat/?ontology=ICD&amp;tab=ClassesTab&amp;id=http%3A%2F%2Fwho.int%2Ficd%23SpecificAnatomicLocation_2148","iCat")</x:f>
      </x:c>
      <x:c r="M11617" s="0" t="s">
        <x:v>21</x:v>
      </x:c>
      <x:c r="N11617" s="0" t="s">
        <x:v>46</x:v>
      </x:c>
    </x:row>
    <x:row r="11618" spans="1:16">
      <x:c r="A11618" s="0" t="s">
        <x:v>45464</x:v>
      </x:c>
      <x:c r="B11618" s="0" t="s">
        <x:v>45465</x:v>
      </x:c>
      <x:c r="C11618" s="0" t="s">
        <x:v>42840</x:v>
      </x:c>
      <x:c r="E11618" s="0" t="s">
        <x:v>45466</x:v>
      </x:c>
      <x:c r="F11618" s="0" t="s">
        <x:v>45</x:v>
      </x:c>
      <x:c r="G11618" s="0" t="s">
        <x:v>22</x:v>
      </x:c>
      <x:c r="H11618" s="0" t="s">
        <x:v>20</x:v>
      </x:c>
      <x:c r="I11618" s="0" t="s">
        <x:v>21</x:v>
      </x:c>
      <x:c r="K11618" s="0">
        <x:f>hyperlink("https://icd.who.int/dev11/l-ichi/en#/http%3A%2F%2Fid.who.int%2Ficd%2Fentity%2F1048329858","browser")</x:f>
      </x:c>
      <x:c r="L11618" s="0">
        <x:f>hyperlink("https://icat2.azurewebsites.net/icat/?ontology=ICD&amp;tab=ClassesTab&amp;id=http%3A%2F%2Fwho.int%2Ficd%23SpecificAnatomicLocation_2179","iCat")</x:f>
      </x:c>
      <x:c r="M11618" s="0" t="s">
        <x:v>21</x:v>
      </x:c>
      <x:c r="N11618" s="0" t="s">
        <x:v>46</x:v>
      </x:c>
    </x:row>
    <x:row r="11619" spans="1:16">
      <x:c r="A11619" s="0" t="s">
        <x:v>45467</x:v>
      </x:c>
      <x:c r="B11619" s="0" t="s">
        <x:v>45468</x:v>
      </x:c>
      <x:c r="C11619" s="0" t="s">
        <x:v>42840</x:v>
      </x:c>
      <x:c r="E11619" s="0" t="s">
        <x:v>45469</x:v>
      </x:c>
      <x:c r="F11619" s="0" t="s">
        <x:v>45</x:v>
      </x:c>
      <x:c r="G11619" s="0" t="s">
        <x:v>22</x:v>
      </x:c>
      <x:c r="H11619" s="0" t="s">
        <x:v>20</x:v>
      </x:c>
      <x:c r="I11619" s="0" t="s">
        <x:v>21</x:v>
      </x:c>
      <x:c r="K11619" s="0">
        <x:f>hyperlink("https://icd.who.int/dev11/l-ichi/en#/http%3A%2F%2Fid.who.int%2Ficd%2Fentity%2F1961568039","browser")</x:f>
      </x:c>
      <x:c r="L11619" s="0">
        <x:f>hyperlink("https://icat2.azurewebsites.net/icat/?ontology=ICD&amp;tab=ClassesTab&amp;id=http%3A%2F%2Fwho.int%2Ficd%23SpecificAnatomicLocation_2167","iCat")</x:f>
      </x:c>
      <x:c r="M11619" s="0" t="s">
        <x:v>21</x:v>
      </x:c>
      <x:c r="N11619" s="0" t="s">
        <x:v>46</x:v>
      </x:c>
    </x:row>
    <x:row r="11620" spans="1:16">
      <x:c r="A11620" s="0" t="s">
        <x:v>45470</x:v>
      </x:c>
      <x:c r="B11620" s="0" t="s">
        <x:v>45471</x:v>
      </x:c>
      <x:c r="C11620" s="0" t="s">
        <x:v>42840</x:v>
      </x:c>
      <x:c r="E11620" s="0" t="s">
        <x:v>45472</x:v>
      </x:c>
      <x:c r="F11620" s="0" t="s">
        <x:v>45</x:v>
      </x:c>
      <x:c r="G11620" s="0" t="s">
        <x:v>22</x:v>
      </x:c>
      <x:c r="H11620" s="0" t="s">
        <x:v>20</x:v>
      </x:c>
      <x:c r="I11620" s="0" t="s">
        <x:v>21</x:v>
      </x:c>
      <x:c r="K11620" s="0">
        <x:f>hyperlink("https://icd.who.int/dev11/l-ichi/en#/http%3A%2F%2Fid.who.int%2Ficd%2Fentity%2F1736210895","browser")</x:f>
      </x:c>
      <x:c r="L11620" s="0">
        <x:f>hyperlink("https://icat2.azurewebsites.net/icat/?ontology=ICD&amp;tab=ClassesTab&amp;id=http%3A%2F%2Fwho.int%2Ficd%23SpecificAnatomicLocation_2152","iCat")</x:f>
      </x:c>
      <x:c r="M11620" s="0" t="s">
        <x:v>20</x:v>
      </x:c>
      <x:c r="N11620" s="0" t="s">
        <x:v>36</x:v>
      </x:c>
    </x:row>
    <x:row r="11621" spans="1:16">
      <x:c r="A11621" s="0" t="s">
        <x:v>45473</x:v>
      </x:c>
      <x:c r="B11621" s="0" t="s">
        <x:v>45474</x:v>
      </x:c>
      <x:c r="C11621" s="0" t="s">
        <x:v>42840</x:v>
      </x:c>
      <x:c r="E11621" s="0" t="s">
        <x:v>45475</x:v>
      </x:c>
      <x:c r="F11621" s="0" t="s">
        <x:v>45</x:v>
      </x:c>
      <x:c r="G11621" s="0" t="s">
        <x:v>40</x:v>
      </x:c>
      <x:c r="H11621" s="0" t="s">
        <x:v>20</x:v>
      </x:c>
      <x:c r="I11621" s="0" t="s">
        <x:v>21</x:v>
      </x:c>
      <x:c r="K11621" s="0">
        <x:f>hyperlink("https://icd.who.int/dev11/l-ichi/en#/http%3A%2F%2Fid.who.int%2Ficd%2Fentity%2F1884560655","browser")</x:f>
      </x:c>
      <x:c r="L11621" s="0">
        <x:f>hyperlink("https://icat2.azurewebsites.net/icat/?ontology=ICD&amp;tab=ClassesTab&amp;id=http%3A%2F%2Fwho.int%2Ficd%23SpecificAnatomicLocation_2153","iCat")</x:f>
      </x:c>
      <x:c r="M11621" s="0" t="s">
        <x:v>21</x:v>
      </x:c>
      <x:c r="N11621" s="0" t="s">
        <x:v>46</x:v>
      </x:c>
    </x:row>
    <x:row r="11622" spans="1:16">
      <x:c r="A11622" s="0" t="s">
        <x:v>45476</x:v>
      </x:c>
      <x:c r="B11622" s="0" t="s">
        <x:v>45477</x:v>
      </x:c>
      <x:c r="C11622" s="0" t="s">
        <x:v>42840</x:v>
      </x:c>
      <x:c r="E11622" s="0" t="s">
        <x:v>45478</x:v>
      </x:c>
      <x:c r="F11622" s="0" t="s">
        <x:v>45</x:v>
      </x:c>
      <x:c r="G11622" s="0" t="s">
        <x:v>40</x:v>
      </x:c>
      <x:c r="H11622" s="0" t="s">
        <x:v>20</x:v>
      </x:c>
      <x:c r="I11622" s="0" t="s">
        <x:v>21</x:v>
      </x:c>
      <x:c r="K11622" s="0">
        <x:f>hyperlink("https://icd.who.int/dev11/l-ichi/en#/http%3A%2F%2Fid.who.int%2Ficd%2Fentity%2F1102596670","browser")</x:f>
      </x:c>
      <x:c r="L11622" s="0">
        <x:f>hyperlink("https://icat2.azurewebsites.net/icat/?ontology=ICD&amp;tab=ClassesTab&amp;id=http%3A%2F%2Fwho.int%2Ficd%23SpecificAnatomicLocation_2172","iCat")</x:f>
      </x:c>
      <x:c r="M11622" s="0" t="s">
        <x:v>21</x:v>
      </x:c>
      <x:c r="N11622" s="0" t="s">
        <x:v>46</x:v>
      </x:c>
    </x:row>
    <x:row r="11623" spans="1:16">
      <x:c r="A11623" s="0" t="s">
        <x:v>45479</x:v>
      </x:c>
      <x:c r="B11623" s="0" t="s">
        <x:v>45480</x:v>
      </x:c>
      <x:c r="C11623" s="0" t="s">
        <x:v>42840</x:v>
      </x:c>
      <x:c r="E11623" s="0" t="s">
        <x:v>45481</x:v>
      </x:c>
      <x:c r="F11623" s="0" t="s">
        <x:v>45</x:v>
      </x:c>
      <x:c r="G11623" s="0" t="s">
        <x:v>40</x:v>
      </x:c>
      <x:c r="H11623" s="0" t="s">
        <x:v>20</x:v>
      </x:c>
      <x:c r="I11623" s="0" t="s">
        <x:v>21</x:v>
      </x:c>
      <x:c r="K11623" s="0">
        <x:f>hyperlink("https://icd.who.int/dev11/l-ichi/en#/http%3A%2F%2Fid.who.int%2Ficd%2Fentity%2F1301514855","browser")</x:f>
      </x:c>
      <x:c r="L11623" s="0">
        <x:f>hyperlink("https://icat2.azurewebsites.net/icat/?ontology=ICD&amp;tab=ClassesTab&amp;id=http%3A%2F%2Fwho.int%2Ficd%23SpecificAnatomicLocation_2164","iCat")</x:f>
      </x:c>
      <x:c r="M11623" s="0" t="s">
        <x:v>20</x:v>
      </x:c>
      <x:c r="N11623" s="0" t="s">
        <x:v>30</x:v>
      </x:c>
    </x:row>
    <x:row r="11624" spans="1:16">
      <x:c r="A11624" s="0" t="s">
        <x:v>45482</x:v>
      </x:c>
      <x:c r="B11624" s="0" t="s">
        <x:v>45483</x:v>
      </x:c>
      <x:c r="C11624" s="0" t="s">
        <x:v>42840</x:v>
      </x:c>
      <x:c r="E11624" s="0" t="s">
        <x:v>45484</x:v>
      </x:c>
      <x:c r="F11624" s="0" t="s">
        <x:v>45</x:v>
      </x:c>
      <x:c r="G11624" s="0" t="s">
        <x:v>206</x:v>
      </x:c>
      <x:c r="H11624" s="0" t="s">
        <x:v>20</x:v>
      </x:c>
      <x:c r="I11624" s="0" t="s">
        <x:v>21</x:v>
      </x:c>
      <x:c r="K11624" s="0">
        <x:f>hyperlink("https://icd.who.int/dev11/l-ichi/en#/http%3A%2F%2Fid.who.int%2Ficd%2Fentity%2F1522265767","browser")</x:f>
      </x:c>
      <x:c r="L11624" s="0">
        <x:f>hyperlink("https://icat2.azurewebsites.net/icat/?ontology=ICD&amp;tab=ClassesTab&amp;id=http%3A%2F%2Fwho.int%2Ficd%23SpecificAnatomicLocation_2165","iCat")</x:f>
      </x:c>
      <x:c r="M11624" s="0" t="s">
        <x:v>21</x:v>
      </x:c>
      <x:c r="N11624" s="0" t="s">
        <x:v>46</x:v>
      </x:c>
    </x:row>
    <x:row r="11625" spans="1:16">
      <x:c r="A11625" s="0" t="s">
        <x:v>45485</x:v>
      </x:c>
      <x:c r="B11625" s="0" t="s">
        <x:v>45486</x:v>
      </x:c>
      <x:c r="C11625" s="0" t="s">
        <x:v>42840</x:v>
      </x:c>
      <x:c r="E11625" s="0" t="s">
        <x:v>45487</x:v>
      </x:c>
      <x:c r="F11625" s="0" t="s">
        <x:v>45</x:v>
      </x:c>
      <x:c r="G11625" s="0" t="s">
        <x:v>206</x:v>
      </x:c>
      <x:c r="H11625" s="0" t="s">
        <x:v>20</x:v>
      </x:c>
      <x:c r="I11625" s="0" t="s">
        <x:v>21</x:v>
      </x:c>
      <x:c r="K11625" s="0">
        <x:f>hyperlink("https://icd.who.int/dev11/l-ichi/en#/http%3A%2F%2Fid.who.int%2Ficd%2Fentity%2F1673741287","browser")</x:f>
      </x:c>
      <x:c r="L11625" s="0">
        <x:f>hyperlink("https://icat2.azurewebsites.net/icat/?ontology=ICD&amp;tab=ClassesTab&amp;id=http%3A%2F%2Fwho.int%2Ficd%23SpecificAnatomicLocation_2166","iCat")</x:f>
      </x:c>
      <x:c r="M11625" s="0" t="s">
        <x:v>21</x:v>
      </x:c>
      <x:c r="N11625" s="0" t="s">
        <x:v>46</x:v>
      </x:c>
    </x:row>
    <x:row r="11626" spans="1:16">
      <x:c r="A11626" s="0" t="s">
        <x:v>45488</x:v>
      </x:c>
      <x:c r="B11626" s="0" t="s">
        <x:v>45489</x:v>
      </x:c>
      <x:c r="C11626" s="0" t="s">
        <x:v>42840</x:v>
      </x:c>
      <x:c r="E11626" s="0" t="s">
        <x:v>45490</x:v>
      </x:c>
      <x:c r="F11626" s="0" t="s">
        <x:v>45</x:v>
      </x:c>
      <x:c r="G11626" s="0" t="s">
        <x:v>40</x:v>
      </x:c>
      <x:c r="H11626" s="0" t="s">
        <x:v>20</x:v>
      </x:c>
      <x:c r="I11626" s="0" t="s">
        <x:v>21</x:v>
      </x:c>
      <x:c r="K11626" s="0">
        <x:f>hyperlink("https://icd.who.int/dev11/l-ichi/en#/http%3A%2F%2Fid.who.int%2Ficd%2Fentity%2F1877509054","browser")</x:f>
      </x:c>
      <x:c r="L11626" s="0">
        <x:f>hyperlink("https://icat2.azurewebsites.net/icat/?ontology=ICD&amp;tab=ClassesTab&amp;id=http%3A%2F%2Fwho.int%2Ficd%23SpecificAnatomicLocation_2170","iCat")</x:f>
      </x:c>
      <x:c r="M11626" s="0" t="s">
        <x:v>21</x:v>
      </x:c>
      <x:c r="N11626" s="0" t="s">
        <x:v>46</x:v>
      </x:c>
    </x:row>
    <x:row r="11627" spans="1:16">
      <x:c r="A11627" s="0" t="s">
        <x:v>45491</x:v>
      </x:c>
      <x:c r="B11627" s="0" t="s">
        <x:v>45492</x:v>
      </x:c>
      <x:c r="C11627" s="0" t="s">
        <x:v>42840</x:v>
      </x:c>
      <x:c r="E11627" s="0" t="s">
        <x:v>45493</x:v>
      </x:c>
      <x:c r="F11627" s="0" t="s">
        <x:v>45</x:v>
      </x:c>
      <x:c r="G11627" s="0" t="s">
        <x:v>40</x:v>
      </x:c>
      <x:c r="H11627" s="0" t="s">
        <x:v>20</x:v>
      </x:c>
      <x:c r="I11627" s="0" t="s">
        <x:v>21</x:v>
      </x:c>
      <x:c r="K11627" s="0">
        <x:f>hyperlink("https://icd.who.int/dev11/l-ichi/en#/http%3A%2F%2Fid.who.int%2Ficd%2Fentity%2F171032062","browser")</x:f>
      </x:c>
      <x:c r="L11627" s="0">
        <x:f>hyperlink("https://icat2.azurewebsites.net/icat/?ontology=ICD&amp;tab=ClassesTab&amp;id=http%3A%2F%2Fwho.int%2Ficd%23SpecificAnatomicLocation_2177","iCat")</x:f>
      </x:c>
      <x:c r="M11627" s="0" t="s">
        <x:v>20</x:v>
      </x:c>
      <x:c r="N11627" s="0" t="s">
        <x:v>19</x:v>
      </x:c>
    </x:row>
    <x:row r="11628" spans="1:16">
      <x:c r="A11628" s="0" t="s">
        <x:v>45494</x:v>
      </x:c>
      <x:c r="B11628" s="0" t="s">
        <x:v>45495</x:v>
      </x:c>
      <x:c r="C11628" s="0" t="s">
        <x:v>42840</x:v>
      </x:c>
      <x:c r="E11628" s="0" t="s">
        <x:v>45496</x:v>
      </x:c>
      <x:c r="F11628" s="0" t="s">
        <x:v>45</x:v>
      </x:c>
      <x:c r="G11628" s="0" t="s">
        <x:v>206</x:v>
      </x:c>
      <x:c r="H11628" s="0" t="s">
        <x:v>20</x:v>
      </x:c>
      <x:c r="I11628" s="0" t="s">
        <x:v>21</x:v>
      </x:c>
      <x:c r="K11628" s="0">
        <x:f>hyperlink("https://icd.who.int/dev11/l-ichi/en#/http%3A%2F%2Fid.who.int%2Ficd%2Fentity%2F32713993","browser")</x:f>
      </x:c>
      <x:c r="L11628" s="0">
        <x:f>hyperlink("https://icat2.azurewebsites.net/icat/?ontology=ICD&amp;tab=ClassesTab&amp;id=http%3A%2F%2Fwho.int%2Ficd%23SpecificAnatomicLocation_2186","iCat")</x:f>
      </x:c>
      <x:c r="M11628" s="0" t="s">
        <x:v>21</x:v>
      </x:c>
      <x:c r="N11628" s="0" t="s">
        <x:v>46</x:v>
      </x:c>
    </x:row>
    <x:row r="11629" spans="1:16">
      <x:c r="A11629" s="0" t="s">
        <x:v>45497</x:v>
      </x:c>
      <x:c r="B11629" s="0" t="s">
        <x:v>45498</x:v>
      </x:c>
      <x:c r="C11629" s="0" t="s">
        <x:v>42840</x:v>
      </x:c>
      <x:c r="E11629" s="0" t="s">
        <x:v>45499</x:v>
      </x:c>
      <x:c r="F11629" s="0" t="s">
        <x:v>45</x:v>
      </x:c>
      <x:c r="G11629" s="0" t="s">
        <x:v>40</x:v>
      </x:c>
      <x:c r="H11629" s="0" t="s">
        <x:v>20</x:v>
      </x:c>
      <x:c r="I11629" s="0" t="s">
        <x:v>21</x:v>
      </x:c>
      <x:c r="K11629" s="0">
        <x:f>hyperlink("https://icd.who.int/dev11/l-ichi/en#/http%3A%2F%2Fid.who.int%2Ficd%2Fentity%2F1249565385","browser")</x:f>
      </x:c>
      <x:c r="L11629" s="0">
        <x:f>hyperlink("https://icat2.azurewebsites.net/icat/?ontology=ICD&amp;tab=ClassesTab&amp;id=http%3A%2F%2Fwho.int%2Ficd%23SpecificAnatomicLocation_2183","iCat")</x:f>
      </x:c>
      <x:c r="M11629" s="0" t="s">
        <x:v>21</x:v>
      </x:c>
      <x:c r="N11629" s="0" t="s">
        <x:v>46</x:v>
      </x:c>
    </x:row>
    <x:row r="11630" spans="1:16">
      <x:c r="A11630" s="0" t="s">
        <x:v>45500</x:v>
      </x:c>
      <x:c r="B11630" s="0" t="s">
        <x:v>45501</x:v>
      </x:c>
      <x:c r="C11630" s="0" t="s">
        <x:v>42840</x:v>
      </x:c>
      <x:c r="E11630" s="0" t="s">
        <x:v>45502</x:v>
      </x:c>
      <x:c r="F11630" s="0" t="s">
        <x:v>45</x:v>
      </x:c>
      <x:c r="G11630" s="0" t="s">
        <x:v>40</x:v>
      </x:c>
      <x:c r="H11630" s="0" t="s">
        <x:v>20</x:v>
      </x:c>
      <x:c r="I11630" s="0" t="s">
        <x:v>21</x:v>
      </x:c>
      <x:c r="K11630" s="0">
        <x:f>hyperlink("https://icd.who.int/dev11/l-ichi/en#/http%3A%2F%2Fid.who.int%2Ficd%2Fentity%2F1452289790","browser")</x:f>
      </x:c>
      <x:c r="L11630" s="0">
        <x:f>hyperlink("https://icat2.azurewebsites.net/icat/?ontology=ICD&amp;tab=ClassesTab&amp;id=http%3A%2F%2Fwho.int%2Ficd%23SpecificAnatomicLocation_2173","iCat")</x:f>
      </x:c>
      <x:c r="M11630" s="0" t="s">
        <x:v>21</x:v>
      </x:c>
      <x:c r="N11630" s="0" t="s">
        <x:v>46</x:v>
      </x:c>
    </x:row>
    <x:row r="11631" spans="1:16">
      <x:c r="A11631" s="0" t="s">
        <x:v>45503</x:v>
      </x:c>
      <x:c r="B11631" s="0" t="s">
        <x:v>45504</x:v>
      </x:c>
      <x:c r="C11631" s="0" t="s">
        <x:v>42840</x:v>
      </x:c>
      <x:c r="E11631" s="0" t="s">
        <x:v>45505</x:v>
      </x:c>
      <x:c r="F11631" s="0" t="s">
        <x:v>45</x:v>
      </x:c>
      <x:c r="G11631" s="0" t="s">
        <x:v>40</x:v>
      </x:c>
      <x:c r="H11631" s="0" t="s">
        <x:v>20</x:v>
      </x:c>
      <x:c r="I11631" s="0" t="s">
        <x:v>21</x:v>
      </x:c>
      <x:c r="K11631" s="0">
        <x:f>hyperlink("https://icd.who.int/dev11/l-ichi/en#/http%3A%2F%2Fid.who.int%2Ficd%2Fentity%2F1084662873","browser")</x:f>
      </x:c>
      <x:c r="L11631" s="0">
        <x:f>hyperlink("https://icat2.azurewebsites.net/icat/?ontology=ICD&amp;tab=ClassesTab&amp;id=http%3A%2F%2Fwho.int%2Ficd%23SpecificAnatomicLocation_2169","iCat")</x:f>
      </x:c>
      <x:c r="M11631" s="0" t="s">
        <x:v>21</x:v>
      </x:c>
      <x:c r="N11631" s="0" t="s">
        <x:v>46</x:v>
      </x:c>
    </x:row>
    <x:row r="11632" spans="1:16">
      <x:c r="A11632" s="0" t="s">
        <x:v>45506</x:v>
      </x:c>
      <x:c r="B11632" s="0" t="s">
        <x:v>45507</x:v>
      </x:c>
      <x:c r="C11632" s="0" t="s">
        <x:v>42840</x:v>
      </x:c>
      <x:c r="E11632" s="0" t="s">
        <x:v>45508</x:v>
      </x:c>
      <x:c r="F11632" s="0" t="s">
        <x:v>45</x:v>
      </x:c>
      <x:c r="G11632" s="0" t="s">
        <x:v>40</x:v>
      </x:c>
      <x:c r="H11632" s="0" t="s">
        <x:v>20</x:v>
      </x:c>
      <x:c r="I11632" s="0" t="s">
        <x:v>21</x:v>
      </x:c>
      <x:c r="K11632" s="0">
        <x:f>hyperlink("https://icd.who.int/dev11/l-ichi/en#/http%3A%2F%2Fid.who.int%2Ficd%2Fentity%2F1004399311","browser")</x:f>
      </x:c>
      <x:c r="L11632" s="0">
        <x:f>hyperlink("https://icat2.azurewebsites.net/icat/?ontology=ICD&amp;tab=ClassesTab&amp;id=http%3A%2F%2Fwho.int%2Ficd%23SpecificAnatomicLocation_2156","iCat")</x:f>
      </x:c>
      <x:c r="M11632" s="0" t="s">
        <x:v>21</x:v>
      </x:c>
      <x:c r="N11632" s="0" t="s">
        <x:v>46</x:v>
      </x:c>
    </x:row>
    <x:row r="11633" spans="1:16">
      <x:c r="A11633" s="0" t="s">
        <x:v>45509</x:v>
      </x:c>
      <x:c r="B11633" s="0" t="s">
        <x:v>45510</x:v>
      </x:c>
      <x:c r="C11633" s="0" t="s">
        <x:v>42840</x:v>
      </x:c>
      <x:c r="E11633" s="0" t="s">
        <x:v>45511</x:v>
      </x:c>
      <x:c r="F11633" s="0" t="s">
        <x:v>45</x:v>
      </x:c>
      <x:c r="G11633" s="0" t="s">
        <x:v>22</x:v>
      </x:c>
      <x:c r="H11633" s="0" t="s">
        <x:v>20</x:v>
      </x:c>
      <x:c r="I11633" s="0" t="s">
        <x:v>21</x:v>
      </x:c>
      <x:c r="K11633" s="0">
        <x:f>hyperlink("https://icd.who.int/dev11/l-ichi/en#/http%3A%2F%2Fid.who.int%2Ficd%2Fentity%2F1664557985","browser")</x:f>
      </x:c>
      <x:c r="L11633" s="0">
        <x:f>hyperlink("https://icat2.azurewebsites.net/icat/?ontology=ICD&amp;tab=ClassesTab&amp;id=http%3A%2F%2Fwho.int%2Ficd%23SpecificAnatomicLocation_2137","iCat")</x:f>
      </x:c>
      <x:c r="M11633" s="0" t="s">
        <x:v>21</x:v>
      </x:c>
      <x:c r="N11633" s="0" t="s">
        <x:v>46</x:v>
      </x:c>
    </x:row>
    <x:row r="11634" spans="1:16">
      <x:c r="A11634" s="0" t="s">
        <x:v>45512</x:v>
      </x:c>
      <x:c r="B11634" s="0" t="s">
        <x:v>45513</x:v>
      </x:c>
      <x:c r="C11634" s="0" t="s">
        <x:v>42840</x:v>
      </x:c>
      <x:c r="E11634" s="0" t="s">
        <x:v>45514</x:v>
      </x:c>
      <x:c r="F11634" s="0" t="s">
        <x:v>45</x:v>
      </x:c>
      <x:c r="G11634" s="0" t="s">
        <x:v>22</x:v>
      </x:c>
      <x:c r="H11634" s="0" t="s">
        <x:v>20</x:v>
      </x:c>
      <x:c r="I11634" s="0" t="s">
        <x:v>21</x:v>
      </x:c>
      <x:c r="K11634" s="0">
        <x:f>hyperlink("https://icd.who.int/dev11/l-ichi/en#/http%3A%2F%2Fid.who.int%2Ficd%2Fentity%2F1227665487","browser")</x:f>
      </x:c>
      <x:c r="L11634" s="0">
        <x:f>hyperlink("https://icat2.azurewebsites.net/icat/?ontology=ICD&amp;tab=ClassesTab&amp;id=http%3A%2F%2Fwho.int%2Ficd%23SpecificAnatomicLocation_2150","iCat")</x:f>
      </x:c>
      <x:c r="M11634" s="0" t="s">
        <x:v>21</x:v>
      </x:c>
      <x:c r="N11634" s="0" t="s">
        <x:v>46</x:v>
      </x:c>
    </x:row>
    <x:row r="11635" spans="1:16">
      <x:c r="A11635" s="0" t="s">
        <x:v>45515</x:v>
      </x:c>
      <x:c r="B11635" s="0" t="s">
        <x:v>45516</x:v>
      </x:c>
      <x:c r="C11635" s="0" t="s">
        <x:v>42840</x:v>
      </x:c>
      <x:c r="E11635" s="0" t="s">
        <x:v>45517</x:v>
      </x:c>
      <x:c r="F11635" s="0" t="s">
        <x:v>45</x:v>
      </x:c>
      <x:c r="G11635" s="0" t="s">
        <x:v>22</x:v>
      </x:c>
      <x:c r="H11635" s="0" t="s">
        <x:v>20</x:v>
      </x:c>
      <x:c r="I11635" s="0" t="s">
        <x:v>21</x:v>
      </x:c>
      <x:c r="K11635" s="0">
        <x:f>hyperlink("https://icd.who.int/dev11/l-ichi/en#/http%3A%2F%2Fid.who.int%2Ficd%2Fentity%2F1577374863","browser")</x:f>
      </x:c>
      <x:c r="L11635" s="0">
        <x:f>hyperlink("https://icat2.azurewebsites.net/icat/?ontology=ICD&amp;tab=ClassesTab&amp;id=http%3A%2F%2Fwho.int%2Ficd%23SpecificAnatomicLocation_2151","iCat")</x:f>
      </x:c>
      <x:c r="M11635" s="0" t="s">
        <x:v>21</x:v>
      </x:c>
      <x:c r="N11635" s="0" t="s">
        <x:v>46</x:v>
      </x:c>
    </x:row>
    <x:row r="11636" spans="1:16">
      <x:c r="A11636" s="0" t="s">
        <x:v>45518</x:v>
      </x:c>
      <x:c r="B11636" s="0" t="s">
        <x:v>45519</x:v>
      </x:c>
      <x:c r="C11636" s="0" t="s">
        <x:v>42840</x:v>
      </x:c>
      <x:c r="E11636" s="0" t="s">
        <x:v>45520</x:v>
      </x:c>
      <x:c r="F11636" s="0" t="s">
        <x:v>45</x:v>
      </x:c>
      <x:c r="G11636" s="0" t="s">
        <x:v>22</x:v>
      </x:c>
      <x:c r="H11636" s="0" t="s">
        <x:v>20</x:v>
      </x:c>
      <x:c r="I11636" s="0" t="s">
        <x:v>21</x:v>
      </x:c>
      <x:c r="K11636" s="0">
        <x:f>hyperlink("https://icd.who.int/dev11/l-ichi/en#/http%3A%2F%2Fid.who.int%2Ficd%2Fentity%2F901688951","browser")</x:f>
      </x:c>
      <x:c r="L11636" s="0">
        <x:f>hyperlink("https://icat2.azurewebsites.net/icat/?ontology=ICD&amp;tab=ClassesTab&amp;id=http%3A%2F%2Fwho.int%2Ficd%23SpecificAnatomicLocation_2188","iCat")</x:f>
      </x:c>
      <x:c r="M11636" s="0" t="s">
        <x:v>20</x:v>
      </x:c>
      <x:c r="N11636" s="0" t="s">
        <x:v>19</x:v>
      </x:c>
    </x:row>
    <x:row r="11637" spans="1:16">
      <x:c r="A11637" s="0" t="s">
        <x:v>45521</x:v>
      </x:c>
      <x:c r="B11637" s="0" t="s">
        <x:v>45522</x:v>
      </x:c>
      <x:c r="C11637" s="0" t="s">
        <x:v>42840</x:v>
      </x:c>
      <x:c r="E11637" s="0" t="s">
        <x:v>45523</x:v>
      </x:c>
      <x:c r="F11637" s="0" t="s">
        <x:v>45</x:v>
      </x:c>
      <x:c r="G11637" s="0" t="s">
        <x:v>40</x:v>
      </x:c>
      <x:c r="H11637" s="0" t="s">
        <x:v>20</x:v>
      </x:c>
      <x:c r="I11637" s="0" t="s">
        <x:v>21</x:v>
      </x:c>
      <x:c r="K11637" s="0">
        <x:f>hyperlink("https://icd.who.int/dev11/l-ichi/en#/http%3A%2F%2Fid.who.int%2Ficd%2Fentity%2F596124880","browser")</x:f>
      </x:c>
      <x:c r="L11637" s="0">
        <x:f>hyperlink("https://icat2.azurewebsites.net/icat/?ontology=ICD&amp;tab=ClassesTab&amp;id=http%3A%2F%2Fwho.int%2Ficd%23SpecificAnatomicLocation_2192","iCat")</x:f>
      </x:c>
      <x:c r="M11637" s="0" t="s">
        <x:v>21</x:v>
      </x:c>
      <x:c r="N11637" s="0" t="s">
        <x:v>46</x:v>
      </x:c>
    </x:row>
    <x:row r="11638" spans="1:16">
      <x:c r="A11638" s="0" t="s">
        <x:v>45524</x:v>
      </x:c>
      <x:c r="B11638" s="0" t="s">
        <x:v>45525</x:v>
      </x:c>
      <x:c r="C11638" s="0" t="s">
        <x:v>42840</x:v>
      </x:c>
      <x:c r="E11638" s="0" t="s">
        <x:v>45526</x:v>
      </x:c>
      <x:c r="F11638" s="0" t="s">
        <x:v>45</x:v>
      </x:c>
      <x:c r="G11638" s="0" t="s">
        <x:v>22</x:v>
      </x:c>
      <x:c r="H11638" s="0" t="s">
        <x:v>20</x:v>
      </x:c>
      <x:c r="I11638" s="0" t="s">
        <x:v>21</x:v>
      </x:c>
      <x:c r="K11638" s="0">
        <x:f>hyperlink("https://icd.who.int/dev11/l-ichi/en#/http%3A%2F%2Fid.who.int%2Ficd%2Fentity%2F298219809","browser")</x:f>
      </x:c>
      <x:c r="L11638" s="0">
        <x:f>hyperlink("https://icat2.azurewebsites.net/icat/?ontology=ICD&amp;tab=ClassesTab&amp;id=http%3A%2F%2Fwho.int%2Ficd%23SpecificAnatomicLocation_2131","iCat")</x:f>
      </x:c>
      <x:c r="M11638" s="0" t="s">
        <x:v>20</x:v>
      </x:c>
      <x:c r="N11638" s="0" t="s">
        <x:v>35</x:v>
      </x:c>
    </x:row>
    <x:row r="11639" spans="1:16">
      <x:c r="A11639" s="0" t="s">
        <x:v>45527</x:v>
      </x:c>
      <x:c r="B11639" s="0" t="s">
        <x:v>45528</x:v>
      </x:c>
      <x:c r="C11639" s="0" t="s">
        <x:v>42840</x:v>
      </x:c>
      <x:c r="E11639" s="0" t="s">
        <x:v>45529</x:v>
      </x:c>
      <x:c r="F11639" s="0" t="s">
        <x:v>45</x:v>
      </x:c>
      <x:c r="G11639" s="0" t="s">
        <x:v>40</x:v>
      </x:c>
      <x:c r="H11639" s="0" t="s">
        <x:v>20</x:v>
      </x:c>
      <x:c r="I11639" s="0" t="s">
        <x:v>21</x:v>
      </x:c>
      <x:c r="K11639" s="0">
        <x:f>hyperlink("https://icd.who.int/dev11/l-ichi/en#/http%3A%2F%2Fid.who.int%2Ficd%2Fentity%2F1298655777","browser")</x:f>
      </x:c>
      <x:c r="L11639" s="0">
        <x:f>hyperlink("https://icat2.azurewebsites.net/icat/?ontology=ICD&amp;tab=ClassesTab&amp;id=http%3A%2F%2Fwho.int%2Ficd%23SpecificAnatomicLocation_2135","iCat")</x:f>
      </x:c>
      <x:c r="M11639" s="0" t="s">
        <x:v>21</x:v>
      </x:c>
      <x:c r="N11639" s="0" t="s">
        <x:v>46</x:v>
      </x:c>
    </x:row>
    <x:row r="11640" spans="1:16">
      <x:c r="A11640" s="0" t="s">
        <x:v>45530</x:v>
      </x:c>
      <x:c r="B11640" s="0" t="s">
        <x:v>45531</x:v>
      </x:c>
      <x:c r="C11640" s="0" t="s">
        <x:v>42840</x:v>
      </x:c>
      <x:c r="E11640" s="0" t="s">
        <x:v>45532</x:v>
      </x:c>
      <x:c r="F11640" s="0" t="s">
        <x:v>45</x:v>
      </x:c>
      <x:c r="G11640" s="0" t="s">
        <x:v>40</x:v>
      </x:c>
      <x:c r="H11640" s="0" t="s">
        <x:v>20</x:v>
      </x:c>
      <x:c r="I11640" s="0" t="s">
        <x:v>21</x:v>
      </x:c>
      <x:c r="K11640" s="0">
        <x:f>hyperlink("https://icd.who.int/dev11/l-ichi/en#/http%3A%2F%2Fid.who.int%2Ficd%2Fentity%2F1041588990","browser")</x:f>
      </x:c>
      <x:c r="L11640" s="0">
        <x:f>hyperlink("https://icat2.azurewebsites.net/icat/?ontology=ICD&amp;tab=ClassesTab&amp;id=http%3A%2F%2Fwho.int%2Ficd%23SpecificAnatomicLocation_2225","iCat")</x:f>
      </x:c>
      <x:c r="M11640" s="0" t="s">
        <x:v>21</x:v>
      </x:c>
      <x:c r="N11640" s="0" t="s">
        <x:v>46</x:v>
      </x:c>
    </x:row>
    <x:row r="11641" spans="1:16">
      <x:c r="A11641" s="0" t="s">
        <x:v>45533</x:v>
      </x:c>
      <x:c r="B11641" s="0" t="s">
        <x:v>45534</x:v>
      </x:c>
      <x:c r="C11641" s="0" t="s">
        <x:v>42840</x:v>
      </x:c>
      <x:c r="E11641" s="0" t="s">
        <x:v>45535</x:v>
      </x:c>
      <x:c r="F11641" s="0" t="s">
        <x:v>45</x:v>
      </x:c>
      <x:c r="G11641" s="0" t="s">
        <x:v>40</x:v>
      </x:c>
      <x:c r="H11641" s="0" t="s">
        <x:v>20</x:v>
      </x:c>
      <x:c r="I11641" s="0" t="s">
        <x:v>21</x:v>
      </x:c>
      <x:c r="K11641" s="0">
        <x:f>hyperlink("https://icd.who.int/dev11/l-ichi/en#/http%3A%2F%2Fid.who.int%2Ficd%2Fentity%2F1066840225","browser")</x:f>
      </x:c>
      <x:c r="L11641" s="0">
        <x:f>hyperlink("https://icat2.azurewebsites.net/icat/?ontology=ICD&amp;tab=ClassesTab&amp;id=http%3A%2F%2Fwho.int%2Ficd%23SpecificAnatomicLocation_2133","iCat")</x:f>
      </x:c>
      <x:c r="M11641" s="0" t="s">
        <x:v>21</x:v>
      </x:c>
      <x:c r="N11641" s="0" t="s">
        <x:v>46</x:v>
      </x:c>
    </x:row>
    <x:row r="11642" spans="1:16">
      <x:c r="A11642" s="0" t="s">
        <x:v>45536</x:v>
      </x:c>
      <x:c r="B11642" s="0" t="s">
        <x:v>45537</x:v>
      </x:c>
      <x:c r="C11642" s="0" t="s">
        <x:v>42840</x:v>
      </x:c>
      <x:c r="E11642" s="0" t="s">
        <x:v>45538</x:v>
      </x:c>
      <x:c r="F11642" s="0" t="s">
        <x:v>45</x:v>
      </x:c>
      <x:c r="G11642" s="0" t="s">
        <x:v>22</x:v>
      </x:c>
      <x:c r="H11642" s="0" t="s">
        <x:v>20</x:v>
      </x:c>
      <x:c r="I11642" s="0" t="s">
        <x:v>21</x:v>
      </x:c>
      <x:c r="K11642" s="0">
        <x:f>hyperlink("https://icd.who.int/dev11/l-ichi/en#/http%3A%2F%2Fid.who.int%2Ficd%2Fentity%2F1948206945","browser")</x:f>
      </x:c>
      <x:c r="L11642" s="0">
        <x:f>hyperlink("https://icat2.azurewebsites.net/icat/?ontology=ICD&amp;tab=ClassesTab&amp;id=http%3A%2F%2Fwho.int%2Ficd%23SpecificAnatomicLocation_2136","iCat")</x:f>
      </x:c>
      <x:c r="M11642" s="0" t="s">
        <x:v>21</x:v>
      </x:c>
      <x:c r="N11642" s="0" t="s">
        <x:v>46</x:v>
      </x:c>
    </x:row>
    <x:row r="11643" spans="1:16">
      <x:c r="A11643" s="0" t="s">
        <x:v>45539</x:v>
      </x:c>
      <x:c r="B11643" s="0" t="s">
        <x:v>45540</x:v>
      </x:c>
      <x:c r="C11643" s="0" t="s">
        <x:v>42840</x:v>
      </x:c>
      <x:c r="E11643" s="0" t="s">
        <x:v>45541</x:v>
      </x:c>
      <x:c r="F11643" s="0" t="s">
        <x:v>45</x:v>
      </x:c>
      <x:c r="G11643" s="0" t="s">
        <x:v>22</x:v>
      </x:c>
      <x:c r="H11643" s="0" t="s">
        <x:v>20</x:v>
      </x:c>
      <x:c r="I11643" s="0" t="s">
        <x:v>21</x:v>
      </x:c>
      <x:c r="K11643" s="0">
        <x:f>hyperlink("https://icd.who.int/dev11/l-ichi/en#/http%3A%2F%2Fid.who.int%2Ficd%2Fentity%2F927055328","browser")</x:f>
      </x:c>
      <x:c r="L11643" s="0">
        <x:f>hyperlink("https://icat2.azurewebsites.net/icat/?ontology=ICD&amp;tab=ClassesTab&amp;id=http%3A%2F%2Fwho.int%2Ficd%23SpecificAnatomicLocation_2084","iCat")</x:f>
      </x:c>
      <x:c r="M11643" s="0" t="s">
        <x:v>21</x:v>
      </x:c>
      <x:c r="N11643" s="0" t="s">
        <x:v>46</x:v>
      </x:c>
    </x:row>
    <x:row r="11644" spans="1:16">
      <x:c r="A11644" s="0" t="s">
        <x:v>45542</x:v>
      </x:c>
      <x:c r="B11644" s="0" t="s">
        <x:v>45543</x:v>
      </x:c>
      <x:c r="C11644" s="0" t="s">
        <x:v>42840</x:v>
      </x:c>
      <x:c r="E11644" s="0" t="s">
        <x:v>45544</x:v>
      </x:c>
      <x:c r="F11644" s="0" t="s">
        <x:v>45</x:v>
      </x:c>
      <x:c r="G11644" s="0" t="s">
        <x:v>22</x:v>
      </x:c>
      <x:c r="H11644" s="0" t="s">
        <x:v>20</x:v>
      </x:c>
      <x:c r="I11644" s="0" t="s">
        <x:v>21</x:v>
      </x:c>
      <x:c r="K11644" s="0">
        <x:f>hyperlink("https://icd.who.int/dev11/l-ichi/en#/http%3A%2F%2Fid.who.int%2Ficd%2Fentity%2F232320336","browser")</x:f>
      </x:c>
      <x:c r="L11644" s="0">
        <x:f>hyperlink("https://icat2.azurewebsites.net/icat/?ontology=ICD&amp;tab=ClassesTab&amp;id=http%3A%2F%2Fwho.int%2Ficd%23SpecificAnatomicLocation_2190","iCat")</x:f>
      </x:c>
      <x:c r="M11644" s="0" t="s">
        <x:v>21</x:v>
      </x:c>
      <x:c r="N11644" s="0" t="s">
        <x:v>46</x:v>
      </x:c>
    </x:row>
    <x:row r="11645" spans="1:16">
      <x:c r="A11645" s="0" t="s">
        <x:v>45545</x:v>
      </x:c>
      <x:c r="B11645" s="0" t="s">
        <x:v>45546</x:v>
      </x:c>
      <x:c r="C11645" s="0" t="s">
        <x:v>42840</x:v>
      </x:c>
      <x:c r="E11645" s="0" t="s">
        <x:v>45547</x:v>
      </x:c>
      <x:c r="F11645" s="0" t="s">
        <x:v>45</x:v>
      </x:c>
      <x:c r="G11645" s="0" t="s">
        <x:v>22</x:v>
      </x:c>
      <x:c r="H11645" s="0" t="s">
        <x:v>20</x:v>
      </x:c>
      <x:c r="I11645" s="0" t="s">
        <x:v>21</x:v>
      </x:c>
      <x:c r="K11645" s="0">
        <x:f>hyperlink("https://icd.who.int/dev11/l-ichi/en#/http%3A%2F%2Fid.who.int%2Ficd%2Fentity%2F1468973209","browser")</x:f>
      </x:c>
      <x:c r="L11645" s="0">
        <x:f>hyperlink("https://icat2.azurewebsites.net/icat/?ontology=ICD&amp;tab=ClassesTab&amp;id=http%3A%2F%2Fwho.int%2Ficd%23SpecificAnatomicLocation_2168","iCat")</x:f>
      </x:c>
      <x:c r="M11645" s="0" t="s">
        <x:v>21</x:v>
      </x:c>
      <x:c r="N11645" s="0" t="s">
        <x:v>46</x:v>
      </x:c>
    </x:row>
    <x:row r="11646" spans="1:16">
      <x:c r="A11646" s="0" t="s">
        <x:v>45548</x:v>
      </x:c>
      <x:c r="B11646" s="0" t="s">
        <x:v>45549</x:v>
      </x:c>
      <x:c r="C11646" s="0" t="s">
        <x:v>42840</x:v>
      </x:c>
      <x:c r="E11646" s="0" t="s">
        <x:v>45550</x:v>
      </x:c>
      <x:c r="F11646" s="0" t="s">
        <x:v>45</x:v>
      </x:c>
      <x:c r="G11646" s="0" t="s">
        <x:v>22</x:v>
      </x:c>
      <x:c r="H11646" s="0" t="s">
        <x:v>20</x:v>
      </x:c>
      <x:c r="I11646" s="0" t="s">
        <x:v>21</x:v>
      </x:c>
      <x:c r="K11646" s="0">
        <x:f>hyperlink("https://icd.who.int/dev11/l-ichi/en#/http%3A%2F%2Fid.who.int%2Ficd%2Fentity%2F882917392","browser")</x:f>
      </x:c>
      <x:c r="L11646" s="0">
        <x:f>hyperlink("https://icat2.azurewebsites.net/icat/?ontology=ICD&amp;tab=ClassesTab&amp;id=http%3A%2F%2Fwho.int%2Ficd%23SpecificAnatomicLocation_2193","iCat")</x:f>
      </x:c>
      <x:c r="M11646" s="0" t="s">
        <x:v>21</x:v>
      </x:c>
      <x:c r="N11646" s="0" t="s">
        <x:v>46</x:v>
      </x:c>
    </x:row>
    <x:row r="11647" spans="1:16">
      <x:c r="A11647" s="0" t="s">
        <x:v>45551</x:v>
      </x:c>
      <x:c r="B11647" s="0" t="s">
        <x:v>45552</x:v>
      </x:c>
      <x:c r="C11647" s="0" t="s">
        <x:v>42840</x:v>
      </x:c>
      <x:c r="E11647" s="0" t="s">
        <x:v>45553</x:v>
      </x:c>
      <x:c r="F11647" s="0" t="s">
        <x:v>45</x:v>
      </x:c>
      <x:c r="G11647" s="0" t="s">
        <x:v>22</x:v>
      </x:c>
      <x:c r="H11647" s="0" t="s">
        <x:v>20</x:v>
      </x:c>
      <x:c r="I11647" s="0" t="s">
        <x:v>21</x:v>
      </x:c>
      <x:c r="K11647" s="0">
        <x:f>hyperlink("https://icd.who.int/dev11/l-ichi/en#/http%3A%2F%2Fid.who.int%2Ficd%2Fentity%2F116268513","browser")</x:f>
      </x:c>
      <x:c r="L11647" s="0">
        <x:f>hyperlink("https://icat2.azurewebsites.net/icat/?ontology=ICD&amp;tab=ClassesTab&amp;id=http%3A%2F%2Fwho.int%2Ficd%23SpecificAnatomicLocation_2130","iCat")</x:f>
      </x:c>
      <x:c r="M11647" s="0" t="s">
        <x:v>21</x:v>
      </x:c>
      <x:c r="N11647" s="0" t="s">
        <x:v>46</x:v>
      </x:c>
    </x:row>
    <x:row r="11648" spans="1:16">
      <x:c r="A11648" s="0" t="s">
        <x:v>45554</x:v>
      </x:c>
      <x:c r="B11648" s="0" t="s">
        <x:v>45555</x:v>
      </x:c>
      <x:c r="C11648" s="0" t="s">
        <x:v>42840</x:v>
      </x:c>
      <x:c r="E11648" s="0" t="s">
        <x:v>45556</x:v>
      </x:c>
      <x:c r="F11648" s="0" t="s">
        <x:v>45</x:v>
      </x:c>
      <x:c r="G11648" s="0" t="s">
        <x:v>22</x:v>
      </x:c>
      <x:c r="H11648" s="0" t="s">
        <x:v>20</x:v>
      </x:c>
      <x:c r="I11648" s="0" t="s">
        <x:v>21</x:v>
      </x:c>
      <x:c r="K11648" s="0">
        <x:f>hyperlink("https://icd.who.int/dev11/l-ichi/en#/http%3A%2F%2Fid.who.int%2Ficd%2Fentity%2F1238945801","browser")</x:f>
      </x:c>
      <x:c r="L11648" s="0">
        <x:f>hyperlink("https://icat2.azurewebsites.net/icat/?ontology=ICD&amp;tab=ClassesTab&amp;id=http%3A%2F%2Fwho.int%2Ficd%23SpecificAnatomicLocation_2101","iCat")</x:f>
      </x:c>
      <x:c r="M11648" s="0" t="s">
        <x:v>20</x:v>
      </x:c>
      <x:c r="N11648" s="0" t="s">
        <x:v>30</x:v>
      </x:c>
    </x:row>
    <x:row r="11649" spans="1:16">
      <x:c r="A11649" s="0" t="s">
        <x:v>45557</x:v>
      </x:c>
      <x:c r="B11649" s="0" t="s">
        <x:v>45558</x:v>
      </x:c>
      <x:c r="C11649" s="0" t="s">
        <x:v>42840</x:v>
      </x:c>
      <x:c r="E11649" s="0" t="s">
        <x:v>45559</x:v>
      </x:c>
      <x:c r="F11649" s="0" t="s">
        <x:v>45</x:v>
      </x:c>
      <x:c r="G11649" s="0" t="s">
        <x:v>40</x:v>
      </x:c>
      <x:c r="H11649" s="0" t="s">
        <x:v>20</x:v>
      </x:c>
      <x:c r="I11649" s="0" t="s">
        <x:v>21</x:v>
      </x:c>
      <x:c r="K11649" s="0">
        <x:f>hyperlink("https://icd.who.int/dev11/l-ichi/en#/http%3A%2F%2Fid.who.int%2Ficd%2Fentity%2F1736972681","browser")</x:f>
      </x:c>
      <x:c r="L11649" s="0">
        <x:f>hyperlink("https://icat2.azurewebsites.net/icat/?ontology=ICD&amp;tab=ClassesTab&amp;id=http%3A%2F%2Fwho.int%2Ficd%23SpecificAnatomicLocation_2103","iCat")</x:f>
      </x:c>
      <x:c r="M11649" s="0" t="s">
        <x:v>21</x:v>
      </x:c>
      <x:c r="N11649" s="0" t="s">
        <x:v>46</x:v>
      </x:c>
    </x:row>
    <x:row r="11650" spans="1:16">
      <x:c r="A11650" s="0" t="s">
        <x:v>45560</x:v>
      </x:c>
      <x:c r="B11650" s="0" t="s">
        <x:v>45561</x:v>
      </x:c>
      <x:c r="C11650" s="0" t="s">
        <x:v>42840</x:v>
      </x:c>
      <x:c r="E11650" s="0" t="s">
        <x:v>45562</x:v>
      </x:c>
      <x:c r="F11650" s="0" t="s">
        <x:v>45</x:v>
      </x:c>
      <x:c r="G11650" s="0" t="s">
        <x:v>40</x:v>
      </x:c>
      <x:c r="H11650" s="0" t="s">
        <x:v>20</x:v>
      </x:c>
      <x:c r="I11650" s="0" t="s">
        <x:v>21</x:v>
      </x:c>
      <x:c r="K11650" s="0">
        <x:f>hyperlink("https://icd.who.int/dev11/l-ichi/en#/http%3A%2F%2Fid.who.int%2Ficd%2Fentity%2F1889566025","browser")</x:f>
      </x:c>
      <x:c r="L11650" s="0">
        <x:f>hyperlink("https://icat2.azurewebsites.net/icat/?ontology=ICD&amp;tab=ClassesTab&amp;id=http%3A%2F%2Fwho.int%2Ficd%23SpecificAnatomicLocation_2102","iCat")</x:f>
      </x:c>
      <x:c r="M11650" s="0" t="s">
        <x:v>21</x:v>
      </x:c>
      <x:c r="N11650" s="0" t="s">
        <x:v>46</x:v>
      </x:c>
    </x:row>
    <x:row r="11651" spans="1:16">
      <x:c r="A11651" s="0" t="s">
        <x:v>45563</x:v>
      </x:c>
      <x:c r="B11651" s="0" t="s">
        <x:v>45564</x:v>
      </x:c>
      <x:c r="C11651" s="0" t="s">
        <x:v>42840</x:v>
      </x:c>
      <x:c r="E11651" s="0" t="s">
        <x:v>45565</x:v>
      </x:c>
      <x:c r="F11651" s="0" t="s">
        <x:v>45</x:v>
      </x:c>
      <x:c r="G11651" s="0" t="s">
        <x:v>22</x:v>
      </x:c>
      <x:c r="H11651" s="0" t="s">
        <x:v>20</x:v>
      </x:c>
      <x:c r="I11651" s="0" t="s">
        <x:v>21</x:v>
      </x:c>
      <x:c r="K11651" s="0">
        <x:f>hyperlink("https://icd.who.int/dev11/l-ichi/en#/http%3A%2F%2Fid.who.int%2Ficd%2Fentity%2F1148240399","browser")</x:f>
      </x:c>
      <x:c r="L11651" s="0">
        <x:f>hyperlink("https://icat2.azurewebsites.net/icat/?ontology=ICD&amp;tab=ClassesTab&amp;id=http%3A%2F%2Fwho.int%2Ficd%23SpecificAnatomicLocation_2201","iCat")</x:f>
      </x:c>
      <x:c r="M11651" s="0" t="s">
        <x:v>21</x:v>
      </x:c>
      <x:c r="N11651" s="0" t="s">
        <x:v>46</x:v>
      </x:c>
    </x:row>
    <x:row r="11652" spans="1:16">
      <x:c r="A11652" s="0" t="s">
        <x:v>45566</x:v>
      </x:c>
      <x:c r="B11652" s="0" t="s">
        <x:v>45567</x:v>
      </x:c>
      <x:c r="C11652" s="0" t="s">
        <x:v>42840</x:v>
      </x:c>
      <x:c r="E11652" s="0" t="s">
        <x:v>45568</x:v>
      </x:c>
      <x:c r="F11652" s="0" t="s">
        <x:v>45</x:v>
      </x:c>
      <x:c r="G11652" s="0" t="s">
        <x:v>22</x:v>
      </x:c>
      <x:c r="H11652" s="0" t="s">
        <x:v>20</x:v>
      </x:c>
      <x:c r="I11652" s="0" t="s">
        <x:v>21</x:v>
      </x:c>
      <x:c r="K11652" s="0">
        <x:f>hyperlink("https://icd.who.int/dev11/l-ichi/en#/http%3A%2F%2Fid.who.int%2Ficd%2Fentity%2F610366590","browser")</x:f>
      </x:c>
      <x:c r="L11652" s="0">
        <x:f>hyperlink("https://icat2.azurewebsites.net/icat/?ontology=ICD&amp;tab=ClassesTab&amp;id=http%3A%2F%2Fwho.int%2Ficd%23SpecificAnatomicLocation_2175","iCat")</x:f>
      </x:c>
      <x:c r="M11652" s="0" t="s">
        <x:v>21</x:v>
      </x:c>
      <x:c r="N11652" s="0" t="s">
        <x:v>46</x:v>
      </x:c>
    </x:row>
    <x:row r="11653" spans="1:16">
      <x:c r="A11653" s="0" t="s">
        <x:v>45569</x:v>
      </x:c>
      <x:c r="B11653" s="0" t="s">
        <x:v>45570</x:v>
      </x:c>
      <x:c r="C11653" s="0" t="s">
        <x:v>42840</x:v>
      </x:c>
      <x:c r="E11653" s="0" t="s">
        <x:v>45571</x:v>
      </x:c>
      <x:c r="F11653" s="0" t="s">
        <x:v>45</x:v>
      </x:c>
      <x:c r="G11653" s="0" t="s">
        <x:v>22</x:v>
      </x:c>
      <x:c r="H11653" s="0" t="s">
        <x:v>20</x:v>
      </x:c>
      <x:c r="I11653" s="0" t="s">
        <x:v>21</x:v>
      </x:c>
      <x:c r="K11653" s="0">
        <x:f>hyperlink("https://icd.who.int/dev11/l-ichi/en#/http%3A%2F%2Fid.who.int%2Ficd%2Fentity%2F261122481","browser")</x:f>
      </x:c>
      <x:c r="L11653" s="0">
        <x:f>hyperlink("https://icat2.azurewebsites.net/icat/?ontology=ICD&amp;tab=ClassesTab&amp;id=http%3A%2F%2Fwho.int%2Ficd%23SpecificAnatomicLocation_2158","iCat")</x:f>
      </x:c>
      <x:c r="M11653" s="0" t="s">
        <x:v>21</x:v>
      </x:c>
      <x:c r="N11653" s="0" t="s">
        <x:v>46</x:v>
      </x:c>
    </x:row>
    <x:row r="11654" spans="1:16">
      <x:c r="A11654" s="0" t="s">
        <x:v>45572</x:v>
      </x:c>
      <x:c r="B11654" s="0" t="s">
        <x:v>45573</x:v>
      </x:c>
      <x:c r="C11654" s="0" t="s">
        <x:v>42840</x:v>
      </x:c>
      <x:c r="E11654" s="0" t="s">
        <x:v>45574</x:v>
      </x:c>
      <x:c r="F11654" s="0" t="s">
        <x:v>45</x:v>
      </x:c>
      <x:c r="G11654" s="0" t="s">
        <x:v>22</x:v>
      </x:c>
      <x:c r="H11654" s="0" t="s">
        <x:v>20</x:v>
      </x:c>
      <x:c r="I11654" s="0" t="s">
        <x:v>21</x:v>
      </x:c>
      <x:c r="K11654" s="0">
        <x:f>hyperlink("https://icd.who.int/dev11/l-ichi/en#/http%3A%2F%2Fid.who.int%2Ficd%2Fentity%2F488233278","browser")</x:f>
      </x:c>
      <x:c r="L11654" s="0">
        <x:f>hyperlink("https://icat2.azurewebsites.net/icat/?ontology=ICD&amp;tab=ClassesTab&amp;id=http%3A%2F%2Fwho.int%2Ficd%23SpecificAnatomicLocation_2176","iCat")</x:f>
      </x:c>
      <x:c r="M11654" s="0" t="s">
        <x:v>21</x:v>
      </x:c>
      <x:c r="N11654" s="0" t="s">
        <x:v>46</x:v>
      </x:c>
    </x:row>
    <x:row r="11655" spans="1:16">
      <x:c r="A11655" s="0" t="s">
        <x:v>45575</x:v>
      </x:c>
      <x:c r="B11655" s="0" t="s">
        <x:v>45576</x:v>
      </x:c>
      <x:c r="C11655" s="0" t="s">
        <x:v>42840</x:v>
      </x:c>
      <x:c r="E11655" s="0" t="s">
        <x:v>45577</x:v>
      </x:c>
      <x:c r="F11655" s="0" t="s">
        <x:v>45</x:v>
      </x:c>
      <x:c r="G11655" s="0" t="s">
        <x:v>22</x:v>
      </x:c>
      <x:c r="H11655" s="0" t="s">
        <x:v>20</x:v>
      </x:c>
      <x:c r="I11655" s="0" t="s">
        <x:v>21</x:v>
      </x:c>
      <x:c r="K11655" s="0">
        <x:f>hyperlink("https://icd.who.int/dev11/l-ichi/en#/http%3A%2F%2Fid.who.int%2Ficd%2Fentity%2F2025908094","browser")</x:f>
      </x:c>
      <x:c r="L11655" s="0">
        <x:f>hyperlink("https://icat2.azurewebsites.net/icat/?ontology=ICD&amp;tab=ClassesTab&amp;id=http%3A%2F%2Fwho.int%2Ficd%23SpecificAnatomicLocation_2171","iCat")</x:f>
      </x:c>
      <x:c r="M11655" s="0" t="s">
        <x:v>21</x:v>
      </x:c>
      <x:c r="N11655" s="0" t="s">
        <x:v>46</x:v>
      </x:c>
    </x:row>
    <x:row r="11656" spans="1:16">
      <x:c r="A11656" s="0" t="s">
        <x:v>45578</x:v>
      </x:c>
      <x:c r="B11656" s="0" t="s">
        <x:v>45579</x:v>
      </x:c>
      <x:c r="C11656" s="0" t="s">
        <x:v>42840</x:v>
      </x:c>
      <x:c r="E11656" s="0" t="s">
        <x:v>45580</x:v>
      </x:c>
      <x:c r="F11656" s="0" t="s">
        <x:v>45</x:v>
      </x:c>
      <x:c r="G11656" s="0" t="s">
        <x:v>22</x:v>
      </x:c>
      <x:c r="H11656" s="0" t="s">
        <x:v>20</x:v>
      </x:c>
      <x:c r="I11656" s="0" t="s">
        <x:v>21</x:v>
      </x:c>
      <x:c r="K11656" s="0">
        <x:f>hyperlink("https://icd.who.int/dev11/l-ichi/en#/http%3A%2F%2Fid.who.int%2Ficd%2Fentity%2F860426430","browser")</x:f>
      </x:c>
      <x:c r="L11656" s="0">
        <x:f>hyperlink("https://icat2.azurewebsites.net/icat/?ontology=ICD&amp;tab=ClassesTab&amp;id=http%3A%2F%2Fwho.int%2Ficd%23SpecificAnatomicLocation_2174","iCat")</x:f>
      </x:c>
      <x:c r="M11656" s="0" t="s">
        <x:v>21</x:v>
      </x:c>
      <x:c r="N11656" s="0" t="s">
        <x:v>46</x:v>
      </x:c>
    </x:row>
    <x:row r="11657" spans="1:16">
      <x:c r="A11657" s="0" t="s">
        <x:v>45581</x:v>
      </x:c>
      <x:c r="B11657" s="0" t="s">
        <x:v>45582</x:v>
      </x:c>
      <x:c r="C11657" s="0" t="s">
        <x:v>42840</x:v>
      </x:c>
      <x:c r="E11657" s="0" t="s">
        <x:v>45583</x:v>
      </x:c>
      <x:c r="F11657" s="0" t="s">
        <x:v>45</x:v>
      </x:c>
      <x:c r="G11657" s="0" t="s">
        <x:v>22</x:v>
      </x:c>
      <x:c r="H11657" s="0" t="s">
        <x:v>20</x:v>
      </x:c>
      <x:c r="I11657" s="0" t="s">
        <x:v>21</x:v>
      </x:c>
      <x:c r="K11657" s="0">
        <x:f>hyperlink("https://icd.who.int/dev11/l-ichi/en#/http%3A%2F%2Fid.who.int%2Ficd%2Fentity%2F430367510","browser")</x:f>
      </x:c>
      <x:c r="L11657" s="0">
        <x:f>hyperlink("https://icat2.azurewebsites.net/icat/?ontology=ICD&amp;tab=ClassesTab&amp;id=http%3A%2F%2Fwho.int%2Ficd%23SpecificAnatomicLocation_2142","iCat")</x:f>
      </x:c>
      <x:c r="M11657" s="0" t="s">
        <x:v>20</x:v>
      </x:c>
      <x:c r="N11657" s="0" t="s">
        <x:v>19</x:v>
      </x:c>
    </x:row>
    <x:row r="11658" spans="1:16">
      <x:c r="A11658" s="0" t="s">
        <x:v>45584</x:v>
      </x:c>
      <x:c r="B11658" s="0" t="s">
        <x:v>45585</x:v>
      </x:c>
      <x:c r="C11658" s="0" t="s">
        <x:v>42840</x:v>
      </x:c>
      <x:c r="E11658" s="0" t="s">
        <x:v>45586</x:v>
      </x:c>
      <x:c r="F11658" s="0" t="s">
        <x:v>45</x:v>
      </x:c>
      <x:c r="G11658" s="0" t="s">
        <x:v>40</x:v>
      </x:c>
      <x:c r="H11658" s="0" t="s">
        <x:v>20</x:v>
      </x:c>
      <x:c r="I11658" s="0" t="s">
        <x:v>21</x:v>
      </x:c>
      <x:c r="K11658" s="0">
        <x:f>hyperlink("https://icd.who.int/dev11/l-ichi/en#/http%3A%2F%2Fid.who.int%2Ficd%2Fentity%2F244221910","browser")</x:f>
      </x:c>
      <x:c r="L11658" s="0">
        <x:f>hyperlink("https://icat2.azurewebsites.net/icat/?ontology=ICD&amp;tab=ClassesTab&amp;id=http%3A%2F%2Fwho.int%2Ficd%23SpecificAnatomicLocation_2143","iCat")</x:f>
      </x:c>
      <x:c r="M11658" s="0" t="s">
        <x:v>21</x:v>
      </x:c>
      <x:c r="N11658" s="0" t="s">
        <x:v>46</x:v>
      </x:c>
    </x:row>
    <x:row r="11659" spans="1:16">
      <x:c r="A11659" s="0" t="s">
        <x:v>45587</x:v>
      </x:c>
      <x:c r="B11659" s="0" t="s">
        <x:v>45588</x:v>
      </x:c>
      <x:c r="C11659" s="0" t="s">
        <x:v>42840</x:v>
      </x:c>
      <x:c r="E11659" s="0" t="s">
        <x:v>45589</x:v>
      </x:c>
      <x:c r="F11659" s="0" t="s">
        <x:v>45</x:v>
      </x:c>
      <x:c r="G11659" s="0" t="s">
        <x:v>22</x:v>
      </x:c>
      <x:c r="H11659" s="0" t="s">
        <x:v>20</x:v>
      </x:c>
      <x:c r="I11659" s="0" t="s">
        <x:v>21</x:v>
      </x:c>
      <x:c r="K11659" s="0">
        <x:f>hyperlink("https://icd.who.int/dev11/l-ichi/en#/http%3A%2F%2Fid.who.int%2Ficd%2Fentity%2F857754818","browser")</x:f>
      </x:c>
      <x:c r="L11659" s="0">
        <x:f>hyperlink("https://icat2.azurewebsites.net/icat/?ontology=ICD&amp;tab=ClassesTab&amp;id=http%3A%2F%2Fwho.int%2Ficd%23SpecificAnatomicLocation_2228","iCat")</x:f>
      </x:c>
      <x:c r="M11659" s="0" t="s">
        <x:v>21</x:v>
      </x:c>
      <x:c r="N11659" s="0" t="s">
        <x:v>46</x:v>
      </x:c>
    </x:row>
    <x:row r="11660" spans="1:16">
      <x:c r="A11660" s="0" t="s">
        <x:v>45590</x:v>
      </x:c>
      <x:c r="B11660" s="0" t="s">
        <x:v>45591</x:v>
      </x:c>
      <x:c r="C11660" s="0" t="s">
        <x:v>42840</x:v>
      </x:c>
      <x:c r="E11660" s="0" t="s">
        <x:v>45592</x:v>
      </x:c>
      <x:c r="F11660" s="0" t="s">
        <x:v>45</x:v>
      </x:c>
      <x:c r="G11660" s="0" t="s">
        <x:v>22</x:v>
      </x:c>
      <x:c r="H11660" s="0" t="s">
        <x:v>20</x:v>
      </x:c>
      <x:c r="I11660" s="0" t="s">
        <x:v>21</x:v>
      </x:c>
      <x:c r="K11660" s="0">
        <x:f>hyperlink("https://icd.who.int/dev11/l-ichi/en#/http%3A%2F%2Fid.who.int%2Ficd%2Fentity%2F102399399","browser")</x:f>
      </x:c>
      <x:c r="L11660" s="0">
        <x:f>hyperlink("https://icat2.azurewebsites.net/icat/?ontology=ICD&amp;tab=ClassesTab&amp;id=http%3A%2F%2Fwho.int%2Ficd%23SpecificAnatomicLocation_2161","iCat")</x:f>
      </x:c>
      <x:c r="M11660" s="0" t="s">
        <x:v>21</x:v>
      </x:c>
      <x:c r="N11660" s="0" t="s">
        <x:v>46</x:v>
      </x:c>
    </x:row>
    <x:row r="11661" spans="1:16">
      <x:c r="A11661" s="0" t="s">
        <x:v>45593</x:v>
      </x:c>
      <x:c r="B11661" s="0" t="s">
        <x:v>45594</x:v>
      </x:c>
      <x:c r="C11661" s="0" t="s">
        <x:v>42840</x:v>
      </x:c>
      <x:c r="E11661" s="0" t="s">
        <x:v>45595</x:v>
      </x:c>
      <x:c r="F11661" s="0" t="s">
        <x:v>45</x:v>
      </x:c>
      <x:c r="G11661" s="0" t="s">
        <x:v>22</x:v>
      </x:c>
      <x:c r="H11661" s="0" t="s">
        <x:v>20</x:v>
      </x:c>
      <x:c r="I11661" s="0" t="s">
        <x:v>21</x:v>
      </x:c>
      <x:c r="K11661" s="0">
        <x:f>hyperlink("https://icd.who.int/dev11/l-ichi/en#/http%3A%2F%2Fid.who.int%2Ficd%2Fentity%2F564788303","browser")</x:f>
      </x:c>
      <x:c r="L11661" s="0">
        <x:f>hyperlink("https://icat2.azurewebsites.net/icat/?ontology=ICD&amp;tab=ClassesTab&amp;id=http%3A%2F%2Fwho.int%2Ficd%23SpecificAnatomicLocation_2206","iCat")</x:f>
      </x:c>
      <x:c r="M11661" s="0" t="s">
        <x:v>21</x:v>
      </x:c>
      <x:c r="N11661" s="0" t="s">
        <x:v>46</x:v>
      </x:c>
    </x:row>
    <x:row r="11662" spans="1:16">
      <x:c r="A11662" s="0" t="s">
        <x:v>45596</x:v>
      </x:c>
      <x:c r="B11662" s="0" t="s">
        <x:v>45597</x:v>
      </x:c>
      <x:c r="C11662" s="0" t="s">
        <x:v>42840</x:v>
      </x:c>
      <x:c r="E11662" s="0" t="s">
        <x:v>45598</x:v>
      </x:c>
      <x:c r="F11662" s="0" t="s">
        <x:v>45</x:v>
      </x:c>
      <x:c r="G11662" s="0" t="s">
        <x:v>22</x:v>
      </x:c>
      <x:c r="H11662" s="0" t="s">
        <x:v>20</x:v>
      </x:c>
      <x:c r="I11662" s="0" t="s">
        <x:v>21</x:v>
      </x:c>
      <x:c r="K11662" s="0">
        <x:f>hyperlink("https://icd.who.int/dev11/l-ichi/en#/http%3A%2F%2Fid.who.int%2Ficd%2Fentity%2F1515163361","browser")</x:f>
      </x:c>
      <x:c r="L11662" s="0">
        <x:f>hyperlink("https://icat2.azurewebsites.net/icat/?ontology=ICD&amp;tab=ClassesTab&amp;id=http%3A%2F%2Fwho.int%2Ficd%23SpecificAnatomicLocation_2134","iCat")</x:f>
      </x:c>
      <x:c r="M11662" s="0" t="s">
        <x:v>21</x:v>
      </x:c>
      <x:c r="N11662" s="0" t="s">
        <x:v>46</x:v>
      </x:c>
    </x:row>
    <x:row r="11663" spans="1:16">
      <x:c r="A11663" s="0" t="s">
        <x:v>45599</x:v>
      </x:c>
      <x:c r="B11663" s="0" t="s">
        <x:v>45600</x:v>
      </x:c>
      <x:c r="C11663" s="0" t="s">
        <x:v>42840</x:v>
      </x:c>
      <x:c r="E11663" s="0" t="s">
        <x:v>45601</x:v>
      </x:c>
      <x:c r="F11663" s="0" t="s">
        <x:v>45</x:v>
      </x:c>
      <x:c r="G11663" s="0" t="s">
        <x:v>22</x:v>
      </x:c>
      <x:c r="H11663" s="0" t="s">
        <x:v>20</x:v>
      </x:c>
      <x:c r="I11663" s="0" t="s">
        <x:v>21</x:v>
      </x:c>
      <x:c r="K11663" s="0">
        <x:f>hyperlink("https://icd.who.int/dev11/l-ichi/en#/http%3A%2F%2Fid.who.int%2Ficd%2Fentity%2F414715249","browser")</x:f>
      </x:c>
      <x:c r="L11663" s="0">
        <x:f>hyperlink("https://icat2.azurewebsites.net/icat/?ontology=ICD&amp;tab=ClassesTab&amp;id=http%3A%2F%2Fwho.int%2Ficd%23SpecificAnatomicLocation_2159","iCat")</x:f>
      </x:c>
      <x:c r="M11663" s="0" t="s">
        <x:v>21</x:v>
      </x:c>
      <x:c r="N11663" s="0" t="s">
        <x:v>46</x:v>
      </x:c>
    </x:row>
    <x:row r="11664" spans="1:16">
      <x:c r="A11664" s="0" t="s">
        <x:v>45602</x:v>
      </x:c>
      <x:c r="B11664" s="0" t="s">
        <x:v>45603</x:v>
      </x:c>
      <x:c r="C11664" s="0" t="s">
        <x:v>42840</x:v>
      </x:c>
      <x:c r="E11664" s="0" t="s">
        <x:v>45604</x:v>
      </x:c>
      <x:c r="F11664" s="0" t="s">
        <x:v>45</x:v>
      </x:c>
      <x:c r="G11664" s="0" t="s">
        <x:v>22</x:v>
      </x:c>
      <x:c r="H11664" s="0" t="s">
        <x:v>20</x:v>
      </x:c>
      <x:c r="I11664" s="0" t="s">
        <x:v>21</x:v>
      </x:c>
      <x:c r="K11664" s="0">
        <x:f>hyperlink("https://icd.who.int/dev11/l-ichi/en#/http%3A%2F%2Fid.who.int%2Ficd%2Fentity%2F258214391","browser")</x:f>
      </x:c>
      <x:c r="L11664" s="0">
        <x:f>hyperlink("https://icat2.azurewebsites.net/icat/?ontology=ICD&amp;tab=ClassesTab&amp;id=http%3A%2F%2Fwho.int%2Ficd%23SpecificAnatomicLocation_2109","iCat")</x:f>
      </x:c>
      <x:c r="M11664" s="0" t="s">
        <x:v>21</x:v>
      </x:c>
      <x:c r="N11664" s="0" t="s">
        <x:v>46</x:v>
      </x:c>
    </x:row>
    <x:row r="11665" spans="1:16">
      <x:c r="A11665" s="0" t="s">
        <x:v>45605</x:v>
      </x:c>
      <x:c r="B11665" s="0" t="s">
        <x:v>45606</x:v>
      </x:c>
      <x:c r="C11665" s="0" t="s">
        <x:v>42840</x:v>
      </x:c>
      <x:c r="E11665" s="0" t="s">
        <x:v>45607</x:v>
      </x:c>
      <x:c r="F11665" s="0" t="s">
        <x:v>45</x:v>
      </x:c>
      <x:c r="G11665" s="0" t="s">
        <x:v>22</x:v>
      </x:c>
      <x:c r="H11665" s="0" t="s">
        <x:v>20</x:v>
      </x:c>
      <x:c r="I11665" s="0" t="s">
        <x:v>21</x:v>
      </x:c>
      <x:c r="K11665" s="0">
        <x:f>hyperlink("https://icd.who.int/dev11/l-ichi/en#/http%3A%2F%2Fid.who.int%2Ficd%2Fentity%2F675984423","browser")</x:f>
      </x:c>
      <x:c r="L11665" s="0">
        <x:f>hyperlink("https://icat2.azurewebsites.net/icat/?ontology=ICD&amp;tab=ClassesTab&amp;id=http%3A%2F%2Fwho.int%2Ficd%23SpecificAnatomicLocation_2163","iCat")</x:f>
      </x:c>
      <x:c r="M11665" s="0" t="s">
        <x:v>21</x:v>
      </x:c>
      <x:c r="N11665" s="0" t="s">
        <x:v>46</x:v>
      </x:c>
    </x:row>
    <x:row r="11666" spans="1:16">
      <x:c r="A11666" s="0" t="s">
        <x:v>45608</x:v>
      </x:c>
      <x:c r="B11666" s="0" t="s">
        <x:v>45609</x:v>
      </x:c>
      <x:c r="C11666" s="0" t="s">
        <x:v>42840</x:v>
      </x:c>
      <x:c r="E11666" s="0" t="s">
        <x:v>45610</x:v>
      </x:c>
      <x:c r="F11666" s="0" t="s">
        <x:v>45</x:v>
      </x:c>
      <x:c r="G11666" s="0" t="s">
        <x:v>22</x:v>
      </x:c>
      <x:c r="H11666" s="0" t="s">
        <x:v>20</x:v>
      </x:c>
      <x:c r="I11666" s="0" t="s">
        <x:v>21</x:v>
      </x:c>
      <x:c r="K11666" s="0">
        <x:f>hyperlink("https://icd.who.int/dev11/l-ichi/en#/http%3A%2F%2Fid.who.int%2Ficd%2Fentity%2F691865150","browser")</x:f>
      </x:c>
      <x:c r="L11666" s="0">
        <x:f>hyperlink("https://icat2.azurewebsites.net/icat/?ontology=ICD&amp;tab=ClassesTab&amp;id=http%3A%2F%2Fwho.int%2Ficd%23SpecificAnatomicLocation_2224","iCat")</x:f>
      </x:c>
      <x:c r="M11666" s="0" t="s">
        <x:v>20</x:v>
      </x:c>
      <x:c r="N11666" s="0" t="s">
        <x:v>19</x:v>
      </x:c>
    </x:row>
    <x:row r="11667" spans="1:16">
      <x:c r="A11667" s="0" t="s">
        <x:v>45611</x:v>
      </x:c>
      <x:c r="B11667" s="0" t="s">
        <x:v>45612</x:v>
      </x:c>
      <x:c r="C11667" s="0" t="s">
        <x:v>42840</x:v>
      </x:c>
      <x:c r="E11667" s="0" t="s">
        <x:v>45613</x:v>
      </x:c>
      <x:c r="F11667" s="0" t="s">
        <x:v>45</x:v>
      </x:c>
      <x:c r="G11667" s="0" t="s">
        <x:v>40</x:v>
      </x:c>
      <x:c r="H11667" s="0" t="s">
        <x:v>20</x:v>
      </x:c>
      <x:c r="I11667" s="0" t="s">
        <x:v>21</x:v>
      </x:c>
      <x:c r="K11667" s="0">
        <x:f>hyperlink("https://icd.who.int/dev11/l-ichi/en#/http%3A%2F%2Fid.who.int%2Ficd%2Fentity%2F551439958","browser")</x:f>
      </x:c>
      <x:c r="L11667" s="0">
        <x:f>hyperlink("https://icat2.azurewebsites.net/icat/?ontology=ICD&amp;tab=ClassesTab&amp;id=http%3A%2F%2Fwho.int%2Ficd%23SpecificAnatomicLocation_2141","iCat")</x:f>
      </x:c>
      <x:c r="M11667" s="0" t="s">
        <x:v>21</x:v>
      </x:c>
      <x:c r="N11667" s="0" t="s">
        <x:v>46</x:v>
      </x:c>
    </x:row>
    <x:row r="11668" spans="1:16">
      <x:c r="A11668" s="0" t="s">
        <x:v>45614</x:v>
      </x:c>
      <x:c r="B11668" s="0" t="s">
        <x:v>45615</x:v>
      </x:c>
      <x:c r="C11668" s="0" t="s">
        <x:v>42840</x:v>
      </x:c>
      <x:c r="E11668" s="0" t="s">
        <x:v>45616</x:v>
      </x:c>
      <x:c r="F11668" s="0" t="s">
        <x:v>45</x:v>
      </x:c>
      <x:c r="G11668" s="0" t="s">
        <x:v>22</x:v>
      </x:c>
      <x:c r="H11668" s="0" t="s">
        <x:v>20</x:v>
      </x:c>
      <x:c r="I11668" s="0" t="s">
        <x:v>21</x:v>
      </x:c>
      <x:c r="K11668" s="0">
        <x:f>hyperlink("https://icd.who.int/dev11/l-ichi/en#/http%3A%2F%2Fid.who.int%2Ficd%2Fentity%2F273001342","browser")</x:f>
      </x:c>
      <x:c r="L11668" s="0">
        <x:f>hyperlink("https://icat2.azurewebsites.net/icat/?ontology=ICD&amp;tab=ClassesTab&amp;id=http%3A%2F%2Fwho.int%2Ficd%23SpecificAnatomicLocation_2227","iCat")</x:f>
      </x:c>
      <x:c r="M11668" s="0" t="s">
        <x:v>21</x:v>
      </x:c>
      <x:c r="N11668" s="0" t="s">
        <x:v>46</x:v>
      </x:c>
    </x:row>
    <x:row r="11669" spans="1:16">
      <x:c r="A11669" s="0" t="s">
        <x:v>45617</x:v>
      </x:c>
      <x:c r="B11669" s="0" t="s">
        <x:v>45618</x:v>
      </x:c>
      <x:c r="C11669" s="0" t="s">
        <x:v>42840</x:v>
      </x:c>
      <x:c r="E11669" s="0" t="s">
        <x:v>45619</x:v>
      </x:c>
      <x:c r="F11669" s="0" t="s">
        <x:v>45</x:v>
      </x:c>
      <x:c r="G11669" s="0" t="s">
        <x:v>22</x:v>
      </x:c>
      <x:c r="H11669" s="0" t="s">
        <x:v>20</x:v>
      </x:c>
      <x:c r="I11669" s="0" t="s">
        <x:v>21</x:v>
      </x:c>
      <x:c r="K11669" s="0">
        <x:f>hyperlink("https://icd.who.int/dev11/l-ichi/en#/http%3A%2F%2Fid.who.int%2Ficd%2Fentity%2F580307639","browser")</x:f>
      </x:c>
      <x:c r="L11669" s="0">
        <x:f>hyperlink("https://icat2.azurewebsites.net/icat/?ontology=ICD&amp;tab=ClassesTab&amp;id=http%3A%2F%2Fwho.int%2Ficd%23SpecificAnatomicLocation_2189","iCat")</x:f>
      </x:c>
      <x:c r="M11669" s="0" t="s">
        <x:v>21</x:v>
      </x:c>
      <x:c r="N11669" s="0" t="s">
        <x:v>46</x:v>
      </x:c>
    </x:row>
    <x:row r="11670" spans="1:16">
      <x:c r="A11670" s="0" t="s">
        <x:v>45620</x:v>
      </x:c>
      <x:c r="B11670" s="0" t="s">
        <x:v>45621</x:v>
      </x:c>
      <x:c r="C11670" s="0" t="s">
        <x:v>42840</x:v>
      </x:c>
      <x:c r="E11670" s="0" t="s">
        <x:v>45622</x:v>
      </x:c>
      <x:c r="F11670" s="0" t="s">
        <x:v>45</x:v>
      </x:c>
      <x:c r="G11670" s="0" t="s">
        <x:v>22</x:v>
      </x:c>
      <x:c r="H11670" s="0" t="s">
        <x:v>20</x:v>
      </x:c>
      <x:c r="I11670" s="0" t="s">
        <x:v>21</x:v>
      </x:c>
      <x:c r="K11670" s="0">
        <x:f>hyperlink("https://icd.who.int/dev11/l-ichi/en#/http%3A%2F%2Fid.who.int%2Ficd%2Fentity%2F922897106","browser")</x:f>
      </x:c>
      <x:c r="L11670" s="0">
        <x:f>hyperlink("https://icat2.azurewebsites.net/icat/?ontology=ICD&amp;tab=ClassesTab&amp;id=http%3A%2F%2Fwho.int%2Ficd%23SpecificAnatomicLocation_2111","iCat")</x:f>
      </x:c>
      <x:c r="M11670" s="0" t="s">
        <x:v>21</x:v>
      </x:c>
      <x:c r="N11670" s="0" t="s">
        <x:v>46</x:v>
      </x:c>
    </x:row>
    <x:row r="11671" spans="1:16">
      <x:c r="A11671" s="0" t="s">
        <x:v>45623</x:v>
      </x:c>
      <x:c r="B11671" s="0" t="s">
        <x:v>45624</x:v>
      </x:c>
      <x:c r="C11671" s="0" t="s">
        <x:v>42840</x:v>
      </x:c>
      <x:c r="E11671" s="0" t="s">
        <x:v>45625</x:v>
      </x:c>
      <x:c r="F11671" s="0" t="s">
        <x:v>45</x:v>
      </x:c>
      <x:c r="G11671" s="0" t="s">
        <x:v>22</x:v>
      </x:c>
      <x:c r="H11671" s="0" t="s">
        <x:v>20</x:v>
      </x:c>
      <x:c r="I11671" s="0" t="s">
        <x:v>21</x:v>
      </x:c>
      <x:c r="K11671" s="0">
        <x:f>hyperlink("https://icd.who.int/dev11/l-ichi/en#/http%3A%2F%2Fid.who.int%2Ficd%2Fentity%2F1179720336","browser")</x:f>
      </x:c>
      <x:c r="L11671" s="0">
        <x:f>hyperlink("https://icat2.azurewebsites.net/icat/?ontology=ICD&amp;tab=ClassesTab&amp;id=http%3A%2F%2Fwho.int%2Ficd%23SpecificAnatomicLocation_2195","iCat")</x:f>
      </x:c>
      <x:c r="M11671" s="0" t="s">
        <x:v>20</x:v>
      </x:c>
      <x:c r="N11671" s="0" t="s">
        <x:v>35</x:v>
      </x:c>
    </x:row>
    <x:row r="11672" spans="1:16">
      <x:c r="A11672" s="0" t="s">
        <x:v>45626</x:v>
      </x:c>
      <x:c r="B11672" s="0" t="s">
        <x:v>45627</x:v>
      </x:c>
      <x:c r="C11672" s="0" t="s">
        <x:v>42840</x:v>
      </x:c>
      <x:c r="E11672" s="0" t="s">
        <x:v>45628</x:v>
      </x:c>
      <x:c r="F11672" s="0" t="s">
        <x:v>45</x:v>
      </x:c>
      <x:c r="G11672" s="0" t="s">
        <x:v>40</x:v>
      </x:c>
      <x:c r="H11672" s="0" t="s">
        <x:v>20</x:v>
      </x:c>
      <x:c r="I11672" s="0" t="s">
        <x:v>21</x:v>
      </x:c>
      <x:c r="K11672" s="0">
        <x:f>hyperlink("https://icd.who.int/dev11/l-ichi/en#/http%3A%2F%2Fid.who.int%2Ficd%2Fentity%2F2133440464","browser")</x:f>
      </x:c>
      <x:c r="L11672" s="0">
        <x:f>hyperlink("https://icat2.azurewebsites.net/icat/?ontology=ICD&amp;tab=ClassesTab&amp;id=http%3A%2F%2Fwho.int%2Ficd%23SpecificAnatomicLocation_2196","iCat")</x:f>
      </x:c>
      <x:c r="M11672" s="0" t="s">
        <x:v>21</x:v>
      </x:c>
      <x:c r="N11672" s="0" t="s">
        <x:v>46</x:v>
      </x:c>
    </x:row>
    <x:row r="11673" spans="1:16">
      <x:c r="A11673" s="0" t="s">
        <x:v>45629</x:v>
      </x:c>
      <x:c r="B11673" s="0" t="s">
        <x:v>45630</x:v>
      </x:c>
      <x:c r="C11673" s="0" t="s">
        <x:v>42840</x:v>
      </x:c>
      <x:c r="E11673" s="0" t="s">
        <x:v>45631</x:v>
      </x:c>
      <x:c r="F11673" s="0" t="s">
        <x:v>45</x:v>
      </x:c>
      <x:c r="G11673" s="0" t="s">
        <x:v>40</x:v>
      </x:c>
      <x:c r="H11673" s="0" t="s">
        <x:v>20</x:v>
      </x:c>
      <x:c r="I11673" s="0" t="s">
        <x:v>21</x:v>
      </x:c>
      <x:c r="K11673" s="0">
        <x:f>hyperlink("https://icd.who.int/dev11/l-ichi/en#/http%3A%2F%2Fid.who.int%2Ficd%2Fentity%2F1264858288","browser")</x:f>
      </x:c>
      <x:c r="L11673" s="0">
        <x:f>hyperlink("https://icat2.azurewebsites.net/icat/?ontology=ICD&amp;tab=ClassesTab&amp;id=http%3A%2F%2Fwho.int%2Ficd%23SpecificAnatomicLocation_2198","iCat")</x:f>
      </x:c>
      <x:c r="M11673" s="0" t="s">
        <x:v>21</x:v>
      </x:c>
      <x:c r="N11673" s="0" t="s">
        <x:v>46</x:v>
      </x:c>
    </x:row>
    <x:row r="11674" spans="1:16">
      <x:c r="A11674" s="0" t="s">
        <x:v>45632</x:v>
      </x:c>
      <x:c r="B11674" s="0" t="s">
        <x:v>45633</x:v>
      </x:c>
      <x:c r="C11674" s="0" t="s">
        <x:v>42840</x:v>
      </x:c>
      <x:c r="E11674" s="0" t="s">
        <x:v>45634</x:v>
      </x:c>
      <x:c r="F11674" s="0" t="s">
        <x:v>45</x:v>
      </x:c>
      <x:c r="G11674" s="0" t="s">
        <x:v>40</x:v>
      </x:c>
      <x:c r="H11674" s="0" t="s">
        <x:v>20</x:v>
      </x:c>
      <x:c r="I11674" s="0" t="s">
        <x:v>21</x:v>
      </x:c>
      <x:c r="K11674" s="0">
        <x:f>hyperlink("https://icd.who.int/dev11/l-ichi/en#/http%3A%2F%2Fid.who.int%2Ficd%2Fentity%2F1548505200","browser")</x:f>
      </x:c>
      <x:c r="L11674" s="0">
        <x:f>hyperlink("https://icat2.azurewebsites.net/icat/?ontology=ICD&amp;tab=ClassesTab&amp;id=http%3A%2F%2Fwho.int%2Ficd%23SpecificAnatomicLocation_2199","iCat")</x:f>
      </x:c>
      <x:c r="M11674" s="0" t="s">
        <x:v>21</x:v>
      </x:c>
      <x:c r="N11674" s="0" t="s">
        <x:v>46</x:v>
      </x:c>
    </x:row>
    <x:row r="11675" spans="1:16">
      <x:c r="A11675" s="0" t="s">
        <x:v>45635</x:v>
      </x:c>
      <x:c r="B11675" s="0" t="s">
        <x:v>45636</x:v>
      </x:c>
      <x:c r="C11675" s="0" t="s">
        <x:v>42840</x:v>
      </x:c>
      <x:c r="E11675" s="0" t="s">
        <x:v>45637</x:v>
      </x:c>
      <x:c r="F11675" s="0" t="s">
        <x:v>45</x:v>
      </x:c>
      <x:c r="G11675" s="0" t="s">
        <x:v>22</x:v>
      </x:c>
      <x:c r="H11675" s="0" t="s">
        <x:v>20</x:v>
      </x:c>
      <x:c r="I11675" s="0" t="s">
        <x:v>21</x:v>
      </x:c>
      <x:c r="K11675" s="0">
        <x:f>hyperlink("https://icd.who.int/dev11/l-ichi/en#/http%3A%2F%2Fid.who.int%2Ficd%2Fentity%2F1401318855","browser")</x:f>
      </x:c>
      <x:c r="L11675" s="0">
        <x:f>hyperlink("https://icat2.azurewebsites.net/icat/?ontology=ICD&amp;tab=ClassesTab&amp;id=http%3A%2F%2Fwho.int%2Ficd%23SpecificAnatomicLocation_2098","iCat")</x:f>
      </x:c>
      <x:c r="M11675" s="0" t="s">
        <x:v>20</x:v>
      </x:c>
      <x:c r="N11675" s="0" t="s">
        <x:v>30</x:v>
      </x:c>
    </x:row>
    <x:row r="11676" spans="1:16">
      <x:c r="A11676" s="0" t="s">
        <x:v>45638</x:v>
      </x:c>
      <x:c r="B11676" s="0" t="s">
        <x:v>45639</x:v>
      </x:c>
      <x:c r="C11676" s="0" t="s">
        <x:v>42840</x:v>
      </x:c>
      <x:c r="E11676" s="0" t="s">
        <x:v>45640</x:v>
      </x:c>
      <x:c r="F11676" s="0" t="s">
        <x:v>45</x:v>
      </x:c>
      <x:c r="G11676" s="0" t="s">
        <x:v>40</x:v>
      </x:c>
      <x:c r="H11676" s="0" t="s">
        <x:v>20</x:v>
      </x:c>
      <x:c r="I11676" s="0" t="s">
        <x:v>21</x:v>
      </x:c>
      <x:c r="K11676" s="0">
        <x:f>hyperlink("https://icd.who.int/dev11/l-ichi/en#/http%3A%2F%2Fid.who.int%2Ficd%2Fentity%2F1152256263","browser")</x:f>
      </x:c>
      <x:c r="L11676" s="0">
        <x:f>hyperlink("https://icat2.azurewebsites.net/icat/?ontology=ICD&amp;tab=ClassesTab&amp;id=http%3A%2F%2Fwho.int%2Ficd%23SpecificAnatomicLocation_2099","iCat")</x:f>
      </x:c>
      <x:c r="M11676" s="0" t="s">
        <x:v>21</x:v>
      </x:c>
      <x:c r="N11676" s="0" t="s">
        <x:v>46</x:v>
      </x:c>
    </x:row>
    <x:row r="11677" spans="1:16">
      <x:c r="A11677" s="0" t="s">
        <x:v>45641</x:v>
      </x:c>
      <x:c r="B11677" s="0" t="s">
        <x:v>45642</x:v>
      </x:c>
      <x:c r="C11677" s="0" t="s">
        <x:v>42840</x:v>
      </x:c>
      <x:c r="E11677" s="0" t="s">
        <x:v>45643</x:v>
      </x:c>
      <x:c r="F11677" s="0" t="s">
        <x:v>45</x:v>
      </x:c>
      <x:c r="G11677" s="0" t="s">
        <x:v>40</x:v>
      </x:c>
      <x:c r="H11677" s="0" t="s">
        <x:v>20</x:v>
      </x:c>
      <x:c r="I11677" s="0" t="s">
        <x:v>21</x:v>
      </x:c>
      <x:c r="K11677" s="0">
        <x:f>hyperlink("https://icd.who.int/dev11/l-ichi/en#/http%3A%2F%2Fid.who.int%2Ficd%2Fentity%2F1592833225","browser")</x:f>
      </x:c>
      <x:c r="L11677" s="0">
        <x:f>hyperlink("https://icat2.azurewebsites.net/icat/?ontology=ICD&amp;tab=ClassesTab&amp;id=http%3A%2F%2Fwho.int%2Ficd%23SpecificAnatomicLocation_2100","iCat")</x:f>
      </x:c>
      <x:c r="M11677" s="0" t="s">
        <x:v>21</x:v>
      </x:c>
      <x:c r="N11677" s="0" t="s">
        <x:v>46</x:v>
      </x:c>
    </x:row>
    <x:row r="11678" spans="1:16">
      <x:c r="A11678" s="0" t="s">
        <x:v>45644</x:v>
      </x:c>
      <x:c r="B11678" s="0" t="s">
        <x:v>45645</x:v>
      </x:c>
      <x:c r="C11678" s="0" t="s">
        <x:v>42840</x:v>
      </x:c>
      <x:c r="E11678" s="0" t="s">
        <x:v>45646</x:v>
      </x:c>
      <x:c r="F11678" s="0" t="s">
        <x:v>45</x:v>
      </x:c>
      <x:c r="G11678" s="0" t="s">
        <x:v>22</x:v>
      </x:c>
      <x:c r="H11678" s="0" t="s">
        <x:v>20</x:v>
      </x:c>
      <x:c r="I11678" s="0" t="s">
        <x:v>21</x:v>
      </x:c>
      <x:c r="K11678" s="0">
        <x:f>hyperlink("https://icd.who.int/dev11/l-ichi/en#/http%3A%2F%2Fid.who.int%2Ficd%2Fentity%2F1063440615","browser")</x:f>
      </x:c>
      <x:c r="L11678" s="0">
        <x:f>hyperlink("https://icat2.azurewebsites.net/icat/?ontology=ICD&amp;tab=ClassesTab&amp;id=http%3A%2F%2Fwho.int%2Ficd%23SpecificAnatomicLocation_2162","iCat")</x:f>
      </x:c>
      <x:c r="M11678" s="0" t="s">
        <x:v>21</x:v>
      </x:c>
      <x:c r="N11678" s="0" t="s">
        <x:v>46</x:v>
      </x:c>
    </x:row>
    <x:row r="11679" spans="1:16">
      <x:c r="A11679" s="0" t="s">
        <x:v>45647</x:v>
      </x:c>
      <x:c r="B11679" s="0" t="s">
        <x:v>45648</x:v>
      </x:c>
      <x:c r="C11679" s="0" t="s">
        <x:v>42840</x:v>
      </x:c>
      <x:c r="E11679" s="0" t="s">
        <x:v>45649</x:v>
      </x:c>
      <x:c r="F11679" s="0" t="s">
        <x:v>45</x:v>
      </x:c>
      <x:c r="G11679" s="0" t="s">
        <x:v>22</x:v>
      </x:c>
      <x:c r="H11679" s="0" t="s">
        <x:v>20</x:v>
      </x:c>
      <x:c r="I11679" s="0" t="s">
        <x:v>21</x:v>
      </x:c>
      <x:c r="K11679" s="0">
        <x:f>hyperlink("https://icd.who.int/dev11/l-ichi/en#/http%3A%2F%2Fid.who.int%2Ficd%2Fentity%2F1929541513","browser")</x:f>
      </x:c>
      <x:c r="L11679" s="0">
        <x:f>hyperlink("https://icat2.azurewebsites.net/icat/?ontology=ICD&amp;tab=ClassesTab&amp;id=http%3A%2F%2Fwho.int%2Ficd%23SpecificAnatomicLocation_2180","iCat")</x:f>
      </x:c>
      <x:c r="M11679" s="0" t="s">
        <x:v>20</x:v>
      </x:c>
      <x:c r="N11679" s="0" t="s">
        <x:v>19</x:v>
      </x:c>
    </x:row>
    <x:row r="11680" spans="1:16">
      <x:c r="A11680" s="0" t="s">
        <x:v>45650</x:v>
      </x:c>
      <x:c r="B11680" s="0" t="s">
        <x:v>45651</x:v>
      </x:c>
      <x:c r="C11680" s="0" t="s">
        <x:v>42840</x:v>
      </x:c>
      <x:c r="E11680" s="0" t="s">
        <x:v>45652</x:v>
      </x:c>
      <x:c r="F11680" s="0" t="s">
        <x:v>45</x:v>
      </x:c>
      <x:c r="G11680" s="0" t="s">
        <x:v>40</x:v>
      </x:c>
      <x:c r="H11680" s="0" t="s">
        <x:v>20</x:v>
      </x:c>
      <x:c r="I11680" s="0" t="s">
        <x:v>21</x:v>
      </x:c>
      <x:c r="K11680" s="0">
        <x:f>hyperlink("https://icd.who.int/dev11/l-ichi/en#/http%3A%2F%2Fid.who.int%2Ficd%2Fentity%2F1680479049","browser")</x:f>
      </x:c>
      <x:c r="L11680" s="0">
        <x:f>hyperlink("https://icat2.azurewebsites.net/icat/?ontology=ICD&amp;tab=ClassesTab&amp;id=http%3A%2F%2Fwho.int%2Ficd%23SpecificAnatomicLocation_2181","iCat")</x:f>
      </x:c>
      <x:c r="M11680" s="0" t="s">
        <x:v>21</x:v>
      </x:c>
      <x:c r="N11680" s="0" t="s">
        <x:v>46</x:v>
      </x:c>
    </x:row>
    <x:row r="11681" spans="1:16">
      <x:c r="A11681" s="0" t="s">
        <x:v>45653</x:v>
      </x:c>
      <x:c r="B11681" s="0" t="s">
        <x:v>45654</x:v>
      </x:c>
      <x:c r="C11681" s="0" t="s">
        <x:v>42840</x:v>
      </x:c>
      <x:c r="E11681" s="0" t="s">
        <x:v>45655</x:v>
      </x:c>
      <x:c r="F11681" s="0" t="s">
        <x:v>45</x:v>
      </x:c>
      <x:c r="G11681" s="0" t="s">
        <x:v>22</x:v>
      </x:c>
      <x:c r="H11681" s="0" t="s">
        <x:v>20</x:v>
      </x:c>
      <x:c r="I11681" s="0" t="s">
        <x:v>21</x:v>
      </x:c>
      <x:c r="K11681" s="0">
        <x:f>hyperlink("https://icd.who.int/dev11/l-ichi/en#/http%3A%2F%2Fid.who.int%2Ficd%2Fentity%2F1805900242","browser")</x:f>
      </x:c>
      <x:c r="L11681" s="0">
        <x:f>hyperlink("https://icat2.azurewebsites.net/icat/?ontology=ICD&amp;tab=ClassesTab&amp;id=http%3A%2F%2Fwho.int%2Ficd%23SpecificAnatomicLocation_2115","iCat")</x:f>
      </x:c>
      <x:c r="M11681" s="0" t="s">
        <x:v>21</x:v>
      </x:c>
      <x:c r="N11681" s="0" t="s">
        <x:v>46</x:v>
      </x:c>
    </x:row>
    <x:row r="11682" spans="1:16">
      <x:c r="A11682" s="0" t="s">
        <x:v>45656</x:v>
      </x:c>
      <x:c r="B11682" s="0" t="s">
        <x:v>45657</x:v>
      </x:c>
      <x:c r="C11682" s="0" t="s">
        <x:v>42840</x:v>
      </x:c>
      <x:c r="E11682" s="0" t="s">
        <x:v>45658</x:v>
      </x:c>
      <x:c r="F11682" s="0" t="s">
        <x:v>45</x:v>
      </x:c>
      <x:c r="G11682" s="0" t="s">
        <x:v>22</x:v>
      </x:c>
      <x:c r="H11682" s="0" t="s">
        <x:v>20</x:v>
      </x:c>
      <x:c r="I11682" s="0" t="s">
        <x:v>21</x:v>
      </x:c>
      <x:c r="K11682" s="0">
        <x:f>hyperlink("https://icd.who.int/dev11/l-ichi/en#/http%3A%2F%2Fid.who.int%2Ficd%2Fentity%2F1721169902","browser")</x:f>
      </x:c>
      <x:c r="L11682" s="0">
        <x:f>hyperlink("https://icat2.azurewebsites.net/icat/?ontology=ICD&amp;tab=ClassesTab&amp;id=http%3A%2F%2Fwho.int%2Ficd%23SpecificAnatomicLocation_2118","iCat")</x:f>
      </x:c>
      <x:c r="M11682" s="0" t="s">
        <x:v>21</x:v>
      </x:c>
      <x:c r="N11682" s="0" t="s">
        <x:v>46</x:v>
      </x:c>
    </x:row>
    <x:row r="11683" spans="1:16">
      <x:c r="A11683" s="0" t="s">
        <x:v>45659</x:v>
      </x:c>
      <x:c r="B11683" s="0" t="s">
        <x:v>45660</x:v>
      </x:c>
      <x:c r="C11683" s="0" t="s">
        <x:v>42840</x:v>
      </x:c>
      <x:c r="E11683" s="0" t="s">
        <x:v>45661</x:v>
      </x:c>
      <x:c r="F11683" s="0" t="s">
        <x:v>45</x:v>
      </x:c>
      <x:c r="G11683" s="0" t="s">
        <x:v>22</x:v>
      </x:c>
      <x:c r="H11683" s="0" t="s">
        <x:v>20</x:v>
      </x:c>
      <x:c r="I11683" s="0" t="s">
        <x:v>21</x:v>
      </x:c>
      <x:c r="K11683" s="0">
        <x:f>hyperlink("https://icd.who.int/dev11/l-ichi/en#/http%3A%2F%2Fid.who.int%2Ficd%2Fentity%2F1908314926","browser")</x:f>
      </x:c>
      <x:c r="L11683" s="0">
        <x:f>hyperlink("https://icat2.azurewebsites.net/icat/?ontology=ICD&amp;tab=ClassesTab&amp;id=http%3A%2F%2Fwho.int%2Ficd%23SpecificAnatomicLocation_2119","iCat")</x:f>
      </x:c>
      <x:c r="M11683" s="0" t="s">
        <x:v>21</x:v>
      </x:c>
      <x:c r="N11683" s="0" t="s">
        <x:v>46</x:v>
      </x:c>
    </x:row>
    <x:row r="11684" spans="1:16">
      <x:c r="A11684" s="0" t="s">
        <x:v>45662</x:v>
      </x:c>
      <x:c r="B11684" s="0" t="s">
        <x:v>45663</x:v>
      </x:c>
      <x:c r="C11684" s="0" t="s">
        <x:v>42840</x:v>
      </x:c>
      <x:c r="E11684" s="0" t="s">
        <x:v>45664</x:v>
      </x:c>
      <x:c r="F11684" s="0" t="s">
        <x:v>45</x:v>
      </x:c>
      <x:c r="G11684" s="0" t="s">
        <x:v>22</x:v>
      </x:c>
      <x:c r="H11684" s="0" t="s">
        <x:v>20</x:v>
      </x:c>
      <x:c r="I11684" s="0" t="s">
        <x:v>21</x:v>
      </x:c>
      <x:c r="K11684" s="0">
        <x:f>hyperlink("https://icd.who.int/dev11/l-ichi/en#/http%3A%2F%2Fid.who.int%2Ficd%2Fentity%2F2016708410","browser")</x:f>
      </x:c>
      <x:c r="L11684" s="0">
        <x:f>hyperlink("https://icat2.azurewebsites.net/icat/?ontology=ICD&amp;tab=ClassesTab&amp;id=http%3A%2F%2Fwho.int%2Ficd%23SpecificAnatomicLocation_2120","iCat")</x:f>
      </x:c>
      <x:c r="M11684" s="0" t="s">
        <x:v>21</x:v>
      </x:c>
      <x:c r="N11684" s="0" t="s">
        <x:v>46</x:v>
      </x:c>
    </x:row>
    <x:row r="11685" spans="1:16">
      <x:c r="A11685" s="0" t="s">
        <x:v>45665</x:v>
      </x:c>
      <x:c r="B11685" s="0" t="s">
        <x:v>45666</x:v>
      </x:c>
      <x:c r="C11685" s="0" t="s">
        <x:v>42840</x:v>
      </x:c>
      <x:c r="E11685" s="0" t="s">
        <x:v>45667</x:v>
      </x:c>
      <x:c r="F11685" s="0" t="s">
        <x:v>45</x:v>
      </x:c>
      <x:c r="G11685" s="0" t="s">
        <x:v>22</x:v>
      </x:c>
      <x:c r="H11685" s="0" t="s">
        <x:v>20</x:v>
      </x:c>
      <x:c r="I11685" s="0" t="s">
        <x:v>21</x:v>
      </x:c>
      <x:c r="K11685" s="0">
        <x:f>hyperlink("https://icd.who.int/dev11/l-ichi/en#/http%3A%2F%2Fid.who.int%2Ficd%2Fentity%2F1390113938","browser")</x:f>
      </x:c>
      <x:c r="L11685" s="0">
        <x:f>hyperlink("https://icat2.azurewebsites.net/icat/?ontology=ICD&amp;tab=ClassesTab&amp;id=http%3A%2F%2Fwho.int%2Ficd%23SpecificAnatomicLocation_2116","iCat")</x:f>
      </x:c>
      <x:c r="M11685" s="0" t="s">
        <x:v>21</x:v>
      </x:c>
      <x:c r="N11685" s="0" t="s">
        <x:v>46</x:v>
      </x:c>
    </x:row>
    <x:row r="11686" spans="1:16">
      <x:c r="A11686" s="0" t="s">
        <x:v>45668</x:v>
      </x:c>
      <x:c r="B11686" s="0" t="s">
        <x:v>45669</x:v>
      </x:c>
      <x:c r="C11686" s="0" t="s">
        <x:v>42840</x:v>
      </x:c>
      <x:c r="E11686" s="0" t="s">
        <x:v>45670</x:v>
      </x:c>
      <x:c r="F11686" s="0" t="s">
        <x:v>45</x:v>
      </x:c>
      <x:c r="G11686" s="0" t="s">
        <x:v>22</x:v>
      </x:c>
      <x:c r="H11686" s="0" t="s">
        <x:v>20</x:v>
      </x:c>
      <x:c r="I11686" s="0" t="s">
        <x:v>21</x:v>
      </x:c>
      <x:c r="K11686" s="0">
        <x:f>hyperlink("https://icd.who.int/dev11/l-ichi/en#/http%3A%2F%2Fid.who.int%2Ficd%2Fentity%2F1173557330","browser")</x:f>
      </x:c>
      <x:c r="L11686" s="0">
        <x:f>hyperlink("https://icat2.azurewebsites.net/icat/?ontology=ICD&amp;tab=ClassesTab&amp;id=http%3A%2F%2Fwho.int%2Ficd%23SpecificAnatomicLocation_2117","iCat")</x:f>
      </x:c>
      <x:c r="M11686" s="0" t="s">
        <x:v>21</x:v>
      </x:c>
      <x:c r="N11686" s="0" t="s">
        <x:v>46</x:v>
      </x:c>
    </x:row>
    <x:row r="11687" spans="1:16">
      <x:c r="A11687" s="0" t="s">
        <x:v>45671</x:v>
      </x:c>
      <x:c r="B11687" s="0" t="s">
        <x:v>45672</x:v>
      </x:c>
      <x:c r="C11687" s="0" t="s">
        <x:v>42840</x:v>
      </x:c>
      <x:c r="E11687" s="0" t="s">
        <x:v>45673</x:v>
      </x:c>
      <x:c r="F11687" s="0" t="s">
        <x:v>45</x:v>
      </x:c>
      <x:c r="G11687" s="0" t="s">
        <x:v>22</x:v>
      </x:c>
      <x:c r="H11687" s="0" t="s">
        <x:v>20</x:v>
      </x:c>
      <x:c r="I11687" s="0" t="s">
        <x:v>21</x:v>
      </x:c>
      <x:c r="K11687" s="0">
        <x:f>hyperlink("https://icd.who.int/dev11/l-ichi/en#/http%3A%2F%2Fid.who.int%2Ficd%2Fentity%2F1234904889","browser")</x:f>
      </x:c>
      <x:c r="L11687" s="0">
        <x:f>hyperlink("https://icat2.azurewebsites.net/icat/?ontology=ICD&amp;tab=ClassesTab&amp;id=http%3A%2F%2Fwho.int%2Ficd%23SpecificAnatomicLocation_2094","iCat")</x:f>
      </x:c>
      <x:c r="M11687" s="0" t="s">
        <x:v>21</x:v>
      </x:c>
      <x:c r="N11687" s="0" t="s">
        <x:v>46</x:v>
      </x:c>
    </x:row>
    <x:row r="11688" spans="1:16">
      <x:c r="A11688" s="0" t="s">
        <x:v>45674</x:v>
      </x:c>
      <x:c r="B11688" s="0" t="s">
        <x:v>45675</x:v>
      </x:c>
      <x:c r="C11688" s="0" t="s">
        <x:v>42840</x:v>
      </x:c>
      <x:c r="E11688" s="0" t="s">
        <x:v>45676</x:v>
      </x:c>
      <x:c r="F11688" s="0" t="s">
        <x:v>45</x:v>
      </x:c>
      <x:c r="G11688" s="0" t="s">
        <x:v>22</x:v>
      </x:c>
      <x:c r="H11688" s="0" t="s">
        <x:v>20</x:v>
      </x:c>
      <x:c r="I11688" s="0" t="s">
        <x:v>21</x:v>
      </x:c>
      <x:c r="K11688" s="0">
        <x:f>hyperlink("https://icd.who.int/dev11/l-ichi/en#/http%3A%2F%2Fid.who.int%2Ficd%2Fentity%2F738324041","browser")</x:f>
      </x:c>
      <x:c r="L11688" s="0">
        <x:f>hyperlink("https://icat2.azurewebsites.net/icat/?ontology=ICD&amp;tab=ClassesTab&amp;id=http%3A%2F%2Fwho.int%2Ficd%23SpecificAnatomicLocation_2106","iCat")</x:f>
      </x:c>
      <x:c r="M11688" s="0" t="s">
        <x:v>21</x:v>
      </x:c>
      <x:c r="N11688" s="0" t="s">
        <x:v>46</x:v>
      </x:c>
    </x:row>
    <x:row r="11689" spans="1:16">
      <x:c r="A11689" s="0" t="s">
        <x:v>45677</x:v>
      </x:c>
      <x:c r="B11689" s="0" t="s">
        <x:v>45678</x:v>
      </x:c>
      <x:c r="C11689" s="0" t="s">
        <x:v>42840</x:v>
      </x:c>
      <x:c r="E11689" s="0" t="s">
        <x:v>45679</x:v>
      </x:c>
      <x:c r="F11689" s="0" t="s">
        <x:v>45</x:v>
      </x:c>
      <x:c r="G11689" s="0" t="s">
        <x:v>22</x:v>
      </x:c>
      <x:c r="H11689" s="0" t="s">
        <x:v>20</x:v>
      </x:c>
      <x:c r="I11689" s="0" t="s">
        <x:v>21</x:v>
      </x:c>
      <x:c r="K11689" s="0">
        <x:f>hyperlink("https://icd.who.int/dev11/l-ichi/en#/http%3A%2F%2Fid.who.int%2Ficd%2Fentity%2F992578185","browser")</x:f>
      </x:c>
      <x:c r="L11689" s="0">
        <x:f>hyperlink("https://icat2.azurewebsites.net/icat/?ontology=ICD&amp;tab=ClassesTab&amp;id=http%3A%2F%2Fwho.int%2Ficd%23SpecificAnatomicLocation_2107","iCat")</x:f>
      </x:c>
      <x:c r="M11689" s="0" t="s">
        <x:v>21</x:v>
      </x:c>
      <x:c r="N11689" s="0" t="s">
        <x:v>46</x:v>
      </x:c>
    </x:row>
    <x:row r="11690" spans="1:16">
      <x:c r="A11690" s="0" t="s">
        <x:v>45680</x:v>
      </x:c>
      <x:c r="B11690" s="0" t="s">
        <x:v>45681</x:v>
      </x:c>
      <x:c r="C11690" s="0" t="s">
        <x:v>42840</x:v>
      </x:c>
      <x:c r="E11690" s="0" t="s">
        <x:v>45682</x:v>
      </x:c>
      <x:c r="F11690" s="0" t="s">
        <x:v>45</x:v>
      </x:c>
      <x:c r="G11690" s="0" t="s">
        <x:v>22</x:v>
      </x:c>
      <x:c r="H11690" s="0" t="s">
        <x:v>20</x:v>
      </x:c>
      <x:c r="I11690" s="0" t="s">
        <x:v>21</x:v>
      </x:c>
      <x:c r="K11690" s="0">
        <x:f>hyperlink("https://icd.who.int/dev11/l-ichi/en#/http%3A%2F%2Fid.who.int%2Ficd%2Fentity%2F1741418169","browser")</x:f>
      </x:c>
      <x:c r="L11690" s="0">
        <x:f>hyperlink("https://icat2.azurewebsites.net/icat/?ontology=ICD&amp;tab=ClassesTab&amp;id=http%3A%2F%2Fwho.int%2Ficd%23SpecificAnatomicLocation_2096","iCat")</x:f>
      </x:c>
      <x:c r="M11690" s="0" t="s">
        <x:v>21</x:v>
      </x:c>
      <x:c r="N11690" s="0" t="s">
        <x:v>46</x:v>
      </x:c>
    </x:row>
    <x:row r="11691" spans="1:16">
      <x:c r="A11691" s="0" t="s">
        <x:v>45683</x:v>
      </x:c>
      <x:c r="B11691" s="0" t="s">
        <x:v>45684</x:v>
      </x:c>
      <x:c r="C11691" s="0" t="s">
        <x:v>42840</x:v>
      </x:c>
      <x:c r="E11691" s="0" t="s">
        <x:v>45685</x:v>
      </x:c>
      <x:c r="F11691" s="0" t="s">
        <x:v>45</x:v>
      </x:c>
      <x:c r="G11691" s="0" t="s">
        <x:v>22</x:v>
      </x:c>
      <x:c r="H11691" s="0" t="s">
        <x:v>20</x:v>
      </x:c>
      <x:c r="I11691" s="0" t="s">
        <x:v>21</x:v>
      </x:c>
      <x:c r="K11691" s="0">
        <x:f>hyperlink("https://icd.who.int/dev11/l-ichi/en#/http%3A%2F%2Fid.who.int%2Ficd%2Fentity%2F948666441","browser")</x:f>
      </x:c>
      <x:c r="L11691" s="0">
        <x:f>hyperlink("https://icat2.azurewebsites.net/icat/?ontology=ICD&amp;tab=ClassesTab&amp;id=http%3A%2F%2Fwho.int%2Ficd%23SpecificAnatomicLocation_2185","iCat")</x:f>
      </x:c>
      <x:c r="M11691" s="0" t="s">
        <x:v>21</x:v>
      </x:c>
      <x:c r="N11691" s="0" t="s">
        <x:v>46</x:v>
      </x:c>
    </x:row>
    <x:row r="11692" spans="1:16">
      <x:c r="A11692" s="0" t="s">
        <x:v>45686</x:v>
      </x:c>
      <x:c r="B11692" s="0" t="s">
        <x:v>45687</x:v>
      </x:c>
      <x:c r="C11692" s="0" t="s">
        <x:v>42840</x:v>
      </x:c>
      <x:c r="E11692" s="0" t="s">
        <x:v>45688</x:v>
      </x:c>
      <x:c r="F11692" s="0" t="s">
        <x:v>45</x:v>
      </x:c>
      <x:c r="G11692" s="0" t="s">
        <x:v>35</x:v>
      </x:c>
      <x:c r="H11692" s="0" t="s">
        <x:v>20</x:v>
      </x:c>
      <x:c r="I11692" s="0" t="s">
        <x:v>21</x:v>
      </x:c>
      <x:c r="K11692" s="0">
        <x:f>hyperlink("https://icd.who.int/dev11/l-ichi/en#/http%3A%2F%2Fid.who.int%2Ficd%2Fentity%2F1885434231","browser")</x:f>
      </x:c>
      <x:c r="L11692" s="0">
        <x:f>hyperlink("https://icat2.azurewebsites.net/icat/?ontology=ICD&amp;tab=ClassesTab&amp;id=http%3A%2F%2Fwho.int%2Ficd%238120_1a025aad_bab4_45d3_85b5_2f8609f7d6c2","iCat")</x:f>
      </x:c>
      <x:c r="M11692" s="0" t="s">
        <x:v>20</x:v>
      </x:c>
      <x:c r="N11692" s="0" t="s">
        <x:v>8440</x:v>
      </x:c>
    </x:row>
    <x:row r="11693" spans="1:16">
      <x:c r="A11693" s="0" t="s">
        <x:v>45689</x:v>
      </x:c>
      <x:c r="B11693" s="0" t="s">
        <x:v>45690</x:v>
      </x:c>
      <x:c r="C11693" s="0" t="s">
        <x:v>42840</x:v>
      </x:c>
      <x:c r="E11693" s="0" t="s">
        <x:v>45691</x:v>
      </x:c>
      <x:c r="F11693" s="0" t="s">
        <x:v>45</x:v>
      </x:c>
      <x:c r="G11693" s="0" t="s">
        <x:v>22</x:v>
      </x:c>
      <x:c r="H11693" s="0" t="s">
        <x:v>20</x:v>
      </x:c>
      <x:c r="I11693" s="0" t="s">
        <x:v>21</x:v>
      </x:c>
      <x:c r="K11693" s="0">
        <x:f>hyperlink("https://icd.who.int/dev11/l-ichi/en#/http%3A%2F%2Fid.who.int%2Ficd%2Fentity%2F1656025598","browser")</x:f>
      </x:c>
      <x:c r="L11693" s="0">
        <x:f>hyperlink("https://icat2.azurewebsites.net/icat/?ontology=ICD&amp;tab=ClassesTab&amp;id=http%3A%2F%2Fwho.int%2Ficd%23SpecificAnatomicLocation_2221","iCat")</x:f>
      </x:c>
      <x:c r="M11693" s="0" t="s">
        <x:v>21</x:v>
      </x:c>
      <x:c r="N11693" s="0" t="s">
        <x:v>46</x:v>
      </x:c>
    </x:row>
    <x:row r="11694" spans="1:16">
      <x:c r="A11694" s="0" t="s">
        <x:v>45692</x:v>
      </x:c>
      <x:c r="B11694" s="0" t="s">
        <x:v>45693</x:v>
      </x:c>
      <x:c r="C11694" s="0" t="s">
        <x:v>42840</x:v>
      </x:c>
      <x:c r="E11694" s="0" t="s">
        <x:v>45694</x:v>
      </x:c>
      <x:c r="F11694" s="0" t="s">
        <x:v>45</x:v>
      </x:c>
      <x:c r="G11694" s="0" t="s">
        <x:v>22</x:v>
      </x:c>
      <x:c r="H11694" s="0" t="s">
        <x:v>20</x:v>
      </x:c>
      <x:c r="I11694" s="0" t="s">
        <x:v>21</x:v>
      </x:c>
      <x:c r="K11694" s="0">
        <x:f>hyperlink("https://icd.who.int/dev11/l-ichi/en#/http%3A%2F%2Fid.who.int%2Ficd%2Fentity%2F1973196094","browser")</x:f>
      </x:c>
      <x:c r="L11694" s="0">
        <x:f>hyperlink("https://icat2.azurewebsites.net/icat/?ontology=ICD&amp;tab=ClassesTab&amp;id=http%3A%2F%2Fwho.int%2Ficd%23SpecificAnatomicLocation_2220","iCat")</x:f>
      </x:c>
      <x:c r="M11694" s="0" t="s">
        <x:v>21</x:v>
      </x:c>
      <x:c r="N11694" s="0" t="s">
        <x:v>46</x:v>
      </x:c>
    </x:row>
    <x:row r="11695" spans="1:16">
      <x:c r="A11695" s="0" t="s">
        <x:v>45695</x:v>
      </x:c>
      <x:c r="B11695" s="0" t="s">
        <x:v>45696</x:v>
      </x:c>
      <x:c r="C11695" s="0" t="s">
        <x:v>42840</x:v>
      </x:c>
      <x:c r="E11695" s="0" t="s">
        <x:v>45697</x:v>
      </x:c>
      <x:c r="F11695" s="0" t="s">
        <x:v>45</x:v>
      </x:c>
      <x:c r="G11695" s="0" t="s">
        <x:v>22</x:v>
      </x:c>
      <x:c r="H11695" s="0" t="s">
        <x:v>20</x:v>
      </x:c>
      <x:c r="I11695" s="0" t="s">
        <x:v>21</x:v>
      </x:c>
      <x:c r="K11695" s="0">
        <x:f>hyperlink("https://icd.who.int/dev11/l-ichi/en#/http%3A%2F%2Fid.who.int%2Ficd%2Fentity%2F1385726880","browser")</x:f>
      </x:c>
      <x:c r="L11695" s="0">
        <x:f>hyperlink("https://icat2.azurewebsites.net/icat/?ontology=ICD&amp;tab=ClassesTab&amp;id=http%3A%2F%2Fwho.int%2Ficd%23SpecificAnatomicLocation_2083","iCat")</x:f>
      </x:c>
      <x:c r="M11695" s="0" t="s">
        <x:v>21</x:v>
      </x:c>
      <x:c r="N11695" s="0" t="s">
        <x:v>46</x:v>
      </x:c>
    </x:row>
    <x:row r="11696" spans="1:16">
      <x:c r="A11696" s="0" t="s">
        <x:v>45698</x:v>
      </x:c>
      <x:c r="B11696" s="0" t="s">
        <x:v>45699</x:v>
      </x:c>
      <x:c r="C11696" s="0" t="s">
        <x:v>42840</x:v>
      </x:c>
      <x:c r="E11696" s="0" t="s">
        <x:v>45700</x:v>
      </x:c>
      <x:c r="F11696" s="0" t="s">
        <x:v>45</x:v>
      </x:c>
      <x:c r="G11696" s="0" t="s">
        <x:v>22</x:v>
      </x:c>
      <x:c r="H11696" s="0" t="s">
        <x:v>20</x:v>
      </x:c>
      <x:c r="I11696" s="0" t="s">
        <x:v>21</x:v>
      </x:c>
      <x:c r="K11696" s="0">
        <x:f>hyperlink("https://icd.who.int/dev11/l-ichi/en#/http%3A%2F%2Fid.who.int%2Ficd%2Fentity%2F604514306","browser")</x:f>
      </x:c>
      <x:c r="L11696" s="0">
        <x:f>hyperlink("https://icat2.azurewebsites.net/icat/?ontology=ICD&amp;tab=ClassesTab&amp;id=http%3A%2F%2Fwho.int%2Ficd%23SpecificAnatomicLocation_2229","iCat")</x:f>
      </x:c>
      <x:c r="M11696" s="0" t="s">
        <x:v>21</x:v>
      </x:c>
      <x:c r="N11696" s="0" t="s">
        <x:v>46</x:v>
      </x:c>
    </x:row>
    <x:row r="11697" spans="1:16">
      <x:c r="A11697" s="0" t="s">
        <x:v>45701</x:v>
      </x:c>
      <x:c r="B11697" s="0" t="s">
        <x:v>45702</x:v>
      </x:c>
      <x:c r="C11697" s="0" t="s">
        <x:v>42840</x:v>
      </x:c>
      <x:c r="E11697" s="0" t="s">
        <x:v>45703</x:v>
      </x:c>
      <x:c r="F11697" s="0" t="s">
        <x:v>45</x:v>
      </x:c>
      <x:c r="G11697" s="0" t="s">
        <x:v>22</x:v>
      </x:c>
      <x:c r="H11697" s="0" t="s">
        <x:v>20</x:v>
      </x:c>
      <x:c r="I11697" s="0" t="s">
        <x:v>21</x:v>
      </x:c>
      <x:c r="K11697" s="0">
        <x:f>hyperlink("https://icd.who.int/dev11/l-ichi/en#/http%3A%2F%2Fid.who.int%2Ficd%2Fentity%2F1474796775","browser")</x:f>
      </x:c>
      <x:c r="L11697" s="0">
        <x:f>hyperlink("https://icat2.azurewebsites.net/icat/?ontology=ICD&amp;tab=ClassesTab&amp;id=http%3A%2F%2Fwho.int%2Ficd%23SpecificAnatomicLocation_2234","iCat")</x:f>
      </x:c>
      <x:c r="M11697" s="0" t="s">
        <x:v>21</x:v>
      </x:c>
      <x:c r="N11697" s="0" t="s">
        <x:v>46</x:v>
      </x:c>
    </x:row>
    <x:row r="11698" spans="1:16">
      <x:c r="A11698" s="0" t="s">
        <x:v>45704</x:v>
      </x:c>
      <x:c r="B11698" s="0" t="s">
        <x:v>45705</x:v>
      </x:c>
      <x:c r="C11698" s="0" t="s">
        <x:v>42840</x:v>
      </x:c>
      <x:c r="E11698" s="0" t="s">
        <x:v>45706</x:v>
      </x:c>
      <x:c r="F11698" s="0" t="s">
        <x:v>45</x:v>
      </x:c>
      <x:c r="G11698" s="0" t="s">
        <x:v>22</x:v>
      </x:c>
      <x:c r="H11698" s="0" t="s">
        <x:v>20</x:v>
      </x:c>
      <x:c r="I11698" s="0" t="s">
        <x:v>21</x:v>
      </x:c>
      <x:c r="K11698" s="0">
        <x:f>hyperlink("https://icd.who.int/dev11/l-ichi/en#/http%3A%2F%2Fid.who.int%2Ficd%2Fentity%2F2081849642","browser")</x:f>
      </x:c>
      <x:c r="L11698" s="0">
        <x:f>hyperlink("https://icat2.azurewebsites.net/icat/?ontology=ICD&amp;tab=ClassesTab&amp;id=http%3A%2F%2Fwho.int%2Ficd%23SpecificAnatomicLocation_2219","iCat")</x:f>
      </x:c>
      <x:c r="M11698" s="0" t="s">
        <x:v>21</x:v>
      </x:c>
      <x:c r="N11698" s="0" t="s">
        <x:v>46</x:v>
      </x:c>
    </x:row>
    <x:row r="11699" spans="1:16">
      <x:c r="A11699" s="0" t="s">
        <x:v>45707</x:v>
      </x:c>
      <x:c r="B11699" s="0" t="s">
        <x:v>45708</x:v>
      </x:c>
      <x:c r="C11699" s="0" t="s">
        <x:v>42840</x:v>
      </x:c>
      <x:c r="E11699" s="0" t="s">
        <x:v>45709</x:v>
      </x:c>
      <x:c r="F11699" s="0" t="s">
        <x:v>45</x:v>
      </x:c>
      <x:c r="G11699" s="0" t="s">
        <x:v>22</x:v>
      </x:c>
      <x:c r="H11699" s="0" t="s">
        <x:v>20</x:v>
      </x:c>
      <x:c r="I11699" s="0" t="s">
        <x:v>21</x:v>
      </x:c>
      <x:c r="K11699" s="0">
        <x:f>hyperlink("https://icd.who.int/dev11/l-ichi/en#/http%3A%2F%2Fid.who.int%2Ficd%2Fentity%2F46930929","browser")</x:f>
      </x:c>
      <x:c r="L11699" s="0">
        <x:f>hyperlink("https://icat2.azurewebsites.net/icat/?ontology=ICD&amp;tab=ClassesTab&amp;id=http%3A%2F%2Fwho.int%2Ficd%23SpecificAnatomicLocation_2209","iCat")</x:f>
      </x:c>
      <x:c r="M11699" s="0" t="s">
        <x:v>21</x:v>
      </x:c>
      <x:c r="N11699" s="0" t="s">
        <x:v>46</x:v>
      </x:c>
    </x:row>
    <x:row r="11700" spans="1:16">
      <x:c r="A11700" s="0" t="s">
        <x:v>45710</x:v>
      </x:c>
      <x:c r="B11700" s="0" t="s">
        <x:v>45711</x:v>
      </x:c>
      <x:c r="C11700" s="0" t="s">
        <x:v>42840</x:v>
      </x:c>
      <x:c r="E11700" s="0" t="s">
        <x:v>45712</x:v>
      </x:c>
      <x:c r="F11700" s="0" t="s">
        <x:v>45</x:v>
      </x:c>
      <x:c r="G11700" s="0" t="s">
        <x:v>22</x:v>
      </x:c>
      <x:c r="H11700" s="0" t="s">
        <x:v>20</x:v>
      </x:c>
      <x:c r="I11700" s="0" t="s">
        <x:v>21</x:v>
      </x:c>
      <x:c r="K11700" s="0">
        <x:f>hyperlink("https://icd.who.int/dev11/l-ichi/en#/http%3A%2F%2Fid.who.int%2Ficd%2Fentity%2F1308284441","browser")</x:f>
      </x:c>
      <x:c r="L11700" s="0">
        <x:f>hyperlink("https://icat2.azurewebsites.net/icat/?ontology=ICD&amp;tab=ClassesTab&amp;id=http%3A%2F%2Fwho.int%2Ficd%23SpecificAnatomicLocation_2238","iCat")</x:f>
      </x:c>
      <x:c r="M11700" s="0" t="s">
        <x:v>21</x:v>
      </x:c>
      <x:c r="N11700" s="0" t="s">
        <x:v>46</x:v>
      </x:c>
    </x:row>
    <x:row r="11701" spans="1:16">
      <x:c r="A11701" s="0" t="s">
        <x:v>45713</x:v>
      </x:c>
      <x:c r="B11701" s="0" t="s">
        <x:v>45714</x:v>
      </x:c>
      <x:c r="C11701" s="0" t="s">
        <x:v>42840</x:v>
      </x:c>
      <x:c r="E11701" s="0" t="s">
        <x:v>45715</x:v>
      </x:c>
      <x:c r="F11701" s="0" t="s">
        <x:v>45</x:v>
      </x:c>
      <x:c r="G11701" s="0" t="s">
        <x:v>22</x:v>
      </x:c>
      <x:c r="H11701" s="0" t="s">
        <x:v>20</x:v>
      </x:c>
      <x:c r="I11701" s="0" t="s">
        <x:v>21</x:v>
      </x:c>
      <x:c r="K11701" s="0">
        <x:f>hyperlink("https://icd.who.int/dev11/l-ichi/en#/http%3A%2F%2Fid.who.int%2Ficd%2Fentity%2F2034447649","browser")</x:f>
      </x:c>
      <x:c r="L11701" s="0">
        <x:f>hyperlink("https://icat2.azurewebsites.net/icat/?ontology=ICD&amp;tab=ClassesTab&amp;id=http%3A%2F%2Fwho.int%2Ficd%23SpecificAnatomicLocation_2267","iCat")</x:f>
      </x:c>
      <x:c r="M11701" s="0" t="s">
        <x:v>21</x:v>
      </x:c>
      <x:c r="N11701" s="0" t="s">
        <x:v>46</x:v>
      </x:c>
    </x:row>
    <x:row r="11702" spans="1:16">
      <x:c r="A11702" s="0" t="s">
        <x:v>45716</x:v>
      </x:c>
      <x:c r="B11702" s="0" t="s">
        <x:v>45717</x:v>
      </x:c>
      <x:c r="C11702" s="0" t="s">
        <x:v>42840</x:v>
      </x:c>
      <x:c r="E11702" s="0" t="s">
        <x:v>45718</x:v>
      </x:c>
      <x:c r="F11702" s="0" t="s">
        <x:v>45</x:v>
      </x:c>
      <x:c r="G11702" s="0" t="s">
        <x:v>22</x:v>
      </x:c>
      <x:c r="H11702" s="0" t="s">
        <x:v>20</x:v>
      </x:c>
      <x:c r="I11702" s="0" t="s">
        <x:v>21</x:v>
      </x:c>
      <x:c r="K11702" s="0">
        <x:f>hyperlink("https://icd.who.int/dev11/l-ichi/en#/http%3A%2F%2Fid.who.int%2Ficd%2Fentity%2F891523663","browser")</x:f>
      </x:c>
      <x:c r="L11702" s="0">
        <x:f>hyperlink("https://icat2.azurewebsites.net/icat/?ontology=ICD&amp;tab=ClassesTab&amp;id=http%3A%2F%2Fwho.int%2Ficd%23SpecificAnatomicLocation_2285","iCat")</x:f>
      </x:c>
      <x:c r="M11702" s="0" t="s">
        <x:v>21</x:v>
      </x:c>
      <x:c r="N11702" s="0" t="s">
        <x:v>46</x:v>
      </x:c>
    </x:row>
    <x:row r="11703" spans="1:16">
      <x:c r="A11703" s="0" t="s">
        <x:v>45719</x:v>
      </x:c>
      <x:c r="B11703" s="0" t="s">
        <x:v>45720</x:v>
      </x:c>
      <x:c r="C11703" s="0" t="s">
        <x:v>42840</x:v>
      </x:c>
      <x:c r="E11703" s="0" t="s">
        <x:v>45721</x:v>
      </x:c>
      <x:c r="F11703" s="0" t="s">
        <x:v>45</x:v>
      </x:c>
      <x:c r="G11703" s="0" t="s">
        <x:v>22</x:v>
      </x:c>
      <x:c r="H11703" s="0" t="s">
        <x:v>20</x:v>
      </x:c>
      <x:c r="I11703" s="0" t="s">
        <x:v>21</x:v>
      </x:c>
      <x:c r="K11703" s="0">
        <x:f>hyperlink("https://icd.who.int/dev11/l-ichi/en#/http%3A%2F%2Fid.who.int%2Ficd%2Fentity%2F1213923926","browser")</x:f>
      </x:c>
      <x:c r="L11703" s="0">
        <x:f>hyperlink("https://icat2.azurewebsites.net/icat/?ontology=ICD&amp;tab=ClassesTab&amp;id=http%3A%2F%2Fwho.int%2Ficd%23SpecificAnatomicLocation_2217","iCat")</x:f>
      </x:c>
      <x:c r="M11703" s="0" t="s">
        <x:v>21</x:v>
      </x:c>
      <x:c r="N11703" s="0" t="s">
        <x:v>46</x:v>
      </x:c>
    </x:row>
    <x:row r="11704" spans="1:16">
      <x:c r="A11704" s="0" t="s">
        <x:v>45722</x:v>
      </x:c>
      <x:c r="B11704" s="0" t="s">
        <x:v>45723</x:v>
      </x:c>
      <x:c r="C11704" s="0" t="s">
        <x:v>42840</x:v>
      </x:c>
      <x:c r="E11704" s="0" t="s">
        <x:v>45724</x:v>
      </x:c>
      <x:c r="F11704" s="0" t="s">
        <x:v>45</x:v>
      </x:c>
      <x:c r="G11704" s="0" t="s">
        <x:v>22</x:v>
      </x:c>
      <x:c r="H11704" s="0" t="s">
        <x:v>20</x:v>
      </x:c>
      <x:c r="I11704" s="0" t="s">
        <x:v>21</x:v>
      </x:c>
      <x:c r="K11704" s="0">
        <x:f>hyperlink("https://icd.who.int/dev11/l-ichi/en#/http%3A%2F%2Fid.who.int%2Ficd%2Fentity%2F1799284202","browser")</x:f>
      </x:c>
      <x:c r="L11704" s="0">
        <x:f>hyperlink("https://icat2.azurewebsites.net/icat/?ontology=ICD&amp;tab=ClassesTab&amp;id=http%3A%2F%2Fwho.int%2Ficd%23SpecificAnatomicLocation_2218","iCat")</x:f>
      </x:c>
      <x:c r="M11704" s="0" t="s">
        <x:v>21</x:v>
      </x:c>
      <x:c r="N11704" s="0" t="s">
        <x:v>46</x:v>
      </x:c>
    </x:row>
    <x:row r="11705" spans="1:16">
      <x:c r="A11705" s="0" t="s">
        <x:v>45725</x:v>
      </x:c>
      <x:c r="B11705" s="0" t="s">
        <x:v>45726</x:v>
      </x:c>
      <x:c r="C11705" s="0" t="s">
        <x:v>42840</x:v>
      </x:c>
      <x:c r="E11705" s="0" t="s">
        <x:v>45727</x:v>
      </x:c>
      <x:c r="F11705" s="0" t="s">
        <x:v>45</x:v>
      </x:c>
      <x:c r="G11705" s="0" t="s">
        <x:v>22</x:v>
      </x:c>
      <x:c r="H11705" s="0" t="s">
        <x:v>20</x:v>
      </x:c>
      <x:c r="I11705" s="0" t="s">
        <x:v>21</x:v>
      </x:c>
      <x:c r="K11705" s="0">
        <x:f>hyperlink("https://icd.who.int/dev11/l-ichi/en#/http%3A%2F%2Fid.who.int%2Ficd%2Fentity%2F1898163990","browser")</x:f>
      </x:c>
      <x:c r="L11705" s="0">
        <x:f>hyperlink("https://icat2.azurewebsites.net/icat/?ontology=ICD&amp;tab=ClassesTab&amp;id=http%3A%2F%2Fwho.int%2Ficd%23SpecificAnatomicLocation_2214","iCat")</x:f>
      </x:c>
      <x:c r="M11705" s="0" t="s">
        <x:v>21</x:v>
      </x:c>
      <x:c r="N11705" s="0" t="s">
        <x:v>46</x:v>
      </x:c>
    </x:row>
    <x:row r="11706" spans="1:16">
      <x:c r="A11706" s="0" t="s">
        <x:v>45728</x:v>
      </x:c>
      <x:c r="B11706" s="0" t="s">
        <x:v>45729</x:v>
      </x:c>
      <x:c r="C11706" s="0" t="s">
        <x:v>42840</x:v>
      </x:c>
      <x:c r="E11706" s="0" t="s">
        <x:v>45730</x:v>
      </x:c>
      <x:c r="F11706" s="0" t="s">
        <x:v>45</x:v>
      </x:c>
      <x:c r="G11706" s="0" t="s">
        <x:v>22</x:v>
      </x:c>
      <x:c r="H11706" s="0" t="s">
        <x:v>20</x:v>
      </x:c>
      <x:c r="I11706" s="0" t="s">
        <x:v>21</x:v>
      </x:c>
      <x:c r="K11706" s="0">
        <x:f>hyperlink("https://icd.who.int/dev11/l-ichi/en#/http%3A%2F%2Fid.who.int%2Ficd%2Fentity%2F842965671","browser")</x:f>
      </x:c>
      <x:c r="L11706" s="0">
        <x:f>hyperlink("https://icat2.azurewebsites.net/icat/?ontology=ICD&amp;tab=ClassesTab&amp;id=http%3A%2F%2Fwho.int%2Ficd%23SpecificAnatomicLocation_2233","iCat")</x:f>
      </x:c>
      <x:c r="M11706" s="0" t="s">
        <x:v>21</x:v>
      </x:c>
      <x:c r="N11706" s="0" t="s">
        <x:v>46</x:v>
      </x:c>
    </x:row>
    <x:row r="11707" spans="1:16">
      <x:c r="A11707" s="0" t="s">
        <x:v>45731</x:v>
      </x:c>
      <x:c r="B11707" s="0" t="s">
        <x:v>45732</x:v>
      </x:c>
      <x:c r="C11707" s="0" t="s">
        <x:v>42840</x:v>
      </x:c>
      <x:c r="E11707" s="0" t="s">
        <x:v>45733</x:v>
      </x:c>
      <x:c r="F11707" s="0" t="s">
        <x:v>45</x:v>
      </x:c>
      <x:c r="G11707" s="0" t="s">
        <x:v>22</x:v>
      </x:c>
      <x:c r="H11707" s="0" t="s">
        <x:v>20</x:v>
      </x:c>
      <x:c r="I11707" s="0" t="s">
        <x:v>21</x:v>
      </x:c>
      <x:c r="K11707" s="0">
        <x:f>hyperlink("https://icd.who.int/dev11/l-ichi/en#/http%3A%2F%2Fid.who.int%2Ficd%2Fentity%2F1712049110","browser")</x:f>
      </x:c>
      <x:c r="L11707" s="0">
        <x:f>hyperlink("https://icat2.azurewebsites.net/icat/?ontology=ICD&amp;tab=ClassesTab&amp;id=http%3A%2F%2Fwho.int%2Ficd%23SpecificAnatomicLocation_2215","iCat")</x:f>
      </x:c>
      <x:c r="M11707" s="0" t="s">
        <x:v>21</x:v>
      </x:c>
      <x:c r="N11707" s="0" t="s">
        <x:v>46</x:v>
      </x:c>
    </x:row>
    <x:row r="11708" spans="1:16">
      <x:c r="A11708" s="0" t="s">
        <x:v>45734</x:v>
      </x:c>
      <x:c r="B11708" s="0" t="s">
        <x:v>45735</x:v>
      </x:c>
      <x:c r="C11708" s="0" t="s">
        <x:v>42840</x:v>
      </x:c>
      <x:c r="E11708" s="0" t="s">
        <x:v>45736</x:v>
      </x:c>
      <x:c r="F11708" s="0" t="s">
        <x:v>45</x:v>
      </x:c>
      <x:c r="G11708" s="0" t="s">
        <x:v>22</x:v>
      </x:c>
      <x:c r="H11708" s="0" t="s">
        <x:v>20</x:v>
      </x:c>
      <x:c r="I11708" s="0" t="s">
        <x:v>21</x:v>
      </x:c>
      <x:c r="K11708" s="0">
        <x:f>hyperlink("https://icd.who.int/dev11/l-ichi/en#/http%3A%2F%2Fid.who.int%2Ficd%2Fentity%2F351965526","browser")</x:f>
      </x:c>
      <x:c r="L11708" s="0">
        <x:f>hyperlink("https://icat2.azurewebsites.net/icat/?ontology=ICD&amp;tab=ClassesTab&amp;id=http%3A%2F%2Fwho.int%2Ficd%23SpecificAnatomicLocation_2213","iCat")</x:f>
      </x:c>
      <x:c r="M11708" s="0" t="s">
        <x:v>21</x:v>
      </x:c>
      <x:c r="N11708" s="0" t="s">
        <x:v>46</x:v>
      </x:c>
    </x:row>
    <x:row r="11709" spans="1:16">
      <x:c r="A11709" s="0" t="s">
        <x:v>45737</x:v>
      </x:c>
      <x:c r="B11709" s="0" t="s">
        <x:v>45738</x:v>
      </x:c>
      <x:c r="C11709" s="0" t="s">
        <x:v>42840</x:v>
      </x:c>
      <x:c r="E11709" s="0" t="s">
        <x:v>45739</x:v>
      </x:c>
      <x:c r="F11709" s="0" t="s">
        <x:v>45</x:v>
      </x:c>
      <x:c r="G11709" s="0" t="s">
        <x:v>22</x:v>
      </x:c>
      <x:c r="H11709" s="0" t="s">
        <x:v>20</x:v>
      </x:c>
      <x:c r="I11709" s="0" t="s">
        <x:v>21</x:v>
      </x:c>
      <x:c r="K11709" s="0">
        <x:f>hyperlink("https://icd.who.int/dev11/l-ichi/en#/http%3A%2F%2Fid.who.int%2Ficd%2Fentity%2F207306511","browser")</x:f>
      </x:c>
      <x:c r="L11709" s="0">
        <x:f>hyperlink("https://icat2.azurewebsites.net/icat/?ontology=ICD&amp;tab=ClassesTab&amp;id=http%3A%2F%2Fwho.int%2Ficd%23SpecificAnatomicLocation_2286","iCat")</x:f>
      </x:c>
      <x:c r="M11709" s="0" t="s">
        <x:v>21</x:v>
      </x:c>
      <x:c r="N11709" s="0" t="s">
        <x:v>46</x:v>
      </x:c>
    </x:row>
    <x:row r="11710" spans="1:16">
      <x:c r="A11710" s="0" t="s">
        <x:v>45740</x:v>
      </x:c>
      <x:c r="B11710" s="0" t="s">
        <x:v>45741</x:v>
      </x:c>
      <x:c r="C11710" s="0" t="s">
        <x:v>42840</x:v>
      </x:c>
      <x:c r="E11710" s="0" t="s">
        <x:v>45742</x:v>
      </x:c>
      <x:c r="F11710" s="0" t="s">
        <x:v>45</x:v>
      </x:c>
      <x:c r="G11710" s="0" t="s">
        <x:v>22</x:v>
      </x:c>
      <x:c r="H11710" s="0" t="s">
        <x:v>20</x:v>
      </x:c>
      <x:c r="I11710" s="0" t="s">
        <x:v>21</x:v>
      </x:c>
      <x:c r="K11710" s="0">
        <x:f>hyperlink("https://icd.who.int/dev11/l-ichi/en#/http%3A%2F%2Fid.who.int%2Ficd%2Fentity%2F460544975","browser")</x:f>
      </x:c>
      <x:c r="L11710" s="0">
        <x:f>hyperlink("https://icat2.azurewebsites.net/icat/?ontology=ICD&amp;tab=ClassesTab&amp;id=http%3A%2F%2Fwho.int%2Ficd%23SpecificAnatomicLocation_2287","iCat")</x:f>
      </x:c>
      <x:c r="M11710" s="0" t="s">
        <x:v>21</x:v>
      </x:c>
      <x:c r="N11710" s="0" t="s">
        <x:v>46</x:v>
      </x:c>
    </x:row>
    <x:row r="11711" spans="1:16">
      <x:c r="A11711" s="0" t="s">
        <x:v>45743</x:v>
      </x:c>
      <x:c r="B11711" s="0" t="s">
        <x:v>45744</x:v>
      </x:c>
      <x:c r="C11711" s="0" t="s">
        <x:v>42840</x:v>
      </x:c>
      <x:c r="E11711" s="0" t="s">
        <x:v>45745</x:v>
      </x:c>
      <x:c r="F11711" s="0" t="s">
        <x:v>45</x:v>
      </x:c>
      <x:c r="G11711" s="0" t="s">
        <x:v>22</x:v>
      </x:c>
      <x:c r="H11711" s="0" t="s">
        <x:v>20</x:v>
      </x:c>
      <x:c r="I11711" s="0" t="s">
        <x:v>21</x:v>
      </x:c>
      <x:c r="K11711" s="0">
        <x:f>hyperlink("https://icd.who.int/dev11/l-ichi/en#/http%3A%2F%2Fid.who.int%2Ficd%2Fentity%2F2042058087","browser")</x:f>
      </x:c>
      <x:c r="L11711" s="0">
        <x:f>hyperlink("https://icat2.azurewebsites.net/icat/?ontology=ICD&amp;tab=ClassesTab&amp;id=http%3A%2F%2Fwho.int%2Ficd%23SpecificAnatomicLocation_2236","iCat")</x:f>
      </x:c>
      <x:c r="M11711" s="0" t="s">
        <x:v>21</x:v>
      </x:c>
      <x:c r="N11711" s="0" t="s">
        <x:v>46</x:v>
      </x:c>
    </x:row>
    <x:row r="11712" spans="1:16">
      <x:c r="A11712" s="0" t="s">
        <x:v>45746</x:v>
      </x:c>
      <x:c r="B11712" s="0" t="s">
        <x:v>45747</x:v>
      </x:c>
      <x:c r="C11712" s="0" t="s">
        <x:v>42840</x:v>
      </x:c>
      <x:c r="E11712" s="0" t="s">
        <x:v>45748</x:v>
      </x:c>
      <x:c r="F11712" s="0" t="s">
        <x:v>45</x:v>
      </x:c>
      <x:c r="G11712" s="0" t="s">
        <x:v>22</x:v>
      </x:c>
      <x:c r="H11712" s="0" t="s">
        <x:v>20</x:v>
      </x:c>
      <x:c r="I11712" s="0" t="s">
        <x:v>21</x:v>
      </x:c>
      <x:c r="K11712" s="0">
        <x:f>hyperlink("https://icd.who.int/dev11/l-ichi/en#/http%3A%2F%2Fid.who.int%2Ficd%2Fentity%2F622249575","browser")</x:f>
      </x:c>
      <x:c r="L11712" s="0">
        <x:f>hyperlink("https://icat2.azurewebsites.net/icat/?ontology=ICD&amp;tab=ClassesTab&amp;id=http%3A%2F%2Fwho.int%2Ficd%23SpecificAnatomicLocation_2232","iCat")</x:f>
      </x:c>
      <x:c r="M11712" s="0" t="s">
        <x:v>21</x:v>
      </x:c>
      <x:c r="N11712" s="0" t="s">
        <x:v>46</x:v>
      </x:c>
    </x:row>
    <x:row r="11713" spans="1:16">
      <x:c r="A11713" s="0" t="s">
        <x:v>45749</x:v>
      </x:c>
      <x:c r="B11713" s="0" t="s">
        <x:v>45750</x:v>
      </x:c>
      <x:c r="C11713" s="0" t="s">
        <x:v>42840</x:v>
      </x:c>
      <x:c r="E11713" s="0" t="s">
        <x:v>45751</x:v>
      </x:c>
      <x:c r="F11713" s="0" t="s">
        <x:v>45</x:v>
      </x:c>
      <x:c r="G11713" s="0" t="s">
        <x:v>22</x:v>
      </x:c>
      <x:c r="H11713" s="0" t="s">
        <x:v>20</x:v>
      </x:c>
      <x:c r="I11713" s="0" t="s">
        <x:v>21</x:v>
      </x:c>
      <x:c r="K11713" s="0">
        <x:f>hyperlink("https://icd.who.int/dev11/l-ichi/en#/http%3A%2F%2Fid.who.int%2Ficd%2Fentity%2F1855926695","browser")</x:f>
      </x:c>
      <x:c r="L11713" s="0">
        <x:f>hyperlink("https://icat2.azurewebsites.net/icat/?ontology=ICD&amp;tab=ClassesTab&amp;id=http%3A%2F%2Fwho.int%2Ficd%23SpecificAnatomicLocation_2237","iCat")</x:f>
      </x:c>
      <x:c r="M11713" s="0" t="s">
        <x:v>21</x:v>
      </x:c>
      <x:c r="N11713" s="0" t="s">
        <x:v>46</x:v>
      </x:c>
    </x:row>
    <x:row r="11714" spans="1:16">
      <x:c r="A11714" s="0" t="s">
        <x:v>45752</x:v>
      </x:c>
      <x:c r="B11714" s="0" t="s">
        <x:v>45753</x:v>
      </x:c>
      <x:c r="C11714" s="0" t="s">
        <x:v>42840</x:v>
      </x:c>
      <x:c r="E11714" s="0" t="s">
        <x:v>45754</x:v>
      </x:c>
      <x:c r="F11714" s="0" t="s">
        <x:v>45</x:v>
      </x:c>
      <x:c r="G11714" s="0" t="s">
        <x:v>22</x:v>
      </x:c>
      <x:c r="H11714" s="0" t="s">
        <x:v>20</x:v>
      </x:c>
      <x:c r="I11714" s="0" t="s">
        <x:v>21</x:v>
      </x:c>
      <x:c r="K11714" s="0">
        <x:f>hyperlink("https://icd.who.int/dev11/l-ichi/en#/http%3A%2F%2Fid.who.int%2Ficd%2Fentity%2F1601398422","browser")</x:f>
      </x:c>
      <x:c r="L11714" s="0">
        <x:f>hyperlink("https://icat2.azurewebsites.net/icat/?ontology=ICD&amp;tab=ClassesTab&amp;id=http%3A%2F%2Fwho.int%2Ficd%23SpecificAnatomicLocation_2216","iCat")</x:f>
      </x:c>
      <x:c r="M11714" s="0" t="s">
        <x:v>21</x:v>
      </x:c>
      <x:c r="N11714" s="0" t="s">
        <x:v>46</x:v>
      </x:c>
    </x:row>
    <x:row r="11715" spans="1:16">
      <x:c r="A11715" s="0" t="s">
        <x:v>45755</x:v>
      </x:c>
      <x:c r="B11715" s="0" t="s">
        <x:v>45756</x:v>
      </x:c>
      <x:c r="C11715" s="0" t="s">
        <x:v>42840</x:v>
      </x:c>
      <x:c r="E11715" s="0" t="s">
        <x:v>45757</x:v>
      </x:c>
      <x:c r="F11715" s="0" t="s">
        <x:v>45</x:v>
      </x:c>
      <x:c r="G11715" s="0" t="s">
        <x:v>22</x:v>
      </x:c>
      <x:c r="H11715" s="0" t="s">
        <x:v>20</x:v>
      </x:c>
      <x:c r="I11715" s="0" t="s">
        <x:v>21</x:v>
      </x:c>
      <x:c r="K11715" s="0">
        <x:f>hyperlink("https://icd.who.int/dev11/l-ichi/en#/http%3A%2F%2Fid.who.int%2Ficd%2Fentity%2F1204996303","browser")</x:f>
      </x:c>
      <x:c r="L11715" s="0">
        <x:f>hyperlink("https://icat2.azurewebsites.net/icat/?ontology=ICD&amp;tab=ClassesTab&amp;id=http%3A%2F%2Fwho.int%2Ficd%23SpecificAnatomicLocation_2283","iCat")</x:f>
      </x:c>
      <x:c r="M11715" s="0" t="s">
        <x:v>21</x:v>
      </x:c>
      <x:c r="N11715" s="0" t="s">
        <x:v>46</x:v>
      </x:c>
    </x:row>
    <x:row r="11716" spans="1:16">
      <x:c r="A11716" s="0" t="s">
        <x:v>45758</x:v>
      </x:c>
      <x:c r="B11716" s="0" t="s">
        <x:v>45759</x:v>
      </x:c>
      <x:c r="C11716" s="0" t="s">
        <x:v>42840</x:v>
      </x:c>
      <x:c r="E11716" s="0" t="s">
        <x:v>45760</x:v>
      </x:c>
      <x:c r="F11716" s="0" t="s">
        <x:v>45</x:v>
      </x:c>
      <x:c r="G11716" s="0" t="s">
        <x:v>22</x:v>
      </x:c>
      <x:c r="H11716" s="0" t="s">
        <x:v>20</x:v>
      </x:c>
      <x:c r="I11716" s="0" t="s">
        <x:v>21</x:v>
      </x:c>
      <x:c r="K11716" s="0">
        <x:f>hyperlink("https://icd.who.int/dev11/l-ichi/en#/http%3A%2F%2Fid.who.int%2Ficd%2Fentity%2F1358605327","browser")</x:f>
      </x:c>
      <x:c r="L11716" s="0">
        <x:f>hyperlink("https://icat2.azurewebsites.net/icat/?ontology=ICD&amp;tab=ClassesTab&amp;id=http%3A%2F%2Fwho.int%2Ficd%23SpecificAnatomicLocation_2282","iCat")</x:f>
      </x:c>
      <x:c r="M11716" s="0" t="s">
        <x:v>21</x:v>
      </x:c>
      <x:c r="N11716" s="0" t="s">
        <x:v>46</x:v>
      </x:c>
    </x:row>
    <x:row r="11717" spans="1:16">
      <x:c r="A11717" s="0" t="s">
        <x:v>45761</x:v>
      </x:c>
      <x:c r="B11717" s="0" t="s">
        <x:v>45762</x:v>
      </x:c>
      <x:c r="C11717" s="0" t="s">
        <x:v>42840</x:v>
      </x:c>
      <x:c r="E11717" s="0" t="s">
        <x:v>45763</x:v>
      </x:c>
      <x:c r="F11717" s="0" t="s">
        <x:v>45</x:v>
      </x:c>
      <x:c r="G11717" s="0" t="s">
        <x:v>22</x:v>
      </x:c>
      <x:c r="H11717" s="0" t="s">
        <x:v>20</x:v>
      </x:c>
      <x:c r="I11717" s="0" t="s">
        <x:v>21</x:v>
      </x:c>
      <x:c r="K11717" s="0">
        <x:f>hyperlink("https://icd.who.int/dev11/l-ichi/en#/http%3A%2F%2Fid.who.int%2Ficd%2Fentity%2F1366916688","browser")</x:f>
      </x:c>
      <x:c r="L11717" s="0">
        <x:f>hyperlink("https://icat2.azurewebsites.net/icat/?ontology=ICD&amp;tab=ClassesTab&amp;id=http%3A%2F%2Fwho.int%2Ficd%23SpecificAnatomicLocation_2194","iCat")</x:f>
      </x:c>
      <x:c r="M11717" s="0" t="s">
        <x:v>21</x:v>
      </x:c>
      <x:c r="N11717" s="0" t="s">
        <x:v>46</x:v>
      </x:c>
    </x:row>
    <x:row r="11718" spans="1:16">
      <x:c r="A11718" s="0" t="s">
        <x:v>45764</x:v>
      </x:c>
      <x:c r="B11718" s="0" t="s">
        <x:v>45765</x:v>
      </x:c>
      <x:c r="C11718" s="0" t="s">
        <x:v>42840</x:v>
      </x:c>
      <x:c r="E11718" s="0" t="s">
        <x:v>45766</x:v>
      </x:c>
      <x:c r="F11718" s="0" t="s">
        <x:v>45</x:v>
      </x:c>
      <x:c r="G11718" s="0" t="s">
        <x:v>22</x:v>
      </x:c>
      <x:c r="H11718" s="0" t="s">
        <x:v>20</x:v>
      </x:c>
      <x:c r="I11718" s="0" t="s">
        <x:v>21</x:v>
      </x:c>
      <x:c r="K11718" s="0">
        <x:f>hyperlink("https://icd.who.int/dev11/l-ichi/en#/http%3A%2F%2Fid.who.int%2Ficd%2Fentity%2F1934266287","browser")</x:f>
      </x:c>
      <x:c r="L11718" s="0">
        <x:f>hyperlink("https://icat2.azurewebsites.net/icat/?ontology=ICD&amp;tab=ClassesTab&amp;id=http%3A%2F%2Fwho.int%2Ficd%239131_1a025aad_bab4_45d3_85b5_2f8609f7d6c2","iCat")</x:f>
      </x:c>
      <x:c r="M11718" s="0" t="s">
        <x:v>20</x:v>
      </x:c>
      <x:c r="N11718" s="0" t="s">
        <x:v>30</x:v>
      </x:c>
    </x:row>
    <x:row r="11719" spans="1:16">
      <x:c r="A11719" s="0" t="s">
        <x:v>45767</x:v>
      </x:c>
      <x:c r="B11719" s="0" t="s">
        <x:v>45768</x:v>
      </x:c>
      <x:c r="C11719" s="0" t="s">
        <x:v>42840</x:v>
      </x:c>
      <x:c r="E11719" s="0" t="s">
        <x:v>45769</x:v>
      </x:c>
      <x:c r="F11719" s="0" t="s">
        <x:v>45</x:v>
      </x:c>
      <x:c r="G11719" s="0" t="s">
        <x:v>40</x:v>
      </x:c>
      <x:c r="H11719" s="0" t="s">
        <x:v>20</x:v>
      </x:c>
      <x:c r="I11719" s="0" t="s">
        <x:v>21</x:v>
      </x:c>
      <x:c r="K11719" s="0">
        <x:f>hyperlink("https://icd.who.int/dev11/l-ichi/en#/http%3A%2F%2Fid.who.int%2Ficd%2Fentity%2F1612889623","browser")</x:f>
      </x:c>
      <x:c r="L11719" s="0">
        <x:f>hyperlink("https://icat2.azurewebsites.net/icat/?ontology=ICD&amp;tab=ClassesTab&amp;id=http%3A%2F%2Fwho.int%2Ficd%23SpecificAnatomicLocation_2071","iCat")</x:f>
      </x:c>
      <x:c r="M11719" s="0" t="s">
        <x:v>20</x:v>
      </x:c>
      <x:c r="N11719" s="0" t="s">
        <x:v>30</x:v>
      </x:c>
    </x:row>
    <x:row r="11720" spans="1:16">
      <x:c r="A11720" s="0" t="s">
        <x:v>45770</x:v>
      </x:c>
      <x:c r="B11720" s="0" t="s">
        <x:v>45771</x:v>
      </x:c>
      <x:c r="C11720" s="0" t="s">
        <x:v>42840</x:v>
      </x:c>
      <x:c r="E11720" s="0" t="s">
        <x:v>45772</x:v>
      </x:c>
      <x:c r="F11720" s="0" t="s">
        <x:v>45</x:v>
      </x:c>
      <x:c r="G11720" s="0" t="s">
        <x:v>206</x:v>
      </x:c>
      <x:c r="H11720" s="0" t="s">
        <x:v>20</x:v>
      </x:c>
      <x:c r="I11720" s="0" t="s">
        <x:v>21</x:v>
      </x:c>
      <x:c r="K11720" s="0">
        <x:f>hyperlink("https://icd.who.int/dev11/l-ichi/en#/http%3A%2F%2Fid.who.int%2Ficd%2Fentity%2F1642334362","browser")</x:f>
      </x:c>
      <x:c r="L11720" s="0">
        <x:f>hyperlink("https://icat2.azurewebsites.net/icat/?ontology=ICD&amp;tab=ClassesTab&amp;id=http%3A%2F%2Fwho.int%2Ficd%232521_d9027f82_5e3d_47a4_a6fe_3c65954dde3a","iCat")</x:f>
      </x:c>
      <x:c r="M11720" s="0" t="s">
        <x:v>20</x:v>
      </x:c>
      <x:c r="N11720" s="0" t="s">
        <x:v>40</x:v>
      </x:c>
    </x:row>
    <x:row r="11721" spans="1:16">
      <x:c r="A11721" s="0" t="s">
        <x:v>45773</x:v>
      </x:c>
      <x:c r="B11721" s="0" t="s">
        <x:v>45774</x:v>
      </x:c>
      <x:c r="C11721" s="0" t="s">
        <x:v>42840</x:v>
      </x:c>
      <x:c r="E11721" s="0" t="s">
        <x:v>45775</x:v>
      </x:c>
      <x:c r="F11721" s="0" t="s">
        <x:v>45</x:v>
      </x:c>
      <x:c r="G11721" s="0" t="s">
        <x:v>431</x:v>
      </x:c>
      <x:c r="H11721" s="0" t="s">
        <x:v>20</x:v>
      </x:c>
      <x:c r="I11721" s="0" t="s">
        <x:v>21</x:v>
      </x:c>
      <x:c r="K11721" s="0">
        <x:f>hyperlink("https://icd.who.int/dev11/l-ichi/en#/http%3A%2F%2Fid.who.int%2Ficd%2Fentity%2F21611059","browser")</x:f>
      </x:c>
      <x:c r="L11721" s="0">
        <x:f>hyperlink("https://icat2.azurewebsites.net/icat/?ontology=ICD&amp;tab=ClassesTab&amp;id=http%3A%2F%2Fwho.int%2Ficd%232557_d9027f82_5e3d_47a4_a6fe_3c65954dde3a","iCat")</x:f>
      </x:c>
      <x:c r="M11721" s="0" t="s">
        <x:v>21</x:v>
      </x:c>
      <x:c r="N11721" s="0" t="s">
        <x:v>46</x:v>
      </x:c>
    </x:row>
    <x:row r="11722" spans="1:16">
      <x:c r="A11722" s="0" t="s">
        <x:v>45776</x:v>
      </x:c>
      <x:c r="B11722" s="0" t="s">
        <x:v>45777</x:v>
      </x:c>
      <x:c r="C11722" s="0" t="s">
        <x:v>42840</x:v>
      </x:c>
      <x:c r="E11722" s="0" t="s">
        <x:v>45778</x:v>
      </x:c>
      <x:c r="F11722" s="0" t="s">
        <x:v>45</x:v>
      </x:c>
      <x:c r="G11722" s="0" t="s">
        <x:v>431</x:v>
      </x:c>
      <x:c r="H11722" s="0" t="s">
        <x:v>20</x:v>
      </x:c>
      <x:c r="I11722" s="0" t="s">
        <x:v>21</x:v>
      </x:c>
      <x:c r="K11722" s="0">
        <x:f>hyperlink("https://icd.who.int/dev11/l-ichi/en#/http%3A%2F%2Fid.who.int%2Ficd%2Fentity%2F732645847","browser")</x:f>
      </x:c>
      <x:c r="L11722" s="0">
        <x:f>hyperlink("https://icat2.azurewebsites.net/icat/?ontology=ICD&amp;tab=ClassesTab&amp;id=http%3A%2F%2Fwho.int%2Ficd%23SpecificAnatomicLocation_2074","iCat")</x:f>
      </x:c>
      <x:c r="M11722" s="0" t="s">
        <x:v>20</x:v>
      </x:c>
      <x:c r="N11722" s="0" t="s">
        <x:v>19</x:v>
      </x:c>
    </x:row>
    <x:row r="11723" spans="1:16">
      <x:c r="A11723" s="0" t="s">
        <x:v>45779</x:v>
      </x:c>
      <x:c r="B11723" s="0" t="s">
        <x:v>45780</x:v>
      </x:c>
      <x:c r="C11723" s="0" t="s">
        <x:v>42840</x:v>
      </x:c>
      <x:c r="E11723" s="0" t="s">
        <x:v>45781</x:v>
      </x:c>
      <x:c r="F11723" s="0" t="s">
        <x:v>45</x:v>
      </x:c>
      <x:c r="G11723" s="0" t="s">
        <x:v>119</x:v>
      </x:c>
      <x:c r="H11723" s="0" t="s">
        <x:v>20</x:v>
      </x:c>
      <x:c r="I11723" s="0" t="s">
        <x:v>21</x:v>
      </x:c>
      <x:c r="K11723" s="0">
        <x:f>hyperlink("https://icd.who.int/dev11/l-ichi/en#/http%3A%2F%2Fid.who.int%2Ficd%2Fentity%2F2144873078","browser")</x:f>
      </x:c>
      <x:c r="L11723" s="0">
        <x:f>hyperlink("https://icat2.azurewebsites.net/icat/?ontology=ICD&amp;tab=ClassesTab&amp;id=http%3A%2F%2Fwho.int%2Ficd%2328_8b79c97d_d531_439a_a326_5a6ff90bf00d","iCat")</x:f>
      </x:c>
      <x:c r="M11723" s="0" t="s">
        <x:v>20</x:v>
      </x:c>
      <x:c r="N11723" s="0" t="s">
        <x:v>35</x:v>
      </x:c>
    </x:row>
    <x:row r="11724" spans="1:16">
      <x:c r="A11724" s="0" t="s">
        <x:v>45782</x:v>
      </x:c>
      <x:c r="B11724" s="0" t="s">
        <x:v>45783</x:v>
      </x:c>
      <x:c r="C11724" s="0" t="s">
        <x:v>42840</x:v>
      </x:c>
      <x:c r="E11724" s="0" t="s">
        <x:v>45784</x:v>
      </x:c>
      <x:c r="F11724" s="0" t="s">
        <x:v>45</x:v>
      </x:c>
      <x:c r="G11724" s="0" t="s">
        <x:v>36</x:v>
      </x:c>
      <x:c r="H11724" s="0" t="s">
        <x:v>20</x:v>
      </x:c>
      <x:c r="I11724" s="0" t="s">
        <x:v>21</x:v>
      </x:c>
      <x:c r="K11724" s="0">
        <x:f>hyperlink("https://icd.who.int/dev11/l-ichi/en#/http%3A%2F%2Fid.who.int%2Ficd%2Fentity%2F466122465","browser")</x:f>
      </x:c>
      <x:c r="L11724" s="0">
        <x:f>hyperlink("https://icat2.azurewebsites.net/icat/?ontology=ICD&amp;tab=ClassesTab&amp;id=http%3A%2F%2Fwho.int%2Ficd%2347_8b79c97d_d531_439a_a326_5a6ff90bf00d","iCat")</x:f>
      </x:c>
      <x:c r="M11724" s="0" t="s">
        <x:v>21</x:v>
      </x:c>
      <x:c r="N11724" s="0" t="s">
        <x:v>46</x:v>
      </x:c>
    </x:row>
    <x:row r="11725" spans="1:16">
      <x:c r="A11725" s="0" t="s">
        <x:v>45785</x:v>
      </x:c>
      <x:c r="B11725" s="0" t="s">
        <x:v>45786</x:v>
      </x:c>
      <x:c r="C11725" s="0" t="s">
        <x:v>42840</x:v>
      </x:c>
      <x:c r="E11725" s="0" t="s">
        <x:v>45787</x:v>
      </x:c>
      <x:c r="F11725" s="0" t="s">
        <x:v>45</x:v>
      </x:c>
      <x:c r="G11725" s="0" t="s">
        <x:v>36</x:v>
      </x:c>
      <x:c r="H11725" s="0" t="s">
        <x:v>20</x:v>
      </x:c>
      <x:c r="I11725" s="0" t="s">
        <x:v>21</x:v>
      </x:c>
      <x:c r="K11725" s="0">
        <x:f>hyperlink("https://icd.who.int/dev11/l-ichi/en#/http%3A%2F%2Fid.who.int%2Ficd%2Fentity%2F289788301","browser")</x:f>
      </x:c>
      <x:c r="L11725" s="0">
        <x:f>hyperlink("https://icat2.azurewebsites.net/icat/?ontology=ICD&amp;tab=ClassesTab&amp;id=http%3A%2F%2Fwho.int%2Ficd%2366_8b79c97d_d531_439a_a326_5a6ff90bf00d","iCat")</x:f>
      </x:c>
      <x:c r="M11725" s="0" t="s">
        <x:v>21</x:v>
      </x:c>
      <x:c r="N11725" s="0" t="s">
        <x:v>46</x:v>
      </x:c>
    </x:row>
    <x:row r="11726" spans="1:16">
      <x:c r="A11726" s="0" t="s">
        <x:v>45788</x:v>
      </x:c>
      <x:c r="B11726" s="0" t="s">
        <x:v>45789</x:v>
      </x:c>
      <x:c r="C11726" s="0" t="s">
        <x:v>42840</x:v>
      </x:c>
      <x:c r="E11726" s="0" t="s">
        <x:v>45790</x:v>
      </x:c>
      <x:c r="F11726" s="0" t="s">
        <x:v>45</x:v>
      </x:c>
      <x:c r="G11726" s="0" t="s">
        <x:v>36</x:v>
      </x:c>
      <x:c r="H11726" s="0" t="s">
        <x:v>20</x:v>
      </x:c>
      <x:c r="I11726" s="0" t="s">
        <x:v>21</x:v>
      </x:c>
      <x:c r="K11726" s="0">
        <x:f>hyperlink("https://icd.who.int/dev11/l-ichi/en#/http%3A%2F%2Fid.who.int%2Ficd%2Fentity%2F300048893","browser")</x:f>
      </x:c>
      <x:c r="L11726" s="0">
        <x:f>hyperlink("https://icat2.azurewebsites.net/icat/?ontology=ICD&amp;tab=ClassesTab&amp;id=http%3A%2F%2Fwho.int%2Ficd%2385_8b79c97d_d531_439a_a326_5a6ff90bf00d","iCat")</x:f>
      </x:c>
      <x:c r="M11726" s="0" t="s">
        <x:v>21</x:v>
      </x:c>
      <x:c r="N11726" s="0" t="s">
        <x:v>46</x:v>
      </x:c>
    </x:row>
    <x:row r="11727" spans="1:16">
      <x:c r="A11727" s="0" t="s">
        <x:v>45791</x:v>
      </x:c>
      <x:c r="B11727" s="0" t="s">
        <x:v>45792</x:v>
      </x:c>
      <x:c r="C11727" s="0" t="s">
        <x:v>42840</x:v>
      </x:c>
      <x:c r="E11727" s="0" t="s">
        <x:v>45793</x:v>
      </x:c>
      <x:c r="F11727" s="0" t="s">
        <x:v>45</x:v>
      </x:c>
      <x:c r="G11727" s="0" t="s">
        <x:v>431</x:v>
      </x:c>
      <x:c r="H11727" s="0" t="s">
        <x:v>20</x:v>
      </x:c>
      <x:c r="I11727" s="0" t="s">
        <x:v>21</x:v>
      </x:c>
      <x:c r="K11727" s="0">
        <x:f>hyperlink("https://icd.who.int/dev11/l-ichi/en#/http%3A%2F%2Fid.who.int%2Ficd%2Fentity%2F1809854176","browser")</x:f>
      </x:c>
      <x:c r="L11727" s="0">
        <x:f>hyperlink("https://icat2.azurewebsites.net/icat/?ontology=ICD&amp;tab=ClassesTab&amp;id=http%3A%2F%2Fwho.int%2Ficd%23SpecificAnatomicLocation_2080","iCat")</x:f>
      </x:c>
      <x:c r="M11727" s="0" t="s">
        <x:v>21</x:v>
      </x:c>
      <x:c r="N11727" s="0" t="s">
        <x:v>46</x:v>
      </x:c>
    </x:row>
    <x:row r="11728" spans="1:16">
      <x:c r="A11728" s="0" t="s">
        <x:v>45794</x:v>
      </x:c>
      <x:c r="B11728" s="0" t="s">
        <x:v>45795</x:v>
      </x:c>
      <x:c r="C11728" s="0" t="s">
        <x:v>42840</x:v>
      </x:c>
      <x:c r="E11728" s="0" t="s">
        <x:v>45796</x:v>
      </x:c>
      <x:c r="F11728" s="0" t="s">
        <x:v>45</x:v>
      </x:c>
      <x:c r="G11728" s="0" t="s">
        <x:v>431</x:v>
      </x:c>
      <x:c r="H11728" s="0" t="s">
        <x:v>20</x:v>
      </x:c>
      <x:c r="I11728" s="0" t="s">
        <x:v>21</x:v>
      </x:c>
      <x:c r="K11728" s="0">
        <x:f>hyperlink("https://icd.who.int/dev11/l-ichi/en#/http%3A%2F%2Fid.who.int%2Ficd%2Fentity%2F1169221472","browser")</x:f>
      </x:c>
      <x:c r="L11728" s="0">
        <x:f>hyperlink("https://icat2.azurewebsites.net/icat/?ontology=ICD&amp;tab=ClassesTab&amp;id=http%3A%2F%2Fwho.int%2Ficd%23SpecificAnatomicLocation_2082","iCat")</x:f>
      </x:c>
      <x:c r="M11728" s="0" t="s">
        <x:v>21</x:v>
      </x:c>
      <x:c r="N11728" s="0" t="s">
        <x:v>46</x:v>
      </x:c>
    </x:row>
    <x:row r="11729" spans="1:16">
      <x:c r="A11729" s="0" t="s">
        <x:v>45797</x:v>
      </x:c>
      <x:c r="B11729" s="0" t="s">
        <x:v>45798</x:v>
      </x:c>
      <x:c r="C11729" s="0" t="s">
        <x:v>42840</x:v>
      </x:c>
      <x:c r="E11729" s="0" t="s">
        <x:v>45799</x:v>
      </x:c>
      <x:c r="F11729" s="0" t="s">
        <x:v>45</x:v>
      </x:c>
      <x:c r="G11729" s="0" t="s">
        <x:v>431</x:v>
      </x:c>
      <x:c r="H11729" s="0" t="s">
        <x:v>20</x:v>
      </x:c>
      <x:c r="I11729" s="0" t="s">
        <x:v>21</x:v>
      </x:c>
      <x:c r="K11729" s="0">
        <x:f>hyperlink("https://icd.who.int/dev11/l-ichi/en#/http%3A%2F%2Fid.who.int%2Ficd%2Fentity%2F1625632108","browser")</x:f>
      </x:c>
      <x:c r="L11729" s="0">
        <x:f>hyperlink("https://icat2.azurewebsites.net/icat/?ontology=ICD&amp;tab=ClassesTab&amp;id=http%3A%2F%2Fwho.int%2Ficd%23SpecificAnatomicLocation_2075","iCat")</x:f>
      </x:c>
      <x:c r="M11729" s="0" t="s">
        <x:v>21</x:v>
      </x:c>
      <x:c r="N11729" s="0" t="s">
        <x:v>46</x:v>
      </x:c>
    </x:row>
    <x:row r="11730" spans="1:16">
      <x:c r="A11730" s="0" t="s">
        <x:v>45800</x:v>
      </x:c>
      <x:c r="B11730" s="0" t="s">
        <x:v>45801</x:v>
      </x:c>
      <x:c r="C11730" s="0" t="s">
        <x:v>42840</x:v>
      </x:c>
      <x:c r="E11730" s="0" t="s">
        <x:v>45802</x:v>
      </x:c>
      <x:c r="F11730" s="0" t="s">
        <x:v>45</x:v>
      </x:c>
      <x:c r="G11730" s="0" t="s">
        <x:v>206</x:v>
      </x:c>
      <x:c r="H11730" s="0" t="s">
        <x:v>20</x:v>
      </x:c>
      <x:c r="I11730" s="0" t="s">
        <x:v>21</x:v>
      </x:c>
      <x:c r="K11730" s="0">
        <x:f>hyperlink("https://icd.who.int/dev11/l-ichi/en#/http%3A%2F%2Fid.who.int%2Ficd%2Fentity%2F787267597","browser")</x:f>
      </x:c>
      <x:c r="L11730" s="0">
        <x:f>hyperlink("https://icat2.azurewebsites.net/icat/?ontology=ICD&amp;tab=ClassesTab&amp;id=http%3A%2F%2Fwho.int%2Ficd%232503_d9027f82_5e3d_47a4_a6fe_3c65954dde3a","iCat")</x:f>
      </x:c>
      <x:c r="M11730" s="0" t="s">
        <x:v>20</x:v>
      </x:c>
      <x:c r="N11730" s="0" t="s">
        <x:v>22</x:v>
      </x:c>
    </x:row>
    <x:row r="11731" spans="1:16">
      <x:c r="A11731" s="0" t="s">
        <x:v>45803</x:v>
      </x:c>
      <x:c r="B11731" s="0" t="s">
        <x:v>45804</x:v>
      </x:c>
      <x:c r="C11731" s="0" t="s">
        <x:v>42840</x:v>
      </x:c>
      <x:c r="E11731" s="0" t="s">
        <x:v>45805</x:v>
      </x:c>
      <x:c r="F11731" s="0" t="s">
        <x:v>45</x:v>
      </x:c>
      <x:c r="G11731" s="0" t="s">
        <x:v>431</x:v>
      </x:c>
      <x:c r="H11731" s="0" t="s">
        <x:v>20</x:v>
      </x:c>
      <x:c r="I11731" s="0" t="s">
        <x:v>21</x:v>
      </x:c>
      <x:c r="K11731" s="0">
        <x:f>hyperlink("https://icd.who.int/dev11/l-ichi/en#/http%3A%2F%2Fid.who.int%2Ficd%2Fentity%2F1316124567","browser")</x:f>
      </x:c>
      <x:c r="L11731" s="0">
        <x:f>hyperlink("https://icat2.azurewebsites.net/icat/?ontology=ICD&amp;tab=ClassesTab&amp;id=http%3A%2F%2Fwho.int%2Ficd%23SpecificAnatomicLocation_2073","iCat")</x:f>
      </x:c>
      <x:c r="M11731" s="0" t="s">
        <x:v>21</x:v>
      </x:c>
      <x:c r="N11731" s="0" t="s">
        <x:v>46</x:v>
      </x:c>
    </x:row>
    <x:row r="11732" spans="1:16">
      <x:c r="A11732" s="0" t="s">
        <x:v>45806</x:v>
      </x:c>
      <x:c r="B11732" s="0" t="s">
        <x:v>45807</x:v>
      </x:c>
      <x:c r="C11732" s="0" t="s">
        <x:v>42840</x:v>
      </x:c>
      <x:c r="E11732" s="0" t="s">
        <x:v>45808</x:v>
      </x:c>
      <x:c r="F11732" s="0" t="s">
        <x:v>45</x:v>
      </x:c>
      <x:c r="G11732" s="0" t="s">
        <x:v>431</x:v>
      </x:c>
      <x:c r="H11732" s="0" t="s">
        <x:v>20</x:v>
      </x:c>
      <x:c r="I11732" s="0" t="s">
        <x:v>21</x:v>
      </x:c>
      <x:c r="K11732" s="0">
        <x:f>hyperlink("https://icd.who.int/dev11/l-ichi/en#/http%3A%2F%2Fid.who.int%2Ficd%2Fentity%2F647915497","browser")</x:f>
      </x:c>
      <x:c r="L11732" s="0">
        <x:f>hyperlink("https://icat2.azurewebsites.net/icat/?ontology=ICD&amp;tab=ClassesTab&amp;id=http%3A%2F%2Fwho.int%2Ficd%23SpecificAnatomicLocation_2079","iCat")</x:f>
      </x:c>
      <x:c r="M11732" s="0" t="s">
        <x:v>21</x:v>
      </x:c>
      <x:c r="N11732" s="0" t="s">
        <x:v>46</x:v>
      </x:c>
    </x:row>
    <x:row r="11733" spans="1:16">
      <x:c r="A11733" s="0" t="s">
        <x:v>45809</x:v>
      </x:c>
      <x:c r="B11733" s="0" t="s">
        <x:v>45810</x:v>
      </x:c>
      <x:c r="C11733" s="0" t="s">
        <x:v>42840</x:v>
      </x:c>
      <x:c r="E11733" s="0" t="s">
        <x:v>45811</x:v>
      </x:c>
      <x:c r="F11733" s="0" t="s">
        <x:v>45</x:v>
      </x:c>
      <x:c r="G11733" s="0" t="s">
        <x:v>431</x:v>
      </x:c>
      <x:c r="H11733" s="0" t="s">
        <x:v>20</x:v>
      </x:c>
      <x:c r="I11733" s="0" t="s">
        <x:v>21</x:v>
      </x:c>
      <x:c r="K11733" s="0">
        <x:f>hyperlink("https://icd.who.int/dev11/l-ichi/en#/http%3A%2F%2Fid.who.int%2Ficd%2Fentity%2F2093500960","browser")</x:f>
      </x:c>
      <x:c r="L11733" s="0">
        <x:f>hyperlink("https://icat2.azurewebsites.net/icat/?ontology=ICD&amp;tab=ClassesTab&amp;id=http%3A%2F%2Fwho.int%2Ficd%23SpecificAnatomicLocation_2081","iCat")</x:f>
      </x:c>
      <x:c r="M11733" s="0" t="s">
        <x:v>21</x:v>
      </x:c>
      <x:c r="N11733" s="0" t="s">
        <x:v>46</x:v>
      </x:c>
    </x:row>
    <x:row r="11734" spans="1:16">
      <x:c r="A11734" s="0" t="s">
        <x:v>45812</x:v>
      </x:c>
      <x:c r="B11734" s="0" t="s">
        <x:v>45813</x:v>
      </x:c>
      <x:c r="C11734" s="0" t="s">
        <x:v>42840</x:v>
      </x:c>
      <x:c r="E11734" s="0" t="s">
        <x:v>45814</x:v>
      </x:c>
      <x:c r="F11734" s="0" t="s">
        <x:v>45</x:v>
      </x:c>
      <x:c r="G11734" s="0" t="s">
        <x:v>431</x:v>
      </x:c>
      <x:c r="H11734" s="0" t="s">
        <x:v>20</x:v>
      </x:c>
      <x:c r="I11734" s="0" t="s">
        <x:v>21</x:v>
      </x:c>
      <x:c r="K11734" s="0">
        <x:f>hyperlink("https://icd.who.int/dev11/l-ichi/en#/http%3A%2F%2Fid.who.int%2Ficd%2Fentity%2F1499075415","browser")</x:f>
      </x:c>
      <x:c r="L11734" s="0">
        <x:f>hyperlink("https://icat2.azurewebsites.net/icat/?ontology=ICD&amp;tab=ClassesTab&amp;id=http%3A%2F%2Fwho.int%2Ficd%23SpecificAnatomicLocation_2072","iCat")</x:f>
      </x:c>
      <x:c r="M11734" s="0" t="s">
        <x:v>21</x:v>
      </x:c>
      <x:c r="N11734" s="0" t="s">
        <x:v>46</x:v>
      </x:c>
    </x:row>
    <x:row r="11735" spans="1:16">
      <x:c r="A11735" s="0" t="s">
        <x:v>45815</x:v>
      </x:c>
      <x:c r="B11735" s="0" t="s">
        <x:v>45816</x:v>
      </x:c>
      <x:c r="C11735" s="0" t="s">
        <x:v>42840</x:v>
      </x:c>
      <x:c r="E11735" s="0" t="s">
        <x:v>45817</x:v>
      </x:c>
      <x:c r="F11735" s="0" t="s">
        <x:v>45</x:v>
      </x:c>
      <x:c r="G11735" s="0" t="s">
        <x:v>40</x:v>
      </x:c>
      <x:c r="H11735" s="0" t="s">
        <x:v>20</x:v>
      </x:c>
      <x:c r="I11735" s="0" t="s">
        <x:v>21</x:v>
      </x:c>
      <x:c r="K11735" s="0">
        <x:f>hyperlink("https://icd.who.int/dev11/l-ichi/en#/http%3A%2F%2Fid.who.int%2Ficd%2Fentity%2F64157078","browser")</x:f>
      </x:c>
      <x:c r="L11735" s="0">
        <x:f>hyperlink("https://icat2.azurewebsites.net/icat/?ontology=ICD&amp;tab=ClassesTab&amp;id=http%3A%2F%2Fwho.int%2Ficd%23SpecificAnatomicLocation_2212","iCat")</x:f>
      </x:c>
      <x:c r="M11735" s="0" t="s">
        <x:v>21</x:v>
      </x:c>
      <x:c r="N11735" s="0" t="s">
        <x:v>46</x:v>
      </x:c>
    </x:row>
    <x:row r="11736" spans="1:16">
      <x:c r="A11736" s="0" t="s">
        <x:v>45818</x:v>
      </x:c>
      <x:c r="B11736" s="0" t="s">
        <x:v>45819</x:v>
      </x:c>
      <x:c r="C11736" s="0" t="s">
        <x:v>42840</x:v>
      </x:c>
      <x:c r="E11736" s="0" t="s">
        <x:v>45820</x:v>
      </x:c>
      <x:c r="F11736" s="0" t="s">
        <x:v>45</x:v>
      </x:c>
      <x:c r="G11736" s="0" t="s">
        <x:v>35</x:v>
      </x:c>
      <x:c r="H11736" s="0" t="s">
        <x:v>20</x:v>
      </x:c>
      <x:c r="I11736" s="0" t="s">
        <x:v>21</x:v>
      </x:c>
      <x:c r="K11736" s="0">
        <x:f>hyperlink("https://icd.who.int/dev11/l-ichi/en#/http%3A%2F%2Fid.who.int%2Ficd%2Fentity%2F553603158","browser")</x:f>
      </x:c>
      <x:c r="L11736" s="0">
        <x:f>hyperlink("https://icat2.azurewebsites.net/icat/?ontology=ICD&amp;tab=ClassesTab&amp;id=http%3A%2F%2Fwho.int%2Ficd%238161_1a025aad_bab4_45d3_85b5_2f8609f7d6c2","iCat")</x:f>
      </x:c>
      <x:c r="M11736" s="0" t="s">
        <x:v>20</x:v>
      </x:c>
      <x:c r="N11736" s="0" t="s">
        <x:v>8549</x:v>
      </x:c>
    </x:row>
    <x:row r="11737" spans="1:16">
      <x:c r="A11737" s="0" t="s">
        <x:v>45821</x:v>
      </x:c>
      <x:c r="B11737" s="0" t="s">
        <x:v>45822</x:v>
      </x:c>
      <x:c r="C11737" s="0" t="s">
        <x:v>42840</x:v>
      </x:c>
      <x:c r="E11737" s="0" t="s">
        <x:v>45823</x:v>
      </x:c>
      <x:c r="F11737" s="0" t="s">
        <x:v>45</x:v>
      </x:c>
      <x:c r="G11737" s="0" t="s">
        <x:v>22</x:v>
      </x:c>
      <x:c r="H11737" s="0" t="s">
        <x:v>20</x:v>
      </x:c>
      <x:c r="I11737" s="0" t="s">
        <x:v>21</x:v>
      </x:c>
      <x:c r="K11737" s="0">
        <x:f>hyperlink("https://icd.who.int/dev11/l-ichi/en#/http%3A%2F%2Fid.who.int%2Ficd%2Fentity%2F1774319231","browser")</x:f>
      </x:c>
      <x:c r="L11737" s="0">
        <x:f>hyperlink("https://icat2.azurewebsites.net/icat/?ontology=ICD&amp;tab=ClassesTab&amp;id=http%3A%2F%2Fwho.int%2Ficd%23SpecificAnatomicLocation_2314","iCat")</x:f>
      </x:c>
      <x:c r="M11737" s="0" t="s">
        <x:v>21</x:v>
      </x:c>
      <x:c r="N11737" s="0" t="s">
        <x:v>46</x:v>
      </x:c>
    </x:row>
    <x:row r="11738" spans="1:16">
      <x:c r="A11738" s="0" t="s">
        <x:v>45824</x:v>
      </x:c>
      <x:c r="B11738" s="0" t="s">
        <x:v>45825</x:v>
      </x:c>
      <x:c r="C11738" s="0" t="s">
        <x:v>42840</x:v>
      </x:c>
      <x:c r="E11738" s="0" t="s">
        <x:v>45826</x:v>
      </x:c>
      <x:c r="F11738" s="0" t="s">
        <x:v>45</x:v>
      </x:c>
      <x:c r="G11738" s="0" t="s">
        <x:v>22</x:v>
      </x:c>
      <x:c r="H11738" s="0" t="s">
        <x:v>20</x:v>
      </x:c>
      <x:c r="I11738" s="0" t="s">
        <x:v>21</x:v>
      </x:c>
      <x:c r="K11738" s="0">
        <x:f>hyperlink("https://icd.who.int/dev11/l-ichi/en#/http%3A%2F%2Fid.who.int%2Ficd%2Fentity%2F1021997417","browser")</x:f>
      </x:c>
      <x:c r="L11738" s="0">
        <x:f>hyperlink("https://icat2.azurewebsites.net/icat/?ontology=ICD&amp;tab=ClassesTab&amp;id=http%3A%2F%2Fwho.int%2Ficd%23SpecificAnatomicLocation_2329","iCat")</x:f>
      </x:c>
      <x:c r="M11738" s="0" t="s">
        <x:v>21</x:v>
      </x:c>
      <x:c r="N11738" s="0" t="s">
        <x:v>46</x:v>
      </x:c>
    </x:row>
    <x:row r="11739" spans="1:16">
      <x:c r="A11739" s="0" t="s">
        <x:v>45827</x:v>
      </x:c>
      <x:c r="B11739" s="0" t="s">
        <x:v>45828</x:v>
      </x:c>
      <x:c r="C11739" s="0" t="s">
        <x:v>42840</x:v>
      </x:c>
      <x:c r="E11739" s="0" t="s">
        <x:v>45829</x:v>
      </x:c>
      <x:c r="F11739" s="0" t="s">
        <x:v>45</x:v>
      </x:c>
      <x:c r="G11739" s="0" t="s">
        <x:v>22</x:v>
      </x:c>
      <x:c r="H11739" s="0" t="s">
        <x:v>20</x:v>
      </x:c>
      <x:c r="I11739" s="0" t="s">
        <x:v>21</x:v>
      </x:c>
      <x:c r="K11739" s="0">
        <x:f>hyperlink("https://icd.who.int/dev11/l-ichi/en#/http%3A%2F%2Fid.who.int%2Ficd%2Fentity%2F1540119742","browser")</x:f>
      </x:c>
      <x:c r="L11739" s="0">
        <x:f>hyperlink("https://icat2.azurewebsites.net/icat/?ontology=ICD&amp;tab=ClassesTab&amp;id=http%3A%2F%2Fwho.int%2Ficd%23SpecificAnatomicLocation_2222","iCat")</x:f>
      </x:c>
      <x:c r="M11739" s="0" t="s">
        <x:v>21</x:v>
      </x:c>
      <x:c r="N11739" s="0" t="s">
        <x:v>46</x:v>
      </x:c>
    </x:row>
    <x:row r="11740" spans="1:16">
      <x:c r="A11740" s="0" t="s">
        <x:v>45830</x:v>
      </x:c>
      <x:c r="B11740" s="0" t="s">
        <x:v>45831</x:v>
      </x:c>
      <x:c r="C11740" s="0" t="s">
        <x:v>42840</x:v>
      </x:c>
      <x:c r="E11740" s="0" t="s">
        <x:v>45832</x:v>
      </x:c>
      <x:c r="F11740" s="0" t="s">
        <x:v>45</x:v>
      </x:c>
      <x:c r="G11740" s="0" t="s">
        <x:v>22</x:v>
      </x:c>
      <x:c r="H11740" s="0" t="s">
        <x:v>20</x:v>
      </x:c>
      <x:c r="I11740" s="0" t="s">
        <x:v>21</x:v>
      </x:c>
      <x:c r="K11740" s="0">
        <x:f>hyperlink("https://icd.who.int/dev11/l-ichi/en#/http%3A%2F%2Fid.who.int%2Ficd%2Fentity%2F792647857","browser")</x:f>
      </x:c>
      <x:c r="L11740" s="0">
        <x:f>hyperlink("https://icat2.azurewebsites.net/icat/?ontology=ICD&amp;tab=ClassesTab&amp;id=http%3A%2F%2Fwho.int%2Ficd%23SpecificAnatomicLocation_2289","iCat")</x:f>
      </x:c>
      <x:c r="M11740" s="0" t="s">
        <x:v>21</x:v>
      </x:c>
      <x:c r="N11740" s="0" t="s">
        <x:v>46</x:v>
      </x:c>
    </x:row>
    <x:row r="11741" spans="1:16">
      <x:c r="A11741" s="0" t="s">
        <x:v>45833</x:v>
      </x:c>
      <x:c r="B11741" s="0" t="s">
        <x:v>45834</x:v>
      </x:c>
      <x:c r="C11741" s="0" t="s">
        <x:v>42840</x:v>
      </x:c>
      <x:c r="E11741" s="0" t="s">
        <x:v>45835</x:v>
      </x:c>
      <x:c r="F11741" s="0" t="s">
        <x:v>45</x:v>
      </x:c>
      <x:c r="G11741" s="0" t="s">
        <x:v>22</x:v>
      </x:c>
      <x:c r="H11741" s="0" t="s">
        <x:v>20</x:v>
      </x:c>
      <x:c r="I11741" s="0" t="s">
        <x:v>21</x:v>
      </x:c>
      <x:c r="K11741" s="0">
        <x:f>hyperlink("https://icd.who.int/dev11/l-ichi/en#/http%3A%2F%2Fid.who.int%2Ficd%2Fentity%2F956846616","browser")</x:f>
      </x:c>
      <x:c r="L11741" s="0">
        <x:f>hyperlink("https://icat2.azurewebsites.net/icat/?ontology=ICD&amp;tab=ClassesTab&amp;id=http%3A%2F%2Fwho.int%2Ficd%23SpecificAnatomicLocation_2293","iCat")</x:f>
      </x:c>
      <x:c r="M11741" s="0" t="s">
        <x:v>21</x:v>
      </x:c>
      <x:c r="N11741" s="0" t="s">
        <x:v>46</x:v>
      </x:c>
    </x:row>
    <x:row r="11742" spans="1:16">
      <x:c r="A11742" s="0" t="s">
        <x:v>45836</x:v>
      </x:c>
      <x:c r="B11742" s="0" t="s">
        <x:v>45837</x:v>
      </x:c>
      <x:c r="C11742" s="0" t="s">
        <x:v>42840</x:v>
      </x:c>
      <x:c r="E11742" s="0" t="s">
        <x:v>45838</x:v>
      </x:c>
      <x:c r="F11742" s="0" t="s">
        <x:v>45</x:v>
      </x:c>
      <x:c r="G11742" s="0" t="s">
        <x:v>22</x:v>
      </x:c>
      <x:c r="H11742" s="0" t="s">
        <x:v>20</x:v>
      </x:c>
      <x:c r="I11742" s="0" t="s">
        <x:v>21</x:v>
      </x:c>
      <x:c r="K11742" s="0">
        <x:f>hyperlink("https://icd.who.int/dev11/l-ichi/en#/http%3A%2F%2Fid.who.int%2Ficd%2Fentity%2F1274611864","browser")</x:f>
      </x:c>
      <x:c r="L11742" s="0">
        <x:f>hyperlink("https://icat2.azurewebsites.net/icat/?ontology=ICD&amp;tab=ClassesTab&amp;id=http%3A%2F%2Fwho.int%2Ficd%23SpecificAnatomicLocation_2295","iCat")</x:f>
      </x:c>
      <x:c r="M11742" s="0" t="s">
        <x:v>21</x:v>
      </x:c>
      <x:c r="N11742" s="0" t="s">
        <x:v>46</x:v>
      </x:c>
    </x:row>
    <x:row r="11743" spans="1:16">
      <x:c r="A11743" s="0" t="s">
        <x:v>45839</x:v>
      </x:c>
      <x:c r="B11743" s="0" t="s">
        <x:v>45840</x:v>
      </x:c>
      <x:c r="C11743" s="0" t="s">
        <x:v>42840</x:v>
      </x:c>
      <x:c r="E11743" s="0" t="s">
        <x:v>45841</x:v>
      </x:c>
      <x:c r="F11743" s="0" t="s">
        <x:v>45</x:v>
      </x:c>
      <x:c r="G11743" s="0" t="s">
        <x:v>22</x:v>
      </x:c>
      <x:c r="H11743" s="0" t="s">
        <x:v>20</x:v>
      </x:c>
      <x:c r="I11743" s="0" t="s">
        <x:v>21</x:v>
      </x:c>
      <x:c r="K11743" s="0">
        <x:f>hyperlink("https://icd.who.int/dev11/l-ichi/en#/http%3A%2F%2Fid.who.int%2Ficd%2Fentity%2F329537166","browser")</x:f>
      </x:c>
      <x:c r="L11743" s="0">
        <x:f>hyperlink("https://icat2.azurewebsites.net/icat/?ontology=ICD&amp;tab=ClassesTab&amp;id=http%3A%2F%2Fwho.int%2Ficd%23SpecificAnatomicLocation_2330","iCat")</x:f>
      </x:c>
      <x:c r="M11743" s="0" t="s">
        <x:v>21</x:v>
      </x:c>
      <x:c r="N11743" s="0" t="s">
        <x:v>46</x:v>
      </x:c>
    </x:row>
    <x:row r="11744" spans="1:16">
      <x:c r="A11744" s="0" t="s">
        <x:v>45842</x:v>
      </x:c>
      <x:c r="B11744" s="0" t="s">
        <x:v>45843</x:v>
      </x:c>
      <x:c r="C11744" s="0" t="s">
        <x:v>42840</x:v>
      </x:c>
      <x:c r="E11744" s="0" t="s">
        <x:v>45844</x:v>
      </x:c>
      <x:c r="F11744" s="0" t="s">
        <x:v>45</x:v>
      </x:c>
      <x:c r="G11744" s="0" t="s">
        <x:v>22</x:v>
      </x:c>
      <x:c r="H11744" s="0" t="s">
        <x:v>20</x:v>
      </x:c>
      <x:c r="I11744" s="0" t="s">
        <x:v>21</x:v>
      </x:c>
      <x:c r="K11744" s="0">
        <x:f>hyperlink("https://icd.who.int/dev11/l-ichi/en#/http%3A%2F%2Fid.who.int%2Ficd%2Fentity%2F2052499607","browser")</x:f>
      </x:c>
      <x:c r="L11744" s="0">
        <x:f>hyperlink("https://icat2.azurewebsites.net/icat/?ontology=ICD&amp;tab=ClassesTab&amp;id=http%3A%2F%2Fwho.int%2Ficd%23SpecificAnatomicLocation_2321","iCat")</x:f>
      </x:c>
      <x:c r="M11744" s="0" t="s">
        <x:v>21</x:v>
      </x:c>
      <x:c r="N11744" s="0" t="s">
        <x:v>46</x:v>
      </x:c>
    </x:row>
    <x:row r="11745" spans="1:16">
      <x:c r="A11745" s="0" t="s">
        <x:v>45845</x:v>
      </x:c>
      <x:c r="B11745" s="0" t="s">
        <x:v>45846</x:v>
      </x:c>
      <x:c r="C11745" s="0" t="s">
        <x:v>42840</x:v>
      </x:c>
      <x:c r="E11745" s="0" t="s">
        <x:v>45847</x:v>
      </x:c>
      <x:c r="F11745" s="0" t="s">
        <x:v>45</x:v>
      </x:c>
      <x:c r="G11745" s="0" t="s">
        <x:v>22</x:v>
      </x:c>
      <x:c r="H11745" s="0" t="s">
        <x:v>20</x:v>
      </x:c>
      <x:c r="I11745" s="0" t="s">
        <x:v>21</x:v>
      </x:c>
      <x:c r="K11745" s="0">
        <x:f>hyperlink("https://icd.who.int/dev11/l-ichi/en#/http%3A%2F%2Fid.who.int%2Ficd%2Fentity%2F1925337830","browser")</x:f>
      </x:c>
      <x:c r="L11745" s="0">
        <x:f>hyperlink("https://icat2.azurewebsites.net/icat/?ontology=ICD&amp;tab=ClassesTab&amp;id=http%3A%2F%2Fwho.int%2Ficd%23SpecificAnatomicLocation_2303","iCat")</x:f>
      </x:c>
      <x:c r="M11745" s="0" t="s">
        <x:v>21</x:v>
      </x:c>
      <x:c r="N11745" s="0" t="s">
        <x:v>46</x:v>
      </x:c>
    </x:row>
    <x:row r="11746" spans="1:16">
      <x:c r="A11746" s="0" t="s">
        <x:v>45848</x:v>
      </x:c>
      <x:c r="B11746" s="0" t="s">
        <x:v>45849</x:v>
      </x:c>
      <x:c r="C11746" s="0" t="s">
        <x:v>42840</x:v>
      </x:c>
      <x:c r="E11746" s="0" t="s">
        <x:v>45850</x:v>
      </x:c>
      <x:c r="F11746" s="0" t="s">
        <x:v>45</x:v>
      </x:c>
      <x:c r="G11746" s="0" t="s">
        <x:v>22</x:v>
      </x:c>
      <x:c r="H11746" s="0" t="s">
        <x:v>20</x:v>
      </x:c>
      <x:c r="I11746" s="0" t="s">
        <x:v>21</x:v>
      </x:c>
      <x:c r="K11746" s="0">
        <x:f>hyperlink("https://icd.who.int/dev11/l-ichi/en#/http%3A%2F%2Fid.who.int%2Ficd%2Fentity%2F1373913704","browser")</x:f>
      </x:c>
      <x:c r="L11746" s="0">
        <x:f>hyperlink("https://icat2.azurewebsites.net/icat/?ontology=ICD&amp;tab=ClassesTab&amp;id=http%3A%2F%2Fwho.int%2Ficd%23SpecificAnatomicLocation_2299","iCat")</x:f>
      </x:c>
      <x:c r="M11746" s="0" t="s">
        <x:v>21</x:v>
      </x:c>
      <x:c r="N11746" s="0" t="s">
        <x:v>46</x:v>
      </x:c>
    </x:row>
    <x:row r="11747" spans="1:16">
      <x:c r="A11747" s="0" t="s">
        <x:v>45851</x:v>
      </x:c>
      <x:c r="B11747" s="0" t="s">
        <x:v>45852</x:v>
      </x:c>
      <x:c r="C11747" s="0" t="s">
        <x:v>42840</x:v>
      </x:c>
      <x:c r="E11747" s="0" t="s">
        <x:v>45853</x:v>
      </x:c>
      <x:c r="F11747" s="0" t="s">
        <x:v>45</x:v>
      </x:c>
      <x:c r="G11747" s="0" t="s">
        <x:v>22</x:v>
      </x:c>
      <x:c r="H11747" s="0" t="s">
        <x:v>20</x:v>
      </x:c>
      <x:c r="I11747" s="0" t="s">
        <x:v>21</x:v>
      </x:c>
      <x:c r="K11747" s="0">
        <x:f>hyperlink("https://icd.who.int/dev11/l-ichi/en#/http%3A%2F%2Fid.who.int%2Ficd%2Fentity%2F1705623832","browser")</x:f>
      </x:c>
      <x:c r="L11747" s="0">
        <x:f>hyperlink("https://icat2.azurewebsites.net/icat/?ontology=ICD&amp;tab=ClassesTab&amp;id=http%3A%2F%2Fwho.int%2Ficd%23SpecificAnatomicLocation_2297","iCat")</x:f>
      </x:c>
      <x:c r="M11747" s="0" t="s">
        <x:v>21</x:v>
      </x:c>
      <x:c r="N11747" s="0" t="s">
        <x:v>46</x:v>
      </x:c>
    </x:row>
    <x:row r="11748" spans="1:16">
      <x:c r="A11748" s="0" t="s">
        <x:v>45854</x:v>
      </x:c>
      <x:c r="B11748" s="0" t="s">
        <x:v>45855</x:v>
      </x:c>
      <x:c r="C11748" s="0" t="s">
        <x:v>42840</x:v>
      </x:c>
      <x:c r="E11748" s="0" t="s">
        <x:v>45856</x:v>
      </x:c>
      <x:c r="F11748" s="0" t="s">
        <x:v>45</x:v>
      </x:c>
      <x:c r="G11748" s="0" t="s">
        <x:v>22</x:v>
      </x:c>
      <x:c r="H11748" s="0" t="s">
        <x:v>20</x:v>
      </x:c>
      <x:c r="I11748" s="0" t="s">
        <x:v>21</x:v>
      </x:c>
      <x:c r="K11748" s="0">
        <x:f>hyperlink("https://icd.who.int/dev11/l-ichi/en#/http%3A%2F%2Fid.who.int%2Ficd%2Fentity%2F391682968","browser")</x:f>
      </x:c>
      <x:c r="L11748" s="0">
        <x:f>hyperlink("https://icat2.azurewebsites.net/icat/?ontology=ICD&amp;tab=ClassesTab&amp;id=http%3A%2F%2Fwho.int%2Ficd%23SpecificAnatomicLocation_2291","iCat")</x:f>
      </x:c>
      <x:c r="M11748" s="0" t="s">
        <x:v>21</x:v>
      </x:c>
      <x:c r="N11748" s="0" t="s">
        <x:v>46</x:v>
      </x:c>
    </x:row>
    <x:row r="11749" spans="1:16">
      <x:c r="A11749" s="0" t="s">
        <x:v>45857</x:v>
      </x:c>
      <x:c r="B11749" s="0" t="s">
        <x:v>45858</x:v>
      </x:c>
      <x:c r="C11749" s="0" t="s">
        <x:v>42840</x:v>
      </x:c>
      <x:c r="E11749" s="0" t="s">
        <x:v>45859</x:v>
      </x:c>
      <x:c r="F11749" s="0" t="s">
        <x:v>45</x:v>
      </x:c>
      <x:c r="G11749" s="0" t="s">
        <x:v>22</x:v>
      </x:c>
      <x:c r="H11749" s="0" t="s">
        <x:v>20</x:v>
      </x:c>
      <x:c r="I11749" s="0" t="s">
        <x:v>21</x:v>
      </x:c>
      <x:c r="K11749" s="0">
        <x:f>hyperlink("https://icd.who.int/dev11/l-ichi/en#/http%3A%2F%2Fid.who.int%2Ficd%2Fentity%2F575144383","browser")</x:f>
      </x:c>
      <x:c r="L11749" s="0">
        <x:f>hyperlink("https://icat2.azurewebsites.net/icat/?ontology=ICD&amp;tab=ClassesTab&amp;id=http%3A%2F%2Fwho.int%2Ficd%23SpecificAnatomicLocation_2311","iCat")</x:f>
      </x:c>
      <x:c r="M11749" s="0" t="s">
        <x:v>21</x:v>
      </x:c>
      <x:c r="N11749" s="0" t="s">
        <x:v>46</x:v>
      </x:c>
    </x:row>
    <x:row r="11750" spans="1:16">
      <x:c r="A11750" s="0" t="s">
        <x:v>45860</x:v>
      </x:c>
      <x:c r="B11750" s="0" t="s">
        <x:v>45861</x:v>
      </x:c>
      <x:c r="C11750" s="0" t="s">
        <x:v>42840</x:v>
      </x:c>
      <x:c r="E11750" s="0" t="s">
        <x:v>45862</x:v>
      </x:c>
      <x:c r="F11750" s="0" t="s">
        <x:v>45</x:v>
      </x:c>
      <x:c r="G11750" s="0" t="s">
        <x:v>22</x:v>
      </x:c>
      <x:c r="H11750" s="0" t="s">
        <x:v>20</x:v>
      </x:c>
      <x:c r="I11750" s="0" t="s">
        <x:v>21</x:v>
      </x:c>
      <x:c r="K11750" s="0">
        <x:f>hyperlink("https://icd.who.int/dev11/l-ichi/en#/http%3A%2F%2Fid.who.int%2Ficd%2Fentity%2F2057488593","browser")</x:f>
      </x:c>
      <x:c r="L11750" s="0">
        <x:f>hyperlink("https://icat2.azurewebsites.net/icat/?ontology=ICD&amp;tab=ClassesTab&amp;id=http%3A%2F%2Fwho.int%2Ficd%23SpecificAnatomicLocation_2370","iCat")</x:f>
      </x:c>
      <x:c r="M11750" s="0" t="s">
        <x:v>21</x:v>
      </x:c>
      <x:c r="N11750" s="0" t="s">
        <x:v>46</x:v>
      </x:c>
    </x:row>
    <x:row r="11751" spans="1:16">
      <x:c r="A11751" s="0" t="s">
        <x:v>45863</x:v>
      </x:c>
      <x:c r="B11751" s="0" t="s">
        <x:v>45864</x:v>
      </x:c>
      <x:c r="C11751" s="0" t="s">
        <x:v>42840</x:v>
      </x:c>
      <x:c r="E11751" s="0" t="s">
        <x:v>45865</x:v>
      </x:c>
      <x:c r="F11751" s="0" t="s">
        <x:v>45</x:v>
      </x:c>
      <x:c r="G11751" s="0" t="s">
        <x:v>22</x:v>
      </x:c>
      <x:c r="H11751" s="0" t="s">
        <x:v>20</x:v>
      </x:c>
      <x:c r="I11751" s="0" t="s">
        <x:v>21</x:v>
      </x:c>
      <x:c r="K11751" s="0">
        <x:f>hyperlink("https://icd.who.int/dev11/l-ichi/en#/http%3A%2F%2Fid.who.int%2Ficd%2Fentity%2F145224215","browser")</x:f>
      </x:c>
      <x:c r="L11751" s="0">
        <x:f>hyperlink("https://icat2.azurewebsites.net/icat/?ontology=ICD&amp;tab=ClassesTab&amp;id=http%3A%2F%2Fwho.int%2Ficd%23SpecificAnatomicLocation_2327","iCat")</x:f>
      </x:c>
      <x:c r="M11751" s="0" t="s">
        <x:v>21</x:v>
      </x:c>
      <x:c r="N11751" s="0" t="s">
        <x:v>46</x:v>
      </x:c>
    </x:row>
    <x:row r="11752" spans="1:16">
      <x:c r="A11752" s="0" t="s">
        <x:v>45866</x:v>
      </x:c>
      <x:c r="B11752" s="0" t="s">
        <x:v>45867</x:v>
      </x:c>
      <x:c r="C11752" s="0" t="s">
        <x:v>42840</x:v>
      </x:c>
      <x:c r="E11752" s="0" t="s">
        <x:v>45868</x:v>
      </x:c>
      <x:c r="F11752" s="0" t="s">
        <x:v>45</x:v>
      </x:c>
      <x:c r="G11752" s="0" t="s">
        <x:v>22</x:v>
      </x:c>
      <x:c r="H11752" s="0" t="s">
        <x:v>20</x:v>
      </x:c>
      <x:c r="I11752" s="0" t="s">
        <x:v>21</x:v>
      </x:c>
      <x:c r="K11752" s="0">
        <x:f>hyperlink("https://icd.who.int/dev11/l-ichi/en#/http%3A%2F%2Fid.who.int%2Ficd%2Fentity%2F778289638","browser")</x:f>
      </x:c>
      <x:c r="L11752" s="0">
        <x:f>hyperlink("https://icat2.azurewebsites.net/icat/?ontology=ICD&amp;tab=ClassesTab&amp;id=http%3A%2F%2Fwho.int%2Ficd%23SpecificAnatomicLocation_2307","iCat")</x:f>
      </x:c>
      <x:c r="M11752" s="0" t="s">
        <x:v>21</x:v>
      </x:c>
      <x:c r="N11752" s="0" t="s">
        <x:v>46</x:v>
      </x:c>
    </x:row>
    <x:row r="11753" spans="1:16">
      <x:c r="A11753" s="0" t="s">
        <x:v>45869</x:v>
      </x:c>
      <x:c r="B11753" s="0" t="s">
        <x:v>45870</x:v>
      </x:c>
      <x:c r="C11753" s="0" t="s">
        <x:v>42840</x:v>
      </x:c>
      <x:c r="E11753" s="0" t="s">
        <x:v>45871</x:v>
      </x:c>
      <x:c r="F11753" s="0" t="s">
        <x:v>45</x:v>
      </x:c>
      <x:c r="G11753" s="0" t="s">
        <x:v>22</x:v>
      </x:c>
      <x:c r="H11753" s="0" t="s">
        <x:v>20</x:v>
      </x:c>
      <x:c r="I11753" s="0" t="s">
        <x:v>21</x:v>
      </x:c>
      <x:c r="K11753" s="0">
        <x:f>hyperlink("https://icd.who.int/dev11/l-ichi/en#/http%3A%2F%2Fid.who.int%2Ficd%2Fentity%2F941014129","browser")</x:f>
      </x:c>
      <x:c r="L11753" s="0">
        <x:f>hyperlink("https://icat2.azurewebsites.net/icat/?ontology=ICD&amp;tab=ClassesTab&amp;id=http%3A%2F%2Fwho.int%2Ficd%23SpecificAnatomicLocation_2288","iCat")</x:f>
      </x:c>
      <x:c r="M11753" s="0" t="s">
        <x:v>21</x:v>
      </x:c>
      <x:c r="N11753" s="0" t="s">
        <x:v>46</x:v>
      </x:c>
    </x:row>
    <x:row r="11754" spans="1:16">
      <x:c r="A11754" s="0" t="s">
        <x:v>45872</x:v>
      </x:c>
      <x:c r="B11754" s="0" t="s">
        <x:v>45873</x:v>
      </x:c>
      <x:c r="C11754" s="0" t="s">
        <x:v>42840</x:v>
      </x:c>
      <x:c r="E11754" s="0" t="s">
        <x:v>45874</x:v>
      </x:c>
      <x:c r="F11754" s="0" t="s">
        <x:v>45</x:v>
      </x:c>
      <x:c r="G11754" s="0" t="s">
        <x:v>22</x:v>
      </x:c>
      <x:c r="H11754" s="0" t="s">
        <x:v>20</x:v>
      </x:c>
      <x:c r="I11754" s="0" t="s">
        <x:v>21</x:v>
      </x:c>
      <x:c r="K11754" s="0">
        <x:f>hyperlink("https://icd.who.int/dev11/l-ichi/en#/http%3A%2F%2Fid.who.int%2Ficd%2Fentity%2F895509887","browser")</x:f>
      </x:c>
      <x:c r="L11754" s="0">
        <x:f>hyperlink("https://icat2.azurewebsites.net/icat/?ontology=ICD&amp;tab=ClassesTab&amp;id=http%3A%2F%2Fwho.int%2Ficd%23SpecificAnatomicLocation_2310","iCat")</x:f>
      </x:c>
      <x:c r="M11754" s="0" t="s">
        <x:v>21</x:v>
      </x:c>
      <x:c r="N11754" s="0" t="s">
        <x:v>46</x:v>
      </x:c>
    </x:row>
    <x:row r="11755" spans="1:16">
      <x:c r="A11755" s="0" t="s">
        <x:v>45875</x:v>
      </x:c>
      <x:c r="B11755" s="0" t="s">
        <x:v>45876</x:v>
      </x:c>
      <x:c r="C11755" s="0" t="s">
        <x:v>42840</x:v>
      </x:c>
      <x:c r="E11755" s="0" t="s">
        <x:v>45877</x:v>
      </x:c>
      <x:c r="F11755" s="0" t="s">
        <x:v>45</x:v>
      </x:c>
      <x:c r="G11755" s="0" t="s">
        <x:v>22</x:v>
      </x:c>
      <x:c r="H11755" s="0" t="s">
        <x:v>20</x:v>
      </x:c>
      <x:c r="I11755" s="0" t="s">
        <x:v>21</x:v>
      </x:c>
      <x:c r="K11755" s="0">
        <x:f>hyperlink("https://icd.who.int/dev11/l-ichi/en#/http%3A%2F%2Fid.who.int%2Ficd%2Fentity%2F734139817","browser")</x:f>
      </x:c>
      <x:c r="L11755" s="0">
        <x:f>hyperlink("https://icat2.azurewebsites.net/icat/?ontology=ICD&amp;tab=ClassesTab&amp;id=http%3A%2F%2Fwho.int%2Ficd%23SpecificAnatomicLocation_2328","iCat")</x:f>
      </x:c>
      <x:c r="M11755" s="0" t="s">
        <x:v>21</x:v>
      </x:c>
      <x:c r="N11755" s="0" t="s">
        <x:v>46</x:v>
      </x:c>
    </x:row>
    <x:row r="11756" spans="1:16">
      <x:c r="A11756" s="0" t="s">
        <x:v>45878</x:v>
      </x:c>
      <x:c r="B11756" s="0" t="s">
        <x:v>45879</x:v>
      </x:c>
      <x:c r="C11756" s="0" t="s">
        <x:v>42840</x:v>
      </x:c>
      <x:c r="E11756" s="0" t="s">
        <x:v>45880</x:v>
      </x:c>
      <x:c r="F11756" s="0" t="s">
        <x:v>45</x:v>
      </x:c>
      <x:c r="G11756" s="0" t="s">
        <x:v>22</x:v>
      </x:c>
      <x:c r="H11756" s="0" t="s">
        <x:v>20</x:v>
      </x:c>
      <x:c r="I11756" s="0" t="s">
        <x:v>21</x:v>
      </x:c>
      <x:c r="K11756" s="0">
        <x:f>hyperlink("https://icd.who.int/dev11/l-ichi/en#/http%3A%2F%2Fid.who.int%2Ficd%2Fentity%2F7405400","browser")</x:f>
      </x:c>
      <x:c r="L11756" s="0">
        <x:f>hyperlink("https://icat2.azurewebsites.net/icat/?ontology=ICD&amp;tab=ClassesTab&amp;id=http%3A%2F%2Fwho.int%2Ficd%23SpecificAnatomicLocation_2290","iCat")</x:f>
      </x:c>
      <x:c r="M11756" s="0" t="s">
        <x:v>21</x:v>
      </x:c>
      <x:c r="N11756" s="0" t="s">
        <x:v>46</x:v>
      </x:c>
    </x:row>
    <x:row r="11757" spans="1:16">
      <x:c r="A11757" s="0" t="s">
        <x:v>45881</x:v>
      </x:c>
      <x:c r="B11757" s="0" t="s">
        <x:v>45882</x:v>
      </x:c>
      <x:c r="C11757" s="0" t="s">
        <x:v>42840</x:v>
      </x:c>
      <x:c r="E11757" s="0" t="s">
        <x:v>45883</x:v>
      </x:c>
      <x:c r="F11757" s="0" t="s">
        <x:v>45</x:v>
      </x:c>
      <x:c r="G11757" s="0" t="s">
        <x:v>22</x:v>
      </x:c>
      <x:c r="H11757" s="0" t="s">
        <x:v>20</x:v>
      </x:c>
      <x:c r="I11757" s="0" t="s">
        <x:v>21</x:v>
      </x:c>
      <x:c r="K11757" s="0">
        <x:f>hyperlink("https://icd.who.int/dev11/l-ichi/en#/http%3A%2F%2Fid.who.int%2Ficd%2Fentity%2F3344486","browser")</x:f>
      </x:c>
      <x:c r="L11757" s="0">
        <x:f>hyperlink("https://icat2.azurewebsites.net/icat/?ontology=ICD&amp;tab=ClassesTab&amp;id=http%3A%2F%2Fwho.int%2Ficd%23SpecificAnatomicLocation_2305","iCat")</x:f>
      </x:c>
      <x:c r="M11757" s="0" t="s">
        <x:v>21</x:v>
      </x:c>
      <x:c r="N11757" s="0" t="s">
        <x:v>46</x:v>
      </x:c>
    </x:row>
    <x:row r="11758" spans="1:16">
      <x:c r="A11758" s="0" t="s">
        <x:v>45884</x:v>
      </x:c>
      <x:c r="B11758" s="0" t="s">
        <x:v>45885</x:v>
      </x:c>
      <x:c r="C11758" s="0" t="s">
        <x:v>42840</x:v>
      </x:c>
      <x:c r="E11758" s="0" t="s">
        <x:v>45886</x:v>
      </x:c>
      <x:c r="F11758" s="0" t="s">
        <x:v>45</x:v>
      </x:c>
      <x:c r="G11758" s="0" t="s">
        <x:v>22</x:v>
      </x:c>
      <x:c r="H11758" s="0" t="s">
        <x:v>20</x:v>
      </x:c>
      <x:c r="I11758" s="0" t="s">
        <x:v>21</x:v>
      </x:c>
      <x:c r="K11758" s="0">
        <x:f>hyperlink("https://icd.who.int/dev11/l-ichi/en#/http%3A%2F%2Fid.who.int%2Ficd%2Fentity%2F529503959","browser")</x:f>
      </x:c>
      <x:c r="L11758" s="0">
        <x:f>hyperlink("https://icat2.azurewebsites.net/icat/?ontology=ICD&amp;tab=ClassesTab&amp;id=http%3A%2F%2Fwho.int%2Ficd%23SpecificAnatomicLocation_2326","iCat")</x:f>
      </x:c>
      <x:c r="M11758" s="0" t="s">
        <x:v>21</x:v>
      </x:c>
      <x:c r="N11758" s="0" t="s">
        <x:v>46</x:v>
      </x:c>
    </x:row>
    <x:row r="11759" spans="1:16">
      <x:c r="A11759" s="0" t="s">
        <x:v>45887</x:v>
      </x:c>
      <x:c r="B11759" s="0" t="s">
        <x:v>45888</x:v>
      </x:c>
      <x:c r="C11759" s="0" t="s">
        <x:v>42840</x:v>
      </x:c>
      <x:c r="E11759" s="0" t="s">
        <x:v>45889</x:v>
      </x:c>
      <x:c r="F11759" s="0" t="s">
        <x:v>45</x:v>
      </x:c>
      <x:c r="G11759" s="0" t="s">
        <x:v>22</x:v>
      </x:c>
      <x:c r="H11759" s="0" t="s">
        <x:v>20</x:v>
      </x:c>
      <x:c r="I11759" s="0" t="s">
        <x:v>21</x:v>
      </x:c>
      <x:c r="K11759" s="0">
        <x:f>hyperlink("https://icd.who.int/dev11/l-ichi/en#/http%3A%2F%2Fid.who.int%2Ficd%2Fentity%2F834011945","browser")</x:f>
      </x:c>
      <x:c r="L11759" s="0">
        <x:f>hyperlink("https://icat2.azurewebsites.net/icat/?ontology=ICD&amp;tab=ClassesTab&amp;id=http%3A%2F%2Fwho.int%2Ficd%23SpecificAnatomicLocation_2078","iCat")</x:f>
      </x:c>
      <x:c r="M11759" s="0" t="s">
        <x:v>21</x:v>
      </x:c>
      <x:c r="N11759" s="0" t="s">
        <x:v>46</x:v>
      </x:c>
    </x:row>
    <x:row r="11760" spans="1:16">
      <x:c r="A11760" s="0" t="s">
        <x:v>45890</x:v>
      </x:c>
      <x:c r="B11760" s="0" t="s">
        <x:v>45891</x:v>
      </x:c>
      <x:c r="C11760" s="0" t="s">
        <x:v>42840</x:v>
      </x:c>
      <x:c r="E11760" s="0" t="s">
        <x:v>45892</x:v>
      </x:c>
      <x:c r="F11760" s="0" t="s">
        <x:v>45</x:v>
      </x:c>
      <x:c r="G11760" s="0" t="s">
        <x:v>22</x:v>
      </x:c>
      <x:c r="H11760" s="0" t="s">
        <x:v>20</x:v>
      </x:c>
      <x:c r="I11760" s="0" t="s">
        <x:v>21</x:v>
      </x:c>
      <x:c r="K11760" s="0">
        <x:f>hyperlink("https://icd.who.int/dev11/l-ichi/en#/http%3A%2F%2Fid.who.int%2Ficd%2Fentity%2F218506842","browser")</x:f>
      </x:c>
      <x:c r="L11760" s="0">
        <x:f>hyperlink("https://icat2.azurewebsites.net/icat/?ontology=ICD&amp;tab=ClassesTab&amp;id=http%3A%2F%2Fwho.int%2Ficd%23SpecificAnatomicLocation_2308","iCat")</x:f>
      </x:c>
      <x:c r="M11760" s="0" t="s">
        <x:v>21</x:v>
      </x:c>
      <x:c r="N11760" s="0" t="s">
        <x:v>46</x:v>
      </x:c>
    </x:row>
    <x:row r="11761" spans="1:16">
      <x:c r="A11761" s="0" t="s">
        <x:v>45893</x:v>
      </x:c>
      <x:c r="B11761" s="0" t="s">
        <x:v>45894</x:v>
      </x:c>
      <x:c r="C11761" s="0" t="s">
        <x:v>42840</x:v>
      </x:c>
      <x:c r="E11761" s="0" t="s">
        <x:v>45895</x:v>
      </x:c>
      <x:c r="F11761" s="0" t="s">
        <x:v>45</x:v>
      </x:c>
      <x:c r="G11761" s="0" t="s">
        <x:v>22</x:v>
      </x:c>
      <x:c r="H11761" s="0" t="s">
        <x:v>20</x:v>
      </x:c>
      <x:c r="I11761" s="0" t="s">
        <x:v>21</x:v>
      </x:c>
      <x:c r="K11761" s="0">
        <x:f>hyperlink("https://icd.who.int/dev11/l-ichi/en#/http%3A%2F%2Fid.who.int%2Ficd%2Fentity%2F456174847","browser")</x:f>
      </x:c>
      <x:c r="L11761" s="0">
        <x:f>hyperlink("https://icat2.azurewebsites.net/icat/?ontology=ICD&amp;tab=ClassesTab&amp;id=http%3A%2F%2Fwho.int%2Ficd%23SpecificAnatomicLocation_2312","iCat")</x:f>
      </x:c>
      <x:c r="M11761" s="0" t="s">
        <x:v>21</x:v>
      </x:c>
      <x:c r="N11761" s="0" t="s">
        <x:v>46</x:v>
      </x:c>
    </x:row>
    <x:row r="11762" spans="1:16">
      <x:c r="A11762" s="0" t="s">
        <x:v>45896</x:v>
      </x:c>
      <x:c r="B11762" s="0" t="s">
        <x:v>45897</x:v>
      </x:c>
      <x:c r="C11762" s="0" t="s">
        <x:v>42840</x:v>
      </x:c>
      <x:c r="E11762" s="0" t="s">
        <x:v>45898</x:v>
      </x:c>
      <x:c r="F11762" s="0" t="s">
        <x:v>45</x:v>
      </x:c>
      <x:c r="G11762" s="0" t="s">
        <x:v>22</x:v>
      </x:c>
      <x:c r="H11762" s="0" t="s">
        <x:v>20</x:v>
      </x:c>
      <x:c r="I11762" s="0" t="s">
        <x:v>21</x:v>
      </x:c>
      <x:c r="K11762" s="0">
        <x:f>hyperlink("https://icd.who.int/dev11/l-ichi/en#/http%3A%2F%2Fid.who.int%2Ficd%2Fentity%2F2129236671","browser")</x:f>
      </x:c>
      <x:c r="L11762" s="0">
        <x:f>hyperlink("https://icat2.azurewebsites.net/icat/?ontology=ICD&amp;tab=ClassesTab&amp;id=http%3A%2F%2Fwho.int%2Ficd%23SpecificAnatomicLocation_2315","iCat")</x:f>
      </x:c>
      <x:c r="M11762" s="0" t="s">
        <x:v>21</x:v>
      </x:c>
      <x:c r="N11762" s="0" t="s">
        <x:v>46</x:v>
      </x:c>
    </x:row>
    <x:row r="11763" spans="1:16">
      <x:c r="A11763" s="0" t="s">
        <x:v>45899</x:v>
      </x:c>
      <x:c r="B11763" s="0" t="s">
        <x:v>45900</x:v>
      </x:c>
      <x:c r="C11763" s="0" t="s">
        <x:v>42840</x:v>
      </x:c>
      <x:c r="E11763" s="0" t="s">
        <x:v>45901</x:v>
      </x:c>
      <x:c r="F11763" s="0" t="s">
        <x:v>45</x:v>
      </x:c>
      <x:c r="G11763" s="0" t="s">
        <x:v>22</x:v>
      </x:c>
      <x:c r="H11763" s="0" t="s">
        <x:v>20</x:v>
      </x:c>
      <x:c r="I11763" s="0" t="s">
        <x:v>21</x:v>
      </x:c>
      <x:c r="K11763" s="0">
        <x:f>hyperlink("https://icd.who.int/dev11/l-ichi/en#/http%3A%2F%2Fid.who.int%2Ficd%2Fentity%2F1557228632","browser")</x:f>
      </x:c>
      <x:c r="L11763" s="0">
        <x:f>hyperlink("https://icat2.azurewebsites.net/icat/?ontology=ICD&amp;tab=ClassesTab&amp;id=http%3A%2F%2Fwho.int%2Ficd%23SpecificAnatomicLocation_2294","iCat")</x:f>
      </x:c>
      <x:c r="M11763" s="0" t="s">
        <x:v>21</x:v>
      </x:c>
      <x:c r="N11763" s="0" t="s">
        <x:v>46</x:v>
      </x:c>
    </x:row>
    <x:row r="11764" spans="1:16">
      <x:c r="A11764" s="0" t="s">
        <x:v>45902</x:v>
      </x:c>
      <x:c r="B11764" s="0" t="s">
        <x:v>45903</x:v>
      </x:c>
      <x:c r="C11764" s="0" t="s">
        <x:v>42840</x:v>
      </x:c>
      <x:c r="E11764" s="0" t="s">
        <x:v>45904</x:v>
      </x:c>
      <x:c r="F11764" s="0" t="s">
        <x:v>45</x:v>
      </x:c>
      <x:c r="G11764" s="0" t="s">
        <x:v>22</x:v>
      </x:c>
      <x:c r="H11764" s="0" t="s">
        <x:v>20</x:v>
      </x:c>
      <x:c r="I11764" s="0" t="s">
        <x:v>21</x:v>
      </x:c>
      <x:c r="K11764" s="0">
        <x:f>hyperlink("https://icd.who.int/dev11/l-ichi/en#/http%3A%2F%2Fid.who.int%2Ficd%2Fentity%2F202950719","browser")</x:f>
      </x:c>
      <x:c r="L11764" s="0">
        <x:f>hyperlink("https://icat2.azurewebsites.net/icat/?ontology=ICD&amp;tab=ClassesTab&amp;id=http%3A%2F%2Fwho.int%2Ficd%23SpecificAnatomicLocation_2313","iCat")</x:f>
      </x:c>
      <x:c r="M11764" s="0" t="s">
        <x:v>21</x:v>
      </x:c>
      <x:c r="N11764" s="0" t="s">
        <x:v>46</x:v>
      </x:c>
    </x:row>
    <x:row r="11765" spans="1:16">
      <x:c r="A11765" s="0" t="s">
        <x:v>45905</x:v>
      </x:c>
      <x:c r="B11765" s="0" t="s">
        <x:v>45906</x:v>
      </x:c>
      <x:c r="C11765" s="0" t="s">
        <x:v>42840</x:v>
      </x:c>
      <x:c r="E11765" s="0" t="s">
        <x:v>45907</x:v>
      </x:c>
      <x:c r="F11765" s="0" t="s">
        <x:v>45</x:v>
      </x:c>
      <x:c r="G11765" s="0" t="s">
        <x:v>22</x:v>
      </x:c>
      <x:c r="H11765" s="0" t="s">
        <x:v>20</x:v>
      </x:c>
      <x:c r="I11765" s="0" t="s">
        <x:v>21</x:v>
      </x:c>
      <x:c r="K11765" s="0">
        <x:f>hyperlink("https://icd.who.int/dev11/l-ichi/en#/http%3A%2F%2Fid.who.int%2Ficd%2Fentity%2F439239322","browser")</x:f>
      </x:c>
      <x:c r="L11765" s="0">
        <x:f>hyperlink("https://icat2.azurewebsites.net/icat/?ontology=ICD&amp;tab=ClassesTab&amp;id=http%3A%2F%2Fwho.int%2Ficd%23SpecificAnatomicLocation_2309","iCat")</x:f>
      </x:c>
      <x:c r="M11765" s="0" t="s">
        <x:v>21</x:v>
      </x:c>
      <x:c r="N11765" s="0" t="s">
        <x:v>46</x:v>
      </x:c>
    </x:row>
    <x:row r="11766" spans="1:16">
      <x:c r="A11766" s="0" t="s">
        <x:v>45908</x:v>
      </x:c>
      <x:c r="B11766" s="0" t="s">
        <x:v>45909</x:v>
      </x:c>
      <x:c r="C11766" s="0" t="s">
        <x:v>42840</x:v>
      </x:c>
      <x:c r="E11766" s="0" t="s">
        <x:v>45910</x:v>
      </x:c>
      <x:c r="F11766" s="0" t="s">
        <x:v>45</x:v>
      </x:c>
      <x:c r="G11766" s="0" t="s">
        <x:v>22</x:v>
      </x:c>
      <x:c r="H11766" s="0" t="s">
        <x:v>20</x:v>
      </x:c>
      <x:c r="I11766" s="0" t="s">
        <x:v>21</x:v>
      </x:c>
      <x:c r="K11766" s="0">
        <x:f>hyperlink("https://icd.who.int/dev11/l-ichi/en#/http%3A%2F%2Fid.who.int%2Ficd%2Fentity%2F1187784360","browser")</x:f>
      </x:c>
      <x:c r="L11766" s="0">
        <x:f>hyperlink("https://icat2.azurewebsites.net/icat/?ontology=ICD&amp;tab=ClassesTab&amp;id=http%3A%2F%2Fwho.int%2Ficd%23SpecificAnatomicLocation_2298","iCat")</x:f>
      </x:c>
      <x:c r="M11766" s="0" t="s">
        <x:v>21</x:v>
      </x:c>
      <x:c r="N11766" s="0" t="s">
        <x:v>46</x:v>
      </x:c>
    </x:row>
    <x:row r="11767" spans="1:16">
      <x:c r="A11767" s="0" t="s">
        <x:v>45911</x:v>
      </x:c>
      <x:c r="B11767" s="0" t="s">
        <x:v>45912</x:v>
      </x:c>
      <x:c r="C11767" s="0" t="s">
        <x:v>42840</x:v>
      </x:c>
      <x:c r="E11767" s="0" t="s">
        <x:v>45913</x:v>
      </x:c>
      <x:c r="F11767" s="0" t="s">
        <x:v>45</x:v>
      </x:c>
      <x:c r="G11767" s="0" t="s">
        <x:v>22</x:v>
      </x:c>
      <x:c r="H11767" s="0" t="s">
        <x:v>20</x:v>
      </x:c>
      <x:c r="I11767" s="0" t="s">
        <x:v>21</x:v>
      </x:c>
      <x:c r="K11767" s="0">
        <x:f>hyperlink("https://icd.who.int/dev11/l-ichi/en#/http%3A%2F%2Fid.who.int%2Ficd%2Fentity%2F1270546342","browser")</x:f>
      </x:c>
      <x:c r="L11767" s="0">
        <x:f>hyperlink("https://icat2.azurewebsites.net/icat/?ontology=ICD&amp;tab=ClassesTab&amp;id=http%3A%2F%2Fwho.int%2Ficd%23SpecificAnatomicLocation_2300","iCat")</x:f>
      </x:c>
      <x:c r="M11767" s="0" t="s">
        <x:v>21</x:v>
      </x:c>
      <x:c r="N11767" s="0" t="s">
        <x:v>46</x:v>
      </x:c>
    </x:row>
    <x:row r="11768" spans="1:16">
      <x:c r="A11768" s="0" t="s">
        <x:v>45914</x:v>
      </x:c>
      <x:c r="B11768" s="0" t="s">
        <x:v>45915</x:v>
      </x:c>
      <x:c r="C11768" s="0" t="s">
        <x:v>42840</x:v>
      </x:c>
      <x:c r="E11768" s="0" t="s">
        <x:v>45916</x:v>
      </x:c>
      <x:c r="F11768" s="0" t="s">
        <x:v>45</x:v>
      </x:c>
      <x:c r="G11768" s="0" t="s">
        <x:v>22</x:v>
      </x:c>
      <x:c r="H11768" s="0" t="s">
        <x:v>20</x:v>
      </x:c>
      <x:c r="I11768" s="0" t="s">
        <x:v>21</x:v>
      </x:c>
      <x:c r="K11768" s="0">
        <x:f>hyperlink("https://icd.who.int/dev11/l-ichi/en#/http%3A%2F%2Fid.who.int%2Ficd%2Fentity%2F76296782","browser")</x:f>
      </x:c>
      <x:c r="L11768" s="0">
        <x:f>hyperlink("https://icat2.azurewebsites.net/icat/?ontology=ICD&amp;tab=ClassesTab&amp;id=http%3A%2F%2Fwho.int%2Ficd%23SpecificAnatomicLocation_2331","iCat")</x:f>
      </x:c>
      <x:c r="M11768" s="0" t="s">
        <x:v>21</x:v>
      </x:c>
      <x:c r="N11768" s="0" t="s">
        <x:v>46</x:v>
      </x:c>
    </x:row>
    <x:row r="11769" spans="1:16">
      <x:c r="A11769" s="0" t="s">
        <x:v>45917</x:v>
      </x:c>
      <x:c r="B11769" s="0" t="s">
        <x:v>45918</x:v>
      </x:c>
      <x:c r="C11769" s="0" t="s">
        <x:v>42840</x:v>
      </x:c>
      <x:c r="E11769" s="0" t="s">
        <x:v>45919</x:v>
      </x:c>
      <x:c r="F11769" s="0" t="s">
        <x:v>45</x:v>
      </x:c>
      <x:c r="G11769" s="0" t="s">
        <x:v>22</x:v>
      </x:c>
      <x:c r="H11769" s="0" t="s">
        <x:v>20</x:v>
      </x:c>
      <x:c r="I11769" s="0" t="s">
        <x:v>21</x:v>
      </x:c>
      <x:c r="K11769" s="0">
        <x:f>hyperlink("https://icd.who.int/dev11/l-ichi/en#/http%3A%2F%2Fid.who.int%2Ficd%2Fentity%2F1709848102","browser")</x:f>
      </x:c>
      <x:c r="L11769" s="0">
        <x:f>hyperlink("https://icat2.azurewebsites.net/icat/?ontology=ICD&amp;tab=ClassesTab&amp;id=http%3A%2F%2Fwho.int%2Ficd%23SpecificAnatomicLocation_2302","iCat")</x:f>
      </x:c>
      <x:c r="M11769" s="0" t="s">
        <x:v>21</x:v>
      </x:c>
      <x:c r="N11769" s="0" t="s">
        <x:v>46</x:v>
      </x:c>
    </x:row>
    <x:row r="11770" spans="1:16">
      <x:c r="A11770" s="0" t="s">
        <x:v>45920</x:v>
      </x:c>
      <x:c r="B11770" s="0" t="s">
        <x:v>45921</x:v>
      </x:c>
      <x:c r="C11770" s="0" t="s">
        <x:v>42840</x:v>
      </x:c>
      <x:c r="E11770" s="0" t="s">
        <x:v>45922</x:v>
      </x:c>
      <x:c r="F11770" s="0" t="s">
        <x:v>45</x:v>
      </x:c>
      <x:c r="G11770" s="0" t="s">
        <x:v>22</x:v>
      </x:c>
      <x:c r="H11770" s="0" t="s">
        <x:v>20</x:v>
      </x:c>
      <x:c r="I11770" s="0" t="s">
        <x:v>21</x:v>
      </x:c>
      <x:c r="K11770" s="0">
        <x:f>hyperlink("https://icd.who.int/dev11/l-ichi/en#/http%3A%2F%2Fid.who.int%2Ficd%2Fentity%2F1553111910","browser")</x:f>
      </x:c>
      <x:c r="L11770" s="0">
        <x:f>hyperlink("https://icat2.azurewebsites.net/icat/?ontology=ICD&amp;tab=ClassesTab&amp;id=http%3A%2F%2Fwho.int%2Ficd%23SpecificAnatomicLocation_2301","iCat")</x:f>
      </x:c>
      <x:c r="M11770" s="0" t="s">
        <x:v>21</x:v>
      </x:c>
      <x:c r="N11770" s="0" t="s">
        <x:v>46</x:v>
      </x:c>
    </x:row>
    <x:row r="11771" spans="1:16">
      <x:c r="A11771" s="0" t="s">
        <x:v>45923</x:v>
      </x:c>
      <x:c r="B11771" s="0" t="s">
        <x:v>45924</x:v>
      </x:c>
      <x:c r="C11771" s="0" t="s">
        <x:v>42840</x:v>
      </x:c>
      <x:c r="E11771" s="0" t="s">
        <x:v>45925</x:v>
      </x:c>
      <x:c r="F11771" s="0" t="s">
        <x:v>45</x:v>
      </x:c>
      <x:c r="G11771" s="0" t="s">
        <x:v>22</x:v>
      </x:c>
      <x:c r="H11771" s="0" t="s">
        <x:v>20</x:v>
      </x:c>
      <x:c r="I11771" s="0" t="s">
        <x:v>21</x:v>
      </x:c>
      <x:c r="K11771" s="0">
        <x:f>hyperlink("https://icd.who.int/dev11/l-ichi/en#/http%3A%2F%2Fid.who.int%2Ficd%2Fentity%2F1921099224","browser")</x:f>
      </x:c>
      <x:c r="L11771" s="0">
        <x:f>hyperlink("https://icat2.azurewebsites.net/icat/?ontology=ICD&amp;tab=ClassesTab&amp;id=http%3A%2F%2Fwho.int%2Ficd%23SpecificAnatomicLocation_2296","iCat")</x:f>
      </x:c>
      <x:c r="M11771" s="0" t="s">
        <x:v>21</x:v>
      </x:c>
      <x:c r="N11771" s="0" t="s">
        <x:v>46</x:v>
      </x:c>
    </x:row>
    <x:row r="11772" spans="1:16">
      <x:c r="A11772" s="0" t="s">
        <x:v>45926</x:v>
      </x:c>
      <x:c r="B11772" s="0" t="s">
        <x:v>45927</x:v>
      </x:c>
      <x:c r="C11772" s="0" t="s">
        <x:v>42840</x:v>
      </x:c>
      <x:c r="E11772" s="0" t="s">
        <x:v>45928</x:v>
      </x:c>
      <x:c r="F11772" s="0" t="s">
        <x:v>45</x:v>
      </x:c>
      <x:c r="G11772" s="0" t="s">
        <x:v>22</x:v>
      </x:c>
      <x:c r="H11772" s="0" t="s">
        <x:v>20</x:v>
      </x:c>
      <x:c r="I11772" s="0" t="s">
        <x:v>21</x:v>
      </x:c>
      <x:c r="K11772" s="0">
        <x:f>hyperlink("https://icd.who.int/dev11/l-ichi/en#/http%3A%2F%2Fid.who.int%2Ficd%2Fentity%2F450503390","browser")</x:f>
      </x:c>
      <x:c r="L11772" s="0">
        <x:f>hyperlink("https://icat2.azurewebsites.net/icat/?ontology=ICD&amp;tab=ClassesTab&amp;id=http%3A%2F%2Fwho.int%2Ficd%23SpecificAnatomicLocation_2358","iCat")</x:f>
      </x:c>
      <x:c r="M11772" s="0" t="s">
        <x:v>21</x:v>
      </x:c>
      <x:c r="N11772" s="0" t="s">
        <x:v>46</x:v>
      </x:c>
    </x:row>
    <x:row r="11773" spans="1:16">
      <x:c r="A11773" s="0" t="s">
        <x:v>45929</x:v>
      </x:c>
      <x:c r="B11773" s="0" t="s">
        <x:v>45930</x:v>
      </x:c>
      <x:c r="C11773" s="0" t="s">
        <x:v>42840</x:v>
      </x:c>
      <x:c r="E11773" s="0" t="s">
        <x:v>45931</x:v>
      </x:c>
      <x:c r="F11773" s="0" t="s">
        <x:v>45</x:v>
      </x:c>
      <x:c r="G11773" s="0" t="s">
        <x:v>22</x:v>
      </x:c>
      <x:c r="H11773" s="0" t="s">
        <x:v>20</x:v>
      </x:c>
      <x:c r="I11773" s="0" t="s">
        <x:v>21</x:v>
      </x:c>
      <x:c r="K11773" s="0">
        <x:f>hyperlink("https://icd.who.int/dev11/l-ichi/en#/http%3A%2F%2Fid.who.int%2Ficd%2Fentity%2F961258790","browser")</x:f>
      </x:c>
      <x:c r="L11773" s="0">
        <x:f>hyperlink("https://icat2.azurewebsites.net/icat/?ontology=ICD&amp;tab=ClassesTab&amp;id=http%3A%2F%2Fwho.int%2Ficd%23SpecificAnatomicLocation_2306","iCat")</x:f>
      </x:c>
      <x:c r="M11773" s="0" t="s">
        <x:v>21</x:v>
      </x:c>
      <x:c r="N11773" s="0" t="s">
        <x:v>46</x:v>
      </x:c>
    </x:row>
    <x:row r="11774" spans="1:16">
      <x:c r="A11774" s="0" t="s">
        <x:v>45932</x:v>
      </x:c>
      <x:c r="B11774" s="0" t="s">
        <x:v>45933</x:v>
      </x:c>
      <x:c r="C11774" s="0" t="s">
        <x:v>42840</x:v>
      </x:c>
      <x:c r="E11774" s="0" t="s">
        <x:v>45934</x:v>
      </x:c>
      <x:c r="F11774" s="0" t="s">
        <x:v>45</x:v>
      </x:c>
      <x:c r="G11774" s="0" t="s">
        <x:v>35</x:v>
      </x:c>
      <x:c r="H11774" s="0" t="s">
        <x:v>20</x:v>
      </x:c>
      <x:c r="I11774" s="0" t="s">
        <x:v>21</x:v>
      </x:c>
      <x:c r="K11774" s="0">
        <x:f>hyperlink("https://icd.who.int/dev11/l-ichi/en#/http%3A%2F%2Fid.who.int%2Ficd%2Fentity%2F1421585111","browser")</x:f>
      </x:c>
      <x:c r="L11774" s="0">
        <x:f>hyperlink("https://icat2.azurewebsites.net/icat/?ontology=ICD&amp;tab=ClassesTab&amp;id=http%3A%2F%2Fwho.int%2Ficd%238223_1a025aad_bab4_45d3_85b5_2f8609f7d6c2","iCat")</x:f>
      </x:c>
      <x:c r="M11774" s="0" t="s">
        <x:v>20</x:v>
      </x:c>
      <x:c r="N11774" s="0" t="s">
        <x:v>16295</x:v>
      </x:c>
    </x:row>
    <x:row r="11775" spans="1:16">
      <x:c r="A11775" s="0" t="s">
        <x:v>45935</x:v>
      </x:c>
      <x:c r="B11775" s="0" t="s">
        <x:v>45936</x:v>
      </x:c>
      <x:c r="C11775" s="0" t="s">
        <x:v>42840</x:v>
      </x:c>
      <x:c r="E11775" s="0" t="s">
        <x:v>45937</x:v>
      </x:c>
      <x:c r="F11775" s="0" t="s">
        <x:v>45</x:v>
      </x:c>
      <x:c r="G11775" s="0" t="s">
        <x:v>22</x:v>
      </x:c>
      <x:c r="H11775" s="0" t="s">
        <x:v>20</x:v>
      </x:c>
      <x:c r="I11775" s="0" t="s">
        <x:v>21</x:v>
      </x:c>
      <x:c r="K11775" s="0">
        <x:f>hyperlink("https://icd.who.int/dev11/l-ichi/en#/http%3A%2F%2Fid.who.int%2Ficd%2Fentity%2F1677768711","browser")</x:f>
      </x:c>
      <x:c r="L11775" s="0">
        <x:f>hyperlink("https://icat2.azurewebsites.net/icat/?ontology=ICD&amp;tab=ClassesTab&amp;id=http%3A%2F%2Fwho.int%2Ficd%23SpecificAnatomicLocation_2348","iCat")</x:f>
      </x:c>
      <x:c r="M11775" s="0" t="s">
        <x:v>21</x:v>
      </x:c>
      <x:c r="N11775" s="0" t="s">
        <x:v>46</x:v>
      </x:c>
    </x:row>
    <x:row r="11776" spans="1:16">
      <x:c r="A11776" s="0" t="s">
        <x:v>45938</x:v>
      </x:c>
      <x:c r="B11776" s="0" t="s">
        <x:v>45939</x:v>
      </x:c>
      <x:c r="C11776" s="0" t="s">
        <x:v>42840</x:v>
      </x:c>
      <x:c r="E11776" s="0" t="s">
        <x:v>45940</x:v>
      </x:c>
      <x:c r="F11776" s="0" t="s">
        <x:v>45</x:v>
      </x:c>
      <x:c r="G11776" s="0" t="s">
        <x:v>22</x:v>
      </x:c>
      <x:c r="H11776" s="0" t="s">
        <x:v>20</x:v>
      </x:c>
      <x:c r="I11776" s="0" t="s">
        <x:v>21</x:v>
      </x:c>
      <x:c r="K11776" s="0">
        <x:f>hyperlink("https://icd.who.int/dev11/l-ichi/en#/http%3A%2F%2Fid.who.int%2Ficd%2Fentity%2F1932057799","browser")</x:f>
      </x:c>
      <x:c r="L11776" s="0">
        <x:f>hyperlink("https://icat2.azurewebsites.net/icat/?ontology=ICD&amp;tab=ClassesTab&amp;id=http%3A%2F%2Fwho.int%2Ficd%23SpecificAnatomicLocation_2349","iCat")</x:f>
      </x:c>
      <x:c r="M11776" s="0" t="s">
        <x:v>21</x:v>
      </x:c>
      <x:c r="N11776" s="0" t="s">
        <x:v>46</x:v>
      </x:c>
    </x:row>
    <x:row r="11777" spans="1:16">
      <x:c r="A11777" s="0" t="s">
        <x:v>45941</x:v>
      </x:c>
      <x:c r="B11777" s="0" t="s">
        <x:v>45942</x:v>
      </x:c>
      <x:c r="C11777" s="0" t="s">
        <x:v>42840</x:v>
      </x:c>
      <x:c r="E11777" s="0" t="s">
        <x:v>45943</x:v>
      </x:c>
      <x:c r="F11777" s="0" t="s">
        <x:v>45</x:v>
      </x:c>
      <x:c r="G11777" s="0" t="s">
        <x:v>22</x:v>
      </x:c>
      <x:c r="H11777" s="0" t="s">
        <x:v>20</x:v>
      </x:c>
      <x:c r="I11777" s="0" t="s">
        <x:v>21</x:v>
      </x:c>
      <x:c r="K11777" s="0">
        <x:f>hyperlink("https://icd.who.int/dev11/l-ichi/en#/http%3A%2F%2Fid.who.int%2Ficd%2Fentity%2F1696487010","browser")</x:f>
      </x:c>
      <x:c r="L11777" s="0">
        <x:f>hyperlink("https://icat2.azurewebsites.net/icat/?ontology=ICD&amp;tab=ClassesTab&amp;id=http%3A%2F%2Fwho.int%2Ficd%23SpecificAnatomicLocation_2353","iCat")</x:f>
      </x:c>
      <x:c r="M11777" s="0" t="s">
        <x:v>21</x:v>
      </x:c>
      <x:c r="N11777" s="0" t="s">
        <x:v>46</x:v>
      </x:c>
    </x:row>
    <x:row r="11778" spans="1:16">
      <x:c r="A11778" s="0" t="s">
        <x:v>45944</x:v>
      </x:c>
      <x:c r="B11778" s="0" t="s">
        <x:v>45945</x:v>
      </x:c>
      <x:c r="C11778" s="0" t="s">
        <x:v>42840</x:v>
      </x:c>
      <x:c r="E11778" s="0" t="s">
        <x:v>45946</x:v>
      </x:c>
      <x:c r="F11778" s="0" t="s">
        <x:v>45</x:v>
      </x:c>
      <x:c r="G11778" s="0" t="s">
        <x:v>22</x:v>
      </x:c>
      <x:c r="H11778" s="0" t="s">
        <x:v>20</x:v>
      </x:c>
      <x:c r="I11778" s="0" t="s">
        <x:v>21</x:v>
      </x:c>
      <x:c r="K11778" s="0">
        <x:f>hyperlink("https://icd.who.int/dev11/l-ichi/en#/http%3A%2F%2Fid.who.int%2Ficd%2Fentity%2F1916154530","browser")</x:f>
      </x:c>
      <x:c r="L11778" s="0">
        <x:f>hyperlink("https://icat2.azurewebsites.net/icat/?ontology=ICD&amp;tab=ClassesTab&amp;id=http%3A%2F%2Fwho.int%2Ficd%23SpecificAnatomicLocation_2352","iCat")</x:f>
      </x:c>
      <x:c r="M11778" s="0" t="s">
        <x:v>21</x:v>
      </x:c>
      <x:c r="N11778" s="0" t="s">
        <x:v>46</x:v>
      </x:c>
    </x:row>
    <x:row r="11779" spans="1:16">
      <x:c r="A11779" s="0" t="s">
        <x:v>45947</x:v>
      </x:c>
      <x:c r="B11779" s="0" t="s">
        <x:v>45948</x:v>
      </x:c>
      <x:c r="C11779" s="0" t="s">
        <x:v>42840</x:v>
      </x:c>
      <x:c r="E11779" s="0" t="s">
        <x:v>45949</x:v>
      </x:c>
      <x:c r="F11779" s="0" t="s">
        <x:v>45</x:v>
      </x:c>
      <x:c r="G11779" s="0" t="s">
        <x:v>22</x:v>
      </x:c>
      <x:c r="H11779" s="0" t="s">
        <x:v>20</x:v>
      </x:c>
      <x:c r="I11779" s="0" t="s">
        <x:v>21</x:v>
      </x:c>
      <x:c r="K11779" s="0">
        <x:f>hyperlink("https://icd.who.int/dev11/l-ichi/en#/http%3A%2F%2Fid.who.int%2Ficd%2Fentity%2F1120177142","browser")</x:f>
      </x:c>
      <x:c r="L11779" s="0">
        <x:f>hyperlink("https://icat2.azurewebsites.net/icat/?ontology=ICD&amp;tab=ClassesTab&amp;id=http%3A%2F%2Fwho.int%2Ficd%23SpecificAnatomicLocation_2368","iCat")</x:f>
      </x:c>
      <x:c r="M11779" s="0" t="s">
        <x:v>21</x:v>
      </x:c>
      <x:c r="N11779" s="0" t="s">
        <x:v>46</x:v>
      </x:c>
    </x:row>
    <x:row r="11780" spans="1:16">
      <x:c r="A11780" s="0" t="s">
        <x:v>45950</x:v>
      </x:c>
      <x:c r="B11780" s="0" t="s">
        <x:v>45951</x:v>
      </x:c>
      <x:c r="C11780" s="0" t="s">
        <x:v>42840</x:v>
      </x:c>
      <x:c r="E11780" s="0" t="s">
        <x:v>45952</x:v>
      </x:c>
      <x:c r="F11780" s="0" t="s">
        <x:v>45</x:v>
      </x:c>
      <x:c r="G11780" s="0" t="s">
        <x:v>22</x:v>
      </x:c>
      <x:c r="H11780" s="0" t="s">
        <x:v>20</x:v>
      </x:c>
      <x:c r="I11780" s="0" t="s">
        <x:v>21</x:v>
      </x:c>
      <x:c r="K11780" s="0">
        <x:f>hyperlink("https://icd.who.int/dev11/l-ichi/en#/http%3A%2F%2Fid.who.int%2Ficd%2Fentity%2F139694673","browser")</x:f>
      </x:c>
      <x:c r="L11780" s="0">
        <x:f>hyperlink("https://icat2.azurewebsites.net/icat/?ontology=ICD&amp;tab=ClassesTab&amp;id=http%3A%2F%2Fwho.int%2Ficd%23SpecificAnatomicLocation_2376","iCat")</x:f>
      </x:c>
      <x:c r="M11780" s="0" t="s">
        <x:v>21</x:v>
      </x:c>
      <x:c r="N11780" s="0" t="s">
        <x:v>46</x:v>
      </x:c>
    </x:row>
    <x:row r="11781" spans="1:16">
      <x:c r="A11781" s="0" t="s">
        <x:v>45953</x:v>
      </x:c>
      <x:c r="B11781" s="0" t="s">
        <x:v>45954</x:v>
      </x:c>
      <x:c r="C11781" s="0" t="s">
        <x:v>42840</x:v>
      </x:c>
      <x:c r="E11781" s="0" t="s">
        <x:v>45955</x:v>
      </x:c>
      <x:c r="F11781" s="0" t="s">
        <x:v>45</x:v>
      </x:c>
      <x:c r="G11781" s="0" t="s">
        <x:v>22</x:v>
      </x:c>
      <x:c r="H11781" s="0" t="s">
        <x:v>20</x:v>
      </x:c>
      <x:c r="I11781" s="0" t="s">
        <x:v>21</x:v>
      </x:c>
      <x:c r="K11781" s="0">
        <x:f>hyperlink("https://icd.who.int/dev11/l-ichi/en#/http%3A%2F%2Fid.who.int%2Ficd%2Fentity%2F968869218","browser")</x:f>
      </x:c>
      <x:c r="L11781" s="0">
        <x:f>hyperlink("https://icat2.azurewebsites.net/icat/?ontology=ICD&amp;tab=ClassesTab&amp;id=http%3A%2F%2Fwho.int%2Ficd%23SpecificAnatomicLocation_2357","iCat")</x:f>
      </x:c>
      <x:c r="M11781" s="0" t="s">
        <x:v>21</x:v>
      </x:c>
      <x:c r="N11781" s="0" t="s">
        <x:v>46</x:v>
      </x:c>
    </x:row>
    <x:row r="11782" spans="1:16">
      <x:c r="A11782" s="0" t="s">
        <x:v>45956</x:v>
      </x:c>
      <x:c r="B11782" s="0" t="s">
        <x:v>45957</x:v>
      </x:c>
      <x:c r="C11782" s="0" t="s">
        <x:v>42840</x:v>
      </x:c>
      <x:c r="E11782" s="0" t="s">
        <x:v>45958</x:v>
      </x:c>
      <x:c r="F11782" s="0" t="s">
        <x:v>45</x:v>
      </x:c>
      <x:c r="G11782" s="0" t="s">
        <x:v>22</x:v>
      </x:c>
      <x:c r="H11782" s="0" t="s">
        <x:v>20</x:v>
      </x:c>
      <x:c r="I11782" s="0" t="s">
        <x:v>21</x:v>
      </x:c>
      <x:c r="K11782" s="0">
        <x:f>hyperlink("https://icd.who.int/dev11/l-ichi/en#/http%3A%2F%2Fid.who.int%2Ficd%2Fentity%2F1263443938","browser")</x:f>
      </x:c>
      <x:c r="L11782" s="0">
        <x:f>hyperlink("https://icat2.azurewebsites.net/icat/?ontology=ICD&amp;tab=ClassesTab&amp;id=http%3A%2F%2Fwho.int%2Ficd%23SpecificAnatomicLocation_2351","iCat")</x:f>
      </x:c>
      <x:c r="M11782" s="0" t="s">
        <x:v>21</x:v>
      </x:c>
      <x:c r="N11782" s="0" t="s">
        <x:v>46</x:v>
      </x:c>
    </x:row>
    <x:row r="11783" spans="1:16">
      <x:c r="A11783" s="0" t="s">
        <x:v>45959</x:v>
      </x:c>
      <x:c r="B11783" s="0" t="s">
        <x:v>45960</x:v>
      </x:c>
      <x:c r="C11783" s="0" t="s">
        <x:v>42840</x:v>
      </x:c>
      <x:c r="E11783" s="0" t="s">
        <x:v>45961</x:v>
      </x:c>
      <x:c r="F11783" s="0" t="s">
        <x:v>45</x:v>
      </x:c>
      <x:c r="G11783" s="0" t="s">
        <x:v>22</x:v>
      </x:c>
      <x:c r="H11783" s="0" t="s">
        <x:v>20</x:v>
      </x:c>
      <x:c r="I11783" s="0" t="s">
        <x:v>21</x:v>
      </x:c>
      <x:c r="K11783" s="0">
        <x:f>hyperlink("https://icd.who.int/dev11/l-ichi/en#/http%3A%2F%2Fid.who.int%2Ficd%2Fentity%2F1550252834","browser")</x:f>
      </x:c>
      <x:c r="L11783" s="0">
        <x:f>hyperlink("https://icat2.azurewebsites.net/icat/?ontology=ICD&amp;tab=ClassesTab&amp;id=http%3A%2F%2Fwho.int%2Ficd%23SpecificAnatomicLocation_2350","iCat")</x:f>
      </x:c>
      <x:c r="M11783" s="0" t="s">
        <x:v>21</x:v>
      </x:c>
      <x:c r="N11783" s="0" t="s">
        <x:v>46</x:v>
      </x:c>
    </x:row>
    <x:row r="11784" spans="1:16">
      <x:c r="A11784" s="0" t="s">
        <x:v>45962</x:v>
      </x:c>
      <x:c r="B11784" s="0" t="s">
        <x:v>45963</x:v>
      </x:c>
      <x:c r="C11784" s="0" t="s">
        <x:v>42840</x:v>
      </x:c>
      <x:c r="E11784" s="0" t="s">
        <x:v>45964</x:v>
      </x:c>
      <x:c r="F11784" s="0" t="s">
        <x:v>45</x:v>
      </x:c>
      <x:c r="G11784" s="0" t="s">
        <x:v>22</x:v>
      </x:c>
      <x:c r="H11784" s="0" t="s">
        <x:v>20</x:v>
      </x:c>
      <x:c r="I11784" s="0" t="s">
        <x:v>21</x:v>
      </x:c>
      <x:c r="K11784" s="0">
        <x:f>hyperlink("https://icd.who.int/dev11/l-ichi/en#/http%3A%2F%2Fid.who.int%2Ficd%2Fentity%2F707304330","browser")</x:f>
      </x:c>
      <x:c r="L11784" s="0">
        <x:f>hyperlink("https://icat2.azurewebsites.net/icat/?ontology=ICD&amp;tab=ClassesTab&amp;id=http%3A%2F%2Fwho.int%2Ficd%23SpecificAnatomicLocation_2362","iCat")</x:f>
      </x:c>
      <x:c r="M11784" s="0" t="s">
        <x:v>21</x:v>
      </x:c>
      <x:c r="N11784" s="0" t="s">
        <x:v>46</x:v>
      </x:c>
    </x:row>
    <x:row r="11785" spans="1:16">
      <x:c r="A11785" s="0" t="s">
        <x:v>45965</x:v>
      </x:c>
      <x:c r="B11785" s="0" t="s">
        <x:v>45966</x:v>
      </x:c>
      <x:c r="C11785" s="0" t="s">
        <x:v>42840</x:v>
      </x:c>
      <x:c r="E11785" s="0" t="s">
        <x:v>45967</x:v>
      </x:c>
      <x:c r="F11785" s="0" t="s">
        <x:v>45</x:v>
      </x:c>
      <x:c r="G11785" s="0" t="s">
        <x:v>22</x:v>
      </x:c>
      <x:c r="H11785" s="0" t="s">
        <x:v>20</x:v>
      </x:c>
      <x:c r="I11785" s="0" t="s">
        <x:v>21</x:v>
      </x:c>
      <x:c r="K11785" s="0">
        <x:f>hyperlink("https://icd.who.int/dev11/l-ichi/en#/http%3A%2F%2Fid.who.int%2Ficd%2Fentity%2F74994186","browser")</x:f>
      </x:c>
      <x:c r="L11785" s="0">
        <x:f>hyperlink("https://icat2.azurewebsites.net/icat/?ontology=ICD&amp;tab=ClassesTab&amp;id=http%3A%2F%2Fwho.int%2Ficd%23SpecificAnatomicLocation_2360","iCat")</x:f>
      </x:c>
      <x:c r="M11785" s="0" t="s">
        <x:v>21</x:v>
      </x:c>
      <x:c r="N11785" s="0" t="s">
        <x:v>46</x:v>
      </x:c>
    </x:row>
    <x:row r="11786" spans="1:16">
      <x:c r="A11786" s="0" t="s">
        <x:v>45968</x:v>
      </x:c>
      <x:c r="B11786" s="0" t="s">
        <x:v>45969</x:v>
      </x:c>
      <x:c r="C11786" s="0" t="s">
        <x:v>42840</x:v>
      </x:c>
      <x:c r="E11786" s="0" t="s">
        <x:v>45970</x:v>
      </x:c>
      <x:c r="F11786" s="0" t="s">
        <x:v>45</x:v>
      </x:c>
      <x:c r="G11786" s="0" t="s">
        <x:v>22</x:v>
      </x:c>
      <x:c r="H11786" s="0" t="s">
        <x:v>20</x:v>
      </x:c>
      <x:c r="I11786" s="0" t="s">
        <x:v>21</x:v>
      </x:c>
      <x:c r="K11786" s="0">
        <x:f>hyperlink("https://icd.who.int/dev11/l-ichi/en#/http%3A%2F%2Fid.who.int%2Ficd%2Fentity%2F1341236682","browser")</x:f>
      </x:c>
      <x:c r="L11786" s="0">
        <x:f>hyperlink("https://icat2.azurewebsites.net/icat/?ontology=ICD&amp;tab=ClassesTab&amp;id=http%3A%2F%2Fwho.int%2Ficd%23SpecificAnatomicLocation_2365","iCat")</x:f>
      </x:c>
      <x:c r="M11786" s="0" t="s">
        <x:v>21</x:v>
      </x:c>
      <x:c r="N11786" s="0" t="s">
        <x:v>46</x:v>
      </x:c>
    </x:row>
    <x:row r="11787" spans="1:16">
      <x:c r="A11787" s="0" t="s">
        <x:v>45971</x:v>
      </x:c>
      <x:c r="B11787" s="0" t="s">
        <x:v>45972</x:v>
      </x:c>
      <x:c r="C11787" s="0" t="s">
        <x:v>42840</x:v>
      </x:c>
      <x:c r="E11787" s="0" t="s">
        <x:v>45973</x:v>
      </x:c>
      <x:c r="F11787" s="0" t="s">
        <x:v>45</x:v>
      </x:c>
      <x:c r="G11787" s="0" t="s">
        <x:v>22</x:v>
      </x:c>
      <x:c r="H11787" s="0" t="s">
        <x:v>20</x:v>
      </x:c>
      <x:c r="I11787" s="0" t="s">
        <x:v>21</x:v>
      </x:c>
      <x:c r="K11787" s="0">
        <x:f>hyperlink("https://icd.who.int/dev11/l-ichi/en#/http%3A%2F%2Fid.who.int%2Ficd%2Fentity%2F13068322","browser")</x:f>
      </x:c>
      <x:c r="L11787" s="0">
        <x:f>hyperlink("https://icat2.azurewebsites.net/icat/?ontology=ICD&amp;tab=ClassesTab&amp;id=http%3A%2F%2Fwho.int%2Ficd%23SpecificAnatomicLocation_2354","iCat")</x:f>
      </x:c>
      <x:c r="M11787" s="0" t="s">
        <x:v>21</x:v>
      </x:c>
      <x:c r="N11787" s="0" t="s">
        <x:v>46</x:v>
      </x:c>
    </x:row>
    <x:row r="11788" spans="1:16">
      <x:c r="A11788" s="0" t="s">
        <x:v>45974</x:v>
      </x:c>
      <x:c r="B11788" s="0" t="s">
        <x:v>45975</x:v>
      </x:c>
      <x:c r="C11788" s="0" t="s">
        <x:v>42840</x:v>
      </x:c>
      <x:c r="E11788" s="0" t="s">
        <x:v>45976</x:v>
      </x:c>
      <x:c r="F11788" s="0" t="s">
        <x:v>45</x:v>
      </x:c>
      <x:c r="G11788" s="0" t="s">
        <x:v>22</x:v>
      </x:c>
      <x:c r="H11788" s="0" t="s">
        <x:v>20</x:v>
      </x:c>
      <x:c r="I11788" s="0" t="s">
        <x:v>21</x:v>
      </x:c>
      <x:c r="K11788" s="0">
        <x:f>hyperlink("https://icd.who.int/dev11/l-ichi/en#/http%3A%2F%2Fid.who.int%2Ficd%2Fentity%2F582771193","browser")</x:f>
      </x:c>
      <x:c r="L11788" s="0">
        <x:f>hyperlink("https://icat2.azurewebsites.net/icat/?ontology=ICD&amp;tab=ClassesTab&amp;id=http%3A%2F%2Fwho.int%2Ficd%23SpecificAnatomicLocation_2340","iCat")</x:f>
      </x:c>
      <x:c r="M11788" s="0" t="s">
        <x:v>21</x:v>
      </x:c>
      <x:c r="N11788" s="0" t="s">
        <x:v>46</x:v>
      </x:c>
    </x:row>
    <x:row r="11789" spans="1:16">
      <x:c r="A11789" s="0" t="s">
        <x:v>45977</x:v>
      </x:c>
      <x:c r="B11789" s="0" t="s">
        <x:v>45978</x:v>
      </x:c>
      <x:c r="C11789" s="0" t="s">
        <x:v>42840</x:v>
      </x:c>
      <x:c r="E11789" s="0" t="s">
        <x:v>45979</x:v>
      </x:c>
      <x:c r="F11789" s="0" t="s">
        <x:v>45</x:v>
      </x:c>
      <x:c r="G11789" s="0" t="s">
        <x:v>22</x:v>
      </x:c>
      <x:c r="H11789" s="0" t="s">
        <x:v>20</x:v>
      </x:c>
      <x:c r="I11789" s="0" t="s">
        <x:v>21</x:v>
      </x:c>
      <x:c r="K11789" s="0">
        <x:f>hyperlink("https://icd.who.int/dev11/l-ichi/en#/http%3A%2F%2Fid.who.int%2Ficd%2Fentity%2F216836217","browser")</x:f>
      </x:c>
      <x:c r="L11789" s="0">
        <x:f>hyperlink("https://icat2.azurewebsites.net/icat/?ontology=ICD&amp;tab=ClassesTab&amp;id=http%3A%2F%2Fwho.int%2Ficd%23SpecificAnatomicLocation_2342","iCat")</x:f>
      </x:c>
      <x:c r="M11789" s="0" t="s">
        <x:v>21</x:v>
      </x:c>
      <x:c r="N11789" s="0" t="s">
        <x:v>46</x:v>
      </x:c>
    </x:row>
    <x:row r="11790" spans="1:16">
      <x:c r="A11790" s="0" t="s">
        <x:v>45980</x:v>
      </x:c>
      <x:c r="B11790" s="0" t="s">
        <x:v>45981</x:v>
      </x:c>
      <x:c r="C11790" s="0" t="s">
        <x:v>42840</x:v>
      </x:c>
      <x:c r="E11790" s="0" t="s">
        <x:v>45982</x:v>
      </x:c>
      <x:c r="F11790" s="0" t="s">
        <x:v>45</x:v>
      </x:c>
      <x:c r="G11790" s="0" t="s">
        <x:v>22</x:v>
      </x:c>
      <x:c r="H11790" s="0" t="s">
        <x:v>20</x:v>
      </x:c>
      <x:c r="I11790" s="0" t="s">
        <x:v>21</x:v>
      </x:c>
      <x:c r="K11790" s="0">
        <x:f>hyperlink("https://icd.who.int/dev11/l-ichi/en#/http%3A%2F%2Fid.who.int%2Ficd%2Fentity%2F1023475530","browser")</x:f>
      </x:c>
      <x:c r="L11790" s="0">
        <x:f>hyperlink("https://icat2.azurewebsites.net/icat/?ontology=ICD&amp;tab=ClassesTab&amp;id=http%3A%2F%2Fwho.int%2Ficd%23SpecificAnatomicLocation_2363","iCat")</x:f>
      </x:c>
      <x:c r="M11790" s="0" t="s">
        <x:v>21</x:v>
      </x:c>
      <x:c r="N11790" s="0" t="s">
        <x:v>46</x:v>
      </x:c>
    </x:row>
    <x:row r="11791" spans="1:16">
      <x:c r="A11791" s="0" t="s">
        <x:v>45983</x:v>
      </x:c>
      <x:c r="B11791" s="0" t="s">
        <x:v>45984</x:v>
      </x:c>
      <x:c r="C11791" s="0" t="s">
        <x:v>42840</x:v>
      </x:c>
      <x:c r="E11791" s="0" t="s">
        <x:v>45985</x:v>
      </x:c>
      <x:c r="F11791" s="0" t="s">
        <x:v>45</x:v>
      </x:c>
      <x:c r="G11791" s="0" t="s">
        <x:v>22</x:v>
      </x:c>
      <x:c r="H11791" s="0" t="s">
        <x:v>20</x:v>
      </x:c>
      <x:c r="I11791" s="0" t="s">
        <x:v>21</x:v>
      </x:c>
      <x:c r="K11791" s="0">
        <x:f>hyperlink("https://icd.who.int/dev11/l-ichi/en#/http%3A%2F%2Fid.who.int%2Ficd%2Fentity%2F719125454","browser")</x:f>
      </x:c>
      <x:c r="L11791" s="0">
        <x:f>hyperlink("https://icat2.azurewebsites.net/icat/?ontology=ICD&amp;tab=ClassesTab&amp;id=http%3A%2F%2Fwho.int%2Ficd%23SpecificAnatomicLocation_2333","iCat")</x:f>
      </x:c>
      <x:c r="M11791" s="0" t="s">
        <x:v>21</x:v>
      </x:c>
      <x:c r="N11791" s="0" t="s">
        <x:v>46</x:v>
      </x:c>
    </x:row>
    <x:row r="11792" spans="1:16">
      <x:c r="A11792" s="0" t="s">
        <x:v>45986</x:v>
      </x:c>
      <x:c r="B11792" s="0" t="s">
        <x:v>45987</x:v>
      </x:c>
      <x:c r="C11792" s="0" t="s">
        <x:v>42840</x:v>
      </x:c>
      <x:c r="E11792" s="0" t="s">
        <x:v>45988</x:v>
      </x:c>
      <x:c r="F11792" s="0" t="s">
        <x:v>45</x:v>
      </x:c>
      <x:c r="G11792" s="0" t="s">
        <x:v>22</x:v>
      </x:c>
      <x:c r="H11792" s="0" t="s">
        <x:v>20</x:v>
      </x:c>
      <x:c r="I11792" s="0" t="s">
        <x:v>21</x:v>
      </x:c>
      <x:c r="K11792" s="0">
        <x:f>hyperlink("https://icd.who.int/dev11/l-ichi/en#/http%3A%2F%2Fid.who.int%2Ficd%2Fentity%2F898893113","browser")</x:f>
      </x:c>
      <x:c r="L11792" s="0">
        <x:f>hyperlink("https://icat2.azurewebsites.net/icat/?ontology=ICD&amp;tab=ClassesTab&amp;id=http%3A%2F%2Fwho.int%2Ficd%23SpecificAnatomicLocation_2341","iCat")</x:f>
      </x:c>
      <x:c r="M11792" s="0" t="s">
        <x:v>21</x:v>
      </x:c>
      <x:c r="N11792" s="0" t="s">
        <x:v>46</x:v>
      </x:c>
    </x:row>
    <x:row r="11793" spans="1:16">
      <x:c r="A11793" s="0" t="s">
        <x:v>45989</x:v>
      </x:c>
      <x:c r="B11793" s="0" t="s">
        <x:v>45990</x:v>
      </x:c>
      <x:c r="C11793" s="0" t="s">
        <x:v>42840</x:v>
      </x:c>
      <x:c r="E11793" s="0" t="s">
        <x:v>45991</x:v>
      </x:c>
      <x:c r="F11793" s="0" t="s">
        <x:v>45</x:v>
      </x:c>
      <x:c r="G11793" s="0" t="s">
        <x:v>22</x:v>
      </x:c>
      <x:c r="H11793" s="0" t="s">
        <x:v>20</x:v>
      </x:c>
      <x:c r="I11793" s="0" t="s">
        <x:v>21</x:v>
      </x:c>
      <x:c r="K11793" s="0">
        <x:f>hyperlink("https://icd.who.int/dev11/l-ichi/en#/http%3A%2F%2Fid.who.int%2Ficd%2Fentity%2F1987930318","browser")</x:f>
      </x:c>
      <x:c r="L11793" s="0">
        <x:f>hyperlink("https://icat2.azurewebsites.net/icat/?ontology=ICD&amp;tab=ClassesTab&amp;id=http%3A%2F%2Fwho.int%2Ficd%23SpecificAnatomicLocation_2337","iCat")</x:f>
      </x:c>
      <x:c r="M11793" s="0" t="s">
        <x:v>21</x:v>
      </x:c>
      <x:c r="N11793" s="0" t="s">
        <x:v>46</x:v>
      </x:c>
    </x:row>
    <x:row r="11794" spans="1:16">
      <x:c r="A11794" s="0" t="s">
        <x:v>45992</x:v>
      </x:c>
      <x:c r="B11794" s="0" t="s">
        <x:v>45993</x:v>
      </x:c>
      <x:c r="C11794" s="0" t="s">
        <x:v>42840</x:v>
      </x:c>
      <x:c r="E11794" s="0" t="s">
        <x:v>45994</x:v>
      </x:c>
      <x:c r="F11794" s="0" t="s">
        <x:v>45</x:v>
      </x:c>
      <x:c r="G11794" s="0" t="s">
        <x:v>22</x:v>
      </x:c>
      <x:c r="H11794" s="0" t="s">
        <x:v>20</x:v>
      </x:c>
      <x:c r="I11794" s="0" t="s">
        <x:v>21</x:v>
      </x:c>
      <x:c r="K11794" s="0">
        <x:f>hyperlink("https://icd.who.int/dev11/l-ichi/en#/http%3A%2F%2Fid.who.int%2Ficd%2Fentity%2F653736855","browser")</x:f>
      </x:c>
      <x:c r="L11794" s="0">
        <x:f>hyperlink("https://icat2.azurewebsites.net/icat/?ontology=ICD&amp;tab=ClassesTab&amp;id=http%3A%2F%2Fwho.int%2Ficd%23SpecificAnatomicLocation_2325","iCat")</x:f>
      </x:c>
      <x:c r="M11794" s="0" t="s">
        <x:v>21</x:v>
      </x:c>
      <x:c r="N11794" s="0" t="s">
        <x:v>46</x:v>
      </x:c>
    </x:row>
    <x:row r="11795" spans="1:16">
      <x:c r="A11795" s="0" t="s">
        <x:v>45995</x:v>
      </x:c>
      <x:c r="B11795" s="0" t="s">
        <x:v>45996</x:v>
      </x:c>
      <x:c r="C11795" s="0" t="s">
        <x:v>42840</x:v>
      </x:c>
      <x:c r="E11795" s="0" t="s">
        <x:v>45997</x:v>
      </x:c>
      <x:c r="F11795" s="0" t="s">
        <x:v>45</x:v>
      </x:c>
      <x:c r="G11795" s="0" t="s">
        <x:v>22</x:v>
      </x:c>
      <x:c r="H11795" s="0" t="s">
        <x:v>20</x:v>
      </x:c>
      <x:c r="I11795" s="0" t="s">
        <x:v>21</x:v>
      </x:c>
      <x:c r="K11795" s="0">
        <x:f>hyperlink("https://icd.who.int/dev11/l-ichi/en#/http%3A%2F%2Fid.who.int%2Ficd%2Fentity%2F2115891961","browser")</x:f>
      </x:c>
      <x:c r="L11795" s="0">
        <x:f>hyperlink("https://icat2.azurewebsites.net/icat/?ontology=ICD&amp;tab=ClassesTab&amp;id=http%3A%2F%2Fwho.int%2Ficd%23SpecificAnatomicLocation_2344","iCat")</x:f>
      </x:c>
      <x:c r="M11795" s="0" t="s">
        <x:v>21</x:v>
      </x:c>
      <x:c r="N11795" s="0" t="s">
        <x:v>46</x:v>
      </x:c>
    </x:row>
    <x:row r="11796" spans="1:16">
      <x:c r="A11796" s="0" t="s">
        <x:v>45998</x:v>
      </x:c>
      <x:c r="B11796" s="0" t="s">
        <x:v>45999</x:v>
      </x:c>
      <x:c r="C11796" s="0" t="s">
        <x:v>42840</x:v>
      </x:c>
      <x:c r="E11796" s="0" t="s">
        <x:v>46000</x:v>
      </x:c>
      <x:c r="F11796" s="0" t="s">
        <x:v>45</x:v>
      </x:c>
      <x:c r="G11796" s="0" t="s">
        <x:v>22</x:v>
      </x:c>
      <x:c r="H11796" s="0" t="s">
        <x:v>20</x:v>
      </x:c>
      <x:c r="I11796" s="0" t="s">
        <x:v>21</x:v>
      </x:c>
      <x:c r="K11796" s="0">
        <x:f>hyperlink("https://icd.who.int/dev11/l-ichi/en#/http%3A%2F%2Fid.who.int%2Ficd%2Fentity%2F1347238777","browser")</x:f>
      </x:c>
      <x:c r="L11796" s="0">
        <x:f>hyperlink("https://icat2.azurewebsites.net/icat/?ontology=ICD&amp;tab=ClassesTab&amp;id=http%3A%2F%2Fwho.int%2Ficd%23SpecificAnatomicLocation_2346","iCat")</x:f>
      </x:c>
      <x:c r="M11796" s="0" t="s">
        <x:v>21</x:v>
      </x:c>
      <x:c r="N11796" s="0" t="s">
        <x:v>46</x:v>
      </x:c>
    </x:row>
    <x:row r="11797" spans="1:16">
      <x:c r="A11797" s="0" t="s">
        <x:v>46001</x:v>
      </x:c>
      <x:c r="B11797" s="0" t="s">
        <x:v>46002</x:v>
      </x:c>
      <x:c r="C11797" s="0" t="s">
        <x:v>42840</x:v>
      </x:c>
      <x:c r="E11797" s="0" t="s">
        <x:v>46003</x:v>
      </x:c>
      <x:c r="F11797" s="0" t="s">
        <x:v>45</x:v>
      </x:c>
      <x:c r="G11797" s="0" t="s">
        <x:v>22</x:v>
      </x:c>
      <x:c r="H11797" s="0" t="s">
        <x:v>20</x:v>
      </x:c>
      <x:c r="I11797" s="0" t="s">
        <x:v>21</x:v>
      </x:c>
      <x:c r="K11797" s="0">
        <x:f>hyperlink("https://icd.who.int/dev11/l-ichi/en#/http%3A%2F%2Fid.who.int%2Ficd%2Fentity%2F1765119545","browser")</x:f>
      </x:c>
      <x:c r="L11797" s="0">
        <x:f>hyperlink("https://icat2.azurewebsites.net/icat/?ontology=ICD&amp;tab=ClassesTab&amp;id=http%3A%2F%2Fwho.int%2Ficd%23SpecificAnatomicLocation_2345","iCat")</x:f>
      </x:c>
      <x:c r="M11797" s="0" t="s">
        <x:v>21</x:v>
      </x:c>
      <x:c r="N11797" s="0" t="s">
        <x:v>46</x:v>
      </x:c>
    </x:row>
    <x:row r="11798" spans="1:16">
      <x:c r="A11798" s="0" t="s">
        <x:v>46004</x:v>
      </x:c>
      <x:c r="B11798" s="0" t="s">
        <x:v>46005</x:v>
      </x:c>
      <x:c r="C11798" s="0" t="s">
        <x:v>42840</x:v>
      </x:c>
      <x:c r="E11798" s="0" t="s">
        <x:v>46006</x:v>
      </x:c>
      <x:c r="F11798" s="0" t="s">
        <x:v>45</x:v>
      </x:c>
      <x:c r="G11798" s="0" t="s">
        <x:v>22</x:v>
      </x:c>
      <x:c r="H11798" s="0" t="s">
        <x:v>20</x:v>
      </x:c>
      <x:c r="I11798" s="0" t="s">
        <x:v>21</x:v>
      </x:c>
      <x:c r="K11798" s="0">
        <x:f>hyperlink("https://icd.who.int/dev11/l-ichi/en#/http%3A%2F%2Fid.who.int%2Ficd%2Fentity%2F1637968970","browser")</x:f>
      </x:c>
      <x:c r="L11798" s="0">
        <x:f>hyperlink("https://icat2.azurewebsites.net/icat/?ontology=ICD&amp;tab=ClassesTab&amp;id=http%3A%2F%2Fwho.int%2Ficd%23SpecificAnatomicLocation_2367","iCat")</x:f>
      </x:c>
      <x:c r="M11798" s="0" t="s">
        <x:v>21</x:v>
      </x:c>
      <x:c r="N11798" s="0" t="s">
        <x:v>46</x:v>
      </x:c>
    </x:row>
    <x:row r="11799" spans="1:16">
      <x:c r="A11799" s="0" t="s">
        <x:v>46007</x:v>
      </x:c>
      <x:c r="B11799" s="0" t="s">
        <x:v>46008</x:v>
      </x:c>
      <x:c r="C11799" s="0" t="s">
        <x:v>42840</x:v>
      </x:c>
      <x:c r="E11799" s="0" t="s">
        <x:v>46009</x:v>
      </x:c>
      <x:c r="F11799" s="0" t="s">
        <x:v>45</x:v>
      </x:c>
      <x:c r="G11799" s="0" t="s">
        <x:v>22</x:v>
      </x:c>
      <x:c r="H11799" s="0" t="s">
        <x:v>20</x:v>
      </x:c>
      <x:c r="I11799" s="0" t="s">
        <x:v>21</x:v>
      </x:c>
      <x:c r="K11799" s="0">
        <x:f>hyperlink("https://icd.who.int/dev11/l-ichi/en#/http%3A%2F%2Fid.who.int%2Ficd%2Fentity%2F1490665738","browser")</x:f>
      </x:c>
      <x:c r="L11799" s="0">
        <x:f>hyperlink("https://icat2.azurewebsites.net/icat/?ontology=ICD&amp;tab=ClassesTab&amp;id=http%3A%2F%2Fwho.int%2Ficd%23SpecificAnatomicLocation_2364","iCat")</x:f>
      </x:c>
      <x:c r="M11799" s="0" t="s">
        <x:v>21</x:v>
      </x:c>
      <x:c r="N11799" s="0" t="s">
        <x:v>46</x:v>
      </x:c>
    </x:row>
    <x:row r="11800" spans="1:16">
      <x:c r="A11800" s="0" t="s">
        <x:v>46010</x:v>
      </x:c>
      <x:c r="B11800" s="0" t="s">
        <x:v>46011</x:v>
      </x:c>
      <x:c r="C11800" s="0" t="s">
        <x:v>42840</x:v>
      </x:c>
      <x:c r="E11800" s="0" t="s">
        <x:v>46012</x:v>
      </x:c>
      <x:c r="F11800" s="0" t="s">
        <x:v>45</x:v>
      </x:c>
      <x:c r="G11800" s="0" t="s">
        <x:v>22</x:v>
      </x:c>
      <x:c r="H11800" s="0" t="s">
        <x:v>20</x:v>
      </x:c>
      <x:c r="I11800" s="0" t="s">
        <x:v>21</x:v>
      </x:c>
      <x:c r="K11800" s="0">
        <x:f>hyperlink("https://icd.who.int/dev11/l-ichi/en#/http%3A%2F%2Fid.who.int%2Ficd%2Fentity%2F1988692106","browser")</x:f>
      </x:c>
      <x:c r="L11800" s="0">
        <x:f>hyperlink("https://icat2.azurewebsites.net/icat/?ontology=ICD&amp;tab=ClassesTab&amp;id=http%3A%2F%2Fwho.int%2Ficd%23SpecificAnatomicLocation_2366","iCat")</x:f>
      </x:c>
      <x:c r="M11800" s="0" t="s">
        <x:v>21</x:v>
      </x:c>
      <x:c r="N11800" s="0" t="s">
        <x:v>46</x:v>
      </x:c>
    </x:row>
    <x:row r="11801" spans="1:16">
      <x:c r="A11801" s="0" t="s">
        <x:v>46013</x:v>
      </x:c>
      <x:c r="B11801" s="0" t="s">
        <x:v>46014</x:v>
      </x:c>
      <x:c r="C11801" s="0" t="s">
        <x:v>42840</x:v>
      </x:c>
      <x:c r="E11801" s="0" t="s">
        <x:v>46015</x:v>
      </x:c>
      <x:c r="F11801" s="0" t="s">
        <x:v>45</x:v>
      </x:c>
      <x:c r="G11801" s="0" t="s">
        <x:v>22</x:v>
      </x:c>
      <x:c r="H11801" s="0" t="s">
        <x:v>20</x:v>
      </x:c>
      <x:c r="I11801" s="0" t="s">
        <x:v>21</x:v>
      </x:c>
      <x:c r="K11801" s="0">
        <x:f>hyperlink("https://icd.who.int/dev11/l-ichi/en#/http%3A%2F%2Fid.who.int%2Ficd%2Fentity%2F1427672946","browser")</x:f>
      </x:c>
      <x:c r="L11801" s="0">
        <x:f>hyperlink("https://icat2.azurewebsites.net/icat/?ontology=ICD&amp;tab=ClassesTab&amp;id=http%3A%2F%2Fwho.int%2Ficd%23SpecificAnatomicLocation_2338","iCat")</x:f>
      </x:c>
      <x:c r="M11801" s="0" t="s">
        <x:v>21</x:v>
      </x:c>
      <x:c r="N11801" s="0" t="s">
        <x:v>46</x:v>
      </x:c>
    </x:row>
    <x:row r="11802" spans="1:16">
      <x:c r="A11802" s="0" t="s">
        <x:v>46016</x:v>
      </x:c>
      <x:c r="B11802" s="0" t="s">
        <x:v>46017</x:v>
      </x:c>
      <x:c r="C11802" s="0" t="s">
        <x:v>42840</x:v>
      </x:c>
      <x:c r="E11802" s="0" t="s">
        <x:v>46018</x:v>
      </x:c>
      <x:c r="F11802" s="0" t="s">
        <x:v>45</x:v>
      </x:c>
      <x:c r="G11802" s="0" t="s">
        <x:v>22</x:v>
      </x:c>
      <x:c r="H11802" s="0" t="s">
        <x:v>20</x:v>
      </x:c>
      <x:c r="I11802" s="0" t="s">
        <x:v>21</x:v>
      </x:c>
      <x:c r="K11802" s="0">
        <x:f>hyperlink("https://icd.who.int/dev11/l-ichi/en#/http%3A%2F%2Fid.who.int%2Ficd%2Fentity%2F836722519","browser")</x:f>
      </x:c>
      <x:c r="L11802" s="0">
        <x:f>hyperlink("https://icat2.azurewebsites.net/icat/?ontology=ICD&amp;tab=ClassesTab&amp;id=http%3A%2F%2Fwho.int%2Ficd%23SpecificAnatomicLocation_2324","iCat")</x:f>
      </x:c>
      <x:c r="M11802" s="0" t="s">
        <x:v>21</x:v>
      </x:c>
      <x:c r="N11802" s="0" t="s">
        <x:v>46</x:v>
      </x:c>
    </x:row>
    <x:row r="11803" spans="1:16">
      <x:c r="A11803" s="0" t="s">
        <x:v>46019</x:v>
      </x:c>
      <x:c r="B11803" s="0" t="s">
        <x:v>46020</x:v>
      </x:c>
      <x:c r="C11803" s="0" t="s">
        <x:v>42840</x:v>
      </x:c>
      <x:c r="E11803" s="0" t="s">
        <x:v>46021</x:v>
      </x:c>
      <x:c r="F11803" s="0" t="s">
        <x:v>45</x:v>
      </x:c>
      <x:c r="G11803" s="0" t="s">
        <x:v>22</x:v>
      </x:c>
      <x:c r="H11803" s="0" t="s">
        <x:v>20</x:v>
      </x:c>
      <x:c r="I11803" s="0" t="s">
        <x:v>21</x:v>
      </x:c>
      <x:c r="K11803" s="0">
        <x:f>hyperlink("https://icd.who.int/dev11/l-ichi/en#/http%3A%2F%2Fid.who.int%2Ficd%2Fentity%2F1197825977","browser")</x:f>
      </x:c>
      <x:c r="L11803" s="0">
        <x:f>hyperlink("https://icat2.azurewebsites.net/icat/?ontology=ICD&amp;tab=ClassesTab&amp;id=http%3A%2F%2Fwho.int%2Ficd%23SpecificAnatomicLocation_2347","iCat")</x:f>
      </x:c>
      <x:c r="M11803" s="0" t="s">
        <x:v>21</x:v>
      </x:c>
      <x:c r="N11803" s="0" t="s">
        <x:v>46</x:v>
      </x:c>
    </x:row>
    <x:row r="11804" spans="1:16">
      <x:c r="A11804" s="0" t="s">
        <x:v>46022</x:v>
      </x:c>
      <x:c r="B11804" s="0" t="s">
        <x:v>46023</x:v>
      </x:c>
      <x:c r="C11804" s="0" t="s">
        <x:v>42840</x:v>
      </x:c>
      <x:c r="E11804" s="0" t="s">
        <x:v>46024</x:v>
      </x:c>
      <x:c r="F11804" s="0" t="s">
        <x:v>45</x:v>
      </x:c>
      <x:c r="G11804" s="0" t="s">
        <x:v>22</x:v>
      </x:c>
      <x:c r="H11804" s="0" t="s">
        <x:v>20</x:v>
      </x:c>
      <x:c r="I11804" s="0" t="s">
        <x:v>21</x:v>
      </x:c>
      <x:c r="K11804" s="0">
        <x:f>hyperlink("https://icd.who.int/dev11/l-ichi/en#/http%3A%2F%2Fid.who.int%2Ficd%2Fentity%2F781689250","browser")</x:f>
      </x:c>
      <x:c r="L11804" s="0">
        <x:f>hyperlink("https://icat2.azurewebsites.net/icat/?ontology=ICD&amp;tab=ClassesTab&amp;id=http%3A%2F%2Fwho.int%2Ficd%23SpecificAnatomicLocation_2356","iCat")</x:f>
      </x:c>
      <x:c r="M11804" s="0" t="s">
        <x:v>21</x:v>
      </x:c>
      <x:c r="N11804" s="0" t="s">
        <x:v>46</x:v>
      </x:c>
    </x:row>
    <x:row r="11805" spans="1:16">
      <x:c r="A11805" s="0" t="s">
        <x:v>46025</x:v>
      </x:c>
      <x:c r="B11805" s="0" t="s">
        <x:v>46026</x:v>
      </x:c>
      <x:c r="C11805" s="0" t="s">
        <x:v>42840</x:v>
      </x:c>
      <x:c r="E11805" s="0" t="s">
        <x:v>46027</x:v>
      </x:c>
      <x:c r="F11805" s="0" t="s">
        <x:v>45</x:v>
      </x:c>
      <x:c r="G11805" s="0" t="s">
        <x:v>22</x:v>
      </x:c>
      <x:c r="H11805" s="0" t="s">
        <x:v>20</x:v>
      </x:c>
      <x:c r="I11805" s="0" t="s">
        <x:v>21</x:v>
      </x:c>
      <x:c r="K11805" s="0">
        <x:f>hyperlink("https://icd.who.int/dev11/l-ichi/en#/http%3A%2F%2Fid.who.int%2Ficd%2Fentity%2F1110502322","browser")</x:f>
      </x:c>
      <x:c r="L11805" s="0">
        <x:f>hyperlink("https://icat2.azurewebsites.net/icat/?ontology=ICD&amp;tab=ClassesTab&amp;id=http%3A%2F%2Fwho.int%2Ficd%23SpecificAnatomicLocation_2339","iCat")</x:f>
      </x:c>
      <x:c r="M11805" s="0" t="s">
        <x:v>21</x:v>
      </x:c>
      <x:c r="N11805" s="0" t="s">
        <x:v>46</x:v>
      </x:c>
    </x:row>
    <x:row r="11806" spans="1:16">
      <x:c r="A11806" s="0" t="s">
        <x:v>46028</x:v>
      </x:c>
      <x:c r="B11806" s="0" t="s">
        <x:v>46029</x:v>
      </x:c>
      <x:c r="C11806" s="0" t="s">
        <x:v>42840</x:v>
      </x:c>
      <x:c r="E11806" s="0" t="s">
        <x:v>46030</x:v>
      </x:c>
      <x:c r="F11806" s="0" t="s">
        <x:v>45</x:v>
      </x:c>
      <x:c r="G11806" s="0" t="s">
        <x:v>22</x:v>
      </x:c>
      <x:c r="H11806" s="0" t="s">
        <x:v>20</x:v>
      </x:c>
      <x:c r="I11806" s="0" t="s">
        <x:v>21</x:v>
      </x:c>
      <x:c r="K11806" s="0">
        <x:f>hyperlink("https://icd.who.int/dev11/l-ichi/en#/http%3A%2F%2Fid.who.int%2Ficd%2Fentity%2F540176836","browser")</x:f>
      </x:c>
      <x:c r="L11806" s="0">
        <x:f>hyperlink("https://icat2.azurewebsites.net/icat/?ontology=ICD&amp;tab=ClassesTab&amp;id=http%3A%2F%2Fwho.int%2Ficd%235082_d9027f82_5e3d_47a4_a6fe_3c65954dde3a","iCat")</x:f>
      </x:c>
      <x:c r="M11806" s="0" t="s">
        <x:v>20</x:v>
      </x:c>
      <x:c r="N11806" s="0" t="s">
        <x:v>22</x:v>
      </x:c>
    </x:row>
    <x:row r="11807" spans="1:16">
      <x:c r="A11807" s="0" t="s">
        <x:v>46031</x:v>
      </x:c>
      <x:c r="B11807" s="0" t="s">
        <x:v>46032</x:v>
      </x:c>
      <x:c r="C11807" s="0" t="s">
        <x:v>42840</x:v>
      </x:c>
      <x:c r="E11807" s="0" t="s">
        <x:v>46033</x:v>
      </x:c>
      <x:c r="F11807" s="0" t="s">
        <x:v>45</x:v>
      </x:c>
      <x:c r="G11807" s="0" t="s">
        <x:v>40</x:v>
      </x:c>
      <x:c r="H11807" s="0" t="s">
        <x:v>20</x:v>
      </x:c>
      <x:c r="I11807" s="0" t="s">
        <x:v>21</x:v>
      </x:c>
      <x:c r="K11807" s="0">
        <x:f>hyperlink("https://icd.who.int/dev11/l-ichi/en#/http%3A%2F%2Fid.who.int%2Ficd%2Fentity%2F1325778318","browser")</x:f>
      </x:c>
      <x:c r="L11807" s="0">
        <x:f>hyperlink("https://icat2.azurewebsites.net/icat/?ontology=ICD&amp;tab=ClassesTab&amp;id=http%3A%2F%2Fwho.int%2Ficd%23SpecificAnatomicLocation_2334","iCat")</x:f>
      </x:c>
      <x:c r="M11807" s="0" t="s">
        <x:v>21</x:v>
      </x:c>
      <x:c r="N11807" s="0" t="s">
        <x:v>46</x:v>
      </x:c>
    </x:row>
    <x:row r="11808" spans="1:16">
      <x:c r="A11808" s="0" t="s">
        <x:v>46034</x:v>
      </x:c>
      <x:c r="B11808" s="0" t="s">
        <x:v>46035</x:v>
      </x:c>
      <x:c r="C11808" s="0" t="s">
        <x:v>42840</x:v>
      </x:c>
      <x:c r="E11808" s="0" t="s">
        <x:v>46036</x:v>
      </x:c>
      <x:c r="F11808" s="0" t="s">
        <x:v>45</x:v>
      </x:c>
      <x:c r="G11808" s="0" t="s">
        <x:v>40</x:v>
      </x:c>
      <x:c r="H11808" s="0" t="s">
        <x:v>20</x:v>
      </x:c>
      <x:c r="I11808" s="0" t="s">
        <x:v>21</x:v>
      </x:c>
      <x:c r="K11808" s="0">
        <x:f>hyperlink("https://icd.who.int/dev11/l-ichi/en#/http%3A%2F%2Fid.who.int%2Ficd%2Fentity%2F1837804561","browser")</x:f>
      </x:c>
      <x:c r="L11808" s="0">
        <x:f>hyperlink("https://icat2.azurewebsites.net/icat/?ontology=ICD&amp;tab=ClassesTab&amp;id=http%3A%2F%2Fwho.int%2Ficd%23SpecificAnatomicLocation_2371","iCat")</x:f>
      </x:c>
      <x:c r="M11808" s="0" t="s">
        <x:v>21</x:v>
      </x:c>
      <x:c r="N11808" s="0" t="s">
        <x:v>46</x:v>
      </x:c>
    </x:row>
    <x:row r="11809" spans="1:16">
      <x:c r="A11809" s="0" t="s">
        <x:v>46037</x:v>
      </x:c>
      <x:c r="B11809" s="0" t="s">
        <x:v>46038</x:v>
      </x:c>
      <x:c r="C11809" s="0" t="s">
        <x:v>42840</x:v>
      </x:c>
      <x:c r="E11809" s="0" t="s">
        <x:v>46039</x:v>
      </x:c>
      <x:c r="F11809" s="0" t="s">
        <x:v>45</x:v>
      </x:c>
      <x:c r="G11809" s="0" t="s">
        <x:v>40</x:v>
      </x:c>
      <x:c r="H11809" s="0" t="s">
        <x:v>20</x:v>
      </x:c>
      <x:c r="I11809" s="0" t="s">
        <x:v>21</x:v>
      </x:c>
      <x:c r="K11809" s="0">
        <x:f>hyperlink("https://icd.who.int/dev11/l-ichi/en#/http%3A%2F%2Fid.who.int%2Ficd%2Fentity%2F1479385422","browser")</x:f>
      </x:c>
      <x:c r="L11809" s="0">
        <x:f>hyperlink("https://icat2.azurewebsites.net/icat/?ontology=ICD&amp;tab=ClassesTab&amp;id=http%3A%2F%2Fwho.int%2Ficd%23SpecificAnatomicLocation_2335","iCat")</x:f>
      </x:c>
      <x:c r="M11809" s="0" t="s">
        <x:v>21</x:v>
      </x:c>
      <x:c r="N11809" s="0" t="s">
        <x:v>46</x:v>
      </x:c>
    </x:row>
    <x:row r="11810" spans="1:16">
      <x:c r="A11810" s="0" t="s">
        <x:v>46040</x:v>
      </x:c>
      <x:c r="B11810" s="0" t="s">
        <x:v>46041</x:v>
      </x:c>
      <x:c r="C11810" s="0" t="s">
        <x:v>42840</x:v>
      </x:c>
      <x:c r="E11810" s="0" t="s">
        <x:v>46042</x:v>
      </x:c>
      <x:c r="F11810" s="0" t="s">
        <x:v>45</x:v>
      </x:c>
      <x:c r="G11810" s="0" t="s">
        <x:v>40</x:v>
      </x:c>
      <x:c r="H11810" s="0" t="s">
        <x:v>20</x:v>
      </x:c>
      <x:c r="I11810" s="0" t="s">
        <x:v>21</x:v>
      </x:c>
      <x:c r="K11810" s="0">
        <x:f>hyperlink("https://icd.who.int/dev11/l-ichi/en#/http%3A%2F%2Fid.who.int%2Ficd%2Fentity%2F1441591094","browser")</x:f>
      </x:c>
      <x:c r="L11810" s="0">
        <x:f>hyperlink("https://icat2.azurewebsites.net/icat/?ontology=ICD&amp;tab=ClassesTab&amp;id=http%3A%2F%2Fwho.int%2Ficd%23SpecificAnatomicLocation_2369","iCat")</x:f>
      </x:c>
      <x:c r="M11810" s="0" t="s">
        <x:v>21</x:v>
      </x:c>
      <x:c r="N11810" s="0" t="s">
        <x:v>46</x:v>
      </x:c>
    </x:row>
    <x:row r="11811" spans="1:16">
      <x:c r="A11811" s="0" t="s">
        <x:v>46043</x:v>
      </x:c>
      <x:c r="B11811" s="0" t="s">
        <x:v>46044</x:v>
      </x:c>
      <x:c r="C11811" s="0" t="s">
        <x:v>42840</x:v>
      </x:c>
      <x:c r="E11811" s="0" t="s">
        <x:v>46045</x:v>
      </x:c>
      <x:c r="F11811" s="0" t="s">
        <x:v>45</x:v>
      </x:c>
      <x:c r="G11811" s="0" t="s">
        <x:v>22</x:v>
      </x:c>
      <x:c r="H11811" s="0" t="s">
        <x:v>20</x:v>
      </x:c>
      <x:c r="I11811" s="0" t="s">
        <x:v>21</x:v>
      </x:c>
      <x:c r="K11811" s="0">
        <x:f>hyperlink("https://icd.who.int/dev11/l-ichi/en#/http%3A%2F%2Fid.who.int%2Ficd%2Fentity%2F1937337123","browser")</x:f>
      </x:c>
      <x:c r="L11811" s="0">
        <x:f>hyperlink("https://icat2.azurewebsites.net/icat/?ontology=ICD&amp;tab=ClassesTab&amp;id=http%3A%2F%2Fwho.int%2Ficd%23455_e9bf9ac7_0f21_4391_8ab3_5944290f317a","iCat")</x:f>
      </x:c>
      <x:c r="M11811" s="0" t="s">
        <x:v>21</x:v>
      </x:c>
      <x:c r="N11811" s="0" t="s">
        <x:v>46</x:v>
      </x:c>
    </x:row>
    <x:row r="11812" spans="1:16">
      <x:c r="A11812" s="0" t="s">
        <x:v>46046</x:v>
      </x:c>
      <x:c r="B11812" s="0" t="s">
        <x:v>46047</x:v>
      </x:c>
      <x:c r="C11812" s="0" t="s">
        <x:v>42840</x:v>
      </x:c>
      <x:c r="E11812" s="0" t="s">
        <x:v>46048</x:v>
      </x:c>
      <x:c r="F11812" s="0" t="s">
        <x:v>45</x:v>
      </x:c>
      <x:c r="G11812" s="0" t="s">
        <x:v>35</x:v>
      </x:c>
      <x:c r="H11812" s="0" t="s">
        <x:v>20</x:v>
      </x:c>
      <x:c r="I11812" s="0" t="s">
        <x:v>21</x:v>
      </x:c>
      <x:c r="K11812" s="0">
        <x:f>hyperlink("https://icd.who.int/dev11/l-ichi/en#/http%3A%2F%2Fid.who.int%2Ficd%2Fentity%2F1316314647","browser")</x:f>
      </x:c>
      <x:c r="L11812" s="0">
        <x:f>hyperlink("https://icat2.azurewebsites.net/icat/?ontology=ICD&amp;tab=ClassesTab&amp;id=http%3A%2F%2Fwho.int%2Ficd%234955_1a025aad_bab4_45d3_85b5_2f8609f7d6c2","iCat")</x:f>
      </x:c>
      <x:c r="M11812" s="0" t="s">
        <x:v>20</x:v>
      </x:c>
      <x:c r="N11812" s="0" t="s">
        <x:v>27403</x:v>
      </x:c>
    </x:row>
    <x:row r="11813" spans="1:16">
      <x:c r="A11813" s="0" t="s">
        <x:v>46049</x:v>
      </x:c>
      <x:c r="B11813" s="0" t="s">
        <x:v>46050</x:v>
      </x:c>
      <x:c r="C11813" s="0" t="s">
        <x:v>42840</x:v>
      </x:c>
      <x:c r="E11813" s="0" t="s">
        <x:v>46051</x:v>
      </x:c>
      <x:c r="F11813" s="0" t="s">
        <x:v>45</x:v>
      </x:c>
      <x:c r="G11813" s="0" t="s">
        <x:v>22</x:v>
      </x:c>
      <x:c r="H11813" s="0" t="s">
        <x:v>20</x:v>
      </x:c>
      <x:c r="I11813" s="0" t="s">
        <x:v>21</x:v>
      </x:c>
      <x:c r="K11813" s="0">
        <x:f>hyperlink("https://icd.who.int/dev11/l-ichi/en#/http%3A%2F%2Fid.who.int%2Ficd%2Fentity%2F979253394","browser")</x:f>
      </x:c>
      <x:c r="L11813" s="0">
        <x:f>hyperlink("https://icat2.azurewebsites.net/icat/?ontology=ICD&amp;tab=ClassesTab&amp;id=http%3A%2F%2Fwho.int%2Ficd%23SpecificAnatomicLocation_2240","iCat")</x:f>
      </x:c>
      <x:c r="M11813" s="0" t="s">
        <x:v>21</x:v>
      </x:c>
      <x:c r="N11813" s="0" t="s">
        <x:v>46</x:v>
      </x:c>
    </x:row>
    <x:row r="11814" spans="1:16">
      <x:c r="A11814" s="0" t="s">
        <x:v>46052</x:v>
      </x:c>
      <x:c r="B11814" s="0" t="s">
        <x:v>46053</x:v>
      </x:c>
      <x:c r="C11814" s="0" t="s">
        <x:v>42840</x:v>
      </x:c>
      <x:c r="E11814" s="0" t="s">
        <x:v>46054</x:v>
      </x:c>
      <x:c r="F11814" s="0" t="s">
        <x:v>45</x:v>
      </x:c>
      <x:c r="G11814" s="0" t="s">
        <x:v>22</x:v>
      </x:c>
      <x:c r="H11814" s="0" t="s">
        <x:v>20</x:v>
      </x:c>
      <x:c r="I11814" s="0" t="s">
        <x:v>21</x:v>
      </x:c>
      <x:c r="K11814" s="0">
        <x:f>hyperlink("https://icd.who.int/dev11/l-ichi/en#/http%3A%2F%2Fid.who.int%2Ficd%2Fentity%2F1460927649","browser")</x:f>
      </x:c>
      <x:c r="L11814" s="0">
        <x:f>hyperlink("https://icat2.azurewebsites.net/icat/?ontology=ICD&amp;tab=ClassesTab&amp;id=http%3A%2F%2Fwho.int%2Ficd%23SpecificAnatomicLocation_2265","iCat")</x:f>
      </x:c>
      <x:c r="M11814" s="0" t="s">
        <x:v>21</x:v>
      </x:c>
      <x:c r="N11814" s="0" t="s">
        <x:v>46</x:v>
      </x:c>
    </x:row>
    <x:row r="11815" spans="1:16">
      <x:c r="A11815" s="0" t="s">
        <x:v>46055</x:v>
      </x:c>
      <x:c r="B11815" s="0" t="s">
        <x:v>46056</x:v>
      </x:c>
      <x:c r="C11815" s="0" t="s">
        <x:v>42840</x:v>
      </x:c>
      <x:c r="E11815" s="0" t="s">
        <x:v>46057</x:v>
      </x:c>
      <x:c r="F11815" s="0" t="s">
        <x:v>45</x:v>
      </x:c>
      <x:c r="G11815" s="0" t="s">
        <x:v>22</x:v>
      </x:c>
      <x:c r="H11815" s="0" t="s">
        <x:v>20</x:v>
      </x:c>
      <x:c r="I11815" s="0" t="s">
        <x:v>21</x:v>
      </x:c>
      <x:c r="K11815" s="0">
        <x:f>hyperlink("https://icd.who.int/dev11/l-ichi/en#/http%3A%2F%2Fid.who.int%2Ficd%2Fentity%2F1276139578","browser")</x:f>
      </x:c>
      <x:c r="L11815" s="0">
        <x:f>hyperlink("https://icat2.azurewebsites.net/icat/?ontology=ICD&amp;tab=ClassesTab&amp;id=http%3A%2F%2Fwho.int%2Ficd%23SpecificAnatomicLocation_2272","iCat")</x:f>
      </x:c>
      <x:c r="M11815" s="0" t="s">
        <x:v>21</x:v>
      </x:c>
      <x:c r="N11815" s="0" t="s">
        <x:v>46</x:v>
      </x:c>
    </x:row>
    <x:row r="11816" spans="1:16">
      <x:c r="A11816" s="0" t="s">
        <x:v>46058</x:v>
      </x:c>
      <x:c r="B11816" s="0" t="s">
        <x:v>46059</x:v>
      </x:c>
      <x:c r="C11816" s="0" t="s">
        <x:v>42840</x:v>
      </x:c>
      <x:c r="E11816" s="0" t="s">
        <x:v>46060</x:v>
      </x:c>
      <x:c r="F11816" s="0" t="s">
        <x:v>45</x:v>
      </x:c>
      <x:c r="G11816" s="0" t="s">
        <x:v>22</x:v>
      </x:c>
      <x:c r="H11816" s="0" t="s">
        <x:v>20</x:v>
      </x:c>
      <x:c r="I11816" s="0" t="s">
        <x:v>21</x:v>
      </x:c>
      <x:c r="K11816" s="0">
        <x:f>hyperlink("https://icd.who.int/dev11/l-ichi/en#/http%3A%2F%2Fid.who.int%2Ficd%2Fentity%2F1808434606","browser")</x:f>
      </x:c>
      <x:c r="L11816" s="0">
        <x:f>hyperlink("https://icat2.azurewebsites.net/icat/?ontology=ICD&amp;tab=ClassesTab&amp;id=http%3A%2F%2Fwho.int%2Ficd%23SpecificAnatomicLocation_2249","iCat")</x:f>
      </x:c>
      <x:c r="M11816" s="0" t="s">
        <x:v>21</x:v>
      </x:c>
      <x:c r="N11816" s="0" t="s">
        <x:v>46</x:v>
      </x:c>
    </x:row>
    <x:row r="11817" spans="1:16">
      <x:c r="A11817" s="0" t="s">
        <x:v>46061</x:v>
      </x:c>
      <x:c r="B11817" s="0" t="s">
        <x:v>46062</x:v>
      </x:c>
      <x:c r="C11817" s="0" t="s">
        <x:v>42840</x:v>
      </x:c>
      <x:c r="E11817" s="0" t="s">
        <x:v>46063</x:v>
      </x:c>
      <x:c r="F11817" s="0" t="s">
        <x:v>45</x:v>
      </x:c>
      <x:c r="G11817" s="0" t="s">
        <x:v>22</x:v>
      </x:c>
      <x:c r="H11817" s="0" t="s">
        <x:v>20</x:v>
      </x:c>
      <x:c r="I11817" s="0" t="s">
        <x:v>21</x:v>
      </x:c>
      <x:c r="K11817" s="0">
        <x:f>hyperlink("https://icd.who.int/dev11/l-ichi/en#/http%3A%2F%2Fid.who.int%2Ficd%2Fentity%2F1087371303","browser")</x:f>
      </x:c>
      <x:c r="L11817" s="0">
        <x:f>hyperlink("https://icat2.azurewebsites.net/icat/?ontology=ICD&amp;tab=ClassesTab&amp;id=http%3A%2F%2Fwho.int%2Ficd%23SpecificAnatomicLocation_2235","iCat")</x:f>
      </x:c>
      <x:c r="M11817" s="0" t="s">
        <x:v>21</x:v>
      </x:c>
      <x:c r="N11817" s="0" t="s">
        <x:v>46</x:v>
      </x:c>
    </x:row>
    <x:row r="11818" spans="1:16">
      <x:c r="A11818" s="0" t="s">
        <x:v>46064</x:v>
      </x:c>
      <x:c r="B11818" s="0" t="s">
        <x:v>46065</x:v>
      </x:c>
      <x:c r="C11818" s="0" t="s">
        <x:v>42840</x:v>
      </x:c>
      <x:c r="E11818" s="0" t="s">
        <x:v>46066</x:v>
      </x:c>
      <x:c r="F11818" s="0" t="s">
        <x:v>45</x:v>
      </x:c>
      <x:c r="G11818" s="0" t="s">
        <x:v>22</x:v>
      </x:c>
      <x:c r="H11818" s="0" t="s">
        <x:v>20</x:v>
      </x:c>
      <x:c r="I11818" s="0" t="s">
        <x:v>21</x:v>
      </x:c>
      <x:c r="K11818" s="0">
        <x:f>hyperlink("https://icd.who.int/dev11/l-ichi/en#/http%3A%2F%2Fid.who.int%2Ficd%2Fentity%2F336523538","browser")</x:f>
      </x:c>
      <x:c r="L11818" s="0">
        <x:f>hyperlink("https://icat2.azurewebsites.net/icat/?ontology=ICD&amp;tab=ClassesTab&amp;id=http%3A%2F%2Fwho.int%2Ficd%23SpecificAnatomicLocation_2242","iCat")</x:f>
      </x:c>
      <x:c r="M11818" s="0" t="s">
        <x:v>21</x:v>
      </x:c>
      <x:c r="N11818" s="0" t="s">
        <x:v>46</x:v>
      </x:c>
    </x:row>
    <x:row r="11819" spans="1:16">
      <x:c r="A11819" s="0" t="s">
        <x:v>46067</x:v>
      </x:c>
      <x:c r="B11819" s="0" t="s">
        <x:v>46068</x:v>
      </x:c>
      <x:c r="C11819" s="0" t="s">
        <x:v>42840</x:v>
      </x:c>
      <x:c r="E11819" s="0" t="s">
        <x:v>46069</x:v>
      </x:c>
      <x:c r="F11819" s="0" t="s">
        <x:v>45</x:v>
      </x:c>
      <x:c r="G11819" s="0" t="s">
        <x:v>22</x:v>
      </x:c>
      <x:c r="H11819" s="0" t="s">
        <x:v>20</x:v>
      </x:c>
      <x:c r="I11819" s="0" t="s">
        <x:v>21</x:v>
      </x:c>
      <x:c r="K11819" s="0">
        <x:f>hyperlink("https://icd.who.int/dev11/l-ichi/en#/http%3A%2F%2Fid.who.int%2Ficd%2Fentity%2F701064826","browser")</x:f>
      </x:c>
      <x:c r="L11819" s="0">
        <x:f>hyperlink("https://icat2.azurewebsites.net/icat/?ontology=ICD&amp;tab=ClassesTab&amp;id=http%3A%2F%2Fwho.int%2Ficd%23SpecificAnatomicLocation_2275","iCat")</x:f>
      </x:c>
      <x:c r="M11819" s="0" t="s">
        <x:v>21</x:v>
      </x:c>
      <x:c r="N11819" s="0" t="s">
        <x:v>46</x:v>
      </x:c>
    </x:row>
    <x:row r="11820" spans="1:16">
      <x:c r="A11820" s="0" t="s">
        <x:v>46070</x:v>
      </x:c>
      <x:c r="B11820" s="0" t="s">
        <x:v>46071</x:v>
      </x:c>
      <x:c r="C11820" s="0" t="s">
        <x:v>42840</x:v>
      </x:c>
      <x:c r="E11820" s="0" t="s">
        <x:v>46072</x:v>
      </x:c>
      <x:c r="F11820" s="0" t="s">
        <x:v>45</x:v>
      </x:c>
      <x:c r="G11820" s="0" t="s">
        <x:v>22</x:v>
      </x:c>
      <x:c r="H11820" s="0" t="s">
        <x:v>20</x:v>
      </x:c>
      <x:c r="I11820" s="0" t="s">
        <x:v>21</x:v>
      </x:c>
      <x:c r="K11820" s="0">
        <x:f>hyperlink("https://icd.who.int/dev11/l-ichi/en#/http%3A%2F%2Fid.who.int%2Ficd%2Fentity%2F1219453458","browser")</x:f>
      </x:c>
      <x:c r="L11820" s="0">
        <x:f>hyperlink("https://icat2.azurewebsites.net/icat/?ontology=ICD&amp;tab=ClassesTab&amp;id=http%3A%2F%2Fwho.int%2Ficd%23SpecificAnatomicLocation_2246","iCat")</x:f>
      </x:c>
      <x:c r="M11820" s="0" t="s">
        <x:v>21</x:v>
      </x:c>
      <x:c r="N11820" s="0" t="s">
        <x:v>46</x:v>
      </x:c>
    </x:row>
    <x:row r="11821" spans="1:16">
      <x:c r="A11821" s="0" t="s">
        <x:v>46073</x:v>
      </x:c>
      <x:c r="B11821" s="0" t="s">
        <x:v>46074</x:v>
      </x:c>
      <x:c r="C11821" s="0" t="s">
        <x:v>42840</x:v>
      </x:c>
      <x:c r="E11821" s="0" t="s">
        <x:v>46075</x:v>
      </x:c>
      <x:c r="F11821" s="0" t="s">
        <x:v>45</x:v>
      </x:c>
      <x:c r="G11821" s="0" t="s">
        <x:v>22</x:v>
      </x:c>
      <x:c r="H11821" s="0" t="s">
        <x:v>20</x:v>
      </x:c>
      <x:c r="I11821" s="0" t="s">
        <x:v>21</x:v>
      </x:c>
      <x:c r="K11821" s="0">
        <x:f>hyperlink("https://icd.who.int/dev11/l-ichi/en#/http%3A%2F%2Fid.who.int%2Ficd%2Fentity%2F1292809823","browser")</x:f>
      </x:c>
      <x:c r="L11821" s="0">
        <x:f>hyperlink("https://icat2.azurewebsites.net/icat/?ontology=ICD&amp;tab=ClassesTab&amp;id=http%3A%2F%2Fwho.int%2Ficd%23SpecificAnatomicLocation_2269","iCat")</x:f>
      </x:c>
      <x:c r="M11821" s="0" t="s">
        <x:v>21</x:v>
      </x:c>
      <x:c r="N11821" s="0" t="s">
        <x:v>46</x:v>
      </x:c>
    </x:row>
    <x:row r="11822" spans="1:16">
      <x:c r="A11822" s="0" t="s">
        <x:v>46076</x:v>
      </x:c>
      <x:c r="B11822" s="0" t="s">
        <x:v>46077</x:v>
      </x:c>
      <x:c r="C11822" s="0" t="s">
        <x:v>42840</x:v>
      </x:c>
      <x:c r="E11822" s="0" t="s">
        <x:v>46078</x:v>
      </x:c>
      <x:c r="F11822" s="0" t="s">
        <x:v>45</x:v>
      </x:c>
      <x:c r="G11822" s="0" t="s">
        <x:v>22</x:v>
      </x:c>
      <x:c r="H11822" s="0" t="s">
        <x:v>20</x:v>
      </x:c>
      <x:c r="I11822" s="0" t="s">
        <x:v>21</x:v>
      </x:c>
      <x:c r="K11822" s="0">
        <x:f>hyperlink("https://icd.who.int/dev11/l-ichi/en#/http%3A%2F%2Fid.who.int%2Ficd%2Fentity%2F635610657","browser")</x:f>
      </x:c>
      <x:c r="L11822" s="0">
        <x:f>hyperlink("https://icat2.azurewebsites.net/icat/?ontology=ICD&amp;tab=ClassesTab&amp;id=http%3A%2F%2Fwho.int%2Ficd%23SpecificAnatomicLocation_2263","iCat")</x:f>
      </x:c>
      <x:c r="M11822" s="0" t="s">
        <x:v>21</x:v>
      </x:c>
      <x:c r="N11822" s="0" t="s">
        <x:v>46</x:v>
      </x:c>
    </x:row>
    <x:row r="11823" spans="1:16">
      <x:c r="A11823" s="0" t="s">
        <x:v>46079</x:v>
      </x:c>
      <x:c r="B11823" s="0" t="s">
        <x:v>46080</x:v>
      </x:c>
      <x:c r="C11823" s="0" t="s">
        <x:v>42840</x:v>
      </x:c>
      <x:c r="E11823" s="0" t="s">
        <x:v>46081</x:v>
      </x:c>
      <x:c r="F11823" s="0" t="s">
        <x:v>45</x:v>
      </x:c>
      <x:c r="G11823" s="0" t="s">
        <x:v>22</x:v>
      </x:c>
      <x:c r="H11823" s="0" t="s">
        <x:v>20</x:v>
      </x:c>
      <x:c r="I11823" s="0" t="s">
        <x:v>21</x:v>
      </x:c>
      <x:c r="K11823" s="0">
        <x:f>hyperlink("https://icd.who.int/dev11/l-ichi/en#/http%3A%2F%2Fid.who.int%2Ficd%2Fentity%2F1149542985","browser")</x:f>
      </x:c>
      <x:c r="L11823" s="0">
        <x:f>hyperlink("https://icat2.azurewebsites.net/icat/?ontology=ICD&amp;tab=ClassesTab&amp;id=http%3A%2F%2Fwho.int%2Ficd%23SpecificAnatomicLocation_2250","iCat")</x:f>
      </x:c>
      <x:c r="M11823" s="0" t="s">
        <x:v>21</x:v>
      </x:c>
      <x:c r="N11823" s="0" t="s">
        <x:v>46</x:v>
      </x:c>
    </x:row>
    <x:row r="11824" spans="1:16">
      <x:c r="A11824" s="0" t="s">
        <x:v>46082</x:v>
      </x:c>
      <x:c r="B11824" s="0" t="s">
        <x:v>46083</x:v>
      </x:c>
      <x:c r="C11824" s="0" t="s">
        <x:v>42840</x:v>
      </x:c>
      <x:c r="E11824" s="0" t="s">
        <x:v>46084</x:v>
      </x:c>
      <x:c r="F11824" s="0" t="s">
        <x:v>45</x:v>
      </x:c>
      <x:c r="G11824" s="0" t="s">
        <x:v>22</x:v>
      </x:c>
      <x:c r="H11824" s="0" t="s">
        <x:v>20</x:v>
      </x:c>
      <x:c r="I11824" s="0" t="s">
        <x:v>21</x:v>
      </x:c>
      <x:c r="K11824" s="0">
        <x:f>hyperlink("https://icd.who.int/dev11/l-ichi/en#/http%3A%2F%2Fid.who.int%2Ficd%2Fentity%2F37256119","browser")</x:f>
      </x:c>
      <x:c r="L11824" s="0">
        <x:f>hyperlink("https://icat2.azurewebsites.net/icat/?ontology=ICD&amp;tab=ClassesTab&amp;id=http%3A%2F%2Fwho.int%2Ficd%23SpecificAnatomicLocation_2258","iCat")</x:f>
      </x:c>
      <x:c r="M11824" s="0" t="s">
        <x:v>21</x:v>
      </x:c>
      <x:c r="N11824" s="0" t="s">
        <x:v>46</x:v>
      </x:c>
    </x:row>
    <x:row r="11825" spans="1:16">
      <x:c r="A11825" s="0" t="s">
        <x:v>46085</x:v>
      </x:c>
      <x:c r="B11825" s="0" t="s">
        <x:v>46086</x:v>
      </x:c>
      <x:c r="C11825" s="0" t="s">
        <x:v>42840</x:v>
      </x:c>
      <x:c r="E11825" s="0" t="s">
        <x:v>46087</x:v>
      </x:c>
      <x:c r="F11825" s="0" t="s">
        <x:v>45</x:v>
      </x:c>
      <x:c r="G11825" s="0" t="s">
        <x:v>22</x:v>
      </x:c>
      <x:c r="H11825" s="0" t="s">
        <x:v>20</x:v>
      </x:c>
      <x:c r="I11825" s="0" t="s">
        <x:v>21</x:v>
      </x:c>
      <x:c r="K11825" s="0">
        <x:f>hyperlink("https://icd.who.int/dev11/l-ichi/en#/http%3A%2F%2Fid.who.int%2Ficd%2Fentity%2F2095243630","browser")</x:f>
      </x:c>
      <x:c r="L11825" s="0">
        <x:f>hyperlink("https://icat2.azurewebsites.net/icat/?ontology=ICD&amp;tab=ClassesTab&amp;id=http%3A%2F%2Fwho.int%2Ficd%23SpecificAnatomicLocation_2248","iCat")</x:f>
      </x:c>
      <x:c r="M11825" s="0" t="s">
        <x:v>21</x:v>
      </x:c>
      <x:c r="N11825" s="0" t="s">
        <x:v>46</x:v>
      </x:c>
    </x:row>
    <x:row r="11826" spans="1:16">
      <x:c r="A11826" s="0" t="s">
        <x:v>46088</x:v>
      </x:c>
      <x:c r="B11826" s="0" t="s">
        <x:v>46089</x:v>
      </x:c>
      <x:c r="C11826" s="0" t="s">
        <x:v>42840</x:v>
      </x:c>
      <x:c r="E11826" s="0" t="s">
        <x:v>46090</x:v>
      </x:c>
      <x:c r="F11826" s="0" t="s">
        <x:v>45</x:v>
      </x:c>
      <x:c r="G11826" s="0" t="s">
        <x:v>22</x:v>
      </x:c>
      <x:c r="H11826" s="0" t="s">
        <x:v>20</x:v>
      </x:c>
      <x:c r="I11826" s="0" t="s">
        <x:v>21</x:v>
      </x:c>
      <x:c r="K11826" s="0">
        <x:f>hyperlink("https://icd.who.int/dev11/l-ichi/en#/http%3A%2F%2Fid.who.int%2Ficd%2Fentity%2F1969812858","browser")</x:f>
      </x:c>
      <x:c r="L11826" s="0">
        <x:f>hyperlink("https://icat2.azurewebsites.net/icat/?ontology=ICD&amp;tab=ClassesTab&amp;id=http%3A%2F%2Fwho.int%2Ficd%23SpecificAnatomicLocation_2271","iCat")</x:f>
      </x:c>
      <x:c r="M11826" s="0" t="s">
        <x:v>21</x:v>
      </x:c>
      <x:c r="N11826" s="0" t="s">
        <x:v>46</x:v>
      </x:c>
    </x:row>
    <x:row r="11827" spans="1:16">
      <x:c r="A11827" s="0" t="s">
        <x:v>46091</x:v>
      </x:c>
      <x:c r="B11827" s="0" t="s">
        <x:v>46092</x:v>
      </x:c>
      <x:c r="C11827" s="0" t="s">
        <x:v>42840</x:v>
      </x:c>
      <x:c r="E11827" s="0" t="s">
        <x:v>46093</x:v>
      </x:c>
      <x:c r="F11827" s="0" t="s">
        <x:v>45</x:v>
      </x:c>
      <x:c r="G11827" s="0" t="s">
        <x:v>22</x:v>
      </x:c>
      <x:c r="H11827" s="0" t="s">
        <x:v>20</x:v>
      </x:c>
      <x:c r="I11827" s="0" t="s">
        <x:v>21</x:v>
      </x:c>
      <x:c r="K11827" s="0">
        <x:f>hyperlink("https://icd.who.int/dev11/l-ichi/en#/http%3A%2F%2Fid.who.int%2Ficd%2Fentity%2F1909968722","browser")</x:f>
      </x:c>
      <x:c r="L11827" s="0">
        <x:f>hyperlink("https://icat2.azurewebsites.net/icat/?ontology=ICD&amp;tab=ClassesTab&amp;id=http%3A%2F%2Fwho.int%2Ficd%23SpecificAnatomicLocation_2245","iCat")</x:f>
      </x:c>
      <x:c r="M11827" s="0" t="s">
        <x:v>21</x:v>
      </x:c>
      <x:c r="N11827" s="0" t="s">
        <x:v>46</x:v>
      </x:c>
    </x:row>
    <x:row r="11828" spans="1:16">
      <x:c r="A11828" s="0" t="s">
        <x:v>46094</x:v>
      </x:c>
      <x:c r="B11828" s="0" t="s">
        <x:v>46095</x:v>
      </x:c>
      <x:c r="C11828" s="0" t="s">
        <x:v>42840</x:v>
      </x:c>
      <x:c r="E11828" s="0" t="s">
        <x:v>46096</x:v>
      </x:c>
      <x:c r="F11828" s="0" t="s">
        <x:v>45</x:v>
      </x:c>
      <x:c r="G11828" s="0" t="s">
        <x:v>22</x:v>
      </x:c>
      <x:c r="H11828" s="0" t="s">
        <x:v>20</x:v>
      </x:c>
      <x:c r="I11828" s="0" t="s">
        <x:v>21</x:v>
      </x:c>
      <x:c r="K11828" s="0">
        <x:f>hyperlink("https://icd.who.int/dev11/l-ichi/en#/http%3A%2F%2Fid.who.int%2Ficd%2Fentity%2F1530412282","browser")</x:f>
      </x:c>
      <x:c r="L11828" s="0">
        <x:f>hyperlink("https://icat2.azurewebsites.net/icat/?ontology=ICD&amp;tab=ClassesTab&amp;id=http%3A%2F%2Fwho.int%2Ficd%23SpecificAnatomicLocation_2273","iCat")</x:f>
      </x:c>
      <x:c r="M11828" s="0" t="s">
        <x:v>21</x:v>
      </x:c>
      <x:c r="N11828" s="0" t="s">
        <x:v>46</x:v>
      </x:c>
    </x:row>
    <x:row r="11829" spans="1:16">
      <x:c r="A11829" s="0" t="s">
        <x:v>46097</x:v>
      </x:c>
      <x:c r="B11829" s="0" t="s">
        <x:v>46098</x:v>
      </x:c>
      <x:c r="C11829" s="0" t="s">
        <x:v>42840</x:v>
      </x:c>
      <x:c r="E11829" s="0" t="s">
        <x:v>46099</x:v>
      </x:c>
      <x:c r="F11829" s="0" t="s">
        <x:v>45</x:v>
      </x:c>
      <x:c r="G11829" s="0" t="s">
        <x:v>22</x:v>
      </x:c>
      <x:c r="H11829" s="0" t="s">
        <x:v>20</x:v>
      </x:c>
      <x:c r="I11829" s="0" t="s">
        <x:v>21</x:v>
      </x:c>
      <x:c r="K11829" s="0">
        <x:f>hyperlink("https://icd.who.int/dev11/l-ichi/en#/http%3A%2F%2Fid.who.int%2Ficd%2Fentity%2F127512570","browser")</x:f>
      </x:c>
      <x:c r="L11829" s="0">
        <x:f>hyperlink("https://icat2.azurewebsites.net/icat/?ontology=ICD&amp;tab=ClassesTab&amp;id=http%3A%2F%2Fwho.int%2Ficd%23SpecificAnatomicLocation_2277","iCat")</x:f>
      </x:c>
      <x:c r="M11829" s="0" t="s">
        <x:v>21</x:v>
      </x:c>
      <x:c r="N11829" s="0" t="s">
        <x:v>46</x:v>
      </x:c>
    </x:row>
    <x:row r="11830" spans="1:16">
      <x:c r="A11830" s="0" t="s">
        <x:v>46100</x:v>
      </x:c>
      <x:c r="B11830" s="0" t="s">
        <x:v>46101</x:v>
      </x:c>
      <x:c r="C11830" s="0" t="s">
        <x:v>42840</x:v>
      </x:c>
      <x:c r="E11830" s="0" t="s">
        <x:v>46102</x:v>
      </x:c>
      <x:c r="F11830" s="0" t="s">
        <x:v>45</x:v>
      </x:c>
      <x:c r="G11830" s="0" t="s">
        <x:v>22</x:v>
      </x:c>
      <x:c r="H11830" s="0" t="s">
        <x:v>20</x:v>
      </x:c>
      <x:c r="I11830" s="0" t="s">
        <x:v>21</x:v>
      </x:c>
      <x:c r="K11830" s="0">
        <x:f>hyperlink("https://icd.who.int/dev11/l-ichi/en#/http%3A%2F%2Fid.who.int%2Ficd%2Fentity%2F405090633","browser")</x:f>
      </x:c>
      <x:c r="L11830" s="0">
        <x:f>hyperlink("https://icat2.azurewebsites.net/icat/?ontology=ICD&amp;tab=ClassesTab&amp;id=http%3A%2F%2Fwho.int%2Ficd%23SpecificAnatomicLocation_2254","iCat")</x:f>
      </x:c>
      <x:c r="M11830" s="0" t="s">
        <x:v>21</x:v>
      </x:c>
      <x:c r="N11830" s="0" t="s">
        <x:v>46</x:v>
      </x:c>
    </x:row>
    <x:row r="11831" spans="1:16">
      <x:c r="A11831" s="0" t="s">
        <x:v>46103</x:v>
      </x:c>
      <x:c r="B11831" s="0" t="s">
        <x:v>46104</x:v>
      </x:c>
      <x:c r="C11831" s="0" t="s">
        <x:v>42840</x:v>
      </x:c>
      <x:c r="E11831" s="0" t="s">
        <x:v>46105</x:v>
      </x:c>
      <x:c r="F11831" s="0" t="s">
        <x:v>45</x:v>
      </x:c>
      <x:c r="G11831" s="0" t="s">
        <x:v>22</x:v>
      </x:c>
      <x:c r="H11831" s="0" t="s">
        <x:v>20</x:v>
      </x:c>
      <x:c r="I11831" s="0" t="s">
        <x:v>21</x:v>
      </x:c>
      <x:c r="K11831" s="0">
        <x:f>hyperlink("https://icd.who.int/dev11/l-ichi/en#/http%3A%2F%2Fid.who.int%2Ficd%2Fentity%2F1648398778","browser")</x:f>
      </x:c>
      <x:c r="L11831" s="0">
        <x:f>hyperlink("https://icat2.azurewebsites.net/icat/?ontology=ICD&amp;tab=ClassesTab&amp;id=http%3A%2F%2Fwho.int%2Ficd%23SpecificAnatomicLocation_2270","iCat")</x:f>
      </x:c>
      <x:c r="M11831" s="0" t="s">
        <x:v>21</x:v>
      </x:c>
      <x:c r="N11831" s="0" t="s">
        <x:v>46</x:v>
      </x:c>
    </x:row>
    <x:row r="11832" spans="1:16">
      <x:c r="A11832" s="0" t="s">
        <x:v>46106</x:v>
      </x:c>
      <x:c r="B11832" s="0" t="s">
        <x:v>46107</x:v>
      </x:c>
      <x:c r="C11832" s="0" t="s">
        <x:v>42840</x:v>
      </x:c>
      <x:c r="E11832" s="0" t="s">
        <x:v>46108</x:v>
      </x:c>
      <x:c r="F11832" s="0" t="s">
        <x:v>45</x:v>
      </x:c>
      <x:c r="G11832" s="0" t="s">
        <x:v>22</x:v>
      </x:c>
      <x:c r="H11832" s="0" t="s">
        <x:v>20</x:v>
      </x:c>
      <x:c r="I11832" s="0" t="s">
        <x:v>21</x:v>
      </x:c>
      <x:c r="K11832" s="0">
        <x:f>hyperlink("https://icd.who.int/dev11/l-ichi/en#/http%3A%2F%2Fid.who.int%2Ficd%2Fentity%2F1512493727","browser")</x:f>
      </x:c>
      <x:c r="L11832" s="0">
        <x:f>hyperlink("https://icat2.azurewebsites.net/icat/?ontology=ICD&amp;tab=ClassesTab&amp;id=http%3A%2F%2Fwho.int%2Ficd%23SpecificAnatomicLocation_2268","iCat")</x:f>
      </x:c>
      <x:c r="M11832" s="0" t="s">
        <x:v>21</x:v>
      </x:c>
      <x:c r="N11832" s="0" t="s">
        <x:v>46</x:v>
      </x:c>
    </x:row>
    <x:row r="11833" spans="1:16">
      <x:c r="A11833" s="0" t="s">
        <x:v>46109</x:v>
      </x:c>
      <x:c r="B11833" s="0" t="s">
        <x:v>46110</x:v>
      </x:c>
      <x:c r="C11833" s="0" t="s">
        <x:v>42840</x:v>
      </x:c>
      <x:c r="E11833" s="0" t="s">
        <x:v>46111</x:v>
      </x:c>
      <x:c r="F11833" s="0" t="s">
        <x:v>45</x:v>
      </x:c>
      <x:c r="G11833" s="0" t="s">
        <x:v>22</x:v>
      </x:c>
      <x:c r="H11833" s="0" t="s">
        <x:v>20</x:v>
      </x:c>
      <x:c r="I11833" s="0" t="s">
        <x:v>21</x:v>
      </x:c>
      <x:c r="K11833" s="0">
        <x:f>hyperlink("https://icd.who.int/dev11/l-ichi/en#/http%3A%2F%2Fid.who.int%2Ficd%2Fentity%2F479857505","browser")</x:f>
      </x:c>
      <x:c r="L11833" s="0">
        <x:f>hyperlink("https://icat2.azurewebsites.net/icat/?ontology=ICD&amp;tab=ClassesTab&amp;id=http%3A%2F%2Fwho.int%2Ficd%23SpecificAnatomicLocation_2260","iCat")</x:f>
      </x:c>
      <x:c r="M11833" s="0" t="s">
        <x:v>21</x:v>
      </x:c>
      <x:c r="N11833" s="0" t="s">
        <x:v>46</x:v>
      </x:c>
    </x:row>
    <x:row r="11834" spans="1:16">
      <x:c r="A11834" s="0" t="s">
        <x:v>46112</x:v>
      </x:c>
      <x:c r="B11834" s="0" t="s">
        <x:v>46113</x:v>
      </x:c>
      <x:c r="C11834" s="0" t="s">
        <x:v>42840</x:v>
      </x:c>
      <x:c r="E11834" s="0" t="s">
        <x:v>46114</x:v>
      </x:c>
      <x:c r="F11834" s="0" t="s">
        <x:v>45</x:v>
      </x:c>
      <x:c r="G11834" s="0" t="s">
        <x:v>22</x:v>
      </x:c>
      <x:c r="H11834" s="0" t="s">
        <x:v>20</x:v>
      </x:c>
      <x:c r="I11834" s="0" t="s">
        <x:v>21</x:v>
      </x:c>
      <x:c r="K11834" s="0">
        <x:f>hyperlink("https://icd.who.int/dev11/l-ichi/en#/http%3A%2F%2Fid.who.int%2Ficd%2Fentity%2F52860370","browser")</x:f>
      </x:c>
      <x:c r="L11834" s="0">
        <x:f>hyperlink("https://icat2.azurewebsites.net/icat/?ontology=ICD&amp;tab=ClassesTab&amp;id=http%3A%2F%2Fwho.int%2Ficd%23SpecificAnatomicLocation_2243","iCat")</x:f>
      </x:c>
      <x:c r="M11834" s="0" t="s">
        <x:v>21</x:v>
      </x:c>
      <x:c r="N11834" s="0" t="s">
        <x:v>46</x:v>
      </x:c>
    </x:row>
    <x:row r="11835" spans="1:16">
      <x:c r="A11835" s="0" t="s">
        <x:v>46115</x:v>
      </x:c>
      <x:c r="B11835" s="0" t="s">
        <x:v>46116</x:v>
      </x:c>
      <x:c r="C11835" s="0" t="s">
        <x:v>42840</x:v>
      </x:c>
      <x:c r="E11835" s="0" t="s">
        <x:v>46117</x:v>
      </x:c>
      <x:c r="F11835" s="0" t="s">
        <x:v>45</x:v>
      </x:c>
      <x:c r="G11835" s="0" t="s">
        <x:v>22</x:v>
      </x:c>
      <x:c r="H11835" s="0" t="s">
        <x:v>20</x:v>
      </x:c>
      <x:c r="I11835" s="0" t="s">
        <x:v>21</x:v>
      </x:c>
      <x:c r="K11835" s="0">
        <x:f>hyperlink("https://icd.who.int/dev11/l-ichi/en#/http%3A%2F%2Fid.who.int%2Ficd%2Fentity%2F1403831945","browser")</x:f>
      </x:c>
      <x:c r="L11835" s="0">
        <x:f>hyperlink("https://icat2.azurewebsites.net/icat/?ontology=ICD&amp;tab=ClassesTab&amp;id=http%3A%2F%2Fwho.int%2Ficd%23SpecificAnatomicLocation_2251","iCat")</x:f>
      </x:c>
      <x:c r="M11835" s="0" t="s">
        <x:v>21</x:v>
      </x:c>
      <x:c r="N11835" s="0" t="s">
        <x:v>46</x:v>
      </x:c>
    </x:row>
    <x:row r="11836" spans="1:16">
      <x:c r="A11836" s="0" t="s">
        <x:v>46118</x:v>
      </x:c>
      <x:c r="B11836" s="0" t="s">
        <x:v>46119</x:v>
      </x:c>
      <x:c r="C11836" s="0" t="s">
        <x:v>42840</x:v>
      </x:c>
      <x:c r="E11836" s="0" t="s">
        <x:v>46120</x:v>
      </x:c>
      <x:c r="F11836" s="0" t="s">
        <x:v>45</x:v>
      </x:c>
      <x:c r="G11836" s="0" t="s">
        <x:v>22</x:v>
      </x:c>
      <x:c r="H11836" s="0" t="s">
        <x:v>20</x:v>
      </x:c>
      <x:c r="I11836" s="0" t="s">
        <x:v>21</x:v>
      </x:c>
      <x:c r="K11836" s="0">
        <x:f>hyperlink("https://icd.who.int/dev11/l-ichi/en#/http%3A%2F%2Fid.who.int%2Ficd%2Fentity%2F913701065","browser")</x:f>
      </x:c>
      <x:c r="L11836" s="0">
        <x:f>hyperlink("https://icat2.azurewebsites.net/icat/?ontology=ICD&amp;tab=ClassesTab&amp;id=http%3A%2F%2Fwho.int%2Ficd%23SpecificAnatomicLocation_2256","iCat")</x:f>
      </x:c>
      <x:c r="M11836" s="0" t="s">
        <x:v>21</x:v>
      </x:c>
      <x:c r="N11836" s="0" t="s">
        <x:v>46</x:v>
      </x:c>
    </x:row>
    <x:row r="11837" spans="1:16">
      <x:c r="A11837" s="0" t="s">
        <x:v>46121</x:v>
      </x:c>
      <x:c r="B11837" s="0" t="s">
        <x:v>46122</x:v>
      </x:c>
      <x:c r="C11837" s="0" t="s">
        <x:v>42840</x:v>
      </x:c>
      <x:c r="E11837" s="0" t="s">
        <x:v>46123</x:v>
      </x:c>
      <x:c r="F11837" s="0" t="s">
        <x:v>45</x:v>
      </x:c>
      <x:c r="G11837" s="0" t="s">
        <x:v>22</x:v>
      </x:c>
      <x:c r="H11837" s="0" t="s">
        <x:v>20</x:v>
      </x:c>
      <x:c r="I11837" s="0" t="s">
        <x:v>21</x:v>
      </x:c>
      <x:c r="K11837" s="0">
        <x:f>hyperlink("https://icd.who.int/dev11/l-ichi/en#/http%3A%2F%2Fid.who.int%2Ficd%2Fentity%2F353378167","browser")</x:f>
      </x:c>
      <x:c r="L11837" s="0">
        <x:f>hyperlink("https://icat2.azurewebsites.net/icat/?ontology=ICD&amp;tab=ClassesTab&amp;id=http%3A%2F%2Fwho.int%2Ficd%23SpecificAnatomicLocation_2259","iCat")</x:f>
      </x:c>
      <x:c r="M11837" s="0" t="s">
        <x:v>21</x:v>
      </x:c>
      <x:c r="N11837" s="0" t="s">
        <x:v>46</x:v>
      </x:c>
    </x:row>
    <x:row r="11838" spans="1:16">
      <x:c r="A11838" s="0" t="s">
        <x:v>46124</x:v>
      </x:c>
      <x:c r="B11838" s="0" t="s">
        <x:v>46125</x:v>
      </x:c>
      <x:c r="C11838" s="0" t="s">
        <x:v>42840</x:v>
      </x:c>
      <x:c r="E11838" s="0" t="s">
        <x:v>46126</x:v>
      </x:c>
      <x:c r="F11838" s="0" t="s">
        <x:v>45</x:v>
      </x:c>
      <x:c r="G11838" s="0" t="s">
        <x:v>22</x:v>
      </x:c>
      <x:c r="H11838" s="0" t="s">
        <x:v>20</x:v>
      </x:c>
      <x:c r="I11838" s="0" t="s">
        <x:v>21</x:v>
      </x:c>
      <x:c r="K11838" s="0">
        <x:f>hyperlink("https://icd.who.int/dev11/l-ichi/en#/http%3A%2F%2Fid.who.int%2Ficd%2Fentity%2F1792306121","browser")</x:f>
      </x:c>
      <x:c r="L11838" s="0">
        <x:f>hyperlink("https://icat2.azurewebsites.net/icat/?ontology=ICD&amp;tab=ClassesTab&amp;id=http%3A%2F%2Fwho.int%2Ficd%23SpecificAnatomicLocation_2252","iCat")</x:f>
      </x:c>
      <x:c r="M11838" s="0" t="s">
        <x:v>21</x:v>
      </x:c>
      <x:c r="N11838" s="0" t="s">
        <x:v>46</x:v>
      </x:c>
    </x:row>
    <x:row r="11839" spans="1:16">
      <x:c r="A11839" s="0" t="s">
        <x:v>46127</x:v>
      </x:c>
      <x:c r="B11839" s="0" t="s">
        <x:v>46128</x:v>
      </x:c>
      <x:c r="C11839" s="0" t="s">
        <x:v>42840</x:v>
      </x:c>
      <x:c r="E11839" s="0" t="s">
        <x:v>46129</x:v>
      </x:c>
      <x:c r="F11839" s="0" t="s">
        <x:v>45</x:v>
      </x:c>
      <x:c r="G11839" s="0" t="s">
        <x:v>22</x:v>
      </x:c>
      <x:c r="H11839" s="0" t="s">
        <x:v>20</x:v>
      </x:c>
      <x:c r="I11839" s="0" t="s">
        <x:v>21</x:v>
      </x:c>
      <x:c r="K11839" s="0">
        <x:f>hyperlink("https://icd.who.int/dev11/l-ichi/en#/http%3A%2F%2Fid.who.int%2Ficd%2Fentity%2F1728031634","browser")</x:f>
      </x:c>
      <x:c r="L11839" s="0">
        <x:f>hyperlink("https://icat2.azurewebsites.net/icat/?ontology=ICD&amp;tab=ClassesTab&amp;id=http%3A%2F%2Fwho.int%2Ficd%23SpecificAnatomicLocation_2244","iCat")</x:f>
      </x:c>
      <x:c r="M11839" s="0" t="s">
        <x:v>21</x:v>
      </x:c>
      <x:c r="N11839" s="0" t="s">
        <x:v>46</x:v>
      </x:c>
    </x:row>
    <x:row r="11840" spans="1:16">
      <x:c r="A11840" s="0" t="s">
        <x:v>46130</x:v>
      </x:c>
      <x:c r="B11840" s="0" t="s">
        <x:v>46131</x:v>
      </x:c>
      <x:c r="C11840" s="0" t="s">
        <x:v>42840</x:v>
      </x:c>
      <x:c r="E11840" s="0" t="s">
        <x:v>46132</x:v>
      </x:c>
      <x:c r="F11840" s="0" t="s">
        <x:v>45</x:v>
      </x:c>
      <x:c r="G11840" s="0" t="s">
        <x:v>22</x:v>
      </x:c>
      <x:c r="H11840" s="0" t="s">
        <x:v>20</x:v>
      </x:c>
      <x:c r="I11840" s="0" t="s">
        <x:v>21</x:v>
      </x:c>
      <x:c r="K11840" s="0">
        <x:f>hyperlink("https://icd.who.int/dev11/l-ichi/en#/http%3A%2F%2Fid.who.int%2Ficd%2Fentity%2F2113670921","browser")</x:f>
      </x:c>
      <x:c r="L11840" s="0">
        <x:f>hyperlink("https://icat2.azurewebsites.net/icat/?ontology=ICD&amp;tab=ClassesTab&amp;id=http%3A%2F%2Fwho.int%2Ficd%23SpecificAnatomicLocation_2253","iCat")</x:f>
      </x:c>
      <x:c r="M11840" s="0" t="s">
        <x:v>21</x:v>
      </x:c>
      <x:c r="N11840" s="0" t="s">
        <x:v>46</x:v>
      </x:c>
    </x:row>
    <x:row r="11841" spans="1:16">
      <x:c r="A11841" s="0" t="s">
        <x:v>46133</x:v>
      </x:c>
      <x:c r="B11841" s="0" t="s">
        <x:v>46134</x:v>
      </x:c>
      <x:c r="C11841" s="0" t="s">
        <x:v>42840</x:v>
      </x:c>
      <x:c r="E11841" s="0" t="s">
        <x:v>46135</x:v>
      </x:c>
      <x:c r="F11841" s="0" t="s">
        <x:v>45</x:v>
      </x:c>
      <x:c r="G11841" s="0" t="s">
        <x:v>22</x:v>
      </x:c>
      <x:c r="H11841" s="0" t="s">
        <x:v>20</x:v>
      </x:c>
      <x:c r="I11841" s="0" t="s">
        <x:v>21</x:v>
      </x:c>
      <x:c r="K11841" s="0">
        <x:f>hyperlink("https://icd.who.int/dev11/l-ichi/en#/http%3A%2F%2Fid.who.int%2Ficd%2Fentity%2F196243361","browser")</x:f>
      </x:c>
      <x:c r="L11841" s="0">
        <x:f>hyperlink("https://icat2.azurewebsites.net/icat/?ontology=ICD&amp;tab=ClassesTab&amp;id=http%3A%2F%2Fwho.int%2Ficd%23SpecificAnatomicLocation_2261","iCat")</x:f>
      </x:c>
      <x:c r="M11841" s="0" t="s">
        <x:v>21</x:v>
      </x:c>
      <x:c r="N11841" s="0" t="s">
        <x:v>46</x:v>
      </x:c>
    </x:row>
    <x:row r="11842" spans="1:16">
      <x:c r="A11842" s="0" t="s">
        <x:v>46136</x:v>
      </x:c>
      <x:c r="B11842" s="0" t="s">
        <x:v>46137</x:v>
      </x:c>
      <x:c r="C11842" s="0" t="s">
        <x:v>42840</x:v>
      </x:c>
      <x:c r="E11842" s="0" t="s">
        <x:v>46138</x:v>
      </x:c>
      <x:c r="F11842" s="0" t="s">
        <x:v>45</x:v>
      </x:c>
      <x:c r="G11842" s="0" t="s">
        <x:v>22</x:v>
      </x:c>
      <x:c r="H11842" s="0" t="s">
        <x:v>20</x:v>
      </x:c>
      <x:c r="I11842" s="0" t="s">
        <x:v>21</x:v>
      </x:c>
      <x:c r="K11842" s="0">
        <x:f>hyperlink("https://icd.who.int/dev11/l-ichi/en#/http%3A%2F%2Fid.who.int%2Ficd%2Fentity%2F852148961","browser")</x:f>
      </x:c>
      <x:c r="L11842" s="0">
        <x:f>hyperlink("https://icat2.azurewebsites.net/icat/?ontology=ICD&amp;tab=ClassesTab&amp;id=http%3A%2F%2Fwho.int%2Ficd%23SpecificAnatomicLocation_2262","iCat")</x:f>
      </x:c>
      <x:c r="M11842" s="0" t="s">
        <x:v>21</x:v>
      </x:c>
      <x:c r="N11842" s="0" t="s">
        <x:v>46</x:v>
      </x:c>
    </x:row>
    <x:row r="11843" spans="1:16">
      <x:c r="A11843" s="0" t="s">
        <x:v>46139</x:v>
      </x:c>
      <x:c r="B11843" s="0" t="s">
        <x:v>46140</x:v>
      </x:c>
      <x:c r="C11843" s="0" t="s">
        <x:v>42840</x:v>
      </x:c>
      <x:c r="E11843" s="0" t="s">
        <x:v>46141</x:v>
      </x:c>
      <x:c r="F11843" s="0" t="s">
        <x:v>45</x:v>
      </x:c>
      <x:c r="G11843" s="0" t="s">
        <x:v>22</x:v>
      </x:c>
      <x:c r="H11843" s="0" t="s">
        <x:v>20</x:v>
      </x:c>
      <x:c r="I11843" s="0" t="s">
        <x:v>21</x:v>
      </x:c>
      <x:c r="K11843" s="0">
        <x:f>hyperlink("https://icd.who.int/dev11/l-ichi/en#/http%3A%2F%2Fid.who.int%2Ficd%2Fentity%2F252532105","browser")</x:f>
      </x:c>
      <x:c r="L11843" s="0">
        <x:f>hyperlink("https://icat2.azurewebsites.net/icat/?ontology=ICD&amp;tab=ClassesTab&amp;id=http%3A%2F%2Fwho.int%2Ficd%23SpecificAnatomicLocation_2255","iCat")</x:f>
      </x:c>
      <x:c r="M11843" s="0" t="s">
        <x:v>21</x:v>
      </x:c>
      <x:c r="N11843" s="0" t="s">
        <x:v>46</x:v>
      </x:c>
    </x:row>
    <x:row r="11844" spans="1:16">
      <x:c r="A11844" s="0" t="s">
        <x:v>46142</x:v>
      </x:c>
      <x:c r="B11844" s="0" t="s">
        <x:v>46143</x:v>
      </x:c>
      <x:c r="C11844" s="0" t="s">
        <x:v>42840</x:v>
      </x:c>
      <x:c r="E11844" s="0" t="s">
        <x:v>46144</x:v>
      </x:c>
      <x:c r="F11844" s="0" t="s">
        <x:v>45</x:v>
      </x:c>
      <x:c r="G11844" s="0" t="s">
        <x:v>22</x:v>
      </x:c>
      <x:c r="H11844" s="0" t="s">
        <x:v>20</x:v>
      </x:c>
      <x:c r="I11844" s="0" t="s">
        <x:v>21</x:v>
      </x:c>
      <x:c r="K11844" s="0">
        <x:f>hyperlink("https://icd.who.int/dev11/l-ichi/en#/http%3A%2F%2Fid.who.int%2Ficd%2Fentity%2F1602684626","browser")</x:f>
      </x:c>
      <x:c r="L11844" s="0">
        <x:f>hyperlink("https://icat2.azurewebsites.net/icat/?ontology=ICD&amp;tab=ClassesTab&amp;id=http%3A%2F%2Fwho.int%2Ficd%23SpecificAnatomicLocation_2247","iCat")</x:f>
      </x:c>
      <x:c r="M11844" s="0" t="s">
        <x:v>21</x:v>
      </x:c>
      <x:c r="N11844" s="0" t="s">
        <x:v>46</x:v>
      </x:c>
    </x:row>
    <x:row r="11845" spans="1:16">
      <x:c r="A11845" s="0" t="s">
        <x:v>46145</x:v>
      </x:c>
      <x:c r="B11845" s="0" t="s">
        <x:v>46146</x:v>
      </x:c>
      <x:c r="C11845" s="0" t="s">
        <x:v>42840</x:v>
      </x:c>
      <x:c r="E11845" s="0" t="s">
        <x:v>46147</x:v>
      </x:c>
      <x:c r="F11845" s="0" t="s">
        <x:v>45</x:v>
      </x:c>
      <x:c r="G11845" s="0" t="s">
        <x:v>22</x:v>
      </x:c>
      <x:c r="H11845" s="0" t="s">
        <x:v>20</x:v>
      </x:c>
      <x:c r="I11845" s="0" t="s">
        <x:v>21</x:v>
      </x:c>
      <x:c r="K11845" s="0">
        <x:f>hyperlink("https://icd.who.int/dev11/l-ichi/en#/http%3A%2F%2Fid.who.int%2Ficd%2Fentity%2F1077647457","browser")</x:f>
      </x:c>
      <x:c r="L11845" s="0">
        <x:f>hyperlink("https://icat2.azurewebsites.net/icat/?ontology=ICD&amp;tab=ClassesTab&amp;id=http%3A%2F%2Fwho.int%2Ficd%23SpecificAnatomicLocation_2264","iCat")</x:f>
      </x:c>
      <x:c r="M11845" s="0" t="s">
        <x:v>21</x:v>
      </x:c>
      <x:c r="N11845" s="0" t="s">
        <x:v>46</x:v>
      </x:c>
    </x:row>
    <x:row r="11846" spans="1:16">
      <x:c r="A11846" s="0" t="s">
        <x:v>46148</x:v>
      </x:c>
      <x:c r="B11846" s="0" t="s">
        <x:v>46149</x:v>
      </x:c>
      <x:c r="C11846" s="0" t="s">
        <x:v>42840</x:v>
      </x:c>
      <x:c r="E11846" s="0" t="s">
        <x:v>46150</x:v>
      </x:c>
      <x:c r="F11846" s="0" t="s">
        <x:v>45</x:v>
      </x:c>
      <x:c r="G11846" s="0" t="s">
        <x:v>22</x:v>
      </x:c>
      <x:c r="H11846" s="0" t="s">
        <x:v>20</x:v>
      </x:c>
      <x:c r="I11846" s="0" t="s">
        <x:v>21</x:v>
      </x:c>
      <x:c r="K11846" s="0">
        <x:f>hyperlink("https://icd.who.int/dev11/l-ichi/en#/http%3A%2F%2Fid.who.int%2Ficd%2Fentity%2F280087354","browser")</x:f>
      </x:c>
      <x:c r="L11846" s="0">
        <x:f>hyperlink("https://icat2.azurewebsites.net/icat/?ontology=ICD&amp;tab=ClassesTab&amp;id=http%3A%2F%2Fwho.int%2Ficd%23SpecificAnatomicLocation_2276","iCat")</x:f>
      </x:c>
      <x:c r="M11846" s="0" t="s">
        <x:v>21</x:v>
      </x:c>
      <x:c r="N11846" s="0" t="s">
        <x:v>46</x:v>
      </x:c>
    </x:row>
    <x:row r="11847" spans="1:16">
      <x:c r="A11847" s="0" t="s">
        <x:v>46151</x:v>
      </x:c>
      <x:c r="B11847" s="0" t="s">
        <x:v>46152</x:v>
      </x:c>
      <x:c r="C11847" s="0" t="s">
        <x:v>42840</x:v>
      </x:c>
      <x:c r="E11847" s="0" t="s">
        <x:v>46153</x:v>
      </x:c>
      <x:c r="F11847" s="0" t="s">
        <x:v>45</x:v>
      </x:c>
      <x:c r="G11847" s="0" t="s">
        <x:v>22</x:v>
      </x:c>
      <x:c r="H11847" s="0" t="s">
        <x:v>20</x:v>
      </x:c>
      <x:c r="I11847" s="0" t="s">
        <x:v>21</x:v>
      </x:c>
      <x:c r="K11847" s="0">
        <x:f>hyperlink("https://icd.who.int/dev11/l-ichi/en#/http%3A%2F%2Fid.who.int%2Ficd%2Fentity%2F2125096335","browser")</x:f>
      </x:c>
      <x:c r="L11847" s="0">
        <x:f>hyperlink("https://icat2.azurewebsites.net/icat/?ontology=ICD&amp;tab=ClassesTab&amp;id=http%3A%2F%2Fwho.int%2Ficd%23SpecificAnatomicLocation_2280","iCat")</x:f>
      </x:c>
      <x:c r="M11847" s="0" t="s">
        <x:v>21</x:v>
      </x:c>
      <x:c r="N11847" s="0" t="s">
        <x:v>46</x:v>
      </x:c>
    </x:row>
    <x:row r="11848" spans="1:16">
      <x:c r="A11848" s="0" t="s">
        <x:v>46154</x:v>
      </x:c>
      <x:c r="B11848" s="0" t="s">
        <x:v>46155</x:v>
      </x:c>
      <x:c r="C11848" s="0" t="s">
        <x:v>42840</x:v>
      </x:c>
      <x:c r="E11848" s="0" t="s">
        <x:v>46156</x:v>
      </x:c>
      <x:c r="F11848" s="0" t="s">
        <x:v>45</x:v>
      </x:c>
      <x:c r="G11848" s="0" t="s">
        <x:v>22</x:v>
      </x:c>
      <x:c r="H11848" s="0" t="s">
        <x:v>20</x:v>
      </x:c>
      <x:c r="I11848" s="0" t="s">
        <x:v>21</x:v>
      </x:c>
      <x:c r="K11848" s="0">
        <x:f>hyperlink("https://icd.who.int/dev11/l-ichi/en#/http%3A%2F%2Fid.who.int%2Ficd%2Fentity%2F869543046","browser")</x:f>
      </x:c>
      <x:c r="L11848" s="0">
        <x:f>hyperlink("https://icat2.azurewebsites.net/icat/?ontology=ICD&amp;tab=ClassesTab&amp;id=http%3A%2F%2Fwho.int%2Ficd%23SpecificAnatomicLocation_2279","iCat")</x:f>
      </x:c>
      <x:c r="M11848" s="0" t="s">
        <x:v>21</x:v>
      </x:c>
      <x:c r="N11848" s="0" t="s">
        <x:v>46</x:v>
      </x:c>
    </x:row>
    <x:row r="11849" spans="1:16">
      <x:c r="A11849" s="0" t="s">
        <x:v>46157</x:v>
      </x:c>
      <x:c r="B11849" s="0" t="s">
        <x:v>46158</x:v>
      </x:c>
      <x:c r="C11849" s="0" t="s">
        <x:v>42840</x:v>
      </x:c>
      <x:c r="E11849" s="0" t="s">
        <x:v>46159</x:v>
      </x:c>
      <x:c r="F11849" s="0" t="s">
        <x:v>45</x:v>
      </x:c>
      <x:c r="G11849" s="0" t="s">
        <x:v>22</x:v>
      </x:c>
      <x:c r="H11849" s="0" t="s">
        <x:v>20</x:v>
      </x:c>
      <x:c r="I11849" s="0" t="s">
        <x:v>21</x:v>
      </x:c>
      <x:c r="K11849" s="0">
        <x:f>hyperlink("https://icd.who.int/dev11/l-ichi/en#/http%3A%2F%2Fid.who.int%2Ficd%2Fentity%2F559782921","browser")</x:f>
      </x:c>
      <x:c r="L11849" s="0">
        <x:f>hyperlink("https://icat2.azurewebsites.net/icat/?ontology=ICD&amp;tab=ClassesTab&amp;id=http%3A%2F%2Fwho.int%2Ficd%23SpecificAnatomicLocation_2257","iCat")</x:f>
      </x:c>
      <x:c r="M11849" s="0" t="s">
        <x:v>21</x:v>
      </x:c>
      <x:c r="N11849" s="0" t="s">
        <x:v>46</x:v>
      </x:c>
    </x:row>
    <x:row r="11850" spans="1:16">
      <x:c r="A11850" s="0" t="s">
        <x:v>46160</x:v>
      </x:c>
      <x:c r="B11850" s="0" t="s">
        <x:v>46161</x:v>
      </x:c>
      <x:c r="C11850" s="0" t="s">
        <x:v>42840</x:v>
      </x:c>
      <x:c r="E11850" s="0" t="s">
        <x:v>46162</x:v>
      </x:c>
      <x:c r="F11850" s="0" t="s">
        <x:v>45</x:v>
      </x:c>
      <x:c r="G11850" s="0" t="s">
        <x:v>22</x:v>
      </x:c>
      <x:c r="H11850" s="0" t="s">
        <x:v>20</x:v>
      </x:c>
      <x:c r="I11850" s="0" t="s">
        <x:v>21</x:v>
      </x:c>
      <x:c r="K11850" s="0">
        <x:f>hyperlink("https://icd.who.int/dev11/l-ichi/en#/http%3A%2F%2Fid.who.int%2Ficd%2Fentity%2F620513350","browser")</x:f>
      </x:c>
      <x:c r="L11850" s="0">
        <x:f>hyperlink("https://icat2.azurewebsites.net/icat/?ontology=ICD&amp;tab=ClassesTab&amp;id=http%3A%2F%2Fwho.int%2Ficd%23SpecificAnatomicLocation_2278","iCat")</x:f>
      </x:c>
      <x:c r="M11850" s="0" t="s">
        <x:v>21</x:v>
      </x:c>
      <x:c r="N11850" s="0" t="s">
        <x:v>46</x:v>
      </x:c>
    </x:row>
    <x:row r="11851" spans="1:16">
      <x:c r="A11851" s="0" t="s">
        <x:v>46163</x:v>
      </x:c>
      <x:c r="B11851" s="0" t="s">
        <x:v>46164</x:v>
      </x:c>
      <x:c r="C11851" s="0" t="s">
        <x:v>42840</x:v>
      </x:c>
      <x:c r="E11851" s="0" t="s">
        <x:v>46165</x:v>
      </x:c>
      <x:c r="F11851" s="0" t="s">
        <x:v>45</x:v>
      </x:c>
      <x:c r="G11851" s="0" t="s">
        <x:v>22</x:v>
      </x:c>
      <x:c r="H11851" s="0" t="s">
        <x:v>20</x:v>
      </x:c>
      <x:c r="I11851" s="0" t="s">
        <x:v>21</x:v>
      </x:c>
      <x:c r="K11851" s="0">
        <x:f>hyperlink("https://icd.who.int/dev11/l-ichi/en#/http%3A%2F%2Fid.who.int%2Ficd%2Fentity%2F1523757785","browser")</x:f>
      </x:c>
      <x:c r="L11851" s="0">
        <x:f>hyperlink("https://icat2.azurewebsites.net/icat/?ontology=ICD&amp;tab=ClassesTab&amp;id=http%3A%2F%2Fwho.int%2Ficd%23SpecificAnatomicLocation_2239","iCat")</x:f>
      </x:c>
      <x:c r="M11851" s="0" t="s">
        <x:v>21</x:v>
      </x:c>
      <x:c r="N11851" s="0" t="s">
        <x:v>46</x:v>
      </x:c>
    </x:row>
    <x:row r="11852" spans="1:16">
      <x:c r="A11852" s="0" t="s">
        <x:v>46166</x:v>
      </x:c>
      <x:c r="B11852" s="0" t="s">
        <x:v>46167</x:v>
      </x:c>
      <x:c r="C11852" s="0" t="s">
        <x:v>42840</x:v>
      </x:c>
      <x:c r="E11852" s="0" t="s">
        <x:v>46168</x:v>
      </x:c>
      <x:c r="F11852" s="0" t="s">
        <x:v>45</x:v>
      </x:c>
      <x:c r="G11852" s="0" t="s">
        <x:v>22</x:v>
      </x:c>
      <x:c r="H11852" s="0" t="s">
        <x:v>20</x:v>
      </x:c>
      <x:c r="I11852" s="0" t="s">
        <x:v>21</x:v>
      </x:c>
      <x:c r="K11852" s="0">
        <x:f>hyperlink("https://icd.who.int/dev11/l-ichi/en#/http%3A%2F%2Fid.who.int%2Ficd%2Fentity%2F543807776","browser")</x:f>
      </x:c>
      <x:c r="L11852" s="0">
        <x:f>hyperlink("https://icat2.azurewebsites.net/icat/?ontology=ICD&amp;tab=ClassesTab&amp;id=http%3A%2F%2Fwho.int%2Ficd%23SpecificAnatomicLocation_2085","iCat")</x:f>
      </x:c>
      <x:c r="M11852" s="0" t="s">
        <x:v>21</x:v>
      </x:c>
      <x:c r="N11852" s="0" t="s">
        <x:v>46</x:v>
      </x:c>
    </x:row>
    <x:row r="11853" spans="1:16">
      <x:c r="A11853" s="0" t="s">
        <x:v>46169</x:v>
      </x:c>
      <x:c r="B11853" s="0" t="s">
        <x:v>46170</x:v>
      </x:c>
      <x:c r="C11853" s="0" t="s">
        <x:v>42840</x:v>
      </x:c>
      <x:c r="E11853" s="0" t="s">
        <x:v>46171</x:v>
      </x:c>
      <x:c r="F11853" s="0" t="s">
        <x:v>45</x:v>
      </x:c>
      <x:c r="G11853" s="0" t="s">
        <x:v>35</x:v>
      </x:c>
      <x:c r="H11853" s="0" t="s">
        <x:v>20</x:v>
      </x:c>
      <x:c r="I11853" s="0" t="s">
        <x:v>21</x:v>
      </x:c>
      <x:c r="K11853" s="0">
        <x:f>hyperlink("https://icd.who.int/dev11/l-ichi/en#/http%3A%2F%2Fid.who.int%2Ficd%2Fentity%2F1508677205","browser")</x:f>
      </x:c>
      <x:c r="L11853" s="0">
        <x:f>hyperlink("https://icat2.azurewebsites.net/icat/?ontology=ICD&amp;tab=ClassesTab&amp;id=http%3A%2F%2Fwho.int%2Ficd%235267_1a025aad_bab4_45d3_85b5_2f8609f7d6c2","iCat")</x:f>
      </x:c>
      <x:c r="M11853" s="0" t="s">
        <x:v>20</x:v>
      </x:c>
      <x:c r="N11853" s="0" t="s">
        <x:v>10405</x:v>
      </x:c>
    </x:row>
    <x:row r="11854" spans="1:16">
      <x:c r="A11854" s="0" t="s">
        <x:v>46172</x:v>
      </x:c>
      <x:c r="B11854" s="0" t="s">
        <x:v>46173</x:v>
      </x:c>
      <x:c r="C11854" s="0" t="s">
        <x:v>42840</x:v>
      </x:c>
      <x:c r="E11854" s="0" t="s">
        <x:v>46174</x:v>
      </x:c>
      <x:c r="F11854" s="0" t="s">
        <x:v>45</x:v>
      </x:c>
      <x:c r="G11854" s="0" t="s">
        <x:v>22</x:v>
      </x:c>
      <x:c r="H11854" s="0" t="s">
        <x:v>20</x:v>
      </x:c>
      <x:c r="I11854" s="0" t="s">
        <x:v>21</x:v>
      </x:c>
      <x:c r="K11854" s="0">
        <x:f>hyperlink("https://icd.who.int/dev11/l-ichi/en#/http%3A%2F%2Fid.who.int%2Ficd%2Fentity%2F59835048","browser")</x:f>
      </x:c>
      <x:c r="L11854" s="0">
        <x:f>hyperlink("https://icat2.azurewebsites.net/icat/?ontology=ICD&amp;tab=ClassesTab&amp;id=http%3A%2F%2Fwho.int%2Ficd%23SpecificAnatomicLocation_2387","iCat")</x:f>
      </x:c>
      <x:c r="M11854" s="0" t="s">
        <x:v>21</x:v>
      </x:c>
      <x:c r="N11854" s="0" t="s">
        <x:v>46</x:v>
      </x:c>
    </x:row>
    <x:row r="11855" spans="1:16">
      <x:c r="A11855" s="0" t="s">
        <x:v>46175</x:v>
      </x:c>
      <x:c r="B11855" s="0" t="s">
        <x:v>46176</x:v>
      </x:c>
      <x:c r="C11855" s="0" t="s">
        <x:v>42840</x:v>
      </x:c>
      <x:c r="E11855" s="0" t="s">
        <x:v>46177</x:v>
      </x:c>
      <x:c r="F11855" s="0" t="s">
        <x:v>45</x:v>
      </x:c>
      <x:c r="G11855" s="0" t="s">
        <x:v>22</x:v>
      </x:c>
      <x:c r="H11855" s="0" t="s">
        <x:v>20</x:v>
      </x:c>
      <x:c r="I11855" s="0" t="s">
        <x:v>21</x:v>
      </x:c>
      <x:c r="K11855" s="0">
        <x:f>hyperlink("https://icd.who.int/dev11/l-ichi/en#/http%3A%2F%2Fid.who.int%2Ficd%2Fentity%2F2075008960","browser")</x:f>
      </x:c>
      <x:c r="L11855" s="0">
        <x:f>hyperlink("https://icat2.azurewebsites.net/icat/?ontology=ICD&amp;tab=ClassesTab&amp;id=http%3A%2F%2Fwho.int%2Ficd%23SpecificAnatomicLocation_2401","iCat")</x:f>
      </x:c>
      <x:c r="M11855" s="0" t="s">
        <x:v>21</x:v>
      </x:c>
      <x:c r="N11855" s="0" t="s">
        <x:v>46</x:v>
      </x:c>
    </x:row>
    <x:row r="11856" spans="1:16">
      <x:c r="A11856" s="0" t="s">
        <x:v>46178</x:v>
      </x:c>
      <x:c r="B11856" s="0" t="s">
        <x:v>46179</x:v>
      </x:c>
      <x:c r="C11856" s="0" t="s">
        <x:v>42840</x:v>
      </x:c>
      <x:c r="E11856" s="0" t="s">
        <x:v>46180</x:v>
      </x:c>
      <x:c r="F11856" s="0" t="s">
        <x:v>45</x:v>
      </x:c>
      <x:c r="G11856" s="0" t="s">
        <x:v>22</x:v>
      </x:c>
      <x:c r="H11856" s="0" t="s">
        <x:v>20</x:v>
      </x:c>
      <x:c r="I11856" s="0" t="s">
        <x:v>21</x:v>
      </x:c>
      <x:c r="K11856" s="0">
        <x:f>hyperlink("https://icd.who.int/dev11/l-ichi/en#/http%3A%2F%2Fid.who.int%2Ficd%2Fentity%2F1820752768","browser")</x:f>
      </x:c>
      <x:c r="L11856" s="0">
        <x:f>hyperlink("https://icat2.azurewebsites.net/icat/?ontology=ICD&amp;tab=ClassesTab&amp;id=http%3A%2F%2Fwho.int%2Ficd%23SpecificAnatomicLocation_2400","iCat")</x:f>
      </x:c>
      <x:c r="M11856" s="0" t="s">
        <x:v>21</x:v>
      </x:c>
      <x:c r="N11856" s="0" t="s">
        <x:v>46</x:v>
      </x:c>
    </x:row>
    <x:row r="11857" spans="1:16">
      <x:c r="A11857" s="0" t="s">
        <x:v>46181</x:v>
      </x:c>
      <x:c r="B11857" s="0" t="s">
        <x:v>46182</x:v>
      </x:c>
      <x:c r="C11857" s="0" t="s">
        <x:v>42840</x:v>
      </x:c>
      <x:c r="E11857" s="0" t="s">
        <x:v>46183</x:v>
      </x:c>
      <x:c r="F11857" s="0" t="s">
        <x:v>45</x:v>
      </x:c>
      <x:c r="G11857" s="0" t="s">
        <x:v>22</x:v>
      </x:c>
      <x:c r="H11857" s="0" t="s">
        <x:v>20</x:v>
      </x:c>
      <x:c r="I11857" s="0" t="s">
        <x:v>21</x:v>
      </x:c>
      <x:c r="K11857" s="0">
        <x:f>hyperlink("https://icd.who.int/dev11/l-ichi/en#/http%3A%2F%2Fid.who.int%2Ficd%2Fentity%2F1784937663","browser")</x:f>
      </x:c>
      <x:c r="L11857" s="0">
        <x:f>hyperlink("https://icat2.azurewebsites.net/icat/?ontology=ICD&amp;tab=ClassesTab&amp;id=http%3A%2F%2Fwho.int%2Ficd%23SpecificAnatomicLocation_2396","iCat")</x:f>
      </x:c>
      <x:c r="M11857" s="0" t="s">
        <x:v>21</x:v>
      </x:c>
      <x:c r="N11857" s="0" t="s">
        <x:v>46</x:v>
      </x:c>
    </x:row>
    <x:row r="11858" spans="1:16">
      <x:c r="A11858" s="0" t="s">
        <x:v>46184</x:v>
      </x:c>
      <x:c r="B11858" s="0" t="s">
        <x:v>46185</x:v>
      </x:c>
      <x:c r="C11858" s="0" t="s">
        <x:v>42840</x:v>
      </x:c>
      <x:c r="E11858" s="0" t="s">
        <x:v>46186</x:v>
      </x:c>
      <x:c r="F11858" s="0" t="s">
        <x:v>45</x:v>
      </x:c>
      <x:c r="G11858" s="0" t="s">
        <x:v>22</x:v>
      </x:c>
      <x:c r="H11858" s="0" t="s">
        <x:v>20</x:v>
      </x:c>
      <x:c r="I11858" s="0" t="s">
        <x:v>21</x:v>
      </x:c>
      <x:c r="K11858" s="0">
        <x:f>hyperlink("https://icd.who.int/dev11/l-ichi/en#/http%3A%2F%2Fid.who.int%2Ficd%2Fentity%2F1580105665","browser")</x:f>
      </x:c>
      <x:c r="L11858" s="0">
        <x:f>hyperlink("https://icat2.azurewebsites.net/icat/?ontology=ICD&amp;tab=ClassesTab&amp;id=http%3A%2F%2Fwho.int%2Ficd%23SpecificAnatomicLocation_2398","iCat")</x:f>
      </x:c>
      <x:c r="M11858" s="0" t="s">
        <x:v>21</x:v>
      </x:c>
      <x:c r="N11858" s="0" t="s">
        <x:v>46</x:v>
      </x:c>
    </x:row>
    <x:row r="11859" spans="1:16">
      <x:c r="A11859" s="0" t="s">
        <x:v>46187</x:v>
      </x:c>
      <x:c r="B11859" s="0" t="s">
        <x:v>46188</x:v>
      </x:c>
      <x:c r="C11859" s="0" t="s">
        <x:v>42840</x:v>
      </x:c>
      <x:c r="E11859" s="0" t="s">
        <x:v>46189</x:v>
      </x:c>
      <x:c r="F11859" s="0" t="s">
        <x:v>45</x:v>
      </x:c>
      <x:c r="G11859" s="0" t="s">
        <x:v>22</x:v>
      </x:c>
      <x:c r="H11859" s="0" t="s">
        <x:v>20</x:v>
      </x:c>
      <x:c r="I11859" s="0" t="s">
        <x:v>21</x:v>
      </x:c>
      <x:c r="K11859" s="0">
        <x:f>hyperlink("https://icd.who.int/dev11/l-ichi/en#/http%3A%2F%2Fid.who.int%2Ficd%2Fentity%2F724989423","browser")</x:f>
      </x:c>
      <x:c r="L11859" s="0">
        <x:f>hyperlink("https://icat2.azurewebsites.net/icat/?ontology=ICD&amp;tab=ClassesTab&amp;id=http%3A%2F%2Fwho.int%2Ficd%23SpecificAnatomicLocation_2379","iCat")</x:f>
      </x:c>
      <x:c r="M11859" s="0" t="s">
        <x:v>21</x:v>
      </x:c>
      <x:c r="N11859" s="0" t="s">
        <x:v>46</x:v>
      </x:c>
    </x:row>
    <x:row r="11860" spans="1:16">
      <x:c r="A11860" s="0" t="s">
        <x:v>46190</x:v>
      </x:c>
      <x:c r="B11860" s="0" t="s">
        <x:v>46191</x:v>
      </x:c>
      <x:c r="C11860" s="0" t="s">
        <x:v>42840</x:v>
      </x:c>
      <x:c r="E11860" s="0" t="s">
        <x:v>46192</x:v>
      </x:c>
      <x:c r="F11860" s="0" t="s">
        <x:v>45</x:v>
      </x:c>
      <x:c r="G11860" s="0" t="s">
        <x:v>22</x:v>
      </x:c>
      <x:c r="H11860" s="0" t="s">
        <x:v>20</x:v>
      </x:c>
      <x:c r="I11860" s="0" t="s">
        <x:v>21</x:v>
      </x:c>
      <x:c r="K11860" s="0">
        <x:f>hyperlink("https://icd.who.int/dev11/l-ichi/en#/http%3A%2F%2Fid.who.int%2Ficd%2Fentity%2F1597018536","browser")</x:f>
      </x:c>
      <x:c r="L11860" s="0">
        <x:f>hyperlink("https://icat2.azurewebsites.net/icat/?ontology=ICD&amp;tab=ClassesTab&amp;id=http%3A%2F%2Fwho.int%2Ficd%23SpecificAnatomicLocation_2383","iCat")</x:f>
      </x:c>
      <x:c r="M11860" s="0" t="s">
        <x:v>21</x:v>
      </x:c>
      <x:c r="N11860" s="0" t="s">
        <x:v>46</x:v>
      </x:c>
    </x:row>
    <x:row r="11861" spans="1:16">
      <x:c r="A11861" s="0" t="s">
        <x:v>46193</x:v>
      </x:c>
      <x:c r="B11861" s="0" t="s">
        <x:v>46194</x:v>
      </x:c>
      <x:c r="C11861" s="0" t="s">
        <x:v>42840</x:v>
      </x:c>
      <x:c r="E11861" s="0" t="s">
        <x:v>46195</x:v>
      </x:c>
      <x:c r="F11861" s="0" t="s">
        <x:v>45</x:v>
      </x:c>
      <x:c r="G11861" s="0" t="s">
        <x:v>22</x:v>
      </x:c>
      <x:c r="H11861" s="0" t="s">
        <x:v>20</x:v>
      </x:c>
      <x:c r="I11861" s="0" t="s">
        <x:v>21</x:v>
      </x:c>
      <x:c r="K11861" s="0">
        <x:f>hyperlink("https://icd.who.int/dev11/l-ichi/en#/http%3A%2F%2Fid.who.int%2Ficd%2Fentity%2F1137204377","browser")</x:f>
      </x:c>
      <x:c r="L11861" s="0">
        <x:f>hyperlink("https://icat2.azurewebsites.net/icat/?ontology=ICD&amp;tab=ClassesTab&amp;id=http%3A%2F%2Fwho.int%2Ficd%23SpecificAnatomicLocation_2419","iCat")</x:f>
      </x:c>
      <x:c r="M11861" s="0" t="s">
        <x:v>21</x:v>
      </x:c>
      <x:c r="N11861" s="0" t="s">
        <x:v>46</x:v>
      </x:c>
    </x:row>
    <x:row r="11862" spans="1:16">
      <x:c r="A11862" s="0" t="s">
        <x:v>46196</x:v>
      </x:c>
      <x:c r="B11862" s="0" t="s">
        <x:v>46197</x:v>
      </x:c>
      <x:c r="C11862" s="0" t="s">
        <x:v>42840</x:v>
      </x:c>
      <x:c r="E11862" s="0" t="s">
        <x:v>46198</x:v>
      </x:c>
      <x:c r="F11862" s="0" t="s">
        <x:v>45</x:v>
      </x:c>
      <x:c r="G11862" s="0" t="s">
        <x:v>22</x:v>
      </x:c>
      <x:c r="H11862" s="0" t="s">
        <x:v>20</x:v>
      </x:c>
      <x:c r="I11862" s="0" t="s">
        <x:v>21</x:v>
      </x:c>
      <x:c r="K11862" s="0">
        <x:f>hyperlink("https://icd.who.int/dev11/l-ichi/en#/http%3A%2F%2Fid.who.int%2Ficd%2Fentity%2F1007429671","browser")</x:f>
      </x:c>
      <x:c r="L11862" s="0">
        <x:f>hyperlink("https://icat2.azurewebsites.net/icat/?ontology=ICD&amp;tab=ClassesTab&amp;id=http%3A%2F%2Fwho.int%2Ficd%23SpecificAnatomicLocation_2412","iCat")</x:f>
      </x:c>
      <x:c r="M11862" s="0" t="s">
        <x:v>21</x:v>
      </x:c>
      <x:c r="N11862" s="0" t="s">
        <x:v>46</x:v>
      </x:c>
    </x:row>
    <x:row r="11863" spans="1:16">
      <x:c r="A11863" s="0" t="s">
        <x:v>46199</x:v>
      </x:c>
      <x:c r="B11863" s="0" t="s">
        <x:v>46200</x:v>
      </x:c>
      <x:c r="C11863" s="0" t="s">
        <x:v>42840</x:v>
      </x:c>
      <x:c r="E11863" s="0" t="s">
        <x:v>46201</x:v>
      </x:c>
      <x:c r="F11863" s="0" t="s">
        <x:v>45</x:v>
      </x:c>
      <x:c r="G11863" s="0" t="s">
        <x:v>22</x:v>
      </x:c>
      <x:c r="H11863" s="0" t="s">
        <x:v>20</x:v>
      </x:c>
      <x:c r="I11863" s="0" t="s">
        <x:v>21</x:v>
      </x:c>
      <x:c r="K11863" s="0">
        <x:f>hyperlink("https://icd.who.int/dev11/l-ichi/en#/http%3A%2F%2Fid.who.int%2Ficd%2Fentity%2F723799271","browser")</x:f>
      </x:c>
      <x:c r="L11863" s="0">
        <x:f>hyperlink("https://icat2.azurewebsites.net/icat/?ontology=ICD&amp;tab=ClassesTab&amp;id=http%3A%2F%2Fwho.int%2Ficd%23SpecificAnatomicLocation_2413","iCat")</x:f>
      </x:c>
      <x:c r="M11863" s="0" t="s">
        <x:v>21</x:v>
      </x:c>
      <x:c r="N11863" s="0" t="s">
        <x:v>46</x:v>
      </x:c>
    </x:row>
    <x:row r="11864" spans="1:16">
      <x:c r="A11864" s="0" t="s">
        <x:v>46202</x:v>
      </x:c>
      <x:c r="B11864" s="0" t="s">
        <x:v>46203</x:v>
      </x:c>
      <x:c r="C11864" s="0" t="s">
        <x:v>42840</x:v>
      </x:c>
      <x:c r="E11864" s="0" t="s">
        <x:v>46204</x:v>
      </x:c>
      <x:c r="F11864" s="0" t="s">
        <x:v>45</x:v>
      </x:c>
      <x:c r="G11864" s="0" t="s">
        <x:v>22</x:v>
      </x:c>
      <x:c r="H11864" s="0" t="s">
        <x:v>20</x:v>
      </x:c>
      <x:c r="I11864" s="0" t="s">
        <x:v>21</x:v>
      </x:c>
      <x:c r="K11864" s="0">
        <x:f>hyperlink("https://icd.who.int/dev11/l-ichi/en#/http%3A%2F%2Fid.who.int%2Ficd%2Fentity%2F511123968","browser")</x:f>
      </x:c>
      <x:c r="L11864" s="0">
        <x:f>hyperlink("https://icat2.azurewebsites.net/icat/?ontology=ICD&amp;tab=ClassesTab&amp;id=http%3A%2F%2Fwho.int%2Ficd%23SpecificAnatomicLocation_2406","iCat")</x:f>
      </x:c>
      <x:c r="M11864" s="0" t="s">
        <x:v>21</x:v>
      </x:c>
      <x:c r="N11864" s="0" t="s">
        <x:v>46</x:v>
      </x:c>
    </x:row>
    <x:row r="11865" spans="1:16">
      <x:c r="A11865" s="0" t="s">
        <x:v>46205</x:v>
      </x:c>
      <x:c r="B11865" s="0" t="s">
        <x:v>46206</x:v>
      </x:c>
      <x:c r="C11865" s="0" t="s">
        <x:v>42840</x:v>
      </x:c>
      <x:c r="E11865" s="0" t="s">
        <x:v>46207</x:v>
      </x:c>
      <x:c r="F11865" s="0" t="s">
        <x:v>45</x:v>
      </x:c>
      <x:c r="G11865" s="0" t="s">
        <x:v>22</x:v>
      </x:c>
      <x:c r="H11865" s="0" t="s">
        <x:v>20</x:v>
      </x:c>
      <x:c r="I11865" s="0" t="s">
        <x:v>21</x:v>
      </x:c>
      <x:c r="K11865" s="0">
        <x:f>hyperlink("https://icd.who.int/dev11/l-ichi/en#/http%3A%2F%2Fid.who.int%2Ficd%2Fentity%2F347694696","browser")</x:f>
      </x:c>
      <x:c r="L11865" s="0">
        <x:f>hyperlink("https://icat2.azurewebsites.net/icat/?ontology=ICD&amp;tab=ClassesTab&amp;id=http%3A%2F%2Fwho.int%2Ficd%23SpecificAnatomicLocation_2386","iCat")</x:f>
      </x:c>
      <x:c r="M11865" s="0" t="s">
        <x:v>21</x:v>
      </x:c>
      <x:c r="N11865" s="0" t="s">
        <x:v>46</x:v>
      </x:c>
    </x:row>
    <x:row r="11866" spans="1:16">
      <x:c r="A11866" s="0" t="s">
        <x:v>46208</x:v>
      </x:c>
      <x:c r="B11866" s="0" t="s">
        <x:v>46209</x:v>
      </x:c>
      <x:c r="C11866" s="0" t="s">
        <x:v>42840</x:v>
      </x:c>
      <x:c r="E11866" s="0" t="s">
        <x:v>46210</x:v>
      </x:c>
      <x:c r="F11866" s="0" t="s">
        <x:v>45</x:v>
      </x:c>
      <x:c r="G11866" s="0" t="s">
        <x:v>22</x:v>
      </x:c>
      <x:c r="H11866" s="0" t="s">
        <x:v>20</x:v>
      </x:c>
      <x:c r="I11866" s="0" t="s">
        <x:v>21</x:v>
      </x:c>
      <x:c r="K11866" s="0">
        <x:f>hyperlink("https://icd.who.int/dev11/l-ichi/en#/http%3A%2F%2Fid.who.int%2Ficd%2Fentity%2F1621998375","browser")</x:f>
      </x:c>
      <x:c r="L11866" s="0">
        <x:f>hyperlink("https://icat2.azurewebsites.net/icat/?ontology=ICD&amp;tab=ClassesTab&amp;id=http%3A%2F%2Fwho.int%2Ficd%23SpecificAnatomicLocation_2416","iCat")</x:f>
      </x:c>
      <x:c r="M11866" s="0" t="s">
        <x:v>21</x:v>
      </x:c>
      <x:c r="N11866" s="0" t="s">
        <x:v>46</x:v>
      </x:c>
    </x:row>
    <x:row r="11867" spans="1:16">
      <x:c r="A11867" s="0" t="s">
        <x:v>46211</x:v>
      </x:c>
      <x:c r="B11867" s="0" t="s">
        <x:v>46212</x:v>
      </x:c>
      <x:c r="C11867" s="0" t="s">
        <x:v>42840</x:v>
      </x:c>
      <x:c r="E11867" s="0" t="s">
        <x:v>46213</x:v>
      </x:c>
      <x:c r="F11867" s="0" t="s">
        <x:v>45</x:v>
      </x:c>
      <x:c r="G11867" s="0" t="s">
        <x:v>22</x:v>
      </x:c>
      <x:c r="H11867" s="0" t="s">
        <x:v>20</x:v>
      </x:c>
      <x:c r="I11867" s="0" t="s">
        <x:v>21</x:v>
      </x:c>
      <x:c r="K11867" s="0">
        <x:f>hyperlink("https://icd.who.int/dev11/l-ichi/en#/http%3A%2F%2Fid.who.int%2Ficd%2Fentity%2F528217745","browser")</x:f>
      </x:c>
      <x:c r="L11867" s="0">
        <x:f>hyperlink("https://icat2.azurewebsites.net/icat/?ontology=ICD&amp;tab=ClassesTab&amp;id=http%3A%2F%2Fwho.int%2Ficd%23SpecificAnatomicLocation_2377","iCat")</x:f>
      </x:c>
      <x:c r="M11867" s="0" t="s">
        <x:v>21</x:v>
      </x:c>
      <x:c r="N11867" s="0" t="s">
        <x:v>46</x:v>
      </x:c>
    </x:row>
    <x:row r="11868" spans="1:16">
      <x:c r="A11868" s="0" t="s">
        <x:v>46214</x:v>
      </x:c>
      <x:c r="B11868" s="0" t="s">
        <x:v>46215</x:v>
      </x:c>
      <x:c r="C11868" s="0" t="s">
        <x:v>42840</x:v>
      </x:c>
      <x:c r="E11868" s="0" t="s">
        <x:v>46216</x:v>
      </x:c>
      <x:c r="F11868" s="0" t="s">
        <x:v>45</x:v>
      </x:c>
      <x:c r="G11868" s="0" t="s">
        <x:v>22</x:v>
      </x:c>
      <x:c r="H11868" s="0" t="s">
        <x:v>20</x:v>
      </x:c>
      <x:c r="I11868" s="0" t="s">
        <x:v>21</x:v>
      </x:c>
      <x:c r="K11868" s="0">
        <x:f>hyperlink("https://icd.who.int/dev11/l-ichi/en#/http%3A%2F%2Fid.who.int%2Ficd%2Fentity%2F1716010216","browser")</x:f>
      </x:c>
      <x:c r="L11868" s="0">
        <x:f>hyperlink("https://icat2.azurewebsites.net/icat/?ontology=ICD&amp;tab=ClassesTab&amp;id=http%3A%2F%2Fwho.int%2Ficd%23SpecificAnatomicLocation_2380","iCat")</x:f>
      </x:c>
      <x:c r="M11868" s="0" t="s">
        <x:v>21</x:v>
      </x:c>
      <x:c r="N11868" s="0" t="s">
        <x:v>46</x:v>
      </x:c>
    </x:row>
    <x:row r="11869" spans="1:16">
      <x:c r="A11869" s="0" t="s">
        <x:v>46217</x:v>
      </x:c>
      <x:c r="B11869" s="0" t="s">
        <x:v>46218</x:v>
      </x:c>
      <x:c r="C11869" s="0" t="s">
        <x:v>42840</x:v>
      </x:c>
      <x:c r="E11869" s="0" t="s">
        <x:v>46219</x:v>
      </x:c>
      <x:c r="F11869" s="0" t="s">
        <x:v>45</x:v>
      </x:c>
      <x:c r="G11869" s="0" t="s">
        <x:v>22</x:v>
      </x:c>
      <x:c r="H11869" s="0" t="s">
        <x:v>20</x:v>
      </x:c>
      <x:c r="I11869" s="0" t="s">
        <x:v>21</x:v>
      </x:c>
      <x:c r="K11869" s="0">
        <x:f>hyperlink("https://icd.who.int/dev11/l-ichi/en#/http%3A%2F%2Fid.who.int%2Ficd%2Fentity%2F988393448","browser")</x:f>
      </x:c>
      <x:c r="L11869" s="0">
        <x:f>hyperlink("https://icat2.azurewebsites.net/icat/?ontology=ICD&amp;tab=ClassesTab&amp;id=http%3A%2F%2Fwho.int%2Ficd%23SpecificAnatomicLocation_2384","iCat")</x:f>
      </x:c>
      <x:c r="M11869" s="0" t="s">
        <x:v>21</x:v>
      </x:c>
      <x:c r="N11869" s="0" t="s">
        <x:v>46</x:v>
      </x:c>
    </x:row>
    <x:row r="11870" spans="1:16">
      <x:c r="A11870" s="0" t="s">
        <x:v>46220</x:v>
      </x:c>
      <x:c r="B11870" s="0" t="s">
        <x:v>46221</x:v>
      </x:c>
      <x:c r="C11870" s="0" t="s">
        <x:v>42840</x:v>
      </x:c>
      <x:c r="E11870" s="0" t="s">
        <x:v>46222</x:v>
      </x:c>
      <x:c r="F11870" s="0" t="s">
        <x:v>45</x:v>
      </x:c>
      <x:c r="G11870" s="0" t="s">
        <x:v>22</x:v>
      </x:c>
      <x:c r="H11870" s="0" t="s">
        <x:v>20</x:v>
      </x:c>
      <x:c r="I11870" s="0" t="s">
        <x:v>21</x:v>
      </x:c>
      <x:c r="K11870" s="0">
        <x:f>hyperlink("https://icd.who.int/dev11/l-ichi/en#/http%3A%2F%2Fid.who.int%2Ficd%2Fentity%2F918712255","browser")</x:f>
      </x:c>
      <x:c r="L11870" s="0">
        <x:f>hyperlink("https://icat2.azurewebsites.net/icat/?ontology=ICD&amp;tab=ClassesTab&amp;id=http%3A%2F%2Fwho.int%2Ficd%23SpecificAnatomicLocation_2392","iCat")</x:f>
      </x:c>
      <x:c r="M11870" s="0" t="s">
        <x:v>21</x:v>
      </x:c>
      <x:c r="N11870" s="0" t="s">
        <x:v>46</x:v>
      </x:c>
    </x:row>
    <x:row r="11871" spans="1:16">
      <x:c r="A11871" s="0" t="s">
        <x:v>46223</x:v>
      </x:c>
      <x:c r="B11871" s="0" t="s">
        <x:v>46224</x:v>
      </x:c>
      <x:c r="C11871" s="0" t="s">
        <x:v>42840</x:v>
      </x:c>
      <x:c r="E11871" s="0" t="s">
        <x:v>46225</x:v>
      </x:c>
      <x:c r="F11871" s="0" t="s">
        <x:v>45</x:v>
      </x:c>
      <x:c r="G11871" s="0" t="s">
        <x:v>22</x:v>
      </x:c>
      <x:c r="H11871" s="0" t="s">
        <x:v>20</x:v>
      </x:c>
      <x:c r="I11871" s="0" t="s">
        <x:v>21</x:v>
      </x:c>
      <x:c r="K11871" s="0">
        <x:f>hyperlink("https://icd.who.int/dev11/l-ichi/en#/http%3A%2F%2Fid.who.int%2Ficd%2Fentity%2F1121366784","browser")</x:f>
      </x:c>
      <x:c r="L11871" s="0">
        <x:f>hyperlink("https://icat2.azurewebsites.net/icat/?ontology=ICD&amp;tab=ClassesTab&amp;id=http%3A%2F%2Fwho.int%2Ficd%23SpecificAnatomicLocation_2402","iCat")</x:f>
      </x:c>
      <x:c r="M11871" s="0" t="s">
        <x:v>21</x:v>
      </x:c>
      <x:c r="N11871" s="0" t="s">
        <x:v>46</x:v>
      </x:c>
    </x:row>
    <x:row r="11872" spans="1:16">
      <x:c r="A11872" s="0" t="s">
        <x:v>46226</x:v>
      </x:c>
      <x:c r="B11872" s="0" t="s">
        <x:v>46227</x:v>
      </x:c>
      <x:c r="C11872" s="0" t="s">
        <x:v>42840</x:v>
      </x:c>
      <x:c r="E11872" s="0" t="s">
        <x:v>46228</x:v>
      </x:c>
      <x:c r="F11872" s="0" t="s">
        <x:v>45</x:v>
      </x:c>
      <x:c r="G11872" s="0" t="s">
        <x:v>22</x:v>
      </x:c>
      <x:c r="H11872" s="0" t="s">
        <x:v>20</x:v>
      </x:c>
      <x:c r="I11872" s="0" t="s">
        <x:v>21</x:v>
      </x:c>
      <x:c r="K11872" s="0">
        <x:f>hyperlink("https://icd.who.int/dev11/l-ichi/en#/http%3A%2F%2Fid.who.int%2Ficd%2Fentity%2F1425146193","browser")</x:f>
      </x:c>
      <x:c r="L11872" s="0">
        <x:f>hyperlink("https://icat2.azurewebsites.net/icat/?ontology=ICD&amp;tab=ClassesTab&amp;id=http%3A%2F%2Fwho.int%2Ficd%23SpecificAnatomicLocation_2372","iCat")</x:f>
      </x:c>
      <x:c r="M11872" s="0" t="s">
        <x:v>21</x:v>
      </x:c>
      <x:c r="N11872" s="0" t="s">
        <x:v>46</x:v>
      </x:c>
    </x:row>
    <x:row r="11873" spans="1:16">
      <x:c r="A11873" s="0" t="s">
        <x:v>46229</x:v>
      </x:c>
      <x:c r="B11873" s="0" t="s">
        <x:v>46230</x:v>
      </x:c>
      <x:c r="C11873" s="0" t="s">
        <x:v>42840</x:v>
      </x:c>
      <x:c r="E11873" s="0" t="s">
        <x:v>46231</x:v>
      </x:c>
      <x:c r="F11873" s="0" t="s">
        <x:v>45</x:v>
      </x:c>
      <x:c r="G11873" s="0" t="s">
        <x:v>22</x:v>
      </x:c>
      <x:c r="H11873" s="0" t="s">
        <x:v>20</x:v>
      </x:c>
      <x:c r="I11873" s="0" t="s">
        <x:v>21</x:v>
      </x:c>
      <x:c r="K11873" s="0">
        <x:f>hyperlink("https://icd.who.int/dev11/l-ichi/en#/http%3A%2F%2Fid.who.int%2Ficd%2Fentity%2F655330496","browser")</x:f>
      </x:c>
      <x:c r="L11873" s="0">
        <x:f>hyperlink("https://icat2.azurewebsites.net/icat/?ontology=ICD&amp;tab=ClassesTab&amp;id=http%3A%2F%2Fwho.int%2Ficd%23SpecificAnatomicLocation_2405","iCat")</x:f>
      </x:c>
      <x:c r="M11873" s="0" t="s">
        <x:v>21</x:v>
      </x:c>
      <x:c r="N11873" s="0" t="s">
        <x:v>46</x:v>
      </x:c>
    </x:row>
    <x:row r="11874" spans="1:16">
      <x:c r="A11874" s="0" t="s">
        <x:v>46232</x:v>
      </x:c>
      <x:c r="B11874" s="0" t="s">
        <x:v>46233</x:v>
      </x:c>
      <x:c r="C11874" s="0" t="s">
        <x:v>42840</x:v>
      </x:c>
      <x:c r="E11874" s="0" t="s">
        <x:v>46234</x:v>
      </x:c>
      <x:c r="F11874" s="0" t="s">
        <x:v>45</x:v>
      </x:c>
      <x:c r="G11874" s="0" t="s">
        <x:v>22</x:v>
      </x:c>
      <x:c r="H11874" s="0" t="s">
        <x:v>20</x:v>
      </x:c>
      <x:c r="I11874" s="0" t="s">
        <x:v>21</x:v>
      </x:c>
      <x:c r="K11874" s="0">
        <x:f>hyperlink("https://icd.who.int/dev11/l-ichi/en#/http%3A%2F%2Fid.who.int%2Ficd%2Fentity%2F937198040","browser")</x:f>
      </x:c>
      <x:c r="L11874" s="0">
        <x:f>hyperlink("https://icat2.azurewebsites.net/icat/?ontology=ICD&amp;tab=ClassesTab&amp;id=http%3A%2F%2Fwho.int%2Ficd%23SpecificAnatomicLocation_2389","iCat")</x:f>
      </x:c>
      <x:c r="M11874" s="0" t="s">
        <x:v>21</x:v>
      </x:c>
      <x:c r="N11874" s="0" t="s">
        <x:v>46</x:v>
      </x:c>
    </x:row>
    <x:row r="11875" spans="1:16">
      <x:c r="A11875" s="0" t="s">
        <x:v>46235</x:v>
      </x:c>
      <x:c r="B11875" s="0" t="s">
        <x:v>46236</x:v>
      </x:c>
      <x:c r="C11875" s="0" t="s">
        <x:v>42840</x:v>
      </x:c>
      <x:c r="E11875" s="0" t="s">
        <x:v>46237</x:v>
      </x:c>
      <x:c r="F11875" s="0" t="s">
        <x:v>45</x:v>
      </x:c>
      <x:c r="G11875" s="0" t="s">
        <x:v>22</x:v>
      </x:c>
      <x:c r="H11875" s="0" t="s">
        <x:v>20</x:v>
      </x:c>
      <x:c r="I11875" s="0" t="s">
        <x:v>21</x:v>
      </x:c>
      <x:c r="K11875" s="0">
        <x:f>hyperlink("https://icd.who.int/dev11/l-ichi/en#/http%3A%2F%2Fid.who.int%2Ficd%2Fentity%2F1008603439","browser")</x:f>
      </x:c>
      <x:c r="L11875" s="0">
        <x:f>hyperlink("https://icat2.azurewebsites.net/icat/?ontology=ICD&amp;tab=ClassesTab&amp;id=http%3A%2F%2Fwho.int%2Ficd%23SpecificAnatomicLocation_2378","iCat")</x:f>
      </x:c>
      <x:c r="M11875" s="0" t="s">
        <x:v>21</x:v>
      </x:c>
      <x:c r="N11875" s="0" t="s">
        <x:v>46</x:v>
      </x:c>
    </x:row>
    <x:row r="11876" spans="1:16">
      <x:c r="A11876" s="0" t="s">
        <x:v>46238</x:v>
      </x:c>
      <x:c r="B11876" s="0" t="s">
        <x:v>46239</x:v>
      </x:c>
      <x:c r="C11876" s="0" t="s">
        <x:v>42840</x:v>
      </x:c>
      <x:c r="E11876" s="0" t="s">
        <x:v>46240</x:v>
      </x:c>
      <x:c r="F11876" s="0" t="s">
        <x:v>45</x:v>
      </x:c>
      <x:c r="G11876" s="0" t="s">
        <x:v>22</x:v>
      </x:c>
      <x:c r="H11876" s="0" t="s">
        <x:v>20</x:v>
      </x:c>
      <x:c r="I11876" s="0" t="s">
        <x:v>21</x:v>
      </x:c>
      <x:c r="K11876" s="0">
        <x:f>hyperlink("https://icd.who.int/dev11/l-ichi/en#/http%3A%2F%2Fid.who.int%2Ficd%2Fentity%2F1567239247","browser")</x:f>
      </x:c>
      <x:c r="L11876" s="0">
        <x:f>hyperlink("https://icat2.azurewebsites.net/icat/?ontology=ICD&amp;tab=ClassesTab&amp;id=http%3A%2F%2Fwho.int%2Ficd%23SpecificAnatomicLocation_2421","iCat")</x:f>
      </x:c>
      <x:c r="M11876" s="0" t="s">
        <x:v>21</x:v>
      </x:c>
      <x:c r="N11876" s="0" t="s">
        <x:v>46</x:v>
      </x:c>
    </x:row>
    <x:row r="11877" spans="1:16">
      <x:c r="A11877" s="0" t="s">
        <x:v>46241</x:v>
      </x:c>
      <x:c r="B11877" s="0" t="s">
        <x:v>46242</x:v>
      </x:c>
      <x:c r="C11877" s="0" t="s">
        <x:v>42840</x:v>
      </x:c>
      <x:c r="E11877" s="0" t="s">
        <x:v>46243</x:v>
      </x:c>
      <x:c r="F11877" s="0" t="s">
        <x:v>45</x:v>
      </x:c>
      <x:c r="G11877" s="0" t="s">
        <x:v>22</x:v>
      </x:c>
      <x:c r="H11877" s="0" t="s">
        <x:v>20</x:v>
      </x:c>
      <x:c r="I11877" s="0" t="s">
        <x:v>21</x:v>
      </x:c>
      <x:c r="K11877" s="0">
        <x:f>hyperlink("https://icd.who.int/dev11/l-ichi/en#/http%3A%2F%2Fid.who.int%2Ficd%2Fentity%2F1209595240","browser")</x:f>
      </x:c>
      <x:c r="L11877" s="0">
        <x:f>hyperlink("https://icat2.azurewebsites.net/icat/?ontology=ICD&amp;tab=ClassesTab&amp;id=http%3A%2F%2Fwho.int%2Ficd%23SpecificAnatomicLocation_2382","iCat")</x:f>
      </x:c>
      <x:c r="M11877" s="0" t="s">
        <x:v>21</x:v>
      </x:c>
      <x:c r="N11877" s="0" t="s">
        <x:v>46</x:v>
      </x:c>
    </x:row>
    <x:row r="11878" spans="1:16">
      <x:c r="A11878" s="0" t="s">
        <x:v>46244</x:v>
      </x:c>
      <x:c r="B11878" s="0" t="s">
        <x:v>46245</x:v>
      </x:c>
      <x:c r="C11878" s="0" t="s">
        <x:v>42840</x:v>
      </x:c>
      <x:c r="E11878" s="0" t="s">
        <x:v>46246</x:v>
      </x:c>
      <x:c r="F11878" s="0" t="s">
        <x:v>45</x:v>
      </x:c>
      <x:c r="G11878" s="0" t="s">
        <x:v>22</x:v>
      </x:c>
      <x:c r="H11878" s="0" t="s">
        <x:v>20</x:v>
      </x:c>
      <x:c r="I11878" s="0" t="s">
        <x:v>21</x:v>
      </x:c>
      <x:c r="K11878" s="0">
        <x:f>hyperlink("https://icd.who.int/dev11/l-ichi/en#/http%3A%2F%2Fid.who.int%2Ficd%2Fentity%2F1423980633","browser")</x:f>
      </x:c>
      <x:c r="L11878" s="0">
        <x:f>hyperlink("https://icat2.azurewebsites.net/icat/?ontology=ICD&amp;tab=ClassesTab&amp;id=http%3A%2F%2Fwho.int%2Ficd%23SpecificAnatomicLocation_2418","iCat")</x:f>
      </x:c>
      <x:c r="M11878" s="0" t="s">
        <x:v>21</x:v>
      </x:c>
      <x:c r="N11878" s="0" t="s">
        <x:v>46</x:v>
      </x:c>
    </x:row>
    <x:row r="11879" spans="1:16">
      <x:c r="A11879" s="0" t="s">
        <x:v>46247</x:v>
      </x:c>
      <x:c r="B11879" s="0" t="s">
        <x:v>46248</x:v>
      </x:c>
      <x:c r="C11879" s="0" t="s">
        <x:v>42840</x:v>
      </x:c>
      <x:c r="E11879" s="0" t="s">
        <x:v>46249</x:v>
      </x:c>
      <x:c r="F11879" s="0" t="s">
        <x:v>45</x:v>
      </x:c>
      <x:c r="G11879" s="0" t="s">
        <x:v>22</x:v>
      </x:c>
      <x:c r="H11879" s="0" t="s">
        <x:v>20</x:v>
      </x:c>
      <x:c r="I11879" s="0" t="s">
        <x:v>21</x:v>
      </x:c>
      <x:c r="K11879" s="0">
        <x:f>hyperlink("https://icd.who.int/dev11/l-ichi/en#/http%3A%2F%2Fid.who.int%2Ficd%2Fentity%2F708485760","browser")</x:f>
      </x:c>
      <x:c r="L11879" s="0">
        <x:f>hyperlink("https://icat2.azurewebsites.net/icat/?ontology=ICD&amp;tab=ClassesTab&amp;id=http%3A%2F%2Fwho.int%2Ficd%23SpecificAnatomicLocation_2408","iCat")</x:f>
      </x:c>
      <x:c r="M11879" s="0" t="s">
        <x:v>21</x:v>
      </x:c>
      <x:c r="N11879" s="0" t="s">
        <x:v>46</x:v>
      </x:c>
    </x:row>
    <x:row r="11880" spans="1:16">
      <x:c r="A11880" s="0" t="s">
        <x:v>46250</x:v>
      </x:c>
      <x:c r="B11880" s="0" t="s">
        <x:v>46251</x:v>
      </x:c>
      <x:c r="C11880" s="0" t="s">
        <x:v>42840</x:v>
      </x:c>
      <x:c r="E11880" s="0" t="s">
        <x:v>46252</x:v>
      </x:c>
      <x:c r="F11880" s="0" t="s">
        <x:v>45</x:v>
      </x:c>
      <x:c r="G11880" s="0" t="s">
        <x:v>22</x:v>
      </x:c>
      <x:c r="H11880" s="0" t="s">
        <x:v>20</x:v>
      </x:c>
      <x:c r="I11880" s="0" t="s">
        <x:v>21</x:v>
      </x:c>
      <x:c r="K11880" s="0">
        <x:f>hyperlink("https://icd.who.int/dev11/l-ichi/en#/http%3A%2F%2Fid.who.int%2Ficd%2Fentity%2F2005262311","browser")</x:f>
      </x:c>
      <x:c r="L11880" s="0">
        <x:f>hyperlink("https://icat2.azurewebsites.net/icat/?ontology=ICD&amp;tab=ClassesTab&amp;id=http%3A%2F%2Fwho.int%2Ficd%23SpecificAnatomicLocation_2417","iCat")</x:f>
      </x:c>
      <x:c r="M11880" s="0" t="s">
        <x:v>21</x:v>
      </x:c>
      <x:c r="N11880" s="0" t="s">
        <x:v>46</x:v>
      </x:c>
    </x:row>
    <x:row r="11881" spans="1:16">
      <x:c r="A11881" s="0" t="s">
        <x:v>46253</x:v>
      </x:c>
      <x:c r="B11881" s="0" t="s">
        <x:v>46254</x:v>
      </x:c>
      <x:c r="C11881" s="0" t="s">
        <x:v>42840</x:v>
      </x:c>
      <x:c r="E11881" s="0" t="s">
        <x:v>46255</x:v>
      </x:c>
      <x:c r="F11881" s="0" t="s">
        <x:v>45</x:v>
      </x:c>
      <x:c r="G11881" s="0" t="s">
        <x:v>22</x:v>
      </x:c>
      <x:c r="H11881" s="0" t="s">
        <x:v>20</x:v>
      </x:c>
      <x:c r="I11881" s="0" t="s">
        <x:v>21</x:v>
      </x:c>
      <x:c r="K11881" s="0">
        <x:f>hyperlink("https://icd.who.int/dev11/l-ichi/en#/http%3A%2F%2Fid.who.int%2Ficd%2Fentity%2F1225136897","browser")</x:f>
      </x:c>
      <x:c r="L11881" s="0">
        <x:f>hyperlink("https://icat2.azurewebsites.net/icat/?ontology=ICD&amp;tab=ClassesTab&amp;id=http%3A%2F%2Fwho.int%2Ficd%23SpecificAnatomicLocation_2399","iCat")</x:f>
      </x:c>
      <x:c r="M11881" s="0" t="s">
        <x:v>21</x:v>
      </x:c>
      <x:c r="N11881" s="0" t="s">
        <x:v>46</x:v>
      </x:c>
    </x:row>
    <x:row r="11882" spans="1:16">
      <x:c r="A11882" s="0" t="s">
        <x:v>46256</x:v>
      </x:c>
      <x:c r="B11882" s="0" t="s">
        <x:v>46257</x:v>
      </x:c>
      <x:c r="C11882" s="0" t="s">
        <x:v>42840</x:v>
      </x:c>
      <x:c r="E11882" s="0" t="s">
        <x:v>46258</x:v>
      </x:c>
      <x:c r="F11882" s="0" t="s">
        <x:v>45</x:v>
      </x:c>
      <x:c r="G11882" s="0" t="s">
        <x:v>22</x:v>
      </x:c>
      <x:c r="H11882" s="0" t="s">
        <x:v>20</x:v>
      </x:c>
      <x:c r="I11882" s="0" t="s">
        <x:v>21</x:v>
      </x:c>
      <x:c r="K11882" s="0">
        <x:f>hyperlink("https://icd.who.int/dev11/l-ichi/en#/http%3A%2F%2Fid.who.int%2Ficd%2Fentity%2F1144206655","browser")</x:f>
      </x:c>
      <x:c r="L11882" s="0">
        <x:f>hyperlink("https://icat2.azurewebsites.net/icat/?ontology=ICD&amp;tab=ClassesTab&amp;id=http%3A%2F%2Fwho.int%2Ficd%23SpecificAnatomicLocation_2394","iCat")</x:f>
      </x:c>
      <x:c r="M11882" s="0" t="s">
        <x:v>21</x:v>
      </x:c>
      <x:c r="N11882" s="0" t="s">
        <x:v>46</x:v>
      </x:c>
    </x:row>
    <x:row r="11883" spans="1:16">
      <x:c r="A11883" s="0" t="s">
        <x:v>46259</x:v>
      </x:c>
      <x:c r="B11883" s="0" t="s">
        <x:v>46260</x:v>
      </x:c>
      <x:c r="C11883" s="0" t="s">
        <x:v>42840</x:v>
      </x:c>
      <x:c r="E11883" s="0" t="s">
        <x:v>46261</x:v>
      </x:c>
      <x:c r="F11883" s="0" t="s">
        <x:v>45</x:v>
      </x:c>
      <x:c r="G11883" s="0" t="s">
        <x:v>22</x:v>
      </x:c>
      <x:c r="H11883" s="0" t="s">
        <x:v>20</x:v>
      </x:c>
      <x:c r="I11883" s="0" t="s">
        <x:v>21</x:v>
      </x:c>
      <x:c r="K11883" s="0">
        <x:f>hyperlink("https://icd.who.int/dev11/l-ichi/en#/http%3A%2F%2Fid.who.int%2Ficd%2Fentity%2F552920344","browser")</x:f>
      </x:c>
      <x:c r="L11883" s="0">
        <x:f>hyperlink("https://icat2.azurewebsites.net/icat/?ontology=ICD&amp;tab=ClassesTab&amp;id=http%3A%2F%2Fwho.int%2Ficd%23SpecificAnatomicLocation_2388","iCat")</x:f>
      </x:c>
      <x:c r="M11883" s="0" t="s">
        <x:v>21</x:v>
      </x:c>
      <x:c r="N11883" s="0" t="s">
        <x:v>46</x:v>
      </x:c>
    </x:row>
    <x:row r="11884" spans="1:16">
      <x:c r="A11884" s="0" t="s">
        <x:v>46262</x:v>
      </x:c>
      <x:c r="B11884" s="0" t="s">
        <x:v>46263</x:v>
      </x:c>
      <x:c r="C11884" s="0" t="s">
        <x:v>42840</x:v>
      </x:c>
      <x:c r="E11884" s="0" t="s">
        <x:v>46264</x:v>
      </x:c>
      <x:c r="F11884" s="0" t="s">
        <x:v>45</x:v>
      </x:c>
      <x:c r="G11884" s="0" t="s">
        <x:v>22</x:v>
      </x:c>
      <x:c r="H11884" s="0" t="s">
        <x:v>20</x:v>
      </x:c>
      <x:c r="I11884" s="0" t="s">
        <x:v>21</x:v>
      </x:c>
      <x:c r="K11884" s="0">
        <x:f>hyperlink("https://icd.who.int/dev11/l-ichi/en#/http%3A%2F%2Fid.who.int%2Ficd%2Fentity%2F157238592","browser")</x:f>
      </x:c>
      <x:c r="L11884" s="0">
        <x:f>hyperlink("https://icat2.azurewebsites.net/icat/?ontology=ICD&amp;tab=ClassesTab&amp;id=http%3A%2F%2Fwho.int%2Ficd%23SpecificAnatomicLocation_2407","iCat")</x:f>
      </x:c>
      <x:c r="M11884" s="0" t="s">
        <x:v>21</x:v>
      </x:c>
      <x:c r="N11884" s="0" t="s">
        <x:v>46</x:v>
      </x:c>
    </x:row>
    <x:row r="11885" spans="1:16">
      <x:c r="A11885" s="0" t="s">
        <x:v>46265</x:v>
      </x:c>
      <x:c r="B11885" s="0" t="s">
        <x:v>46266</x:v>
      </x:c>
      <x:c r="C11885" s="0" t="s">
        <x:v>42840</x:v>
      </x:c>
      <x:c r="E11885" s="0" t="s">
        <x:v>46267</x:v>
      </x:c>
      <x:c r="F11885" s="0" t="s">
        <x:v>45</x:v>
      </x:c>
      <x:c r="G11885" s="0" t="s">
        <x:v>22</x:v>
      </x:c>
      <x:c r="H11885" s="0" t="s">
        <x:v>20</x:v>
      </x:c>
      <x:c r="I11885" s="0" t="s">
        <x:v>21</x:v>
      </x:c>
      <x:c r="K11885" s="0">
        <x:f>hyperlink("https://icd.who.int/dev11/l-ichi/en#/http%3A%2F%2Fid.who.int%2Ficd%2Fentity%2F1394299391","browser")</x:f>
      </x:c>
      <x:c r="L11885" s="0">
        <x:f>hyperlink("https://icat2.azurewebsites.net/icat/?ontology=ICD&amp;tab=ClassesTab&amp;id=http%3A%2F%2Fwho.int%2Ficd%23SpecificAnatomicLocation_2395","iCat")</x:f>
      </x:c>
      <x:c r="M11885" s="0" t="s">
        <x:v>21</x:v>
      </x:c>
      <x:c r="N11885" s="0" t="s">
        <x:v>46</x:v>
      </x:c>
    </x:row>
    <x:row r="11886" spans="1:16">
      <x:c r="A11886" s="0" t="s">
        <x:v>46268</x:v>
      </x:c>
      <x:c r="B11886" s="0" t="s">
        <x:v>46269</x:v>
      </x:c>
      <x:c r="C11886" s="0" t="s">
        <x:v>42840</x:v>
      </x:c>
      <x:c r="E11886" s="0" t="s">
        <x:v>46270</x:v>
      </x:c>
      <x:c r="F11886" s="0" t="s">
        <x:v>45</x:v>
      </x:c>
      <x:c r="G11886" s="0" t="s">
        <x:v>22</x:v>
      </x:c>
      <x:c r="H11886" s="0" t="s">
        <x:v>20</x:v>
      </x:c>
      <x:c r="I11886" s="0" t="s">
        <x:v>21</x:v>
      </x:c>
      <x:c r="K11886" s="0">
        <x:f>hyperlink("https://icd.who.int/dev11/l-ichi/en#/http%3A%2F%2Fid.who.int%2Ficd%2Fentity%2F762731602","browser")</x:f>
      </x:c>
      <x:c r="L11886" s="0">
        <x:f>hyperlink("https://icat2.azurewebsites.net/icat/?ontology=ICD&amp;tab=ClassesTab&amp;id=http%3A%2F%2Fwho.int%2Ficd%23SpecificAnatomicLocation_2241","iCat")</x:f>
      </x:c>
      <x:c r="M11886" s="0" t="s">
        <x:v>21</x:v>
      </x:c>
      <x:c r="N11886" s="0" t="s">
        <x:v>46</x:v>
      </x:c>
    </x:row>
    <x:row r="11887" spans="1:16">
      <x:c r="A11887" s="0" t="s">
        <x:v>46271</x:v>
      </x:c>
      <x:c r="B11887" s="0" t="s">
        <x:v>46272</x:v>
      </x:c>
      <x:c r="C11887" s="0" t="s">
        <x:v>42840</x:v>
      </x:c>
      <x:c r="E11887" s="0" t="s">
        <x:v>46273</x:v>
      </x:c>
      <x:c r="F11887" s="0" t="s">
        <x:v>45</x:v>
      </x:c>
      <x:c r="G11887" s="0" t="s">
        <x:v>22</x:v>
      </x:c>
      <x:c r="H11887" s="0" t="s">
        <x:v>20</x:v>
      </x:c>
      <x:c r="I11887" s="0" t="s">
        <x:v>21</x:v>
      </x:c>
      <x:c r="K11887" s="0">
        <x:f>hyperlink("https://icd.who.int/dev11/l-ichi/en#/http%3A%2F%2Fid.who.int%2Ficd%2Fentity%2F1442764352","browser")</x:f>
      </x:c>
      <x:c r="L11887" s="0">
        <x:f>hyperlink("https://icat2.azurewebsites.net/icat/?ontology=ICD&amp;tab=ClassesTab&amp;id=http%3A%2F%2Fwho.int%2Ficd%23SpecificAnatomicLocation_2403","iCat")</x:f>
      </x:c>
      <x:c r="M11887" s="0" t="s">
        <x:v>21</x:v>
      </x:c>
      <x:c r="N11887" s="0" t="s">
        <x:v>46</x:v>
      </x:c>
    </x:row>
    <x:row r="11888" spans="1:16">
      <x:c r="A11888" s="0" t="s">
        <x:v>46274</x:v>
      </x:c>
      <x:c r="B11888" s="0" t="s">
        <x:v>46275</x:v>
      </x:c>
      <x:c r="C11888" s="0" t="s">
        <x:v>42840</x:v>
      </x:c>
      <x:c r="E11888" s="0" t="s">
        <x:v>46276</x:v>
      </x:c>
      <x:c r="F11888" s="0" t="s">
        <x:v>45</x:v>
      </x:c>
      <x:c r="G11888" s="0" t="s">
        <x:v>22</x:v>
      </x:c>
      <x:c r="H11888" s="0" t="s">
        <x:v>20</x:v>
      </x:c>
      <x:c r="I11888" s="0" t="s">
        <x:v>21</x:v>
      </x:c>
      <x:c r="K11888" s="0">
        <x:f>hyperlink("https://icd.who.int/dev11/l-ichi/en#/http%3A%2F%2Fid.who.int%2Ficd%2Fentity%2F2102106239","browser")</x:f>
      </x:c>
      <x:c r="L11888" s="0">
        <x:f>hyperlink("https://icat2.azurewebsites.net/icat/?ontology=ICD&amp;tab=ClassesTab&amp;id=http%3A%2F%2Fwho.int%2Ficd%23SpecificAnatomicLocation_2397","iCat")</x:f>
      </x:c>
      <x:c r="M11888" s="0" t="s">
        <x:v>21</x:v>
      </x:c>
      <x:c r="N11888" s="0" t="s">
        <x:v>46</x:v>
      </x:c>
    </x:row>
    <x:row r="11889" spans="1:16">
      <x:c r="A11889" s="0" t="s">
        <x:v>46277</x:v>
      </x:c>
      <x:c r="B11889" s="0" t="s">
        <x:v>46278</x:v>
      </x:c>
      <x:c r="C11889" s="0" t="s">
        <x:v>42840</x:v>
      </x:c>
      <x:c r="E11889" s="0" t="s">
        <x:v>46279</x:v>
      </x:c>
      <x:c r="F11889" s="0" t="s">
        <x:v>45</x:v>
      </x:c>
      <x:c r="G11889" s="0" t="s">
        <x:v>22</x:v>
      </x:c>
      <x:c r="H11889" s="0" t="s">
        <x:v>20</x:v>
      </x:c>
      <x:c r="I11889" s="0" t="s">
        <x:v>21</x:v>
      </x:c>
      <x:c r="K11889" s="0">
        <x:f>hyperlink("https://icd.who.int/dev11/l-ichi/en#/http%3A%2F%2Fid.who.int%2Ficd%2Fentity%2F568986495","browser")</x:f>
      </x:c>
      <x:c r="L11889" s="0">
        <x:f>hyperlink("https://icat2.azurewebsites.net/icat/?ontology=ICD&amp;tab=ClassesTab&amp;id=http%3A%2F%2Fwho.int%2Ficd%23SpecificAnatomicLocation_2393","iCat")</x:f>
      </x:c>
      <x:c r="M11889" s="0" t="s">
        <x:v>21</x:v>
      </x:c>
      <x:c r="N11889" s="0" t="s">
        <x:v>46</x:v>
      </x:c>
    </x:row>
    <x:row r="11890" spans="1:16">
      <x:c r="A11890" s="0" t="s">
        <x:v>46280</x:v>
      </x:c>
      <x:c r="B11890" s="0" t="s">
        <x:v>46281</x:v>
      </x:c>
      <x:c r="C11890" s="0" t="s">
        <x:v>42840</x:v>
      </x:c>
      <x:c r="E11890" s="0" t="s">
        <x:v>46282</x:v>
      </x:c>
      <x:c r="F11890" s="0" t="s">
        <x:v>45</x:v>
      </x:c>
      <x:c r="G11890" s="0" t="s">
        <x:v>22</x:v>
      </x:c>
      <x:c r="H11890" s="0" t="s">
        <x:v>20</x:v>
      </x:c>
      <x:c r="I11890" s="0" t="s">
        <x:v>21</x:v>
      </x:c>
      <x:c r="K11890" s="0">
        <x:f>hyperlink("https://icd.who.int/dev11/l-ichi/en#/http%3A%2F%2Fid.who.int%2Ficd%2Fentity%2F412263999","browser")</x:f>
      </x:c>
      <x:c r="L11890" s="0">
        <x:f>hyperlink("https://icat2.azurewebsites.net/icat/?ontology=ICD&amp;tab=ClassesTab&amp;id=http%3A%2F%2Fwho.int%2Ficd%23SpecificAnatomicLocation_2390","iCat")</x:f>
      </x:c>
      <x:c r="M11890" s="0" t="s">
        <x:v>21</x:v>
      </x:c>
      <x:c r="N11890" s="0" t="s">
        <x:v>46</x:v>
      </x:c>
    </x:row>
    <x:row r="11891" spans="1:16">
      <x:c r="A11891" s="0" t="s">
        <x:v>46283</x:v>
      </x:c>
      <x:c r="B11891" s="0" t="s">
        <x:v>46284</x:v>
      </x:c>
      <x:c r="C11891" s="0" t="s">
        <x:v>42840</x:v>
      </x:c>
      <x:c r="E11891" s="0" t="s">
        <x:v>46285</x:v>
      </x:c>
      <x:c r="F11891" s="0" t="s">
        <x:v>45</x:v>
      </x:c>
      <x:c r="G11891" s="0" t="s">
        <x:v>22</x:v>
      </x:c>
      <x:c r="H11891" s="0" t="s">
        <x:v>20</x:v>
      </x:c>
      <x:c r="I11891" s="0" t="s">
        <x:v>21</x:v>
      </x:c>
      <x:c r="K11891" s="0">
        <x:f>hyperlink("https://icd.who.int/dev11/l-ichi/en#/http%3A%2F%2Fid.who.int%2Ficd%2Fentity%2F767675176","browser")</x:f>
      </x:c>
      <x:c r="L11891" s="0">
        <x:f>hyperlink("https://icat2.azurewebsites.net/icat/?ontology=ICD&amp;tab=ClassesTab&amp;id=http%3A%2F%2Fwho.int%2Ficd%23SpecificAnatomicLocation_2385","iCat")</x:f>
      </x:c>
      <x:c r="M11891" s="0" t="s">
        <x:v>21</x:v>
      </x:c>
      <x:c r="N11891" s="0" t="s">
        <x:v>46</x:v>
      </x:c>
    </x:row>
    <x:row r="11892" spans="1:16">
      <x:c r="A11892" s="0" t="s">
        <x:v>46286</x:v>
      </x:c>
      <x:c r="B11892" s="0" t="s">
        <x:v>46287</x:v>
      </x:c>
      <x:c r="C11892" s="0" t="s">
        <x:v>42840</x:v>
      </x:c>
      <x:c r="E11892" s="0" t="s">
        <x:v>46288</x:v>
      </x:c>
      <x:c r="F11892" s="0" t="s">
        <x:v>45</x:v>
      </x:c>
      <x:c r="G11892" s="0" t="s">
        <x:v>22</x:v>
      </x:c>
      <x:c r="H11892" s="0" t="s">
        <x:v>20</x:v>
      </x:c>
      <x:c r="I11892" s="0" t="s">
        <x:v>21</x:v>
      </x:c>
      <x:c r="K11892" s="0">
        <x:f>hyperlink("https://icd.who.int/dev11/l-ichi/en#/http%3A%2F%2Fid.who.int%2Ficd%2Fentity%2F1507137127","browser")</x:f>
      </x:c>
      <x:c r="L11892" s="0">
        <x:f>hyperlink("https://icat2.azurewebsites.net/icat/?ontology=ICD&amp;tab=ClassesTab&amp;id=http%3A%2F%2Fwho.int%2Ficd%23SpecificAnatomicLocation_2415","iCat")</x:f>
      </x:c>
      <x:c r="M11892" s="0" t="s">
        <x:v>21</x:v>
      </x:c>
      <x:c r="N11892" s="0" t="s">
        <x:v>46</x:v>
      </x:c>
    </x:row>
    <x:row r="11893" spans="1:16">
      <x:c r="A11893" s="0" t="s">
        <x:v>46289</x:v>
      </x:c>
      <x:c r="B11893" s="0" t="s">
        <x:v>46290</x:v>
      </x:c>
      <x:c r="C11893" s="0" t="s">
        <x:v>42840</x:v>
      </x:c>
      <x:c r="E11893" s="0" t="s">
        <x:v>46291</x:v>
      </x:c>
      <x:c r="F11893" s="0" t="s">
        <x:v>45</x:v>
      </x:c>
      <x:c r="G11893" s="0" t="s">
        <x:v>22</x:v>
      </x:c>
      <x:c r="H11893" s="0" t="s">
        <x:v>20</x:v>
      </x:c>
      <x:c r="I11893" s="0" t="s">
        <x:v>21</x:v>
      </x:c>
      <x:c r="K11893" s="0">
        <x:f>hyperlink("https://icd.who.int/dev11/l-ichi/en#/http%3A%2F%2Fid.who.int%2Ficd%2Fentity%2F308076967","browser")</x:f>
      </x:c>
      <x:c r="L11893" s="0">
        <x:f>hyperlink("https://icat2.azurewebsites.net/icat/?ontology=ICD&amp;tab=ClassesTab&amp;id=http%3A%2F%2Fwho.int%2Ficd%23SpecificAnatomicLocation_2410","iCat")</x:f>
      </x:c>
      <x:c r="M11893" s="0" t="s">
        <x:v>21</x:v>
      </x:c>
      <x:c r="N11893" s="0" t="s">
        <x:v>46</x:v>
      </x:c>
    </x:row>
    <x:row r="11894" spans="1:16">
      <x:c r="A11894" s="0" t="s">
        <x:v>46292</x:v>
      </x:c>
      <x:c r="B11894" s="0" t="s">
        <x:v>46293</x:v>
      </x:c>
      <x:c r="C11894" s="0" t="s">
        <x:v>42840</x:v>
      </x:c>
      <x:c r="E11894" s="0" t="s">
        <x:v>46294</x:v>
      </x:c>
      <x:c r="F11894" s="0" t="s">
        <x:v>45</x:v>
      </x:c>
      <x:c r="G11894" s="0" t="s">
        <x:v>22</x:v>
      </x:c>
      <x:c r="H11894" s="0" t="s">
        <x:v>20</x:v>
      </x:c>
      <x:c r="I11894" s="0" t="s">
        <x:v>21</x:v>
      </x:c>
      <x:c r="K11894" s="0">
        <x:f>hyperlink("https://icd.who.int/dev11/l-ichi/en#/http%3A%2F%2Fid.who.int%2Ficd%2Fentity%2F263897855","browser")</x:f>
      </x:c>
      <x:c r="L11894" s="0">
        <x:f>hyperlink("https://icat2.azurewebsites.net/icat/?ontology=ICD&amp;tab=ClassesTab&amp;id=http%3A%2F%2Fwho.int%2Ficd%23SpecificAnatomicLocation_2391","iCat")</x:f>
      </x:c>
      <x:c r="M11894" s="0" t="s">
        <x:v>21</x:v>
      </x:c>
      <x:c r="N11894" s="0" t="s">
        <x:v>46</x:v>
      </x:c>
    </x:row>
    <x:row r="11895" spans="1:16">
      <x:c r="A11895" s="0" t="s">
        <x:v>46295</x:v>
      </x:c>
      <x:c r="B11895" s="0" t="s">
        <x:v>46296</x:v>
      </x:c>
      <x:c r="C11895" s="0" t="s">
        <x:v>42840</x:v>
      </x:c>
      <x:c r="E11895" s="0" t="s">
        <x:v>46297</x:v>
      </x:c>
      <x:c r="F11895" s="0" t="s">
        <x:v>45</x:v>
      </x:c>
      <x:c r="G11895" s="0" t="s">
        <x:v>22</x:v>
      </x:c>
      <x:c r="H11895" s="0" t="s">
        <x:v>20</x:v>
      </x:c>
      <x:c r="I11895" s="0" t="s">
        <x:v>21</x:v>
      </x:c>
      <x:c r="K11895" s="0">
        <x:f>hyperlink("https://icd.who.int/dev11/l-ichi/en#/http%3A%2F%2Fid.who.int%2Ficd%2Fentity%2F1902139432","browser")</x:f>
      </x:c>
      <x:c r="L11895" s="0">
        <x:f>hyperlink("https://icat2.azurewebsites.net/icat/?ontology=ICD&amp;tab=ClassesTab&amp;id=http%3A%2F%2Fwho.int%2Ficd%23SpecificAnatomicLocation_2381","iCat")</x:f>
      </x:c>
      <x:c r="M11895" s="0" t="s">
        <x:v>21</x:v>
      </x:c>
      <x:c r="N11895" s="0" t="s">
        <x:v>46</x:v>
      </x:c>
    </x:row>
    <x:row r="11896" spans="1:16">
      <x:c r="A11896" s="0" t="s">
        <x:v>46298</x:v>
      </x:c>
      <x:c r="B11896" s="0" t="s">
        <x:v>46299</x:v>
      </x:c>
      <x:c r="C11896" s="0" t="s">
        <x:v>42840</x:v>
      </x:c>
      <x:c r="E11896" s="0" t="s">
        <x:v>46300</x:v>
      </x:c>
      <x:c r="F11896" s="0" t="s">
        <x:v>45</x:v>
      </x:c>
      <x:c r="G11896" s="0" t="s">
        <x:v>22</x:v>
      </x:c>
      <x:c r="H11896" s="0" t="s">
        <x:v>20</x:v>
      </x:c>
      <x:c r="I11896" s="0" t="s">
        <x:v>21</x:v>
      </x:c>
      <x:c r="K11896" s="0">
        <x:f>hyperlink("https://icd.who.int/dev11/l-ichi/en#/http%3A%2F%2Fid.who.int%2Ficd%2Fentity%2F1024640576","browser")</x:f>
      </x:c>
      <x:c r="L11896" s="0">
        <x:f>hyperlink("https://icat2.azurewebsites.net/icat/?ontology=ICD&amp;tab=ClassesTab&amp;id=http%3A%2F%2Fwho.int%2Ficd%23SpecificAnatomicLocation_2409","iCat")</x:f>
      </x:c>
      <x:c r="M11896" s="0" t="s">
        <x:v>21</x:v>
      </x:c>
      <x:c r="N11896" s="0" t="s">
        <x:v>46</x:v>
      </x:c>
    </x:row>
    <x:row r="11897" spans="1:16">
      <x:c r="A11897" s="0" t="s">
        <x:v>46301</x:v>
      </x:c>
      <x:c r="B11897" s="0" t="s">
        <x:v>46302</x:v>
      </x:c>
      <x:c r="C11897" s="0" t="s">
        <x:v>42840</x:v>
      </x:c>
      <x:c r="E11897" s="0" t="s">
        <x:v>46303</x:v>
      </x:c>
      <x:c r="F11897" s="0" t="s">
        <x:v>45</x:v>
      </x:c>
      <x:c r="G11897" s="0" t="s">
        <x:v>22</x:v>
      </x:c>
      <x:c r="H11897" s="0" t="s">
        <x:v>20</x:v>
      </x:c>
      <x:c r="I11897" s="0" t="s">
        <x:v>21</x:v>
      </x:c>
      <x:c r="K11897" s="0">
        <x:f>hyperlink("https://icd.who.int/dev11/l-ichi/en#/http%3A%2F%2Fid.who.int%2Ficd%2Fentity%2F1731329088","browser")</x:f>
      </x:c>
      <x:c r="L11897" s="0">
        <x:f>hyperlink("https://icat2.azurewebsites.net/icat/?ontology=ICD&amp;tab=ClassesTab&amp;id=http%3A%2F%2Fwho.int%2Ficd%23125_cfc38f98_96d4_4521_8015_8965fc5fb8e9","iCat")</x:f>
      </x:c>
      <x:c r="M11897" s="0" t="s">
        <x:v>21</x:v>
      </x:c>
      <x:c r="N11897" s="0" t="s">
        <x:v>46</x:v>
      </x:c>
    </x:row>
    <x:row r="11898" spans="1:16">
      <x:c r="A11898" s="0" t="s">
        <x:v>46304</x:v>
      </x:c>
      <x:c r="B11898" s="0" t="s">
        <x:v>46305</x:v>
      </x:c>
      <x:c r="C11898" s="0" t="s">
        <x:v>42840</x:v>
      </x:c>
      <x:c r="E11898" s="0" t="s">
        <x:v>46306</x:v>
      </x:c>
      <x:c r="F11898" s="0" t="s">
        <x:v>45</x:v>
      </x:c>
      <x:c r="G11898" s="0" t="s">
        <x:v>35</x:v>
      </x:c>
      <x:c r="H11898" s="0" t="s">
        <x:v>20</x:v>
      </x:c>
      <x:c r="I11898" s="0" t="s">
        <x:v>21</x:v>
      </x:c>
      <x:c r="K11898" s="0">
        <x:f>hyperlink("https://icd.who.int/dev11/l-ichi/en#/http%3A%2F%2Fid.who.int%2Ficd%2Fentity%2F1693767745","browser")</x:f>
      </x:c>
      <x:c r="L11898" s="0">
        <x:f>hyperlink("https://icat2.azurewebsites.net/icat/?ontology=ICD&amp;tab=ClassesTab&amp;id=http%3A%2F%2Fwho.int%2Ficd%23SpecificAnatomicLocation_2319","iCat")</x:f>
      </x:c>
      <x:c r="M11898" s="0" t="s">
        <x:v>21</x:v>
      </x:c>
      <x:c r="N11898" s="0" t="s">
        <x:v>46</x:v>
      </x:c>
    </x:row>
    <x:row r="11899" spans="1:16">
      <x:c r="A11899" s="0" t="s">
        <x:v>46307</x:v>
      </x:c>
      <x:c r="B11899" s="0" t="s">
        <x:v>46308</x:v>
      </x:c>
      <x:c r="C11899" s="0" t="s">
        <x:v>42840</x:v>
      </x:c>
      <x:c r="E11899" s="0" t="s">
        <x:v>46309</x:v>
      </x:c>
      <x:c r="F11899" s="0" t="s">
        <x:v>45</x:v>
      </x:c>
      <x:c r="G11899" s="0" t="s">
        <x:v>35</x:v>
      </x:c>
      <x:c r="H11899" s="0" t="s">
        <x:v>20</x:v>
      </x:c>
      <x:c r="I11899" s="0" t="s">
        <x:v>21</x:v>
      </x:c>
      <x:c r="K11899" s="0">
        <x:f>hyperlink("https://icd.who.int/dev11/l-ichi/en#/http%3A%2F%2Fid.who.int%2Ficd%2Fentity%2F1480916274","browser")</x:f>
      </x:c>
      <x:c r="L11899" s="0">
        <x:f>hyperlink("https://icat2.azurewebsites.net/icat/?ontology=ICD&amp;tab=ClassesTab&amp;id=http%3A%2F%2Fwho.int%2Ficd%23SpecificAnatomicLocation_2069","iCat")</x:f>
      </x:c>
      <x:c r="M11899" s="0" t="s">
        <x:v>20</x:v>
      </x:c>
      <x:c r="N11899" s="0" t="s">
        <x:v>22</x:v>
      </x:c>
    </x:row>
    <x:row r="11900" spans="1:16">
      <x:c r="A11900" s="0" t="s">
        <x:v>46310</x:v>
      </x:c>
      <x:c r="B11900" s="0" t="s">
        <x:v>46311</x:v>
      </x:c>
      <x:c r="C11900" s="0" t="s">
        <x:v>42840</x:v>
      </x:c>
      <x:c r="E11900" s="0" t="s">
        <x:v>46312</x:v>
      </x:c>
      <x:c r="F11900" s="0" t="s">
        <x:v>45</x:v>
      </x:c>
      <x:c r="G11900" s="0" t="s">
        <x:v>22</x:v>
      </x:c>
      <x:c r="H11900" s="0" t="s">
        <x:v>20</x:v>
      </x:c>
      <x:c r="I11900" s="0" t="s">
        <x:v>21</x:v>
      </x:c>
      <x:c r="K11900" s="0">
        <x:f>hyperlink("https://icd.who.int/dev11/l-ichi/en#/http%3A%2F%2Fid.who.int%2Ficd%2Fentity%2F1332517362","browser")</x:f>
      </x:c>
      <x:c r="L11900" s="0">
        <x:f>hyperlink("https://icat2.azurewebsites.net/icat/?ontology=ICD&amp;tab=ClassesTab&amp;id=http%3A%2F%2Fwho.int%2Ficd%23SpecificAnatomicLocation_2068","iCat")</x:f>
      </x:c>
      <x:c r="M11900" s="0" t="s">
        <x:v>21</x:v>
      </x:c>
      <x:c r="N11900" s="0" t="s">
        <x:v>46</x:v>
      </x:c>
    </x:row>
    <x:row r="11901" spans="1:16">
      <x:c r="A11901" s="0" t="s">
        <x:v>46313</x:v>
      </x:c>
      <x:c r="B11901" s="0" t="s">
        <x:v>46314</x:v>
      </x:c>
      <x:c r="C11901" s="0" t="s">
        <x:v>42840</x:v>
      </x:c>
      <x:c r="E11901" s="0" t="s">
        <x:v>46315</x:v>
      </x:c>
      <x:c r="F11901" s="0" t="s">
        <x:v>45</x:v>
      </x:c>
      <x:c r="G11901" s="0" t="s">
        <x:v>22</x:v>
      </x:c>
      <x:c r="H11901" s="0" t="s">
        <x:v>20</x:v>
      </x:c>
      <x:c r="I11901" s="0" t="s">
        <x:v>21</x:v>
      </x:c>
      <x:c r="K11901" s="0">
        <x:f>hyperlink("https://icd.who.int/dev11/l-ichi/en#/http%3A%2F%2Fid.who.int%2Ficd%2Fentity%2F662735246","browser")</x:f>
      </x:c>
      <x:c r="L11901" s="0">
        <x:f>hyperlink("https://icat2.azurewebsites.net/icat/?ontology=ICD&amp;tab=ClassesTab&amp;id=http%3A%2F%2Fwho.int%2Ficd%23SpecificAnatomicLocation_2062","iCat")</x:f>
      </x:c>
      <x:c r="M11901" s="0" t="s">
        <x:v>21</x:v>
      </x:c>
      <x:c r="N11901" s="0" t="s">
        <x:v>46</x:v>
      </x:c>
    </x:row>
    <x:row r="11902" spans="1:16">
      <x:c r="A11902" s="0" t="s">
        <x:v>46316</x:v>
      </x:c>
      <x:c r="B11902" s="0" t="s">
        <x:v>46317</x:v>
      </x:c>
      <x:c r="C11902" s="0" t="s">
        <x:v>42840</x:v>
      </x:c>
      <x:c r="E11902" s="0" t="s">
        <x:v>46318</x:v>
      </x:c>
      <x:c r="F11902" s="0" t="s">
        <x:v>45</x:v>
      </x:c>
      <x:c r="G11902" s="0" t="s">
        <x:v>22</x:v>
      </x:c>
      <x:c r="H11902" s="0" t="s">
        <x:v>20</x:v>
      </x:c>
      <x:c r="I11902" s="0" t="s">
        <x:v>21</x:v>
      </x:c>
      <x:c r="K11902" s="0">
        <x:f>hyperlink("https://icd.who.int/dev11/l-ichi/en#/http%3A%2F%2Fid.who.int%2Ficd%2Fentity%2F1433522958","browser")</x:f>
      </x:c>
      <x:c r="L11902" s="0">
        <x:f>hyperlink("https://icat2.azurewebsites.net/icat/?ontology=ICD&amp;tab=ClassesTab&amp;id=http%3A%2F%2Fwho.int%2Ficd%23SpecificAnatomicLocation_2064","iCat")</x:f>
      </x:c>
      <x:c r="M11902" s="0" t="s">
        <x:v>20</x:v>
      </x:c>
      <x:c r="N11902" s="0" t="s">
        <x:v>19</x:v>
      </x:c>
    </x:row>
    <x:row r="11903" spans="1:16">
      <x:c r="A11903" s="0" t="s">
        <x:v>46319</x:v>
      </x:c>
      <x:c r="B11903" s="0" t="s">
        <x:v>46320</x:v>
      </x:c>
      <x:c r="C11903" s="0" t="s">
        <x:v>42840</x:v>
      </x:c>
      <x:c r="E11903" s="0" t="s">
        <x:v>46321</x:v>
      </x:c>
      <x:c r="F11903" s="0" t="s">
        <x:v>45</x:v>
      </x:c>
      <x:c r="G11903" s="0" t="s">
        <x:v>40</x:v>
      </x:c>
      <x:c r="H11903" s="0" t="s">
        <x:v>20</x:v>
      </x:c>
      <x:c r="I11903" s="0" t="s">
        <x:v>21</x:v>
      </x:c>
      <x:c r="K11903" s="0">
        <x:f>hyperlink("https://icd.who.int/dev11/l-ichi/en#/http%3A%2F%2Fid.who.int%2Ficd%2Fentity%2F816377166","browser")</x:f>
      </x:c>
      <x:c r="L11903" s="0">
        <x:f>hyperlink("https://icat2.azurewebsites.net/icat/?ontology=ICD&amp;tab=ClassesTab&amp;id=http%3A%2F%2Fwho.int%2Ficd%23SpecificAnatomicLocation_2063","iCat")</x:f>
      </x:c>
      <x:c r="M11903" s="0" t="s">
        <x:v>21</x:v>
      </x:c>
      <x:c r="N11903" s="0" t="s">
        <x:v>46</x:v>
      </x:c>
    </x:row>
    <x:row r="11904" spans="1:16">
      <x:c r="A11904" s="0" t="s">
        <x:v>46322</x:v>
      </x:c>
      <x:c r="B11904" s="0" t="s">
        <x:v>46323</x:v>
      </x:c>
      <x:c r="C11904" s="0" t="s">
        <x:v>42840</x:v>
      </x:c>
      <x:c r="E11904" s="0" t="s">
        <x:v>46324</x:v>
      </x:c>
      <x:c r="F11904" s="0" t="s">
        <x:v>45</x:v>
      </x:c>
      <x:c r="G11904" s="0" t="s">
        <x:v>22</x:v>
      </x:c>
      <x:c r="H11904" s="0" t="s">
        <x:v>20</x:v>
      </x:c>
      <x:c r="I11904" s="0" t="s">
        <x:v>21</x:v>
      </x:c>
      <x:c r="K11904" s="0">
        <x:f>hyperlink("https://icd.who.int/dev11/l-ichi/en#/http%3A%2F%2Fid.who.int%2Ficd%2Fentity%2F1113176014","browser")</x:f>
      </x:c>
      <x:c r="L11904" s="0">
        <x:f>hyperlink("https://icat2.azurewebsites.net/icat/?ontology=ICD&amp;tab=ClassesTab&amp;id=http%3A%2F%2Fwho.int%2Ficd%23SpecificAnatomicLocation_2065","iCat")</x:f>
      </x:c>
      <x:c r="M11904" s="0" t="s">
        <x:v>21</x:v>
      </x:c>
      <x:c r="N11904" s="0" t="s">
        <x:v>46</x:v>
      </x:c>
    </x:row>
    <x:row r="11905" spans="1:16">
      <x:c r="A11905" s="0" t="s">
        <x:v>46325</x:v>
      </x:c>
      <x:c r="B11905" s="0" t="s">
        <x:v>46326</x:v>
      </x:c>
      <x:c r="C11905" s="0" t="s">
        <x:v>42840</x:v>
      </x:c>
      <x:c r="E11905" s="0" t="s">
        <x:v>46327</x:v>
      </x:c>
      <x:c r="F11905" s="0" t="s">
        <x:v>45</x:v>
      </x:c>
      <x:c r="G11905" s="0" t="s">
        <x:v>30</x:v>
      </x:c>
      <x:c r="H11905" s="0" t="s">
        <x:v>20</x:v>
      </x:c>
      <x:c r="I11905" s="0" t="s">
        <x:v>21</x:v>
      </x:c>
      <x:c r="K11905" s="0">
        <x:f>hyperlink("https://icd.who.int/dev11/l-ichi/en#/http%3A%2F%2Fid.who.int%2Ficd%2Fentity%2F832846369","browser")</x:f>
      </x:c>
      <x:c r="L11905" s="0">
        <x:f>hyperlink("https://icat2.azurewebsites.net/icat/?ontology=ICD&amp;tab=ClassesTab&amp;id=http%3A%2F%2Fwho.int%2Ficd%23SpecificAnatomicLocation_2712","iCat")</x:f>
      </x:c>
      <x:c r="M11905" s="0" t="s">
        <x:v>20</x:v>
      </x:c>
      <x:c r="N11905" s="0" t="s">
        <x:v>431</x:v>
      </x:c>
    </x:row>
    <x:row r="11906" spans="1:16">
      <x:c r="A11906" s="0" t="s">
        <x:v>46328</x:v>
      </x:c>
      <x:c r="B11906" s="0" t="s">
        <x:v>46329</x:v>
      </x:c>
      <x:c r="C11906" s="0" t="s">
        <x:v>42840</x:v>
      </x:c>
      <x:c r="E11906" s="0" t="s">
        <x:v>46330</x:v>
      </x:c>
      <x:c r="F11906" s="0" t="s">
        <x:v>45</x:v>
      </x:c>
      <x:c r="G11906" s="0" t="s">
        <x:v>35</x:v>
      </x:c>
      <x:c r="H11906" s="0" t="s">
        <x:v>20</x:v>
      </x:c>
      <x:c r="I11906" s="0" t="s">
        <x:v>21</x:v>
      </x:c>
      <x:c r="K11906" s="0">
        <x:f>hyperlink("https://icd.who.int/dev11/l-ichi/en#/http%3A%2F%2Fid.who.int%2Ficd%2Fentity%2F821283472","browser")</x:f>
      </x:c>
      <x:c r="L11906" s="0">
        <x:f>hyperlink("https://icat2.azurewebsites.net/icat/?ontology=ICD&amp;tab=ClassesTab&amp;id=http%3A%2F%2Fwho.int%2Ficd%231352_1a025aad_bab4_45d3_85b5_2f8609f7d6c2","iCat")</x:f>
      </x:c>
      <x:c r="M11906" s="0" t="s">
        <x:v>20</x:v>
      </x:c>
      <x:c r="N11906" s="0" t="s">
        <x:v>46331</x:v>
      </x:c>
    </x:row>
    <x:row r="11907" spans="1:16">
      <x:c r="A11907" s="0" t="s">
        <x:v>46332</x:v>
      </x:c>
      <x:c r="B11907" s="0" t="s">
        <x:v>46333</x:v>
      </x:c>
      <x:c r="C11907" s="0" t="s">
        <x:v>42840</x:v>
      </x:c>
      <x:c r="E11907" s="0" t="s">
        <x:v>46334</x:v>
      </x:c>
      <x:c r="F11907" s="0" t="s">
        <x:v>45</x:v>
      </x:c>
      <x:c r="G11907" s="0" t="s">
        <x:v>22</x:v>
      </x:c>
      <x:c r="H11907" s="0" t="s">
        <x:v>20</x:v>
      </x:c>
      <x:c r="I11907" s="0" t="s">
        <x:v>21</x:v>
      </x:c>
      <x:c r="K11907" s="0">
        <x:f>hyperlink("https://icd.who.int/dev11/l-ichi/en#/http%3A%2F%2Fid.who.int%2Ficd%2Fentity%2F1758273808","browser")</x:f>
      </x:c>
      <x:c r="L11907" s="0">
        <x:f>hyperlink("https://icat2.azurewebsites.net/icat/?ontology=ICD&amp;tab=ClassesTab&amp;id=http%3A%2F%2Fwho.int%2Ficd%23SpecificAnatomicLocation_2465","iCat")</x:f>
      </x:c>
      <x:c r="M11907" s="0" t="s">
        <x:v>21</x:v>
      </x:c>
      <x:c r="N11907" s="0" t="s">
        <x:v>46</x:v>
      </x:c>
    </x:row>
    <x:row r="11908" spans="1:16">
      <x:c r="A11908" s="0" t="s">
        <x:v>46335</x:v>
      </x:c>
      <x:c r="B11908" s="0" t="s">
        <x:v>46336</x:v>
      </x:c>
      <x:c r="C11908" s="0" t="s">
        <x:v>42840</x:v>
      </x:c>
      <x:c r="E11908" s="0" t="s">
        <x:v>46337</x:v>
      </x:c>
      <x:c r="F11908" s="0" t="s">
        <x:v>45</x:v>
      </x:c>
      <x:c r="G11908" s="0" t="s">
        <x:v>22</x:v>
      </x:c>
      <x:c r="H11908" s="0" t="s">
        <x:v>20</x:v>
      </x:c>
      <x:c r="I11908" s="0" t="s">
        <x:v>21</x:v>
      </x:c>
      <x:c r="K11908" s="0">
        <x:f>hyperlink("https://icd.who.int/dev11/l-ichi/en#/http%3A%2F%2Fid.who.int%2Ficd%2Fentity%2F313033185","browser")</x:f>
      </x:c>
      <x:c r="L11908" s="0">
        <x:f>hyperlink("https://icat2.azurewebsites.net/icat/?ontology=ICD&amp;tab=ClassesTab&amp;id=http%3A%2F%2Fwho.int%2Ficd%23SpecificAnatomicLocation_2441","iCat")</x:f>
      </x:c>
      <x:c r="M11908" s="0" t="s">
        <x:v>21</x:v>
      </x:c>
      <x:c r="N11908" s="0" t="s">
        <x:v>46</x:v>
      </x:c>
    </x:row>
    <x:row r="11909" spans="1:16">
      <x:c r="A11909" s="0" t="s">
        <x:v>46338</x:v>
      </x:c>
      <x:c r="B11909" s="0" t="s">
        <x:v>46339</x:v>
      </x:c>
      <x:c r="C11909" s="0" t="s">
        <x:v>42840</x:v>
      </x:c>
      <x:c r="E11909" s="0" t="s">
        <x:v>46340</x:v>
      </x:c>
      <x:c r="F11909" s="0" t="s">
        <x:v>45</x:v>
      </x:c>
      <x:c r="G11909" s="0" t="s">
        <x:v>22</x:v>
      </x:c>
      <x:c r="H11909" s="0" t="s">
        <x:v>20</x:v>
      </x:c>
      <x:c r="I11909" s="0" t="s">
        <x:v>21</x:v>
      </x:c>
      <x:c r="K11909" s="0">
        <x:f>hyperlink("https://icd.who.int/dev11/l-ichi/en#/http%3A%2F%2Fid.who.int%2Ficd%2Fentity%2F798717647","browser")</x:f>
      </x:c>
      <x:c r="L11909" s="0">
        <x:f>hyperlink("https://icat2.azurewebsites.net/icat/?ontology=ICD&amp;tab=ClassesTab&amp;id=http%3A%2F%2Fwho.int%2Ficd%23SpecificAnatomicLocation_2427","iCat")</x:f>
      </x:c>
      <x:c r="M11909" s="0" t="s">
        <x:v>21</x:v>
      </x:c>
      <x:c r="N11909" s="0" t="s">
        <x:v>46</x:v>
      </x:c>
    </x:row>
    <x:row r="11910" spans="1:16">
      <x:c r="A11910" s="0" t="s">
        <x:v>46341</x:v>
      </x:c>
      <x:c r="B11910" s="0" t="s">
        <x:v>46342</x:v>
      </x:c>
      <x:c r="C11910" s="0" t="s">
        <x:v>42840</x:v>
      </x:c>
      <x:c r="E11910" s="0" t="s">
        <x:v>46343</x:v>
      </x:c>
      <x:c r="F11910" s="0" t="s">
        <x:v>45</x:v>
      </x:c>
      <x:c r="G11910" s="0" t="s">
        <x:v>22</x:v>
      </x:c>
      <x:c r="H11910" s="0" t="s">
        <x:v>20</x:v>
      </x:c>
      <x:c r="I11910" s="0" t="s">
        <x:v>21</x:v>
      </x:c>
      <x:c r="K11910" s="0">
        <x:f>hyperlink("https://icd.who.int/dev11/l-ichi/en#/http%3A%2F%2Fid.who.int%2Ficd%2Fentity%2F218009969","browser")</x:f>
      </x:c>
      <x:c r="L11910" s="0">
        <x:f>hyperlink("https://icat2.azurewebsites.net/icat/?ontology=ICD&amp;tab=ClassesTab&amp;id=http%3A%2F%2Fwho.int%2Ficd%23SpecificAnatomicLocation_2428","iCat")</x:f>
      </x:c>
      <x:c r="M11910" s="0" t="s">
        <x:v>21</x:v>
      </x:c>
      <x:c r="N11910" s="0" t="s">
        <x:v>46</x:v>
      </x:c>
    </x:row>
    <x:row r="11911" spans="1:16">
      <x:c r="A11911" s="0" t="s">
        <x:v>46344</x:v>
      </x:c>
      <x:c r="B11911" s="0" t="s">
        <x:v>46345</x:v>
      </x:c>
      <x:c r="C11911" s="0" t="s">
        <x:v>42840</x:v>
      </x:c>
      <x:c r="E11911" s="0" t="s">
        <x:v>46346</x:v>
      </x:c>
      <x:c r="F11911" s="0" t="s">
        <x:v>45</x:v>
      </x:c>
      <x:c r="G11911" s="0" t="s">
        <x:v>22</x:v>
      </x:c>
      <x:c r="H11911" s="0" t="s">
        <x:v>20</x:v>
      </x:c>
      <x:c r="I11911" s="0" t="s">
        <x:v>21</x:v>
      </x:c>
      <x:c r="K11911" s="0">
        <x:f>hyperlink("https://icd.who.int/dev11/l-ichi/en#/http%3A%2F%2Fid.who.int%2Ficd%2Fentity%2F56488104","browser")</x:f>
      </x:c>
      <x:c r="L11911" s="0">
        <x:f>hyperlink("https://icat2.azurewebsites.net/icat/?ontology=ICD&amp;tab=ClassesTab&amp;id=http%3A%2F%2Fwho.int%2Ficd%23SpecificAnatomicLocation_2675","iCat")</x:f>
      </x:c>
      <x:c r="M11911" s="0" t="s">
        <x:v>20</x:v>
      </x:c>
      <x:c r="N11911" s="0" t="s">
        <x:v>22</x:v>
      </x:c>
    </x:row>
    <x:row r="11912" spans="1:16">
      <x:c r="A11912" s="0" t="s">
        <x:v>46347</x:v>
      </x:c>
      <x:c r="B11912" s="0" t="s">
        <x:v>46348</x:v>
      </x:c>
      <x:c r="C11912" s="0" t="s">
        <x:v>42840</x:v>
      </x:c>
      <x:c r="E11912" s="0" t="s">
        <x:v>46349</x:v>
      </x:c>
      <x:c r="F11912" s="0" t="s">
        <x:v>45</x:v>
      </x:c>
      <x:c r="G11912" s="0" t="s">
        <x:v>40</x:v>
      </x:c>
      <x:c r="H11912" s="0" t="s">
        <x:v>20</x:v>
      </x:c>
      <x:c r="I11912" s="0" t="s">
        <x:v>21</x:v>
      </x:c>
      <x:c r="K11912" s="0">
        <x:f>hyperlink("https://icd.who.int/dev11/l-ichi/en#/http%3A%2F%2Fid.who.int%2Ficd%2Fentity%2F1748582744","browser")</x:f>
      </x:c>
      <x:c r="L11912" s="0">
        <x:f>hyperlink("https://icat2.azurewebsites.net/icat/?ontology=ICD&amp;tab=ClassesTab&amp;id=http%3A%2F%2Fwho.int%2Ficd%23SpecificAnatomicLocation_2434","iCat")</x:f>
      </x:c>
      <x:c r="M11912" s="0" t="s">
        <x:v>21</x:v>
      </x:c>
      <x:c r="N11912" s="0" t="s">
        <x:v>46</x:v>
      </x:c>
    </x:row>
    <x:row r="11913" spans="1:16">
      <x:c r="A11913" s="0" t="s">
        <x:v>46350</x:v>
      </x:c>
      <x:c r="B11913" s="0" t="s">
        <x:v>46351</x:v>
      </x:c>
      <x:c r="C11913" s="0" t="s">
        <x:v>42840</x:v>
      </x:c>
      <x:c r="E11913" s="0" t="s">
        <x:v>46352</x:v>
      </x:c>
      <x:c r="F11913" s="0" t="s">
        <x:v>45</x:v>
      </x:c>
      <x:c r="G11913" s="0" t="s">
        <x:v>40</x:v>
      </x:c>
      <x:c r="H11913" s="0" t="s">
        <x:v>20</x:v>
      </x:c>
      <x:c r="I11913" s="0" t="s">
        <x:v>21</x:v>
      </x:c>
      <x:c r="K11913" s="0">
        <x:f>hyperlink("https://icd.who.int/dev11/l-ichi/en#/http%3A%2F%2Fid.who.int%2Ficd%2Fentity%2F433948256","browser")</x:f>
      </x:c>
      <x:c r="L11913" s="0">
        <x:f>hyperlink("https://icat2.azurewebsites.net/icat/?ontology=ICD&amp;tab=ClassesTab&amp;id=http%3A%2F%2Fwho.int%2Ficd%23SpecificAnatomicLocation_2574","iCat")</x:f>
      </x:c>
      <x:c r="M11913" s="0" t="s">
        <x:v>21</x:v>
      </x:c>
      <x:c r="N11913" s="0" t="s">
        <x:v>46</x:v>
      </x:c>
    </x:row>
    <x:row r="11914" spans="1:16">
      <x:c r="A11914" s="0" t="s">
        <x:v>46353</x:v>
      </x:c>
      <x:c r="B11914" s="0" t="s">
        <x:v>46354</x:v>
      </x:c>
      <x:c r="C11914" s="0" t="s">
        <x:v>42840</x:v>
      </x:c>
      <x:c r="E11914" s="0" t="s">
        <x:v>46355</x:v>
      </x:c>
      <x:c r="F11914" s="0" t="s">
        <x:v>45</x:v>
      </x:c>
      <x:c r="G11914" s="0" t="s">
        <x:v>40</x:v>
      </x:c>
      <x:c r="H11914" s="0" t="s">
        <x:v>20</x:v>
      </x:c>
      <x:c r="I11914" s="0" t="s">
        <x:v>21</x:v>
      </x:c>
      <x:c r="K11914" s="0">
        <x:f>hyperlink("https://icd.who.int/dev11/l-ichi/en#/http%3A%2F%2Fid.who.int%2Ficd%2Fentity%2F692478792","browser")</x:f>
      </x:c>
      <x:c r="L11914" s="0">
        <x:f>hyperlink("https://icat2.azurewebsites.net/icat/?ontology=ICD&amp;tab=ClassesTab&amp;id=http%3A%2F%2Fwho.int%2Ficd%23SpecificAnatomicLocation_2612","iCat")</x:f>
      </x:c>
      <x:c r="M11914" s="0" t="s">
        <x:v>21</x:v>
      </x:c>
      <x:c r="N11914" s="0" t="s">
        <x:v>46</x:v>
      </x:c>
    </x:row>
    <x:row r="11915" spans="1:16">
      <x:c r="A11915" s="0" t="s">
        <x:v>46356</x:v>
      </x:c>
      <x:c r="B11915" s="0" t="s">
        <x:v>46357</x:v>
      </x:c>
      <x:c r="C11915" s="0" t="s">
        <x:v>42840</x:v>
      </x:c>
      <x:c r="E11915" s="0" t="s">
        <x:v>46358</x:v>
      </x:c>
      <x:c r="F11915" s="0" t="s">
        <x:v>45</x:v>
      </x:c>
      <x:c r="G11915" s="0" t="s">
        <x:v>40</x:v>
      </x:c>
      <x:c r="H11915" s="0" t="s">
        <x:v>20</x:v>
      </x:c>
      <x:c r="I11915" s="0" t="s">
        <x:v>21</x:v>
      </x:c>
      <x:c r="K11915" s="0">
        <x:f>hyperlink("https://icd.who.int/dev11/l-ichi/en#/http%3A%2F%2Fid.who.int%2Ficd%2Fentity%2F1078000919","browser")</x:f>
      </x:c>
      <x:c r="L11915" s="0">
        <x:f>hyperlink("https://icat2.azurewebsites.net/icat/?ontology=ICD&amp;tab=ClassesTab&amp;id=http%3A%2F%2Fwho.int%2Ficd%23SpecificAnatomicLocation_2652","iCat")</x:f>
      </x:c>
      <x:c r="M11915" s="0" t="s">
        <x:v>21</x:v>
      </x:c>
      <x:c r="N11915" s="0" t="s">
        <x:v>46</x:v>
      </x:c>
    </x:row>
    <x:row r="11916" spans="1:16">
      <x:c r="A11916" s="0" t="s">
        <x:v>46359</x:v>
      </x:c>
      <x:c r="B11916" s="0" t="s">
        <x:v>46360</x:v>
      </x:c>
      <x:c r="C11916" s="0" t="s">
        <x:v>42840</x:v>
      </x:c>
      <x:c r="E11916" s="0" t="s">
        <x:v>46361</x:v>
      </x:c>
      <x:c r="F11916" s="0" t="s">
        <x:v>45</x:v>
      </x:c>
      <x:c r="G11916" s="0" t="s">
        <x:v>22</x:v>
      </x:c>
      <x:c r="H11916" s="0" t="s">
        <x:v>20</x:v>
      </x:c>
      <x:c r="I11916" s="0" t="s">
        <x:v>21</x:v>
      </x:c>
      <x:c r="K11916" s="0">
        <x:f>hyperlink("https://icd.who.int/dev11/l-ichi/en#/http%3A%2F%2Fid.who.int%2Ficd%2Fentity%2F735063201","browser")</x:f>
      </x:c>
      <x:c r="L11916" s="0">
        <x:f>hyperlink("https://icat2.azurewebsites.net/icat/?ontology=ICD&amp;tab=ClassesTab&amp;id=http%3A%2F%2Fwho.int%2Ficd%23SpecificAnatomicLocation_2442","iCat")</x:f>
      </x:c>
      <x:c r="M11916" s="0" t="s">
        <x:v>21</x:v>
      </x:c>
      <x:c r="N11916" s="0" t="s">
        <x:v>46</x:v>
      </x:c>
    </x:row>
    <x:row r="11917" spans="1:16">
      <x:c r="A11917" s="0" t="s">
        <x:v>46362</x:v>
      </x:c>
      <x:c r="B11917" s="0" t="s">
        <x:v>46363</x:v>
      </x:c>
      <x:c r="C11917" s="0" t="s">
        <x:v>42840</x:v>
      </x:c>
      <x:c r="E11917" s="0" t="s">
        <x:v>46364</x:v>
      </x:c>
      <x:c r="F11917" s="0" t="s">
        <x:v>45</x:v>
      </x:c>
      <x:c r="G11917" s="0" t="s">
        <x:v>22</x:v>
      </x:c>
      <x:c r="H11917" s="0" t="s">
        <x:v>20</x:v>
      </x:c>
      <x:c r="I11917" s="0" t="s">
        <x:v>21</x:v>
      </x:c>
      <x:c r="K11917" s="0">
        <x:f>hyperlink("https://icd.who.int/dev11/l-ichi/en#/http%3A%2F%2Fid.who.int%2Ficd%2Fentity%2F1616501601","browser")</x:f>
      </x:c>
      <x:c r="L11917" s="0">
        <x:f>hyperlink("https://icat2.azurewebsites.net/icat/?ontology=ICD&amp;tab=ClassesTab&amp;id=http%3A%2F%2Fwho.int%2Ficd%23SpecificAnatomicLocation_2447","iCat")</x:f>
      </x:c>
      <x:c r="M11917" s="0" t="s">
        <x:v>21</x:v>
      </x:c>
      <x:c r="N11917" s="0" t="s">
        <x:v>46</x:v>
      </x:c>
    </x:row>
    <x:row r="11918" spans="1:16">
      <x:c r="A11918" s="0" t="s">
        <x:v>46365</x:v>
      </x:c>
      <x:c r="B11918" s="0" t="s">
        <x:v>46366</x:v>
      </x:c>
      <x:c r="C11918" s="0" t="s">
        <x:v>42840</x:v>
      </x:c>
      <x:c r="E11918" s="0" t="s">
        <x:v>46367</x:v>
      </x:c>
      <x:c r="F11918" s="0" t="s">
        <x:v>45</x:v>
      </x:c>
      <x:c r="G11918" s="0" t="s">
        <x:v>22</x:v>
      </x:c>
      <x:c r="H11918" s="0" t="s">
        <x:v>20</x:v>
      </x:c>
      <x:c r="I11918" s="0" t="s">
        <x:v>21</x:v>
      </x:c>
      <x:c r="K11918" s="0">
        <x:f>hyperlink("https://icd.who.int/dev11/l-ichi/en#/http%3A%2F%2Fid.who.int%2Ficd%2Fentity%2F1819417400","browser")</x:f>
      </x:c>
      <x:c r="L11918" s="0">
        <x:f>hyperlink("https://icat2.azurewebsites.net/icat/?ontology=ICD&amp;tab=ClassesTab&amp;id=http%3A%2F%2Fwho.int%2Ficd%23SpecificAnatomicLocation_2451","iCat")</x:f>
      </x:c>
      <x:c r="M11918" s="0" t="s">
        <x:v>20</x:v>
      </x:c>
      <x:c r="N11918" s="0" t="s">
        <x:v>30</x:v>
      </x:c>
    </x:row>
    <x:row r="11919" spans="1:16">
      <x:c r="A11919" s="0" t="s">
        <x:v>46368</x:v>
      </x:c>
      <x:c r="B11919" s="0" t="s">
        <x:v>46369</x:v>
      </x:c>
      <x:c r="C11919" s="0" t="s">
        <x:v>42840</x:v>
      </x:c>
      <x:c r="E11919" s="0" t="s">
        <x:v>46370</x:v>
      </x:c>
      <x:c r="F11919" s="0" t="s">
        <x:v>45</x:v>
      </x:c>
      <x:c r="G11919" s="0" t="s">
        <x:v>40</x:v>
      </x:c>
      <x:c r="H11919" s="0" t="s">
        <x:v>20</x:v>
      </x:c>
      <x:c r="I11919" s="0" t="s">
        <x:v>21</x:v>
      </x:c>
      <x:c r="K11919" s="0">
        <x:f>hyperlink("https://icd.who.int/dev11/l-ichi/en#/http%3A%2F%2Fid.who.int%2Ficd%2Fentity%2F1094143760","browser")</x:f>
      </x:c>
      <x:c r="L11919" s="0">
        <x:f>hyperlink("https://icat2.azurewebsites.net/icat/?ontology=ICD&amp;tab=ClassesTab&amp;id=http%3A%2F%2Fwho.int%2Ficd%23SpecificAnatomicLocation_2515","iCat")</x:f>
      </x:c>
      <x:c r="M11919" s="0" t="s">
        <x:v>21</x:v>
      </x:c>
      <x:c r="N11919" s="0" t="s">
        <x:v>46</x:v>
      </x:c>
    </x:row>
    <x:row r="11920" spans="1:16">
      <x:c r="A11920" s="0" t="s">
        <x:v>46371</x:v>
      </x:c>
      <x:c r="B11920" s="0" t="s">
        <x:v>46372</x:v>
      </x:c>
      <x:c r="C11920" s="0" t="s">
        <x:v>42840</x:v>
      </x:c>
      <x:c r="E11920" s="0" t="s">
        <x:v>46373</x:v>
      </x:c>
      <x:c r="F11920" s="0" t="s">
        <x:v>45</x:v>
      </x:c>
      <x:c r="G11920" s="0" t="s">
        <x:v>40</x:v>
      </x:c>
      <x:c r="H11920" s="0" t="s">
        <x:v>20</x:v>
      </x:c>
      <x:c r="I11920" s="0" t="s">
        <x:v>21</x:v>
      </x:c>
      <x:c r="K11920" s="0">
        <x:f>hyperlink("https://icd.who.int/dev11/l-ichi/en#/http%3A%2F%2Fid.who.int%2Ficd%2Fentity%2F850503575","browser")</x:f>
      </x:c>
      <x:c r="L11920" s="0">
        <x:f>hyperlink("https://icat2.azurewebsites.net/icat/?ontology=ICD&amp;tab=ClassesTab&amp;id=http%3A%2F%2Fwho.int%2Ficd%23SpecificAnatomicLocation_2654","iCat")</x:f>
      </x:c>
      <x:c r="M11920" s="0" t="s">
        <x:v>21</x:v>
      </x:c>
      <x:c r="N11920" s="0" t="s">
        <x:v>46</x:v>
      </x:c>
    </x:row>
    <x:row r="11921" spans="1:16">
      <x:c r="A11921" s="0" t="s">
        <x:v>46374</x:v>
      </x:c>
      <x:c r="B11921" s="0" t="s">
        <x:v>46375</x:v>
      </x:c>
      <x:c r="C11921" s="0" t="s">
        <x:v>42840</x:v>
      </x:c>
      <x:c r="E11921" s="0" t="s">
        <x:v>46376</x:v>
      </x:c>
      <x:c r="F11921" s="0" t="s">
        <x:v>45</x:v>
      </x:c>
      <x:c r="G11921" s="0" t="s">
        <x:v>22</x:v>
      </x:c>
      <x:c r="H11921" s="0" t="s">
        <x:v>20</x:v>
      </x:c>
      <x:c r="I11921" s="0" t="s">
        <x:v>21</x:v>
      </x:c>
      <x:c r="K11921" s="0">
        <x:f>hyperlink("https://icd.who.int/dev11/l-ichi/en#/http%3A%2F%2Fid.who.int%2Ficd%2Fentity%2F1426765432","browser")</x:f>
      </x:c>
      <x:c r="L11921" s="0">
        <x:f>hyperlink("https://icat2.azurewebsites.net/icat/?ontology=ICD&amp;tab=ClassesTab&amp;id=http%3A%2F%2Fwho.int%2Ficd%23SpecificAnatomicLocation_2452","iCat")</x:f>
      </x:c>
      <x:c r="M11921" s="0" t="s">
        <x:v>20</x:v>
      </x:c>
      <x:c r="N11921" s="0" t="s">
        <x:v>119</x:v>
      </x:c>
    </x:row>
    <x:row r="11922" spans="1:16">
      <x:c r="A11922" s="0" t="s">
        <x:v>46377</x:v>
      </x:c>
      <x:c r="B11922" s="0" t="s">
        <x:v>46378</x:v>
      </x:c>
      <x:c r="C11922" s="0" t="s">
        <x:v>42840</x:v>
      </x:c>
      <x:c r="E11922" s="0" t="s">
        <x:v>46379</x:v>
      </x:c>
      <x:c r="F11922" s="0" t="s">
        <x:v>45</x:v>
      </x:c>
      <x:c r="G11922" s="0" t="s">
        <x:v>40</x:v>
      </x:c>
      <x:c r="H11922" s="0" t="s">
        <x:v>20</x:v>
      </x:c>
      <x:c r="I11922" s="0" t="s">
        <x:v>21</x:v>
      </x:c>
      <x:c r="K11922" s="0">
        <x:f>hyperlink("https://icd.who.int/dev11/l-ichi/en#/http%3A%2F%2Fid.who.int%2Ficd%2Fentity%2F1586221503","browser")</x:f>
      </x:c>
      <x:c r="L11922" s="0">
        <x:f>hyperlink("https://icat2.azurewebsites.net/icat/?ontology=ICD&amp;tab=ClassesTab&amp;id=http%3A%2F%2Fwho.int%2Ficd%23SpecificAnatomicLocation_2536","iCat")</x:f>
      </x:c>
      <x:c r="M11922" s="0" t="s">
        <x:v>21</x:v>
      </x:c>
      <x:c r="N11922" s="0" t="s">
        <x:v>46</x:v>
      </x:c>
    </x:row>
    <x:row r="11923" spans="1:16">
      <x:c r="A11923" s="0" t="s">
        <x:v>46380</x:v>
      </x:c>
      <x:c r="B11923" s="0" t="s">
        <x:v>46381</x:v>
      </x:c>
      <x:c r="C11923" s="0" t="s">
        <x:v>42840</x:v>
      </x:c>
      <x:c r="E11923" s="0" t="s">
        <x:v>46382</x:v>
      </x:c>
      <x:c r="F11923" s="0" t="s">
        <x:v>45</x:v>
      </x:c>
      <x:c r="G11923" s="0" t="s">
        <x:v>40</x:v>
      </x:c>
      <x:c r="H11923" s="0" t="s">
        <x:v>20</x:v>
      </x:c>
      <x:c r="I11923" s="0" t="s">
        <x:v>21</x:v>
      </x:c>
      <x:c r="K11923" s="0">
        <x:f>hyperlink("https://icd.who.int/dev11/l-ichi/en#/http%3A%2F%2Fid.who.int%2Ficd%2Fentity%2F795809417","browser")</x:f>
      </x:c>
      <x:c r="L11923" s="0">
        <x:f>hyperlink("https://icat2.azurewebsites.net/icat/?ontology=ICD&amp;tab=ClassesTab&amp;id=http%3A%2F%2Fwho.int%2Ficd%23SpecificAnatomicLocation_2476","iCat")</x:f>
      </x:c>
      <x:c r="M11923" s="0" t="s">
        <x:v>21</x:v>
      </x:c>
      <x:c r="N11923" s="0" t="s">
        <x:v>46</x:v>
      </x:c>
    </x:row>
    <x:row r="11924" spans="1:16">
      <x:c r="A11924" s="0" t="s">
        <x:v>46383</x:v>
      </x:c>
      <x:c r="B11924" s="0" t="s">
        <x:v>46384</x:v>
      </x:c>
      <x:c r="C11924" s="0" t="s">
        <x:v>42840</x:v>
      </x:c>
      <x:c r="E11924" s="0" t="s">
        <x:v>46385</x:v>
      </x:c>
      <x:c r="F11924" s="0" t="s">
        <x:v>45</x:v>
      </x:c>
      <x:c r="G11924" s="0" t="s">
        <x:v>40</x:v>
      </x:c>
      <x:c r="H11924" s="0" t="s">
        <x:v>20</x:v>
      </x:c>
      <x:c r="I11924" s="0" t="s">
        <x:v>21</x:v>
      </x:c>
      <x:c r="K11924" s="0">
        <x:f>hyperlink("https://icd.who.int/dev11/l-ichi/en#/http%3A%2F%2Fid.who.int%2Ficd%2Fentity%2F2018501200","browser")</x:f>
      </x:c>
      <x:c r="L11924" s="0">
        <x:f>hyperlink("https://icat2.azurewebsites.net/icat/?ontology=ICD&amp;tab=ClassesTab&amp;id=http%3A%2F%2Fwho.int%2Ficd%23SpecificAnatomicLocation_2516","iCat")</x:f>
      </x:c>
      <x:c r="M11924" s="0" t="s">
        <x:v>21</x:v>
      </x:c>
      <x:c r="N11924" s="0" t="s">
        <x:v>46</x:v>
      </x:c>
    </x:row>
    <x:row r="11925" spans="1:16">
      <x:c r="A11925" s="0" t="s">
        <x:v>46386</x:v>
      </x:c>
      <x:c r="B11925" s="0" t="s">
        <x:v>46387</x:v>
      </x:c>
      <x:c r="C11925" s="0" t="s">
        <x:v>42840</x:v>
      </x:c>
      <x:c r="E11925" s="0" t="s">
        <x:v>46388</x:v>
      </x:c>
      <x:c r="F11925" s="0" t="s">
        <x:v>45</x:v>
      </x:c>
      <x:c r="G11925" s="0" t="s">
        <x:v>40</x:v>
      </x:c>
      <x:c r="H11925" s="0" t="s">
        <x:v>20</x:v>
      </x:c>
      <x:c r="I11925" s="0" t="s">
        <x:v>21</x:v>
      </x:c>
      <x:c r="K11925" s="0">
        <x:f>hyperlink("https://icd.who.int/dev11/l-ichi/en#/http%3A%2F%2Fid.who.int%2Ficd%2Fentity%2F1781674631","browser")</x:f>
      </x:c>
      <x:c r="L11925" s="0">
        <x:f>hyperlink("https://icat2.azurewebsites.net/icat/?ontology=ICD&amp;tab=ClassesTab&amp;id=http%3A%2F%2Fwho.int%2Ficd%23SpecificAnatomicLocation_2569","iCat")</x:f>
      </x:c>
      <x:c r="M11925" s="0" t="s">
        <x:v>21</x:v>
      </x:c>
      <x:c r="N11925" s="0" t="s">
        <x:v>46</x:v>
      </x:c>
    </x:row>
    <x:row r="11926" spans="1:16">
      <x:c r="A11926" s="0" t="s">
        <x:v>46389</x:v>
      </x:c>
      <x:c r="B11926" s="0" t="s">
        <x:v>46390</x:v>
      </x:c>
      <x:c r="C11926" s="0" t="s">
        <x:v>42840</x:v>
      </x:c>
      <x:c r="E11926" s="0" t="s">
        <x:v>46391</x:v>
      </x:c>
      <x:c r="F11926" s="0" t="s">
        <x:v>45</x:v>
      </x:c>
      <x:c r="G11926" s="0" t="s">
        <x:v>40</x:v>
      </x:c>
      <x:c r="H11926" s="0" t="s">
        <x:v>20</x:v>
      </x:c>
      <x:c r="I11926" s="0" t="s">
        <x:v>21</x:v>
      </x:c>
      <x:c r="K11926" s="0">
        <x:f>hyperlink("https://icd.who.int/dev11/l-ichi/en#/http%3A%2F%2Fid.who.int%2Ficd%2Fentity%2F1964216336","browser")</x:f>
      </x:c>
      <x:c r="L11926" s="0">
        <x:f>hyperlink("https://icat2.azurewebsites.net/icat/?ontology=ICD&amp;tab=ClassesTab&amp;id=http%3A%2F%2Fwho.int%2Ficd%23SpecificAnatomicLocation_2647","iCat")</x:f>
      </x:c>
      <x:c r="M11926" s="0" t="s">
        <x:v>21</x:v>
      </x:c>
      <x:c r="N11926" s="0" t="s">
        <x:v>46</x:v>
      </x:c>
    </x:row>
    <x:row r="11927" spans="1:16">
      <x:c r="A11927" s="0" t="s">
        <x:v>46392</x:v>
      </x:c>
      <x:c r="B11927" s="0" t="s">
        <x:v>46393</x:v>
      </x:c>
      <x:c r="C11927" s="0" t="s">
        <x:v>42840</x:v>
      </x:c>
      <x:c r="E11927" s="0" t="s">
        <x:v>46394</x:v>
      </x:c>
      <x:c r="F11927" s="0" t="s">
        <x:v>45</x:v>
      </x:c>
      <x:c r="G11927" s="0" t="s">
        <x:v>40</x:v>
      </x:c>
      <x:c r="H11927" s="0" t="s">
        <x:v>20</x:v>
      </x:c>
      <x:c r="I11927" s="0" t="s">
        <x:v>21</x:v>
      </x:c>
      <x:c r="K11927" s="0">
        <x:f>hyperlink("https://icd.who.int/dev11/l-ichi/en#/http%3A%2F%2Fid.who.int%2Ficd%2Fentity%2F630834007","browser")</x:f>
      </x:c>
      <x:c r="L11927" s="0">
        <x:f>hyperlink("https://icat2.azurewebsites.net/icat/?ontology=ICD&amp;tab=ClassesTab&amp;id=http%3A%2F%2Fwho.int%2Ficd%23SpecificAnatomicLocation_2655","iCat")</x:f>
      </x:c>
      <x:c r="M11927" s="0" t="s">
        <x:v>21</x:v>
      </x:c>
      <x:c r="N11927" s="0" t="s">
        <x:v>46</x:v>
      </x:c>
    </x:row>
    <x:row r="11928" spans="1:16">
      <x:c r="A11928" s="0" t="s">
        <x:v>46395</x:v>
      </x:c>
      <x:c r="B11928" s="0" t="s">
        <x:v>46396</x:v>
      </x:c>
      <x:c r="C11928" s="0" t="s">
        <x:v>42840</x:v>
      </x:c>
      <x:c r="E11928" s="0" t="s">
        <x:v>46397</x:v>
      </x:c>
      <x:c r="F11928" s="0" t="s">
        <x:v>45</x:v>
      </x:c>
      <x:c r="G11928" s="0" t="s">
        <x:v>40</x:v>
      </x:c>
      <x:c r="H11928" s="0" t="s">
        <x:v>20</x:v>
      </x:c>
      <x:c r="I11928" s="0" t="s">
        <x:v>21</x:v>
      </x:c>
      <x:c r="K11928" s="0">
        <x:f>hyperlink("https://icd.who.int/dev11/l-ichi/en#/http%3A%2F%2Fid.who.int%2Ficd%2Fentity%2F1784377081","browser")</x:f>
      </x:c>
      <x:c r="L11928" s="0">
        <x:f>hyperlink("https://icat2.azurewebsites.net/icat/?ontology=ICD&amp;tab=ClassesTab&amp;id=http%3A%2F%2Fwho.int%2Ficd%23SpecificAnatomicLocation_2635","iCat")</x:f>
      </x:c>
      <x:c r="M11928" s="0" t="s">
        <x:v>21</x:v>
      </x:c>
      <x:c r="N11928" s="0" t="s">
        <x:v>46</x:v>
      </x:c>
    </x:row>
    <x:row r="11929" spans="1:16">
      <x:c r="A11929" s="0" t="s">
        <x:v>46398</x:v>
      </x:c>
      <x:c r="B11929" s="0" t="s">
        <x:v>46399</x:v>
      </x:c>
      <x:c r="C11929" s="0" t="s">
        <x:v>42840</x:v>
      </x:c>
      <x:c r="E11929" s="0" t="s">
        <x:v>46400</x:v>
      </x:c>
      <x:c r="F11929" s="0" t="s">
        <x:v>45</x:v>
      </x:c>
      <x:c r="G11929" s="0" t="s">
        <x:v>40</x:v>
      </x:c>
      <x:c r="H11929" s="0" t="s">
        <x:v>20</x:v>
      </x:c>
      <x:c r="I11929" s="0" t="s">
        <x:v>21</x:v>
      </x:c>
      <x:c r="K11929" s="0">
        <x:f>hyperlink("https://icd.who.int/dev11/l-ichi/en#/http%3A%2F%2Fid.who.int%2Ficd%2Fentity%2F1072551383","browser")</x:f>
      </x:c>
      <x:c r="L11929" s="0">
        <x:f>hyperlink("https://icat2.azurewebsites.net/icat/?ontology=ICD&amp;tab=ClassesTab&amp;id=http%3A%2F%2Fwho.int%2Ficd%23SpecificAnatomicLocation_2505","iCat")</x:f>
      </x:c>
      <x:c r="M11929" s="0" t="s">
        <x:v>21</x:v>
      </x:c>
      <x:c r="N11929" s="0" t="s">
        <x:v>46</x:v>
      </x:c>
    </x:row>
    <x:row r="11930" spans="1:16">
      <x:c r="A11930" s="0" t="s">
        <x:v>46401</x:v>
      </x:c>
      <x:c r="B11930" s="0" t="s">
        <x:v>46402</x:v>
      </x:c>
      <x:c r="C11930" s="0" t="s">
        <x:v>42840</x:v>
      </x:c>
      <x:c r="E11930" s="0" t="s">
        <x:v>46403</x:v>
      </x:c>
      <x:c r="F11930" s="0" t="s">
        <x:v>45</x:v>
      </x:c>
      <x:c r="G11930" s="0" t="s">
        <x:v>22</x:v>
      </x:c>
      <x:c r="H11930" s="0" t="s">
        <x:v>20</x:v>
      </x:c>
      <x:c r="I11930" s="0" t="s">
        <x:v>21</x:v>
      </x:c>
      <x:c r="K11930" s="0">
        <x:f>hyperlink("https://icd.who.int/dev11/l-ichi/en#/http%3A%2F%2Fid.who.int%2Ficd%2Fentity%2F1109578424","browser")</x:f>
      </x:c>
      <x:c r="L11930" s="0">
        <x:f>hyperlink("https://icat2.azurewebsites.net/icat/?ontology=ICD&amp;tab=ClassesTab&amp;id=http%3A%2F%2Fwho.int%2Ficd%23SpecificAnatomicLocation_2453","iCat")</x:f>
      </x:c>
      <x:c r="M11930" s="0" t="s">
        <x:v>21</x:v>
      </x:c>
      <x:c r="N11930" s="0" t="s">
        <x:v>46</x:v>
      </x:c>
    </x:row>
    <x:row r="11931" spans="1:16">
      <x:c r="A11931" s="0" t="s">
        <x:v>46404</x:v>
      </x:c>
      <x:c r="B11931" s="0" t="s">
        <x:v>46405</x:v>
      </x:c>
      <x:c r="C11931" s="0" t="s">
        <x:v>42840</x:v>
      </x:c>
      <x:c r="E11931" s="0" t="s">
        <x:v>46406</x:v>
      </x:c>
      <x:c r="F11931" s="0" t="s">
        <x:v>45</x:v>
      </x:c>
      <x:c r="G11931" s="0" t="s">
        <x:v>22</x:v>
      </x:c>
      <x:c r="H11931" s="0" t="s">
        <x:v>20</x:v>
      </x:c>
      <x:c r="I11931" s="0" t="s">
        <x:v>21</x:v>
      </x:c>
      <x:c r="K11931" s="0">
        <x:f>hyperlink("https://icd.who.int/dev11/l-ichi/en#/http%3A%2F%2Fid.who.int%2Ficd%2Fentity%2F1184753808","browser")</x:f>
      </x:c>
      <x:c r="L11931" s="0">
        <x:f>hyperlink("https://icat2.azurewebsites.net/icat/?ontology=ICD&amp;tab=ClassesTab&amp;id=http%3A%2F%2Fwho.int%2Ficd%23SpecificAnatomicLocation_2467","iCat")</x:f>
      </x:c>
      <x:c r="M11931" s="0" t="s">
        <x:v>21</x:v>
      </x:c>
      <x:c r="N11931" s="0" t="s">
        <x:v>46</x:v>
      </x:c>
    </x:row>
    <x:row r="11932" spans="1:16">
      <x:c r="A11932" s="0" t="s">
        <x:v>46407</x:v>
      </x:c>
      <x:c r="B11932" s="0" t="s">
        <x:v>46408</x:v>
      </x:c>
      <x:c r="C11932" s="0" t="s">
        <x:v>42840</x:v>
      </x:c>
      <x:c r="E11932" s="0" t="s">
        <x:v>46409</x:v>
      </x:c>
      <x:c r="F11932" s="0" t="s">
        <x:v>45</x:v>
      </x:c>
      <x:c r="G11932" s="0" t="s">
        <x:v>22</x:v>
      </x:c>
      <x:c r="H11932" s="0" t="s">
        <x:v>20</x:v>
      </x:c>
      <x:c r="I11932" s="0" t="s">
        <x:v>21</x:v>
      </x:c>
      <x:c r="K11932" s="0">
        <x:f>hyperlink("https://icd.who.int/dev11/l-ichi/en#/http%3A%2F%2Fid.who.int%2Ficd%2Fentity%2F1570655241","browser")</x:f>
      </x:c>
      <x:c r="L11932" s="0">
        <x:f>hyperlink("https://icat2.azurewebsites.net/icat/?ontology=ICD&amp;tab=ClassesTab&amp;id=http%3A%2F%2Fwho.int%2Ficd%23SpecificAnatomicLocation_2470","iCat")</x:f>
      </x:c>
      <x:c r="M11932" s="0" t="s">
        <x:v>21</x:v>
      </x:c>
      <x:c r="N11932" s="0" t="s">
        <x:v>46</x:v>
      </x:c>
    </x:row>
    <x:row r="11933" spans="1:16">
      <x:c r="A11933" s="0" t="s">
        <x:v>46410</x:v>
      </x:c>
      <x:c r="B11933" s="0" t="s">
        <x:v>46411</x:v>
      </x:c>
      <x:c r="C11933" s="0" t="s">
        <x:v>42840</x:v>
      </x:c>
      <x:c r="E11933" s="0" t="s">
        <x:v>46412</x:v>
      </x:c>
      <x:c r="F11933" s="0" t="s">
        <x:v>45</x:v>
      </x:c>
      <x:c r="G11933" s="0" t="s">
        <x:v>22</x:v>
      </x:c>
      <x:c r="H11933" s="0" t="s">
        <x:v>20</x:v>
      </x:c>
      <x:c r="I11933" s="0" t="s">
        <x:v>21</x:v>
      </x:c>
      <x:c r="K11933" s="0">
        <x:f>hyperlink("https://icd.who.int/dev11/l-ichi/en#/http%3A%2F%2Fid.who.int%2Ficd%2Fentity%2F1864659390","browser")</x:f>
      </x:c>
      <x:c r="L11933" s="0">
        <x:f>hyperlink("https://icat2.azurewebsites.net/icat/?ontology=ICD&amp;tab=ClassesTab&amp;id=http%3A%2F%2Fwho.int%2Ficd%23SpecificAnatomicLocation_2482","iCat")</x:f>
      </x:c>
      <x:c r="M11933" s="0" t="s">
        <x:v>20</x:v>
      </x:c>
      <x:c r="N11933" s="0" t="s">
        <x:v>22</x:v>
      </x:c>
    </x:row>
    <x:row r="11934" spans="1:16">
      <x:c r="A11934" s="0" t="s">
        <x:v>46413</x:v>
      </x:c>
      <x:c r="B11934" s="0" t="s">
        <x:v>46414</x:v>
      </x:c>
      <x:c r="C11934" s="0" t="s">
        <x:v>42840</x:v>
      </x:c>
      <x:c r="E11934" s="0" t="s">
        <x:v>46415</x:v>
      </x:c>
      <x:c r="F11934" s="0" t="s">
        <x:v>45</x:v>
      </x:c>
      <x:c r="G11934" s="0" t="s">
        <x:v>40</x:v>
      </x:c>
      <x:c r="H11934" s="0" t="s">
        <x:v>20</x:v>
      </x:c>
      <x:c r="I11934" s="0" t="s">
        <x:v>21</x:v>
      </x:c>
      <x:c r="K11934" s="0">
        <x:f>hyperlink("https://icd.who.int/dev11/l-ichi/en#/http%3A%2F%2Fid.who.int%2Ficd%2Fentity%2F2031287065","browser")</x:f>
      </x:c>
      <x:c r="L11934" s="0">
        <x:f>hyperlink("https://icat2.azurewebsites.net/icat/?ontology=ICD&amp;tab=ClassesTab&amp;id=http%3A%2F%2Fwho.int%2Ficd%23SpecificAnatomicLocation_2498","iCat")</x:f>
      </x:c>
      <x:c r="M11934" s="0" t="s">
        <x:v>21</x:v>
      </x:c>
      <x:c r="N11934" s="0" t="s">
        <x:v>46</x:v>
      </x:c>
    </x:row>
    <x:row r="11935" spans="1:16">
      <x:c r="A11935" s="0" t="s">
        <x:v>46416</x:v>
      </x:c>
      <x:c r="B11935" s="0" t="s">
        <x:v>46417</x:v>
      </x:c>
      <x:c r="C11935" s="0" t="s">
        <x:v>42840</x:v>
      </x:c>
      <x:c r="E11935" s="0" t="s">
        <x:v>46418</x:v>
      </x:c>
      <x:c r="F11935" s="0" t="s">
        <x:v>45</x:v>
      </x:c>
      <x:c r="G11935" s="0" t="s">
        <x:v>40</x:v>
      </x:c>
      <x:c r="H11935" s="0" t="s">
        <x:v>20</x:v>
      </x:c>
      <x:c r="I11935" s="0" t="s">
        <x:v>21</x:v>
      </x:c>
      <x:c r="K11935" s="0">
        <x:f>hyperlink("https://icd.who.int/dev11/l-ichi/en#/http%3A%2F%2Fid.who.int%2Ficd%2Fentity%2F571597894","browser")</x:f>
      </x:c>
      <x:c r="L11935" s="0">
        <x:f>hyperlink("https://icat2.azurewebsites.net/icat/?ontology=ICD&amp;tab=ClassesTab&amp;id=http%3A%2F%2Fwho.int%2Ficd%235137_1a025aad_bab4_45d3_85b5_2f8609f7d6c2","iCat")</x:f>
      </x:c>
      <x:c r="M11935" s="0" t="s">
        <x:v>21</x:v>
      </x:c>
      <x:c r="N11935" s="0" t="s">
        <x:v>46</x:v>
      </x:c>
    </x:row>
    <x:row r="11936" spans="1:16">
      <x:c r="A11936" s="0" t="s">
        <x:v>46419</x:v>
      </x:c>
      <x:c r="B11936" s="0" t="s">
        <x:v>46420</x:v>
      </x:c>
      <x:c r="C11936" s="0" t="s">
        <x:v>42840</x:v>
      </x:c>
      <x:c r="E11936" s="0" t="s">
        <x:v>46421</x:v>
      </x:c>
      <x:c r="F11936" s="0" t="s">
        <x:v>45</x:v>
      </x:c>
      <x:c r="G11936" s="0" t="s">
        <x:v>40</x:v>
      </x:c>
      <x:c r="H11936" s="0" t="s">
        <x:v>20</x:v>
      </x:c>
      <x:c r="I11936" s="0" t="s">
        <x:v>21</x:v>
      </x:c>
      <x:c r="K11936" s="0">
        <x:f>hyperlink("https://icd.who.int/dev11/l-ichi/en#/http%3A%2F%2Fid.who.int%2Ficd%2Fentity%2F494829520","browser")</x:f>
      </x:c>
      <x:c r="L11936" s="0">
        <x:f>hyperlink("https://icat2.azurewebsites.net/icat/?ontology=ICD&amp;tab=ClassesTab&amp;id=http%3A%2F%2Fwho.int%2Ficd%235155_1a025aad_bab4_45d3_85b5_2f8609f7d6c2","iCat")</x:f>
      </x:c>
      <x:c r="M11936" s="0" t="s">
        <x:v>21</x:v>
      </x:c>
      <x:c r="N11936" s="0" t="s">
        <x:v>46</x:v>
      </x:c>
    </x:row>
    <x:row r="11937" spans="1:16">
      <x:c r="A11937" s="0" t="s">
        <x:v>46422</x:v>
      </x:c>
      <x:c r="B11937" s="0" t="s">
        <x:v>46423</x:v>
      </x:c>
      <x:c r="C11937" s="0" t="s">
        <x:v>42840</x:v>
      </x:c>
      <x:c r="E11937" s="0" t="s">
        <x:v>46424</x:v>
      </x:c>
      <x:c r="F11937" s="0" t="s">
        <x:v>45</x:v>
      </x:c>
      <x:c r="G11937" s="0" t="s">
        <x:v>40</x:v>
      </x:c>
      <x:c r="H11937" s="0" t="s">
        <x:v>20</x:v>
      </x:c>
      <x:c r="I11937" s="0" t="s">
        <x:v>21</x:v>
      </x:c>
      <x:c r="K11937" s="0">
        <x:f>hyperlink("https://icd.who.int/dev11/l-ichi/en#/http%3A%2F%2Fid.who.int%2Ficd%2Fentity%2F1503060311","browser")</x:f>
      </x:c>
      <x:c r="L11937" s="0">
        <x:f>hyperlink("https://icat2.azurewebsites.net/icat/?ontology=ICD&amp;tab=ClassesTab&amp;id=http%3A%2F%2Fwho.int%2Ficd%23SpecificAnatomicLocation_2580","iCat")</x:f>
      </x:c>
      <x:c r="M11937" s="0" t="s">
        <x:v>21</x:v>
      </x:c>
      <x:c r="N11937" s="0" t="s">
        <x:v>46</x:v>
      </x:c>
    </x:row>
    <x:row r="11938" spans="1:16">
      <x:c r="A11938" s="0" t="s">
        <x:v>46425</x:v>
      </x:c>
      <x:c r="B11938" s="0" t="s">
        <x:v>46426</x:v>
      </x:c>
      <x:c r="C11938" s="0" t="s">
        <x:v>42840</x:v>
      </x:c>
      <x:c r="E11938" s="0" t="s">
        <x:v>46427</x:v>
      </x:c>
      <x:c r="F11938" s="0" t="s">
        <x:v>45</x:v>
      </x:c>
      <x:c r="G11938" s="0" t="s">
        <x:v>22</x:v>
      </x:c>
      <x:c r="H11938" s="0" t="s">
        <x:v>20</x:v>
      </x:c>
      <x:c r="I11938" s="0" t="s">
        <x:v>21</x:v>
      </x:c>
      <x:c r="K11938" s="0">
        <x:f>hyperlink("https://icd.who.int/dev11/l-ichi/en#/http%3A%2F%2Fid.who.int%2Ficd%2Fentity%2F283116802","browser")</x:f>
      </x:c>
      <x:c r="L11938" s="0">
        <x:f>hyperlink("https://icat2.azurewebsites.net/icat/?ontology=ICD&amp;tab=ClassesTab&amp;id=http%3A%2F%2Fwho.int%2Ficd%23SpecificAnatomicLocation_2489","iCat")</x:f>
      </x:c>
      <x:c r="M11938" s="0" t="s">
        <x:v>21</x:v>
      </x:c>
      <x:c r="N11938" s="0" t="s">
        <x:v>46</x:v>
      </x:c>
    </x:row>
    <x:row r="11939" spans="1:16">
      <x:c r="A11939" s="0" t="s">
        <x:v>46428</x:v>
      </x:c>
      <x:c r="B11939" s="0" t="s">
        <x:v>46429</x:v>
      </x:c>
      <x:c r="C11939" s="0" t="s">
        <x:v>42840</x:v>
      </x:c>
      <x:c r="E11939" s="0" t="s">
        <x:v>46430</x:v>
      </x:c>
      <x:c r="F11939" s="0" t="s">
        <x:v>45</x:v>
      </x:c>
      <x:c r="G11939" s="0" t="s">
        <x:v>22</x:v>
      </x:c>
      <x:c r="H11939" s="0" t="s">
        <x:v>20</x:v>
      </x:c>
      <x:c r="I11939" s="0" t="s">
        <x:v>21</x:v>
      </x:c>
      <x:c r="K11939" s="0">
        <x:f>hyperlink("https://icd.who.int/dev11/l-ichi/en#/http%3A%2F%2Fid.who.int%2Ficd%2Fentity%2F615351934","browser")</x:f>
      </x:c>
      <x:c r="L11939" s="0">
        <x:f>hyperlink("https://icat2.azurewebsites.net/icat/?ontology=ICD&amp;tab=ClassesTab&amp;id=http%3A%2F%2Fwho.int%2Ficd%23SpecificAnatomicLocation_2487","iCat")</x:f>
      </x:c>
      <x:c r="M11939" s="0" t="s">
        <x:v>20</x:v>
      </x:c>
      <x:c r="N11939" s="0" t="s">
        <x:v>22</x:v>
      </x:c>
    </x:row>
    <x:row r="11940" spans="1:16">
      <x:c r="A11940" s="0" t="s">
        <x:v>46431</x:v>
      </x:c>
      <x:c r="B11940" s="0" t="s">
        <x:v>46432</x:v>
      </x:c>
      <x:c r="C11940" s="0" t="s">
        <x:v>42840</x:v>
      </x:c>
      <x:c r="E11940" s="0" t="s">
        <x:v>46433</x:v>
      </x:c>
      <x:c r="F11940" s="0" t="s">
        <x:v>45</x:v>
      </x:c>
      <x:c r="G11940" s="0" t="s">
        <x:v>40</x:v>
      </x:c>
      <x:c r="H11940" s="0" t="s">
        <x:v>20</x:v>
      </x:c>
      <x:c r="I11940" s="0" t="s">
        <x:v>21</x:v>
      </x:c>
      <x:c r="K11940" s="0">
        <x:f>hyperlink("https://icd.who.int/dev11/l-ichi/en#/http%3A%2F%2Fid.who.int%2Ficd%2Fentity%2F591714000","browser")</x:f>
      </x:c>
      <x:c r="L11940" s="0">
        <x:f>hyperlink("https://icat2.azurewebsites.net/icat/?ontology=ICD&amp;tab=ClassesTab&amp;id=http%3A%2F%2Fwho.int%2Ficd%23SpecificAnatomicLocation_2460","iCat")</x:f>
      </x:c>
      <x:c r="M11940" s="0" t="s">
        <x:v>21</x:v>
      </x:c>
      <x:c r="N11940" s="0" t="s">
        <x:v>46</x:v>
      </x:c>
    </x:row>
    <x:row r="11941" spans="1:16">
      <x:c r="A11941" s="0" t="s">
        <x:v>46434</x:v>
      </x:c>
      <x:c r="B11941" s="0" t="s">
        <x:v>46435</x:v>
      </x:c>
      <x:c r="C11941" s="0" t="s">
        <x:v>42840</x:v>
      </x:c>
      <x:c r="E11941" s="0" t="s">
        <x:v>46436</x:v>
      </x:c>
      <x:c r="F11941" s="0" t="s">
        <x:v>45</x:v>
      </x:c>
      <x:c r="G11941" s="0" t="s">
        <x:v>40</x:v>
      </x:c>
      <x:c r="H11941" s="0" t="s">
        <x:v>20</x:v>
      </x:c>
      <x:c r="I11941" s="0" t="s">
        <x:v>21</x:v>
      </x:c>
      <x:c r="K11941" s="0">
        <x:f>hyperlink("https://icd.who.int/dev11/l-ichi/en#/http%3A%2F%2Fid.who.int%2Ficd%2Fentity%2F912714704","browser")</x:f>
      </x:c>
      <x:c r="L11941" s="0">
        <x:f>hyperlink("https://icat2.azurewebsites.net/icat/?ontology=ICD&amp;tab=ClassesTab&amp;id=http%3A%2F%2Fwho.int%2Ficd%235118_1a025aad_bab4_45d3_85b5_2f8609f7d6c2","iCat")</x:f>
      </x:c>
      <x:c r="M11941" s="0" t="s">
        <x:v>21</x:v>
      </x:c>
      <x:c r="N11941" s="0" t="s">
        <x:v>46</x:v>
      </x:c>
    </x:row>
    <x:row r="11942" spans="1:16">
      <x:c r="A11942" s="0" t="s">
        <x:v>46437</x:v>
      </x:c>
      <x:c r="B11942" s="0" t="s">
        <x:v>46438</x:v>
      </x:c>
      <x:c r="C11942" s="0" t="s">
        <x:v>42840</x:v>
      </x:c>
      <x:c r="E11942" s="0" t="s">
        <x:v>46439</x:v>
      </x:c>
      <x:c r="F11942" s="0" t="s">
        <x:v>45</x:v>
      </x:c>
      <x:c r="G11942" s="0" t="s">
        <x:v>40</x:v>
      </x:c>
      <x:c r="H11942" s="0" t="s">
        <x:v>20</x:v>
      </x:c>
      <x:c r="I11942" s="0" t="s">
        <x:v>21</x:v>
      </x:c>
      <x:c r="K11942" s="0">
        <x:f>hyperlink("https://icd.who.int/dev11/l-ichi/en#/http%3A%2F%2Fid.who.int%2Ficd%2Fentity%2F107026641","browser")</x:f>
      </x:c>
      <x:c r="L11942" s="0">
        <x:f>hyperlink("https://icat2.azurewebsites.net/icat/?ontology=ICD&amp;tab=ClassesTab&amp;id=http%3A%2F%2Fwho.int%2Ficd%23SpecificAnatomicLocation_2557","iCat")</x:f>
      </x:c>
      <x:c r="M11942" s="0" t="s">
        <x:v>21</x:v>
      </x:c>
      <x:c r="N11942" s="0" t="s">
        <x:v>46</x:v>
      </x:c>
    </x:row>
    <x:row r="11943" spans="1:16">
      <x:c r="A11943" s="0" t="s">
        <x:v>46440</x:v>
      </x:c>
      <x:c r="B11943" s="0" t="s">
        <x:v>46441</x:v>
      </x:c>
      <x:c r="C11943" s="0" t="s">
        <x:v>42840</x:v>
      </x:c>
      <x:c r="E11943" s="0" t="s">
        <x:v>46442</x:v>
      </x:c>
      <x:c r="F11943" s="0" t="s">
        <x:v>45</x:v>
      </x:c>
      <x:c r="G11943" s="0" t="s">
        <x:v>40</x:v>
      </x:c>
      <x:c r="H11943" s="0" t="s">
        <x:v>20</x:v>
      </x:c>
      <x:c r="I11943" s="0" t="s">
        <x:v>21</x:v>
      </x:c>
      <x:c r="K11943" s="0">
        <x:f>hyperlink("https://icd.who.int/dev11/l-ichi/en#/http%3A%2F%2Fid.who.int%2Ficd%2Fentity%2F811867982","browser")</x:f>
      </x:c>
      <x:c r="L11943" s="0">
        <x:f>hyperlink("https://icat2.azurewebsites.net/icat/?ontology=ICD&amp;tab=ClassesTab&amp;id=http%3A%2F%2Fwho.int%2Ficd%23SpecificAnatomicLocation_2591","iCat")</x:f>
      </x:c>
      <x:c r="M11943" s="0" t="s">
        <x:v>21</x:v>
      </x:c>
      <x:c r="N11943" s="0" t="s">
        <x:v>46</x:v>
      </x:c>
    </x:row>
    <x:row r="11944" spans="1:16">
      <x:c r="A11944" s="0" t="s">
        <x:v>46443</x:v>
      </x:c>
      <x:c r="B11944" s="0" t="s">
        <x:v>46444</x:v>
      </x:c>
      <x:c r="C11944" s="0" t="s">
        <x:v>42840</x:v>
      </x:c>
      <x:c r="E11944" s="0" t="s">
        <x:v>46445</x:v>
      </x:c>
      <x:c r="F11944" s="0" t="s">
        <x:v>45</x:v>
      </x:c>
      <x:c r="G11944" s="0" t="s">
        <x:v>22</x:v>
      </x:c>
      <x:c r="H11944" s="0" t="s">
        <x:v>20</x:v>
      </x:c>
      <x:c r="I11944" s="0" t="s">
        <x:v>21</x:v>
      </x:c>
      <x:c r="K11944" s="0">
        <x:f>hyperlink("https://icd.who.int/dev11/l-ichi/en#/http%3A%2F%2Fid.who.int%2Ficd%2Fentity%2F1849335769","browser")</x:f>
      </x:c>
      <x:c r="L11944" s="0">
        <x:f>hyperlink("https://icat2.azurewebsites.net/icat/?ontology=ICD&amp;tab=ClassesTab&amp;id=http%3A%2F%2Fwho.int%2Ficd%23SpecificAnatomicLocation_2499","iCat")</x:f>
      </x:c>
      <x:c r="M11944" s="0" t="s">
        <x:v>21</x:v>
      </x:c>
      <x:c r="N11944" s="0" t="s">
        <x:v>46</x:v>
      </x:c>
    </x:row>
    <x:row r="11945" spans="1:16">
      <x:c r="A11945" s="0" t="s">
        <x:v>46446</x:v>
      </x:c>
      <x:c r="B11945" s="0" t="s">
        <x:v>46447</x:v>
      </x:c>
      <x:c r="C11945" s="0" t="s">
        <x:v>42840</x:v>
      </x:c>
      <x:c r="E11945" s="0" t="s">
        <x:v>46448</x:v>
      </x:c>
      <x:c r="F11945" s="0" t="s">
        <x:v>45</x:v>
      </x:c>
      <x:c r="G11945" s="0" t="s">
        <x:v>22</x:v>
      </x:c>
      <x:c r="H11945" s="0" t="s">
        <x:v>20</x:v>
      </x:c>
      <x:c r="I11945" s="0" t="s">
        <x:v>21</x:v>
      </x:c>
      <x:c r="K11945" s="0">
        <x:f>hyperlink("https://icd.who.int/dev11/l-ichi/en#/http%3A%2F%2Fid.who.int%2Ficd%2Fentity%2F1952719383","browser")</x:f>
      </x:c>
      <x:c r="L11945" s="0">
        <x:f>hyperlink("https://icat2.azurewebsites.net/icat/?ontology=ICD&amp;tab=ClassesTab&amp;id=http%3A%2F%2Fwho.int%2Ficd%23SpecificAnatomicLocation_2500","iCat")</x:f>
      </x:c>
      <x:c r="M11945" s="0" t="s">
        <x:v>21</x:v>
      </x:c>
      <x:c r="N11945" s="0" t="s">
        <x:v>46</x:v>
      </x:c>
    </x:row>
    <x:row r="11946" spans="1:16">
      <x:c r="A11946" s="0" t="s">
        <x:v>46449</x:v>
      </x:c>
      <x:c r="B11946" s="0" t="s">
        <x:v>46450</x:v>
      </x:c>
      <x:c r="C11946" s="0" t="s">
        <x:v>42840</x:v>
      </x:c>
      <x:c r="E11946" s="0" t="s">
        <x:v>46451</x:v>
      </x:c>
      <x:c r="F11946" s="0" t="s">
        <x:v>45</x:v>
      </x:c>
      <x:c r="G11946" s="0" t="s">
        <x:v>22</x:v>
      </x:c>
      <x:c r="H11946" s="0" t="s">
        <x:v>20</x:v>
      </x:c>
      <x:c r="I11946" s="0" t="s">
        <x:v>21</x:v>
      </x:c>
      <x:c r="K11946" s="0">
        <x:f>hyperlink("https://icd.who.int/dev11/l-ichi/en#/http%3A%2F%2Fid.who.int%2Ficd%2Fentity%2F684044567","browser")</x:f>
      </x:c>
      <x:c r="L11946" s="0">
        <x:f>hyperlink("https://icat2.azurewebsites.net/icat/?ontology=ICD&amp;tab=ClassesTab&amp;id=http%3A%2F%2Fwho.int%2Ficd%23SpecificAnatomicLocation_2504","iCat")</x:f>
      </x:c>
      <x:c r="M11946" s="0" t="s">
        <x:v>21</x:v>
      </x:c>
      <x:c r="N11946" s="0" t="s">
        <x:v>46</x:v>
      </x:c>
    </x:row>
    <x:row r="11947" spans="1:16">
      <x:c r="A11947" s="0" t="s">
        <x:v>46452</x:v>
      </x:c>
      <x:c r="B11947" s="0" t="s">
        <x:v>46453</x:v>
      </x:c>
      <x:c r="C11947" s="0" t="s">
        <x:v>42840</x:v>
      </x:c>
      <x:c r="E11947" s="0" t="s">
        <x:v>46454</x:v>
      </x:c>
      <x:c r="F11947" s="0" t="s">
        <x:v>45</x:v>
      </x:c>
      <x:c r="G11947" s="0" t="s">
        <x:v>22</x:v>
      </x:c>
      <x:c r="H11947" s="0" t="s">
        <x:v>20</x:v>
      </x:c>
      <x:c r="I11947" s="0" t="s">
        <x:v>21</x:v>
      </x:c>
      <x:c r="K11947" s="0">
        <x:f>hyperlink("https://icd.who.int/dev11/l-ichi/en#/http%3A%2F%2Fid.who.int%2Ficd%2Fentity%2F337430552","browser")</x:f>
      </x:c>
      <x:c r="L11947" s="0">
        <x:f>hyperlink("https://icat2.azurewebsites.net/icat/?ontology=ICD&amp;tab=ClassesTab&amp;id=http%3A%2F%2Fwho.int%2Ficd%23SpecificAnatomicLocation_2528","iCat")</x:f>
      </x:c>
      <x:c r="M11947" s="0" t="s">
        <x:v>21</x:v>
      </x:c>
      <x:c r="N11947" s="0" t="s">
        <x:v>46</x:v>
      </x:c>
    </x:row>
    <x:row r="11948" spans="1:16">
      <x:c r="A11948" s="0" t="s">
        <x:v>46455</x:v>
      </x:c>
      <x:c r="B11948" s="0" t="s">
        <x:v>46456</x:v>
      </x:c>
      <x:c r="C11948" s="0" t="s">
        <x:v>42840</x:v>
      </x:c>
      <x:c r="E11948" s="0" t="s">
        <x:v>46457</x:v>
      </x:c>
      <x:c r="F11948" s="0" t="s">
        <x:v>45</x:v>
      </x:c>
      <x:c r="G11948" s="0" t="s">
        <x:v>22</x:v>
      </x:c>
      <x:c r="H11948" s="0" t="s">
        <x:v>20</x:v>
      </x:c>
      <x:c r="I11948" s="0" t="s">
        <x:v>21</x:v>
      </x:c>
      <x:c r="K11948" s="0">
        <x:f>hyperlink("https://icd.who.int/dev11/l-ichi/en#/http%3A%2F%2Fid.who.int%2Ficd%2Fentity%2F2112763393","browser")</x:f>
      </x:c>
      <x:c r="L11948" s="0">
        <x:f>hyperlink("https://icat2.azurewebsites.net/icat/?ontology=ICD&amp;tab=ClassesTab&amp;id=http%3A%2F%2Fwho.int%2Ficd%23SpecificAnatomicLocation_2539","iCat")</x:f>
      </x:c>
      <x:c r="M11948" s="0" t="s">
        <x:v>21</x:v>
      </x:c>
      <x:c r="N11948" s="0" t="s">
        <x:v>46</x:v>
      </x:c>
    </x:row>
    <x:row r="11949" spans="1:16">
      <x:c r="A11949" s="0" t="s">
        <x:v>46458</x:v>
      </x:c>
      <x:c r="B11949" s="0" t="s">
        <x:v>46459</x:v>
      </x:c>
      <x:c r="C11949" s="0" t="s">
        <x:v>42840</x:v>
      </x:c>
      <x:c r="E11949" s="0" t="s">
        <x:v>46460</x:v>
      </x:c>
      <x:c r="F11949" s="0" t="s">
        <x:v>45</x:v>
      </x:c>
      <x:c r="G11949" s="0" t="s">
        <x:v>22</x:v>
      </x:c>
      <x:c r="H11949" s="0" t="s">
        <x:v>20</x:v>
      </x:c>
      <x:c r="I11949" s="0" t="s">
        <x:v>21</x:v>
      </x:c>
      <x:c r="K11949" s="0">
        <x:f>hyperlink("https://icd.who.int/dev11/l-ichi/en#/http%3A%2F%2Fid.who.int%2Ficd%2Fentity%2F1103310664","browser")</x:f>
      </x:c>
      <x:c r="L11949" s="0">
        <x:f>hyperlink("https://icat2.azurewebsites.net/icat/?ontology=ICD&amp;tab=ClassesTab&amp;id=http%3A%2F%2Fwho.int%2Ficd%23SpecificAnatomicLocation_2544","iCat")</x:f>
      </x:c>
      <x:c r="M11949" s="0" t="s">
        <x:v>20</x:v>
      </x:c>
      <x:c r="N11949" s="0" t="s">
        <x:v>30</x:v>
      </x:c>
    </x:row>
    <x:row r="11950" spans="1:16">
      <x:c r="A11950" s="0" t="s">
        <x:v>46461</x:v>
      </x:c>
      <x:c r="B11950" s="0" t="s">
        <x:v>46462</x:v>
      </x:c>
      <x:c r="C11950" s="0" t="s">
        <x:v>42840</x:v>
      </x:c>
      <x:c r="E11950" s="0" t="s">
        <x:v>46463</x:v>
      </x:c>
      <x:c r="F11950" s="0" t="s">
        <x:v>45</x:v>
      </x:c>
      <x:c r="G11950" s="0" t="s">
        <x:v>40</x:v>
      </x:c>
      <x:c r="H11950" s="0" t="s">
        <x:v>20</x:v>
      </x:c>
      <x:c r="I11950" s="0" t="s">
        <x:v>21</x:v>
      </x:c>
      <x:c r="K11950" s="0">
        <x:f>hyperlink("https://icd.who.int/dev11/l-ichi/en#/http%3A%2F%2Fid.who.int%2Ficd%2Fentity%2F162447416","browser")</x:f>
      </x:c>
      <x:c r="L11950" s="0">
        <x:f>hyperlink("https://icat2.azurewebsites.net/icat/?ontology=ICD&amp;tab=ClassesTab&amp;id=http%3A%2F%2Fwho.int%2Ficd%235199_1a025aad_bab4_45d3_85b5_2f8609f7d6c2","iCat")</x:f>
      </x:c>
      <x:c r="M11950" s="0" t="s">
        <x:v>21</x:v>
      </x:c>
      <x:c r="N11950" s="0" t="s">
        <x:v>46</x:v>
      </x:c>
    </x:row>
    <x:row r="11951" spans="1:16">
      <x:c r="A11951" s="0" t="s">
        <x:v>46464</x:v>
      </x:c>
      <x:c r="B11951" s="0" t="s">
        <x:v>46465</x:v>
      </x:c>
      <x:c r="C11951" s="0" t="s">
        <x:v>42840</x:v>
      </x:c>
      <x:c r="E11951" s="0" t="s">
        <x:v>46466</x:v>
      </x:c>
      <x:c r="F11951" s="0" t="s">
        <x:v>45</x:v>
      </x:c>
      <x:c r="G11951" s="0" t="s">
        <x:v>40</x:v>
      </x:c>
      <x:c r="H11951" s="0" t="s">
        <x:v>20</x:v>
      </x:c>
      <x:c r="I11951" s="0" t="s">
        <x:v>21</x:v>
      </x:c>
      <x:c r="K11951" s="0">
        <x:f>hyperlink("https://icd.who.int/dev11/l-ichi/en#/http%3A%2F%2Fid.who.int%2Ficd%2Fentity%2F906927551","browser")</x:f>
      </x:c>
      <x:c r="L11951" s="0">
        <x:f>hyperlink("https://icat2.azurewebsites.net/icat/?ontology=ICD&amp;tab=ClassesTab&amp;id=http%3A%2F%2Fwho.int%2Ficd%23SpecificAnatomicLocation_2660","iCat")</x:f>
      </x:c>
      <x:c r="M11951" s="0" t="s">
        <x:v>21</x:v>
      </x:c>
      <x:c r="N11951" s="0" t="s">
        <x:v>46</x:v>
      </x:c>
    </x:row>
    <x:row r="11952" spans="1:16">
      <x:c r="A11952" s="0" t="s">
        <x:v>46467</x:v>
      </x:c>
      <x:c r="B11952" s="0" t="s">
        <x:v>46468</x:v>
      </x:c>
      <x:c r="C11952" s="0" t="s">
        <x:v>42840</x:v>
      </x:c>
      <x:c r="E11952" s="0" t="s">
        <x:v>46469</x:v>
      </x:c>
      <x:c r="F11952" s="0" t="s">
        <x:v>45</x:v>
      </x:c>
      <x:c r="G11952" s="0" t="s">
        <x:v>22</x:v>
      </x:c>
      <x:c r="H11952" s="0" t="s">
        <x:v>20</x:v>
      </x:c>
      <x:c r="I11952" s="0" t="s">
        <x:v>21</x:v>
      </x:c>
      <x:c r="K11952" s="0">
        <x:f>hyperlink("https://icd.who.int/dev11/l-ichi/en#/http%3A%2F%2Fid.who.int%2Ficd%2Fentity%2F290028561","browser")</x:f>
      </x:c>
      <x:c r="L11952" s="0">
        <x:f>hyperlink("https://icat2.azurewebsites.net/icat/?ontology=ICD&amp;tab=ClassesTab&amp;id=http%3A%2F%2Fwho.int%2Ficd%23SpecificAnatomicLocation_2556","iCat")</x:f>
      </x:c>
      <x:c r="M11952" s="0" t="s">
        <x:v>21</x:v>
      </x:c>
      <x:c r="N11952" s="0" t="s">
        <x:v>46</x:v>
      </x:c>
    </x:row>
    <x:row r="11953" spans="1:16">
      <x:c r="A11953" s="0" t="s">
        <x:v>46470</x:v>
      </x:c>
      <x:c r="B11953" s="0" t="s">
        <x:v>46471</x:v>
      </x:c>
      <x:c r="C11953" s="0" t="s">
        <x:v>42840</x:v>
      </x:c>
      <x:c r="E11953" s="0" t="s">
        <x:v>46472</x:v>
      </x:c>
      <x:c r="F11953" s="0" t="s">
        <x:v>45</x:v>
      </x:c>
      <x:c r="G11953" s="0" t="s">
        <x:v>22</x:v>
      </x:c>
      <x:c r="H11953" s="0" t="s">
        <x:v>20</x:v>
      </x:c>
      <x:c r="I11953" s="0" t="s">
        <x:v>21</x:v>
      </x:c>
      <x:c r="K11953" s="0">
        <x:f>hyperlink("https://icd.who.int/dev11/l-ichi/en#/http%3A%2F%2Fid.who.int%2Ficd%2Fentity%2F1058649489","browser")</x:f>
      </x:c>
      <x:c r="L11953" s="0">
        <x:f>hyperlink("https://icat2.azurewebsites.net/icat/?ontology=ICD&amp;tab=ClassesTab&amp;id=http%3A%2F%2Fwho.int%2Ficd%23SpecificAnatomicLocation_2554","iCat")</x:f>
      </x:c>
      <x:c r="M11953" s="0" t="s">
        <x:v>21</x:v>
      </x:c>
      <x:c r="N11953" s="0" t="s">
        <x:v>46</x:v>
      </x:c>
    </x:row>
    <x:row r="11954" spans="1:16">
      <x:c r="A11954" s="0" t="s">
        <x:v>46473</x:v>
      </x:c>
      <x:c r="B11954" s="0" t="s">
        <x:v>46474</x:v>
      </x:c>
      <x:c r="C11954" s="0" t="s">
        <x:v>42840</x:v>
      </x:c>
      <x:c r="E11954" s="0" t="s">
        <x:v>46475</x:v>
      </x:c>
      <x:c r="F11954" s="0" t="s">
        <x:v>45</x:v>
      </x:c>
      <x:c r="G11954" s="0" t="s">
        <x:v>22</x:v>
      </x:c>
      <x:c r="H11954" s="0" t="s">
        <x:v>20</x:v>
      </x:c>
      <x:c r="I11954" s="0" t="s">
        <x:v>21</x:v>
      </x:c>
      <x:c r="K11954" s="0">
        <x:f>hyperlink("https://icd.who.int/dev11/l-ichi/en#/http%3A%2F%2Fid.who.int%2Ficd%2Fentity%2F1230492985","browser")</x:f>
      </x:c>
      <x:c r="L11954" s="0">
        <x:f>hyperlink("https://icat2.azurewebsites.net/icat/?ontology=ICD&amp;tab=ClassesTab&amp;id=http%3A%2F%2Fwho.int%2Ficd%23SpecificAnatomicLocation_2566","iCat")</x:f>
      </x:c>
      <x:c r="M11954" s="0" t="s">
        <x:v>20</x:v>
      </x:c>
      <x:c r="N11954" s="0" t="s">
        <x:v>35</x:v>
      </x:c>
    </x:row>
    <x:row r="11955" spans="1:16">
      <x:c r="A11955" s="0" t="s">
        <x:v>46476</x:v>
      </x:c>
      <x:c r="B11955" s="0" t="s">
        <x:v>46477</x:v>
      </x:c>
      <x:c r="C11955" s="0" t="s">
        <x:v>42840</x:v>
      </x:c>
      <x:c r="E11955" s="0" t="s">
        <x:v>46478</x:v>
      </x:c>
      <x:c r="F11955" s="0" t="s">
        <x:v>45</x:v>
      </x:c>
      <x:c r="G11955" s="0" t="s">
        <x:v>40</x:v>
      </x:c>
      <x:c r="H11955" s="0" t="s">
        <x:v>20</x:v>
      </x:c>
      <x:c r="I11955" s="0" t="s">
        <x:v>21</x:v>
      </x:c>
      <x:c r="K11955" s="0">
        <x:f>hyperlink("https://icd.who.int/dev11/l-ichi/en#/http%3A%2F%2Fid.who.int%2Ficd%2Fentity%2F1572141307","browser")</x:f>
      </x:c>
      <x:c r="L11955" s="0">
        <x:f>hyperlink("https://icat2.azurewebsites.net/icat/?ontology=ICD&amp;tab=ClassesTab&amp;id=http%3A%2F%2Fwho.int%2Ficd%235239_1a025aad_bab4_45d3_85b5_2f8609f7d6c2","iCat")</x:f>
      </x:c>
      <x:c r="M11955" s="0" t="s">
        <x:v>21</x:v>
      </x:c>
      <x:c r="N11955" s="0" t="s">
        <x:v>46</x:v>
      </x:c>
    </x:row>
    <x:row r="11956" spans="1:16">
      <x:c r="A11956" s="0" t="s">
        <x:v>46479</x:v>
      </x:c>
      <x:c r="B11956" s="0" t="s">
        <x:v>46480</x:v>
      </x:c>
      <x:c r="C11956" s="0" t="s">
        <x:v>42840</x:v>
      </x:c>
      <x:c r="E11956" s="0" t="s">
        <x:v>46481</x:v>
      </x:c>
      <x:c r="F11956" s="0" t="s">
        <x:v>45</x:v>
      </x:c>
      <x:c r="G11956" s="0" t="s">
        <x:v>40</x:v>
      </x:c>
      <x:c r="H11956" s="0" t="s">
        <x:v>20</x:v>
      </x:c>
      <x:c r="I11956" s="0" t="s">
        <x:v>21</x:v>
      </x:c>
      <x:c r="K11956" s="0">
        <x:f>hyperlink("https://icd.who.int/dev11/l-ichi/en#/http%3A%2F%2Fid.who.int%2Ficd%2Fentity%2F1798102240","browser")</x:f>
      </x:c>
      <x:c r="L11956" s="0">
        <x:f>hyperlink("https://icat2.azurewebsites.net/icat/?ontology=ICD&amp;tab=ClassesTab&amp;id=http%3A%2F%2Fwho.int%2Ficd%23SpecificAnatomicLocation_2572","iCat")</x:f>
      </x:c>
      <x:c r="M11956" s="0" t="s">
        <x:v>21</x:v>
      </x:c>
      <x:c r="N11956" s="0" t="s">
        <x:v>46</x:v>
      </x:c>
    </x:row>
    <x:row r="11957" spans="1:16">
      <x:c r="A11957" s="0" t="s">
        <x:v>46482</x:v>
      </x:c>
      <x:c r="B11957" s="0" t="s">
        <x:v>46483</x:v>
      </x:c>
      <x:c r="C11957" s="0" t="s">
        <x:v>42840</x:v>
      </x:c>
      <x:c r="E11957" s="0" t="s">
        <x:v>46484</x:v>
      </x:c>
      <x:c r="F11957" s="0" t="s">
        <x:v>45</x:v>
      </x:c>
      <x:c r="G11957" s="0" t="s">
        <x:v>40</x:v>
      </x:c>
      <x:c r="H11957" s="0" t="s">
        <x:v>20</x:v>
      </x:c>
      <x:c r="I11957" s="0" t="s">
        <x:v>21</x:v>
      </x:c>
      <x:c r="K11957" s="0">
        <x:f>hyperlink("https://icd.who.int/dev11/l-ichi/en#/http%3A%2F%2Fid.who.int%2Ficd%2Fentity%2F272551432","browser")</x:f>
      </x:c>
      <x:c r="L11957" s="0">
        <x:f>hyperlink("https://icat2.azurewebsites.net/icat/?ontology=ICD&amp;tab=ClassesTab&amp;id=http%3A%2F%2Fwho.int%2Ficd%23SpecificAnatomicLocation_2611","iCat")</x:f>
      </x:c>
      <x:c r="M11957" s="0" t="s">
        <x:v>21</x:v>
      </x:c>
      <x:c r="N11957" s="0" t="s">
        <x:v>46</x:v>
      </x:c>
    </x:row>
    <x:row r="11958" spans="1:16">
      <x:c r="A11958" s="0" t="s">
        <x:v>46485</x:v>
      </x:c>
      <x:c r="B11958" s="0" t="s">
        <x:v>46486</x:v>
      </x:c>
      <x:c r="C11958" s="0" t="s">
        <x:v>42840</x:v>
      </x:c>
      <x:c r="E11958" s="0" t="s">
        <x:v>46487</x:v>
      </x:c>
      <x:c r="F11958" s="0" t="s">
        <x:v>45</x:v>
      </x:c>
      <x:c r="G11958" s="0" t="s">
        <x:v>22</x:v>
      </x:c>
      <x:c r="H11958" s="0" t="s">
        <x:v>20</x:v>
      </x:c>
      <x:c r="I11958" s="0" t="s">
        <x:v>21</x:v>
      </x:c>
      <x:c r="K11958" s="0">
        <x:f>hyperlink("https://icd.who.int/dev11/l-ichi/en#/http%3A%2F%2Fid.who.int%2Ficd%2Fentity%2F2009475287","browser")</x:f>
      </x:c>
      <x:c r="L11958" s="0">
        <x:f>hyperlink("https://icat2.azurewebsites.net/icat/?ontology=ICD&amp;tab=ClassesTab&amp;id=http%3A%2F%2Fwho.int%2Ficd%23SpecificAnatomicLocation_2582","iCat")</x:f>
      </x:c>
      <x:c r="M11958" s="0" t="s">
        <x:v>21</x:v>
      </x:c>
      <x:c r="N11958" s="0" t="s">
        <x:v>46</x:v>
      </x:c>
    </x:row>
    <x:row r="11959" spans="1:16">
      <x:c r="A11959" s="0" t="s">
        <x:v>46488</x:v>
      </x:c>
      <x:c r="B11959" s="0" t="s">
        <x:v>46489</x:v>
      </x:c>
      <x:c r="C11959" s="0" t="s">
        <x:v>42840</x:v>
      </x:c>
      <x:c r="E11959" s="0" t="s">
        <x:v>46490</x:v>
      </x:c>
      <x:c r="F11959" s="0" t="s">
        <x:v>45</x:v>
      </x:c>
      <x:c r="G11959" s="0" t="s">
        <x:v>22</x:v>
      </x:c>
      <x:c r="H11959" s="0" t="s">
        <x:v>20</x:v>
      </x:c>
      <x:c r="I11959" s="0" t="s">
        <x:v>21</x:v>
      </x:c>
      <x:c r="K11959" s="0">
        <x:f>hyperlink("https://icd.who.int/dev11/l-ichi/en#/http%3A%2F%2Fid.who.int%2Ficd%2Fentity%2F1626229783","browser")</x:f>
      </x:c>
      <x:c r="L11959" s="0">
        <x:f>hyperlink("https://icat2.azurewebsites.net/icat/?ontology=ICD&amp;tab=ClassesTab&amp;id=http%3A%2F%2Fwho.int%2Ficd%23SpecificAnatomicLocation_2583","iCat")</x:f>
      </x:c>
      <x:c r="M11959" s="0" t="s">
        <x:v>21</x:v>
      </x:c>
      <x:c r="N11959" s="0" t="s">
        <x:v>46</x:v>
      </x:c>
    </x:row>
    <x:row r="11960" spans="1:16">
      <x:c r="A11960" s="0" t="s">
        <x:v>46491</x:v>
      </x:c>
      <x:c r="B11960" s="0" t="s">
        <x:v>46492</x:v>
      </x:c>
      <x:c r="C11960" s="0" t="s">
        <x:v>42840</x:v>
      </x:c>
      <x:c r="E11960" s="0" t="s">
        <x:v>46493</x:v>
      </x:c>
      <x:c r="F11960" s="0" t="s">
        <x:v>45</x:v>
      </x:c>
      <x:c r="G11960" s="0" t="s">
        <x:v>22</x:v>
      </x:c>
      <x:c r="H11960" s="0" t="s">
        <x:v>20</x:v>
      </x:c>
      <x:c r="I11960" s="0" t="s">
        <x:v>21</x:v>
      </x:c>
      <x:c r="K11960" s="0">
        <x:f>hyperlink("https://icd.who.int/dev11/l-ichi/en#/http%3A%2F%2Fid.who.int%2Ficd%2Fentity%2F87519831","browser")</x:f>
      </x:c>
      <x:c r="L11960" s="0">
        <x:f>hyperlink("https://icat2.azurewebsites.net/icat/?ontology=ICD&amp;tab=ClassesTab&amp;id=http%3A%2F%2Fwho.int%2Ficd%23SpecificAnatomicLocation_2584","iCat")</x:f>
      </x:c>
      <x:c r="M11960" s="0" t="s">
        <x:v>20</x:v>
      </x:c>
      <x:c r="N11960" s="0" t="s">
        <x:v>30</x:v>
      </x:c>
    </x:row>
    <x:row r="11961" spans="1:16">
      <x:c r="A11961" s="0" t="s">
        <x:v>46494</x:v>
      </x:c>
      <x:c r="B11961" s="0" t="s">
        <x:v>46495</x:v>
      </x:c>
      <x:c r="C11961" s="0" t="s">
        <x:v>42840</x:v>
      </x:c>
      <x:c r="E11961" s="0" t="s">
        <x:v>46496</x:v>
      </x:c>
      <x:c r="F11961" s="0" t="s">
        <x:v>45</x:v>
      </x:c>
      <x:c r="G11961" s="0" t="s">
        <x:v>40</x:v>
      </x:c>
      <x:c r="H11961" s="0" t="s">
        <x:v>20</x:v>
      </x:c>
      <x:c r="I11961" s="0" t="s">
        <x:v>21</x:v>
      </x:c>
      <x:c r="K11961" s="0">
        <x:f>hyperlink("https://icd.who.int/dev11/l-ichi/en#/http%3A%2F%2Fid.who.int%2Ficd%2Fentity%2F408835135","browser")</x:f>
      </x:c>
      <x:c r="L11961" s="0">
        <x:f>hyperlink("https://icat2.azurewebsites.net/icat/?ontology=ICD&amp;tab=ClassesTab&amp;id=http%3A%2F%2Fwho.int%2Ficd%23SpecificAnatomicLocation_2662","iCat")</x:f>
      </x:c>
      <x:c r="M11961" s="0" t="s">
        <x:v>21</x:v>
      </x:c>
      <x:c r="N11961" s="0" t="s">
        <x:v>46</x:v>
      </x:c>
    </x:row>
    <x:row r="11962" spans="1:16">
      <x:c r="A11962" s="0" t="s">
        <x:v>46497</x:v>
      </x:c>
      <x:c r="B11962" s="0" t="s">
        <x:v>46498</x:v>
      </x:c>
      <x:c r="C11962" s="0" t="s">
        <x:v>42840</x:v>
      </x:c>
      <x:c r="E11962" s="0" t="s">
        <x:v>46499</x:v>
      </x:c>
      <x:c r="F11962" s="0" t="s">
        <x:v>45</x:v>
      </x:c>
      <x:c r="G11962" s="0" t="s">
        <x:v>40</x:v>
      </x:c>
      <x:c r="H11962" s="0" t="s">
        <x:v>20</x:v>
      </x:c>
      <x:c r="I11962" s="0" t="s">
        <x:v>21</x:v>
      </x:c>
      <x:c r="K11962" s="0">
        <x:f>hyperlink("https://icd.who.int/dev11/l-ichi/en#/http%3A%2F%2Fid.who.int%2Ficd%2Fentity%2F2096158824","browser")</x:f>
      </x:c>
      <x:c r="L11962" s="0">
        <x:f>hyperlink("https://icat2.azurewebsites.net/icat/?ontology=ICD&amp;tab=ClassesTab&amp;id=http%3A%2F%2Fwho.int%2Ficd%23SpecificAnatomicLocation_2522","iCat")</x:f>
      </x:c>
      <x:c r="M11962" s="0" t="s">
        <x:v>21</x:v>
      </x:c>
      <x:c r="N11962" s="0" t="s">
        <x:v>46</x:v>
      </x:c>
    </x:row>
    <x:row r="11963" spans="1:16">
      <x:c r="A11963" s="0" t="s">
        <x:v>46500</x:v>
      </x:c>
      <x:c r="B11963" s="0" t="s">
        <x:v>46501</x:v>
      </x:c>
      <x:c r="C11963" s="0" t="s">
        <x:v>42840</x:v>
      </x:c>
      <x:c r="E11963" s="0" t="s">
        <x:v>46502</x:v>
      </x:c>
      <x:c r="F11963" s="0" t="s">
        <x:v>45</x:v>
      </x:c>
      <x:c r="G11963" s="0" t="s">
        <x:v>22</x:v>
      </x:c>
      <x:c r="H11963" s="0" t="s">
        <x:v>20</x:v>
      </x:c>
      <x:c r="I11963" s="0" t="s">
        <x:v>21</x:v>
      </x:c>
      <x:c r="K11963" s="0">
        <x:f>hyperlink("https://icd.who.int/dev11/l-ichi/en#/http%3A%2F%2Fid.who.int%2Ficd%2Fentity%2F1011867415","browser")</x:f>
      </x:c>
      <x:c r="L11963" s="0">
        <x:f>hyperlink("https://icat2.azurewebsites.net/icat/?ontology=ICD&amp;tab=ClassesTab&amp;id=http%3A%2F%2Fwho.int%2Ficd%23SpecificAnatomicLocation_2587","iCat")</x:f>
      </x:c>
      <x:c r="M11963" s="0" t="s">
        <x:v>21</x:v>
      </x:c>
      <x:c r="N11963" s="0" t="s">
        <x:v>46</x:v>
      </x:c>
    </x:row>
    <x:row r="11964" spans="1:16">
      <x:c r="A11964" s="0" t="s">
        <x:v>46503</x:v>
      </x:c>
      <x:c r="B11964" s="0" t="s">
        <x:v>46504</x:v>
      </x:c>
      <x:c r="C11964" s="0" t="s">
        <x:v>42840</x:v>
      </x:c>
      <x:c r="E11964" s="0" t="s">
        <x:v>46505</x:v>
      </x:c>
      <x:c r="F11964" s="0" t="s">
        <x:v>45</x:v>
      </x:c>
      <x:c r="G11964" s="0" t="s">
        <x:v>22</x:v>
      </x:c>
      <x:c r="H11964" s="0" t="s">
        <x:v>20</x:v>
      </x:c>
      <x:c r="I11964" s="0" t="s">
        <x:v>21</x:v>
      </x:c>
      <x:c r="K11964" s="0">
        <x:f>hyperlink("https://icd.who.int/dev11/l-ichi/en#/http%3A%2F%2Fid.who.int%2Ficd%2Fentity%2F152875534","browser")</x:f>
      </x:c>
      <x:c r="L11964" s="0">
        <x:f>hyperlink("https://icat2.azurewebsites.net/icat/?ontology=ICD&amp;tab=ClassesTab&amp;id=http%3A%2F%2Fwho.int%2Ficd%23SpecificAnatomicLocation_2592","iCat")</x:f>
      </x:c>
      <x:c r="M11964" s="0" t="s">
        <x:v>21</x:v>
      </x:c>
      <x:c r="N11964" s="0" t="s">
        <x:v>46</x:v>
      </x:c>
    </x:row>
    <x:row r="11965" spans="1:16">
      <x:c r="A11965" s="0" t="s">
        <x:v>46506</x:v>
      </x:c>
      <x:c r="B11965" s="0" t="s">
        <x:v>46507</x:v>
      </x:c>
      <x:c r="C11965" s="0" t="s">
        <x:v>42840</x:v>
      </x:c>
      <x:c r="E11965" s="0" t="s">
        <x:v>46508</x:v>
      </x:c>
      <x:c r="F11965" s="0" t="s">
        <x:v>45</x:v>
      </x:c>
      <x:c r="G11965" s="0" t="s">
        <x:v>22</x:v>
      </x:c>
      <x:c r="H11965" s="0" t="s">
        <x:v>20</x:v>
      </x:c>
      <x:c r="I11965" s="0" t="s">
        <x:v>21</x:v>
      </x:c>
      <x:c r="K11965" s="0">
        <x:f>hyperlink("https://icd.who.int/dev11/l-ichi/en#/http%3A%2F%2Fid.who.int%2Ficd%2Fentity%2F506779342","browser")</x:f>
      </x:c>
      <x:c r="L11965" s="0">
        <x:f>hyperlink("https://icat2.azurewebsites.net/icat/?ontology=ICD&amp;tab=ClassesTab&amp;id=http%3A%2F%2Fwho.int%2Ficd%23SpecificAnatomicLocation_2593","iCat")</x:f>
      </x:c>
      <x:c r="M11965" s="0" t="s">
        <x:v>21</x:v>
      </x:c>
      <x:c r="N11965" s="0" t="s">
        <x:v>46</x:v>
      </x:c>
    </x:row>
    <x:row r="11966" spans="1:16">
      <x:c r="A11966" s="0" t="s">
        <x:v>46509</x:v>
      </x:c>
      <x:c r="B11966" s="0" t="s">
        <x:v>46510</x:v>
      </x:c>
      <x:c r="C11966" s="0" t="s">
        <x:v>42840</x:v>
      </x:c>
      <x:c r="E11966" s="0" t="s">
        <x:v>46511</x:v>
      </x:c>
      <x:c r="F11966" s="0" t="s">
        <x:v>45</x:v>
      </x:c>
      <x:c r="G11966" s="0" t="s">
        <x:v>22</x:v>
      </x:c>
      <x:c r="H11966" s="0" t="s">
        <x:v>20</x:v>
      </x:c>
      <x:c r="I11966" s="0" t="s">
        <x:v>21</x:v>
      </x:c>
      <x:c r="K11966" s="0">
        <x:f>hyperlink("https://icd.who.int/dev11/l-ichi/en#/http%3A%2F%2Fid.who.int%2Ficd%2Fentity%2F1860457681","browser")</x:f>
      </x:c>
      <x:c r="L11966" s="0">
        <x:f>hyperlink("https://icat2.azurewebsites.net/icat/?ontology=ICD&amp;tab=ClassesTab&amp;id=http%3A%2F%2Fwho.int%2Ficd%23SpecificAnatomicLocation_2601","iCat")</x:f>
      </x:c>
      <x:c r="M11966" s="0" t="s">
        <x:v>21</x:v>
      </x:c>
      <x:c r="N11966" s="0" t="s">
        <x:v>46</x:v>
      </x:c>
    </x:row>
    <x:row r="11967" spans="1:16">
      <x:c r="A11967" s="0" t="s">
        <x:v>46512</x:v>
      </x:c>
      <x:c r="B11967" s="0" t="s">
        <x:v>46513</x:v>
      </x:c>
      <x:c r="C11967" s="0" t="s">
        <x:v>42840</x:v>
      </x:c>
      <x:c r="E11967" s="0" t="s">
        <x:v>46514</x:v>
      </x:c>
      <x:c r="F11967" s="0" t="s">
        <x:v>45</x:v>
      </x:c>
      <x:c r="G11967" s="0" t="s">
        <x:v>22</x:v>
      </x:c>
      <x:c r="H11967" s="0" t="s">
        <x:v>20</x:v>
      </x:c>
      <x:c r="I11967" s="0" t="s">
        <x:v>21</x:v>
      </x:c>
      <x:c r="K11967" s="0">
        <x:f>hyperlink("https://icd.who.int/dev11/l-ichi/en#/http%3A%2F%2Fid.who.int%2Ficd%2Fentity%2F188574353","browser")</x:f>
      </x:c>
      <x:c r="L11967" s="0">
        <x:f>hyperlink("https://icat2.azurewebsites.net/icat/?ontology=ICD&amp;tab=ClassesTab&amp;id=http%3A%2F%2Fwho.int%2Ficd%23SpecificAnatomicLocation_2606","iCat")</x:f>
      </x:c>
      <x:c r="M11967" s="0" t="s">
        <x:v>21</x:v>
      </x:c>
      <x:c r="N11967" s="0" t="s">
        <x:v>46</x:v>
      </x:c>
    </x:row>
    <x:row r="11968" spans="1:16">
      <x:c r="A11968" s="0" t="s">
        <x:v>46515</x:v>
      </x:c>
      <x:c r="B11968" s="0" t="s">
        <x:v>46516</x:v>
      </x:c>
      <x:c r="C11968" s="0" t="s">
        <x:v>42840</x:v>
      </x:c>
      <x:c r="E11968" s="0" t="s">
        <x:v>46517</x:v>
      </x:c>
      <x:c r="F11968" s="0" t="s">
        <x:v>45</x:v>
      </x:c>
      <x:c r="G11968" s="0" t="s">
        <x:v>22</x:v>
      </x:c>
      <x:c r="H11968" s="0" t="s">
        <x:v>20</x:v>
      </x:c>
      <x:c r="I11968" s="0" t="s">
        <x:v>21</x:v>
      </x:c>
      <x:c r="K11968" s="0">
        <x:f>hyperlink("https://icd.who.int/dev11/l-ichi/en#/http%3A%2F%2Fid.who.int%2Ficd%2Fentity%2F1451366392","browser")</x:f>
      </x:c>
      <x:c r="L11968" s="0">
        <x:f>hyperlink("https://icat2.azurewebsites.net/icat/?ontology=ICD&amp;tab=ClassesTab&amp;id=http%3A%2F%2Fwho.int%2Ficd%23SpecificAnatomicLocation_2619","iCat")</x:f>
      </x:c>
      <x:c r="M11968" s="0" t="s">
        <x:v>21</x:v>
      </x:c>
      <x:c r="N11968" s="0" t="s">
        <x:v>46</x:v>
      </x:c>
    </x:row>
    <x:row r="11969" spans="1:16">
      <x:c r="A11969" s="0" t="s">
        <x:v>46518</x:v>
      </x:c>
      <x:c r="B11969" s="0" t="s">
        <x:v>46519</x:v>
      </x:c>
      <x:c r="C11969" s="0" t="s">
        <x:v>42840</x:v>
      </x:c>
      <x:c r="E11969" s="0" t="s">
        <x:v>46520</x:v>
      </x:c>
      <x:c r="F11969" s="0" t="s">
        <x:v>45</x:v>
      </x:c>
      <x:c r="G11969" s="0" t="s">
        <x:v>22</x:v>
      </x:c>
      <x:c r="H11969" s="0" t="s">
        <x:v>20</x:v>
      </x:c>
      <x:c r="I11969" s="0" t="s">
        <x:v>21</x:v>
      </x:c>
      <x:c r="K11969" s="0">
        <x:f>hyperlink("https://icd.who.int/dev11/l-ichi/en#/http%3A%2F%2Fid.who.int%2Ficd%2Fentity%2F1735278791","browser")</x:f>
      </x:c>
      <x:c r="L11969" s="0">
        <x:f>hyperlink("https://icat2.azurewebsites.net/icat/?ontology=ICD&amp;tab=ClassesTab&amp;id=http%3A%2F%2Fwho.int%2Ficd%23SpecificAnatomicLocation_2638","iCat")</x:f>
      </x:c>
      <x:c r="M11969" s="0" t="s">
        <x:v>21</x:v>
      </x:c>
      <x:c r="N11969" s="0" t="s">
        <x:v>46</x:v>
      </x:c>
    </x:row>
    <x:row r="11970" spans="1:16">
      <x:c r="A11970" s="0" t="s">
        <x:v>46521</x:v>
      </x:c>
      <x:c r="B11970" s="0" t="s">
        <x:v>46522</x:v>
      </x:c>
      <x:c r="C11970" s="0" t="s">
        <x:v>42840</x:v>
      </x:c>
      <x:c r="E11970" s="0" t="s">
        <x:v>46523</x:v>
      </x:c>
      <x:c r="F11970" s="0" t="s">
        <x:v>45</x:v>
      </x:c>
      <x:c r="G11970" s="0" t="s">
        <x:v>22</x:v>
      </x:c>
      <x:c r="H11970" s="0" t="s">
        <x:v>20</x:v>
      </x:c>
      <x:c r="I11970" s="0" t="s">
        <x:v>21</x:v>
      </x:c>
      <x:c r="K11970" s="0">
        <x:f>hyperlink("https://icd.who.int/dev11/l-ichi/en#/http%3A%2F%2Fid.who.int%2Ficd%2Fentity%2F132303504","browser")</x:f>
      </x:c>
      <x:c r="L11970" s="0">
        <x:f>hyperlink("https://icat2.azurewebsites.net/icat/?ontology=ICD&amp;tab=ClassesTab&amp;id=http%3A%2F%2Fwho.int%2Ficd%23SpecificAnatomicLocation_2641","iCat")</x:f>
      </x:c>
      <x:c r="M11970" s="0" t="s">
        <x:v>21</x:v>
      </x:c>
      <x:c r="N11970" s="0" t="s">
        <x:v>46</x:v>
      </x:c>
    </x:row>
    <x:row r="11971" spans="1:16">
      <x:c r="A11971" s="0" t="s">
        <x:v>46524</x:v>
      </x:c>
      <x:c r="B11971" s="0" t="s">
        <x:v>46525</x:v>
      </x:c>
      <x:c r="C11971" s="0" t="s">
        <x:v>42840</x:v>
      </x:c>
      <x:c r="E11971" s="0" t="s">
        <x:v>46526</x:v>
      </x:c>
      <x:c r="F11971" s="0" t="s">
        <x:v>45</x:v>
      </x:c>
      <x:c r="G11971" s="0" t="s">
        <x:v>22</x:v>
      </x:c>
      <x:c r="H11971" s="0" t="s">
        <x:v>20</x:v>
      </x:c>
      <x:c r="I11971" s="0" t="s">
        <x:v>21</x:v>
      </x:c>
      <x:c r="K11971" s="0">
        <x:f>hyperlink("https://icd.who.int/dev11/l-ichi/en#/http%3A%2F%2Fid.who.int%2Ficd%2Fentity%2F301919079","browser")</x:f>
      </x:c>
      <x:c r="L11971" s="0">
        <x:f>hyperlink("https://icat2.azurewebsites.net/icat/?ontology=ICD&amp;tab=ClassesTab&amp;id=http%3A%2F%2Fwho.int%2Ficd%23SpecificAnatomicLocation_2492","iCat")</x:f>
      </x:c>
      <x:c r="M11971" s="0" t="s">
        <x:v>21</x:v>
      </x:c>
      <x:c r="N11971" s="0" t="s">
        <x:v>46</x:v>
      </x:c>
    </x:row>
    <x:row r="11972" spans="1:16">
      <x:c r="A11972" s="0" t="s">
        <x:v>46527</x:v>
      </x:c>
      <x:c r="B11972" s="0" t="s">
        <x:v>46528</x:v>
      </x:c>
      <x:c r="C11972" s="0" t="s">
        <x:v>42840</x:v>
      </x:c>
      <x:c r="E11972" s="0" t="s">
        <x:v>46529</x:v>
      </x:c>
      <x:c r="F11972" s="0" t="s">
        <x:v>45</x:v>
      </x:c>
      <x:c r="G11972" s="0" t="s">
        <x:v>22</x:v>
      </x:c>
      <x:c r="H11972" s="0" t="s">
        <x:v>20</x:v>
      </x:c>
      <x:c r="I11972" s="0" t="s">
        <x:v>21</x:v>
      </x:c>
      <x:c r="K11972" s="0">
        <x:f>hyperlink("https://icd.who.int/dev11/l-ichi/en#/http%3A%2F%2Fid.who.int%2Ficd%2Fentity%2F1282096464","browser")</x:f>
      </x:c>
      <x:c r="L11972" s="0">
        <x:f>hyperlink("https://icat2.azurewebsites.net/icat/?ontology=ICD&amp;tab=ClassesTab&amp;id=http%3A%2F%2Fwho.int%2Ficd%23SpecificAnatomicLocation_2644","iCat")</x:f>
      </x:c>
      <x:c r="M11972" s="0" t="s">
        <x:v>21</x:v>
      </x:c>
      <x:c r="N11972" s="0" t="s">
        <x:v>46</x:v>
      </x:c>
    </x:row>
    <x:row r="11973" spans="1:16">
      <x:c r="A11973" s="0" t="s">
        <x:v>46530</x:v>
      </x:c>
      <x:c r="B11973" s="0" t="s">
        <x:v>46531</x:v>
      </x:c>
      <x:c r="C11973" s="0" t="s">
        <x:v>42840</x:v>
      </x:c>
      <x:c r="E11973" s="0" t="s">
        <x:v>46532</x:v>
      </x:c>
      <x:c r="F11973" s="0" t="s">
        <x:v>45</x:v>
      </x:c>
      <x:c r="G11973" s="0" t="s">
        <x:v>22</x:v>
      </x:c>
      <x:c r="H11973" s="0" t="s">
        <x:v>20</x:v>
      </x:c>
      <x:c r="I11973" s="0" t="s">
        <x:v>21</x:v>
      </x:c>
      <x:c r="K11973" s="0">
        <x:f>hyperlink("https://icd.who.int/dev11/l-ichi/en#/http%3A%2F%2Fid.who.int%2Ficd%2Fentity%2F1531140496","browser")</x:f>
      </x:c>
      <x:c r="L11973" s="0">
        <x:f>hyperlink("https://icat2.azurewebsites.net/icat/?ontology=ICD&amp;tab=ClassesTab&amp;id=http%3A%2F%2Fwho.int%2Ficd%23SpecificAnatomicLocation_2645","iCat")</x:f>
      </x:c>
      <x:c r="M11973" s="0" t="s">
        <x:v>21</x:v>
      </x:c>
      <x:c r="N11973" s="0" t="s">
        <x:v>46</x:v>
      </x:c>
    </x:row>
    <x:row r="11974" spans="1:16">
      <x:c r="A11974" s="0" t="s">
        <x:v>46533</x:v>
      </x:c>
      <x:c r="B11974" s="0" t="s">
        <x:v>46534</x:v>
      </x:c>
      <x:c r="C11974" s="0" t="s">
        <x:v>42840</x:v>
      </x:c>
      <x:c r="E11974" s="0" t="s">
        <x:v>46535</x:v>
      </x:c>
      <x:c r="F11974" s="0" t="s">
        <x:v>45</x:v>
      </x:c>
      <x:c r="G11974" s="0" t="s">
        <x:v>22</x:v>
      </x:c>
      <x:c r="H11974" s="0" t="s">
        <x:v>20</x:v>
      </x:c>
      <x:c r="I11974" s="0" t="s">
        <x:v>21</x:v>
      </x:c>
      <x:c r="K11974" s="0">
        <x:f>hyperlink("https://icd.who.int/dev11/l-ichi/en#/http%3A%2F%2Fid.who.int%2Ficd%2Fentity%2F975527400","browser")</x:f>
      </x:c>
      <x:c r="L11974" s="0">
        <x:f>hyperlink("https://icat2.azurewebsites.net/icat/?ontology=ICD&amp;tab=ClassesTab&amp;id=http%3A%2F%2Fwho.int%2Ficd%23SpecificAnatomicLocation_2676","iCat")</x:f>
      </x:c>
      <x:c r="M11974" s="0" t="s">
        <x:v>21</x:v>
      </x:c>
      <x:c r="N11974" s="0" t="s">
        <x:v>46</x:v>
      </x:c>
    </x:row>
    <x:row r="11975" spans="1:16">
      <x:c r="A11975" s="0" t="s">
        <x:v>46536</x:v>
      </x:c>
      <x:c r="B11975" s="0" t="s">
        <x:v>46537</x:v>
      </x:c>
      <x:c r="C11975" s="0" t="s">
        <x:v>42840</x:v>
      </x:c>
      <x:c r="E11975" s="0" t="s">
        <x:v>46538</x:v>
      </x:c>
      <x:c r="F11975" s="0" t="s">
        <x:v>45</x:v>
      </x:c>
      <x:c r="G11975" s="0" t="s">
        <x:v>22</x:v>
      </x:c>
      <x:c r="H11975" s="0" t="s">
        <x:v>20</x:v>
      </x:c>
      <x:c r="I11975" s="0" t="s">
        <x:v>21</x:v>
      </x:c>
      <x:c r="K11975" s="0">
        <x:f>hyperlink("https://icd.who.int/dev11/l-ichi/en#/http%3A%2F%2Fid.who.int%2Ficd%2Fentity%2F1413411665","browser")</x:f>
      </x:c>
      <x:c r="L11975" s="0">
        <x:f>hyperlink("https://icat2.azurewebsites.net/icat/?ontology=ICD&amp;tab=ClassesTab&amp;id=http%3A%2F%2Fwho.int%2Ficd%23SpecificAnatomicLocation_2680","iCat")</x:f>
      </x:c>
      <x:c r="M11975" s="0" t="s">
        <x:v>21</x:v>
      </x:c>
      <x:c r="N11975" s="0" t="s">
        <x:v>46</x:v>
      </x:c>
    </x:row>
    <x:row r="11976" spans="1:16">
      <x:c r="A11976" s="0" t="s">
        <x:v>46539</x:v>
      </x:c>
      <x:c r="B11976" s="0" t="s">
        <x:v>46540</x:v>
      </x:c>
      <x:c r="C11976" s="0" t="s">
        <x:v>42840</x:v>
      </x:c>
      <x:c r="E11976" s="0" t="s">
        <x:v>46541</x:v>
      </x:c>
      <x:c r="F11976" s="0" t="s">
        <x:v>45</x:v>
      </x:c>
      <x:c r="G11976" s="0" t="s">
        <x:v>22</x:v>
      </x:c>
      <x:c r="H11976" s="0" t="s">
        <x:v>20</x:v>
      </x:c>
      <x:c r="I11976" s="0" t="s">
        <x:v>21</x:v>
      </x:c>
      <x:c r="K11976" s="0">
        <x:f>hyperlink("https://icd.who.int/dev11/l-ichi/en#/http%3A%2F%2Fid.who.int%2Ficd%2Fentity%2F1125554065","browser")</x:f>
      </x:c>
      <x:c r="L11976" s="0">
        <x:f>hyperlink("https://icat2.azurewebsites.net/icat/?ontology=ICD&amp;tab=ClassesTab&amp;id=http%3A%2F%2Fwho.int%2Ficd%23SpecificAnatomicLocation_2681","iCat")</x:f>
      </x:c>
      <x:c r="M11976" s="0" t="s">
        <x:v>21</x:v>
      </x:c>
      <x:c r="N11976" s="0" t="s">
        <x:v>46</x:v>
      </x:c>
    </x:row>
    <x:row r="11977" spans="1:16">
      <x:c r="A11977" s="0" t="s">
        <x:v>46542</x:v>
      </x:c>
      <x:c r="B11977" s="0" t="s">
        <x:v>46543</x:v>
      </x:c>
      <x:c r="C11977" s="0" t="s">
        <x:v>42840</x:v>
      </x:c>
      <x:c r="E11977" s="0" t="s">
        <x:v>46544</x:v>
      </x:c>
      <x:c r="F11977" s="0" t="s">
        <x:v>45</x:v>
      </x:c>
      <x:c r="G11977" s="0" t="s">
        <x:v>22</x:v>
      </x:c>
      <x:c r="H11977" s="0" t="s">
        <x:v>20</x:v>
      </x:c>
      <x:c r="I11977" s="0" t="s">
        <x:v>21</x:v>
      </x:c>
      <x:c r="K11977" s="0">
        <x:f>hyperlink("https://icd.who.int/dev11/l-ichi/en#/http%3A%2F%2Fid.who.int%2Ficd%2Fentity%2F95047279","browser")</x:f>
      </x:c>
      <x:c r="L11977" s="0">
        <x:f>hyperlink("https://icat2.azurewebsites.net/icat/?ontology=ICD&amp;tab=ClassesTab&amp;id=http%3A%2F%2Fwho.int%2Ficd%23SpecificAnatomicLocation_2689","iCat")</x:f>
      </x:c>
      <x:c r="M11977" s="0" t="s">
        <x:v>21</x:v>
      </x:c>
      <x:c r="N11977" s="0" t="s">
        <x:v>46</x:v>
      </x:c>
    </x:row>
    <x:row r="11978" spans="1:16">
      <x:c r="A11978" s="0" t="s">
        <x:v>46545</x:v>
      </x:c>
      <x:c r="B11978" s="0" t="s">
        <x:v>46546</x:v>
      </x:c>
      <x:c r="C11978" s="0" t="s">
        <x:v>42840</x:v>
      </x:c>
      <x:c r="E11978" s="0" t="s">
        <x:v>46547</x:v>
      </x:c>
      <x:c r="F11978" s="0" t="s">
        <x:v>45</x:v>
      </x:c>
      <x:c r="G11978" s="0" t="s">
        <x:v>22</x:v>
      </x:c>
      <x:c r="H11978" s="0" t="s">
        <x:v>20</x:v>
      </x:c>
      <x:c r="I11978" s="0" t="s">
        <x:v>21</x:v>
      </x:c>
      <x:c r="K11978" s="0">
        <x:f>hyperlink("https://icd.who.int/dev11/l-ichi/en#/http%3A%2F%2Fid.who.int%2Ficd%2Fentity%2F1984297610","browser")</x:f>
      </x:c>
      <x:c r="L11978" s="0">
        <x:f>hyperlink("https://icat2.azurewebsites.net/icat/?ontology=ICD&amp;tab=ClassesTab&amp;id=http%3A%2F%2Fwho.int%2Ficd%23SpecificAnatomicLocation_2694","iCat")</x:f>
      </x:c>
      <x:c r="M11978" s="0" t="s">
        <x:v>21</x:v>
      </x:c>
      <x:c r="N11978" s="0" t="s">
        <x:v>46</x:v>
      </x:c>
    </x:row>
    <x:row r="11979" spans="1:16">
      <x:c r="A11979" s="0" t="s">
        <x:v>46548</x:v>
      </x:c>
      <x:c r="B11979" s="0" t="s">
        <x:v>46549</x:v>
      </x:c>
      <x:c r="C11979" s="0" t="s">
        <x:v>42840</x:v>
      </x:c>
      <x:c r="E11979" s="0" t="s">
        <x:v>46550</x:v>
      </x:c>
      <x:c r="F11979" s="0" t="s">
        <x:v>45</x:v>
      </x:c>
      <x:c r="G11979" s="0" t="s">
        <x:v>22</x:v>
      </x:c>
      <x:c r="H11979" s="0" t="s">
        <x:v>20</x:v>
      </x:c>
      <x:c r="I11979" s="0" t="s">
        <x:v>21</x:v>
      </x:c>
      <x:c r="K11979" s="0">
        <x:f>hyperlink("https://icd.who.int/dev11/l-ichi/en#/http%3A%2F%2Fid.who.int%2Ficd%2Fentity%2F78946314","browser")</x:f>
      </x:c>
      <x:c r="L11979" s="0">
        <x:f>hyperlink("https://icat2.azurewebsites.net/icat/?ontology=ICD&amp;tab=ClassesTab&amp;id=http%3A%2F%2Fwho.int%2Ficd%23SpecificAnatomicLocation_2692","iCat")</x:f>
      </x:c>
      <x:c r="M11979" s="0" t="s">
        <x:v>21</x:v>
      </x:c>
      <x:c r="N11979" s="0" t="s">
        <x:v>46</x:v>
      </x:c>
    </x:row>
    <x:row r="11980" spans="1:16">
      <x:c r="A11980" s="0" t="s">
        <x:v>46551</x:v>
      </x:c>
      <x:c r="B11980" s="0" t="s">
        <x:v>46552</x:v>
      </x:c>
      <x:c r="C11980" s="0" t="s">
        <x:v>42840</x:v>
      </x:c>
      <x:c r="E11980" s="0" t="s">
        <x:v>46553</x:v>
      </x:c>
      <x:c r="F11980" s="0" t="s">
        <x:v>45</x:v>
      </x:c>
      <x:c r="G11980" s="0" t="s">
        <x:v>22</x:v>
      </x:c>
      <x:c r="H11980" s="0" t="s">
        <x:v>20</x:v>
      </x:c>
      <x:c r="I11980" s="0" t="s">
        <x:v>21</x:v>
      </x:c>
      <x:c r="K11980" s="0">
        <x:f>hyperlink("https://icd.who.int/dev11/l-ichi/en#/http%3A%2F%2Fid.who.int%2Ficd%2Fentity%2F1329420234","browser")</x:f>
      </x:c>
      <x:c r="L11980" s="0">
        <x:f>hyperlink("https://icat2.azurewebsites.net/icat/?ontology=ICD&amp;tab=ClassesTab&amp;id=http%3A%2F%2Fwho.int%2Ficd%23SpecificAnatomicLocation_2697","iCat")</x:f>
      </x:c>
      <x:c r="M11980" s="0" t="s">
        <x:v>21</x:v>
      </x:c>
      <x:c r="N11980" s="0" t="s">
        <x:v>46</x:v>
      </x:c>
    </x:row>
    <x:row r="11981" spans="1:16">
      <x:c r="A11981" s="0" t="s">
        <x:v>46554</x:v>
      </x:c>
      <x:c r="B11981" s="0" t="s">
        <x:v>46555</x:v>
      </x:c>
      <x:c r="C11981" s="0" t="s">
        <x:v>42840</x:v>
      </x:c>
      <x:c r="E11981" s="0" t="s">
        <x:v>46556</x:v>
      </x:c>
      <x:c r="F11981" s="0" t="s">
        <x:v>45</x:v>
      </x:c>
      <x:c r="G11981" s="0" t="s">
        <x:v>22</x:v>
      </x:c>
      <x:c r="H11981" s="0" t="s">
        <x:v>20</x:v>
      </x:c>
      <x:c r="I11981" s="0" t="s">
        <x:v>21</x:v>
      </x:c>
      <x:c r="K11981" s="0">
        <x:f>hyperlink("https://icd.who.int/dev11/l-ichi/en#/http%3A%2F%2Fid.who.int%2Ficd%2Fentity%2F2070992054","browser")</x:f>
      </x:c>
      <x:c r="L11981" s="0">
        <x:f>hyperlink("https://icat2.azurewebsites.net/icat/?ontology=ICD&amp;tab=ClassesTab&amp;id=http%3A%2F%2Fwho.int%2Ficd%23SpecificAnatomicLocation_2699","iCat")</x:f>
      </x:c>
      <x:c r="M11981" s="0" t="s">
        <x:v>21</x:v>
      </x:c>
      <x:c r="N11981" s="0" t="s">
        <x:v>46</x:v>
      </x:c>
    </x:row>
    <x:row r="11982" spans="1:16">
      <x:c r="A11982" s="0" t="s">
        <x:v>46557</x:v>
      </x:c>
      <x:c r="B11982" s="0" t="s">
        <x:v>46558</x:v>
      </x:c>
      <x:c r="C11982" s="0" t="s">
        <x:v>42840</x:v>
      </x:c>
      <x:c r="E11982" s="0" t="s">
        <x:v>46559</x:v>
      </x:c>
      <x:c r="F11982" s="0" t="s">
        <x:v>45</x:v>
      </x:c>
      <x:c r="G11982" s="0" t="s">
        <x:v>22</x:v>
      </x:c>
      <x:c r="H11982" s="0" t="s">
        <x:v>20</x:v>
      </x:c>
      <x:c r="I11982" s="0" t="s">
        <x:v>21</x:v>
      </x:c>
      <x:c r="K11982" s="0">
        <x:f>hyperlink("https://icd.who.int/dev11/l-ichi/en#/http%3A%2F%2Fid.who.int%2Ficd%2Fentity%2F1333698808","browser")</x:f>
      </x:c>
      <x:c r="L11982" s="0">
        <x:f>hyperlink("https://icat2.azurewebsites.net/icat/?ontology=ICD&amp;tab=ClassesTab&amp;id=http%3A%2F%2Fwho.int%2Ficd%23SpecificAnatomicLocation_2702","iCat")</x:f>
      </x:c>
      <x:c r="M11982" s="0" t="s">
        <x:v>20</x:v>
      </x:c>
      <x:c r="N11982" s="0" t="s">
        <x:v>2677</x:v>
      </x:c>
    </x:row>
    <x:row r="11983" spans="1:16">
      <x:c r="A11983" s="0" t="s">
        <x:v>46560</x:v>
      </x:c>
      <x:c r="B11983" s="0" t="s">
        <x:v>46561</x:v>
      </x:c>
      <x:c r="C11983" s="0" t="s">
        <x:v>42840</x:v>
      </x:c>
      <x:c r="E11983" s="0" t="s">
        <x:v>46562</x:v>
      </x:c>
      <x:c r="F11983" s="0" t="s">
        <x:v>45</x:v>
      </x:c>
      <x:c r="G11983" s="0" t="s">
        <x:v>40</x:v>
      </x:c>
      <x:c r="H11983" s="0" t="s">
        <x:v>20</x:v>
      </x:c>
      <x:c r="I11983" s="0" t="s">
        <x:v>21</x:v>
      </x:c>
      <x:c r="K11983" s="0">
        <x:f>hyperlink("https://icd.who.int/dev11/l-ichi/en#/http%3A%2F%2Fid.who.int%2Ficd%2Fentity%2F1410619423","browser")</x:f>
      </x:c>
      <x:c r="L11983" s="0">
        <x:f>hyperlink("https://icat2.azurewebsites.net/icat/?ontology=ICD&amp;tab=ClassesTab&amp;id=http%3A%2F%2Fwho.int%2Ficd%23SpecificAnatomicLocation_2449","iCat")</x:f>
      </x:c>
      <x:c r="M11983" s="0" t="s">
        <x:v>21</x:v>
      </x:c>
      <x:c r="N11983" s="0" t="s">
        <x:v>46</x:v>
      </x:c>
    </x:row>
    <x:row r="11984" spans="1:16">
      <x:c r="A11984" s="0" t="s">
        <x:v>46563</x:v>
      </x:c>
      <x:c r="B11984" s="0" t="s">
        <x:v>46564</x:v>
      </x:c>
      <x:c r="C11984" s="0" t="s">
        <x:v>42840</x:v>
      </x:c>
      <x:c r="E11984" s="0" t="s">
        <x:v>46565</x:v>
      </x:c>
      <x:c r="F11984" s="0" t="s">
        <x:v>45</x:v>
      </x:c>
      <x:c r="G11984" s="0" t="s">
        <x:v>40</x:v>
      </x:c>
      <x:c r="H11984" s="0" t="s">
        <x:v>20</x:v>
      </x:c>
      <x:c r="I11984" s="0" t="s">
        <x:v>21</x:v>
      </x:c>
      <x:c r="K11984" s="0">
        <x:f>hyperlink("https://icd.who.int/dev11/l-ichi/en#/http%3A%2F%2Fid.who.int%2Ficd%2Fentity%2F879538704","browser")</x:f>
      </x:c>
      <x:c r="L11984" s="0">
        <x:f>hyperlink("https://icat2.azurewebsites.net/icat/?ontology=ICD&amp;tab=ClassesTab&amp;id=http%3A%2F%2Fwho.int%2Ficd%23SpecificAnatomicLocation_2461","iCat")</x:f>
      </x:c>
      <x:c r="M11984" s="0" t="s">
        <x:v>21</x:v>
      </x:c>
      <x:c r="N11984" s="0" t="s">
        <x:v>46</x:v>
      </x:c>
    </x:row>
    <x:row r="11985" spans="1:16">
      <x:c r="A11985" s="0" t="s">
        <x:v>46566</x:v>
      </x:c>
      <x:c r="B11985" s="0" t="s">
        <x:v>46567</x:v>
      </x:c>
      <x:c r="C11985" s="0" t="s">
        <x:v>42840</x:v>
      </x:c>
      <x:c r="E11985" s="0" t="s">
        <x:v>46568</x:v>
      </x:c>
      <x:c r="F11985" s="0" t="s">
        <x:v>45</x:v>
      </x:c>
      <x:c r="G11985" s="0" t="s">
        <x:v>40</x:v>
      </x:c>
      <x:c r="H11985" s="0" t="s">
        <x:v>20</x:v>
      </x:c>
      <x:c r="I11985" s="0" t="s">
        <x:v>21</x:v>
      </x:c>
      <x:c r="K11985" s="0">
        <x:f>hyperlink("https://icd.who.int/dev11/l-ichi/en#/http%3A%2F%2Fid.who.int%2Ficd%2Fentity%2F234980072","browser")</x:f>
      </x:c>
      <x:c r="L11985" s="0">
        <x:f>hyperlink("https://icat2.azurewebsites.net/icat/?ontology=ICD&amp;tab=ClassesTab&amp;id=http%3A%2F%2Fwho.int%2Ficd%23SpecificAnatomicLocation_2524","iCat")</x:f>
      </x:c>
      <x:c r="M11985" s="0" t="s">
        <x:v>21</x:v>
      </x:c>
      <x:c r="N11985" s="0" t="s">
        <x:v>46</x:v>
      </x:c>
    </x:row>
    <x:row r="11986" spans="1:16">
      <x:c r="A11986" s="0" t="s">
        <x:v>46569</x:v>
      </x:c>
      <x:c r="B11986" s="0" t="s">
        <x:v>46570</x:v>
      </x:c>
      <x:c r="C11986" s="0" t="s">
        <x:v>42840</x:v>
      </x:c>
      <x:c r="E11986" s="0" t="s">
        <x:v>46571</x:v>
      </x:c>
      <x:c r="F11986" s="0" t="s">
        <x:v>45</x:v>
      </x:c>
      <x:c r="G11986" s="0" t="s">
        <x:v>40</x:v>
      </x:c>
      <x:c r="H11986" s="0" t="s">
        <x:v>20</x:v>
      </x:c>
      <x:c r="I11986" s="0" t="s">
        <x:v>21</x:v>
      </x:c>
      <x:c r="K11986" s="0">
        <x:f>hyperlink("https://icd.who.int/dev11/l-ichi/en#/http%3A%2F%2Fid.who.int%2Ficd%2Fentity%2F930688936","browser")</x:f>
      </x:c>
      <x:c r="L11986" s="0">
        <x:f>hyperlink("https://icat2.azurewebsites.net/icat/?ontology=ICD&amp;tab=ClassesTab&amp;id=http%3A%2F%2Fwho.int%2Ficd%23SpecificAnatomicLocation_2527","iCat")</x:f>
      </x:c>
      <x:c r="M11986" s="0" t="s">
        <x:v>21</x:v>
      </x:c>
      <x:c r="N11986" s="0" t="s">
        <x:v>46</x:v>
      </x:c>
    </x:row>
    <x:row r="11987" spans="1:16">
      <x:c r="A11987" s="0" t="s">
        <x:v>46572</x:v>
      </x:c>
      <x:c r="B11987" s="0" t="s">
        <x:v>46573</x:v>
      </x:c>
      <x:c r="C11987" s="0" t="s">
        <x:v>42840</x:v>
      </x:c>
      <x:c r="E11987" s="0" t="s">
        <x:v>46574</x:v>
      </x:c>
      <x:c r="F11987" s="0" t="s">
        <x:v>45</x:v>
      </x:c>
      <x:c r="G11987" s="0" t="s">
        <x:v>40</x:v>
      </x:c>
      <x:c r="H11987" s="0" t="s">
        <x:v>20</x:v>
      </x:c>
      <x:c r="I11987" s="0" t="s">
        <x:v>21</x:v>
      </x:c>
      <x:c r="K11987" s="0">
        <x:f>hyperlink("https://icd.who.int/dev11/l-ichi/en#/http%3A%2F%2Fid.who.int%2Ficd%2Fentity%2F1321108887","browser")</x:f>
      </x:c>
      <x:c r="L11987" s="0">
        <x:f>hyperlink("https://icat2.azurewebsites.net/icat/?ontology=ICD&amp;tab=ClassesTab&amp;id=http%3A%2F%2Fwho.int%2Ficd%23SpecificAnatomicLocation_2581","iCat")</x:f>
      </x:c>
      <x:c r="M11987" s="0" t="s">
        <x:v>21</x:v>
      </x:c>
      <x:c r="N11987" s="0" t="s">
        <x:v>46</x:v>
      </x:c>
    </x:row>
    <x:row r="11988" spans="1:16">
      <x:c r="A11988" s="0" t="s">
        <x:v>46575</x:v>
      </x:c>
      <x:c r="B11988" s="0" t="s">
        <x:v>46576</x:v>
      </x:c>
      <x:c r="C11988" s="0" t="s">
        <x:v>42840</x:v>
      </x:c>
      <x:c r="E11988" s="0" t="s">
        <x:v>46577</x:v>
      </x:c>
      <x:c r="F11988" s="0" t="s">
        <x:v>45</x:v>
      </x:c>
      <x:c r="G11988" s="0" t="s">
        <x:v>40</x:v>
      </x:c>
      <x:c r="H11988" s="0" t="s">
        <x:v>20</x:v>
      </x:c>
      <x:c r="I11988" s="0" t="s">
        <x:v>21</x:v>
      </x:c>
      <x:c r="K11988" s="0">
        <x:f>hyperlink("https://icd.who.int/dev11/l-ichi/en#/http%3A%2F%2Fid.who.int%2Ficd%2Fentity%2F922418681","browser")</x:f>
      </x:c>
      <x:c r="L11988" s="0">
        <x:f>hyperlink("https://icat2.azurewebsites.net/icat/?ontology=ICD&amp;tab=ClassesTab&amp;id=http%3A%2F%2Fwho.int%2Ficd%23SpecificAnatomicLocation_2631","iCat")</x:f>
      </x:c>
      <x:c r="M11988" s="0" t="s">
        <x:v>21</x:v>
      </x:c>
      <x:c r="N11988" s="0" t="s">
        <x:v>46</x:v>
      </x:c>
    </x:row>
    <x:row r="11989" spans="1:16">
      <x:c r="A11989" s="0" t="s">
        <x:v>46578</x:v>
      </x:c>
      <x:c r="B11989" s="0" t="s">
        <x:v>46579</x:v>
      </x:c>
      <x:c r="C11989" s="0" t="s">
        <x:v>42840</x:v>
      </x:c>
      <x:c r="E11989" s="0" t="s">
        <x:v>46580</x:v>
      </x:c>
      <x:c r="F11989" s="0" t="s">
        <x:v>45</x:v>
      </x:c>
      <x:c r="G11989" s="0" t="s">
        <x:v>40</x:v>
      </x:c>
      <x:c r="H11989" s="0" t="s">
        <x:v>20</x:v>
      </x:c>
      <x:c r="I11989" s="0" t="s">
        <x:v>21</x:v>
      </x:c>
      <x:c r="K11989" s="0">
        <x:f>hyperlink("https://icd.who.int/dev11/l-ichi/en#/http%3A%2F%2Fid.who.int%2Ficd%2Fentity%2F281718352","browser")</x:f>
      </x:c>
      <x:c r="L11989" s="0">
        <x:f>hyperlink("https://icat2.azurewebsites.net/icat/?ontology=ICD&amp;tab=ClassesTab&amp;id=http%3A%2F%2Fwho.int%2Ficd%23SpecificAnatomicLocation_2640","iCat")</x:f>
      </x:c>
      <x:c r="M11989" s="0" t="s">
        <x:v>21</x:v>
      </x:c>
      <x:c r="N11989" s="0" t="s">
        <x:v>46</x:v>
      </x:c>
    </x:row>
    <x:row r="11990" spans="1:16">
      <x:c r="A11990" s="0" t="s">
        <x:v>46581</x:v>
      </x:c>
      <x:c r="B11990" s="0" t="s">
        <x:v>46582</x:v>
      </x:c>
      <x:c r="C11990" s="0" t="s">
        <x:v>42840</x:v>
      </x:c>
      <x:c r="E11990" s="0" t="s">
        <x:v>46583</x:v>
      </x:c>
      <x:c r="F11990" s="0" t="s">
        <x:v>45</x:v>
      </x:c>
      <x:c r="G11990" s="0" t="s">
        <x:v>40</x:v>
      </x:c>
      <x:c r="H11990" s="0" t="s">
        <x:v>20</x:v>
      </x:c>
      <x:c r="I11990" s="0" t="s">
        <x:v>21</x:v>
      </x:c>
      <x:c r="K11990" s="0">
        <x:f>hyperlink("https://icd.who.int/dev11/l-ichi/en#/http%3A%2F%2Fid.who.int%2Ficd%2Fentity%2F1890731073","browser")</x:f>
      </x:c>
      <x:c r="L11990" s="0">
        <x:f>hyperlink("https://icat2.azurewebsites.net/icat/?ontology=ICD&amp;tab=ClassesTab&amp;id=http%3A%2F%2Fwho.int%2Ficd%23SpecificAnatomicLocation_2668","iCat")</x:f>
      </x:c>
      <x:c r="M11990" s="0" t="s">
        <x:v>21</x:v>
      </x:c>
      <x:c r="N11990" s="0" t="s">
        <x:v>46</x:v>
      </x:c>
    </x:row>
    <x:row r="11991" spans="1:16">
      <x:c r="A11991" s="0" t="s">
        <x:v>46584</x:v>
      </x:c>
      <x:c r="B11991" s="0" t="s">
        <x:v>46585</x:v>
      </x:c>
      <x:c r="C11991" s="0" t="s">
        <x:v>42840</x:v>
      </x:c>
      <x:c r="E11991" s="0" t="s">
        <x:v>46586</x:v>
      </x:c>
      <x:c r="F11991" s="0" t="s">
        <x:v>45</x:v>
      </x:c>
      <x:c r="G11991" s="0" t="s">
        <x:v>40</x:v>
      </x:c>
      <x:c r="H11991" s="0" t="s">
        <x:v>20</x:v>
      </x:c>
      <x:c r="I11991" s="0" t="s">
        <x:v>21</x:v>
      </x:c>
      <x:c r="K11991" s="0">
        <x:f>hyperlink("https://icd.who.int/dev11/l-ichi/en#/http%3A%2F%2Fid.who.int%2Ficd%2Fentity%2F1789857471","browser")</x:f>
      </x:c>
      <x:c r="L11991" s="0">
        <x:f>hyperlink("https://icat2.azurewebsites.net/icat/?ontology=ICD&amp;tab=ClassesTab&amp;id=http%3A%2F%2Fwho.int%2Ficd%23SpecificAnatomicLocation_2664","iCat")</x:f>
      </x:c>
      <x:c r="M11991" s="0" t="s">
        <x:v>21</x:v>
      </x:c>
      <x:c r="N11991" s="0" t="s">
        <x:v>46</x:v>
      </x:c>
    </x:row>
    <x:row r="11992" spans="1:16">
      <x:c r="A11992" s="0" t="s">
        <x:v>46587</x:v>
      </x:c>
      <x:c r="B11992" s="0" t="s">
        <x:v>46588</x:v>
      </x:c>
      <x:c r="C11992" s="0" t="s">
        <x:v>42840</x:v>
      </x:c>
      <x:c r="E11992" s="0" t="s">
        <x:v>46589</x:v>
      </x:c>
      <x:c r="F11992" s="0" t="s">
        <x:v>45</x:v>
      </x:c>
      <x:c r="G11992" s="0" t="s">
        <x:v>40</x:v>
      </x:c>
      <x:c r="H11992" s="0" t="s">
        <x:v>20</x:v>
      </x:c>
      <x:c r="I11992" s="0" t="s">
        <x:v>21</x:v>
      </x:c>
      <x:c r="K11992" s="0">
        <x:f>hyperlink("https://icd.who.int/dev11/l-ichi/en#/http%3A%2F%2Fid.who.int%2Ficd%2Fentity%2F144662609","browser")</x:f>
      </x:c>
      <x:c r="L11992" s="0">
        <x:f>hyperlink("https://icat2.azurewebsites.net/icat/?ontology=ICD&amp;tab=ClassesTab&amp;id=http%3A%2F%2Fwho.int%2Ficd%23SpecificAnatomicLocation_2684","iCat")</x:f>
      </x:c>
      <x:c r="M11992" s="0" t="s">
        <x:v>21</x:v>
      </x:c>
      <x:c r="N11992" s="0" t="s">
        <x:v>46</x:v>
      </x:c>
    </x:row>
    <x:row r="11993" spans="1:16">
      <x:c r="A11993" s="0" t="s">
        <x:v>46590</x:v>
      </x:c>
      <x:c r="B11993" s="0" t="s">
        <x:v>46591</x:v>
      </x:c>
      <x:c r="C11993" s="0" t="s">
        <x:v>42840</x:v>
      </x:c>
      <x:c r="E11993" s="0" t="s">
        <x:v>46592</x:v>
      </x:c>
      <x:c r="F11993" s="0" t="s">
        <x:v>45</x:v>
      </x:c>
      <x:c r="G11993" s="0" t="s">
        <x:v>40</x:v>
      </x:c>
      <x:c r="H11993" s="0" t="s">
        <x:v>20</x:v>
      </x:c>
      <x:c r="I11993" s="0" t="s">
        <x:v>21</x:v>
      </x:c>
      <x:c r="K11993" s="0">
        <x:f>hyperlink("https://icd.who.int/dev11/l-ichi/en#/http%3A%2F%2Fid.who.int%2Ficd%2Fentity%2F1883644935","browser")</x:f>
      </x:c>
      <x:c r="L11993" s="0">
        <x:f>hyperlink("https://icat2.azurewebsites.net/icat/?ontology=ICD&amp;tab=ClassesTab&amp;id=http%3A%2F%2Fwho.int%2Ficd%23SpecificAnatomicLocation_2639","iCat")</x:f>
      </x:c>
      <x:c r="M11993" s="0" t="s">
        <x:v>21</x:v>
      </x:c>
      <x:c r="N11993" s="0" t="s">
        <x:v>46</x:v>
      </x:c>
    </x:row>
    <x:row r="11994" spans="1:16">
      <x:c r="A11994" s="0" t="s">
        <x:v>46593</x:v>
      </x:c>
      <x:c r="B11994" s="0" t="s">
        <x:v>46594</x:v>
      </x:c>
      <x:c r="C11994" s="0" t="s">
        <x:v>42840</x:v>
      </x:c>
      <x:c r="E11994" s="0" t="s">
        <x:v>46595</x:v>
      </x:c>
      <x:c r="F11994" s="0" t="s">
        <x:v>45</x:v>
      </x:c>
      <x:c r="G11994" s="0" t="s">
        <x:v>40</x:v>
      </x:c>
      <x:c r="H11994" s="0" t="s">
        <x:v>20</x:v>
      </x:c>
      <x:c r="I11994" s="0" t="s">
        <x:v>21</x:v>
      </x:c>
      <x:c r="K11994" s="0">
        <x:f>hyperlink("https://icd.who.int/dev11/l-ichi/en#/http%3A%2F%2Fid.who.int%2Ficd%2Fentity%2F427070652","browser")</x:f>
      </x:c>
      <x:c r="L11994" s="0">
        <x:f>hyperlink("https://icat2.azurewebsites.net/icat/?ontology=ICD&amp;tab=ClassesTab&amp;id=http%3A%2F%2Fwho.int%2Ficd%235363_1a025aad_bab4_45d3_85b5_2f8609f7d6c2","iCat")</x:f>
      </x:c>
      <x:c r="M11994" s="0" t="s">
        <x:v>20</x:v>
      </x:c>
      <x:c r="N11994" s="0" t="s">
        <x:v>30</x:v>
      </x:c>
    </x:row>
    <x:row r="11995" spans="1:16">
      <x:c r="A11995" s="0" t="s">
        <x:v>46596</x:v>
      </x:c>
      <x:c r="B11995" s="0" t="s">
        <x:v>46597</x:v>
      </x:c>
      <x:c r="C11995" s="0" t="s">
        <x:v>42840</x:v>
      </x:c>
      <x:c r="E11995" s="0" t="s">
        <x:v>46598</x:v>
      </x:c>
      <x:c r="F11995" s="0" t="s">
        <x:v>45</x:v>
      </x:c>
      <x:c r="G11995" s="0" t="s">
        <x:v>206</x:v>
      </x:c>
      <x:c r="H11995" s="0" t="s">
        <x:v>20</x:v>
      </x:c>
      <x:c r="I11995" s="0" t="s">
        <x:v>21</x:v>
      </x:c>
      <x:c r="K11995" s="0">
        <x:f>hyperlink("https://icd.who.int/dev11/l-ichi/en#/http%3A%2F%2Fid.who.int%2Ficd%2Fentity%2F449321944","browser")</x:f>
      </x:c>
      <x:c r="L11995" s="0">
        <x:f>hyperlink("https://icat2.azurewebsites.net/icat/?ontology=ICD&amp;tab=ClassesTab&amp;id=http%3A%2F%2Fwho.int%2Ficd%23SpecificAnatomicLocation_2432","iCat")</x:f>
      </x:c>
      <x:c r="M11995" s="0" t="s">
        <x:v>21</x:v>
      </x:c>
      <x:c r="N11995" s="0" t="s">
        <x:v>46</x:v>
      </x:c>
    </x:row>
    <x:row r="11996" spans="1:16">
      <x:c r="A11996" s="0" t="s">
        <x:v>46599</x:v>
      </x:c>
      <x:c r="B11996" s="0" t="s">
        <x:v>46600</x:v>
      </x:c>
      <x:c r="C11996" s="0" t="s">
        <x:v>42840</x:v>
      </x:c>
      <x:c r="E11996" s="0" t="s">
        <x:v>46601</x:v>
      </x:c>
      <x:c r="F11996" s="0" t="s">
        <x:v>45</x:v>
      </x:c>
      <x:c r="G11996" s="0" t="s">
        <x:v>206</x:v>
      </x:c>
      <x:c r="H11996" s="0" t="s">
        <x:v>20</x:v>
      </x:c>
      <x:c r="I11996" s="0" t="s">
        <x:v>21</x:v>
      </x:c>
      <x:c r="K11996" s="0">
        <x:f>hyperlink("https://icd.who.int/dev11/l-ichi/en#/http%3A%2F%2Fid.who.int%2Ficd%2Fentity%2F118926024","browser")</x:f>
      </x:c>
      <x:c r="L11996" s="0">
        <x:f>hyperlink("https://icat2.azurewebsites.net/icat/?ontology=ICD&amp;tab=ClassesTab&amp;id=http%3A%2F%2Fwho.int%2Ficd%23SpecificAnatomicLocation_2610","iCat")</x:f>
      </x:c>
      <x:c r="M11996" s="0" t="s">
        <x:v>21</x:v>
      </x:c>
      <x:c r="N11996" s="0" t="s">
        <x:v>46</x:v>
      </x:c>
    </x:row>
    <x:row r="11997" spans="1:16">
      <x:c r="A11997" s="0" t="s">
        <x:v>46602</x:v>
      </x:c>
      <x:c r="B11997" s="0" t="s">
        <x:v>46603</x:v>
      </x:c>
      <x:c r="C11997" s="0" t="s">
        <x:v>42840</x:v>
      </x:c>
      <x:c r="E11997" s="0" t="s">
        <x:v>46604</x:v>
      </x:c>
      <x:c r="F11997" s="0" t="s">
        <x:v>45</x:v>
      </x:c>
      <x:c r="G11997" s="0" t="s">
        <x:v>40</x:v>
      </x:c>
      <x:c r="H11997" s="0" t="s">
        <x:v>20</x:v>
      </x:c>
      <x:c r="I11997" s="0" t="s">
        <x:v>21</x:v>
      </x:c>
      <x:c r="K11997" s="0">
        <x:f>hyperlink("https://icd.who.int/dev11/l-ichi/en#/http%3A%2F%2Fid.who.int%2Ficd%2Fentity%2F670821624","browser")</x:f>
      </x:c>
      <x:c r="L11997" s="0">
        <x:f>hyperlink("https://icat2.azurewebsites.net/icat/?ontology=ICD&amp;tab=ClassesTab&amp;id=http%3A%2F%2Fwho.int%2Ficd%23SpecificAnatomicLocation_2454","iCat")</x:f>
      </x:c>
      <x:c r="M11997" s="0" t="s">
        <x:v>21</x:v>
      </x:c>
      <x:c r="N11997" s="0" t="s">
        <x:v>46</x:v>
      </x:c>
    </x:row>
    <x:row r="11998" spans="1:16">
      <x:c r="A11998" s="0" t="s">
        <x:v>46605</x:v>
      </x:c>
      <x:c r="B11998" s="0" t="s">
        <x:v>46606</x:v>
      </x:c>
      <x:c r="C11998" s="0" t="s">
        <x:v>42840</x:v>
      </x:c>
      <x:c r="E11998" s="0" t="s">
        <x:v>46607</x:v>
      </x:c>
      <x:c r="F11998" s="0" t="s">
        <x:v>45</x:v>
      </x:c>
      <x:c r="G11998" s="0" t="s">
        <x:v>40</x:v>
      </x:c>
      <x:c r="H11998" s="0" t="s">
        <x:v>20</x:v>
      </x:c>
      <x:c r="I11998" s="0" t="s">
        <x:v>21</x:v>
      </x:c>
      <x:c r="K11998" s="0">
        <x:f>hyperlink("https://icd.who.int/dev11/l-ichi/en#/http%3A%2F%2Fid.who.int%2Ficd%2Fentity%2F2043424785","browser")</x:f>
      </x:c>
      <x:c r="L11998" s="0">
        <x:f>hyperlink("https://icat2.azurewebsites.net/icat/?ontology=ICD&amp;tab=ClassesTab&amp;id=http%3A%2F%2Fwho.int%2Ficd%23SpecificAnatomicLocation_2600","iCat")</x:f>
      </x:c>
      <x:c r="M11998" s="0" t="s">
        <x:v>21</x:v>
      </x:c>
      <x:c r="N11998" s="0" t="s">
        <x:v>46</x:v>
      </x:c>
    </x:row>
    <x:row r="11999" spans="1:16">
      <x:c r="A11999" s="0" t="s">
        <x:v>46608</x:v>
      </x:c>
      <x:c r="B11999" s="0" t="s">
        <x:v>46609</x:v>
      </x:c>
      <x:c r="C11999" s="0" t="s">
        <x:v>42840</x:v>
      </x:c>
      <x:c r="E11999" s="0" t="s">
        <x:v>46610</x:v>
      </x:c>
      <x:c r="F11999" s="0" t="s">
        <x:v>45</x:v>
      </x:c>
      <x:c r="G11999" s="0" t="s">
        <x:v>40</x:v>
      </x:c>
      <x:c r="H11999" s="0" t="s">
        <x:v>20</x:v>
      </x:c>
      <x:c r="I11999" s="0" t="s">
        <x:v>21</x:v>
      </x:c>
      <x:c r="K11999" s="0">
        <x:f>hyperlink("https://icd.who.int/dev11/l-ichi/en#/http%3A%2F%2Fid.who.int%2Ficd%2Fentity%2F413807737","browser")</x:f>
      </x:c>
      <x:c r="L11999" s="0">
        <x:f>hyperlink("https://icat2.azurewebsites.net/icat/?ontology=ICD&amp;tab=ClassesTab&amp;id=http%3A%2F%2Fwho.int%2Ficd%23SpecificAnatomicLocation_2633","iCat")</x:f>
      </x:c>
      <x:c r="M11999" s="0" t="s">
        <x:v>21</x:v>
      </x:c>
      <x:c r="N11999" s="0" t="s">
        <x:v>46</x:v>
      </x:c>
    </x:row>
    <x:row r="12000" spans="1:16">
      <x:c r="A12000" s="0" t="s">
        <x:v>46611</x:v>
      </x:c>
      <x:c r="B12000" s="0" t="s">
        <x:v>46612</x:v>
      </x:c>
      <x:c r="C12000" s="0" t="s">
        <x:v>42840</x:v>
      </x:c>
      <x:c r="E12000" s="0" t="s">
        <x:v>46613</x:v>
      </x:c>
      <x:c r="F12000" s="0" t="s">
        <x:v>45</x:v>
      </x:c>
      <x:c r="G12000" s="0" t="s">
        <x:v>40</x:v>
      </x:c>
      <x:c r="H12000" s="0" t="s">
        <x:v>20</x:v>
      </x:c>
      <x:c r="I12000" s="0" t="s">
        <x:v>21</x:v>
      </x:c>
      <x:c r="K12000" s="0">
        <x:f>hyperlink("https://icd.who.int/dev11/l-ichi/en#/http%3A%2F%2Fid.who.int%2Ficd%2Fentity%2F1370852432","browser")</x:f>
      </x:c>
      <x:c r="L12000" s="0">
        <x:f>hyperlink("https://icat2.azurewebsites.net/icat/?ontology=ICD&amp;tab=ClassesTab&amp;id=http%3A%2F%2Fwho.int%2Ficd%23SpecificAnatomicLocation_2466","iCat")</x:f>
      </x:c>
      <x:c r="M12000" s="0" t="s">
        <x:v>21</x:v>
      </x:c>
      <x:c r="N12000" s="0" t="s">
        <x:v>46</x:v>
      </x:c>
    </x:row>
    <x:row r="12001" spans="1:16">
      <x:c r="A12001" s="0" t="s">
        <x:v>46614</x:v>
      </x:c>
      <x:c r="B12001" s="0" t="s">
        <x:v>46615</x:v>
      </x:c>
      <x:c r="C12001" s="0" t="s">
        <x:v>42840</x:v>
      </x:c>
      <x:c r="E12001" s="0" t="s">
        <x:v>46616</x:v>
      </x:c>
      <x:c r="F12001" s="0" t="s">
        <x:v>45</x:v>
      </x:c>
      <x:c r="G12001" s="0" t="s">
        <x:v>22</x:v>
      </x:c>
      <x:c r="H12001" s="0" t="s">
        <x:v>20</x:v>
      </x:c>
      <x:c r="I12001" s="0" t="s">
        <x:v>21</x:v>
      </x:c>
      <x:c r="K12001" s="0">
        <x:f>hyperlink("https://icd.who.int/dev11/l-ichi/en#/http%3A%2F%2Fid.who.int%2Ficd%2Fentity%2F423672408","browser")</x:f>
      </x:c>
      <x:c r="L12001" s="0">
        <x:f>hyperlink("https://icat2.azurewebsites.net/icat/?ontology=ICD&amp;tab=ClassesTab&amp;id=http%3A%2F%2Fwho.int%2Ficd%23SpecificAnatomicLocation_2679","iCat")</x:f>
      </x:c>
      <x:c r="M12001" s="0" t="s">
        <x:v>20</x:v>
      </x:c>
      <x:c r="N12001" s="0" t="s">
        <x:v>35</x:v>
      </x:c>
    </x:row>
    <x:row r="12002" spans="1:16">
      <x:c r="A12002" s="0" t="s">
        <x:v>46617</x:v>
      </x:c>
      <x:c r="B12002" s="0" t="s">
        <x:v>46618</x:v>
      </x:c>
      <x:c r="C12002" s="0" t="s">
        <x:v>42840</x:v>
      </x:c>
      <x:c r="E12002" s="0" t="s">
        <x:v>46619</x:v>
      </x:c>
      <x:c r="F12002" s="0" t="s">
        <x:v>45</x:v>
      </x:c>
      <x:c r="G12002" s="0" t="s">
        <x:v>40</x:v>
      </x:c>
      <x:c r="H12002" s="0" t="s">
        <x:v>20</x:v>
      </x:c>
      <x:c r="I12002" s="0" t="s">
        <x:v>21</x:v>
      </x:c>
      <x:c r="K12002" s="0">
        <x:f>hyperlink("https://icd.who.int/dev11/l-ichi/en#/http%3A%2F%2Fid.who.int%2Ficd%2Fentity%2F53783768","browser")</x:f>
      </x:c>
      <x:c r="L12002" s="0">
        <x:f>hyperlink("https://icat2.azurewebsites.net/icat/?ontology=ICD&amp;tab=ClassesTab&amp;id=http%3A%2F%2Fwho.int%2Ficd%23SpecificAnatomicLocation_2529","iCat")</x:f>
      </x:c>
      <x:c r="M12002" s="0" t="s">
        <x:v>21</x:v>
      </x:c>
      <x:c r="N12002" s="0" t="s">
        <x:v>46</x:v>
      </x:c>
    </x:row>
    <x:row r="12003" spans="1:16">
      <x:c r="A12003" s="0" t="s">
        <x:v>46620</x:v>
      </x:c>
      <x:c r="B12003" s="0" t="s">
        <x:v>46621</x:v>
      </x:c>
      <x:c r="C12003" s="0" t="s">
        <x:v>42840</x:v>
      </x:c>
      <x:c r="E12003" s="0" t="s">
        <x:v>46622</x:v>
      </x:c>
      <x:c r="F12003" s="0" t="s">
        <x:v>45</x:v>
      </x:c>
      <x:c r="G12003" s="0" t="s">
        <x:v>40</x:v>
      </x:c>
      <x:c r="H12003" s="0" t="s">
        <x:v>20</x:v>
      </x:c>
      <x:c r="I12003" s="0" t="s">
        <x:v>21</x:v>
      </x:c>
      <x:c r="K12003" s="0">
        <x:f>hyperlink("https://icd.who.int/dev11/l-ichi/en#/http%3A%2F%2Fid.who.int%2Ficd%2Fentity%2F250995360","browser")</x:f>
      </x:c>
      <x:c r="L12003" s="0">
        <x:f>hyperlink("https://icat2.azurewebsites.net/icat/?ontology=ICD&amp;tab=ClassesTab&amp;id=http%3A%2F%2Fwho.int%2Ficd%23SpecificAnatomicLocation_2575","iCat")</x:f>
      </x:c>
      <x:c r="M12003" s="0" t="s">
        <x:v>21</x:v>
      </x:c>
      <x:c r="N12003" s="0" t="s">
        <x:v>46</x:v>
      </x:c>
    </x:row>
    <x:row r="12004" spans="1:16">
      <x:c r="A12004" s="0" t="s">
        <x:v>46623</x:v>
      </x:c>
      <x:c r="B12004" s="0" t="s">
        <x:v>46624</x:v>
      </x:c>
      <x:c r="C12004" s="0" t="s">
        <x:v>42840</x:v>
      </x:c>
      <x:c r="E12004" s="0" t="s">
        <x:v>46625</x:v>
      </x:c>
      <x:c r="F12004" s="0" t="s">
        <x:v>45</x:v>
      </x:c>
      <x:c r="G12004" s="0" t="s">
        <x:v>40</x:v>
      </x:c>
      <x:c r="H12004" s="0" t="s">
        <x:v>20</x:v>
      </x:c>
      <x:c r="I12004" s="0" t="s">
        <x:v>21</x:v>
      </x:c>
      <x:c r="K12004" s="0">
        <x:f>hyperlink("https://icd.who.int/dev11/l-ichi/en#/http%3A%2F%2Fid.who.int%2Ficd%2Fentity%2F1738154113","browser")</x:f>
      </x:c>
      <x:c r="L12004" s="0">
        <x:f>hyperlink("https://icat2.azurewebsites.net/icat/?ontology=ICD&amp;tab=ClassesTab&amp;id=http%3A%2F%2Fwho.int%2Ficd%23SpecificAnatomicLocation_2669","iCat")</x:f>
      </x:c>
      <x:c r="M12004" s="0" t="s">
        <x:v>21</x:v>
      </x:c>
      <x:c r="N12004" s="0" t="s">
        <x:v>46</x:v>
      </x:c>
    </x:row>
    <x:row r="12005" spans="1:16">
      <x:c r="A12005" s="0" t="s">
        <x:v>46626</x:v>
      </x:c>
      <x:c r="B12005" s="0" t="s">
        <x:v>46627</x:v>
      </x:c>
      <x:c r="C12005" s="0" t="s">
        <x:v>42840</x:v>
      </x:c>
      <x:c r="E12005" s="0" t="s">
        <x:v>46628</x:v>
      </x:c>
      <x:c r="F12005" s="0" t="s">
        <x:v>45</x:v>
      </x:c>
      <x:c r="G12005" s="0" t="s">
        <x:v>22</x:v>
      </x:c>
      <x:c r="H12005" s="0" t="s">
        <x:v>20</x:v>
      </x:c>
      <x:c r="I12005" s="0" t="s">
        <x:v>21</x:v>
      </x:c>
      <x:c r="K12005" s="0">
        <x:f>hyperlink("https://icd.who.int/dev11/l-ichi/en#/http%3A%2F%2Fid.who.int%2Ficd%2Fentity%2F1463377815","browser")</x:f>
      </x:c>
      <x:c r="L12005" s="0">
        <x:f>hyperlink("https://icat2.azurewebsites.net/icat/?ontology=ICD&amp;tab=ClassesTab&amp;id=http%3A%2F%2Fwho.int%2Ficd%235218_1a025aad_bab4_45d3_85b5_2f8609f7d6c2","iCat")</x:f>
      </x:c>
      <x:c r="M12005" s="0" t="s">
        <x:v>20</x:v>
      </x:c>
      <x:c r="N12005" s="0" t="s">
        <x:v>35</x:v>
      </x:c>
    </x:row>
    <x:row r="12006" spans="1:16">
      <x:c r="A12006" s="0" t="s">
        <x:v>46629</x:v>
      </x:c>
      <x:c r="B12006" s="0" t="s">
        <x:v>46630</x:v>
      </x:c>
      <x:c r="C12006" s="0" t="s">
        <x:v>42840</x:v>
      </x:c>
      <x:c r="E12006" s="0" t="s">
        <x:v>46631</x:v>
      </x:c>
      <x:c r="F12006" s="0" t="s">
        <x:v>45</x:v>
      </x:c>
      <x:c r="G12006" s="0" t="s">
        <x:v>40</x:v>
      </x:c>
      <x:c r="H12006" s="0" t="s">
        <x:v>20</x:v>
      </x:c>
      <x:c r="I12006" s="0" t="s">
        <x:v>21</x:v>
      </x:c>
      <x:c r="K12006" s="0">
        <x:f>hyperlink("https://icd.who.int/dev11/l-ichi/en#/http%3A%2F%2Fid.who.int%2Ficd%2Fentity%2F1809366184","browser")</x:f>
      </x:c>
      <x:c r="L12006" s="0">
        <x:f>hyperlink("https://icat2.azurewebsites.net/icat/?ontology=ICD&amp;tab=ClassesTab&amp;id=http%3A%2F%2Fwho.int%2Ficd%23SpecificAnatomicLocation_2523","iCat")</x:f>
      </x:c>
      <x:c r="M12006" s="0" t="s">
        <x:v>21</x:v>
      </x:c>
      <x:c r="N12006" s="0" t="s">
        <x:v>46</x:v>
      </x:c>
    </x:row>
    <x:row r="12007" spans="1:16">
      <x:c r="A12007" s="0" t="s">
        <x:v>46632</x:v>
      </x:c>
      <x:c r="B12007" s="0" t="s">
        <x:v>46633</x:v>
      </x:c>
      <x:c r="C12007" s="0" t="s">
        <x:v>42840</x:v>
      </x:c>
      <x:c r="E12007" s="0" t="s">
        <x:v>46634</x:v>
      </x:c>
      <x:c r="F12007" s="0" t="s">
        <x:v>45</x:v>
      </x:c>
      <x:c r="G12007" s="0" t="s">
        <x:v>40</x:v>
      </x:c>
      <x:c r="H12007" s="0" t="s">
        <x:v>20</x:v>
      </x:c>
      <x:c r="I12007" s="0" t="s">
        <x:v>21</x:v>
      </x:c>
      <x:c r="K12007" s="0">
        <x:f>hyperlink("https://icd.who.int/dev11/l-ichi/en#/http%3A%2F%2Fid.who.int%2Ficd%2Fentity%2F259404031","browser")</x:f>
      </x:c>
      <x:c r="L12007" s="0">
        <x:f>hyperlink("https://icat2.azurewebsites.net/icat/?ontology=ICD&amp;tab=ClassesTab&amp;id=http%3A%2F%2Fwho.int%2Ficd%23SpecificAnatomicLocation_2663","iCat")</x:f>
      </x:c>
      <x:c r="M12007" s="0" t="s">
        <x:v>21</x:v>
      </x:c>
      <x:c r="N12007" s="0" t="s">
        <x:v>46</x:v>
      </x:c>
    </x:row>
    <x:row r="12008" spans="1:16">
      <x:c r="A12008" s="0" t="s">
        <x:v>46635</x:v>
      </x:c>
      <x:c r="B12008" s="0" t="s">
        <x:v>46636</x:v>
      </x:c>
      <x:c r="C12008" s="0" t="s">
        <x:v>42840</x:v>
      </x:c>
      <x:c r="E12008" s="0" t="s">
        <x:v>46637</x:v>
      </x:c>
      <x:c r="F12008" s="0" t="s">
        <x:v>45</x:v>
      </x:c>
      <x:c r="G12008" s="0" t="s">
        <x:v>40</x:v>
      </x:c>
      <x:c r="H12008" s="0" t="s">
        <x:v>20</x:v>
      </x:c>
      <x:c r="I12008" s="0" t="s">
        <x:v>21</x:v>
      </x:c>
      <x:c r="K12008" s="0">
        <x:f>hyperlink("https://icd.who.int/dev11/l-ichi/en#/http%3A%2F%2Fid.who.int%2Ficd%2Fentity%2F2025554440","browser")</x:f>
      </x:c>
      <x:c r="L12008" s="0">
        <x:f>hyperlink("https://icat2.azurewebsites.net/icat/?ontology=ICD&amp;tab=ClassesTab&amp;id=http%3A%2F%2Fwho.int%2Ficd%23SpecificAnatomicLocation_2547","iCat")</x:f>
      </x:c>
      <x:c r="M12008" s="0" t="s">
        <x:v>21</x:v>
      </x:c>
      <x:c r="N12008" s="0" t="s">
        <x:v>46</x:v>
      </x:c>
    </x:row>
    <x:row r="12009" spans="1:16">
      <x:c r="A12009" s="0" t="s">
        <x:v>46638</x:v>
      </x:c>
      <x:c r="B12009" s="0" t="s">
        <x:v>46639</x:v>
      </x:c>
      <x:c r="C12009" s="0" t="s">
        <x:v>42840</x:v>
      </x:c>
      <x:c r="E12009" s="0" t="s">
        <x:v>46640</x:v>
      </x:c>
      <x:c r="F12009" s="0" t="s">
        <x:v>45</x:v>
      </x:c>
      <x:c r="G12009" s="0" t="s">
        <x:v>22</x:v>
      </x:c>
      <x:c r="H12009" s="0" t="s">
        <x:v>20</x:v>
      </x:c>
      <x:c r="I12009" s="0" t="s">
        <x:v>21</x:v>
      </x:c>
      <x:c r="K12009" s="0">
        <x:f>hyperlink("https://icd.who.int/dev11/l-ichi/en#/http%3A%2F%2Fid.who.int%2Ficd%2Fentity%2F644875578","browser")</x:f>
      </x:c>
      <x:c r="L12009" s="0">
        <x:f>hyperlink("https://icat2.azurewebsites.net/icat/?ontology=ICD&amp;tab=ClassesTab&amp;id=http%3A%2F%2Fwho.int%2Ficd%235291_1a025aad_bab4_45d3_85b5_2f8609f7d6c2","iCat")</x:f>
      </x:c>
      <x:c r="M12009" s="0" t="s">
        <x:v>20</x:v>
      </x:c>
      <x:c r="N12009" s="0" t="s">
        <x:v>30</x:v>
      </x:c>
    </x:row>
    <x:row r="12010" spans="1:16">
      <x:c r="A12010" s="0" t="s">
        <x:v>46641</x:v>
      </x:c>
      <x:c r="B12010" s="0" t="s">
        <x:v>46642</x:v>
      </x:c>
      <x:c r="C12010" s="0" t="s">
        <x:v>42840</x:v>
      </x:c>
      <x:c r="E12010" s="0" t="s">
        <x:v>46643</x:v>
      </x:c>
      <x:c r="F12010" s="0" t="s">
        <x:v>45</x:v>
      </x:c>
      <x:c r="G12010" s="0" t="s">
        <x:v>40</x:v>
      </x:c>
      <x:c r="H12010" s="0" t="s">
        <x:v>20</x:v>
      </x:c>
      <x:c r="I12010" s="0" t="s">
        <x:v>21</x:v>
      </x:c>
      <x:c r="K12010" s="0">
        <x:f>hyperlink("https://icd.who.int/dev11/l-ichi/en#/http%3A%2F%2Fid.who.int%2Ficd%2Fentity%2F1386222056","browser")</x:f>
      </x:c>
      <x:c r="L12010" s="0">
        <x:f>hyperlink("https://icat2.azurewebsites.net/icat/?ontology=ICD&amp;tab=ClassesTab&amp;id=http%3A%2F%2Fwho.int%2Ficd%23SpecificAnatomicLocation_2520","iCat")</x:f>
      </x:c>
      <x:c r="M12010" s="0" t="s">
        <x:v>21</x:v>
      </x:c>
      <x:c r="N12010" s="0" t="s">
        <x:v>46</x:v>
      </x:c>
    </x:row>
    <x:row r="12011" spans="1:16">
      <x:c r="A12011" s="0" t="s">
        <x:v>46644</x:v>
      </x:c>
      <x:c r="B12011" s="0" t="s">
        <x:v>46645</x:v>
      </x:c>
      <x:c r="C12011" s="0" t="s">
        <x:v>42840</x:v>
      </x:c>
      <x:c r="E12011" s="0" t="s">
        <x:v>46646</x:v>
      </x:c>
      <x:c r="F12011" s="0" t="s">
        <x:v>45</x:v>
      </x:c>
      <x:c r="G12011" s="0" t="s">
        <x:v>40</x:v>
      </x:c>
      <x:c r="H12011" s="0" t="s">
        <x:v>20</x:v>
      </x:c>
      <x:c r="I12011" s="0" t="s">
        <x:v>21</x:v>
      </x:c>
      <x:c r="K12011" s="0">
        <x:f>hyperlink("https://icd.who.int/dev11/l-ichi/en#/http%3A%2F%2Fid.who.int%2Ficd%2Fentity%2F1065650601","browser")</x:f>
      </x:c>
      <x:c r="L12011" s="0">
        <x:f>hyperlink("https://icat2.azurewebsites.net/icat/?ontology=ICD&amp;tab=ClassesTab&amp;id=http%3A%2F%2Fwho.int%2Ficd%23SpecificAnatomicLocation_2659","iCat")</x:f>
      </x:c>
      <x:c r="M12011" s="0" t="s">
        <x:v>21</x:v>
      </x:c>
      <x:c r="N12011" s="0" t="s">
        <x:v>46</x:v>
      </x:c>
    </x:row>
    <x:row r="12012" spans="1:16">
      <x:c r="A12012" s="0" t="s">
        <x:v>46647</x:v>
      </x:c>
      <x:c r="B12012" s="0" t="s">
        <x:v>46648</x:v>
      </x:c>
      <x:c r="C12012" s="0" t="s">
        <x:v>42840</x:v>
      </x:c>
      <x:c r="E12012" s="0" t="s">
        <x:v>46649</x:v>
      </x:c>
      <x:c r="F12012" s="0" t="s">
        <x:v>45</x:v>
      </x:c>
      <x:c r="G12012" s="0" t="s">
        <x:v>22</x:v>
      </x:c>
      <x:c r="H12012" s="0" t="s">
        <x:v>20</x:v>
      </x:c>
      <x:c r="I12012" s="0" t="s">
        <x:v>21</x:v>
      </x:c>
      <x:c r="K12012" s="0">
        <x:f>hyperlink("https://icd.who.int/dev11/l-ichi/en#/http%3A%2F%2Fid.who.int%2Ficd%2Fentity%2F581343498","browser")</x:f>
      </x:c>
      <x:c r="L12012" s="0">
        <x:f>hyperlink("https://icat2.azurewebsites.net/icat/?ontology=ICD&amp;tab=ClassesTab&amp;id=http%3A%2F%2Fwho.int%2Ficd%235318_1a025aad_bab4_45d3_85b5_2f8609f7d6c2","iCat")</x:f>
      </x:c>
      <x:c r="M12012" s="0" t="s">
        <x:v>20</x:v>
      </x:c>
      <x:c r="N12012" s="0" t="s">
        <x:v>30</x:v>
      </x:c>
    </x:row>
    <x:row r="12013" spans="1:16">
      <x:c r="A12013" s="0" t="s">
        <x:v>46650</x:v>
      </x:c>
      <x:c r="B12013" s="0" t="s">
        <x:v>46651</x:v>
      </x:c>
      <x:c r="C12013" s="0" t="s">
        <x:v>42840</x:v>
      </x:c>
      <x:c r="E12013" s="0" t="s">
        <x:v>46652</x:v>
      </x:c>
      <x:c r="F12013" s="0" t="s">
        <x:v>45</x:v>
      </x:c>
      <x:c r="G12013" s="0" t="s">
        <x:v>40</x:v>
      </x:c>
      <x:c r="H12013" s="0" t="s">
        <x:v>20</x:v>
      </x:c>
      <x:c r="I12013" s="0" t="s">
        <x:v>21</x:v>
      </x:c>
      <x:c r="K12013" s="0">
        <x:f>hyperlink("https://icd.who.int/dev11/l-ichi/en#/http%3A%2F%2Fid.who.int%2Ficd%2Fentity%2F467072433","browser")</x:f>
      </x:c>
      <x:c r="L12013" s="0">
        <x:f>hyperlink("https://icat2.azurewebsites.net/icat/?ontology=ICD&amp;tab=ClassesTab&amp;id=http%3A%2F%2Fwho.int%2Ficd%23SpecificAnatomicLocation_2429","iCat")</x:f>
      </x:c>
      <x:c r="M12013" s="0" t="s">
        <x:v>21</x:v>
      </x:c>
      <x:c r="N12013" s="0" t="s">
        <x:v>46</x:v>
      </x:c>
    </x:row>
    <x:row r="12014" spans="1:16">
      <x:c r="A12014" s="0" t="s">
        <x:v>46653</x:v>
      </x:c>
      <x:c r="B12014" s="0" t="s">
        <x:v>46654</x:v>
      </x:c>
      <x:c r="C12014" s="0" t="s">
        <x:v>42840</x:v>
      </x:c>
      <x:c r="E12014" s="0" t="s">
        <x:v>46655</x:v>
      </x:c>
      <x:c r="F12014" s="0" t="s">
        <x:v>45</x:v>
      </x:c>
      <x:c r="G12014" s="0" t="s">
        <x:v>40</x:v>
      </x:c>
      <x:c r="H12014" s="0" t="s">
        <x:v>20</x:v>
      </x:c>
      <x:c r="I12014" s="0" t="s">
        <x:v>21</x:v>
      </x:c>
      <x:c r="K12014" s="0">
        <x:f>hyperlink("https://icd.who.int/dev11/l-ichi/en#/http%3A%2F%2Fid.who.int%2Ficd%2Fentity%2F471141969","browser")</x:f>
      </x:c>
      <x:c r="L12014" s="0">
        <x:f>hyperlink("https://icat2.azurewebsites.net/icat/?ontology=ICD&amp;tab=ClassesTab&amp;id=http%3A%2F%2Fwho.int%2Ficd%23SpecificAnatomicLocation_2607","iCat")</x:f>
      </x:c>
      <x:c r="M12014" s="0" t="s">
        <x:v>21</x:v>
      </x:c>
      <x:c r="N12014" s="0" t="s">
        <x:v>46</x:v>
      </x:c>
    </x:row>
    <x:row r="12015" spans="1:16">
      <x:c r="A12015" s="0" t="s">
        <x:v>46656</x:v>
      </x:c>
      <x:c r="B12015" s="0" t="s">
        <x:v>46657</x:v>
      </x:c>
      <x:c r="C12015" s="0" t="s">
        <x:v>42840</x:v>
      </x:c>
      <x:c r="E12015" s="0" t="s">
        <x:v>46658</x:v>
      </x:c>
      <x:c r="F12015" s="0" t="s">
        <x:v>45</x:v>
      </x:c>
      <x:c r="G12015" s="0" t="s">
        <x:v>22</x:v>
      </x:c>
      <x:c r="H12015" s="0" t="s">
        <x:v>20</x:v>
      </x:c>
      <x:c r="I12015" s="0" t="s">
        <x:v>21</x:v>
      </x:c>
      <x:c r="K12015" s="0">
        <x:f>hyperlink("https://icd.who.int/dev11/l-ichi/en#/http%3A%2F%2Fid.who.int%2Ficd%2Fentity%2F1988439573","browser")</x:f>
      </x:c>
      <x:c r="L12015" s="0">
        <x:f>hyperlink("https://icat2.azurewebsites.net/icat/?ontology=ICD&amp;tab=ClassesTab&amp;id=http%3A%2F%2Fwho.int%2Ficd%235340_1a025aad_bab4_45d3_85b5_2f8609f7d6c2","iCat")</x:f>
      </x:c>
      <x:c r="M12015" s="0" t="s">
        <x:v>20</x:v>
      </x:c>
      <x:c r="N12015" s="0" t="s">
        <x:v>40</x:v>
      </x:c>
    </x:row>
    <x:row r="12016" spans="1:16">
      <x:c r="A12016" s="0" t="s">
        <x:v>46659</x:v>
      </x:c>
      <x:c r="B12016" s="0" t="s">
        <x:v>46660</x:v>
      </x:c>
      <x:c r="C12016" s="0" t="s">
        <x:v>42840</x:v>
      </x:c>
      <x:c r="E12016" s="0" t="s">
        <x:v>46661</x:v>
      </x:c>
      <x:c r="F12016" s="0" t="s">
        <x:v>45</x:v>
      </x:c>
      <x:c r="G12016" s="0" t="s">
        <x:v>40</x:v>
      </x:c>
      <x:c r="H12016" s="0" t="s">
        <x:v>20</x:v>
      </x:c>
      <x:c r="I12016" s="0" t="s">
        <x:v>21</x:v>
      </x:c>
      <x:c r="K12016" s="0">
        <x:f>hyperlink("https://icd.who.int/dev11/l-ichi/en#/http%3A%2F%2Fid.who.int%2Ficd%2Fentity%2F598783640","browser")</x:f>
      </x:c>
      <x:c r="L12016" s="0">
        <x:f>hyperlink("https://icat2.azurewebsites.net/icat/?ontology=ICD&amp;tab=ClassesTab&amp;id=http%3A%2F%2Fwho.int%2Ficd%23SpecificAnatomicLocation_2431","iCat")</x:f>
      </x:c>
      <x:c r="M12016" s="0" t="s">
        <x:v>21</x:v>
      </x:c>
      <x:c r="N12016" s="0" t="s">
        <x:v>46</x:v>
      </x:c>
    </x:row>
    <x:row r="12017" spans="1:16">
      <x:c r="A12017" s="0" t="s">
        <x:v>46662</x:v>
      </x:c>
      <x:c r="B12017" s="0" t="s">
        <x:v>46663</x:v>
      </x:c>
      <x:c r="C12017" s="0" t="s">
        <x:v>42840</x:v>
      </x:c>
      <x:c r="E12017" s="0" t="s">
        <x:v>46664</x:v>
      </x:c>
      <x:c r="F12017" s="0" t="s">
        <x:v>45</x:v>
      </x:c>
      <x:c r="G12017" s="0" t="s">
        <x:v>40</x:v>
      </x:c>
      <x:c r="H12017" s="0" t="s">
        <x:v>20</x:v>
      </x:c>
      <x:c r="I12017" s="0" t="s">
        <x:v>21</x:v>
      </x:c>
      <x:c r="K12017" s="0">
        <x:f>hyperlink("https://icd.who.int/dev11/l-ichi/en#/http%3A%2F%2Fid.who.int%2Ficd%2Fentity%2F1942914441","browser")</x:f>
      </x:c>
      <x:c r="L12017" s="0">
        <x:f>hyperlink("https://icat2.azurewebsites.net/icat/?ontology=ICD&amp;tab=ClassesTab&amp;id=http%3A%2F%2Fwho.int%2Ficd%23SpecificAnatomicLocation_2472","iCat")</x:f>
      </x:c>
      <x:c r="M12017" s="0" t="s">
        <x:v>21</x:v>
      </x:c>
      <x:c r="N12017" s="0" t="s">
        <x:v>46</x:v>
      </x:c>
    </x:row>
    <x:row r="12018" spans="1:16">
      <x:c r="A12018" s="0" t="s">
        <x:v>46665</x:v>
      </x:c>
      <x:c r="B12018" s="0" t="s">
        <x:v>46666</x:v>
      </x:c>
      <x:c r="C12018" s="0" t="s">
        <x:v>42840</x:v>
      </x:c>
      <x:c r="E12018" s="0" t="s">
        <x:v>46667</x:v>
      </x:c>
      <x:c r="F12018" s="0" t="s">
        <x:v>45</x:v>
      </x:c>
      <x:c r="G12018" s="0" t="s">
        <x:v>40</x:v>
      </x:c>
      <x:c r="H12018" s="0" t="s">
        <x:v>20</x:v>
      </x:c>
      <x:c r="I12018" s="0" t="s">
        <x:v>21</x:v>
      </x:c>
      <x:c r="K12018" s="0">
        <x:f>hyperlink("https://icd.who.int/dev11/l-ichi/en#/http%3A%2F%2Fid.who.int%2Ficd%2Fentity%2F511918520","browser")</x:f>
      </x:c>
      <x:c r="L12018" s="0">
        <x:f>hyperlink("https://icat2.azurewebsites.net/icat/?ontology=ICD&amp;tab=ClassesTab&amp;id=http%3A%2F%2Fwho.int%2Ficd%23SpecificAnatomicLocation_2457","iCat")</x:f>
      </x:c>
      <x:c r="M12018" s="0" t="s">
        <x:v>21</x:v>
      </x:c>
      <x:c r="N12018" s="0" t="s">
        <x:v>46</x:v>
      </x:c>
    </x:row>
    <x:row r="12019" spans="1:16">
      <x:c r="A12019" s="0" t="s">
        <x:v>46668</x:v>
      </x:c>
      <x:c r="B12019" s="0" t="s">
        <x:v>46669</x:v>
      </x:c>
      <x:c r="C12019" s="0" t="s">
        <x:v>42840</x:v>
      </x:c>
      <x:c r="E12019" s="0" t="s">
        <x:v>46670</x:v>
      </x:c>
      <x:c r="F12019" s="0" t="s">
        <x:v>45</x:v>
      </x:c>
      <x:c r="G12019" s="0" t="s">
        <x:v>40</x:v>
      </x:c>
      <x:c r="H12019" s="0" t="s">
        <x:v>20</x:v>
      </x:c>
      <x:c r="I12019" s="0" t="s">
        <x:v>21</x:v>
      </x:c>
      <x:c r="K12019" s="0">
        <x:f>hyperlink("https://icd.who.int/dev11/l-ichi/en#/http%3A%2F%2Fid.who.int%2Ficd%2Fentity%2F676891951","browser")</x:f>
      </x:c>
      <x:c r="L12019" s="0">
        <x:f>hyperlink("https://icat2.azurewebsites.net/icat/?ontology=ICD&amp;tab=ClassesTab&amp;id=http%3A%2F%2Fwho.int%2Ficd%23SpecificAnatomicLocation_2609","iCat")</x:f>
      </x:c>
      <x:c r="M12019" s="0" t="s">
        <x:v>21</x:v>
      </x:c>
      <x:c r="N12019" s="0" t="s">
        <x:v>46</x:v>
      </x:c>
    </x:row>
    <x:row r="12020" spans="1:16">
      <x:c r="A12020" s="0" t="s">
        <x:v>46671</x:v>
      </x:c>
      <x:c r="B12020" s="0" t="s">
        <x:v>46672</x:v>
      </x:c>
      <x:c r="C12020" s="0" t="s">
        <x:v>42840</x:v>
      </x:c>
      <x:c r="E12020" s="0" t="s">
        <x:v>46673</x:v>
      </x:c>
      <x:c r="F12020" s="0" t="s">
        <x:v>45</x:v>
      </x:c>
      <x:c r="G12020" s="0" t="s">
        <x:v>40</x:v>
      </x:c>
      <x:c r="H12020" s="0" t="s">
        <x:v>20</x:v>
      </x:c>
      <x:c r="I12020" s="0" t="s">
        <x:v>21</x:v>
      </x:c>
      <x:c r="K12020" s="0">
        <x:f>hyperlink("https://icd.who.int/dev11/l-ichi/en#/http%3A%2F%2Fid.who.int%2Ficd%2Fentity%2F2054044369","browser")</x:f>
      </x:c>
      <x:c r="L12020" s="0">
        <x:f>hyperlink("https://icat2.azurewebsites.net/icat/?ontology=ICD&amp;tab=ClassesTab&amp;id=http%3A%2F%2Fwho.int%2Ficd%23SpecificAnatomicLocation_2682","iCat")</x:f>
      </x:c>
      <x:c r="M12020" s="0" t="s">
        <x:v>21</x:v>
      </x:c>
      <x:c r="N12020" s="0" t="s">
        <x:v>46</x:v>
      </x:c>
    </x:row>
    <x:row r="12021" spans="1:16">
      <x:c r="A12021" s="0" t="s">
        <x:v>46674</x:v>
      </x:c>
      <x:c r="B12021" s="0" t="s">
        <x:v>46675</x:v>
      </x:c>
      <x:c r="C12021" s="0" t="s">
        <x:v>42840</x:v>
      </x:c>
      <x:c r="E12021" s="0" t="s">
        <x:v>46676</x:v>
      </x:c>
      <x:c r="F12021" s="0" t="s">
        <x:v>45</x:v>
      </x:c>
      <x:c r="G12021" s="0" t="s">
        <x:v>22</x:v>
      </x:c>
      <x:c r="H12021" s="0" t="s">
        <x:v>20</x:v>
      </x:c>
      <x:c r="I12021" s="0" t="s">
        <x:v>21</x:v>
      </x:c>
      <x:c r="K12021" s="0">
        <x:f>hyperlink("https://icd.who.int/dev11/l-ichi/en#/http%3A%2F%2Fid.who.int%2Ficd%2Fentity%2F204313222","browser")</x:f>
      </x:c>
      <x:c r="L12021" s="0">
        <x:f>hyperlink("https://icat2.azurewebsites.net/icat/?ontology=ICD&amp;tab=ClassesTab&amp;id=http%3A%2F%2Fwho.int%2Ficd%235385_1a025aad_bab4_45d3_85b5_2f8609f7d6c2","iCat")</x:f>
      </x:c>
      <x:c r="M12021" s="0" t="s">
        <x:v>20</x:v>
      </x:c>
      <x:c r="N12021" s="0" t="s">
        <x:v>22</x:v>
      </x:c>
    </x:row>
    <x:row r="12022" spans="1:16">
      <x:c r="A12022" s="0" t="s">
        <x:v>46677</x:v>
      </x:c>
      <x:c r="B12022" s="0" t="s">
        <x:v>46678</x:v>
      </x:c>
      <x:c r="C12022" s="0" t="s">
        <x:v>42840</x:v>
      </x:c>
      <x:c r="E12022" s="0" t="s">
        <x:v>46679</x:v>
      </x:c>
      <x:c r="F12022" s="0" t="s">
        <x:v>45</x:v>
      </x:c>
      <x:c r="G12022" s="0" t="s">
        <x:v>40</x:v>
      </x:c>
      <x:c r="H12022" s="0" t="s">
        <x:v>20</x:v>
      </x:c>
      <x:c r="I12022" s="0" t="s">
        <x:v>21</x:v>
      </x:c>
      <x:c r="K12022" s="0">
        <x:f>hyperlink("https://icd.who.int/dev11/l-ichi/en#/http%3A%2F%2Fid.who.int%2Ficd%2Fentity%2F232816408","browser")</x:f>
      </x:c>
      <x:c r="L12022" s="0">
        <x:f>hyperlink("https://icat2.azurewebsites.net/icat/?ontology=ICD&amp;tab=ClassesTab&amp;id=http%3A%2F%2Fwho.int%2Ficd%23SpecificAnatomicLocation_2433","iCat")</x:f>
      </x:c>
      <x:c r="M12022" s="0" t="s">
        <x:v>21</x:v>
      </x:c>
      <x:c r="N12022" s="0" t="s">
        <x:v>46</x:v>
      </x:c>
    </x:row>
    <x:row r="12023" spans="1:16">
      <x:c r="A12023" s="0" t="s">
        <x:v>46680</x:v>
      </x:c>
      <x:c r="B12023" s="0" t="s">
        <x:v>46681</x:v>
      </x:c>
      <x:c r="C12023" s="0" t="s">
        <x:v>42840</x:v>
      </x:c>
      <x:c r="E12023" s="0" t="s">
        <x:v>46682</x:v>
      </x:c>
      <x:c r="F12023" s="0" t="s">
        <x:v>45</x:v>
      </x:c>
      <x:c r="G12023" s="0" t="s">
        <x:v>40</x:v>
      </x:c>
      <x:c r="H12023" s="0" t="s">
        <x:v>20</x:v>
      </x:c>
      <x:c r="I12023" s="0" t="s">
        <x:v>21</x:v>
      </x:c>
      <x:c r="K12023" s="0">
        <x:f>hyperlink("https://icd.who.int/dev11/l-ichi/en#/http%3A%2F%2Fid.who.int%2Ficd%2Fentity%2F1235465599","browser")</x:f>
      </x:c>
      <x:c r="L12023" s="0">
        <x:f>hyperlink("https://icat2.azurewebsites.net/icat/?ontology=ICD&amp;tab=ClassesTab&amp;id=http%3A%2F%2Fwho.int%2Ficd%23SpecificAnatomicLocation_2537","iCat")</x:f>
      </x:c>
      <x:c r="M12023" s="0" t="s">
        <x:v>21</x:v>
      </x:c>
      <x:c r="N12023" s="0" t="s">
        <x:v>46</x:v>
      </x:c>
    </x:row>
    <x:row r="12024" spans="1:16">
      <x:c r="A12024" s="0" t="s">
        <x:v>46683</x:v>
      </x:c>
      <x:c r="B12024" s="0" t="s">
        <x:v>46684</x:v>
      </x:c>
      <x:c r="C12024" s="0" t="s">
        <x:v>42840</x:v>
      </x:c>
      <x:c r="E12024" s="0" t="s">
        <x:v>46685</x:v>
      </x:c>
      <x:c r="F12024" s="0" t="s">
        <x:v>45</x:v>
      </x:c>
      <x:c r="G12024" s="0" t="s">
        <x:v>40</x:v>
      </x:c>
      <x:c r="H12024" s="0" t="s">
        <x:v>20</x:v>
      </x:c>
      <x:c r="I12024" s="0" t="s">
        <x:v>21</x:v>
      </x:c>
      <x:c r="K12024" s="0">
        <x:f>hyperlink("https://icd.who.int/dev11/l-ichi/en#/http%3A%2F%2Fid.who.int%2Ficd%2Fentity%2F1661972967","browser")</x:f>
      </x:c>
      <x:c r="L12024" s="0">
        <x:f>hyperlink("https://icat2.azurewebsites.net/icat/?ontology=ICD&amp;tab=ClassesTab&amp;id=http%3A%2F%2Fwho.int%2Ficd%23SpecificAnatomicLocation_2494","iCat")</x:f>
      </x:c>
      <x:c r="M12024" s="0" t="s">
        <x:v>21</x:v>
      </x:c>
      <x:c r="N12024" s="0" t="s">
        <x:v>46</x:v>
      </x:c>
    </x:row>
    <x:row r="12025" spans="1:16">
      <x:c r="A12025" s="0" t="s">
        <x:v>46686</x:v>
      </x:c>
      <x:c r="B12025" s="0" t="s">
        <x:v>46687</x:v>
      </x:c>
      <x:c r="C12025" s="0" t="s">
        <x:v>42840</x:v>
      </x:c>
      <x:c r="E12025" s="0" t="s">
        <x:v>46688</x:v>
      </x:c>
      <x:c r="F12025" s="0" t="s">
        <x:v>45</x:v>
      </x:c>
      <x:c r="G12025" s="0" t="s">
        <x:v>40</x:v>
      </x:c>
      <x:c r="H12025" s="0" t="s">
        <x:v>20</x:v>
      </x:c>
      <x:c r="I12025" s="0" t="s">
        <x:v>21</x:v>
      </x:c>
      <x:c r="K12025" s="0">
        <x:f>hyperlink("https://icd.who.int/dev11/l-ichi/en#/http%3A%2F%2Fid.who.int%2Ficd%2Fentity%2F1064364527","browser")</x:f>
      </x:c>
      <x:c r="L12025" s="0">
        <x:f>hyperlink("https://icat2.azurewebsites.net/icat/?ontology=ICD&amp;tab=ClassesTab&amp;id=http%3A%2F%2Fwho.int%2Ficd%23SpecificAnatomicLocation_2608","iCat")</x:f>
      </x:c>
      <x:c r="M12025" s="0" t="s">
        <x:v>21</x:v>
      </x:c>
      <x:c r="N12025" s="0" t="s">
        <x:v>46</x:v>
      </x:c>
    </x:row>
    <x:row r="12026" spans="1:16">
      <x:c r="A12026" s="0" t="s">
        <x:v>46689</x:v>
      </x:c>
      <x:c r="B12026" s="0" t="s">
        <x:v>46690</x:v>
      </x:c>
      <x:c r="C12026" s="0" t="s">
        <x:v>42840</x:v>
      </x:c>
      <x:c r="E12026" s="0" t="s">
        <x:v>46691</x:v>
      </x:c>
      <x:c r="F12026" s="0" t="s">
        <x:v>45</x:v>
      </x:c>
      <x:c r="G12026" s="0" t="s">
        <x:v>22</x:v>
      </x:c>
      <x:c r="H12026" s="0" t="s">
        <x:v>20</x:v>
      </x:c>
      <x:c r="I12026" s="0" t="s">
        <x:v>21</x:v>
      </x:c>
      <x:c r="K12026" s="0">
        <x:f>hyperlink("https://icd.who.int/dev11/l-ichi/en#/http%3A%2F%2Fid.who.int%2Ficd%2Fentity%2F304027287","browser")</x:f>
      </x:c>
      <x:c r="L12026" s="0">
        <x:f>hyperlink("https://icat2.azurewebsites.net/icat/?ontology=ICD&amp;tab=ClassesTab&amp;id=http%3A%2F%2Fwho.int%2Ficd%23SpecificAnatomicLocation_2585","iCat")</x:f>
      </x:c>
      <x:c r="M12026" s="0" t="s">
        <x:v>21</x:v>
      </x:c>
      <x:c r="N12026" s="0" t="s">
        <x:v>46</x:v>
      </x:c>
    </x:row>
    <x:row r="12027" spans="1:16">
      <x:c r="A12027" s="0" t="s">
        <x:v>46692</x:v>
      </x:c>
      <x:c r="B12027" s="0" t="s">
        <x:v>46693</x:v>
      </x:c>
      <x:c r="C12027" s="0" t="s">
        <x:v>42840</x:v>
      </x:c>
      <x:c r="E12027" s="0" t="s">
        <x:v>46694</x:v>
      </x:c>
      <x:c r="F12027" s="0" t="s">
        <x:v>45</x:v>
      </x:c>
      <x:c r="G12027" s="0" t="s">
        <x:v>22</x:v>
      </x:c>
      <x:c r="H12027" s="0" t="s">
        <x:v>20</x:v>
      </x:c>
      <x:c r="I12027" s="0" t="s">
        <x:v>21</x:v>
      </x:c>
      <x:c r="K12027" s="0">
        <x:f>hyperlink("https://icd.who.int/dev11/l-ichi/en#/http%3A%2F%2Fid.who.int%2Ficd%2Fentity%2F1036782922","browser")</x:f>
      </x:c>
      <x:c r="L12027" s="0">
        <x:f>hyperlink("https://icat2.azurewebsites.net/icat/?ontology=ICD&amp;tab=ClassesTab&amp;id=http%3A%2F%2Fwho.int%2Ficd%23SpecificAnatomicLocation_2691","iCat")</x:f>
      </x:c>
      <x:c r="M12027" s="0" t="s">
        <x:v>21</x:v>
      </x:c>
      <x:c r="N12027" s="0" t="s">
        <x:v>46</x:v>
      </x:c>
    </x:row>
    <x:row r="12028" spans="1:16">
      <x:c r="A12028" s="0" t="s">
        <x:v>46695</x:v>
      </x:c>
      <x:c r="B12028" s="0" t="s">
        <x:v>46696</x:v>
      </x:c>
      <x:c r="C12028" s="0" t="s">
        <x:v>42840</x:v>
      </x:c>
      <x:c r="E12028" s="0" t="s">
        <x:v>46697</x:v>
      </x:c>
      <x:c r="F12028" s="0" t="s">
        <x:v>45</x:v>
      </x:c>
      <x:c r="G12028" s="0" t="s">
        <x:v>22</x:v>
      </x:c>
      <x:c r="H12028" s="0" t="s">
        <x:v>20</x:v>
      </x:c>
      <x:c r="I12028" s="0" t="s">
        <x:v>21</x:v>
      </x:c>
      <x:c r="K12028" s="0">
        <x:f>hyperlink("https://icd.who.int/dev11/l-ichi/en#/http%3A%2F%2Fid.who.int%2Ficd%2Fentity%2F1181321432","browser")</x:f>
      </x:c>
      <x:c r="L12028" s="0">
        <x:f>hyperlink("https://icat2.azurewebsites.net/icat/?ontology=ICD&amp;tab=ClassesTab&amp;id=http%3A%2F%2Fwho.int%2Ficd%23SpecificAnatomicLocation_2436","iCat")</x:f>
      </x:c>
      <x:c r="M12028" s="0" t="s">
        <x:v>21</x:v>
      </x:c>
      <x:c r="N12028" s="0" t="s">
        <x:v>46</x:v>
      </x:c>
    </x:row>
    <x:row r="12029" spans="1:16">
      <x:c r="A12029" s="0" t="s">
        <x:v>46698</x:v>
      </x:c>
      <x:c r="B12029" s="0" t="s">
        <x:v>46699</x:v>
      </x:c>
      <x:c r="C12029" s="0" t="s">
        <x:v>42840</x:v>
      </x:c>
      <x:c r="E12029" s="0" t="s">
        <x:v>46700</x:v>
      </x:c>
      <x:c r="F12029" s="0" t="s">
        <x:v>45</x:v>
      </x:c>
      <x:c r="G12029" s="0" t="s">
        <x:v>22</x:v>
      </x:c>
      <x:c r="H12029" s="0" t="s">
        <x:v>20</x:v>
      </x:c>
      <x:c r="I12029" s="0" t="s">
        <x:v>21</x:v>
      </x:c>
      <x:c r="K12029" s="0">
        <x:f>hyperlink("https://icd.who.int/dev11/l-ichi/en#/http%3A%2F%2Fid.who.int%2Ficd%2Fentity%2F455251447","browser")</x:f>
      </x:c>
      <x:c r="L12029" s="0">
        <x:f>hyperlink("https://icat2.azurewebsites.net/icat/?ontology=ICD&amp;tab=ClassesTab&amp;id=http%3A%2F%2Fwho.int%2Ficd%23SpecificAnatomicLocation_2478","iCat")</x:f>
      </x:c>
      <x:c r="M12029" s="0" t="s">
        <x:v>21</x:v>
      </x:c>
      <x:c r="N12029" s="0" t="s">
        <x:v>46</x:v>
      </x:c>
    </x:row>
    <x:row r="12030" spans="1:16">
      <x:c r="A12030" s="0" t="s">
        <x:v>46701</x:v>
      </x:c>
      <x:c r="B12030" s="0" t="s">
        <x:v>46702</x:v>
      </x:c>
      <x:c r="C12030" s="0" t="s">
        <x:v>42840</x:v>
      </x:c>
      <x:c r="E12030" s="0" t="s">
        <x:v>46703</x:v>
      </x:c>
      <x:c r="F12030" s="0" t="s">
        <x:v>45</x:v>
      </x:c>
      <x:c r="G12030" s="0" t="s">
        <x:v>22</x:v>
      </x:c>
      <x:c r="H12030" s="0" t="s">
        <x:v>20</x:v>
      </x:c>
      <x:c r="I12030" s="0" t="s">
        <x:v>21</x:v>
      </x:c>
      <x:c r="K12030" s="0">
        <x:f>hyperlink("https://icd.who.int/dev11/l-ichi/en#/http%3A%2F%2Fid.who.int%2Ficd%2Fentity%2F1298102375","browser")</x:f>
      </x:c>
      <x:c r="L12030" s="0">
        <x:f>hyperlink("https://icat2.azurewebsites.net/icat/?ontology=ICD&amp;tab=ClassesTab&amp;id=http%3A%2F%2Fwho.int%2Ficd%23SpecificAnatomicLocation_2496","iCat")</x:f>
      </x:c>
      <x:c r="M12030" s="0" t="s">
        <x:v>21</x:v>
      </x:c>
      <x:c r="N12030" s="0" t="s">
        <x:v>46</x:v>
      </x:c>
    </x:row>
    <x:row r="12031" spans="1:16">
      <x:c r="A12031" s="0" t="s">
        <x:v>46704</x:v>
      </x:c>
      <x:c r="B12031" s="0" t="s">
        <x:v>46705</x:v>
      </x:c>
      <x:c r="C12031" s="0" t="s">
        <x:v>42840</x:v>
      </x:c>
      <x:c r="E12031" s="0" t="s">
        <x:v>46706</x:v>
      </x:c>
      <x:c r="F12031" s="0" t="s">
        <x:v>45</x:v>
      </x:c>
      <x:c r="G12031" s="0" t="s">
        <x:v>22</x:v>
      </x:c>
      <x:c r="H12031" s="0" t="s">
        <x:v>20</x:v>
      </x:c>
      <x:c r="I12031" s="0" t="s">
        <x:v>21</x:v>
      </x:c>
      <x:c r="K12031" s="0">
        <x:f>hyperlink("https://icd.who.int/dev11/l-ichi/en#/http%3A%2F%2Fid.who.int%2Ficd%2Fentity%2F1744010495","browser")</x:f>
      </x:c>
      <x:c r="L12031" s="0">
        <x:f>hyperlink("https://icat2.azurewebsites.net/icat/?ontology=ICD&amp;tab=ClassesTab&amp;id=http%3A%2F%2Fwho.int%2Ficd%23SpecificAnatomicLocation_2535","iCat")</x:f>
      </x:c>
      <x:c r="M12031" s="0" t="s">
        <x:v>21</x:v>
      </x:c>
      <x:c r="N12031" s="0" t="s">
        <x:v>46</x:v>
      </x:c>
    </x:row>
    <x:row r="12032" spans="1:16">
      <x:c r="A12032" s="0" t="s">
        <x:v>46707</x:v>
      </x:c>
      <x:c r="B12032" s="0" t="s">
        <x:v>46708</x:v>
      </x:c>
      <x:c r="C12032" s="0" t="s">
        <x:v>42840</x:v>
      </x:c>
      <x:c r="E12032" s="0" t="s">
        <x:v>46709</x:v>
      </x:c>
      <x:c r="F12032" s="0" t="s">
        <x:v>45</x:v>
      </x:c>
      <x:c r="G12032" s="0" t="s">
        <x:v>22</x:v>
      </x:c>
      <x:c r="H12032" s="0" t="s">
        <x:v>20</x:v>
      </x:c>
      <x:c r="I12032" s="0" t="s">
        <x:v>21</x:v>
      </x:c>
      <x:c r="K12032" s="0">
        <x:f>hyperlink("https://icd.who.int/dev11/l-ichi/en#/http%3A%2F%2Fid.who.int%2Ficd%2Fentity%2F1657771144","browser")</x:f>
      </x:c>
      <x:c r="L12032" s="0">
        <x:f>hyperlink("https://icat2.azurewebsites.net/icat/?ontology=ICD&amp;tab=ClassesTab&amp;id=http%3A%2F%2Fwho.int%2Ficd%23SpecificAnatomicLocation_2617","iCat")</x:f>
      </x:c>
      <x:c r="M12032" s="0" t="s">
        <x:v>21</x:v>
      </x:c>
      <x:c r="N12032" s="0" t="s">
        <x:v>46</x:v>
      </x:c>
    </x:row>
    <x:row r="12033" spans="1:16">
      <x:c r="A12033" s="0" t="s">
        <x:v>46710</x:v>
      </x:c>
      <x:c r="B12033" s="0" t="s">
        <x:v>46711</x:v>
      </x:c>
      <x:c r="C12033" s="0" t="s">
        <x:v>42840</x:v>
      </x:c>
      <x:c r="E12033" s="0" t="s">
        <x:v>46712</x:v>
      </x:c>
      <x:c r="F12033" s="0" t="s">
        <x:v>45</x:v>
      </x:c>
      <x:c r="G12033" s="0" t="s">
        <x:v>22</x:v>
      </x:c>
      <x:c r="H12033" s="0" t="s">
        <x:v>20</x:v>
      </x:c>
      <x:c r="I12033" s="0" t="s">
        <x:v>21</x:v>
      </x:c>
      <x:c r="K12033" s="0">
        <x:f>hyperlink("https://icd.who.int/dev11/l-ichi/en#/http%3A%2F%2Fid.who.int%2Ficd%2Fentity%2F1101689656","browser")</x:f>
      </x:c>
      <x:c r="L12033" s="0">
        <x:f>hyperlink("https://icat2.azurewebsites.net/icat/?ontology=ICD&amp;tab=ClassesTab&amp;id=http%3A%2F%2Fwho.int%2Ficd%23SpecificAnatomicLocation_2618","iCat")</x:f>
      </x:c>
      <x:c r="M12033" s="0" t="s">
        <x:v>21</x:v>
      </x:c>
      <x:c r="N12033" s="0" t="s">
        <x:v>46</x:v>
      </x:c>
    </x:row>
    <x:row r="12034" spans="1:16">
      <x:c r="A12034" s="0" t="s">
        <x:v>46713</x:v>
      </x:c>
      <x:c r="B12034" s="0" t="s">
        <x:v>46714</x:v>
      </x:c>
      <x:c r="C12034" s="0" t="s">
        <x:v>42840</x:v>
      </x:c>
      <x:c r="E12034" s="0" t="s">
        <x:v>46715</x:v>
      </x:c>
      <x:c r="F12034" s="0" t="s">
        <x:v>45</x:v>
      </x:c>
      <x:c r="G12034" s="0" t="s">
        <x:v>22</x:v>
      </x:c>
      <x:c r="H12034" s="0" t="s">
        <x:v>20</x:v>
      </x:c>
      <x:c r="I12034" s="0" t="s">
        <x:v>21</x:v>
      </x:c>
      <x:c r="K12034" s="0">
        <x:f>hyperlink("https://icd.who.int/dev11/l-ichi/en#/http%3A%2F%2Fid.who.int%2Ficd%2Fentity%2F1406641151","browser")</x:f>
      </x:c>
      <x:c r="L12034" s="0">
        <x:f>hyperlink("https://icat2.azurewebsites.net/icat/?ontology=ICD&amp;tab=ClassesTab&amp;id=http%3A%2F%2Fwho.int%2Ficd%23SpecificAnatomicLocation_2667","iCat")</x:f>
      </x:c>
      <x:c r="M12034" s="0" t="s">
        <x:v>21</x:v>
      </x:c>
      <x:c r="N12034" s="0" t="s">
        <x:v>46</x:v>
      </x:c>
    </x:row>
    <x:row r="12035" spans="1:16">
      <x:c r="A12035" s="0" t="s">
        <x:v>46716</x:v>
      </x:c>
      <x:c r="B12035" s="0" t="s">
        <x:v>46717</x:v>
      </x:c>
      <x:c r="C12035" s="0" t="s">
        <x:v>42840</x:v>
      </x:c>
      <x:c r="E12035" s="0" t="s">
        <x:v>46718</x:v>
      </x:c>
      <x:c r="F12035" s="0" t="s">
        <x:v>45</x:v>
      </x:c>
      <x:c r="G12035" s="0" t="s">
        <x:v>22</x:v>
      </x:c>
      <x:c r="H12035" s="0" t="s">
        <x:v>20</x:v>
      </x:c>
      <x:c r="I12035" s="0" t="s">
        <x:v>21</x:v>
      </x:c>
      <x:c r="K12035" s="0">
        <x:f>hyperlink("https://icd.who.int/dev11/l-ichi/en#/http%3A%2F%2Fid.who.int%2Ficd%2Fentity%2F1482081336","browser")</x:f>
      </x:c>
      <x:c r="L12035" s="0">
        <x:f>hyperlink("https://icat2.azurewebsites.net/icat/?ontology=ICD&amp;tab=ClassesTab&amp;id=http%3A%2F%2Fwho.int%2Ficd%23SpecificAnatomicLocation_2703","iCat")</x:f>
      </x:c>
      <x:c r="M12035" s="0" t="s">
        <x:v>21</x:v>
      </x:c>
      <x:c r="N12035" s="0" t="s">
        <x:v>46</x:v>
      </x:c>
    </x:row>
    <x:row r="12036" spans="1:16">
      <x:c r="A12036" s="0" t="s">
        <x:v>46719</x:v>
      </x:c>
      <x:c r="B12036" s="0" t="s">
        <x:v>46720</x:v>
      </x:c>
      <x:c r="C12036" s="0" t="s">
        <x:v>42840</x:v>
      </x:c>
      <x:c r="E12036" s="0" t="s">
        <x:v>46721</x:v>
      </x:c>
      <x:c r="F12036" s="0" t="s">
        <x:v>45</x:v>
      </x:c>
      <x:c r="G12036" s="0" t="s">
        <x:v>22</x:v>
      </x:c>
      <x:c r="H12036" s="0" t="s">
        <x:v>20</x:v>
      </x:c>
      <x:c r="I12036" s="0" t="s">
        <x:v>21</x:v>
      </x:c>
      <x:c r="K12036" s="0">
        <x:f>hyperlink("https://icd.who.int/dev11/l-ichi/en#/http%3A%2F%2Fid.who.int%2Ficd%2Fentity%2F1363274776","browser")</x:f>
      </x:c>
      <x:c r="L12036" s="0">
        <x:f>hyperlink("https://icat2.azurewebsites.net/icat/?ontology=ICD&amp;tab=ClassesTab&amp;id=http%3A%2F%2Fwho.int%2Ficd%23SpecificAnatomicLocation_2437","iCat")</x:f>
      </x:c>
      <x:c r="M12036" s="0" t="s">
        <x:v>21</x:v>
      </x:c>
      <x:c r="N12036" s="0" t="s">
        <x:v>46</x:v>
      </x:c>
    </x:row>
    <x:row r="12037" spans="1:16">
      <x:c r="A12037" s="0" t="s">
        <x:v>46722</x:v>
      </x:c>
      <x:c r="B12037" s="0" t="s">
        <x:v>46723</x:v>
      </x:c>
      <x:c r="C12037" s="0" t="s">
        <x:v>42840</x:v>
      </x:c>
      <x:c r="E12037" s="0" t="s">
        <x:v>46724</x:v>
      </x:c>
      <x:c r="F12037" s="0" t="s">
        <x:v>45</x:v>
      </x:c>
      <x:c r="G12037" s="0" t="s">
        <x:v>35</x:v>
      </x:c>
      <x:c r="H12037" s="0" t="s">
        <x:v>20</x:v>
      </x:c>
      <x:c r="I12037" s="0" t="s">
        <x:v>21</x:v>
      </x:c>
      <x:c r="K12037" s="0">
        <x:f>hyperlink("https://icd.who.int/dev11/l-ichi/en#/http%3A%2F%2Fid.who.int%2Ficd%2Fentity%2F1832356831","browser")</x:f>
      </x:c>
      <x:c r="L12037" s="0">
        <x:f>hyperlink("https://icat2.azurewebsites.net/icat/?ontology=ICD&amp;tab=ClassesTab&amp;id=http%3A%2F%2Fwho.int%2Ficd%233945_1a025aad_bab4_45d3_85b5_2f8609f7d6c2","iCat")</x:f>
      </x:c>
      <x:c r="M12037" s="0" t="s">
        <x:v>20</x:v>
      </x:c>
      <x:c r="N12037" s="0" t="s">
        <x:v>1294</x:v>
      </x:c>
    </x:row>
    <x:row r="12038" spans="1:16">
      <x:c r="A12038" s="0" t="s">
        <x:v>46725</x:v>
      </x:c>
      <x:c r="B12038" s="0" t="s">
        <x:v>46726</x:v>
      </x:c>
      <x:c r="C12038" s="0" t="s">
        <x:v>42840</x:v>
      </x:c>
      <x:c r="E12038" s="0" t="s">
        <x:v>46727</x:v>
      </x:c>
      <x:c r="F12038" s="0" t="s">
        <x:v>45</x:v>
      </x:c>
      <x:c r="G12038" s="0" t="s">
        <x:v>22</x:v>
      </x:c>
      <x:c r="H12038" s="0" t="s">
        <x:v>20</x:v>
      </x:c>
      <x:c r="I12038" s="0" t="s">
        <x:v>21</x:v>
      </x:c>
      <x:c r="K12038" s="0">
        <x:f>hyperlink("https://icd.who.int/dev11/l-ichi/en#/http%3A%2F%2Fid.who.int%2Ficd%2Fentity%2F30129999","browser")</x:f>
      </x:c>
      <x:c r="L12038" s="0">
        <x:f>hyperlink("https://icat2.azurewebsites.net/icat/?ontology=ICD&amp;tab=ClassesTab&amp;id=http%3A%2F%2Fwho.int%2Ficd%23SpecificAnatomicLocation_2425","iCat")</x:f>
      </x:c>
      <x:c r="M12038" s="0" t="s">
        <x:v>21</x:v>
      </x:c>
      <x:c r="N12038" s="0" t="s">
        <x:v>46</x:v>
      </x:c>
    </x:row>
    <x:row r="12039" spans="1:16">
      <x:c r="A12039" s="0" t="s">
        <x:v>46728</x:v>
      </x:c>
      <x:c r="B12039" s="0" t="s">
        <x:v>46729</x:v>
      </x:c>
      <x:c r="C12039" s="0" t="s">
        <x:v>42840</x:v>
      </x:c>
      <x:c r="E12039" s="0" t="s">
        <x:v>46730</x:v>
      </x:c>
      <x:c r="F12039" s="0" t="s">
        <x:v>45</x:v>
      </x:c>
      <x:c r="G12039" s="0" t="s">
        <x:v>22</x:v>
      </x:c>
      <x:c r="H12039" s="0" t="s">
        <x:v>20</x:v>
      </x:c>
      <x:c r="I12039" s="0" t="s">
        <x:v>21</x:v>
      </x:c>
      <x:c r="K12039" s="0">
        <x:f>hyperlink("https://icd.who.int/dev11/l-ichi/en#/http%3A%2F%2Fid.who.int%2Ficd%2Fentity%2F92333345","browser")</x:f>
      </x:c>
      <x:c r="L12039" s="0">
        <x:f>hyperlink("https://icat2.azurewebsites.net/icat/?ontology=ICD&amp;tab=ClassesTab&amp;id=http%3A%2F%2Fwho.int%2Ficd%23SpecificAnatomicLocation_2440","iCat")</x:f>
      </x:c>
      <x:c r="M12039" s="0" t="s">
        <x:v>21</x:v>
      </x:c>
      <x:c r="N12039" s="0" t="s">
        <x:v>46</x:v>
      </x:c>
    </x:row>
    <x:row r="12040" spans="1:16">
      <x:c r="A12040" s="0" t="s">
        <x:v>46731</x:v>
      </x:c>
      <x:c r="B12040" s="0" t="s">
        <x:v>46732</x:v>
      </x:c>
      <x:c r="C12040" s="0" t="s">
        <x:v>42840</x:v>
      </x:c>
      <x:c r="E12040" s="0" t="s">
        <x:v>46733</x:v>
      </x:c>
      <x:c r="F12040" s="0" t="s">
        <x:v>45</x:v>
      </x:c>
      <x:c r="G12040" s="0" t="s">
        <x:v>22</x:v>
      </x:c>
      <x:c r="H12040" s="0" t="s">
        <x:v>20</x:v>
      </x:c>
      <x:c r="I12040" s="0" t="s">
        <x:v>21</x:v>
      </x:c>
      <x:c r="K12040" s="0">
        <x:f>hyperlink("https://icd.who.int/dev11/l-ichi/en#/http%3A%2F%2Fid.who.int%2Ficd%2Fentity%2F130572738","browser")</x:f>
      </x:c>
      <x:c r="L12040" s="0">
        <x:f>hyperlink("https://icat2.azurewebsites.net/icat/?ontology=ICD&amp;tab=ClassesTab&amp;id=http%3A%2F%2Fwho.int%2Ficd%23SpecificAnatomicLocation_2488","iCat")</x:f>
      </x:c>
      <x:c r="M12040" s="0" t="s">
        <x:v>21</x:v>
      </x:c>
      <x:c r="N12040" s="0" t="s">
        <x:v>46</x:v>
      </x:c>
    </x:row>
    <x:row r="12041" spans="1:16">
      <x:c r="A12041" s="0" t="s">
        <x:v>46734</x:v>
      </x:c>
      <x:c r="B12041" s="0" t="s">
        <x:v>46735</x:v>
      </x:c>
      <x:c r="C12041" s="0" t="s">
        <x:v>42840</x:v>
      </x:c>
      <x:c r="E12041" s="0" t="s">
        <x:v>46736</x:v>
      </x:c>
      <x:c r="F12041" s="0" t="s">
        <x:v>45</x:v>
      </x:c>
      <x:c r="G12041" s="0" t="s">
        <x:v>22</x:v>
      </x:c>
      <x:c r="H12041" s="0" t="s">
        <x:v>20</x:v>
      </x:c>
      <x:c r="I12041" s="0" t="s">
        <x:v>21</x:v>
      </x:c>
      <x:c r="K12041" s="0">
        <x:f>hyperlink("https://icd.who.int/dev11/l-ichi/en#/http%3A%2F%2Fid.who.int%2Ficd%2Fentity%2F2003943329","browser")</x:f>
      </x:c>
      <x:c r="L12041" s="0">
        <x:f>hyperlink("https://icat2.azurewebsites.net/icat/?ontology=ICD&amp;tab=ClassesTab&amp;id=http%3A%2F%2Fwho.int%2Ficd%23SpecificAnatomicLocation_2446","iCat")</x:f>
      </x:c>
      <x:c r="M12041" s="0" t="s">
        <x:v>21</x:v>
      </x:c>
      <x:c r="N12041" s="0" t="s">
        <x:v>46</x:v>
      </x:c>
    </x:row>
    <x:row r="12042" spans="1:16">
      <x:c r="A12042" s="0" t="s">
        <x:v>46737</x:v>
      </x:c>
      <x:c r="B12042" s="0" t="s">
        <x:v>46738</x:v>
      </x:c>
      <x:c r="C12042" s="0" t="s">
        <x:v>42840</x:v>
      </x:c>
      <x:c r="E12042" s="0" t="s">
        <x:v>46739</x:v>
      </x:c>
      <x:c r="F12042" s="0" t="s">
        <x:v>45</x:v>
      </x:c>
      <x:c r="G12042" s="0" t="s">
        <x:v>22</x:v>
      </x:c>
      <x:c r="H12042" s="0" t="s">
        <x:v>20</x:v>
      </x:c>
      <x:c r="I12042" s="0" t="s">
        <x:v>21</x:v>
      </x:c>
      <x:c r="K12042" s="0">
        <x:f>hyperlink("https://icd.who.int/dev11/l-ichi/en#/http%3A%2F%2Fid.who.int%2Ficd%2Fentity%2F1448926462","browser")</x:f>
      </x:c>
      <x:c r="L12042" s="0">
        <x:f>hyperlink("https://icat2.azurewebsites.net/icat/?ontology=ICD&amp;tab=ClassesTab&amp;id=http%3A%2F%2Fwho.int%2Ficd%23SpecificAnatomicLocation_2481","iCat")</x:f>
      </x:c>
      <x:c r="M12042" s="0" t="s">
        <x:v>21</x:v>
      </x:c>
      <x:c r="N12042" s="0" t="s">
        <x:v>46</x:v>
      </x:c>
    </x:row>
    <x:row r="12043" spans="1:16">
      <x:c r="A12043" s="0" t="s">
        <x:v>46740</x:v>
      </x:c>
      <x:c r="B12043" s="0" t="s">
        <x:v>46741</x:v>
      </x:c>
      <x:c r="C12043" s="0" t="s">
        <x:v>42840</x:v>
      </x:c>
      <x:c r="E12043" s="0" t="s">
        <x:v>46742</x:v>
      </x:c>
      <x:c r="F12043" s="0" t="s">
        <x:v>45</x:v>
      </x:c>
      <x:c r="G12043" s="0" t="s">
        <x:v>22</x:v>
      </x:c>
      <x:c r="H12043" s="0" t="s">
        <x:v>20</x:v>
      </x:c>
      <x:c r="I12043" s="0" t="s">
        <x:v>21</x:v>
      </x:c>
      <x:c r="K12043" s="0">
        <x:f>hyperlink("https://icd.who.int/dev11/l-ichi/en#/http%3A%2F%2Fid.who.int%2Ficd%2Fentity%2F679888423","browser")</x:f>
      </x:c>
      <x:c r="L12043" s="0">
        <x:f>hyperlink("https://icat2.azurewebsites.net/icat/?ontology=ICD&amp;tab=ClassesTab&amp;id=http%3A%2F%2Fwho.int%2Ficd%23SpecificAnatomicLocation_2491","iCat")</x:f>
      </x:c>
      <x:c r="M12043" s="0" t="s">
        <x:v>21</x:v>
      </x:c>
      <x:c r="N12043" s="0" t="s">
        <x:v>46</x:v>
      </x:c>
    </x:row>
    <x:row r="12044" spans="1:16">
      <x:c r="A12044" s="0" t="s">
        <x:v>46743</x:v>
      </x:c>
      <x:c r="B12044" s="0" t="s">
        <x:v>46744</x:v>
      </x:c>
      <x:c r="C12044" s="0" t="s">
        <x:v>42840</x:v>
      </x:c>
      <x:c r="E12044" s="0" t="s">
        <x:v>46745</x:v>
      </x:c>
      <x:c r="F12044" s="0" t="s">
        <x:v>45</x:v>
      </x:c>
      <x:c r="G12044" s="0" t="s">
        <x:v>22</x:v>
      </x:c>
      <x:c r="H12044" s="0" t="s">
        <x:v>20</x:v>
      </x:c>
      <x:c r="I12044" s="0" t="s">
        <x:v>21</x:v>
      </x:c>
      <x:c r="K12044" s="0">
        <x:f>hyperlink("https://icd.who.int/dev11/l-ichi/en#/http%3A%2F%2Fid.who.int%2Ficd%2Fentity%2F297606231","browser")</x:f>
      </x:c>
      <x:c r="L12044" s="0">
        <x:f>hyperlink("https://icat2.azurewebsites.net/icat/?ontology=ICD&amp;tab=ClassesTab&amp;id=http%3A%2F%2Fwho.int%2Ficd%23SpecificAnatomicLocation_2507","iCat")</x:f>
      </x:c>
      <x:c r="M12044" s="0" t="s">
        <x:v>21</x:v>
      </x:c>
      <x:c r="N12044" s="0" t="s">
        <x:v>46</x:v>
      </x:c>
    </x:row>
    <x:row r="12045" spans="1:16">
      <x:c r="A12045" s="0" t="s">
        <x:v>46746</x:v>
      </x:c>
      <x:c r="B12045" s="0" t="s">
        <x:v>46747</x:v>
      </x:c>
      <x:c r="C12045" s="0" t="s">
        <x:v>42840</x:v>
      </x:c>
      <x:c r="E12045" s="0" t="s">
        <x:v>46748</x:v>
      </x:c>
      <x:c r="F12045" s="0" t="s">
        <x:v>45</x:v>
      </x:c>
      <x:c r="G12045" s="0" t="s">
        <x:v>22</x:v>
      </x:c>
      <x:c r="H12045" s="0" t="s">
        <x:v>20</x:v>
      </x:c>
      <x:c r="I12045" s="0" t="s">
        <x:v>21</x:v>
      </x:c>
      <x:c r="K12045" s="0">
        <x:f>hyperlink("https://icd.who.int/dev11/l-ichi/en#/http%3A%2F%2Fid.who.int%2Ficd%2Fentity%2F36324031","browser")</x:f>
      </x:c>
      <x:c r="L12045" s="0">
        <x:f>hyperlink("https://icat2.azurewebsites.net/icat/?ontology=ICD&amp;tab=ClassesTab&amp;id=http%3A%2F%2Fwho.int%2Ficd%23SpecificAnatomicLocation_2532","iCat")</x:f>
      </x:c>
      <x:c r="M12045" s="0" t="s">
        <x:v>21</x:v>
      </x:c>
      <x:c r="N12045" s="0" t="s">
        <x:v>46</x:v>
      </x:c>
    </x:row>
    <x:row r="12046" spans="1:16">
      <x:c r="A12046" s="0" t="s">
        <x:v>46749</x:v>
      </x:c>
      <x:c r="B12046" s="0" t="s">
        <x:v>46750</x:v>
      </x:c>
      <x:c r="C12046" s="0" t="s">
        <x:v>42840</x:v>
      </x:c>
      <x:c r="E12046" s="0" t="s">
        <x:v>46751</x:v>
      </x:c>
      <x:c r="F12046" s="0" t="s">
        <x:v>45</x:v>
      </x:c>
      <x:c r="G12046" s="0" t="s">
        <x:v>22</x:v>
      </x:c>
      <x:c r="H12046" s="0" t="s">
        <x:v>20</x:v>
      </x:c>
      <x:c r="I12046" s="0" t="s">
        <x:v>21</x:v>
      </x:c>
      <x:c r="K12046" s="0">
        <x:f>hyperlink("https://icd.who.int/dev11/l-ichi/en#/http%3A%2F%2Fid.who.int%2Ficd%2Fentity%2F1893406783","browser")</x:f>
      </x:c>
      <x:c r="L12046" s="0">
        <x:f>hyperlink("https://icat2.azurewebsites.net/icat/?ontology=ICD&amp;tab=ClassesTab&amp;id=http%3A%2F%2Fwho.int%2Ficd%23SpecificAnatomicLocation_2534","iCat")</x:f>
      </x:c>
      <x:c r="M12046" s="0" t="s">
        <x:v>21</x:v>
      </x:c>
      <x:c r="N12046" s="0" t="s">
        <x:v>46</x:v>
      </x:c>
    </x:row>
    <x:row r="12047" spans="1:16">
      <x:c r="A12047" s="0" t="s">
        <x:v>46752</x:v>
      </x:c>
      <x:c r="B12047" s="0" t="s">
        <x:v>46753</x:v>
      </x:c>
      <x:c r="C12047" s="0" t="s">
        <x:v>42840</x:v>
      </x:c>
      <x:c r="E12047" s="0" t="s">
        <x:v>46754</x:v>
      </x:c>
      <x:c r="F12047" s="0" t="s">
        <x:v>45</x:v>
      </x:c>
      <x:c r="G12047" s="0" t="s">
        <x:v>22</x:v>
      </x:c>
      <x:c r="H12047" s="0" t="s">
        <x:v>20</x:v>
      </x:c>
      <x:c r="I12047" s="0" t="s">
        <x:v>21</x:v>
      </x:c>
      <x:c r="K12047" s="0">
        <x:f>hyperlink("https://icd.who.int/dev11/l-ichi/en#/http%3A%2F%2Fid.who.int%2Ficd%2Fentity%2F1050306512","browser")</x:f>
      </x:c>
      <x:c r="L12047" s="0">
        <x:f>hyperlink("https://icat2.azurewebsites.net/icat/?ontology=ICD&amp;tab=ClassesTab&amp;id=http%3A%2F%2Fwho.int%2Ficd%23SpecificAnatomicLocation_2642","iCat")</x:f>
      </x:c>
      <x:c r="M12047" s="0" t="s">
        <x:v>21</x:v>
      </x:c>
      <x:c r="N12047" s="0" t="s">
        <x:v>46</x:v>
      </x:c>
    </x:row>
    <x:row r="12048" spans="1:16">
      <x:c r="A12048" s="0" t="s">
        <x:v>46755</x:v>
      </x:c>
      <x:c r="B12048" s="0" t="s">
        <x:v>46756</x:v>
      </x:c>
      <x:c r="C12048" s="0" t="s">
        <x:v>42840</x:v>
      </x:c>
      <x:c r="E12048" s="0" t="s">
        <x:v>46757</x:v>
      </x:c>
      <x:c r="F12048" s="0" t="s">
        <x:v>45</x:v>
      </x:c>
      <x:c r="G12048" s="0" t="s">
        <x:v>22</x:v>
      </x:c>
      <x:c r="H12048" s="0" t="s">
        <x:v>20</x:v>
      </x:c>
      <x:c r="I12048" s="0" t="s">
        <x:v>21</x:v>
      </x:c>
      <x:c r="K12048" s="0">
        <x:f>hyperlink("https://icd.who.int/dev11/l-ichi/en#/http%3A%2F%2Fid.who.int%2Ficd%2Fentity%2F699532048","browser")</x:f>
      </x:c>
      <x:c r="L12048" s="0">
        <x:f>hyperlink("https://icat2.azurewebsites.net/icat/?ontology=ICD&amp;tab=ClassesTab&amp;id=http%3A%2F%2Fwho.int%2Ficd%23SpecificAnatomicLocation_2643","iCat")</x:f>
      </x:c>
      <x:c r="M12048" s="0" t="s">
        <x:v>21</x:v>
      </x:c>
      <x:c r="N12048" s="0" t="s">
        <x:v>46</x:v>
      </x:c>
    </x:row>
    <x:row r="12049" spans="1:16">
      <x:c r="A12049" s="0" t="s">
        <x:v>46758</x:v>
      </x:c>
      <x:c r="B12049" s="0" t="s">
        <x:v>46759</x:v>
      </x:c>
      <x:c r="C12049" s="0" t="s">
        <x:v>42840</x:v>
      </x:c>
      <x:c r="E12049" s="0" t="s">
        <x:v>46760</x:v>
      </x:c>
      <x:c r="F12049" s="0" t="s">
        <x:v>45</x:v>
      </x:c>
      <x:c r="G12049" s="0" t="s">
        <x:v>22</x:v>
      </x:c>
      <x:c r="H12049" s="0" t="s">
        <x:v>20</x:v>
      </x:c>
      <x:c r="I12049" s="0" t="s">
        <x:v>21</x:v>
      </x:c>
      <x:c r="K12049" s="0">
        <x:f>hyperlink("https://icd.who.int/dev11/l-ichi/en#/http%3A%2F%2Fid.who.int%2Ficd%2Fentity%2F484535831","browser")</x:f>
      </x:c>
      <x:c r="L12049" s="0">
        <x:f>hyperlink("https://icat2.azurewebsites.net/icat/?ontology=ICD&amp;tab=ClassesTab&amp;id=http%3A%2F%2Fwho.int%2Ficd%23SpecificAnatomicLocation_2656","iCat")</x:f>
      </x:c>
      <x:c r="M12049" s="0" t="s">
        <x:v>21</x:v>
      </x:c>
      <x:c r="N12049" s="0" t="s">
        <x:v>46</x:v>
      </x:c>
    </x:row>
    <x:row r="12050" spans="1:16">
      <x:c r="A12050" s="0" t="s">
        <x:v>46761</x:v>
      </x:c>
      <x:c r="B12050" s="0" t="s">
        <x:v>46762</x:v>
      </x:c>
      <x:c r="C12050" s="0" t="s">
        <x:v>42840</x:v>
      </x:c>
      <x:c r="E12050" s="0" t="s">
        <x:v>46763</x:v>
      </x:c>
      <x:c r="F12050" s="0" t="s">
        <x:v>45</x:v>
      </x:c>
      <x:c r="G12050" s="0" t="s">
        <x:v>22</x:v>
      </x:c>
      <x:c r="H12050" s="0" t="s">
        <x:v>20</x:v>
      </x:c>
      <x:c r="I12050" s="0" t="s">
        <x:v>21</x:v>
      </x:c>
      <x:c r="K12050" s="0">
        <x:f>hyperlink("https://icd.who.int/dev11/l-ichi/en#/http%3A%2F%2Fid.who.int%2Ficd%2Fentity%2F180271312","browser")</x:f>
      </x:c>
      <x:c r="L12050" s="0">
        <x:f>hyperlink("https://icat2.azurewebsites.net/icat/?ontology=ICD&amp;tab=ClassesTab&amp;id=http%3A%2F%2Fwho.int%2Ficd%23SpecificAnatomicLocation_2510","iCat")</x:f>
      </x:c>
      <x:c r="M12050" s="0" t="s">
        <x:v>21</x:v>
      </x:c>
      <x:c r="N12050" s="0" t="s">
        <x:v>46</x:v>
      </x:c>
    </x:row>
    <x:row r="12051" spans="1:16">
      <x:c r="A12051" s="0" t="s">
        <x:v>46764</x:v>
      </x:c>
      <x:c r="B12051" s="0" t="s">
        <x:v>46765</x:v>
      </x:c>
      <x:c r="C12051" s="0" t="s">
        <x:v>42840</x:v>
      </x:c>
      <x:c r="E12051" s="0" t="s">
        <x:v>46766</x:v>
      </x:c>
      <x:c r="F12051" s="0" t="s">
        <x:v>45</x:v>
      </x:c>
      <x:c r="G12051" s="0" t="s">
        <x:v>22</x:v>
      </x:c>
      <x:c r="H12051" s="0" t="s">
        <x:v>20</x:v>
      </x:c>
      <x:c r="I12051" s="0" t="s">
        <x:v>21</x:v>
      </x:c>
      <x:c r="K12051" s="0">
        <x:f>hyperlink("https://icd.who.int/dev11/l-ichi/en#/http%3A%2F%2Fid.who.int%2Ficd%2Fentity%2F1791382209","browser")</x:f>
      </x:c>
      <x:c r="L12051" s="0">
        <x:f>hyperlink("https://icat2.azurewebsites.net/icat/?ontology=ICD&amp;tab=ClassesTab&amp;id=http%3A%2F%2Fwho.int%2Ficd%23SpecificAnatomicLocation_2538","iCat")</x:f>
      </x:c>
      <x:c r="M12051" s="0" t="s">
        <x:v>21</x:v>
      </x:c>
      <x:c r="N12051" s="0" t="s">
        <x:v>46</x:v>
      </x:c>
    </x:row>
    <x:row r="12052" spans="1:16">
      <x:c r="A12052" s="0" t="s">
        <x:v>46767</x:v>
      </x:c>
      <x:c r="B12052" s="0" t="s">
        <x:v>46768</x:v>
      </x:c>
      <x:c r="C12052" s="0" t="s">
        <x:v>42840</x:v>
      </x:c>
      <x:c r="E12052" s="0" t="s">
        <x:v>46769</x:v>
      </x:c>
      <x:c r="F12052" s="0" t="s">
        <x:v>45</x:v>
      </x:c>
      <x:c r="G12052" s="0" t="s">
        <x:v>22</x:v>
      </x:c>
      <x:c r="H12052" s="0" t="s">
        <x:v>20</x:v>
      </x:c>
      <x:c r="I12052" s="0" t="s">
        <x:v>21</x:v>
      </x:c>
      <x:c r="K12052" s="0">
        <x:f>hyperlink("https://icd.who.int/dev11/l-ichi/en#/http%3A%2F%2Fid.who.int%2Ficd%2Fentity%2F1833328145","browser")</x:f>
      </x:c>
      <x:c r="L12052" s="0">
        <x:f>hyperlink("https://icat2.azurewebsites.net/icat/?ontology=ICD&amp;tab=ClassesTab&amp;id=http%3A%2F%2Fwho.int%2Ficd%23SpecificAnatomicLocation_2683","iCat")</x:f>
      </x:c>
      <x:c r="M12052" s="0" t="s">
        <x:v>21</x:v>
      </x:c>
      <x:c r="N12052" s="0" t="s">
        <x:v>46</x:v>
      </x:c>
    </x:row>
    <x:row r="12053" spans="1:16">
      <x:c r="A12053" s="0" t="s">
        <x:v>46770</x:v>
      </x:c>
      <x:c r="B12053" s="0" t="s">
        <x:v>46771</x:v>
      </x:c>
      <x:c r="C12053" s="0" t="s">
        <x:v>42840</x:v>
      </x:c>
      <x:c r="E12053" s="0" t="s">
        <x:v>46772</x:v>
      </x:c>
      <x:c r="F12053" s="0" t="s">
        <x:v>45</x:v>
      </x:c>
      <x:c r="G12053" s="0" t="s">
        <x:v>22</x:v>
      </x:c>
      <x:c r="H12053" s="0" t="s">
        <x:v>20</x:v>
      </x:c>
      <x:c r="I12053" s="0" t="s">
        <x:v>21</x:v>
      </x:c>
      <x:c r="K12053" s="0">
        <x:f>hyperlink("https://icd.who.int/dev11/l-ichi/en#/http%3A%2F%2Fid.who.int%2Ficd%2Fentity%2F1648096464","browser")</x:f>
      </x:c>
      <x:c r="L12053" s="0">
        <x:f>hyperlink("https://icat2.azurewebsites.net/icat/?ontology=ICD&amp;tab=ClassesTab&amp;id=http%3A%2F%2Fwho.int%2Ficd%23SpecificAnatomicLocation_2646","iCat")</x:f>
      </x:c>
      <x:c r="M12053" s="0" t="s">
        <x:v>21</x:v>
      </x:c>
      <x:c r="N12053" s="0" t="s">
        <x:v>46</x:v>
      </x:c>
    </x:row>
    <x:row r="12054" spans="1:16">
      <x:c r="A12054" s="0" t="s">
        <x:v>46773</x:v>
      </x:c>
      <x:c r="B12054" s="0" t="s">
        <x:v>46774</x:v>
      </x:c>
      <x:c r="C12054" s="0" t="s">
        <x:v>42840</x:v>
      </x:c>
      <x:c r="E12054" s="0" t="s">
        <x:v>46775</x:v>
      </x:c>
      <x:c r="F12054" s="0" t="s">
        <x:v>45</x:v>
      </x:c>
      <x:c r="G12054" s="0" t="s">
        <x:v>22</x:v>
      </x:c>
      <x:c r="H12054" s="0" t="s">
        <x:v>20</x:v>
      </x:c>
      <x:c r="I12054" s="0" t="s">
        <x:v>21</x:v>
      </x:c>
      <x:c r="K12054" s="0">
        <x:f>hyperlink("https://icd.who.int/dev11/l-ichi/en#/http%3A%2F%2Fid.who.int%2Ficd%2Fentity%2F241753752","browser")</x:f>
      </x:c>
      <x:c r="L12054" s="0">
        <x:f>hyperlink("https://icat2.azurewebsites.net/icat/?ontology=ICD&amp;tab=ClassesTab&amp;id=http%3A%2F%2Fwho.int%2Ficd%23SpecificAnatomicLocation_2678","iCat")</x:f>
      </x:c>
      <x:c r="M12054" s="0" t="s">
        <x:v>21</x:v>
      </x:c>
      <x:c r="N12054" s="0" t="s">
        <x:v>46</x:v>
      </x:c>
    </x:row>
    <x:row r="12055" spans="1:16">
      <x:c r="A12055" s="0" t="s">
        <x:v>46776</x:v>
      </x:c>
      <x:c r="B12055" s="0" t="s">
        <x:v>46777</x:v>
      </x:c>
      <x:c r="C12055" s="0" t="s">
        <x:v>42840</x:v>
      </x:c>
      <x:c r="E12055" s="0" t="s">
        <x:v>46778</x:v>
      </x:c>
      <x:c r="F12055" s="0" t="s">
        <x:v>45</x:v>
      </x:c>
      <x:c r="G12055" s="0" t="s">
        <x:v>22</x:v>
      </x:c>
      <x:c r="H12055" s="0" t="s">
        <x:v>20</x:v>
      </x:c>
      <x:c r="I12055" s="0" t="s">
        <x:v>21</x:v>
      </x:c>
      <x:c r="K12055" s="0">
        <x:f>hyperlink("https://icd.who.int/dev11/l-ichi/en#/http%3A%2F%2Fid.who.int%2Ficd%2Fentity%2F1210083104","browser")</x:f>
      </x:c>
      <x:c r="L12055" s="0">
        <x:f>hyperlink("https://icat2.azurewebsites.net/icat/?ontology=ICD&amp;tab=ClassesTab&amp;id=http%3A%2F%2Fwho.int%2Ficd%23SpecificAnatomicLocation_2621","iCat")</x:f>
      </x:c>
      <x:c r="M12055" s="0" t="s">
        <x:v>20</x:v>
      </x:c>
      <x:c r="N12055" s="0" t="s">
        <x:v>35</x:v>
      </x:c>
    </x:row>
    <x:row r="12056" spans="1:16">
      <x:c r="A12056" s="0" t="s">
        <x:v>46779</x:v>
      </x:c>
      <x:c r="B12056" s="0" t="s">
        <x:v>46780</x:v>
      </x:c>
      <x:c r="C12056" s="0" t="s">
        <x:v>42840</x:v>
      </x:c>
      <x:c r="E12056" s="0" t="s">
        <x:v>46781</x:v>
      </x:c>
      <x:c r="F12056" s="0" t="s">
        <x:v>45</x:v>
      </x:c>
      <x:c r="G12056" s="0" t="s">
        <x:v>40</x:v>
      </x:c>
      <x:c r="H12056" s="0" t="s">
        <x:v>20</x:v>
      </x:c>
      <x:c r="I12056" s="0" t="s">
        <x:v>21</x:v>
      </x:c>
      <x:c r="K12056" s="0">
        <x:f>hyperlink("https://icd.who.int/dev11/l-ichi/en#/http%3A%2F%2Fid.who.int%2Ficd%2Fentity%2F542198632","browser")</x:f>
      </x:c>
      <x:c r="L12056" s="0">
        <x:f>hyperlink("https://icat2.azurewebsites.net/icat/?ontology=ICD&amp;tab=ClassesTab&amp;id=http%3A%2F%2Fwho.int%2Ficd%23SpecificAnatomicLocation_2526","iCat")</x:f>
      </x:c>
      <x:c r="M12056" s="0" t="s">
        <x:v>21</x:v>
      </x:c>
      <x:c r="N12056" s="0" t="s">
        <x:v>46</x:v>
      </x:c>
    </x:row>
    <x:row r="12057" spans="1:16">
      <x:c r="A12057" s="0" t="s">
        <x:v>46782</x:v>
      </x:c>
      <x:c r="B12057" s="0" t="s">
        <x:v>46783</x:v>
      </x:c>
      <x:c r="C12057" s="0" t="s">
        <x:v>42840</x:v>
      </x:c>
      <x:c r="E12057" s="0" t="s">
        <x:v>46784</x:v>
      </x:c>
      <x:c r="F12057" s="0" t="s">
        <x:v>45</x:v>
      </x:c>
      <x:c r="G12057" s="0" t="s">
        <x:v>40</x:v>
      </x:c>
      <x:c r="H12057" s="0" t="s">
        <x:v>20</x:v>
      </x:c>
      <x:c r="I12057" s="0" t="s">
        <x:v>21</x:v>
      </x:c>
      <x:c r="K12057" s="0">
        <x:f>hyperlink("https://icd.who.int/dev11/l-ichi/en#/http%3A%2F%2Fid.who.int%2Ficd%2Fentity%2F1307111185","browser")</x:f>
      </x:c>
      <x:c r="L12057" s="0">
        <x:f>hyperlink("https://icat2.azurewebsites.net/icat/?ontology=ICD&amp;tab=ClassesTab&amp;id=http%3A%2F%2Fwho.int%2Ficd%23SpecificAnatomicLocation_2552","iCat")</x:f>
      </x:c>
      <x:c r="M12057" s="0" t="s">
        <x:v>21</x:v>
      </x:c>
      <x:c r="N12057" s="0" t="s">
        <x:v>46</x:v>
      </x:c>
    </x:row>
    <x:row r="12058" spans="1:16">
      <x:c r="A12058" s="0" t="s">
        <x:v>46785</x:v>
      </x:c>
      <x:c r="B12058" s="0" t="s">
        <x:v>46786</x:v>
      </x:c>
      <x:c r="C12058" s="0" t="s">
        <x:v>42840</x:v>
      </x:c>
      <x:c r="E12058" s="0" t="s">
        <x:v>46787</x:v>
      </x:c>
      <x:c r="F12058" s="0" t="s">
        <x:v>45</x:v>
      </x:c>
      <x:c r="G12058" s="0" t="s">
        <x:v>40</x:v>
      </x:c>
      <x:c r="H12058" s="0" t="s">
        <x:v>20</x:v>
      </x:c>
      <x:c r="I12058" s="0" t="s">
        <x:v>21</x:v>
      </x:c>
      <x:c r="K12058" s="0">
        <x:f>hyperlink("https://icd.who.int/dev11/l-ichi/en#/http%3A%2F%2Fid.who.int%2Ficd%2Fentity%2F1157613375","browser")</x:f>
      </x:c>
      <x:c r="L12058" s="0">
        <x:f>hyperlink("https://icat2.azurewebsites.net/icat/?ontology=ICD&amp;tab=ClassesTab&amp;id=http%3A%2F%2Fwho.int%2Ficd%23SpecificAnatomicLocation_2666","iCat")</x:f>
      </x:c>
      <x:c r="M12058" s="0" t="s">
        <x:v>21</x:v>
      </x:c>
      <x:c r="N12058" s="0" t="s">
        <x:v>46</x:v>
      </x:c>
    </x:row>
    <x:row r="12059" spans="1:16">
      <x:c r="A12059" s="0" t="s">
        <x:v>46788</x:v>
      </x:c>
      <x:c r="B12059" s="0" t="s">
        <x:v>46789</x:v>
      </x:c>
      <x:c r="C12059" s="0" t="s">
        <x:v>42840</x:v>
      </x:c>
      <x:c r="E12059" s="0" t="s">
        <x:v>46790</x:v>
      </x:c>
      <x:c r="F12059" s="0" t="s">
        <x:v>45</x:v>
      </x:c>
      <x:c r="G12059" s="0" t="s">
        <x:v>35</x:v>
      </x:c>
      <x:c r="H12059" s="0" t="s">
        <x:v>20</x:v>
      </x:c>
      <x:c r="I12059" s="0" t="s">
        <x:v>21</x:v>
      </x:c>
      <x:c r="K12059" s="0">
        <x:f>hyperlink("https://icd.who.int/dev11/l-ichi/en#/http%3A%2F%2Fid.who.int%2Ficd%2Fentity%2F389580608","browser")</x:f>
      </x:c>
      <x:c r="L12059" s="0">
        <x:f>hyperlink("https://icat2.azurewebsites.net/icat/?ontology=ICD&amp;tab=ClassesTab&amp;id=http%3A%2F%2Fwho.int%2Ficd%233963_1a025aad_bab4_45d3_85b5_2f8609f7d6c2","iCat")</x:f>
      </x:c>
      <x:c r="M12059" s="0" t="s">
        <x:v>20</x:v>
      </x:c>
      <x:c r="N12059" s="0" t="s">
        <x:v>7780</x:v>
      </x:c>
    </x:row>
    <x:row r="12060" spans="1:16">
      <x:c r="A12060" s="0" t="s">
        <x:v>46791</x:v>
      </x:c>
      <x:c r="B12060" s="0" t="s">
        <x:v>46792</x:v>
      </x:c>
      <x:c r="C12060" s="0" t="s">
        <x:v>42840</x:v>
      </x:c>
      <x:c r="E12060" s="0" t="s">
        <x:v>46793</x:v>
      </x:c>
      <x:c r="F12060" s="0" t="s">
        <x:v>45</x:v>
      </x:c>
      <x:c r="G12060" s="0" t="s">
        <x:v>22</x:v>
      </x:c>
      <x:c r="H12060" s="0" t="s">
        <x:v>20</x:v>
      </x:c>
      <x:c r="I12060" s="0" t="s">
        <x:v>21</x:v>
      </x:c>
      <x:c r="K12060" s="0">
        <x:f>hyperlink("https://icd.who.int/dev11/l-ichi/en#/http%3A%2F%2Fid.who.int%2Ficd%2Fentity%2F1914964904","browser")</x:f>
      </x:c>
      <x:c r="L12060" s="0">
        <x:f>hyperlink("https://icat2.azurewebsites.net/icat/?ontology=ICD&amp;tab=ClassesTab&amp;id=http%3A%2F%2Fwho.int%2Ficd%23SpecificAnatomicLocation_2438","iCat")</x:f>
      </x:c>
      <x:c r="M12060" s="0" t="s">
        <x:v>21</x:v>
      </x:c>
      <x:c r="N12060" s="0" t="s">
        <x:v>46</x:v>
      </x:c>
    </x:row>
    <x:row r="12061" spans="1:16">
      <x:c r="A12061" s="0" t="s">
        <x:v>46794</x:v>
      </x:c>
      <x:c r="B12061" s="0" t="s">
        <x:v>46795</x:v>
      </x:c>
      <x:c r="C12061" s="0" t="s">
        <x:v>42840</x:v>
      </x:c>
      <x:c r="E12061" s="0" t="s">
        <x:v>46796</x:v>
      </x:c>
      <x:c r="F12061" s="0" t="s">
        <x:v>45</x:v>
      </x:c>
      <x:c r="G12061" s="0" t="s">
        <x:v>22</x:v>
      </x:c>
      <x:c r="H12061" s="0" t="s">
        <x:v>20</x:v>
      </x:c>
      <x:c r="I12061" s="0" t="s">
        <x:v>21</x:v>
      </x:c>
      <x:c r="K12061" s="0">
        <x:f>hyperlink("https://icd.who.int/dev11/l-ichi/en#/http%3A%2F%2Fid.who.int%2Ficd%2Fentity%2F1128021215","browser")</x:f>
      </x:c>
      <x:c r="L12061" s="0">
        <x:f>hyperlink("https://icat2.azurewebsites.net/icat/?ontology=ICD&amp;tab=ClassesTab&amp;id=http%3A%2F%2Fwho.int%2Ficd%23SpecificAnatomicLocation_2448","iCat")</x:f>
      </x:c>
      <x:c r="M12061" s="0" t="s">
        <x:v>21</x:v>
      </x:c>
      <x:c r="N12061" s="0" t="s">
        <x:v>46</x:v>
      </x:c>
    </x:row>
    <x:row r="12062" spans="1:16">
      <x:c r="A12062" s="0" t="s">
        <x:v>46797</x:v>
      </x:c>
      <x:c r="B12062" s="0" t="s">
        <x:v>46798</x:v>
      </x:c>
      <x:c r="C12062" s="0" t="s">
        <x:v>42840</x:v>
      </x:c>
      <x:c r="E12062" s="0" t="s">
        <x:v>46799</x:v>
      </x:c>
      <x:c r="F12062" s="0" t="s">
        <x:v>45</x:v>
      </x:c>
      <x:c r="G12062" s="0" t="s">
        <x:v>22</x:v>
      </x:c>
      <x:c r="H12062" s="0" t="s">
        <x:v>20</x:v>
      </x:c>
      <x:c r="I12062" s="0" t="s">
        <x:v>21</x:v>
      </x:c>
      <x:c r="K12062" s="0">
        <x:f>hyperlink("https://icd.who.int/dev11/l-ichi/en#/http%3A%2F%2Fid.who.int%2Ficd%2Fentity%2F1926261744","browser")</x:f>
      </x:c>
      <x:c r="L12062" s="0">
        <x:f>hyperlink("https://icat2.azurewebsites.net/icat/?ontology=ICD&amp;tab=ClassesTab&amp;id=http%3A%2F%2Fwho.int%2Ficd%23SpecificAnatomicLocation_2469","iCat")</x:f>
      </x:c>
      <x:c r="M12062" s="0" t="s">
        <x:v>21</x:v>
      </x:c>
      <x:c r="N12062" s="0" t="s">
        <x:v>46</x:v>
      </x:c>
    </x:row>
    <x:row r="12063" spans="1:16">
      <x:c r="A12063" s="0" t="s">
        <x:v>46800</x:v>
      </x:c>
      <x:c r="B12063" s="0" t="s">
        <x:v>46801</x:v>
      </x:c>
      <x:c r="C12063" s="0" t="s">
        <x:v>42840</x:v>
      </x:c>
      <x:c r="E12063" s="0" t="s">
        <x:v>46802</x:v>
      </x:c>
      <x:c r="F12063" s="0" t="s">
        <x:v>45</x:v>
      </x:c>
      <x:c r="G12063" s="0" t="s">
        <x:v>22</x:v>
      </x:c>
      <x:c r="H12063" s="0" t="s">
        <x:v>20</x:v>
      </x:c>
      <x:c r="I12063" s="0" t="s">
        <x:v>21</x:v>
      </x:c>
      <x:c r="K12063" s="0">
        <x:f>hyperlink("https://icd.who.int/dev11/l-ichi/en#/http%3A%2F%2Fid.who.int%2Ficd%2Fentity%2F619606352","browser")</x:f>
      </x:c>
      <x:c r="L12063" s="0">
        <x:f>hyperlink("https://icat2.azurewebsites.net/icat/?ontology=ICD&amp;tab=ClassesTab&amp;id=http%3A%2F%2Fwho.int%2Ficd%23SpecificAnatomicLocation_2512","iCat")</x:f>
      </x:c>
      <x:c r="M12063" s="0" t="s">
        <x:v>21</x:v>
      </x:c>
      <x:c r="N12063" s="0" t="s">
        <x:v>46</x:v>
      </x:c>
    </x:row>
    <x:row r="12064" spans="1:16">
      <x:c r="A12064" s="0" t="s">
        <x:v>46803</x:v>
      </x:c>
      <x:c r="B12064" s="0" t="s">
        <x:v>46804</x:v>
      </x:c>
      <x:c r="C12064" s="0" t="s">
        <x:v>42840</x:v>
      </x:c>
      <x:c r="E12064" s="0" t="s">
        <x:v>46805</x:v>
      </x:c>
      <x:c r="F12064" s="0" t="s">
        <x:v>45</x:v>
      </x:c>
      <x:c r="G12064" s="0" t="s">
        <x:v>22</x:v>
      </x:c>
      <x:c r="H12064" s="0" t="s">
        <x:v>20</x:v>
      </x:c>
      <x:c r="I12064" s="0" t="s">
        <x:v>21</x:v>
      </x:c>
      <x:c r="K12064" s="0">
        <x:f>hyperlink("https://icd.who.int/dev11/l-ichi/en#/http%3A%2F%2Fid.who.int%2Ficd%2Fentity%2F636526377","browser")</x:f>
      </x:c>
      <x:c r="L12064" s="0">
        <x:f>hyperlink("https://icat2.azurewebsites.net/icat/?ontology=ICD&amp;tab=ClassesTab&amp;id=http%3A%2F%2Fwho.int%2Ficd%23SpecificAnatomicLocation_2509","iCat")</x:f>
      </x:c>
      <x:c r="M12064" s="0" t="s">
        <x:v>21</x:v>
      </x:c>
      <x:c r="N12064" s="0" t="s">
        <x:v>46</x:v>
      </x:c>
    </x:row>
    <x:row r="12065" spans="1:16">
      <x:c r="A12065" s="0" t="s">
        <x:v>46806</x:v>
      </x:c>
      <x:c r="B12065" s="0" t="s">
        <x:v>46807</x:v>
      </x:c>
      <x:c r="C12065" s="0" t="s">
        <x:v>42840</x:v>
      </x:c>
      <x:c r="E12065" s="0" t="s">
        <x:v>46808</x:v>
      </x:c>
      <x:c r="F12065" s="0" t="s">
        <x:v>45</x:v>
      </x:c>
      <x:c r="G12065" s="0" t="s">
        <x:v>22</x:v>
      </x:c>
      <x:c r="H12065" s="0" t="s">
        <x:v>20</x:v>
      </x:c>
      <x:c r="I12065" s="0" t="s">
        <x:v>21</x:v>
      </x:c>
      <x:c r="K12065" s="0">
        <x:f>hyperlink("https://icd.who.int/dev11/l-ichi/en#/http%3A%2F%2Fid.who.int%2Ficd%2Fentity%2F674353489","browser")</x:f>
      </x:c>
      <x:c r="L12065" s="0">
        <x:f>hyperlink("https://icat2.azurewebsites.net/icat/?ontology=ICD&amp;tab=ClassesTab&amp;id=http%3A%2F%2Fwho.int%2Ficd%23SpecificAnatomicLocation_2555","iCat")</x:f>
      </x:c>
      <x:c r="M12065" s="0" t="s">
        <x:v>21</x:v>
      </x:c>
      <x:c r="N12065" s="0" t="s">
        <x:v>46</x:v>
      </x:c>
    </x:row>
    <x:row r="12066" spans="1:16">
      <x:c r="A12066" s="0" t="s">
        <x:v>46809</x:v>
      </x:c>
      <x:c r="B12066" s="0" t="s">
        <x:v>46810</x:v>
      </x:c>
      <x:c r="C12066" s="0" t="s">
        <x:v>42840</x:v>
      </x:c>
      <x:c r="E12066" s="0" t="s">
        <x:v>46811</x:v>
      </x:c>
      <x:c r="F12066" s="0" t="s">
        <x:v>45</x:v>
      </x:c>
      <x:c r="G12066" s="0" t="s">
        <x:v>22</x:v>
      </x:c>
      <x:c r="H12066" s="0" t="s">
        <x:v>20</x:v>
      </x:c>
      <x:c r="I12066" s="0" t="s">
        <x:v>21</x:v>
      </x:c>
      <x:c r="K12066" s="0">
        <x:f>hyperlink("https://icd.who.int/dev11/l-ichi/en#/http%3A%2F%2Fid.who.int%2Ficd%2Fentity%2F134372457","browser")</x:f>
      </x:c>
      <x:c r="L12066" s="0">
        <x:f>hyperlink("https://icat2.azurewebsites.net/icat/?ontology=ICD&amp;tab=ClassesTab&amp;id=http%3A%2F%2Fwho.int%2Ficd%23SpecificAnatomicLocation_2589","iCat")</x:f>
      </x:c>
      <x:c r="M12066" s="0" t="s">
        <x:v>21</x:v>
      </x:c>
      <x:c r="N12066" s="0" t="s">
        <x:v>46</x:v>
      </x:c>
    </x:row>
    <x:row r="12067" spans="1:16">
      <x:c r="A12067" s="0" t="s">
        <x:v>46812</x:v>
      </x:c>
      <x:c r="B12067" s="0" t="s">
        <x:v>46813</x:v>
      </x:c>
      <x:c r="C12067" s="0" t="s">
        <x:v>42840</x:v>
      </x:c>
      <x:c r="E12067" s="0" t="s">
        <x:v>46814</x:v>
      </x:c>
      <x:c r="F12067" s="0" t="s">
        <x:v>45</x:v>
      </x:c>
      <x:c r="G12067" s="0" t="s">
        <x:v>22</x:v>
      </x:c>
      <x:c r="H12067" s="0" t="s">
        <x:v>20</x:v>
      </x:c>
      <x:c r="I12067" s="0" t="s">
        <x:v>21</x:v>
      </x:c>
      <x:c r="K12067" s="0">
        <x:f>hyperlink("https://icd.who.int/dev11/l-ichi/en#/http%3A%2F%2Fid.who.int%2Ficd%2Fentity%2F659323790","browser")</x:f>
      </x:c>
      <x:c r="L12067" s="0">
        <x:f>hyperlink("https://icat2.azurewebsites.net/icat/?ontology=ICD&amp;tab=ClassesTab&amp;id=http%3A%2F%2Fwho.int%2Ficd%23SpecificAnatomicLocation_2590","iCat")</x:f>
      </x:c>
      <x:c r="M12067" s="0" t="s">
        <x:v>21</x:v>
      </x:c>
      <x:c r="N12067" s="0" t="s">
        <x:v>46</x:v>
      </x:c>
    </x:row>
    <x:row r="12068" spans="1:16">
      <x:c r="A12068" s="0" t="s">
        <x:v>46815</x:v>
      </x:c>
      <x:c r="B12068" s="0" t="s">
        <x:v>46816</x:v>
      </x:c>
      <x:c r="C12068" s="0" t="s">
        <x:v>42840</x:v>
      </x:c>
      <x:c r="E12068" s="0" t="s">
        <x:v>46817</x:v>
      </x:c>
      <x:c r="F12068" s="0" t="s">
        <x:v>45</x:v>
      </x:c>
      <x:c r="G12068" s="0" t="s">
        <x:v>22</x:v>
      </x:c>
      <x:c r="H12068" s="0" t="s">
        <x:v>20</x:v>
      </x:c>
      <x:c r="I12068" s="0" t="s">
        <x:v>21</x:v>
      </x:c>
      <x:c r="K12068" s="0">
        <x:f>hyperlink("https://icd.who.int/dev11/l-ichi/en#/http%3A%2F%2Fid.who.int%2Ficd%2Fentity%2F2079189134","browser")</x:f>
      </x:c>
      <x:c r="L12068" s="0">
        <x:f>hyperlink("https://icat2.azurewebsites.net/icat/?ontology=ICD&amp;tab=ClassesTab&amp;id=http%3A%2F%2Fwho.int%2Ficd%23SpecificAnatomicLocation_2594","iCat")</x:f>
      </x:c>
      <x:c r="M12068" s="0" t="s">
        <x:v>21</x:v>
      </x:c>
      <x:c r="N12068" s="0" t="s">
        <x:v>46</x:v>
      </x:c>
    </x:row>
    <x:row r="12069" spans="1:16">
      <x:c r="A12069" s="0" t="s">
        <x:v>46818</x:v>
      </x:c>
      <x:c r="B12069" s="0" t="s">
        <x:v>46819</x:v>
      </x:c>
      <x:c r="C12069" s="0" t="s">
        <x:v>42840</x:v>
      </x:c>
      <x:c r="E12069" s="0" t="s">
        <x:v>46820</x:v>
      </x:c>
      <x:c r="F12069" s="0" t="s">
        <x:v>45</x:v>
      </x:c>
      <x:c r="G12069" s="0" t="s">
        <x:v>22</x:v>
      </x:c>
      <x:c r="H12069" s="0" t="s">
        <x:v>20</x:v>
      </x:c>
      <x:c r="I12069" s="0" t="s">
        <x:v>21</x:v>
      </x:c>
      <x:c r="K12069" s="0">
        <x:f>hyperlink("https://icd.who.int/dev11/l-ichi/en#/http%3A%2F%2Fid.who.int%2Ficd%2Fentity%2F843433937","browser")</x:f>
      </x:c>
      <x:c r="L12069" s="0">
        <x:f>hyperlink("https://icat2.azurewebsites.net/icat/?ontology=ICD&amp;tab=ClassesTab&amp;id=http%3A%2F%2Fwho.int%2Ficd%23SpecificAnatomicLocation_2605","iCat")</x:f>
      </x:c>
      <x:c r="M12069" s="0" t="s">
        <x:v>21</x:v>
      </x:c>
      <x:c r="N12069" s="0" t="s">
        <x:v>46</x:v>
      </x:c>
    </x:row>
    <x:row r="12070" spans="1:16">
      <x:c r="A12070" s="0" t="s">
        <x:v>46821</x:v>
      </x:c>
      <x:c r="B12070" s="0" t="s">
        <x:v>46822</x:v>
      </x:c>
      <x:c r="C12070" s="0" t="s">
        <x:v>42840</x:v>
      </x:c>
      <x:c r="E12070" s="0" t="s">
        <x:v>46823</x:v>
      </x:c>
      <x:c r="F12070" s="0" t="s">
        <x:v>45</x:v>
      </x:c>
      <x:c r="G12070" s="0" t="s">
        <x:v>22</x:v>
      </x:c>
      <x:c r="H12070" s="0" t="s">
        <x:v>20</x:v>
      </x:c>
      <x:c r="I12070" s="0" t="s">
        <x:v>21</x:v>
      </x:c>
      <x:c r="K12070" s="0">
        <x:f>hyperlink("https://icd.who.int/dev11/l-ichi/en#/http%3A%2F%2Fid.who.int%2Ficd%2Fentity%2F715628216","browser")</x:f>
      </x:c>
      <x:c r="L12070" s="0">
        <x:f>hyperlink("https://icat2.azurewebsites.net/icat/?ontology=ICD&amp;tab=ClassesTab&amp;id=http%3A%2F%2Fwho.int%2Ficd%23SpecificAnatomicLocation_2705","iCat")</x:f>
      </x:c>
      <x:c r="M12070" s="0" t="s">
        <x:v>21</x:v>
      </x:c>
      <x:c r="N12070" s="0" t="s">
        <x:v>46</x:v>
      </x:c>
    </x:row>
    <x:row r="12071" spans="1:16">
      <x:c r="A12071" s="0" t="s">
        <x:v>46824</x:v>
      </x:c>
      <x:c r="B12071" s="0" t="s">
        <x:v>46825</x:v>
      </x:c>
      <x:c r="C12071" s="0" t="s">
        <x:v>42840</x:v>
      </x:c>
      <x:c r="E12071" s="0" t="s">
        <x:v>46826</x:v>
      </x:c>
      <x:c r="F12071" s="0" t="s">
        <x:v>45</x:v>
      </x:c>
      <x:c r="G12071" s="0" t="s">
        <x:v>22</x:v>
      </x:c>
      <x:c r="H12071" s="0" t="s">
        <x:v>20</x:v>
      </x:c>
      <x:c r="I12071" s="0" t="s">
        <x:v>21</x:v>
      </x:c>
      <x:c r="K12071" s="0">
        <x:f>hyperlink("https://icd.who.int/dev11/l-ichi/en#/http%3A%2F%2Fid.who.int%2Ficd%2Fentity%2F1692852553","browser")</x:f>
      </x:c>
      <x:c r="L12071" s="0">
        <x:f>hyperlink("https://icat2.azurewebsites.net/icat/?ontology=ICD&amp;tab=ClassesTab&amp;id=http%3A%2F%2Fwho.int%2Ficd%23SpecificAnatomicLocation_2473","iCat")</x:f>
      </x:c>
      <x:c r="M12071" s="0" t="s">
        <x:v>21</x:v>
      </x:c>
      <x:c r="N12071" s="0" t="s">
        <x:v>46</x:v>
      </x:c>
    </x:row>
    <x:row r="12072" spans="1:16">
      <x:c r="A12072" s="0" t="s">
        <x:v>46827</x:v>
      </x:c>
      <x:c r="B12072" s="0" t="s">
        <x:v>46828</x:v>
      </x:c>
      <x:c r="C12072" s="0" t="s">
        <x:v>42840</x:v>
      </x:c>
      <x:c r="E12072" s="0" t="s">
        <x:v>46829</x:v>
      </x:c>
      <x:c r="F12072" s="0" t="s">
        <x:v>45</x:v>
      </x:c>
      <x:c r="G12072" s="0" t="s">
        <x:v>22</x:v>
      </x:c>
      <x:c r="H12072" s="0" t="s">
        <x:v>20</x:v>
      </x:c>
      <x:c r="I12072" s="0" t="s">
        <x:v>21</x:v>
      </x:c>
      <x:c r="K12072" s="0">
        <x:f>hyperlink("https://icd.who.int/dev11/l-ichi/en#/http%3A%2F%2Fid.who.int%2Ficd%2Fentity%2F755841320","browser")</x:f>
      </x:c>
      <x:c r="L12072" s="0">
        <x:f>hyperlink("https://icat2.azurewebsites.net/icat/?ontology=ICD&amp;tab=ClassesTab&amp;id=http%3A%2F%2Fwho.int%2Ficd%23SpecificAnatomicLocation_2677","iCat")</x:f>
      </x:c>
      <x:c r="M12072" s="0" t="s">
        <x:v>21</x:v>
      </x:c>
      <x:c r="N12072" s="0" t="s">
        <x:v>46</x:v>
      </x:c>
    </x:row>
    <x:row r="12073" spans="1:16">
      <x:c r="A12073" s="0" t="s">
        <x:v>46830</x:v>
      </x:c>
      <x:c r="B12073" s="0" t="s">
        <x:v>46831</x:v>
      </x:c>
      <x:c r="C12073" s="0" t="s">
        <x:v>42840</x:v>
      </x:c>
      <x:c r="E12073" s="0" t="s">
        <x:v>46832</x:v>
      </x:c>
      <x:c r="F12073" s="0" t="s">
        <x:v>45</x:v>
      </x:c>
      <x:c r="G12073" s="0" t="s">
        <x:v>22</x:v>
      </x:c>
      <x:c r="H12073" s="0" t="s">
        <x:v>20</x:v>
      </x:c>
      <x:c r="I12073" s="0" t="s">
        <x:v>21</x:v>
      </x:c>
      <x:c r="K12073" s="0">
        <x:f>hyperlink("https://icd.who.int/dev11/l-ichi/en#/http%3A%2F%2Fid.who.int%2Ficd%2Fentity%2F819169336","browser")</x:f>
      </x:c>
      <x:c r="L12073" s="0">
        <x:f>hyperlink("https://icat2.azurewebsites.net/icat/?ontology=ICD&amp;tab=ClassesTab&amp;id=http%3A%2F%2Fwho.int%2Ficd%23SpecificAnatomicLocation_2455","iCat")</x:f>
      </x:c>
      <x:c r="M12073" s="0" t="s">
        <x:v>20</x:v>
      </x:c>
      <x:c r="N12073" s="0" t="s">
        <x:v>35</x:v>
      </x:c>
    </x:row>
    <x:row r="12074" spans="1:16">
      <x:c r="A12074" s="0" t="s">
        <x:v>46833</x:v>
      </x:c>
      <x:c r="B12074" s="0" t="s">
        <x:v>46834</x:v>
      </x:c>
      <x:c r="C12074" s="0" t="s">
        <x:v>42840</x:v>
      </x:c>
      <x:c r="E12074" s="0" t="s">
        <x:v>46835</x:v>
      </x:c>
      <x:c r="F12074" s="0" t="s">
        <x:v>45</x:v>
      </x:c>
      <x:c r="G12074" s="0" t="s">
        <x:v>40</x:v>
      </x:c>
      <x:c r="H12074" s="0" t="s">
        <x:v>20</x:v>
      </x:c>
      <x:c r="I12074" s="0" t="s">
        <x:v>21</x:v>
      </x:c>
      <x:c r="K12074" s="0">
        <x:f>hyperlink("https://icd.who.int/dev11/l-ichi/en#/http%3A%2F%2Fid.who.int%2Ficd%2Fentity%2F771316064","browser")</x:f>
      </x:c>
      <x:c r="L12074" s="0">
        <x:f>hyperlink("https://icat2.azurewebsites.net/icat/?ontology=ICD&amp;tab=ClassesTab&amp;id=http%3A%2F%2Fwho.int%2Ficd%23SpecificAnatomicLocation_2626","iCat")</x:f>
      </x:c>
      <x:c r="M12074" s="0" t="s">
        <x:v>21</x:v>
      </x:c>
      <x:c r="N12074" s="0" t="s">
        <x:v>46</x:v>
      </x:c>
    </x:row>
    <x:row r="12075" spans="1:16">
      <x:c r="A12075" s="0" t="s">
        <x:v>46836</x:v>
      </x:c>
      <x:c r="B12075" s="0" t="s">
        <x:v>46837</x:v>
      </x:c>
      <x:c r="C12075" s="0" t="s">
        <x:v>42840</x:v>
      </x:c>
      <x:c r="E12075" s="0" t="s">
        <x:v>46838</x:v>
      </x:c>
      <x:c r="F12075" s="0" t="s">
        <x:v>45</x:v>
      </x:c>
      <x:c r="G12075" s="0" t="s">
        <x:v>40</x:v>
      </x:c>
      <x:c r="H12075" s="0" t="s">
        <x:v>20</x:v>
      </x:c>
      <x:c r="I12075" s="0" t="s">
        <x:v>21</x:v>
      </x:c>
      <x:c r="K12075" s="0">
        <x:f>hyperlink("https://icd.who.int/dev11/l-ichi/en#/http%3A%2F%2Fid.who.int%2Ficd%2Fentity%2F1165759840","browser")</x:f>
      </x:c>
      <x:c r="L12075" s="0">
        <x:f>hyperlink("https://icat2.azurewebsites.net/icat/?ontology=ICD&amp;tab=ClassesTab&amp;id=http%3A%2F%2Fwho.int%2Ficd%23SpecificAnatomicLocation_2570","iCat")</x:f>
      </x:c>
      <x:c r="M12075" s="0" t="s">
        <x:v>21</x:v>
      </x:c>
      <x:c r="N12075" s="0" t="s">
        <x:v>46</x:v>
      </x:c>
    </x:row>
    <x:row r="12076" spans="1:16">
      <x:c r="A12076" s="0" t="s">
        <x:v>46839</x:v>
      </x:c>
      <x:c r="B12076" s="0" t="s">
        <x:v>46840</x:v>
      </x:c>
      <x:c r="C12076" s="0" t="s">
        <x:v>42840</x:v>
      </x:c>
      <x:c r="E12076" s="0" t="s">
        <x:v>46841</x:v>
      </x:c>
      <x:c r="F12076" s="0" t="s">
        <x:v>45</x:v>
      </x:c>
      <x:c r="G12076" s="0" t="s">
        <x:v>40</x:v>
      </x:c>
      <x:c r="H12076" s="0" t="s">
        <x:v>20</x:v>
      </x:c>
      <x:c r="I12076" s="0" t="s">
        <x:v>21</x:v>
      </x:c>
      <x:c r="K12076" s="0">
        <x:f>hyperlink("https://icd.who.int/dev11/l-ichi/en#/http%3A%2F%2Fid.who.int%2Ficd%2Fentity%2F1274407871","browser")</x:f>
      </x:c>
      <x:c r="L12076" s="0">
        <x:f>hyperlink("https://icat2.azurewebsites.net/icat/?ontology=ICD&amp;tab=ClassesTab&amp;id=http%3A%2F%2Fwho.int%2Ficd%237192_1a025aad_bab4_45d3_85b5_2f8609f7d6c2","iCat")</x:f>
      </x:c>
      <x:c r="M12076" s="0" t="s">
        <x:v>21</x:v>
      </x:c>
      <x:c r="N12076" s="0" t="s">
        <x:v>46</x:v>
      </x:c>
    </x:row>
    <x:row r="12077" spans="1:16">
      <x:c r="A12077" s="0" t="s">
        <x:v>46842</x:v>
      </x:c>
      <x:c r="B12077" s="0" t="s">
        <x:v>46843</x:v>
      </x:c>
      <x:c r="C12077" s="0" t="s">
        <x:v>42840</x:v>
      </x:c>
      <x:c r="E12077" s="0" t="s">
        <x:v>46844</x:v>
      </x:c>
      <x:c r="F12077" s="0" t="s">
        <x:v>45</x:v>
      </x:c>
      <x:c r="G12077" s="0" t="s">
        <x:v>22</x:v>
      </x:c>
      <x:c r="H12077" s="0" t="s">
        <x:v>20</x:v>
      </x:c>
      <x:c r="I12077" s="0" t="s">
        <x:v>21</x:v>
      </x:c>
      <x:c r="K12077" s="0">
        <x:f>hyperlink("https://icd.who.int/dev11/l-ichi/en#/http%3A%2F%2Fid.who.int%2Ficd%2Fentity%2F358773790","browser")</x:f>
      </x:c>
      <x:c r="L12077" s="0">
        <x:f>hyperlink("https://icat2.azurewebsites.net/icat/?ontology=ICD&amp;tab=ClassesTab&amp;id=http%3A%2F%2Fwho.int%2Ficd%237213_1a025aad_bab4_45d3_85b5_2f8609f7d6c2","iCat")</x:f>
      </x:c>
      <x:c r="M12077" s="0" t="s">
        <x:v>20</x:v>
      </x:c>
      <x:c r="N12077" s="0" t="s">
        <x:v>22</x:v>
      </x:c>
    </x:row>
    <x:row r="12078" spans="1:16">
      <x:c r="A12078" s="0" t="s">
        <x:v>46845</x:v>
      </x:c>
      <x:c r="B12078" s="0" t="s">
        <x:v>46846</x:v>
      </x:c>
      <x:c r="C12078" s="0" t="s">
        <x:v>42840</x:v>
      </x:c>
      <x:c r="E12078" s="0" t="s">
        <x:v>46847</x:v>
      </x:c>
      <x:c r="F12078" s="0" t="s">
        <x:v>45</x:v>
      </x:c>
      <x:c r="G12078" s="0" t="s">
        <x:v>40</x:v>
      </x:c>
      <x:c r="H12078" s="0" t="s">
        <x:v>20</x:v>
      </x:c>
      <x:c r="I12078" s="0" t="s">
        <x:v>21</x:v>
      </x:c>
      <x:c r="K12078" s="0">
        <x:f>hyperlink("https://icd.who.int/dev11/l-ichi/en#/http%3A%2F%2Fid.who.int%2Ficd%2Fentity%2F1381265824","browser")</x:f>
      </x:c>
      <x:c r="L12078" s="0">
        <x:f>hyperlink("https://icat2.azurewebsites.net/icat/?ontology=ICD&amp;tab=ClassesTab&amp;id=http%3A%2F%2Fwho.int%2Ficd%23SpecificAnatomicLocation_2571","iCat")</x:f>
      </x:c>
      <x:c r="M12078" s="0" t="s">
        <x:v>21</x:v>
      </x:c>
      <x:c r="N12078" s="0" t="s">
        <x:v>46</x:v>
      </x:c>
    </x:row>
    <x:row r="12079" spans="1:16">
      <x:c r="A12079" s="0" t="s">
        <x:v>46848</x:v>
      </x:c>
      <x:c r="B12079" s="0" t="s">
        <x:v>46849</x:v>
      </x:c>
      <x:c r="C12079" s="0" t="s">
        <x:v>42840</x:v>
      </x:c>
      <x:c r="E12079" s="0" t="s">
        <x:v>46850</x:v>
      </x:c>
      <x:c r="F12079" s="0" t="s">
        <x:v>45</x:v>
      </x:c>
      <x:c r="G12079" s="0" t="s">
        <x:v>40</x:v>
      </x:c>
      <x:c r="H12079" s="0" t="s">
        <x:v>20</x:v>
      </x:c>
      <x:c r="I12079" s="0" t="s">
        <x:v>21</x:v>
      </x:c>
      <x:c r="K12079" s="0">
        <x:f>hyperlink("https://icd.who.int/dev11/l-ichi/en#/http%3A%2F%2Fid.who.int%2Ficd%2Fentity%2F1529480688","browser")</x:f>
      </x:c>
      <x:c r="L12079" s="0">
        <x:f>hyperlink("https://icat2.azurewebsites.net/icat/?ontology=ICD&amp;tab=ClassesTab&amp;id=http%3A%2F%2Fwho.int%2Ficd%23SpecificAnatomicLocation_2519","iCat")</x:f>
      </x:c>
      <x:c r="M12079" s="0" t="s">
        <x:v>21</x:v>
      </x:c>
      <x:c r="N12079" s="0" t="s">
        <x:v>46</x:v>
      </x:c>
    </x:row>
    <x:row r="12080" spans="1:16">
      <x:c r="A12080" s="0" t="s">
        <x:v>46851</x:v>
      </x:c>
      <x:c r="B12080" s="0" t="s">
        <x:v>46852</x:v>
      </x:c>
      <x:c r="C12080" s="0" t="s">
        <x:v>42840</x:v>
      </x:c>
      <x:c r="E12080" s="0" t="s">
        <x:v>46853</x:v>
      </x:c>
      <x:c r="F12080" s="0" t="s">
        <x:v>45</x:v>
      </x:c>
      <x:c r="G12080" s="0" t="s">
        <x:v>40</x:v>
      </x:c>
      <x:c r="H12080" s="0" t="s">
        <x:v>20</x:v>
      </x:c>
      <x:c r="I12080" s="0" t="s">
        <x:v>21</x:v>
      </x:c>
      <x:c r="K12080" s="0">
        <x:f>hyperlink("https://icd.who.int/dev11/l-ichi/en#/http%3A%2F%2Fid.who.int%2Ficd%2Fentity%2F682421609","browser")</x:f>
      </x:c>
      <x:c r="L12080" s="0">
        <x:f>hyperlink("https://icat2.azurewebsites.net/icat/?ontology=ICD&amp;tab=ClassesTab&amp;id=http%3A%2F%2Fwho.int%2Ficd%23SpecificAnatomicLocation_2658","iCat")</x:f>
      </x:c>
      <x:c r="M12080" s="0" t="s">
        <x:v>21</x:v>
      </x:c>
      <x:c r="N12080" s="0" t="s">
        <x:v>46</x:v>
      </x:c>
    </x:row>
    <x:row r="12081" spans="1:16">
      <x:c r="A12081" s="0" t="s">
        <x:v>46854</x:v>
      </x:c>
      <x:c r="B12081" s="0" t="s">
        <x:v>46855</x:v>
      </x:c>
      <x:c r="C12081" s="0" t="s">
        <x:v>42840</x:v>
      </x:c>
      <x:c r="E12081" s="0" t="s">
        <x:v>46856</x:v>
      </x:c>
      <x:c r="F12081" s="0" t="s">
        <x:v>45</x:v>
      </x:c>
      <x:c r="G12081" s="0" t="s">
        <x:v>40</x:v>
      </x:c>
      <x:c r="H12081" s="0" t="s">
        <x:v>20</x:v>
      </x:c>
      <x:c r="I12081" s="0" t="s">
        <x:v>21</x:v>
      </x:c>
      <x:c r="K12081" s="0">
        <x:f>hyperlink("https://icd.who.int/dev11/l-ichi/en#/http%3A%2F%2Fid.who.int%2Ficd%2Fentity%2F1117078990","browser")</x:f>
      </x:c>
      <x:c r="L12081" s="0">
        <x:f>hyperlink("https://icat2.azurewebsites.net/icat/?ontology=ICD&amp;tab=ClassesTab&amp;id=http%3A%2F%2Fwho.int%2Ficd%23SpecificAnatomicLocation_2597","iCat")</x:f>
      </x:c>
      <x:c r="M12081" s="0" t="s">
        <x:v>21</x:v>
      </x:c>
      <x:c r="N12081" s="0" t="s">
        <x:v>46</x:v>
      </x:c>
    </x:row>
    <x:row r="12082" spans="1:16">
      <x:c r="A12082" s="0" t="s">
        <x:v>46857</x:v>
      </x:c>
      <x:c r="B12082" s="0" t="s">
        <x:v>46858</x:v>
      </x:c>
      <x:c r="C12082" s="0" t="s">
        <x:v>42840</x:v>
      </x:c>
      <x:c r="E12082" s="0" t="s">
        <x:v>46859</x:v>
      </x:c>
      <x:c r="F12082" s="0" t="s">
        <x:v>45</x:v>
      </x:c>
      <x:c r="G12082" s="0" t="s">
        <x:v>22</x:v>
      </x:c>
      <x:c r="H12082" s="0" t="s">
        <x:v>20</x:v>
      </x:c>
      <x:c r="I12082" s="0" t="s">
        <x:v>21</x:v>
      </x:c>
      <x:c r="K12082" s="0">
        <x:f>hyperlink("https://icd.who.int/dev11/l-ichi/en#/http%3A%2F%2Fid.who.int%2Ficd%2Fentity%2F196189718","browser")</x:f>
      </x:c>
      <x:c r="L12082" s="0">
        <x:f>hyperlink("https://icat2.azurewebsites.net/icat/?ontology=ICD&amp;tab=ClassesTab&amp;id=http%3A%2F%2Fwho.int%2Ficd%237329_1a025aad_bab4_45d3_85b5_2f8609f7d6c2","iCat")</x:f>
      </x:c>
      <x:c r="M12082" s="0" t="s">
        <x:v>20</x:v>
      </x:c>
      <x:c r="N12082" s="0" t="s">
        <x:v>30</x:v>
      </x:c>
    </x:row>
    <x:row r="12083" spans="1:16">
      <x:c r="A12083" s="0" t="s">
        <x:v>46860</x:v>
      </x:c>
      <x:c r="B12083" s="0" t="s">
        <x:v>46861</x:v>
      </x:c>
      <x:c r="C12083" s="0" t="s">
        <x:v>42840</x:v>
      </x:c>
      <x:c r="E12083" s="0" t="s">
        <x:v>46862</x:v>
      </x:c>
      <x:c r="F12083" s="0" t="s">
        <x:v>45</x:v>
      </x:c>
      <x:c r="G12083" s="0" t="s">
        <x:v>40</x:v>
      </x:c>
      <x:c r="H12083" s="0" t="s">
        <x:v>20</x:v>
      </x:c>
      <x:c r="I12083" s="0" t="s">
        <x:v>21</x:v>
      </x:c>
      <x:c r="K12083" s="0">
        <x:f>hyperlink("https://icd.who.int/dev11/l-ichi/en#/http%3A%2F%2Fid.who.int%2Ficd%2Fentity%2F2106026623","browser")</x:f>
      </x:c>
      <x:c r="L12083" s="0">
        <x:f>hyperlink("https://icat2.azurewebsites.net/icat/?ontology=ICD&amp;tab=ClassesTab&amp;id=http%3A%2F%2Fwho.int%2Ficd%23SpecificAnatomicLocation_2665","iCat")</x:f>
      </x:c>
      <x:c r="M12083" s="0" t="s">
        <x:v>21</x:v>
      </x:c>
      <x:c r="N12083" s="0" t="s">
        <x:v>46</x:v>
      </x:c>
    </x:row>
    <x:row r="12084" spans="1:16">
      <x:c r="A12084" s="0" t="s">
        <x:v>46863</x:v>
      </x:c>
      <x:c r="B12084" s="0" t="s">
        <x:v>46864</x:v>
      </x:c>
      <x:c r="C12084" s="0" t="s">
        <x:v>42840</x:v>
      </x:c>
      <x:c r="E12084" s="0" t="s">
        <x:v>46865</x:v>
      </x:c>
      <x:c r="F12084" s="0" t="s">
        <x:v>45</x:v>
      </x:c>
      <x:c r="G12084" s="0" t="s">
        <x:v>40</x:v>
      </x:c>
      <x:c r="H12084" s="0" t="s">
        <x:v>20</x:v>
      </x:c>
      <x:c r="I12084" s="0" t="s">
        <x:v>21</x:v>
      </x:c>
      <x:c r="K12084" s="0">
        <x:f>hyperlink("https://icd.who.int/dev11/l-ichi/en#/http%3A%2F%2Fid.who.int%2Ficd%2Fentity%2F422176296","browser")</x:f>
      </x:c>
      <x:c r="L12084" s="0">
        <x:f>hyperlink("https://icat2.azurewebsites.net/icat/?ontology=ICD&amp;tab=ClassesTab&amp;id=http%3A%2F%2Fwho.int%2Ficd%23SpecificAnatomicLocation_2525","iCat")</x:f>
      </x:c>
      <x:c r="M12084" s="0" t="s">
        <x:v>21</x:v>
      </x:c>
      <x:c r="N12084" s="0" t="s">
        <x:v>46</x:v>
      </x:c>
    </x:row>
    <x:row r="12085" spans="1:16">
      <x:c r="A12085" s="0" t="s">
        <x:v>46866</x:v>
      </x:c>
      <x:c r="B12085" s="0" t="s">
        <x:v>46867</x:v>
      </x:c>
      <x:c r="C12085" s="0" t="s">
        <x:v>42840</x:v>
      </x:c>
      <x:c r="E12085" s="0" t="s">
        <x:v>46868</x:v>
      </x:c>
      <x:c r="F12085" s="0" t="s">
        <x:v>45</x:v>
      </x:c>
      <x:c r="G12085" s="0" t="s">
        <x:v>22</x:v>
      </x:c>
      <x:c r="H12085" s="0" t="s">
        <x:v>20</x:v>
      </x:c>
      <x:c r="I12085" s="0" t="s">
        <x:v>21</x:v>
      </x:c>
      <x:c r="K12085" s="0">
        <x:f>hyperlink("https://icd.who.int/dev11/l-ichi/en#/http%3A%2F%2Fid.who.int%2Ficd%2Fentity%2F1369577561","browser")</x:f>
      </x:c>
      <x:c r="L12085" s="0">
        <x:f>hyperlink("https://icat2.azurewebsites.net/icat/?ontology=ICD&amp;tab=ClassesTab&amp;id=http%3A%2F%2Fwho.int%2Ficd%237349_1a025aad_bab4_45d3_85b5_2f8609f7d6c2","iCat")</x:f>
      </x:c>
      <x:c r="M12085" s="0" t="s">
        <x:v>20</x:v>
      </x:c>
      <x:c r="N12085" s="0" t="s">
        <x:v>30</x:v>
      </x:c>
    </x:row>
    <x:row r="12086" spans="1:16">
      <x:c r="A12086" s="0" t="s">
        <x:v>46869</x:v>
      </x:c>
      <x:c r="B12086" s="0" t="s">
        <x:v>46870</x:v>
      </x:c>
      <x:c r="C12086" s="0" t="s">
        <x:v>42840</x:v>
      </x:c>
      <x:c r="E12086" s="0" t="s">
        <x:v>46871</x:v>
      </x:c>
      <x:c r="F12086" s="0" t="s">
        <x:v>45</x:v>
      </x:c>
      <x:c r="G12086" s="0" t="s">
        <x:v>40</x:v>
      </x:c>
      <x:c r="H12086" s="0" t="s">
        <x:v>20</x:v>
      </x:c>
      <x:c r="I12086" s="0" t="s">
        <x:v>21</x:v>
      </x:c>
      <x:c r="K12086" s="0">
        <x:f>hyperlink("https://icd.who.int/dev11/l-ichi/en#/http%3A%2F%2Fid.who.int%2Ficd%2Fentity%2F556202367","browser")</x:f>
      </x:c>
      <x:c r="L12086" s="0">
        <x:f>hyperlink("https://icat2.azurewebsites.net/icat/?ontology=ICD&amp;tab=ClassesTab&amp;id=http%3A%2F%2Fwho.int%2Ficd%23SpecificAnatomicLocation_2661","iCat")</x:f>
      </x:c>
      <x:c r="M12086" s="0" t="s">
        <x:v>21</x:v>
      </x:c>
      <x:c r="N12086" s="0" t="s">
        <x:v>46</x:v>
      </x:c>
    </x:row>
    <x:row r="12087" spans="1:16">
      <x:c r="A12087" s="0" t="s">
        <x:v>46872</x:v>
      </x:c>
      <x:c r="B12087" s="0" t="s">
        <x:v>46873</x:v>
      </x:c>
      <x:c r="C12087" s="0" t="s">
        <x:v>42840</x:v>
      </x:c>
      <x:c r="E12087" s="0" t="s">
        <x:v>46874</x:v>
      </x:c>
      <x:c r="F12087" s="0" t="s">
        <x:v>45</x:v>
      </x:c>
      <x:c r="G12087" s="0" t="s">
        <x:v>40</x:v>
      </x:c>
      <x:c r="H12087" s="0" t="s">
        <x:v>20</x:v>
      </x:c>
      <x:c r="I12087" s="0" t="s">
        <x:v>21</x:v>
      </x:c>
      <x:c r="K12087" s="0">
        <x:f>hyperlink("https://icd.who.int/dev11/l-ichi/en#/http%3A%2F%2Fid.who.int%2Ficd%2Fentity%2F1166570792","browser")</x:f>
      </x:c>
      <x:c r="L12087" s="0">
        <x:f>hyperlink("https://icat2.azurewebsites.net/icat/?ontology=ICD&amp;tab=ClassesTab&amp;id=http%3A%2F%2Fwho.int%2Ficd%23SpecificAnatomicLocation_2521","iCat")</x:f>
      </x:c>
      <x:c r="M12087" s="0" t="s">
        <x:v>21</x:v>
      </x:c>
      <x:c r="N12087" s="0" t="s">
        <x:v>46</x:v>
      </x:c>
    </x:row>
    <x:row r="12088" spans="1:16">
      <x:c r="A12088" s="0" t="s">
        <x:v>46875</x:v>
      </x:c>
      <x:c r="B12088" s="0" t="s">
        <x:v>46876</x:v>
      </x:c>
      <x:c r="C12088" s="0" t="s">
        <x:v>42840</x:v>
      </x:c>
      <x:c r="E12088" s="0" t="s">
        <x:v>46877</x:v>
      </x:c>
      <x:c r="F12088" s="0" t="s">
        <x:v>45</x:v>
      </x:c>
      <x:c r="G12088" s="0" t="s">
        <x:v>22</x:v>
      </x:c>
      <x:c r="H12088" s="0" t="s">
        <x:v>20</x:v>
      </x:c>
      <x:c r="I12088" s="0" t="s">
        <x:v>21</x:v>
      </x:c>
      <x:c r="K12088" s="0">
        <x:f>hyperlink("https://icd.who.int/dev11/l-ichi/en#/http%3A%2F%2Fid.who.int%2Ficd%2Fentity%2F1068376807","browser")</x:f>
      </x:c>
      <x:c r="L12088" s="0">
        <x:f>hyperlink("https://icat2.azurewebsites.net/icat/?ontology=ICD&amp;tab=ClassesTab&amp;id=http%3A%2F%2Fwho.int%2Ficd%23SpecificAnatomicLocation_2490","iCat")</x:f>
      </x:c>
      <x:c r="M12088" s="0" t="s">
        <x:v>20</x:v>
      </x:c>
      <x:c r="N12088" s="0" t="s">
        <x:v>30</x:v>
      </x:c>
    </x:row>
    <x:row r="12089" spans="1:16">
      <x:c r="A12089" s="0" t="s">
        <x:v>46878</x:v>
      </x:c>
      <x:c r="B12089" s="0" t="s">
        <x:v>46879</x:v>
      </x:c>
      <x:c r="C12089" s="0" t="s">
        <x:v>42840</x:v>
      </x:c>
      <x:c r="E12089" s="0" t="s">
        <x:v>46880</x:v>
      </x:c>
      <x:c r="F12089" s="0" t="s">
        <x:v>45</x:v>
      </x:c>
      <x:c r="G12089" s="0" t="s">
        <x:v>40</x:v>
      </x:c>
      <x:c r="H12089" s="0" t="s">
        <x:v>20</x:v>
      </x:c>
      <x:c r="I12089" s="0" t="s">
        <x:v>21</x:v>
      </x:c>
      <x:c r="K12089" s="0">
        <x:f>hyperlink("https://icd.who.int/dev11/l-ichi/en#/http%3A%2F%2Fid.who.int%2Ficd%2Fentity%2F1096684400","browser")</x:f>
      </x:c>
      <x:c r="L12089" s="0">
        <x:f>hyperlink("https://icat2.azurewebsites.net/icat/?ontology=ICD&amp;tab=ClassesTab&amp;id=http%3A%2F%2Fwho.int%2Ficd%23SpecificAnatomicLocation_2649","iCat")</x:f>
      </x:c>
      <x:c r="M12089" s="0" t="s">
        <x:v>21</x:v>
      </x:c>
      <x:c r="N12089" s="0" t="s">
        <x:v>46</x:v>
      </x:c>
    </x:row>
    <x:row r="12090" spans="1:16">
      <x:c r="A12090" s="0" t="s">
        <x:v>46881</x:v>
      </x:c>
      <x:c r="B12090" s="0" t="s">
        <x:v>46882</x:v>
      </x:c>
      <x:c r="C12090" s="0" t="s">
        <x:v>42840</x:v>
      </x:c>
      <x:c r="E12090" s="0" t="s">
        <x:v>46883</x:v>
      </x:c>
      <x:c r="F12090" s="0" t="s">
        <x:v>45</x:v>
      </x:c>
      <x:c r="G12090" s="0" t="s">
        <x:v>40</x:v>
      </x:c>
      <x:c r="H12090" s="0" t="s">
        <x:v>20</x:v>
      </x:c>
      <x:c r="I12090" s="0" t="s">
        <x:v>21</x:v>
      </x:c>
      <x:c r="K12090" s="0">
        <x:f>hyperlink("https://icd.who.int/dev11/l-ichi/en#/http%3A%2F%2Fid.who.int%2Ficd%2Fentity%2F1869055632","browser")</x:f>
      </x:c>
      <x:c r="L12090" s="0">
        <x:f>hyperlink("https://icat2.azurewebsites.net/icat/?ontology=ICD&amp;tab=ClassesTab&amp;id=http%3A%2F%2Fwho.int%2Ficd%23SpecificAnatomicLocation_2517","iCat")</x:f>
      </x:c>
      <x:c r="M12090" s="0" t="s">
        <x:v>21</x:v>
      </x:c>
      <x:c r="N12090" s="0" t="s">
        <x:v>46</x:v>
      </x:c>
    </x:row>
    <x:row r="12091" spans="1:16">
      <x:c r="A12091" s="0" t="s">
        <x:v>46884</x:v>
      </x:c>
      <x:c r="B12091" s="0" t="s">
        <x:v>46885</x:v>
      </x:c>
      <x:c r="C12091" s="0" t="s">
        <x:v>42840</x:v>
      </x:c>
      <x:c r="E12091" s="0" t="s">
        <x:v>46886</x:v>
      </x:c>
      <x:c r="F12091" s="0" t="s">
        <x:v>45</x:v>
      </x:c>
      <x:c r="G12091" s="0" t="s">
        <x:v>22</x:v>
      </x:c>
      <x:c r="H12091" s="0" t="s">
        <x:v>20</x:v>
      </x:c>
      <x:c r="I12091" s="0" t="s">
        <x:v>21</x:v>
      </x:c>
      <x:c r="K12091" s="0">
        <x:f>hyperlink("https://icd.who.int/dev11/l-ichi/en#/http%3A%2F%2Fid.who.int%2Ficd%2Fentity%2F605688072","browser")</x:f>
      </x:c>
      <x:c r="L12091" s="0">
        <x:f>hyperlink("https://icat2.azurewebsites.net/icat/?ontology=ICD&amp;tab=ClassesTab&amp;id=http%3A%2F%2Fwho.int%2Ficd%23SpecificAnatomicLocation_2543","iCat")</x:f>
      </x:c>
      <x:c r="M12091" s="0" t="s">
        <x:v>21</x:v>
      </x:c>
      <x:c r="N12091" s="0" t="s">
        <x:v>46</x:v>
      </x:c>
    </x:row>
    <x:row r="12092" spans="1:16">
      <x:c r="A12092" s="0" t="s">
        <x:v>46887</x:v>
      </x:c>
      <x:c r="B12092" s="0" t="s">
        <x:v>46888</x:v>
      </x:c>
      <x:c r="C12092" s="0" t="s">
        <x:v>42840</x:v>
      </x:c>
      <x:c r="E12092" s="0" t="s">
        <x:v>46889</x:v>
      </x:c>
      <x:c r="F12092" s="0" t="s">
        <x:v>45</x:v>
      </x:c>
      <x:c r="G12092" s="0" t="s">
        <x:v>35</x:v>
      </x:c>
      <x:c r="H12092" s="0" t="s">
        <x:v>20</x:v>
      </x:c>
      <x:c r="I12092" s="0" t="s">
        <x:v>21</x:v>
      </x:c>
      <x:c r="K12092" s="0">
        <x:f>hyperlink("https://icd.who.int/dev11/l-ichi/en#/http%3A%2F%2Fid.who.int%2Ficd%2Fentity%2F929449332","browser")</x:f>
      </x:c>
      <x:c r="L12092" s="0">
        <x:f>hyperlink("https://icat2.azurewebsites.net/icat/?ontology=ICD&amp;tab=ClassesTab&amp;id=http%3A%2F%2Fwho.int%2Ficd%233981_1a025aad_bab4_45d3_85b5_2f8609f7d6c2","iCat")</x:f>
      </x:c>
      <x:c r="M12092" s="0" t="s">
        <x:v>20</x:v>
      </x:c>
      <x:c r="N12092" s="0" t="s">
        <x:v>4583</x:v>
      </x:c>
    </x:row>
    <x:row r="12093" spans="1:16">
      <x:c r="A12093" s="0" t="s">
        <x:v>46890</x:v>
      </x:c>
      <x:c r="B12093" s="0" t="s">
        <x:v>46891</x:v>
      </x:c>
      <x:c r="C12093" s="0" t="s">
        <x:v>42840</x:v>
      </x:c>
      <x:c r="E12093" s="0" t="s">
        <x:v>46892</x:v>
      </x:c>
      <x:c r="F12093" s="0" t="s">
        <x:v>45</x:v>
      </x:c>
      <x:c r="G12093" s="0" t="s">
        <x:v>22</x:v>
      </x:c>
      <x:c r="H12093" s="0" t="s">
        <x:v>20</x:v>
      </x:c>
      <x:c r="I12093" s="0" t="s">
        <x:v>21</x:v>
      </x:c>
      <x:c r="K12093" s="0">
        <x:f>hyperlink("https://icd.who.int/dev11/l-ichi/en#/http%3A%2F%2Fid.who.int%2Ficd%2Fentity%2F344060960","browser")</x:f>
      </x:c>
      <x:c r="L12093" s="0">
        <x:f>hyperlink("https://icat2.azurewebsites.net/icat/?ontology=ICD&amp;tab=ClassesTab&amp;id=http%3A%2F%2Fwho.int%2Ficd%23SpecificAnatomicLocation_2625","iCat")</x:f>
      </x:c>
      <x:c r="M12093" s="0" t="s">
        <x:v>21</x:v>
      </x:c>
      <x:c r="N12093" s="0" t="s">
        <x:v>46</x:v>
      </x:c>
    </x:row>
    <x:row r="12094" spans="1:16">
      <x:c r="A12094" s="0" t="s">
        <x:v>46893</x:v>
      </x:c>
      <x:c r="B12094" s="0" t="s">
        <x:v>46894</x:v>
      </x:c>
      <x:c r="C12094" s="0" t="s">
        <x:v>42840</x:v>
      </x:c>
      <x:c r="E12094" s="0" t="s">
        <x:v>46895</x:v>
      </x:c>
      <x:c r="F12094" s="0" t="s">
        <x:v>45</x:v>
      </x:c>
      <x:c r="G12094" s="0" t="s">
        <x:v>22</x:v>
      </x:c>
      <x:c r="H12094" s="0" t="s">
        <x:v>20</x:v>
      </x:c>
      <x:c r="I12094" s="0" t="s">
        <x:v>21</x:v>
      </x:c>
      <x:c r="K12094" s="0">
        <x:f>hyperlink("https://icd.who.int/dev11/l-ichi/en#/http%3A%2F%2Fid.who.int%2Ficd%2Fentity%2F2145732048","browser")</x:f>
      </x:c>
      <x:c r="L12094" s="0">
        <x:f>hyperlink("https://icat2.azurewebsites.net/icat/?ontology=ICD&amp;tab=ClassesTab&amp;id=http%3A%2F%2Fwho.int%2Ficd%23SpecificAnatomicLocation_2464","iCat")</x:f>
      </x:c>
      <x:c r="M12094" s="0" t="s">
        <x:v>21</x:v>
      </x:c>
      <x:c r="N12094" s="0" t="s">
        <x:v>46</x:v>
      </x:c>
    </x:row>
    <x:row r="12095" spans="1:16">
      <x:c r="A12095" s="0" t="s">
        <x:v>46896</x:v>
      </x:c>
      <x:c r="B12095" s="0" t="s">
        <x:v>46897</x:v>
      </x:c>
      <x:c r="C12095" s="0" t="s">
        <x:v>42840</x:v>
      </x:c>
      <x:c r="E12095" s="0" t="s">
        <x:v>46898</x:v>
      </x:c>
      <x:c r="F12095" s="0" t="s">
        <x:v>45</x:v>
      </x:c>
      <x:c r="G12095" s="0" t="s">
        <x:v>22</x:v>
      </x:c>
      <x:c r="H12095" s="0" t="s">
        <x:v>20</x:v>
      </x:c>
      <x:c r="I12095" s="0" t="s">
        <x:v>21</x:v>
      </x:c>
      <x:c r="K12095" s="0">
        <x:f>hyperlink("https://icd.who.int/dev11/l-ichi/en#/http%3A%2F%2Fid.who.int%2Ficd%2Fentity%2F1253451977","browser")</x:f>
      </x:c>
      <x:c r="L12095" s="0">
        <x:f>hyperlink("https://icat2.azurewebsites.net/icat/?ontology=ICD&amp;tab=ClassesTab&amp;id=http%3A%2F%2Fwho.int%2Ficd%23SpecificAnatomicLocation_2471","iCat")</x:f>
      </x:c>
      <x:c r="M12095" s="0" t="s">
        <x:v>21</x:v>
      </x:c>
      <x:c r="N12095" s="0" t="s">
        <x:v>46</x:v>
      </x:c>
    </x:row>
    <x:row r="12096" spans="1:16">
      <x:c r="A12096" s="0" t="s">
        <x:v>46899</x:v>
      </x:c>
      <x:c r="B12096" s="0" t="s">
        <x:v>46900</x:v>
      </x:c>
      <x:c r="C12096" s="0" t="s">
        <x:v>42840</x:v>
      </x:c>
      <x:c r="E12096" s="0" t="s">
        <x:v>46901</x:v>
      </x:c>
      <x:c r="F12096" s="0" t="s">
        <x:v>45</x:v>
      </x:c>
      <x:c r="G12096" s="0" t="s">
        <x:v>22</x:v>
      </x:c>
      <x:c r="H12096" s="0" t="s">
        <x:v>20</x:v>
      </x:c>
      <x:c r="I12096" s="0" t="s">
        <x:v>21</x:v>
      </x:c>
      <x:c r="K12096" s="0">
        <x:f>hyperlink("https://icd.who.int/dev11/l-ichi/en#/http%3A%2F%2Fid.who.int%2Ficd%2Fentity%2F1444883408","browser")</x:f>
      </x:c>
      <x:c r="L12096" s="0">
        <x:f>hyperlink("https://icat2.azurewebsites.net/icat/?ontology=ICD&amp;tab=ClassesTab&amp;id=http%3A%2F%2Fwho.int%2Ficd%23SpecificAnatomicLocation_2514","iCat")</x:f>
      </x:c>
      <x:c r="M12096" s="0" t="s">
        <x:v>21</x:v>
      </x:c>
      <x:c r="N12096" s="0" t="s">
        <x:v>46</x:v>
      </x:c>
    </x:row>
    <x:row r="12097" spans="1:16">
      <x:c r="A12097" s="0" t="s">
        <x:v>46902</x:v>
      </x:c>
      <x:c r="B12097" s="0" t="s">
        <x:v>46903</x:v>
      </x:c>
      <x:c r="C12097" s="0" t="s">
        <x:v>42840</x:v>
      </x:c>
      <x:c r="E12097" s="0" t="s">
        <x:v>46904</x:v>
      </x:c>
      <x:c r="F12097" s="0" t="s">
        <x:v>45</x:v>
      </x:c>
      <x:c r="G12097" s="0" t="s">
        <x:v>22</x:v>
      </x:c>
      <x:c r="H12097" s="0" t="s">
        <x:v>20</x:v>
      </x:c>
      <x:c r="I12097" s="0" t="s">
        <x:v>21</x:v>
      </x:c>
      <x:c r="K12097" s="0">
        <x:f>hyperlink("https://icd.who.int/dev11/l-ichi/en#/http%3A%2F%2Fid.who.int%2Ficd%2Fentity%2F202043703","browser")</x:f>
      </x:c>
      <x:c r="L12097" s="0">
        <x:f>hyperlink("https://icat2.azurewebsites.net/icat/?ontology=ICD&amp;tab=ClassesTab&amp;id=http%3A%2F%2Fwho.int%2Ficd%23SpecificAnatomicLocation_2479","iCat")</x:f>
      </x:c>
      <x:c r="M12097" s="0" t="s">
        <x:v>21</x:v>
      </x:c>
      <x:c r="N12097" s="0" t="s">
        <x:v>46</x:v>
      </x:c>
    </x:row>
    <x:row r="12098" spans="1:16">
      <x:c r="A12098" s="0" t="s">
        <x:v>46905</x:v>
      </x:c>
      <x:c r="B12098" s="0" t="s">
        <x:v>46906</x:v>
      </x:c>
      <x:c r="C12098" s="0" t="s">
        <x:v>42840</x:v>
      </x:c>
      <x:c r="E12098" s="0" t="s">
        <x:v>46907</x:v>
      </x:c>
      <x:c r="F12098" s="0" t="s">
        <x:v>45</x:v>
      </x:c>
      <x:c r="G12098" s="0" t="s">
        <x:v>22</x:v>
      </x:c>
      <x:c r="H12098" s="0" t="s">
        <x:v>20</x:v>
      </x:c>
      <x:c r="I12098" s="0" t="s">
        <x:v>21</x:v>
      </x:c>
      <x:c r="K12098" s="0">
        <x:f>hyperlink("https://icd.who.int/dev11/l-ichi/en#/http%3A%2F%2Fid.who.int%2Ficd%2Fentity%2F350791776","browser")</x:f>
      </x:c>
      <x:c r="L12098" s="0">
        <x:f>hyperlink("https://icat2.azurewebsites.net/icat/?ontology=ICD&amp;tab=ClassesTab&amp;id=http%3A%2F%2Fwho.int%2Ficd%23SpecificAnatomicLocation_2579","iCat")</x:f>
      </x:c>
      <x:c r="M12098" s="0" t="s">
        <x:v>21</x:v>
      </x:c>
      <x:c r="N12098" s="0" t="s">
        <x:v>46</x:v>
      </x:c>
    </x:row>
    <x:row r="12099" spans="1:16">
      <x:c r="A12099" s="0" t="s">
        <x:v>46908</x:v>
      </x:c>
      <x:c r="B12099" s="0" t="s">
        <x:v>46909</x:v>
      </x:c>
      <x:c r="C12099" s="0" t="s">
        <x:v>42840</x:v>
      </x:c>
      <x:c r="E12099" s="0" t="s">
        <x:v>46910</x:v>
      </x:c>
      <x:c r="F12099" s="0" t="s">
        <x:v>45</x:v>
      </x:c>
      <x:c r="G12099" s="0" t="s">
        <x:v>22</x:v>
      </x:c>
      <x:c r="H12099" s="0" t="s">
        <x:v>20</x:v>
      </x:c>
      <x:c r="I12099" s="0" t="s">
        <x:v>21</x:v>
      </x:c>
      <x:c r="K12099" s="0">
        <x:f>hyperlink("https://icd.who.int/dev11/l-ichi/en#/http%3A%2F%2Fid.who.int%2Ficd%2Fentity%2F728218583","browser")</x:f>
      </x:c>
      <x:c r="L12099" s="0">
        <x:f>hyperlink("https://icat2.azurewebsites.net/icat/?ontology=ICD&amp;tab=ClassesTab&amp;id=http%3A%2F%2Fwho.int%2Ficd%23SpecificAnatomicLocation_2586","iCat")</x:f>
      </x:c>
      <x:c r="M12099" s="0" t="s">
        <x:v>21</x:v>
      </x:c>
      <x:c r="N12099" s="0" t="s">
        <x:v>46</x:v>
      </x:c>
    </x:row>
    <x:row r="12100" spans="1:16">
      <x:c r="A12100" s="0" t="s">
        <x:v>46911</x:v>
      </x:c>
      <x:c r="B12100" s="0" t="s">
        <x:v>46912</x:v>
      </x:c>
      <x:c r="C12100" s="0" t="s">
        <x:v>42840</x:v>
      </x:c>
      <x:c r="E12100" s="0" t="s">
        <x:v>46913</x:v>
      </x:c>
      <x:c r="F12100" s="0" t="s">
        <x:v>45</x:v>
      </x:c>
      <x:c r="G12100" s="0" t="s">
        <x:v>22</x:v>
      </x:c>
      <x:c r="H12100" s="0" t="s">
        <x:v>20</x:v>
      </x:c>
      <x:c r="I12100" s="0" t="s">
        <x:v>21</x:v>
      </x:c>
      <x:c r="K12100" s="0">
        <x:f>hyperlink("https://icd.who.int/dev11/l-ichi/en#/http%3A%2F%2Fid.who.int%2Ficd%2Fentity%2F1643160178","browser")</x:f>
      </x:c>
      <x:c r="L12100" s="0">
        <x:f>hyperlink("https://icat2.azurewebsites.net/icat/?ontology=ICD&amp;tab=ClassesTab&amp;id=http%3A%2F%2Fwho.int%2Ficd%23SpecificAnatomicLocation_2598","iCat")</x:f>
      </x:c>
      <x:c r="M12100" s="0" t="s">
        <x:v>21</x:v>
      </x:c>
      <x:c r="N12100" s="0" t="s">
        <x:v>46</x:v>
      </x:c>
    </x:row>
    <x:row r="12101" spans="1:16">
      <x:c r="A12101" s="0" t="s">
        <x:v>46914</x:v>
      </x:c>
      <x:c r="B12101" s="0" t="s">
        <x:v>46915</x:v>
      </x:c>
      <x:c r="C12101" s="0" t="s">
        <x:v>42840</x:v>
      </x:c>
      <x:c r="E12101" s="0" t="s">
        <x:v>46916</x:v>
      </x:c>
      <x:c r="F12101" s="0" t="s">
        <x:v>45</x:v>
      </x:c>
      <x:c r="G12101" s="0" t="s">
        <x:v>22</x:v>
      </x:c>
      <x:c r="H12101" s="0" t="s">
        <x:v>20</x:v>
      </x:c>
      <x:c r="I12101" s="0" t="s">
        <x:v>21</x:v>
      </x:c>
      <x:c r="K12101" s="0">
        <x:f>hyperlink("https://icd.who.int/dev11/l-ichi/en#/http%3A%2F%2Fid.who.int%2Ficd%2Fentity%2F1978134600","browser")</x:f>
      </x:c>
      <x:c r="L12101" s="0">
        <x:f>hyperlink("https://icat2.azurewebsites.net/icat/?ontology=ICD&amp;tab=ClassesTab&amp;id=http%3A%2F%2Fwho.int%2Ficd%23SpecificAnatomicLocation_2616","iCat")</x:f>
      </x:c>
      <x:c r="M12101" s="0" t="s">
        <x:v>21</x:v>
      </x:c>
      <x:c r="N12101" s="0" t="s">
        <x:v>46</x:v>
      </x:c>
    </x:row>
    <x:row r="12102" spans="1:16">
      <x:c r="A12102" s="0" t="s">
        <x:v>46917</x:v>
      </x:c>
      <x:c r="B12102" s="0" t="s">
        <x:v>46918</x:v>
      </x:c>
      <x:c r="C12102" s="0" t="s">
        <x:v>42840</x:v>
      </x:c>
      <x:c r="E12102" s="0" t="s">
        <x:v>46919</x:v>
      </x:c>
      <x:c r="F12102" s="0" t="s">
        <x:v>45</x:v>
      </x:c>
      <x:c r="G12102" s="0" t="s">
        <x:v>22</x:v>
      </x:c>
      <x:c r="H12102" s="0" t="s">
        <x:v>20</x:v>
      </x:c>
      <x:c r="I12102" s="0" t="s">
        <x:v>21</x:v>
      </x:c>
      <x:c r="K12102" s="0">
        <x:f>hyperlink("https://icd.who.int/dev11/l-ichi/en#/http%3A%2F%2Fid.who.int%2Ficd%2Fentity%2F1594360800","browser")</x:f>
      </x:c>
      <x:c r="L12102" s="0">
        <x:f>hyperlink("https://icat2.azurewebsites.net/icat/?ontology=ICD&amp;tab=ClassesTab&amp;id=http%3A%2F%2Fwho.int%2Ficd%23SpecificAnatomicLocation_2620","iCat")</x:f>
      </x:c>
      <x:c r="M12102" s="0" t="s">
        <x:v>21</x:v>
      </x:c>
      <x:c r="N12102" s="0" t="s">
        <x:v>46</x:v>
      </x:c>
    </x:row>
    <x:row r="12103" spans="1:16">
      <x:c r="A12103" s="0" t="s">
        <x:v>46920</x:v>
      </x:c>
      <x:c r="B12103" s="0" t="s">
        <x:v>46921</x:v>
      </x:c>
      <x:c r="C12103" s="0" t="s">
        <x:v>42840</x:v>
      </x:c>
      <x:c r="E12103" s="0" t="s">
        <x:v>46922</x:v>
      </x:c>
      <x:c r="F12103" s="0" t="s">
        <x:v>45</x:v>
      </x:c>
      <x:c r="G12103" s="0" t="s">
        <x:v>22</x:v>
      </x:c>
      <x:c r="H12103" s="0" t="s">
        <x:v>20</x:v>
      </x:c>
      <x:c r="I12103" s="0" t="s">
        <x:v>21</x:v>
      </x:c>
      <x:c r="K12103" s="0">
        <x:f>hyperlink("https://icd.who.int/dev11/l-ichi/en#/http%3A%2F%2Fid.who.int%2Ficd%2Fentity%2F260198585","browser")</x:f>
      </x:c>
      <x:c r="L12103" s="0">
        <x:f>hyperlink("https://icat2.azurewebsites.net/icat/?ontology=ICD&amp;tab=ClassesTab&amp;id=http%3A%2F%2Fwho.int%2Ficd%23SpecificAnatomicLocation_2632","iCat")</x:f>
      </x:c>
      <x:c r="M12103" s="0" t="s">
        <x:v>21</x:v>
      </x:c>
      <x:c r="N12103" s="0" t="s">
        <x:v>46</x:v>
      </x:c>
    </x:row>
    <x:row r="12104" spans="1:16">
      <x:c r="A12104" s="0" t="s">
        <x:v>46923</x:v>
      </x:c>
      <x:c r="B12104" s="0" t="s">
        <x:v>46924</x:v>
      </x:c>
      <x:c r="C12104" s="0" t="s">
        <x:v>42840</x:v>
      </x:c>
      <x:c r="E12104" s="0" t="s">
        <x:v>46925</x:v>
      </x:c>
      <x:c r="F12104" s="0" t="s">
        <x:v>45</x:v>
      </x:c>
      <x:c r="G12104" s="0" t="s">
        <x:v>22</x:v>
      </x:c>
      <x:c r="H12104" s="0" t="s">
        <x:v>20</x:v>
      </x:c>
      <x:c r="I12104" s="0" t="s">
        <x:v>21</x:v>
      </x:c>
      <x:c r="K12104" s="0">
        <x:f>hyperlink("https://icd.who.int/dev11/l-ichi/en#/http%3A%2F%2Fid.who.int%2Ficd%2Fentity%2F1450604464","browser")</x:f>
      </x:c>
      <x:c r="L12104" s="0">
        <x:f>hyperlink("https://icat2.azurewebsites.net/icat/?ontology=ICD&amp;tab=ClassesTab&amp;id=http%3A%2F%2Fwho.int%2Ficd%23SpecificAnatomicLocation_2648","iCat")</x:f>
      </x:c>
      <x:c r="M12104" s="0" t="s">
        <x:v>21</x:v>
      </x:c>
      <x:c r="N12104" s="0" t="s">
        <x:v>46</x:v>
      </x:c>
    </x:row>
    <x:row r="12105" spans="1:16">
      <x:c r="A12105" s="0" t="s">
        <x:v>46926</x:v>
      </x:c>
      <x:c r="B12105" s="0" t="s">
        <x:v>46927</x:v>
      </x:c>
      <x:c r="C12105" s="0" t="s">
        <x:v>42840</x:v>
      </x:c>
      <x:c r="E12105" s="0" t="s">
        <x:v>46928</x:v>
      </x:c>
      <x:c r="F12105" s="0" t="s">
        <x:v>45</x:v>
      </x:c>
      <x:c r="G12105" s="0" t="s">
        <x:v>22</x:v>
      </x:c>
      <x:c r="H12105" s="0" t="s">
        <x:v>20</x:v>
      </x:c>
      <x:c r="I12105" s="0" t="s">
        <x:v>21</x:v>
      </x:c>
      <x:c r="K12105" s="0">
        <x:f>hyperlink("https://icd.who.int/dev11/l-ichi/en#/http%3A%2F%2Fid.who.int%2Ficd%2Fentity%2F343250024","browser")</x:f>
      </x:c>
      <x:c r="L12105" s="0">
        <x:f>hyperlink("https://icat2.azurewebsites.net/icat/?ontology=ICD&amp;tab=ClassesTab&amp;id=http%3A%2F%2Fwho.int%2Ficd%23SpecificAnatomicLocation_2674","iCat")</x:f>
      </x:c>
      <x:c r="M12105" s="0" t="s">
        <x:v>21</x:v>
      </x:c>
      <x:c r="N12105" s="0" t="s">
        <x:v>46</x:v>
      </x:c>
    </x:row>
    <x:row r="12106" spans="1:16">
      <x:c r="A12106" s="0" t="s">
        <x:v>46929</x:v>
      </x:c>
      <x:c r="B12106" s="0" t="s">
        <x:v>46930</x:v>
      </x:c>
      <x:c r="C12106" s="0" t="s">
        <x:v>42840</x:v>
      </x:c>
      <x:c r="E12106" s="0" t="s">
        <x:v>46931</x:v>
      </x:c>
      <x:c r="F12106" s="0" t="s">
        <x:v>45</x:v>
      </x:c>
      <x:c r="G12106" s="0" t="s">
        <x:v>22</x:v>
      </x:c>
      <x:c r="H12106" s="0" t="s">
        <x:v>20</x:v>
      </x:c>
      <x:c r="I12106" s="0" t="s">
        <x:v>21</x:v>
      </x:c>
      <x:c r="K12106" s="0">
        <x:f>hyperlink("https://icd.who.int/dev11/l-ichi/en#/http%3A%2F%2Fid.who.int%2Ficd%2Fentity%2F651143633","browser")</x:f>
      </x:c>
      <x:c r="L12106" s="0">
        <x:f>hyperlink("https://icat2.azurewebsites.net/icat/?ontology=ICD&amp;tab=ClassesTab&amp;id=http%3A%2F%2Fwho.int%2Ficd%23SpecificAnatomicLocation_2686","iCat")</x:f>
      </x:c>
      <x:c r="M12106" s="0" t="s">
        <x:v>21</x:v>
      </x:c>
      <x:c r="N12106" s="0" t="s">
        <x:v>46</x:v>
      </x:c>
    </x:row>
    <x:row r="12107" spans="1:16">
      <x:c r="A12107" s="0" t="s">
        <x:v>46932</x:v>
      </x:c>
      <x:c r="B12107" s="0" t="s">
        <x:v>46933</x:v>
      </x:c>
      <x:c r="C12107" s="0" t="s">
        <x:v>42840</x:v>
      </x:c>
      <x:c r="E12107" s="0" t="s">
        <x:v>46934</x:v>
      </x:c>
      <x:c r="F12107" s="0" t="s">
        <x:v>45</x:v>
      </x:c>
      <x:c r="G12107" s="0" t="s">
        <x:v>22</x:v>
      </x:c>
      <x:c r="H12107" s="0" t="s">
        <x:v>20</x:v>
      </x:c>
      <x:c r="I12107" s="0" t="s">
        <x:v>21</x:v>
      </x:c>
      <x:c r="K12107" s="0">
        <x:f>hyperlink("https://icd.who.int/dev11/l-ichi/en#/http%3A%2F%2Fid.who.int%2Ficd%2Fentity%2F837274897","browser")</x:f>
      </x:c>
      <x:c r="L12107" s="0">
        <x:f>hyperlink("https://icat2.azurewebsites.net/icat/?ontology=ICD&amp;tab=ClassesTab&amp;id=http%3A%2F%2Fwho.int%2Ficd%23SpecificAnatomicLocation_2687","iCat")</x:f>
      </x:c>
      <x:c r="M12107" s="0" t="s">
        <x:v>21</x:v>
      </x:c>
      <x:c r="N12107" s="0" t="s">
        <x:v>46</x:v>
      </x:c>
    </x:row>
    <x:row r="12108" spans="1:16">
      <x:c r="A12108" s="0" t="s">
        <x:v>46935</x:v>
      </x:c>
      <x:c r="B12108" s="0" t="s">
        <x:v>46936</x:v>
      </x:c>
      <x:c r="C12108" s="0" t="s">
        <x:v>42840</x:v>
      </x:c>
      <x:c r="E12108" s="0" t="s">
        <x:v>46937</x:v>
      </x:c>
      <x:c r="F12108" s="0" t="s">
        <x:v>45</x:v>
      </x:c>
      <x:c r="G12108" s="0" t="s">
        <x:v>22</x:v>
      </x:c>
      <x:c r="H12108" s="0" t="s">
        <x:v>20</x:v>
      </x:c>
      <x:c r="I12108" s="0" t="s">
        <x:v>21</x:v>
      </x:c>
      <x:c r="K12108" s="0">
        <x:f>hyperlink("https://icd.who.int/dev11/l-ichi/en#/http%3A%2F%2Fid.who.int%2Ficd%2Fentity%2F310520495","browser")</x:f>
      </x:c>
      <x:c r="L12108" s="0">
        <x:f>hyperlink("https://icat2.azurewebsites.net/icat/?ontology=ICD&amp;tab=ClassesTab&amp;id=http%3A%2F%2Fwho.int%2Ficd%23SpecificAnatomicLocation_2688","iCat")</x:f>
      </x:c>
      <x:c r="M12108" s="0" t="s">
        <x:v>21</x:v>
      </x:c>
      <x:c r="N12108" s="0" t="s">
        <x:v>46</x:v>
      </x:c>
    </x:row>
    <x:row r="12109" spans="1:16">
      <x:c r="A12109" s="0" t="s">
        <x:v>46938</x:v>
      </x:c>
      <x:c r="B12109" s="0" t="s">
        <x:v>46939</x:v>
      </x:c>
      <x:c r="C12109" s="0" t="s">
        <x:v>42840</x:v>
      </x:c>
      <x:c r="E12109" s="0" t="s">
        <x:v>46940</x:v>
      </x:c>
      <x:c r="F12109" s="0" t="s">
        <x:v>45</x:v>
      </x:c>
      <x:c r="G12109" s="0" t="s">
        <x:v>22</x:v>
      </x:c>
      <x:c r="H12109" s="0" t="s">
        <x:v>20</x:v>
      </x:c>
      <x:c r="I12109" s="0" t="s">
        <x:v>21</x:v>
      </x:c>
      <x:c r="K12109" s="0">
        <x:f>hyperlink("https://icd.who.int/dev11/l-ichi/en#/http%3A%2F%2Fid.who.int%2Ficd%2Fentity%2F333394936","browser")</x:f>
      </x:c>
      <x:c r="L12109" s="0">
        <x:f>hyperlink("https://icat2.azurewebsites.net/icat/?ontology=ICD&amp;tab=ClassesTab&amp;id=http%3A%2F%2Fwho.int%2Ficd%23SpecificAnatomicLocation_2706","iCat")</x:f>
      </x:c>
      <x:c r="M12109" s="0" t="s">
        <x:v>21</x:v>
      </x:c>
      <x:c r="N12109" s="0" t="s">
        <x:v>46</x:v>
      </x:c>
    </x:row>
    <x:row r="12110" spans="1:16">
      <x:c r="A12110" s="0" t="s">
        <x:v>46941</x:v>
      </x:c>
      <x:c r="B12110" s="0" t="s">
        <x:v>46942</x:v>
      </x:c>
      <x:c r="C12110" s="0" t="s">
        <x:v>42840</x:v>
      </x:c>
      <x:c r="E12110" s="0" t="s">
        <x:v>46943</x:v>
      </x:c>
      <x:c r="F12110" s="0" t="s">
        <x:v>45</x:v>
      </x:c>
      <x:c r="G12110" s="0" t="s">
        <x:v>22</x:v>
      </x:c>
      <x:c r="H12110" s="0" t="s">
        <x:v>20</x:v>
      </x:c>
      <x:c r="I12110" s="0" t="s">
        <x:v>21</x:v>
      </x:c>
      <x:c r="K12110" s="0">
        <x:f>hyperlink("https://icd.who.int/dev11/l-ichi/en#/http%3A%2F%2Fid.who.int%2Ficd%2Fentity%2F83318584","browser")</x:f>
      </x:c>
      <x:c r="L12110" s="0">
        <x:f>hyperlink("https://icat2.azurewebsites.net/icat/?ontology=ICD&amp;tab=ClassesTab&amp;id=http%3A%2F%2Fwho.int%2Ficd%23SpecificAnatomicLocation_2707","iCat")</x:f>
      </x:c>
      <x:c r="M12110" s="0" t="s">
        <x:v>21</x:v>
      </x:c>
      <x:c r="N12110" s="0" t="s">
        <x:v>46</x:v>
      </x:c>
    </x:row>
    <x:row r="12111" spans="1:16">
      <x:c r="A12111" s="0" t="s">
        <x:v>46944</x:v>
      </x:c>
      <x:c r="B12111" s="0" t="s">
        <x:v>46945</x:v>
      </x:c>
      <x:c r="C12111" s="0" t="s">
        <x:v>42840</x:v>
      </x:c>
      <x:c r="E12111" s="0" t="s">
        <x:v>46946</x:v>
      </x:c>
      <x:c r="F12111" s="0" t="s">
        <x:v>45</x:v>
      </x:c>
      <x:c r="G12111" s="0" t="s">
        <x:v>22</x:v>
      </x:c>
      <x:c r="H12111" s="0" t="s">
        <x:v>20</x:v>
      </x:c>
      <x:c r="I12111" s="0" t="s">
        <x:v>21</x:v>
      </x:c>
      <x:c r="K12111" s="0">
        <x:f>hyperlink("https://icd.who.int/dev11/l-ichi/en#/http%3A%2F%2Fid.who.int%2Ficd%2Fentity%2F536146849","browser")</x:f>
      </x:c>
      <x:c r="L12111" s="0">
        <x:f>hyperlink("https://icat2.azurewebsites.net/icat/?ontology=ICD&amp;tab=ClassesTab&amp;id=http%3A%2F%2Fwho.int%2Ficd%23SpecificAnatomicLocation_2710","iCat")</x:f>
      </x:c>
      <x:c r="M12111" s="0" t="s">
        <x:v>21</x:v>
      </x:c>
      <x:c r="N12111" s="0" t="s">
        <x:v>46</x:v>
      </x:c>
    </x:row>
    <x:row r="12112" spans="1:16">
      <x:c r="A12112" s="0" t="s">
        <x:v>46947</x:v>
      </x:c>
      <x:c r="B12112" s="0" t="s">
        <x:v>46948</x:v>
      </x:c>
      <x:c r="C12112" s="0" t="s">
        <x:v>42840</x:v>
      </x:c>
      <x:c r="E12112" s="0" t="s">
        <x:v>46949</x:v>
      </x:c>
      <x:c r="F12112" s="0" t="s">
        <x:v>45</x:v>
      </x:c>
      <x:c r="G12112" s="0" t="s">
        <x:v>22</x:v>
      </x:c>
      <x:c r="H12112" s="0" t="s">
        <x:v>20</x:v>
      </x:c>
      <x:c r="I12112" s="0" t="s">
        <x:v>21</x:v>
      </x:c>
      <x:c r="K12112" s="0">
        <x:f>hyperlink("https://icd.who.int/dev11/l-ichi/en#/http%3A%2F%2Fid.who.int%2Ficd%2Fentity%2F1513417623","browser")</x:f>
      </x:c>
      <x:c r="L12112" s="0">
        <x:f>hyperlink("https://icat2.azurewebsites.net/icat/?ontology=ICD&amp;tab=ClassesTab&amp;id=http%3A%2F%2Fwho.int%2Ficd%23SpecificAnatomicLocation_2502","iCat")</x:f>
      </x:c>
      <x:c r="M12112" s="0" t="s">
        <x:v>20</x:v>
      </x:c>
      <x:c r="N12112" s="0" t="s">
        <x:v>30</x:v>
      </x:c>
    </x:row>
    <x:row r="12113" spans="1:16">
      <x:c r="A12113" s="0" t="s">
        <x:v>46950</x:v>
      </x:c>
      <x:c r="B12113" s="0" t="s">
        <x:v>46951</x:v>
      </x:c>
      <x:c r="C12113" s="0" t="s">
        <x:v>42840</x:v>
      </x:c>
      <x:c r="E12113" s="0" t="s">
        <x:v>46952</x:v>
      </x:c>
      <x:c r="F12113" s="0" t="s">
        <x:v>45</x:v>
      </x:c>
      <x:c r="G12113" s="0" t="s">
        <x:v>40</x:v>
      </x:c>
      <x:c r="H12113" s="0" t="s">
        <x:v>20</x:v>
      </x:c>
      <x:c r="I12113" s="0" t="s">
        <x:v>21</x:v>
      </x:c>
      <x:c r="K12113" s="0">
        <x:f>hyperlink("https://icd.who.int/dev11/l-ichi/en#/http%3A%2F%2Fid.who.int%2Ficd%2Fentity%2F1275224368","browser")</x:f>
      </x:c>
      <x:c r="L12113" s="0">
        <x:f>hyperlink("https://icat2.azurewebsites.net/icat/?ontology=ICD&amp;tab=ClassesTab&amp;id=http%3A%2F%2Fwho.int%2Ficd%23SpecificAnatomicLocation_2518","iCat")</x:f>
      </x:c>
      <x:c r="M12113" s="0" t="s">
        <x:v>21</x:v>
      </x:c>
      <x:c r="N12113" s="0" t="s">
        <x:v>46</x:v>
      </x:c>
    </x:row>
    <x:row r="12114" spans="1:16">
      <x:c r="A12114" s="0" t="s">
        <x:v>46953</x:v>
      </x:c>
      <x:c r="B12114" s="0" t="s">
        <x:v>46954</x:v>
      </x:c>
      <x:c r="C12114" s="0" t="s">
        <x:v>42840</x:v>
      </x:c>
      <x:c r="E12114" s="0" t="s">
        <x:v>46955</x:v>
      </x:c>
      <x:c r="F12114" s="0" t="s">
        <x:v>45</x:v>
      </x:c>
      <x:c r="G12114" s="0" t="s">
        <x:v>40</x:v>
      </x:c>
      <x:c r="H12114" s="0" t="s">
        <x:v>20</x:v>
      </x:c>
      <x:c r="I12114" s="0" t="s">
        <x:v>21</x:v>
      </x:c>
      <x:c r="K12114" s="0">
        <x:f>hyperlink("https://icd.who.int/dev11/l-ichi/en#/http%3A%2F%2Fid.who.int%2Ficd%2Fentity%2F197724887","browser")</x:f>
      </x:c>
      <x:c r="L12114" s="0">
        <x:f>hyperlink("https://icat2.azurewebsites.net/icat/?ontology=ICD&amp;tab=ClassesTab&amp;id=http%3A%2F%2Fwho.int%2Ficd%23SpecificAnatomicLocation_2657","iCat")</x:f>
      </x:c>
      <x:c r="M12114" s="0" t="s">
        <x:v>21</x:v>
      </x:c>
      <x:c r="N12114" s="0" t="s">
        <x:v>46</x:v>
      </x:c>
    </x:row>
    <x:row r="12115" spans="1:16">
      <x:c r="A12115" s="0" t="s">
        <x:v>46956</x:v>
      </x:c>
      <x:c r="B12115" s="0" t="s">
        <x:v>46957</x:v>
      </x:c>
      <x:c r="C12115" s="0" t="s">
        <x:v>42840</x:v>
      </x:c>
      <x:c r="E12115" s="0" t="s">
        <x:v>46958</x:v>
      </x:c>
      <x:c r="F12115" s="0" t="s">
        <x:v>45</x:v>
      </x:c>
      <x:c r="G12115" s="0" t="s">
        <x:v>22</x:v>
      </x:c>
      <x:c r="H12115" s="0" t="s">
        <x:v>20</x:v>
      </x:c>
      <x:c r="I12115" s="0" t="s">
        <x:v>21</x:v>
      </x:c>
      <x:c r="K12115" s="0">
        <x:f>hyperlink("https://icd.who.int/dev11/l-ichi/en#/http%3A%2F%2Fid.who.int%2Ficd%2Fentity%2F868619664","browser")</x:f>
      </x:c>
      <x:c r="L12115" s="0">
        <x:f>hyperlink("https://icat2.azurewebsites.net/icat/?ontology=ICD&amp;tab=ClassesTab&amp;id=http%3A%2F%2Fwho.int%2Ficd%23SpecificAnatomicLocation_2513","iCat")</x:f>
      </x:c>
      <x:c r="M12115" s="0" t="s">
        <x:v>20</x:v>
      </x:c>
      <x:c r="N12115" s="0" t="s">
        <x:v>22</x:v>
      </x:c>
    </x:row>
    <x:row r="12116" spans="1:16">
      <x:c r="A12116" s="0" t="s">
        <x:v>46959</x:v>
      </x:c>
      <x:c r="B12116" s="0" t="s">
        <x:v>46960</x:v>
      </x:c>
      <x:c r="C12116" s="0" t="s">
        <x:v>42840</x:v>
      </x:c>
      <x:c r="E12116" s="0" t="s">
        <x:v>46961</x:v>
      </x:c>
      <x:c r="F12116" s="0" t="s">
        <x:v>45</x:v>
      </x:c>
      <x:c r="G12116" s="0" t="s">
        <x:v>40</x:v>
      </x:c>
      <x:c r="H12116" s="0" t="s">
        <x:v>20</x:v>
      </x:c>
      <x:c r="I12116" s="0" t="s">
        <x:v>21</x:v>
      </x:c>
      <x:c r="K12116" s="0">
        <x:f>hyperlink("https://icd.who.int/dev11/l-ichi/en#/http%3A%2F%2Fid.who.int%2Ficd%2Fentity%2F496426000","browser")</x:f>
      </x:c>
      <x:c r="L12116" s="0">
        <x:f>hyperlink("https://icat2.azurewebsites.net/icat/?ontology=ICD&amp;tab=ClassesTab&amp;id=http%3A%2F%2Fwho.int%2Ficd%23SpecificAnatomicLocation_2511","iCat")</x:f>
      </x:c>
      <x:c r="M12116" s="0" t="s">
        <x:v>21</x:v>
      </x:c>
      <x:c r="N12116" s="0" t="s">
        <x:v>46</x:v>
      </x:c>
    </x:row>
    <x:row r="12117" spans="1:16">
      <x:c r="A12117" s="0" t="s">
        <x:v>46962</x:v>
      </x:c>
      <x:c r="B12117" s="0" t="s">
        <x:v>46963</x:v>
      </x:c>
      <x:c r="C12117" s="0" t="s">
        <x:v>42840</x:v>
      </x:c>
      <x:c r="E12117" s="0" t="s">
        <x:v>46964</x:v>
      </x:c>
      <x:c r="F12117" s="0" t="s">
        <x:v>45</x:v>
      </x:c>
      <x:c r="G12117" s="0" t="s">
        <x:v>40</x:v>
      </x:c>
      <x:c r="H12117" s="0" t="s">
        <x:v>20</x:v>
      </x:c>
      <x:c r="I12117" s="0" t="s">
        <x:v>21</x:v>
      </x:c>
      <x:c r="K12117" s="0">
        <x:f>hyperlink("https://icd.who.int/dev11/l-ichi/en#/http%3A%2F%2Fid.who.int%2Ficd%2Fentity%2F114724775","browser")</x:f>
      </x:c>
      <x:c r="L12117" s="0">
        <x:f>hyperlink("https://icat2.azurewebsites.net/icat/?ontology=ICD&amp;tab=ClassesTab&amp;id=http%3A%2F%2Fwho.int%2Ficd%23SpecificAnatomicLocation_2493","iCat")</x:f>
      </x:c>
      <x:c r="M12117" s="0" t="s">
        <x:v>21</x:v>
      </x:c>
      <x:c r="N12117" s="0" t="s">
        <x:v>46</x:v>
      </x:c>
    </x:row>
    <x:row r="12118" spans="1:16">
      <x:c r="A12118" s="0" t="s">
        <x:v>46965</x:v>
      </x:c>
      <x:c r="B12118" s="0" t="s">
        <x:v>46966</x:v>
      </x:c>
      <x:c r="C12118" s="0" t="s">
        <x:v>42840</x:v>
      </x:c>
      <x:c r="E12118" s="0" t="s">
        <x:v>46967</x:v>
      </x:c>
      <x:c r="F12118" s="0" t="s">
        <x:v>45</x:v>
      </x:c>
      <x:c r="G12118" s="0" t="s">
        <x:v>40</x:v>
      </x:c>
      <x:c r="H12118" s="0" t="s">
        <x:v>20</x:v>
      </x:c>
      <x:c r="I12118" s="0" t="s">
        <x:v>21</x:v>
      </x:c>
      <x:c r="K12118" s="0">
        <x:f>hyperlink("https://icd.who.int/dev11/l-ichi/en#/http%3A%2F%2Fid.who.int%2Ficd%2Fentity%2F1038525960","browser")</x:f>
      </x:c>
      <x:c r="L12118" s="0">
        <x:f>hyperlink("https://icat2.azurewebsites.net/icat/?ontology=ICD&amp;tab=ClassesTab&amp;id=http%3A%2F%2Fwho.int%2Ficd%23SpecificAnatomicLocation_2458","iCat")</x:f>
      </x:c>
      <x:c r="M12118" s="0" t="s">
        <x:v>21</x:v>
      </x:c>
      <x:c r="N12118" s="0" t="s">
        <x:v>46</x:v>
      </x:c>
    </x:row>
    <x:row r="12119" spans="1:16">
      <x:c r="A12119" s="0" t="s">
        <x:v>46968</x:v>
      </x:c>
      <x:c r="B12119" s="0" t="s">
        <x:v>46969</x:v>
      </x:c>
      <x:c r="C12119" s="0" t="s">
        <x:v>42840</x:v>
      </x:c>
      <x:c r="E12119" s="0" t="s">
        <x:v>46970</x:v>
      </x:c>
      <x:c r="F12119" s="0" t="s">
        <x:v>45</x:v>
      </x:c>
      <x:c r="G12119" s="0" t="s">
        <x:v>40</x:v>
      </x:c>
      <x:c r="H12119" s="0" t="s">
        <x:v>20</x:v>
      </x:c>
      <x:c r="I12119" s="0" t="s">
        <x:v>21</x:v>
      </x:c>
      <x:c r="K12119" s="0">
        <x:f>hyperlink("https://icd.who.int/dev11/l-ichi/en#/http%3A%2F%2Fid.who.int%2Ficd%2Fentity%2F370654153","browser")</x:f>
      </x:c>
      <x:c r="L12119" s="0">
        <x:f>hyperlink("https://icat2.azurewebsites.net/icat/?ontology=ICD&amp;tab=ClassesTab&amp;id=http%3A%2F%2Fwho.int%2Ficd%23SpecificAnatomicLocation_2475","iCat")</x:f>
      </x:c>
      <x:c r="M12119" s="0" t="s">
        <x:v>21</x:v>
      </x:c>
      <x:c r="N12119" s="0" t="s">
        <x:v>46</x:v>
      </x:c>
    </x:row>
    <x:row r="12120" spans="1:16">
      <x:c r="A12120" s="0" t="s">
        <x:v>46971</x:v>
      </x:c>
      <x:c r="B12120" s="0" t="s">
        <x:v>46972</x:v>
      </x:c>
      <x:c r="C12120" s="0" t="s">
        <x:v>42840</x:v>
      </x:c>
      <x:c r="E12120" s="0" t="s">
        <x:v>46973</x:v>
      </x:c>
      <x:c r="F12120" s="0" t="s">
        <x:v>45</x:v>
      </x:c>
      <x:c r="G12120" s="0" t="s">
        <x:v>22</x:v>
      </x:c>
      <x:c r="H12120" s="0" t="s">
        <x:v>20</x:v>
      </x:c>
      <x:c r="I12120" s="0" t="s">
        <x:v>21</x:v>
      </x:c>
      <x:c r="K12120" s="0">
        <x:f>hyperlink("https://icd.who.int/dev11/l-ichi/en#/http%3A%2F%2Fid.who.int%2Ficd%2Fentity%2F245153504","browser")</x:f>
      </x:c>
      <x:c r="L12120" s="0">
        <x:f>hyperlink("https://icat2.azurewebsites.net/icat/?ontology=ICD&amp;tab=ClassesTab&amp;id=http%3A%2F%2Fwho.int%2Ficd%23SpecificAnatomicLocation_2629","iCat")</x:f>
      </x:c>
      <x:c r="M12120" s="0" t="s">
        <x:v>20</x:v>
      </x:c>
      <x:c r="N12120" s="0" t="s">
        <x:v>30</x:v>
      </x:c>
    </x:row>
    <x:row r="12121" spans="1:16">
      <x:c r="A12121" s="0" t="s">
        <x:v>46974</x:v>
      </x:c>
      <x:c r="B12121" s="0" t="s">
        <x:v>46975</x:v>
      </x:c>
      <x:c r="C12121" s="0" t="s">
        <x:v>42840</x:v>
      </x:c>
      <x:c r="E12121" s="0" t="s">
        <x:v>46976</x:v>
      </x:c>
      <x:c r="F12121" s="0" t="s">
        <x:v>45</x:v>
      </x:c>
      <x:c r="G12121" s="0" t="s">
        <x:v>40</x:v>
      </x:c>
      <x:c r="H12121" s="0" t="s">
        <x:v>20</x:v>
      </x:c>
      <x:c r="I12121" s="0" t="s">
        <x:v>21</x:v>
      </x:c>
      <x:c r="K12121" s="0">
        <x:f>hyperlink("https://icd.who.int/dev11/l-ichi/en#/http%3A%2F%2Fid.who.int%2Ficd%2Fentity%2F1291190648","browser")</x:f>
      </x:c>
      <x:c r="L12121" s="0">
        <x:f>hyperlink("https://icat2.azurewebsites.net/icat/?ontology=ICD&amp;tab=ClassesTab&amp;id=http%3A%2F%2Fwho.int%2Ficd%23SpecificAnatomicLocation_2549","iCat")</x:f>
      </x:c>
      <x:c r="M12121" s="0" t="s">
        <x:v>21</x:v>
      </x:c>
      <x:c r="N12121" s="0" t="s">
        <x:v>46</x:v>
      </x:c>
    </x:row>
    <x:row r="12122" spans="1:16">
      <x:c r="A12122" s="0" t="s">
        <x:v>46977</x:v>
      </x:c>
      <x:c r="B12122" s="0" t="s">
        <x:v>46978</x:v>
      </x:c>
      <x:c r="C12122" s="0" t="s">
        <x:v>42840</x:v>
      </x:c>
      <x:c r="E12122" s="0" t="s">
        <x:v>46979</x:v>
      </x:c>
      <x:c r="F12122" s="0" t="s">
        <x:v>45</x:v>
      </x:c>
      <x:c r="G12122" s="0" t="s">
        <x:v>40</x:v>
      </x:c>
      <x:c r="H12122" s="0" t="s">
        <x:v>20</x:v>
      </x:c>
      <x:c r="I12122" s="0" t="s">
        <x:v>21</x:v>
      </x:c>
      <x:c r="K12122" s="0">
        <x:f>hyperlink("https://icd.who.int/dev11/l-ichi/en#/http%3A%2F%2Fid.who.int%2Ficd%2Fentity%2F2080684064","browser")</x:f>
      </x:c>
      <x:c r="L12122" s="0">
        <x:f>hyperlink("https://icat2.azurewebsites.net/icat/?ontology=ICD&amp;tab=ClassesTab&amp;id=http%3A%2F%2Fwho.int%2Ficd%23SpecificAnatomicLocation_2573","iCat")</x:f>
      </x:c>
      <x:c r="M12122" s="0" t="s">
        <x:v>21</x:v>
      </x:c>
      <x:c r="N12122" s="0" t="s">
        <x:v>46</x:v>
      </x:c>
    </x:row>
    <x:row r="12123" spans="1:16">
      <x:c r="A12123" s="0" t="s">
        <x:v>46980</x:v>
      </x:c>
      <x:c r="B12123" s="0" t="s">
        <x:v>46981</x:v>
      </x:c>
      <x:c r="C12123" s="0" t="s">
        <x:v>42840</x:v>
      </x:c>
      <x:c r="E12123" s="0" t="s">
        <x:v>46982</x:v>
      </x:c>
      <x:c r="F12123" s="0" t="s">
        <x:v>45</x:v>
      </x:c>
      <x:c r="G12123" s="0" t="s">
        <x:v>22</x:v>
      </x:c>
      <x:c r="H12123" s="0" t="s">
        <x:v>20</x:v>
      </x:c>
      <x:c r="I12123" s="0" t="s">
        <x:v>21</x:v>
      </x:c>
      <x:c r="K12123" s="0">
        <x:f>hyperlink("https://icd.who.int/dev11/l-ichi/en#/http%3A%2F%2Fid.who.int%2Ficd%2Fentity%2F1141614457","browser")</x:f>
      </x:c>
      <x:c r="L12123" s="0">
        <x:f>hyperlink("https://icat2.azurewebsites.net/icat/?ontology=ICD&amp;tab=ClassesTab&amp;id=http%3A%2F%2Fwho.int%2Ficd%23SpecificAnatomicLocation_2637","iCat")</x:f>
      </x:c>
      <x:c r="M12123" s="0" t="s">
        <x:v>21</x:v>
      </x:c>
      <x:c r="N12123" s="0" t="s">
        <x:v>46</x:v>
      </x:c>
    </x:row>
    <x:row r="12124" spans="1:16">
      <x:c r="A12124" s="0" t="s">
        <x:v>46983</x:v>
      </x:c>
      <x:c r="B12124" s="0" t="s">
        <x:v>46984</x:v>
      </x:c>
      <x:c r="C12124" s="0" t="s">
        <x:v>42840</x:v>
      </x:c>
      <x:c r="E12124" s="0" t="s">
        <x:v>46985</x:v>
      </x:c>
      <x:c r="F12124" s="0" t="s">
        <x:v>45</x:v>
      </x:c>
      <x:c r="G12124" s="0" t="s">
        <x:v>22</x:v>
      </x:c>
      <x:c r="H12124" s="0" t="s">
        <x:v>20</x:v>
      </x:c>
      <x:c r="I12124" s="0" t="s">
        <x:v>21</x:v>
      </x:c>
      <x:c r="K12124" s="0">
        <x:f>hyperlink("https://icd.who.int/dev11/l-ichi/en#/http%3A%2F%2Fid.who.int%2Ficd%2Fentity%2F403137061","browser")</x:f>
      </x:c>
      <x:c r="L12124" s="0">
        <x:f>hyperlink("https://icat2.azurewebsites.net/icat/?ontology=ICD&amp;tab=ClassesTab&amp;id=http%3A%2F%2Fwho.int%2Ficd%237783_1a025aad_bab4_45d3_85b5_2f8609f7d6c2","iCat")</x:f>
      </x:c>
      <x:c r="M12124" s="0" t="s">
        <x:v>20</x:v>
      </x:c>
      <x:c r="N12124" s="0" t="s">
        <x:v>35</x:v>
      </x:c>
    </x:row>
    <x:row r="12125" spans="1:16">
      <x:c r="A12125" s="0" t="s">
        <x:v>46986</x:v>
      </x:c>
      <x:c r="B12125" s="0" t="s">
        <x:v>46987</x:v>
      </x:c>
      <x:c r="C12125" s="0" t="s">
        <x:v>42840</x:v>
      </x:c>
      <x:c r="E12125" s="0" t="s">
        <x:v>46988</x:v>
      </x:c>
      <x:c r="F12125" s="0" t="s">
        <x:v>45</x:v>
      </x:c>
      <x:c r="G12125" s="0" t="s">
        <x:v>40</x:v>
      </x:c>
      <x:c r="H12125" s="0" t="s">
        <x:v>20</x:v>
      </x:c>
      <x:c r="I12125" s="0" t="s">
        <x:v>21</x:v>
      </x:c>
      <x:c r="K12125" s="0">
        <x:f>hyperlink("https://icd.who.int/dev11/l-ichi/en#/http%3A%2F%2Fid.who.int%2Ficd%2Fentity%2F493009992","browser")</x:f>
      </x:c>
      <x:c r="L12125" s="0">
        <x:f>hyperlink("https://icat2.azurewebsites.net/icat/?ontology=ICD&amp;tab=ClassesTab&amp;id=http%3A%2F%2Fwho.int%2Ficd%23SpecificAnatomicLocation_2540","iCat")</x:f>
      </x:c>
      <x:c r="M12125" s="0" t="s">
        <x:v>21</x:v>
      </x:c>
      <x:c r="N12125" s="0" t="s">
        <x:v>46</x:v>
      </x:c>
    </x:row>
    <x:row r="12126" spans="1:16">
      <x:c r="A12126" s="0" t="s">
        <x:v>46989</x:v>
      </x:c>
      <x:c r="B12126" s="0" t="s">
        <x:v>46990</x:v>
      </x:c>
      <x:c r="C12126" s="0" t="s">
        <x:v>42840</x:v>
      </x:c>
      <x:c r="E12126" s="0" t="s">
        <x:v>46991</x:v>
      </x:c>
      <x:c r="F12126" s="0" t="s">
        <x:v>45</x:v>
      </x:c>
      <x:c r="G12126" s="0" t="s">
        <x:v>40</x:v>
      </x:c>
      <x:c r="H12126" s="0" t="s">
        <x:v>20</x:v>
      </x:c>
      <x:c r="I12126" s="0" t="s">
        <x:v>21</x:v>
      </x:c>
      <x:c r="K12126" s="0">
        <x:f>hyperlink("https://icd.who.int/dev11/l-ichi/en#/http%3A%2F%2Fid.who.int%2Ficd%2Fentity%2F1846555799","browser")</x:f>
      </x:c>
      <x:c r="L12126" s="0">
        <x:f>hyperlink("https://icat2.azurewebsites.net/icat/?ontology=ICD&amp;tab=ClassesTab&amp;id=http%3A%2F%2Fwho.int%2Ficd%23SpecificAnatomicLocation_2650","iCat")</x:f>
      </x:c>
      <x:c r="M12126" s="0" t="s">
        <x:v>21</x:v>
      </x:c>
      <x:c r="N12126" s="0" t="s">
        <x:v>46</x:v>
      </x:c>
    </x:row>
    <x:row r="12127" spans="1:16">
      <x:c r="A12127" s="0" t="s">
        <x:v>46992</x:v>
      </x:c>
      <x:c r="B12127" s="0" t="s">
        <x:v>46993</x:v>
      </x:c>
      <x:c r="C12127" s="0" t="s">
        <x:v>42840</x:v>
      </x:c>
      <x:c r="E12127" s="0" t="s">
        <x:v>46994</x:v>
      </x:c>
      <x:c r="F12127" s="0" t="s">
        <x:v>45</x:v>
      </x:c>
      <x:c r="G12127" s="0" t="s">
        <x:v>40</x:v>
      </x:c>
      <x:c r="H12127" s="0" t="s">
        <x:v>20</x:v>
      </x:c>
      <x:c r="I12127" s="0" t="s">
        <x:v>21</x:v>
      </x:c>
      <x:c r="K12127" s="0">
        <x:f>hyperlink("https://icd.who.int/dev11/l-ichi/en#/http%3A%2F%2Fid.who.int%2Ficd%2Fentity%2F1414729397","browser")</x:f>
      </x:c>
      <x:c r="L12127" s="0">
        <x:f>hyperlink("https://icat2.azurewebsites.net/icat/?ontology=ICD&amp;tab=ClassesTab&amp;id=http%3A%2F%2Fwho.int%2Ficd%237876_1a025aad_bab4_45d3_85b5_2f8609f7d6c2","iCat")</x:f>
      </x:c>
      <x:c r="M12127" s="0" t="s">
        <x:v>21</x:v>
      </x:c>
      <x:c r="N12127" s="0" t="s">
        <x:v>46</x:v>
      </x:c>
    </x:row>
    <x:row r="12128" spans="1:16">
      <x:c r="A12128" s="0" t="s">
        <x:v>46995</x:v>
      </x:c>
      <x:c r="B12128" s="0" t="s">
        <x:v>46996</x:v>
      </x:c>
      <x:c r="C12128" s="0" t="s">
        <x:v>42840</x:v>
      </x:c>
      <x:c r="E12128" s="0" t="s">
        <x:v>46997</x:v>
      </x:c>
      <x:c r="F12128" s="0" t="s">
        <x:v>45</x:v>
      </x:c>
      <x:c r="G12128" s="0" t="s">
        <x:v>22</x:v>
      </x:c>
      <x:c r="H12128" s="0" t="s">
        <x:v>20</x:v>
      </x:c>
      <x:c r="I12128" s="0" t="s">
        <x:v>21</x:v>
      </x:c>
      <x:c r="K12128" s="0">
        <x:f>hyperlink("https://icd.who.int/dev11/l-ichi/en#/http%3A%2F%2Fid.who.int%2Ficd%2Fentity%2F2031170783","browser")</x:f>
      </x:c>
      <x:c r="L12128" s="0">
        <x:f>hyperlink("https://icat2.azurewebsites.net/icat/?ontology=ICD&amp;tab=ClassesTab&amp;id=http%3A%2F%2Fwho.int%2Ficd%23433_e9bf9ac7_0f21_4391_8ab3_5944290f317a","iCat")</x:f>
      </x:c>
      <x:c r="M12128" s="0" t="s">
        <x:v>21</x:v>
      </x:c>
      <x:c r="N12128" s="0" t="s">
        <x:v>46</x:v>
      </x:c>
    </x:row>
    <x:row r="12129" spans="1:16">
      <x:c r="A12129" s="0" t="s">
        <x:v>46998</x:v>
      </x:c>
      <x:c r="B12129" s="0" t="s">
        <x:v>46999</x:v>
      </x:c>
      <x:c r="C12129" s="0" t="s">
        <x:v>42840</x:v>
      </x:c>
      <x:c r="E12129" s="0" t="s">
        <x:v>47000</x:v>
      </x:c>
      <x:c r="F12129" s="0" t="s">
        <x:v>45</x:v>
      </x:c>
      <x:c r="G12129" s="0" t="s">
        <x:v>35</x:v>
      </x:c>
      <x:c r="H12129" s="0" t="s">
        <x:v>20</x:v>
      </x:c>
      <x:c r="I12129" s="0" t="s">
        <x:v>21</x:v>
      </x:c>
      <x:c r="K12129" s="0">
        <x:f>hyperlink("https://icd.who.int/dev11/l-ichi/en#/http%3A%2F%2Fid.who.int%2Ficd%2Fentity%2F1725328867","browser")</x:f>
      </x:c>
      <x:c r="L12129" s="0">
        <x:f>hyperlink("https://icat2.azurewebsites.net/icat/?ontology=ICD&amp;tab=ClassesTab&amp;id=http%3A%2F%2Fwho.int%2Ficd%233909_1a025aad_bab4_45d3_85b5_2f8609f7d6c2","iCat")</x:f>
      </x:c>
      <x:c r="M12129" s="0" t="s">
        <x:v>20</x:v>
      </x:c>
      <x:c r="N12129" s="0" t="s">
        <x:v>7780</x:v>
      </x:c>
    </x:row>
    <x:row r="12130" spans="1:16">
      <x:c r="A12130" s="0" t="s">
        <x:v>47001</x:v>
      </x:c>
      <x:c r="B12130" s="0" t="s">
        <x:v>47002</x:v>
      </x:c>
      <x:c r="C12130" s="0" t="s">
        <x:v>42840</x:v>
      </x:c>
      <x:c r="E12130" s="0" t="s">
        <x:v>47003</x:v>
      </x:c>
      <x:c r="F12130" s="0" t="s">
        <x:v>45</x:v>
      </x:c>
      <x:c r="G12130" s="0" t="s">
        <x:v>22</x:v>
      </x:c>
      <x:c r="H12130" s="0" t="s">
        <x:v>20</x:v>
      </x:c>
      <x:c r="I12130" s="0" t="s">
        <x:v>21</x:v>
      </x:c>
      <x:c r="K12130" s="0">
        <x:f>hyperlink("https://icd.who.int/dev11/l-ichi/en#/http%3A%2F%2Fid.who.int%2Ficd%2Fentity%2F384031631","browser")</x:f>
      </x:c>
      <x:c r="L12130" s="0">
        <x:f>hyperlink("https://icat2.azurewebsites.net/icat/?ontology=ICD&amp;tab=ClassesTab&amp;id=http%3A%2F%2Fwho.int%2Ficd%23SpecificAnatomicLocation_2424","iCat")</x:f>
      </x:c>
      <x:c r="M12130" s="0" t="s">
        <x:v>21</x:v>
      </x:c>
      <x:c r="N12130" s="0" t="s">
        <x:v>46</x:v>
      </x:c>
    </x:row>
    <x:row r="12131" spans="1:16">
      <x:c r="A12131" s="0" t="s">
        <x:v>47004</x:v>
      </x:c>
      <x:c r="B12131" s="0" t="s">
        <x:v>47005</x:v>
      </x:c>
      <x:c r="C12131" s="0" t="s">
        <x:v>42840</x:v>
      </x:c>
      <x:c r="E12131" s="0" t="s">
        <x:v>47006</x:v>
      </x:c>
      <x:c r="F12131" s="0" t="s">
        <x:v>45</x:v>
      </x:c>
      <x:c r="G12131" s="0" t="s">
        <x:v>22</x:v>
      </x:c>
      <x:c r="H12131" s="0" t="s">
        <x:v>20</x:v>
      </x:c>
      <x:c r="I12131" s="0" t="s">
        <x:v>21</x:v>
      </x:c>
      <x:c r="K12131" s="0">
        <x:f>hyperlink("https://icd.who.int/dev11/l-ichi/en#/http%3A%2F%2Fid.who.int%2Ficd%2Fentity%2F1695313768","browser")</x:f>
      </x:c>
      <x:c r="L12131" s="0">
        <x:f>hyperlink("https://icat2.azurewebsites.net/icat/?ontology=ICD&amp;tab=ClassesTab&amp;id=http%3A%2F%2Fwho.int%2Ficd%23SpecificAnatomicLocation_2439","iCat")</x:f>
      </x:c>
      <x:c r="M12131" s="0" t="s">
        <x:v>21</x:v>
      </x:c>
      <x:c r="N12131" s="0" t="s">
        <x:v>46</x:v>
      </x:c>
    </x:row>
    <x:row r="12132" spans="1:16">
      <x:c r="A12132" s="0" t="s">
        <x:v>47007</x:v>
      </x:c>
      <x:c r="B12132" s="0" t="s">
        <x:v>47008</x:v>
      </x:c>
      <x:c r="C12132" s="0" t="s">
        <x:v>42840</x:v>
      </x:c>
      <x:c r="E12132" s="0" t="s">
        <x:v>47009</x:v>
      </x:c>
      <x:c r="F12132" s="0" t="s">
        <x:v>45</x:v>
      </x:c>
      <x:c r="G12132" s="0" t="s">
        <x:v>22</x:v>
      </x:c>
      <x:c r="H12132" s="0" t="s">
        <x:v>20</x:v>
      </x:c>
      <x:c r="I12132" s="0" t="s">
        <x:v>21</x:v>
      </x:c>
      <x:c r="K12132" s="0">
        <x:f>hyperlink("https://icd.who.int/dev11/l-ichi/en#/http%3A%2F%2Fid.who.int%2Ficd%2Fentity%2F1022904417","browser")</x:f>
      </x:c>
      <x:c r="L12132" s="0">
        <x:f>hyperlink("https://icat2.azurewebsites.net/icat/?ontology=ICD&amp;tab=ClassesTab&amp;id=http%3A%2F%2Fwho.int%2Ficd%23SpecificAnatomicLocation_2443","iCat")</x:f>
      </x:c>
      <x:c r="M12132" s="0" t="s">
        <x:v>21</x:v>
      </x:c>
      <x:c r="N12132" s="0" t="s">
        <x:v>46</x:v>
      </x:c>
    </x:row>
    <x:row r="12133" spans="1:16">
      <x:c r="A12133" s="0" t="s">
        <x:v>47010</x:v>
      </x:c>
      <x:c r="B12133" s="0" t="s">
        <x:v>47011</x:v>
      </x:c>
      <x:c r="C12133" s="0" t="s">
        <x:v>42840</x:v>
      </x:c>
      <x:c r="E12133" s="0" t="s">
        <x:v>47012</x:v>
      </x:c>
      <x:c r="F12133" s="0" t="s">
        <x:v>45</x:v>
      </x:c>
      <x:c r="G12133" s="0" t="s">
        <x:v>22</x:v>
      </x:c>
      <x:c r="H12133" s="0" t="s">
        <x:v>20</x:v>
      </x:c>
      <x:c r="I12133" s="0" t="s">
        <x:v>21</x:v>
      </x:c>
      <x:c r="K12133" s="0">
        <x:f>hyperlink("https://icd.who.int/dev11/l-ichi/en#/http%3A%2F%2Fid.who.int%2Ficd%2Fentity%2F1309217505","browser")</x:f>
      </x:c>
      <x:c r="L12133" s="0">
        <x:f>hyperlink("https://icat2.azurewebsites.net/icat/?ontology=ICD&amp;tab=ClassesTab&amp;id=http%3A%2F%2Fwho.int%2Ficd%23SpecificAnatomicLocation_2445","iCat")</x:f>
      </x:c>
      <x:c r="M12133" s="0" t="s">
        <x:v>21</x:v>
      </x:c>
      <x:c r="N12133" s="0" t="s">
        <x:v>46</x:v>
      </x:c>
    </x:row>
    <x:row r="12134" spans="1:16">
      <x:c r="A12134" s="0" t="s">
        <x:v>47013</x:v>
      </x:c>
      <x:c r="B12134" s="0" t="s">
        <x:v>47014</x:v>
      </x:c>
      <x:c r="C12134" s="0" t="s">
        <x:v>42840</x:v>
      </x:c>
      <x:c r="E12134" s="0" t="s">
        <x:v>47015</x:v>
      </x:c>
      <x:c r="F12134" s="0" t="s">
        <x:v>45</x:v>
      </x:c>
      <x:c r="G12134" s="0" t="s">
        <x:v>22</x:v>
      </x:c>
      <x:c r="H12134" s="0" t="s">
        <x:v>20</x:v>
      </x:c>
      <x:c r="I12134" s="0" t="s">
        <x:v>21</x:v>
      </x:c>
      <x:c r="K12134" s="0">
        <x:f>hyperlink("https://icd.who.int/dev11/l-ichi/en#/http%3A%2F%2Fid.who.int%2Ficd%2Fentity%2F2069528568","browser")</x:f>
      </x:c>
      <x:c r="L12134" s="0">
        <x:f>hyperlink("https://icat2.azurewebsites.net/icat/?ontology=ICD&amp;tab=ClassesTab&amp;id=http%3A%2F%2Fwho.int%2Ficd%23SpecificAnatomicLocation_2450","iCat")</x:f>
      </x:c>
      <x:c r="M12134" s="0" t="s">
        <x:v>21</x:v>
      </x:c>
      <x:c r="N12134" s="0" t="s">
        <x:v>46</x:v>
      </x:c>
    </x:row>
    <x:row r="12135" spans="1:16">
      <x:c r="A12135" s="0" t="s">
        <x:v>47016</x:v>
      </x:c>
      <x:c r="B12135" s="0" t="s">
        <x:v>47017</x:v>
      </x:c>
      <x:c r="C12135" s="0" t="s">
        <x:v>42840</x:v>
      </x:c>
      <x:c r="E12135" s="0" t="s">
        <x:v>47018</x:v>
      </x:c>
      <x:c r="F12135" s="0" t="s">
        <x:v>45</x:v>
      </x:c>
      <x:c r="G12135" s="0" t="s">
        <x:v>22</x:v>
      </x:c>
      <x:c r="H12135" s="0" t="s">
        <x:v>20</x:v>
      </x:c>
      <x:c r="I12135" s="0" t="s">
        <x:v>21</x:v>
      </x:c>
      <x:c r="K12135" s="0">
        <x:f>hyperlink("https://icd.who.int/dev11/l-ichi/en#/http%3A%2F%2Fid.who.int%2Ficd%2Fentity%2F718193352","browser")</x:f>
      </x:c>
      <x:c r="L12135" s="0">
        <x:f>hyperlink("https://icat2.azurewebsites.net/icat/?ontology=ICD&amp;tab=ClassesTab&amp;id=http%3A%2F%2Fwho.int%2Ficd%23SpecificAnatomicLocation_2459","iCat")</x:f>
      </x:c>
      <x:c r="M12135" s="0" t="s">
        <x:v>21</x:v>
      </x:c>
      <x:c r="N12135" s="0" t="s">
        <x:v>46</x:v>
      </x:c>
    </x:row>
    <x:row r="12136" spans="1:16">
      <x:c r="A12136" s="0" t="s">
        <x:v>47019</x:v>
      </x:c>
      <x:c r="B12136" s="0" t="s">
        <x:v>47020</x:v>
      </x:c>
      <x:c r="C12136" s="0" t="s">
        <x:v>42840</x:v>
      </x:c>
      <x:c r="E12136" s="0" t="s">
        <x:v>47021</x:v>
      </x:c>
      <x:c r="F12136" s="0" t="s">
        <x:v>45</x:v>
      </x:c>
      <x:c r="G12136" s="0" t="s">
        <x:v>22</x:v>
      </x:c>
      <x:c r="H12136" s="0" t="s">
        <x:v>20</x:v>
      </x:c>
      <x:c r="I12136" s="0" t="s">
        <x:v>21</x:v>
      </x:c>
      <x:c r="K12136" s="0">
        <x:f>hyperlink("https://icd.who.int/dev11/l-ichi/en#/http%3A%2F%2Fid.who.int%2Ficd%2Fentity%2F1098168382","browser")</x:f>
      </x:c>
      <x:c r="L12136" s="0">
        <x:f>hyperlink("https://icat2.azurewebsites.net/icat/?ontology=ICD&amp;tab=ClassesTab&amp;id=http%3A%2F%2Fwho.int%2Ficd%23SpecificAnatomicLocation_2480","iCat")</x:f>
      </x:c>
      <x:c r="M12136" s="0" t="s">
        <x:v>21</x:v>
      </x:c>
      <x:c r="N12136" s="0" t="s">
        <x:v>46</x:v>
      </x:c>
    </x:row>
    <x:row r="12137" spans="1:16">
      <x:c r="A12137" s="0" t="s">
        <x:v>47022</x:v>
      </x:c>
      <x:c r="B12137" s="0" t="s">
        <x:v>47023</x:v>
      </x:c>
      <x:c r="C12137" s="0" t="s">
        <x:v>42840</x:v>
      </x:c>
      <x:c r="E12137" s="0" t="s">
        <x:v>47024</x:v>
      </x:c>
      <x:c r="F12137" s="0" t="s">
        <x:v>45</x:v>
      </x:c>
      <x:c r="G12137" s="0" t="s">
        <x:v>22</x:v>
      </x:c>
      <x:c r="H12137" s="0" t="s">
        <x:v>20</x:v>
      </x:c>
      <x:c r="I12137" s="0" t="s">
        <x:v>21</x:v>
      </x:c>
      <x:c r="K12137" s="0">
        <x:f>hyperlink("https://icd.who.int/dev11/l-ichi/en#/http%3A%2F%2Fid.who.int%2Ficd%2Fentity%2F500509502","browser")</x:f>
      </x:c>
      <x:c r="L12137" s="0">
        <x:f>hyperlink("https://icat2.azurewebsites.net/icat/?ontology=ICD&amp;tab=ClassesTab&amp;id=http%3A%2F%2Fwho.int%2Ficd%23SpecificAnatomicLocation_2484","iCat")</x:f>
      </x:c>
      <x:c r="M12137" s="0" t="s">
        <x:v>21</x:v>
      </x:c>
      <x:c r="N12137" s="0" t="s">
        <x:v>46</x:v>
      </x:c>
    </x:row>
    <x:row r="12138" spans="1:16">
      <x:c r="A12138" s="0" t="s">
        <x:v>47025</x:v>
      </x:c>
      <x:c r="B12138" s="0" t="s">
        <x:v>47026</x:v>
      </x:c>
      <x:c r="C12138" s="0" t="s">
        <x:v>42840</x:v>
      </x:c>
      <x:c r="E12138" s="0" t="s">
        <x:v>47027</x:v>
      </x:c>
      <x:c r="F12138" s="0" t="s">
        <x:v>45</x:v>
      </x:c>
      <x:c r="G12138" s="0" t="s">
        <x:v>22</x:v>
      </x:c>
      <x:c r="H12138" s="0" t="s">
        <x:v>20</x:v>
      </x:c>
      <x:c r="I12138" s="0" t="s">
        <x:v>21</x:v>
      </x:c>
      <x:c r="K12138" s="0">
        <x:f>hyperlink("https://icd.who.int/dev11/l-ichi/en#/http%3A%2F%2Fid.who.int%2Ficd%2Fentity%2F184373246","browser")</x:f>
      </x:c>
      <x:c r="L12138" s="0">
        <x:f>hyperlink("https://icat2.azurewebsites.net/icat/?ontology=ICD&amp;tab=ClassesTab&amp;id=http%3A%2F%2Fwho.int%2Ficd%23SpecificAnatomicLocation_2485","iCat")</x:f>
      </x:c>
      <x:c r="M12138" s="0" t="s">
        <x:v>21</x:v>
      </x:c>
      <x:c r="N12138" s="0" t="s">
        <x:v>46</x:v>
      </x:c>
    </x:row>
    <x:row r="12139" spans="1:16">
      <x:c r="A12139" s="0" t="s">
        <x:v>47028</x:v>
      </x:c>
      <x:c r="B12139" s="0" t="s">
        <x:v>47029</x:v>
      </x:c>
      <x:c r="C12139" s="0" t="s">
        <x:v>42840</x:v>
      </x:c>
      <x:c r="E12139" s="0" t="s">
        <x:v>47030</x:v>
      </x:c>
      <x:c r="F12139" s="0" t="s">
        <x:v>45</x:v>
      </x:c>
      <x:c r="G12139" s="0" t="s">
        <x:v>22</x:v>
      </x:c>
      <x:c r="H12139" s="0" t="s">
        <x:v>20</x:v>
      </x:c>
      <x:c r="I12139" s="0" t="s">
        <x:v>21</x:v>
      </x:c>
      <x:c r="K12139" s="0">
        <x:f>hyperlink("https://icd.who.int/dev11/l-ichi/en#/http%3A%2F%2Fid.who.int%2Ficd%2Fentity%2F1673012881","browser")</x:f>
      </x:c>
      <x:c r="L12139" s="0">
        <x:f>hyperlink("https://icat2.azurewebsites.net/icat/?ontology=ICD&amp;tab=ClassesTab&amp;id=http%3A%2F%2Fwho.int%2Ficd%23SpecificAnatomicLocation_2550","iCat")</x:f>
      </x:c>
      <x:c r="M12139" s="0" t="s">
        <x:v>21</x:v>
      </x:c>
      <x:c r="N12139" s="0" t="s">
        <x:v>46</x:v>
      </x:c>
    </x:row>
    <x:row r="12140" spans="1:16">
      <x:c r="A12140" s="0" t="s">
        <x:v>47031</x:v>
      </x:c>
      <x:c r="B12140" s="0" t="s">
        <x:v>47032</x:v>
      </x:c>
      <x:c r="C12140" s="0" t="s">
        <x:v>42840</x:v>
      </x:c>
      <x:c r="E12140" s="0" t="s">
        <x:v>47033</x:v>
      </x:c>
      <x:c r="F12140" s="0" t="s">
        <x:v>45</x:v>
      </x:c>
      <x:c r="G12140" s="0" t="s">
        <x:v>22</x:v>
      </x:c>
      <x:c r="H12140" s="0" t="s">
        <x:v>20</x:v>
      </x:c>
      <x:c r="I12140" s="0" t="s">
        <x:v>21</x:v>
      </x:c>
      <x:c r="K12140" s="0">
        <x:f>hyperlink("https://icd.who.int/dev11/l-ichi/en#/http%3A%2F%2Fid.who.int%2Ficd%2Fentity%2F368461369","browser")</x:f>
      </x:c>
      <x:c r="L12140" s="0">
        <x:f>hyperlink("https://icat2.azurewebsites.net/icat/?ontology=ICD&amp;tab=ClassesTab&amp;id=http%3A%2F%2Fwho.int%2Ficd%23SpecificAnatomicLocation_2562","iCat")</x:f>
      </x:c>
      <x:c r="M12140" s="0" t="s">
        <x:v>21</x:v>
      </x:c>
      <x:c r="N12140" s="0" t="s">
        <x:v>46</x:v>
      </x:c>
    </x:row>
    <x:row r="12141" spans="1:16">
      <x:c r="A12141" s="0" t="s">
        <x:v>47034</x:v>
      </x:c>
      <x:c r="B12141" s="0" t="s">
        <x:v>47035</x:v>
      </x:c>
      <x:c r="C12141" s="0" t="s">
        <x:v>42840</x:v>
      </x:c>
      <x:c r="E12141" s="0" t="s">
        <x:v>47036</x:v>
      </x:c>
      <x:c r="F12141" s="0" t="s">
        <x:v>45</x:v>
      </x:c>
      <x:c r="G12141" s="0" t="s">
        <x:v>22</x:v>
      </x:c>
      <x:c r="H12141" s="0" t="s">
        <x:v>20</x:v>
      </x:c>
      <x:c r="I12141" s="0" t="s">
        <x:v>21</x:v>
      </x:c>
      <x:c r="K12141" s="0">
        <x:f>hyperlink("https://icd.who.int/dev11/l-ichi/en#/http%3A%2F%2Fid.who.int%2Ficd%2Fentity%2F48112377","browser")</x:f>
      </x:c>
      <x:c r="L12141" s="0">
        <x:f>hyperlink("https://icat2.azurewebsites.net/icat/?ontology=ICD&amp;tab=ClassesTab&amp;id=http%3A%2F%2Fwho.int%2Ficd%23SpecificAnatomicLocation_2563","iCat")</x:f>
      </x:c>
      <x:c r="M12141" s="0" t="s">
        <x:v>21</x:v>
      </x:c>
      <x:c r="N12141" s="0" t="s">
        <x:v>46</x:v>
      </x:c>
    </x:row>
    <x:row r="12142" spans="1:16">
      <x:c r="A12142" s="0" t="s">
        <x:v>47037</x:v>
      </x:c>
      <x:c r="B12142" s="0" t="s">
        <x:v>47038</x:v>
      </x:c>
      <x:c r="C12142" s="0" t="s">
        <x:v>42840</x:v>
      </x:c>
      <x:c r="E12142" s="0" t="s">
        <x:v>47039</x:v>
      </x:c>
      <x:c r="F12142" s="0" t="s">
        <x:v>45</x:v>
      </x:c>
      <x:c r="G12142" s="0" t="s">
        <x:v>22</x:v>
      </x:c>
      <x:c r="H12142" s="0" t="s">
        <x:v>20</x:v>
      </x:c>
      <x:c r="I12142" s="0" t="s">
        <x:v>21</x:v>
      </x:c>
      <x:c r="K12142" s="0">
        <x:f>hyperlink("https://icd.who.int/dev11/l-ichi/en#/http%3A%2F%2Fid.who.int%2Ficd%2Fentity%2F1285512456","browser")</x:f>
      </x:c>
      <x:c r="L12142" s="0">
        <x:f>hyperlink("https://icat2.azurewebsites.net/icat/?ontology=ICD&amp;tab=ClassesTab&amp;id=http%3A%2F%2Fwho.int%2Ficd%23SpecificAnatomicLocation_2615","iCat")</x:f>
      </x:c>
      <x:c r="M12142" s="0" t="s">
        <x:v>21</x:v>
      </x:c>
      <x:c r="N12142" s="0" t="s">
        <x:v>46</x:v>
      </x:c>
    </x:row>
    <x:row r="12143" spans="1:16">
      <x:c r="A12143" s="0" t="s">
        <x:v>47040</x:v>
      </x:c>
      <x:c r="B12143" s="0" t="s">
        <x:v>47041</x:v>
      </x:c>
      <x:c r="C12143" s="0" t="s">
        <x:v>42840</x:v>
      </x:c>
      <x:c r="E12143" s="0" t="s">
        <x:v>47042</x:v>
      </x:c>
      <x:c r="F12143" s="0" t="s">
        <x:v>45</x:v>
      </x:c>
      <x:c r="G12143" s="0" t="s">
        <x:v>22</x:v>
      </x:c>
      <x:c r="H12143" s="0" t="s">
        <x:v>20</x:v>
      </x:c>
      <x:c r="I12143" s="0" t="s">
        <x:v>21</x:v>
      </x:c>
      <x:c r="K12143" s="0">
        <x:f>hyperlink("https://icd.who.int/dev11/l-ichi/en#/http%3A%2F%2Fid.who.int%2Ficd%2Fentity%2F1718660768","browser")</x:f>
      </x:c>
      <x:c r="L12143" s="0">
        <x:f>hyperlink("https://icat2.azurewebsites.net/icat/?ontology=ICD&amp;tab=ClassesTab&amp;id=http%3A%2F%2Fwho.int%2Ficd%23SpecificAnatomicLocation_2623","iCat")</x:f>
      </x:c>
      <x:c r="M12143" s="0" t="s">
        <x:v>21</x:v>
      </x:c>
      <x:c r="N12143" s="0" t="s">
        <x:v>46</x:v>
      </x:c>
    </x:row>
    <x:row r="12144" spans="1:16">
      <x:c r="A12144" s="0" t="s">
        <x:v>47043</x:v>
      </x:c>
      <x:c r="B12144" s="0" t="s">
        <x:v>47044</x:v>
      </x:c>
      <x:c r="C12144" s="0" t="s">
        <x:v>42840</x:v>
      </x:c>
      <x:c r="E12144" s="0" t="s">
        <x:v>47045</x:v>
      </x:c>
      <x:c r="F12144" s="0" t="s">
        <x:v>45</x:v>
      </x:c>
      <x:c r="G12144" s="0" t="s">
        <x:v>22</x:v>
      </x:c>
      <x:c r="H12144" s="0" t="s">
        <x:v>20</x:v>
      </x:c>
      <x:c r="I12144" s="0" t="s">
        <x:v>21</x:v>
      </x:c>
      <x:c r="K12144" s="0">
        <x:f>hyperlink("https://icd.who.int/dev11/l-ichi/en#/http%3A%2F%2Fid.who.int%2Ficd%2Fentity%2F1466472919","browser")</x:f>
      </x:c>
      <x:c r="L12144" s="0">
        <x:f>hyperlink("https://icat2.azurewebsites.net/icat/?ontology=ICD&amp;tab=ClassesTab&amp;id=http%3A%2F%2Fwho.int%2Ficd%23SpecificAnatomicLocation_2653","iCat")</x:f>
      </x:c>
      <x:c r="M12144" s="0" t="s">
        <x:v>21</x:v>
      </x:c>
      <x:c r="N12144" s="0" t="s">
        <x:v>46</x:v>
      </x:c>
    </x:row>
    <x:row r="12145" spans="1:16">
      <x:c r="A12145" s="0" t="s">
        <x:v>47046</x:v>
      </x:c>
      <x:c r="B12145" s="0" t="s">
        <x:v>47047</x:v>
      </x:c>
      <x:c r="C12145" s="0" t="s">
        <x:v>42840</x:v>
      </x:c>
      <x:c r="E12145" s="0" t="s">
        <x:v>47048</x:v>
      </x:c>
      <x:c r="F12145" s="0" t="s">
        <x:v>45</x:v>
      </x:c>
      <x:c r="G12145" s="0" t="s">
        <x:v>22</x:v>
      </x:c>
      <x:c r="H12145" s="0" t="s">
        <x:v>20</x:v>
      </x:c>
      <x:c r="I12145" s="0" t="s">
        <x:v>21</x:v>
      </x:c>
      <x:c r="K12145" s="0">
        <x:f>hyperlink("https://icd.who.int/dev11/l-ichi/en#/http%3A%2F%2Fid.who.int%2Ficd%2Fentity%2F532087953","browser")</x:f>
      </x:c>
      <x:c r="L12145" s="0">
        <x:f>hyperlink("https://icat2.azurewebsites.net/icat/?ontology=ICD&amp;tab=ClassesTab&amp;id=http%3A%2F%2Fwho.int%2Ficd%23SpecificAnatomicLocation_2685","iCat")</x:f>
      </x:c>
      <x:c r="M12145" s="0" t="s">
        <x:v>21</x:v>
      </x:c>
      <x:c r="N12145" s="0" t="s">
        <x:v>46</x:v>
      </x:c>
    </x:row>
    <x:row r="12146" spans="1:16">
      <x:c r="A12146" s="0" t="s">
        <x:v>47049</x:v>
      </x:c>
      <x:c r="B12146" s="0" t="s">
        <x:v>47050</x:v>
      </x:c>
      <x:c r="C12146" s="0" t="s">
        <x:v>42840</x:v>
      </x:c>
      <x:c r="E12146" s="0" t="s">
        <x:v>47051</x:v>
      </x:c>
      <x:c r="F12146" s="0" t="s">
        <x:v>45</x:v>
      </x:c>
      <x:c r="G12146" s="0" t="s">
        <x:v>22</x:v>
      </x:c>
      <x:c r="H12146" s="0" t="s">
        <x:v>20</x:v>
      </x:c>
      <x:c r="I12146" s="0" t="s">
        <x:v>21</x:v>
      </x:c>
      <x:c r="K12146" s="0">
        <x:f>hyperlink("https://icd.who.int/dev11/l-ichi/en#/http%3A%2F%2Fid.who.int%2Ficd%2Fentity%2F663924872","browser")</x:f>
      </x:c>
      <x:c r="L12146" s="0">
        <x:f>hyperlink("https://icat2.azurewebsites.net/icat/?ontology=ICD&amp;tab=ClassesTab&amp;id=http%3A%2F%2Fwho.int%2Ficd%23SpecificAnatomicLocation_2708","iCat")</x:f>
      </x:c>
      <x:c r="M12146" s="0" t="s">
        <x:v>21</x:v>
      </x:c>
      <x:c r="N12146" s="0" t="s">
        <x:v>46</x:v>
      </x:c>
    </x:row>
    <x:row r="12147" spans="1:16">
      <x:c r="A12147" s="0" t="s">
        <x:v>47052</x:v>
      </x:c>
      <x:c r="B12147" s="0" t="s">
        <x:v>47053</x:v>
      </x:c>
      <x:c r="C12147" s="0" t="s">
        <x:v>42840</x:v>
      </x:c>
      <x:c r="E12147" s="0" t="s">
        <x:v>47054</x:v>
      </x:c>
      <x:c r="F12147" s="0" t="s">
        <x:v>45</x:v>
      </x:c>
      <x:c r="G12147" s="0" t="s">
        <x:v>22</x:v>
      </x:c>
      <x:c r="H12147" s="0" t="s">
        <x:v>20</x:v>
      </x:c>
      <x:c r="I12147" s="0" t="s">
        <x:v>21</x:v>
      </x:c>
      <x:c r="K12147" s="0">
        <x:f>hyperlink("https://icd.who.int/dev11/l-ichi/en#/http%3A%2F%2Fid.who.int%2Ficd%2Fentity%2F817550408","browser")</x:f>
      </x:c>
      <x:c r="L12147" s="0">
        <x:f>hyperlink("https://icat2.azurewebsites.net/icat/?ontology=ICD&amp;tab=ClassesTab&amp;id=http%3A%2F%2Fwho.int%2Ficd%23SpecificAnatomicLocation_2709","iCat")</x:f>
      </x:c>
      <x:c r="M12147" s="0" t="s">
        <x:v>21</x:v>
      </x:c>
      <x:c r="N12147" s="0" t="s">
        <x:v>46</x:v>
      </x:c>
    </x:row>
    <x:row r="12148" spans="1:16">
      <x:c r="A12148" s="0" t="s">
        <x:v>47055</x:v>
      </x:c>
      <x:c r="B12148" s="0" t="s">
        <x:v>47056</x:v>
      </x:c>
      <x:c r="C12148" s="0" t="s">
        <x:v>42840</x:v>
      </x:c>
      <x:c r="E12148" s="0" t="s">
        <x:v>47057</x:v>
      </x:c>
      <x:c r="F12148" s="0" t="s">
        <x:v>45</x:v>
      </x:c>
      <x:c r="G12148" s="0" t="s">
        <x:v>22</x:v>
      </x:c>
      <x:c r="H12148" s="0" t="s">
        <x:v>20</x:v>
      </x:c>
      <x:c r="I12148" s="0" t="s">
        <x:v>21</x:v>
      </x:c>
      <x:c r="K12148" s="0">
        <x:f>hyperlink("https://icd.who.int/dev11/l-ichi/en#/http%3A%2F%2Fid.who.int%2Ficd%2Fentity%2F148674401","browser")</x:f>
      </x:c>
      <x:c r="L12148" s="0">
        <x:f>hyperlink("https://icat2.azurewebsites.net/icat/?ontology=ICD&amp;tab=ClassesTab&amp;id=http%3A%2F%2Fwho.int%2Ficd%23SpecificAnatomicLocation_2711","iCat")</x:f>
      </x:c>
      <x:c r="M12148" s="0" t="s">
        <x:v>21</x:v>
      </x:c>
      <x:c r="N12148" s="0" t="s">
        <x:v>46</x:v>
      </x:c>
    </x:row>
    <x:row r="12149" spans="1:16">
      <x:c r="A12149" s="0" t="s">
        <x:v>47058</x:v>
      </x:c>
      <x:c r="B12149" s="0" t="s">
        <x:v>47059</x:v>
      </x:c>
      <x:c r="C12149" s="0" t="s">
        <x:v>42840</x:v>
      </x:c>
      <x:c r="E12149" s="0" t="s">
        <x:v>47060</x:v>
      </x:c>
      <x:c r="F12149" s="0" t="s">
        <x:v>45</x:v>
      </x:c>
      <x:c r="G12149" s="0" t="s">
        <x:v>35</x:v>
      </x:c>
      <x:c r="H12149" s="0" t="s">
        <x:v>20</x:v>
      </x:c>
      <x:c r="I12149" s="0" t="s">
        <x:v>21</x:v>
      </x:c>
      <x:c r="K12149" s="0">
        <x:f>hyperlink("https://icd.who.int/dev11/l-ichi/en#/http%3A%2F%2Fid.who.int%2Ficd%2Fentity%2F1381503063","browser")</x:f>
      </x:c>
      <x:c r="L12149" s="0">
        <x:f>hyperlink("https://icat2.azurewebsites.net/icat/?ontology=ICD&amp;tab=ClassesTab&amp;id=http%3A%2F%2Fwho.int%2Ficd%233927_1a025aad_bab4_45d3_85b5_2f8609f7d6c2","iCat")</x:f>
      </x:c>
      <x:c r="M12149" s="0" t="s">
        <x:v>20</x:v>
      </x:c>
      <x:c r="N12149" s="0" t="s">
        <x:v>8333</x:v>
      </x:c>
    </x:row>
    <x:row r="12150" spans="1:16">
      <x:c r="A12150" s="0" t="s">
        <x:v>47061</x:v>
      </x:c>
      <x:c r="B12150" s="0" t="s">
        <x:v>47062</x:v>
      </x:c>
      <x:c r="C12150" s="0" t="s">
        <x:v>42840</x:v>
      </x:c>
      <x:c r="E12150" s="0" t="s">
        <x:v>47063</x:v>
      </x:c>
      <x:c r="F12150" s="0" t="s">
        <x:v>45</x:v>
      </x:c>
      <x:c r="G12150" s="0" t="s">
        <x:v>22</x:v>
      </x:c>
      <x:c r="H12150" s="0" t="s">
        <x:v>20</x:v>
      </x:c>
      <x:c r="I12150" s="0" t="s">
        <x:v>21</x:v>
      </x:c>
      <x:c r="K12150" s="0">
        <x:f>hyperlink("https://icd.who.int/dev11/l-ichi/en#/http%3A%2F%2Fid.who.int%2Ficd%2Fentity%2F951259663","browser")</x:f>
      </x:c>
      <x:c r="L12150" s="0">
        <x:f>hyperlink("https://icat2.azurewebsites.net/icat/?ontology=ICD&amp;tab=ClassesTab&amp;id=http%3A%2F%2Fwho.int%2Ficd%23SpecificAnatomicLocation_2426","iCat")</x:f>
      </x:c>
      <x:c r="M12150" s="0" t="s">
        <x:v>21</x:v>
      </x:c>
      <x:c r="N12150" s="0" t="s">
        <x:v>46</x:v>
      </x:c>
    </x:row>
    <x:row r="12151" spans="1:16">
      <x:c r="A12151" s="0" t="s">
        <x:v>47064</x:v>
      </x:c>
      <x:c r="B12151" s="0" t="s">
        <x:v>47065</x:v>
      </x:c>
      <x:c r="C12151" s="0" t="s">
        <x:v>42840</x:v>
      </x:c>
      <x:c r="E12151" s="0" t="s">
        <x:v>47066</x:v>
      </x:c>
      <x:c r="F12151" s="0" t="s">
        <x:v>45</x:v>
      </x:c>
      <x:c r="G12151" s="0" t="s">
        <x:v>22</x:v>
      </x:c>
      <x:c r="H12151" s="0" t="s">
        <x:v>20</x:v>
      </x:c>
      <x:c r="I12151" s="0" t="s">
        <x:v>21</x:v>
      </x:c>
      <x:c r="K12151" s="0">
        <x:f>hyperlink("https://icd.who.int/dev11/l-ichi/en#/http%3A%2F%2Fid.who.int%2Ficd%2Fentity%2F2131830168","browser")</x:f>
      </x:c>
      <x:c r="L12151" s="0">
        <x:f>hyperlink("https://icat2.azurewebsites.net/icat/?ontology=ICD&amp;tab=ClassesTab&amp;id=http%3A%2F%2Fwho.int%2Ficd%23SpecificAnatomicLocation_2435","iCat")</x:f>
      </x:c>
      <x:c r="M12151" s="0" t="s">
        <x:v>21</x:v>
      </x:c>
      <x:c r="N12151" s="0" t="s">
        <x:v>46</x:v>
      </x:c>
    </x:row>
    <x:row r="12152" spans="1:16">
      <x:c r="A12152" s="0" t="s">
        <x:v>47067</x:v>
      </x:c>
      <x:c r="B12152" s="0" t="s">
        <x:v>47068</x:v>
      </x:c>
      <x:c r="C12152" s="0" t="s">
        <x:v>42840</x:v>
      </x:c>
      <x:c r="E12152" s="0" t="s">
        <x:v>47069</x:v>
      </x:c>
      <x:c r="F12152" s="0" t="s">
        <x:v>45</x:v>
      </x:c>
      <x:c r="G12152" s="0" t="s">
        <x:v>22</x:v>
      </x:c>
      <x:c r="H12152" s="0" t="s">
        <x:v>20</x:v>
      </x:c>
      <x:c r="I12152" s="0" t="s">
        <x:v>21</x:v>
      </x:c>
      <x:c r="K12152" s="0">
        <x:f>hyperlink("https://icd.who.int/dev11/l-ichi/en#/http%3A%2F%2Fid.who.int%2Ficd%2Fentity%2F162211192","browser")</x:f>
      </x:c>
      <x:c r="L12152" s="0">
        <x:f>hyperlink("https://icat2.azurewebsites.net/icat/?ontology=ICD&amp;tab=ClassesTab&amp;id=http%3A%2F%2Fwho.int%2Ficd%23SpecificAnatomicLocation_2456","iCat")</x:f>
      </x:c>
      <x:c r="M12152" s="0" t="s">
        <x:v>21</x:v>
      </x:c>
      <x:c r="N12152" s="0" t="s">
        <x:v>46</x:v>
      </x:c>
    </x:row>
    <x:row r="12153" spans="1:16">
      <x:c r="A12153" s="0" t="s">
        <x:v>47070</x:v>
      </x:c>
      <x:c r="B12153" s="0" t="s">
        <x:v>47071</x:v>
      </x:c>
      <x:c r="C12153" s="0" t="s">
        <x:v>42840</x:v>
      </x:c>
      <x:c r="E12153" s="0" t="s">
        <x:v>47072</x:v>
      </x:c>
      <x:c r="F12153" s="0" t="s">
        <x:v>45</x:v>
      </x:c>
      <x:c r="G12153" s="0" t="s">
        <x:v>22</x:v>
      </x:c>
      <x:c r="H12153" s="0" t="s">
        <x:v>20</x:v>
      </x:c>
      <x:c r="I12153" s="0" t="s">
        <x:v>21</x:v>
      </x:c>
      <x:c r="K12153" s="0">
        <x:f>hyperlink("https://icd.who.int/dev11/l-ichi/en#/http%3A%2F%2Fid.who.int%2Ficd%2Fentity%2F20963081","browser")</x:f>
      </x:c>
      <x:c r="L12153" s="0">
        <x:f>hyperlink("https://icat2.azurewebsites.net/icat/?ontology=ICD&amp;tab=ClassesTab&amp;id=http%3A%2F%2Fwho.int%2Ficd%23SpecificAnatomicLocation_2474","iCat")</x:f>
      </x:c>
      <x:c r="M12153" s="0" t="s">
        <x:v>21</x:v>
      </x:c>
      <x:c r="N12153" s="0" t="s">
        <x:v>46</x:v>
      </x:c>
    </x:row>
    <x:row r="12154" spans="1:16">
      <x:c r="A12154" s="0" t="s">
        <x:v>47073</x:v>
      </x:c>
      <x:c r="B12154" s="0" t="s">
        <x:v>47074</x:v>
      </x:c>
      <x:c r="C12154" s="0" t="s">
        <x:v>42840</x:v>
      </x:c>
      <x:c r="E12154" s="0" t="s">
        <x:v>47075</x:v>
      </x:c>
      <x:c r="F12154" s="0" t="s">
        <x:v>45</x:v>
      </x:c>
      <x:c r="G12154" s="0" t="s">
        <x:v>22</x:v>
      </x:c>
      <x:c r="H12154" s="0" t="s">
        <x:v>20</x:v>
      </x:c>
      <x:c r="I12154" s="0" t="s">
        <x:v>21</x:v>
      </x:c>
      <x:c r="K12154" s="0">
        <x:f>hyperlink("https://icd.who.int/dev11/l-ichi/en#/http%3A%2F%2Fid.who.int%2Ficd%2Fentity%2F944206409","browser")</x:f>
      </x:c>
      <x:c r="L12154" s="0">
        <x:f>hyperlink("https://icat2.azurewebsites.net/icat/?ontology=ICD&amp;tab=ClassesTab&amp;id=http%3A%2F%2Fwho.int%2Ficd%23SpecificAnatomicLocation_2477","iCat")</x:f>
      </x:c>
      <x:c r="M12154" s="0" t="s">
        <x:v>21</x:v>
      </x:c>
      <x:c r="N12154" s="0" t="s">
        <x:v>46</x:v>
      </x:c>
    </x:row>
    <x:row r="12155" spans="1:16">
      <x:c r="A12155" s="0" t="s">
        <x:v>47076</x:v>
      </x:c>
      <x:c r="B12155" s="0" t="s">
        <x:v>47077</x:v>
      </x:c>
      <x:c r="C12155" s="0" t="s">
        <x:v>42840</x:v>
      </x:c>
      <x:c r="E12155" s="0" t="s">
        <x:v>47078</x:v>
      </x:c>
      <x:c r="F12155" s="0" t="s">
        <x:v>45</x:v>
      </x:c>
      <x:c r="G12155" s="0" t="s">
        <x:v>22</x:v>
      </x:c>
      <x:c r="H12155" s="0" t="s">
        <x:v>20</x:v>
      </x:c>
      <x:c r="I12155" s="0" t="s">
        <x:v>21</x:v>
      </x:c>
      <x:c r="K12155" s="0">
        <x:f>hyperlink("https://icd.who.int/dev11/l-ichi/en#/http%3A%2F%2Fid.who.int%2Ficd%2Fentity%2F1517755559","browser")</x:f>
      </x:c>
      <x:c r="L12155" s="0">
        <x:f>hyperlink("https://icat2.azurewebsites.net/icat/?ontology=ICD&amp;tab=ClassesTab&amp;id=http%3A%2F%2Fwho.int%2Ficd%23SpecificAnatomicLocation_2497","iCat")</x:f>
      </x:c>
      <x:c r="M12155" s="0" t="s">
        <x:v>21</x:v>
      </x:c>
      <x:c r="N12155" s="0" t="s">
        <x:v>46</x:v>
      </x:c>
    </x:row>
    <x:row r="12156" spans="1:16">
      <x:c r="A12156" s="0" t="s">
        <x:v>47079</x:v>
      </x:c>
      <x:c r="B12156" s="0" t="s">
        <x:v>47080</x:v>
      </x:c>
      <x:c r="C12156" s="0" t="s">
        <x:v>42840</x:v>
      </x:c>
      <x:c r="E12156" s="0" t="s">
        <x:v>47081</x:v>
      </x:c>
      <x:c r="F12156" s="0" t="s">
        <x:v>45</x:v>
      </x:c>
      <x:c r="G12156" s="0" t="s">
        <x:v>22</x:v>
      </x:c>
      <x:c r="H12156" s="0" t="s">
        <x:v>20</x:v>
      </x:c>
      <x:c r="I12156" s="0" t="s">
        <x:v>21</x:v>
      </x:c>
      <x:c r="K12156" s="0">
        <x:f>hyperlink("https://icd.who.int/dev11/l-ichi/en#/http%3A%2F%2Fid.who.int%2Ficd%2Fentity%2F110459031","browser")</x:f>
      </x:c>
      <x:c r="L12156" s="0">
        <x:f>hyperlink("https://icat2.azurewebsites.net/icat/?ontology=ICD&amp;tab=ClassesTab&amp;id=http%3A%2F%2Fwho.int%2Ficd%23SpecificAnatomicLocation_2506","iCat")</x:f>
      </x:c>
      <x:c r="M12156" s="0" t="s">
        <x:v>21</x:v>
      </x:c>
      <x:c r="N12156" s="0" t="s">
        <x:v>46</x:v>
      </x:c>
    </x:row>
    <x:row r="12157" spans="1:16">
      <x:c r="A12157" s="0" t="s">
        <x:v>47082</x:v>
      </x:c>
      <x:c r="B12157" s="0" t="s">
        <x:v>47083</x:v>
      </x:c>
      <x:c r="C12157" s="0" t="s">
        <x:v>42840</x:v>
      </x:c>
      <x:c r="E12157" s="0" t="s">
        <x:v>47084</x:v>
      </x:c>
      <x:c r="F12157" s="0" t="s">
        <x:v>45</x:v>
      </x:c>
      <x:c r="G12157" s="0" t="s">
        <x:v>22</x:v>
      </x:c>
      <x:c r="H12157" s="0" t="s">
        <x:v>20</x:v>
      </x:c>
      <x:c r="I12157" s="0" t="s">
        <x:v>21</x:v>
      </x:c>
      <x:c r="K12157" s="0">
        <x:f>hyperlink("https://icd.who.int/dev11/l-ichi/en#/http%3A%2F%2Fid.who.int%2Ficd%2Fentity%2F1458260872","browser")</x:f>
      </x:c>
      <x:c r="L12157" s="0">
        <x:f>hyperlink("https://icat2.azurewebsites.net/icat/?ontology=ICD&amp;tab=ClassesTab&amp;id=http%3A%2F%2Fwho.int%2Ficd%23SpecificAnatomicLocation_2545","iCat")</x:f>
      </x:c>
      <x:c r="M12157" s="0" t="s">
        <x:v>21</x:v>
      </x:c>
      <x:c r="N12157" s="0" t="s">
        <x:v>46</x:v>
      </x:c>
    </x:row>
    <x:row r="12158" spans="1:16">
      <x:c r="A12158" s="0" t="s">
        <x:v>47085</x:v>
      </x:c>
      <x:c r="B12158" s="0" t="s">
        <x:v>47086</x:v>
      </x:c>
      <x:c r="C12158" s="0" t="s">
        <x:v>42840</x:v>
      </x:c>
      <x:c r="E12158" s="0" t="s">
        <x:v>47087</x:v>
      </x:c>
      <x:c r="F12158" s="0" t="s">
        <x:v>45</x:v>
      </x:c>
      <x:c r="G12158" s="0" t="s">
        <x:v>22</x:v>
      </x:c>
      <x:c r="H12158" s="0" t="s">
        <x:v>20</x:v>
      </x:c>
      <x:c r="I12158" s="0" t="s">
        <x:v>21</x:v>
      </x:c>
      <x:c r="K12158" s="0">
        <x:f>hyperlink("https://icd.who.int/dev11/l-ichi/en#/http%3A%2F%2Fid.who.int%2Ficd%2Fentity%2F1871963848","browser")</x:f>
      </x:c>
      <x:c r="L12158" s="0">
        <x:f>hyperlink("https://icat2.azurewebsites.net/icat/?ontology=ICD&amp;tab=ClassesTab&amp;id=http%3A%2F%2Fwho.int%2Ficd%23SpecificAnatomicLocation_2546","iCat")</x:f>
      </x:c>
      <x:c r="M12158" s="0" t="s">
        <x:v>21</x:v>
      </x:c>
      <x:c r="N12158" s="0" t="s">
        <x:v>46</x:v>
      </x:c>
    </x:row>
    <x:row r="12159" spans="1:16">
      <x:c r="A12159" s="0" t="s">
        <x:v>47088</x:v>
      </x:c>
      <x:c r="B12159" s="0" t="s">
        <x:v>47089</x:v>
      </x:c>
      <x:c r="C12159" s="0" t="s">
        <x:v>42840</x:v>
      </x:c>
      <x:c r="E12159" s="0" t="s">
        <x:v>47090</x:v>
      </x:c>
      <x:c r="F12159" s="0" t="s">
        <x:v>45</x:v>
      </x:c>
      <x:c r="G12159" s="0" t="s">
        <x:v>22</x:v>
      </x:c>
      <x:c r="H12159" s="0" t="s">
        <x:v>20</x:v>
      </x:c>
      <x:c r="I12159" s="0" t="s">
        <x:v>21</x:v>
      </x:c>
      <x:c r="K12159" s="0">
        <x:f>hyperlink("https://icd.who.int/dev11/l-ichi/en#/http%3A%2F%2Fid.who.int%2Ficd%2Fentity%2F1541301688","browser")</x:f>
      </x:c>
      <x:c r="L12159" s="0">
        <x:f>hyperlink("https://icat2.azurewebsites.net/icat/?ontology=ICD&amp;tab=ClassesTab&amp;id=http%3A%2F%2Fwho.int%2Ficd%23SpecificAnatomicLocation_2548","iCat")</x:f>
      </x:c>
      <x:c r="M12159" s="0" t="s">
        <x:v>21</x:v>
      </x:c>
      <x:c r="N12159" s="0" t="s">
        <x:v>46</x:v>
      </x:c>
    </x:row>
    <x:row r="12160" spans="1:16">
      <x:c r="A12160" s="0" t="s">
        <x:v>47091</x:v>
      </x:c>
      <x:c r="B12160" s="0" t="s">
        <x:v>47092</x:v>
      </x:c>
      <x:c r="C12160" s="0" t="s">
        <x:v>42840</x:v>
      </x:c>
      <x:c r="E12160" s="0" t="s">
        <x:v>47093</x:v>
      </x:c>
      <x:c r="F12160" s="0" t="s">
        <x:v>45</x:v>
      </x:c>
      <x:c r="G12160" s="0" t="s">
        <x:v>22</x:v>
      </x:c>
      <x:c r="H12160" s="0" t="s">
        <x:v>20</x:v>
      </x:c>
      <x:c r="I12160" s="0" t="s">
        <x:v>21</x:v>
      </x:c>
      <x:c r="K12160" s="0">
        <x:f>hyperlink("https://icd.who.int/dev11/l-ichi/en#/http%3A%2F%2Fid.who.int%2Ficd%2Fentity%2F841784239","browser")</x:f>
      </x:c>
      <x:c r="L12160" s="0">
        <x:f>hyperlink("https://icat2.azurewebsites.net/icat/?ontology=ICD&amp;tab=ClassesTab&amp;id=http%3A%2F%2Fwho.int%2Ficd%23SpecificAnatomicLocation_2559","iCat")</x:f>
      </x:c>
      <x:c r="M12160" s="0" t="s">
        <x:v>21</x:v>
      </x:c>
      <x:c r="N12160" s="0" t="s">
        <x:v>46</x:v>
      </x:c>
    </x:row>
    <x:row r="12161" spans="1:16">
      <x:c r="A12161" s="0" t="s">
        <x:v>47094</x:v>
      </x:c>
      <x:c r="B12161" s="0" t="s">
        <x:v>47095</x:v>
      </x:c>
      <x:c r="C12161" s="0" t="s">
        <x:v>42840</x:v>
      </x:c>
      <x:c r="E12161" s="0" t="s">
        <x:v>47096</x:v>
      </x:c>
      <x:c r="F12161" s="0" t="s">
        <x:v>45</x:v>
      </x:c>
      <x:c r="G12161" s="0" t="s">
        <x:v>22</x:v>
      </x:c>
      <x:c r="H12161" s="0" t="s">
        <x:v>20</x:v>
      </x:c>
      <x:c r="I12161" s="0" t="s">
        <x:v>21</x:v>
      </x:c>
      <x:c r="K12161" s="0">
        <x:f>hyperlink("https://icd.who.int/dev11/l-ichi/en#/http%3A%2F%2Fid.who.int%2Ficd%2Fentity%2F1000771513","browser")</x:f>
      </x:c>
      <x:c r="L12161" s="0">
        <x:f>hyperlink("https://icat2.azurewebsites.net/icat/?ontology=ICD&amp;tab=ClassesTab&amp;id=http%3A%2F%2Fwho.int%2Ficd%23SpecificAnatomicLocation_2560","iCat")</x:f>
      </x:c>
      <x:c r="M12161" s="0" t="s">
        <x:v>21</x:v>
      </x:c>
      <x:c r="N12161" s="0" t="s">
        <x:v>46</x:v>
      </x:c>
    </x:row>
    <x:row r="12162" spans="1:16">
      <x:c r="A12162" s="0" t="s">
        <x:v>47097</x:v>
      </x:c>
      <x:c r="B12162" s="0" t="s">
        <x:v>47098</x:v>
      </x:c>
      <x:c r="C12162" s="0" t="s">
        <x:v>42840</x:v>
      </x:c>
      <x:c r="E12162" s="0" t="s">
        <x:v>47099</x:v>
      </x:c>
      <x:c r="F12162" s="0" t="s">
        <x:v>45</x:v>
      </x:c>
      <x:c r="G12162" s="0" t="s">
        <x:v>22</x:v>
      </x:c>
      <x:c r="H12162" s="0" t="s">
        <x:v>20</x:v>
      </x:c>
      <x:c r="I12162" s="0" t="s">
        <x:v>21</x:v>
      </x:c>
      <x:c r="K12162" s="0">
        <x:f>hyperlink("https://icd.who.int/dev11/l-ichi/en#/http%3A%2F%2Fid.who.int%2Ficd%2Fentity%2F747563897","browser")</x:f>
      </x:c>
      <x:c r="L12162" s="0">
        <x:f>hyperlink("https://icat2.azurewebsites.net/icat/?ontology=ICD&amp;tab=ClassesTab&amp;id=http%3A%2F%2Fwho.int%2Ficd%23SpecificAnatomicLocation_2561","iCat")</x:f>
      </x:c>
      <x:c r="M12162" s="0" t="s">
        <x:v>21</x:v>
      </x:c>
      <x:c r="N12162" s="0" t="s">
        <x:v>46</x:v>
      </x:c>
    </x:row>
    <x:row r="12163" spans="1:16">
      <x:c r="A12163" s="0" t="s">
        <x:v>47100</x:v>
      </x:c>
      <x:c r="B12163" s="0" t="s">
        <x:v>47101</x:v>
      </x:c>
      <x:c r="C12163" s="0" t="s">
        <x:v>42840</x:v>
      </x:c>
      <x:c r="E12163" s="0" t="s">
        <x:v>47102</x:v>
      </x:c>
      <x:c r="F12163" s="0" t="s">
        <x:v>45</x:v>
      </x:c>
      <x:c r="G12163" s="0" t="s">
        <x:v>22</x:v>
      </x:c>
      <x:c r="H12163" s="0" t="s">
        <x:v>20</x:v>
      </x:c>
      <x:c r="I12163" s="0" t="s">
        <x:v>21</x:v>
      </x:c>
      <x:c r="K12163" s="0">
        <x:f>hyperlink("https://icd.who.int/dev11/l-ichi/en#/http%3A%2F%2Fid.who.int%2Ficd%2Fentity%2F1585426937","browser")</x:f>
      </x:c>
      <x:c r="L12163" s="0">
        <x:f>hyperlink("https://icat2.azurewebsites.net/icat/?ontology=ICD&amp;tab=ClassesTab&amp;id=http%3A%2F%2Fwho.int%2Ficd%23SpecificAnatomicLocation_2567","iCat")</x:f>
      </x:c>
      <x:c r="M12163" s="0" t="s">
        <x:v>21</x:v>
      </x:c>
      <x:c r="N12163" s="0" t="s">
        <x:v>46</x:v>
      </x:c>
    </x:row>
    <x:row r="12164" spans="1:16">
      <x:c r="A12164" s="0" t="s">
        <x:v>47103</x:v>
      </x:c>
      <x:c r="B12164" s="0" t="s">
        <x:v>47104</x:v>
      </x:c>
      <x:c r="C12164" s="0" t="s">
        <x:v>42840</x:v>
      </x:c>
      <x:c r="E12164" s="0" t="s">
        <x:v>47105</x:v>
      </x:c>
      <x:c r="F12164" s="0" t="s">
        <x:v>45</x:v>
      </x:c>
      <x:c r="G12164" s="0" t="s">
        <x:v>22</x:v>
      </x:c>
      <x:c r="H12164" s="0" t="s">
        <x:v>20</x:v>
      </x:c>
      <x:c r="I12164" s="0" t="s">
        <x:v>21</x:v>
      </x:c>
      <x:c r="K12164" s="0">
        <x:f>hyperlink("https://icd.who.int/dev11/l-ichi/en#/http%3A%2F%2Fid.who.int%2Ficd%2Fentity%2F1469905297","browser")</x:f>
      </x:c>
      <x:c r="L12164" s="0">
        <x:f>hyperlink("https://icat2.azurewebsites.net/icat/?ontology=ICD&amp;tab=ClassesTab&amp;id=http%3A%2F%2Fwho.int%2Ficd%23SpecificAnatomicLocation_2602","iCat")</x:f>
      </x:c>
      <x:c r="M12164" s="0" t="s">
        <x:v>21</x:v>
      </x:c>
      <x:c r="N12164" s="0" t="s">
        <x:v>46</x:v>
      </x:c>
    </x:row>
    <x:row r="12165" spans="1:16">
      <x:c r="A12165" s="0" t="s">
        <x:v>47106</x:v>
      </x:c>
      <x:c r="B12165" s="0" t="s">
        <x:v>47107</x:v>
      </x:c>
      <x:c r="C12165" s="0" t="s">
        <x:v>42840</x:v>
      </x:c>
      <x:c r="E12165" s="0" t="s">
        <x:v>47108</x:v>
      </x:c>
      <x:c r="F12165" s="0" t="s">
        <x:v>45</x:v>
      </x:c>
      <x:c r="G12165" s="0" t="s">
        <x:v>22</x:v>
      </x:c>
      <x:c r="H12165" s="0" t="s">
        <x:v>20</x:v>
      </x:c>
      <x:c r="I12165" s="0" t="s">
        <x:v>21</x:v>
      </x:c>
      <x:c r="K12165" s="0">
        <x:f>hyperlink("https://icd.who.int/dev11/l-ichi/en#/http%3A%2F%2Fid.who.int%2Ficd%2Fentity%2F1085578577","browser")</x:f>
      </x:c>
      <x:c r="L12165" s="0">
        <x:f>hyperlink("https://icat2.azurewebsites.net/icat/?ontology=ICD&amp;tab=ClassesTab&amp;id=http%3A%2F%2Fwho.int%2Ficd%23SpecificAnatomicLocation_2603","iCat")</x:f>
      </x:c>
      <x:c r="M12165" s="0" t="s">
        <x:v>21</x:v>
      </x:c>
      <x:c r="N12165" s="0" t="s">
        <x:v>46</x:v>
      </x:c>
    </x:row>
    <x:row r="12166" spans="1:16">
      <x:c r="A12166" s="0" t="s">
        <x:v>47109</x:v>
      </x:c>
      <x:c r="B12166" s="0" t="s">
        <x:v>47110</x:v>
      </x:c>
      <x:c r="C12166" s="0" t="s">
        <x:v>42840</x:v>
      </x:c>
      <x:c r="E12166" s="0" t="s">
        <x:v>47111</x:v>
      </x:c>
      <x:c r="F12166" s="0" t="s">
        <x:v>45</x:v>
      </x:c>
      <x:c r="G12166" s="0" t="s">
        <x:v>22</x:v>
      </x:c>
      <x:c r="H12166" s="0" t="s">
        <x:v>20</x:v>
      </x:c>
      <x:c r="I12166" s="0" t="s">
        <x:v>21</x:v>
      </x:c>
      <x:c r="K12166" s="0">
        <x:f>hyperlink("https://icd.who.int/dev11/l-ichi/en#/http%3A%2F%2Fid.who.int%2Ficd%2Fentity%2F627942161","browser")</x:f>
      </x:c>
      <x:c r="L12166" s="0">
        <x:f>hyperlink("https://icat2.azurewebsites.net/icat/?ontology=ICD&amp;tab=ClassesTab&amp;id=http%3A%2F%2Fwho.int%2Ficd%23SpecificAnatomicLocation_2604","iCat")</x:f>
      </x:c>
      <x:c r="M12166" s="0" t="s">
        <x:v>21</x:v>
      </x:c>
      <x:c r="N12166" s="0" t="s">
        <x:v>46</x:v>
      </x:c>
    </x:row>
    <x:row r="12167" spans="1:16">
      <x:c r="A12167" s="0" t="s">
        <x:v>47112</x:v>
      </x:c>
      <x:c r="B12167" s="0" t="s">
        <x:v>47113</x:v>
      </x:c>
      <x:c r="C12167" s="0" t="s">
        <x:v>42840</x:v>
      </x:c>
      <x:c r="E12167" s="0" t="s">
        <x:v>47114</x:v>
      </x:c>
      <x:c r="F12167" s="0" t="s">
        <x:v>45</x:v>
      </x:c>
      <x:c r="G12167" s="0" t="s">
        <x:v>22</x:v>
      </x:c>
      <x:c r="H12167" s="0" t="s">
        <x:v>20</x:v>
      </x:c>
      <x:c r="I12167" s="0" t="s">
        <x:v>21</x:v>
      </x:c>
      <x:c r="K12167" s="0">
        <x:f>hyperlink("https://icd.who.int/dev11/l-ichi/en#/http%3A%2F%2Fid.who.int%2Ficd%2Fentity%2F1047398280","browser")</x:f>
      </x:c>
      <x:c r="L12167" s="0">
        <x:f>hyperlink("https://icat2.azurewebsites.net/icat/?ontology=ICD&amp;tab=ClassesTab&amp;id=http%3A%2F%2Fwho.int%2Ficd%23SpecificAnatomicLocation_2613","iCat")</x:f>
      </x:c>
      <x:c r="M12167" s="0" t="s">
        <x:v>21</x:v>
      </x:c>
      <x:c r="N12167" s="0" t="s">
        <x:v>46</x:v>
      </x:c>
    </x:row>
    <x:row r="12168" spans="1:16">
      <x:c r="A12168" s="0" t="s">
        <x:v>47115</x:v>
      </x:c>
      <x:c r="B12168" s="0" t="s">
        <x:v>47116</x:v>
      </x:c>
      <x:c r="C12168" s="0" t="s">
        <x:v>42840</x:v>
      </x:c>
      <x:c r="E12168" s="0" t="s">
        <x:v>47117</x:v>
      </x:c>
      <x:c r="F12168" s="0" t="s">
        <x:v>45</x:v>
      </x:c>
      <x:c r="G12168" s="0" t="s">
        <x:v>22</x:v>
      </x:c>
      <x:c r="H12168" s="0" t="s">
        <x:v>20</x:v>
      </x:c>
      <x:c r="I12168" s="0" t="s">
        <x:v>21</x:v>
      </x:c>
      <x:c r="K12168" s="0">
        <x:f>hyperlink("https://icd.who.int/dev11/l-ichi/en#/http%3A%2F%2Fid.who.int%2Ficd%2Fentity%2F1394852793","browser")</x:f>
      </x:c>
      <x:c r="L12168" s="0">
        <x:f>hyperlink("https://icat2.azurewebsites.net/icat/?ontology=ICD&amp;tab=ClassesTab&amp;id=http%3A%2F%2Fwho.int%2Ficd%23SpecificAnatomicLocation_2636","iCat")</x:f>
      </x:c>
      <x:c r="M12168" s="0" t="s">
        <x:v>21</x:v>
      </x:c>
      <x:c r="N12168" s="0" t="s">
        <x:v>46</x:v>
      </x:c>
    </x:row>
    <x:row r="12169" spans="1:16">
      <x:c r="A12169" s="0" t="s">
        <x:v>47118</x:v>
      </x:c>
      <x:c r="B12169" s="0" t="s">
        <x:v>47119</x:v>
      </x:c>
      <x:c r="C12169" s="0" t="s">
        <x:v>42840</x:v>
      </x:c>
      <x:c r="E12169" s="0" t="s">
        <x:v>47120</x:v>
      </x:c>
      <x:c r="F12169" s="0" t="s">
        <x:v>45</x:v>
      </x:c>
      <x:c r="G12169" s="0" t="s">
        <x:v>22</x:v>
      </x:c>
      <x:c r="H12169" s="0" t="s">
        <x:v>20</x:v>
      </x:c>
      <x:c r="I12169" s="0" t="s">
        <x:v>21</x:v>
      </x:c>
      <x:c r="K12169" s="0">
        <x:f>hyperlink("https://icd.who.int/dev11/l-ichi/en#/http%3A%2F%2Fid.who.int%2Ficd%2Fentity%2F2033733719","browser")</x:f>
      </x:c>
      <x:c r="L12169" s="0">
        <x:f>hyperlink("https://icat2.azurewebsites.net/icat/?ontology=ICD&amp;tab=ClassesTab&amp;id=http%3A%2F%2Fwho.int%2Ficd%23SpecificAnatomicLocation_2651","iCat")</x:f>
      </x:c>
      <x:c r="M12169" s="0" t="s">
        <x:v>21</x:v>
      </x:c>
      <x:c r="N12169" s="0" t="s">
        <x:v>46</x:v>
      </x:c>
    </x:row>
    <x:row r="12170" spans="1:16">
      <x:c r="A12170" s="0" t="s">
        <x:v>47121</x:v>
      </x:c>
      <x:c r="B12170" s="0" t="s">
        <x:v>47122</x:v>
      </x:c>
      <x:c r="C12170" s="0" t="s">
        <x:v>42840</x:v>
      </x:c>
      <x:c r="E12170" s="0" t="s">
        <x:v>47123</x:v>
      </x:c>
      <x:c r="F12170" s="0" t="s">
        <x:v>45</x:v>
      </x:c>
      <x:c r="G12170" s="0" t="s">
        <x:v>22</x:v>
      </x:c>
      <x:c r="H12170" s="0" t="s">
        <x:v>20</x:v>
      </x:c>
      <x:c r="I12170" s="0" t="s">
        <x:v>21</x:v>
      </x:c>
      <x:c r="K12170" s="0">
        <x:f>hyperlink("https://icd.who.int/dev11/l-ichi/en#/http%3A%2F%2Fid.who.int%2Ficd%2Fentity%2F1993918130","browser")</x:f>
      </x:c>
      <x:c r="L12170" s="0">
        <x:f>hyperlink("https://icat2.azurewebsites.net/icat/?ontology=ICD&amp;tab=ClassesTab&amp;id=http%3A%2F%2Fwho.int%2Ficd%23SpecificAnatomicLocation_2599","iCat")</x:f>
      </x:c>
      <x:c r="M12170" s="0" t="s">
        <x:v>21</x:v>
      </x:c>
      <x:c r="N12170" s="0" t="s">
        <x:v>46</x:v>
      </x:c>
    </x:row>
    <x:row r="12171" spans="1:16">
      <x:c r="A12171" s="0" t="s">
        <x:v>47124</x:v>
      </x:c>
      <x:c r="B12171" s="0" t="s">
        <x:v>47125</x:v>
      </x:c>
      <x:c r="C12171" s="0" t="s">
        <x:v>42840</x:v>
      </x:c>
      <x:c r="E12171" s="0" t="s">
        <x:v>47126</x:v>
      </x:c>
      <x:c r="F12171" s="0" t="s">
        <x:v>45</x:v>
      </x:c>
      <x:c r="G12171" s="0" t="s">
        <x:v>35</x:v>
      </x:c>
      <x:c r="H12171" s="0" t="s">
        <x:v>20</x:v>
      </x:c>
      <x:c r="I12171" s="0" t="s">
        <x:v>21</x:v>
      </x:c>
      <x:c r="K12171" s="0">
        <x:f>hyperlink("https://icd.who.int/dev11/l-ichi/en#/http%3A%2F%2Fid.who.int%2Ficd%2Fentity%2F1477784330","browser")</x:f>
      </x:c>
      <x:c r="L12171" s="0">
        <x:f>hyperlink("https://icat2.azurewebsites.net/icat/?ontology=ICD&amp;tab=ClassesTab&amp;id=http%3A%2F%2Fwho.int%2Ficd%23SpecificAnatomicLocation_2696","iCat")</x:f>
      </x:c>
      <x:c r="M12171" s="0" t="s">
        <x:v>21</x:v>
      </x:c>
      <x:c r="N12171" s="0" t="s">
        <x:v>46</x:v>
      </x:c>
    </x:row>
    <x:row r="12172" spans="1:16">
      <x:c r="A12172" s="0" t="s">
        <x:v>47127</x:v>
      </x:c>
      <x:c r="B12172" s="0" t="s">
        <x:v>47128</x:v>
      </x:c>
      <x:c r="C12172" s="0" t="s">
        <x:v>42840</x:v>
      </x:c>
      <x:c r="E12172" s="0" t="s">
        <x:v>47129</x:v>
      </x:c>
      <x:c r="F12172" s="0" t="s">
        <x:v>45</x:v>
      </x:c>
      <x:c r="G12172" s="0" t="s">
        <x:v>30</x:v>
      </x:c>
      <x:c r="H12172" s="0" t="s">
        <x:v>20</x:v>
      </x:c>
      <x:c r="I12172" s="0" t="s">
        <x:v>21</x:v>
      </x:c>
      <x:c r="K12172" s="0">
        <x:f>hyperlink("https://icd.who.int/dev11/l-ichi/en#/http%3A%2F%2Fid.who.int%2Ficd%2Fentity%2F1206540937","browser")</x:f>
      </x:c>
      <x:c r="L12172" s="0">
        <x:f>hyperlink("https://icat2.azurewebsites.net/icat/?ontology=ICD&amp;tab=ClassesTab&amp;id=http%3A%2F%2Fwho.int%2Ficd%23SpecificAnatomicLocation_2720","iCat")</x:f>
      </x:c>
      <x:c r="M12172" s="0" t="s">
        <x:v>20</x:v>
      </x:c>
      <x:c r="N12172" s="0" t="s">
        <x:v>684</x:v>
      </x:c>
    </x:row>
    <x:row r="12173" spans="1:16">
      <x:c r="A12173" s="0" t="s">
        <x:v>47130</x:v>
      </x:c>
      <x:c r="B12173" s="0" t="s">
        <x:v>47131</x:v>
      </x:c>
      <x:c r="C12173" s="0" t="s">
        <x:v>42840</x:v>
      </x:c>
      <x:c r="E12173" s="0" t="s">
        <x:v>47132</x:v>
      </x:c>
      <x:c r="F12173" s="0" t="s">
        <x:v>45</x:v>
      </x:c>
      <x:c r="G12173" s="0" t="s">
        <x:v>35</x:v>
      </x:c>
      <x:c r="H12173" s="0" t="s">
        <x:v>20</x:v>
      </x:c>
      <x:c r="I12173" s="0" t="s">
        <x:v>21</x:v>
      </x:c>
      <x:c r="K12173" s="0">
        <x:f>hyperlink("https://icd.who.int/dev11/l-ichi/en#/http%3A%2F%2Fid.who.int%2Ficd%2Fentity%2F1497901663","browser")</x:f>
      </x:c>
      <x:c r="L12173" s="0">
        <x:f>hyperlink("https://icat2.azurewebsites.net/icat/?ontology=ICD&amp;tab=ClassesTab&amp;id=http%3A%2F%2Fwho.int%2Ficd%23SpecificAnatomicLocation_2718","iCat")</x:f>
      </x:c>
      <x:c r="M12173" s="0" t="s">
        <x:v>21</x:v>
      </x:c>
      <x:c r="N12173" s="0" t="s">
        <x:v>46</x:v>
      </x:c>
    </x:row>
    <x:row r="12174" spans="1:16">
      <x:c r="A12174" s="0" t="s">
        <x:v>47133</x:v>
      </x:c>
      <x:c r="B12174" s="0" t="s">
        <x:v>47134</x:v>
      </x:c>
      <x:c r="C12174" s="0" t="s">
        <x:v>42840</x:v>
      </x:c>
      <x:c r="E12174" s="0" t="s">
        <x:v>47135</x:v>
      </x:c>
      <x:c r="F12174" s="0" t="s">
        <x:v>45</x:v>
      </x:c>
      <x:c r="G12174" s="0" t="s">
        <x:v>35</x:v>
      </x:c>
      <x:c r="H12174" s="0" t="s">
        <x:v>20</x:v>
      </x:c>
      <x:c r="I12174" s="0" t="s">
        <x:v>21</x:v>
      </x:c>
      <x:c r="K12174" s="0">
        <x:f>hyperlink("https://icd.who.int/dev11/l-ichi/en#/http%3A%2F%2Fid.who.int%2Ficd%2Fentity%2F1426247174","browser")</x:f>
      </x:c>
      <x:c r="L12174" s="0">
        <x:f>hyperlink("https://icat2.azurewebsites.net/icat/?ontology=ICD&amp;tab=ClassesTab&amp;id=http%3A%2F%2Fwho.int%2Ficd%23154_e02c2df3_77b6_419a_b43f_c4531334dd70","iCat")</x:f>
      </x:c>
      <x:c r="M12174" s="0" t="s">
        <x:v>21</x:v>
      </x:c>
      <x:c r="N12174" s="0" t="s">
        <x:v>46</x:v>
      </x:c>
    </x:row>
    <x:row r="12175" spans="1:16">
      <x:c r="A12175" s="0" t="s">
        <x:v>47136</x:v>
      </x:c>
      <x:c r="B12175" s="0" t="s">
        <x:v>47137</x:v>
      </x:c>
      <x:c r="C12175" s="0" t="s">
        <x:v>42840</x:v>
      </x:c>
      <x:c r="E12175" s="0" t="s">
        <x:v>47138</x:v>
      </x:c>
      <x:c r="F12175" s="0" t="s">
        <x:v>45</x:v>
      </x:c>
      <x:c r="G12175" s="0" t="s">
        <x:v>35</x:v>
      </x:c>
      <x:c r="H12175" s="0" t="s">
        <x:v>20</x:v>
      </x:c>
      <x:c r="I12175" s="0" t="s">
        <x:v>21</x:v>
      </x:c>
      <x:c r="K12175" s="0">
        <x:f>hyperlink("https://icd.who.int/dev11/l-ichi/en#/http%3A%2F%2Fid.who.int%2Ficd%2Fentity%2F267694299","browser")</x:f>
      </x:c>
      <x:c r="L12175" s="0">
        <x:f>hyperlink("https://icat2.azurewebsites.net/icat/?ontology=ICD&amp;tab=ClassesTab&amp;id=http%3A%2F%2Fwho.int%2Ficd%23173_e02c2df3_77b6_419a_b43f_c4531334dd70","iCat")</x:f>
      </x:c>
      <x:c r="M12175" s="0" t="s">
        <x:v>21</x:v>
      </x:c>
      <x:c r="N12175" s="0" t="s">
        <x:v>46</x:v>
      </x:c>
    </x:row>
    <x:row r="12176" spans="1:16">
      <x:c r="A12176" s="0" t="s">
        <x:v>47139</x:v>
      </x:c>
      <x:c r="B12176" s="0" t="s">
        <x:v>47140</x:v>
      </x:c>
      <x:c r="C12176" s="0" t="s">
        <x:v>42840</x:v>
      </x:c>
      <x:c r="E12176" s="0" t="s">
        <x:v>47141</x:v>
      </x:c>
      <x:c r="F12176" s="0" t="s">
        <x:v>45</x:v>
      </x:c>
      <x:c r="G12176" s="0" t="s">
        <x:v>35</x:v>
      </x:c>
      <x:c r="H12176" s="0" t="s">
        <x:v>20</x:v>
      </x:c>
      <x:c r="I12176" s="0" t="s">
        <x:v>21</x:v>
      </x:c>
      <x:c r="K12176" s="0">
        <x:f>hyperlink("https://icd.who.int/dev11/l-ichi/en#/http%3A%2F%2Fid.who.int%2Ficd%2Fentity%2F2049822177","browser")</x:f>
      </x:c>
      <x:c r="L12176" s="0">
        <x:f>hyperlink("https://icat2.azurewebsites.net/icat/?ontology=ICD&amp;tab=ClassesTab&amp;id=http%3A%2F%2Fwho.int%2Ficd%23SpecificAnatomicLocation_2717","iCat")</x:f>
      </x:c>
      <x:c r="M12176" s="0" t="s">
        <x:v>21</x:v>
      </x:c>
      <x:c r="N12176" s="0" t="s">
        <x:v>46</x:v>
      </x:c>
    </x:row>
    <x:row r="12177" spans="1:16">
      <x:c r="A12177" s="0" t="s">
        <x:v>47142</x:v>
      </x:c>
      <x:c r="B12177" s="0" t="s">
        <x:v>47143</x:v>
      </x:c>
      <x:c r="C12177" s="0" t="s">
        <x:v>42840</x:v>
      </x:c>
      <x:c r="E12177" s="0" t="s">
        <x:v>47144</x:v>
      </x:c>
      <x:c r="F12177" s="0" t="s">
        <x:v>45</x:v>
      </x:c>
      <x:c r="G12177" s="0" t="s">
        <x:v>35</x:v>
      </x:c>
      <x:c r="H12177" s="0" t="s">
        <x:v>20</x:v>
      </x:c>
      <x:c r="I12177" s="0" t="s">
        <x:v>21</x:v>
      </x:c>
      <x:c r="K12177" s="0">
        <x:f>hyperlink("https://icd.who.int/dev11/l-ichi/en#/http%3A%2F%2Fid.who.int%2Ficd%2Fentity%2F1829087521","browser")</x:f>
      </x:c>
      <x:c r="L12177" s="0">
        <x:f>hyperlink("https://icat2.azurewebsites.net/icat/?ontology=ICD&amp;tab=ClassesTab&amp;id=http%3A%2F%2Fwho.int%2Ficd%23SpecificAnatomicLocation_2716","iCat")</x:f>
      </x:c>
      <x:c r="M12177" s="0" t="s">
        <x:v>21</x:v>
      </x:c>
      <x:c r="N12177" s="0" t="s">
        <x:v>46</x:v>
      </x:c>
    </x:row>
    <x:row r="12178" spans="1:16">
      <x:c r="A12178" s="0" t="s">
        <x:v>47145</x:v>
      </x:c>
      <x:c r="B12178" s="0" t="s">
        <x:v>47146</x:v>
      </x:c>
      <x:c r="C12178" s="0" t="s">
        <x:v>42840</x:v>
      </x:c>
      <x:c r="E12178" s="0" t="s">
        <x:v>47147</x:v>
      </x:c>
      <x:c r="F12178" s="0" t="s">
        <x:v>45</x:v>
      </x:c>
      <x:c r="G12178" s="0" t="s">
        <x:v>35</x:v>
      </x:c>
      <x:c r="H12178" s="0" t="s">
        <x:v>20</x:v>
      </x:c>
      <x:c r="I12178" s="0" t="s">
        <x:v>21</x:v>
      </x:c>
      <x:c r="K12178" s="0">
        <x:f>hyperlink("https://icd.who.int/dev11/l-ichi/en#/http%3A%2F%2Fid.who.int%2Ficd%2Fentity%2F1417479265","browser")</x:f>
      </x:c>
      <x:c r="L12178" s="0">
        <x:f>hyperlink("https://icat2.azurewebsites.net/icat/?ontology=ICD&amp;tab=ClassesTab&amp;id=http%3A%2F%2Fwho.int%2Ficd%23SpecificAnatomicLocation_2715","iCat")</x:f>
      </x:c>
      <x:c r="M12178" s="0" t="s">
        <x:v>21</x:v>
      </x:c>
      <x:c r="N12178" s="0" t="s">
        <x:v>46</x:v>
      </x:c>
    </x:row>
    <x:row r="12179" spans="1:16">
      <x:c r="A12179" s="0" t="s">
        <x:v>47148</x:v>
      </x:c>
      <x:c r="B12179" s="0" t="s">
        <x:v>47149</x:v>
      </x:c>
      <x:c r="C12179" s="0" t="s">
        <x:v>42840</x:v>
      </x:c>
      <x:c r="E12179" s="0" t="s">
        <x:v>47150</x:v>
      </x:c>
      <x:c r="F12179" s="0" t="s">
        <x:v>45</x:v>
      </x:c>
      <x:c r="G12179" s="0" t="s">
        <x:v>35</x:v>
      </x:c>
      <x:c r="H12179" s="0" t="s">
        <x:v>20</x:v>
      </x:c>
      <x:c r="I12179" s="0" t="s">
        <x:v>21</x:v>
      </x:c>
      <x:c r="K12179" s="0">
        <x:f>hyperlink("https://icd.who.int/dev11/l-ichi/en#/http%3A%2F%2Fid.who.int%2Ficd%2Fentity%2F1314934431","browser")</x:f>
      </x:c>
      <x:c r="L12179" s="0">
        <x:f>hyperlink("https://icat2.azurewebsites.net/icat/?ontology=ICD&amp;tab=ClassesTab&amp;id=http%3A%2F%2Fwho.int%2Ficd%23SpecificAnatomicLocation_2719","iCat")</x:f>
      </x:c>
      <x:c r="M12179" s="0" t="s">
        <x:v>21</x:v>
      </x:c>
      <x:c r="N12179" s="0" t="s">
        <x:v>46</x:v>
      </x:c>
    </x:row>
    <x:row r="12180" spans="1:16">
      <x:c r="A12180" s="0" t="s">
        <x:v>47151</x:v>
      </x:c>
      <x:c r="B12180" s="0" t="s">
        <x:v>47152</x:v>
      </x:c>
      <x:c r="C12180" s="0" t="s">
        <x:v>42840</x:v>
      </x:c>
      <x:c r="E12180" s="0" t="s">
        <x:v>47153</x:v>
      </x:c>
      <x:c r="F12180" s="0" t="s">
        <x:v>45</x:v>
      </x:c>
      <x:c r="G12180" s="0" t="s">
        <x:v>35</x:v>
      </x:c>
      <x:c r="H12180" s="0" t="s">
        <x:v>20</x:v>
      </x:c>
      <x:c r="I12180" s="0" t="s">
        <x:v>21</x:v>
      </x:c>
      <x:c r="K12180" s="0">
        <x:f>hyperlink("https://icd.who.int/dev11/l-ichi/en#/http%3A%2F%2Fid.who.int%2Ficd%2Fentity%2F1344401194","browser")</x:f>
      </x:c>
      <x:c r="L12180" s="0">
        <x:f>hyperlink("https://icat2.azurewebsites.net/icat/?ontology=ICD&amp;tab=ClassesTab&amp;id=http%3A%2F%2Fwho.int%2Ficd%23197_7d3164e7_57ed_4b09_bb56_286e36e953fb","iCat")</x:f>
      </x:c>
      <x:c r="M12180" s="0" t="s">
        <x:v>21</x:v>
      </x:c>
      <x:c r="N12180" s="0" t="s">
        <x:v>46</x:v>
      </x:c>
    </x:row>
    <x:row r="12181" spans="1:16">
      <x:c r="A12181" s="0" t="s">
        <x:v>47154</x:v>
      </x:c>
      <x:c r="B12181" s="0" t="s">
        <x:v>47155</x:v>
      </x:c>
      <x:c r="C12181" s="0" t="s">
        <x:v>42840</x:v>
      </x:c>
      <x:c r="E12181" s="0" t="s">
        <x:v>47156</x:v>
      </x:c>
      <x:c r="F12181" s="0" t="s">
        <x:v>45</x:v>
      </x:c>
      <x:c r="G12181" s="0" t="s">
        <x:v>35</x:v>
      </x:c>
      <x:c r="H12181" s="0" t="s">
        <x:v>20</x:v>
      </x:c>
      <x:c r="I12181" s="0" t="s">
        <x:v>21</x:v>
      </x:c>
      <x:c r="K12181" s="0">
        <x:f>hyperlink("https://icd.who.int/dev11/l-ichi/en#/http%3A%2F%2Fid.who.int%2Ficd%2Fentity%2F294659997","browser")</x:f>
      </x:c>
      <x:c r="L12181" s="0">
        <x:f>hyperlink("https://icat2.azurewebsites.net/icat/?ontology=ICD&amp;tab=ClassesTab&amp;id=http%3A%2F%2Fwho.int%2Ficd%23266_e02c2df3_77b6_419a_b43f_c4531334dd70","iCat")</x:f>
      </x:c>
      <x:c r="M12181" s="0" t="s">
        <x:v>21</x:v>
      </x:c>
      <x:c r="N12181" s="0" t="s">
        <x:v>46</x:v>
      </x:c>
    </x:row>
    <x:row r="12182" spans="1:16">
      <x:c r="A12182" s="0" t="s">
        <x:v>47157</x:v>
      </x:c>
      <x:c r="B12182" s="0" t="s">
        <x:v>47158</x:v>
      </x:c>
      <x:c r="C12182" s="0" t="s">
        <x:v>42840</x:v>
      </x:c>
      <x:c r="E12182" s="0" t="s">
        <x:v>47159</x:v>
      </x:c>
      <x:c r="F12182" s="0" t="s">
        <x:v>45</x:v>
      </x:c>
      <x:c r="G12182" s="0" t="s">
        <x:v>35</x:v>
      </x:c>
      <x:c r="H12182" s="0" t="s">
        <x:v>20</x:v>
      </x:c>
      <x:c r="I12182" s="0" t="s">
        <x:v>21</x:v>
      </x:c>
      <x:c r="K12182" s="0">
        <x:f>hyperlink("https://icd.who.int/dev11/l-ichi/en#/http%3A%2F%2Fid.who.int%2Ficd%2Fentity%2F1129668769","browser")</x:f>
      </x:c>
      <x:c r="L12182" s="0">
        <x:f>hyperlink("https://icat2.azurewebsites.net/icat/?ontology=ICD&amp;tab=ClassesTab&amp;id=http%3A%2F%2Fwho.int%2Ficd%23SpecificAnatomicLocation_2714","iCat")</x:f>
      </x:c>
      <x:c r="M12182" s="0" t="s">
        <x:v>21</x:v>
      </x:c>
      <x:c r="N12182" s="0" t="s">
        <x:v>46</x:v>
      </x:c>
    </x:row>
    <x:row r="12183" spans="1:16">
      <x:c r="A12183" s="0" t="s">
        <x:v>47160</x:v>
      </x:c>
      <x:c r="B12183" s="0" t="s">
        <x:v>47161</x:v>
      </x:c>
      <x:c r="C12183" s="0" t="s">
        <x:v>42840</x:v>
      </x:c>
      <x:c r="E12183" s="0" t="s">
        <x:v>47162</x:v>
      </x:c>
      <x:c r="F12183" s="0" t="s">
        <x:v>45</x:v>
      </x:c>
      <x:c r="G12183" s="0" t="s">
        <x:v>35</x:v>
      </x:c>
      <x:c r="H12183" s="0" t="s">
        <x:v>20</x:v>
      </x:c>
      <x:c r="I12183" s="0" t="s">
        <x:v>21</x:v>
      </x:c>
      <x:c r="K12183" s="0">
        <x:f>hyperlink("https://icd.who.int/dev11/l-ichi/en#/http%3A%2F%2Fid.who.int%2Ficd%2Fentity%2F646733537","browser")</x:f>
      </x:c>
      <x:c r="L12183" s="0">
        <x:f>hyperlink("https://icat2.azurewebsites.net/icat/?ontology=ICD&amp;tab=ClassesTab&amp;id=http%3A%2F%2Fwho.int%2Ficd%23SpecificAnatomicLocation_2713","iCat")</x:f>
      </x:c>
      <x:c r="M12183" s="0" t="s">
        <x:v>21</x:v>
      </x:c>
      <x:c r="N12183" s="0" t="s">
        <x:v>46</x:v>
      </x:c>
    </x:row>
    <x:row r="12184" spans="1:16">
      <x:c r="A12184" s="0" t="s">
        <x:v>47163</x:v>
      </x:c>
      <x:c r="B12184" s="0" t="s">
        <x:v>47164</x:v>
      </x:c>
      <x:c r="C12184" s="0" t="s">
        <x:v>42840</x:v>
      </x:c>
      <x:c r="E12184" s="0" t="s">
        <x:v>47165</x:v>
      </x:c>
      <x:c r="F12184" s="0" t="s">
        <x:v>45</x:v>
      </x:c>
      <x:c r="G12184" s="0" t="s">
        <x:v>35</x:v>
      </x:c>
      <x:c r="H12184" s="0" t="s">
        <x:v>20</x:v>
      </x:c>
      <x:c r="I12184" s="0" t="s">
        <x:v>21</x:v>
      </x:c>
      <x:c r="K12184" s="0">
        <x:f>hyperlink("https://icd.who.int/dev11/l-ichi/en#/http%3A%2F%2Fid.who.int%2Ficd%2Fentity%2F562908439","browser")</x:f>
      </x:c>
      <x:c r="L12184" s="0">
        <x:f>hyperlink("https://icat2.azurewebsites.net/icat/?ontology=ICD&amp;tab=ClassesTab&amp;id=http%3A%2F%2Fwho.int%2Ficd%23159_7d3164e7_57ed_4b09_bb56_286e36e953fb","iCat")</x:f>
      </x:c>
      <x:c r="M12184" s="0" t="s">
        <x:v>21</x:v>
      </x:c>
      <x:c r="N12184" s="0" t="s">
        <x:v>46</x:v>
      </x:c>
    </x:row>
    <x:row r="12185" spans="1:16">
      <x:c r="A12185" s="0" t="s">
        <x:v>47166</x:v>
      </x:c>
      <x:c r="B12185" s="0" t="s">
        <x:v>47167</x:v>
      </x:c>
      <x:c r="C12185" s="0" t="s">
        <x:v>42840</x:v>
      </x:c>
      <x:c r="E12185" s="0" t="s">
        <x:v>47168</x:v>
      </x:c>
      <x:c r="F12185" s="0" t="s">
        <x:v>45</x:v>
      </x:c>
      <x:c r="G12185" s="0" t="s">
        <x:v>35</x:v>
      </x:c>
      <x:c r="H12185" s="0" t="s">
        <x:v>20</x:v>
      </x:c>
      <x:c r="I12185" s="0" t="s">
        <x:v>21</x:v>
      </x:c>
      <x:c r="K12185" s="0">
        <x:f>hyperlink("https://icd.who.int/dev11/l-ichi/en#/http%3A%2F%2Fid.who.int%2Ficd%2Fentity%2F721480315","browser")</x:f>
      </x:c>
      <x:c r="L12185" s="0">
        <x:f>hyperlink("https://icat2.azurewebsites.net/icat/?ontology=ICD&amp;tab=ClassesTab&amp;id=http%3A%2F%2Fwho.int%2Ficd%23178_7d3164e7_57ed_4b09_bb56_286e36e953fb","iCat")</x:f>
      </x:c>
      <x:c r="M12185" s="0" t="s">
        <x:v>21</x:v>
      </x:c>
      <x:c r="N12185" s="0" t="s">
        <x:v>46</x:v>
      </x:c>
    </x:row>
    <x:row r="12186" spans="1:16">
      <x:c r="A12186" s="0" t="s">
        <x:v>47169</x:v>
      </x:c>
      <x:c r="B12186" s="0" t="s">
        <x:v>47170</x:v>
      </x:c>
      <x:c r="D12186" s="0" t="s">
        <x:v>44524</x:v>
      </x:c>
      <x:c r="E12186" s="0" t="s">
        <x:v>449</x:v>
      </x:c>
      <x:c r="F12186" s="0" t="s">
        <x:v>26</x:v>
      </x:c>
      <x:c r="G12186" s="0" t="s">
        <x:v>22</x:v>
      </x:c>
      <x:c r="H12186" s="0" t="s">
        <x:v>20</x:v>
      </x:c>
      <x:c r="I12186" s="0" t="s">
        <x:v>21</x:v>
      </x:c>
      <x:c r="K12186" s="0">
        <x:f>hyperlink("https://icd.who.int/dev11/l-ichi/en#/http%3A%2F%2Fid.who.int%2Ficd%2Fentity%2F194670149","browser")</x:f>
      </x:c>
      <x:c r="L12186" s="0">
        <x:f>hyperlink("https://icat2.azurewebsites.net/icat/?ontology=ICD&amp;tab=ClassesTab&amp;id=http%3A%2F%2Fwho.int%2Ficd%23SpecificAnatomicLocation_2895","iCat")</x:f>
      </x:c>
      <x:c r="M12186" s="0" t="s">
        <x:v>20</x:v>
      </x:c>
      <x:c r="N12186" s="0" t="s">
        <x:v>206</x:v>
      </x:c>
    </x:row>
    <x:row r="12187" spans="1:16">
      <x:c r="A12187" s="0" t="s">
        <x:v>47171</x:v>
      </x:c>
      <x:c r="B12187" s="0" t="s">
        <x:v>47172</x:v>
      </x:c>
      <x:c r="C12187" s="0" t="s">
        <x:v>42840</x:v>
      </x:c>
      <x:c r="E12187" s="0" t="s">
        <x:v>47173</x:v>
      </x:c>
      <x:c r="F12187" s="0" t="s">
        <x:v>45</x:v>
      </x:c>
      <x:c r="G12187" s="0" t="s">
        <x:v>19</x:v>
      </x:c>
      <x:c r="H12187" s="0" t="s">
        <x:v>20</x:v>
      </x:c>
      <x:c r="I12187" s="0" t="s">
        <x:v>21</x:v>
      </x:c>
      <x:c r="K12187" s="0">
        <x:f>hyperlink("https://icd.who.int/dev11/l-ichi/en#/http%3A%2F%2Fid.who.int%2Ficd%2Fentity%2F1031510592","browser")</x:f>
      </x:c>
      <x:c r="L12187" s="0">
        <x:f>hyperlink("https://icat2.azurewebsites.net/icat/?ontology=ICD&amp;tab=ClassesTab&amp;id=http%3A%2F%2Fwho.int%2Ficd%23SpecificAnatomicLocation_2755","iCat")</x:f>
      </x:c>
      <x:c r="M12187" s="0" t="s">
        <x:v>20</x:v>
      </x:c>
      <x:c r="N12187" s="0" t="s">
        <x:v>36</x:v>
      </x:c>
    </x:row>
    <x:row r="12188" spans="1:16">
      <x:c r="A12188" s="0" t="s">
        <x:v>47174</x:v>
      </x:c>
      <x:c r="B12188" s="0" t="s">
        <x:v>47175</x:v>
      </x:c>
      <x:c r="C12188" s="0" t="s">
        <x:v>42840</x:v>
      </x:c>
      <x:c r="E12188" s="0" t="s">
        <x:v>47176</x:v>
      </x:c>
      <x:c r="F12188" s="0" t="s">
        <x:v>45</x:v>
      </x:c>
      <x:c r="G12188" s="0" t="s">
        <x:v>30</x:v>
      </x:c>
      <x:c r="H12188" s="0" t="s">
        <x:v>20</x:v>
      </x:c>
      <x:c r="I12188" s="0" t="s">
        <x:v>21</x:v>
      </x:c>
      <x:c r="K12188" s="0">
        <x:f>hyperlink("https://icd.who.int/dev11/l-ichi/en#/http%3A%2F%2Fid.who.int%2Ficd%2Fentity%2F1334493376","browser")</x:f>
      </x:c>
      <x:c r="L12188" s="0">
        <x:f>hyperlink("https://icat2.azurewebsites.net/icat/?ontology=ICD&amp;tab=ClassesTab&amp;id=http%3A%2F%2Fwho.int%2Ficd%23SpecificAnatomicLocation_2753","iCat")</x:f>
      </x:c>
      <x:c r="M12188" s="0" t="s">
        <x:v>21</x:v>
      </x:c>
      <x:c r="N12188" s="0" t="s">
        <x:v>46</x:v>
      </x:c>
    </x:row>
    <x:row r="12189" spans="1:16">
      <x:c r="A12189" s="0" t="s">
        <x:v>47177</x:v>
      </x:c>
      <x:c r="B12189" s="0" t="s">
        <x:v>47178</x:v>
      </x:c>
      <x:c r="C12189" s="0" t="s">
        <x:v>42840</x:v>
      </x:c>
      <x:c r="E12189" s="0" t="s">
        <x:v>47179</x:v>
      </x:c>
      <x:c r="F12189" s="0" t="s">
        <x:v>45</x:v>
      </x:c>
      <x:c r="G12189" s="0" t="s">
        <x:v>30</x:v>
      </x:c>
      <x:c r="H12189" s="0" t="s">
        <x:v>20</x:v>
      </x:c>
      <x:c r="I12189" s="0" t="s">
        <x:v>21</x:v>
      </x:c>
      <x:c r="K12189" s="0">
        <x:f>hyperlink("https://icd.who.int/dev11/l-ichi/en#/http%3A%2F%2Fid.who.int%2Ficd%2Fentity%2F1704022864","browser")</x:f>
      </x:c>
      <x:c r="L12189" s="0">
        <x:f>hyperlink("https://icat2.azurewebsites.net/icat/?ontology=ICD&amp;tab=ClassesTab&amp;id=http%3A%2F%2Fwho.int%2Ficd%23SpecificAnatomicLocation_2734","iCat")</x:f>
      </x:c>
      <x:c r="M12189" s="0" t="s">
        <x:v>21</x:v>
      </x:c>
      <x:c r="N12189" s="0" t="s">
        <x:v>46</x:v>
      </x:c>
    </x:row>
    <x:row r="12190" spans="1:16">
      <x:c r="A12190" s="0" t="s">
        <x:v>47180</x:v>
      </x:c>
      <x:c r="B12190" s="0" t="s">
        <x:v>47181</x:v>
      </x:c>
      <x:c r="C12190" s="0" t="s">
        <x:v>42840</x:v>
      </x:c>
      <x:c r="E12190" s="0" t="s">
        <x:v>47182</x:v>
      </x:c>
      <x:c r="F12190" s="0" t="s">
        <x:v>45</x:v>
      </x:c>
      <x:c r="G12190" s="0" t="s">
        <x:v>30</x:v>
      </x:c>
      <x:c r="H12190" s="0" t="s">
        <x:v>20</x:v>
      </x:c>
      <x:c r="I12190" s="0" t="s">
        <x:v>21</x:v>
      </x:c>
      <x:c r="K12190" s="0">
        <x:f>hyperlink("https://icd.who.int/dev11/l-ichi/en#/http%3A%2F%2Fid.who.int%2Ficd%2Fentity%2F1924741008","browser")</x:f>
      </x:c>
      <x:c r="L12190" s="0">
        <x:f>hyperlink("https://icat2.azurewebsites.net/icat/?ontology=ICD&amp;tab=ClassesTab&amp;id=http%3A%2F%2Fwho.int%2Ficd%23SpecificAnatomicLocation_2735","iCat")</x:f>
      </x:c>
      <x:c r="M12190" s="0" t="s">
        <x:v>21</x:v>
      </x:c>
      <x:c r="N12190" s="0" t="s">
        <x:v>46</x:v>
      </x:c>
    </x:row>
    <x:row r="12191" spans="1:16">
      <x:c r="A12191" s="0" t="s">
        <x:v>47183</x:v>
      </x:c>
      <x:c r="B12191" s="0" t="s">
        <x:v>47184</x:v>
      </x:c>
      <x:c r="C12191" s="0" t="s">
        <x:v>42840</x:v>
      </x:c>
      <x:c r="E12191" s="0" t="s">
        <x:v>47185</x:v>
      </x:c>
      <x:c r="F12191" s="0" t="s">
        <x:v>45</x:v>
      </x:c>
      <x:c r="G12191" s="0" t="s">
        <x:v>30</x:v>
      </x:c>
      <x:c r="H12191" s="0" t="s">
        <x:v>20</x:v>
      </x:c>
      <x:c r="I12191" s="0" t="s">
        <x:v>21</x:v>
      </x:c>
      <x:c r="K12191" s="0">
        <x:f>hyperlink("https://icd.who.int/dev11/l-ichi/en#/http%3A%2F%2Fid.who.int%2Ficd%2Fentity%2F2139888048","browser")</x:f>
      </x:c>
      <x:c r="L12191" s="0">
        <x:f>hyperlink("https://icat2.azurewebsites.net/icat/?ontology=ICD&amp;tab=ClassesTab&amp;id=http%3A%2F%2Fwho.int%2Ficd%23SpecificAnatomicLocation_2738","iCat")</x:f>
      </x:c>
      <x:c r="M12191" s="0" t="s">
        <x:v>21</x:v>
      </x:c>
      <x:c r="N12191" s="0" t="s">
        <x:v>46</x:v>
      </x:c>
    </x:row>
    <x:row r="12192" spans="1:16">
      <x:c r="A12192" s="0" t="s">
        <x:v>47186</x:v>
      </x:c>
      <x:c r="B12192" s="0" t="s">
        <x:v>47187</x:v>
      </x:c>
      <x:c r="C12192" s="0" t="s">
        <x:v>42840</x:v>
      </x:c>
      <x:c r="E12192" s="0" t="s">
        <x:v>47188</x:v>
      </x:c>
      <x:c r="F12192" s="0" t="s">
        <x:v>45</x:v>
      </x:c>
      <x:c r="G12192" s="0" t="s">
        <x:v>30</x:v>
      </x:c>
      <x:c r="H12192" s="0" t="s">
        <x:v>20</x:v>
      </x:c>
      <x:c r="I12192" s="0" t="s">
        <x:v>21</x:v>
      </x:c>
      <x:c r="K12192" s="0">
        <x:f>hyperlink("https://icd.who.int/dev11/l-ichi/en#/http%3A%2F%2Fid.who.int%2Ficd%2Fentity%2F827349607","browser")</x:f>
      </x:c>
      <x:c r="L12192" s="0">
        <x:f>hyperlink("https://icat2.azurewebsites.net/icat/?ontology=ICD&amp;tab=ClassesTab&amp;id=http%3A%2F%2Fwho.int%2Ficd%23SpecificAnatomicLocation_2743","iCat")</x:f>
      </x:c>
      <x:c r="M12192" s="0" t="s">
        <x:v>21</x:v>
      </x:c>
      <x:c r="N12192" s="0" t="s">
        <x:v>46</x:v>
      </x:c>
    </x:row>
    <x:row r="12193" spans="1:16">
      <x:c r="A12193" s="0" t="s">
        <x:v>47189</x:v>
      </x:c>
      <x:c r="B12193" s="0" t="s">
        <x:v>47190</x:v>
      </x:c>
      <x:c r="C12193" s="0" t="s">
        <x:v>42840</x:v>
      </x:c>
      <x:c r="E12193" s="0" t="s">
        <x:v>47191</x:v>
      </x:c>
      <x:c r="F12193" s="0" t="s">
        <x:v>45</x:v>
      </x:c>
      <x:c r="G12193" s="0" t="s">
        <x:v>30</x:v>
      </x:c>
      <x:c r="H12193" s="0" t="s">
        <x:v>20</x:v>
      </x:c>
      <x:c r="I12193" s="0" t="s">
        <x:v>21</x:v>
      </x:c>
      <x:c r="K12193" s="0">
        <x:f>hyperlink("https://icd.who.int/dev11/l-ichi/en#/http%3A%2F%2Fid.who.int%2Ficd%2Fentity%2F392169936","browser")</x:f>
      </x:c>
      <x:c r="L12193" s="0">
        <x:f>hyperlink("https://icat2.azurewebsites.net/icat/?ontology=ICD&amp;tab=ClassesTab&amp;id=http%3A%2F%2Fwho.int%2Ficd%23SpecificAnatomicLocation_2732","iCat")</x:f>
      </x:c>
      <x:c r="M12193" s="0" t="s">
        <x:v>21</x:v>
      </x:c>
      <x:c r="N12193" s="0" t="s">
        <x:v>46</x:v>
      </x:c>
    </x:row>
    <x:row r="12194" spans="1:16">
      <x:c r="A12194" s="0" t="s">
        <x:v>47192</x:v>
      </x:c>
      <x:c r="B12194" s="0" t="s">
        <x:v>47193</x:v>
      </x:c>
      <x:c r="C12194" s="0" t="s">
        <x:v>42840</x:v>
      </x:c>
      <x:c r="E12194" s="0" t="s">
        <x:v>47194</x:v>
      </x:c>
      <x:c r="F12194" s="0" t="s">
        <x:v>45</x:v>
      </x:c>
      <x:c r="G12194" s="0" t="s">
        <x:v>30</x:v>
      </x:c>
      <x:c r="H12194" s="0" t="s">
        <x:v>20</x:v>
      </x:c>
      <x:c r="I12194" s="0" t="s">
        <x:v>21</x:v>
      </x:c>
      <x:c r="K12194" s="0">
        <x:f>hyperlink("https://icd.who.int/dev11/l-ichi/en#/http%3A%2F%2Fid.who.int%2Ficd%2Fentity%2F1418290215","browser")</x:f>
      </x:c>
      <x:c r="L12194" s="0">
        <x:f>hyperlink("https://icat2.azurewebsites.net/icat/?ontology=ICD&amp;tab=ClassesTab&amp;id=http%3A%2F%2Fwho.int%2Ficd%23SpecificAnatomicLocation_2744","iCat")</x:f>
      </x:c>
      <x:c r="M12194" s="0" t="s">
        <x:v>21</x:v>
      </x:c>
      <x:c r="N12194" s="0" t="s">
        <x:v>46</x:v>
      </x:c>
    </x:row>
    <x:row r="12195" spans="1:16">
      <x:c r="A12195" s="0" t="s">
        <x:v>47195</x:v>
      </x:c>
      <x:c r="B12195" s="0" t="s">
        <x:v>47196</x:v>
      </x:c>
      <x:c r="C12195" s="0" t="s">
        <x:v>42840</x:v>
      </x:c>
      <x:c r="E12195" s="0" t="s">
        <x:v>47197</x:v>
      </x:c>
      <x:c r="F12195" s="0" t="s">
        <x:v>45</x:v>
      </x:c>
      <x:c r="G12195" s="0" t="s">
        <x:v>30</x:v>
      </x:c>
      <x:c r="H12195" s="0" t="s">
        <x:v>20</x:v>
      </x:c>
      <x:c r="I12195" s="0" t="s">
        <x:v>21</x:v>
      </x:c>
      <x:c r="K12195" s="0">
        <x:f>hyperlink("https://icd.who.int/dev11/l-ichi/en#/http%3A%2F%2Fid.who.int%2Ficd%2Fentity%2F710147840","browser")</x:f>
      </x:c>
      <x:c r="L12195" s="0">
        <x:f>hyperlink("https://icat2.azurewebsites.net/icat/?ontology=ICD&amp;tab=ClassesTab&amp;id=http%3A%2F%2Fwho.int%2Ficd%23SpecificAnatomicLocation_2754","iCat")</x:f>
      </x:c>
      <x:c r="M12195" s="0" t="s">
        <x:v>21</x:v>
      </x:c>
      <x:c r="N12195" s="0" t="s">
        <x:v>46</x:v>
      </x:c>
    </x:row>
    <x:row r="12196" spans="1:16">
      <x:c r="A12196" s="0" t="s">
        <x:v>47198</x:v>
      </x:c>
      <x:c r="B12196" s="0" t="s">
        <x:v>47199</x:v>
      </x:c>
      <x:c r="C12196" s="0" t="s">
        <x:v>42840</x:v>
      </x:c>
      <x:c r="E12196" s="0" t="s">
        <x:v>47200</x:v>
      </x:c>
      <x:c r="F12196" s="0" t="s">
        <x:v>45</x:v>
      </x:c>
      <x:c r="G12196" s="0" t="s">
        <x:v>30</x:v>
      </x:c>
      <x:c r="H12196" s="0" t="s">
        <x:v>20</x:v>
      </x:c>
      <x:c r="I12196" s="0" t="s">
        <x:v>21</x:v>
      </x:c>
      <x:c r="K12196" s="0">
        <x:f>hyperlink("https://icd.who.int/dev11/l-ichi/en#/http%3A%2F%2Fid.who.int%2Ficd%2Fentity%2F280674825","browser")</x:f>
      </x:c>
      <x:c r="L12196" s="0">
        <x:f>hyperlink("https://icat2.azurewebsites.net/icat/?ontology=ICD&amp;tab=ClassesTab&amp;id=http%3A%2F%2Fwho.int%2Ficd%234507_16e67c35_8b57_40bb_9220_818553425a8c","iCat")</x:f>
      </x:c>
      <x:c r="M12196" s="0" t="s">
        <x:v>20</x:v>
      </x:c>
      <x:c r="N12196" s="0" t="s">
        <x:v>1079</x:v>
      </x:c>
    </x:row>
    <x:row r="12197" spans="1:16">
      <x:c r="A12197" s="0" t="s">
        <x:v>47201</x:v>
      </x:c>
      <x:c r="B12197" s="0" t="s">
        <x:v>47202</x:v>
      </x:c>
      <x:c r="C12197" s="0" t="s">
        <x:v>42840</x:v>
      </x:c>
      <x:c r="E12197" s="0" t="s">
        <x:v>47203</x:v>
      </x:c>
      <x:c r="F12197" s="0" t="s">
        <x:v>45</x:v>
      </x:c>
      <x:c r="G12197" s="0" t="s">
        <x:v>35</x:v>
      </x:c>
      <x:c r="H12197" s="0" t="s">
        <x:v>20</x:v>
      </x:c>
      <x:c r="I12197" s="0" t="s">
        <x:v>21</x:v>
      </x:c>
      <x:c r="K12197" s="0">
        <x:f>hyperlink("https://icd.who.int/dev11/l-ichi/en#/http%3A%2F%2Fid.who.int%2Ficd%2Fentity%2F1354907209","browser")</x:f>
      </x:c>
      <x:c r="L12197" s="0">
        <x:f>hyperlink("https://icat2.azurewebsites.net/icat/?ontology=ICD&amp;tab=ClassesTab&amp;id=http%3A%2F%2Fwho.int%2Ficd%23SpecificAnatomicLocation_2721","iCat")</x:f>
      </x:c>
      <x:c r="M12197" s="0" t="s">
        <x:v>21</x:v>
      </x:c>
      <x:c r="N12197" s="0" t="s">
        <x:v>46</x:v>
      </x:c>
    </x:row>
    <x:row r="12198" spans="1:16">
      <x:c r="A12198" s="0" t="s">
        <x:v>47204</x:v>
      </x:c>
      <x:c r="B12198" s="0" t="s">
        <x:v>47205</x:v>
      </x:c>
      <x:c r="C12198" s="0" t="s">
        <x:v>42840</x:v>
      </x:c>
      <x:c r="E12198" s="0" t="s">
        <x:v>47206</x:v>
      </x:c>
      <x:c r="F12198" s="0" t="s">
        <x:v>45</x:v>
      </x:c>
      <x:c r="G12198" s="0" t="s">
        <x:v>35</x:v>
      </x:c>
      <x:c r="H12198" s="0" t="s">
        <x:v>20</x:v>
      </x:c>
      <x:c r="I12198" s="0" t="s">
        <x:v>21</x:v>
      </x:c>
      <x:c r="K12198" s="0">
        <x:f>hyperlink("https://icd.who.int/dev11/l-ichi/en#/http%3A%2F%2Fid.who.int%2Ficd%2Fentity%2F179271951","browser")</x:f>
      </x:c>
      <x:c r="L12198" s="0">
        <x:f>hyperlink("https://icat2.azurewebsites.net/icat/?ontology=ICD&amp;tab=ClassesTab&amp;id=http%3A%2F%2Fwho.int%2Ficd%234778_16e67c35_8b57_40bb_9220_818553425a8c","iCat")</x:f>
      </x:c>
      <x:c r="M12198" s="0" t="s">
        <x:v>20</x:v>
      </x:c>
      <x:c r="N12198" s="0" t="s">
        <x:v>19</x:v>
      </x:c>
    </x:row>
    <x:row r="12199" spans="1:16">
      <x:c r="A12199" s="0" t="s">
        <x:v>47207</x:v>
      </x:c>
      <x:c r="B12199" s="0" t="s">
        <x:v>47208</x:v>
      </x:c>
      <x:c r="C12199" s="0" t="s">
        <x:v>42840</x:v>
      </x:c>
      <x:c r="E12199" s="0" t="s">
        <x:v>47209</x:v>
      </x:c>
      <x:c r="F12199" s="0" t="s">
        <x:v>45</x:v>
      </x:c>
      <x:c r="G12199" s="0" t="s">
        <x:v>22</x:v>
      </x:c>
      <x:c r="H12199" s="0" t="s">
        <x:v>20</x:v>
      </x:c>
      <x:c r="I12199" s="0" t="s">
        <x:v>21</x:v>
      </x:c>
      <x:c r="K12199" s="0">
        <x:f>hyperlink("https://icd.who.int/dev11/l-ichi/en#/http%3A%2F%2Fid.who.int%2Ficd%2Fentity%2F2123560905","browser")</x:f>
      </x:c>
      <x:c r="L12199" s="0">
        <x:f>hyperlink("https://icat2.azurewebsites.net/icat/?ontology=ICD&amp;tab=ClassesTab&amp;id=http%3A%2F%2Fwho.int%2Ficd%23SpecificAnatomicLocation_2723","iCat")</x:f>
      </x:c>
      <x:c r="M12199" s="0" t="s">
        <x:v>21</x:v>
      </x:c>
      <x:c r="N12199" s="0" t="s">
        <x:v>46</x:v>
      </x:c>
    </x:row>
    <x:row r="12200" spans="1:16">
      <x:c r="A12200" s="0" t="s">
        <x:v>47210</x:v>
      </x:c>
      <x:c r="B12200" s="0" t="s">
        <x:v>47211</x:v>
      </x:c>
      <x:c r="C12200" s="0" t="s">
        <x:v>42840</x:v>
      </x:c>
      <x:c r="E12200" s="0" t="s">
        <x:v>47212</x:v>
      </x:c>
      <x:c r="F12200" s="0" t="s">
        <x:v>45</x:v>
      </x:c>
      <x:c r="G12200" s="0" t="s">
        <x:v>35</x:v>
      </x:c>
      <x:c r="H12200" s="0" t="s">
        <x:v>20</x:v>
      </x:c>
      <x:c r="I12200" s="0" t="s">
        <x:v>21</x:v>
      </x:c>
      <x:c r="K12200" s="0">
        <x:f>hyperlink("https://icd.who.int/dev11/l-ichi/en#/http%3A%2F%2Fid.who.int%2Ficd%2Fentity%2F207859017","browser")</x:f>
      </x:c>
      <x:c r="L12200" s="0">
        <x:f>hyperlink("https://icat2.azurewebsites.net/icat/?ontology=ICD&amp;tab=ClassesTab&amp;id=http%3A%2F%2Fwho.int%2Ficd%23SpecificAnatomicLocation_2725","iCat")</x:f>
      </x:c>
      <x:c r="M12200" s="0" t="s">
        <x:v>20</x:v>
      </x:c>
      <x:c r="N12200" s="0" t="s">
        <x:v>35</x:v>
      </x:c>
    </x:row>
    <x:row r="12201" spans="1:16">
      <x:c r="A12201" s="0" t="s">
        <x:v>47213</x:v>
      </x:c>
      <x:c r="B12201" s="0" t="s">
        <x:v>47214</x:v>
      </x:c>
      <x:c r="C12201" s="0" t="s">
        <x:v>42840</x:v>
      </x:c>
      <x:c r="E12201" s="0" t="s">
        <x:v>47215</x:v>
      </x:c>
      <x:c r="F12201" s="0" t="s">
        <x:v>45</x:v>
      </x:c>
      <x:c r="G12201" s="0" t="s">
        <x:v>22</x:v>
      </x:c>
      <x:c r="H12201" s="0" t="s">
        <x:v>20</x:v>
      </x:c>
      <x:c r="I12201" s="0" t="s">
        <x:v>21</x:v>
      </x:c>
      <x:c r="K12201" s="0">
        <x:f>hyperlink("https://icd.who.int/dev11/l-ichi/en#/http%3A%2F%2Fid.who.int%2Ficd%2Fentity%2F645414567","browser")</x:f>
      </x:c>
      <x:c r="L12201" s="0">
        <x:f>hyperlink("https://icat2.azurewebsites.net/icat/?ontology=ICD&amp;tab=ClassesTab&amp;id=http%3A%2F%2Fwho.int%2Ficd%23SpecificAnatomicLocation_2742","iCat")</x:f>
      </x:c>
      <x:c r="M12201" s="0" t="s">
        <x:v>21</x:v>
      </x:c>
      <x:c r="N12201" s="0" t="s">
        <x:v>46</x:v>
      </x:c>
    </x:row>
    <x:row r="12202" spans="1:16">
      <x:c r="A12202" s="0" t="s">
        <x:v>47216</x:v>
      </x:c>
      <x:c r="B12202" s="0" t="s">
        <x:v>47217</x:v>
      </x:c>
      <x:c r="C12202" s="0" t="s">
        <x:v>42840</x:v>
      </x:c>
      <x:c r="E12202" s="0" t="s">
        <x:v>47218</x:v>
      </x:c>
      <x:c r="F12202" s="0" t="s">
        <x:v>45</x:v>
      </x:c>
      <x:c r="G12202" s="0" t="s">
        <x:v>22</x:v>
      </x:c>
      <x:c r="H12202" s="0" t="s">
        <x:v>20</x:v>
      </x:c>
      <x:c r="I12202" s="0" t="s">
        <x:v>21</x:v>
      </x:c>
      <x:c r="K12202" s="0">
        <x:f>hyperlink("https://icd.who.int/dev11/l-ichi/en#/http%3A%2F%2Fid.who.int%2Ficd%2Fentity%2F1291230721","browser")</x:f>
      </x:c>
      <x:c r="L12202" s="0">
        <x:f>hyperlink("https://icat2.azurewebsites.net/icat/?ontology=ICD&amp;tab=ClassesTab&amp;id=http%3A%2F%2Fwho.int%2Ficd%232167_d9027f82_5e3d_47a4_a6fe_3c65954dde3a","iCat")</x:f>
      </x:c>
      <x:c r="M12202" s="0" t="s">
        <x:v>21</x:v>
      </x:c>
      <x:c r="N12202" s="0" t="s">
        <x:v>46</x:v>
      </x:c>
    </x:row>
    <x:row r="12203" spans="1:16">
      <x:c r="A12203" s="0" t="s">
        <x:v>47219</x:v>
      </x:c>
      <x:c r="B12203" s="0" t="s">
        <x:v>47220</x:v>
      </x:c>
      <x:c r="C12203" s="0" t="s">
        <x:v>42840</x:v>
      </x:c>
      <x:c r="E12203" s="0" t="s">
        <x:v>47221</x:v>
      </x:c>
      <x:c r="F12203" s="0" t="s">
        <x:v>45</x:v>
      </x:c>
      <x:c r="G12203" s="0" t="s">
        <x:v>22</x:v>
      </x:c>
      <x:c r="H12203" s="0" t="s">
        <x:v>20</x:v>
      </x:c>
      <x:c r="I12203" s="0" t="s">
        <x:v>21</x:v>
      </x:c>
      <x:c r="K12203" s="0">
        <x:f>hyperlink("https://icd.who.int/dev11/l-ichi/en#/http%3A%2F%2Fid.who.int%2Ficd%2Fentity%2F690828214","browser")</x:f>
      </x:c>
      <x:c r="L12203" s="0">
        <x:f>hyperlink("https://icat2.azurewebsites.net/icat/?ontology=ICD&amp;tab=ClassesTab&amp;id=http%3A%2F%2Fwho.int%2Ficd%232186_d9027f82_5e3d_47a4_a6fe_3c65954dde3a","iCat")</x:f>
      </x:c>
      <x:c r="M12203" s="0" t="s">
        <x:v>21</x:v>
      </x:c>
      <x:c r="N12203" s="0" t="s">
        <x:v>46</x:v>
      </x:c>
    </x:row>
    <x:row r="12204" spans="1:16">
      <x:c r="A12204" s="0" t="s">
        <x:v>47222</x:v>
      </x:c>
      <x:c r="B12204" s="0" t="s">
        <x:v>47223</x:v>
      </x:c>
      <x:c r="C12204" s="0" t="s">
        <x:v>42840</x:v>
      </x:c>
      <x:c r="E12204" s="0" t="s">
        <x:v>47224</x:v>
      </x:c>
      <x:c r="F12204" s="0" t="s">
        <x:v>45</x:v>
      </x:c>
      <x:c r="G12204" s="0" t="s">
        <x:v>35</x:v>
      </x:c>
      <x:c r="H12204" s="0" t="s">
        <x:v>20</x:v>
      </x:c>
      <x:c r="I12204" s="0" t="s">
        <x:v>21</x:v>
      </x:c>
      <x:c r="K12204" s="0">
        <x:f>hyperlink("https://icd.who.int/dev11/l-ichi/en#/http%3A%2F%2Fid.who.int%2Ficd%2Fentity%2F890961929","browser")</x:f>
      </x:c>
      <x:c r="L12204" s="0">
        <x:f>hyperlink("https://icat2.azurewebsites.net/icat/?ontology=ICD&amp;tab=ClassesTab&amp;id=http%3A%2F%2Fwho.int%2Ficd%23SpecificAnatomicLocation_2726","iCat")</x:f>
      </x:c>
      <x:c r="M12204" s="0" t="s">
        <x:v>20</x:v>
      </x:c>
      <x:c r="N12204" s="0" t="s">
        <x:v>35</x:v>
      </x:c>
    </x:row>
    <x:row r="12205" spans="1:16">
      <x:c r="A12205" s="0" t="s">
        <x:v>47225</x:v>
      </x:c>
      <x:c r="B12205" s="0" t="s">
        <x:v>47226</x:v>
      </x:c>
      <x:c r="C12205" s="0" t="s">
        <x:v>42840</x:v>
      </x:c>
      <x:c r="E12205" s="0" t="s">
        <x:v>47227</x:v>
      </x:c>
      <x:c r="F12205" s="0" t="s">
        <x:v>45</x:v>
      </x:c>
      <x:c r="G12205" s="0" t="s">
        <x:v>22</x:v>
      </x:c>
      <x:c r="H12205" s="0" t="s">
        <x:v>20</x:v>
      </x:c>
      <x:c r="I12205" s="0" t="s">
        <x:v>21</x:v>
      </x:c>
      <x:c r="K12205" s="0">
        <x:f>hyperlink("https://icd.who.int/dev11/l-ichi/en#/http%3A%2F%2Fid.who.int%2Ficd%2Fentity%2F22446967","browser")</x:f>
      </x:c>
      <x:c r="L12205" s="0">
        <x:f>hyperlink("https://icat2.azurewebsites.net/icat/?ontology=ICD&amp;tab=ClassesTab&amp;id=http%3A%2F%2Fwho.int%2Ficd%23SpecificAnatomicLocation_2728","iCat")</x:f>
      </x:c>
      <x:c r="M12205" s="0" t="s">
        <x:v>21</x:v>
      </x:c>
      <x:c r="N12205" s="0" t="s">
        <x:v>46</x:v>
      </x:c>
    </x:row>
    <x:row r="12206" spans="1:16">
      <x:c r="A12206" s="0" t="s">
        <x:v>47228</x:v>
      </x:c>
      <x:c r="B12206" s="0" t="s">
        <x:v>47229</x:v>
      </x:c>
      <x:c r="C12206" s="0" t="s">
        <x:v>42840</x:v>
      </x:c>
      <x:c r="E12206" s="0" t="s">
        <x:v>47230</x:v>
      </x:c>
      <x:c r="F12206" s="0" t="s">
        <x:v>45</x:v>
      </x:c>
      <x:c r="G12206" s="0" t="s">
        <x:v>22</x:v>
      </x:c>
      <x:c r="H12206" s="0" t="s">
        <x:v>20</x:v>
      </x:c>
      <x:c r="I12206" s="0" t="s">
        <x:v>21</x:v>
      </x:c>
      <x:c r="K12206" s="0">
        <x:f>hyperlink("https://icd.who.int/dev11/l-ichi/en#/http%3A%2F%2Fid.who.int%2Ficd%2Fentity%2F377415607","browser")</x:f>
      </x:c>
      <x:c r="L12206" s="0">
        <x:f>hyperlink("https://icat2.azurewebsites.net/icat/?ontology=ICD&amp;tab=ClassesTab&amp;id=http%3A%2F%2Fwho.int%2Ficd%23SpecificAnatomicLocation_2729","iCat")</x:f>
      </x:c>
      <x:c r="M12206" s="0" t="s">
        <x:v>21</x:v>
      </x:c>
      <x:c r="N12206" s="0" t="s">
        <x:v>46</x:v>
      </x:c>
    </x:row>
    <x:row r="12207" spans="1:16">
      <x:c r="A12207" s="0" t="s">
        <x:v>47231</x:v>
      </x:c>
      <x:c r="B12207" s="0" t="s">
        <x:v>47232</x:v>
      </x:c>
      <x:c r="C12207" s="0" t="s">
        <x:v>42840</x:v>
      </x:c>
      <x:c r="E12207" s="0" t="s">
        <x:v>47233</x:v>
      </x:c>
      <x:c r="F12207" s="0" t="s">
        <x:v>45</x:v>
      </x:c>
      <x:c r="G12207" s="0" t="s">
        <x:v>22</x:v>
      </x:c>
      <x:c r="H12207" s="0" t="s">
        <x:v>20</x:v>
      </x:c>
      <x:c r="I12207" s="0" t="s">
        <x:v>21</x:v>
      </x:c>
      <x:c r="K12207" s="0">
        <x:f>hyperlink("https://icd.who.int/dev11/l-ichi/en#/http%3A%2F%2Fid.who.int%2Ficd%2Fentity%2F136902439","browser")</x:f>
      </x:c>
      <x:c r="L12207" s="0">
        <x:f>hyperlink("https://icat2.azurewebsites.net/icat/?ontology=ICD&amp;tab=ClassesTab&amp;id=http%3A%2F%2Fwho.int%2Ficd%23SpecificAnatomicLocation_2740","iCat")</x:f>
      </x:c>
      <x:c r="M12207" s="0" t="s">
        <x:v>21</x:v>
      </x:c>
      <x:c r="N12207" s="0" t="s">
        <x:v>46</x:v>
      </x:c>
    </x:row>
    <x:row r="12208" spans="1:16">
      <x:c r="A12208" s="0" t="s">
        <x:v>47234</x:v>
      </x:c>
      <x:c r="B12208" s="0" t="s">
        <x:v>47235</x:v>
      </x:c>
      <x:c r="C12208" s="0" t="s">
        <x:v>42840</x:v>
      </x:c>
      <x:c r="E12208" s="0" t="s">
        <x:v>47236</x:v>
      </x:c>
      <x:c r="F12208" s="0" t="s">
        <x:v>45</x:v>
      </x:c>
      <x:c r="G12208" s="0" t="s">
        <x:v>35</x:v>
      </x:c>
      <x:c r="H12208" s="0" t="s">
        <x:v>20</x:v>
      </x:c>
      <x:c r="I12208" s="0" t="s">
        <x:v>21</x:v>
      </x:c>
      <x:c r="K12208" s="0">
        <x:f>hyperlink("https://icd.who.int/dev11/l-ichi/en#/http%3A%2F%2Fid.who.int%2Ficd%2Fentity%2F959496272","browser")</x:f>
      </x:c>
      <x:c r="L12208" s="0">
        <x:f>hyperlink("https://icat2.azurewebsites.net/icat/?ontology=ICD&amp;tab=ClassesTab&amp;id=http%3A%2F%2Fwho.int%2Ficd%23SpecificAnatomicLocation_2730","iCat")</x:f>
      </x:c>
      <x:c r="M12208" s="0" t="s">
        <x:v>20</x:v>
      </x:c>
      <x:c r="N12208" s="0" t="s">
        <x:v>19</x:v>
      </x:c>
    </x:row>
    <x:row r="12209" spans="1:16">
      <x:c r="A12209" s="0" t="s">
        <x:v>47237</x:v>
      </x:c>
      <x:c r="B12209" s="0" t="s">
        <x:v>47238</x:v>
      </x:c>
      <x:c r="C12209" s="0" t="s">
        <x:v>42840</x:v>
      </x:c>
      <x:c r="E12209" s="0" t="s">
        <x:v>47239</x:v>
      </x:c>
      <x:c r="F12209" s="0" t="s">
        <x:v>45</x:v>
      </x:c>
      <x:c r="G12209" s="0" t="s">
        <x:v>22</x:v>
      </x:c>
      <x:c r="H12209" s="0" t="s">
        <x:v>20</x:v>
      </x:c>
      <x:c r="I12209" s="0" t="s">
        <x:v>21</x:v>
      </x:c>
      <x:c r="K12209" s="0">
        <x:f>hyperlink("https://icd.who.int/dev11/l-ichi/en#/http%3A%2F%2Fid.who.int%2Ficd%2Fentity%2F1921942507","browser")</x:f>
      </x:c>
      <x:c r="L12209" s="0">
        <x:f>hyperlink("https://icat2.azurewebsites.net/icat/?ontology=ICD&amp;tab=ClassesTab&amp;id=http%3A%2F%2Fwho.int%2Ficd%232234_d9027f82_5e3d_47a4_a6fe_3c65954dde3a","iCat")</x:f>
      </x:c>
      <x:c r="M12209" s="0" t="s">
        <x:v>21</x:v>
      </x:c>
      <x:c r="N12209" s="0" t="s">
        <x:v>46</x:v>
      </x:c>
    </x:row>
    <x:row r="12210" spans="1:16">
      <x:c r="A12210" s="0" t="s">
        <x:v>47240</x:v>
      </x:c>
      <x:c r="B12210" s="0" t="s">
        <x:v>47241</x:v>
      </x:c>
      <x:c r="C12210" s="0" t="s">
        <x:v>42840</x:v>
      </x:c>
      <x:c r="E12210" s="0" t="s">
        <x:v>47242</x:v>
      </x:c>
      <x:c r="F12210" s="0" t="s">
        <x:v>45</x:v>
      </x:c>
      <x:c r="G12210" s="0" t="s">
        <x:v>35</x:v>
      </x:c>
      <x:c r="H12210" s="0" t="s">
        <x:v>20</x:v>
      </x:c>
      <x:c r="I12210" s="0" t="s">
        <x:v>21</x:v>
      </x:c>
      <x:c r="K12210" s="0">
        <x:f>hyperlink("https://icd.who.int/dev11/l-ichi/en#/http%3A%2F%2Fid.who.int%2Ficd%2Fentity%2F520131559","browser")</x:f>
      </x:c>
      <x:c r="L12210" s="0">
        <x:f>hyperlink("https://icat2.azurewebsites.net/icat/?ontology=ICD&amp;tab=ClassesTab&amp;id=http%3A%2F%2Fwho.int%2Ficd%23SpecificAnatomicLocation_2741","iCat")</x:f>
      </x:c>
      <x:c r="M12210" s="0" t="s">
        <x:v>21</x:v>
      </x:c>
      <x:c r="N12210" s="0" t="s">
        <x:v>46</x:v>
      </x:c>
    </x:row>
    <x:row r="12211" spans="1:16">
      <x:c r="A12211" s="0" t="s">
        <x:v>47243</x:v>
      </x:c>
      <x:c r="B12211" s="0" t="s">
        <x:v>47244</x:v>
      </x:c>
      <x:c r="C12211" s="0" t="s">
        <x:v>42840</x:v>
      </x:c>
      <x:c r="E12211" s="0" t="s">
        <x:v>47245</x:v>
      </x:c>
      <x:c r="F12211" s="0" t="s">
        <x:v>45</x:v>
      </x:c>
      <x:c r="G12211" s="0" t="s">
        <x:v>35</x:v>
      </x:c>
      <x:c r="H12211" s="0" t="s">
        <x:v>20</x:v>
      </x:c>
      <x:c r="I12211" s="0" t="s">
        <x:v>21</x:v>
      </x:c>
      <x:c r="K12211" s="0">
        <x:f>hyperlink("https://icd.who.int/dev11/l-ichi/en#/http%3A%2F%2Fid.who.int%2Ficd%2Fentity%2F1755610480","browser")</x:f>
      </x:c>
      <x:c r="L12211" s="0">
        <x:f>hyperlink("https://icat2.azurewebsites.net/icat/?ontology=ICD&amp;tab=ClassesTab&amp;id=http%3A%2F%2Fwho.int%2Ficd%23SpecificAnatomicLocation_2739","iCat")</x:f>
      </x:c>
      <x:c r="M12211" s="0" t="s">
        <x:v>21</x:v>
      </x:c>
      <x:c r="N12211" s="0" t="s">
        <x:v>46</x:v>
      </x:c>
    </x:row>
    <x:row r="12212" spans="1:16">
      <x:c r="A12212" s="0" t="s">
        <x:v>47246</x:v>
      </x:c>
      <x:c r="B12212" s="0" t="s">
        <x:v>47247</x:v>
      </x:c>
      <x:c r="C12212" s="0" t="s">
        <x:v>42840</x:v>
      </x:c>
      <x:c r="E12212" s="0" t="s">
        <x:v>47248</x:v>
      </x:c>
      <x:c r="F12212" s="0" t="s">
        <x:v>45</x:v>
      </x:c>
      <x:c r="G12212" s="0" t="s">
        <x:v>35</x:v>
      </x:c>
      <x:c r="H12212" s="0" t="s">
        <x:v>20</x:v>
      </x:c>
      <x:c r="I12212" s="0" t="s">
        <x:v>21</x:v>
      </x:c>
      <x:c r="K12212" s="0">
        <x:f>hyperlink("https://icd.who.int/dev11/l-ichi/en#/http%3A%2F%2Fid.who.int%2Ficd%2Fentity%2F1844562279","browser")</x:f>
      </x:c>
      <x:c r="L12212" s="0">
        <x:f>hyperlink("https://icat2.azurewebsites.net/icat/?ontology=ICD&amp;tab=ClassesTab&amp;id=http%3A%2F%2Fwho.int%2Ficd%23SpecificAnatomicLocation_2747","iCat")</x:f>
      </x:c>
      <x:c r="M12212" s="0" t="s">
        <x:v>20</x:v>
      </x:c>
      <x:c r="N12212" s="0" t="s">
        <x:v>19</x:v>
      </x:c>
    </x:row>
    <x:row r="12213" spans="1:16">
      <x:c r="A12213" s="0" t="s">
        <x:v>47249</x:v>
      </x:c>
      <x:c r="B12213" s="0" t="s">
        <x:v>47250</x:v>
      </x:c>
      <x:c r="C12213" s="0" t="s">
        <x:v>42840</x:v>
      </x:c>
      <x:c r="E12213" s="0" t="s">
        <x:v>47251</x:v>
      </x:c>
      <x:c r="F12213" s="0" t="s">
        <x:v>45</x:v>
      </x:c>
      <x:c r="G12213" s="0" t="s">
        <x:v>22</x:v>
      </x:c>
      <x:c r="H12213" s="0" t="s">
        <x:v>20</x:v>
      </x:c>
      <x:c r="I12213" s="0" t="s">
        <x:v>21</x:v>
      </x:c>
      <x:c r="K12213" s="0">
        <x:f>hyperlink("https://icd.who.int/dev11/l-ichi/en#/http%3A%2F%2Fid.who.int%2Ficd%2Fentity%2F1995599360","browser")</x:f>
      </x:c>
      <x:c r="L12213" s="0">
        <x:f>hyperlink("https://icat2.azurewebsites.net/icat/?ontology=ICD&amp;tab=ClassesTab&amp;id=http%3A%2F%2Fwho.int%2Ficd%23SpecificAnatomicLocation_2750","iCat")</x:f>
      </x:c>
      <x:c r="M12213" s="0" t="s">
        <x:v>20</x:v>
      </x:c>
      <x:c r="N12213" s="0" t="s">
        <x:v>22</x:v>
      </x:c>
    </x:row>
    <x:row r="12214" spans="1:16">
      <x:c r="A12214" s="0" t="s">
        <x:v>47252</x:v>
      </x:c>
      <x:c r="B12214" s="0" t="s">
        <x:v>47253</x:v>
      </x:c>
      <x:c r="C12214" s="0" t="s">
        <x:v>42840</x:v>
      </x:c>
      <x:c r="E12214" s="0" t="s">
        <x:v>47254</x:v>
      </x:c>
      <x:c r="F12214" s="0" t="s">
        <x:v>45</x:v>
      </x:c>
      <x:c r="G12214" s="0" t="s">
        <x:v>40</x:v>
      </x:c>
      <x:c r="H12214" s="0" t="s">
        <x:v>20</x:v>
      </x:c>
      <x:c r="I12214" s="0" t="s">
        <x:v>21</x:v>
      </x:c>
      <x:c r="K12214" s="0">
        <x:f>hyperlink("https://icd.who.int/dev11/l-ichi/en#/http%3A%2F%2Fid.who.int%2Ficd%2Fentity%2F1318334169","browser")</x:f>
      </x:c>
      <x:c r="L12214" s="0">
        <x:f>hyperlink("https://icat2.azurewebsites.net/icat/?ontology=ICD&amp;tab=ClassesTab&amp;id=http%3A%2F%2Fwho.int%2Ficd%23SpecificAnatomicLocation_2748","iCat")</x:f>
      </x:c>
      <x:c r="M12214" s="0" t="s">
        <x:v>21</x:v>
      </x:c>
      <x:c r="N12214" s="0" t="s">
        <x:v>46</x:v>
      </x:c>
    </x:row>
    <x:row r="12215" spans="1:16">
      <x:c r="A12215" s="0" t="s">
        <x:v>47255</x:v>
      </x:c>
      <x:c r="B12215" s="0" t="s">
        <x:v>47256</x:v>
      </x:c>
      <x:c r="C12215" s="0" t="s">
        <x:v>42840</x:v>
      </x:c>
      <x:c r="E12215" s="0" t="s">
        <x:v>47257</x:v>
      </x:c>
      <x:c r="F12215" s="0" t="s">
        <x:v>45</x:v>
      </x:c>
      <x:c r="G12215" s="0" t="s">
        <x:v>40</x:v>
      </x:c>
      <x:c r="H12215" s="0" t="s">
        <x:v>20</x:v>
      </x:c>
      <x:c r="I12215" s="0" t="s">
        <x:v>21</x:v>
      </x:c>
      <x:c r="K12215" s="0">
        <x:f>hyperlink("https://icd.who.int/dev11/l-ichi/en#/http%3A%2F%2Fid.who.int%2Ficd%2Fentity%2F1505511961","browser")</x:f>
      </x:c>
      <x:c r="L12215" s="0">
        <x:f>hyperlink("https://icat2.azurewebsites.net/icat/?ontology=ICD&amp;tab=ClassesTab&amp;id=http%3A%2F%2Fwho.int%2Ficd%23SpecificAnatomicLocation_2749","iCat")</x:f>
      </x:c>
      <x:c r="M12215" s="0" t="s">
        <x:v>21</x:v>
      </x:c>
      <x:c r="N12215" s="0" t="s">
        <x:v>46</x:v>
      </x:c>
    </x:row>
    <x:row r="12216" spans="1:16">
      <x:c r="A12216" s="0" t="s">
        <x:v>47258</x:v>
      </x:c>
      <x:c r="B12216" s="0" t="s">
        <x:v>47259</x:v>
      </x:c>
      <x:c r="C12216" s="0" t="s">
        <x:v>42840</x:v>
      </x:c>
      <x:c r="E12216" s="0" t="s">
        <x:v>47260</x:v>
      </x:c>
      <x:c r="F12216" s="0" t="s">
        <x:v>45</x:v>
      </x:c>
      <x:c r="G12216" s="0" t="s">
        <x:v>40</x:v>
      </x:c>
      <x:c r="H12216" s="0" t="s">
        <x:v>20</x:v>
      </x:c>
      <x:c r="I12216" s="0" t="s">
        <x:v>21</x:v>
      </x:c>
      <x:c r="K12216" s="0">
        <x:f>hyperlink("https://icd.who.int/dev11/l-ichi/en#/http%3A%2F%2Fid.who.int%2Ficd%2Fentity%2F1487053952","browser")</x:f>
      </x:c>
      <x:c r="L12216" s="0">
        <x:f>hyperlink("https://icat2.azurewebsites.net/icat/?ontology=ICD&amp;tab=ClassesTab&amp;id=http%3A%2F%2Fwho.int%2Ficd%23SpecificAnatomicLocation_2752","iCat")</x:f>
      </x:c>
      <x:c r="M12216" s="0" t="s">
        <x:v>21</x:v>
      </x:c>
      <x:c r="N12216" s="0" t="s">
        <x:v>46</x:v>
      </x:c>
    </x:row>
    <x:row r="12217" spans="1:16">
      <x:c r="A12217" s="0" t="s">
        <x:v>47261</x:v>
      </x:c>
      <x:c r="B12217" s="0" t="s">
        <x:v>47262</x:v>
      </x:c>
      <x:c r="C12217" s="0" t="s">
        <x:v>42840</x:v>
      </x:c>
      <x:c r="E12217" s="0" t="s">
        <x:v>47263</x:v>
      </x:c>
      <x:c r="F12217" s="0" t="s">
        <x:v>45</x:v>
      </x:c>
      <x:c r="G12217" s="0" t="s">
        <x:v>40</x:v>
      </x:c>
      <x:c r="H12217" s="0" t="s">
        <x:v>20</x:v>
      </x:c>
      <x:c r="I12217" s="0" t="s">
        <x:v>21</x:v>
      </x:c>
      <x:c r="K12217" s="0">
        <x:f>hyperlink("https://icd.who.int/dev11/l-ichi/en#/http%3A%2F%2Fid.who.int%2Ficd%2Fentity%2F773366928","browser")</x:f>
      </x:c>
      <x:c r="L12217" s="0">
        <x:f>hyperlink("https://icat2.azurewebsites.net/icat/?ontology=ICD&amp;tab=ClassesTab&amp;id=http%3A%2F%2Fwho.int%2Ficd%23SpecificAnatomicLocation_2731","iCat")</x:f>
      </x:c>
      <x:c r="M12217" s="0" t="s">
        <x:v>21</x:v>
      </x:c>
      <x:c r="N12217" s="0" t="s">
        <x:v>46</x:v>
      </x:c>
    </x:row>
    <x:row r="12218" spans="1:16">
      <x:c r="A12218" s="0" t="s">
        <x:v>47264</x:v>
      </x:c>
      <x:c r="B12218" s="0" t="s">
        <x:v>47265</x:v>
      </x:c>
      <x:c r="C12218" s="0" t="s">
        <x:v>42840</x:v>
      </x:c>
      <x:c r="E12218" s="0" t="s">
        <x:v>47266</x:v>
      </x:c>
      <x:c r="F12218" s="0" t="s">
        <x:v>45</x:v>
      </x:c>
      <x:c r="G12218" s="0" t="s">
        <x:v>35</x:v>
      </x:c>
      <x:c r="H12218" s="0" t="s">
        <x:v>20</x:v>
      </x:c>
      <x:c r="I12218" s="0" t="s">
        <x:v>21</x:v>
      </x:c>
      <x:c r="K12218" s="0">
        <x:f>hyperlink("https://icd.who.int/dev11/l-ichi/en#/http%3A%2F%2Fid.who.int%2Ficd%2Fentity%2F1224504691","browser")</x:f>
      </x:c>
      <x:c r="L12218" s="0">
        <x:f>hyperlink("https://icat2.azurewebsites.net/icat/?ontology=ICD&amp;tab=ClassesTab&amp;id=http%3A%2F%2Fwho.int%2Ficd%232351_d9027f82_5e3d_47a4_a6fe_3c65954dde3a","iCat")</x:f>
      </x:c>
      <x:c r="M12218" s="0" t="s">
        <x:v>21</x:v>
      </x:c>
      <x:c r="N12218" s="0" t="s">
        <x:v>46</x:v>
      </x:c>
    </x:row>
    <x:row r="12219" spans="1:16">
      <x:c r="A12219" s="0" t="s">
        <x:v>47267</x:v>
      </x:c>
      <x:c r="B12219" s="0" t="s">
        <x:v>47268</x:v>
      </x:c>
      <x:c r="C12219" s="0" t="s">
        <x:v>42840</x:v>
      </x:c>
      <x:c r="E12219" s="0" t="s">
        <x:v>47269</x:v>
      </x:c>
      <x:c r="F12219" s="0" t="s">
        <x:v>45</x:v>
      </x:c>
      <x:c r="G12219" s="0" t="s">
        <x:v>35</x:v>
      </x:c>
      <x:c r="H12219" s="0" t="s">
        <x:v>20</x:v>
      </x:c>
      <x:c r="I12219" s="0" t="s">
        <x:v>21</x:v>
      </x:c>
      <x:c r="K12219" s="0">
        <x:f>hyperlink("https://icd.who.int/dev11/l-ichi/en#/http%3A%2F%2Fid.who.int%2Ficd%2Fentity%2F1773835017","browser")</x:f>
      </x:c>
      <x:c r="L12219" s="0">
        <x:f>hyperlink("https://icat2.azurewebsites.net/icat/?ontology=ICD&amp;tab=ClassesTab&amp;id=http%3A%2F%2Fwho.int%2Ficd%23SpecificAnatomicLocation_2722","iCat")</x:f>
      </x:c>
      <x:c r="M12219" s="0" t="s">
        <x:v>20</x:v>
      </x:c>
      <x:c r="N12219" s="0" t="s">
        <x:v>40</x:v>
      </x:c>
    </x:row>
    <x:row r="12220" spans="1:16">
      <x:c r="A12220" s="0" t="s">
        <x:v>47270</x:v>
      </x:c>
      <x:c r="B12220" s="0" t="s">
        <x:v>47271</x:v>
      </x:c>
      <x:c r="C12220" s="0" t="s">
        <x:v>42840</x:v>
      </x:c>
      <x:c r="E12220" s="0" t="s">
        <x:v>47272</x:v>
      </x:c>
      <x:c r="F12220" s="0" t="s">
        <x:v>45</x:v>
      </x:c>
      <x:c r="G12220" s="0" t="s">
        <x:v>22</x:v>
      </x:c>
      <x:c r="H12220" s="0" t="s">
        <x:v>20</x:v>
      </x:c>
      <x:c r="I12220" s="0" t="s">
        <x:v>21</x:v>
      </x:c>
      <x:c r="K12220" s="0">
        <x:f>hyperlink("https://icd.who.int/dev11/l-ichi/en#/http%3A%2F%2Fid.who.int%2Ficd%2Fentity%2F1261828760","browser")</x:f>
      </x:c>
      <x:c r="L12220" s="0">
        <x:f>hyperlink("https://icat2.azurewebsites.net/icat/?ontology=ICD&amp;tab=ClassesTab&amp;id=http%3A%2F%2Fwho.int%2Ficd%23SpecificAnatomicLocation_2767","iCat")</x:f>
      </x:c>
      <x:c r="M12220" s="0" t="s">
        <x:v>21</x:v>
      </x:c>
      <x:c r="N12220" s="0" t="s">
        <x:v>46</x:v>
      </x:c>
    </x:row>
    <x:row r="12221" spans="1:16">
      <x:c r="A12221" s="0" t="s">
        <x:v>47273</x:v>
      </x:c>
      <x:c r="B12221" s="0" t="s">
        <x:v>47274</x:v>
      </x:c>
      <x:c r="C12221" s="0" t="s">
        <x:v>42840</x:v>
      </x:c>
      <x:c r="E12221" s="0" t="s">
        <x:v>47275</x:v>
      </x:c>
      <x:c r="F12221" s="0" t="s">
        <x:v>45</x:v>
      </x:c>
      <x:c r="G12221" s="0" t="s">
        <x:v>22</x:v>
      </x:c>
      <x:c r="H12221" s="0" t="s">
        <x:v>20</x:v>
      </x:c>
      <x:c r="I12221" s="0" t="s">
        <x:v>21</x:v>
      </x:c>
      <x:c r="K12221" s="0">
        <x:f>hyperlink("https://icd.who.int/dev11/l-ichi/en#/http%3A%2F%2Fid.who.int%2Ficd%2Fentity%2F1830316639","browser")</x:f>
      </x:c>
      <x:c r="L12221" s="0">
        <x:f>hyperlink("https://icat2.azurewebsites.net/icat/?ontology=ICD&amp;tab=ClassesTab&amp;id=http%3A%2F%2Fwho.int%2Ficd%232257_d9027f82_5e3d_47a4_a6fe_3c65954dde3a","iCat")</x:f>
      </x:c>
      <x:c r="M12221" s="0" t="s">
        <x:v>21</x:v>
      </x:c>
      <x:c r="N12221" s="0" t="s">
        <x:v>46</x:v>
      </x:c>
    </x:row>
    <x:row r="12222" spans="1:16">
      <x:c r="A12222" s="0" t="s">
        <x:v>47276</x:v>
      </x:c>
      <x:c r="B12222" s="0" t="s">
        <x:v>47277</x:v>
      </x:c>
      <x:c r="C12222" s="0" t="s">
        <x:v>42840</x:v>
      </x:c>
      <x:c r="E12222" s="0" t="s">
        <x:v>47278</x:v>
      </x:c>
      <x:c r="F12222" s="0" t="s">
        <x:v>45</x:v>
      </x:c>
      <x:c r="G12222" s="0" t="s">
        <x:v>22</x:v>
      </x:c>
      <x:c r="H12222" s="0" t="s">
        <x:v>20</x:v>
      </x:c>
      <x:c r="I12222" s="0" t="s">
        <x:v>21</x:v>
      </x:c>
      <x:c r="K12222" s="0">
        <x:f>hyperlink("https://icd.who.int/dev11/l-ichi/en#/http%3A%2F%2Fid.who.int%2Ficd%2Fentity%2F1270979280","browser")</x:f>
      </x:c>
      <x:c r="L12222" s="0">
        <x:f>hyperlink("https://icat2.azurewebsites.net/icat/?ontology=ICD&amp;tab=ClassesTab&amp;id=http%3A%2F%2Fwho.int%2Ficd%23SpecificAnatomicLocation_2736","iCat")</x:f>
      </x:c>
      <x:c r="M12222" s="0" t="s">
        <x:v>21</x:v>
      </x:c>
      <x:c r="N12222" s="0" t="s">
        <x:v>46</x:v>
      </x:c>
    </x:row>
    <x:row r="12223" spans="1:16">
      <x:c r="A12223" s="0" t="s">
        <x:v>47279</x:v>
      </x:c>
      <x:c r="B12223" s="0" t="s">
        <x:v>47280</x:v>
      </x:c>
      <x:c r="C12223" s="0" t="s">
        <x:v>42840</x:v>
      </x:c>
      <x:c r="E12223" s="0" t="s">
        <x:v>47281</x:v>
      </x:c>
      <x:c r="F12223" s="0" t="s">
        <x:v>45</x:v>
      </x:c>
      <x:c r="G12223" s="0" t="s">
        <x:v>22</x:v>
      </x:c>
      <x:c r="H12223" s="0" t="s">
        <x:v>20</x:v>
      </x:c>
      <x:c r="I12223" s="0" t="s">
        <x:v>21</x:v>
      </x:c>
      <x:c r="K12223" s="0">
        <x:f>hyperlink("https://icd.who.int/dev11/l-ichi/en#/http%3A%2F%2Fid.who.int%2Ficd%2Fentity%2F1641679168","browser")</x:f>
      </x:c>
      <x:c r="L12223" s="0">
        <x:f>hyperlink("https://icat2.azurewebsites.net/icat/?ontology=ICD&amp;tab=ClassesTab&amp;id=http%3A%2F%2Fwho.int%2Ficd%23SpecificAnatomicLocation_2751","iCat")</x:f>
      </x:c>
      <x:c r="M12223" s="0" t="s">
        <x:v>21</x:v>
      </x:c>
      <x:c r="N12223" s="0" t="s">
        <x:v>46</x:v>
      </x:c>
    </x:row>
    <x:row r="12224" spans="1:16">
      <x:c r="A12224" s="0" t="s">
        <x:v>47282</x:v>
      </x:c>
      <x:c r="B12224" s="0" t="s">
        <x:v>47283</x:v>
      </x:c>
      <x:c r="C12224" s="0" t="s">
        <x:v>42840</x:v>
      </x:c>
      <x:c r="E12224" s="0" t="s">
        <x:v>47284</x:v>
      </x:c>
      <x:c r="F12224" s="0" t="s">
        <x:v>45</x:v>
      </x:c>
      <x:c r="G12224" s="0" t="s">
        <x:v>22</x:v>
      </x:c>
      <x:c r="H12224" s="0" t="s">
        <x:v>20</x:v>
      </x:c>
      <x:c r="I12224" s="0" t="s">
        <x:v>21</x:v>
      </x:c>
      <x:c r="K12224" s="0">
        <x:f>hyperlink("https://icd.who.int/dev11/l-ichi/en#/http%3A%2F%2Fid.who.int%2Ficd%2Fentity%2F1558838800","browser")</x:f>
      </x:c>
      <x:c r="L12224" s="0">
        <x:f>hyperlink("https://icat2.azurewebsites.net/icat/?ontology=ICD&amp;tab=ClassesTab&amp;id=http%3A%2F%2Fwho.int%2Ficd%23SpecificAnatomicLocation_2737","iCat")</x:f>
      </x:c>
      <x:c r="M12224" s="0" t="s">
        <x:v>21</x:v>
      </x:c>
      <x:c r="N12224" s="0" t="s">
        <x:v>46</x:v>
      </x:c>
    </x:row>
    <x:row r="12225" spans="1:16">
      <x:c r="A12225" s="0" t="s">
        <x:v>47285</x:v>
      </x:c>
      <x:c r="B12225" s="0" t="s">
        <x:v>47286</x:v>
      </x:c>
      <x:c r="C12225" s="0" t="s">
        <x:v>42840</x:v>
      </x:c>
      <x:c r="E12225" s="0" t="s">
        <x:v>47287</x:v>
      </x:c>
      <x:c r="F12225" s="0" t="s">
        <x:v>45</x:v>
      </x:c>
      <x:c r="G12225" s="0" t="s">
        <x:v>35</x:v>
      </x:c>
      <x:c r="H12225" s="0" t="s">
        <x:v>20</x:v>
      </x:c>
      <x:c r="I12225" s="0" t="s">
        <x:v>21</x:v>
      </x:c>
      <x:c r="K12225" s="0">
        <x:f>hyperlink("https://icd.who.int/dev11/l-ichi/en#/http%3A%2F%2Fid.who.int%2Ficd%2Fentity%2F1186749817","browser")</x:f>
      </x:c>
      <x:c r="L12225" s="0">
        <x:f>hyperlink("https://icat2.azurewebsites.net/icat/?ontology=ICD&amp;tab=ClassesTab&amp;id=http%3A%2F%2Fwho.int%2Ficd%2315382_16e67c35_8b57_40bb_9220_818553425a8c","iCat")</x:f>
      </x:c>
      <x:c r="M12225" s="0" t="s">
        <x:v>21</x:v>
      </x:c>
      <x:c r="N12225" s="0" t="s">
        <x:v>46</x:v>
      </x:c>
    </x:row>
    <x:row r="12226" spans="1:16">
      <x:c r="A12226" s="0" t="s">
        <x:v>47288</x:v>
      </x:c>
      <x:c r="B12226" s="0" t="s">
        <x:v>47289</x:v>
      </x:c>
      <x:c r="C12226" s="0" t="s">
        <x:v>42840</x:v>
      </x:c>
      <x:c r="E12226" s="0" t="s">
        <x:v>47290</x:v>
      </x:c>
      <x:c r="F12226" s="0" t="s">
        <x:v>45</x:v>
      </x:c>
      <x:c r="G12226" s="0" t="s">
        <x:v>19</x:v>
      </x:c>
      <x:c r="H12226" s="0" t="s">
        <x:v>20</x:v>
      </x:c>
      <x:c r="I12226" s="0" t="s">
        <x:v>21</x:v>
      </x:c>
      <x:c r="K12226" s="0">
        <x:f>hyperlink("https://icd.who.int/dev11/l-ichi/en#/http%3A%2F%2Fid.who.int%2Ficd%2Fentity%2F465545679","browser")</x:f>
      </x:c>
      <x:c r="L12226" s="0">
        <x:f>hyperlink("https://icat2.azurewebsites.net/icat/?ontology=ICD&amp;tab=ClassesTab&amp;id=http%3A%2F%2Fwho.int%2Ficd%23SpecificAnatomicLocation_2775","iCat")</x:f>
      </x:c>
      <x:c r="M12226" s="0" t="s">
        <x:v>20</x:v>
      </x:c>
      <x:c r="N12226" s="0" t="s">
        <x:v>119</x:v>
      </x:c>
    </x:row>
    <x:row r="12227" spans="1:16">
      <x:c r="A12227" s="0" t="s">
        <x:v>47291</x:v>
      </x:c>
      <x:c r="B12227" s="0" t="s">
        <x:v>47292</x:v>
      </x:c>
      <x:c r="C12227" s="0" t="s">
        <x:v>42840</x:v>
      </x:c>
      <x:c r="E12227" s="0" t="s">
        <x:v>47293</x:v>
      </x:c>
      <x:c r="F12227" s="0" t="s">
        <x:v>45</x:v>
      </x:c>
      <x:c r="G12227" s="0" t="s">
        <x:v>30</x:v>
      </x:c>
      <x:c r="H12227" s="0" t="s">
        <x:v>20</x:v>
      </x:c>
      <x:c r="I12227" s="0" t="s">
        <x:v>21</x:v>
      </x:c>
      <x:c r="K12227" s="0">
        <x:f>hyperlink("https://icd.who.int/dev11/l-ichi/en#/http%3A%2F%2Fid.who.int%2Ficd%2Fentity%2F2138601960","browser")</x:f>
      </x:c>
      <x:c r="L12227" s="0">
        <x:f>hyperlink("https://icat2.azurewebsites.net/icat/?ontology=ICD&amp;tab=ClassesTab&amp;id=http%3A%2F%2Fwho.int%2Ficd%23SpecificAnatomicLocation_2769","iCat")</x:f>
      </x:c>
      <x:c r="M12227" s="0" t="s">
        <x:v>21</x:v>
      </x:c>
      <x:c r="N12227" s="0" t="s">
        <x:v>46</x:v>
      </x:c>
    </x:row>
    <x:row r="12228" spans="1:16">
      <x:c r="A12228" s="0" t="s">
        <x:v>47294</x:v>
      </x:c>
      <x:c r="B12228" s="0" t="s">
        <x:v>47295</x:v>
      </x:c>
      <x:c r="C12228" s="0" t="s">
        <x:v>42840</x:v>
      </x:c>
      <x:c r="E12228" s="0" t="s">
        <x:v>47296</x:v>
      </x:c>
      <x:c r="F12228" s="0" t="s">
        <x:v>45</x:v>
      </x:c>
      <x:c r="G12228" s="0" t="s">
        <x:v>30</x:v>
      </x:c>
      <x:c r="H12228" s="0" t="s">
        <x:v>20</x:v>
      </x:c>
      <x:c r="I12228" s="0" t="s">
        <x:v>21</x:v>
      </x:c>
      <x:c r="K12228" s="0">
        <x:f>hyperlink("https://icd.who.int/dev11/l-ichi/en#/http%3A%2F%2Fid.who.int%2Ficd%2Fentity%2F211275023","browser")</x:f>
      </x:c>
      <x:c r="L12228" s="0">
        <x:f>hyperlink("https://icat2.azurewebsites.net/icat/?ontology=ICD&amp;tab=ClassesTab&amp;id=http%3A%2F%2Fwho.int%2Ficd%23SpecificAnatomicLocation_2774","iCat")</x:f>
      </x:c>
      <x:c r="M12228" s="0" t="s">
        <x:v>21</x:v>
      </x:c>
      <x:c r="N12228" s="0" t="s">
        <x:v>46</x:v>
      </x:c>
    </x:row>
    <x:row r="12229" spans="1:16">
      <x:c r="A12229" s="0" t="s">
        <x:v>47297</x:v>
      </x:c>
      <x:c r="B12229" s="0" t="s">
        <x:v>47298</x:v>
      </x:c>
      <x:c r="C12229" s="0" t="s">
        <x:v>42840</x:v>
      </x:c>
      <x:c r="E12229" s="0" t="s">
        <x:v>47299</x:v>
      </x:c>
      <x:c r="F12229" s="0" t="s">
        <x:v>45</x:v>
      </x:c>
      <x:c r="G12229" s="0" t="s">
        <x:v>30</x:v>
      </x:c>
      <x:c r="H12229" s="0" t="s">
        <x:v>20</x:v>
      </x:c>
      <x:c r="I12229" s="0" t="s">
        <x:v>21</x:v>
      </x:c>
      <x:c r="K12229" s="0">
        <x:f>hyperlink("https://icd.who.int/dev11/l-ichi/en#/http%3A%2F%2Fid.who.int%2Ficd%2Fentity%2F2120652687","browser")</x:f>
      </x:c>
      <x:c r="L12229" s="0">
        <x:f>hyperlink("https://icat2.azurewebsites.net/icat/?ontology=ICD&amp;tab=ClassesTab&amp;id=http%3A%2F%2Fwho.int%2Ficd%23SpecificAnatomicLocation_2772","iCat")</x:f>
      </x:c>
      <x:c r="M12229" s="0" t="s">
        <x:v>21</x:v>
      </x:c>
      <x:c r="N12229" s="0" t="s">
        <x:v>46</x:v>
      </x:c>
    </x:row>
    <x:row r="12230" spans="1:16">
      <x:c r="A12230" s="0" t="s">
        <x:v>47300</x:v>
      </x:c>
      <x:c r="B12230" s="0" t="s">
        <x:v>47301</x:v>
      </x:c>
      <x:c r="C12230" s="0" t="s">
        <x:v>42840</x:v>
      </x:c>
      <x:c r="E12230" s="0" t="s">
        <x:v>47302</x:v>
      </x:c>
      <x:c r="F12230" s="0" t="s">
        <x:v>45</x:v>
      </x:c>
      <x:c r="G12230" s="0" t="s">
        <x:v>30</x:v>
      </x:c>
      <x:c r="H12230" s="0" t="s">
        <x:v>20</x:v>
      </x:c>
      <x:c r="I12230" s="0" t="s">
        <x:v>21</x:v>
      </x:c>
      <x:c r="K12230" s="0">
        <x:f>hyperlink("https://icd.who.int/dev11/l-ichi/en#/http%3A%2F%2Fid.who.int%2Ficd%2Fentity%2F1345740303","browser")</x:f>
      </x:c>
      <x:c r="L12230" s="0">
        <x:f>hyperlink("https://icat2.azurewebsites.net/icat/?ontology=ICD&amp;tab=ClassesTab&amp;id=http%3A%2F%2Fwho.int%2Ficd%23SpecificAnatomicLocation_2770","iCat")</x:f>
      </x:c>
      <x:c r="M12230" s="0" t="s">
        <x:v>21</x:v>
      </x:c>
      <x:c r="N12230" s="0" t="s">
        <x:v>46</x:v>
      </x:c>
    </x:row>
    <x:row r="12231" spans="1:16">
      <x:c r="A12231" s="0" t="s">
        <x:v>47303</x:v>
      </x:c>
      <x:c r="B12231" s="0" t="s">
        <x:v>47304</x:v>
      </x:c>
      <x:c r="C12231" s="0" t="s">
        <x:v>42840</x:v>
      </x:c>
      <x:c r="E12231" s="0" t="s">
        <x:v>47305</x:v>
      </x:c>
      <x:c r="F12231" s="0" t="s">
        <x:v>45</x:v>
      </x:c>
      <x:c r="G12231" s="0" t="s">
        <x:v>30</x:v>
      </x:c>
      <x:c r="H12231" s="0" t="s">
        <x:v>20</x:v>
      </x:c>
      <x:c r="I12231" s="0" t="s">
        <x:v>21</x:v>
      </x:c>
      <x:c r="K12231" s="0">
        <x:f>hyperlink("https://icd.who.int/dev11/l-ichi/en#/http%3A%2F%2Fid.who.int%2Ficd%2Fentity%2F1750080808","browser")</x:f>
      </x:c>
      <x:c r="L12231" s="0">
        <x:f>hyperlink("https://icat2.azurewebsites.net/icat/?ontology=ICD&amp;tab=ClassesTab&amp;id=http%3A%2F%2Fwho.int%2Ficd%23SpecificAnatomicLocation_2768","iCat")</x:f>
      </x:c>
      <x:c r="M12231" s="0" t="s">
        <x:v>21</x:v>
      </x:c>
      <x:c r="N12231" s="0" t="s">
        <x:v>46</x:v>
      </x:c>
    </x:row>
    <x:row r="12232" spans="1:16">
      <x:c r="A12232" s="0" t="s">
        <x:v>47306</x:v>
      </x:c>
      <x:c r="B12232" s="0" t="s">
        <x:v>47307</x:v>
      </x:c>
      <x:c r="C12232" s="0" t="s">
        <x:v>42840</x:v>
      </x:c>
      <x:c r="E12232" s="0" t="s">
        <x:v>47308</x:v>
      </x:c>
      <x:c r="F12232" s="0" t="s">
        <x:v>45</x:v>
      </x:c>
      <x:c r="G12232" s="0" t="s">
        <x:v>30</x:v>
      </x:c>
      <x:c r="H12232" s="0" t="s">
        <x:v>20</x:v>
      </x:c>
      <x:c r="I12232" s="0" t="s">
        <x:v>21</x:v>
      </x:c>
      <x:c r="K12232" s="0">
        <x:f>hyperlink("https://icd.who.int/dev11/l-ichi/en#/http%3A%2F%2Fid.who.int%2Ficd%2Fentity%2F1193163471","browser")</x:f>
      </x:c>
      <x:c r="L12232" s="0">
        <x:f>hyperlink("https://icat2.azurewebsites.net/icat/?ontology=ICD&amp;tab=ClassesTab&amp;id=http%3A%2F%2Fwho.int%2Ficd%23SpecificAnatomicLocation_2771","iCat")</x:f>
      </x:c>
      <x:c r="M12232" s="0" t="s">
        <x:v>21</x:v>
      </x:c>
      <x:c r="N12232" s="0" t="s">
        <x:v>46</x:v>
      </x:c>
    </x:row>
    <x:row r="12233" spans="1:16">
      <x:c r="A12233" s="0" t="s">
        <x:v>47309</x:v>
      </x:c>
      <x:c r="B12233" s="0" t="s">
        <x:v>47310</x:v>
      </x:c>
      <x:c r="C12233" s="0" t="s">
        <x:v>42840</x:v>
      </x:c>
      <x:c r="E12233" s="0" t="s">
        <x:v>47311</x:v>
      </x:c>
      <x:c r="F12233" s="0" t="s">
        <x:v>45</x:v>
      </x:c>
      <x:c r="G12233" s="0" t="s">
        <x:v>30</x:v>
      </x:c>
      <x:c r="H12233" s="0" t="s">
        <x:v>20</x:v>
      </x:c>
      <x:c r="I12233" s="0" t="s">
        <x:v>21</x:v>
      </x:c>
      <x:c r="K12233" s="0">
        <x:f>hyperlink("https://icd.who.int/dev11/l-ichi/en#/http%3A%2F%2Fid.who.int%2Ficd%2Fentity%2F1766781775","browser")</x:f>
      </x:c>
      <x:c r="L12233" s="0">
        <x:f>hyperlink("https://icat2.azurewebsites.net/icat/?ontology=ICD&amp;tab=ClassesTab&amp;id=http%3A%2F%2Fwho.int%2Ficd%23SpecificAnatomicLocation_2773","iCat")</x:f>
      </x:c>
      <x:c r="M12233" s="0" t="s">
        <x:v>21</x:v>
      </x:c>
      <x:c r="N12233" s="0" t="s">
        <x:v>46</x:v>
      </x:c>
    </x:row>
    <x:row r="12234" spans="1:16">
      <x:c r="A12234" s="0" t="s">
        <x:v>47312</x:v>
      </x:c>
      <x:c r="B12234" s="0" t="s">
        <x:v>47313</x:v>
      </x:c>
      <x:c r="C12234" s="0" t="s">
        <x:v>42840</x:v>
      </x:c>
      <x:c r="E12234" s="0" t="s">
        <x:v>47314</x:v>
      </x:c>
      <x:c r="F12234" s="0" t="s">
        <x:v>45</x:v>
      </x:c>
      <x:c r="G12234" s="0" t="s">
        <x:v>30</x:v>
      </x:c>
      <x:c r="H12234" s="0" t="s">
        <x:v>20</x:v>
      </x:c>
      <x:c r="I12234" s="0" t="s">
        <x:v>21</x:v>
      </x:c>
      <x:c r="K12234" s="0">
        <x:f>hyperlink("https://icd.who.int/dev11/l-ichi/en#/http%3A%2F%2Fid.who.int%2Ficd%2Fentity%2F365733143","browser")</x:f>
      </x:c>
      <x:c r="L12234" s="0">
        <x:f>hyperlink("https://icat2.azurewebsites.net/icat/?ontology=ICD&amp;tab=ClassesTab&amp;id=http%3A%2F%2Fwho.int%2Ficd%234590_16e67c35_8b57_40bb_9220_818553425a8c","iCat")</x:f>
      </x:c>
      <x:c r="M12234" s="0" t="s">
        <x:v>20</x:v>
      </x:c>
      <x:c r="N12234" s="0" t="s">
        <x:v>35</x:v>
      </x:c>
    </x:row>
    <x:row r="12235" spans="1:16">
      <x:c r="A12235" s="0" t="s">
        <x:v>47315</x:v>
      </x:c>
      <x:c r="B12235" s="0" t="s">
        <x:v>47316</x:v>
      </x:c>
      <x:c r="C12235" s="0" t="s">
        <x:v>42840</x:v>
      </x:c>
      <x:c r="E12235" s="0" t="s">
        <x:v>47317</x:v>
      </x:c>
      <x:c r="F12235" s="0" t="s">
        <x:v>45</x:v>
      </x:c>
      <x:c r="G12235" s="0" t="s">
        <x:v>35</x:v>
      </x:c>
      <x:c r="H12235" s="0" t="s">
        <x:v>20</x:v>
      </x:c>
      <x:c r="I12235" s="0" t="s">
        <x:v>21</x:v>
      </x:c>
      <x:c r="K12235" s="0">
        <x:f>hyperlink("https://icd.who.int/dev11/l-ichi/en#/http%3A%2F%2Fid.who.int%2Ficd%2Fentity%2F1545444952","browser")</x:f>
      </x:c>
      <x:c r="L12235" s="0">
        <x:f>hyperlink("https://icat2.azurewebsites.net/icat/?ontology=ICD&amp;tab=ClassesTab&amp;id=http%3A%2F%2Fwho.int%2Ficd%23SpecificAnatomicLocation_2766","iCat")</x:f>
      </x:c>
      <x:c r="M12235" s="0" t="s">
        <x:v>20</x:v>
      </x:c>
      <x:c r="N12235" s="0" t="s">
        <x:v>206</x:v>
      </x:c>
    </x:row>
    <x:row r="12236" spans="1:16">
      <x:c r="A12236" s="0" t="s">
        <x:v>47318</x:v>
      </x:c>
      <x:c r="B12236" s="0" t="s">
        <x:v>47319</x:v>
      </x:c>
      <x:c r="C12236" s="0" t="s">
        <x:v>42840</x:v>
      </x:c>
      <x:c r="E12236" s="0" t="s">
        <x:v>47320</x:v>
      </x:c>
      <x:c r="F12236" s="0" t="s">
        <x:v>45</x:v>
      </x:c>
      <x:c r="G12236" s="0" t="s">
        <x:v>22</x:v>
      </x:c>
      <x:c r="H12236" s="0" t="s">
        <x:v>20</x:v>
      </x:c>
      <x:c r="I12236" s="0" t="s">
        <x:v>21</x:v>
      </x:c>
      <x:c r="K12236" s="0">
        <x:f>hyperlink("https://icd.who.int/dev11/l-ichi/en#/http%3A%2F%2Fid.who.int%2Ficd%2Fentity%2F12324184","browser")</x:f>
      </x:c>
      <x:c r="L12236" s="0">
        <x:f>hyperlink("https://icat2.azurewebsites.net/icat/?ontology=ICD&amp;tab=ClassesTab&amp;id=http%3A%2F%2Fwho.int%2Ficd%23SpecificAnatomicLocation_2762","iCat")</x:f>
      </x:c>
      <x:c r="M12236" s="0" t="s">
        <x:v>21</x:v>
      </x:c>
      <x:c r="N12236" s="0" t="s">
        <x:v>46</x:v>
      </x:c>
    </x:row>
    <x:row r="12237" spans="1:16">
      <x:c r="A12237" s="0" t="s">
        <x:v>47321</x:v>
      </x:c>
      <x:c r="B12237" s="0" t="s">
        <x:v>47322</x:v>
      </x:c>
      <x:c r="C12237" s="0" t="s">
        <x:v>42840</x:v>
      </x:c>
      <x:c r="E12237" s="0" t="s">
        <x:v>47323</x:v>
      </x:c>
      <x:c r="F12237" s="0" t="s">
        <x:v>45</x:v>
      </x:c>
      <x:c r="G12237" s="0" t="s">
        <x:v>22</x:v>
      </x:c>
      <x:c r="H12237" s="0" t="s">
        <x:v>20</x:v>
      </x:c>
      <x:c r="I12237" s="0" t="s">
        <x:v>21</x:v>
      </x:c>
      <x:c r="K12237" s="0">
        <x:f>hyperlink("https://icd.who.int/dev11/l-ichi/en#/http%3A%2F%2Fid.who.int%2Ficd%2Fentity%2F1701131032","browser")</x:f>
      </x:c>
      <x:c r="L12237" s="0">
        <x:f>hyperlink("https://icat2.azurewebsites.net/icat/?ontology=ICD&amp;tab=ClassesTab&amp;id=http%3A%2F%2Fwho.int%2Ficd%23SpecificAnatomicLocation_2765","iCat")</x:f>
      </x:c>
      <x:c r="M12237" s="0" t="s">
        <x:v>21</x:v>
      </x:c>
      <x:c r="N12237" s="0" t="s">
        <x:v>46</x:v>
      </x:c>
    </x:row>
    <x:row r="12238" spans="1:16">
      <x:c r="A12238" s="0" t="s">
        <x:v>47324</x:v>
      </x:c>
      <x:c r="B12238" s="0" t="s">
        <x:v>47325</x:v>
      </x:c>
      <x:c r="C12238" s="0" t="s">
        <x:v>42840</x:v>
      </x:c>
      <x:c r="E12238" s="0" t="s">
        <x:v>47326</x:v>
      </x:c>
      <x:c r="F12238" s="0" t="s">
        <x:v>45</x:v>
      </x:c>
      <x:c r="G12238" s="0" t="s">
        <x:v>22</x:v>
      </x:c>
      <x:c r="H12238" s="0" t="s">
        <x:v>20</x:v>
      </x:c>
      <x:c r="I12238" s="0" t="s">
        <x:v>21</x:v>
      </x:c>
      <x:c r="K12238" s="0">
        <x:f>hyperlink("https://icd.who.int/dev11/l-ichi/en#/http%3A%2F%2Fid.who.int%2Ficd%2Fentity%2F969187352","browser")</x:f>
      </x:c>
      <x:c r="L12238" s="0">
        <x:f>hyperlink("https://icat2.azurewebsites.net/icat/?ontology=ICD&amp;tab=ClassesTab&amp;id=http%3A%2F%2Fwho.int%2Ficd%23SpecificAnatomicLocation_2761","iCat")</x:f>
      </x:c>
      <x:c r="M12238" s="0" t="s">
        <x:v>21</x:v>
      </x:c>
      <x:c r="N12238" s="0" t="s">
        <x:v>46</x:v>
      </x:c>
    </x:row>
    <x:row r="12239" spans="1:16">
      <x:c r="A12239" s="0" t="s">
        <x:v>47327</x:v>
      </x:c>
      <x:c r="B12239" s="0" t="s">
        <x:v>47328</x:v>
      </x:c>
      <x:c r="C12239" s="0" t="s">
        <x:v>42840</x:v>
      </x:c>
      <x:c r="E12239" s="0" t="s">
        <x:v>47329</x:v>
      </x:c>
      <x:c r="F12239" s="0" t="s">
        <x:v>45</x:v>
      </x:c>
      <x:c r="G12239" s="0" t="s">
        <x:v>22</x:v>
      </x:c>
      <x:c r="H12239" s="0" t="s">
        <x:v>20</x:v>
      </x:c>
      <x:c r="I12239" s="0" t="s">
        <x:v>21</x:v>
      </x:c>
      <x:c r="K12239" s="0">
        <x:f>hyperlink("https://icd.who.int/dev11/l-ichi/en#/http%3A%2F%2Fid.who.int%2Ficd%2Fentity%2F1917671384","browser")</x:f>
      </x:c>
      <x:c r="L12239" s="0">
        <x:f>hyperlink("https://icat2.azurewebsites.net/icat/?ontology=ICD&amp;tab=ClassesTab&amp;id=http%3A%2F%2Fwho.int%2Ficd%23SpecificAnatomicLocation_2764","iCat")</x:f>
      </x:c>
      <x:c r="M12239" s="0" t="s">
        <x:v>21</x:v>
      </x:c>
      <x:c r="N12239" s="0" t="s">
        <x:v>46</x:v>
      </x:c>
    </x:row>
    <x:row r="12240" spans="1:16">
      <x:c r="A12240" s="0" t="s">
        <x:v>47330</x:v>
      </x:c>
      <x:c r="B12240" s="0" t="s">
        <x:v>47331</x:v>
      </x:c>
      <x:c r="C12240" s="0" t="s">
        <x:v>42840</x:v>
      </x:c>
      <x:c r="E12240" s="0" t="s">
        <x:v>47332</x:v>
      </x:c>
      <x:c r="F12240" s="0" t="s">
        <x:v>45</x:v>
      </x:c>
      <x:c r="G12240" s="0" t="s">
        <x:v>22</x:v>
      </x:c>
      <x:c r="H12240" s="0" t="s">
        <x:v>20</x:v>
      </x:c>
      <x:c r="I12240" s="0" t="s">
        <x:v>21</x:v>
      </x:c>
      <x:c r="K12240" s="0">
        <x:f>hyperlink("https://icd.who.int/dev11/l-ichi/en#/http%3A%2F%2Fid.who.int%2Ficd%2Fentity%2F395602328","browser")</x:f>
      </x:c>
      <x:c r="L12240" s="0">
        <x:f>hyperlink("https://icat2.azurewebsites.net/icat/?ontology=ICD&amp;tab=ClassesTab&amp;id=http%3A%2F%2Fwho.int%2Ficd%23SpecificAnatomicLocation_2763","iCat")</x:f>
      </x:c>
      <x:c r="M12240" s="0" t="s">
        <x:v>21</x:v>
      </x:c>
      <x:c r="N12240" s="0" t="s">
        <x:v>46</x:v>
      </x:c>
    </x:row>
    <x:row r="12241" spans="1:16">
      <x:c r="A12241" s="0" t="s">
        <x:v>47333</x:v>
      </x:c>
      <x:c r="B12241" s="0" t="s">
        <x:v>47334</x:v>
      </x:c>
      <x:c r="C12241" s="0" t="s">
        <x:v>42840</x:v>
      </x:c>
      <x:c r="E12241" s="0" t="s">
        <x:v>47335</x:v>
      </x:c>
      <x:c r="F12241" s="0" t="s">
        <x:v>45</x:v>
      </x:c>
      <x:c r="G12241" s="0" t="s">
        <x:v>22</x:v>
      </x:c>
      <x:c r="H12241" s="0" t="s">
        <x:v>20</x:v>
      </x:c>
      <x:c r="I12241" s="0" t="s">
        <x:v>21</x:v>
      </x:c>
      <x:c r="K12241" s="0">
        <x:f>hyperlink("https://icd.who.int/dev11/l-ichi/en#/http%3A%2F%2Fid.who.int%2Ficd%2Fentity%2F787268824","browser")</x:f>
      </x:c>
      <x:c r="L12241" s="0">
        <x:f>hyperlink("https://icat2.azurewebsites.net/icat/?ontology=ICD&amp;tab=ClassesTab&amp;id=http%3A%2F%2Fwho.int%2Ficd%23SpecificAnatomicLocation_2760","iCat")</x:f>
      </x:c>
      <x:c r="M12241" s="0" t="s">
        <x:v>21</x:v>
      </x:c>
      <x:c r="N12241" s="0" t="s">
        <x:v>46</x:v>
      </x:c>
    </x:row>
    <x:row r="12242" spans="1:16">
      <x:c r="A12242" s="0" t="s">
        <x:v>47336</x:v>
      </x:c>
      <x:c r="B12242" s="0" t="s">
        <x:v>47337</x:v>
      </x:c>
      <x:c r="C12242" s="0" t="s">
        <x:v>42840</x:v>
      </x:c>
      <x:c r="E12242" s="0" t="s">
        <x:v>47338</x:v>
      </x:c>
      <x:c r="F12242" s="0" t="s">
        <x:v>45</x:v>
      </x:c>
      <x:c r="G12242" s="0" t="s">
        <x:v>35</x:v>
      </x:c>
      <x:c r="H12242" s="0" t="s">
        <x:v>20</x:v>
      </x:c>
      <x:c r="I12242" s="0" t="s">
        <x:v>21</x:v>
      </x:c>
      <x:c r="K12242" s="0">
        <x:f>hyperlink("https://icd.who.int/dev11/l-ichi/en#/http%3A%2F%2Fid.who.int%2Ficd%2Fentity%2F67319680","browser")</x:f>
      </x:c>
      <x:c r="L12242" s="0">
        <x:f>hyperlink("https://icat2.azurewebsites.net/icat/?ontology=ICD&amp;tab=ClassesTab&amp;id=http%3A%2F%2Fwho.int%2Ficd%23SpecificAnatomicLocation_2756","iCat")</x:f>
      </x:c>
      <x:c r="M12242" s="0" t="s">
        <x:v>20</x:v>
      </x:c>
      <x:c r="N12242" s="0" t="s">
        <x:v>19</x:v>
      </x:c>
    </x:row>
    <x:row r="12243" spans="1:16">
      <x:c r="A12243" s="0" t="s">
        <x:v>47339</x:v>
      </x:c>
      <x:c r="B12243" s="0" t="s">
        <x:v>47340</x:v>
      </x:c>
      <x:c r="C12243" s="0" t="s">
        <x:v>42840</x:v>
      </x:c>
      <x:c r="E12243" s="0" t="s">
        <x:v>47341</x:v>
      </x:c>
      <x:c r="F12243" s="0" t="s">
        <x:v>45</x:v>
      </x:c>
      <x:c r="G12243" s="0" t="s">
        <x:v>22</x:v>
      </x:c>
      <x:c r="H12243" s="0" t="s">
        <x:v>20</x:v>
      </x:c>
      <x:c r="I12243" s="0" t="s">
        <x:v>21</x:v>
      </x:c>
      <x:c r="K12243" s="0">
        <x:f>hyperlink("https://icd.who.int/dev11/l-ichi/en#/http%3A%2F%2Fid.who.int%2Ficd%2Fentity%2F1110280623","browser")</x:f>
      </x:c>
      <x:c r="L12243" s="0">
        <x:f>hyperlink("https://icat2.azurewebsites.net/icat/?ontology=ICD&amp;tab=ClassesTab&amp;id=http%3A%2F%2Fwho.int%2Ficd%234904_16e67c35_8b57_40bb_9220_818553425a8c","iCat")</x:f>
      </x:c>
      <x:c r="M12243" s="0" t="s">
        <x:v>21</x:v>
      </x:c>
      <x:c r="N12243" s="0" t="s">
        <x:v>46</x:v>
      </x:c>
    </x:row>
    <x:row r="12244" spans="1:16">
      <x:c r="A12244" s="0" t="s">
        <x:v>47342</x:v>
      </x:c>
      <x:c r="B12244" s="0" t="s">
        <x:v>47343</x:v>
      </x:c>
      <x:c r="C12244" s="0" t="s">
        <x:v>42840</x:v>
      </x:c>
      <x:c r="E12244" s="0" t="s">
        <x:v>47344</x:v>
      </x:c>
      <x:c r="F12244" s="0" t="s">
        <x:v>45</x:v>
      </x:c>
      <x:c r="G12244" s="0" t="s">
        <x:v>35</x:v>
      </x:c>
      <x:c r="H12244" s="0" t="s">
        <x:v>20</x:v>
      </x:c>
      <x:c r="I12244" s="0" t="s">
        <x:v>21</x:v>
      </x:c>
      <x:c r="K12244" s="0">
        <x:f>hyperlink("https://icd.who.int/dev11/l-ichi/en#/http%3A%2F%2Fid.who.int%2Ficd%2Fentity%2F321606592","browser")</x:f>
      </x:c>
      <x:c r="L12244" s="0">
        <x:f>hyperlink("https://icat2.azurewebsites.net/icat/?ontology=ICD&amp;tab=ClassesTab&amp;id=http%3A%2F%2Fwho.int%2Ficd%23SpecificAnatomicLocation_2757","iCat")</x:f>
      </x:c>
      <x:c r="M12244" s="0" t="s">
        <x:v>21</x:v>
      </x:c>
      <x:c r="N12244" s="0" t="s">
        <x:v>46</x:v>
      </x:c>
    </x:row>
    <x:row r="12245" spans="1:16">
      <x:c r="A12245" s="0" t="s">
        <x:v>47345</x:v>
      </x:c>
      <x:c r="B12245" s="0" t="s">
        <x:v>47346</x:v>
      </x:c>
      <x:c r="C12245" s="0" t="s">
        <x:v>42840</x:v>
      </x:c>
      <x:c r="E12245" s="0" t="s">
        <x:v>47347</x:v>
      </x:c>
      <x:c r="F12245" s="0" t="s">
        <x:v>45</x:v>
      </x:c>
      <x:c r="G12245" s="0" t="s">
        <x:v>19</x:v>
      </x:c>
      <x:c r="H12245" s="0" t="s">
        <x:v>20</x:v>
      </x:c>
      <x:c r="I12245" s="0" t="s">
        <x:v>21</x:v>
      </x:c>
      <x:c r="K12245" s="0">
        <x:f>hyperlink("https://icd.who.int/dev11/l-ichi/en#/http%3A%2F%2Fid.who.int%2Ficd%2Fentity%2F2122474603","browser")</x:f>
      </x:c>
      <x:c r="L12245" s="0">
        <x:f>hyperlink("https://icat2.azurewebsites.net/icat/?ontology=ICD&amp;tab=ClassesTab&amp;id=http%3A%2F%2Fwho.int%2Ficd%23SpecificAnatomicLocation_2874","iCat")</x:f>
      </x:c>
      <x:c r="M12245" s="0" t="s">
        <x:v>20</x:v>
      </x:c>
      <x:c r="N12245" s="0" t="s">
        <x:v>584</x:v>
      </x:c>
    </x:row>
    <x:row r="12246" spans="1:16">
      <x:c r="A12246" s="0" t="s">
        <x:v>47348</x:v>
      </x:c>
      <x:c r="B12246" s="0" t="s">
        <x:v>47349</x:v>
      </x:c>
      <x:c r="C12246" s="0" t="s">
        <x:v>42840</x:v>
      </x:c>
      <x:c r="E12246" s="0" t="s">
        <x:v>47350</x:v>
      </x:c>
      <x:c r="F12246" s="0" t="s">
        <x:v>45</x:v>
      </x:c>
      <x:c r="G12246" s="0" t="s">
        <x:v>30</x:v>
      </x:c>
      <x:c r="H12246" s="0" t="s">
        <x:v>20</x:v>
      </x:c>
      <x:c r="I12246" s="0" t="s">
        <x:v>21</x:v>
      </x:c>
      <x:c r="K12246" s="0">
        <x:f>hyperlink("https://icd.who.int/dev11/l-ichi/en#/http%3A%2F%2Fid.who.int%2Ficd%2Fentity%2F208879339","browser")</x:f>
      </x:c>
      <x:c r="L12246" s="0">
        <x:f>hyperlink("https://icat2.azurewebsites.net/icat/?ontology=ICD&amp;tab=ClassesTab&amp;id=http%3A%2F%2Fwho.int%2Ficd%23SpecificAnatomicLocation_2872","iCat")</x:f>
      </x:c>
      <x:c r="M12246" s="0" t="s">
        <x:v>21</x:v>
      </x:c>
      <x:c r="N12246" s="0" t="s">
        <x:v>46</x:v>
      </x:c>
    </x:row>
    <x:row r="12247" spans="1:16">
      <x:c r="A12247" s="0" t="s">
        <x:v>47351</x:v>
      </x:c>
      <x:c r="B12247" s="0" t="s">
        <x:v>47352</x:v>
      </x:c>
      <x:c r="C12247" s="0" t="s">
        <x:v>42840</x:v>
      </x:c>
      <x:c r="E12247" s="0" t="s">
        <x:v>47353</x:v>
      </x:c>
      <x:c r="F12247" s="0" t="s">
        <x:v>45</x:v>
      </x:c>
      <x:c r="G12247" s="0" t="s">
        <x:v>30</x:v>
      </x:c>
      <x:c r="H12247" s="0" t="s">
        <x:v>20</x:v>
      </x:c>
      <x:c r="I12247" s="0" t="s">
        <x:v>21</x:v>
      </x:c>
      <x:c r="K12247" s="0">
        <x:f>hyperlink("https://icd.who.int/dev11/l-ichi/en#/http%3A%2F%2Fid.who.int%2Ficd%2Fentity%2F772290354","browser")</x:f>
      </x:c>
      <x:c r="L12247" s="0">
        <x:f>hyperlink("https://icat2.azurewebsites.net/icat/?ontology=ICD&amp;tab=ClassesTab&amp;id=http%3A%2F%2Fwho.int%2Ficd%23SpecificAnatomicLocation_2866","iCat")</x:f>
      </x:c>
      <x:c r="M12247" s="0" t="s">
        <x:v>21</x:v>
      </x:c>
      <x:c r="N12247" s="0" t="s">
        <x:v>46</x:v>
      </x:c>
    </x:row>
    <x:row r="12248" spans="1:16">
      <x:c r="A12248" s="0" t="s">
        <x:v>47354</x:v>
      </x:c>
      <x:c r="B12248" s="0" t="s">
        <x:v>47355</x:v>
      </x:c>
      <x:c r="C12248" s="0" t="s">
        <x:v>42840</x:v>
      </x:c>
      <x:c r="E12248" s="0" t="s">
        <x:v>47356</x:v>
      </x:c>
      <x:c r="F12248" s="0" t="s">
        <x:v>45</x:v>
      </x:c>
      <x:c r="G12248" s="0" t="s">
        <x:v>30</x:v>
      </x:c>
      <x:c r="H12248" s="0" t="s">
        <x:v>20</x:v>
      </x:c>
      <x:c r="I12248" s="0" t="s">
        <x:v>21</x:v>
      </x:c>
      <x:c r="K12248" s="0">
        <x:f>hyperlink("https://icd.who.int/dev11/l-ichi/en#/http%3A%2F%2Fid.who.int%2Ficd%2Fentity%2F1416468419","browser")</x:f>
      </x:c>
      <x:c r="L12248" s="0">
        <x:f>hyperlink("https://icat2.azurewebsites.net/icat/?ontology=ICD&amp;tab=ClassesTab&amp;id=http%3A%2F%2Fwho.int%2Ficd%23SpecificAnatomicLocation_2842","iCat")</x:f>
      </x:c>
      <x:c r="M12248" s="0" t="s">
        <x:v>21</x:v>
      </x:c>
      <x:c r="N12248" s="0" t="s">
        <x:v>46</x:v>
      </x:c>
    </x:row>
    <x:row r="12249" spans="1:16">
      <x:c r="A12249" s="0" t="s">
        <x:v>47357</x:v>
      </x:c>
      <x:c r="B12249" s="0" t="s">
        <x:v>47358</x:v>
      </x:c>
      <x:c r="C12249" s="0" t="s">
        <x:v>42840</x:v>
      </x:c>
      <x:c r="E12249" s="0" t="s">
        <x:v>47359</x:v>
      </x:c>
      <x:c r="F12249" s="0" t="s">
        <x:v>45</x:v>
      </x:c>
      <x:c r="G12249" s="0" t="s">
        <x:v>30</x:v>
      </x:c>
      <x:c r="H12249" s="0" t="s">
        <x:v>20</x:v>
      </x:c>
      <x:c r="I12249" s="0" t="s">
        <x:v>21</x:v>
      </x:c>
      <x:c r="K12249" s="0">
        <x:f>hyperlink("https://icd.who.int/dev11/l-ichi/en#/http%3A%2F%2Fid.who.int%2Ficd%2Fentity%2F440775758","browser")</x:f>
      </x:c>
      <x:c r="L12249" s="0">
        <x:f>hyperlink("https://icat2.azurewebsites.net/icat/?ontology=ICD&amp;tab=ClassesTab&amp;id=http%3A%2F%2Fwho.int%2Ficd%23SpecificAnatomicLocation_2868","iCat")</x:f>
      </x:c>
      <x:c r="M12249" s="0" t="s">
        <x:v>21</x:v>
      </x:c>
      <x:c r="N12249" s="0" t="s">
        <x:v>46</x:v>
      </x:c>
    </x:row>
    <x:row r="12250" spans="1:16">
      <x:c r="A12250" s="0" t="s">
        <x:v>47360</x:v>
      </x:c>
      <x:c r="B12250" s="0" t="s">
        <x:v>47361</x:v>
      </x:c>
      <x:c r="C12250" s="0" t="s">
        <x:v>42840</x:v>
      </x:c>
      <x:c r="E12250" s="0" t="s">
        <x:v>47362</x:v>
      </x:c>
      <x:c r="F12250" s="0" t="s">
        <x:v>45</x:v>
      </x:c>
      <x:c r="G12250" s="0" t="s">
        <x:v>30</x:v>
      </x:c>
      <x:c r="H12250" s="0" t="s">
        <x:v>20</x:v>
      </x:c>
      <x:c r="I12250" s="0" t="s">
        <x:v>21</x:v>
      </x:c>
      <x:c r="K12250" s="0">
        <x:f>hyperlink("https://icd.who.int/dev11/l-ichi/en#/http%3A%2F%2Fid.who.int%2Ficd%2Fentity%2F1703002354","browser")</x:f>
      </x:c>
      <x:c r="L12250" s="0">
        <x:f>hyperlink("https://icat2.azurewebsites.net/icat/?ontology=ICD&amp;tab=ClassesTab&amp;id=http%3A%2F%2Fwho.int%2Ficd%23SpecificAnatomicLocation_2863","iCat")</x:f>
      </x:c>
      <x:c r="M12250" s="0" t="s">
        <x:v>21</x:v>
      </x:c>
      <x:c r="N12250" s="0" t="s">
        <x:v>46</x:v>
      </x:c>
    </x:row>
    <x:row r="12251" spans="1:16">
      <x:c r="A12251" s="0" t="s">
        <x:v>47363</x:v>
      </x:c>
      <x:c r="B12251" s="0" t="s">
        <x:v>47364</x:v>
      </x:c>
      <x:c r="C12251" s="0" t="s">
        <x:v>42840</x:v>
      </x:c>
      <x:c r="E12251" s="0" t="s">
        <x:v>47365</x:v>
      </x:c>
      <x:c r="F12251" s="0" t="s">
        <x:v>45</x:v>
      </x:c>
      <x:c r="G12251" s="0" t="s">
        <x:v>30</x:v>
      </x:c>
      <x:c r="H12251" s="0" t="s">
        <x:v>20</x:v>
      </x:c>
      <x:c r="I12251" s="0" t="s">
        <x:v>21</x:v>
      </x:c>
      <x:c r="K12251" s="0">
        <x:f>hyperlink("https://icd.who.int/dev11/l-ichi/en#/http%3A%2F%2Fid.who.int%2Ficd%2Fentity%2F1923720242","browser")</x:f>
      </x:c>
      <x:c r="L12251" s="0">
        <x:f>hyperlink("https://icat2.azurewebsites.net/icat/?ontology=ICD&amp;tab=ClassesTab&amp;id=http%3A%2F%2Fwho.int%2Ficd%23SpecificAnatomicLocation_2862","iCat")</x:f>
      </x:c>
      <x:c r="M12251" s="0" t="s">
        <x:v>21</x:v>
      </x:c>
      <x:c r="N12251" s="0" t="s">
        <x:v>46</x:v>
      </x:c>
    </x:row>
    <x:row r="12252" spans="1:16">
      <x:c r="A12252" s="0" t="s">
        <x:v>47366</x:v>
      </x:c>
      <x:c r="B12252" s="0" t="s">
        <x:v>47367</x:v>
      </x:c>
      <x:c r="C12252" s="0" t="s">
        <x:v>42840</x:v>
      </x:c>
      <x:c r="E12252" s="0" t="s">
        <x:v>47368</x:v>
      </x:c>
      <x:c r="F12252" s="0" t="s">
        <x:v>45</x:v>
      </x:c>
      <x:c r="G12252" s="0" t="s">
        <x:v>30</x:v>
      </x:c>
      <x:c r="H12252" s="0" t="s">
        <x:v>20</x:v>
      </x:c>
      <x:c r="I12252" s="0" t="s">
        <x:v>21</x:v>
      </x:c>
      <x:c r="K12252" s="0">
        <x:f>hyperlink("https://icd.who.int/dev11/l-ichi/en#/http%3A%2F%2Fid.who.int%2Ficd%2Fentity%2F647810371","browser")</x:f>
      </x:c>
      <x:c r="L12252" s="0">
        <x:f>hyperlink("https://icat2.azurewebsites.net/icat/?ontology=ICD&amp;tab=ClassesTab&amp;id=http%3A%2F%2Fwho.int%2Ficd%23SpecificAnatomicLocation_2844","iCat")</x:f>
      </x:c>
      <x:c r="M12252" s="0" t="s">
        <x:v>21</x:v>
      </x:c>
      <x:c r="N12252" s="0" t="s">
        <x:v>46</x:v>
      </x:c>
    </x:row>
    <x:row r="12253" spans="1:16">
      <x:c r="A12253" s="0" t="s">
        <x:v>47369</x:v>
      </x:c>
      <x:c r="B12253" s="0" t="s">
        <x:v>47370</x:v>
      </x:c>
      <x:c r="C12253" s="0" t="s">
        <x:v>42840</x:v>
      </x:c>
      <x:c r="E12253" s="0" t="s">
        <x:v>47371</x:v>
      </x:c>
      <x:c r="F12253" s="0" t="s">
        <x:v>45</x:v>
      </x:c>
      <x:c r="G12253" s="0" t="s">
        <x:v>30</x:v>
      </x:c>
      <x:c r="H12253" s="0" t="s">
        <x:v>20</x:v>
      </x:c>
      <x:c r="I12253" s="0" t="s">
        <x:v>21</x:v>
      </x:c>
      <x:c r="K12253" s="0">
        <x:f>hyperlink("https://icd.who.int/dev11/l-ichi/en#/http%3A%2F%2Fid.who.int%2Ficd%2Fentity%2F1128657667","browser")</x:f>
      </x:c>
      <x:c r="L12253" s="0">
        <x:f>hyperlink("https://icat2.azurewebsites.net/icat/?ontology=ICD&amp;tab=ClassesTab&amp;id=http%3A%2F%2Fwho.int%2Ficd%23SpecificAnatomicLocation_2843","iCat")</x:f>
      </x:c>
      <x:c r="M12253" s="0" t="s">
        <x:v>21</x:v>
      </x:c>
      <x:c r="N12253" s="0" t="s">
        <x:v>46</x:v>
      </x:c>
    </x:row>
    <x:row r="12254" spans="1:16">
      <x:c r="A12254" s="0" t="s">
        <x:v>47372</x:v>
      </x:c>
      <x:c r="B12254" s="0" t="s">
        <x:v>47373</x:v>
      </x:c>
      <x:c r="C12254" s="0" t="s">
        <x:v>42840</x:v>
      </x:c>
      <x:c r="E12254" s="0" t="s">
        <x:v>47374</x:v>
      </x:c>
      <x:c r="F12254" s="0" t="s">
        <x:v>45</x:v>
      </x:c>
      <x:c r="G12254" s="0" t="s">
        <x:v>30</x:v>
      </x:c>
      <x:c r="H12254" s="0" t="s">
        <x:v>20</x:v>
      </x:c>
      <x:c r="I12254" s="0" t="s">
        <x:v>21</x:v>
      </x:c>
      <x:c r="K12254" s="0">
        <x:f>hyperlink("https://icd.who.int/dev11/l-ichi/en#/http%3A%2F%2Fid.who.int%2Ficd%2Fentity%2F1271990642","browser")</x:f>
      </x:c>
      <x:c r="L12254" s="0">
        <x:f>hyperlink("https://icat2.azurewebsites.net/icat/?ontology=ICD&amp;tab=ClassesTab&amp;id=http%3A%2F%2Fwho.int%2Ficd%23SpecificAnatomicLocation_2861","iCat")</x:f>
      </x:c>
      <x:c r="M12254" s="0" t="s">
        <x:v>20</x:v>
      </x:c>
      <x:c r="N12254" s="0" t="s">
        <x:v>206</x:v>
      </x:c>
    </x:row>
    <x:row r="12255" spans="1:16">
      <x:c r="A12255" s="0" t="s">
        <x:v>47375</x:v>
      </x:c>
      <x:c r="B12255" s="0" t="s">
        <x:v>47376</x:v>
      </x:c>
      <x:c r="C12255" s="0" t="s">
        <x:v>42840</x:v>
      </x:c>
      <x:c r="E12255" s="0" t="s">
        <x:v>47377</x:v>
      </x:c>
      <x:c r="F12255" s="0" t="s">
        <x:v>45</x:v>
      </x:c>
      <x:c r="G12255" s="0" t="s">
        <x:v>35</x:v>
      </x:c>
      <x:c r="H12255" s="0" t="s">
        <x:v>20</x:v>
      </x:c>
      <x:c r="I12255" s="0" t="s">
        <x:v>21</x:v>
      </x:c>
      <x:c r="K12255" s="0">
        <x:f>hyperlink("https://icd.who.int/dev11/l-ichi/en#/http%3A%2F%2Fid.who.int%2Ficd%2Fentity%2F1559850418","browser")</x:f>
      </x:c>
      <x:c r="L12255" s="0">
        <x:f>hyperlink("https://icat2.azurewebsites.net/icat/?ontology=ICD&amp;tab=ClassesTab&amp;id=http%3A%2F%2Fwho.int%2Ficd%23SpecificAnatomicLocation_2860","iCat")</x:f>
      </x:c>
      <x:c r="M12255" s="0" t="s">
        <x:v>21</x:v>
      </x:c>
      <x:c r="N12255" s="0" t="s">
        <x:v>46</x:v>
      </x:c>
    </x:row>
    <x:row r="12256" spans="1:16">
      <x:c r="A12256" s="0" t="s">
        <x:v>47378</x:v>
      </x:c>
      <x:c r="B12256" s="0" t="s">
        <x:v>47379</x:v>
      </x:c>
      <x:c r="C12256" s="0" t="s">
        <x:v>42840</x:v>
      </x:c>
      <x:c r="E12256" s="0" t="s">
        <x:v>47380</x:v>
      </x:c>
      <x:c r="F12256" s="0" t="s">
        <x:v>45</x:v>
      </x:c>
      <x:c r="G12256" s="0" t="s">
        <x:v>35</x:v>
      </x:c>
      <x:c r="H12256" s="0" t="s">
        <x:v>20</x:v>
      </x:c>
      <x:c r="I12256" s="0" t="s">
        <x:v>21</x:v>
      </x:c>
      <x:c r="K12256" s="0">
        <x:f>hyperlink("https://icd.who.int/dev11/l-ichi/en#/http%3A%2F%2Fid.who.int%2Ficd%2Fentity%2F1113267558","browser")</x:f>
      </x:c>
      <x:c r="L12256" s="0">
        <x:f>hyperlink("https://icat2.azurewebsites.net/icat/?ontology=ICD&amp;tab=ClassesTab&amp;id=http%3A%2F%2Fwho.int%2Ficd%23SpecificAnatomicLocation_2858","iCat")</x:f>
      </x:c>
      <x:c r="M12256" s="0" t="s">
        <x:v>21</x:v>
      </x:c>
      <x:c r="N12256" s="0" t="s">
        <x:v>46</x:v>
      </x:c>
    </x:row>
    <x:row r="12257" spans="1:16">
      <x:c r="A12257" s="0" t="s">
        <x:v>47381</x:v>
      </x:c>
      <x:c r="B12257" s="0" t="s">
        <x:v>47382</x:v>
      </x:c>
      <x:c r="C12257" s="0" t="s">
        <x:v>42840</x:v>
      </x:c>
      <x:c r="E12257" s="0" t="s">
        <x:v>47383</x:v>
      </x:c>
      <x:c r="F12257" s="0" t="s">
        <x:v>45</x:v>
      </x:c>
      <x:c r="G12257" s="0" t="s">
        <x:v>35</x:v>
      </x:c>
      <x:c r="H12257" s="0" t="s">
        <x:v>20</x:v>
      </x:c>
      <x:c r="I12257" s="0" t="s">
        <x:v>21</x:v>
      </x:c>
      <x:c r="K12257" s="0">
        <x:f>hyperlink("https://icd.who.int/dev11/l-ichi/en#/http%3A%2F%2Fid.who.int%2Ficd%2Fentity%2F1332622170","browser")</x:f>
      </x:c>
      <x:c r="L12257" s="0">
        <x:f>hyperlink("https://icat2.azurewebsites.net/icat/?ontology=ICD&amp;tab=ClassesTab&amp;id=http%3A%2F%2Fwho.int%2Ficd%23SpecificAnatomicLocation_2855","iCat")</x:f>
      </x:c>
      <x:c r="M12257" s="0" t="s">
        <x:v>21</x:v>
      </x:c>
      <x:c r="N12257" s="0" t="s">
        <x:v>46</x:v>
      </x:c>
    </x:row>
    <x:row r="12258" spans="1:16">
      <x:c r="A12258" s="0" t="s">
        <x:v>47384</x:v>
      </x:c>
      <x:c r="B12258" s="0" t="s">
        <x:v>47385</x:v>
      </x:c>
      <x:c r="C12258" s="0" t="s">
        <x:v>42840</x:v>
      </x:c>
      <x:c r="E12258" s="0" t="s">
        <x:v>47386</x:v>
      </x:c>
      <x:c r="F12258" s="0" t="s">
        <x:v>45</x:v>
      </x:c>
      <x:c r="G12258" s="0" t="s">
        <x:v>35</x:v>
      </x:c>
      <x:c r="H12258" s="0" t="s">
        <x:v>20</x:v>
      </x:c>
      <x:c r="I12258" s="0" t="s">
        <x:v>21</x:v>
      </x:c>
      <x:c r="K12258" s="0">
        <x:f>hyperlink("https://icd.who.int/dev11/l-ichi/en#/http%3A%2F%2Fid.who.int%2Ficd%2Fentity%2F1433631142","browser")</x:f>
      </x:c>
      <x:c r="L12258" s="0">
        <x:f>hyperlink("https://icat2.azurewebsites.net/icat/?ontology=ICD&amp;tab=ClassesTab&amp;id=http%3A%2F%2Fwho.int%2Ficd%23SpecificAnatomicLocation_2859","iCat")</x:f>
      </x:c>
      <x:c r="M12258" s="0" t="s">
        <x:v>21</x:v>
      </x:c>
      <x:c r="N12258" s="0" t="s">
        <x:v>46</x:v>
      </x:c>
    </x:row>
    <x:row r="12259" spans="1:16">
      <x:c r="A12259" s="0" t="s">
        <x:v>47387</x:v>
      </x:c>
      <x:c r="B12259" s="0" t="s">
        <x:v>47388</x:v>
      </x:c>
      <x:c r="C12259" s="0" t="s">
        <x:v>42840</x:v>
      </x:c>
      <x:c r="E12259" s="0" t="s">
        <x:v>47389</x:v>
      </x:c>
      <x:c r="F12259" s="0" t="s">
        <x:v>45</x:v>
      </x:c>
      <x:c r="G12259" s="0" t="s">
        <x:v>35</x:v>
      </x:c>
      <x:c r="H12259" s="0" t="s">
        <x:v>20</x:v>
      </x:c>
      <x:c r="I12259" s="0" t="s">
        <x:v>21</x:v>
      </x:c>
      <x:c r="K12259" s="0">
        <x:f>hyperlink("https://icd.who.int/dev11/l-ichi/en#/http%3A%2F%2Fid.who.int%2Ficd%2Fentity%2F1631517402","browser")</x:f>
      </x:c>
      <x:c r="L12259" s="0">
        <x:f>hyperlink("https://icat2.azurewebsites.net/icat/?ontology=ICD&amp;tab=ClassesTab&amp;id=http%3A%2F%2Fwho.int%2Ficd%23SpecificAnatomicLocation_2857","iCat")</x:f>
      </x:c>
      <x:c r="M12259" s="0" t="s">
        <x:v>21</x:v>
      </x:c>
      <x:c r="N12259" s="0" t="s">
        <x:v>46</x:v>
      </x:c>
    </x:row>
    <x:row r="12260" spans="1:16">
      <x:c r="A12260" s="0" t="s">
        <x:v>47390</x:v>
      </x:c>
      <x:c r="B12260" s="0" t="s">
        <x:v>47391</x:v>
      </x:c>
      <x:c r="C12260" s="0" t="s">
        <x:v>42840</x:v>
      </x:c>
      <x:c r="E12260" s="0" t="s">
        <x:v>47392</x:v>
      </x:c>
      <x:c r="F12260" s="0" t="s">
        <x:v>45</x:v>
      </x:c>
      <x:c r="G12260" s="0" t="s">
        <x:v>35</x:v>
      </x:c>
      <x:c r="H12260" s="0" t="s">
        <x:v>20</x:v>
      </x:c>
      <x:c r="I12260" s="0" t="s">
        <x:v>21</x:v>
      </x:c>
      <x:c r="K12260" s="0">
        <x:f>hyperlink("https://icd.who.int/dev11/l-ichi/en#/http%3A%2F%2Fid.who.int%2Ficd%2Fentity%2F1981193754","browser")</x:f>
      </x:c>
      <x:c r="L12260" s="0">
        <x:f>hyperlink("https://icat2.azurewebsites.net/icat/?ontology=ICD&amp;tab=ClassesTab&amp;id=http%3A%2F%2Fwho.int%2Ficd%23SpecificAnatomicLocation_2856","iCat")</x:f>
      </x:c>
      <x:c r="M12260" s="0" t="s">
        <x:v>21</x:v>
      </x:c>
      <x:c r="N12260" s="0" t="s">
        <x:v>46</x:v>
      </x:c>
    </x:row>
    <x:row r="12261" spans="1:16">
      <x:c r="A12261" s="0" t="s">
        <x:v>47393</x:v>
      </x:c>
      <x:c r="B12261" s="0" t="s">
        <x:v>47394</x:v>
      </x:c>
      <x:c r="C12261" s="0" t="s">
        <x:v>42840</x:v>
      </x:c>
      <x:c r="E12261" s="0" t="s">
        <x:v>47395</x:v>
      </x:c>
      <x:c r="F12261" s="0" t="s">
        <x:v>45</x:v>
      </x:c>
      <x:c r="G12261" s="0" t="s">
        <x:v>30</x:v>
      </x:c>
      <x:c r="H12261" s="0" t="s">
        <x:v>20</x:v>
      </x:c>
      <x:c r="I12261" s="0" t="s">
        <x:v>21</x:v>
      </x:c>
      <x:c r="K12261" s="0">
        <x:f>hyperlink("https://icd.who.int/dev11/l-ichi/en#/http%3A%2F%2Fid.who.int%2Ficd%2Fentity%2F5832370","browser")</x:f>
      </x:c>
      <x:c r="L12261" s="0">
        <x:f>hyperlink("https://icat2.azurewebsites.net/icat/?ontology=ICD&amp;tab=ClassesTab&amp;id=http%3A%2F%2Fwho.int%2Ficd%23SpecificAnatomicLocation_2864","iCat")</x:f>
      </x:c>
      <x:c r="M12261" s="0" t="s">
        <x:v>21</x:v>
      </x:c>
      <x:c r="N12261" s="0" t="s">
        <x:v>46</x:v>
      </x:c>
    </x:row>
    <x:row r="12262" spans="1:16">
      <x:c r="A12262" s="0" t="s">
        <x:v>47396</x:v>
      </x:c>
      <x:c r="B12262" s="0" t="s">
        <x:v>47397</x:v>
      </x:c>
      <x:c r="C12262" s="0" t="s">
        <x:v>42840</x:v>
      </x:c>
      <x:c r="E12262" s="0" t="s">
        <x:v>47398</x:v>
      </x:c>
      <x:c r="F12262" s="0" t="s">
        <x:v>45</x:v>
      </x:c>
      <x:c r="G12262" s="0" t="s">
        <x:v>30</x:v>
      </x:c>
      <x:c r="H12262" s="0" t="s">
        <x:v>20</x:v>
      </x:c>
      <x:c r="I12262" s="0" t="s">
        <x:v>21</x:v>
      </x:c>
      <x:c r="K12262" s="0">
        <x:f>hyperlink("https://icd.who.int/dev11/l-ichi/en#/http%3A%2F%2Fid.who.int%2Ficd%2Fentity%2F393255538","browser")</x:f>
      </x:c>
      <x:c r="L12262" s="0">
        <x:f>hyperlink("https://icat2.azurewebsites.net/icat/?ontology=ICD&amp;tab=ClassesTab&amp;id=http%3A%2F%2Fwho.int%2Ficd%23SpecificAnatomicLocation_2865","iCat")</x:f>
      </x:c>
      <x:c r="M12262" s="0" t="s">
        <x:v>21</x:v>
      </x:c>
      <x:c r="N12262" s="0" t="s">
        <x:v>46</x:v>
      </x:c>
    </x:row>
    <x:row r="12263" spans="1:16">
      <x:c r="A12263" s="0" t="s">
        <x:v>47399</x:v>
      </x:c>
      <x:c r="B12263" s="0" t="s">
        <x:v>47400</x:v>
      </x:c>
      <x:c r="C12263" s="0" t="s">
        <x:v>42840</x:v>
      </x:c>
      <x:c r="E12263" s="0" t="s">
        <x:v>47401</x:v>
      </x:c>
      <x:c r="F12263" s="0" t="s">
        <x:v>45</x:v>
      </x:c>
      <x:c r="G12263" s="0" t="s">
        <x:v>30</x:v>
      </x:c>
      <x:c r="H12263" s="0" t="s">
        <x:v>20</x:v>
      </x:c>
      <x:c r="I12263" s="0" t="s">
        <x:v>21</x:v>
      </x:c>
      <x:c r="K12263" s="0">
        <x:f>hyperlink("https://icd.who.int/dev11/l-ichi/en#/http%3A%2F%2Fid.who.int%2Ficd%2Fentity%2F458971691","browser")</x:f>
      </x:c>
      <x:c r="L12263" s="0">
        <x:f>hyperlink("https://icat2.azurewebsites.net/icat/?ontology=ICD&amp;tab=ClassesTab&amp;id=http%3A%2F%2Fwho.int%2Ficd%23SpecificAnatomicLocation_2873","iCat")</x:f>
      </x:c>
      <x:c r="M12263" s="0" t="s">
        <x:v>21</x:v>
      </x:c>
      <x:c r="N12263" s="0" t="s">
        <x:v>46</x:v>
      </x:c>
    </x:row>
    <x:row r="12264" spans="1:16">
      <x:c r="A12264" s="0" t="s">
        <x:v>47402</x:v>
      </x:c>
      <x:c r="B12264" s="0" t="s">
        <x:v>47403</x:v>
      </x:c>
      <x:c r="C12264" s="0" t="s">
        <x:v>42840</x:v>
      </x:c>
      <x:c r="E12264" s="0" t="s">
        <x:v>47404</x:v>
      </x:c>
      <x:c r="F12264" s="0" t="s">
        <x:v>45</x:v>
      </x:c>
      <x:c r="G12264" s="0" t="s">
        <x:v>30</x:v>
      </x:c>
      <x:c r="H12264" s="0" t="s">
        <x:v>20</x:v>
      </x:c>
      <x:c r="I12264" s="0" t="s">
        <x:v>21</x:v>
      </x:c>
      <x:c r="K12264" s="0">
        <x:f>hyperlink("https://icd.who.int/dev11/l-ichi/en#/http%3A%2F%2Fid.who.int%2Ficd%2Fentity%2F1830107779","browser")</x:f>
      </x:c>
      <x:c r="L12264" s="0">
        <x:f>hyperlink("https://icat2.azurewebsites.net/icat/?ontology=ICD&amp;tab=ClassesTab&amp;id=http%3A%2F%2Fwho.int%2Ficd%23SpecificAnatomicLocation_2841","iCat")</x:f>
      </x:c>
      <x:c r="M12264" s="0" t="s">
        <x:v>21</x:v>
      </x:c>
      <x:c r="N12264" s="0" t="s">
        <x:v>46</x:v>
      </x:c>
    </x:row>
    <x:row r="12265" spans="1:16">
      <x:c r="A12265" s="0" t="s">
        <x:v>47405</x:v>
      </x:c>
      <x:c r="B12265" s="0" t="s">
        <x:v>47406</x:v>
      </x:c>
      <x:c r="C12265" s="0" t="s">
        <x:v>42840</x:v>
      </x:c>
      <x:c r="E12265" s="0" t="s">
        <x:v>47407</x:v>
      </x:c>
      <x:c r="F12265" s="0" t="s">
        <x:v>45</x:v>
      </x:c>
      <x:c r="G12265" s="0" t="s">
        <x:v>30</x:v>
      </x:c>
      <x:c r="H12265" s="0" t="s">
        <x:v>20</x:v>
      </x:c>
      <x:c r="I12265" s="0" t="s">
        <x:v>21</x:v>
      </x:c>
      <x:c r="K12265" s="0">
        <x:f>hyperlink("https://icd.who.int/dev11/l-ichi/en#/http%3A%2F%2Fid.who.int%2Ficd%2Fentity%2F958419954","browser")</x:f>
      </x:c>
      <x:c r="L12265" s="0">
        <x:f>hyperlink("https://icat2.azurewebsites.net/icat/?ontology=ICD&amp;tab=ClassesTab&amp;id=http%3A%2F%2Fwho.int%2Ficd%23SpecificAnatomicLocation_2867","iCat")</x:f>
      </x:c>
      <x:c r="M12265" s="0" t="s">
        <x:v>21</x:v>
      </x:c>
      <x:c r="N12265" s="0" t="s">
        <x:v>46</x:v>
      </x:c>
    </x:row>
    <x:row r="12266" spans="1:16">
      <x:c r="A12266" s="0" t="s">
        <x:v>47408</x:v>
      </x:c>
      <x:c r="B12266" s="0" t="s">
        <x:v>47409</x:v>
      </x:c>
      <x:c r="C12266" s="0" t="s">
        <x:v>42840</x:v>
      </x:c>
      <x:c r="E12266" s="0" t="s">
        <x:v>47410</x:v>
      </x:c>
      <x:c r="F12266" s="0" t="s">
        <x:v>45</x:v>
      </x:c>
      <x:c r="G12266" s="0" t="s">
        <x:v>30</x:v>
      </x:c>
      <x:c r="H12266" s="0" t="s">
        <x:v>20</x:v>
      </x:c>
      <x:c r="I12266" s="0" t="s">
        <x:v>21</x:v>
      </x:c>
      <x:c r="K12266" s="0">
        <x:f>hyperlink("https://icd.who.int/dev11/l-ichi/en#/http%3A%2F%2Fid.who.int%2Ficd%2Fentity%2F1324428010","browser")</x:f>
      </x:c>
      <x:c r="L12266" s="0">
        <x:f>hyperlink("https://icat2.azurewebsites.net/icat/?ontology=ICD&amp;tab=ClassesTab&amp;id=http%3A%2F%2Fwho.int%2Ficd%234539_16e67c35_8b57_40bb_9220_818553425a8c","iCat")</x:f>
      </x:c>
      <x:c r="M12266" s="0" t="s">
        <x:v>20</x:v>
      </x:c>
      <x:c r="N12266" s="0" t="s">
        <x:v>431</x:v>
      </x:c>
    </x:row>
    <x:row r="12267" spans="1:16">
      <x:c r="A12267" s="0" t="s">
        <x:v>47411</x:v>
      </x:c>
      <x:c r="B12267" s="0" t="s">
        <x:v>47412</x:v>
      </x:c>
      <x:c r="C12267" s="0" t="s">
        <x:v>42840</x:v>
      </x:c>
      <x:c r="E12267" s="0" t="s">
        <x:v>47413</x:v>
      </x:c>
      <x:c r="F12267" s="0" t="s">
        <x:v>45</x:v>
      </x:c>
      <x:c r="G12267" s="0" t="s">
        <x:v>35</x:v>
      </x:c>
      <x:c r="H12267" s="0" t="s">
        <x:v>20</x:v>
      </x:c>
      <x:c r="I12267" s="0" t="s">
        <x:v>21</x:v>
      </x:c>
      <x:c r="K12267" s="0">
        <x:f>hyperlink("https://icd.who.int/dev11/l-ichi/en#/http%3A%2F%2Fid.who.int%2Ficd%2Fentity%2F1033857498","browser")</x:f>
      </x:c>
      <x:c r="L12267" s="0">
        <x:f>hyperlink("https://icat2.azurewebsites.net/icat/?ontology=ICD&amp;tab=ClassesTab&amp;id=http%3A%2F%2Fwho.int%2Ficd%23SpecificAnatomicLocation_2853","iCat")</x:f>
      </x:c>
      <x:c r="M12267" s="0" t="s">
        <x:v>20</x:v>
      </x:c>
      <x:c r="N12267" s="0" t="s">
        <x:v>40</x:v>
      </x:c>
    </x:row>
    <x:row r="12268" spans="1:16">
      <x:c r="A12268" s="0" t="s">
        <x:v>47414</x:v>
      </x:c>
      <x:c r="B12268" s="0" t="s">
        <x:v>47415</x:v>
      </x:c>
      <x:c r="C12268" s="0" t="s">
        <x:v>42840</x:v>
      </x:c>
      <x:c r="E12268" s="0" t="s">
        <x:v>47416</x:v>
      </x:c>
      <x:c r="F12268" s="0" t="s">
        <x:v>45</x:v>
      </x:c>
      <x:c r="G12268" s="0" t="s">
        <x:v>22</x:v>
      </x:c>
      <x:c r="H12268" s="0" t="s">
        <x:v>20</x:v>
      </x:c>
      <x:c r="I12268" s="0" t="s">
        <x:v>21</x:v>
      </x:c>
      <x:c r="K12268" s="0">
        <x:f>hyperlink("https://icd.who.int/dev11/l-ichi/en#/http%3A%2F%2Fid.who.int%2Ficd%2Fentity%2F82298010","browser")</x:f>
      </x:c>
      <x:c r="L12268" s="0">
        <x:f>hyperlink("https://icat2.azurewebsites.net/icat/?ontology=ICD&amp;tab=ClassesTab&amp;id=http%3A%2F%2Fwho.int%2Ficd%23SpecificAnatomicLocation_2850","iCat")</x:f>
      </x:c>
      <x:c r="M12268" s="0" t="s">
        <x:v>20</x:v>
      </x:c>
      <x:c r="N12268" s="0" t="s">
        <x:v>19</x:v>
      </x:c>
    </x:row>
    <x:row r="12269" spans="1:16">
      <x:c r="A12269" s="0" t="s">
        <x:v>47417</x:v>
      </x:c>
      <x:c r="B12269" s="0" t="s">
        <x:v>47418</x:v>
      </x:c>
      <x:c r="C12269" s="0" t="s">
        <x:v>42840</x:v>
      </x:c>
      <x:c r="E12269" s="0" t="s">
        <x:v>47419</x:v>
      </x:c>
      <x:c r="F12269" s="0" t="s">
        <x:v>45</x:v>
      </x:c>
      <x:c r="G12269" s="0" t="s">
        <x:v>40</x:v>
      </x:c>
      <x:c r="H12269" s="0" t="s">
        <x:v>20</x:v>
      </x:c>
      <x:c r="I12269" s="0" t="s">
        <x:v>21</x:v>
      </x:c>
      <x:c r="K12269" s="0">
        <x:f>hyperlink("https://icd.who.int/dev11/l-ichi/en#/http%3A%2F%2Fid.who.int%2Ficd%2Fentity%2F1555232041","browser")</x:f>
      </x:c>
      <x:c r="L12269" s="0">
        <x:f>hyperlink("https://icat2.azurewebsites.net/icat/?ontology=ICD&amp;tab=ClassesTab&amp;id=http%3A%2F%2Fwho.int%2Ficd%232086_d9027f82_5e3d_47a4_a6fe_3c65954dde3a","iCat")</x:f>
      </x:c>
      <x:c r="M12269" s="0" t="s">
        <x:v>21</x:v>
      </x:c>
      <x:c r="N12269" s="0" t="s">
        <x:v>46</x:v>
      </x:c>
    </x:row>
    <x:row r="12270" spans="1:16">
      <x:c r="A12270" s="0" t="s">
        <x:v>47420</x:v>
      </x:c>
      <x:c r="B12270" s="0" t="s">
        <x:v>47421</x:v>
      </x:c>
      <x:c r="C12270" s="0" t="s">
        <x:v>42840</x:v>
      </x:c>
      <x:c r="E12270" s="0" t="s">
        <x:v>47422</x:v>
      </x:c>
      <x:c r="F12270" s="0" t="s">
        <x:v>45</x:v>
      </x:c>
      <x:c r="G12270" s="0" t="s">
        <x:v>22</x:v>
      </x:c>
      <x:c r="H12270" s="0" t="s">
        <x:v>20</x:v>
      </x:c>
      <x:c r="I12270" s="0" t="s">
        <x:v>21</x:v>
      </x:c>
      <x:c r="K12270" s="0">
        <x:f>hyperlink("https://icd.who.int/dev11/l-ichi/en#/http%3A%2F%2Fid.who.int%2Ficd%2Fentity%2F732554109","browser")</x:f>
      </x:c>
      <x:c r="L12270" s="0">
        <x:f>hyperlink("https://icat2.azurewebsites.net/icat/?ontology=ICD&amp;tab=ClassesTab&amp;id=http%3A%2F%2Fwho.int%2Ficd%23SpecificAnatomicLocation_2849","iCat")</x:f>
      </x:c>
      <x:c r="M12270" s="0" t="s">
        <x:v>21</x:v>
      </x:c>
      <x:c r="N12270" s="0" t="s">
        <x:v>46</x:v>
      </x:c>
    </x:row>
    <x:row r="12271" spans="1:16">
      <x:c r="A12271" s="0" t="s">
        <x:v>47423</x:v>
      </x:c>
      <x:c r="B12271" s="0" t="s">
        <x:v>47424</x:v>
      </x:c>
      <x:c r="C12271" s="0" t="s">
        <x:v>42840</x:v>
      </x:c>
      <x:c r="E12271" s="0" t="s">
        <x:v>47425</x:v>
      </x:c>
      <x:c r="F12271" s="0" t="s">
        <x:v>45</x:v>
      </x:c>
      <x:c r="G12271" s="0" t="s">
        <x:v>22</x:v>
      </x:c>
      <x:c r="H12271" s="0" t="s">
        <x:v>20</x:v>
      </x:c>
      <x:c r="I12271" s="0" t="s">
        <x:v>21</x:v>
      </x:c>
      <x:c r="K12271" s="0">
        <x:f>hyperlink("https://icd.who.int/dev11/l-ichi/en#/http%3A%2F%2Fid.who.int%2Ficd%2Fentity%2F716639514","browser")</x:f>
      </x:c>
      <x:c r="L12271" s="0">
        <x:f>hyperlink("https://icat2.azurewebsites.net/icat/?ontology=ICD&amp;tab=ClassesTab&amp;id=http%3A%2F%2Fwho.int%2Ficd%23SpecificAnatomicLocation_2852","iCat")</x:f>
      </x:c>
      <x:c r="M12271" s="0" t="s">
        <x:v>21</x:v>
      </x:c>
      <x:c r="N12271" s="0" t="s">
        <x:v>46</x:v>
      </x:c>
    </x:row>
    <x:row r="12272" spans="1:16">
      <x:c r="A12272" s="0" t="s">
        <x:v>47426</x:v>
      </x:c>
      <x:c r="B12272" s="0" t="s">
        <x:v>47427</x:v>
      </x:c>
      <x:c r="C12272" s="0" t="s">
        <x:v>42840</x:v>
      </x:c>
      <x:c r="E12272" s="0" t="s">
        <x:v>47428</x:v>
      </x:c>
      <x:c r="F12272" s="0" t="s">
        <x:v>45</x:v>
      </x:c>
      <x:c r="G12272" s="0" t="s">
        <x:v>22</x:v>
      </x:c>
      <x:c r="H12272" s="0" t="s">
        <x:v>20</x:v>
      </x:c>
      <x:c r="I12272" s="0" t="s">
        <x:v>21</x:v>
      </x:c>
      <x:c r="K12272" s="0">
        <x:f>hyperlink("https://icd.who.int/dev11/l-ichi/en#/http%3A%2F%2Fid.who.int%2Ficd%2Fentity%2F320703950","browser")</x:f>
      </x:c>
      <x:c r="L12272" s="0">
        <x:f>hyperlink("https://icat2.azurewebsites.net/icat/?ontology=ICD&amp;tab=ClassesTab&amp;id=http%3A%2F%2Fwho.int%2Ficd%232047_d9027f82_5e3d_47a4_a6fe_3c65954dde3a","iCat")</x:f>
      </x:c>
      <x:c r="M12272" s="0" t="s">
        <x:v>21</x:v>
      </x:c>
      <x:c r="N12272" s="0" t="s">
        <x:v>46</x:v>
      </x:c>
    </x:row>
    <x:row r="12273" spans="1:16">
      <x:c r="A12273" s="0" t="s">
        <x:v>47429</x:v>
      </x:c>
      <x:c r="B12273" s="0" t="s">
        <x:v>47430</x:v>
      </x:c>
      <x:c r="C12273" s="0" t="s">
        <x:v>42840</x:v>
      </x:c>
      <x:c r="E12273" s="0" t="s">
        <x:v>47431</x:v>
      </x:c>
      <x:c r="F12273" s="0" t="s">
        <x:v>45</x:v>
      </x:c>
      <x:c r="G12273" s="0" t="s">
        <x:v>22</x:v>
      </x:c>
      <x:c r="H12273" s="0" t="s">
        <x:v>20</x:v>
      </x:c>
      <x:c r="I12273" s="0" t="s">
        <x:v>21</x:v>
      </x:c>
      <x:c r="K12273" s="0">
        <x:f>hyperlink("https://icd.who.int/dev11/l-ichi/en#/http%3A%2F%2Fid.who.int%2Ficd%2Fentity%2F1544897881","browser")</x:f>
      </x:c>
      <x:c r="L12273" s="0">
        <x:f>hyperlink("https://icat2.azurewebsites.net/icat/?ontology=ICD&amp;tab=ClassesTab&amp;id=http%3A%2F%2Fwho.int%2Ficd%232065_d9027f82_5e3d_47a4_a6fe_3c65954dde3a","iCat")</x:f>
      </x:c>
      <x:c r="M12273" s="0" t="s">
        <x:v>21</x:v>
      </x:c>
      <x:c r="N12273" s="0" t="s">
        <x:v>46</x:v>
      </x:c>
    </x:row>
    <x:row r="12274" spans="1:16">
      <x:c r="A12274" s="0" t="s">
        <x:v>47432</x:v>
      </x:c>
      <x:c r="B12274" s="0" t="s">
        <x:v>47433</x:v>
      </x:c>
      <x:c r="C12274" s="0" t="s">
        <x:v>42840</x:v>
      </x:c>
      <x:c r="E12274" s="0" t="s">
        <x:v>47434</x:v>
      </x:c>
      <x:c r="F12274" s="0" t="s">
        <x:v>45</x:v>
      </x:c>
      <x:c r="G12274" s="0" t="s">
        <x:v>35</x:v>
      </x:c>
      <x:c r="H12274" s="0" t="s">
        <x:v>20</x:v>
      </x:c>
      <x:c r="I12274" s="0" t="s">
        <x:v>21</x:v>
      </x:c>
      <x:c r="K12274" s="0">
        <x:f>hyperlink("https://icd.who.int/dev11/l-ichi/en#/http%3A%2F%2Fid.who.int%2Ficd%2Fentity%2F210461818","browser")</x:f>
      </x:c>
      <x:c r="L12274" s="0">
        <x:f>hyperlink("https://icat2.azurewebsites.net/icat/?ontology=ICD&amp;tab=ClassesTab&amp;id=http%3A%2F%2Fwho.int%2Ficd%232024_d9027f82_5e3d_47a4_a6fe_3c65954dde3a","iCat")</x:f>
      </x:c>
      <x:c r="M12274" s="0" t="s">
        <x:v>20</x:v>
      </x:c>
      <x:c r="N12274" s="0" t="s">
        <x:v>30</x:v>
      </x:c>
    </x:row>
    <x:row r="12275" spans="1:16">
      <x:c r="A12275" s="0" t="s">
        <x:v>47435</x:v>
      </x:c>
      <x:c r="B12275" s="0" t="s">
        <x:v>47436</x:v>
      </x:c>
      <x:c r="C12275" s="0" t="s">
        <x:v>42840</x:v>
      </x:c>
      <x:c r="E12275" s="0" t="s">
        <x:v>47437</x:v>
      </x:c>
      <x:c r="F12275" s="0" t="s">
        <x:v>45</x:v>
      </x:c>
      <x:c r="G12275" s="0" t="s">
        <x:v>22</x:v>
      </x:c>
      <x:c r="H12275" s="0" t="s">
        <x:v>20</x:v>
      </x:c>
      <x:c r="I12275" s="0" t="s">
        <x:v>21</x:v>
      </x:c>
      <x:c r="K12275" s="0">
        <x:f>hyperlink("https://icd.who.int/dev11/l-ichi/en#/http%3A%2F%2Fid.who.int%2Ficd%2Fentity%2F535060483","browser")</x:f>
      </x:c>
      <x:c r="L12275" s="0">
        <x:f>hyperlink("https://icat2.azurewebsites.net/icat/?ontology=ICD&amp;tab=ClassesTab&amp;id=http%3A%2F%2Fwho.int%2Ficd%23SpecificAnatomicLocation_2847","iCat")</x:f>
      </x:c>
      <x:c r="M12275" s="0" t="s">
        <x:v>21</x:v>
      </x:c>
      <x:c r="N12275" s="0" t="s">
        <x:v>46</x:v>
      </x:c>
    </x:row>
    <x:row r="12276" spans="1:16">
      <x:c r="A12276" s="0" t="s">
        <x:v>47438</x:v>
      </x:c>
      <x:c r="B12276" s="0" t="s">
        <x:v>47439</x:v>
      </x:c>
      <x:c r="C12276" s="0" t="s">
        <x:v>42840</x:v>
      </x:c>
      <x:c r="E12276" s="0" t="s">
        <x:v>47440</x:v>
      </x:c>
      <x:c r="F12276" s="0" t="s">
        <x:v>45</x:v>
      </x:c>
      <x:c r="G12276" s="0" t="s">
        <x:v>22</x:v>
      </x:c>
      <x:c r="H12276" s="0" t="s">
        <x:v>20</x:v>
      </x:c>
      <x:c r="I12276" s="0" t="s">
        <x:v>21</x:v>
      </x:c>
      <x:c r="K12276" s="0">
        <x:f>hyperlink("https://icd.who.int/dev11/l-ichi/en#/http%3A%2F%2Fid.who.int%2Ficd%2Fentity%2F147588291","browser")</x:f>
      </x:c>
      <x:c r="L12276" s="0">
        <x:f>hyperlink("https://icat2.azurewebsites.net/icat/?ontology=ICD&amp;tab=ClassesTab&amp;id=http%3A%2F%2Fwho.int%2Ficd%23SpecificAnatomicLocation_2846","iCat")</x:f>
      </x:c>
      <x:c r="M12276" s="0" t="s">
        <x:v>21</x:v>
      </x:c>
      <x:c r="N12276" s="0" t="s">
        <x:v>46</x:v>
      </x:c>
    </x:row>
    <x:row r="12277" spans="1:16">
      <x:c r="A12277" s="0" t="s">
        <x:v>47441</x:v>
      </x:c>
      <x:c r="B12277" s="0" t="s">
        <x:v>47442</x:v>
      </x:c>
      <x:c r="C12277" s="0" t="s">
        <x:v>42840</x:v>
      </x:c>
      <x:c r="E12277" s="0" t="s">
        <x:v>47443</x:v>
      </x:c>
      <x:c r="F12277" s="0" t="s">
        <x:v>45</x:v>
      </x:c>
      <x:c r="G12277" s="0" t="s">
        <x:v>35</x:v>
      </x:c>
      <x:c r="H12277" s="0" t="s">
        <x:v>20</x:v>
      </x:c>
      <x:c r="I12277" s="0" t="s">
        <x:v>21</x:v>
      </x:c>
      <x:c r="K12277" s="0">
        <x:f>hyperlink("https://icd.who.int/dev11/l-ichi/en#/http%3A%2F%2Fid.who.int%2Ficd%2Fentity%2F1939408265","browser")</x:f>
      </x:c>
      <x:c r="L12277" s="0">
        <x:f>hyperlink("https://icat2.azurewebsites.net/icat/?ontology=ICD&amp;tab=ClassesTab&amp;id=http%3A%2F%2Fwho.int%2Ficd%232105_d9027f82_5e3d_47a4_a6fe_3c65954dde3a","iCat")</x:f>
      </x:c>
      <x:c r="M12277" s="0" t="s">
        <x:v>21</x:v>
      </x:c>
      <x:c r="N12277" s="0" t="s">
        <x:v>46</x:v>
      </x:c>
    </x:row>
    <x:row r="12278" spans="1:16">
      <x:c r="A12278" s="0" t="s">
        <x:v>47444</x:v>
      </x:c>
      <x:c r="B12278" s="0" t="s">
        <x:v>47445</x:v>
      </x:c>
      <x:c r="C12278" s="0" t="s">
        <x:v>42840</x:v>
      </x:c>
      <x:c r="E12278" s="0" t="s">
        <x:v>47446</x:v>
      </x:c>
      <x:c r="F12278" s="0" t="s">
        <x:v>45</x:v>
      </x:c>
      <x:c r="G12278" s="0" t="s">
        <x:v>35</x:v>
      </x:c>
      <x:c r="H12278" s="0" t="s">
        <x:v>20</x:v>
      </x:c>
      <x:c r="I12278" s="0" t="s">
        <x:v>21</x:v>
      </x:c>
      <x:c r="K12278" s="0">
        <x:f>hyperlink("https://icd.who.int/dev11/l-ichi/en#/http%3A%2F%2Fid.who.int%2Ficd%2Fentity%2F228176074","browser")</x:f>
      </x:c>
      <x:c r="L12278" s="0">
        <x:f>hyperlink("https://icat2.azurewebsites.net/icat/?ontology=ICD&amp;tab=ClassesTab&amp;id=http%3A%2F%2Fwho.int%2Ficd%23SpecificAnatomicLocation_2838","iCat")</x:f>
      </x:c>
      <x:c r="M12278" s="0" t="s">
        <x:v>21</x:v>
      </x:c>
      <x:c r="N12278" s="0" t="s">
        <x:v>46</x:v>
      </x:c>
    </x:row>
    <x:row r="12279" spans="1:16">
      <x:c r="A12279" s="0" t="s">
        <x:v>47447</x:v>
      </x:c>
      <x:c r="B12279" s="0" t="s">
        <x:v>47448</x:v>
      </x:c>
      <x:c r="C12279" s="0" t="s">
        <x:v>42840</x:v>
      </x:c>
      <x:c r="E12279" s="0" t="s">
        <x:v>47449</x:v>
      </x:c>
      <x:c r="F12279" s="0" t="s">
        <x:v>45</x:v>
      </x:c>
      <x:c r="G12279" s="0" t="s">
        <x:v>35</x:v>
      </x:c>
      <x:c r="H12279" s="0" t="s">
        <x:v>20</x:v>
      </x:c>
      <x:c r="I12279" s="0" t="s">
        <x:v>21</x:v>
      </x:c>
      <x:c r="K12279" s="0">
        <x:f>hyperlink("https://icd.who.int/dev11/l-ichi/en#/http%3A%2F%2Fid.who.int%2Ficd%2Fentity%2F447861770","browser")</x:f>
      </x:c>
      <x:c r="L12279" s="0">
        <x:f>hyperlink("https://icat2.azurewebsites.net/icat/?ontology=ICD&amp;tab=ClassesTab&amp;id=http%3A%2F%2Fwho.int%2Ficd%23SpecificAnatomicLocation_2839","iCat")</x:f>
      </x:c>
      <x:c r="M12279" s="0" t="s">
        <x:v>21</x:v>
      </x:c>
      <x:c r="N12279" s="0" t="s">
        <x:v>46</x:v>
      </x:c>
    </x:row>
    <x:row r="12280" spans="1:16">
      <x:c r="A12280" s="0" t="s">
        <x:v>47450</x:v>
      </x:c>
      <x:c r="B12280" s="0" t="s">
        <x:v>47451</x:v>
      </x:c>
      <x:c r="C12280" s="0" t="s">
        <x:v>42840</x:v>
      </x:c>
      <x:c r="E12280" s="0" t="s">
        <x:v>47452</x:v>
      </x:c>
      <x:c r="F12280" s="0" t="s">
        <x:v>45</x:v>
      </x:c>
      <x:c r="G12280" s="0" t="s">
        <x:v>35</x:v>
      </x:c>
      <x:c r="H12280" s="0" t="s">
        <x:v>20</x:v>
      </x:c>
      <x:c r="I12280" s="0" t="s">
        <x:v>21</x:v>
      </x:c>
      <x:c r="K12280" s="0">
        <x:f>hyperlink("https://icd.who.int/dev11/l-ichi/en#/http%3A%2F%2Fid.who.int%2Ficd%2Fentity%2F788289398","browser")</x:f>
      </x:c>
      <x:c r="L12280" s="0">
        <x:f>hyperlink("https://icat2.azurewebsites.net/icat/?ontology=ICD&amp;tab=ClassesTab&amp;id=http%3A%2F%2Fwho.int%2Ficd%23SpecificAnatomicLocation_2837","iCat")</x:f>
      </x:c>
      <x:c r="M12280" s="0" t="s">
        <x:v>21</x:v>
      </x:c>
      <x:c r="N12280" s="0" t="s">
        <x:v>46</x:v>
      </x:c>
    </x:row>
    <x:row r="12281" spans="1:16">
      <x:c r="A12281" s="0" t="s">
        <x:v>47453</x:v>
      </x:c>
      <x:c r="B12281" s="0" t="s">
        <x:v>47454</x:v>
      </x:c>
      <x:c r="C12281" s="0" t="s">
        <x:v>42840</x:v>
      </x:c>
      <x:c r="E12281" s="0" t="s">
        <x:v>47455</x:v>
      </x:c>
      <x:c r="F12281" s="0" t="s">
        <x:v>45</x:v>
      </x:c>
      <x:c r="G12281" s="0" t="s">
        <x:v>35</x:v>
      </x:c>
      <x:c r="H12281" s="0" t="s">
        <x:v>20</x:v>
      </x:c>
      <x:c r="I12281" s="0" t="s">
        <x:v>21</x:v>
      </x:c>
      <x:c r="K12281" s="0">
        <x:f>hyperlink("https://icd.who.int/dev11/l-ichi/en#/http%3A%2F%2Fid.who.int%2Ficd%2Fentity%2F1132702957","browser")</x:f>
      </x:c>
      <x:c r="L12281" s="0">
        <x:f>hyperlink("https://icat2.azurewebsites.net/icat/?ontology=ICD&amp;tab=ClassesTab&amp;id=http%3A%2F%2Fwho.int%2Ficd%232006_d9027f82_5e3d_47a4_a6fe_3c65954dde3a","iCat")</x:f>
      </x:c>
      <x:c r="M12281" s="0" t="s">
        <x:v>21</x:v>
      </x:c>
      <x:c r="N12281" s="0" t="s">
        <x:v>46</x:v>
      </x:c>
    </x:row>
    <x:row r="12282" spans="1:16">
      <x:c r="A12282" s="0" t="s">
        <x:v>47456</x:v>
      </x:c>
      <x:c r="B12282" s="0" t="s">
        <x:v>47457</x:v>
      </x:c>
      <x:c r="C12282" s="0" t="s">
        <x:v>42840</x:v>
      </x:c>
      <x:c r="E12282" s="0" t="s">
        <x:v>47458</x:v>
      </x:c>
      <x:c r="F12282" s="0" t="s">
        <x:v>45</x:v>
      </x:c>
      <x:c r="G12282" s="0" t="s">
        <x:v>19</x:v>
      </x:c>
      <x:c r="H12282" s="0" t="s">
        <x:v>20</x:v>
      </x:c>
      <x:c r="I12282" s="0" t="s">
        <x:v>21</x:v>
      </x:c>
      <x:c r="K12282" s="0">
        <x:f>hyperlink("https://icd.who.int/dev11/l-ichi/en#/http%3A%2F%2Fid.who.int%2Ficd%2Fentity%2F970208182","browser")</x:f>
      </x:c>
      <x:c r="L12282" s="0">
        <x:f>hyperlink("https://icat2.azurewebsites.net/icat/?ontology=ICD&amp;tab=ClassesTab&amp;id=http%3A%2F%2Fwho.int%2Ficd%23SpecificAnatomicLocation_2836","iCat")</x:f>
      </x:c>
      <x:c r="M12282" s="0" t="s">
        <x:v>20</x:v>
      </x:c>
      <x:c r="N12282" s="0" t="s">
        <x:v>7190</x:v>
      </x:c>
    </x:row>
    <x:row r="12283" spans="1:16">
      <x:c r="A12283" s="0" t="s">
        <x:v>47459</x:v>
      </x:c>
      <x:c r="B12283" s="0" t="s">
        <x:v>47460</x:v>
      </x:c>
      <x:c r="C12283" s="0" t="s">
        <x:v>42840</x:v>
      </x:c>
      <x:c r="E12283" s="0" t="s">
        <x:v>47461</x:v>
      </x:c>
      <x:c r="F12283" s="0" t="s">
        <x:v>45</x:v>
      </x:c>
      <x:c r="G12283" s="0" t="s">
        <x:v>30</x:v>
      </x:c>
      <x:c r="H12283" s="0" t="s">
        <x:v>20</x:v>
      </x:c>
      <x:c r="I12283" s="0" t="s">
        <x:v>21</x:v>
      </x:c>
      <x:c r="K12283" s="0">
        <x:f>hyperlink("https://icd.who.int/dev11/l-ichi/en#/http%3A%2F%2Fid.who.int%2Ficd%2Fentity%2F137913477","browser")</x:f>
      </x:c>
      <x:c r="L12283" s="0">
        <x:f>hyperlink("https://icat2.azurewebsites.net/icat/?ontology=ICD&amp;tab=ClassesTab&amp;id=http%3A%2F%2Fwho.int%2Ficd%23SpecificAnatomicLocation_2817","iCat")</x:f>
      </x:c>
      <x:c r="M12283" s="0" t="s">
        <x:v>21</x:v>
      </x:c>
      <x:c r="N12283" s="0" t="s">
        <x:v>46</x:v>
      </x:c>
    </x:row>
    <x:row r="12284" spans="1:16">
      <x:c r="A12284" s="0" t="s">
        <x:v>47462</x:v>
      </x:c>
      <x:c r="B12284" s="0" t="s">
        <x:v>47463</x:v>
      </x:c>
      <x:c r="C12284" s="0" t="s">
        <x:v>42840</x:v>
      </x:c>
      <x:c r="E12284" s="0" t="s">
        <x:v>47464</x:v>
      </x:c>
      <x:c r="F12284" s="0" t="s">
        <x:v>45</x:v>
      </x:c>
      <x:c r="G12284" s="0" t="s">
        <x:v>30</x:v>
      </x:c>
      <x:c r="H12284" s="0" t="s">
        <x:v>20</x:v>
      </x:c>
      <x:c r="I12284" s="0" t="s">
        <x:v>21</x:v>
      </x:c>
      <x:c r="K12284" s="0">
        <x:f>hyperlink("https://icd.who.int/dev11/l-ichi/en#/http%3A%2F%2Fid.who.int%2Ficd%2Fentity%2F727548731","browser")</x:f>
      </x:c>
      <x:c r="L12284" s="0">
        <x:f>hyperlink("https://icat2.azurewebsites.net/icat/?ontology=ICD&amp;tab=ClassesTab&amp;id=http%3A%2F%2Fwho.int%2Ficd%23SpecificAnatomicLocation_2818","iCat")</x:f>
      </x:c>
      <x:c r="M12284" s="0" t="s">
        <x:v>21</x:v>
      </x:c>
      <x:c r="N12284" s="0" t="s">
        <x:v>46</x:v>
      </x:c>
    </x:row>
    <x:row r="12285" spans="1:16">
      <x:c r="A12285" s="0" t="s">
        <x:v>47465</x:v>
      </x:c>
      <x:c r="B12285" s="0" t="s">
        <x:v>47466</x:v>
      </x:c>
      <x:c r="C12285" s="0" t="s">
        <x:v>42840</x:v>
      </x:c>
      <x:c r="E12285" s="0" t="s">
        <x:v>47467</x:v>
      </x:c>
      <x:c r="F12285" s="0" t="s">
        <x:v>45</x:v>
      </x:c>
      <x:c r="G12285" s="0" t="s">
        <x:v>30</x:v>
      </x:c>
      <x:c r="H12285" s="0" t="s">
        <x:v>20</x:v>
      </x:c>
      <x:c r="I12285" s="0" t="s">
        <x:v>21</x:v>
      </x:c>
      <x:c r="K12285" s="0">
        <x:f>hyperlink("https://icd.who.int/dev11/l-ichi/en#/http%3A%2F%2Fid.who.int%2Ficd%2Fentity%2F475461985","browser")</x:f>
      </x:c>
      <x:c r="L12285" s="0">
        <x:f>hyperlink("https://icat2.azurewebsites.net/icat/?ontology=ICD&amp;tab=ClassesTab&amp;id=http%3A%2F%2Fwho.int%2Ficd%23SpecificAnatomicLocation_2792","iCat")</x:f>
      </x:c>
      <x:c r="M12285" s="0" t="s">
        <x:v>21</x:v>
      </x:c>
      <x:c r="N12285" s="0" t="s">
        <x:v>46</x:v>
      </x:c>
    </x:row>
    <x:row r="12286" spans="1:16">
      <x:c r="A12286" s="0" t="s">
        <x:v>47468</x:v>
      </x:c>
      <x:c r="B12286" s="0" t="s">
        <x:v>47469</x:v>
      </x:c>
      <x:c r="C12286" s="0" t="s">
        <x:v>42840</x:v>
      </x:c>
      <x:c r="E12286" s="0" t="s">
        <x:v>47470</x:v>
      </x:c>
      <x:c r="F12286" s="0" t="s">
        <x:v>45</x:v>
      </x:c>
      <x:c r="G12286" s="0" t="s">
        <x:v>30</x:v>
      </x:c>
      <x:c r="H12286" s="0" t="s">
        <x:v>20</x:v>
      </x:c>
      <x:c r="I12286" s="0" t="s">
        <x:v>21</x:v>
      </x:c>
      <x:c r="K12286" s="0">
        <x:f>hyperlink("https://icd.who.int/dev11/l-ichi/en#/http%3A%2F%2Fid.who.int%2Ficd%2Fentity%2F623793185","browser")</x:f>
      </x:c>
      <x:c r="L12286" s="0">
        <x:f>hyperlink("https://icat2.azurewebsites.net/icat/?ontology=ICD&amp;tab=ClassesTab&amp;id=http%3A%2F%2Fwho.int%2Ficd%23SpecificAnatomicLocation_2791","iCat")</x:f>
      </x:c>
      <x:c r="M12286" s="0" t="s">
        <x:v>21</x:v>
      </x:c>
      <x:c r="N12286" s="0" t="s">
        <x:v>46</x:v>
      </x:c>
    </x:row>
    <x:row r="12287" spans="1:16">
      <x:c r="A12287" s="0" t="s">
        <x:v>47471</x:v>
      </x:c>
      <x:c r="B12287" s="0" t="s">
        <x:v>47472</x:v>
      </x:c>
      <x:c r="C12287" s="0" t="s">
        <x:v>42840</x:v>
      </x:c>
      <x:c r="E12287" s="0" t="s">
        <x:v>47473</x:v>
      </x:c>
      <x:c r="F12287" s="0" t="s">
        <x:v>45</x:v>
      </x:c>
      <x:c r="G12287" s="0" t="s">
        <x:v>30</x:v>
      </x:c>
      <x:c r="H12287" s="0" t="s">
        <x:v>20</x:v>
      </x:c>
      <x:c r="I12287" s="0" t="s">
        <x:v>21</x:v>
      </x:c>
      <x:c r="K12287" s="0">
        <x:f>hyperlink("https://icd.who.int/dev11/l-ichi/en#/http%3A%2F%2Fid.who.int%2Ficd%2Fentity%2F1474236065","browser")</x:f>
      </x:c>
      <x:c r="L12287" s="0">
        <x:f>hyperlink("https://icat2.azurewebsites.net/icat/?ontology=ICD&amp;tab=ClassesTab&amp;id=http%3A%2F%2Fwho.int%2Ficd%23SpecificAnatomicLocation_2797","iCat")</x:f>
      </x:c>
      <x:c r="M12287" s="0" t="s">
        <x:v>21</x:v>
      </x:c>
      <x:c r="N12287" s="0" t="s">
        <x:v>46</x:v>
      </x:c>
    </x:row>
    <x:row r="12288" spans="1:16">
      <x:c r="A12288" s="0" t="s">
        <x:v>47474</x:v>
      </x:c>
      <x:c r="B12288" s="0" t="s">
        <x:v>47475</x:v>
      </x:c>
      <x:c r="C12288" s="0" t="s">
        <x:v>42840</x:v>
      </x:c>
      <x:c r="E12288" s="0" t="s">
        <x:v>47476</x:v>
      </x:c>
      <x:c r="F12288" s="0" t="s">
        <x:v>45</x:v>
      </x:c>
      <x:c r="G12288" s="0" t="s">
        <x:v>30</x:v>
      </x:c>
      <x:c r="H12288" s="0" t="s">
        <x:v>20</x:v>
      </x:c>
      <x:c r="I12288" s="0" t="s">
        <x:v>21</x:v>
      </x:c>
      <x:c r="K12288" s="0">
        <x:f>hyperlink("https://icd.who.int/dev11/l-ichi/en#/http%3A%2F%2Fid.who.int%2Ficd%2Fentity%2F491263750","browser")</x:f>
      </x:c>
      <x:c r="L12288" s="0">
        <x:f>hyperlink("https://icat2.azurewebsites.net/icat/?ontology=ICD&amp;tab=ClassesTab&amp;id=http%3A%2F%2Fwho.int%2Ficd%23SpecificAnatomicLocation_2789","iCat")</x:f>
      </x:c>
      <x:c r="M12288" s="0" t="s">
        <x:v>21</x:v>
      </x:c>
      <x:c r="N12288" s="0" t="s">
        <x:v>46</x:v>
      </x:c>
    </x:row>
    <x:row r="12289" spans="1:16">
      <x:c r="A12289" s="0" t="s">
        <x:v>47477</x:v>
      </x:c>
      <x:c r="B12289" s="0" t="s">
        <x:v>47478</x:v>
      </x:c>
      <x:c r="C12289" s="0" t="s">
        <x:v>42840</x:v>
      </x:c>
      <x:c r="E12289" s="0" t="s">
        <x:v>47479</x:v>
      </x:c>
      <x:c r="F12289" s="0" t="s">
        <x:v>45</x:v>
      </x:c>
      <x:c r="G12289" s="0" t="s">
        <x:v>30</x:v>
      </x:c>
      <x:c r="H12289" s="0" t="s">
        <x:v>20</x:v>
      </x:c>
      <x:c r="I12289" s="0" t="s">
        <x:v>21</x:v>
      </x:c>
      <x:c r="K12289" s="0">
        <x:f>hyperlink("https://icd.who.int/dev11/l-ichi/en#/http%3A%2F%2Fid.who.int%2Ficd%2Fentity%2F1856480225","browser")</x:f>
      </x:c>
      <x:c r="L12289" s="0">
        <x:f>hyperlink("https://icat2.azurewebsites.net/icat/?ontology=ICD&amp;tab=ClassesTab&amp;id=http%3A%2F%2Fwho.int%2Ficd%23SpecificAnatomicLocation_2794","iCat")</x:f>
      </x:c>
      <x:c r="M12289" s="0" t="s">
        <x:v>21</x:v>
      </x:c>
      <x:c r="N12289" s="0" t="s">
        <x:v>46</x:v>
      </x:c>
    </x:row>
    <x:row r="12290" spans="1:16">
      <x:c r="A12290" s="0" t="s">
        <x:v>47480</x:v>
      </x:c>
      <x:c r="B12290" s="0" t="s">
        <x:v>47481</x:v>
      </x:c>
      <x:c r="C12290" s="0" t="s">
        <x:v>42840</x:v>
      </x:c>
      <x:c r="E12290" s="0" t="s">
        <x:v>47482</x:v>
      </x:c>
      <x:c r="F12290" s="0" t="s">
        <x:v>45</x:v>
      </x:c>
      <x:c r="G12290" s="0" t="s">
        <x:v>30</x:v>
      </x:c>
      <x:c r="H12290" s="0" t="s">
        <x:v>20</x:v>
      </x:c>
      <x:c r="I12290" s="0" t="s">
        <x:v>21</x:v>
      </x:c>
      <x:c r="K12290" s="0">
        <x:f>hyperlink("https://icd.who.int/dev11/l-ichi/en#/http%3A%2F%2Fid.who.int%2Ficd%2Fentity%2F2039465761","browser")</x:f>
      </x:c>
      <x:c r="L12290" s="0">
        <x:f>hyperlink("https://icat2.azurewebsites.net/icat/?ontology=ICD&amp;tab=ClassesTab&amp;id=http%3A%2F%2Fwho.int%2Ficd%23SpecificAnatomicLocation_2795","iCat")</x:f>
      </x:c>
      <x:c r="M12290" s="0" t="s">
        <x:v>21</x:v>
      </x:c>
      <x:c r="N12290" s="0" t="s">
        <x:v>46</x:v>
      </x:c>
    </x:row>
    <x:row r="12291" spans="1:16">
      <x:c r="A12291" s="0" t="s">
        <x:v>47483</x:v>
      </x:c>
      <x:c r="B12291" s="0" t="s">
        <x:v>47484</x:v>
      </x:c>
      <x:c r="C12291" s="0" t="s">
        <x:v>42840</x:v>
      </x:c>
      <x:c r="E12291" s="0" t="s">
        <x:v>47485</x:v>
      </x:c>
      <x:c r="F12291" s="0" t="s">
        <x:v>45</x:v>
      </x:c>
      <x:c r="G12291" s="0" t="s">
        <x:v>30</x:v>
      </x:c>
      <x:c r="H12291" s="0" t="s">
        <x:v>20</x:v>
      </x:c>
      <x:c r="I12291" s="0" t="s">
        <x:v>21</x:v>
      </x:c>
      <x:c r="K12291" s="0">
        <x:f>hyperlink("https://icd.who.int/dev11/l-ichi/en#/http%3A%2F%2Fid.who.int%2Ficd%2Fentity%2F123035130","browser")</x:f>
      </x:c>
      <x:c r="L12291" s="0">
        <x:f>hyperlink("https://icat2.azurewebsites.net/icat/?ontology=ICD&amp;tab=ClassesTab&amp;id=http%3A%2F%2Fwho.int%2Ficd%23SpecificAnatomicLocation_2785","iCat")</x:f>
      </x:c>
      <x:c r="M12291" s="0" t="s">
        <x:v>21</x:v>
      </x:c>
      <x:c r="N12291" s="0" t="s">
        <x:v>46</x:v>
      </x:c>
    </x:row>
    <x:row r="12292" spans="1:16">
      <x:c r="A12292" s="0" t="s">
        <x:v>47486</x:v>
      </x:c>
      <x:c r="B12292" s="0" t="s">
        <x:v>47487</x:v>
      </x:c>
      <x:c r="C12292" s="0" t="s">
        <x:v>42840</x:v>
      </x:c>
      <x:c r="E12292" s="0" t="s">
        <x:v>47488</x:v>
      </x:c>
      <x:c r="F12292" s="0" t="s">
        <x:v>45</x:v>
      </x:c>
      <x:c r="G12292" s="0" t="s">
        <x:v>30</x:v>
      </x:c>
      <x:c r="H12292" s="0" t="s">
        <x:v>20</x:v>
      </x:c>
      <x:c r="I12292" s="0" t="s">
        <x:v>21</x:v>
      </x:c>
      <x:c r="K12292" s="0">
        <x:f>hyperlink("https://icd.who.int/dev11/l-ichi/en#/http%3A%2F%2Fid.who.int%2Ficd%2Fentity%2F839266529","browser")</x:f>
      </x:c>
      <x:c r="L12292" s="0">
        <x:f>hyperlink("https://icat2.azurewebsites.net/icat/?ontology=ICD&amp;tab=ClassesTab&amp;id=http%3A%2F%2Fwho.int%2Ficd%23SpecificAnatomicLocation_2790","iCat")</x:f>
      </x:c>
      <x:c r="M12292" s="0" t="s">
        <x:v>21</x:v>
      </x:c>
      <x:c r="N12292" s="0" t="s">
        <x:v>46</x:v>
      </x:c>
    </x:row>
    <x:row r="12293" spans="1:16">
      <x:c r="A12293" s="0" t="s">
        <x:v>47489</x:v>
      </x:c>
      <x:c r="B12293" s="0" t="s">
        <x:v>47490</x:v>
      </x:c>
      <x:c r="C12293" s="0" t="s">
        <x:v>42840</x:v>
      </x:c>
      <x:c r="E12293" s="0" t="s">
        <x:v>47491</x:v>
      </x:c>
      <x:c r="F12293" s="0" t="s">
        <x:v>45</x:v>
      </x:c>
      <x:c r="G12293" s="0" t="s">
        <x:v>30</x:v>
      </x:c>
      <x:c r="H12293" s="0" t="s">
        <x:v>20</x:v>
      </x:c>
      <x:c r="I12293" s="0" t="s">
        <x:v>21</x:v>
      </x:c>
      <x:c r="K12293" s="0">
        <x:f>hyperlink("https://icd.who.int/dev11/l-ichi/en#/http%3A%2F%2Fid.who.int%2Ficd%2Fentity%2F174093254","browser")</x:f>
      </x:c>
      <x:c r="L12293" s="0">
        <x:f>hyperlink("https://icat2.azurewebsites.net/icat/?ontology=ICD&amp;tab=ClassesTab&amp;id=http%3A%2F%2Fwho.int%2Ficd%23SpecificAnatomicLocation_2788","iCat")</x:f>
      </x:c>
      <x:c r="M12293" s="0" t="s">
        <x:v>21</x:v>
      </x:c>
      <x:c r="N12293" s="0" t="s">
        <x:v>46</x:v>
      </x:c>
    </x:row>
    <x:row r="12294" spans="1:16">
      <x:c r="A12294" s="0" t="s">
        <x:v>47492</x:v>
      </x:c>
      <x:c r="B12294" s="0" t="s">
        <x:v>47493</x:v>
      </x:c>
      <x:c r="C12294" s="0" t="s">
        <x:v>42840</x:v>
      </x:c>
      <x:c r="E12294" s="0" t="s">
        <x:v>47494</x:v>
      </x:c>
      <x:c r="F12294" s="0" t="s">
        <x:v>45</x:v>
      </x:c>
      <x:c r="G12294" s="0" t="s">
        <x:v>30</x:v>
      </x:c>
      <x:c r="H12294" s="0" t="s">
        <x:v>20</x:v>
      </x:c>
      <x:c r="I12294" s="0" t="s">
        <x:v>21</x:v>
      </x:c>
      <x:c r="K12294" s="0">
        <x:f>hyperlink("https://icd.who.int/dev11/l-ichi/en#/http%3A%2F%2Fid.who.int%2Ficd%2Fentity%2F688231546","browser")</x:f>
      </x:c>
      <x:c r="L12294" s="0">
        <x:f>hyperlink("https://icat2.azurewebsites.net/icat/?ontology=ICD&amp;tab=ClassesTab&amp;id=http%3A%2F%2Fwho.int%2Ficd%23SpecificAnatomicLocation_2787","iCat")</x:f>
      </x:c>
      <x:c r="M12294" s="0" t="s">
        <x:v>21</x:v>
      </x:c>
      <x:c r="N12294" s="0" t="s">
        <x:v>46</x:v>
      </x:c>
    </x:row>
    <x:row r="12295" spans="1:16">
      <x:c r="A12295" s="0" t="s">
        <x:v>47495</x:v>
      </x:c>
      <x:c r="B12295" s="0" t="s">
        <x:v>47496</x:v>
      </x:c>
      <x:c r="C12295" s="0" t="s">
        <x:v>42840</x:v>
      </x:c>
      <x:c r="E12295" s="0" t="s">
        <x:v>47497</x:v>
      </x:c>
      <x:c r="F12295" s="0" t="s">
        <x:v>45</x:v>
      </x:c>
      <x:c r="G12295" s="0" t="s">
        <x:v>30</x:v>
      </x:c>
      <x:c r="H12295" s="0" t="s">
        <x:v>20</x:v>
      </x:c>
      <x:c r="I12295" s="0" t="s">
        <x:v>21</x:v>
      </x:c>
      <x:c r="K12295" s="0">
        <x:f>hyperlink("https://icd.who.int/dev11/l-ichi/en#/http%3A%2F%2Fid.who.int%2Ficd%2Fentity%2F1670548959","browser")</x:f>
      </x:c>
      <x:c r="L12295" s="0">
        <x:f>hyperlink("https://icat2.azurewebsites.net/icat/?ontology=ICD&amp;tab=ClassesTab&amp;id=http%3A%2F%2Fwho.int%2Ficd%23SpecificAnatomicLocation_2799","iCat")</x:f>
      </x:c>
      <x:c r="M12295" s="0" t="s">
        <x:v>21</x:v>
      </x:c>
      <x:c r="N12295" s="0" t="s">
        <x:v>46</x:v>
      </x:c>
    </x:row>
    <x:row r="12296" spans="1:16">
      <x:c r="A12296" s="0" t="s">
        <x:v>47498</x:v>
      </x:c>
      <x:c r="B12296" s="0" t="s">
        <x:v>47499</x:v>
      </x:c>
      <x:c r="C12296" s="0" t="s">
        <x:v>42840</x:v>
      </x:c>
      <x:c r="E12296" s="0" t="s">
        <x:v>47500</x:v>
      </x:c>
      <x:c r="F12296" s="0" t="s">
        <x:v>45</x:v>
      </x:c>
      <x:c r="G12296" s="0" t="s">
        <x:v>30</x:v>
      </x:c>
      <x:c r="H12296" s="0" t="s">
        <x:v>20</x:v>
      </x:c>
      <x:c r="I12296" s="0" t="s">
        <x:v>21</x:v>
      </x:c>
      <x:c r="K12296" s="0">
        <x:f>hyperlink("https://icd.who.int/dev11/l-ichi/en#/http%3A%2F%2Fid.who.int%2Ficd%2Fentity%2F322682910","browser")</x:f>
      </x:c>
      <x:c r="L12296" s="0">
        <x:f>hyperlink("https://icat2.azurewebsites.net/icat/?ontology=ICD&amp;tab=ClassesTab&amp;id=http%3A%2F%2Fwho.int%2Ficd%23SpecificAnatomicLocation_2800","iCat")</x:f>
      </x:c>
      <x:c r="M12296" s="0" t="s">
        <x:v>21</x:v>
      </x:c>
      <x:c r="N12296" s="0" t="s">
        <x:v>46</x:v>
      </x:c>
    </x:row>
    <x:row r="12297" spans="1:16">
      <x:c r="A12297" s="0" t="s">
        <x:v>47501</x:v>
      </x:c>
      <x:c r="B12297" s="0" t="s">
        <x:v>47502</x:v>
      </x:c>
      <x:c r="C12297" s="0" t="s">
        <x:v>42840</x:v>
      </x:c>
      <x:c r="E12297" s="0" t="s">
        <x:v>47503</x:v>
      </x:c>
      <x:c r="F12297" s="0" t="s">
        <x:v>45</x:v>
      </x:c>
      <x:c r="G12297" s="0" t="s">
        <x:v>30</x:v>
      </x:c>
      <x:c r="H12297" s="0" t="s">
        <x:v>20</x:v>
      </x:c>
      <x:c r="I12297" s="0" t="s">
        <x:v>21</x:v>
      </x:c>
      <x:c r="K12297" s="0">
        <x:f>hyperlink("https://icd.who.int/dev11/l-ichi/en#/http%3A%2F%2Fid.who.int%2Ficd%2Fentity%2F1043198138","browser")</x:f>
      </x:c>
      <x:c r="L12297" s="0">
        <x:f>hyperlink("https://icat2.azurewebsites.net/icat/?ontology=ICD&amp;tab=ClassesTab&amp;id=http%3A%2F%2Fwho.int%2Ficd%23SpecificAnatomicLocation_2786","iCat")</x:f>
      </x:c>
      <x:c r="M12297" s="0" t="s">
        <x:v>21</x:v>
      </x:c>
      <x:c r="N12297" s="0" t="s">
        <x:v>46</x:v>
      </x:c>
    </x:row>
    <x:row r="12298" spans="1:16">
      <x:c r="A12298" s="0" t="s">
        <x:v>47504</x:v>
      </x:c>
      <x:c r="B12298" s="0" t="s">
        <x:v>47505</x:v>
      </x:c>
      <x:c r="C12298" s="0" t="s">
        <x:v>42840</x:v>
      </x:c>
      <x:c r="E12298" s="0" t="s">
        <x:v>47506</x:v>
      </x:c>
      <x:c r="F12298" s="0" t="s">
        <x:v>45</x:v>
      </x:c>
      <x:c r="G12298" s="0" t="s">
        <x:v>30</x:v>
      </x:c>
      <x:c r="H12298" s="0" t="s">
        <x:v>20</x:v>
      </x:c>
      <x:c r="I12298" s="0" t="s">
        <x:v>21</x:v>
      </x:c>
      <x:c r="K12298" s="0">
        <x:f>hyperlink("https://icd.who.int/dev11/l-ichi/en#/http%3A%2F%2Fid.who.int%2Ficd%2Fentity%2F192847265","browser")</x:f>
      </x:c>
      <x:c r="L12298" s="0">
        <x:f>hyperlink("https://icat2.azurewebsites.net/icat/?ontology=ICD&amp;tab=ClassesTab&amp;id=http%3A%2F%2Fwho.int%2Ficd%23SpecificAnatomicLocation_2793","iCat")</x:f>
      </x:c>
      <x:c r="M12298" s="0" t="s">
        <x:v>21</x:v>
      </x:c>
      <x:c r="N12298" s="0" t="s">
        <x:v>46</x:v>
      </x:c>
    </x:row>
    <x:row r="12299" spans="1:16">
      <x:c r="A12299" s="0" t="s">
        <x:v>47507</x:v>
      </x:c>
      <x:c r="B12299" s="0" t="s">
        <x:v>47508</x:v>
      </x:c>
      <x:c r="C12299" s="0" t="s">
        <x:v>42840</x:v>
      </x:c>
      <x:c r="E12299" s="0" t="s">
        <x:v>47509</x:v>
      </x:c>
      <x:c r="F12299" s="0" t="s">
        <x:v>45</x:v>
      </x:c>
      <x:c r="G12299" s="0" t="s">
        <x:v>30</x:v>
      </x:c>
      <x:c r="H12299" s="0" t="s">
        <x:v>20</x:v>
      </x:c>
      <x:c r="I12299" s="0" t="s">
        <x:v>21</x:v>
      </x:c>
      <x:c r="K12299" s="0">
        <x:f>hyperlink("https://icd.who.int/dev11/l-ichi/en#/http%3A%2F%2Fid.who.int%2Ficd%2Fentity%2F254553021","browser")</x:f>
      </x:c>
      <x:c r="L12299" s="0">
        <x:f>hyperlink("https://icat2.azurewebsites.net/icat/?ontology=ICD&amp;tab=ClassesTab&amp;id=http%3A%2F%2Fwho.int%2Ficd%234564_16e67c35_8b57_40bb_9220_818553425a8c","iCat")</x:f>
      </x:c>
      <x:c r="M12299" s="0" t="s">
        <x:v>20</x:v>
      </x:c>
      <x:c r="N12299" s="0" t="s">
        <x:v>40</x:v>
      </x:c>
    </x:row>
    <x:row r="12300" spans="1:16">
      <x:c r="A12300" s="0" t="s">
        <x:v>47510</x:v>
      </x:c>
      <x:c r="B12300" s="0" t="s">
        <x:v>47511</x:v>
      </x:c>
      <x:c r="C12300" s="0" t="s">
        <x:v>42840</x:v>
      </x:c>
      <x:c r="E12300" s="0" t="s">
        <x:v>47512</x:v>
      </x:c>
      <x:c r="F12300" s="0" t="s">
        <x:v>45</x:v>
      </x:c>
      <x:c r="G12300" s="0" t="s">
        <x:v>35</x:v>
      </x:c>
      <x:c r="H12300" s="0" t="s">
        <x:v>20</x:v>
      </x:c>
      <x:c r="I12300" s="0" t="s">
        <x:v>21</x:v>
      </x:c>
      <x:c r="K12300" s="0">
        <x:f>hyperlink("https://icd.who.int/dev11/l-ichi/en#/http%3A%2F%2Fid.who.int%2Ficd%2Fentity%2F1344720301","browser")</x:f>
      </x:c>
      <x:c r="L12300" s="0">
        <x:f>hyperlink("https://icat2.azurewebsites.net/icat/?ontology=ICD&amp;tab=ClassesTab&amp;id=http%3A%2F%2Fwho.int%2Ficd%23SpecificAnatomicLocation_2827","iCat")</x:f>
      </x:c>
      <x:c r="M12300" s="0" t="s">
        <x:v>21</x:v>
      </x:c>
      <x:c r="N12300" s="0" t="s">
        <x:v>46</x:v>
      </x:c>
    </x:row>
    <x:row r="12301" spans="1:16">
      <x:c r="A12301" s="0" t="s">
        <x:v>47513</x:v>
      </x:c>
      <x:c r="B12301" s="0" t="s">
        <x:v>47514</x:v>
      </x:c>
      <x:c r="C12301" s="0" t="s">
        <x:v>42840</x:v>
      </x:c>
      <x:c r="E12301" s="0" t="s">
        <x:v>47515</x:v>
      </x:c>
      <x:c r="F12301" s="0" t="s">
        <x:v>45</x:v>
      </x:c>
      <x:c r="G12301" s="0" t="s">
        <x:v>35</x:v>
      </x:c>
      <x:c r="H12301" s="0" t="s">
        <x:v>20</x:v>
      </x:c>
      <x:c r="I12301" s="0" t="s">
        <x:v>21</x:v>
      </x:c>
      <x:c r="K12301" s="0">
        <x:f>hyperlink("https://icd.who.int/dev11/l-ichi/en#/http%3A%2F%2Fid.who.int%2Ficd%2Fentity%2F639639920","browser")</x:f>
      </x:c>
      <x:c r="L12301" s="0">
        <x:f>hyperlink("https://icat2.azurewebsites.net/icat/?ontology=ICD&amp;tab=ClassesTab&amp;id=http%3A%2F%2Fwho.int%2Ficd%231960_d9027f82_5e3d_47a4_a6fe_3c65954dde3a","iCat")</x:f>
      </x:c>
      <x:c r="M12301" s="0" t="s">
        <x:v>20</x:v>
      </x:c>
      <x:c r="N12301" s="0" t="s">
        <x:v>35</x:v>
      </x:c>
    </x:row>
    <x:row r="12302" spans="1:16">
      <x:c r="A12302" s="0" t="s">
        <x:v>47516</x:v>
      </x:c>
      <x:c r="B12302" s="0" t="s">
        <x:v>47517</x:v>
      </x:c>
      <x:c r="C12302" s="0" t="s">
        <x:v>42840</x:v>
      </x:c>
      <x:c r="E12302" s="0" t="s">
        <x:v>47518</x:v>
      </x:c>
      <x:c r="F12302" s="0" t="s">
        <x:v>45</x:v>
      </x:c>
      <x:c r="G12302" s="0" t="s">
        <x:v>22</x:v>
      </x:c>
      <x:c r="H12302" s="0" t="s">
        <x:v>20</x:v>
      </x:c>
      <x:c r="I12302" s="0" t="s">
        <x:v>21</x:v>
      </x:c>
      <x:c r="K12302" s="0">
        <x:f>hyperlink("https://icd.who.int/dev11/l-ichi/en#/http%3A%2F%2Fid.who.int%2Ficd%2Fentity%2F2121663533","browser")</x:f>
      </x:c>
      <x:c r="L12302" s="0">
        <x:f>hyperlink("https://icat2.azurewebsites.net/icat/?ontology=ICD&amp;tab=ClassesTab&amp;id=http%3A%2F%2Fwho.int%2Ficd%23SpecificAnatomicLocation_2825","iCat")</x:f>
      </x:c>
      <x:c r="M12302" s="0" t="s">
        <x:v>20</x:v>
      </x:c>
      <x:c r="N12302" s="0" t="s">
        <x:v>35</x:v>
      </x:c>
    </x:row>
    <x:row r="12303" spans="1:16">
      <x:c r="A12303" s="0" t="s">
        <x:v>47519</x:v>
      </x:c>
      <x:c r="B12303" s="0" t="s">
        <x:v>47520</x:v>
      </x:c>
      <x:c r="C12303" s="0" t="s">
        <x:v>42840</x:v>
      </x:c>
      <x:c r="E12303" s="0" t="s">
        <x:v>47521</x:v>
      </x:c>
      <x:c r="F12303" s="0" t="s">
        <x:v>45</x:v>
      </x:c>
      <x:c r="G12303" s="0" t="s">
        <x:v>40</x:v>
      </x:c>
      <x:c r="H12303" s="0" t="s">
        <x:v>20</x:v>
      </x:c>
      <x:c r="I12303" s="0" t="s">
        <x:v>21</x:v>
      </x:c>
      <x:c r="K12303" s="0">
        <x:f>hyperlink("https://icd.who.int/dev11/l-ichi/en#/http%3A%2F%2Fid.who.int%2Ficd%2Fentity%2F1767792877","browser")</x:f>
      </x:c>
      <x:c r="L12303" s="0">
        <x:f>hyperlink("https://icat2.azurewebsites.net/icat/?ontology=ICD&amp;tab=ClassesTab&amp;id=http%3A%2F%2Fwho.int%2Ficd%23SpecificAnatomicLocation_2824","iCat")</x:f>
      </x:c>
      <x:c r="M12303" s="0" t="s">
        <x:v>20</x:v>
      </x:c>
      <x:c r="N12303" s="0" t="s">
        <x:v>35</x:v>
      </x:c>
    </x:row>
    <x:row r="12304" spans="1:16">
      <x:c r="A12304" s="0" t="s">
        <x:v>47522</x:v>
      </x:c>
      <x:c r="B12304" s="0" t="s">
        <x:v>47523</x:v>
      </x:c>
      <x:c r="C12304" s="0" t="s">
        <x:v>42840</x:v>
      </x:c>
      <x:c r="E12304" s="0" t="s">
        <x:v>47524</x:v>
      </x:c>
      <x:c r="F12304" s="0" t="s">
        <x:v>45</x:v>
      </x:c>
      <x:c r="G12304" s="0" t="s">
        <x:v>206</x:v>
      </x:c>
      <x:c r="H12304" s="0" t="s">
        <x:v>20</x:v>
      </x:c>
      <x:c r="I12304" s="0" t="s">
        <x:v>21</x:v>
      </x:c>
      <x:c r="K12304" s="0">
        <x:f>hyperlink("https://icd.who.int/dev11/l-ichi/en#/http%3A%2F%2Fid.who.int%2Ficd%2Fentity%2F521142341","browser")</x:f>
      </x:c>
      <x:c r="L12304" s="0">
        <x:f>hyperlink("https://icat2.azurewebsites.net/icat/?ontology=ICD&amp;tab=ClassesTab&amp;id=http%3A%2F%2Fwho.int%2Ficd%23SpecificAnatomicLocation_2816","iCat")</x:f>
      </x:c>
      <x:c r="M12304" s="0" t="s">
        <x:v>20</x:v>
      </x:c>
      <x:c r="N12304" s="0" t="s">
        <x:v>431</x:v>
      </x:c>
    </x:row>
    <x:row r="12305" spans="1:16">
      <x:c r="A12305" s="0" t="s">
        <x:v>47525</x:v>
      </x:c>
      <x:c r="B12305" s="0" t="s">
        <x:v>47526</x:v>
      </x:c>
      <x:c r="C12305" s="0" t="s">
        <x:v>42840</x:v>
      </x:c>
      <x:c r="E12305" s="0" t="s">
        <x:v>47527</x:v>
      </x:c>
      <x:c r="F12305" s="0" t="s">
        <x:v>45</x:v>
      </x:c>
      <x:c r="G12305" s="0" t="s">
        <x:v>431</x:v>
      </x:c>
      <x:c r="H12305" s="0" t="s">
        <x:v>20</x:v>
      </x:c>
      <x:c r="I12305" s="0" t="s">
        <x:v>21</x:v>
      </x:c>
      <x:c r="K12305" s="0">
        <x:f>hyperlink("https://icd.who.int/dev11/l-ichi/en#/http%3A%2F%2Fid.who.int%2Ficd%2Fentity%2F2060008965","browser")</x:f>
      </x:c>
      <x:c r="L12305" s="0">
        <x:f>hyperlink("https://icat2.azurewebsites.net/icat/?ontology=ICD&amp;tab=ClassesTab&amp;id=http%3A%2F%2Fwho.int%2Ficd%23SpecificAnatomicLocation_2811","iCat")</x:f>
      </x:c>
      <x:c r="M12305" s="0" t="s">
        <x:v>21</x:v>
      </x:c>
      <x:c r="N12305" s="0" t="s">
        <x:v>46</x:v>
      </x:c>
    </x:row>
    <x:row r="12306" spans="1:16">
      <x:c r="A12306" s="0" t="s">
        <x:v>47528</x:v>
      </x:c>
      <x:c r="B12306" s="0" t="s">
        <x:v>47529</x:v>
      </x:c>
      <x:c r="C12306" s="0" t="s">
        <x:v>42840</x:v>
      </x:c>
      <x:c r="E12306" s="0" t="s">
        <x:v>47530</x:v>
      </x:c>
      <x:c r="F12306" s="0" t="s">
        <x:v>45</x:v>
      </x:c>
      <x:c r="G12306" s="0" t="s">
        <x:v>431</x:v>
      </x:c>
      <x:c r="H12306" s="0" t="s">
        <x:v>20</x:v>
      </x:c>
      <x:c r="I12306" s="0" t="s">
        <x:v>21</x:v>
      </x:c>
      <x:c r="K12306" s="0">
        <x:f>hyperlink("https://icd.who.int/dev11/l-ichi/en#/http%3A%2F%2Fid.who.int%2Ficd%2Fentity%2F826329541","browser")</x:f>
      </x:c>
      <x:c r="L12306" s="0">
        <x:f>hyperlink("https://icat2.azurewebsites.net/icat/?ontology=ICD&amp;tab=ClassesTab&amp;id=http%3A%2F%2Fwho.int%2Ficd%23SpecificAnatomicLocation_2814","iCat")</x:f>
      </x:c>
      <x:c r="M12306" s="0" t="s">
        <x:v>21</x:v>
      </x:c>
      <x:c r="N12306" s="0" t="s">
        <x:v>46</x:v>
      </x:c>
    </x:row>
    <x:row r="12307" spans="1:16">
      <x:c r="A12307" s="0" t="s">
        <x:v>47531</x:v>
      </x:c>
      <x:c r="B12307" s="0" t="s">
        <x:v>47532</x:v>
      </x:c>
      <x:c r="C12307" s="0" t="s">
        <x:v>42840</x:v>
      </x:c>
      <x:c r="E12307" s="0" t="s">
        <x:v>47533</x:v>
      </x:c>
      <x:c r="F12307" s="0" t="s">
        <x:v>45</x:v>
      </x:c>
      <x:c r="G12307" s="0" t="s">
        <x:v>431</x:v>
      </x:c>
      <x:c r="H12307" s="0" t="s">
        <x:v>20</x:v>
      </x:c>
      <x:c r="I12307" s="0" t="s">
        <x:v>21</x:v>
      </x:c>
      <x:c r="K12307" s="0">
        <x:f>hyperlink("https://icd.who.int/dev11/l-ichi/en#/http%3A%2F%2Fid.who.int%2Ficd%2Fentity%2F644394245","browser")</x:f>
      </x:c>
      <x:c r="L12307" s="0">
        <x:f>hyperlink("https://icat2.azurewebsites.net/icat/?ontology=ICD&amp;tab=ClassesTab&amp;id=http%3A%2F%2Fwho.int%2Ficd%23SpecificAnatomicLocation_2815","iCat")</x:f>
      </x:c>
      <x:c r="M12307" s="0" t="s">
        <x:v>21</x:v>
      </x:c>
      <x:c r="N12307" s="0" t="s">
        <x:v>46</x:v>
      </x:c>
    </x:row>
    <x:row r="12308" spans="1:16">
      <x:c r="A12308" s="0" t="s">
        <x:v>47534</x:v>
      </x:c>
      <x:c r="B12308" s="0" t="s">
        <x:v>47535</x:v>
      </x:c>
      <x:c r="C12308" s="0" t="s">
        <x:v>42840</x:v>
      </x:c>
      <x:c r="E12308" s="0" t="s">
        <x:v>47536</x:v>
      </x:c>
      <x:c r="F12308" s="0" t="s">
        <x:v>45</x:v>
      </x:c>
      <x:c r="G12308" s="0" t="s">
        <x:v>431</x:v>
      </x:c>
      <x:c r="H12308" s="0" t="s">
        <x:v>20</x:v>
      </x:c>
      <x:c r="I12308" s="0" t="s">
        <x:v>21</x:v>
      </x:c>
      <x:c r="K12308" s="0">
        <x:f>hyperlink("https://icd.who.int/dev11/l-ichi/en#/http%3A%2F%2Fid.who.int%2Ficd%2Fentity%2F1419376517","browser")</x:f>
      </x:c>
      <x:c r="L12308" s="0">
        <x:f>hyperlink("https://icat2.azurewebsites.net/icat/?ontology=ICD&amp;tab=ClassesTab&amp;id=http%3A%2F%2Fwho.int%2Ficd%23SpecificAnatomicLocation_2813","iCat")</x:f>
      </x:c>
      <x:c r="M12308" s="0" t="s">
        <x:v>21</x:v>
      </x:c>
      <x:c r="N12308" s="0" t="s">
        <x:v>46</x:v>
      </x:c>
    </x:row>
    <x:row r="12309" spans="1:16">
      <x:c r="A12309" s="0" t="s">
        <x:v>47537</x:v>
      </x:c>
      <x:c r="B12309" s="0" t="s">
        <x:v>47538</x:v>
      </x:c>
      <x:c r="C12309" s="0" t="s">
        <x:v>42840</x:v>
      </x:c>
      <x:c r="E12309" s="0" t="s">
        <x:v>47539</x:v>
      </x:c>
      <x:c r="F12309" s="0" t="s">
        <x:v>45</x:v>
      </x:c>
      <x:c r="G12309" s="0" t="s">
        <x:v>431</x:v>
      </x:c>
      <x:c r="H12309" s="0" t="s">
        <x:v>20</x:v>
      </x:c>
      <x:c r="I12309" s="0" t="s">
        <x:v>21</x:v>
      </x:c>
      <x:c r="K12309" s="0">
        <x:f>hyperlink("https://icd.who.int/dev11/l-ichi/en#/http%3A%2F%2Fid.who.int%2Ficd%2Fentity%2F1135711045","browser")</x:f>
      </x:c>
      <x:c r="L12309" s="0">
        <x:f>hyperlink("https://icat2.azurewebsites.net/icat/?ontology=ICD&amp;tab=ClassesTab&amp;id=http%3A%2F%2Fwho.int%2Ficd%23SpecificAnatomicLocation_2812","iCat")</x:f>
      </x:c>
      <x:c r="M12309" s="0" t="s">
        <x:v>21</x:v>
      </x:c>
      <x:c r="N12309" s="0" t="s">
        <x:v>46</x:v>
      </x:c>
    </x:row>
    <x:row r="12310" spans="1:16">
      <x:c r="A12310" s="0" t="s">
        <x:v>47540</x:v>
      </x:c>
      <x:c r="B12310" s="0" t="s">
        <x:v>47541</x:v>
      </x:c>
      <x:c r="C12310" s="0" t="s">
        <x:v>42840</x:v>
      </x:c>
      <x:c r="E12310" s="0" t="s">
        <x:v>47542</x:v>
      </x:c>
      <x:c r="F12310" s="0" t="s">
        <x:v>45</x:v>
      </x:c>
      <x:c r="G12310" s="0" t="s">
        <x:v>431</x:v>
      </x:c>
      <x:c r="H12310" s="0" t="s">
        <x:v>20</x:v>
      </x:c>
      <x:c r="I12310" s="0" t="s">
        <x:v>21</x:v>
      </x:c>
      <x:c r="K12310" s="0">
        <x:f>hyperlink("https://icd.who.int/dev11/l-ichi/en#/http%3A%2F%2Fid.who.int%2Ficd%2Fentity%2F1958406431","browser")</x:f>
      </x:c>
      <x:c r="L12310" s="0">
        <x:f>hyperlink("https://icat2.azurewebsites.net/icat/?ontology=ICD&amp;tab=ClassesTab&amp;id=http%3A%2F%2Fwho.int%2Ficd%23SpecificAnatomicLocation_2798","iCat")</x:f>
      </x:c>
      <x:c r="M12310" s="0" t="s">
        <x:v>21</x:v>
      </x:c>
      <x:c r="N12310" s="0" t="s">
        <x:v>46</x:v>
      </x:c>
    </x:row>
    <x:row r="12311" spans="1:16">
      <x:c r="A12311" s="0" t="s">
        <x:v>47543</x:v>
      </x:c>
      <x:c r="B12311" s="0" t="s">
        <x:v>47544</x:v>
      </x:c>
      <x:c r="C12311" s="0" t="s">
        <x:v>42840</x:v>
      </x:c>
      <x:c r="E12311" s="0" t="s">
        <x:v>47545</x:v>
      </x:c>
      <x:c r="F12311" s="0" t="s">
        <x:v>45</x:v>
      </x:c>
      <x:c r="G12311" s="0" t="s">
        <x:v>431</x:v>
      </x:c>
      <x:c r="H12311" s="0" t="s">
        <x:v>20</x:v>
      </x:c>
      <x:c r="I12311" s="0" t="s">
        <x:v>21</x:v>
      </x:c>
      <x:c r="K12311" s="0">
        <x:f>hyperlink("https://icd.who.int/dev11/l-ichi/en#/http%3A%2F%2Fid.who.int%2Ficd%2Fentity%2F1118797090","browser")</x:f>
      </x:c>
      <x:c r="L12311" s="0">
        <x:f>hyperlink("https://icat2.azurewebsites.net/icat/?ontology=ICD&amp;tab=ClassesTab&amp;id=http%3A%2F%2Fwho.int%2Ficd%23SpecificAnatomicLocation_2809","iCat")</x:f>
      </x:c>
      <x:c r="M12311" s="0" t="s">
        <x:v>21</x:v>
      </x:c>
      <x:c r="N12311" s="0" t="s">
        <x:v>46</x:v>
      </x:c>
    </x:row>
    <x:row r="12312" spans="1:16">
      <x:c r="A12312" s="0" t="s">
        <x:v>47546</x:v>
      </x:c>
      <x:c r="B12312" s="0" t="s">
        <x:v>47547</x:v>
      </x:c>
      <x:c r="C12312" s="0" t="s">
        <x:v>42840</x:v>
      </x:c>
      <x:c r="E12312" s="0" t="s">
        <x:v>47548</x:v>
      </x:c>
      <x:c r="F12312" s="0" t="s">
        <x:v>45</x:v>
      </x:c>
      <x:c r="G12312" s="0" t="s">
        <x:v>206</x:v>
      </x:c>
      <x:c r="H12312" s="0" t="s">
        <x:v>20</x:v>
      </x:c>
      <x:c r="I12312" s="0" t="s">
        <x:v>21</x:v>
      </x:c>
      <x:c r="K12312" s="0">
        <x:f>hyperlink("https://icd.who.int/dev11/l-ichi/en#/http%3A%2F%2Fid.who.int%2Ficd%2Fentity%2F1843485381","browser")</x:f>
      </x:c>
      <x:c r="L12312" s="0">
        <x:f>hyperlink("https://icat2.azurewebsites.net/icat/?ontology=ICD&amp;tab=ClassesTab&amp;id=http%3A%2F%2Fwho.int%2Ficd%23SpecificAnatomicLocation_2810","iCat")</x:f>
      </x:c>
      <x:c r="M12312" s="0" t="s">
        <x:v>20</x:v>
      </x:c>
      <x:c r="N12312" s="0" t="s">
        <x:v>30</x:v>
      </x:c>
    </x:row>
    <x:row r="12313" spans="1:16">
      <x:c r="A12313" s="0" t="s">
        <x:v>47549</x:v>
      </x:c>
      <x:c r="B12313" s="0" t="s">
        <x:v>47550</x:v>
      </x:c>
      <x:c r="C12313" s="0" t="s">
        <x:v>42840</x:v>
      </x:c>
      <x:c r="E12313" s="0" t="s">
        <x:v>47551</x:v>
      </x:c>
      <x:c r="F12313" s="0" t="s">
        <x:v>45</x:v>
      </x:c>
      <x:c r="G12313" s="0" t="s">
        <x:v>431</x:v>
      </x:c>
      <x:c r="H12313" s="0" t="s">
        <x:v>20</x:v>
      </x:c>
      <x:c r="I12313" s="0" t="s">
        <x:v>21</x:v>
      </x:c>
      <x:c r="K12313" s="0">
        <x:f>hyperlink("https://icd.who.int/dev11/l-ichi/en#/http%3A%2F%2Fid.who.int%2Ficd%2Fentity%2F903681741","browser")</x:f>
      </x:c>
      <x:c r="L12313" s="0">
        <x:f>hyperlink("https://icat2.azurewebsites.net/icat/?ontology=ICD&amp;tab=ClassesTab&amp;id=http%3A%2F%2Fwho.int%2Ficd%231711_d9027f82_5e3d_47a4_a6fe_3c65954dde3a","iCat")</x:f>
      </x:c>
      <x:c r="M12313" s="0" t="s">
        <x:v>21</x:v>
      </x:c>
      <x:c r="N12313" s="0" t="s">
        <x:v>46</x:v>
      </x:c>
    </x:row>
    <x:row r="12314" spans="1:16">
      <x:c r="A12314" s="0" t="s">
        <x:v>47552</x:v>
      </x:c>
      <x:c r="B12314" s="0" t="s">
        <x:v>47553</x:v>
      </x:c>
      <x:c r="C12314" s="0" t="s">
        <x:v>42840</x:v>
      </x:c>
      <x:c r="E12314" s="0" t="s">
        <x:v>47554</x:v>
      </x:c>
      <x:c r="F12314" s="0" t="s">
        <x:v>45</x:v>
      </x:c>
      <x:c r="G12314" s="0" t="s">
        <x:v>431</x:v>
      </x:c>
      <x:c r="H12314" s="0" t="s">
        <x:v>20</x:v>
      </x:c>
      <x:c r="I12314" s="0" t="s">
        <x:v>21</x:v>
      </x:c>
      <x:c r="K12314" s="0">
        <x:f>hyperlink("https://icd.who.int/dev11/l-ichi/en#/http%3A%2F%2Fid.who.int%2Ficd%2Fentity%2F2037068997","browser")</x:f>
      </x:c>
      <x:c r="L12314" s="0">
        <x:f>hyperlink("https://icat2.azurewebsites.net/icat/?ontology=ICD&amp;tab=ClassesTab&amp;id=http%3A%2F%2Fwho.int%2Ficd%23SpecificAnatomicLocation_2893","iCat")</x:f>
      </x:c>
      <x:c r="M12314" s="0" t="s">
        <x:v>21</x:v>
      </x:c>
      <x:c r="N12314" s="0" t="s">
        <x:v>46</x:v>
      </x:c>
    </x:row>
    <x:row r="12315" spans="1:16">
      <x:c r="A12315" s="0" t="s">
        <x:v>47555</x:v>
      </x:c>
      <x:c r="B12315" s="0" t="s">
        <x:v>47556</x:v>
      </x:c>
      <x:c r="C12315" s="0" t="s">
        <x:v>42840</x:v>
      </x:c>
      <x:c r="E12315" s="0" t="s">
        <x:v>47557</x:v>
      </x:c>
      <x:c r="F12315" s="0" t="s">
        <x:v>45</x:v>
      </x:c>
      <x:c r="G12315" s="0" t="s">
        <x:v>206</x:v>
      </x:c>
      <x:c r="H12315" s="0" t="s">
        <x:v>20</x:v>
      </x:c>
      <x:c r="I12315" s="0" t="s">
        <x:v>21</x:v>
      </x:c>
      <x:c r="K12315" s="0">
        <x:f>hyperlink("https://icd.who.int/dev11/l-ichi/en#/http%3A%2F%2Fid.who.int%2Ficd%2Fentity%2F734152377","browser")</x:f>
      </x:c>
      <x:c r="L12315" s="0">
        <x:f>hyperlink("https://icat2.azurewebsites.net/icat/?ontology=ICD&amp;tab=ClassesTab&amp;id=http%3A%2F%2Fwho.int%2Ficd%231758_d9027f82_5e3d_47a4_a6fe_3c65954dde3a","iCat")</x:f>
      </x:c>
      <x:c r="M12315" s="0" t="s">
        <x:v>20</x:v>
      </x:c>
      <x:c r="N12315" s="0" t="s">
        <x:v>40</x:v>
      </x:c>
    </x:row>
    <x:row r="12316" spans="1:16">
      <x:c r="A12316" s="0" t="s">
        <x:v>47558</x:v>
      </x:c>
      <x:c r="B12316" s="0" t="s">
        <x:v>47559</x:v>
      </x:c>
      <x:c r="C12316" s="0" t="s">
        <x:v>42840</x:v>
      </x:c>
      <x:c r="E12316" s="0" t="s">
        <x:v>47560</x:v>
      </x:c>
      <x:c r="F12316" s="0" t="s">
        <x:v>45</x:v>
      </x:c>
      <x:c r="G12316" s="0" t="s">
        <x:v>431</x:v>
      </x:c>
      <x:c r="H12316" s="0" t="s">
        <x:v>20</x:v>
      </x:c>
      <x:c r="I12316" s="0" t="s">
        <x:v>21</x:v>
      </x:c>
      <x:c r="K12316" s="0">
        <x:f>hyperlink("https://icd.who.int/dev11/l-ichi/en#/http%3A%2F%2Fid.who.int%2Ficd%2Fentity%2F1089956449","browser")</x:f>
      </x:c>
      <x:c r="L12316" s="0">
        <x:f>hyperlink("https://icat2.azurewebsites.net/icat/?ontology=ICD&amp;tab=ClassesTab&amp;id=http%3A%2F%2Fwho.int%2Ficd%23SpecificAnatomicLocation_2796","iCat")</x:f>
      </x:c>
      <x:c r="M12316" s="0" t="s">
        <x:v>21</x:v>
      </x:c>
      <x:c r="N12316" s="0" t="s">
        <x:v>46</x:v>
      </x:c>
    </x:row>
    <x:row r="12317" spans="1:16">
      <x:c r="A12317" s="0" t="s">
        <x:v>47561</x:v>
      </x:c>
      <x:c r="B12317" s="0" t="s">
        <x:v>47562</x:v>
      </x:c>
      <x:c r="C12317" s="0" t="s">
        <x:v>42840</x:v>
      </x:c>
      <x:c r="E12317" s="0" t="s">
        <x:v>47563</x:v>
      </x:c>
      <x:c r="F12317" s="0" t="s">
        <x:v>45</x:v>
      </x:c>
      <x:c r="G12317" s="0" t="s">
        <x:v>431</x:v>
      </x:c>
      <x:c r="H12317" s="0" t="s">
        <x:v>20</x:v>
      </x:c>
      <x:c r="I12317" s="0" t="s">
        <x:v>21</x:v>
      </x:c>
      <x:c r="K12317" s="0">
        <x:f>hyperlink("https://icd.who.int/dev11/l-ichi/en#/http%3A%2F%2Fid.who.int%2Ficd%2Fentity%2F2012939247","browser")</x:f>
      </x:c>
      <x:c r="L12317" s="0">
        <x:f>hyperlink("https://icat2.azurewebsites.net/icat/?ontology=ICD&amp;tab=ClassesTab&amp;id=http%3A%2F%2Fwho.int%2Ficd%231878_d9027f82_5e3d_47a4_a6fe_3c65954dde3a","iCat")</x:f>
      </x:c>
      <x:c r="M12317" s="0" t="s">
        <x:v>21</x:v>
      </x:c>
      <x:c r="N12317" s="0" t="s">
        <x:v>46</x:v>
      </x:c>
    </x:row>
    <x:row r="12318" spans="1:16">
      <x:c r="A12318" s="0" t="s">
        <x:v>47564</x:v>
      </x:c>
      <x:c r="B12318" s="0" t="s">
        <x:v>47565</x:v>
      </x:c>
      <x:c r="C12318" s="0" t="s">
        <x:v>42840</x:v>
      </x:c>
      <x:c r="E12318" s="0" t="s">
        <x:v>47566</x:v>
      </x:c>
      <x:c r="F12318" s="0" t="s">
        <x:v>45</x:v>
      </x:c>
      <x:c r="G12318" s="0" t="s">
        <x:v>431</x:v>
      </x:c>
      <x:c r="H12318" s="0" t="s">
        <x:v>20</x:v>
      </x:c>
      <x:c r="I12318" s="0" t="s">
        <x:v>21</x:v>
      </x:c>
      <x:c r="K12318" s="0">
        <x:f>hyperlink("https://icd.who.int/dev11/l-ichi/en#/http%3A%2F%2Fid.who.int%2Ficd%2Fentity%2F740521092","browser")</x:f>
      </x:c>
      <x:c r="L12318" s="0">
        <x:f>hyperlink("https://icat2.azurewebsites.net/icat/?ontology=ICD&amp;tab=ClassesTab&amp;id=http%3A%2F%2Fwho.int%2Ficd%231896_d9027f82_5e3d_47a4_a6fe_3c65954dde3a","iCat")</x:f>
      </x:c>
      <x:c r="M12318" s="0" t="s">
        <x:v>21</x:v>
      </x:c>
      <x:c r="N12318" s="0" t="s">
        <x:v>46</x:v>
      </x:c>
    </x:row>
    <x:row r="12319" spans="1:16">
      <x:c r="A12319" s="0" t="s">
        <x:v>47567</x:v>
      </x:c>
      <x:c r="B12319" s="0" t="s">
        <x:v>47568</x:v>
      </x:c>
      <x:c r="C12319" s="0" t="s">
        <x:v>42840</x:v>
      </x:c>
      <x:c r="E12319" s="0" t="s">
        <x:v>47569</x:v>
      </x:c>
      <x:c r="F12319" s="0" t="s">
        <x:v>45</x:v>
      </x:c>
      <x:c r="G12319" s="0" t="s">
        <x:v>431</x:v>
      </x:c>
      <x:c r="H12319" s="0" t="s">
        <x:v>20</x:v>
      </x:c>
      <x:c r="I12319" s="0" t="s">
        <x:v>21</x:v>
      </x:c>
      <x:c r="K12319" s="0">
        <x:f>hyperlink("https://icd.who.int/dev11/l-ichi/en#/http%3A%2F%2Fid.who.int%2Ficd%2Fentity%2F603059742","browser")</x:f>
      </x:c>
      <x:c r="L12319" s="0">
        <x:f>hyperlink("https://icat2.azurewebsites.net/icat/?ontology=ICD&amp;tab=ClassesTab&amp;id=http%3A%2F%2Fwho.int%2Ficd%231914_d9027f82_5e3d_47a4_a6fe_3c65954dde3a","iCat")</x:f>
      </x:c>
      <x:c r="M12319" s="0" t="s">
        <x:v>21</x:v>
      </x:c>
      <x:c r="N12319" s="0" t="s">
        <x:v>46</x:v>
      </x:c>
    </x:row>
    <x:row r="12320" spans="1:16">
      <x:c r="A12320" s="0" t="s">
        <x:v>47570</x:v>
      </x:c>
      <x:c r="B12320" s="0" t="s">
        <x:v>47571</x:v>
      </x:c>
      <x:c r="C12320" s="0" t="s">
        <x:v>42840</x:v>
      </x:c>
      <x:c r="E12320" s="0" t="s">
        <x:v>47572</x:v>
      </x:c>
      <x:c r="F12320" s="0" t="s">
        <x:v>45</x:v>
      </x:c>
      <x:c r="G12320" s="0" t="s">
        <x:v>431</x:v>
      </x:c>
      <x:c r="H12320" s="0" t="s">
        <x:v>20</x:v>
      </x:c>
      <x:c r="I12320" s="0" t="s">
        <x:v>21</x:v>
      </x:c>
      <x:c r="K12320" s="0">
        <x:f>hyperlink("https://icd.who.int/dev11/l-ichi/en#/http%3A%2F%2Fid.who.int%2Ficd%2Fentity%2F1509882623","browser")</x:f>
      </x:c>
      <x:c r="L12320" s="0">
        <x:f>hyperlink("https://icat2.azurewebsites.net/icat/?ontology=ICD&amp;tab=ClassesTab&amp;id=http%3A%2F%2Fwho.int%2Ficd%231932_d9027f82_5e3d_47a4_a6fe_3c65954dde3a","iCat")</x:f>
      </x:c>
      <x:c r="M12320" s="0" t="s">
        <x:v>21</x:v>
      </x:c>
      <x:c r="N12320" s="0" t="s">
        <x:v>46</x:v>
      </x:c>
    </x:row>
    <x:row r="12321" spans="1:16">
      <x:c r="A12321" s="0" t="s">
        <x:v>47573</x:v>
      </x:c>
      <x:c r="B12321" s="0" t="s">
        <x:v>47574</x:v>
      </x:c>
      <x:c r="C12321" s="0" t="s">
        <x:v>42840</x:v>
      </x:c>
      <x:c r="E12321" s="0" t="s">
        <x:v>47575</x:v>
      </x:c>
      <x:c r="F12321" s="0" t="s">
        <x:v>45</x:v>
      </x:c>
      <x:c r="G12321" s="0" t="s">
        <x:v>40</x:v>
      </x:c>
      <x:c r="H12321" s="0" t="s">
        <x:v>20</x:v>
      </x:c>
      <x:c r="I12321" s="0" t="s">
        <x:v>21</x:v>
      </x:c>
      <x:c r="K12321" s="0">
        <x:f>hyperlink("https://icd.who.int/dev11/l-ichi/en#/http%3A%2F%2Fid.who.int%2Ficd%2Fentity%2F464468589","browser")</x:f>
      </x:c>
      <x:c r="L12321" s="0">
        <x:f>hyperlink("https://icat2.azurewebsites.net/icat/?ontology=ICD&amp;tab=ClassesTab&amp;id=http%3A%2F%2Fwho.int%2Ficd%23SpecificAnatomicLocation_2822","iCat")</x:f>
      </x:c>
      <x:c r="M12321" s="0" t="s">
        <x:v>20</x:v>
      </x:c>
      <x:c r="N12321" s="0" t="s">
        <x:v>19</x:v>
      </x:c>
    </x:row>
    <x:row r="12322" spans="1:16">
      <x:c r="A12322" s="0" t="s">
        <x:v>47576</x:v>
      </x:c>
      <x:c r="B12322" s="0" t="s">
        <x:v>47577</x:v>
      </x:c>
      <x:c r="C12322" s="0" t="s">
        <x:v>42840</x:v>
      </x:c>
      <x:c r="E12322" s="0" t="s">
        <x:v>47578</x:v>
      </x:c>
      <x:c r="F12322" s="0" t="s">
        <x:v>45</x:v>
      </x:c>
      <x:c r="G12322" s="0" t="s">
        <x:v>206</x:v>
      </x:c>
      <x:c r="H12322" s="0" t="s">
        <x:v>20</x:v>
      </x:c>
      <x:c r="I12322" s="0" t="s">
        <x:v>21</x:v>
      </x:c>
      <x:c r="K12322" s="0">
        <x:f>hyperlink("https://icd.who.int/dev11/l-ichi/en#/http%3A%2F%2Fid.who.int%2Ficd%2Fentity%2F584554285","browser")</x:f>
      </x:c>
      <x:c r="L12322" s="0">
        <x:f>hyperlink("https://icat2.azurewebsites.net/icat/?ontology=ICD&amp;tab=ClassesTab&amp;id=http%3A%2F%2Fwho.int%2Ficd%23SpecificAnatomicLocation_2821","iCat")</x:f>
      </x:c>
      <x:c r="M12322" s="0" t="s">
        <x:v>21</x:v>
      </x:c>
      <x:c r="N12322" s="0" t="s">
        <x:v>46</x:v>
      </x:c>
    </x:row>
    <x:row r="12323" spans="1:16">
      <x:c r="A12323" s="0" t="s">
        <x:v>47579</x:v>
      </x:c>
      <x:c r="B12323" s="0" t="s">
        <x:v>47580</x:v>
      </x:c>
      <x:c r="C12323" s="0" t="s">
        <x:v>42840</x:v>
      </x:c>
      <x:c r="E12323" s="0" t="s">
        <x:v>47581</x:v>
      </x:c>
      <x:c r="F12323" s="0" t="s">
        <x:v>45</x:v>
      </x:c>
      <x:c r="G12323" s="0" t="s">
        <x:v>40</x:v>
      </x:c>
      <x:c r="H12323" s="0" t="s">
        <x:v>20</x:v>
      </x:c>
      <x:c r="I12323" s="0" t="s">
        <x:v>21</x:v>
      </x:c>
      <x:c r="K12323" s="0">
        <x:f>hyperlink("https://icd.who.int/dev11/l-ichi/en#/http%3A%2F%2Fid.who.int%2Ficd%2Fentity%2F210198189","browser")</x:f>
      </x:c>
      <x:c r="L12323" s="0">
        <x:f>hyperlink("https://icat2.azurewebsites.net/icat/?ontology=ICD&amp;tab=ClassesTab&amp;id=http%3A%2F%2Fwho.int%2Ficd%23SpecificAnatomicLocation_2823","iCat")</x:f>
      </x:c>
      <x:c r="M12323" s="0" t="s">
        <x:v>20</x:v>
      </x:c>
      <x:c r="N12323" s="0" t="s">
        <x:v>35</x:v>
      </x:c>
    </x:row>
    <x:row r="12324" spans="1:16">
      <x:c r="A12324" s="0" t="s">
        <x:v>47582</x:v>
      </x:c>
      <x:c r="B12324" s="0" t="s">
        <x:v>47583</x:v>
      </x:c>
      <x:c r="C12324" s="0" t="s">
        <x:v>42840</x:v>
      </x:c>
      <x:c r="E12324" s="0" t="s">
        <x:v>47584</x:v>
      </x:c>
      <x:c r="F12324" s="0" t="s">
        <x:v>45</x:v>
      </x:c>
      <x:c r="G12324" s="0" t="s">
        <x:v>206</x:v>
      </x:c>
      <x:c r="H12324" s="0" t="s">
        <x:v>20</x:v>
      </x:c>
      <x:c r="I12324" s="0" t="s">
        <x:v>21</x:v>
      </x:c>
      <x:c r="K12324" s="0">
        <x:f>hyperlink("https://icd.who.int/dev11/l-ichi/en#/http%3A%2F%2Fid.who.int%2Ficd%2Fentity%2F1994587742","browser")</x:f>
      </x:c>
      <x:c r="L12324" s="0">
        <x:f>hyperlink("https://icat2.azurewebsites.net/icat/?ontology=ICD&amp;tab=ClassesTab&amp;id=http%3A%2F%2Fwho.int%2Ficd%23SpecificAnatomicLocation_2807","iCat")</x:f>
      </x:c>
      <x:c r="M12324" s="0" t="s">
        <x:v>21</x:v>
      </x:c>
      <x:c r="N12324" s="0" t="s">
        <x:v>46</x:v>
      </x:c>
    </x:row>
    <x:row r="12325" spans="1:16">
      <x:c r="A12325" s="0" t="s">
        <x:v>47585</x:v>
      </x:c>
      <x:c r="B12325" s="0" t="s">
        <x:v>47586</x:v>
      </x:c>
      <x:c r="C12325" s="0" t="s">
        <x:v>42840</x:v>
      </x:c>
      <x:c r="E12325" s="0" t="s">
        <x:v>47587</x:v>
      </x:c>
      <x:c r="F12325" s="0" t="s">
        <x:v>45</x:v>
      </x:c>
      <x:c r="G12325" s="0" t="s">
        <x:v>206</x:v>
      </x:c>
      <x:c r="H12325" s="0" t="s">
        <x:v>20</x:v>
      </x:c>
      <x:c r="I12325" s="0" t="s">
        <x:v>21</x:v>
      </x:c>
      <x:c r="K12325" s="0">
        <x:f>hyperlink("https://icd.who.int/dev11/l-ichi/en#/http%3A%2F%2Fid.who.int%2Ficd%2Fentity%2F1640667806","browser")</x:f>
      </x:c>
      <x:c r="L12325" s="0">
        <x:f>hyperlink("https://icat2.azurewebsites.net/icat/?ontology=ICD&amp;tab=ClassesTab&amp;id=http%3A%2F%2Fwho.int%2Ficd%23SpecificAnatomicLocation_2806","iCat")</x:f>
      </x:c>
      <x:c r="M12325" s="0" t="s">
        <x:v>20</x:v>
      </x:c>
      <x:c r="N12325" s="0" t="s">
        <x:v>22</x:v>
      </x:c>
    </x:row>
    <x:row r="12326" spans="1:16">
      <x:c r="A12326" s="0" t="s">
        <x:v>47588</x:v>
      </x:c>
      <x:c r="B12326" s="0" t="s">
        <x:v>47589</x:v>
      </x:c>
      <x:c r="C12326" s="0" t="s">
        <x:v>42840</x:v>
      </x:c>
      <x:c r="E12326" s="0" t="s">
        <x:v>47590</x:v>
      </x:c>
      <x:c r="F12326" s="0" t="s">
        <x:v>45</x:v>
      </x:c>
      <x:c r="G12326" s="0" t="s">
        <x:v>431</x:v>
      </x:c>
      <x:c r="H12326" s="0" t="s">
        <x:v>20</x:v>
      </x:c>
      <x:c r="I12326" s="0" t="s">
        <x:v>21</x:v>
      </x:c>
      <x:c r="K12326" s="0">
        <x:f>hyperlink("https://icd.who.int/dev11/l-ichi/en#/http%3A%2F%2Fid.who.int%2Ficd%2Fentity%2F1488074718","browser")</x:f>
      </x:c>
      <x:c r="L12326" s="0">
        <x:f>hyperlink("https://icat2.azurewebsites.net/icat/?ontology=ICD&amp;tab=ClassesTab&amp;id=http%3A%2F%2Fwho.int%2Ficd%23SpecificAnatomicLocation_2805","iCat")</x:f>
      </x:c>
      <x:c r="M12326" s="0" t="s">
        <x:v>21</x:v>
      </x:c>
      <x:c r="N12326" s="0" t="s">
        <x:v>46</x:v>
      </x:c>
    </x:row>
    <x:row r="12327" spans="1:16">
      <x:c r="A12327" s="0" t="s">
        <x:v>47591</x:v>
      </x:c>
      <x:c r="B12327" s="0" t="s">
        <x:v>47592</x:v>
      </x:c>
      <x:c r="C12327" s="0" t="s">
        <x:v>42840</x:v>
      </x:c>
      <x:c r="E12327" s="0" t="s">
        <x:v>47593</x:v>
      </x:c>
      <x:c r="F12327" s="0" t="s">
        <x:v>45</x:v>
      </x:c>
      <x:c r="G12327" s="0" t="s">
        <x:v>431</x:v>
      </x:c>
      <x:c r="H12327" s="0" t="s">
        <x:v>20</x:v>
      </x:c>
      <x:c r="I12327" s="0" t="s">
        <x:v>21</x:v>
      </x:c>
      <x:c r="K12327" s="0">
        <x:f>hyperlink("https://icd.who.int/dev11/l-ichi/en#/http%3A%2F%2Fid.who.int%2Ficd%2Fentity%2F1335513886","browser")</x:f>
      </x:c>
      <x:c r="L12327" s="0">
        <x:f>hyperlink("https://icat2.azurewebsites.net/icat/?ontology=ICD&amp;tab=ClassesTab&amp;id=http%3A%2F%2Fwho.int%2Ficd%23SpecificAnatomicLocation_2804","iCat")</x:f>
      </x:c>
      <x:c r="M12327" s="0" t="s">
        <x:v>21</x:v>
      </x:c>
      <x:c r="N12327" s="0" t="s">
        <x:v>46</x:v>
      </x:c>
    </x:row>
    <x:row r="12328" spans="1:16">
      <x:c r="A12328" s="0" t="s">
        <x:v>47594</x:v>
      </x:c>
      <x:c r="B12328" s="0" t="s">
        <x:v>47595</x:v>
      </x:c>
      <x:c r="C12328" s="0" t="s">
        <x:v>42840</x:v>
      </x:c>
      <x:c r="E12328" s="0" t="s">
        <x:v>47596</x:v>
      </x:c>
      <x:c r="F12328" s="0" t="s">
        <x:v>45</x:v>
      </x:c>
      <x:c r="G12328" s="0" t="s">
        <x:v>431</x:v>
      </x:c>
      <x:c r="H12328" s="0" t="s">
        <x:v>20</x:v>
      </x:c>
      <x:c r="I12328" s="0" t="s">
        <x:v>21</x:v>
      </x:c>
      <x:c r="K12328" s="0">
        <x:f>hyperlink("https://icd.who.int/dev11/l-ichi/en#/http%3A%2F%2Fid.who.int%2Ficd%2Fentity%2F709061982","browser")</x:f>
      </x:c>
      <x:c r="L12328" s="0">
        <x:f>hyperlink("https://icat2.azurewebsites.net/icat/?ontology=ICD&amp;tab=ClassesTab&amp;id=http%3A%2F%2Fwho.int%2Ficd%23SpecificAnatomicLocation_2803","iCat")</x:f>
      </x:c>
      <x:c r="M12328" s="0" t="s">
        <x:v>21</x:v>
      </x:c>
      <x:c r="N12328" s="0" t="s">
        <x:v>46</x:v>
      </x:c>
    </x:row>
    <x:row r="12329" spans="1:16">
      <x:c r="A12329" s="0" t="s">
        <x:v>47597</x:v>
      </x:c>
      <x:c r="B12329" s="0" t="s">
        <x:v>47598</x:v>
      </x:c>
      <x:c r="C12329" s="0" t="s">
        <x:v>42840</x:v>
      </x:c>
      <x:c r="E12329" s="0" t="s">
        <x:v>47599</x:v>
      </x:c>
      <x:c r="F12329" s="0" t="s">
        <x:v>45</x:v>
      </x:c>
      <x:c r="G12329" s="0" t="s">
        <x:v>431</x:v>
      </x:c>
      <x:c r="H12329" s="0" t="s">
        <x:v>20</x:v>
      </x:c>
      <x:c r="I12329" s="0" t="s">
        <x:v>21</x:v>
      </x:c>
      <x:c r="K12329" s="0">
        <x:f>hyperlink("https://icd.who.int/dev11/l-ichi/en#/http%3A%2F%2Fid.who.int%2Ficd%2Fentity%2F1030424990","browser")</x:f>
      </x:c>
      <x:c r="L12329" s="0">
        <x:f>hyperlink("https://icat2.azurewebsites.net/icat/?ontology=ICD&amp;tab=ClassesTab&amp;id=http%3A%2F%2Fwho.int%2Ficd%23SpecificAnatomicLocation_2802","iCat")</x:f>
      </x:c>
      <x:c r="M12329" s="0" t="s">
        <x:v>21</x:v>
      </x:c>
      <x:c r="N12329" s="0" t="s">
        <x:v>46</x:v>
      </x:c>
    </x:row>
    <x:row r="12330" spans="1:16">
      <x:c r="A12330" s="0" t="s">
        <x:v>47600</x:v>
      </x:c>
      <x:c r="B12330" s="0" t="s">
        <x:v>47601</x:v>
      </x:c>
      <x:c r="C12330" s="0" t="s">
        <x:v>42840</x:v>
      </x:c>
      <x:c r="E12330" s="0" t="s">
        <x:v>47602</x:v>
      </x:c>
      <x:c r="F12330" s="0" t="s">
        <x:v>45</x:v>
      </x:c>
      <x:c r="G12330" s="0" t="s">
        <x:v>206</x:v>
      </x:c>
      <x:c r="H12330" s="0" t="s">
        <x:v>20</x:v>
      </x:c>
      <x:c r="I12330" s="0" t="s">
        <x:v>21</x:v>
      </x:c>
      <x:c r="K12330" s="0">
        <x:f>hyperlink("https://icd.who.int/dev11/l-ichi/en#/http%3A%2F%2Fid.who.int%2Ficd%2Fentity%2F258138167","browser")</x:f>
      </x:c>
      <x:c r="L12330" s="0">
        <x:f>hyperlink("https://icat2.azurewebsites.net/icat/?ontology=ICD&amp;tab=ClassesTab&amp;id=http%3A%2F%2Fwho.int%2Ficd%2315414_16e67c35_8b57_40bb_9220_818553425a8c","iCat")</x:f>
      </x:c>
      <x:c r="M12330" s="0" t="s">
        <x:v>20</x:v>
      </x:c>
      <x:c r="N12330" s="0" t="s">
        <x:v>40</x:v>
      </x:c>
    </x:row>
    <x:row r="12331" spans="1:16">
      <x:c r="A12331" s="0" t="s">
        <x:v>47603</x:v>
      </x:c>
      <x:c r="B12331" s="0" t="s">
        <x:v>47604</x:v>
      </x:c>
      <x:c r="C12331" s="0" t="s">
        <x:v>42840</x:v>
      </x:c>
      <x:c r="E12331" s="0" t="s">
        <x:v>47605</x:v>
      </x:c>
      <x:c r="F12331" s="0" t="s">
        <x:v>45</x:v>
      </x:c>
      <x:c r="G12331" s="0" t="s">
        <x:v>431</x:v>
      </x:c>
      <x:c r="H12331" s="0" t="s">
        <x:v>20</x:v>
      </x:c>
      <x:c r="I12331" s="0" t="s">
        <x:v>21</x:v>
      </x:c>
      <x:c r="K12331" s="0">
        <x:f>hyperlink("https://icd.who.int/dev11/l-ichi/en#/http%3A%2F%2Fid.who.int%2Ficd%2Fentity%2F1435803372","browser")</x:f>
      </x:c>
      <x:c r="L12331" s="0">
        <x:f>hyperlink("https://icat2.azurewebsites.net/icat/?ontology=ICD&amp;tab=ClassesTab&amp;id=http%3A%2F%2Fwho.int%2Ficd%2315433_16e67c35_8b57_40bb_9220_818553425a8c","iCat")</x:f>
      </x:c>
      <x:c r="M12331" s="0" t="s">
        <x:v>21</x:v>
      </x:c>
      <x:c r="N12331" s="0" t="s">
        <x:v>46</x:v>
      </x:c>
    </x:row>
    <x:row r="12332" spans="1:16">
      <x:c r="A12332" s="0" t="s">
        <x:v>47606</x:v>
      </x:c>
      <x:c r="B12332" s="0" t="s">
        <x:v>47607</x:v>
      </x:c>
      <x:c r="C12332" s="0" t="s">
        <x:v>42840</x:v>
      </x:c>
      <x:c r="E12332" s="0" t="s">
        <x:v>47608</x:v>
      </x:c>
      <x:c r="F12332" s="0" t="s">
        <x:v>45</x:v>
      </x:c>
      <x:c r="G12332" s="0" t="s">
        <x:v>431</x:v>
      </x:c>
      <x:c r="H12332" s="0" t="s">
        <x:v>20</x:v>
      </x:c>
      <x:c r="I12332" s="0" t="s">
        <x:v>21</x:v>
      </x:c>
      <x:c r="K12332" s="0">
        <x:f>hyperlink("https://icd.who.int/dev11/l-ichi/en#/http%3A%2F%2Fid.who.int%2Ficd%2Fentity%2F796813979","browser")</x:f>
      </x:c>
      <x:c r="L12332" s="0">
        <x:f>hyperlink("https://icat2.azurewebsites.net/icat/?ontology=ICD&amp;tab=ClassesTab&amp;id=http%3A%2F%2Fwho.int%2Ficd%2315452_16e67c35_8b57_40bb_9220_818553425a8c","iCat")</x:f>
      </x:c>
      <x:c r="M12332" s="0" t="s">
        <x:v>21</x:v>
      </x:c>
      <x:c r="N12332" s="0" t="s">
        <x:v>46</x:v>
      </x:c>
    </x:row>
    <x:row r="12333" spans="1:16">
      <x:c r="A12333" s="0" t="s">
        <x:v>47609</x:v>
      </x:c>
      <x:c r="B12333" s="0" t="s">
        <x:v>47610</x:v>
      </x:c>
      <x:c r="C12333" s="0" t="s">
        <x:v>42840</x:v>
      </x:c>
      <x:c r="E12333" s="0" t="s">
        <x:v>47611</x:v>
      </x:c>
      <x:c r="F12333" s="0" t="s">
        <x:v>45</x:v>
      </x:c>
      <x:c r="G12333" s="0" t="s">
        <x:v>431</x:v>
      </x:c>
      <x:c r="H12333" s="0" t="s">
        <x:v>20</x:v>
      </x:c>
      <x:c r="I12333" s="0" t="s">
        <x:v>21</x:v>
      </x:c>
      <x:c r="K12333" s="0">
        <x:f>hyperlink("https://icd.who.int/dev11/l-ichi/en#/http%3A%2F%2Fid.who.int%2Ficd%2Fentity%2F1083166772","browser")</x:f>
      </x:c>
      <x:c r="L12333" s="0">
        <x:f>hyperlink("https://icat2.azurewebsites.net/icat/?ontology=ICD&amp;tab=ClassesTab&amp;id=http%3A%2F%2Fwho.int%2Ficd%2315471_16e67c35_8b57_40bb_9220_818553425a8c","iCat")</x:f>
      </x:c>
      <x:c r="M12333" s="0" t="s">
        <x:v>21</x:v>
      </x:c>
      <x:c r="N12333" s="0" t="s">
        <x:v>46</x:v>
      </x:c>
    </x:row>
    <x:row r="12334" spans="1:16">
      <x:c r="A12334" s="0" t="s">
        <x:v>47612</x:v>
      </x:c>
      <x:c r="B12334" s="0" t="s">
        <x:v>47613</x:v>
      </x:c>
      <x:c r="C12334" s="0" t="s">
        <x:v>42840</x:v>
      </x:c>
      <x:c r="E12334" s="0" t="s">
        <x:v>47614</x:v>
      </x:c>
      <x:c r="F12334" s="0" t="s">
        <x:v>45</x:v>
      </x:c>
      <x:c r="G12334" s="0" t="s">
        <x:v>431</x:v>
      </x:c>
      <x:c r="H12334" s="0" t="s">
        <x:v>20</x:v>
      </x:c>
      <x:c r="I12334" s="0" t="s">
        <x:v>21</x:v>
      </x:c>
      <x:c r="K12334" s="0">
        <x:f>hyperlink("https://icd.who.int/dev11/l-ichi/en#/http%3A%2F%2Fid.who.int%2Ficd%2Fentity%2F626294151","browser")</x:f>
      </x:c>
      <x:c r="L12334" s="0">
        <x:f>hyperlink("https://icat2.azurewebsites.net/icat/?ontology=ICD&amp;tab=ClassesTab&amp;id=http%3A%2F%2Fwho.int%2Ficd%2315490_16e67c35_8b57_40bb_9220_818553425a8c","iCat")</x:f>
      </x:c>
      <x:c r="M12334" s="0" t="s">
        <x:v>21</x:v>
      </x:c>
      <x:c r="N12334" s="0" t="s">
        <x:v>46</x:v>
      </x:c>
    </x:row>
    <x:row r="12335" spans="1:16">
      <x:c r="A12335" s="0" t="s">
        <x:v>47615</x:v>
      </x:c>
      <x:c r="B12335" s="0" t="s">
        <x:v>47616</x:v>
      </x:c>
      <x:c r="C12335" s="0" t="s">
        <x:v>42840</x:v>
      </x:c>
      <x:c r="E12335" s="0" t="s">
        <x:v>47617</x:v>
      </x:c>
      <x:c r="F12335" s="0" t="s">
        <x:v>45</x:v>
      </x:c>
      <x:c r="G12335" s="0" t="s">
        <x:v>431</x:v>
      </x:c>
      <x:c r="H12335" s="0" t="s">
        <x:v>20</x:v>
      </x:c>
      <x:c r="I12335" s="0" t="s">
        <x:v>21</x:v>
      </x:c>
      <x:c r="K12335" s="0">
        <x:f>hyperlink("https://icd.who.int/dev11/l-ichi/en#/http%3A%2F%2Fid.who.int%2Ficd%2Fentity%2F1262974176","browser")</x:f>
      </x:c>
      <x:c r="L12335" s="0">
        <x:f>hyperlink("https://icat2.azurewebsites.net/icat/?ontology=ICD&amp;tab=ClassesTab&amp;id=http%3A%2F%2Fwho.int%2Ficd%2315509_16e67c35_8b57_40bb_9220_818553425a8c","iCat")</x:f>
      </x:c>
      <x:c r="M12335" s="0" t="s">
        <x:v>21</x:v>
      </x:c>
      <x:c r="N12335" s="0" t="s">
        <x:v>46</x:v>
      </x:c>
    </x:row>
    <x:row r="12336" spans="1:16">
      <x:c r="A12336" s="0" t="s">
        <x:v>47618</x:v>
      </x:c>
      <x:c r="B12336" s="0" t="s">
        <x:v>47619</x:v>
      </x:c>
      <x:c r="C12336" s="0" t="s">
        <x:v>42840</x:v>
      </x:c>
      <x:c r="E12336" s="0" t="s">
        <x:v>47620</x:v>
      </x:c>
      <x:c r="F12336" s="0" t="s">
        <x:v>45</x:v>
      </x:c>
      <x:c r="G12336" s="0" t="s">
        <x:v>22</x:v>
      </x:c>
      <x:c r="H12336" s="0" t="s">
        <x:v>20</x:v>
      </x:c>
      <x:c r="I12336" s="0" t="s">
        <x:v>21</x:v>
      </x:c>
      <x:c r="K12336" s="0">
        <x:f>hyperlink("https://icd.who.int/dev11/l-ichi/en#/http%3A%2F%2Fid.who.int%2Ficd%2Fentity%2F1192143213","browser")</x:f>
      </x:c>
      <x:c r="L12336" s="0">
        <x:f>hyperlink("https://icat2.azurewebsites.net/icat/?ontology=ICD&amp;tab=ClassesTab&amp;id=http%3A%2F%2Fwho.int%2Ficd%23SpecificAnatomicLocation_2826","iCat")</x:f>
      </x:c>
      <x:c r="M12336" s="0" t="s">
        <x:v>20</x:v>
      </x:c>
      <x:c r="N12336" s="0" t="s">
        <x:v>40</x:v>
      </x:c>
    </x:row>
    <x:row r="12337" spans="1:16">
      <x:c r="A12337" s="0" t="s">
        <x:v>47621</x:v>
      </x:c>
      <x:c r="B12337" s="0" t="s">
        <x:v>47622</x:v>
      </x:c>
      <x:c r="C12337" s="0" t="s">
        <x:v>42840</x:v>
      </x:c>
      <x:c r="E12337" s="0" t="s">
        <x:v>47623</x:v>
      </x:c>
      <x:c r="F12337" s="0" t="s">
        <x:v>45</x:v>
      </x:c>
      <x:c r="G12337" s="0" t="s">
        <x:v>40</x:v>
      </x:c>
      <x:c r="H12337" s="0" t="s">
        <x:v>20</x:v>
      </x:c>
      <x:c r="I12337" s="0" t="s">
        <x:v>21</x:v>
      </x:c>
      <x:c r="K12337" s="0">
        <x:f>hyperlink("https://icd.who.int/dev11/l-ichi/en#/http%3A%2F%2Fid.who.int%2Ficd%2Fentity%2F1918747766","browser")</x:f>
      </x:c>
      <x:c r="L12337" s="0">
        <x:f>hyperlink("https://icat2.azurewebsites.net/icat/?ontology=ICD&amp;tab=ClassesTab&amp;id=http%3A%2F%2Fwho.int%2Ficd%23SpecificAnatomicLocation_2833","iCat")</x:f>
      </x:c>
      <x:c r="M12337" s="0" t="s">
        <x:v>21</x:v>
      </x:c>
      <x:c r="N12337" s="0" t="s">
        <x:v>46</x:v>
      </x:c>
    </x:row>
    <x:row r="12338" spans="1:16">
      <x:c r="A12338" s="0" t="s">
        <x:v>47624</x:v>
      </x:c>
      <x:c r="B12338" s="0" t="s">
        <x:v>47625</x:v>
      </x:c>
      <x:c r="C12338" s="0" t="s">
        <x:v>42840</x:v>
      </x:c>
      <x:c r="E12338" s="0" t="s">
        <x:v>47626</x:v>
      </x:c>
      <x:c r="F12338" s="0" t="s">
        <x:v>45</x:v>
      </x:c>
      <x:c r="G12338" s="0" t="s">
        <x:v>40</x:v>
      </x:c>
      <x:c r="H12338" s="0" t="s">
        <x:v>20</x:v>
      </x:c>
      <x:c r="I12338" s="0" t="s">
        <x:v>21</x:v>
      </x:c>
      <x:c r="K12338" s="0">
        <x:f>hyperlink("https://icd.who.int/dev11/l-ichi/en#/http%3A%2F%2Fid.who.int%2Ficd%2Fentity%2F11312886","browser")</x:f>
      </x:c>
      <x:c r="L12338" s="0">
        <x:f>hyperlink("https://icat2.azurewebsites.net/icat/?ontology=ICD&amp;tab=ClassesTab&amp;id=http%3A%2F%2Fwho.int%2Ficd%23SpecificAnatomicLocation_2835","iCat")</x:f>
      </x:c>
      <x:c r="M12338" s="0" t="s">
        <x:v>20</x:v>
      </x:c>
      <x:c r="N12338" s="0" t="s">
        <x:v>19</x:v>
      </x:c>
    </x:row>
    <x:row r="12339" spans="1:16">
      <x:c r="A12339" s="0" t="s">
        <x:v>47627</x:v>
      </x:c>
      <x:c r="B12339" s="0" t="s">
        <x:v>47628</x:v>
      </x:c>
      <x:c r="C12339" s="0" t="s">
        <x:v>42840</x:v>
      </x:c>
      <x:c r="E12339" s="0" t="s">
        <x:v>47629</x:v>
      </x:c>
      <x:c r="F12339" s="0" t="s">
        <x:v>45</x:v>
      </x:c>
      <x:c r="G12339" s="0" t="s">
        <x:v>206</x:v>
      </x:c>
      <x:c r="H12339" s="0" t="s">
        <x:v>20</x:v>
      </x:c>
      <x:c r="I12339" s="0" t="s">
        <x:v>21</x:v>
      </x:c>
      <x:c r="K12339" s="0">
        <x:f>hyperlink("https://icd.who.int/dev11/l-ichi/en#/http%3A%2F%2Fid.who.int%2Ficd%2Fentity%2F1684754131","browser")</x:f>
      </x:c>
      <x:c r="L12339" s="0">
        <x:f>hyperlink("https://icat2.azurewebsites.net/icat/?ontology=ICD&amp;tab=ClassesTab&amp;id=http%3A%2F%2Fwho.int%2Ficd%23SpecificAnatomicLocation_2829","iCat")</x:f>
      </x:c>
      <x:c r="M12339" s="0" t="s">
        <x:v>21</x:v>
      </x:c>
      <x:c r="N12339" s="0" t="s">
        <x:v>46</x:v>
      </x:c>
    </x:row>
    <x:row r="12340" spans="1:16">
      <x:c r="A12340" s="0" t="s">
        <x:v>47630</x:v>
      </x:c>
      <x:c r="B12340" s="0" t="s">
        <x:v>47631</x:v>
      </x:c>
      <x:c r="C12340" s="0" t="s">
        <x:v>42840</x:v>
      </x:c>
      <x:c r="E12340" s="0" t="s">
        <x:v>47632</x:v>
      </x:c>
      <x:c r="F12340" s="0" t="s">
        <x:v>45</x:v>
      </x:c>
      <x:c r="G12340" s="0" t="s">
        <x:v>40</x:v>
      </x:c>
      <x:c r="H12340" s="0" t="s">
        <x:v>20</x:v>
      </x:c>
      <x:c r="I12340" s="0" t="s">
        <x:v>21</x:v>
      </x:c>
      <x:c r="K12340" s="0">
        <x:f>hyperlink("https://icd.who.int/dev11/l-ichi/en#/http%3A%2F%2Fid.who.int%2Ficd%2Fentity%2F1702207670","browser")</x:f>
      </x:c>
      <x:c r="L12340" s="0">
        <x:f>hyperlink("https://icat2.azurewebsites.net/icat/?ontology=ICD&amp;tab=ClassesTab&amp;id=http%3A%2F%2Fwho.int%2Ficd%23SpecificAnatomicLocation_2832","iCat")</x:f>
      </x:c>
      <x:c r="M12340" s="0" t="s">
        <x:v>20</x:v>
      </x:c>
      <x:c r="N12340" s="0" t="s">
        <x:v>19</x:v>
      </x:c>
    </x:row>
    <x:row r="12341" spans="1:16">
      <x:c r="A12341" s="0" t="s">
        <x:v>47633</x:v>
      </x:c>
      <x:c r="B12341" s="0" t="s">
        <x:v>47634</x:v>
      </x:c>
      <x:c r="C12341" s="0" t="s">
        <x:v>42840</x:v>
      </x:c>
      <x:c r="E12341" s="0" t="s">
        <x:v>47635</x:v>
      </x:c>
      <x:c r="F12341" s="0" t="s">
        <x:v>45</x:v>
      </x:c>
      <x:c r="G12341" s="0" t="s">
        <x:v>206</x:v>
      </x:c>
      <x:c r="H12341" s="0" t="s">
        <x:v>20</x:v>
      </x:c>
      <x:c r="I12341" s="0" t="s">
        <x:v>21</x:v>
      </x:c>
      <x:c r="K12341" s="0">
        <x:f>hyperlink("https://icd.who.int/dev11/l-ichi/en#/http%3A%2F%2Fid.who.int%2Ficd%2Fentity%2F298546963","browser")</x:f>
      </x:c>
      <x:c r="L12341" s="0">
        <x:f>hyperlink("https://icat2.azurewebsites.net/icat/?ontology=ICD&amp;tab=ClassesTab&amp;id=http%3A%2F%2Fwho.int%2Ficd%231561_d9027f82_5e3d_47a4_a6fe_3c65954dde3a","iCat")</x:f>
      </x:c>
      <x:c r="M12341" s="0" t="s">
        <x:v>21</x:v>
      </x:c>
      <x:c r="N12341" s="0" t="s">
        <x:v>46</x:v>
      </x:c>
    </x:row>
    <x:row r="12342" spans="1:16">
      <x:c r="A12342" s="0" t="s">
        <x:v>47636</x:v>
      </x:c>
      <x:c r="B12342" s="0" t="s">
        <x:v>47637</x:v>
      </x:c>
      <x:c r="C12342" s="0" t="s">
        <x:v>42840</x:v>
      </x:c>
      <x:c r="E12342" s="0" t="s">
        <x:v>47638</x:v>
      </x:c>
      <x:c r="F12342" s="0" t="s">
        <x:v>45</x:v>
      </x:c>
      <x:c r="G12342" s="0" t="s">
        <x:v>40</x:v>
      </x:c>
      <x:c r="H12342" s="0" t="s">
        <x:v>20</x:v>
      </x:c>
      <x:c r="I12342" s="0" t="s">
        <x:v>21</x:v>
      </x:c>
      <x:c r="K12342" s="0">
        <x:f>hyperlink("https://icd.who.int/dev11/l-ichi/en#/http%3A%2F%2Fid.who.int%2Ficd%2Fentity%2F1544359414","browser")</x:f>
      </x:c>
      <x:c r="L12342" s="0">
        <x:f>hyperlink("https://icat2.azurewebsites.net/icat/?ontology=ICD&amp;tab=ClassesTab&amp;id=http%3A%2F%2Fwho.int%2Ficd%23SpecificAnatomicLocation_2831","iCat")</x:f>
      </x:c>
      <x:c r="M12342" s="0" t="s">
        <x:v>21</x:v>
      </x:c>
      <x:c r="N12342" s="0" t="s">
        <x:v>46</x:v>
      </x:c>
    </x:row>
    <x:row r="12343" spans="1:16">
      <x:c r="A12343" s="0" t="s">
        <x:v>47639</x:v>
      </x:c>
      <x:c r="B12343" s="0" t="s">
        <x:v>47640</x:v>
      </x:c>
      <x:c r="C12343" s="0" t="s">
        <x:v>42840</x:v>
      </x:c>
      <x:c r="E12343" s="0" t="s">
        <x:v>47641</x:v>
      </x:c>
      <x:c r="F12343" s="0" t="s">
        <x:v>45</x:v>
      </x:c>
      <x:c r="G12343" s="0" t="s">
        <x:v>40</x:v>
      </x:c>
      <x:c r="H12343" s="0" t="s">
        <x:v>20</x:v>
      </x:c>
      <x:c r="I12343" s="0" t="s">
        <x:v>21</x:v>
      </x:c>
      <x:c r="K12343" s="0">
        <x:f>hyperlink("https://icd.who.int/dev11/l-ichi/en#/http%3A%2F%2Fid.who.int%2Ficd%2Fentity%2F1260742966","browser")</x:f>
      </x:c>
      <x:c r="L12343" s="0">
        <x:f>hyperlink("https://icat2.azurewebsites.net/icat/?ontology=ICD&amp;tab=ClassesTab&amp;id=http%3A%2F%2Fwho.int%2Ficd%23SpecificAnatomicLocation_2830","iCat")</x:f>
      </x:c>
      <x:c r="M12343" s="0" t="s">
        <x:v>21</x:v>
      </x:c>
      <x:c r="N12343" s="0" t="s">
        <x:v>46</x:v>
      </x:c>
    </x:row>
    <x:row r="12344" spans="1:16">
      <x:c r="A12344" s="0" t="s">
        <x:v>47642</x:v>
      </x:c>
      <x:c r="B12344" s="0" t="s">
        <x:v>47643</x:v>
      </x:c>
      <x:c r="C12344" s="0" t="s">
        <x:v>42840</x:v>
      </x:c>
      <x:c r="E12344" s="0" t="s">
        <x:v>47644</x:v>
      </x:c>
      <x:c r="F12344" s="0" t="s">
        <x:v>45</x:v>
      </x:c>
      <x:c r="G12344" s="0" t="s">
        <x:v>22</x:v>
      </x:c>
      <x:c r="H12344" s="0" t="s">
        <x:v>20</x:v>
      </x:c>
      <x:c r="I12344" s="0" t="s">
        <x:v>21</x:v>
      </x:c>
      <x:c r="K12344" s="0">
        <x:f>hyperlink("https://icd.who.int/dev11/l-ichi/en#/http%3A%2F%2Fid.who.int%2Ficd%2Fentity%2F905966573","browser")</x:f>
      </x:c>
      <x:c r="L12344" s="0">
        <x:f>hyperlink("https://icat2.azurewebsites.net/icat/?ontology=ICD&amp;tab=ClassesTab&amp;id=http%3A%2F%2Fwho.int%2Ficd%23SpecificAnatomicLocation_2820","iCat")</x:f>
      </x:c>
      <x:c r="M12344" s="0" t="s">
        <x:v>21</x:v>
      </x:c>
      <x:c r="N12344" s="0" t="s">
        <x:v>46</x:v>
      </x:c>
    </x:row>
    <x:row r="12345" spans="1:16">
      <x:c r="A12345" s="0" t="s">
        <x:v>47645</x:v>
      </x:c>
      <x:c r="B12345" s="0" t="s">
        <x:v>47646</x:v>
      </x:c>
      <x:c r="C12345" s="0" t="s">
        <x:v>42840</x:v>
      </x:c>
      <x:c r="E12345" s="0" t="s">
        <x:v>47647</x:v>
      </x:c>
      <x:c r="F12345" s="0" t="s">
        <x:v>45</x:v>
      </x:c>
      <x:c r="G12345" s="0" t="s">
        <x:v>35</x:v>
      </x:c>
      <x:c r="H12345" s="0" t="s">
        <x:v>20</x:v>
      </x:c>
      <x:c r="I12345" s="0" t="s">
        <x:v>21</x:v>
      </x:c>
      <x:c r="K12345" s="0">
        <x:f>hyperlink("https://icd.who.int/dev11/l-ichi/en#/http%3A%2F%2Fid.who.int%2Ficd%2Fentity%2F818145224","browser")</x:f>
      </x:c>
      <x:c r="L12345" s="0">
        <x:f>hyperlink("https://icat2.azurewebsites.net/icat/?ontology=ICD&amp;tab=ClassesTab&amp;id=http%3A%2F%2Fwho.int%2Ficd%2318956_16e67c35_8b57_40bb_9220_818553425a8c","iCat")</x:f>
      </x:c>
      <x:c r="M12345" s="0" t="s">
        <x:v>21</x:v>
      </x:c>
      <x:c r="N12345" s="0" t="s">
        <x:v>46</x:v>
      </x:c>
    </x:row>
    <x:row r="12346" spans="1:16">
      <x:c r="A12346" s="0" t="s">
        <x:v>47648</x:v>
      </x:c>
      <x:c r="B12346" s="0" t="s">
        <x:v>47649</x:v>
      </x:c>
      <x:c r="C12346" s="0" t="s">
        <x:v>42840</x:v>
      </x:c>
      <x:c r="E12346" s="0" t="s">
        <x:v>47650</x:v>
      </x:c>
      <x:c r="F12346" s="0" t="s">
        <x:v>45</x:v>
      </x:c>
      <x:c r="G12346" s="0" t="s">
        <x:v>35</x:v>
      </x:c>
      <x:c r="H12346" s="0" t="s">
        <x:v>20</x:v>
      </x:c>
      <x:c r="I12346" s="0" t="s">
        <x:v>21</x:v>
      </x:c>
      <x:c r="K12346" s="0">
        <x:f>hyperlink("https://icd.who.int/dev11/l-ichi/en#/http%3A%2F%2Fid.who.int%2Ficd%2Fentity%2F1597136239","browser")</x:f>
      </x:c>
      <x:c r="L12346" s="0">
        <x:f>hyperlink("https://icat2.azurewebsites.net/icat/?ontology=ICD&amp;tab=ClassesTab&amp;id=http%3A%2F%2Fwho.int%2Ficd%2318975_16e67c35_8b57_40bb_9220_818553425a8c","iCat")</x:f>
      </x:c>
      <x:c r="M12346" s="0" t="s">
        <x:v>20</x:v>
      </x:c>
      <x:c r="N12346" s="0" t="s">
        <x:v>19</x:v>
      </x:c>
    </x:row>
    <x:row r="12347" spans="1:16">
      <x:c r="A12347" s="0" t="s">
        <x:v>47651</x:v>
      </x:c>
      <x:c r="B12347" s="0" t="s">
        <x:v>47652</x:v>
      </x:c>
      <x:c r="C12347" s="0" t="s">
        <x:v>42840</x:v>
      </x:c>
      <x:c r="E12347" s="0" t="s">
        <x:v>47653</x:v>
      </x:c>
      <x:c r="F12347" s="0" t="s">
        <x:v>45</x:v>
      </x:c>
      <x:c r="G12347" s="0" t="s">
        <x:v>22</x:v>
      </x:c>
      <x:c r="H12347" s="0" t="s">
        <x:v>20</x:v>
      </x:c>
      <x:c r="I12347" s="0" t="s">
        <x:v>21</x:v>
      </x:c>
      <x:c r="K12347" s="0">
        <x:f>hyperlink("https://icd.who.int/dev11/l-ichi/en#/http%3A%2F%2Fid.who.int%2Ficd%2Fentity%2F1014360059","browser")</x:f>
      </x:c>
      <x:c r="L12347" s="0">
        <x:f>hyperlink("https://icat2.azurewebsites.net/icat/?ontology=ICD&amp;tab=ClassesTab&amp;id=http%3A%2F%2Fwho.int%2Ficd%23SpecificAnatomicLocation_2819","iCat")</x:f>
      </x:c>
      <x:c r="M12347" s="0" t="s">
        <x:v>21</x:v>
      </x:c>
      <x:c r="N12347" s="0" t="s">
        <x:v>46</x:v>
      </x:c>
    </x:row>
    <x:row r="12348" spans="1:16">
      <x:c r="A12348" s="0" t="s">
        <x:v>47654</x:v>
      </x:c>
      <x:c r="B12348" s="0" t="s">
        <x:v>47655</x:v>
      </x:c>
      <x:c r="C12348" s="0" t="s">
        <x:v>42840</x:v>
      </x:c>
      <x:c r="E12348" s="0" t="s">
        <x:v>47656</x:v>
      </x:c>
      <x:c r="F12348" s="0" t="s">
        <x:v>45</x:v>
      </x:c>
      <x:c r="G12348" s="0" t="s">
        <x:v>35</x:v>
      </x:c>
      <x:c r="H12348" s="0" t="s">
        <x:v>20</x:v>
      </x:c>
      <x:c r="I12348" s="0" t="s">
        <x:v>21</x:v>
      </x:c>
      <x:c r="K12348" s="0">
        <x:f>hyperlink("https://icd.who.int/dev11/l-ichi/en#/http%3A%2F%2Fid.who.int%2Ficd%2Fentity%2F2137825059","browser")</x:f>
      </x:c>
      <x:c r="L12348" s="0">
        <x:f>hyperlink("https://icat2.azurewebsites.net/icat/?ontology=ICD&amp;tab=ClassesTab&amp;id=http%3A%2F%2Fwho.int%2Ficd%2318997_16e67c35_8b57_40bb_9220_818553425a8c","iCat")</x:f>
      </x:c>
      <x:c r="M12348" s="0" t="s">
        <x:v>21</x:v>
      </x:c>
      <x:c r="N12348" s="0" t="s">
        <x:v>46</x:v>
      </x:c>
    </x:row>
    <x:row r="12349" spans="1:16">
      <x:c r="A12349" s="0" t="s">
        <x:v>47657</x:v>
      </x:c>
      <x:c r="B12349" s="0" t="s">
        <x:v>47658</x:v>
      </x:c>
      <x:c r="C12349" s="0" t="s">
        <x:v>42840</x:v>
      </x:c>
      <x:c r="E12349" s="0" t="s">
        <x:v>47659</x:v>
      </x:c>
      <x:c r="F12349" s="0" t="s">
        <x:v>45</x:v>
      </x:c>
      <x:c r="G12349" s="0" t="s">
        <x:v>19</x:v>
      </x:c>
      <x:c r="H12349" s="0" t="s">
        <x:v>20</x:v>
      </x:c>
      <x:c r="I12349" s="0" t="s">
        <x:v>21</x:v>
      </x:c>
      <x:c r="K12349" s="0">
        <x:f>hyperlink("https://icd.who.int/dev11/l-ichi/en#/http%3A%2F%2Fid.who.int%2Ficd%2Fentity%2F481430149","browser")</x:f>
      </x:c>
      <x:c r="L12349" s="0">
        <x:f>hyperlink("https://icat2.azurewebsites.net/icat/?ontology=ICD&amp;tab=ClassesTab&amp;id=http%3A%2F%2Fwho.int%2Ficd%23SpecificAnatomicLocation_2894","iCat")</x:f>
      </x:c>
      <x:c r="M12349" s="0" t="s">
        <x:v>20</x:v>
      </x:c>
      <x:c r="N12349" s="0" t="s">
        <x:v>1294</x:v>
      </x:c>
    </x:row>
    <x:row r="12350" spans="1:16">
      <x:c r="A12350" s="0" t="s">
        <x:v>47660</x:v>
      </x:c>
      <x:c r="B12350" s="0" t="s">
        <x:v>47661</x:v>
      </x:c>
      <x:c r="C12350" s="0" t="s">
        <x:v>42840</x:v>
      </x:c>
      <x:c r="E12350" s="0" t="s">
        <x:v>47662</x:v>
      </x:c>
      <x:c r="F12350" s="0" t="s">
        <x:v>45</x:v>
      </x:c>
      <x:c r="G12350" s="0" t="s">
        <x:v>30</x:v>
      </x:c>
      <x:c r="H12350" s="0" t="s">
        <x:v>20</x:v>
      </x:c>
      <x:c r="I12350" s="0" t="s">
        <x:v>21</x:v>
      </x:c>
      <x:c r="K12350" s="0">
        <x:f>hyperlink("https://icd.who.int/dev11/l-ichi/en#/http%3A%2F%2Fid.who.int%2Ficd%2Fentity%2F1278761436","browser")</x:f>
      </x:c>
      <x:c r="L12350" s="0">
        <x:f>hyperlink("https://icat2.azurewebsites.net/icat/?ontology=ICD&amp;tab=ClassesTab&amp;id=http%3A%2F%2Fwho.int%2Ficd%23SpecificAnatomicLocation_2886","iCat")</x:f>
      </x:c>
      <x:c r="M12350" s="0" t="s">
        <x:v>21</x:v>
      </x:c>
      <x:c r="N12350" s="0" t="s">
        <x:v>46</x:v>
      </x:c>
    </x:row>
    <x:row r="12351" spans="1:16">
      <x:c r="A12351" s="0" t="s">
        <x:v>47663</x:v>
      </x:c>
      <x:c r="B12351" s="0" t="s">
        <x:v>47664</x:v>
      </x:c>
      <x:c r="C12351" s="0" t="s">
        <x:v>42840</x:v>
      </x:c>
      <x:c r="E12351" s="0" t="s">
        <x:v>47665</x:v>
      </x:c>
      <x:c r="F12351" s="0" t="s">
        <x:v>45</x:v>
      </x:c>
      <x:c r="G12351" s="0" t="s">
        <x:v>30</x:v>
      </x:c>
      <x:c r="H12351" s="0" t="s">
        <x:v>20</x:v>
      </x:c>
      <x:c r="I12351" s="0" t="s">
        <x:v>21</x:v>
      </x:c>
      <x:c r="K12351" s="0">
        <x:f>hyperlink("https://icd.who.int/dev11/l-ichi/en#/http%3A%2F%2Fid.who.int%2Ficd%2Fentity%2F1967191196","browser")</x:f>
      </x:c>
      <x:c r="L12351" s="0">
        <x:f>hyperlink("https://icat2.azurewebsites.net/icat/?ontology=ICD&amp;tab=ClassesTab&amp;id=http%3A%2F%2Fwho.int%2Ficd%23SpecificAnatomicLocation_2885","iCat")</x:f>
      </x:c>
      <x:c r="M12351" s="0" t="s">
        <x:v>21</x:v>
      </x:c>
      <x:c r="N12351" s="0" t="s">
        <x:v>46</x:v>
      </x:c>
    </x:row>
    <x:row r="12352" spans="1:16">
      <x:c r="A12352" s="0" t="s">
        <x:v>47666</x:v>
      </x:c>
      <x:c r="B12352" s="0" t="s">
        <x:v>47667</x:v>
      </x:c>
      <x:c r="C12352" s="0" t="s">
        <x:v>42840</x:v>
      </x:c>
      <x:c r="E12352" s="0" t="s">
        <x:v>47668</x:v>
      </x:c>
      <x:c r="F12352" s="0" t="s">
        <x:v>45</x:v>
      </x:c>
      <x:c r="G12352" s="0" t="s">
        <x:v>30</x:v>
      </x:c>
      <x:c r="H12352" s="0" t="s">
        <x:v>20</x:v>
      </x:c>
      <x:c r="I12352" s="0" t="s">
        <x:v>21</x:v>
      </x:c>
      <x:c r="K12352" s="0">
        <x:f>hyperlink("https://icd.who.int/dev11/l-ichi/en#/http%3A%2F%2Fid.who.int%2Ficd%2Fentity%2F1463549253","browser")</x:f>
      </x:c>
      <x:c r="L12352" s="0">
        <x:f>hyperlink("https://icat2.azurewebsites.net/icat/?ontology=ICD&amp;tab=ClassesTab&amp;id=http%3A%2F%2Fwho.int%2Ficd%23SpecificAnatomicLocation_2891","iCat")</x:f>
      </x:c>
      <x:c r="M12352" s="0" t="s">
        <x:v>21</x:v>
      </x:c>
      <x:c r="N12352" s="0" t="s">
        <x:v>46</x:v>
      </x:c>
    </x:row>
    <x:row r="12353" spans="1:16">
      <x:c r="A12353" s="0" t="s">
        <x:v>47669</x:v>
      </x:c>
      <x:c r="B12353" s="0" t="s">
        <x:v>47670</x:v>
      </x:c>
      <x:c r="C12353" s="0" t="s">
        <x:v>42840</x:v>
      </x:c>
      <x:c r="E12353" s="0" t="s">
        <x:v>47671</x:v>
      </x:c>
      <x:c r="F12353" s="0" t="s">
        <x:v>45</x:v>
      </x:c>
      <x:c r="G12353" s="0" t="s">
        <x:v>30</x:v>
      </x:c>
      <x:c r="H12353" s="0" t="s">
        <x:v>20</x:v>
      </x:c>
      <x:c r="I12353" s="0" t="s">
        <x:v>21</x:v>
      </x:c>
      <x:c r="K12353" s="0">
        <x:f>hyperlink("https://icd.who.int/dev11/l-ichi/en#/http%3A%2F%2Fid.who.int%2Ficd%2Fentity%2F1075026309","browser")</x:f>
      </x:c>
      <x:c r="L12353" s="0">
        <x:f>hyperlink("https://icat2.azurewebsites.net/icat/?ontology=ICD&amp;tab=ClassesTab&amp;id=http%3A%2F%2Fwho.int%2Ficd%23SpecificAnatomicLocation_2890","iCat")</x:f>
      </x:c>
      <x:c r="M12353" s="0" t="s">
        <x:v>21</x:v>
      </x:c>
      <x:c r="N12353" s="0" t="s">
        <x:v>46</x:v>
      </x:c>
    </x:row>
    <x:row r="12354" spans="1:16">
      <x:c r="A12354" s="0" t="s">
        <x:v>47672</x:v>
      </x:c>
      <x:c r="B12354" s="0" t="s">
        <x:v>47673</x:v>
      </x:c>
      <x:c r="C12354" s="0" t="s">
        <x:v>42840</x:v>
      </x:c>
      <x:c r="E12354" s="0" t="s">
        <x:v>47674</x:v>
      </x:c>
      <x:c r="F12354" s="0" t="s">
        <x:v>45</x:v>
      </x:c>
      <x:c r="G12354" s="0" t="s">
        <x:v>30</x:v>
      </x:c>
      <x:c r="H12354" s="0" t="s">
        <x:v>20</x:v>
      </x:c>
      <x:c r="I12354" s="0" t="s">
        <x:v>21</x:v>
      </x:c>
      <x:c r="K12354" s="0">
        <x:f>hyperlink("https://icd.who.int/dev11/l-ichi/en#/http%3A%2F%2Fid.who.int%2Ficd%2Fentity%2F1527790876","browser")</x:f>
      </x:c>
      <x:c r="L12354" s="0">
        <x:f>hyperlink("https://icat2.azurewebsites.net/icat/?ontology=ICD&amp;tab=ClassesTab&amp;id=http%3A%2F%2Fwho.int%2Ficd%23SpecificAnatomicLocation_2887","iCat")</x:f>
      </x:c>
      <x:c r="M12354" s="0" t="s">
        <x:v>21</x:v>
      </x:c>
      <x:c r="N12354" s="0" t="s">
        <x:v>46</x:v>
      </x:c>
    </x:row>
    <x:row r="12355" spans="1:16">
      <x:c r="A12355" s="0" t="s">
        <x:v>47675</x:v>
      </x:c>
      <x:c r="B12355" s="0" t="s">
        <x:v>47676</x:v>
      </x:c>
      <x:c r="C12355" s="0" t="s">
        <x:v>42840</x:v>
      </x:c>
      <x:c r="E12355" s="0" t="s">
        <x:v>47677</x:v>
      </x:c>
      <x:c r="F12355" s="0" t="s">
        <x:v>45</x:v>
      </x:c>
      <x:c r="G12355" s="0" t="s">
        <x:v>30</x:v>
      </x:c>
      <x:c r="H12355" s="0" t="s">
        <x:v>20</x:v>
      </x:c>
      <x:c r="I12355" s="0" t="s">
        <x:v>21</x:v>
      </x:c>
      <x:c r="K12355" s="0">
        <x:f>hyperlink("https://icd.who.int/dev11/l-ichi/en#/http%3A%2F%2Fid.who.int%2Ficd%2Fentity%2F1053360988","browser")</x:f>
      </x:c>
      <x:c r="L12355" s="0">
        <x:f>hyperlink("https://icat2.azurewebsites.net/icat/?ontology=ICD&amp;tab=ClassesTab&amp;id=http%3A%2F%2Fwho.int%2Ficd%23SpecificAnatomicLocation_2880","iCat")</x:f>
      </x:c>
      <x:c r="M12355" s="0" t="s">
        <x:v>21</x:v>
      </x:c>
      <x:c r="N12355" s="0" t="s">
        <x:v>46</x:v>
      </x:c>
    </x:row>
    <x:row r="12356" spans="1:16">
      <x:c r="A12356" s="0" t="s">
        <x:v>47678</x:v>
      </x:c>
      <x:c r="B12356" s="0" t="s">
        <x:v>47679</x:v>
      </x:c>
      <x:c r="C12356" s="0" t="s">
        <x:v>42840</x:v>
      </x:c>
      <x:c r="E12356" s="0" t="s">
        <x:v>47680</x:v>
      </x:c>
      <x:c r="F12356" s="0" t="s">
        <x:v>45</x:v>
      </x:c>
      <x:c r="G12356" s="0" t="s">
        <x:v>30</x:v>
      </x:c>
      <x:c r="H12356" s="0" t="s">
        <x:v>20</x:v>
      </x:c>
      <x:c r="I12356" s="0" t="s">
        <x:v>21</x:v>
      </x:c>
      <x:c r="K12356" s="0">
        <x:f>hyperlink("https://icd.who.int/dev11/l-ichi/en#/http%3A%2F%2Fid.who.int%2Ficd%2Fentity%2F1688153749","browser")</x:f>
      </x:c>
      <x:c r="L12356" s="0">
        <x:f>hyperlink("https://icat2.azurewebsites.net/icat/?ontology=ICD&amp;tab=ClassesTab&amp;id=http%3A%2F%2Fwho.int%2Ficd%23SpecificAnatomicLocation_2878","iCat")</x:f>
      </x:c>
      <x:c r="M12356" s="0" t="s">
        <x:v>21</x:v>
      </x:c>
      <x:c r="N12356" s="0" t="s">
        <x:v>46</x:v>
      </x:c>
    </x:row>
    <x:row r="12357" spans="1:16">
      <x:c r="A12357" s="0" t="s">
        <x:v>47681</x:v>
      </x:c>
      <x:c r="B12357" s="0" t="s">
        <x:v>47682</x:v>
      </x:c>
      <x:c r="C12357" s="0" t="s">
        <x:v>42840</x:v>
      </x:c>
      <x:c r="E12357" s="0" t="s">
        <x:v>47683</x:v>
      </x:c>
      <x:c r="F12357" s="0" t="s">
        <x:v>45</x:v>
      </x:c>
      <x:c r="G12357" s="0" t="s">
        <x:v>30</x:v>
      </x:c>
      <x:c r="H12357" s="0" t="s">
        <x:v>20</x:v>
      </x:c>
      <x:c r="I12357" s="0" t="s">
        <x:v>21</x:v>
      </x:c>
      <x:c r="K12357" s="0">
        <x:f>hyperlink("https://icd.who.int/dev11/l-ichi/en#/http%3A%2F%2Fid.who.int%2Ficd%2Fentity%2F1651019868","browser")</x:f>
      </x:c>
      <x:c r="L12357" s="0">
        <x:f>hyperlink("https://icat2.azurewebsites.net/icat/?ontology=ICD&amp;tab=ClassesTab&amp;id=http%3A%2F%2Fwho.int%2Ficd%23SpecificAnatomicLocation_2884","iCat")</x:f>
      </x:c>
      <x:c r="M12357" s="0" t="s">
        <x:v>21</x:v>
      </x:c>
      <x:c r="N12357" s="0" t="s">
        <x:v>46</x:v>
      </x:c>
    </x:row>
    <x:row r="12358" spans="1:16">
      <x:c r="A12358" s="0" t="s">
        <x:v>47684</x:v>
      </x:c>
      <x:c r="B12358" s="0" t="s">
        <x:v>47685</x:v>
      </x:c>
      <x:c r="C12358" s="0" t="s">
        <x:v>42840</x:v>
      </x:c>
      <x:c r="E12358" s="0" t="s">
        <x:v>47686</x:v>
      </x:c>
      <x:c r="F12358" s="0" t="s">
        <x:v>45</x:v>
      </x:c>
      <x:c r="G12358" s="0" t="s">
        <x:v>30</x:v>
      </x:c>
      <x:c r="H12358" s="0" t="s">
        <x:v>20</x:v>
      </x:c>
      <x:c r="I12358" s="0" t="s">
        <x:v>21</x:v>
      </x:c>
      <x:c r="K12358" s="0">
        <x:f>hyperlink("https://icd.who.int/dev11/l-ichi/en#/http%3A%2F%2Fid.who.int%2Ficd%2Fentity%2F1849905157","browser")</x:f>
      </x:c>
      <x:c r="L12358" s="0">
        <x:f>hyperlink("https://icat2.azurewebsites.net/icat/?ontology=ICD&amp;tab=ClassesTab&amp;id=http%3A%2F%2Fwho.int%2Ficd%23SpecificAnatomicLocation_2892","iCat")</x:f>
      </x:c>
      <x:c r="M12358" s="0" t="s">
        <x:v>21</x:v>
      </x:c>
      <x:c r="N12358" s="0" t="s">
        <x:v>46</x:v>
      </x:c>
    </x:row>
    <x:row r="12359" spans="1:16">
      <x:c r="A12359" s="0" t="s">
        <x:v>47687</x:v>
      </x:c>
      <x:c r="B12359" s="0" t="s">
        <x:v>47688</x:v>
      </x:c>
      <x:c r="C12359" s="0" t="s">
        <x:v>42840</x:v>
      </x:c>
      <x:c r="E12359" s="0" t="s">
        <x:v>47689</x:v>
      </x:c>
      <x:c r="F12359" s="0" t="s">
        <x:v>45</x:v>
      </x:c>
      <x:c r="G12359" s="0" t="s">
        <x:v>30</x:v>
      </x:c>
      <x:c r="H12359" s="0" t="s">
        <x:v>20</x:v>
      </x:c>
      <x:c r="I12359" s="0" t="s">
        <x:v>21</x:v>
      </x:c>
      <x:c r="K12359" s="0">
        <x:f>hyperlink("https://icd.who.int/dev11/l-ichi/en#/http%3A%2F%2Fid.who.int%2Ficd%2Fentity%2F278514396","browser")</x:f>
      </x:c>
      <x:c r="L12359" s="0">
        <x:f>hyperlink("https://icat2.azurewebsites.net/icat/?ontology=ICD&amp;tab=ClassesTab&amp;id=http%3A%2F%2Fwho.int%2Ficd%23SpecificAnatomicLocation_2882","iCat")</x:f>
      </x:c>
      <x:c r="M12359" s="0" t="s">
        <x:v>21</x:v>
      </x:c>
      <x:c r="N12359" s="0" t="s">
        <x:v>46</x:v>
      </x:c>
    </x:row>
    <x:row r="12360" spans="1:16">
      <x:c r="A12360" s="0" t="s">
        <x:v>47690</x:v>
      </x:c>
      <x:c r="B12360" s="0" t="s">
        <x:v>47691</x:v>
      </x:c>
      <x:c r="C12360" s="0" t="s">
        <x:v>42840</x:v>
      </x:c>
      <x:c r="E12360" s="0" t="s">
        <x:v>47692</x:v>
      </x:c>
      <x:c r="F12360" s="0" t="s">
        <x:v>45</x:v>
      </x:c>
      <x:c r="G12360" s="0" t="s">
        <x:v>30</x:v>
      </x:c>
      <x:c r="H12360" s="0" t="s">
        <x:v>20</x:v>
      </x:c>
      <x:c r="I12360" s="0" t="s">
        <x:v>21</x:v>
      </x:c>
      <x:c r="K12360" s="0">
        <x:f>hyperlink("https://icd.who.int/dev11/l-ichi/en#/http%3A%2F%2Fid.who.int%2Ficd%2Fentity%2F702637980","browser")</x:f>
      </x:c>
      <x:c r="L12360" s="0">
        <x:f>hyperlink("https://icat2.azurewebsites.net/icat/?ontology=ICD&amp;tab=ClassesTab&amp;id=http%3A%2F%2Fwho.int%2Ficd%23SpecificAnatomicLocation_2881","iCat")</x:f>
      </x:c>
      <x:c r="M12360" s="0" t="s">
        <x:v>21</x:v>
      </x:c>
      <x:c r="N12360" s="0" t="s">
        <x:v>46</x:v>
      </x:c>
    </x:row>
    <x:row r="12361" spans="1:16">
      <x:c r="A12361" s="0" t="s">
        <x:v>47693</x:v>
      </x:c>
      <x:c r="B12361" s="0" t="s">
        <x:v>47694</x:v>
      </x:c>
      <x:c r="C12361" s="0" t="s">
        <x:v>42840</x:v>
      </x:c>
      <x:c r="E12361" s="0" t="s">
        <x:v>47695</x:v>
      </x:c>
      <x:c r="F12361" s="0" t="s">
        <x:v>45</x:v>
      </x:c>
      <x:c r="G12361" s="0" t="s">
        <x:v>30</x:v>
      </x:c>
      <x:c r="H12361" s="0" t="s">
        <x:v>20</x:v>
      </x:c>
      <x:c r="I12361" s="0" t="s">
        <x:v>21</x:v>
      </x:c>
      <x:c r="K12361" s="0">
        <x:f>hyperlink("https://icd.who.int/dev11/l-ichi/en#/http%3A%2F%2Fid.who.int%2Ficd%2Fentity%2F2020989604","browser")</x:f>
      </x:c>
      <x:c r="L12361" s="0">
        <x:f>hyperlink("https://icat2.azurewebsites.net/icat/?ontology=ICD&amp;tab=ClassesTab&amp;id=http%3A%2F%2Fwho.int%2Ficd%23SpecificAnatomicLocation_2888","iCat")</x:f>
      </x:c>
      <x:c r="M12361" s="0" t="s">
        <x:v>21</x:v>
      </x:c>
      <x:c r="N12361" s="0" t="s">
        <x:v>46</x:v>
      </x:c>
    </x:row>
    <x:row r="12362" spans="1:16">
      <x:c r="A12362" s="0" t="s">
        <x:v>47696</x:v>
      </x:c>
      <x:c r="B12362" s="0" t="s">
        <x:v>47697</x:v>
      </x:c>
      <x:c r="C12362" s="0" t="s">
        <x:v>42840</x:v>
      </x:c>
      <x:c r="E12362" s="0" t="s">
        <x:v>47698</x:v>
      </x:c>
      <x:c r="F12362" s="0" t="s">
        <x:v>45</x:v>
      </x:c>
      <x:c r="G12362" s="0" t="s">
        <x:v>30</x:v>
      </x:c>
      <x:c r="H12362" s="0" t="s">
        <x:v>20</x:v>
      </x:c>
      <x:c r="I12362" s="0" t="s">
        <x:v>21</x:v>
      </x:c>
      <x:c r="K12362" s="0">
        <x:f>hyperlink("https://icd.who.int/dev11/l-ichi/en#/http%3A%2F%2Fid.who.int%2Ficd%2Fentity%2F129084956","browser")</x:f>
      </x:c>
      <x:c r="L12362" s="0">
        <x:f>hyperlink("https://icat2.azurewebsites.net/icat/?ontology=ICD&amp;tab=ClassesTab&amp;id=http%3A%2F%2Fwho.int%2Ficd%23SpecificAnatomicLocation_2883","iCat")</x:f>
      </x:c>
      <x:c r="M12362" s="0" t="s">
        <x:v>21</x:v>
      </x:c>
      <x:c r="N12362" s="0" t="s">
        <x:v>46</x:v>
      </x:c>
    </x:row>
    <x:row r="12363" spans="1:16">
      <x:c r="A12363" s="0" t="s">
        <x:v>47699</x:v>
      </x:c>
      <x:c r="B12363" s="0" t="s">
        <x:v>47700</x:v>
      </x:c>
      <x:c r="C12363" s="0" t="s">
        <x:v>42840</x:v>
      </x:c>
      <x:c r="E12363" s="0" t="s">
        <x:v>47701</x:v>
      </x:c>
      <x:c r="F12363" s="0" t="s">
        <x:v>45</x:v>
      </x:c>
      <x:c r="G12363" s="0" t="s">
        <x:v>30</x:v>
      </x:c>
      <x:c r="H12363" s="0" t="s">
        <x:v>20</x:v>
      </x:c>
      <x:c r="I12363" s="0" t="s">
        <x:v>21</x:v>
      </x:c>
      <x:c r="K12363" s="0">
        <x:f>hyperlink("https://icd.who.int/dev11/l-ichi/en#/http%3A%2F%2Fid.who.int%2Ficd%2Fentity%2F1868414564","browser")</x:f>
      </x:c>
      <x:c r="L12363" s="0">
        <x:f>hyperlink("https://icat2.azurewebsites.net/icat/?ontology=ICD&amp;tab=ClassesTab&amp;id=http%3A%2F%2Fwho.int%2Ficd%23SpecificAnatomicLocation_2889","iCat")</x:f>
      </x:c>
      <x:c r="M12363" s="0" t="s">
        <x:v>21</x:v>
      </x:c>
      <x:c r="N12363" s="0" t="s">
        <x:v>46</x:v>
      </x:c>
    </x:row>
    <x:row r="12364" spans="1:16">
      <x:c r="A12364" s="0" t="s">
        <x:v>47702</x:v>
      </x:c>
      <x:c r="B12364" s="0" t="s">
        <x:v>47703</x:v>
      </x:c>
      <x:c r="C12364" s="0" t="s">
        <x:v>42840</x:v>
      </x:c>
      <x:c r="E12364" s="0" t="s">
        <x:v>47704</x:v>
      </x:c>
      <x:c r="F12364" s="0" t="s">
        <x:v>45</x:v>
      </x:c>
      <x:c r="G12364" s="0" t="s">
        <x:v>30</x:v>
      </x:c>
      <x:c r="H12364" s="0" t="s">
        <x:v>20</x:v>
      </x:c>
      <x:c r="I12364" s="0" t="s">
        <x:v>21</x:v>
      </x:c>
      <x:c r="K12364" s="0">
        <x:f>hyperlink("https://icd.who.int/dev11/l-ichi/en#/http%3A%2F%2Fid.who.int%2Ficd%2Fentity%2F1207617835","browser")</x:f>
      </x:c>
      <x:c r="L12364" s="0">
        <x:f>hyperlink("https://icat2.azurewebsites.net/icat/?ontology=ICD&amp;tab=ClassesTab&amp;id=http%3A%2F%2Fwho.int%2Ficd%23SpecificAnatomicLocation_2877","iCat")</x:f>
      </x:c>
      <x:c r="M12364" s="0" t="s">
        <x:v>21</x:v>
      </x:c>
      <x:c r="N12364" s="0" t="s">
        <x:v>46</x:v>
      </x:c>
    </x:row>
    <x:row r="12365" spans="1:16">
      <x:c r="A12365" s="0" t="s">
        <x:v>47705</x:v>
      </x:c>
      <x:c r="B12365" s="0" t="s">
        <x:v>47706</x:v>
      </x:c>
      <x:c r="C12365" s="0" t="s">
        <x:v>42840</x:v>
      </x:c>
      <x:c r="E12365" s="0" t="s">
        <x:v>47707</x:v>
      </x:c>
      <x:c r="F12365" s="0" t="s">
        <x:v>45</x:v>
      </x:c>
      <x:c r="G12365" s="0" t="s">
        <x:v>30</x:v>
      </x:c>
      <x:c r="H12365" s="0" t="s">
        <x:v>20</x:v>
      </x:c>
      <x:c r="I12365" s="0" t="s">
        <x:v>21</x:v>
      </x:c>
      <x:c r="K12365" s="0">
        <x:f>hyperlink("https://icd.who.int/dev11/l-ichi/en#/http%3A%2F%2Fid.who.int%2Ficd%2Fentity%2F1355984363","browser")</x:f>
      </x:c>
      <x:c r="L12365" s="0">
        <x:f>hyperlink("https://icat2.azurewebsites.net/icat/?ontology=ICD&amp;tab=ClassesTab&amp;id=http%3A%2F%2Fwho.int%2Ficd%23SpecificAnatomicLocation_2876","iCat")</x:f>
      </x:c>
      <x:c r="M12365" s="0" t="s">
        <x:v>21</x:v>
      </x:c>
      <x:c r="N12365" s="0" t="s">
        <x:v>46</x:v>
      </x:c>
    </x:row>
    <x:row r="12366" spans="1:16">
      <x:c r="A12366" s="0" t="s">
        <x:v>47708</x:v>
      </x:c>
      <x:c r="B12366" s="0" t="s">
        <x:v>47709</x:v>
      </x:c>
      <x:c r="C12366" s="0" t="s">
        <x:v>42840</x:v>
      </x:c>
      <x:c r="E12366" s="0" t="s">
        <x:v>47710</x:v>
      </x:c>
      <x:c r="F12366" s="0" t="s">
        <x:v>45</x:v>
      </x:c>
      <x:c r="G12366" s="0" t="s">
        <x:v>30</x:v>
      </x:c>
      <x:c r="H12366" s="0" t="s">
        <x:v>20</x:v>
      </x:c>
      <x:c r="I12366" s="0" t="s">
        <x:v>21</x:v>
      </x:c>
      <x:c r="K12366" s="0">
        <x:f>hyperlink("https://icd.who.int/dev11/l-ichi/en#/http%3A%2F%2Fid.who.int%2Ficd%2Fentity%2F1772748971","browser")</x:f>
      </x:c>
      <x:c r="L12366" s="0">
        <x:f>hyperlink("https://icat2.azurewebsites.net/icat/?ontology=ICD&amp;tab=ClassesTab&amp;id=http%3A%2F%2Fwho.int%2Ficd%23SpecificAnatomicLocation_2875","iCat")</x:f>
      </x:c>
      <x:c r="M12366" s="0" t="s">
        <x:v>21</x:v>
      </x:c>
      <x:c r="N12366" s="0" t="s">
        <x:v>46</x:v>
      </x:c>
    </x:row>
    <x:row r="12367" spans="1:16">
      <x:c r="A12367" s="0" t="s">
        <x:v>47711</x:v>
      </x:c>
      <x:c r="B12367" s="0" t="s">
        <x:v>47712</x:v>
      </x:c>
      <x:c r="C12367" s="0" t="s">
        <x:v>42840</x:v>
      </x:c>
      <x:c r="E12367" s="0" t="s">
        <x:v>47713</x:v>
      </x:c>
      <x:c r="F12367" s="0" t="s">
        <x:v>45</x:v>
      </x:c>
      <x:c r="G12367" s="0" t="s">
        <x:v>30</x:v>
      </x:c>
      <x:c r="H12367" s="0" t="s">
        <x:v>20</x:v>
      </x:c>
      <x:c r="I12367" s="0" t="s">
        <x:v>21</x:v>
      </x:c>
      <x:c r="K12367" s="0">
        <x:f>hyperlink("https://icd.who.int/dev11/l-ichi/en#/http%3A%2F%2Fid.who.int%2Ficd%2Fentity%2F1941391957","browser")</x:f>
      </x:c>
      <x:c r="L12367" s="0">
        <x:f>hyperlink("https://icat2.azurewebsites.net/icat/?ontology=ICD&amp;tab=ClassesTab&amp;id=http%3A%2F%2Fwho.int%2Ficd%23SpecificAnatomicLocation_2879","iCat")</x:f>
      </x:c>
      <x:c r="M12367" s="0" t="s">
        <x:v>21</x:v>
      </x:c>
      <x:c r="N12367" s="0" t="s">
        <x:v>46</x:v>
      </x:c>
    </x:row>
    <x:row r="12368" spans="1:16">
      <x:c r="A12368" s="0" t="s">
        <x:v>47714</x:v>
      </x:c>
      <x:c r="B12368" s="0" t="s">
        <x:v>47715</x:v>
      </x:c>
      <x:c r="C12368" s="0" t="s">
        <x:v>42840</x:v>
      </x:c>
      <x:c r="E12368" s="0" t="s">
        <x:v>47716</x:v>
      </x:c>
      <x:c r="F12368" s="0" t="s">
        <x:v>45</x:v>
      </x:c>
      <x:c r="G12368" s="0" t="s">
        <x:v>19</x:v>
      </x:c>
      <x:c r="H12368" s="0" t="s">
        <x:v>20</x:v>
      </x:c>
      <x:c r="I12368" s="0" t="s">
        <x:v>21</x:v>
      </x:c>
      <x:c r="K12368" s="0">
        <x:f>hyperlink("https://icd.who.int/dev11/l-ichi/en#/http%3A%2F%2Fid.who.int%2Ficd%2Fentity%2F276642106","browser")</x:f>
      </x:c>
      <x:c r="L12368" s="0">
        <x:f>hyperlink("https://icat2.azurewebsites.net/icat/?ontology=ICD&amp;tab=ClassesTab&amp;id=http%3A%2F%2Fwho.int%2Ficd%23SpecificAnatomicLocation_2784","iCat")</x:f>
      </x:c>
      <x:c r="M12368" s="0" t="s">
        <x:v>20</x:v>
      </x:c>
      <x:c r="N12368" s="0" t="s">
        <x:v>30</x:v>
      </x:c>
    </x:row>
    <x:row r="12369" spans="1:16">
      <x:c r="A12369" s="0" t="s">
        <x:v>47717</x:v>
      </x:c>
      <x:c r="B12369" s="0" t="s">
        <x:v>47718</x:v>
      </x:c>
      <x:c r="C12369" s="0" t="s">
        <x:v>42840</x:v>
      </x:c>
      <x:c r="E12369" s="0" t="s">
        <x:v>47719</x:v>
      </x:c>
      <x:c r="F12369" s="0" t="s">
        <x:v>45</x:v>
      </x:c>
      <x:c r="G12369" s="0" t="s">
        <x:v>30</x:v>
      </x:c>
      <x:c r="H12369" s="0" t="s">
        <x:v>20</x:v>
      </x:c>
      <x:c r="I12369" s="0" t="s">
        <x:v>21</x:v>
      </x:c>
      <x:c r="K12369" s="0">
        <x:f>hyperlink("https://icd.who.int/dev11/l-ichi/en#/http%3A%2F%2Fid.who.int%2Ficd%2Fentity%2F904880207","browser")</x:f>
      </x:c>
      <x:c r="L12369" s="0">
        <x:f>hyperlink("https://icat2.azurewebsites.net/icat/?ontology=ICD&amp;tab=ClassesTab&amp;id=http%3A%2F%2Fwho.int%2Ficd%23SpecificAnatomicLocation_2777","iCat")</x:f>
      </x:c>
      <x:c r="M12369" s="0" t="s">
        <x:v>21</x:v>
      </x:c>
      <x:c r="N12369" s="0" t="s">
        <x:v>46</x:v>
      </x:c>
    </x:row>
    <x:row r="12370" spans="1:16">
      <x:c r="A12370" s="0" t="s">
        <x:v>47720</x:v>
      </x:c>
      <x:c r="B12370" s="0" t="s">
        <x:v>47721</x:v>
      </x:c>
      <x:c r="C12370" s="0" t="s">
        <x:v>42840</x:v>
      </x:c>
      <x:c r="E12370" s="0" t="s">
        <x:v>47722</x:v>
      </x:c>
      <x:c r="F12370" s="0" t="s">
        <x:v>45</x:v>
      </x:c>
      <x:c r="G12370" s="0" t="s">
        <x:v>30</x:v>
      </x:c>
      <x:c r="H12370" s="0" t="s">
        <x:v>20</x:v>
      </x:c>
      <x:c r="I12370" s="0" t="s">
        <x:v>21</x:v>
      </x:c>
      <x:c r="K12370" s="0">
        <x:f>hyperlink("https://icd.who.int/dev11/l-ichi/en#/http%3A%2F%2Fid.who.int%2Ficd%2Fentity%2F257420431","browser")</x:f>
      </x:c>
      <x:c r="L12370" s="0">
        <x:f>hyperlink("https://icat2.azurewebsites.net/icat/?ontology=ICD&amp;tab=ClassesTab&amp;id=http%3A%2F%2Fwho.int%2Ficd%234638_16e67c35_8b57_40bb_9220_818553425a8c","iCat")</x:f>
      </x:c>
      <x:c r="M12370" s="0" t="s">
        <x:v>20</x:v>
      </x:c>
      <x:c r="N12370" s="0" t="s">
        <x:v>35</x:v>
      </x:c>
    </x:row>
    <x:row r="12371" spans="1:16">
      <x:c r="A12371" s="0" t="s">
        <x:v>47723</x:v>
      </x:c>
      <x:c r="B12371" s="0" t="s">
        <x:v>47724</x:v>
      </x:c>
      <x:c r="C12371" s="0" t="s">
        <x:v>42840</x:v>
      </x:c>
      <x:c r="E12371" s="0" t="s">
        <x:v>47725</x:v>
      </x:c>
      <x:c r="F12371" s="0" t="s">
        <x:v>45</x:v>
      </x:c>
      <x:c r="G12371" s="0" t="s">
        <x:v>35</x:v>
      </x:c>
      <x:c r="H12371" s="0" t="s">
        <x:v>20</x:v>
      </x:c>
      <x:c r="I12371" s="0" t="s">
        <x:v>21</x:v>
      </x:c>
      <x:c r="K12371" s="0">
        <x:f>hyperlink("https://icd.who.int/dev11/l-ichi/en#/http%3A%2F%2Fid.who.int%2Ficd%2Fentity%2F1542770426","browser")</x:f>
      </x:c>
      <x:c r="L12371" s="0">
        <x:f>hyperlink("https://icat2.azurewebsites.net/icat/?ontology=ICD&amp;tab=ClassesTab&amp;id=http%3A%2F%2Fwho.int%2Ficd%23SpecificAnatomicLocation_2781","iCat")</x:f>
      </x:c>
      <x:c r="M12371" s="0" t="s">
        <x:v>20</x:v>
      </x:c>
      <x:c r="N12371" s="0" t="s">
        <x:v>35</x:v>
      </x:c>
    </x:row>
    <x:row r="12372" spans="1:16">
      <x:c r="A12372" s="0" t="s">
        <x:v>47726</x:v>
      </x:c>
      <x:c r="B12372" s="0" t="s">
        <x:v>47727</x:v>
      </x:c>
      <x:c r="C12372" s="0" t="s">
        <x:v>42840</x:v>
      </x:c>
      <x:c r="E12372" s="0" t="s">
        <x:v>47728</x:v>
      </x:c>
      <x:c r="F12372" s="0" t="s">
        <x:v>45</x:v>
      </x:c>
      <x:c r="G12372" s="0" t="s">
        <x:v>22</x:v>
      </x:c>
      <x:c r="H12372" s="0" t="s">
        <x:v>20</x:v>
      </x:c>
      <x:c r="I12372" s="0" t="s">
        <x:v>21</x:v>
      </x:c>
      <x:c r="K12372" s="0">
        <x:f>hyperlink("https://icd.who.int/dev11/l-ichi/en#/http%3A%2F%2Fid.who.int%2Ficd%2Fentity%2F1289529914","browser")</x:f>
      </x:c>
      <x:c r="L12372" s="0">
        <x:f>hyperlink("https://icat2.azurewebsites.net/icat/?ontology=ICD&amp;tab=ClassesTab&amp;id=http%3A%2F%2Fwho.int%2Ficd%23SpecificAnatomicLocation_2780","iCat")</x:f>
      </x:c>
      <x:c r="M12372" s="0" t="s">
        <x:v>21</x:v>
      </x:c>
      <x:c r="N12372" s="0" t="s">
        <x:v>46</x:v>
      </x:c>
    </x:row>
    <x:row r="12373" spans="1:16">
      <x:c r="A12373" s="0" t="s">
        <x:v>47729</x:v>
      </x:c>
      <x:c r="B12373" s="0" t="s">
        <x:v>47730</x:v>
      </x:c>
      <x:c r="C12373" s="0" t="s">
        <x:v>42840</x:v>
      </x:c>
      <x:c r="E12373" s="0" t="s">
        <x:v>47731</x:v>
      </x:c>
      <x:c r="F12373" s="0" t="s">
        <x:v>45</x:v>
      </x:c>
      <x:c r="G12373" s="0" t="s">
        <x:v>22</x:v>
      </x:c>
      <x:c r="H12373" s="0" t="s">
        <x:v>20</x:v>
      </x:c>
      <x:c r="I12373" s="0" t="s">
        <x:v>21</x:v>
      </x:c>
      <x:c r="K12373" s="0">
        <x:f>hyperlink("https://icd.who.int/dev11/l-ichi/en#/http%3A%2F%2Fid.who.int%2Ficd%2Fentity%2F27452209","browser")</x:f>
      </x:c>
      <x:c r="L12373" s="0">
        <x:f>hyperlink("https://icat2.azurewebsites.net/icat/?ontology=ICD&amp;tab=ClassesTab&amp;id=http%3A%2F%2Fwho.int%2Ficd%23SpecificAnatomicLocation_2779","iCat")</x:f>
      </x:c>
      <x:c r="M12373" s="0" t="s">
        <x:v>20</x:v>
      </x:c>
      <x:c r="N12373" s="0" t="s">
        <x:v>30</x:v>
      </x:c>
    </x:row>
    <x:row r="12374" spans="1:16">
      <x:c r="A12374" s="0" t="s">
        <x:v>47732</x:v>
      </x:c>
      <x:c r="B12374" s="0" t="s">
        <x:v>47733</x:v>
      </x:c>
      <x:c r="C12374" s="0" t="s">
        <x:v>42840</x:v>
      </x:c>
      <x:c r="E12374" s="0" t="s">
        <x:v>47734</x:v>
      </x:c>
      <x:c r="F12374" s="0" t="s">
        <x:v>45</x:v>
      </x:c>
      <x:c r="G12374" s="0" t="s">
        <x:v>40</x:v>
      </x:c>
      <x:c r="H12374" s="0" t="s">
        <x:v>20</x:v>
      </x:c>
      <x:c r="I12374" s="0" t="s">
        <x:v>21</x:v>
      </x:c>
      <x:c r="K12374" s="0">
        <x:f>hyperlink("https://icd.who.int/dev11/l-ichi/en#/http%3A%2F%2Fid.who.int%2Ficd%2Fentity%2F583468175","browser")</x:f>
      </x:c>
      <x:c r="L12374" s="0">
        <x:f>hyperlink("https://icat2.azurewebsites.net/icat/?ontology=ICD&amp;tab=ClassesTab&amp;id=http%3A%2F%2Fwho.int%2Ficd%23SpecificAnatomicLocation_2776","iCat")</x:f>
      </x:c>
      <x:c r="M12374" s="0" t="s">
        <x:v>21</x:v>
      </x:c>
      <x:c r="N12374" s="0" t="s">
        <x:v>46</x:v>
      </x:c>
    </x:row>
    <x:row r="12375" spans="1:16">
      <x:c r="A12375" s="0" t="s">
        <x:v>47735</x:v>
      </x:c>
      <x:c r="B12375" s="0" t="s">
        <x:v>47736</x:v>
      </x:c>
      <x:c r="C12375" s="0" t="s">
        <x:v>42840</x:v>
      </x:c>
      <x:c r="E12375" s="0" t="s">
        <x:v>47737</x:v>
      </x:c>
      <x:c r="F12375" s="0" t="s">
        <x:v>45</x:v>
      </x:c>
      <x:c r="G12375" s="0" t="s">
        <x:v>40</x:v>
      </x:c>
      <x:c r="H12375" s="0" t="s">
        <x:v>20</x:v>
      </x:c>
      <x:c r="I12375" s="0" t="s">
        <x:v>21</x:v>
      </x:c>
      <x:c r="K12375" s="0">
        <x:f>hyperlink("https://icd.who.int/dev11/l-ichi/en#/http%3A%2F%2Fid.who.int%2Ficd%2Fentity%2F122494662","browser")</x:f>
      </x:c>
      <x:c r="L12375" s="0">
        <x:f>hyperlink("https://icat2.azurewebsites.net/icat/?ontology=ICD&amp;tab=ClassesTab&amp;id=http%3A%2F%2Fwho.int%2Ficd%234940_16e67c35_8b57_40bb_9220_818553425a8c","iCat")</x:f>
      </x:c>
      <x:c r="M12375" s="0" t="s">
        <x:v>21</x:v>
      </x:c>
      <x:c r="N12375" s="0" t="s">
        <x:v>46</x:v>
      </x:c>
    </x:row>
    <x:row r="12376" spans="1:16">
      <x:c r="A12376" s="0" t="s">
        <x:v>47738</x:v>
      </x:c>
      <x:c r="B12376" s="0" t="s">
        <x:v>47739</x:v>
      </x:c>
      <x:c r="C12376" s="0" t="s">
        <x:v>42840</x:v>
      </x:c>
      <x:c r="E12376" s="0" t="s">
        <x:v>47740</x:v>
      </x:c>
      <x:c r="F12376" s="0" t="s">
        <x:v>45</x:v>
      </x:c>
      <x:c r="G12376" s="0" t="s">
        <x:v>22</x:v>
      </x:c>
      <x:c r="H12376" s="0" t="s">
        <x:v>20</x:v>
      </x:c>
      <x:c r="I12376" s="0" t="s">
        <x:v>21</x:v>
      </x:c>
      <x:c r="K12376" s="0">
        <x:f>hyperlink("https://icd.who.int/dev11/l-ichi/en#/http%3A%2F%2Fid.who.int%2Ficd%2Fentity%2F503033770","browser")</x:f>
      </x:c>
      <x:c r="L12376" s="0">
        <x:f>hyperlink("https://icat2.azurewebsites.net/icat/?ontology=ICD&amp;tab=ClassesTab&amp;id=http%3A%2F%2Fwho.int%2Ficd%231364_d9027f82_5e3d_47a4_a6fe_3c65954dde3a","iCat")</x:f>
      </x:c>
      <x:c r="M12376" s="0" t="s">
        <x:v>20</x:v>
      </x:c>
      <x:c r="N12376" s="0" t="s">
        <x:v>19</x:v>
      </x:c>
    </x:row>
    <x:row r="12377" spans="1:16">
      <x:c r="A12377" s="0" t="s">
        <x:v>47741</x:v>
      </x:c>
      <x:c r="B12377" s="0" t="s">
        <x:v>47742</x:v>
      </x:c>
      <x:c r="C12377" s="0" t="s">
        <x:v>42840</x:v>
      </x:c>
      <x:c r="E12377" s="0" t="s">
        <x:v>47743</x:v>
      </x:c>
      <x:c r="F12377" s="0" t="s">
        <x:v>45</x:v>
      </x:c>
      <x:c r="G12377" s="0" t="s">
        <x:v>40</x:v>
      </x:c>
      <x:c r="H12377" s="0" t="s">
        <x:v>20</x:v>
      </x:c>
      <x:c r="I12377" s="0" t="s">
        <x:v>21</x:v>
      </x:c>
      <x:c r="K12377" s="0">
        <x:f>hyperlink("https://icd.who.int/dev11/l-ichi/en#/http%3A%2F%2Fid.who.int%2Ficd%2Fentity%2F378177521","browser")</x:f>
      </x:c>
      <x:c r="L12377" s="0">
        <x:f>hyperlink("https://icat2.azurewebsites.net/icat/?ontology=ICD&amp;tab=ClassesTab&amp;id=http%3A%2F%2Fwho.int%2Ficd%23SpecificAnatomicLocation_2778","iCat")</x:f>
      </x:c>
      <x:c r="M12377" s="0" t="s">
        <x:v>21</x:v>
      </x:c>
      <x:c r="N12377" s="0" t="s">
        <x:v>46</x:v>
      </x:c>
    </x:row>
    <x:row r="12378" spans="1:16">
      <x:c r="A12378" s="0" t="s">
        <x:v>47744</x:v>
      </x:c>
      <x:c r="B12378" s="0" t="s">
        <x:v>47745</x:v>
      </x:c>
      <x:c r="C12378" s="0" t="s">
        <x:v>42840</x:v>
      </x:c>
      <x:c r="E12378" s="0" t="s">
        <x:v>47746</x:v>
      </x:c>
      <x:c r="F12378" s="0" t="s">
        <x:v>45</x:v>
      </x:c>
      <x:c r="G12378" s="0" t="s">
        <x:v>35</x:v>
      </x:c>
      <x:c r="H12378" s="0" t="s">
        <x:v>20</x:v>
      </x:c>
      <x:c r="I12378" s="0" t="s">
        <x:v>21</x:v>
      </x:c>
      <x:c r="K12378" s="0">
        <x:f>hyperlink("https://icd.who.int/dev11/l-ichi/en#/http%3A%2F%2Fid.who.int%2Ficd%2Fentity%2F1653367738","browser")</x:f>
      </x:c>
      <x:c r="L12378" s="0">
        <x:f>hyperlink("https://icat2.azurewebsites.net/icat/?ontology=ICD&amp;tab=ClassesTab&amp;id=http%3A%2F%2Fwho.int%2Ficd%23SpecificAnatomicLocation_2782","iCat")</x:f>
      </x:c>
      <x:c r="M12378" s="0" t="s">
        <x:v>21</x:v>
      </x:c>
      <x:c r="N12378" s="0" t="s">
        <x:v>46</x:v>
      </x:c>
    </x:row>
    <x:row r="12379" spans="1:16">
      <x:c r="A12379" s="0" t="s">
        <x:v>47747</x:v>
      </x:c>
      <x:c r="B12379" s="0" t="s">
        <x:v>47748</x:v>
      </x:c>
      <x:c r="C12379" s="0" t="s">
        <x:v>42840</x:v>
      </x:c>
      <x:c r="E12379" s="0" t="s">
        <x:v>47749</x:v>
      </x:c>
      <x:c r="F12379" s="0" t="s">
        <x:v>45</x:v>
      </x:c>
      <x:c r="G12379" s="0" t="s">
        <x:v>35</x:v>
      </x:c>
      <x:c r="H12379" s="0" t="s">
        <x:v>20</x:v>
      </x:c>
      <x:c r="I12379" s="0" t="s">
        <x:v>21</x:v>
      </x:c>
      <x:c r="K12379" s="0">
        <x:f>hyperlink("https://icd.who.int/dev11/l-ichi/en#/http%3A%2F%2Fid.who.int%2Ficd%2Fentity%2F144877972","browser")</x:f>
      </x:c>
      <x:c r="L12379" s="0">
        <x:f>hyperlink("https://icat2.azurewebsites.net/icat/?ontology=ICD&amp;tab=ClassesTab&amp;id=http%3A%2F%2Fwho.int%2Ficd%231382_d9027f82_5e3d_47a4_a6fe_3c65954dde3a","iCat")</x:f>
      </x:c>
      <x:c r="M12379" s="0" t="s">
        <x:v>20</x:v>
      </x:c>
      <x:c r="N12379" s="0" t="s">
        <x:v>19</x:v>
      </x:c>
    </x:row>
    <x:row r="12380" spans="1:16">
      <x:c r="A12380" s="0" t="s">
        <x:v>47750</x:v>
      </x:c>
      <x:c r="B12380" s="0" t="s">
        <x:v>47751</x:v>
      </x:c>
      <x:c r="C12380" s="0" t="s">
        <x:v>42840</x:v>
      </x:c>
      <x:c r="E12380" s="0" t="s">
        <x:v>47752</x:v>
      </x:c>
      <x:c r="F12380" s="0" t="s">
        <x:v>45</x:v>
      </x:c>
      <x:c r="G12380" s="0" t="s">
        <x:v>22</x:v>
      </x:c>
      <x:c r="H12380" s="0" t="s">
        <x:v>20</x:v>
      </x:c>
      <x:c r="I12380" s="0" t="s">
        <x:v>21</x:v>
      </x:c>
      <x:c r="K12380" s="0">
        <x:f>hyperlink("https://icd.who.int/dev11/l-ichi/en#/http%3A%2F%2Fid.who.int%2Ficd%2Fentity%2F1973684090","browser")</x:f>
      </x:c>
      <x:c r="L12380" s="0">
        <x:f>hyperlink("https://icat2.azurewebsites.net/icat/?ontology=ICD&amp;tab=ClassesTab&amp;id=http%3A%2F%2Fwho.int%2Ficd%23SpecificAnatomicLocation_2783","iCat")</x:f>
      </x:c>
      <x:c r="M12380" s="0" t="s">
        <x:v>21</x:v>
      </x:c>
      <x:c r="N12380" s="0" t="s">
        <x:v>46</x:v>
      </x:c>
    </x:row>
    <x:row r="12381" spans="1:16">
      <x:c r="A12381" s="0" t="s">
        <x:v>47753</x:v>
      </x:c>
      <x:c r="B12381" s="0" t="s">
        <x:v>47754</x:v>
      </x:c>
      <x:c r="D12381" s="0" t="s">
        <x:v>44502</x:v>
      </x:c>
      <x:c r="E12381" s="0" t="s">
        <x:v>47755</x:v>
      </x:c>
      <x:c r="F12381" s="0" t="s">
        <x:v>26</x:v>
      </x:c>
      <x:c r="G12381" s="0" t="s">
        <x:v>35</x:v>
      </x:c>
      <x:c r="H12381" s="0" t="s">
        <x:v>20</x:v>
      </x:c>
      <x:c r="I12381" s="0" t="s">
        <x:v>21</x:v>
      </x:c>
      <x:c r="K12381" s="0">
        <x:f>hyperlink("https://icd.who.int/dev11/l-ichi/en#/http%3A%2F%2Fid.who.int%2Ficd%2Fentity%2F57597214","browser")</x:f>
      </x:c>
      <x:c r="L12381" s="0">
        <x:f>hyperlink("https://icat2.azurewebsites.net/icat/?ontology=ICD&amp;tab=ClassesTab&amp;id=http%3A%2F%2Fwho.int%2Ficd%23SpecificAnatomicLocation_1013","iCat")</x:f>
      </x:c>
      <x:c r="M12381" s="0" t="s">
        <x:v>20</x:v>
      </x:c>
      <x:c r="N12381" s="0" t="s">
        <x:v>30</x:v>
      </x:c>
    </x:row>
    <x:row r="12382" spans="1:16">
      <x:c r="A12382" s="0" t="s">
        <x:v>47756</x:v>
      </x:c>
      <x:c r="B12382" s="0" t="s">
        <x:v>47757</x:v>
      </x:c>
      <x:c r="C12382" s="0" t="s">
        <x:v>42840</x:v>
      </x:c>
      <x:c r="E12382" s="0" t="s">
        <x:v>902</x:v>
      </x:c>
      <x:c r="F12382" s="0" t="s">
        <x:v>45</x:v>
      </x:c>
      <x:c r="G12382" s="0" t="s">
        <x:v>19</x:v>
      </x:c>
      <x:c r="H12382" s="0" t="s">
        <x:v>20</x:v>
      </x:c>
      <x:c r="I12382" s="0" t="s">
        <x:v>21</x:v>
      </x:c>
      <x:c r="K12382" s="0">
        <x:f>hyperlink("https://icd.who.int/dev11/l-ichi/en#/http%3A%2F%2Fid.who.int%2Ficd%2Fentity%2F2033392163","browser")</x:f>
      </x:c>
      <x:c r="L12382" s="0">
        <x:f>hyperlink("https://icat2.azurewebsites.net/icat/?ontology=ICD&amp;tab=ClassesTab&amp;id=http%3A%2F%2Fwho.int%2Ficd%2356_d9027f82_5e3d_47a4_a6fe_3c65954dde3a","iCat")</x:f>
      </x:c>
      <x:c r="M12382" s="0" t="s">
        <x:v>20</x:v>
      </x:c>
      <x:c r="N12382" s="0" t="s">
        <x:v>19</x:v>
      </x:c>
    </x:row>
    <x:row r="12383" spans="1:16">
      <x:c r="A12383" s="0" t="s">
        <x:v>47758</x:v>
      </x:c>
      <x:c r="B12383" s="0" t="s">
        <x:v>47759</x:v>
      </x:c>
      <x:c r="C12383" s="0" t="s">
        <x:v>42840</x:v>
      </x:c>
      <x:c r="E12383" s="0" t="s">
        <x:v>47760</x:v>
      </x:c>
      <x:c r="F12383" s="0" t="s">
        <x:v>45</x:v>
      </x:c>
      <x:c r="G12383" s="0" t="s">
        <x:v>30</x:v>
      </x:c>
      <x:c r="H12383" s="0" t="s">
        <x:v>20</x:v>
      </x:c>
      <x:c r="I12383" s="0" t="s">
        <x:v>21</x:v>
      </x:c>
      <x:c r="K12383" s="0">
        <x:f>hyperlink("https://icd.who.int/dev11/l-ichi/en#/http%3A%2F%2Fid.who.int%2Ficd%2Fentity%2F1471140905","browser")</x:f>
      </x:c>
      <x:c r="L12383" s="0">
        <x:f>hyperlink("https://icat2.azurewebsites.net/icat/?ontology=ICD&amp;tab=ClassesTab&amp;id=http%3A%2F%2Fwho.int%2Ficd%23SpecificAnatomicLocation_1064","iCat")</x:f>
      </x:c>
      <x:c r="M12383" s="0" t="s">
        <x:v>20</x:v>
      </x:c>
      <x:c r="N12383" s="0" t="s">
        <x:v>30</x:v>
      </x:c>
    </x:row>
    <x:row r="12384" spans="1:16">
      <x:c r="A12384" s="0" t="s">
        <x:v>47761</x:v>
      </x:c>
      <x:c r="B12384" s="0" t="s">
        <x:v>47762</x:v>
      </x:c>
      <x:c r="C12384" s="0" t="s">
        <x:v>42840</x:v>
      </x:c>
      <x:c r="E12384" s="0" t="s">
        <x:v>47763</x:v>
      </x:c>
      <x:c r="F12384" s="0" t="s">
        <x:v>45</x:v>
      </x:c>
      <x:c r="G12384" s="0" t="s">
        <x:v>35</x:v>
      </x:c>
      <x:c r="H12384" s="0" t="s">
        <x:v>20</x:v>
      </x:c>
      <x:c r="I12384" s="0" t="s">
        <x:v>21</x:v>
      </x:c>
      <x:c r="K12384" s="0">
        <x:f>hyperlink("https://icd.who.int/dev11/l-ichi/en#/http%3A%2F%2Fid.who.int%2Ficd%2Fentity%2F626953897","browser")</x:f>
      </x:c>
      <x:c r="L12384" s="0">
        <x:f>hyperlink("https://icat2.azurewebsites.net/icat/?ontology=ICD&amp;tab=ClassesTab&amp;id=http%3A%2F%2Fwho.int%2Ficd%23SpecificAnatomicLocation_1062","iCat")</x:f>
      </x:c>
      <x:c r="M12384" s="0" t="s">
        <x:v>21</x:v>
      </x:c>
      <x:c r="N12384" s="0" t="s">
        <x:v>46</x:v>
      </x:c>
    </x:row>
    <x:row r="12385" spans="1:16">
      <x:c r="A12385" s="0" t="s">
        <x:v>47764</x:v>
      </x:c>
      <x:c r="B12385" s="0" t="s">
        <x:v>47765</x:v>
      </x:c>
      <x:c r="C12385" s="0" t="s">
        <x:v>42840</x:v>
      </x:c>
      <x:c r="E12385" s="0" t="s">
        <x:v>47766</x:v>
      </x:c>
      <x:c r="F12385" s="0" t="s">
        <x:v>45</x:v>
      </x:c>
      <x:c r="G12385" s="0" t="s">
        <x:v>35</x:v>
      </x:c>
      <x:c r="H12385" s="0" t="s">
        <x:v>20</x:v>
      </x:c>
      <x:c r="I12385" s="0" t="s">
        <x:v>21</x:v>
      </x:c>
      <x:c r="K12385" s="0">
        <x:f>hyperlink("https://icd.who.int/dev11/l-ichi/en#/http%3A%2F%2Fid.who.int%2Ficd%2Fentity%2F846654057","browser")</x:f>
      </x:c>
      <x:c r="L12385" s="0">
        <x:f>hyperlink("https://icat2.azurewebsites.net/icat/?ontology=ICD&amp;tab=ClassesTab&amp;id=http%3A%2F%2Fwho.int%2Ficd%23SpecificAnatomicLocation_1063","iCat")</x:f>
      </x:c>
      <x:c r="M12385" s="0" t="s">
        <x:v>21</x:v>
      </x:c>
      <x:c r="N12385" s="0" t="s">
        <x:v>46</x:v>
      </x:c>
    </x:row>
    <x:row r="12386" spans="1:16">
      <x:c r="A12386" s="0" t="s">
        <x:v>47767</x:v>
      </x:c>
      <x:c r="B12386" s="0" t="s">
        <x:v>47768</x:v>
      </x:c>
      <x:c r="C12386" s="0" t="s">
        <x:v>42840</x:v>
      </x:c>
      <x:c r="E12386" s="0" t="s">
        <x:v>946</x:v>
      </x:c>
      <x:c r="F12386" s="0" t="s">
        <x:v>45</x:v>
      </x:c>
      <x:c r="G12386" s="0" t="s">
        <x:v>19</x:v>
      </x:c>
      <x:c r="H12386" s="0" t="s">
        <x:v>20</x:v>
      </x:c>
      <x:c r="I12386" s="0" t="s">
        <x:v>21</x:v>
      </x:c>
      <x:c r="K12386" s="0">
        <x:f>hyperlink("https://icd.who.int/dev11/l-ichi/en#/http%3A%2F%2Fid.who.int%2Ficd%2Fentity%2F909890232","browser")</x:f>
      </x:c>
      <x:c r="L12386" s="0">
        <x:f>hyperlink("https://icat2.azurewebsites.net/icat/?ontology=ICD&amp;tab=ClassesTab&amp;id=http%3A%2F%2Fwho.int%2Ficd%2374_d9027f82_5e3d_47a4_a6fe_3c65954dde3a","iCat")</x:f>
      </x:c>
      <x:c r="M12386" s="0" t="s">
        <x:v>21</x:v>
      </x:c>
      <x:c r="N12386" s="0" t="s">
        <x:v>46</x:v>
      </x:c>
    </x:row>
    <x:row r="12387" spans="1:16">
      <x:c r="A12387" s="0" t="s">
        <x:v>47769</x:v>
      </x:c>
      <x:c r="B12387" s="0" t="s">
        <x:v>47770</x:v>
      </x:c>
      <x:c r="D12387" s="0" t="s">
        <x:v>44502</x:v>
      </x:c>
      <x:c r="E12387" s="0" t="s">
        <x:v>47771</x:v>
      </x:c>
      <x:c r="F12387" s="0" t="s">
        <x:v>26</x:v>
      </x:c>
      <x:c r="G12387" s="0" t="s">
        <x:v>35</x:v>
      </x:c>
      <x:c r="H12387" s="0" t="s">
        <x:v>20</x:v>
      </x:c>
      <x:c r="I12387" s="0" t="s">
        <x:v>21</x:v>
      </x:c>
      <x:c r="K12387" s="0">
        <x:f>hyperlink("https://icd.who.int/dev11/l-ichi/en#/http%3A%2F%2Fid.who.int%2Ficd%2Fentity%2F2108966855","browser")</x:f>
      </x:c>
      <x:c r="L12387" s="0">
        <x:f>hyperlink("https://icat2.azurewebsites.net/icat/?ontology=ICD&amp;tab=ClassesTab&amp;id=http%3A%2F%2Fwho.int%2Ficd%23SpecificAnatomicLocation_1003","iCat")</x:f>
      </x:c>
      <x:c r="M12387" s="0" t="s">
        <x:v>20</x:v>
      </x:c>
      <x:c r="N12387" s="0" t="s">
        <x:v>431</x:v>
      </x:c>
    </x:row>
    <x:row r="12388" spans="1:16">
      <x:c r="A12388" s="0" t="s">
        <x:v>47772</x:v>
      </x:c>
      <x:c r="B12388" s="0" t="s">
        <x:v>47773</x:v>
      </x:c>
      <x:c r="C12388" s="0" t="s">
        <x:v>42840</x:v>
      </x:c>
      <x:c r="E12388" s="0" t="s">
        <x:v>47774</x:v>
      </x:c>
      <x:c r="F12388" s="0" t="s">
        <x:v>45</x:v>
      </x:c>
      <x:c r="G12388" s="0" t="s">
        <x:v>19</x:v>
      </x:c>
      <x:c r="H12388" s="0" t="s">
        <x:v>20</x:v>
      </x:c>
      <x:c r="I12388" s="0" t="s">
        <x:v>21</x:v>
      </x:c>
      <x:c r="K12388" s="0">
        <x:f>hyperlink("https://icd.who.int/dev11/l-ichi/en#/http%3A%2F%2Fid.who.int%2Ficd%2Fentity%2F1337584902","browser")</x:f>
      </x:c>
      <x:c r="L12388" s="0">
        <x:f>hyperlink("https://icat2.azurewebsites.net/icat/?ontology=ICD&amp;tab=ClassesTab&amp;id=http%3A%2F%2Fwho.int%2Ficd%23SpecificAnatomicLocation_1135","iCat")</x:f>
      </x:c>
      <x:c r="M12388" s="0" t="s">
        <x:v>20</x:v>
      </x:c>
      <x:c r="N12388" s="0" t="s">
        <x:v>431</x:v>
      </x:c>
    </x:row>
    <x:row r="12389" spans="1:16">
      <x:c r="A12389" s="0" t="s">
        <x:v>47775</x:v>
      </x:c>
      <x:c r="B12389" s="0" t="s">
        <x:v>47776</x:v>
      </x:c>
      <x:c r="C12389" s="0" t="s">
        <x:v>42840</x:v>
      </x:c>
      <x:c r="E12389" s="0" t="s">
        <x:v>47777</x:v>
      </x:c>
      <x:c r="F12389" s="0" t="s">
        <x:v>45</x:v>
      </x:c>
      <x:c r="G12389" s="0" t="s">
        <x:v>30</x:v>
      </x:c>
      <x:c r="H12389" s="0" t="s">
        <x:v>20</x:v>
      </x:c>
      <x:c r="I12389" s="0" t="s">
        <x:v>21</x:v>
      </x:c>
      <x:c r="K12389" s="0">
        <x:f>hyperlink("https://icd.who.int/dev11/l-ichi/en#/http%3A%2F%2Fid.who.int%2Ficd%2Fentity%2F1379637685","browser")</x:f>
      </x:c>
      <x:c r="L12389" s="0">
        <x:f>hyperlink("https://icat2.azurewebsites.net/icat/?ontology=ICD&amp;tab=ClassesTab&amp;id=http%3A%2F%2Fwho.int%2Ficd%2333825_5068053d_dbae_4066_9fec_a83d5dd174ab","iCat")</x:f>
      </x:c>
      <x:c r="M12389" s="0" t="s">
        <x:v>20</x:v>
      </x:c>
      <x:c r="N12389" s="0" t="s">
        <x:v>35</x:v>
      </x:c>
    </x:row>
    <x:row r="12390" spans="1:16">
      <x:c r="A12390" s="0" t="s">
        <x:v>47778</x:v>
      </x:c>
      <x:c r="B12390" s="0" t="s">
        <x:v>47779</x:v>
      </x:c>
      <x:c r="C12390" s="0" t="s">
        <x:v>42840</x:v>
      </x:c>
      <x:c r="E12390" s="0" t="s">
        <x:v>47780</x:v>
      </x:c>
      <x:c r="F12390" s="0" t="s">
        <x:v>45</x:v>
      </x:c>
      <x:c r="G12390" s="0" t="s">
        <x:v>35</x:v>
      </x:c>
      <x:c r="H12390" s="0" t="s">
        <x:v>20</x:v>
      </x:c>
      <x:c r="I12390" s="0" t="s">
        <x:v>21</x:v>
      </x:c>
      <x:c r="K12390" s="0">
        <x:f>hyperlink("https://icd.who.int/dev11/l-ichi/en#/http%3A%2F%2Fid.who.int%2Ficd%2Fentity%2F1481885257","browser")</x:f>
      </x:c>
      <x:c r="L12390" s="0">
        <x:f>hyperlink("https://icat2.azurewebsites.net/icat/?ontology=ICD&amp;tab=ClassesTab&amp;id=http%3A%2F%2Fwho.int%2Ficd%2333843_5068053d_dbae_4066_9fec_a83d5dd174ab","iCat")</x:f>
      </x:c>
      <x:c r="M12390" s="0" t="s">
        <x:v>21</x:v>
      </x:c>
      <x:c r="N12390" s="0" t="s">
        <x:v>46</x:v>
      </x:c>
    </x:row>
    <x:row r="12391" spans="1:16">
      <x:c r="A12391" s="0" t="s">
        <x:v>47781</x:v>
      </x:c>
      <x:c r="B12391" s="0" t="s">
        <x:v>47782</x:v>
      </x:c>
      <x:c r="C12391" s="0" t="s">
        <x:v>42840</x:v>
      </x:c>
      <x:c r="E12391" s="0" t="s">
        <x:v>47783</x:v>
      </x:c>
      <x:c r="F12391" s="0" t="s">
        <x:v>45</x:v>
      </x:c>
      <x:c r="G12391" s="0" t="s">
        <x:v>35</x:v>
      </x:c>
      <x:c r="H12391" s="0" t="s">
        <x:v>20</x:v>
      </x:c>
      <x:c r="I12391" s="0" t="s">
        <x:v>21</x:v>
      </x:c>
      <x:c r="K12391" s="0">
        <x:f>hyperlink("https://icd.who.int/dev11/l-ichi/en#/http%3A%2F%2Fid.who.int%2Ficd%2Fentity%2F382105818","browser")</x:f>
      </x:c>
      <x:c r="L12391" s="0">
        <x:f>hyperlink("https://icat2.azurewebsites.net/icat/?ontology=ICD&amp;tab=ClassesTab&amp;id=http%3A%2F%2Fwho.int%2Ficd%2336938_5068053d_dbae_4066_9fec_a83d5dd174ab","iCat")</x:f>
      </x:c>
      <x:c r="M12391" s="0" t="s">
        <x:v>20</x:v>
      </x:c>
      <x:c r="N12391" s="0" t="s">
        <x:v>30</x:v>
      </x:c>
    </x:row>
    <x:row r="12392" spans="1:16">
      <x:c r="A12392" s="0" t="s">
        <x:v>47784</x:v>
      </x:c>
      <x:c r="B12392" s="0" t="s">
        <x:v>47785</x:v>
      </x:c>
      <x:c r="C12392" s="0" t="s">
        <x:v>42840</x:v>
      </x:c>
      <x:c r="E12392" s="0" t="s">
        <x:v>47786</x:v>
      </x:c>
      <x:c r="F12392" s="0" t="s">
        <x:v>45</x:v>
      </x:c>
      <x:c r="G12392" s="0" t="s">
        <x:v>22</x:v>
      </x:c>
      <x:c r="H12392" s="0" t="s">
        <x:v>20</x:v>
      </x:c>
      <x:c r="I12392" s="0" t="s">
        <x:v>21</x:v>
      </x:c>
      <x:c r="K12392" s="0">
        <x:f>hyperlink("https://icd.who.int/dev11/l-ichi/en#/http%3A%2F%2Fid.who.int%2Ficd%2Fentity%2F1198448711","browser")</x:f>
      </x:c>
      <x:c r="L12392" s="0">
        <x:f>hyperlink("https://icat2.azurewebsites.net/icat/?ontology=ICD&amp;tab=ClassesTab&amp;id=http%3A%2F%2Fwho.int%2Ficd%23SpecificAnatomicLocation_1082","iCat")</x:f>
      </x:c>
      <x:c r="M12392" s="0" t="s">
        <x:v>21</x:v>
      </x:c>
      <x:c r="N12392" s="0" t="s">
        <x:v>46</x:v>
      </x:c>
    </x:row>
    <x:row r="12393" spans="1:16">
      <x:c r="A12393" s="0" t="s">
        <x:v>47787</x:v>
      </x:c>
      <x:c r="B12393" s="0" t="s">
        <x:v>47788</x:v>
      </x:c>
      <x:c r="C12393" s="0" t="s">
        <x:v>42840</x:v>
      </x:c>
      <x:c r="E12393" s="0" t="s">
        <x:v>47789</x:v>
      </x:c>
      <x:c r="F12393" s="0" t="s">
        <x:v>45</x:v>
      </x:c>
      <x:c r="G12393" s="0" t="s">
        <x:v>22</x:v>
      </x:c>
      <x:c r="H12393" s="0" t="s">
        <x:v>20</x:v>
      </x:c>
      <x:c r="I12393" s="0" t="s">
        <x:v>21</x:v>
      </x:c>
      <x:c r="K12393" s="0">
        <x:f>hyperlink("https://icd.who.int/dev11/l-ichi/en#/http%3A%2F%2Fid.who.int%2Ficd%2Fentity%2F1346798727","browser")</x:f>
      </x:c>
      <x:c r="L12393" s="0">
        <x:f>hyperlink("https://icat2.azurewebsites.net/icat/?ontology=ICD&amp;tab=ClassesTab&amp;id=http%3A%2F%2Fwho.int%2Ficd%23SpecificAnatomicLocation_1083","iCat")</x:f>
      </x:c>
      <x:c r="M12393" s="0" t="s">
        <x:v>21</x:v>
      </x:c>
      <x:c r="N12393" s="0" t="s">
        <x:v>46</x:v>
      </x:c>
    </x:row>
    <x:row r="12394" spans="1:16">
      <x:c r="A12394" s="0" t="s">
        <x:v>47790</x:v>
      </x:c>
      <x:c r="B12394" s="0" t="s">
        <x:v>47791</x:v>
      </x:c>
      <x:c r="C12394" s="0" t="s">
        <x:v>42840</x:v>
      </x:c>
      <x:c r="E12394" s="0" t="s">
        <x:v>47792</x:v>
      </x:c>
      <x:c r="F12394" s="0" t="s">
        <x:v>45</x:v>
      </x:c>
      <x:c r="G12394" s="0" t="s">
        <x:v>35</x:v>
      </x:c>
      <x:c r="H12394" s="0" t="s">
        <x:v>20</x:v>
      </x:c>
      <x:c r="I12394" s="0" t="s">
        <x:v>21</x:v>
      </x:c>
      <x:c r="K12394" s="0">
        <x:f>hyperlink("https://icd.who.int/dev11/l-ichi/en#/http%3A%2F%2Fid.who.int%2Ficd%2Fentity%2F1378834033","browser")</x:f>
      </x:c>
      <x:c r="L12394" s="0">
        <x:f>hyperlink("https://icat2.azurewebsites.net/icat/?ontology=ICD&amp;tab=ClassesTab&amp;id=http%3A%2F%2Fwho.int%2Ficd%2336956_5068053d_dbae_4066_9fec_a83d5dd174ab","iCat")</x:f>
      </x:c>
      <x:c r="M12394" s="0" t="s">
        <x:v>20</x:v>
      </x:c>
      <x:c r="N12394" s="0" t="s">
        <x:v>30</x:v>
      </x:c>
    </x:row>
    <x:row r="12395" spans="1:16">
      <x:c r="A12395" s="0" t="s">
        <x:v>47793</x:v>
      </x:c>
      <x:c r="B12395" s="0" t="s">
        <x:v>47794</x:v>
      </x:c>
      <x:c r="C12395" s="0" t="s">
        <x:v>42840</x:v>
      </x:c>
      <x:c r="E12395" s="0" t="s">
        <x:v>47795</x:v>
      </x:c>
      <x:c r="F12395" s="0" t="s">
        <x:v>45</x:v>
      </x:c>
      <x:c r="G12395" s="0" t="s">
        <x:v>22</x:v>
      </x:c>
      <x:c r="H12395" s="0" t="s">
        <x:v>20</x:v>
      </x:c>
      <x:c r="I12395" s="0" t="s">
        <x:v>21</x:v>
      </x:c>
      <x:c r="K12395" s="0">
        <x:f>hyperlink("https://icd.who.int/dev11/l-ichi/en#/http%3A%2F%2Fid.who.int%2Ficd%2Fentity%2F1133653343","browser")</x:f>
      </x:c>
      <x:c r="L12395" s="0">
        <x:f>hyperlink("https://icat2.azurewebsites.net/icat/?ontology=ICD&amp;tab=ClassesTab&amp;id=http%3A%2F%2Fwho.int%2Ficd%23SpecificAnatomicLocation_1123","iCat")</x:f>
      </x:c>
      <x:c r="M12395" s="0" t="s">
        <x:v>21</x:v>
      </x:c>
      <x:c r="N12395" s="0" t="s">
        <x:v>46</x:v>
      </x:c>
    </x:row>
    <x:row r="12396" spans="1:16">
      <x:c r="A12396" s="0" t="s">
        <x:v>47796</x:v>
      </x:c>
      <x:c r="B12396" s="0" t="s">
        <x:v>47797</x:v>
      </x:c>
      <x:c r="C12396" s="0" t="s">
        <x:v>42840</x:v>
      </x:c>
      <x:c r="E12396" s="0" t="s">
        <x:v>47798</x:v>
      </x:c>
      <x:c r="F12396" s="0" t="s">
        <x:v>45</x:v>
      </x:c>
      <x:c r="G12396" s="0" t="s">
        <x:v>22</x:v>
      </x:c>
      <x:c r="H12396" s="0" t="s">
        <x:v>20</x:v>
      </x:c>
      <x:c r="I12396" s="0" t="s">
        <x:v>21</x:v>
      </x:c>
      <x:c r="K12396" s="0">
        <x:f>hyperlink("https://icd.who.int/dev11/l-ichi/en#/http%3A%2F%2Fid.who.int%2Ficd%2Fentity%2F642454303","browser")</x:f>
      </x:c>
      <x:c r="L12396" s="0">
        <x:f>hyperlink("https://icat2.azurewebsites.net/icat/?ontology=ICD&amp;tab=ClassesTab&amp;id=http%3A%2F%2Fwho.int%2Ficd%23SpecificAnatomicLocation_1124","iCat")</x:f>
      </x:c>
      <x:c r="M12396" s="0" t="s">
        <x:v>21</x:v>
      </x:c>
      <x:c r="N12396" s="0" t="s">
        <x:v>46</x:v>
      </x:c>
    </x:row>
    <x:row r="12397" spans="1:16">
      <x:c r="A12397" s="0" t="s">
        <x:v>47799</x:v>
      </x:c>
      <x:c r="B12397" s="0" t="s">
        <x:v>47800</x:v>
      </x:c>
      <x:c r="C12397" s="0" t="s">
        <x:v>42840</x:v>
      </x:c>
      <x:c r="E12397" s="0" t="s">
        <x:v>47801</x:v>
      </x:c>
      <x:c r="F12397" s="0" t="s">
        <x:v>45</x:v>
      </x:c>
      <x:c r="G12397" s="0" t="s">
        <x:v>30</x:v>
      </x:c>
      <x:c r="H12397" s="0" t="s">
        <x:v>20</x:v>
      </x:c>
      <x:c r="I12397" s="0" t="s">
        <x:v>21</x:v>
      </x:c>
      <x:c r="K12397" s="0">
        <x:f>hyperlink("https://icd.who.int/dev11/l-ichi/en#/http%3A%2F%2Fid.who.int%2Ficd%2Fentity%2F1682501833","browser")</x:f>
      </x:c>
      <x:c r="L12397" s="0">
        <x:f>hyperlink("https://icat2.azurewebsites.net/icat/?ontology=ICD&amp;tab=ClassesTab&amp;id=http%3A%2F%2Fwho.int%2Ficd%23SpecificAnatomicLocation_1118","iCat")</x:f>
      </x:c>
      <x:c r="M12397" s="0" t="s">
        <x:v>20</x:v>
      </x:c>
      <x:c r="N12397" s="0" t="s">
        <x:v>30</x:v>
      </x:c>
    </x:row>
    <x:row r="12398" spans="1:16">
      <x:c r="A12398" s="0" t="s">
        <x:v>47802</x:v>
      </x:c>
      <x:c r="B12398" s="0" t="s">
        <x:v>47803</x:v>
      </x:c>
      <x:c r="C12398" s="0" t="s">
        <x:v>42840</x:v>
      </x:c>
      <x:c r="E12398" s="0" t="s">
        <x:v>47804</x:v>
      </x:c>
      <x:c r="F12398" s="0" t="s">
        <x:v>45</x:v>
      </x:c>
      <x:c r="G12398" s="0" t="s">
        <x:v>35</x:v>
      </x:c>
      <x:c r="H12398" s="0" t="s">
        <x:v>20</x:v>
      </x:c>
      <x:c r="I12398" s="0" t="s">
        <x:v>21</x:v>
      </x:c>
      <x:c r="K12398" s="0">
        <x:f>hyperlink("https://icd.who.int/dev11/l-ichi/en#/http%3A%2F%2Fid.who.int%2Ficd%2Fentity%2F1342534583","browser")</x:f>
      </x:c>
      <x:c r="L12398" s="0">
        <x:f>hyperlink("https://icat2.azurewebsites.net/icat/?ontology=ICD&amp;tab=ClassesTab&amp;id=http%3A%2F%2Fwho.int%2Ficd%23SpecificAnatomicLocation_1116","iCat")</x:f>
      </x:c>
      <x:c r="M12398" s="0" t="s">
        <x:v>20</x:v>
      </x:c>
      <x:c r="N12398" s="0" t="s">
        <x:v>30</x:v>
      </x:c>
    </x:row>
    <x:row r="12399" spans="1:16">
      <x:c r="A12399" s="0" t="s">
        <x:v>47805</x:v>
      </x:c>
      <x:c r="B12399" s="0" t="s">
        <x:v>47806</x:v>
      </x:c>
      <x:c r="C12399" s="0" t="s">
        <x:v>42840</x:v>
      </x:c>
      <x:c r="E12399" s="0" t="s">
        <x:v>47807</x:v>
      </x:c>
      <x:c r="F12399" s="0" t="s">
        <x:v>45</x:v>
      </x:c>
      <x:c r="G12399" s="0" t="s">
        <x:v>22</x:v>
      </x:c>
      <x:c r="H12399" s="0" t="s">
        <x:v>20</x:v>
      </x:c>
      <x:c r="I12399" s="0" t="s">
        <x:v>21</x:v>
      </x:c>
      <x:c r="K12399" s="0">
        <x:f>hyperlink("https://icd.who.int/dev11/l-ichi/en#/http%3A%2F%2Fid.who.int%2Ficd%2Fentity%2F1799572494","browser")</x:f>
      </x:c>
      <x:c r="L12399" s="0">
        <x:f>hyperlink("https://icat2.azurewebsites.net/icat/?ontology=ICD&amp;tab=ClassesTab&amp;id=http%3A%2F%2Fwho.int%2Ficd%2336740_5068053d_dbae_4066_9fec_a83d5dd174ab","iCat")</x:f>
      </x:c>
      <x:c r="M12399" s="0" t="s">
        <x:v>21</x:v>
      </x:c>
      <x:c r="N12399" s="0" t="s">
        <x:v>46</x:v>
      </x:c>
    </x:row>
    <x:row r="12400" spans="1:16">
      <x:c r="A12400" s="0" t="s">
        <x:v>47808</x:v>
      </x:c>
      <x:c r="B12400" s="0" t="s">
        <x:v>47809</x:v>
      </x:c>
      <x:c r="C12400" s="0" t="s">
        <x:v>42840</x:v>
      </x:c>
      <x:c r="E12400" s="0" t="s">
        <x:v>47810</x:v>
      </x:c>
      <x:c r="F12400" s="0" t="s">
        <x:v>45</x:v>
      </x:c>
      <x:c r="G12400" s="0" t="s">
        <x:v>22</x:v>
      </x:c>
      <x:c r="H12400" s="0" t="s">
        <x:v>20</x:v>
      </x:c>
      <x:c r="I12400" s="0" t="s">
        <x:v>21</x:v>
      </x:c>
      <x:c r="K12400" s="0">
        <x:f>hyperlink("https://icd.who.int/dev11/l-ichi/en#/http%3A%2F%2Fid.who.int%2Ficd%2Fentity%2F1325901840","browser")</x:f>
      </x:c>
      <x:c r="L12400" s="0">
        <x:f>hyperlink("https://icat2.azurewebsites.net/icat/?ontology=ICD&amp;tab=ClassesTab&amp;id=http%3A%2F%2Fwho.int%2Ficd%2336758_5068053d_dbae_4066_9fec_a83d5dd174ab","iCat")</x:f>
      </x:c>
      <x:c r="M12400" s="0" t="s">
        <x:v>21</x:v>
      </x:c>
      <x:c r="N12400" s="0" t="s">
        <x:v>46</x:v>
      </x:c>
    </x:row>
    <x:row r="12401" spans="1:16">
      <x:c r="A12401" s="0" t="s">
        <x:v>47811</x:v>
      </x:c>
      <x:c r="B12401" s="0" t="s">
        <x:v>47812</x:v>
      </x:c>
      <x:c r="C12401" s="0" t="s">
        <x:v>42840</x:v>
      </x:c>
      <x:c r="E12401" s="0" t="s">
        <x:v>47813</x:v>
      </x:c>
      <x:c r="F12401" s="0" t="s">
        <x:v>45</x:v>
      </x:c>
      <x:c r="G12401" s="0" t="s">
        <x:v>35</x:v>
      </x:c>
      <x:c r="H12401" s="0" t="s">
        <x:v>20</x:v>
      </x:c>
      <x:c r="I12401" s="0" t="s">
        <x:v>21</x:v>
      </x:c>
      <x:c r="K12401" s="0">
        <x:f>hyperlink("https://icd.who.int/dev11/l-ichi/en#/http%3A%2F%2Fid.who.int%2Ficd%2Fentity%2F1194137463","browser")</x:f>
      </x:c>
      <x:c r="L12401" s="0">
        <x:f>hyperlink("https://icat2.azurewebsites.net/icat/?ontology=ICD&amp;tab=ClassesTab&amp;id=http%3A%2F%2Fwho.int%2Ficd%23SpecificAnatomicLocation_1117","iCat")</x:f>
      </x:c>
      <x:c r="M12401" s="0" t="s">
        <x:v>20</x:v>
      </x:c>
      <x:c r="N12401" s="0" t="s">
        <x:v>30</x:v>
      </x:c>
    </x:row>
    <x:row r="12402" spans="1:16">
      <x:c r="A12402" s="0" t="s">
        <x:v>47814</x:v>
      </x:c>
      <x:c r="B12402" s="0" t="s">
        <x:v>47815</x:v>
      </x:c>
      <x:c r="C12402" s="0" t="s">
        <x:v>42840</x:v>
      </x:c>
      <x:c r="E12402" s="0" t="s">
        <x:v>47816</x:v>
      </x:c>
      <x:c r="F12402" s="0" t="s">
        <x:v>45</x:v>
      </x:c>
      <x:c r="G12402" s="0" t="s">
        <x:v>22</x:v>
      </x:c>
      <x:c r="H12402" s="0" t="s">
        <x:v>20</x:v>
      </x:c>
      <x:c r="I12402" s="0" t="s">
        <x:v>21</x:v>
      </x:c>
      <x:c r="K12402" s="0">
        <x:f>hyperlink("https://icd.who.int/dev11/l-ichi/en#/http%3A%2F%2Fid.who.int%2Ficd%2Fentity%2F1540823032","browser")</x:f>
      </x:c>
      <x:c r="L12402" s="0">
        <x:f>hyperlink("https://icat2.azurewebsites.net/icat/?ontology=ICD&amp;tab=ClassesTab&amp;id=http%3A%2F%2Fwho.int%2Ficd%2336794_5068053d_dbae_4066_9fec_a83d5dd174ab","iCat")</x:f>
      </x:c>
      <x:c r="M12402" s="0" t="s">
        <x:v>21</x:v>
      </x:c>
      <x:c r="N12402" s="0" t="s">
        <x:v>46</x:v>
      </x:c>
    </x:row>
    <x:row r="12403" spans="1:16">
      <x:c r="A12403" s="0" t="s">
        <x:v>47817</x:v>
      </x:c>
      <x:c r="B12403" s="0" t="s">
        <x:v>47818</x:v>
      </x:c>
      <x:c r="C12403" s="0" t="s">
        <x:v>42840</x:v>
      </x:c>
      <x:c r="E12403" s="0" t="s">
        <x:v>47819</x:v>
      </x:c>
      <x:c r="F12403" s="0" t="s">
        <x:v>45</x:v>
      </x:c>
      <x:c r="G12403" s="0" t="s">
        <x:v>22</x:v>
      </x:c>
      <x:c r="H12403" s="0" t="s">
        <x:v>20</x:v>
      </x:c>
      <x:c r="I12403" s="0" t="s">
        <x:v>21</x:v>
      </x:c>
      <x:c r="K12403" s="0">
        <x:f>hyperlink("https://icd.who.int/dev11/l-ichi/en#/http%3A%2F%2Fid.who.int%2Ficd%2Fentity%2F1657800581","browser")</x:f>
      </x:c>
      <x:c r="L12403" s="0">
        <x:f>hyperlink("https://icat2.azurewebsites.net/icat/?ontology=ICD&amp;tab=ClassesTab&amp;id=http%3A%2F%2Fwho.int%2Ficd%2336812_5068053d_dbae_4066_9fec_a83d5dd174ab","iCat")</x:f>
      </x:c>
      <x:c r="M12403" s="0" t="s">
        <x:v>21</x:v>
      </x:c>
      <x:c r="N12403" s="0" t="s">
        <x:v>46</x:v>
      </x:c>
    </x:row>
    <x:row r="12404" spans="1:16">
      <x:c r="A12404" s="0" t="s">
        <x:v>47820</x:v>
      </x:c>
      <x:c r="B12404" s="0" t="s">
        <x:v>47821</x:v>
      </x:c>
      <x:c r="C12404" s="0" t="s">
        <x:v>42840</x:v>
      </x:c>
      <x:c r="E12404" s="0" t="s">
        <x:v>47822</x:v>
      </x:c>
      <x:c r="F12404" s="0" t="s">
        <x:v>45</x:v>
      </x:c>
      <x:c r="G12404" s="0" t="s">
        <x:v>30</x:v>
      </x:c>
      <x:c r="H12404" s="0" t="s">
        <x:v>20</x:v>
      </x:c>
      <x:c r="I12404" s="0" t="s">
        <x:v>21</x:v>
      </x:c>
      <x:c r="K12404" s="0">
        <x:f>hyperlink("https://icd.who.int/dev11/l-ichi/en#/http%3A%2F%2Fid.who.int%2Ficd%2Fentity%2F1421494687","browser")</x:f>
      </x:c>
      <x:c r="L12404" s="0">
        <x:f>hyperlink("https://icat2.azurewebsites.net/icat/?ontology=ICD&amp;tab=ClassesTab&amp;id=http%3A%2F%2Fwho.int%2Ficd%23SpecificAnatomicLocation_1122","iCat")</x:f>
      </x:c>
      <x:c r="M12404" s="0" t="s">
        <x:v>21</x:v>
      </x:c>
      <x:c r="N12404" s="0" t="s">
        <x:v>46</x:v>
      </x:c>
    </x:row>
    <x:row r="12405" spans="1:16">
      <x:c r="A12405" s="0" t="s">
        <x:v>47823</x:v>
      </x:c>
      <x:c r="B12405" s="0" t="s">
        <x:v>47824</x:v>
      </x:c>
      <x:c r="C12405" s="0" t="s">
        <x:v>42840</x:v>
      </x:c>
      <x:c r="E12405" s="0" t="s">
        <x:v>47825</x:v>
      </x:c>
      <x:c r="F12405" s="0" t="s">
        <x:v>45</x:v>
      </x:c>
      <x:c r="G12405" s="0" t="s">
        <x:v>30</x:v>
      </x:c>
      <x:c r="H12405" s="0" t="s">
        <x:v>20</x:v>
      </x:c>
      <x:c r="I12405" s="0" t="s">
        <x:v>21</x:v>
      </x:c>
      <x:c r="K12405" s="0">
        <x:f>hyperlink("https://icd.who.int/dev11/l-ichi/en#/http%3A%2F%2Fid.who.int%2Ficd%2Fentity%2F1610684600","browser")</x:f>
      </x:c>
      <x:c r="L12405" s="0">
        <x:f>hyperlink("https://icat2.azurewebsites.net/icat/?ontology=ICD&amp;tab=ClassesTab&amp;id=http%3A%2F%2Fwho.int%2Ficd%2333450_5068053d_dbae_4066_9fec_a83d5dd174ab","iCat")</x:f>
      </x:c>
      <x:c r="M12405" s="0" t="s">
        <x:v>21</x:v>
      </x:c>
      <x:c r="N12405" s="0" t="s">
        <x:v>46</x:v>
      </x:c>
    </x:row>
    <x:row r="12406" spans="1:16">
      <x:c r="A12406" s="0" t="s">
        <x:v>47826</x:v>
      </x:c>
      <x:c r="B12406" s="0" t="s">
        <x:v>47827</x:v>
      </x:c>
      <x:c r="C12406" s="0" t="s">
        <x:v>42840</x:v>
      </x:c>
      <x:c r="E12406" s="0" t="s">
        <x:v>1043</x:v>
      </x:c>
      <x:c r="F12406" s="0" t="s">
        <x:v>45</x:v>
      </x:c>
      <x:c r="G12406" s="0" t="s">
        <x:v>30</x:v>
      </x:c>
      <x:c r="H12406" s="0" t="s">
        <x:v>20</x:v>
      </x:c>
      <x:c r="I12406" s="0" t="s">
        <x:v>21</x:v>
      </x:c>
      <x:c r="K12406" s="0">
        <x:f>hyperlink("https://icd.who.int/dev11/l-ichi/en#/http%3A%2F%2Fid.who.int%2Ficd%2Fentity%2F1769856759","browser")</x:f>
      </x:c>
      <x:c r="L12406" s="0">
        <x:f>hyperlink("https://icat2.azurewebsites.net/icat/?ontology=ICD&amp;tab=ClassesTab&amp;id=http%3A%2F%2Fwho.int%2Ficd%23SpecificAnatomicLocation_1115","iCat")</x:f>
      </x:c>
      <x:c r="M12406" s="0" t="s">
        <x:v>20</x:v>
      </x:c>
      <x:c r="N12406" s="0" t="s">
        <x:v>431</x:v>
      </x:c>
    </x:row>
    <x:row r="12407" spans="1:16">
      <x:c r="A12407" s="0" t="s">
        <x:v>47828</x:v>
      </x:c>
      <x:c r="B12407" s="0" t="s">
        <x:v>47829</x:v>
      </x:c>
      <x:c r="C12407" s="0" t="s">
        <x:v>42840</x:v>
      </x:c>
      <x:c r="E12407" s="0" t="s">
        <x:v>47830</x:v>
      </x:c>
      <x:c r="F12407" s="0" t="s">
        <x:v>45</x:v>
      </x:c>
      <x:c r="G12407" s="0" t="s">
        <x:v>35</x:v>
      </x:c>
      <x:c r="H12407" s="0" t="s">
        <x:v>20</x:v>
      </x:c>
      <x:c r="I12407" s="0" t="s">
        <x:v>21</x:v>
      </x:c>
      <x:c r="K12407" s="0">
        <x:f>hyperlink("https://icd.who.int/dev11/l-ichi/en#/http%3A%2F%2Fid.who.int%2Ficd%2Fentity%2F903630327","browser")</x:f>
      </x:c>
      <x:c r="L12407" s="0">
        <x:f>hyperlink("https://icat2.azurewebsites.net/icat/?ontology=ICD&amp;tab=ClassesTab&amp;id=http%3A%2F%2Fwho.int%2Ficd%23SpecificAnatomicLocation_1111","iCat")</x:f>
      </x:c>
      <x:c r="M12407" s="0" t="s">
        <x:v>20</x:v>
      </x:c>
      <x:c r="N12407" s="0" t="s">
        <x:v>19</x:v>
      </x:c>
    </x:row>
    <x:row r="12408" spans="1:16">
      <x:c r="A12408" s="0" t="s">
        <x:v>47831</x:v>
      </x:c>
      <x:c r="B12408" s="0" t="s">
        <x:v>47832</x:v>
      </x:c>
      <x:c r="C12408" s="0" t="s">
        <x:v>42840</x:v>
      </x:c>
      <x:c r="E12408" s="0" t="s">
        <x:v>47833</x:v>
      </x:c>
      <x:c r="F12408" s="0" t="s">
        <x:v>45</x:v>
      </x:c>
      <x:c r="G12408" s="0" t="s">
        <x:v>22</x:v>
      </x:c>
      <x:c r="H12408" s="0" t="s">
        <x:v>20</x:v>
      </x:c>
      <x:c r="I12408" s="0" t="s">
        <x:v>21</x:v>
      </x:c>
      <x:c r="K12408" s="0">
        <x:f>hyperlink("https://icd.who.int/dev11/l-ichi/en#/http%3A%2F%2Fid.who.int%2Ficd%2Fentity%2F559344009","browser")</x:f>
      </x:c>
      <x:c r="L12408" s="0">
        <x:f>hyperlink("https://icat2.azurewebsites.net/icat/?ontology=ICD&amp;tab=ClassesTab&amp;id=http%3A%2F%2Fwho.int%2Ficd%2336665_5068053d_dbae_4066_9fec_a83d5dd174ab","iCat")</x:f>
      </x:c>
      <x:c r="M12408" s="0" t="s">
        <x:v>21</x:v>
      </x:c>
      <x:c r="N12408" s="0" t="s">
        <x:v>46</x:v>
      </x:c>
    </x:row>
    <x:row r="12409" spans="1:16">
      <x:c r="A12409" s="0" t="s">
        <x:v>47834</x:v>
      </x:c>
      <x:c r="B12409" s="0" t="s">
        <x:v>47835</x:v>
      </x:c>
      <x:c r="C12409" s="0" t="s">
        <x:v>42840</x:v>
      </x:c>
      <x:c r="E12409" s="0" t="s">
        <x:v>47836</x:v>
      </x:c>
      <x:c r="F12409" s="0" t="s">
        <x:v>45</x:v>
      </x:c>
      <x:c r="G12409" s="0" t="s">
        <x:v>35</x:v>
      </x:c>
      <x:c r="H12409" s="0" t="s">
        <x:v>20</x:v>
      </x:c>
      <x:c r="I12409" s="0" t="s">
        <x:v>21</x:v>
      </x:c>
      <x:c r="K12409" s="0">
        <x:f>hyperlink("https://icd.who.int/dev11/l-ichi/en#/http%3A%2F%2Fid.who.int%2Ficd%2Fentity%2F873459633","browser")</x:f>
      </x:c>
      <x:c r="L12409" s="0">
        <x:f>hyperlink("https://icat2.azurewebsites.net/icat/?ontology=ICD&amp;tab=ClassesTab&amp;id=http%3A%2F%2Fwho.int%2Ficd%2336683_5068053d_dbae_4066_9fec_a83d5dd174ab","iCat")</x:f>
      </x:c>
      <x:c r="M12409" s="0" t="s">
        <x:v>21</x:v>
      </x:c>
      <x:c r="N12409" s="0" t="s">
        <x:v>46</x:v>
      </x:c>
    </x:row>
    <x:row r="12410" spans="1:16">
      <x:c r="A12410" s="0" t="s">
        <x:v>47837</x:v>
      </x:c>
      <x:c r="B12410" s="0" t="s">
        <x:v>47838</x:v>
      </x:c>
      <x:c r="C12410" s="0" t="s">
        <x:v>42840</x:v>
      </x:c>
      <x:c r="E12410" s="0" t="s">
        <x:v>47839</x:v>
      </x:c>
      <x:c r="F12410" s="0" t="s">
        <x:v>45</x:v>
      </x:c>
      <x:c r="G12410" s="0" t="s">
        <x:v>35</x:v>
      </x:c>
      <x:c r="H12410" s="0" t="s">
        <x:v>20</x:v>
      </x:c>
      <x:c r="I12410" s="0" t="s">
        <x:v>21</x:v>
      </x:c>
      <x:c r="K12410" s="0">
        <x:f>hyperlink("https://icd.who.int/dev11/l-ichi/en#/http%3A%2F%2Fid.who.int%2Ficd%2Fentity%2F462193783","browser")</x:f>
      </x:c>
      <x:c r="L12410" s="0">
        <x:f>hyperlink("https://icat2.azurewebsites.net/icat/?ontology=ICD&amp;tab=ClassesTab&amp;id=http%3A%2F%2Fwho.int%2Ficd%23SpecificAnatomicLocation_1113","iCat")</x:f>
      </x:c>
      <x:c r="M12410" s="0" t="s">
        <x:v>20</x:v>
      </x:c>
      <x:c r="N12410" s="0" t="s">
        <x:v>19</x:v>
      </x:c>
    </x:row>
    <x:row r="12411" spans="1:16">
      <x:c r="A12411" s="0" t="s">
        <x:v>47840</x:v>
      </x:c>
      <x:c r="B12411" s="0" t="s">
        <x:v>47841</x:v>
      </x:c>
      <x:c r="C12411" s="0" t="s">
        <x:v>42840</x:v>
      </x:c>
      <x:c r="E12411" s="0" t="s">
        <x:v>47842</x:v>
      </x:c>
      <x:c r="F12411" s="0" t="s">
        <x:v>45</x:v>
      </x:c>
      <x:c r="G12411" s="0" t="s">
        <x:v>22</x:v>
      </x:c>
      <x:c r="H12411" s="0" t="s">
        <x:v>20</x:v>
      </x:c>
      <x:c r="I12411" s="0" t="s">
        <x:v>21</x:v>
      </x:c>
      <x:c r="K12411" s="0">
        <x:f>hyperlink("https://icd.who.int/dev11/l-ichi/en#/http%3A%2F%2Fid.who.int%2Ficd%2Fentity%2F2074122070","browser")</x:f>
      </x:c>
      <x:c r="L12411" s="0">
        <x:f>hyperlink("https://icat2.azurewebsites.net/icat/?ontology=ICD&amp;tab=ClassesTab&amp;id=http%3A%2F%2Fwho.int%2Ficd%2336642_5068053d_dbae_4066_9fec_a83d5dd174ab","iCat")</x:f>
      </x:c>
      <x:c r="M12411" s="0" t="s">
        <x:v>21</x:v>
      </x:c>
      <x:c r="N12411" s="0" t="s">
        <x:v>46</x:v>
      </x:c>
    </x:row>
    <x:row r="12412" spans="1:16">
      <x:c r="A12412" s="0" t="s">
        <x:v>47843</x:v>
      </x:c>
      <x:c r="B12412" s="0" t="s">
        <x:v>47844</x:v>
      </x:c>
      <x:c r="C12412" s="0" t="s">
        <x:v>42840</x:v>
      </x:c>
      <x:c r="E12412" s="0" t="s">
        <x:v>47845</x:v>
      </x:c>
      <x:c r="F12412" s="0" t="s">
        <x:v>45</x:v>
      </x:c>
      <x:c r="G12412" s="0" t="s">
        <x:v>35</x:v>
      </x:c>
      <x:c r="H12412" s="0" t="s">
        <x:v>20</x:v>
      </x:c>
      <x:c r="I12412" s="0" t="s">
        <x:v>21</x:v>
      </x:c>
      <x:c r="K12412" s="0">
        <x:f>hyperlink("https://icd.who.int/dev11/l-ichi/en#/http%3A%2F%2Fid.who.int%2Ficd%2Fentity%2F2119547447","browser")</x:f>
      </x:c>
      <x:c r="L12412" s="0">
        <x:f>hyperlink("https://icat2.azurewebsites.net/icat/?ontology=ICD&amp;tab=ClassesTab&amp;id=http%3A%2F%2Fwho.int%2Ficd%23SpecificAnatomicLocation_1114","iCat")</x:f>
      </x:c>
      <x:c r="M12412" s="0" t="s">
        <x:v>21</x:v>
      </x:c>
      <x:c r="N12412" s="0" t="s">
        <x:v>46</x:v>
      </x:c>
    </x:row>
    <x:row r="12413" spans="1:16">
      <x:c r="A12413" s="0" t="s">
        <x:v>47846</x:v>
      </x:c>
      <x:c r="B12413" s="0" t="s">
        <x:v>47847</x:v>
      </x:c>
      <x:c r="C12413" s="0" t="s">
        <x:v>42840</x:v>
      </x:c>
      <x:c r="E12413" s="0" t="s">
        <x:v>47848</x:v>
      </x:c>
      <x:c r="F12413" s="0" t="s">
        <x:v>45</x:v>
      </x:c>
      <x:c r="G12413" s="0" t="s">
        <x:v>35</x:v>
      </x:c>
      <x:c r="H12413" s="0" t="s">
        <x:v>20</x:v>
      </x:c>
      <x:c r="I12413" s="0" t="s">
        <x:v>21</x:v>
      </x:c>
      <x:c r="K12413" s="0">
        <x:f>hyperlink("https://icd.who.int/dev11/l-ichi/en#/http%3A%2F%2Fid.who.int%2Ficd%2Fentity%2F11325971","browser")</x:f>
      </x:c>
      <x:c r="L12413" s="0">
        <x:f>hyperlink("https://icat2.azurewebsites.net/icat/?ontology=ICD&amp;tab=ClassesTab&amp;id=http%3A%2F%2Fwho.int%2Ficd%2333426_5068053d_dbae_4066_9fec_a83d5dd174ab","iCat")</x:f>
      </x:c>
      <x:c r="M12413" s="0" t="s">
        <x:v>21</x:v>
      </x:c>
      <x:c r="N12413" s="0" t="s">
        <x:v>46</x:v>
      </x:c>
    </x:row>
    <x:row r="12414" spans="1:16">
      <x:c r="A12414" s="0" t="s">
        <x:v>47849</x:v>
      </x:c>
      <x:c r="B12414" s="0" t="s">
        <x:v>47850</x:v>
      </x:c>
      <x:c r="C12414" s="0" t="s">
        <x:v>42840</x:v>
      </x:c>
      <x:c r="E12414" s="0" t="s">
        <x:v>47851</x:v>
      </x:c>
      <x:c r="F12414" s="0" t="s">
        <x:v>45</x:v>
      </x:c>
      <x:c r="G12414" s="0" t="s">
        <x:v>35</x:v>
      </x:c>
      <x:c r="H12414" s="0" t="s">
        <x:v>20</x:v>
      </x:c>
      <x:c r="I12414" s="0" t="s">
        <x:v>21</x:v>
      </x:c>
      <x:c r="K12414" s="0">
        <x:f>hyperlink("https://icd.who.int/dev11/l-ichi/en#/http%3A%2F%2Fid.who.int%2Ficd%2Fentity%2F972524974","browser")</x:f>
      </x:c>
      <x:c r="L12414" s="0">
        <x:f>hyperlink("https://icat2.azurewebsites.net/icat/?ontology=ICD&amp;tab=ClassesTab&amp;id=http%3A%2F%2Fwho.int%2Ficd%23SpecificAnatomicLocation_1107","iCat")</x:f>
      </x:c>
      <x:c r="M12414" s="0" t="s">
        <x:v>20</x:v>
      </x:c>
      <x:c r="N12414" s="0" t="s">
        <x:v>19</x:v>
      </x:c>
    </x:row>
    <x:row r="12415" spans="1:16">
      <x:c r="A12415" s="0" t="s">
        <x:v>47852</x:v>
      </x:c>
      <x:c r="B12415" s="0" t="s">
        <x:v>47853</x:v>
      </x:c>
      <x:c r="C12415" s="0" t="s">
        <x:v>42840</x:v>
      </x:c>
      <x:c r="E12415" s="0" t="s">
        <x:v>47854</x:v>
      </x:c>
      <x:c r="F12415" s="0" t="s">
        <x:v>45</x:v>
      </x:c>
      <x:c r="G12415" s="0" t="s">
        <x:v>22</x:v>
      </x:c>
      <x:c r="H12415" s="0" t="s">
        <x:v>20</x:v>
      </x:c>
      <x:c r="I12415" s="0" t="s">
        <x:v>21</x:v>
      </x:c>
      <x:c r="K12415" s="0">
        <x:f>hyperlink("https://icd.who.int/dev11/l-ichi/en#/http%3A%2F%2Fid.who.int%2Ficd%2Fentity%2F786426222","browser")</x:f>
      </x:c>
      <x:c r="L12415" s="0">
        <x:f>hyperlink("https://icat2.azurewebsites.net/icat/?ontology=ICD&amp;tab=ClassesTab&amp;id=http%3A%2F%2Fwho.int%2Ficd%23SpecificAnatomicLocation_1106","iCat")</x:f>
      </x:c>
      <x:c r="M12415" s="0" t="s">
        <x:v>21</x:v>
      </x:c>
      <x:c r="N12415" s="0" t="s">
        <x:v>46</x:v>
      </x:c>
    </x:row>
    <x:row r="12416" spans="1:16">
      <x:c r="A12416" s="0" t="s">
        <x:v>47855</x:v>
      </x:c>
      <x:c r="B12416" s="0" t="s">
        <x:v>47856</x:v>
      </x:c>
      <x:c r="C12416" s="0" t="s">
        <x:v>42840</x:v>
      </x:c>
      <x:c r="E12416" s="0" t="s">
        <x:v>47857</x:v>
      </x:c>
      <x:c r="F12416" s="0" t="s">
        <x:v>45</x:v>
      </x:c>
      <x:c r="G12416" s="0" t="s">
        <x:v>35</x:v>
      </x:c>
      <x:c r="H12416" s="0" t="s">
        <x:v>20</x:v>
      </x:c>
      <x:c r="I12416" s="0" t="s">
        <x:v>21</x:v>
      </x:c>
      <x:c r="K12416" s="0">
        <x:f>hyperlink("https://icd.who.int/dev11/l-ichi/en#/http%3A%2F%2Fid.who.int%2Ficd%2Fentity%2F1796590376","browser")</x:f>
      </x:c>
      <x:c r="L12416" s="0">
        <x:f>hyperlink("https://icat2.azurewebsites.net/icat/?ontology=ICD&amp;tab=ClassesTab&amp;id=http%3A%2F%2Fwho.int%2Ficd%2333697_5068053d_dbae_4066_9fec_a83d5dd174ab","iCat")</x:f>
      </x:c>
      <x:c r="M12416" s="0" t="s">
        <x:v>20</x:v>
      </x:c>
      <x:c r="N12416" s="0" t="s">
        <x:v>30</x:v>
      </x:c>
    </x:row>
    <x:row r="12417" spans="1:16">
      <x:c r="A12417" s="0" t="s">
        <x:v>47858</x:v>
      </x:c>
      <x:c r="B12417" s="0" t="s">
        <x:v>47859</x:v>
      </x:c>
      <x:c r="C12417" s="0" t="s">
        <x:v>42840</x:v>
      </x:c>
      <x:c r="E12417" s="0" t="s">
        <x:v>47860</x:v>
      </x:c>
      <x:c r="F12417" s="0" t="s">
        <x:v>45</x:v>
      </x:c>
      <x:c r="G12417" s="0" t="s">
        <x:v>22</x:v>
      </x:c>
      <x:c r="H12417" s="0" t="s">
        <x:v>20</x:v>
      </x:c>
      <x:c r="I12417" s="0" t="s">
        <x:v>21</x:v>
      </x:c>
      <x:c r="K12417" s="0">
        <x:f>hyperlink("https://icd.who.int/dev11/l-ichi/en#/http%3A%2F%2Fid.who.int%2Ficd%2Fentity%2F445803026","browser")</x:f>
      </x:c>
      <x:c r="L12417" s="0">
        <x:f>hyperlink("https://icat2.azurewebsites.net/icat/?ontology=ICD&amp;tab=ClassesTab&amp;id=http%3A%2F%2Fwho.int%2Ficd%23SpecificAnatomicLocation_1108","iCat")</x:f>
      </x:c>
      <x:c r="M12417" s="0" t="s">
        <x:v>21</x:v>
      </x:c>
      <x:c r="N12417" s="0" t="s">
        <x:v>46</x:v>
      </x:c>
    </x:row>
    <x:row r="12418" spans="1:16">
      <x:c r="A12418" s="0" t="s">
        <x:v>47861</x:v>
      </x:c>
      <x:c r="B12418" s="0" t="s">
        <x:v>47862</x:v>
      </x:c>
      <x:c r="C12418" s="0" t="s">
        <x:v>42840</x:v>
      </x:c>
      <x:c r="E12418" s="0" t="s">
        <x:v>47863</x:v>
      </x:c>
      <x:c r="F12418" s="0" t="s">
        <x:v>45</x:v>
      </x:c>
      <x:c r="G12418" s="0" t="s">
        <x:v>22</x:v>
      </x:c>
      <x:c r="H12418" s="0" t="s">
        <x:v>20</x:v>
      </x:c>
      <x:c r="I12418" s="0" t="s">
        <x:v>21</x:v>
      </x:c>
      <x:c r="K12418" s="0">
        <x:f>hyperlink("https://icd.who.int/dev11/l-ichi/en#/http%3A%2F%2Fid.who.int%2Ficd%2Fentity%2F230297298","browser")</x:f>
      </x:c>
      <x:c r="L12418" s="0">
        <x:f>hyperlink("https://icat2.azurewebsites.net/icat/?ontology=ICD&amp;tab=ClassesTab&amp;id=http%3A%2F%2Fwho.int%2Ficd%23SpecificAnatomicLocation_1109","iCat")</x:f>
      </x:c>
      <x:c r="M12418" s="0" t="s">
        <x:v>21</x:v>
      </x:c>
      <x:c r="N12418" s="0" t="s">
        <x:v>46</x:v>
      </x:c>
    </x:row>
    <x:row r="12419" spans="1:16">
      <x:c r="A12419" s="0" t="s">
        <x:v>47864</x:v>
      </x:c>
      <x:c r="B12419" s="0" t="s">
        <x:v>47865</x:v>
      </x:c>
      <x:c r="C12419" s="0" t="s">
        <x:v>42840</x:v>
      </x:c>
      <x:c r="E12419" s="0" t="s">
        <x:v>47866</x:v>
      </x:c>
      <x:c r="F12419" s="0" t="s">
        <x:v>45</x:v>
      </x:c>
      <x:c r="G12419" s="0" t="s">
        <x:v>30</x:v>
      </x:c>
      <x:c r="H12419" s="0" t="s">
        <x:v>20</x:v>
      </x:c>
      <x:c r="I12419" s="0" t="s">
        <x:v>21</x:v>
      </x:c>
      <x:c r="K12419" s="0">
        <x:f>hyperlink("https://icd.who.int/dev11/l-ichi/en#/http%3A%2F%2Fid.who.int%2Ficd%2Fentity%2F136043167","browser")</x:f>
      </x:c>
      <x:c r="L12419" s="0">
        <x:f>hyperlink("https://icat2.azurewebsites.net/icat/?ontology=ICD&amp;tab=ClassesTab&amp;id=http%3A%2F%2Fwho.int%2Ficd%23SpecificAnatomicLocation_1126","iCat")</x:f>
      </x:c>
      <x:c r="M12419" s="0" t="s">
        <x:v>20</x:v>
      </x:c>
      <x:c r="N12419" s="0" t="s">
        <x:v>19</x:v>
      </x:c>
    </x:row>
    <x:row r="12420" spans="1:16">
      <x:c r="A12420" s="0" t="s">
        <x:v>47867</x:v>
      </x:c>
      <x:c r="B12420" s="0" t="s">
        <x:v>47868</x:v>
      </x:c>
      <x:c r="C12420" s="0" t="s">
        <x:v>42840</x:v>
      </x:c>
      <x:c r="E12420" s="0" t="s">
        <x:v>47869</x:v>
      </x:c>
      <x:c r="F12420" s="0" t="s">
        <x:v>45</x:v>
      </x:c>
      <x:c r="G12420" s="0" t="s">
        <x:v>35</x:v>
      </x:c>
      <x:c r="H12420" s="0" t="s">
        <x:v>20</x:v>
      </x:c>
      <x:c r="I12420" s="0" t="s">
        <x:v>21</x:v>
      </x:c>
      <x:c r="K12420" s="0">
        <x:f>hyperlink("https://icd.who.int/dev11/l-ichi/en#/http%3A%2F%2Fid.who.int%2Ficd%2Fentity%2F847420636","browser")</x:f>
      </x:c>
      <x:c r="L12420" s="0">
        <x:f>hyperlink("https://icat2.azurewebsites.net/icat/?ontology=ICD&amp;tab=ClassesTab&amp;id=http%3A%2F%2Fwho.int%2Ficd%2336920_5068053d_dbae_4066_9fec_a83d5dd174ab","iCat")</x:f>
      </x:c>
      <x:c r="M12420" s="0" t="s">
        <x:v>21</x:v>
      </x:c>
      <x:c r="N12420" s="0" t="s">
        <x:v>46</x:v>
      </x:c>
    </x:row>
    <x:row r="12421" spans="1:16">
      <x:c r="A12421" s="0" t="s">
        <x:v>47870</x:v>
      </x:c>
      <x:c r="B12421" s="0" t="s">
        <x:v>47871</x:v>
      </x:c>
      <x:c r="C12421" s="0" t="s">
        <x:v>42840</x:v>
      </x:c>
      <x:c r="E12421" s="0" t="s">
        <x:v>47872</x:v>
      </x:c>
      <x:c r="F12421" s="0" t="s">
        <x:v>45</x:v>
      </x:c>
      <x:c r="G12421" s="0" t="s">
        <x:v>30</x:v>
      </x:c>
      <x:c r="H12421" s="0" t="s">
        <x:v>20</x:v>
      </x:c>
      <x:c r="I12421" s="0" t="s">
        <x:v>21</x:v>
      </x:c>
      <x:c r="K12421" s="0">
        <x:f>hyperlink("https://icd.who.int/dev11/l-ichi/en#/http%3A%2F%2Fid.who.int%2Ficd%2Fentity%2F70261446","browser")</x:f>
      </x:c>
      <x:c r="L12421" s="0">
        <x:f>hyperlink("https://icat2.azurewebsites.net/icat/?ontology=ICD&amp;tab=ClassesTab&amp;id=http%3A%2F%2Fwho.int%2Ficd%23SpecificAnatomicLocation_1130","iCat")</x:f>
      </x:c>
      <x:c r="M12421" s="0" t="s">
        <x:v>20</x:v>
      </x:c>
      <x:c r="N12421" s="0" t="s">
        <x:v>35</x:v>
      </x:c>
    </x:row>
    <x:row r="12422" spans="1:16">
      <x:c r="A12422" s="0" t="s">
        <x:v>47873</x:v>
      </x:c>
      <x:c r="B12422" s="0" t="s">
        <x:v>47874</x:v>
      </x:c>
      <x:c r="C12422" s="0" t="s">
        <x:v>42840</x:v>
      </x:c>
      <x:c r="E12422" s="0" t="s">
        <x:v>47875</x:v>
      </x:c>
      <x:c r="F12422" s="0" t="s">
        <x:v>45</x:v>
      </x:c>
      <x:c r="G12422" s="0" t="s">
        <x:v>35</x:v>
      </x:c>
      <x:c r="H12422" s="0" t="s">
        <x:v>20</x:v>
      </x:c>
      <x:c r="I12422" s="0" t="s">
        <x:v>21</x:v>
      </x:c>
      <x:c r="K12422" s="0">
        <x:f>hyperlink("https://icd.who.int/dev11/l-ichi/en#/http%3A%2F%2Fid.who.int%2Ficd%2Fentity%2F523484767","browser")</x:f>
      </x:c>
      <x:c r="L12422" s="0">
        <x:f>hyperlink("https://icat2.azurewebsites.net/icat/?ontology=ICD&amp;tab=ClassesTab&amp;id=http%3A%2F%2Fwho.int%2Ficd%23SpecificAnatomicLocation_1127","iCat")</x:f>
      </x:c>
      <x:c r="M12422" s="0" t="s">
        <x:v>21</x:v>
      </x:c>
      <x:c r="N12422" s="0" t="s">
        <x:v>46</x:v>
      </x:c>
    </x:row>
    <x:row r="12423" spans="1:16">
      <x:c r="A12423" s="0" t="s">
        <x:v>47876</x:v>
      </x:c>
      <x:c r="B12423" s="0" t="s">
        <x:v>47877</x:v>
      </x:c>
      <x:c r="C12423" s="0" t="s">
        <x:v>42840</x:v>
      </x:c>
      <x:c r="E12423" s="0" t="s">
        <x:v>47878</x:v>
      </x:c>
      <x:c r="F12423" s="0" t="s">
        <x:v>45</x:v>
      </x:c>
      <x:c r="G12423" s="0" t="s">
        <x:v>35</x:v>
      </x:c>
      <x:c r="H12423" s="0" t="s">
        <x:v>20</x:v>
      </x:c>
      <x:c r="I12423" s="0" t="s">
        <x:v>21</x:v>
      </x:c>
      <x:c r="K12423" s="0">
        <x:f>hyperlink("https://icd.who.int/dev11/l-ichi/en#/http%3A%2F%2Fid.who.int%2Ficd%2Fentity%2F1012292065","browser")</x:f>
      </x:c>
      <x:c r="L12423" s="0">
        <x:f>hyperlink("https://icat2.azurewebsites.net/icat/?ontology=ICD&amp;tab=ClassesTab&amp;id=http%3A%2F%2Fwho.int%2Ficd%23SpecificAnatomicLocation_1128","iCat")</x:f>
      </x:c>
      <x:c r="M12423" s="0" t="s">
        <x:v>21</x:v>
      </x:c>
      <x:c r="N12423" s="0" t="s">
        <x:v>46</x:v>
      </x:c>
    </x:row>
    <x:row r="12424" spans="1:16">
      <x:c r="A12424" s="0" t="s">
        <x:v>47879</x:v>
      </x:c>
      <x:c r="B12424" s="0" t="s">
        <x:v>47880</x:v>
      </x:c>
      <x:c r="C12424" s="0" t="s">
        <x:v>42840</x:v>
      </x:c>
      <x:c r="E12424" s="0" t="s">
        <x:v>47881</x:v>
      </x:c>
      <x:c r="F12424" s="0" t="s">
        <x:v>45</x:v>
      </x:c>
      <x:c r="G12424" s="0" t="s">
        <x:v>35</x:v>
      </x:c>
      <x:c r="H12424" s="0" t="s">
        <x:v>20</x:v>
      </x:c>
      <x:c r="I12424" s="0" t="s">
        <x:v>21</x:v>
      </x:c>
      <x:c r="K12424" s="0">
        <x:f>hyperlink("https://icd.who.int/dev11/l-ichi/en#/http%3A%2F%2Fid.who.int%2Ficd%2Fentity%2F729693473","browser")</x:f>
      </x:c>
      <x:c r="L12424" s="0">
        <x:f>hyperlink("https://icat2.azurewebsites.net/icat/?ontology=ICD&amp;tab=ClassesTab&amp;id=http%3A%2F%2Fwho.int%2Ficd%23SpecificAnatomicLocation_1129","iCat")</x:f>
      </x:c>
      <x:c r="M12424" s="0" t="s">
        <x:v>21</x:v>
      </x:c>
      <x:c r="N12424" s="0" t="s">
        <x:v>46</x:v>
      </x:c>
    </x:row>
    <x:row r="12425" spans="1:16">
      <x:c r="A12425" s="0" t="s">
        <x:v>47882</x:v>
      </x:c>
      <x:c r="B12425" s="0" t="s">
        <x:v>47883</x:v>
      </x:c>
      <x:c r="C12425" s="0" t="s">
        <x:v>42840</x:v>
      </x:c>
      <x:c r="E12425" s="0" t="s">
        <x:v>47884</x:v>
      </x:c>
      <x:c r="F12425" s="0" t="s">
        <x:v>45</x:v>
      </x:c>
      <x:c r="G12425" s="0" t="s">
        <x:v>19</x:v>
      </x:c>
      <x:c r="H12425" s="0" t="s">
        <x:v>20</x:v>
      </x:c>
      <x:c r="I12425" s="0" t="s">
        <x:v>21</x:v>
      </x:c>
      <x:c r="K12425" s="0">
        <x:f>hyperlink("https://icd.who.int/dev11/l-ichi/en#/http%3A%2F%2Fid.who.int%2Ficd%2Fentity%2F1515005003","browser")</x:f>
      </x:c>
      <x:c r="L12425" s="0">
        <x:f>hyperlink("https://icat2.azurewebsites.net/icat/?ontology=ICD&amp;tab=ClassesTab&amp;id=http%3A%2F%2Fwho.int%2Ficd%23SpecificAnatomicLocation_2909","iCat")</x:f>
      </x:c>
      <x:c r="M12425" s="0" t="s">
        <x:v>20</x:v>
      </x:c>
      <x:c r="N12425" s="0" t="s">
        <x:v>40</x:v>
      </x:c>
    </x:row>
    <x:row r="12426" spans="1:16">
      <x:c r="A12426" s="0" t="s">
        <x:v>47885</x:v>
      </x:c>
      <x:c r="B12426" s="0" t="s">
        <x:v>47886</x:v>
      </x:c>
      <x:c r="C12426" s="0" t="s">
        <x:v>42840</x:v>
      </x:c>
      <x:c r="E12426" s="0" t="s">
        <x:v>1055</x:v>
      </x:c>
      <x:c r="F12426" s="0" t="s">
        <x:v>45</x:v>
      </x:c>
      <x:c r="G12426" s="0" t="s">
        <x:v>30</x:v>
      </x:c>
      <x:c r="H12426" s="0" t="s">
        <x:v>20</x:v>
      </x:c>
      <x:c r="I12426" s="0" t="s">
        <x:v>21</x:v>
      </x:c>
      <x:c r="K12426" s="0">
        <x:f>hyperlink("https://icd.who.int/dev11/l-ichi/en#/http%3A%2F%2Fid.who.int%2Ficd%2Fentity%2F1079013045","browser")</x:f>
      </x:c>
      <x:c r="L12426" s="0">
        <x:f>hyperlink("https://icat2.azurewebsites.net/icat/?ontology=ICD&amp;tab=ClassesTab&amp;id=http%3A%2F%2Fwho.int%2Ficd%23SpecificAnatomicLocation_2905","iCat")</x:f>
      </x:c>
      <x:c r="M12426" s="0" t="s">
        <x:v>21</x:v>
      </x:c>
      <x:c r="N12426" s="0" t="s">
        <x:v>46</x:v>
      </x:c>
    </x:row>
    <x:row r="12427" spans="1:16">
      <x:c r="A12427" s="0" t="s">
        <x:v>47887</x:v>
      </x:c>
      <x:c r="B12427" s="0" t="s">
        <x:v>47888</x:v>
      </x:c>
      <x:c r="C12427" s="0" t="s">
        <x:v>42840</x:v>
      </x:c>
      <x:c r="E12427" s="0" t="s">
        <x:v>47889</x:v>
      </x:c>
      <x:c r="F12427" s="0" t="s">
        <x:v>45</x:v>
      </x:c>
      <x:c r="G12427" s="0" t="s">
        <x:v>30</x:v>
      </x:c>
      <x:c r="H12427" s="0" t="s">
        <x:v>20</x:v>
      </x:c>
      <x:c r="I12427" s="0" t="s">
        <x:v>21</x:v>
      </x:c>
      <x:c r="K12427" s="0">
        <x:f>hyperlink("https://icd.who.int/dev11/l-ichi/en#/http%3A%2F%2Fid.who.int%2Ficd%2Fentity%2F849425461","browser")</x:f>
      </x:c>
      <x:c r="L12427" s="0">
        <x:f>hyperlink("https://icat2.azurewebsites.net/icat/?ontology=ICD&amp;tab=ClassesTab&amp;id=http%3A%2F%2Fwho.int%2Ficd%23SpecificAnatomicLocation_2903","iCat")</x:f>
      </x:c>
      <x:c r="M12427" s="0" t="s">
        <x:v>20</x:v>
      </x:c>
      <x:c r="N12427" s="0" t="s">
        <x:v>30</x:v>
      </x:c>
    </x:row>
    <x:row r="12428" spans="1:16">
      <x:c r="A12428" s="0" t="s">
        <x:v>47890</x:v>
      </x:c>
      <x:c r="B12428" s="0" t="s">
        <x:v>47891</x:v>
      </x:c>
      <x:c r="C12428" s="0" t="s">
        <x:v>42840</x:v>
      </x:c>
      <x:c r="E12428" s="0" t="s">
        <x:v>47892</x:v>
      </x:c>
      <x:c r="F12428" s="0" t="s">
        <x:v>45</x:v>
      </x:c>
      <x:c r="G12428" s="0" t="s">
        <x:v>35</x:v>
      </x:c>
      <x:c r="H12428" s="0" t="s">
        <x:v>20</x:v>
      </x:c>
      <x:c r="I12428" s="0" t="s">
        <x:v>21</x:v>
      </x:c>
      <x:c r="K12428" s="0">
        <x:f>hyperlink("https://icd.who.int/dev11/l-ichi/en#/http%3A%2F%2Fid.who.int%2Ficd%2Fentity%2F2032714741","browser")</x:f>
      </x:c>
      <x:c r="L12428" s="0">
        <x:f>hyperlink("https://icat2.azurewebsites.net/icat/?ontology=ICD&amp;tab=ClassesTab&amp;id=http%3A%2F%2Fwho.int%2Ficd%23SpecificAnatomicLocation_2906","iCat")</x:f>
      </x:c>
      <x:c r="M12428" s="0" t="s">
        <x:v>21</x:v>
      </x:c>
      <x:c r="N12428" s="0" t="s">
        <x:v>46</x:v>
      </x:c>
    </x:row>
    <x:row r="12429" spans="1:16">
      <x:c r="A12429" s="0" t="s">
        <x:v>47893</x:v>
      </x:c>
      <x:c r="B12429" s="0" t="s">
        <x:v>47894</x:v>
      </x:c>
      <x:c r="C12429" s="0" t="s">
        <x:v>42840</x:v>
      </x:c>
      <x:c r="E12429" s="0" t="s">
        <x:v>47895</x:v>
      </x:c>
      <x:c r="F12429" s="0" t="s">
        <x:v>45</x:v>
      </x:c>
      <x:c r="G12429" s="0" t="s">
        <x:v>35</x:v>
      </x:c>
      <x:c r="H12429" s="0" t="s">
        <x:v>20</x:v>
      </x:c>
      <x:c r="I12429" s="0" t="s">
        <x:v>21</x:v>
      </x:c>
      <x:c r="K12429" s="0">
        <x:f>hyperlink("https://icd.who.int/dev11/l-ichi/en#/http%3A%2F%2Fid.who.int%2Ficd%2Fentity%2F1845536565","browser")</x:f>
      </x:c>
      <x:c r="L12429" s="0">
        <x:f>hyperlink("https://icat2.azurewebsites.net/icat/?ontology=ICD&amp;tab=ClassesTab&amp;id=http%3A%2F%2Fwho.int%2Ficd%23SpecificAnatomicLocation_2907","iCat")</x:f>
      </x:c>
      <x:c r="M12429" s="0" t="s">
        <x:v>21</x:v>
      </x:c>
      <x:c r="N12429" s="0" t="s">
        <x:v>46</x:v>
      </x:c>
    </x:row>
    <x:row r="12430" spans="1:16">
      <x:c r="A12430" s="0" t="s">
        <x:v>47896</x:v>
      </x:c>
      <x:c r="B12430" s="0" t="s">
        <x:v>47897</x:v>
      </x:c>
      <x:c r="C12430" s="0" t="s">
        <x:v>42840</x:v>
      </x:c>
      <x:c r="E12430" s="0" t="s">
        <x:v>47898</x:v>
      </x:c>
      <x:c r="F12430" s="0" t="s">
        <x:v>45</x:v>
      </x:c>
      <x:c r="G12430" s="0" t="s">
        <x:v>30</x:v>
      </x:c>
      <x:c r="H12430" s="0" t="s">
        <x:v>20</x:v>
      </x:c>
      <x:c r="I12430" s="0" t="s">
        <x:v>21</x:v>
      </x:c>
      <x:c r="K12430" s="0">
        <x:f>hyperlink("https://icd.who.int/dev11/l-ichi/en#/http%3A%2F%2Fid.who.int%2Ficd%2Fentity%2F1467484789","browser")</x:f>
      </x:c>
      <x:c r="L12430" s="0">
        <x:f>hyperlink("https://icat2.azurewebsites.net/icat/?ontology=ICD&amp;tab=ClassesTab&amp;id=http%3A%2F%2Fwho.int%2Ficd%23SpecificAnatomicLocation_2904","iCat")</x:f>
      </x:c>
      <x:c r="M12430" s="0" t="s">
        <x:v>21</x:v>
      </x:c>
      <x:c r="N12430" s="0" t="s">
        <x:v>46</x:v>
      </x:c>
    </x:row>
    <x:row r="12431" spans="1:16">
      <x:c r="A12431" s="0" t="s">
        <x:v>47899</x:v>
      </x:c>
      <x:c r="B12431" s="0" t="s">
        <x:v>47900</x:v>
      </x:c>
      <x:c r="C12431" s="0" t="s">
        <x:v>42840</x:v>
      </x:c>
      <x:c r="E12431" s="0" t="s">
        <x:v>47901</x:v>
      </x:c>
      <x:c r="F12431" s="0" t="s">
        <x:v>45</x:v>
      </x:c>
      <x:c r="G12431" s="0" t="s">
        <x:v>30</x:v>
      </x:c>
      <x:c r="H12431" s="0" t="s">
        <x:v>20</x:v>
      </x:c>
      <x:c r="I12431" s="0" t="s">
        <x:v>21</x:v>
      </x:c>
      <x:c r="K12431" s="0">
        <x:f>hyperlink("https://icd.who.int/dev11/l-ichi/en#/http%3A%2F%2Fid.who.int%2Ficd%2Fentity%2F1180195321","browser")</x:f>
      </x:c>
      <x:c r="L12431" s="0">
        <x:f>hyperlink("https://icat2.azurewebsites.net/icat/?ontology=ICD&amp;tab=ClassesTab&amp;id=http%3A%2F%2Fwho.int%2Ficd%2336979_5068053d_dbae_4066_9fec_a83d5dd174ab","iCat")</x:f>
      </x:c>
      <x:c r="M12431" s="0" t="s">
        <x:v>21</x:v>
      </x:c>
      <x:c r="N12431" s="0" t="s">
        <x:v>46</x:v>
      </x:c>
    </x:row>
    <x:row r="12432" spans="1:16">
      <x:c r="A12432" s="0" t="s">
        <x:v>47902</x:v>
      </x:c>
      <x:c r="B12432" s="0" t="s">
        <x:v>47903</x:v>
      </x:c>
      <x:c r="C12432" s="0" t="s">
        <x:v>42840</x:v>
      </x:c>
      <x:c r="E12432" s="0" t="s">
        <x:v>47904</x:v>
      </x:c>
      <x:c r="F12432" s="0" t="s">
        <x:v>45</x:v>
      </x:c>
      <x:c r="G12432" s="0" t="s">
        <x:v>30</x:v>
      </x:c>
      <x:c r="H12432" s="0" t="s">
        <x:v>20</x:v>
      </x:c>
      <x:c r="I12432" s="0" t="s">
        <x:v>21</x:v>
      </x:c>
      <x:c r="K12432" s="0">
        <x:f>hyperlink("https://icd.who.int/dev11/l-ichi/en#/http%3A%2F%2Fid.who.int%2Ficd%2Fentity%2F1298481291","browser")</x:f>
      </x:c>
      <x:c r="L12432" s="0">
        <x:f>hyperlink("https://icat2.azurewebsites.net/icat/?ontology=ICD&amp;tab=ClassesTab&amp;id=http%3A%2F%2Fwho.int%2Ficd%23SpecificAnatomicLocation_2908","iCat")</x:f>
      </x:c>
      <x:c r="M12432" s="0" t="s">
        <x:v>21</x:v>
      </x:c>
      <x:c r="N12432" s="0" t="s">
        <x:v>46</x:v>
      </x:c>
    </x:row>
    <x:row r="12433" spans="1:16">
      <x:c r="A12433" s="0" t="s">
        <x:v>47905</x:v>
      </x:c>
      <x:c r="B12433" s="0" t="s">
        <x:v>47906</x:v>
      </x:c>
      <x:c r="C12433" s="0" t="s">
        <x:v>42840</x:v>
      </x:c>
      <x:c r="E12433" s="0" t="s">
        <x:v>47907</x:v>
      </x:c>
      <x:c r="F12433" s="0" t="s">
        <x:v>45</x:v>
      </x:c>
      <x:c r="G12433" s="0" t="s">
        <x:v>19</x:v>
      </x:c>
      <x:c r="H12433" s="0" t="s">
        <x:v>20</x:v>
      </x:c>
      <x:c r="I12433" s="0" t="s">
        <x:v>21</x:v>
      </x:c>
      <x:c r="K12433" s="0">
        <x:f>hyperlink("https://icd.who.int/dev11/l-ichi/en#/http%3A%2F%2Fid.who.int%2Ficd%2Fentity%2F899820155","browser")</x:f>
      </x:c>
      <x:c r="L12433" s="0">
        <x:f>hyperlink("https://icat2.azurewebsites.net/icat/?ontology=ICD&amp;tab=ClassesTab&amp;id=http%3A%2F%2Fwho.int%2Ficd%23SpecificAnatomicLocation_3057","iCat")</x:f>
      </x:c>
      <x:c r="M12433" s="0" t="s">
        <x:v>20</x:v>
      </x:c>
      <x:c r="N12433" s="0" t="s">
        <x:v>30</x:v>
      </x:c>
    </x:row>
    <x:row r="12434" spans="1:16">
      <x:c r="A12434" s="0" t="s">
        <x:v>47908</x:v>
      </x:c>
      <x:c r="B12434" s="0" t="s">
        <x:v>47909</x:v>
      </x:c>
      <x:c r="C12434" s="0" t="s">
        <x:v>42840</x:v>
      </x:c>
      <x:c r="E12434" s="0" t="s">
        <x:v>47910</x:v>
      </x:c>
      <x:c r="F12434" s="0" t="s">
        <x:v>45</x:v>
      </x:c>
      <x:c r="G12434" s="0" t="s">
        <x:v>30</x:v>
      </x:c>
      <x:c r="H12434" s="0" t="s">
        <x:v>20</x:v>
      </x:c>
      <x:c r="I12434" s="0" t="s">
        <x:v>21</x:v>
      </x:c>
      <x:c r="K12434" s="0">
        <x:f>hyperlink("https://icd.who.int/dev11/l-ichi/en#/http%3A%2F%2Fid.who.int%2Ficd%2Fentity%2F2116804027","browser")</x:f>
      </x:c>
      <x:c r="L12434" s="0">
        <x:f>hyperlink("https://icat2.azurewebsites.net/icat/?ontology=ICD&amp;tab=ClassesTab&amp;id=http%3A%2F%2Fwho.int%2Ficd%23SpecificAnatomicLocation_3052","iCat")</x:f>
      </x:c>
      <x:c r="M12434" s="0" t="s">
        <x:v>20</x:v>
      </x:c>
      <x:c r="N12434" s="0" t="s">
        <x:v>40</x:v>
      </x:c>
    </x:row>
    <x:row r="12435" spans="1:16">
      <x:c r="A12435" s="0" t="s">
        <x:v>47911</x:v>
      </x:c>
      <x:c r="B12435" s="0" t="s">
        <x:v>47912</x:v>
      </x:c>
      <x:c r="C12435" s="0" t="s">
        <x:v>42840</x:v>
      </x:c>
      <x:c r="E12435" s="0" t="s">
        <x:v>47913</x:v>
      </x:c>
      <x:c r="F12435" s="0" t="s">
        <x:v>45</x:v>
      </x:c>
      <x:c r="G12435" s="0" t="s">
        <x:v>35</x:v>
      </x:c>
      <x:c r="H12435" s="0" t="s">
        <x:v>20</x:v>
      </x:c>
      <x:c r="I12435" s="0" t="s">
        <x:v>21</x:v>
      </x:c>
      <x:c r="K12435" s="0">
        <x:f>hyperlink("https://icd.who.int/dev11/l-ichi/en#/http%3A%2F%2Fid.who.int%2Ficd%2Fentity%2F1097954495","browser")</x:f>
      </x:c>
      <x:c r="L12435" s="0">
        <x:f>hyperlink("https://icat2.azurewebsites.net/icat/?ontology=ICD&amp;tab=ClassesTab&amp;id=http%3A%2F%2Fwho.int%2Ficd%2318272_bdfe97d6_6390_4397_97b5_a723238e5e25","iCat")</x:f>
      </x:c>
      <x:c r="M12435" s="0" t="s">
        <x:v>21</x:v>
      </x:c>
      <x:c r="N12435" s="0" t="s">
        <x:v>46</x:v>
      </x:c>
    </x:row>
    <x:row r="12436" spans="1:16">
      <x:c r="A12436" s="0" t="s">
        <x:v>47914</x:v>
      </x:c>
      <x:c r="B12436" s="0" t="s">
        <x:v>47915</x:v>
      </x:c>
      <x:c r="C12436" s="0" t="s">
        <x:v>42840</x:v>
      </x:c>
      <x:c r="E12436" s="0" t="s">
        <x:v>47916</x:v>
      </x:c>
      <x:c r="F12436" s="0" t="s">
        <x:v>45</x:v>
      </x:c>
      <x:c r="G12436" s="0" t="s">
        <x:v>35</x:v>
      </x:c>
      <x:c r="H12436" s="0" t="s">
        <x:v>20</x:v>
      </x:c>
      <x:c r="I12436" s="0" t="s">
        <x:v>21</x:v>
      </x:c>
      <x:c r="K12436" s="0">
        <x:f>hyperlink("https://icd.who.int/dev11/l-ichi/en#/http%3A%2F%2Fid.who.int%2Ficd%2Fentity%2F1630516979","browser")</x:f>
      </x:c>
      <x:c r="L12436" s="0">
        <x:f>hyperlink("https://icat2.azurewebsites.net/icat/?ontology=ICD&amp;tab=ClassesTab&amp;id=http%3A%2F%2Fwho.int%2Ficd%2318290_bdfe97d6_6390_4397_97b5_a723238e5e25","iCat")</x:f>
      </x:c>
      <x:c r="M12436" s="0" t="s">
        <x:v>21</x:v>
      </x:c>
      <x:c r="N12436" s="0" t="s">
        <x:v>46</x:v>
      </x:c>
    </x:row>
    <x:row r="12437" spans="1:16">
      <x:c r="A12437" s="0" t="s">
        <x:v>47917</x:v>
      </x:c>
      <x:c r="B12437" s="0" t="s">
        <x:v>47918</x:v>
      </x:c>
      <x:c r="C12437" s="0" t="s">
        <x:v>42840</x:v>
      </x:c>
      <x:c r="E12437" s="0" t="s">
        <x:v>47919</x:v>
      </x:c>
      <x:c r="F12437" s="0" t="s">
        <x:v>45</x:v>
      </x:c>
      <x:c r="G12437" s="0" t="s">
        <x:v>35</x:v>
      </x:c>
      <x:c r="H12437" s="0" t="s">
        <x:v>20</x:v>
      </x:c>
      <x:c r="I12437" s="0" t="s">
        <x:v>21</x:v>
      </x:c>
      <x:c r="K12437" s="0">
        <x:f>hyperlink("https://icd.who.int/dev11/l-ichi/en#/http%3A%2F%2Fid.who.int%2Ficd%2Fentity%2F134307094","browser")</x:f>
      </x:c>
      <x:c r="L12437" s="0">
        <x:f>hyperlink("https://icat2.azurewebsites.net/icat/?ontology=ICD&amp;tab=ClassesTab&amp;id=http%3A%2F%2Fwho.int%2Ficd%2333971_5068053d_dbae_4066_9fec_a83d5dd174ab","iCat")</x:f>
      </x:c>
      <x:c r="M12437" s="0" t="s">
        <x:v>21</x:v>
      </x:c>
      <x:c r="N12437" s="0" t="s">
        <x:v>46</x:v>
      </x:c>
    </x:row>
    <x:row r="12438" spans="1:16">
      <x:c r="A12438" s="0" t="s">
        <x:v>47920</x:v>
      </x:c>
      <x:c r="B12438" s="0" t="s">
        <x:v>47921</x:v>
      </x:c>
      <x:c r="C12438" s="0" t="s">
        <x:v>42840</x:v>
      </x:c>
      <x:c r="E12438" s="0" t="s">
        <x:v>47922</x:v>
      </x:c>
      <x:c r="F12438" s="0" t="s">
        <x:v>45</x:v>
      </x:c>
      <x:c r="G12438" s="0" t="s">
        <x:v>35</x:v>
      </x:c>
      <x:c r="H12438" s="0" t="s">
        <x:v>20</x:v>
      </x:c>
      <x:c r="I12438" s="0" t="s">
        <x:v>21</x:v>
      </x:c>
      <x:c r="K12438" s="0">
        <x:f>hyperlink("https://icd.who.int/dev11/l-ichi/en#/http%3A%2F%2Fid.who.int%2Ficd%2Fentity%2F1768384157","browser")</x:f>
      </x:c>
      <x:c r="L12438" s="0">
        <x:f>hyperlink("https://icat2.azurewebsites.net/icat/?ontology=ICD&amp;tab=ClassesTab&amp;id=http%3A%2F%2Fwho.int%2Ficd%2333989_5068053d_dbae_4066_9fec_a83d5dd174ab","iCat")</x:f>
      </x:c>
      <x:c r="M12438" s="0" t="s">
        <x:v>21</x:v>
      </x:c>
      <x:c r="N12438" s="0" t="s">
        <x:v>46</x:v>
      </x:c>
    </x:row>
    <x:row r="12439" spans="1:16">
      <x:c r="A12439" s="0" t="s">
        <x:v>47923</x:v>
      </x:c>
      <x:c r="B12439" s="0" t="s">
        <x:v>47924</x:v>
      </x:c>
      <x:c r="C12439" s="0" t="s">
        <x:v>42840</x:v>
      </x:c>
      <x:c r="E12439" s="0" t="s">
        <x:v>47925</x:v>
      </x:c>
      <x:c r="F12439" s="0" t="s">
        <x:v>45</x:v>
      </x:c>
      <x:c r="G12439" s="0" t="s">
        <x:v>35</x:v>
      </x:c>
      <x:c r="H12439" s="0" t="s">
        <x:v>20</x:v>
      </x:c>
      <x:c r="I12439" s="0" t="s">
        <x:v>21</x:v>
      </x:c>
      <x:c r="K12439" s="0">
        <x:f>hyperlink("https://icd.who.int/dev11/l-ichi/en#/http%3A%2F%2Fid.who.int%2Ficd%2Fentity%2F1319643605","browser")</x:f>
      </x:c>
      <x:c r="L12439" s="0">
        <x:f>hyperlink("https://icat2.azurewebsites.net/icat/?ontology=ICD&amp;tab=ClassesTab&amp;id=http%3A%2F%2Fwho.int%2Ficd%2334007_5068053d_dbae_4066_9fec_a83d5dd174ab","iCat")</x:f>
      </x:c>
      <x:c r="M12439" s="0" t="s">
        <x:v>21</x:v>
      </x:c>
      <x:c r="N12439" s="0" t="s">
        <x:v>46</x:v>
      </x:c>
    </x:row>
    <x:row r="12440" spans="1:16">
      <x:c r="A12440" s="0" t="s">
        <x:v>47926</x:v>
      </x:c>
      <x:c r="B12440" s="0" t="s">
        <x:v>47927</x:v>
      </x:c>
      <x:c r="C12440" s="0" t="s">
        <x:v>42840</x:v>
      </x:c>
      <x:c r="E12440" s="0" t="s">
        <x:v>47928</x:v>
      </x:c>
      <x:c r="F12440" s="0" t="s">
        <x:v>45</x:v>
      </x:c>
      <x:c r="G12440" s="0" t="s">
        <x:v>30</x:v>
      </x:c>
      <x:c r="H12440" s="0" t="s">
        <x:v>20</x:v>
      </x:c>
      <x:c r="I12440" s="0" t="s">
        <x:v>21</x:v>
      </x:c>
      <x:c r="K12440" s="0">
        <x:f>hyperlink("https://icd.who.int/dev11/l-ichi/en#/http%3A%2F%2Fid.who.int%2Ficd%2Fentity%2F1781206950","browser")</x:f>
      </x:c>
      <x:c r="L12440" s="0">
        <x:f>hyperlink("https://icat2.azurewebsites.net/icat/?ontology=ICD&amp;tab=ClassesTab&amp;id=http%3A%2F%2Fwho.int%2Ficd%2333492_5068053d_dbae_4066_9fec_a83d5dd174ab","iCat")</x:f>
      </x:c>
      <x:c r="M12440" s="0" t="s">
        <x:v>21</x:v>
      </x:c>
      <x:c r="N12440" s="0" t="s">
        <x:v>46</x:v>
      </x:c>
    </x:row>
    <x:row r="12441" spans="1:16">
      <x:c r="A12441" s="0" t="s">
        <x:v>47929</x:v>
      </x:c>
      <x:c r="B12441" s="0" t="s">
        <x:v>47930</x:v>
      </x:c>
      <x:c r="C12441" s="0" t="s">
        <x:v>42840</x:v>
      </x:c>
      <x:c r="E12441" s="0" t="s">
        <x:v>47931</x:v>
      </x:c>
      <x:c r="F12441" s="0" t="s">
        <x:v>45</x:v>
      </x:c>
      <x:c r="G12441" s="0" t="s">
        <x:v>19</x:v>
      </x:c>
      <x:c r="H12441" s="0" t="s">
        <x:v>20</x:v>
      </x:c>
      <x:c r="I12441" s="0" t="s">
        <x:v>21</x:v>
      </x:c>
      <x:c r="K12441" s="0">
        <x:f>hyperlink("https://icd.who.int/dev11/l-ichi/en#/http%3A%2F%2Fid.who.int%2Ficd%2Fentity%2F72252748","browser")</x:f>
      </x:c>
      <x:c r="L12441" s="0">
        <x:f>hyperlink("https://icat2.azurewebsites.net/icat/?ontology=ICD&amp;tab=ClassesTab&amp;id=http%3A%2F%2Fwho.int%2Ficd%23SpecificAnatomicLocation_3076","iCat")</x:f>
      </x:c>
      <x:c r="M12441" s="0" t="s">
        <x:v>20</x:v>
      </x:c>
      <x:c r="N12441" s="0" t="s">
        <x:v>431</x:v>
      </x:c>
    </x:row>
    <x:row r="12442" spans="1:16">
      <x:c r="A12442" s="0" t="s">
        <x:v>47932</x:v>
      </x:c>
      <x:c r="B12442" s="0" t="s">
        <x:v>47933</x:v>
      </x:c>
      <x:c r="C12442" s="0" t="s">
        <x:v>42840</x:v>
      </x:c>
      <x:c r="E12442" s="0" t="s">
        <x:v>47934</x:v>
      </x:c>
      <x:c r="F12442" s="0" t="s">
        <x:v>45</x:v>
      </x:c>
      <x:c r="G12442" s="0" t="s">
        <x:v>30</x:v>
      </x:c>
      <x:c r="H12442" s="0" t="s">
        <x:v>20</x:v>
      </x:c>
      <x:c r="I12442" s="0" t="s">
        <x:v>21</x:v>
      </x:c>
      <x:c r="K12442" s="0">
        <x:f>hyperlink("https://icd.who.int/dev11/l-ichi/en#/http%3A%2F%2Fid.who.int%2Ficd%2Fentity%2F1027002380","browser")</x:f>
      </x:c>
      <x:c r="L12442" s="0">
        <x:f>hyperlink("https://icat2.azurewebsites.net/icat/?ontology=ICD&amp;tab=ClassesTab&amp;id=http%3A%2F%2Fwho.int%2Ficd%23SpecificAnatomicLocation_3075","iCat")</x:f>
      </x:c>
      <x:c r="M12442" s="0" t="s">
        <x:v>21</x:v>
      </x:c>
      <x:c r="N12442" s="0" t="s">
        <x:v>46</x:v>
      </x:c>
    </x:row>
    <x:row r="12443" spans="1:16">
      <x:c r="A12443" s="0" t="s">
        <x:v>47935</x:v>
      </x:c>
      <x:c r="B12443" s="0" t="s">
        <x:v>47936</x:v>
      </x:c>
      <x:c r="C12443" s="0" t="s">
        <x:v>42840</x:v>
      </x:c>
      <x:c r="E12443" s="0" t="s">
        <x:v>47937</x:v>
      </x:c>
      <x:c r="F12443" s="0" t="s">
        <x:v>45</x:v>
      </x:c>
      <x:c r="G12443" s="0" t="s">
        <x:v>30</x:v>
      </x:c>
      <x:c r="H12443" s="0" t="s">
        <x:v>20</x:v>
      </x:c>
      <x:c r="I12443" s="0" t="s">
        <x:v>21</x:v>
      </x:c>
      <x:c r="K12443" s="0">
        <x:f>hyperlink("https://icd.who.int/dev11/l-ichi/en#/http%3A%2F%2Fid.who.int%2Ficd%2Fentity%2F107997583","browser")</x:f>
      </x:c>
      <x:c r="L12443" s="0">
        <x:f>hyperlink("https://icat2.azurewebsites.net/icat/?ontology=ICD&amp;tab=ClassesTab&amp;id=http%3A%2F%2Fwho.int%2Ficd%2310_963fee90_cd92_419d_b102_43622a1e31d3","iCat")</x:f>
      </x:c>
      <x:c r="M12443" s="0" t="s">
        <x:v>21</x:v>
      </x:c>
      <x:c r="N12443" s="0" t="s">
        <x:v>46</x:v>
      </x:c>
    </x:row>
    <x:row r="12444" spans="1:16">
      <x:c r="A12444" s="0" t="s">
        <x:v>47938</x:v>
      </x:c>
      <x:c r="B12444" s="0" t="s">
        <x:v>47939</x:v>
      </x:c>
      <x:c r="C12444" s="0" t="s">
        <x:v>42840</x:v>
      </x:c>
      <x:c r="E12444" s="0" t="s">
        <x:v>47940</x:v>
      </x:c>
      <x:c r="F12444" s="0" t="s">
        <x:v>45</x:v>
      </x:c>
      <x:c r="G12444" s="0" t="s">
        <x:v>30</x:v>
      </x:c>
      <x:c r="H12444" s="0" t="s">
        <x:v>20</x:v>
      </x:c>
      <x:c r="I12444" s="0" t="s">
        <x:v>21</x:v>
      </x:c>
      <x:c r="K12444" s="0">
        <x:f>hyperlink("https://icd.who.int/dev11/l-ichi/en#/http%3A%2F%2Fid.who.int%2Ficd%2Fentity%2F706655436","browser")</x:f>
      </x:c>
      <x:c r="L12444" s="0">
        <x:f>hyperlink("https://icat2.azurewebsites.net/icat/?ontology=ICD&amp;tab=ClassesTab&amp;id=http%3A%2F%2Fwho.int%2Ficd%23SpecificAnatomicLocation_3074","iCat")</x:f>
      </x:c>
      <x:c r="M12444" s="0" t="s">
        <x:v>21</x:v>
      </x:c>
      <x:c r="N12444" s="0" t="s">
        <x:v>46</x:v>
      </x:c>
    </x:row>
    <x:row r="12445" spans="1:16">
      <x:c r="A12445" s="0" t="s">
        <x:v>47941</x:v>
      </x:c>
      <x:c r="B12445" s="0" t="s">
        <x:v>47942</x:v>
      </x:c>
      <x:c r="C12445" s="0" t="s">
        <x:v>42840</x:v>
      </x:c>
      <x:c r="E12445" s="0" t="s">
        <x:v>47943</x:v>
      </x:c>
      <x:c r="F12445" s="0" t="s">
        <x:v>45</x:v>
      </x:c>
      <x:c r="G12445" s="0" t="s">
        <x:v>30</x:v>
      </x:c>
      <x:c r="H12445" s="0" t="s">
        <x:v>20</x:v>
      </x:c>
      <x:c r="I12445" s="0" t="s">
        <x:v>21</x:v>
      </x:c>
      <x:c r="K12445" s="0">
        <x:f>hyperlink("https://icd.who.int/dev11/l-ichi/en#/http%3A%2F%2Fid.who.int%2Ficd%2Fentity%2F2143578283","browser")</x:f>
      </x:c>
      <x:c r="L12445" s="0">
        <x:f>hyperlink("https://icat2.azurewebsites.net/icat/?ontology=ICD&amp;tab=ClassesTab&amp;id=http%3A%2F%2Fwho.int%2Ficd%2337301_5068053d_dbae_4066_9fec_a83d5dd174ab","iCat")</x:f>
      </x:c>
      <x:c r="M12445" s="0" t="s">
        <x:v>21</x:v>
      </x:c>
      <x:c r="N12445" s="0" t="s">
        <x:v>46</x:v>
      </x:c>
    </x:row>
    <x:row r="12446" spans="1:16">
      <x:c r="A12446" s="0" t="s">
        <x:v>47944</x:v>
      </x:c>
      <x:c r="B12446" s="0" t="s">
        <x:v>47945</x:v>
      </x:c>
      <x:c r="C12446" s="0" t="s">
        <x:v>42840</x:v>
      </x:c>
      <x:c r="E12446" s="0" t="s">
        <x:v>47946</x:v>
      </x:c>
      <x:c r="F12446" s="0" t="s">
        <x:v>45</x:v>
      </x:c>
      <x:c r="G12446" s="0" t="s">
        <x:v>30</x:v>
      </x:c>
      <x:c r="H12446" s="0" t="s">
        <x:v>20</x:v>
      </x:c>
      <x:c r="I12446" s="0" t="s">
        <x:v>21</x:v>
      </x:c>
      <x:c r="K12446" s="0">
        <x:f>hyperlink("https://icd.who.int/dev11/l-ichi/en#/http%3A%2F%2Fid.who.int%2Ficd%2Fentity%2F1535151273","browser")</x:f>
      </x:c>
      <x:c r="L12446" s="0">
        <x:f>hyperlink("https://icat2.azurewebsites.net/icat/?ontology=ICD&amp;tab=ClassesTab&amp;id=http%3A%2F%2Fwho.int%2Ficd%2337319_5068053d_dbae_4066_9fec_a83d5dd174ab","iCat")</x:f>
      </x:c>
      <x:c r="M12446" s="0" t="s">
        <x:v>21</x:v>
      </x:c>
      <x:c r="N12446" s="0" t="s">
        <x:v>46</x:v>
      </x:c>
    </x:row>
    <x:row r="12447" spans="1:16">
      <x:c r="A12447" s="0" t="s">
        <x:v>47947</x:v>
      </x:c>
      <x:c r="B12447" s="0" t="s">
        <x:v>47948</x:v>
      </x:c>
      <x:c r="C12447" s="0" t="s">
        <x:v>42840</x:v>
      </x:c>
      <x:c r="E12447" s="0" t="s">
        <x:v>47949</x:v>
      </x:c>
      <x:c r="F12447" s="0" t="s">
        <x:v>45</x:v>
      </x:c>
      <x:c r="G12447" s="0" t="s">
        <x:v>30</x:v>
      </x:c>
      <x:c r="H12447" s="0" t="s">
        <x:v>20</x:v>
      </x:c>
      <x:c r="I12447" s="0" t="s">
        <x:v>21</x:v>
      </x:c>
      <x:c r="K12447" s="0">
        <x:f>hyperlink("https://icd.who.int/dev11/l-ichi/en#/http%3A%2F%2Fid.who.int%2Ficd%2Fentity%2F1863250205","browser")</x:f>
      </x:c>
      <x:c r="L12447" s="0">
        <x:f>hyperlink("https://icat2.azurewebsites.net/icat/?ontology=ICD&amp;tab=ClassesTab&amp;id=http%3A%2F%2Fwho.int%2Ficd%2337337_5068053d_dbae_4066_9fec_a83d5dd174ab","iCat")</x:f>
      </x:c>
      <x:c r="M12447" s="0" t="s">
        <x:v>21</x:v>
      </x:c>
      <x:c r="N12447" s="0" t="s">
        <x:v>46</x:v>
      </x:c>
    </x:row>
    <x:row r="12448" spans="1:16">
      <x:c r="A12448" s="0" t="s">
        <x:v>47950</x:v>
      </x:c>
      <x:c r="B12448" s="0" t="s">
        <x:v>47951</x:v>
      </x:c>
      <x:c r="C12448" s="0" t="s">
        <x:v>42840</x:v>
      </x:c>
      <x:c r="E12448" s="0" t="s">
        <x:v>47952</x:v>
      </x:c>
      <x:c r="F12448" s="0" t="s">
        <x:v>45</x:v>
      </x:c>
      <x:c r="G12448" s="0" t="s">
        <x:v>30</x:v>
      </x:c>
      <x:c r="H12448" s="0" t="s">
        <x:v>20</x:v>
      </x:c>
      <x:c r="I12448" s="0" t="s">
        <x:v>21</x:v>
      </x:c>
      <x:c r="K12448" s="0">
        <x:f>hyperlink("https://icd.who.int/dev11/l-ichi/en#/http%3A%2F%2Fid.who.int%2Ficd%2Fentity%2F436563028","browser")</x:f>
      </x:c>
      <x:c r="L12448" s="0">
        <x:f>hyperlink("https://icat2.azurewebsites.net/icat/?ontology=ICD&amp;tab=ClassesTab&amp;id=http%3A%2F%2Fwho.int%2Ficd%2334188_5068053d_dbae_4066_9fec_a83d5dd174ab","iCat")</x:f>
      </x:c>
      <x:c r="M12448" s="0" t="s">
        <x:v>21</x:v>
      </x:c>
      <x:c r="N12448" s="0" t="s">
        <x:v>46</x:v>
      </x:c>
    </x:row>
    <x:row r="12449" spans="1:16">
      <x:c r="A12449" s="0" t="s">
        <x:v>47953</x:v>
      </x:c>
      <x:c r="B12449" s="0" t="s">
        <x:v>47954</x:v>
      </x:c>
      <x:c r="C12449" s="0" t="s">
        <x:v>42840</x:v>
      </x:c>
      <x:c r="E12449" s="0" t="s">
        <x:v>1078</x:v>
      </x:c>
      <x:c r="F12449" s="0" t="s">
        <x:v>45</x:v>
      </x:c>
      <x:c r="G12449" s="0" t="s">
        <x:v>19</x:v>
      </x:c>
      <x:c r="H12449" s="0" t="s">
        <x:v>20</x:v>
      </x:c>
      <x:c r="I12449" s="0" t="s">
        <x:v>21</x:v>
      </x:c>
      <x:c r="K12449" s="0">
        <x:f>hyperlink("https://icd.who.int/dev11/l-ichi/en#/http%3A%2F%2Fid.who.int%2Ficd%2Fentity%2F1651798887","browser")</x:f>
      </x:c>
      <x:c r="L12449" s="0">
        <x:f>hyperlink("https://icat2.azurewebsites.net/icat/?ontology=ICD&amp;tab=ClassesTab&amp;id=http%3A%2F%2Fwho.int%2Ficd%238350_16e67c35_8b57_40bb_9220_818553425a8c","iCat")</x:f>
      </x:c>
      <x:c r="M12449" s="0" t="s">
        <x:v>20</x:v>
      </x:c>
      <x:c r="N12449" s="0" t="s">
        <x:v>40</x:v>
      </x:c>
    </x:row>
    <x:row r="12450" spans="1:16">
      <x:c r="A12450" s="0" t="s">
        <x:v>47955</x:v>
      </x:c>
      <x:c r="B12450" s="0" t="s">
        <x:v>47956</x:v>
      </x:c>
      <x:c r="C12450" s="0" t="s">
        <x:v>42840</x:v>
      </x:c>
      <x:c r="E12450" s="0" t="s">
        <x:v>47957</x:v>
      </x:c>
      <x:c r="F12450" s="0" t="s">
        <x:v>45</x:v>
      </x:c>
      <x:c r="G12450" s="0" t="s">
        <x:v>30</x:v>
      </x:c>
      <x:c r="H12450" s="0" t="s">
        <x:v>20</x:v>
      </x:c>
      <x:c r="I12450" s="0" t="s">
        <x:v>21</x:v>
      </x:c>
      <x:c r="K12450" s="0">
        <x:f>hyperlink("https://icd.who.int/dev11/l-ichi/en#/http%3A%2F%2Fid.who.int%2Ficd%2Fentity%2F1443934016","browser")</x:f>
      </x:c>
      <x:c r="L12450" s="0">
        <x:f>hyperlink("https://icat2.azurewebsites.net/icat/?ontology=ICD&amp;tab=ClassesTab&amp;id=http%3A%2F%2Fwho.int%2Ficd%2337402_5068053d_dbae_4066_9fec_a83d5dd174ab","iCat")</x:f>
      </x:c>
      <x:c r="M12450" s="0" t="s">
        <x:v>21</x:v>
      </x:c>
      <x:c r="N12450" s="0" t="s">
        <x:v>46</x:v>
      </x:c>
    </x:row>
    <x:row r="12451" spans="1:16">
      <x:c r="A12451" s="0" t="s">
        <x:v>47958</x:v>
      </x:c>
      <x:c r="B12451" s="0" t="s">
        <x:v>47959</x:v>
      </x:c>
      <x:c r="C12451" s="0" t="s">
        <x:v>42840</x:v>
      </x:c>
      <x:c r="E12451" s="0" t="s">
        <x:v>1091</x:v>
      </x:c>
      <x:c r="F12451" s="0" t="s">
        <x:v>45</x:v>
      </x:c>
      <x:c r="G12451" s="0" t="s">
        <x:v>30</x:v>
      </x:c>
      <x:c r="H12451" s="0" t="s">
        <x:v>20</x:v>
      </x:c>
      <x:c r="I12451" s="0" t="s">
        <x:v>21</x:v>
      </x:c>
      <x:c r="K12451" s="0">
        <x:f>hyperlink("https://icd.who.int/dev11/l-ichi/en#/http%3A%2F%2Fid.who.int%2Ficd%2Fentity%2F1493524587","browser")</x:f>
      </x:c>
      <x:c r="L12451" s="0">
        <x:f>hyperlink("https://icat2.azurewebsites.net/icat/?ontology=ICD&amp;tab=ClassesTab&amp;id=http%3A%2F%2Fwho.int%2Ficd%23SpecificAnatomicLocation_3038","iCat")</x:f>
      </x:c>
      <x:c r="M12451" s="0" t="s">
        <x:v>20</x:v>
      </x:c>
      <x:c r="N12451" s="0" t="s">
        <x:v>206</x:v>
      </x:c>
    </x:row>
    <x:row r="12452" spans="1:16">
      <x:c r="A12452" s="0" t="s">
        <x:v>47960</x:v>
      </x:c>
      <x:c r="B12452" s="0" t="s">
        <x:v>47961</x:v>
      </x:c>
      <x:c r="C12452" s="0" t="s">
        <x:v>42840</x:v>
      </x:c>
      <x:c r="E12452" s="0" t="s">
        <x:v>47962</x:v>
      </x:c>
      <x:c r="F12452" s="0" t="s">
        <x:v>45</x:v>
      </x:c>
      <x:c r="G12452" s="0" t="s">
        <x:v>35</x:v>
      </x:c>
      <x:c r="H12452" s="0" t="s">
        <x:v>20</x:v>
      </x:c>
      <x:c r="I12452" s="0" t="s">
        <x:v>21</x:v>
      </x:c>
      <x:c r="K12452" s="0">
        <x:f>hyperlink("https://icd.who.int/dev11/l-ichi/en#/http%3A%2F%2Fid.who.int%2Ficd%2Fentity%2F911531868","browser")</x:f>
      </x:c>
      <x:c r="L12452" s="0">
        <x:f>hyperlink("https://icat2.azurewebsites.net/icat/?ontology=ICD&amp;tab=ClassesTab&amp;id=http%3A%2F%2Fwho.int%2Ficd%23858_4bc90866_af11_40fa_a00d_bd6f60b1d2ea","iCat")</x:f>
      </x:c>
      <x:c r="M12452" s="0" t="s">
        <x:v>21</x:v>
      </x:c>
      <x:c r="N12452" s="0" t="s">
        <x:v>46</x:v>
      </x:c>
    </x:row>
    <x:row r="12453" spans="1:16">
      <x:c r="A12453" s="0" t="s">
        <x:v>47963</x:v>
      </x:c>
      <x:c r="B12453" s="0" t="s">
        <x:v>47964</x:v>
      </x:c>
      <x:c r="C12453" s="0" t="s">
        <x:v>42840</x:v>
      </x:c>
      <x:c r="E12453" s="0" t="s">
        <x:v>47965</x:v>
      </x:c>
      <x:c r="F12453" s="0" t="s">
        <x:v>45</x:v>
      </x:c>
      <x:c r="G12453" s="0" t="s">
        <x:v>35</x:v>
      </x:c>
      <x:c r="H12453" s="0" t="s">
        <x:v>20</x:v>
      </x:c>
      <x:c r="I12453" s="0" t="s">
        <x:v>21</x:v>
      </x:c>
      <x:c r="K12453" s="0">
        <x:f>hyperlink("https://icd.who.int/dev11/l-ichi/en#/http%3A%2F%2Fid.who.int%2Ficd%2Fentity%2F2053146581","browser")</x:f>
      </x:c>
      <x:c r="L12453" s="0">
        <x:f>hyperlink("https://icat2.azurewebsites.net/icat/?ontology=ICD&amp;tab=ClassesTab&amp;id=http%3A%2F%2Fwho.int%2Ficd%23SpecificAnatomicLocation_3037","iCat")</x:f>
      </x:c>
      <x:c r="M12453" s="0" t="s">
        <x:v>21</x:v>
      </x:c>
      <x:c r="N12453" s="0" t="s">
        <x:v>46</x:v>
      </x:c>
    </x:row>
    <x:row r="12454" spans="1:16">
      <x:c r="A12454" s="0" t="s">
        <x:v>47966</x:v>
      </x:c>
      <x:c r="B12454" s="0" t="s">
        <x:v>47967</x:v>
      </x:c>
      <x:c r="C12454" s="0" t="s">
        <x:v>42840</x:v>
      </x:c>
      <x:c r="E12454" s="0" t="s">
        <x:v>47968</x:v>
      </x:c>
      <x:c r="F12454" s="0" t="s">
        <x:v>45</x:v>
      </x:c>
      <x:c r="G12454" s="0" t="s">
        <x:v>35</x:v>
      </x:c>
      <x:c r="H12454" s="0" t="s">
        <x:v>20</x:v>
      </x:c>
      <x:c r="I12454" s="0" t="s">
        <x:v>21</x:v>
      </x:c>
      <x:c r="K12454" s="0">
        <x:f>hyperlink("https://icd.who.int/dev11/l-ichi/en#/http%3A%2F%2Fid.who.int%2Ficd%2Fentity%2F1125657237","browser")</x:f>
      </x:c>
      <x:c r="L12454" s="0">
        <x:f>hyperlink("https://icat2.azurewebsites.net/icat/?ontology=ICD&amp;tab=ClassesTab&amp;id=http%3A%2F%2Fwho.int%2Ficd%23SpecificAnatomicLocation_3034","iCat")</x:f>
      </x:c>
      <x:c r="M12454" s="0" t="s">
        <x:v>21</x:v>
      </x:c>
      <x:c r="N12454" s="0" t="s">
        <x:v>46</x:v>
      </x:c>
    </x:row>
    <x:row r="12455" spans="1:16">
      <x:c r="A12455" s="0" t="s">
        <x:v>47969</x:v>
      </x:c>
      <x:c r="B12455" s="0" t="s">
        <x:v>47970</x:v>
      </x:c>
      <x:c r="C12455" s="0" t="s">
        <x:v>42840</x:v>
      </x:c>
      <x:c r="E12455" s="0" t="s">
        <x:v>47971</x:v>
      </x:c>
      <x:c r="F12455" s="0" t="s">
        <x:v>45</x:v>
      </x:c>
      <x:c r="G12455" s="0" t="s">
        <x:v>35</x:v>
      </x:c>
      <x:c r="H12455" s="0" t="s">
        <x:v>20</x:v>
      </x:c>
      <x:c r="I12455" s="0" t="s">
        <x:v>21</x:v>
      </x:c>
      <x:c r="K12455" s="0">
        <x:f>hyperlink("https://icd.who.int/dev11/l-ichi/en#/http%3A%2F%2Fid.who.int%2Ficd%2Fentity%2F1833493269","browser")</x:f>
      </x:c>
      <x:c r="L12455" s="0">
        <x:f>hyperlink("https://icat2.azurewebsites.net/icat/?ontology=ICD&amp;tab=ClassesTab&amp;id=http%3A%2F%2Fwho.int%2Ficd%23SpecificAnatomicLocation_3036","iCat")</x:f>
      </x:c>
      <x:c r="M12455" s="0" t="s">
        <x:v>20</x:v>
      </x:c>
      <x:c r="N12455" s="0" t="s">
        <x:v>19</x:v>
      </x:c>
    </x:row>
    <x:row r="12456" spans="1:16">
      <x:c r="A12456" s="0" t="s">
        <x:v>47972</x:v>
      </x:c>
      <x:c r="B12456" s="0" t="s">
        <x:v>47973</x:v>
      </x:c>
      <x:c r="C12456" s="0" t="s">
        <x:v>42840</x:v>
      </x:c>
      <x:c r="E12456" s="0" t="s">
        <x:v>47974</x:v>
      </x:c>
      <x:c r="F12456" s="0" t="s">
        <x:v>45</x:v>
      </x:c>
      <x:c r="G12456" s="0" t="s">
        <x:v>22</x:v>
      </x:c>
      <x:c r="H12456" s="0" t="s">
        <x:v>20</x:v>
      </x:c>
      <x:c r="I12456" s="0" t="s">
        <x:v>21</x:v>
      </x:c>
      <x:c r="K12456" s="0">
        <x:f>hyperlink("https://icd.who.int/dev11/l-ichi/en#/http%3A%2F%2Fid.who.int%2Ficd%2Fentity%2F1412451925","browser")</x:f>
      </x:c>
      <x:c r="L12456" s="0">
        <x:f>hyperlink("https://icat2.azurewebsites.net/icat/?ontology=ICD&amp;tab=ClassesTab&amp;id=http%3A%2F%2Fwho.int%2Ficd%23SpecificAnatomicLocation_3035","iCat")</x:f>
      </x:c>
      <x:c r="M12456" s="0" t="s">
        <x:v>21</x:v>
      </x:c>
      <x:c r="N12456" s="0" t="s">
        <x:v>46</x:v>
      </x:c>
    </x:row>
    <x:row r="12457" spans="1:16">
      <x:c r="A12457" s="0" t="s">
        <x:v>47975</x:v>
      </x:c>
      <x:c r="B12457" s="0" t="s">
        <x:v>47976</x:v>
      </x:c>
      <x:c r="C12457" s="0" t="s">
        <x:v>42840</x:v>
      </x:c>
      <x:c r="E12457" s="0" t="s">
        <x:v>47977</x:v>
      </x:c>
      <x:c r="F12457" s="0" t="s">
        <x:v>45</x:v>
      </x:c>
      <x:c r="G12457" s="0" t="s">
        <x:v>35</x:v>
      </x:c>
      <x:c r="H12457" s="0" t="s">
        <x:v>20</x:v>
      </x:c>
      <x:c r="I12457" s="0" t="s">
        <x:v>21</x:v>
      </x:c>
      <x:c r="K12457" s="0">
        <x:f>hyperlink("https://icd.who.int/dev11/l-ichi/en#/http%3A%2F%2Fid.who.int%2Ficd%2Fentity%2F837382165","browser")</x:f>
      </x:c>
      <x:c r="L12457" s="0">
        <x:f>hyperlink("https://icat2.azurewebsites.net/icat/?ontology=ICD&amp;tab=ClassesTab&amp;id=http%3A%2F%2Fwho.int%2Ficd%23SpecificAnatomicLocation_3032","iCat")</x:f>
      </x:c>
      <x:c r="M12457" s="0" t="s">
        <x:v>21</x:v>
      </x:c>
      <x:c r="N12457" s="0" t="s">
        <x:v>46</x:v>
      </x:c>
    </x:row>
    <x:row r="12458" spans="1:16">
      <x:c r="A12458" s="0" t="s">
        <x:v>47978</x:v>
      </x:c>
      <x:c r="B12458" s="0" t="s">
        <x:v>47979</x:v>
      </x:c>
      <x:c r="C12458" s="0" t="s">
        <x:v>42840</x:v>
      </x:c>
      <x:c r="E12458" s="0" t="s">
        <x:v>47980</x:v>
      </x:c>
      <x:c r="F12458" s="0" t="s">
        <x:v>45</x:v>
      </x:c>
      <x:c r="G12458" s="0" t="s">
        <x:v>35</x:v>
      </x:c>
      <x:c r="H12458" s="0" t="s">
        <x:v>20</x:v>
      </x:c>
      <x:c r="I12458" s="0" t="s">
        <x:v>21</x:v>
      </x:c>
      <x:c r="K12458" s="0">
        <x:f>hyperlink("https://icd.who.int/dev11/l-ichi/en#/http%3A%2F%2Fid.who.int%2Ficd%2Fentity%2F650187989","browser")</x:f>
      </x:c>
      <x:c r="L12458" s="0">
        <x:f>hyperlink("https://icat2.azurewebsites.net/icat/?ontology=ICD&amp;tab=ClassesTab&amp;id=http%3A%2F%2Fwho.int%2Ficd%23SpecificAnatomicLocation_3033","iCat")</x:f>
      </x:c>
      <x:c r="M12458" s="0" t="s">
        <x:v>21</x:v>
      </x:c>
      <x:c r="N12458" s="0" t="s">
        <x:v>46</x:v>
      </x:c>
    </x:row>
    <x:row r="12459" spans="1:16">
      <x:c r="A12459" s="0" t="s">
        <x:v>47981</x:v>
      </x:c>
      <x:c r="B12459" s="0" t="s">
        <x:v>47982</x:v>
      </x:c>
      <x:c r="C12459" s="0" t="s">
        <x:v>42840</x:v>
      </x:c>
      <x:c r="E12459" s="0" t="s">
        <x:v>47983</x:v>
      </x:c>
      <x:c r="F12459" s="0" t="s">
        <x:v>45</x:v>
      </x:c>
      <x:c r="G12459" s="0" t="s">
        <x:v>30</x:v>
      </x:c>
      <x:c r="H12459" s="0" t="s">
        <x:v>20</x:v>
      </x:c>
      <x:c r="I12459" s="0" t="s">
        <x:v>21</x:v>
      </x:c>
      <x:c r="K12459" s="0">
        <x:f>hyperlink("https://icd.who.int/dev11/l-ichi/en#/http%3A%2F%2Fid.who.int%2Ficd%2Fentity%2F1928625572","browser")</x:f>
      </x:c>
      <x:c r="L12459" s="0">
        <x:f>hyperlink("https://icat2.azurewebsites.net/icat/?ontology=ICD&amp;tab=ClassesTab&amp;id=http%3A%2F%2Fwho.int%2Ficd%23SpecificAnatomicLocation_3015","iCat")</x:f>
      </x:c>
      <x:c r="M12459" s="0" t="s">
        <x:v>20</x:v>
      </x:c>
      <x:c r="N12459" s="0" t="s">
        <x:v>35</x:v>
      </x:c>
    </x:row>
    <x:row r="12460" spans="1:16">
      <x:c r="A12460" s="0" t="s">
        <x:v>47984</x:v>
      </x:c>
      <x:c r="B12460" s="0" t="s">
        <x:v>47985</x:v>
      </x:c>
      <x:c r="C12460" s="0" t="s">
        <x:v>42840</x:v>
      </x:c>
      <x:c r="E12460" s="0" t="s">
        <x:v>47986</x:v>
      </x:c>
      <x:c r="F12460" s="0" t="s">
        <x:v>45</x:v>
      </x:c>
      <x:c r="G12460" s="0" t="s">
        <x:v>35</x:v>
      </x:c>
      <x:c r="H12460" s="0" t="s">
        <x:v>20</x:v>
      </x:c>
      <x:c r="I12460" s="0" t="s">
        <x:v>21</x:v>
      </x:c>
      <x:c r="K12460" s="0">
        <x:f>hyperlink("https://icd.who.int/dev11/l-ichi/en#/http%3A%2F%2Fid.who.int%2Ficd%2Fentity%2F337700","browser")</x:f>
      </x:c>
      <x:c r="L12460" s="0">
        <x:f>hyperlink("https://icat2.azurewebsites.net/icat/?ontology=ICD&amp;tab=ClassesTab&amp;id=http%3A%2F%2Fwho.int%2Ficd%23SpecificAnatomicLocation_3013","iCat")</x:f>
      </x:c>
      <x:c r="M12460" s="0" t="s">
        <x:v>21</x:v>
      </x:c>
      <x:c r="N12460" s="0" t="s">
        <x:v>46</x:v>
      </x:c>
    </x:row>
    <x:row r="12461" spans="1:16">
      <x:c r="A12461" s="0" t="s">
        <x:v>47987</x:v>
      </x:c>
      <x:c r="B12461" s="0" t="s">
        <x:v>47988</x:v>
      </x:c>
      <x:c r="C12461" s="0" t="s">
        <x:v>42840</x:v>
      </x:c>
      <x:c r="E12461" s="0" t="s">
        <x:v>47989</x:v>
      </x:c>
      <x:c r="F12461" s="0" t="s">
        <x:v>45</x:v>
      </x:c>
      <x:c r="G12461" s="0" t="s">
        <x:v>35</x:v>
      </x:c>
      <x:c r="H12461" s="0" t="s">
        <x:v>20</x:v>
      </x:c>
      <x:c r="I12461" s="0" t="s">
        <x:v>21</x:v>
      </x:c>
      <x:c r="K12461" s="0">
        <x:f>hyperlink("https://icd.who.int/dev11/l-ichi/en#/http%3A%2F%2Fid.who.int%2Ficd%2Fentity%2F18598211","browser")</x:f>
      </x:c>
      <x:c r="L12461" s="0">
        <x:f>hyperlink("https://icat2.azurewebsites.net/icat/?ontology=ICD&amp;tab=ClassesTab&amp;id=http%3A%2F%2Fwho.int%2Ficd%23SpecificAnatomicLocation_3008","iCat")</x:f>
      </x:c>
      <x:c r="M12461" s="0" t="s">
        <x:v>21</x:v>
      </x:c>
      <x:c r="N12461" s="0" t="s">
        <x:v>46</x:v>
      </x:c>
    </x:row>
    <x:row r="12462" spans="1:16">
      <x:c r="A12462" s="0" t="s">
        <x:v>47990</x:v>
      </x:c>
      <x:c r="B12462" s="0" t="s">
        <x:v>47991</x:v>
      </x:c>
      <x:c r="C12462" s="0" t="s">
        <x:v>42840</x:v>
      </x:c>
      <x:c r="E12462" s="0" t="s">
        <x:v>47992</x:v>
      </x:c>
      <x:c r="F12462" s="0" t="s">
        <x:v>45</x:v>
      </x:c>
      <x:c r="G12462" s="0" t="s">
        <x:v>35</x:v>
      </x:c>
      <x:c r="H12462" s="0" t="s">
        <x:v>20</x:v>
      </x:c>
      <x:c r="I12462" s="0" t="s">
        <x:v>21</x:v>
      </x:c>
      <x:c r="K12462" s="0">
        <x:f>hyperlink("https://icd.who.int/dev11/l-ichi/en#/http%3A%2F%2Fid.who.int%2Ficd%2Fentity%2F1708923236","browser")</x:f>
      </x:c>
      <x:c r="L12462" s="0">
        <x:f>hyperlink("https://icat2.azurewebsites.net/icat/?ontology=ICD&amp;tab=ClassesTab&amp;id=http%3A%2F%2Fwho.int%2Ficd%23SpecificAnatomicLocation_3014","iCat")</x:f>
      </x:c>
      <x:c r="M12462" s="0" t="s">
        <x:v>21</x:v>
      </x:c>
      <x:c r="N12462" s="0" t="s">
        <x:v>46</x:v>
      </x:c>
    </x:row>
    <x:row r="12463" spans="1:16">
      <x:c r="A12463" s="0" t="s">
        <x:v>47993</x:v>
      </x:c>
      <x:c r="B12463" s="0" t="s">
        <x:v>47994</x:v>
      </x:c>
      <x:c r="C12463" s="0" t="s">
        <x:v>42840</x:v>
      </x:c>
      <x:c r="E12463" s="0" t="s">
        <x:v>47995</x:v>
      </x:c>
      <x:c r="F12463" s="0" t="s">
        <x:v>45</x:v>
      </x:c>
      <x:c r="G12463" s="0" t="s">
        <x:v>30</x:v>
      </x:c>
      <x:c r="H12463" s="0" t="s">
        <x:v>20</x:v>
      </x:c>
      <x:c r="I12463" s="0" t="s">
        <x:v>21</x:v>
      </x:c>
      <x:c r="K12463" s="0">
        <x:f>hyperlink("https://icd.who.int/dev11/l-ichi/en#/http%3A%2F%2Fid.who.int%2Ficd%2Fentity%2F1741413713","browser")</x:f>
      </x:c>
      <x:c r="L12463" s="0">
        <x:f>hyperlink("https://icat2.azurewebsites.net/icat/?ontology=ICD&amp;tab=ClassesTab&amp;id=http%3A%2F%2Fwho.int%2Ficd%2326989_735007d5_2555_4eb5_a762_282e008a1468","iCat")</x:f>
      </x:c>
      <x:c r="M12463" s="0" t="s">
        <x:v>20</x:v>
      </x:c>
      <x:c r="N12463" s="0" t="s">
        <x:v>40</x:v>
      </x:c>
    </x:row>
    <x:row r="12464" spans="1:16">
      <x:c r="A12464" s="0" t="s">
        <x:v>47996</x:v>
      </x:c>
      <x:c r="B12464" s="0" t="s">
        <x:v>47997</x:v>
      </x:c>
      <x:c r="C12464" s="0" t="s">
        <x:v>42840</x:v>
      </x:c>
      <x:c r="E12464" s="0" t="s">
        <x:v>47998</x:v>
      </x:c>
      <x:c r="F12464" s="0" t="s">
        <x:v>45</x:v>
      </x:c>
      <x:c r="G12464" s="0" t="s">
        <x:v>35</x:v>
      </x:c>
      <x:c r="H12464" s="0" t="s">
        <x:v>20</x:v>
      </x:c>
      <x:c r="I12464" s="0" t="s">
        <x:v>21</x:v>
      </x:c>
      <x:c r="K12464" s="0">
        <x:f>hyperlink("https://icd.who.int/dev11/l-ichi/en#/http%3A%2F%2Fid.who.int%2Ficd%2Fentity%2F326645548","browser")</x:f>
      </x:c>
      <x:c r="L12464" s="0">
        <x:f>hyperlink("https://icat2.azurewebsites.net/icat/?ontology=ICD&amp;tab=ClassesTab&amp;id=http%3A%2F%2Fwho.int%2Ficd%23SpecificAnatomicLocation_2995","iCat")</x:f>
      </x:c>
      <x:c r="M12464" s="0" t="s">
        <x:v>21</x:v>
      </x:c>
      <x:c r="N12464" s="0" t="s">
        <x:v>46</x:v>
      </x:c>
    </x:row>
    <x:row r="12465" spans="1:16">
      <x:c r="A12465" s="0" t="s">
        <x:v>47999</x:v>
      </x:c>
      <x:c r="B12465" s="0" t="s">
        <x:v>48000</x:v>
      </x:c>
      <x:c r="C12465" s="0" t="s">
        <x:v>42840</x:v>
      </x:c>
      <x:c r="E12465" s="0" t="s">
        <x:v>48001</x:v>
      </x:c>
      <x:c r="F12465" s="0" t="s">
        <x:v>45</x:v>
      </x:c>
      <x:c r="G12465" s="0" t="s">
        <x:v>35</x:v>
      </x:c>
      <x:c r="H12465" s="0" t="s">
        <x:v>20</x:v>
      </x:c>
      <x:c r="I12465" s="0" t="s">
        <x:v>21</x:v>
      </x:c>
      <x:c r="K12465" s="0">
        <x:f>hyperlink("https://icd.who.int/dev11/l-ichi/en#/http%3A%2F%2Fid.who.int%2Ficd%2Fentity%2F1211030054","browser")</x:f>
      </x:c>
      <x:c r="L12465" s="0">
        <x:f>hyperlink("https://icat2.azurewebsites.net/icat/?ontology=ICD&amp;tab=ClassesTab&amp;id=http%3A%2F%2Fwho.int%2Ficd%23SpecificAnatomicLocation_3094","iCat")</x:f>
      </x:c>
      <x:c r="M12465" s="0" t="s">
        <x:v>21</x:v>
      </x:c>
      <x:c r="N12465" s="0" t="s">
        <x:v>46</x:v>
      </x:c>
    </x:row>
    <x:row r="12466" spans="1:16">
      <x:c r="A12466" s="0" t="s">
        <x:v>48002</x:v>
      </x:c>
      <x:c r="B12466" s="0" t="s">
        <x:v>48003</x:v>
      </x:c>
      <x:c r="C12466" s="0" t="s">
        <x:v>42840</x:v>
      </x:c>
      <x:c r="E12466" s="0" t="s">
        <x:v>48004</x:v>
      </x:c>
      <x:c r="F12466" s="0" t="s">
        <x:v>45</x:v>
      </x:c>
      <x:c r="G12466" s="0" t="s">
        <x:v>35</x:v>
      </x:c>
      <x:c r="H12466" s="0" t="s">
        <x:v>20</x:v>
      </x:c>
      <x:c r="I12466" s="0" t="s">
        <x:v>21</x:v>
      </x:c>
      <x:c r="K12466" s="0">
        <x:f>hyperlink("https://icd.who.int/dev11/l-ichi/en#/http%3A%2F%2Fid.who.int%2Ficd%2Fentity%2F1594277606","browser")</x:f>
      </x:c>
      <x:c r="L12466" s="0">
        <x:f>hyperlink("https://icat2.azurewebsites.net/icat/?ontology=ICD&amp;tab=ClassesTab&amp;id=http%3A%2F%2Fwho.int%2Ficd%23SpecificAnatomicLocation_3095","iCat")</x:f>
      </x:c>
      <x:c r="M12466" s="0" t="s">
        <x:v>21</x:v>
      </x:c>
      <x:c r="N12466" s="0" t="s">
        <x:v>46</x:v>
      </x:c>
    </x:row>
    <x:row r="12467" spans="1:16">
      <x:c r="A12467" s="0" t="s">
        <x:v>48005</x:v>
      </x:c>
      <x:c r="B12467" s="0" t="s">
        <x:v>48006</x:v>
      </x:c>
      <x:c r="C12467" s="0" t="s">
        <x:v>42840</x:v>
      </x:c>
      <x:c r="E12467" s="0" t="s">
        <x:v>48007</x:v>
      </x:c>
      <x:c r="F12467" s="0" t="s">
        <x:v>45</x:v>
      </x:c>
      <x:c r="G12467" s="0" t="s">
        <x:v>35</x:v>
      </x:c>
      <x:c r="H12467" s="0" t="s">
        <x:v>20</x:v>
      </x:c>
      <x:c r="I12467" s="0" t="s">
        <x:v>21</x:v>
      </x:c>
      <x:c r="K12467" s="0">
        <x:f>hyperlink("https://icd.who.int/dev11/l-ichi/en#/http%3A%2F%2Fid.who.int%2Ficd%2Fentity%2F1212282357","browser")</x:f>
      </x:c>
      <x:c r="L12467" s="0">
        <x:f>hyperlink("https://icat2.azurewebsites.net/icat/?ontology=ICD&amp;tab=ClassesTab&amp;id=http%3A%2F%2Fwho.int%2Ficd%23884_4bc90866_af11_40fa_a00d_bd6f60b1d2ea","iCat")</x:f>
      </x:c>
      <x:c r="M12467" s="0" t="s">
        <x:v>21</x:v>
      </x:c>
      <x:c r="N12467" s="0" t="s">
        <x:v>46</x:v>
      </x:c>
    </x:row>
    <x:row r="12468" spans="1:16">
      <x:c r="A12468" s="0" t="s">
        <x:v>48008</x:v>
      </x:c>
      <x:c r="B12468" s="0" t="s">
        <x:v>48009</x:v>
      </x:c>
      <x:c r="C12468" s="0" t="s">
        <x:v>42840</x:v>
      </x:c>
      <x:c r="E12468" s="0" t="s">
        <x:v>48010</x:v>
      </x:c>
      <x:c r="F12468" s="0" t="s">
        <x:v>45</x:v>
      </x:c>
      <x:c r="G12468" s="0" t="s">
        <x:v>35</x:v>
      </x:c>
      <x:c r="H12468" s="0" t="s">
        <x:v>20</x:v>
      </x:c>
      <x:c r="I12468" s="0" t="s">
        <x:v>21</x:v>
      </x:c>
      <x:c r="K12468" s="0">
        <x:f>hyperlink("https://icd.who.int/dev11/l-ichi/en#/http%3A%2F%2Fid.who.int%2Ficd%2Fentity%2F720455085","browser")</x:f>
      </x:c>
      <x:c r="L12468" s="0">
        <x:f>hyperlink("https://icat2.azurewebsites.net/icat/?ontology=ICD&amp;tab=ClassesTab&amp;id=http%3A%2F%2Fwho.int%2Ficd%2333532_5068053d_dbae_4066_9fec_a83d5dd174ab","iCat")</x:f>
      </x:c>
      <x:c r="M12468" s="0" t="s">
        <x:v>21</x:v>
      </x:c>
      <x:c r="N12468" s="0" t="s">
        <x:v>46</x:v>
      </x:c>
    </x:row>
    <x:row r="12469" spans="1:16">
      <x:c r="A12469" s="0" t="s">
        <x:v>48011</x:v>
      </x:c>
      <x:c r="B12469" s="0" t="s">
        <x:v>48012</x:v>
      </x:c>
      <x:c r="C12469" s="0" t="s">
        <x:v>42840</x:v>
      </x:c>
      <x:c r="E12469" s="0" t="s">
        <x:v>48013</x:v>
      </x:c>
      <x:c r="F12469" s="0" t="s">
        <x:v>45</x:v>
      </x:c>
      <x:c r="G12469" s="0" t="s">
        <x:v>30</x:v>
      </x:c>
      <x:c r="H12469" s="0" t="s">
        <x:v>20</x:v>
      </x:c>
      <x:c r="I12469" s="0" t="s">
        <x:v>21</x:v>
      </x:c>
      <x:c r="K12469" s="0">
        <x:f>hyperlink("https://icd.who.int/dev11/l-ichi/en#/http%3A%2F%2Fid.who.int%2Ficd%2Fentity%2F430404896","browser")</x:f>
      </x:c>
      <x:c r="L12469" s="0">
        <x:f>hyperlink("https://icat2.azurewebsites.net/icat/?ontology=ICD&amp;tab=ClassesTab&amp;id=http%3A%2F%2Fwho.int%2Ficd%231_7d3164e7_57ed_4b09_bb56_286e36e953fb","iCat")</x:f>
      </x:c>
      <x:c r="M12469" s="0" t="s">
        <x:v>21</x:v>
      </x:c>
      <x:c r="N12469" s="0" t="s">
        <x:v>46</x:v>
      </x:c>
    </x:row>
    <x:row r="12470" spans="1:16">
      <x:c r="A12470" s="0" t="s">
        <x:v>48014</x:v>
      </x:c>
      <x:c r="B12470" s="0" t="s">
        <x:v>48015</x:v>
      </x:c>
      <x:c r="C12470" s="0" t="s">
        <x:v>42840</x:v>
      </x:c>
      <x:c r="E12470" s="0" t="s">
        <x:v>48016</x:v>
      </x:c>
      <x:c r="F12470" s="0" t="s">
        <x:v>45</x:v>
      </x:c>
      <x:c r="G12470" s="0" t="s">
        <x:v>19</x:v>
      </x:c>
      <x:c r="H12470" s="0" t="s">
        <x:v>20</x:v>
      </x:c>
      <x:c r="I12470" s="0" t="s">
        <x:v>21</x:v>
      </x:c>
      <x:c r="K12470" s="0">
        <x:f>hyperlink("https://icd.who.int/dev11/l-ichi/en#/http%3A%2F%2Fid.who.int%2Ficd%2Fentity%2F616736219","browser")</x:f>
      </x:c>
      <x:c r="L12470" s="0">
        <x:f>hyperlink("https://icat2.azurewebsites.net/icat/?ontology=ICD&amp;tab=ClassesTab&amp;id=http%3A%2F%2Fwho.int%2Ficd%23236_7d3164e7_57ed_4b09_bb56_286e36e953fb","iCat")</x:f>
      </x:c>
      <x:c r="M12470" s="0" t="s">
        <x:v>20</x:v>
      </x:c>
      <x:c r="N12470" s="0" t="s">
        <x:v>30</x:v>
      </x:c>
    </x:row>
    <x:row r="12471" spans="1:16">
      <x:c r="A12471" s="0" t="s">
        <x:v>48017</x:v>
      </x:c>
      <x:c r="B12471" s="0" t="s">
        <x:v>48018</x:v>
      </x:c>
      <x:c r="C12471" s="0" t="s">
        <x:v>42840</x:v>
      </x:c>
      <x:c r="E12471" s="0" t="s">
        <x:v>1130</x:v>
      </x:c>
      <x:c r="F12471" s="0" t="s">
        <x:v>45</x:v>
      </x:c>
      <x:c r="G12471" s="0" t="s">
        <x:v>30</x:v>
      </x:c>
      <x:c r="H12471" s="0" t="s">
        <x:v>20</x:v>
      </x:c>
      <x:c r="I12471" s="0" t="s">
        <x:v>21</x:v>
      </x:c>
      <x:c r="K12471" s="0">
        <x:f>hyperlink("https://icd.who.int/dev11/l-ichi/en#/http%3A%2F%2Fid.who.int%2Ficd%2Fentity%2F328366540","browser")</x:f>
      </x:c>
      <x:c r="L12471" s="0">
        <x:f>hyperlink("https://icat2.azurewebsites.net/icat/?ontology=ICD&amp;tab=ClassesTab&amp;id=http%3A%2F%2Fwho.int%2Ficd%23SpecificAnatomicLocation_3026","iCat")</x:f>
      </x:c>
      <x:c r="M12471" s="0" t="s">
        <x:v>20</x:v>
      </x:c>
      <x:c r="N12471" s="0" t="s">
        <x:v>22</x:v>
      </x:c>
    </x:row>
    <x:row r="12472" spans="1:16">
      <x:c r="A12472" s="0" t="s">
        <x:v>48019</x:v>
      </x:c>
      <x:c r="B12472" s="0" t="s">
        <x:v>48020</x:v>
      </x:c>
      <x:c r="C12472" s="0" t="s">
        <x:v>42840</x:v>
      </x:c>
      <x:c r="E12472" s="0" t="s">
        <x:v>48021</x:v>
      </x:c>
      <x:c r="F12472" s="0" t="s">
        <x:v>45</x:v>
      </x:c>
      <x:c r="G12472" s="0" t="s">
        <x:v>35</x:v>
      </x:c>
      <x:c r="H12472" s="0" t="s">
        <x:v>20</x:v>
      </x:c>
      <x:c r="I12472" s="0" t="s">
        <x:v>21</x:v>
      </x:c>
      <x:c r="K12472" s="0">
        <x:f>hyperlink("https://icd.who.int/dev11/l-ichi/en#/http%3A%2F%2Fid.who.int%2Ficd%2Fentity%2F1536153046","browser")</x:f>
      </x:c>
      <x:c r="L12472" s="0">
        <x:f>hyperlink("https://icat2.azurewebsites.net/icat/?ontology=ICD&amp;tab=ClassesTab&amp;id=http%3A%2F%2Fwho.int%2Ficd%238422_16e67c35_8b57_40bb_9220_818553425a8c","iCat")</x:f>
      </x:c>
      <x:c r="M12472" s="0" t="s">
        <x:v>21</x:v>
      </x:c>
      <x:c r="N12472" s="0" t="s">
        <x:v>46</x:v>
      </x:c>
    </x:row>
    <x:row r="12473" spans="1:16">
      <x:c r="A12473" s="0" t="s">
        <x:v>48022</x:v>
      </x:c>
      <x:c r="B12473" s="0" t="s">
        <x:v>48023</x:v>
      </x:c>
      <x:c r="C12473" s="0" t="s">
        <x:v>42840</x:v>
      </x:c>
      <x:c r="E12473" s="0" t="s">
        <x:v>48024</x:v>
      </x:c>
      <x:c r="F12473" s="0" t="s">
        <x:v>45</x:v>
      </x:c>
      <x:c r="G12473" s="0" t="s">
        <x:v>35</x:v>
      </x:c>
      <x:c r="H12473" s="0" t="s">
        <x:v>20</x:v>
      </x:c>
      <x:c r="I12473" s="0" t="s">
        <x:v>21</x:v>
      </x:c>
      <x:c r="K12473" s="0">
        <x:f>hyperlink("https://icd.who.int/dev11/l-ichi/en#/http%3A%2F%2Fid.who.int%2Ficd%2Fentity%2F1142504546","browser")</x:f>
      </x:c>
      <x:c r="L12473" s="0">
        <x:f>hyperlink("https://icat2.azurewebsites.net/icat/?ontology=ICD&amp;tab=ClassesTab&amp;id=http%3A%2F%2Fwho.int%2Ficd%238441_16e67c35_8b57_40bb_9220_818553425a8c","iCat")</x:f>
      </x:c>
      <x:c r="M12473" s="0" t="s">
        <x:v>21</x:v>
      </x:c>
      <x:c r="N12473" s="0" t="s">
        <x:v>46</x:v>
      </x:c>
    </x:row>
    <x:row r="12474" spans="1:16">
      <x:c r="A12474" s="0" t="s">
        <x:v>48025</x:v>
      </x:c>
      <x:c r="B12474" s="0" t="s">
        <x:v>48026</x:v>
      </x:c>
      <x:c r="C12474" s="0" t="s">
        <x:v>42840</x:v>
      </x:c>
      <x:c r="E12474" s="0" t="s">
        <x:v>48027</x:v>
      </x:c>
      <x:c r="F12474" s="0" t="s">
        <x:v>45</x:v>
      </x:c>
      <x:c r="G12474" s="0" t="s">
        <x:v>35</x:v>
      </x:c>
      <x:c r="H12474" s="0" t="s">
        <x:v>20</x:v>
      </x:c>
      <x:c r="I12474" s="0" t="s">
        <x:v>21</x:v>
      </x:c>
      <x:c r="K12474" s="0">
        <x:f>hyperlink("https://icd.who.int/dev11/l-ichi/en#/http%3A%2F%2Fid.who.int%2Ficd%2Fentity%2F641615438","browser")</x:f>
      </x:c>
      <x:c r="L12474" s="0">
        <x:f>hyperlink("https://icat2.azurewebsites.net/icat/?ontology=ICD&amp;tab=ClassesTab&amp;id=http%3A%2F%2Fwho.int%2Ficd%236_075b017b_ac4c_42d7_a31d_f6f14e3ba684","iCat")</x:f>
      </x:c>
      <x:c r="M12474" s="0" t="s">
        <x:v>21</x:v>
      </x:c>
      <x:c r="N12474" s="0" t="s">
        <x:v>46</x:v>
      </x:c>
    </x:row>
    <x:row r="12475" spans="1:16">
      <x:c r="A12475" s="0" t="s">
        <x:v>48028</x:v>
      </x:c>
      <x:c r="B12475" s="0" t="s">
        <x:v>48029</x:v>
      </x:c>
      <x:c r="C12475" s="0" t="s">
        <x:v>42840</x:v>
      </x:c>
      <x:c r="E12475" s="0" t="s">
        <x:v>48030</x:v>
      </x:c>
      <x:c r="F12475" s="0" t="s">
        <x:v>45</x:v>
      </x:c>
      <x:c r="G12475" s="0" t="s">
        <x:v>35</x:v>
      </x:c>
      <x:c r="H12475" s="0" t="s">
        <x:v>20</x:v>
      </x:c>
      <x:c r="I12475" s="0" t="s">
        <x:v>21</x:v>
      </x:c>
      <x:c r="K12475" s="0">
        <x:f>hyperlink("https://icd.who.int/dev11/l-ichi/en#/http%3A%2F%2Fid.who.int%2Ficd%2Fentity%2F791525913","browser")</x:f>
      </x:c>
      <x:c r="L12475" s="0">
        <x:f>hyperlink("https://icat2.azurewebsites.net/icat/?ontology=ICD&amp;tab=ClassesTab&amp;id=http%3A%2F%2Fwho.int%2Ficd%2325_075b017b_ac4c_42d7_a31d_f6f14e3ba684","iCat")</x:f>
      </x:c>
      <x:c r="M12475" s="0" t="s">
        <x:v>21</x:v>
      </x:c>
      <x:c r="N12475" s="0" t="s">
        <x:v>46</x:v>
      </x:c>
    </x:row>
    <x:row r="12476" spans="1:16">
      <x:c r="A12476" s="0" t="s">
        <x:v>48031</x:v>
      </x:c>
      <x:c r="B12476" s="0" t="s">
        <x:v>48032</x:v>
      </x:c>
      <x:c r="C12476" s="0" t="s">
        <x:v>42840</x:v>
      </x:c>
      <x:c r="E12476" s="0" t="s">
        <x:v>48033</x:v>
      </x:c>
      <x:c r="F12476" s="0" t="s">
        <x:v>45</x:v>
      </x:c>
      <x:c r="G12476" s="0" t="s">
        <x:v>30</x:v>
      </x:c>
      <x:c r="H12476" s="0" t="s">
        <x:v>20</x:v>
      </x:c>
      <x:c r="I12476" s="0" t="s">
        <x:v>21</x:v>
      </x:c>
      <x:c r="K12476" s="0">
        <x:f>hyperlink("https://icd.who.int/dev11/l-ichi/en#/http%3A%2F%2Fid.who.int%2Ficd%2Fentity%2F1202131133","browser")</x:f>
      </x:c>
      <x:c r="L12476" s="0">
        <x:f>hyperlink("https://icat2.azurewebsites.net/icat/?ontology=ICD&amp;tab=ClassesTab&amp;id=http%3A%2F%2Fwho.int%2Ficd%23SpecificAnatomicLocation_3000","iCat")</x:f>
      </x:c>
      <x:c r="M12476" s="0" t="s">
        <x:v>20</x:v>
      </x:c>
      <x:c r="N12476" s="0" t="s">
        <x:v>35</x:v>
      </x:c>
    </x:row>
    <x:row r="12477" spans="1:16">
      <x:c r="A12477" s="0" t="s">
        <x:v>48034</x:v>
      </x:c>
      <x:c r="B12477" s="0" t="s">
        <x:v>48035</x:v>
      </x:c>
      <x:c r="C12477" s="0" t="s">
        <x:v>42840</x:v>
      </x:c>
      <x:c r="E12477" s="0" t="s">
        <x:v>48036</x:v>
      </x:c>
      <x:c r="F12477" s="0" t="s">
        <x:v>45</x:v>
      </x:c>
      <x:c r="G12477" s="0" t="s">
        <x:v>35</x:v>
      </x:c>
      <x:c r="H12477" s="0" t="s">
        <x:v>20</x:v>
      </x:c>
      <x:c r="I12477" s="0" t="s">
        <x:v>21</x:v>
      </x:c>
      <x:c r="K12477" s="0">
        <x:f>hyperlink("https://icd.who.int/dev11/l-ichi/en#/http%3A%2F%2Fid.who.int%2Ficd%2Fentity%2F126976415","browser")</x:f>
      </x:c>
      <x:c r="L12477" s="0">
        <x:f>hyperlink("https://icat2.azurewebsites.net/icat/?ontology=ICD&amp;tab=ClassesTab&amp;id=http%3A%2F%2Fwho.int%2Ficd%231199_9e276f94_8a58_44b1_9833_7049a406a459","iCat")</x:f>
      </x:c>
      <x:c r="M12477" s="0" t="s">
        <x:v>20</x:v>
      </x:c>
      <x:c r="N12477" s="0" t="s">
        <x:v>35</x:v>
      </x:c>
    </x:row>
    <x:row r="12478" spans="1:16">
      <x:c r="A12478" s="0" t="s">
        <x:v>48037</x:v>
      </x:c>
      <x:c r="B12478" s="0" t="s">
        <x:v>48038</x:v>
      </x:c>
      <x:c r="C12478" s="0" t="s">
        <x:v>42840</x:v>
      </x:c>
      <x:c r="E12478" s="0" t="s">
        <x:v>48039</x:v>
      </x:c>
      <x:c r="F12478" s="0" t="s">
        <x:v>45</x:v>
      </x:c>
      <x:c r="G12478" s="0" t="s">
        <x:v>22</x:v>
      </x:c>
      <x:c r="H12478" s="0" t="s">
        <x:v>20</x:v>
      </x:c>
      <x:c r="I12478" s="0" t="s">
        <x:v>21</x:v>
      </x:c>
      <x:c r="K12478" s="0">
        <x:f>hyperlink("https://icd.who.int/dev11/l-ichi/en#/http%3A%2F%2Fid.who.int%2Ficd%2Fentity%2F1728431334","browser")</x:f>
      </x:c>
      <x:c r="L12478" s="0">
        <x:f>hyperlink("https://icat2.azurewebsites.net/icat/?ontology=ICD&amp;tab=ClassesTab&amp;id=http%3A%2F%2Fwho.int%2Ficd%231217_9e276f94_8a58_44b1_9833_7049a406a459","iCat")</x:f>
      </x:c>
      <x:c r="M12478" s="0" t="s">
        <x:v>21</x:v>
      </x:c>
      <x:c r="N12478" s="0" t="s">
        <x:v>46</x:v>
      </x:c>
    </x:row>
    <x:row r="12479" spans="1:16">
      <x:c r="A12479" s="0" t="s">
        <x:v>48040</x:v>
      </x:c>
      <x:c r="B12479" s="0" t="s">
        <x:v>48041</x:v>
      </x:c>
      <x:c r="C12479" s="0" t="s">
        <x:v>42840</x:v>
      </x:c>
      <x:c r="E12479" s="0" t="s">
        <x:v>48042</x:v>
      </x:c>
      <x:c r="F12479" s="0" t="s">
        <x:v>45</x:v>
      </x:c>
      <x:c r="G12479" s="0" t="s">
        <x:v>22</x:v>
      </x:c>
      <x:c r="H12479" s="0" t="s">
        <x:v>20</x:v>
      </x:c>
      <x:c r="I12479" s="0" t="s">
        <x:v>21</x:v>
      </x:c>
      <x:c r="K12479" s="0">
        <x:f>hyperlink("https://icd.who.int/dev11/l-ichi/en#/http%3A%2F%2Fid.who.int%2Ficd%2Fentity%2F671943795","browser")</x:f>
      </x:c>
      <x:c r="L12479" s="0">
        <x:f>hyperlink("https://icat2.azurewebsites.net/icat/?ontology=ICD&amp;tab=ClassesTab&amp;id=http%3A%2F%2Fwho.int%2Ficd%231235_9e276f94_8a58_44b1_9833_7049a406a459","iCat")</x:f>
      </x:c>
      <x:c r="M12479" s="0" t="s">
        <x:v>21</x:v>
      </x:c>
      <x:c r="N12479" s="0" t="s">
        <x:v>46</x:v>
      </x:c>
    </x:row>
    <x:row r="12480" spans="1:16">
      <x:c r="A12480" s="0" t="s">
        <x:v>48043</x:v>
      </x:c>
      <x:c r="B12480" s="0" t="s">
        <x:v>48044</x:v>
      </x:c>
      <x:c r="C12480" s="0" t="s">
        <x:v>42840</x:v>
      </x:c>
      <x:c r="E12480" s="0" t="s">
        <x:v>48045</x:v>
      </x:c>
      <x:c r="F12480" s="0" t="s">
        <x:v>45</x:v>
      </x:c>
      <x:c r="G12480" s="0" t="s">
        <x:v>22</x:v>
      </x:c>
      <x:c r="H12480" s="0" t="s">
        <x:v>20</x:v>
      </x:c>
      <x:c r="I12480" s="0" t="s">
        <x:v>21</x:v>
      </x:c>
      <x:c r="K12480" s="0">
        <x:f>hyperlink("https://icd.who.int/dev11/l-ichi/en#/http%3A%2F%2Fid.who.int%2Ficd%2Fentity%2F577065871","browser")</x:f>
      </x:c>
      <x:c r="L12480" s="0">
        <x:f>hyperlink("https://icat2.azurewebsites.net/icat/?ontology=ICD&amp;tab=ClassesTab&amp;id=http%3A%2F%2Fwho.int%2Ficd%231253_9e276f94_8a58_44b1_9833_7049a406a459","iCat")</x:f>
      </x:c>
      <x:c r="M12480" s="0" t="s">
        <x:v>21</x:v>
      </x:c>
      <x:c r="N12480" s="0" t="s">
        <x:v>46</x:v>
      </x:c>
    </x:row>
    <x:row r="12481" spans="1:16">
      <x:c r="A12481" s="0" t="s">
        <x:v>48046</x:v>
      </x:c>
      <x:c r="B12481" s="0" t="s">
        <x:v>48047</x:v>
      </x:c>
      <x:c r="C12481" s="0" t="s">
        <x:v>42840</x:v>
      </x:c>
      <x:c r="E12481" s="0" t="s">
        <x:v>48048</x:v>
      </x:c>
      <x:c r="F12481" s="0" t="s">
        <x:v>45</x:v>
      </x:c>
      <x:c r="G12481" s="0" t="s">
        <x:v>35</x:v>
      </x:c>
      <x:c r="H12481" s="0" t="s">
        <x:v>20</x:v>
      </x:c>
      <x:c r="I12481" s="0" t="s">
        <x:v>21</x:v>
      </x:c>
      <x:c r="K12481" s="0">
        <x:f>hyperlink("https://icd.who.int/dev11/l-ichi/en#/http%3A%2F%2Fid.who.int%2Ficd%2Fentity%2F777383588","browser")</x:f>
      </x:c>
      <x:c r="L12481" s="0">
        <x:f>hyperlink("https://icat2.azurewebsites.net/icat/?ontology=ICD&amp;tab=ClassesTab&amp;id=http%3A%2F%2Fwho.int%2Ficd%23SpecificAnatomicLocation_3011","iCat")</x:f>
      </x:c>
      <x:c r="M12481" s="0" t="s">
        <x:v>21</x:v>
      </x:c>
      <x:c r="N12481" s="0" t="s">
        <x:v>46</x:v>
      </x:c>
    </x:row>
    <x:row r="12482" spans="1:16">
      <x:c r="A12482" s="0" t="s">
        <x:v>48049</x:v>
      </x:c>
      <x:c r="B12482" s="0" t="s">
        <x:v>48050</x:v>
      </x:c>
      <x:c r="C12482" s="0" t="s">
        <x:v>42840</x:v>
      </x:c>
      <x:c r="E12482" s="0" t="s">
        <x:v>48051</x:v>
      </x:c>
      <x:c r="F12482" s="0" t="s">
        <x:v>45</x:v>
      </x:c>
      <x:c r="G12482" s="0" t="s">
        <x:v>35</x:v>
      </x:c>
      <x:c r="H12482" s="0" t="s">
        <x:v>20</x:v>
      </x:c>
      <x:c r="I12482" s="0" t="s">
        <x:v>21</x:v>
      </x:c>
      <x:c r="K12482" s="0">
        <x:f>hyperlink("https://icd.who.int/dev11/l-ichi/en#/http%3A%2F%2Fid.who.int%2Ficd%2Fentity%2F1494702435","browser")</x:f>
      </x:c>
      <x:c r="L12482" s="0">
        <x:f>hyperlink("https://icat2.azurewebsites.net/icat/?ontology=ICD&amp;tab=ClassesTab&amp;id=http%3A%2F%2Fwho.int%2Ficd%23SpecificAnatomicLocation_3752","iCat")</x:f>
      </x:c>
      <x:c r="M12482" s="0" t="s">
        <x:v>21</x:v>
      </x:c>
      <x:c r="N12482" s="0" t="s">
        <x:v>46</x:v>
      </x:c>
    </x:row>
    <x:row r="12483" spans="1:16">
      <x:c r="A12483" s="0" t="s">
        <x:v>48052</x:v>
      </x:c>
      <x:c r="B12483" s="0" t="s">
        <x:v>48053</x:v>
      </x:c>
      <x:c r="C12483" s="0" t="s">
        <x:v>42840</x:v>
      </x:c>
      <x:c r="E12483" s="0" t="s">
        <x:v>48054</x:v>
      </x:c>
      <x:c r="F12483" s="0" t="s">
        <x:v>45</x:v>
      </x:c>
      <x:c r="G12483" s="0" t="s">
        <x:v>19</x:v>
      </x:c>
      <x:c r="H12483" s="0" t="s">
        <x:v>20</x:v>
      </x:c>
      <x:c r="I12483" s="0" t="s">
        <x:v>21</x:v>
      </x:c>
      <x:c r="K12483" s="0">
        <x:f>hyperlink("https://icd.who.int/dev11/l-ichi/en#/http%3A%2F%2Fid.who.int%2Ficd%2Fentity%2F532265365","browser")</x:f>
      </x:c>
      <x:c r="L12483" s="0">
        <x:f>hyperlink("https://icat2.azurewebsites.net/icat/?ontology=ICD&amp;tab=ClassesTab&amp;id=http%3A%2F%2Fwho.int%2Ficd%23SpecificAnatomicLocation_3030","iCat")</x:f>
      </x:c>
      <x:c r="M12483" s="0" t="s">
        <x:v>20</x:v>
      </x:c>
      <x:c r="N12483" s="0" t="s">
        <x:v>40</x:v>
      </x:c>
    </x:row>
    <x:row r="12484" spans="1:16">
      <x:c r="A12484" s="0" t="s">
        <x:v>48055</x:v>
      </x:c>
      <x:c r="B12484" s="0" t="s">
        <x:v>48056</x:v>
      </x:c>
      <x:c r="C12484" s="0" t="s">
        <x:v>42840</x:v>
      </x:c>
      <x:c r="E12484" s="0" t="s">
        <x:v>48057</x:v>
      </x:c>
      <x:c r="F12484" s="0" t="s">
        <x:v>45</x:v>
      </x:c>
      <x:c r="G12484" s="0" t="s">
        <x:v>30</x:v>
      </x:c>
      <x:c r="H12484" s="0" t="s">
        <x:v>20</x:v>
      </x:c>
      <x:c r="I12484" s="0" t="s">
        <x:v>21</x:v>
      </x:c>
      <x:c r="K12484" s="0">
        <x:f>hyperlink("https://icd.who.int/dev11/l-ichi/en#/http%3A%2F%2Fid.who.int%2Ficd%2Fentity%2F668990132","browser")</x:f>
      </x:c>
      <x:c r="L12484" s="0">
        <x:f>hyperlink("https://icat2.azurewebsites.net/icat/?ontology=ICD&amp;tab=ClassesTab&amp;id=http%3A%2F%2Fwho.int%2Ficd%23SpecificAnatomicLocation_3028","iCat")</x:f>
      </x:c>
      <x:c r="M12484" s="0" t="s">
        <x:v>21</x:v>
      </x:c>
      <x:c r="N12484" s="0" t="s">
        <x:v>46</x:v>
      </x:c>
    </x:row>
    <x:row r="12485" spans="1:16">
      <x:c r="A12485" s="0" t="s">
        <x:v>48058</x:v>
      </x:c>
      <x:c r="B12485" s="0" t="s">
        <x:v>48059</x:v>
      </x:c>
      <x:c r="C12485" s="0" t="s">
        <x:v>42840</x:v>
      </x:c>
      <x:c r="E12485" s="0" t="s">
        <x:v>48060</x:v>
      </x:c>
      <x:c r="F12485" s="0" t="s">
        <x:v>45</x:v>
      </x:c>
      <x:c r="G12485" s="0" t="s">
        <x:v>30</x:v>
      </x:c>
      <x:c r="H12485" s="0" t="s">
        <x:v>20</x:v>
      </x:c>
      <x:c r="I12485" s="0" t="s">
        <x:v>21</x:v>
      </x:c>
      <x:c r="K12485" s="0">
        <x:f>hyperlink("https://icd.who.int/dev11/l-ichi/en#/http%3A%2F%2Fid.who.int%2Ficd%2Fentity%2F1734330584","browser")</x:f>
      </x:c>
      <x:c r="L12485" s="0">
        <x:f>hyperlink("https://icat2.azurewebsites.net/icat/?ontology=ICD&amp;tab=ClassesTab&amp;id=http%3A%2F%2Fwho.int%2Ficd%2337694_5068053d_dbae_4066_9fec_a83d5dd174ab","iCat")</x:f>
      </x:c>
      <x:c r="M12485" s="0" t="s">
        <x:v>21</x:v>
      </x:c>
      <x:c r="N12485" s="0" t="s">
        <x:v>46</x:v>
      </x:c>
    </x:row>
    <x:row r="12486" spans="1:16">
      <x:c r="A12486" s="0" t="s">
        <x:v>48061</x:v>
      </x:c>
      <x:c r="B12486" s="0" t="s">
        <x:v>48062</x:v>
      </x:c>
      <x:c r="C12486" s="0" t="s">
        <x:v>42840</x:v>
      </x:c>
      <x:c r="E12486" s="0" t="s">
        <x:v>48063</x:v>
      </x:c>
      <x:c r="F12486" s="0" t="s">
        <x:v>45</x:v>
      </x:c>
      <x:c r="G12486" s="0" t="s">
        <x:v>30</x:v>
      </x:c>
      <x:c r="H12486" s="0" t="s">
        <x:v>20</x:v>
      </x:c>
      <x:c r="I12486" s="0" t="s">
        <x:v>21</x:v>
      </x:c>
      <x:c r="K12486" s="0">
        <x:f>hyperlink("https://icd.who.int/dev11/l-ichi/en#/http%3A%2F%2Fid.who.int%2Ficd%2Fentity%2F821534324","browser")</x:f>
      </x:c>
      <x:c r="L12486" s="0">
        <x:f>hyperlink("https://icat2.azurewebsites.net/icat/?ontology=ICD&amp;tab=ClassesTab&amp;id=http%3A%2F%2Fwho.int%2Ficd%23SpecificAnatomicLocation_3029","iCat")</x:f>
      </x:c>
      <x:c r="M12486" s="0" t="s">
        <x:v>21</x:v>
      </x:c>
      <x:c r="N12486" s="0" t="s">
        <x:v>46</x:v>
      </x:c>
    </x:row>
    <x:row r="12487" spans="1:16">
      <x:c r="A12487" s="0" t="s">
        <x:v>48064</x:v>
      </x:c>
      <x:c r="B12487" s="0" t="s">
        <x:v>48065</x:v>
      </x:c>
      <x:c r="C12487" s="0" t="s">
        <x:v>42840</x:v>
      </x:c>
      <x:c r="E12487" s="0" t="s">
        <x:v>48066</x:v>
      </x:c>
      <x:c r="F12487" s="0" t="s">
        <x:v>45</x:v>
      </x:c>
      <x:c r="G12487" s="0" t="s">
        <x:v>30</x:v>
      </x:c>
      <x:c r="H12487" s="0" t="s">
        <x:v>20</x:v>
      </x:c>
      <x:c r="I12487" s="0" t="s">
        <x:v>21</x:v>
      </x:c>
      <x:c r="K12487" s="0">
        <x:f>hyperlink("https://icd.who.int/dev11/l-ichi/en#/http%3A%2F%2Fid.who.int%2Ficd%2Fentity%2F79305996","browser")</x:f>
      </x:c>
      <x:c r="L12487" s="0">
        <x:f>hyperlink("https://icat2.azurewebsites.net/icat/?ontology=ICD&amp;tab=ClassesTab&amp;id=http%3A%2F%2Fwho.int%2Ficd%23SpecificAnatomicLocation_3027","iCat")</x:f>
      </x:c>
      <x:c r="M12487" s="0" t="s">
        <x:v>21</x:v>
      </x:c>
      <x:c r="N12487" s="0" t="s">
        <x:v>46</x:v>
      </x:c>
    </x:row>
    <x:row r="12488" spans="1:16">
      <x:c r="A12488" s="0" t="s">
        <x:v>48067</x:v>
      </x:c>
      <x:c r="B12488" s="0" t="s">
        <x:v>48068</x:v>
      </x:c>
      <x:c r="C12488" s="0" t="s">
        <x:v>42840</x:v>
      </x:c>
      <x:c r="E12488" s="0" t="s">
        <x:v>48069</x:v>
      </x:c>
      <x:c r="F12488" s="0" t="s">
        <x:v>45</x:v>
      </x:c>
      <x:c r="G12488" s="0" t="s">
        <x:v>30</x:v>
      </x:c>
      <x:c r="H12488" s="0" t="s">
        <x:v>20</x:v>
      </x:c>
      <x:c r="I12488" s="0" t="s">
        <x:v>21</x:v>
      </x:c>
      <x:c r="K12488" s="0">
        <x:f>hyperlink("https://icd.who.int/dev11/l-ichi/en#/http%3A%2F%2Fid.who.int%2Ficd%2Fentity%2F372485507","browser")</x:f>
      </x:c>
      <x:c r="L12488" s="0">
        <x:f>hyperlink("https://icat2.azurewebsites.net/icat/?ontology=ICD&amp;tab=ClassesTab&amp;id=http%3A%2F%2Fwho.int%2Ficd%23SpecificAnatomicLocation_3009","iCat")</x:f>
      </x:c>
      <x:c r="M12488" s="0" t="s">
        <x:v>20</x:v>
      </x:c>
      <x:c r="N12488" s="0" t="s">
        <x:v>30</x:v>
      </x:c>
    </x:row>
    <x:row r="12489" spans="1:16">
      <x:c r="A12489" s="0" t="s">
        <x:v>48070</x:v>
      </x:c>
      <x:c r="B12489" s="0" t="s">
        <x:v>48071</x:v>
      </x:c>
      <x:c r="C12489" s="0" t="s">
        <x:v>42840</x:v>
      </x:c>
      <x:c r="E12489" s="0" t="s">
        <x:v>48072</x:v>
      </x:c>
      <x:c r="F12489" s="0" t="s">
        <x:v>45</x:v>
      </x:c>
      <x:c r="G12489" s="0" t="s">
        <x:v>35</x:v>
      </x:c>
      <x:c r="H12489" s="0" t="s">
        <x:v>20</x:v>
      </x:c>
      <x:c r="I12489" s="0" t="s">
        <x:v>21</x:v>
      </x:c>
      <x:c r="K12489" s="0">
        <x:f>hyperlink("https://icd.who.int/dev11/l-ichi/en#/http%3A%2F%2Fid.who.int%2Ficd%2Fentity%2F1301065208","browser")</x:f>
      </x:c>
      <x:c r="L12489" s="0">
        <x:f>hyperlink("https://icat2.azurewebsites.net/icat/?ontology=ICD&amp;tab=ClassesTab&amp;id=http%3A%2F%2Fwho.int%2Ficd%2337657_5068053d_dbae_4066_9fec_a83d5dd174ab","iCat")</x:f>
      </x:c>
      <x:c r="M12489" s="0" t="s">
        <x:v>21</x:v>
      </x:c>
      <x:c r="N12489" s="0" t="s">
        <x:v>46</x:v>
      </x:c>
    </x:row>
    <x:row r="12490" spans="1:16">
      <x:c r="A12490" s="0" t="s">
        <x:v>48073</x:v>
      </x:c>
      <x:c r="B12490" s="0" t="s">
        <x:v>48074</x:v>
      </x:c>
      <x:c r="C12490" s="0" t="s">
        <x:v>42840</x:v>
      </x:c>
      <x:c r="E12490" s="0" t="s">
        <x:v>48075</x:v>
      </x:c>
      <x:c r="F12490" s="0" t="s">
        <x:v>45</x:v>
      </x:c>
      <x:c r="G12490" s="0" t="s">
        <x:v>35</x:v>
      </x:c>
      <x:c r="H12490" s="0" t="s">
        <x:v>20</x:v>
      </x:c>
      <x:c r="I12490" s="0" t="s">
        <x:v>21</x:v>
      </x:c>
      <x:c r="K12490" s="0">
        <x:f>hyperlink("https://icd.who.int/dev11/l-ichi/en#/http%3A%2F%2Fid.who.int%2Ficd%2Fentity%2F42231149","browser")</x:f>
      </x:c>
      <x:c r="L12490" s="0">
        <x:f>hyperlink("https://icat2.azurewebsites.net/icat/?ontology=ICD&amp;tab=ClassesTab&amp;id=http%3A%2F%2Fwho.int%2Ficd%2337675_5068053d_dbae_4066_9fec_a83d5dd174ab","iCat")</x:f>
      </x:c>
      <x:c r="M12490" s="0" t="s">
        <x:v>21</x:v>
      </x:c>
      <x:c r="N12490" s="0" t="s">
        <x:v>46</x:v>
      </x:c>
    </x:row>
    <x:row r="12491" spans="1:16">
      <x:c r="A12491" s="0" t="s">
        <x:v>48076</x:v>
      </x:c>
      <x:c r="B12491" s="0" t="s">
        <x:v>48077</x:v>
      </x:c>
      <x:c r="D12491" s="0" t="s">
        <x:v>44502</x:v>
      </x:c>
      <x:c r="E12491" s="0" t="s">
        <x:v>48078</x:v>
      </x:c>
      <x:c r="F12491" s="0" t="s">
        <x:v>26</x:v>
      </x:c>
      <x:c r="G12491" s="0" t="s">
        <x:v>35</x:v>
      </x:c>
      <x:c r="H12491" s="0" t="s">
        <x:v>20</x:v>
      </x:c>
      <x:c r="I12491" s="0" t="s">
        <x:v>21</x:v>
      </x:c>
      <x:c r="K12491" s="0">
        <x:f>hyperlink("https://icd.who.int/dev11/l-ichi/en#/http%3A%2F%2Fid.who.int%2Ficd%2Fentity%2F555078855","browser")</x:f>
      </x:c>
      <x:c r="L12491" s="0">
        <x:f>hyperlink("https://icat2.azurewebsites.net/icat/?ontology=ICD&amp;tab=ClassesTab&amp;id=http%3A%2F%2Fwho.int%2Ficd%23SpecificAnatomicLocation_1007","iCat")</x:f>
      </x:c>
      <x:c r="M12491" s="0" t="s">
        <x:v>20</x:v>
      </x:c>
      <x:c r="N12491" s="0" t="s">
        <x:v>19</x:v>
      </x:c>
    </x:row>
    <x:row r="12492" spans="1:16">
      <x:c r="A12492" s="0" t="s">
        <x:v>48079</x:v>
      </x:c>
      <x:c r="B12492" s="0" t="s">
        <x:v>48080</x:v>
      </x:c>
      <x:c r="C12492" s="0" t="s">
        <x:v>42840</x:v>
      </x:c>
      <x:c r="E12492" s="0" t="s">
        <x:v>1196</x:v>
      </x:c>
      <x:c r="F12492" s="0" t="s">
        <x:v>45</x:v>
      </x:c>
      <x:c r="G12492" s="0" t="s">
        <x:v>19</x:v>
      </x:c>
      <x:c r="H12492" s="0" t="s">
        <x:v>20</x:v>
      </x:c>
      <x:c r="I12492" s="0" t="s">
        <x:v>21</x:v>
      </x:c>
      <x:c r="K12492" s="0">
        <x:f>hyperlink("https://icd.who.int/dev11/l-ichi/en#/http%3A%2F%2Fid.who.int%2Ficd%2Fentity%2F123461884","browser")</x:f>
      </x:c>
      <x:c r="L12492" s="0">
        <x:f>hyperlink("https://icat2.azurewebsites.net/icat/?ontology=ICD&amp;tab=ClassesTab&amp;id=http%3A%2F%2Fwho.int%2Ficd%23SpecificAnatomicLocation_3130","iCat")</x:f>
      </x:c>
      <x:c r="M12492" s="0" t="s">
        <x:v>20</x:v>
      </x:c>
      <x:c r="N12492" s="0" t="s">
        <x:v>35</x:v>
      </x:c>
    </x:row>
    <x:row r="12493" spans="1:16">
      <x:c r="A12493" s="0" t="s">
        <x:v>48081</x:v>
      </x:c>
      <x:c r="B12493" s="0" t="s">
        <x:v>48082</x:v>
      </x:c>
      <x:c r="C12493" s="0" t="s">
        <x:v>42840</x:v>
      </x:c>
      <x:c r="E12493" s="0" t="s">
        <x:v>48083</x:v>
      </x:c>
      <x:c r="F12493" s="0" t="s">
        <x:v>45</x:v>
      </x:c>
      <x:c r="G12493" s="0" t="s">
        <x:v>30</x:v>
      </x:c>
      <x:c r="H12493" s="0" t="s">
        <x:v>20</x:v>
      </x:c>
      <x:c r="I12493" s="0" t="s">
        <x:v>21</x:v>
      </x:c>
      <x:c r="K12493" s="0">
        <x:f>hyperlink("https://icd.who.int/dev11/l-ichi/en#/http%3A%2F%2Fid.who.int%2Ficd%2Fentity%2F1001188833","browser")</x:f>
      </x:c>
      <x:c r="L12493" s="0">
        <x:f>hyperlink("https://icat2.azurewebsites.net/icat/?ontology=ICD&amp;tab=ClassesTab&amp;id=http%3A%2F%2Fwho.int%2Ficd%238583_16e67c35_8b57_40bb_9220_818553425a8c","iCat")</x:f>
      </x:c>
      <x:c r="M12493" s="0" t="s">
        <x:v>20</x:v>
      </x:c>
      <x:c r="N12493" s="0" t="s">
        <x:v>35</x:v>
      </x:c>
    </x:row>
    <x:row r="12494" spans="1:16">
      <x:c r="A12494" s="0" t="s">
        <x:v>48084</x:v>
      </x:c>
      <x:c r="B12494" s="0" t="s">
        <x:v>48085</x:v>
      </x:c>
      <x:c r="C12494" s="0" t="s">
        <x:v>42840</x:v>
      </x:c>
      <x:c r="E12494" s="0" t="s">
        <x:v>48086</x:v>
      </x:c>
      <x:c r="F12494" s="0" t="s">
        <x:v>45</x:v>
      </x:c>
      <x:c r="G12494" s="0" t="s">
        <x:v>35</x:v>
      </x:c>
      <x:c r="H12494" s="0" t="s">
        <x:v>20</x:v>
      </x:c>
      <x:c r="I12494" s="0" t="s">
        <x:v>21</x:v>
      </x:c>
      <x:c r="K12494" s="0">
        <x:f>hyperlink("https://icd.who.int/dev11/l-ichi/en#/http%3A%2F%2Fid.who.int%2Ficd%2Fentity%2F1456430532","browser")</x:f>
      </x:c>
      <x:c r="L12494" s="0">
        <x:f>hyperlink("https://icat2.azurewebsites.net/icat/?ontology=ICD&amp;tab=ClassesTab&amp;id=http%3A%2F%2Fwho.int%2Ficd%23SpecificAnatomicLocation_3139","iCat")</x:f>
      </x:c>
      <x:c r="M12494" s="0" t="s">
        <x:v>20</x:v>
      </x:c>
      <x:c r="N12494" s="0" t="s">
        <x:v>206</x:v>
      </x:c>
    </x:row>
    <x:row r="12495" spans="1:16">
      <x:c r="A12495" s="0" t="s">
        <x:v>48087</x:v>
      </x:c>
      <x:c r="B12495" s="0" t="s">
        <x:v>48088</x:v>
      </x:c>
      <x:c r="C12495" s="0" t="s">
        <x:v>42840</x:v>
      </x:c>
      <x:c r="E12495" s="0" t="s">
        <x:v>48089</x:v>
      </x:c>
      <x:c r="F12495" s="0" t="s">
        <x:v>45</x:v>
      </x:c>
      <x:c r="G12495" s="0" t="s">
        <x:v>22</x:v>
      </x:c>
      <x:c r="H12495" s="0" t="s">
        <x:v>20</x:v>
      </x:c>
      <x:c r="I12495" s="0" t="s">
        <x:v>21</x:v>
      </x:c>
      <x:c r="K12495" s="0">
        <x:f>hyperlink("https://icd.who.int/dev11/l-ichi/en#/http%3A%2F%2Fid.who.int%2Ficd%2Fentity%2F276005948","browser")</x:f>
      </x:c>
      <x:c r="L12495" s="0">
        <x:f>hyperlink("https://icat2.azurewebsites.net/icat/?ontology=ICD&amp;tab=ClassesTab&amp;id=http%3A%2F%2Fwho.int%2Ficd%23SpecificAnatomicLocation_3131","iCat")</x:f>
      </x:c>
      <x:c r="M12495" s="0" t="s">
        <x:v>21</x:v>
      </x:c>
      <x:c r="N12495" s="0" t="s">
        <x:v>46</x:v>
      </x:c>
    </x:row>
    <x:row r="12496" spans="1:16">
      <x:c r="A12496" s="0" t="s">
        <x:v>48090</x:v>
      </x:c>
      <x:c r="B12496" s="0" t="s">
        <x:v>48091</x:v>
      </x:c>
      <x:c r="C12496" s="0" t="s">
        <x:v>42840</x:v>
      </x:c>
      <x:c r="E12496" s="0" t="s">
        <x:v>48092</x:v>
      </x:c>
      <x:c r="F12496" s="0" t="s">
        <x:v>45</x:v>
      </x:c>
      <x:c r="G12496" s="0" t="s">
        <x:v>22</x:v>
      </x:c>
      <x:c r="H12496" s="0" t="s">
        <x:v>20</x:v>
      </x:c>
      <x:c r="I12496" s="0" t="s">
        <x:v>21</x:v>
      </x:c>
      <x:c r="K12496" s="0">
        <x:f>hyperlink("https://icd.who.int/dev11/l-ichi/en#/http%3A%2F%2Fid.who.int%2Ficd%2Fentity%2F688597372","browser")</x:f>
      </x:c>
      <x:c r="L12496" s="0">
        <x:f>hyperlink("https://icat2.azurewebsites.net/icat/?ontology=ICD&amp;tab=ClassesTab&amp;id=http%3A%2F%2Fwho.int%2Ficd%23SpecificAnatomicLocation_3132","iCat")</x:f>
      </x:c>
      <x:c r="M12496" s="0" t="s">
        <x:v>21</x:v>
      </x:c>
      <x:c r="N12496" s="0" t="s">
        <x:v>46</x:v>
      </x:c>
    </x:row>
    <x:row r="12497" spans="1:16">
      <x:c r="A12497" s="0" t="s">
        <x:v>48093</x:v>
      </x:c>
      <x:c r="B12497" s="0" t="s">
        <x:v>48094</x:v>
      </x:c>
      <x:c r="C12497" s="0" t="s">
        <x:v>42840</x:v>
      </x:c>
      <x:c r="E12497" s="0" t="s">
        <x:v>48095</x:v>
      </x:c>
      <x:c r="F12497" s="0" t="s">
        <x:v>45</x:v>
      </x:c>
      <x:c r="G12497" s="0" t="s">
        <x:v>22</x:v>
      </x:c>
      <x:c r="H12497" s="0" t="s">
        <x:v>20</x:v>
      </x:c>
      <x:c r="I12497" s="0" t="s">
        <x:v>21</x:v>
      </x:c>
      <x:c r="K12497" s="0">
        <x:f>hyperlink("https://icd.who.int/dev11/l-ichi/en#/http%3A%2F%2Fid.who.int%2Ficd%2Fentity%2F1042501052","browser")</x:f>
      </x:c>
      <x:c r="L12497" s="0">
        <x:f>hyperlink("https://icat2.azurewebsites.net/icat/?ontology=ICD&amp;tab=ClassesTab&amp;id=http%3A%2F%2Fwho.int%2Ficd%23SpecificAnatomicLocation_3133","iCat")</x:f>
      </x:c>
      <x:c r="M12497" s="0" t="s">
        <x:v>21</x:v>
      </x:c>
      <x:c r="N12497" s="0" t="s">
        <x:v>46</x:v>
      </x:c>
    </x:row>
    <x:row r="12498" spans="1:16">
      <x:c r="A12498" s="0" t="s">
        <x:v>48096</x:v>
      </x:c>
      <x:c r="B12498" s="0" t="s">
        <x:v>48097</x:v>
      </x:c>
      <x:c r="C12498" s="0" t="s">
        <x:v>42840</x:v>
      </x:c>
      <x:c r="E12498" s="0" t="s">
        <x:v>48098</x:v>
      </x:c>
      <x:c r="F12498" s="0" t="s">
        <x:v>45</x:v>
      </x:c>
      <x:c r="G12498" s="0" t="s">
        <x:v>22</x:v>
      </x:c>
      <x:c r="H12498" s="0" t="s">
        <x:v>20</x:v>
      </x:c>
      <x:c r="I12498" s="0" t="s">
        <x:v>21</x:v>
      </x:c>
      <x:c r="K12498" s="0">
        <x:f>hyperlink("https://icd.who.int/dev11/l-ichi/en#/http%3A%2F%2Fid.who.int%2Ficd%2Fentity%2F1543140348","browser")</x:f>
      </x:c>
      <x:c r="L12498" s="0">
        <x:f>hyperlink("https://icat2.azurewebsites.net/icat/?ontology=ICD&amp;tab=ClassesTab&amp;id=http%3A%2F%2Fwho.int%2Ficd%23SpecificAnatomicLocation_3134","iCat")</x:f>
      </x:c>
      <x:c r="M12498" s="0" t="s">
        <x:v>21</x:v>
      </x:c>
      <x:c r="N12498" s="0" t="s">
        <x:v>46</x:v>
      </x:c>
    </x:row>
    <x:row r="12499" spans="1:16">
      <x:c r="A12499" s="0" t="s">
        <x:v>48099</x:v>
      </x:c>
      <x:c r="B12499" s="0" t="s">
        <x:v>48100</x:v>
      </x:c>
      <x:c r="C12499" s="0" t="s">
        <x:v>42840</x:v>
      </x:c>
      <x:c r="E12499" s="0" t="s">
        <x:v>48101</x:v>
      </x:c>
      <x:c r="F12499" s="0" t="s">
        <x:v>45</x:v>
      </x:c>
      <x:c r="G12499" s="0" t="s">
        <x:v>22</x:v>
      </x:c>
      <x:c r="H12499" s="0" t="s">
        <x:v>20</x:v>
      </x:c>
      <x:c r="I12499" s="0" t="s">
        <x:v>21</x:v>
      </x:c>
      <x:c r="K12499" s="0">
        <x:f>hyperlink("https://icd.who.int/dev11/l-ichi/en#/http%3A%2F%2Fid.who.int%2Ficd%2Fentity%2F1974123132","browser")</x:f>
      </x:c>
      <x:c r="L12499" s="0">
        <x:f>hyperlink("https://icat2.azurewebsites.net/icat/?ontology=ICD&amp;tab=ClassesTab&amp;id=http%3A%2F%2Fwho.int%2Ficd%23SpecificAnatomicLocation_3136","iCat")</x:f>
      </x:c>
      <x:c r="M12499" s="0" t="s">
        <x:v>21</x:v>
      </x:c>
      <x:c r="N12499" s="0" t="s">
        <x:v>46</x:v>
      </x:c>
    </x:row>
    <x:row r="12500" spans="1:16">
      <x:c r="A12500" s="0" t="s">
        <x:v>48102</x:v>
      </x:c>
      <x:c r="B12500" s="0" t="s">
        <x:v>48103</x:v>
      </x:c>
      <x:c r="C12500" s="0" t="s">
        <x:v>42840</x:v>
      </x:c>
      <x:c r="E12500" s="0" t="s">
        <x:v>48104</x:v>
      </x:c>
      <x:c r="F12500" s="0" t="s">
        <x:v>45</x:v>
      </x:c>
      <x:c r="G12500" s="0" t="s">
        <x:v>22</x:v>
      </x:c>
      <x:c r="H12500" s="0" t="s">
        <x:v>20</x:v>
      </x:c>
      <x:c r="I12500" s="0" t="s">
        <x:v>21</x:v>
      </x:c>
      <x:c r="K12500" s="0">
        <x:f>hyperlink("https://icd.who.int/dev11/l-ichi/en#/http%3A%2F%2Fid.who.int%2Ficd%2Fentity%2F1288836924","browser")</x:f>
      </x:c>
      <x:c r="L12500" s="0">
        <x:f>hyperlink("https://icat2.azurewebsites.net/icat/?ontology=ICD&amp;tab=ClassesTab&amp;id=http%3A%2F%2Fwho.int%2Ficd%23SpecificAnatomicLocation_3135","iCat")</x:f>
      </x:c>
      <x:c r="M12500" s="0" t="s">
        <x:v>21</x:v>
      </x:c>
      <x:c r="N12500" s="0" t="s">
        <x:v>46</x:v>
      </x:c>
    </x:row>
    <x:row r="12501" spans="1:16">
      <x:c r="A12501" s="0" t="s">
        <x:v>48105</x:v>
      </x:c>
      <x:c r="B12501" s="0" t="s">
        <x:v>48106</x:v>
      </x:c>
      <x:c r="C12501" s="0" t="s">
        <x:v>42840</x:v>
      </x:c>
      <x:c r="E12501" s="0" t="s">
        <x:v>48107</x:v>
      </x:c>
      <x:c r="F12501" s="0" t="s">
        <x:v>45</x:v>
      </x:c>
      <x:c r="G12501" s="0" t="s">
        <x:v>35</x:v>
      </x:c>
      <x:c r="H12501" s="0" t="s">
        <x:v>20</x:v>
      </x:c>
      <x:c r="I12501" s="0" t="s">
        <x:v>21</x:v>
      </x:c>
      <x:c r="K12501" s="0">
        <x:f>hyperlink("https://icd.who.int/dev11/l-ichi/en#/http%3A%2F%2Fid.who.int%2Ficd%2Fentity%2F702671952","browser")</x:f>
      </x:c>
      <x:c r="L12501" s="0">
        <x:f>hyperlink("https://icat2.azurewebsites.net/icat/?ontology=ICD&amp;tab=ClassesTab&amp;id=http%3A%2F%2Fwho.int%2Ficd%238820_16e67c35_8b57_40bb_9220_818553425a8c","iCat")</x:f>
      </x:c>
      <x:c r="M12501" s="0" t="s">
        <x:v>20</x:v>
      </x:c>
      <x:c r="N12501" s="0" t="s">
        <x:v>30</x:v>
      </x:c>
    </x:row>
    <x:row r="12502" spans="1:16">
      <x:c r="A12502" s="0" t="s">
        <x:v>48108</x:v>
      </x:c>
      <x:c r="B12502" s="0" t="s">
        <x:v>48109</x:v>
      </x:c>
      <x:c r="C12502" s="0" t="s">
        <x:v>42840</x:v>
      </x:c>
      <x:c r="E12502" s="0" t="s">
        <x:v>48110</x:v>
      </x:c>
      <x:c r="F12502" s="0" t="s">
        <x:v>45</x:v>
      </x:c>
      <x:c r="G12502" s="0" t="s">
        <x:v>22</x:v>
      </x:c>
      <x:c r="H12502" s="0" t="s">
        <x:v>20</x:v>
      </x:c>
      <x:c r="I12502" s="0" t="s">
        <x:v>21</x:v>
      </x:c>
      <x:c r="K12502" s="0">
        <x:f>hyperlink("https://icd.who.int/dev11/l-ichi/en#/http%3A%2F%2Fid.who.int%2Ficd%2Fentity%2F1724482772","browser")</x:f>
      </x:c>
      <x:c r="L12502" s="0">
        <x:f>hyperlink("https://icat2.azurewebsites.net/icat/?ontology=ICD&amp;tab=ClassesTab&amp;id=http%3A%2F%2Fwho.int%2Ficd%23SpecificAnatomicLocation_3152","iCat")</x:f>
      </x:c>
      <x:c r="M12502" s="0" t="s">
        <x:v>20</x:v>
      </x:c>
      <x:c r="N12502" s="0" t="s">
        <x:v>30</x:v>
      </x:c>
    </x:row>
    <x:row r="12503" spans="1:16">
      <x:c r="A12503" s="0" t="s">
        <x:v>48111</x:v>
      </x:c>
      <x:c r="B12503" s="0" t="s">
        <x:v>48112</x:v>
      </x:c>
      <x:c r="C12503" s="0" t="s">
        <x:v>42840</x:v>
      </x:c>
      <x:c r="E12503" s="0" t="s">
        <x:v>48113</x:v>
      </x:c>
      <x:c r="F12503" s="0" t="s">
        <x:v>45</x:v>
      </x:c>
      <x:c r="G12503" s="0" t="s">
        <x:v>40</x:v>
      </x:c>
      <x:c r="H12503" s="0" t="s">
        <x:v>20</x:v>
      </x:c>
      <x:c r="I12503" s="0" t="s">
        <x:v>21</x:v>
      </x:c>
      <x:c r="K12503" s="0">
        <x:f>hyperlink("https://icd.who.int/dev11/l-ichi/en#/http%3A%2F%2Fid.who.int%2Ficd%2Fentity%2F1605446036","browser")</x:f>
      </x:c>
      <x:c r="L12503" s="0">
        <x:f>hyperlink("https://icat2.azurewebsites.net/icat/?ontology=ICD&amp;tab=ClassesTab&amp;id=http%3A%2F%2Fwho.int%2Ficd%23SpecificAnatomicLocation_3151","iCat")</x:f>
      </x:c>
      <x:c r="M12503" s="0" t="s">
        <x:v>20</x:v>
      </x:c>
      <x:c r="N12503" s="0" t="s">
        <x:v>40</x:v>
      </x:c>
    </x:row>
    <x:row r="12504" spans="1:16">
      <x:c r="A12504" s="0" t="s">
        <x:v>48114</x:v>
      </x:c>
      <x:c r="B12504" s="0" t="s">
        <x:v>48115</x:v>
      </x:c>
      <x:c r="C12504" s="0" t="s">
        <x:v>42840</x:v>
      </x:c>
      <x:c r="E12504" s="0" t="s">
        <x:v>48116</x:v>
      </x:c>
      <x:c r="F12504" s="0" t="s">
        <x:v>45</x:v>
      </x:c>
      <x:c r="G12504" s="0" t="s">
        <x:v>206</x:v>
      </x:c>
      <x:c r="H12504" s="0" t="s">
        <x:v>20</x:v>
      </x:c>
      <x:c r="I12504" s="0" t="s">
        <x:v>21</x:v>
      </x:c>
      <x:c r="K12504" s="0">
        <x:f>hyperlink("https://icd.who.int/dev11/l-ichi/en#/http%3A%2F%2Fid.who.int%2Ficd%2Fentity%2F1152552203","browser")</x:f>
      </x:c>
      <x:c r="L12504" s="0">
        <x:f>hyperlink("https://icat2.azurewebsites.net/icat/?ontology=ICD&amp;tab=ClassesTab&amp;id=http%3A%2F%2Fwho.int%2Ficd%23SpecificAnatomicLocation_3146","iCat")</x:f>
      </x:c>
      <x:c r="M12504" s="0" t="s">
        <x:v>20</x:v>
      </x:c>
      <x:c r="N12504" s="0" t="s">
        <x:v>35</x:v>
      </x:c>
    </x:row>
    <x:row r="12505" spans="1:16">
      <x:c r="A12505" s="0" t="s">
        <x:v>48117</x:v>
      </x:c>
      <x:c r="B12505" s="0" t="s">
        <x:v>48118</x:v>
      </x:c>
      <x:c r="C12505" s="0" t="s">
        <x:v>42840</x:v>
      </x:c>
      <x:c r="E12505" s="0" t="s">
        <x:v>48119</x:v>
      </x:c>
      <x:c r="F12505" s="0" t="s">
        <x:v>45</x:v>
      </x:c>
      <x:c r="G12505" s="0" t="s">
        <x:v>431</x:v>
      </x:c>
      <x:c r="H12505" s="0" t="s">
        <x:v>20</x:v>
      </x:c>
      <x:c r="I12505" s="0" t="s">
        <x:v>21</x:v>
      </x:c>
      <x:c r="K12505" s="0">
        <x:f>hyperlink("https://icd.who.int/dev11/l-ichi/en#/http%3A%2F%2Fid.who.int%2Ficd%2Fentity%2F60529779","browser")</x:f>
      </x:c>
      <x:c r="L12505" s="0">
        <x:f>hyperlink("https://icat2.azurewebsites.net/icat/?ontology=ICD&amp;tab=ClassesTab&amp;id=http%3A%2F%2Fwho.int%2Ficd%2314587_16e67c35_8b57_40bb_9220_818553425a8c","iCat")</x:f>
      </x:c>
      <x:c r="M12505" s="0" t="s">
        <x:v>21</x:v>
      </x:c>
      <x:c r="N12505" s="0" t="s">
        <x:v>46</x:v>
      </x:c>
    </x:row>
    <x:row r="12506" spans="1:16">
      <x:c r="A12506" s="0" t="s">
        <x:v>48120</x:v>
      </x:c>
      <x:c r="B12506" s="0" t="s">
        <x:v>48121</x:v>
      </x:c>
      <x:c r="C12506" s="0" t="s">
        <x:v>42840</x:v>
      </x:c>
      <x:c r="E12506" s="0" t="s">
        <x:v>48122</x:v>
      </x:c>
      <x:c r="F12506" s="0" t="s">
        <x:v>45</x:v>
      </x:c>
      <x:c r="G12506" s="0" t="s">
        <x:v>431</x:v>
      </x:c>
      <x:c r="H12506" s="0" t="s">
        <x:v>20</x:v>
      </x:c>
      <x:c r="I12506" s="0" t="s">
        <x:v>21</x:v>
      </x:c>
      <x:c r="K12506" s="0">
        <x:f>hyperlink("https://icd.who.int/dev11/l-ichi/en#/http%3A%2F%2Fid.who.int%2Ficd%2Fentity%2F1561068498","browser")</x:f>
      </x:c>
      <x:c r="L12506" s="0">
        <x:f>hyperlink("https://icat2.azurewebsites.net/icat/?ontology=ICD&amp;tab=ClassesTab&amp;id=http%3A%2F%2Fwho.int%2Ficd%2314606_16e67c35_8b57_40bb_9220_818553425a8c","iCat")</x:f>
      </x:c>
      <x:c r="M12506" s="0" t="s">
        <x:v>21</x:v>
      </x:c>
      <x:c r="N12506" s="0" t="s">
        <x:v>46</x:v>
      </x:c>
    </x:row>
    <x:row r="12507" spans="1:16">
      <x:c r="A12507" s="0" t="s">
        <x:v>48123</x:v>
      </x:c>
      <x:c r="B12507" s="0" t="s">
        <x:v>48124</x:v>
      </x:c>
      <x:c r="C12507" s="0" t="s">
        <x:v>42840</x:v>
      </x:c>
      <x:c r="E12507" s="0" t="s">
        <x:v>48125</x:v>
      </x:c>
      <x:c r="F12507" s="0" t="s">
        <x:v>45</x:v>
      </x:c>
      <x:c r="G12507" s="0" t="s">
        <x:v>431</x:v>
      </x:c>
      <x:c r="H12507" s="0" t="s">
        <x:v>20</x:v>
      </x:c>
      <x:c r="I12507" s="0" t="s">
        <x:v>21</x:v>
      </x:c>
      <x:c r="K12507" s="0">
        <x:f>hyperlink("https://icd.who.int/dev11/l-ichi/en#/http%3A%2F%2Fid.who.int%2Ficd%2Fentity%2F855488891","browser")</x:f>
      </x:c>
      <x:c r="L12507" s="0">
        <x:f>hyperlink("https://icat2.azurewebsites.net/icat/?ontology=ICD&amp;tab=ClassesTab&amp;id=http%3A%2F%2Fwho.int%2Ficd%2314625_16e67c35_8b57_40bb_9220_818553425a8c","iCat")</x:f>
      </x:c>
      <x:c r="M12507" s="0" t="s">
        <x:v>21</x:v>
      </x:c>
      <x:c r="N12507" s="0" t="s">
        <x:v>46</x:v>
      </x:c>
    </x:row>
    <x:row r="12508" spans="1:16">
      <x:c r="A12508" s="0" t="s">
        <x:v>48126</x:v>
      </x:c>
      <x:c r="B12508" s="0" t="s">
        <x:v>48127</x:v>
      </x:c>
      <x:c r="C12508" s="0" t="s">
        <x:v>42840</x:v>
      </x:c>
      <x:c r="E12508" s="0" t="s">
        <x:v>48128</x:v>
      </x:c>
      <x:c r="F12508" s="0" t="s">
        <x:v>45</x:v>
      </x:c>
      <x:c r="G12508" s="0" t="s">
        <x:v>206</x:v>
      </x:c>
      <x:c r="H12508" s="0" t="s">
        <x:v>20</x:v>
      </x:c>
      <x:c r="I12508" s="0" t="s">
        <x:v>21</x:v>
      </x:c>
      <x:c r="K12508" s="0">
        <x:f>hyperlink("https://icd.who.int/dev11/l-ichi/en#/http%3A%2F%2Fid.who.int%2Ficd%2Fentity%2F1402661323","browser")</x:f>
      </x:c>
      <x:c r="L12508" s="0">
        <x:f>hyperlink("https://icat2.azurewebsites.net/icat/?ontology=ICD&amp;tab=ClassesTab&amp;id=http%3A%2F%2Fwho.int%2Ficd%23SpecificAnatomicLocation_3147","iCat")</x:f>
      </x:c>
      <x:c r="M12508" s="0" t="s">
        <x:v>20</x:v>
      </x:c>
      <x:c r="N12508" s="0" t="s">
        <x:v>35</x:v>
      </x:c>
    </x:row>
    <x:row r="12509" spans="1:16">
      <x:c r="A12509" s="0" t="s">
        <x:v>48129</x:v>
      </x:c>
      <x:c r="B12509" s="0" t="s">
        <x:v>48130</x:v>
      </x:c>
      <x:c r="C12509" s="0" t="s">
        <x:v>42840</x:v>
      </x:c>
      <x:c r="E12509" s="0" t="s">
        <x:v>48131</x:v>
      </x:c>
      <x:c r="F12509" s="0" t="s">
        <x:v>45</x:v>
      </x:c>
      <x:c r="G12509" s="0" t="s">
        <x:v>431</x:v>
      </x:c>
      <x:c r="H12509" s="0" t="s">
        <x:v>20</x:v>
      </x:c>
      <x:c r="I12509" s="0" t="s">
        <x:v>21</x:v>
      </x:c>
      <x:c r="K12509" s="0">
        <x:f>hyperlink("https://icd.who.int/dev11/l-ichi/en#/http%3A%2F%2Fid.who.int%2Ficd%2Fentity%2F33745039","browser")</x:f>
      </x:c>
      <x:c r="L12509" s="0">
        <x:f>hyperlink("https://icat2.azurewebsites.net/icat/?ontology=ICD&amp;tab=ClassesTab&amp;id=http%3A%2F%2Fwho.int%2Ficd%2314761_16e67c35_8b57_40bb_9220_818553425a8c","iCat")</x:f>
      </x:c>
      <x:c r="M12509" s="0" t="s">
        <x:v>21</x:v>
      </x:c>
      <x:c r="N12509" s="0" t="s">
        <x:v>46</x:v>
      </x:c>
    </x:row>
    <x:row r="12510" spans="1:16">
      <x:c r="A12510" s="0" t="s">
        <x:v>48132</x:v>
      </x:c>
      <x:c r="B12510" s="0" t="s">
        <x:v>48133</x:v>
      </x:c>
      <x:c r="C12510" s="0" t="s">
        <x:v>42840</x:v>
      </x:c>
      <x:c r="E12510" s="0" t="s">
        <x:v>48134</x:v>
      </x:c>
      <x:c r="F12510" s="0" t="s">
        <x:v>45</x:v>
      </x:c>
      <x:c r="G12510" s="0" t="s">
        <x:v>431</x:v>
      </x:c>
      <x:c r="H12510" s="0" t="s">
        <x:v>20</x:v>
      </x:c>
      <x:c r="I12510" s="0" t="s">
        <x:v>21</x:v>
      </x:c>
      <x:c r="K12510" s="0">
        <x:f>hyperlink("https://icd.who.int/dev11/l-ichi/en#/http%3A%2F%2Fid.who.int%2Ficd%2Fentity%2F1742292282","browser")</x:f>
      </x:c>
      <x:c r="L12510" s="0">
        <x:f>hyperlink("https://icat2.azurewebsites.net/icat/?ontology=ICD&amp;tab=ClassesTab&amp;id=http%3A%2F%2Fwho.int%2Ficd%2314780_16e67c35_8b57_40bb_9220_818553425a8c","iCat")</x:f>
      </x:c>
      <x:c r="M12510" s="0" t="s">
        <x:v>21</x:v>
      </x:c>
      <x:c r="N12510" s="0" t="s">
        <x:v>46</x:v>
      </x:c>
    </x:row>
    <x:row r="12511" spans="1:16">
      <x:c r="A12511" s="0" t="s">
        <x:v>48135</x:v>
      </x:c>
      <x:c r="B12511" s="0" t="s">
        <x:v>48136</x:v>
      </x:c>
      <x:c r="C12511" s="0" t="s">
        <x:v>42840</x:v>
      </x:c>
      <x:c r="E12511" s="0" t="s">
        <x:v>48137</x:v>
      </x:c>
      <x:c r="F12511" s="0" t="s">
        <x:v>45</x:v>
      </x:c>
      <x:c r="G12511" s="0" t="s">
        <x:v>431</x:v>
      </x:c>
      <x:c r="H12511" s="0" t="s">
        <x:v>20</x:v>
      </x:c>
      <x:c r="I12511" s="0" t="s">
        <x:v>21</x:v>
      </x:c>
      <x:c r="K12511" s="0">
        <x:f>hyperlink("https://icd.who.int/dev11/l-ichi/en#/http%3A%2F%2Fid.who.int%2Ficd%2Fentity%2F1667552006","browser")</x:f>
      </x:c>
      <x:c r="L12511" s="0">
        <x:f>hyperlink("https://icat2.azurewebsites.net/icat/?ontology=ICD&amp;tab=ClassesTab&amp;id=http%3A%2F%2Fwho.int%2Ficd%2314799_16e67c35_8b57_40bb_9220_818553425a8c","iCat")</x:f>
      </x:c>
      <x:c r="M12511" s="0" t="s">
        <x:v>21</x:v>
      </x:c>
      <x:c r="N12511" s="0" t="s">
        <x:v>46</x:v>
      </x:c>
    </x:row>
    <x:row r="12512" spans="1:16">
      <x:c r="A12512" s="0" t="s">
        <x:v>48138</x:v>
      </x:c>
      <x:c r="B12512" s="0" t="s">
        <x:v>48139</x:v>
      </x:c>
      <x:c r="C12512" s="0" t="s">
        <x:v>42840</x:v>
      </x:c>
      <x:c r="E12512" s="0" t="s">
        <x:v>48140</x:v>
      </x:c>
      <x:c r="F12512" s="0" t="s">
        <x:v>45</x:v>
      </x:c>
      <x:c r="G12512" s="0" t="s">
        <x:v>206</x:v>
      </x:c>
      <x:c r="H12512" s="0" t="s">
        <x:v>20</x:v>
      </x:c>
      <x:c r="I12512" s="0" t="s">
        <x:v>21</x:v>
      </x:c>
      <x:c r="K12512" s="0">
        <x:f>hyperlink("https://icd.who.int/dev11/l-ichi/en#/http%3A%2F%2Fid.who.int%2Ficd%2Fentity%2F1895763573","browser")</x:f>
      </x:c>
      <x:c r="L12512" s="0">
        <x:f>hyperlink("https://icat2.azurewebsites.net/icat/?ontology=ICD&amp;tab=ClassesTab&amp;id=http%3A%2F%2Fwho.int%2Ficd%23SpecificAnatomicLocation_3148","iCat")</x:f>
      </x:c>
      <x:c r="M12512" s="0" t="s">
        <x:v>20</x:v>
      </x:c>
      <x:c r="N12512" s="0" t="s">
        <x:v>35</x:v>
      </x:c>
    </x:row>
    <x:row r="12513" spans="1:16">
      <x:c r="A12513" s="0" t="s">
        <x:v>48141</x:v>
      </x:c>
      <x:c r="B12513" s="0" t="s">
        <x:v>48142</x:v>
      </x:c>
      <x:c r="C12513" s="0" t="s">
        <x:v>42840</x:v>
      </x:c>
      <x:c r="E12513" s="0" t="s">
        <x:v>48143</x:v>
      </x:c>
      <x:c r="F12513" s="0" t="s">
        <x:v>45</x:v>
      </x:c>
      <x:c r="G12513" s="0" t="s">
        <x:v>431</x:v>
      </x:c>
      <x:c r="H12513" s="0" t="s">
        <x:v>20</x:v>
      </x:c>
      <x:c r="I12513" s="0" t="s">
        <x:v>21</x:v>
      </x:c>
      <x:c r="K12513" s="0">
        <x:f>hyperlink("https://icd.who.int/dev11/l-ichi/en#/http%3A%2F%2Fid.who.int%2Ficd%2Fentity%2F1322808961","browser")</x:f>
      </x:c>
      <x:c r="L12513" s="0">
        <x:f>hyperlink("https://icat2.azurewebsites.net/icat/?ontology=ICD&amp;tab=ClassesTab&amp;id=http%3A%2F%2Fwho.int%2Ficd%2314943_16e67c35_8b57_40bb_9220_818553425a8c","iCat")</x:f>
      </x:c>
      <x:c r="M12513" s="0" t="s">
        <x:v>21</x:v>
      </x:c>
      <x:c r="N12513" s="0" t="s">
        <x:v>46</x:v>
      </x:c>
    </x:row>
    <x:row r="12514" spans="1:16">
      <x:c r="A12514" s="0" t="s">
        <x:v>48144</x:v>
      </x:c>
      <x:c r="B12514" s="0" t="s">
        <x:v>48145</x:v>
      </x:c>
      <x:c r="C12514" s="0" t="s">
        <x:v>42840</x:v>
      </x:c>
      <x:c r="E12514" s="0" t="s">
        <x:v>48146</x:v>
      </x:c>
      <x:c r="F12514" s="0" t="s">
        <x:v>45</x:v>
      </x:c>
      <x:c r="G12514" s="0" t="s">
        <x:v>431</x:v>
      </x:c>
      <x:c r="H12514" s="0" t="s">
        <x:v>20</x:v>
      </x:c>
      <x:c r="I12514" s="0" t="s">
        <x:v>21</x:v>
      </x:c>
      <x:c r="K12514" s="0">
        <x:f>hyperlink("https://icd.who.int/dev11/l-ichi/en#/http%3A%2F%2Fid.who.int%2Ficd%2Fentity%2F1146474989","browser")</x:f>
      </x:c>
      <x:c r="L12514" s="0">
        <x:f>hyperlink("https://icat2.azurewebsites.net/icat/?ontology=ICD&amp;tab=ClassesTab&amp;id=http%3A%2F%2Fwho.int%2Ficd%2314962_16e67c35_8b57_40bb_9220_818553425a8c","iCat")</x:f>
      </x:c>
      <x:c r="M12514" s="0" t="s">
        <x:v>21</x:v>
      </x:c>
      <x:c r="N12514" s="0" t="s">
        <x:v>46</x:v>
      </x:c>
    </x:row>
    <x:row r="12515" spans="1:16">
      <x:c r="A12515" s="0" t="s">
        <x:v>48147</x:v>
      </x:c>
      <x:c r="B12515" s="0" t="s">
        <x:v>48148</x:v>
      </x:c>
      <x:c r="C12515" s="0" t="s">
        <x:v>42840</x:v>
      </x:c>
      <x:c r="E12515" s="0" t="s">
        <x:v>48149</x:v>
      </x:c>
      <x:c r="F12515" s="0" t="s">
        <x:v>45</x:v>
      </x:c>
      <x:c r="G12515" s="0" t="s">
        <x:v>431</x:v>
      </x:c>
      <x:c r="H12515" s="0" t="s">
        <x:v>20</x:v>
      </x:c>
      <x:c r="I12515" s="0" t="s">
        <x:v>21</x:v>
      </x:c>
      <x:c r="K12515" s="0">
        <x:f>hyperlink("https://icd.who.int/dev11/l-ichi/en#/http%3A%2F%2Fid.who.int%2Ficd%2Fentity%2F1156735389","browser")</x:f>
      </x:c>
      <x:c r="L12515" s="0">
        <x:f>hyperlink("https://icat2.azurewebsites.net/icat/?ontology=ICD&amp;tab=ClassesTab&amp;id=http%3A%2F%2Fwho.int%2Ficd%2314981_16e67c35_8b57_40bb_9220_818553425a8c","iCat")</x:f>
      </x:c>
      <x:c r="M12515" s="0" t="s">
        <x:v>21</x:v>
      </x:c>
      <x:c r="N12515" s="0" t="s">
        <x:v>46</x:v>
      </x:c>
    </x:row>
    <x:row r="12516" spans="1:16">
      <x:c r="A12516" s="0" t="s">
        <x:v>48150</x:v>
      </x:c>
      <x:c r="B12516" s="0" t="s">
        <x:v>48151</x:v>
      </x:c>
      <x:c r="C12516" s="0" t="s">
        <x:v>42840</x:v>
      </x:c>
      <x:c r="E12516" s="0" t="s">
        <x:v>48152</x:v>
      </x:c>
      <x:c r="F12516" s="0" t="s">
        <x:v>45</x:v>
      </x:c>
      <x:c r="G12516" s="0" t="s">
        <x:v>206</x:v>
      </x:c>
      <x:c r="H12516" s="0" t="s">
        <x:v>20</x:v>
      </x:c>
      <x:c r="I12516" s="0" t="s">
        <x:v>21</x:v>
      </x:c>
      <x:c r="K12516" s="0">
        <x:f>hyperlink("https://icd.who.int/dev11/l-ichi/en#/http%3A%2F%2Fid.who.int%2Ficd%2Fentity%2F1742170805","browser")</x:f>
      </x:c>
      <x:c r="L12516" s="0">
        <x:f>hyperlink("https://icat2.azurewebsites.net/icat/?ontology=ICD&amp;tab=ClassesTab&amp;id=http%3A%2F%2Fwho.int%2Ficd%23SpecificAnatomicLocation_3149","iCat")</x:f>
      </x:c>
      <x:c r="M12516" s="0" t="s">
        <x:v>20</x:v>
      </x:c>
      <x:c r="N12516" s="0" t="s">
        <x:v>35</x:v>
      </x:c>
    </x:row>
    <x:row r="12517" spans="1:16">
      <x:c r="A12517" s="0" t="s">
        <x:v>48153</x:v>
      </x:c>
      <x:c r="B12517" s="0" t="s">
        <x:v>48154</x:v>
      </x:c>
      <x:c r="C12517" s="0" t="s">
        <x:v>42840</x:v>
      </x:c>
      <x:c r="E12517" s="0" t="s">
        <x:v>48155</x:v>
      </x:c>
      <x:c r="F12517" s="0" t="s">
        <x:v>45</x:v>
      </x:c>
      <x:c r="G12517" s="0" t="s">
        <x:v>431</x:v>
      </x:c>
      <x:c r="H12517" s="0" t="s">
        <x:v>20</x:v>
      </x:c>
      <x:c r="I12517" s="0" t="s">
        <x:v>21</x:v>
      </x:c>
      <x:c r="K12517" s="0">
        <x:f>hyperlink("https://icd.who.int/dev11/l-ichi/en#/http%3A%2F%2Fid.who.int%2Ficd%2Fentity%2F1571728673","browser")</x:f>
      </x:c>
      <x:c r="L12517" s="0">
        <x:f>hyperlink("https://icat2.azurewebsites.net/icat/?ontology=ICD&amp;tab=ClassesTab&amp;id=http%3A%2F%2Fwho.int%2Ficd%2315000_16e67c35_8b57_40bb_9220_818553425a8c","iCat")</x:f>
      </x:c>
      <x:c r="M12517" s="0" t="s">
        <x:v>21</x:v>
      </x:c>
      <x:c r="N12517" s="0" t="s">
        <x:v>46</x:v>
      </x:c>
    </x:row>
    <x:row r="12518" spans="1:16">
      <x:c r="A12518" s="0" t="s">
        <x:v>48156</x:v>
      </x:c>
      <x:c r="B12518" s="0" t="s">
        <x:v>48157</x:v>
      </x:c>
      <x:c r="C12518" s="0" t="s">
        <x:v>42840</x:v>
      </x:c>
      <x:c r="E12518" s="0" t="s">
        <x:v>48158</x:v>
      </x:c>
      <x:c r="F12518" s="0" t="s">
        <x:v>45</x:v>
      </x:c>
      <x:c r="G12518" s="0" t="s">
        <x:v>431</x:v>
      </x:c>
      <x:c r="H12518" s="0" t="s">
        <x:v>20</x:v>
      </x:c>
      <x:c r="I12518" s="0" t="s">
        <x:v>21</x:v>
      </x:c>
      <x:c r="K12518" s="0">
        <x:f>hyperlink("https://icd.who.int/dev11/l-ichi/en#/http%3A%2F%2Fid.who.int%2Ficd%2Fentity%2F1494432543","browser")</x:f>
      </x:c>
      <x:c r="L12518" s="0">
        <x:f>hyperlink("https://icat2.azurewebsites.net/icat/?ontology=ICD&amp;tab=ClassesTab&amp;id=http%3A%2F%2Fwho.int%2Ficd%2315019_16e67c35_8b57_40bb_9220_818553425a8c","iCat")</x:f>
      </x:c>
      <x:c r="M12518" s="0" t="s">
        <x:v>21</x:v>
      </x:c>
      <x:c r="N12518" s="0" t="s">
        <x:v>46</x:v>
      </x:c>
    </x:row>
    <x:row r="12519" spans="1:16">
      <x:c r="A12519" s="0" t="s">
        <x:v>48159</x:v>
      </x:c>
      <x:c r="B12519" s="0" t="s">
        <x:v>48160</x:v>
      </x:c>
      <x:c r="C12519" s="0" t="s">
        <x:v>42840</x:v>
      </x:c>
      <x:c r="E12519" s="0" t="s">
        <x:v>48161</x:v>
      </x:c>
      <x:c r="F12519" s="0" t="s">
        <x:v>45</x:v>
      </x:c>
      <x:c r="G12519" s="0" t="s">
        <x:v>431</x:v>
      </x:c>
      <x:c r="H12519" s="0" t="s">
        <x:v>20</x:v>
      </x:c>
      <x:c r="I12519" s="0" t="s">
        <x:v>21</x:v>
      </x:c>
      <x:c r="K12519" s="0">
        <x:f>hyperlink("https://icd.who.int/dev11/l-ichi/en#/http%3A%2F%2Fid.who.int%2Ficd%2Fentity%2F1402903667","browser")</x:f>
      </x:c>
      <x:c r="L12519" s="0">
        <x:f>hyperlink("https://icat2.azurewebsites.net/icat/?ontology=ICD&amp;tab=ClassesTab&amp;id=http%3A%2F%2Fwho.int%2Ficd%2315038_16e67c35_8b57_40bb_9220_818553425a8c","iCat")</x:f>
      </x:c>
      <x:c r="M12519" s="0" t="s">
        <x:v>21</x:v>
      </x:c>
      <x:c r="N12519" s="0" t="s">
        <x:v>46</x:v>
      </x:c>
    </x:row>
    <x:row r="12520" spans="1:16">
      <x:c r="A12520" s="0" t="s">
        <x:v>48162</x:v>
      </x:c>
      <x:c r="B12520" s="0" t="s">
        <x:v>48163</x:v>
      </x:c>
      <x:c r="C12520" s="0" t="s">
        <x:v>42840</x:v>
      </x:c>
      <x:c r="E12520" s="0" t="s">
        <x:v>48164</x:v>
      </x:c>
      <x:c r="F12520" s="0" t="s">
        <x:v>45</x:v>
      </x:c>
      <x:c r="G12520" s="0" t="s">
        <x:v>206</x:v>
      </x:c>
      <x:c r="H12520" s="0" t="s">
        <x:v>20</x:v>
      </x:c>
      <x:c r="I12520" s="0" t="s">
        <x:v>21</x:v>
      </x:c>
      <x:c r="K12520" s="0">
        <x:f>hyperlink("https://icd.who.int/dev11/l-ichi/en#/http%3A%2F%2Fid.who.int%2Ficd%2Fentity%2F1218006356","browser")</x:f>
      </x:c>
      <x:c r="L12520" s="0">
        <x:f>hyperlink("https://icat2.azurewebsites.net/icat/?ontology=ICD&amp;tab=ClassesTab&amp;id=http%3A%2F%2Fwho.int%2Ficd%23SpecificAnatomicLocation_3150","iCat")</x:f>
      </x:c>
      <x:c r="M12520" s="0" t="s">
        <x:v>20</x:v>
      </x:c>
      <x:c r="N12520" s="0" t="s">
        <x:v>35</x:v>
      </x:c>
    </x:row>
    <x:row r="12521" spans="1:16">
      <x:c r="A12521" s="0" t="s">
        <x:v>48165</x:v>
      </x:c>
      <x:c r="B12521" s="0" t="s">
        <x:v>48166</x:v>
      </x:c>
      <x:c r="C12521" s="0" t="s">
        <x:v>42840</x:v>
      </x:c>
      <x:c r="E12521" s="0" t="s">
        <x:v>48167</x:v>
      </x:c>
      <x:c r="F12521" s="0" t="s">
        <x:v>45</x:v>
      </x:c>
      <x:c r="G12521" s="0" t="s">
        <x:v>431</x:v>
      </x:c>
      <x:c r="H12521" s="0" t="s">
        <x:v>20</x:v>
      </x:c>
      <x:c r="I12521" s="0" t="s">
        <x:v>21</x:v>
      </x:c>
      <x:c r="K12521" s="0">
        <x:f>hyperlink("https://icd.who.int/dev11/l-ichi/en#/http%3A%2F%2Fid.who.int%2Ficd%2Fentity%2F932102376","browser")</x:f>
      </x:c>
      <x:c r="L12521" s="0">
        <x:f>hyperlink("https://icat2.azurewebsites.net/icat/?ontology=ICD&amp;tab=ClassesTab&amp;id=http%3A%2F%2Fwho.int%2Ficd%2315057_16e67c35_8b57_40bb_9220_818553425a8c","iCat")</x:f>
      </x:c>
      <x:c r="M12521" s="0" t="s">
        <x:v>21</x:v>
      </x:c>
      <x:c r="N12521" s="0" t="s">
        <x:v>46</x:v>
      </x:c>
    </x:row>
    <x:row r="12522" spans="1:16">
      <x:c r="A12522" s="0" t="s">
        <x:v>48168</x:v>
      </x:c>
      <x:c r="B12522" s="0" t="s">
        <x:v>48169</x:v>
      </x:c>
      <x:c r="C12522" s="0" t="s">
        <x:v>42840</x:v>
      </x:c>
      <x:c r="E12522" s="0" t="s">
        <x:v>48170</x:v>
      </x:c>
      <x:c r="F12522" s="0" t="s">
        <x:v>45</x:v>
      </x:c>
      <x:c r="G12522" s="0" t="s">
        <x:v>431</x:v>
      </x:c>
      <x:c r="H12522" s="0" t="s">
        <x:v>20</x:v>
      </x:c>
      <x:c r="I12522" s="0" t="s">
        <x:v>21</x:v>
      </x:c>
      <x:c r="K12522" s="0">
        <x:f>hyperlink("https://icd.who.int/dev11/l-ichi/en#/http%3A%2F%2Fid.who.int%2Ficd%2Fentity%2F1023633292","browser")</x:f>
      </x:c>
      <x:c r="L12522" s="0">
        <x:f>hyperlink("https://icat2.azurewebsites.net/icat/?ontology=ICD&amp;tab=ClassesTab&amp;id=http%3A%2F%2Fwho.int%2Ficd%2315076_16e67c35_8b57_40bb_9220_818553425a8c","iCat")</x:f>
      </x:c>
      <x:c r="M12522" s="0" t="s">
        <x:v>21</x:v>
      </x:c>
      <x:c r="N12522" s="0" t="s">
        <x:v>46</x:v>
      </x:c>
    </x:row>
    <x:row r="12523" spans="1:16">
      <x:c r="A12523" s="0" t="s">
        <x:v>48171</x:v>
      </x:c>
      <x:c r="B12523" s="0" t="s">
        <x:v>48172</x:v>
      </x:c>
      <x:c r="C12523" s="0" t="s">
        <x:v>42840</x:v>
      </x:c>
      <x:c r="E12523" s="0" t="s">
        <x:v>48173</x:v>
      </x:c>
      <x:c r="F12523" s="0" t="s">
        <x:v>45</x:v>
      </x:c>
      <x:c r="G12523" s="0" t="s">
        <x:v>431</x:v>
      </x:c>
      <x:c r="H12523" s="0" t="s">
        <x:v>20</x:v>
      </x:c>
      <x:c r="I12523" s="0" t="s">
        <x:v>21</x:v>
      </x:c>
      <x:c r="K12523" s="0">
        <x:f>hyperlink("https://icd.who.int/dev11/l-ichi/en#/http%3A%2F%2Fid.who.int%2Ficd%2Fentity%2F1034213370","browser")</x:f>
      </x:c>
      <x:c r="L12523" s="0">
        <x:f>hyperlink("https://icat2.azurewebsites.net/icat/?ontology=ICD&amp;tab=ClassesTab&amp;id=http%3A%2F%2Fwho.int%2Ficd%2315095_16e67c35_8b57_40bb_9220_818553425a8c","iCat")</x:f>
      </x:c>
      <x:c r="M12523" s="0" t="s">
        <x:v>21</x:v>
      </x:c>
      <x:c r="N12523" s="0" t="s">
        <x:v>46</x:v>
      </x:c>
    </x:row>
    <x:row r="12524" spans="1:16">
      <x:c r="A12524" s="0" t="s">
        <x:v>48174</x:v>
      </x:c>
      <x:c r="B12524" s="0" t="s">
        <x:v>48175</x:v>
      </x:c>
      <x:c r="C12524" s="0" t="s">
        <x:v>42840</x:v>
      </x:c>
      <x:c r="E12524" s="0" t="s">
        <x:v>48176</x:v>
      </x:c>
      <x:c r="F12524" s="0" t="s">
        <x:v>45</x:v>
      </x:c>
      <x:c r="G12524" s="0" t="s">
        <x:v>40</x:v>
      </x:c>
      <x:c r="H12524" s="0" t="s">
        <x:v>20</x:v>
      </x:c>
      <x:c r="I12524" s="0" t="s">
        <x:v>21</x:v>
      </x:c>
      <x:c r="K12524" s="0">
        <x:f>hyperlink("https://icd.who.int/dev11/l-ichi/en#/http%3A%2F%2Fid.who.int%2Ficd%2Fentity%2F2110398539","browser")</x:f>
      </x:c>
      <x:c r="L12524" s="0">
        <x:f>hyperlink("https://icat2.azurewebsites.net/icat/?ontology=ICD&amp;tab=ClassesTab&amp;id=http%3A%2F%2Fwho.int%2Ficd%23SpecificAnatomicLocation_3145","iCat")</x:f>
      </x:c>
      <x:c r="M12524" s="0" t="s">
        <x:v>20</x:v>
      </x:c>
      <x:c r="N12524" s="0" t="s">
        <x:v>40</x:v>
      </x:c>
    </x:row>
    <x:row r="12525" spans="1:16">
      <x:c r="A12525" s="0" t="s">
        <x:v>48177</x:v>
      </x:c>
      <x:c r="B12525" s="0" t="s">
        <x:v>48178</x:v>
      </x:c>
      <x:c r="C12525" s="0" t="s">
        <x:v>42840</x:v>
      </x:c>
      <x:c r="E12525" s="0" t="s">
        <x:v>48179</x:v>
      </x:c>
      <x:c r="F12525" s="0" t="s">
        <x:v>45</x:v>
      </x:c>
      <x:c r="G12525" s="0" t="s">
        <x:v>206</x:v>
      </x:c>
      <x:c r="H12525" s="0" t="s">
        <x:v>20</x:v>
      </x:c>
      <x:c r="I12525" s="0" t="s">
        <x:v>21</x:v>
      </x:c>
      <x:c r="K12525" s="0">
        <x:f>hyperlink("https://icd.who.int/dev11/l-ichi/en#/http%3A%2F%2Fid.who.int%2Ficd%2Fentity%2F560706379","browser")</x:f>
      </x:c>
      <x:c r="L12525" s="0">
        <x:f>hyperlink("https://icat2.azurewebsites.net/icat/?ontology=ICD&amp;tab=ClassesTab&amp;id=http%3A%2F%2Fwho.int%2Ficd%23SpecificAnatomicLocation_3141","iCat")</x:f>
      </x:c>
      <x:c r="M12525" s="0" t="s">
        <x:v>20</x:v>
      </x:c>
      <x:c r="N12525" s="0" t="s">
        <x:v>35</x:v>
      </x:c>
    </x:row>
    <x:row r="12526" spans="1:16">
      <x:c r="A12526" s="0" t="s">
        <x:v>48180</x:v>
      </x:c>
      <x:c r="B12526" s="0" t="s">
        <x:v>48181</x:v>
      </x:c>
      <x:c r="C12526" s="0" t="s">
        <x:v>42840</x:v>
      </x:c>
      <x:c r="E12526" s="0" t="s">
        <x:v>48182</x:v>
      </x:c>
      <x:c r="F12526" s="0" t="s">
        <x:v>45</x:v>
      </x:c>
      <x:c r="G12526" s="0" t="s">
        <x:v>431</x:v>
      </x:c>
      <x:c r="H12526" s="0" t="s">
        <x:v>20</x:v>
      </x:c>
      <x:c r="I12526" s="0" t="s">
        <x:v>21</x:v>
      </x:c>
      <x:c r="K12526" s="0">
        <x:f>hyperlink("https://icd.who.int/dev11/l-ichi/en#/http%3A%2F%2Fid.who.int%2Ficd%2Fentity%2F874068863","browser")</x:f>
      </x:c>
      <x:c r="L12526" s="0">
        <x:f>hyperlink("https://icat2.azurewebsites.net/icat/?ontology=ICD&amp;tab=ClassesTab&amp;id=http%3A%2F%2Fwho.int%2Ficd%2313797_16e67c35_8b57_40bb_9220_818553425a8c","iCat")</x:f>
      </x:c>
      <x:c r="M12526" s="0" t="s">
        <x:v>21</x:v>
      </x:c>
      <x:c r="N12526" s="0" t="s">
        <x:v>46</x:v>
      </x:c>
    </x:row>
    <x:row r="12527" spans="1:16">
      <x:c r="A12527" s="0" t="s">
        <x:v>48183</x:v>
      </x:c>
      <x:c r="B12527" s="0" t="s">
        <x:v>48184</x:v>
      </x:c>
      <x:c r="C12527" s="0" t="s">
        <x:v>42840</x:v>
      </x:c>
      <x:c r="E12527" s="0" t="s">
        <x:v>48185</x:v>
      </x:c>
      <x:c r="F12527" s="0" t="s">
        <x:v>45</x:v>
      </x:c>
      <x:c r="G12527" s="0" t="s">
        <x:v>431</x:v>
      </x:c>
      <x:c r="H12527" s="0" t="s">
        <x:v>20</x:v>
      </x:c>
      <x:c r="I12527" s="0" t="s">
        <x:v>21</x:v>
      </x:c>
      <x:c r="K12527" s="0">
        <x:f>hyperlink("https://icd.who.int/dev11/l-ichi/en#/http%3A%2F%2Fid.who.int%2Ficd%2Fentity%2F2107408513","browser")</x:f>
      </x:c>
      <x:c r="L12527" s="0">
        <x:f>hyperlink("https://icat2.azurewebsites.net/icat/?ontology=ICD&amp;tab=ClassesTab&amp;id=http%3A%2F%2Fwho.int%2Ficd%2313816_16e67c35_8b57_40bb_9220_818553425a8c","iCat")</x:f>
      </x:c>
      <x:c r="M12527" s="0" t="s">
        <x:v>21</x:v>
      </x:c>
      <x:c r="N12527" s="0" t="s">
        <x:v>46</x:v>
      </x:c>
    </x:row>
    <x:row r="12528" spans="1:16">
      <x:c r="A12528" s="0" t="s">
        <x:v>48186</x:v>
      </x:c>
      <x:c r="B12528" s="0" t="s">
        <x:v>48187</x:v>
      </x:c>
      <x:c r="C12528" s="0" t="s">
        <x:v>42840</x:v>
      </x:c>
      <x:c r="E12528" s="0" t="s">
        <x:v>48188</x:v>
      </x:c>
      <x:c r="F12528" s="0" t="s">
        <x:v>45</x:v>
      </x:c>
      <x:c r="G12528" s="0" t="s">
        <x:v>431</x:v>
      </x:c>
      <x:c r="H12528" s="0" t="s">
        <x:v>20</x:v>
      </x:c>
      <x:c r="I12528" s="0" t="s">
        <x:v>21</x:v>
      </x:c>
      <x:c r="K12528" s="0">
        <x:f>hyperlink("https://icd.who.int/dev11/l-ichi/en#/http%3A%2F%2Fid.who.int%2Ficd%2Fentity%2F309148200","browser")</x:f>
      </x:c>
      <x:c r="L12528" s="0">
        <x:f>hyperlink("https://icat2.azurewebsites.net/icat/?ontology=ICD&amp;tab=ClassesTab&amp;id=http%3A%2F%2Fwho.int%2Ficd%2313835_16e67c35_8b57_40bb_9220_818553425a8c","iCat")</x:f>
      </x:c>
      <x:c r="M12528" s="0" t="s">
        <x:v>21</x:v>
      </x:c>
      <x:c r="N12528" s="0" t="s">
        <x:v>46</x:v>
      </x:c>
    </x:row>
    <x:row r="12529" spans="1:16">
      <x:c r="A12529" s="0" t="s">
        <x:v>48189</x:v>
      </x:c>
      <x:c r="B12529" s="0" t="s">
        <x:v>48190</x:v>
      </x:c>
      <x:c r="C12529" s="0" t="s">
        <x:v>42840</x:v>
      </x:c>
      <x:c r="E12529" s="0" t="s">
        <x:v>48191</x:v>
      </x:c>
      <x:c r="F12529" s="0" t="s">
        <x:v>45</x:v>
      </x:c>
      <x:c r="G12529" s="0" t="s">
        <x:v>206</x:v>
      </x:c>
      <x:c r="H12529" s="0" t="s">
        <x:v>20</x:v>
      </x:c>
      <x:c r="I12529" s="0" t="s">
        <x:v>21</x:v>
      </x:c>
      <x:c r="K12529" s="0">
        <x:f>hyperlink("https://icd.who.int/dev11/l-ichi/en#/http%3A%2F%2Fid.who.int%2Ficd%2Fentity%2F403906059","browser")</x:f>
      </x:c>
      <x:c r="L12529" s="0">
        <x:f>hyperlink("https://icat2.azurewebsites.net/icat/?ontology=ICD&amp;tab=ClassesTab&amp;id=http%3A%2F%2Fwho.int%2Ficd%23SpecificAnatomicLocation_3142","iCat")</x:f>
      </x:c>
      <x:c r="M12529" s="0" t="s">
        <x:v>20</x:v>
      </x:c>
      <x:c r="N12529" s="0" t="s">
        <x:v>35</x:v>
      </x:c>
    </x:row>
    <x:row r="12530" spans="1:16">
      <x:c r="A12530" s="0" t="s">
        <x:v>48192</x:v>
      </x:c>
      <x:c r="B12530" s="0" t="s">
        <x:v>48193</x:v>
      </x:c>
      <x:c r="C12530" s="0" t="s">
        <x:v>42840</x:v>
      </x:c>
      <x:c r="E12530" s="0" t="s">
        <x:v>48194</x:v>
      </x:c>
      <x:c r="F12530" s="0" t="s">
        <x:v>45</x:v>
      </x:c>
      <x:c r="G12530" s="0" t="s">
        <x:v>431</x:v>
      </x:c>
      <x:c r="H12530" s="0" t="s">
        <x:v>20</x:v>
      </x:c>
      <x:c r="I12530" s="0" t="s">
        <x:v>21</x:v>
      </x:c>
      <x:c r="K12530" s="0">
        <x:f>hyperlink("https://icd.who.int/dev11/l-ichi/en#/http%3A%2F%2Fid.who.int%2Ficd%2Fentity%2F395685800","browser")</x:f>
      </x:c>
      <x:c r="L12530" s="0">
        <x:f>hyperlink("https://icat2.azurewebsites.net/icat/?ontology=ICD&amp;tab=ClassesTab&amp;id=http%3A%2F%2Fwho.int%2Ficd%2313975_16e67c35_8b57_40bb_9220_818553425a8c","iCat")</x:f>
      </x:c>
      <x:c r="M12530" s="0" t="s">
        <x:v>21</x:v>
      </x:c>
      <x:c r="N12530" s="0" t="s">
        <x:v>46</x:v>
      </x:c>
    </x:row>
    <x:row r="12531" spans="1:16">
      <x:c r="A12531" s="0" t="s">
        <x:v>48195</x:v>
      </x:c>
      <x:c r="B12531" s="0" t="s">
        <x:v>48196</x:v>
      </x:c>
      <x:c r="C12531" s="0" t="s">
        <x:v>42840</x:v>
      </x:c>
      <x:c r="E12531" s="0" t="s">
        <x:v>48197</x:v>
      </x:c>
      <x:c r="F12531" s="0" t="s">
        <x:v>45</x:v>
      </x:c>
      <x:c r="G12531" s="0" t="s">
        <x:v>431</x:v>
      </x:c>
      <x:c r="H12531" s="0" t="s">
        <x:v>20</x:v>
      </x:c>
      <x:c r="I12531" s="0" t="s">
        <x:v>21</x:v>
      </x:c>
      <x:c r="K12531" s="0">
        <x:f>hyperlink("https://icd.who.int/dev11/l-ichi/en#/http%3A%2F%2Fid.who.int%2Ficd%2Fentity%2F1917714973","browser")</x:f>
      </x:c>
      <x:c r="L12531" s="0">
        <x:f>hyperlink("https://icat2.azurewebsites.net/icat/?ontology=ICD&amp;tab=ClassesTab&amp;id=http%3A%2F%2Fwho.int%2Ficd%2313994_16e67c35_8b57_40bb_9220_818553425a8c","iCat")</x:f>
      </x:c>
      <x:c r="M12531" s="0" t="s">
        <x:v>21</x:v>
      </x:c>
      <x:c r="N12531" s="0" t="s">
        <x:v>46</x:v>
      </x:c>
    </x:row>
    <x:row r="12532" spans="1:16">
      <x:c r="A12532" s="0" t="s">
        <x:v>48198</x:v>
      </x:c>
      <x:c r="B12532" s="0" t="s">
        <x:v>48199</x:v>
      </x:c>
      <x:c r="C12532" s="0" t="s">
        <x:v>42840</x:v>
      </x:c>
      <x:c r="E12532" s="0" t="s">
        <x:v>48200</x:v>
      </x:c>
      <x:c r="F12532" s="0" t="s">
        <x:v>45</x:v>
      </x:c>
      <x:c r="G12532" s="0" t="s">
        <x:v>431</x:v>
      </x:c>
      <x:c r="H12532" s="0" t="s">
        <x:v>20</x:v>
      </x:c>
      <x:c r="I12532" s="0" t="s">
        <x:v>21</x:v>
      </x:c>
      <x:c r="K12532" s="0">
        <x:f>hyperlink("https://icd.who.int/dev11/l-ichi/en#/http%3A%2F%2Fid.who.int%2Ficd%2Fentity%2F1006194238","browser")</x:f>
      </x:c>
      <x:c r="L12532" s="0">
        <x:f>hyperlink("https://icat2.azurewebsites.net/icat/?ontology=ICD&amp;tab=ClassesTab&amp;id=http%3A%2F%2Fwho.int%2Ficd%2314013_16e67c35_8b57_40bb_9220_818553425a8c","iCat")</x:f>
      </x:c>
      <x:c r="M12532" s="0" t="s">
        <x:v>21</x:v>
      </x:c>
      <x:c r="N12532" s="0" t="s">
        <x:v>46</x:v>
      </x:c>
    </x:row>
    <x:row r="12533" spans="1:16">
      <x:c r="A12533" s="0" t="s">
        <x:v>48201</x:v>
      </x:c>
      <x:c r="B12533" s="0" t="s">
        <x:v>48202</x:v>
      </x:c>
      <x:c r="C12533" s="0" t="s">
        <x:v>42840</x:v>
      </x:c>
      <x:c r="E12533" s="0" t="s">
        <x:v>48203</x:v>
      </x:c>
      <x:c r="F12533" s="0" t="s">
        <x:v>45</x:v>
      </x:c>
      <x:c r="G12533" s="0" t="s">
        <x:v>206</x:v>
      </x:c>
      <x:c r="H12533" s="0" t="s">
        <x:v>20</x:v>
      </x:c>
      <x:c r="I12533" s="0" t="s">
        <x:v>21</x:v>
      </x:c>
      <x:c r="K12533" s="0">
        <x:f>hyperlink("https://icd.who.int/dev11/l-ichi/en#/http%3A%2F%2Fid.who.int%2Ficd%2Fentity%2F255556299","browser")</x:f>
      </x:c>
      <x:c r="L12533" s="0">
        <x:f>hyperlink("https://icat2.azurewebsites.net/icat/?ontology=ICD&amp;tab=ClassesTab&amp;id=http%3A%2F%2Fwho.int%2Ficd%23SpecificAnatomicLocation_3143","iCat")</x:f>
      </x:c>
      <x:c r="M12533" s="0" t="s">
        <x:v>20</x:v>
      </x:c>
      <x:c r="N12533" s="0" t="s">
        <x:v>35</x:v>
      </x:c>
    </x:row>
    <x:row r="12534" spans="1:16">
      <x:c r="A12534" s="0" t="s">
        <x:v>48204</x:v>
      </x:c>
      <x:c r="B12534" s="0" t="s">
        <x:v>48205</x:v>
      </x:c>
      <x:c r="C12534" s="0" t="s">
        <x:v>42840</x:v>
      </x:c>
      <x:c r="E12534" s="0" t="s">
        <x:v>48206</x:v>
      </x:c>
      <x:c r="F12534" s="0" t="s">
        <x:v>45</x:v>
      </x:c>
      <x:c r="G12534" s="0" t="s">
        <x:v>431</x:v>
      </x:c>
      <x:c r="H12534" s="0" t="s">
        <x:v>20</x:v>
      </x:c>
      <x:c r="I12534" s="0" t="s">
        <x:v>21</x:v>
      </x:c>
      <x:c r="K12534" s="0">
        <x:f>hyperlink("https://icd.who.int/dev11/l-ichi/en#/http%3A%2F%2Fid.who.int%2Ficd%2Fentity%2F738160118","browser")</x:f>
      </x:c>
      <x:c r="L12534" s="0">
        <x:f>hyperlink("https://icat2.azurewebsites.net/icat/?ontology=ICD&amp;tab=ClassesTab&amp;id=http%3A%2F%2Fwho.int%2Ficd%2314156_16e67c35_8b57_40bb_9220_818553425a8c","iCat")</x:f>
      </x:c>
      <x:c r="M12534" s="0" t="s">
        <x:v>21</x:v>
      </x:c>
      <x:c r="N12534" s="0" t="s">
        <x:v>46</x:v>
      </x:c>
    </x:row>
    <x:row r="12535" spans="1:16">
      <x:c r="A12535" s="0" t="s">
        <x:v>48207</x:v>
      </x:c>
      <x:c r="B12535" s="0" t="s">
        <x:v>48208</x:v>
      </x:c>
      <x:c r="C12535" s="0" t="s">
        <x:v>42840</x:v>
      </x:c>
      <x:c r="E12535" s="0" t="s">
        <x:v>48209</x:v>
      </x:c>
      <x:c r="F12535" s="0" t="s">
        <x:v>45</x:v>
      </x:c>
      <x:c r="G12535" s="0" t="s">
        <x:v>431</x:v>
      </x:c>
      <x:c r="H12535" s="0" t="s">
        <x:v>20</x:v>
      </x:c>
      <x:c r="I12535" s="0" t="s">
        <x:v>21</x:v>
      </x:c>
      <x:c r="K12535" s="0">
        <x:f>hyperlink("https://icd.who.int/dev11/l-ichi/en#/http%3A%2F%2Fid.who.int%2Ficd%2Fentity%2F1141823325","browser")</x:f>
      </x:c>
      <x:c r="L12535" s="0">
        <x:f>hyperlink("https://icat2.azurewebsites.net/icat/?ontology=ICD&amp;tab=ClassesTab&amp;id=http%3A%2F%2Fwho.int%2Ficd%2314175_16e67c35_8b57_40bb_9220_818553425a8c","iCat")</x:f>
      </x:c>
      <x:c r="M12535" s="0" t="s">
        <x:v>21</x:v>
      </x:c>
      <x:c r="N12535" s="0" t="s">
        <x:v>46</x:v>
      </x:c>
    </x:row>
    <x:row r="12536" spans="1:16">
      <x:c r="A12536" s="0" t="s">
        <x:v>48210</x:v>
      </x:c>
      <x:c r="B12536" s="0" t="s">
        <x:v>48211</x:v>
      </x:c>
      <x:c r="C12536" s="0" t="s">
        <x:v>42840</x:v>
      </x:c>
      <x:c r="E12536" s="0" t="s">
        <x:v>48212</x:v>
      </x:c>
      <x:c r="F12536" s="0" t="s">
        <x:v>45</x:v>
      </x:c>
      <x:c r="G12536" s="0" t="s">
        <x:v>431</x:v>
      </x:c>
      <x:c r="H12536" s="0" t="s">
        <x:v>20</x:v>
      </x:c>
      <x:c r="I12536" s="0" t="s">
        <x:v>21</x:v>
      </x:c>
      <x:c r="K12536" s="0">
        <x:f>hyperlink("https://icd.who.int/dev11/l-ichi/en#/http%3A%2F%2Fid.who.int%2Ficd%2Fentity%2F567638760","browser")</x:f>
      </x:c>
      <x:c r="L12536" s="0">
        <x:f>hyperlink("https://icat2.azurewebsites.net/icat/?ontology=ICD&amp;tab=ClassesTab&amp;id=http%3A%2F%2Fwho.int%2Ficd%2314194_16e67c35_8b57_40bb_9220_818553425a8c","iCat")</x:f>
      </x:c>
      <x:c r="M12536" s="0" t="s">
        <x:v>21</x:v>
      </x:c>
      <x:c r="N12536" s="0" t="s">
        <x:v>46</x:v>
      </x:c>
    </x:row>
    <x:row r="12537" spans="1:16">
      <x:c r="A12537" s="0" t="s">
        <x:v>48213</x:v>
      </x:c>
      <x:c r="B12537" s="0" t="s">
        <x:v>48214</x:v>
      </x:c>
      <x:c r="C12537" s="0" t="s">
        <x:v>42840</x:v>
      </x:c>
      <x:c r="E12537" s="0" t="s">
        <x:v>48215</x:v>
      </x:c>
      <x:c r="F12537" s="0" t="s">
        <x:v>45</x:v>
      </x:c>
      <x:c r="G12537" s="0" t="s">
        <x:v>206</x:v>
      </x:c>
      <x:c r="H12537" s="0" t="s">
        <x:v>20</x:v>
      </x:c>
      <x:c r="I12537" s="0" t="s">
        <x:v>21</x:v>
      </x:c>
      <x:c r="K12537" s="0">
        <x:f>hyperlink("https://icd.who.int/dev11/l-ichi/en#/http%3A%2F%2Fid.who.int%2Ficd%2Fentity%2F1793213579","browser")</x:f>
      </x:c>
      <x:c r="L12537" s="0">
        <x:f>hyperlink("https://icat2.azurewebsites.net/icat/?ontology=ICD&amp;tab=ClassesTab&amp;id=http%3A%2F%2Fwho.int%2Ficd%23SpecificAnatomicLocation_3144","iCat")</x:f>
      </x:c>
      <x:c r="M12537" s="0" t="s">
        <x:v>20</x:v>
      </x:c>
      <x:c r="N12537" s="0" t="s">
        <x:v>35</x:v>
      </x:c>
    </x:row>
    <x:row r="12538" spans="1:16">
      <x:c r="A12538" s="0" t="s">
        <x:v>48216</x:v>
      </x:c>
      <x:c r="B12538" s="0" t="s">
        <x:v>48217</x:v>
      </x:c>
      <x:c r="C12538" s="0" t="s">
        <x:v>42840</x:v>
      </x:c>
      <x:c r="E12538" s="0" t="s">
        <x:v>48218</x:v>
      </x:c>
      <x:c r="F12538" s="0" t="s">
        <x:v>45</x:v>
      </x:c>
      <x:c r="G12538" s="0" t="s">
        <x:v>431</x:v>
      </x:c>
      <x:c r="H12538" s="0" t="s">
        <x:v>20</x:v>
      </x:c>
      <x:c r="I12538" s="0" t="s">
        <x:v>21</x:v>
      </x:c>
      <x:c r="K12538" s="0">
        <x:f>hyperlink("https://icd.who.int/dev11/l-ichi/en#/http%3A%2F%2Fid.who.int%2Ficd%2Fentity%2F286500046","browser")</x:f>
      </x:c>
      <x:c r="L12538" s="0">
        <x:f>hyperlink("https://icat2.azurewebsites.net/icat/?ontology=ICD&amp;tab=ClassesTab&amp;id=http%3A%2F%2Fwho.int%2Ficd%2314328_16e67c35_8b57_40bb_9220_818553425a8c","iCat")</x:f>
      </x:c>
      <x:c r="M12538" s="0" t="s">
        <x:v>21</x:v>
      </x:c>
      <x:c r="N12538" s="0" t="s">
        <x:v>46</x:v>
      </x:c>
    </x:row>
    <x:row r="12539" spans="1:16">
      <x:c r="A12539" s="0" t="s">
        <x:v>48219</x:v>
      </x:c>
      <x:c r="B12539" s="0" t="s">
        <x:v>48220</x:v>
      </x:c>
      <x:c r="C12539" s="0" t="s">
        <x:v>42840</x:v>
      </x:c>
      <x:c r="E12539" s="0" t="s">
        <x:v>48221</x:v>
      </x:c>
      <x:c r="F12539" s="0" t="s">
        <x:v>45</x:v>
      </x:c>
      <x:c r="G12539" s="0" t="s">
        <x:v>431</x:v>
      </x:c>
      <x:c r="H12539" s="0" t="s">
        <x:v>20</x:v>
      </x:c>
      <x:c r="I12539" s="0" t="s">
        <x:v>21</x:v>
      </x:c>
      <x:c r="K12539" s="0">
        <x:f>hyperlink("https://icd.who.int/dev11/l-ichi/en#/http%3A%2F%2Fid.who.int%2Ficd%2Fentity%2F1963194459","browser")</x:f>
      </x:c>
      <x:c r="L12539" s="0">
        <x:f>hyperlink("https://icat2.azurewebsites.net/icat/?ontology=ICD&amp;tab=ClassesTab&amp;id=http%3A%2F%2Fwho.int%2Ficd%2314347_16e67c35_8b57_40bb_9220_818553425a8c","iCat")</x:f>
      </x:c>
      <x:c r="M12539" s="0" t="s">
        <x:v>21</x:v>
      </x:c>
      <x:c r="N12539" s="0" t="s">
        <x:v>46</x:v>
      </x:c>
    </x:row>
    <x:row r="12540" spans="1:16">
      <x:c r="A12540" s="0" t="s">
        <x:v>48222</x:v>
      </x:c>
      <x:c r="B12540" s="0" t="s">
        <x:v>48223</x:v>
      </x:c>
      <x:c r="C12540" s="0" t="s">
        <x:v>42840</x:v>
      </x:c>
      <x:c r="E12540" s="0" t="s">
        <x:v>48224</x:v>
      </x:c>
      <x:c r="F12540" s="0" t="s">
        <x:v>45</x:v>
      </x:c>
      <x:c r="G12540" s="0" t="s">
        <x:v>431</x:v>
      </x:c>
      <x:c r="H12540" s="0" t="s">
        <x:v>20</x:v>
      </x:c>
      <x:c r="I12540" s="0" t="s">
        <x:v>21</x:v>
      </x:c>
      <x:c r="K12540" s="0">
        <x:f>hyperlink("https://icd.who.int/dev11/l-ichi/en#/http%3A%2F%2Fid.who.int%2Ficd%2Fentity%2F2140036919","browser")</x:f>
      </x:c>
      <x:c r="L12540" s="0">
        <x:f>hyperlink("https://icat2.azurewebsites.net/icat/?ontology=ICD&amp;tab=ClassesTab&amp;id=http%3A%2F%2Fwho.int%2Ficd%2314366_16e67c35_8b57_40bb_9220_818553425a8c","iCat")</x:f>
      </x:c>
      <x:c r="M12540" s="0" t="s">
        <x:v>21</x:v>
      </x:c>
      <x:c r="N12540" s="0" t="s">
        <x:v>46</x:v>
      </x:c>
    </x:row>
    <x:row r="12541" spans="1:16">
      <x:c r="A12541" s="0" t="s">
        <x:v>48225</x:v>
      </x:c>
      <x:c r="B12541" s="0" t="s">
        <x:v>48226</x:v>
      </x:c>
      <x:c r="C12541" s="0" t="s">
        <x:v>42840</x:v>
      </x:c>
      <x:c r="E12541" s="0" t="s">
        <x:v>48227</x:v>
      </x:c>
      <x:c r="F12541" s="0" t="s">
        <x:v>45</x:v>
      </x:c>
      <x:c r="G12541" s="0" t="s">
        <x:v>206</x:v>
      </x:c>
      <x:c r="H12541" s="0" t="s">
        <x:v>20</x:v>
      </x:c>
      <x:c r="I12541" s="0" t="s">
        <x:v>21</x:v>
      </x:c>
      <x:c r="K12541" s="0">
        <x:f>hyperlink("https://icd.who.int/dev11/l-ichi/en#/http%3A%2F%2Fid.who.int%2Ficd%2Fentity%2F910415755","browser")</x:f>
      </x:c>
      <x:c r="L12541" s="0">
        <x:f>hyperlink("https://icat2.azurewebsites.net/icat/?ontology=ICD&amp;tab=ClassesTab&amp;id=http%3A%2F%2Fwho.int%2Ficd%23SpecificAnatomicLocation_3140","iCat")</x:f>
      </x:c>
      <x:c r="M12541" s="0" t="s">
        <x:v>20</x:v>
      </x:c>
      <x:c r="N12541" s="0" t="s">
        <x:v>35</x:v>
      </x:c>
    </x:row>
    <x:row r="12542" spans="1:16">
      <x:c r="A12542" s="0" t="s">
        <x:v>48228</x:v>
      </x:c>
      <x:c r="B12542" s="0" t="s">
        <x:v>48229</x:v>
      </x:c>
      <x:c r="C12542" s="0" t="s">
        <x:v>42840</x:v>
      </x:c>
      <x:c r="E12542" s="0" t="s">
        <x:v>48230</x:v>
      </x:c>
      <x:c r="F12542" s="0" t="s">
        <x:v>45</x:v>
      </x:c>
      <x:c r="G12542" s="0" t="s">
        <x:v>431</x:v>
      </x:c>
      <x:c r="H12542" s="0" t="s">
        <x:v>20</x:v>
      </x:c>
      <x:c r="I12542" s="0" t="s">
        <x:v>21</x:v>
      </x:c>
      <x:c r="K12542" s="0">
        <x:f>hyperlink("https://icd.who.int/dev11/l-ichi/en#/http%3A%2F%2Fid.who.int%2Ficd%2Fentity%2F610095191","browser")</x:f>
      </x:c>
      <x:c r="L12542" s="0">
        <x:f>hyperlink("https://icat2.azurewebsites.net/icat/?ontology=ICD&amp;tab=ClassesTab&amp;id=http%3A%2F%2Fwho.int%2Ficd%2313676_16e67c35_8b57_40bb_9220_818553425a8c","iCat")</x:f>
      </x:c>
      <x:c r="M12542" s="0" t="s">
        <x:v>21</x:v>
      </x:c>
      <x:c r="N12542" s="0" t="s">
        <x:v>46</x:v>
      </x:c>
    </x:row>
    <x:row r="12543" spans="1:16">
      <x:c r="A12543" s="0" t="s">
        <x:v>48231</x:v>
      </x:c>
      <x:c r="B12543" s="0" t="s">
        <x:v>48232</x:v>
      </x:c>
      <x:c r="C12543" s="0" t="s">
        <x:v>42840</x:v>
      </x:c>
      <x:c r="E12543" s="0" t="s">
        <x:v>48233</x:v>
      </x:c>
      <x:c r="F12543" s="0" t="s">
        <x:v>45</x:v>
      </x:c>
      <x:c r="G12543" s="0" t="s">
        <x:v>431</x:v>
      </x:c>
      <x:c r="H12543" s="0" t="s">
        <x:v>20</x:v>
      </x:c>
      <x:c r="I12543" s="0" t="s">
        <x:v>21</x:v>
      </x:c>
      <x:c r="K12543" s="0">
        <x:f>hyperlink("https://icd.who.int/dev11/l-ichi/en#/http%3A%2F%2Fid.who.int%2Ficd%2Fentity%2F620421159","browser")</x:f>
      </x:c>
      <x:c r="L12543" s="0">
        <x:f>hyperlink("https://icat2.azurewebsites.net/icat/?ontology=ICD&amp;tab=ClassesTab&amp;id=http%3A%2F%2Fwho.int%2Ficd%2313695_16e67c35_8b57_40bb_9220_818553425a8c","iCat")</x:f>
      </x:c>
      <x:c r="M12543" s="0" t="s">
        <x:v>21</x:v>
      </x:c>
      <x:c r="N12543" s="0" t="s">
        <x:v>46</x:v>
      </x:c>
    </x:row>
    <x:row r="12544" spans="1:16">
      <x:c r="A12544" s="0" t="s">
        <x:v>48234</x:v>
      </x:c>
      <x:c r="B12544" s="0" t="s">
        <x:v>48235</x:v>
      </x:c>
      <x:c r="C12544" s="0" t="s">
        <x:v>42840</x:v>
      </x:c>
      <x:c r="E12544" s="0" t="s">
        <x:v>48236</x:v>
      </x:c>
      <x:c r="F12544" s="0" t="s">
        <x:v>45</x:v>
      </x:c>
      <x:c r="G12544" s="0" t="s">
        <x:v>431</x:v>
      </x:c>
      <x:c r="H12544" s="0" t="s">
        <x:v>20</x:v>
      </x:c>
      <x:c r="I12544" s="0" t="s">
        <x:v>21</x:v>
      </x:c>
      <x:c r="K12544" s="0">
        <x:f>hyperlink("https://icd.who.int/dev11/l-ichi/en#/http%3A%2F%2Fid.who.int%2Ficd%2Fentity%2F1856834884","browser")</x:f>
      </x:c>
      <x:c r="L12544" s="0">
        <x:f>hyperlink("https://icat2.azurewebsites.net/icat/?ontology=ICD&amp;tab=ClassesTab&amp;id=http%3A%2F%2Fwho.int%2Ficd%2313714_16e67c35_8b57_40bb_9220_818553425a8c","iCat")</x:f>
      </x:c>
      <x:c r="M12544" s="0" t="s">
        <x:v>21</x:v>
      </x:c>
      <x:c r="N12544" s="0" t="s">
        <x:v>46</x:v>
      </x:c>
    </x:row>
    <x:row r="12545" spans="1:16">
      <x:c r="A12545" s="0" t="s">
        <x:v>48237</x:v>
      </x:c>
      <x:c r="B12545" s="0" t="s">
        <x:v>48238</x:v>
      </x:c>
      <x:c r="C12545" s="0" t="s">
        <x:v>42840</x:v>
      </x:c>
      <x:c r="E12545" s="0" t="s">
        <x:v>48239</x:v>
      </x:c>
      <x:c r="F12545" s="0" t="s">
        <x:v>45</x:v>
      </x:c>
      <x:c r="G12545" s="0" t="s">
        <x:v>22</x:v>
      </x:c>
      <x:c r="H12545" s="0" t="s">
        <x:v>20</x:v>
      </x:c>
      <x:c r="I12545" s="0" t="s">
        <x:v>21</x:v>
      </x:c>
      <x:c r="K12545" s="0">
        <x:f>hyperlink("https://icd.who.int/dev11/l-ichi/en#/http%3A%2F%2Fid.who.int%2Ficd%2Fentity%2F913769980","browser")</x:f>
      </x:c>
      <x:c r="L12545" s="0">
        <x:f>hyperlink("https://icat2.azurewebsites.net/icat/?ontology=ICD&amp;tab=ClassesTab&amp;id=http%3A%2F%2Fwho.int%2Ficd%238843_16e67c35_8b57_40bb_9220_818553425a8c","iCat")</x:f>
      </x:c>
      <x:c r="M12545" s="0" t="s">
        <x:v>20</x:v>
      </x:c>
      <x:c r="N12545" s="0" t="s">
        <x:v>30</x:v>
      </x:c>
    </x:row>
    <x:row r="12546" spans="1:16">
      <x:c r="A12546" s="0" t="s">
        <x:v>48240</x:v>
      </x:c>
      <x:c r="B12546" s="0" t="s">
        <x:v>48241</x:v>
      </x:c>
      <x:c r="C12546" s="0" t="s">
        <x:v>42840</x:v>
      </x:c>
      <x:c r="E12546" s="0" t="s">
        <x:v>48242</x:v>
      </x:c>
      <x:c r="F12546" s="0" t="s">
        <x:v>45</x:v>
      </x:c>
      <x:c r="G12546" s="0" t="s">
        <x:v>40</x:v>
      </x:c>
      <x:c r="H12546" s="0" t="s">
        <x:v>20</x:v>
      </x:c>
      <x:c r="I12546" s="0" t="s">
        <x:v>21</x:v>
      </x:c>
      <x:c r="K12546" s="0">
        <x:f>hyperlink("https://icd.who.int/dev11/l-ichi/en#/http%3A%2F%2Fid.who.int%2Ficd%2Fentity%2F330979384","browser")</x:f>
      </x:c>
      <x:c r="L12546" s="0">
        <x:f>hyperlink("https://icat2.azurewebsites.net/icat/?ontology=ICD&amp;tab=ClassesTab&amp;id=http%3A%2F%2Fwho.int%2Ficd%238871_16e67c35_8b57_40bb_9220_818553425a8c","iCat")</x:f>
      </x:c>
      <x:c r="M12546" s="0" t="s">
        <x:v>21</x:v>
      </x:c>
      <x:c r="N12546" s="0" t="s">
        <x:v>46</x:v>
      </x:c>
    </x:row>
    <x:row r="12547" spans="1:16">
      <x:c r="A12547" s="0" t="s">
        <x:v>48243</x:v>
      </x:c>
      <x:c r="B12547" s="0" t="s">
        <x:v>48244</x:v>
      </x:c>
      <x:c r="C12547" s="0" t="s">
        <x:v>42840</x:v>
      </x:c>
      <x:c r="E12547" s="0" t="s">
        <x:v>48245</x:v>
      </x:c>
      <x:c r="F12547" s="0" t="s">
        <x:v>45</x:v>
      </x:c>
      <x:c r="G12547" s="0" t="s">
        <x:v>40</x:v>
      </x:c>
      <x:c r="H12547" s="0" t="s">
        <x:v>20</x:v>
      </x:c>
      <x:c r="I12547" s="0" t="s">
        <x:v>21</x:v>
      </x:c>
      <x:c r="K12547" s="0">
        <x:f>hyperlink("https://icd.who.int/dev11/l-ichi/en#/http%3A%2F%2Fid.who.int%2Ficd%2Fentity%2F1986131341","browser")</x:f>
      </x:c>
      <x:c r="L12547" s="0">
        <x:f>hyperlink("https://icat2.azurewebsites.net/icat/?ontology=ICD&amp;tab=ClassesTab&amp;id=http%3A%2F%2Fwho.int%2Ficd%238890_16e67c35_8b57_40bb_9220_818553425a8c","iCat")</x:f>
      </x:c>
      <x:c r="M12547" s="0" t="s">
        <x:v>21</x:v>
      </x:c>
      <x:c r="N12547" s="0" t="s">
        <x:v>46</x:v>
      </x:c>
    </x:row>
    <x:row r="12548" spans="1:16">
      <x:c r="A12548" s="0" t="s">
        <x:v>48246</x:v>
      </x:c>
      <x:c r="B12548" s="0" t="s">
        <x:v>48247</x:v>
      </x:c>
      <x:c r="C12548" s="0" t="s">
        <x:v>42840</x:v>
      </x:c>
      <x:c r="E12548" s="0" t="s">
        <x:v>48248</x:v>
      </x:c>
      <x:c r="F12548" s="0" t="s">
        <x:v>45</x:v>
      </x:c>
      <x:c r="G12548" s="0" t="s">
        <x:v>35</x:v>
      </x:c>
      <x:c r="H12548" s="0" t="s">
        <x:v>20</x:v>
      </x:c>
      <x:c r="I12548" s="0" t="s">
        <x:v>21</x:v>
      </x:c>
      <x:c r="K12548" s="0">
        <x:f>hyperlink("https://icd.who.int/dev11/l-ichi/en#/http%3A%2F%2Fid.who.int%2Ficd%2Fentity%2F672515867","browser")</x:f>
      </x:c>
      <x:c r="L12548" s="0">
        <x:f>hyperlink("https://icat2.azurewebsites.net/icat/?ontology=ICD&amp;tab=ClassesTab&amp;id=http%3A%2F%2Fwho.int%2Ficd%23SpecificAnatomicLocation_3129","iCat")</x:f>
      </x:c>
      <x:c r="M12548" s="0" t="s">
        <x:v>20</x:v>
      </x:c>
      <x:c r="N12548" s="0" t="s">
        <x:v>35</x:v>
      </x:c>
    </x:row>
    <x:row r="12549" spans="1:16">
      <x:c r="A12549" s="0" t="s">
        <x:v>48249</x:v>
      </x:c>
      <x:c r="B12549" s="0" t="s">
        <x:v>48250</x:v>
      </x:c>
      <x:c r="C12549" s="0" t="s">
        <x:v>42840</x:v>
      </x:c>
      <x:c r="E12549" s="0" t="s">
        <x:v>48251</x:v>
      </x:c>
      <x:c r="F12549" s="0" t="s">
        <x:v>45</x:v>
      </x:c>
      <x:c r="G12549" s="0" t="s">
        <x:v>22</x:v>
      </x:c>
      <x:c r="H12549" s="0" t="s">
        <x:v>20</x:v>
      </x:c>
      <x:c r="I12549" s="0" t="s">
        <x:v>21</x:v>
      </x:c>
      <x:c r="K12549" s="0">
        <x:f>hyperlink("https://icd.who.int/dev11/l-ichi/en#/http%3A%2F%2Fid.who.int%2Ficd%2Fentity%2F2041804561","browser")</x:f>
      </x:c>
      <x:c r="L12549" s="0">
        <x:f>hyperlink("https://icat2.azurewebsites.net/icat/?ontology=ICD&amp;tab=ClassesTab&amp;id=http%3A%2F%2Fwho.int%2Ficd%238912_16e67c35_8b57_40bb_9220_818553425a8c","iCat")</x:f>
      </x:c>
      <x:c r="M12549" s="0" t="s">
        <x:v>21</x:v>
      </x:c>
      <x:c r="N12549" s="0" t="s">
        <x:v>46</x:v>
      </x:c>
    </x:row>
    <x:row r="12550" spans="1:16">
      <x:c r="A12550" s="0" t="s">
        <x:v>48252</x:v>
      </x:c>
      <x:c r="B12550" s="0" t="s">
        <x:v>48253</x:v>
      </x:c>
      <x:c r="C12550" s="0" t="s">
        <x:v>42840</x:v>
      </x:c>
      <x:c r="E12550" s="0" t="s">
        <x:v>48254</x:v>
      </x:c>
      <x:c r="F12550" s="0" t="s">
        <x:v>45</x:v>
      </x:c>
      <x:c r="G12550" s="0" t="s">
        <x:v>22</x:v>
      </x:c>
      <x:c r="H12550" s="0" t="s">
        <x:v>20</x:v>
      </x:c>
      <x:c r="I12550" s="0" t="s">
        <x:v>21</x:v>
      </x:c>
      <x:c r="K12550" s="0">
        <x:f>hyperlink("https://icd.who.int/dev11/l-ichi/en#/http%3A%2F%2Fid.who.int%2Ficd%2Fentity%2F373476792","browser")</x:f>
      </x:c>
      <x:c r="L12550" s="0">
        <x:f>hyperlink("https://icat2.azurewebsites.net/icat/?ontology=ICD&amp;tab=ClassesTab&amp;id=http%3A%2F%2Fwho.int%2Ficd%238931_16e67c35_8b57_40bb_9220_818553425a8c","iCat")</x:f>
      </x:c>
      <x:c r="M12550" s="0" t="s">
        <x:v>21</x:v>
      </x:c>
      <x:c r="N12550" s="0" t="s">
        <x:v>46</x:v>
      </x:c>
    </x:row>
    <x:row r="12551" spans="1:16">
      <x:c r="A12551" s="0" t="s">
        <x:v>48255</x:v>
      </x:c>
      <x:c r="B12551" s="0" t="s">
        <x:v>48256</x:v>
      </x:c>
      <x:c r="C12551" s="0" t="s">
        <x:v>42840</x:v>
      </x:c>
      <x:c r="E12551" s="0" t="s">
        <x:v>48257</x:v>
      </x:c>
      <x:c r="F12551" s="0" t="s">
        <x:v>45</x:v>
      </x:c>
      <x:c r="G12551" s="0" t="s">
        <x:v>22</x:v>
      </x:c>
      <x:c r="H12551" s="0" t="s">
        <x:v>20</x:v>
      </x:c>
      <x:c r="I12551" s="0" t="s">
        <x:v>21</x:v>
      </x:c>
      <x:c r="K12551" s="0">
        <x:f>hyperlink("https://icd.who.int/dev11/l-ichi/en#/http%3A%2F%2Fid.who.int%2Ficd%2Fentity%2F1822964169","browser")</x:f>
      </x:c>
      <x:c r="L12551" s="0">
        <x:f>hyperlink("https://icat2.azurewebsites.net/icat/?ontology=ICD&amp;tab=ClassesTab&amp;id=http%3A%2F%2Fwho.int%2Ficd%238950_16e67c35_8b57_40bb_9220_818553425a8c","iCat")</x:f>
      </x:c>
      <x:c r="M12551" s="0" t="s">
        <x:v>21</x:v>
      </x:c>
      <x:c r="N12551" s="0" t="s">
        <x:v>46</x:v>
      </x:c>
    </x:row>
    <x:row r="12552" spans="1:16">
      <x:c r="A12552" s="0" t="s">
        <x:v>48258</x:v>
      </x:c>
      <x:c r="B12552" s="0" t="s">
        <x:v>48259</x:v>
      </x:c>
      <x:c r="C12552" s="0" t="s">
        <x:v>42840</x:v>
      </x:c>
      <x:c r="E12552" s="0" t="s">
        <x:v>48260</x:v>
      </x:c>
      <x:c r="F12552" s="0" t="s">
        <x:v>45</x:v>
      </x:c>
      <x:c r="G12552" s="0" t="s">
        <x:v>30</x:v>
      </x:c>
      <x:c r="H12552" s="0" t="s">
        <x:v>20</x:v>
      </x:c>
      <x:c r="I12552" s="0" t="s">
        <x:v>21</x:v>
      </x:c>
      <x:c r="K12552" s="0">
        <x:f>hyperlink("https://icd.who.int/dev11/l-ichi/en#/http%3A%2F%2Fid.who.int%2Ficd%2Fentity%2F903433997","browser")</x:f>
      </x:c>
      <x:c r="L12552" s="0">
        <x:f>hyperlink("https://icat2.azurewebsites.net/icat/?ontology=ICD&amp;tab=ClassesTab&amp;id=http%3A%2F%2Fwho.int%2Ficd%23SpecificAnatomicLocation_3461","iCat")</x:f>
      </x:c>
      <x:c r="M12552" s="0" t="s">
        <x:v>20</x:v>
      </x:c>
      <x:c r="N12552" s="0" t="s">
        <x:v>30</x:v>
      </x:c>
    </x:row>
    <x:row r="12553" spans="1:16">
      <x:c r="A12553" s="0" t="s">
        <x:v>48261</x:v>
      </x:c>
      <x:c r="B12553" s="0" t="s">
        <x:v>48262</x:v>
      </x:c>
      <x:c r="C12553" s="0" t="s">
        <x:v>42840</x:v>
      </x:c>
      <x:c r="E12553" s="0" t="s">
        <x:v>48263</x:v>
      </x:c>
      <x:c r="F12553" s="0" t="s">
        <x:v>45</x:v>
      </x:c>
      <x:c r="G12553" s="0" t="s">
        <x:v>35</x:v>
      </x:c>
      <x:c r="H12553" s="0" t="s">
        <x:v>20</x:v>
      </x:c>
      <x:c r="I12553" s="0" t="s">
        <x:v>21</x:v>
      </x:c>
      <x:c r="K12553" s="0">
        <x:f>hyperlink("https://icd.who.int/dev11/l-ichi/en#/http%3A%2F%2Fid.who.int%2Ficd%2Fentity%2F1188883609","browser")</x:f>
      </x:c>
      <x:c r="L12553" s="0">
        <x:f>hyperlink("https://icat2.azurewebsites.net/icat/?ontology=ICD&amp;tab=ClassesTab&amp;id=http%3A%2F%2Fwho.int%2Ficd%238970_16e67c35_8b57_40bb_9220_818553425a8c","iCat")</x:f>
      </x:c>
      <x:c r="M12553" s="0" t="s">
        <x:v>21</x:v>
      </x:c>
      <x:c r="N12553" s="0" t="s">
        <x:v>46</x:v>
      </x:c>
    </x:row>
    <x:row r="12554" spans="1:16">
      <x:c r="A12554" s="0" t="s">
        <x:v>48264</x:v>
      </x:c>
      <x:c r="B12554" s="0" t="s">
        <x:v>48265</x:v>
      </x:c>
      <x:c r="C12554" s="0" t="s">
        <x:v>42840</x:v>
      </x:c>
      <x:c r="E12554" s="0" t="s">
        <x:v>48266</x:v>
      </x:c>
      <x:c r="F12554" s="0" t="s">
        <x:v>45</x:v>
      </x:c>
      <x:c r="G12554" s="0" t="s">
        <x:v>35</x:v>
      </x:c>
      <x:c r="H12554" s="0" t="s">
        <x:v>20</x:v>
      </x:c>
      <x:c r="I12554" s="0" t="s">
        <x:v>21</x:v>
      </x:c>
      <x:c r="K12554" s="0">
        <x:f>hyperlink("https://icd.who.int/dev11/l-ichi/en#/http%3A%2F%2Fid.who.int%2Ficd%2Fentity%2F121873710","browser")</x:f>
      </x:c>
      <x:c r="L12554" s="0">
        <x:f>hyperlink("https://icat2.azurewebsites.net/icat/?ontology=ICD&amp;tab=ClassesTab&amp;id=http%3A%2F%2Fwho.int%2Ficd%238989_16e67c35_8b57_40bb_9220_818553425a8c","iCat")</x:f>
      </x:c>
      <x:c r="M12554" s="0" t="s">
        <x:v>21</x:v>
      </x:c>
      <x:c r="N12554" s="0" t="s">
        <x:v>46</x:v>
      </x:c>
    </x:row>
    <x:row r="12555" spans="1:16">
      <x:c r="A12555" s="0" t="s">
        <x:v>48267</x:v>
      </x:c>
      <x:c r="B12555" s="0" t="s">
        <x:v>48268</x:v>
      </x:c>
      <x:c r="C12555" s="0" t="s">
        <x:v>42840</x:v>
      </x:c>
      <x:c r="E12555" s="0" t="s">
        <x:v>48269</x:v>
      </x:c>
      <x:c r="F12555" s="0" t="s">
        <x:v>45</x:v>
      </x:c>
      <x:c r="G12555" s="0" t="s">
        <x:v>30</x:v>
      </x:c>
      <x:c r="H12555" s="0" t="s">
        <x:v>20</x:v>
      </x:c>
      <x:c r="I12555" s="0" t="s">
        <x:v>21</x:v>
      </x:c>
      <x:c r="K12555" s="0">
        <x:f>hyperlink("https://icd.who.int/dev11/l-ichi/en#/http%3A%2F%2Fid.who.int%2Ficd%2Fentity%2F586230733","browser")</x:f>
      </x:c>
      <x:c r="L12555" s="0">
        <x:f>hyperlink("https://icat2.azurewebsites.net/icat/?ontology=ICD&amp;tab=ClassesTab&amp;id=http%3A%2F%2Fwho.int%2Ficd%23SpecificAnatomicLocation_3460","iCat")</x:f>
      </x:c>
      <x:c r="M12555" s="0" t="s">
        <x:v>20</x:v>
      </x:c>
      <x:c r="N12555" s="0" t="s">
        <x:v>19</x:v>
      </x:c>
    </x:row>
    <x:row r="12556" spans="1:16">
      <x:c r="A12556" s="0" t="s">
        <x:v>48270</x:v>
      </x:c>
      <x:c r="B12556" s="0" t="s">
        <x:v>48271</x:v>
      </x:c>
      <x:c r="C12556" s="0" t="s">
        <x:v>42840</x:v>
      </x:c>
      <x:c r="E12556" s="0" t="s">
        <x:v>48272</x:v>
      </x:c>
      <x:c r="F12556" s="0" t="s">
        <x:v>45</x:v>
      </x:c>
      <x:c r="G12556" s="0" t="s">
        <x:v>35</x:v>
      </x:c>
      <x:c r="H12556" s="0" t="s">
        <x:v>20</x:v>
      </x:c>
      <x:c r="I12556" s="0" t="s">
        <x:v>21</x:v>
      </x:c>
      <x:c r="K12556" s="0">
        <x:f>hyperlink("https://icd.who.int/dev11/l-ichi/en#/http%3A%2F%2Fid.who.int%2Ficd%2Fentity%2F979078546","browser")</x:f>
      </x:c>
      <x:c r="L12556" s="0">
        <x:f>hyperlink("https://icat2.azurewebsites.net/icat/?ontology=ICD&amp;tab=ClassesTab&amp;id=http%3A%2F%2Fwho.int%2Ficd%239010_16e67c35_8b57_40bb_9220_818553425a8c","iCat")</x:f>
      </x:c>
      <x:c r="M12556" s="0" t="s">
        <x:v>21</x:v>
      </x:c>
      <x:c r="N12556" s="0" t="s">
        <x:v>46</x:v>
      </x:c>
    </x:row>
    <x:row r="12557" spans="1:16">
      <x:c r="A12557" s="0" t="s">
        <x:v>48273</x:v>
      </x:c>
      <x:c r="B12557" s="0" t="s">
        <x:v>48274</x:v>
      </x:c>
      <x:c r="D12557" s="0" t="s">
        <x:v>44502</x:v>
      </x:c>
      <x:c r="E12557" s="0" t="s">
        <x:v>48275</x:v>
      </x:c>
      <x:c r="F12557" s="0" t="s">
        <x:v>26</x:v>
      </x:c>
      <x:c r="G12557" s="0" t="s">
        <x:v>35</x:v>
      </x:c>
      <x:c r="H12557" s="0" t="s">
        <x:v>20</x:v>
      </x:c>
      <x:c r="I12557" s="0" t="s">
        <x:v>21</x:v>
      </x:c>
      <x:c r="K12557" s="0">
        <x:f>hyperlink("https://icd.who.int/dev11/l-ichi/en#/http%3A%2F%2Fid.who.int%2Ficd%2Fentity%2F40907641","browser")</x:f>
      </x:c>
      <x:c r="L12557" s="0">
        <x:f>hyperlink("https://icat2.azurewebsites.net/icat/?ontology=ICD&amp;tab=ClassesTab&amp;id=http%3A%2F%2Fwho.int%2Ficd%23SpecificAnatomicLocation_1008","iCat")</x:f>
      </x:c>
      <x:c r="M12557" s="0" t="s">
        <x:v>20</x:v>
      </x:c>
      <x:c r="N12557" s="0" t="s">
        <x:v>40</x:v>
      </x:c>
    </x:row>
    <x:row r="12558" spans="1:16">
      <x:c r="A12558" s="0" t="s">
        <x:v>48276</x:v>
      </x:c>
      <x:c r="B12558" s="0" t="s">
        <x:v>48277</x:v>
      </x:c>
      <x:c r="D12558" s="0" t="s">
        <x:v>44524</x:v>
      </x:c>
      <x:c r="E12558" s="0" t="s">
        <x:v>48278</x:v>
      </x:c>
      <x:c r="F12558" s="0" t="s">
        <x:v>26</x:v>
      </x:c>
      <x:c r="G12558" s="0" t="s">
        <x:v>22</x:v>
      </x:c>
      <x:c r="H12558" s="0" t="s">
        <x:v>20</x:v>
      </x:c>
      <x:c r="I12558" s="0" t="s">
        <x:v>21</x:v>
      </x:c>
      <x:c r="K12558" s="0">
        <x:f>hyperlink("https://icd.who.int/dev11/l-ichi/en#/http%3A%2F%2Fid.who.int%2Ficd%2Fentity%2F657365008","browser")</x:f>
      </x:c>
      <x:c r="L12558" s="0">
        <x:f>hyperlink("https://icat2.azurewebsites.net/icat/?ontology=ICD&amp;tab=ClassesTab&amp;id=http%3A%2F%2Fwho.int%2Ficd%23SpecificAnatomicLocation_1509","iCat")</x:f>
      </x:c>
      <x:c r="M12558" s="0" t="s">
        <x:v>20</x:v>
      </x:c>
      <x:c r="N12558" s="0" t="s">
        <x:v>30</x:v>
      </x:c>
    </x:row>
    <x:row r="12559" spans="1:16">
      <x:c r="A12559" s="0" t="s">
        <x:v>48279</x:v>
      </x:c>
      <x:c r="B12559" s="0" t="s">
        <x:v>48280</x:v>
      </x:c>
      <x:c r="C12559" s="0" t="s">
        <x:v>42840</x:v>
      </x:c>
      <x:c r="E12559" s="0" t="s">
        <x:v>48281</x:v>
      </x:c>
      <x:c r="F12559" s="0" t="s">
        <x:v>45</x:v>
      </x:c>
      <x:c r="G12559" s="0" t="s">
        <x:v>19</x:v>
      </x:c>
      <x:c r="H12559" s="0" t="s">
        <x:v>20</x:v>
      </x:c>
      <x:c r="I12559" s="0" t="s">
        <x:v>21</x:v>
      </x:c>
      <x:c r="K12559" s="0">
        <x:f>hyperlink("https://icd.who.int/dev11/l-ichi/en#/http%3A%2F%2Fid.who.int%2Ficd%2Fentity%2F183512318","browser")</x:f>
      </x:c>
      <x:c r="L12559" s="0">
        <x:f>hyperlink("https://icat2.azurewebsites.net/icat/?ontology=ICD&amp;tab=ClassesTab&amp;id=http%3A%2F%2Fwho.int%2Ficd%2310928_b42302c6_9ff1_412e_a40f_2f411ad4c932","iCat")</x:f>
      </x:c>
      <x:c r="M12559" s="0" t="s">
        <x:v>20</x:v>
      </x:c>
      <x:c r="N12559" s="0" t="s">
        <x:v>22</x:v>
      </x:c>
    </x:row>
    <x:row r="12560" spans="1:16">
      <x:c r="A12560" s="0" t="s">
        <x:v>48282</x:v>
      </x:c>
      <x:c r="B12560" s="0" t="s">
        <x:v>48283</x:v>
      </x:c>
      <x:c r="C12560" s="0" t="s">
        <x:v>42840</x:v>
      </x:c>
      <x:c r="E12560" s="0" t="s">
        <x:v>48284</x:v>
      </x:c>
      <x:c r="F12560" s="0" t="s">
        <x:v>45</x:v>
      </x:c>
      <x:c r="G12560" s="0" t="s">
        <x:v>30</x:v>
      </x:c>
      <x:c r="H12560" s="0" t="s">
        <x:v>20</x:v>
      </x:c>
      <x:c r="I12560" s="0" t="s">
        <x:v>21</x:v>
      </x:c>
      <x:c r="K12560" s="0">
        <x:f>hyperlink("https://icd.who.int/dev11/l-ichi/en#/http%3A%2F%2Fid.who.int%2Ficd%2Fentity%2F2037389465","browser")</x:f>
      </x:c>
      <x:c r="L12560" s="0">
        <x:f>hyperlink("https://icat2.azurewebsites.net/icat/?ontology=ICD&amp;tab=ClassesTab&amp;id=http%3A%2F%2Fwho.int%2Ficd%23SpecificAnatomicLocation_1401","iCat")</x:f>
      </x:c>
      <x:c r="M12560" s="0" t="s">
        <x:v>20</x:v>
      </x:c>
      <x:c r="N12560" s="0" t="s">
        <x:v>30</x:v>
      </x:c>
    </x:row>
    <x:row r="12561" spans="1:16">
      <x:c r="A12561" s="0" t="s">
        <x:v>48285</x:v>
      </x:c>
      <x:c r="B12561" s="0" t="s">
        <x:v>48286</x:v>
      </x:c>
      <x:c r="C12561" s="0" t="s">
        <x:v>42840</x:v>
      </x:c>
      <x:c r="E12561" s="0" t="s">
        <x:v>48287</x:v>
      </x:c>
      <x:c r="F12561" s="0" t="s">
        <x:v>45</x:v>
      </x:c>
      <x:c r="G12561" s="0" t="s">
        <x:v>35</x:v>
      </x:c>
      <x:c r="H12561" s="0" t="s">
        <x:v>20</x:v>
      </x:c>
      <x:c r="I12561" s="0" t="s">
        <x:v>21</x:v>
      </x:c>
      <x:c r="K12561" s="0">
        <x:f>hyperlink("https://icd.who.int/dev11/l-ichi/en#/http%3A%2F%2Fid.who.int%2Ficd%2Fentity%2F703099594","browser")</x:f>
      </x:c>
      <x:c r="L12561" s="0">
        <x:f>hyperlink("https://icat2.azurewebsites.net/icat/?ontology=ICD&amp;tab=ClassesTab&amp;id=http%3A%2F%2Fwho.int%2Ficd%23SpecificAnatomicLocation_1379","iCat")</x:f>
      </x:c>
      <x:c r="M12561" s="0" t="s">
        <x:v>20</x:v>
      </x:c>
      <x:c r="N12561" s="0" t="s">
        <x:v>36</x:v>
      </x:c>
    </x:row>
    <x:row r="12562" spans="1:16">
      <x:c r="A12562" s="0" t="s">
        <x:v>48288</x:v>
      </x:c>
      <x:c r="B12562" s="0" t="s">
        <x:v>48289</x:v>
      </x:c>
      <x:c r="C12562" s="0" t="s">
        <x:v>42840</x:v>
      </x:c>
      <x:c r="E12562" s="0" t="s">
        <x:v>48290</x:v>
      </x:c>
      <x:c r="F12562" s="0" t="s">
        <x:v>45</x:v>
      </x:c>
      <x:c r="G12562" s="0" t="s">
        <x:v>22</x:v>
      </x:c>
      <x:c r="H12562" s="0" t="s">
        <x:v>20</x:v>
      </x:c>
      <x:c r="I12562" s="0" t="s">
        <x:v>21</x:v>
      </x:c>
      <x:c r="K12562" s="0">
        <x:f>hyperlink("https://icd.who.int/dev11/l-ichi/en#/http%3A%2F%2Fid.who.int%2Ficd%2Fentity%2F1090806454","browser")</x:f>
      </x:c>
      <x:c r="L12562" s="0">
        <x:f>hyperlink("https://icat2.azurewebsites.net/icat/?ontology=ICD&amp;tab=ClassesTab&amp;id=http%3A%2F%2Fwho.int%2Ficd%23SpecificAnatomicLocation_1373","iCat")</x:f>
      </x:c>
      <x:c r="M12562" s="0" t="s">
        <x:v>21</x:v>
      </x:c>
      <x:c r="N12562" s="0" t="s">
        <x:v>46</x:v>
      </x:c>
    </x:row>
    <x:row r="12563" spans="1:16">
      <x:c r="A12563" s="0" t="s">
        <x:v>48291</x:v>
      </x:c>
      <x:c r="B12563" s="0" t="s">
        <x:v>48292</x:v>
      </x:c>
      <x:c r="C12563" s="0" t="s">
        <x:v>42840</x:v>
      </x:c>
      <x:c r="E12563" s="0" t="s">
        <x:v>48293</x:v>
      </x:c>
      <x:c r="F12563" s="0" t="s">
        <x:v>45</x:v>
      </x:c>
      <x:c r="G12563" s="0" t="s">
        <x:v>22</x:v>
      </x:c>
      <x:c r="H12563" s="0" t="s">
        <x:v>20</x:v>
      </x:c>
      <x:c r="I12563" s="0" t="s">
        <x:v>21</x:v>
      </x:c>
      <x:c r="K12563" s="0">
        <x:f>hyperlink("https://icd.who.int/dev11/l-ichi/en#/http%3A%2F%2Fid.who.int%2Ficd%2Fentity%2F618487030","browser")</x:f>
      </x:c>
      <x:c r="L12563" s="0">
        <x:f>hyperlink("https://icat2.azurewebsites.net/icat/?ontology=ICD&amp;tab=ClassesTab&amp;id=http%3A%2F%2Fwho.int%2Ficd%23SpecificAnatomicLocation_1374","iCat")</x:f>
      </x:c>
      <x:c r="M12563" s="0" t="s">
        <x:v>21</x:v>
      </x:c>
      <x:c r="N12563" s="0" t="s">
        <x:v>46</x:v>
      </x:c>
    </x:row>
    <x:row r="12564" spans="1:16">
      <x:c r="A12564" s="0" t="s">
        <x:v>48294</x:v>
      </x:c>
      <x:c r="B12564" s="0" t="s">
        <x:v>48295</x:v>
      </x:c>
      <x:c r="C12564" s="0" t="s">
        <x:v>42840</x:v>
      </x:c>
      <x:c r="E12564" s="0" t="s">
        <x:v>48296</x:v>
      </x:c>
      <x:c r="F12564" s="0" t="s">
        <x:v>45</x:v>
      </x:c>
      <x:c r="G12564" s="0" t="s">
        <x:v>22</x:v>
      </x:c>
      <x:c r="H12564" s="0" t="s">
        <x:v>20</x:v>
      </x:c>
      <x:c r="I12564" s="0" t="s">
        <x:v>21</x:v>
      </x:c>
      <x:c r="K12564" s="0">
        <x:f>hyperlink("https://icd.who.int/dev11/l-ichi/en#/http%3A%2F%2Fid.who.int%2Ficd%2Fentity%2F1052775946","browser")</x:f>
      </x:c>
      <x:c r="L12564" s="0">
        <x:f>hyperlink("https://icat2.azurewebsites.net/icat/?ontology=ICD&amp;tab=ClassesTab&amp;id=http%3A%2F%2Fwho.int%2Ficd%23SpecificAnatomicLocation_1378","iCat")</x:f>
      </x:c>
      <x:c r="M12564" s="0" t="s">
        <x:v>20</x:v>
      </x:c>
      <x:c r="N12564" s="0" t="s">
        <x:v>35</x:v>
      </x:c>
    </x:row>
    <x:row r="12565" spans="1:16">
      <x:c r="A12565" s="0" t="s">
        <x:v>48297</x:v>
      </x:c>
      <x:c r="B12565" s="0" t="s">
        <x:v>48298</x:v>
      </x:c>
      <x:c r="C12565" s="0" t="s">
        <x:v>42840</x:v>
      </x:c>
      <x:c r="E12565" s="0" t="s">
        <x:v>48299</x:v>
      </x:c>
      <x:c r="F12565" s="0" t="s">
        <x:v>45</x:v>
      </x:c>
      <x:c r="G12565" s="0" t="s">
        <x:v>40</x:v>
      </x:c>
      <x:c r="H12565" s="0" t="s">
        <x:v>20</x:v>
      </x:c>
      <x:c r="I12565" s="0" t="s">
        <x:v>21</x:v>
      </x:c>
      <x:c r="K12565" s="0">
        <x:f>hyperlink("https://icd.who.int/dev11/l-ichi/en#/http%3A%2F%2Fid.who.int%2Ficd%2Fentity%2F871708726","browser")</x:f>
      </x:c>
      <x:c r="L12565" s="0">
        <x:f>hyperlink("https://icat2.azurewebsites.net/icat/?ontology=ICD&amp;tab=ClassesTab&amp;id=http%3A%2F%2Fwho.int%2Ficd%23SpecificAnatomicLocation_1375","iCat")</x:f>
      </x:c>
      <x:c r="M12565" s="0" t="s">
        <x:v>21</x:v>
      </x:c>
      <x:c r="N12565" s="0" t="s">
        <x:v>46</x:v>
      </x:c>
    </x:row>
    <x:row r="12566" spans="1:16">
      <x:c r="A12566" s="0" t="s">
        <x:v>48300</x:v>
      </x:c>
      <x:c r="B12566" s="0" t="s">
        <x:v>48301</x:v>
      </x:c>
      <x:c r="C12566" s="0" t="s">
        <x:v>42840</x:v>
      </x:c>
      <x:c r="E12566" s="0" t="s">
        <x:v>48302</x:v>
      </x:c>
      <x:c r="F12566" s="0" t="s">
        <x:v>45</x:v>
      </x:c>
      <x:c r="G12566" s="0" t="s">
        <x:v>40</x:v>
      </x:c>
      <x:c r="H12566" s="0" t="s">
        <x:v>20</x:v>
      </x:c>
      <x:c r="I12566" s="0" t="s">
        <x:v>21</x:v>
      </x:c>
      <x:c r="K12566" s="0">
        <x:f>hyperlink("https://icd.who.int/dev11/l-ichi/en#/http%3A%2F%2Fid.who.int%2Ficd%2Fentity%2F497414582","browser")</x:f>
      </x:c>
      <x:c r="L12566" s="0">
        <x:f>hyperlink("https://icat2.azurewebsites.net/icat/?ontology=ICD&amp;tab=ClassesTab&amp;id=http%3A%2F%2Fwho.int%2Ficd%23SpecificAnatomicLocation_1377","iCat")</x:f>
      </x:c>
      <x:c r="M12566" s="0" t="s">
        <x:v>21</x:v>
      </x:c>
      <x:c r="N12566" s="0" t="s">
        <x:v>46</x:v>
      </x:c>
    </x:row>
    <x:row r="12567" spans="1:16">
      <x:c r="A12567" s="0" t="s">
        <x:v>48303</x:v>
      </x:c>
      <x:c r="B12567" s="0" t="s">
        <x:v>48304</x:v>
      </x:c>
      <x:c r="C12567" s="0" t="s">
        <x:v>42840</x:v>
      </x:c>
      <x:c r="E12567" s="0" t="s">
        <x:v>48305</x:v>
      </x:c>
      <x:c r="F12567" s="0" t="s">
        <x:v>45</x:v>
      </x:c>
      <x:c r="G12567" s="0" t="s">
        <x:v>40</x:v>
      </x:c>
      <x:c r="H12567" s="0" t="s">
        <x:v>20</x:v>
      </x:c>
      <x:c r="I12567" s="0" t="s">
        <x:v>21</x:v>
      </x:c>
      <x:c r="K12567" s="0">
        <x:f>hyperlink("https://icd.who.int/dev11/l-ichi/en#/http%3A%2F%2Fid.who.int%2Ficd%2Fentity%2F177050998","browser")</x:f>
      </x:c>
      <x:c r="L12567" s="0">
        <x:f>hyperlink("https://icat2.azurewebsites.net/icat/?ontology=ICD&amp;tab=ClassesTab&amp;id=http%3A%2F%2Fwho.int%2Ficd%23SpecificAnatomicLocation_1376","iCat")</x:f>
      </x:c>
      <x:c r="M12567" s="0" t="s">
        <x:v>21</x:v>
      </x:c>
      <x:c r="N12567" s="0" t="s">
        <x:v>46</x:v>
      </x:c>
    </x:row>
    <x:row r="12568" spans="1:16">
      <x:c r="A12568" s="0" t="s">
        <x:v>48306</x:v>
      </x:c>
      <x:c r="B12568" s="0" t="s">
        <x:v>48307</x:v>
      </x:c>
      <x:c r="C12568" s="0" t="s">
        <x:v>42840</x:v>
      </x:c>
      <x:c r="E12568" s="0" t="s">
        <x:v>48308</x:v>
      </x:c>
      <x:c r="F12568" s="0" t="s">
        <x:v>45</x:v>
      </x:c>
      <x:c r="G12568" s="0" t="s">
        <x:v>22</x:v>
      </x:c>
      <x:c r="H12568" s="0" t="s">
        <x:v>20</x:v>
      </x:c>
      <x:c r="I12568" s="0" t="s">
        <x:v>21</x:v>
      </x:c>
      <x:c r="K12568" s="0">
        <x:f>hyperlink("https://icd.who.int/dev11/l-ichi/en#/http%3A%2F%2Fid.who.int%2Ficd%2Fentity%2F1445725814","browser")</x:f>
      </x:c>
      <x:c r="L12568" s="0">
        <x:f>hyperlink("https://icat2.azurewebsites.net/icat/?ontology=ICD&amp;tab=ClassesTab&amp;id=http%3A%2F%2Fwho.int%2Ficd%23SpecificAnatomicLocation_1372","iCat")</x:f>
      </x:c>
      <x:c r="M12568" s="0" t="s">
        <x:v>21</x:v>
      </x:c>
      <x:c r="N12568" s="0" t="s">
        <x:v>46</x:v>
      </x:c>
    </x:row>
    <x:row r="12569" spans="1:16">
      <x:c r="A12569" s="0" t="s">
        <x:v>48309</x:v>
      </x:c>
      <x:c r="B12569" s="0" t="s">
        <x:v>48310</x:v>
      </x:c>
      <x:c r="C12569" s="0" t="s">
        <x:v>42840</x:v>
      </x:c>
      <x:c r="E12569" s="0" t="s">
        <x:v>48311</x:v>
      </x:c>
      <x:c r="F12569" s="0" t="s">
        <x:v>45</x:v>
      </x:c>
      <x:c r="G12569" s="0" t="s">
        <x:v>22</x:v>
      </x:c>
      <x:c r="H12569" s="0" t="s">
        <x:v>20</x:v>
      </x:c>
      <x:c r="I12569" s="0" t="s">
        <x:v>21</x:v>
      </x:c>
      <x:c r="K12569" s="0">
        <x:f>hyperlink("https://icd.who.int/dev11/l-ichi/en#/http%3A%2F%2Fid.who.int%2Ficd%2Fentity%2F1071577199","browser")</x:f>
      </x:c>
      <x:c r="L12569" s="0">
        <x:f>hyperlink("https://icat2.azurewebsites.net/icat/?ontology=ICD&amp;tab=ClassesTab&amp;id=http%3A%2F%2Fwho.int%2Ficd%23SpecificAnatomicLocation_1363","iCat")</x:f>
      </x:c>
      <x:c r="M12569" s="0" t="s">
        <x:v>21</x:v>
      </x:c>
      <x:c r="N12569" s="0" t="s">
        <x:v>46</x:v>
      </x:c>
    </x:row>
    <x:row r="12570" spans="1:16">
      <x:c r="A12570" s="0" t="s">
        <x:v>48312</x:v>
      </x:c>
      <x:c r="B12570" s="0" t="s">
        <x:v>48313</x:v>
      </x:c>
      <x:c r="C12570" s="0" t="s">
        <x:v>42840</x:v>
      </x:c>
      <x:c r="E12570" s="0" t="s">
        <x:v>48314</x:v>
      </x:c>
      <x:c r="F12570" s="0" t="s">
        <x:v>45</x:v>
      </x:c>
      <x:c r="G12570" s="0" t="s">
        <x:v>22</x:v>
      </x:c>
      <x:c r="H12570" s="0" t="s">
        <x:v>20</x:v>
      </x:c>
      <x:c r="I12570" s="0" t="s">
        <x:v>21</x:v>
      </x:c>
      <x:c r="K12570" s="0">
        <x:f>hyperlink("https://icd.who.int/dev11/l-ichi/en#/http%3A%2F%2Fid.who.int%2Ficd%2Fentity%2F2021445622","browser")</x:f>
      </x:c>
      <x:c r="L12570" s="0">
        <x:f>hyperlink("https://icat2.azurewebsites.net/icat/?ontology=ICD&amp;tab=ClassesTab&amp;id=http%3A%2F%2Fwho.int%2Ficd%23SpecificAnatomicLocation_1370","iCat")</x:f>
      </x:c>
      <x:c r="M12570" s="0" t="s">
        <x:v>20</x:v>
      </x:c>
      <x:c r="N12570" s="0" t="s">
        <x:v>30</x:v>
      </x:c>
    </x:row>
    <x:row r="12571" spans="1:16">
      <x:c r="A12571" s="0" t="s">
        <x:v>48315</x:v>
      </x:c>
      <x:c r="B12571" s="0" t="s">
        <x:v>48316</x:v>
      </x:c>
      <x:c r="C12571" s="0" t="s">
        <x:v>42840</x:v>
      </x:c>
      <x:c r="E12571" s="0" t="s">
        <x:v>48317</x:v>
      </x:c>
      <x:c r="F12571" s="0" t="s">
        <x:v>45</x:v>
      </x:c>
      <x:c r="G12571" s="0" t="s">
        <x:v>40</x:v>
      </x:c>
      <x:c r="H12571" s="0" t="s">
        <x:v>20</x:v>
      </x:c>
      <x:c r="I12571" s="0" t="s">
        <x:v>21</x:v>
      </x:c>
      <x:c r="K12571" s="0">
        <x:f>hyperlink("https://icd.who.int/dev11/l-ichi/en#/http%3A%2F%2Fid.who.int%2Ficd%2Fentity%2F1075481809","browser")</x:f>
      </x:c>
      <x:c r="L12571" s="0">
        <x:f>hyperlink("https://icat2.azurewebsites.net/icat/?ontology=ICD&amp;tab=ClassesTab&amp;id=http%3A%2F%2Fwho.int%2Ficd%23SpecificAnatomicLocation_1368","iCat")</x:f>
      </x:c>
      <x:c r="M12571" s="0" t="s">
        <x:v>21</x:v>
      </x:c>
      <x:c r="N12571" s="0" t="s">
        <x:v>46</x:v>
      </x:c>
    </x:row>
    <x:row r="12572" spans="1:16">
      <x:c r="A12572" s="0" t="s">
        <x:v>48318</x:v>
      </x:c>
      <x:c r="B12572" s="0" t="s">
        <x:v>48319</x:v>
      </x:c>
      <x:c r="C12572" s="0" t="s">
        <x:v>42840</x:v>
      </x:c>
      <x:c r="E12572" s="0" t="s">
        <x:v>48320</x:v>
      </x:c>
      <x:c r="F12572" s="0" t="s">
        <x:v>45</x:v>
      </x:c>
      <x:c r="G12572" s="0" t="s">
        <x:v>40</x:v>
      </x:c>
      <x:c r="H12572" s="0" t="s">
        <x:v>20</x:v>
      </x:c>
      <x:c r="I12572" s="0" t="s">
        <x:v>21</x:v>
      </x:c>
      <x:c r="K12572" s="0">
        <x:f>hyperlink("https://icd.who.int/dev11/l-ichi/en#/http%3A%2F%2Fid.who.int%2Ficd%2Fentity%2F1462954001","browser")</x:f>
      </x:c>
      <x:c r="L12572" s="0">
        <x:f>hyperlink("https://icat2.azurewebsites.net/icat/?ontology=ICD&amp;tab=ClassesTab&amp;id=http%3A%2F%2Fwho.int%2Ficd%23SpecificAnatomicLocation_1369","iCat")</x:f>
      </x:c>
      <x:c r="M12572" s="0" t="s">
        <x:v>21</x:v>
      </x:c>
      <x:c r="N12572" s="0" t="s">
        <x:v>46</x:v>
      </x:c>
    </x:row>
    <x:row r="12573" spans="1:16">
      <x:c r="A12573" s="0" t="s">
        <x:v>48321</x:v>
      </x:c>
      <x:c r="B12573" s="0" t="s">
        <x:v>48322</x:v>
      </x:c>
      <x:c r="C12573" s="0" t="s">
        <x:v>42840</x:v>
      </x:c>
      <x:c r="E12573" s="0" t="s">
        <x:v>48323</x:v>
      </x:c>
      <x:c r="F12573" s="0" t="s">
        <x:v>45</x:v>
      </x:c>
      <x:c r="G12573" s="0" t="s">
        <x:v>22</x:v>
      </x:c>
      <x:c r="H12573" s="0" t="s">
        <x:v>20</x:v>
      </x:c>
      <x:c r="I12573" s="0" t="s">
        <x:v>21</x:v>
      </x:c>
      <x:c r="K12573" s="0">
        <x:f>hyperlink("https://icd.who.int/dev11/l-ichi/en#/http%3A%2F%2Fid.who.int%2Ficd%2Fentity%2F1510458927","browser")</x:f>
      </x:c>
      <x:c r="L12573" s="0">
        <x:f>hyperlink("https://icat2.azurewebsites.net/icat/?ontology=ICD&amp;tab=ClassesTab&amp;id=http%3A%2F%2Fwho.int%2Ficd%23SpecificAnatomicLocation_1364","iCat")</x:f>
      </x:c>
      <x:c r="M12573" s="0" t="s">
        <x:v>21</x:v>
      </x:c>
      <x:c r="N12573" s="0" t="s">
        <x:v>46</x:v>
      </x:c>
    </x:row>
    <x:row r="12574" spans="1:16">
      <x:c r="A12574" s="0" t="s">
        <x:v>48324</x:v>
      </x:c>
      <x:c r="B12574" s="0" t="s">
        <x:v>48325</x:v>
      </x:c>
      <x:c r="C12574" s="0" t="s">
        <x:v>42840</x:v>
      </x:c>
      <x:c r="E12574" s="0" t="s">
        <x:v>48326</x:v>
      </x:c>
      <x:c r="F12574" s="0" t="s">
        <x:v>45</x:v>
      </x:c>
      <x:c r="G12574" s="0" t="s">
        <x:v>22</x:v>
      </x:c>
      <x:c r="H12574" s="0" t="s">
        <x:v>20</x:v>
      </x:c>
      <x:c r="I12574" s="0" t="s">
        <x:v>21</x:v>
      </x:c>
      <x:c r="K12574" s="0">
        <x:f>hyperlink("https://icd.who.int/dev11/l-ichi/en#/http%3A%2F%2Fid.who.int%2Ficd%2Fentity%2F1867819830","browser")</x:f>
      </x:c>
      <x:c r="L12574" s="0">
        <x:f>hyperlink("https://icat2.azurewebsites.net/icat/?ontology=ICD&amp;tab=ClassesTab&amp;id=http%3A%2F%2Fwho.int%2Ficd%23SpecificAnatomicLocation_1371","iCat")</x:f>
      </x:c>
      <x:c r="M12574" s="0" t="s">
        <x:v>20</x:v>
      </x:c>
      <x:c r="N12574" s="0" t="s">
        <x:v>19</x:v>
      </x:c>
    </x:row>
    <x:row r="12575" spans="1:16">
      <x:c r="A12575" s="0" t="s">
        <x:v>48327</x:v>
      </x:c>
      <x:c r="B12575" s="0" t="s">
        <x:v>48328</x:v>
      </x:c>
      <x:c r="C12575" s="0" t="s">
        <x:v>42840</x:v>
      </x:c>
      <x:c r="E12575" s="0" t="s">
        <x:v>48329</x:v>
      </x:c>
      <x:c r="F12575" s="0" t="s">
        <x:v>45</x:v>
      </x:c>
      <x:c r="G12575" s="0" t="s">
        <x:v>40</x:v>
      </x:c>
      <x:c r="H12575" s="0" t="s">
        <x:v>20</x:v>
      </x:c>
      <x:c r="I12575" s="0" t="s">
        <x:v>21</x:v>
      </x:c>
      <x:c r="K12575" s="0">
        <x:f>hyperlink("https://icd.who.int/dev11/l-ichi/en#/http%3A%2F%2Fid.who.int%2Ficd%2Fentity%2F24387554","browser")</x:f>
      </x:c>
      <x:c r="L12575" s="0">
        <x:f>hyperlink("https://icat2.azurewebsites.net/icat/?ontology=ICD&amp;tab=ClassesTab&amp;id=http%3A%2F%2Fwho.int%2Ficd%232571_9e276f94_8a58_44b1_9833_7049a406a459","iCat")</x:f>
      </x:c>
      <x:c r="M12575" s="0" t="s">
        <x:v>21</x:v>
      </x:c>
      <x:c r="N12575" s="0" t="s">
        <x:v>46</x:v>
      </x:c>
    </x:row>
    <x:row r="12576" spans="1:16">
      <x:c r="A12576" s="0" t="s">
        <x:v>48330</x:v>
      </x:c>
      <x:c r="B12576" s="0" t="s">
        <x:v>48331</x:v>
      </x:c>
      <x:c r="C12576" s="0" t="s">
        <x:v>42840</x:v>
      </x:c>
      <x:c r="E12576" s="0" t="s">
        <x:v>48332</x:v>
      </x:c>
      <x:c r="F12576" s="0" t="s">
        <x:v>45</x:v>
      </x:c>
      <x:c r="G12576" s="0" t="s">
        <x:v>22</x:v>
      </x:c>
      <x:c r="H12576" s="0" t="s">
        <x:v>20</x:v>
      </x:c>
      <x:c r="I12576" s="0" t="s">
        <x:v>21</x:v>
      </x:c>
      <x:c r="K12576" s="0">
        <x:f>hyperlink("https://icd.who.int/dev11/l-ichi/en#/http%3A%2F%2Fid.who.int%2Ficd%2Fentity%2F1669294959","browser")</x:f>
      </x:c>
      <x:c r="L12576" s="0">
        <x:f>hyperlink("https://icat2.azurewebsites.net/icat/?ontology=ICD&amp;tab=ClassesTab&amp;id=http%3A%2F%2Fwho.int%2Ficd%23SpecificAnatomicLocation_1367","iCat")</x:f>
      </x:c>
      <x:c r="M12576" s="0" t="s">
        <x:v>20</x:v>
      </x:c>
      <x:c r="N12576" s="0" t="s">
        <x:v>30</x:v>
      </x:c>
    </x:row>
    <x:row r="12577" spans="1:16">
      <x:c r="A12577" s="0" t="s">
        <x:v>48333</x:v>
      </x:c>
      <x:c r="B12577" s="0" t="s">
        <x:v>48334</x:v>
      </x:c>
      <x:c r="C12577" s="0" t="s">
        <x:v>42840</x:v>
      </x:c>
      <x:c r="E12577" s="0" t="s">
        <x:v>48335</x:v>
      </x:c>
      <x:c r="F12577" s="0" t="s">
        <x:v>45</x:v>
      </x:c>
      <x:c r="G12577" s="0" t="s">
        <x:v>40</x:v>
      </x:c>
      <x:c r="H12577" s="0" t="s">
        <x:v>20</x:v>
      </x:c>
      <x:c r="I12577" s="0" t="s">
        <x:v>21</x:v>
      </x:c>
      <x:c r="K12577" s="0">
        <x:f>hyperlink("https://icd.who.int/dev11/l-ichi/en#/http%3A%2F%2Fid.who.int%2Ficd%2Fentity%2F1294967535","browser")</x:f>
      </x:c>
      <x:c r="L12577" s="0">
        <x:f>hyperlink("https://icat2.azurewebsites.net/icat/?ontology=ICD&amp;tab=ClassesTab&amp;id=http%3A%2F%2Fwho.int%2Ficd%23SpecificAnatomicLocation_1365","iCat")</x:f>
      </x:c>
      <x:c r="M12577" s="0" t="s">
        <x:v>21</x:v>
      </x:c>
      <x:c r="N12577" s="0" t="s">
        <x:v>46</x:v>
      </x:c>
    </x:row>
    <x:row r="12578" spans="1:16">
      <x:c r="A12578" s="0" t="s">
        <x:v>48336</x:v>
      </x:c>
      <x:c r="B12578" s="0" t="s">
        <x:v>48337</x:v>
      </x:c>
      <x:c r="C12578" s="0" t="s">
        <x:v>42840</x:v>
      </x:c>
      <x:c r="E12578" s="0" t="s">
        <x:v>48338</x:v>
      </x:c>
      <x:c r="F12578" s="0" t="s">
        <x:v>45</x:v>
      </x:c>
      <x:c r="G12578" s="0" t="s">
        <x:v>40</x:v>
      </x:c>
      <x:c r="H12578" s="0" t="s">
        <x:v>20</x:v>
      </x:c>
      <x:c r="I12578" s="0" t="s">
        <x:v>21</x:v>
      </x:c>
      <x:c r="K12578" s="0">
        <x:f>hyperlink("https://icd.who.int/dev11/l-ichi/en#/http%3A%2F%2Fid.who.int%2Ficd%2Fentity%2F1951862703","browser")</x:f>
      </x:c>
      <x:c r="L12578" s="0">
        <x:f>hyperlink("https://icat2.azurewebsites.net/icat/?ontology=ICD&amp;tab=ClassesTab&amp;id=http%3A%2F%2Fwho.int%2Ficd%23SpecificAnatomicLocation_1366","iCat")</x:f>
      </x:c>
      <x:c r="M12578" s="0" t="s">
        <x:v>21</x:v>
      </x:c>
      <x:c r="N12578" s="0" t="s">
        <x:v>46</x:v>
      </x:c>
    </x:row>
    <x:row r="12579" spans="1:16">
      <x:c r="A12579" s="0" t="s">
        <x:v>48339</x:v>
      </x:c>
      <x:c r="B12579" s="0" t="s">
        <x:v>48340</x:v>
      </x:c>
      <x:c r="C12579" s="0" t="s">
        <x:v>42840</x:v>
      </x:c>
      <x:c r="E12579" s="0" t="s">
        <x:v>48341</x:v>
      </x:c>
      <x:c r="F12579" s="0" t="s">
        <x:v>45</x:v>
      </x:c>
      <x:c r="G12579" s="0" t="s">
        <x:v>35</x:v>
      </x:c>
      <x:c r="H12579" s="0" t="s">
        <x:v>20</x:v>
      </x:c>
      <x:c r="I12579" s="0" t="s">
        <x:v>21</x:v>
      </x:c>
      <x:c r="K12579" s="0">
        <x:f>hyperlink("https://icd.who.int/dev11/l-ichi/en#/http%3A%2F%2Fid.who.int%2Ficd%2Fentity%2F1757281176","browser")</x:f>
      </x:c>
      <x:c r="L12579" s="0">
        <x:f>hyperlink("https://icat2.azurewebsites.net/icat/?ontology=ICD&amp;tab=ClassesTab&amp;id=http%3A%2F%2Fwho.int%2Ficd%23SpecificAnatomicLocation_1396","iCat")</x:f>
      </x:c>
      <x:c r="M12579" s="0" t="s">
        <x:v>20</x:v>
      </x:c>
      <x:c r="N12579" s="0" t="s">
        <x:v>903</x:v>
      </x:c>
    </x:row>
    <x:row r="12580" spans="1:16">
      <x:c r="A12580" s="0" t="s">
        <x:v>48342</x:v>
      </x:c>
      <x:c r="B12580" s="0" t="s">
        <x:v>48343</x:v>
      </x:c>
      <x:c r="C12580" s="0" t="s">
        <x:v>42840</x:v>
      </x:c>
      <x:c r="E12580" s="0" t="s">
        <x:v>48344</x:v>
      </x:c>
      <x:c r="F12580" s="0" t="s">
        <x:v>45</x:v>
      </x:c>
      <x:c r="G12580" s="0" t="s">
        <x:v>22</x:v>
      </x:c>
      <x:c r="H12580" s="0" t="s">
        <x:v>20</x:v>
      </x:c>
      <x:c r="I12580" s="0" t="s">
        <x:v>21</x:v>
      </x:c>
      <x:c r="K12580" s="0">
        <x:f>hyperlink("https://icd.who.int/dev11/l-ichi/en#/http%3A%2F%2Fid.who.int%2Ficd%2Fentity%2F1371887320","browser")</x:f>
      </x:c>
      <x:c r="L12580" s="0">
        <x:f>hyperlink("https://icat2.azurewebsites.net/icat/?ontology=ICD&amp;tab=ClassesTab&amp;id=http%3A%2F%2Fwho.int%2Ficd%23SpecificAnatomicLocation_1395","iCat")</x:f>
      </x:c>
      <x:c r="M12580" s="0" t="s">
        <x:v>21</x:v>
      </x:c>
      <x:c r="N12580" s="0" t="s">
        <x:v>46</x:v>
      </x:c>
    </x:row>
    <x:row r="12581" spans="1:16">
      <x:c r="A12581" s="0" t="s">
        <x:v>48345</x:v>
      </x:c>
      <x:c r="B12581" s="0" t="s">
        <x:v>48346</x:v>
      </x:c>
      <x:c r="C12581" s="0" t="s">
        <x:v>42840</x:v>
      </x:c>
      <x:c r="E12581" s="0" t="s">
        <x:v>48347</x:v>
      </x:c>
      <x:c r="F12581" s="0" t="s">
        <x:v>45</x:v>
      </x:c>
      <x:c r="G12581" s="0" t="s">
        <x:v>22</x:v>
      </x:c>
      <x:c r="H12581" s="0" t="s">
        <x:v>20</x:v>
      </x:c>
      <x:c r="I12581" s="0" t="s">
        <x:v>21</x:v>
      </x:c>
      <x:c r="K12581" s="0">
        <x:f>hyperlink("https://icd.who.int/dev11/l-ichi/en#/http%3A%2F%2Fid.who.int%2Ficd%2Fentity%2F1189949976","browser")</x:f>
      </x:c>
      <x:c r="L12581" s="0">
        <x:f>hyperlink("https://icat2.azurewebsites.net/icat/?ontology=ICD&amp;tab=ClassesTab&amp;id=http%3A%2F%2Fwho.int%2Ficd%23SpecificAnatomicLocation_1394","iCat")</x:f>
      </x:c>
      <x:c r="M12581" s="0" t="s">
        <x:v>21</x:v>
      </x:c>
      <x:c r="N12581" s="0" t="s">
        <x:v>46</x:v>
      </x:c>
    </x:row>
    <x:row r="12582" spans="1:16">
      <x:c r="A12582" s="0" t="s">
        <x:v>48348</x:v>
      </x:c>
      <x:c r="B12582" s="0" t="s">
        <x:v>48349</x:v>
      </x:c>
      <x:c r="C12582" s="0" t="s">
        <x:v>42840</x:v>
      </x:c>
      <x:c r="E12582" s="0" t="s">
        <x:v>48350</x:v>
      </x:c>
      <x:c r="F12582" s="0" t="s">
        <x:v>45</x:v>
      </x:c>
      <x:c r="G12582" s="0" t="s">
        <x:v>22</x:v>
      </x:c>
      <x:c r="H12582" s="0" t="s">
        <x:v>20</x:v>
      </x:c>
      <x:c r="I12582" s="0" t="s">
        <x:v>21</x:v>
      </x:c>
      <x:c r="K12582" s="0">
        <x:f>hyperlink("https://icd.who.int/dev11/l-ichi/en#/http%3A%2F%2Fid.who.int%2Ficd%2Fentity%2F874277016","browser")</x:f>
      </x:c>
      <x:c r="L12582" s="0">
        <x:f>hyperlink("https://icat2.azurewebsites.net/icat/?ontology=ICD&amp;tab=ClassesTab&amp;id=http%3A%2F%2Fwho.int%2Ficd%23SpecificAnatomicLocation_1392","iCat")</x:f>
      </x:c>
      <x:c r="M12582" s="0" t="s">
        <x:v>21</x:v>
      </x:c>
      <x:c r="N12582" s="0" t="s">
        <x:v>46</x:v>
      </x:c>
    </x:row>
    <x:row r="12583" spans="1:16">
      <x:c r="A12583" s="0" t="s">
        <x:v>48351</x:v>
      </x:c>
      <x:c r="B12583" s="0" t="s">
        <x:v>48352</x:v>
      </x:c>
      <x:c r="C12583" s="0" t="s">
        <x:v>42840</x:v>
      </x:c>
      <x:c r="E12583" s="0" t="s">
        <x:v>48353</x:v>
      </x:c>
      <x:c r="F12583" s="0" t="s">
        <x:v>45</x:v>
      </x:c>
      <x:c r="G12583" s="0" t="s">
        <x:v>22</x:v>
      </x:c>
      <x:c r="H12583" s="0" t="s">
        <x:v>20</x:v>
      </x:c>
      <x:c r="I12583" s="0" t="s">
        <x:v>21</x:v>
      </x:c>
      <x:c r="K12583" s="0">
        <x:f>hyperlink("https://icd.who.int/dev11/l-ichi/en#/http%3A%2F%2Fid.who.int%2Ficd%2Fentity%2F889358079","browser")</x:f>
      </x:c>
      <x:c r="L12583" s="0">
        <x:f>hyperlink("https://icat2.azurewebsites.net/icat/?ontology=ICD&amp;tab=ClassesTab&amp;id=http%3A%2F%2Fwho.int%2Ficd%23SpecificAnatomicLocation_1389","iCat")</x:f>
      </x:c>
      <x:c r="M12583" s="0" t="s">
        <x:v>21</x:v>
      </x:c>
      <x:c r="N12583" s="0" t="s">
        <x:v>46</x:v>
      </x:c>
    </x:row>
    <x:row r="12584" spans="1:16">
      <x:c r="A12584" s="0" t="s">
        <x:v>48354</x:v>
      </x:c>
      <x:c r="B12584" s="0" t="s">
        <x:v>48355</x:v>
      </x:c>
      <x:c r="C12584" s="0" t="s">
        <x:v>42840</x:v>
      </x:c>
      <x:c r="E12584" s="0" t="s">
        <x:v>48356</x:v>
      </x:c>
      <x:c r="F12584" s="0" t="s">
        <x:v>45</x:v>
      </x:c>
      <x:c r="G12584" s="0" t="s">
        <x:v>22</x:v>
      </x:c>
      <x:c r="H12584" s="0" t="s">
        <x:v>20</x:v>
      </x:c>
      <x:c r="I12584" s="0" t="s">
        <x:v>21</x:v>
      </x:c>
      <x:c r="K12584" s="0">
        <x:f>hyperlink("https://icd.who.int/dev11/l-ichi/en#/http%3A%2F%2Fid.who.int%2Ficd%2Fentity%2F590613592","browser")</x:f>
      </x:c>
      <x:c r="L12584" s="0">
        <x:f>hyperlink("https://icat2.azurewebsites.net/icat/?ontology=ICD&amp;tab=ClassesTab&amp;id=http%3A%2F%2Fwho.int%2Ficd%23SpecificAnatomicLocation_1393","iCat")</x:f>
      </x:c>
      <x:c r="M12584" s="0" t="s">
        <x:v>21</x:v>
      </x:c>
      <x:c r="N12584" s="0" t="s">
        <x:v>46</x:v>
      </x:c>
    </x:row>
    <x:row r="12585" spans="1:16">
      <x:c r="A12585" s="0" t="s">
        <x:v>48357</x:v>
      </x:c>
      <x:c r="B12585" s="0" t="s">
        <x:v>48358</x:v>
      </x:c>
      <x:c r="C12585" s="0" t="s">
        <x:v>42840</x:v>
      </x:c>
      <x:c r="E12585" s="0" t="s">
        <x:v>48359</x:v>
      </x:c>
      <x:c r="F12585" s="0" t="s">
        <x:v>45</x:v>
      </x:c>
      <x:c r="G12585" s="0" t="s">
        <x:v>22</x:v>
      </x:c>
      <x:c r="H12585" s="0" t="s">
        <x:v>20</x:v>
      </x:c>
      <x:c r="I12585" s="0" t="s">
        <x:v>21</x:v>
      </x:c>
      <x:c r="K12585" s="0">
        <x:f>hyperlink("https://icd.who.int/dev11/l-ichi/en#/http%3A%2F%2Fid.who.int%2Ficd%2Fentity%2F441229592","browser")</x:f>
      </x:c>
      <x:c r="L12585" s="0">
        <x:f>hyperlink("https://icat2.azurewebsites.net/icat/?ontology=ICD&amp;tab=ClassesTab&amp;id=http%3A%2F%2Fwho.int%2Ficd%23SpecificAnatomicLocation_1390","iCat")</x:f>
      </x:c>
      <x:c r="M12585" s="0" t="s">
        <x:v>21</x:v>
      </x:c>
      <x:c r="N12585" s="0" t="s">
        <x:v>46</x:v>
      </x:c>
    </x:row>
    <x:row r="12586" spans="1:16">
      <x:c r="A12586" s="0" t="s">
        <x:v>48360</x:v>
      </x:c>
      <x:c r="B12586" s="0" t="s">
        <x:v>48361</x:v>
      </x:c>
      <x:c r="C12586" s="0" t="s">
        <x:v>42840</x:v>
      </x:c>
      <x:c r="E12586" s="0" t="s">
        <x:v>48362</x:v>
      </x:c>
      <x:c r="F12586" s="0" t="s">
        <x:v>45</x:v>
      </x:c>
      <x:c r="G12586" s="0" t="s">
        <x:v>22</x:v>
      </x:c>
      <x:c r="H12586" s="0" t="s">
        <x:v>20</x:v>
      </x:c>
      <x:c r="I12586" s="0" t="s">
        <x:v>21</x:v>
      </x:c>
      <x:c r="K12586" s="0">
        <x:f>hyperlink("https://icd.who.int/dev11/l-ichi/en#/http%3A%2F%2Fid.who.int%2Ficd%2Fentity%2F375873857","browser")</x:f>
      </x:c>
      <x:c r="L12586" s="0">
        <x:f>hyperlink("https://icat2.azurewebsites.net/icat/?ontology=ICD&amp;tab=ClassesTab&amp;id=http%3A%2F%2Fwho.int%2Ficd%23SpecificAnatomicLocation_1386","iCat")</x:f>
      </x:c>
      <x:c r="M12586" s="0" t="s">
        <x:v>20</x:v>
      </x:c>
      <x:c r="N12586" s="0" t="s">
        <x:v>431</x:v>
      </x:c>
    </x:row>
    <x:row r="12587" spans="1:16">
      <x:c r="A12587" s="0" t="s">
        <x:v>48363</x:v>
      </x:c>
      <x:c r="B12587" s="0" t="s">
        <x:v>48364</x:v>
      </x:c>
      <x:c r="C12587" s="0" t="s">
        <x:v>42840</x:v>
      </x:c>
      <x:c r="E12587" s="0" t="s">
        <x:v>48365</x:v>
      </x:c>
      <x:c r="F12587" s="0" t="s">
        <x:v>45</x:v>
      </x:c>
      <x:c r="G12587" s="0" t="s">
        <x:v>40</x:v>
      </x:c>
      <x:c r="H12587" s="0" t="s">
        <x:v>20</x:v>
      </x:c>
      <x:c r="I12587" s="0" t="s">
        <x:v>21</x:v>
      </x:c>
      <x:c r="K12587" s="0">
        <x:f>hyperlink("https://icd.who.int/dev11/l-ichi/en#/http%3A%2F%2Fid.who.int%2Ficd%2Fentity%2F1687567297","browser")</x:f>
      </x:c>
      <x:c r="L12587" s="0">
        <x:f>hyperlink("https://icat2.azurewebsites.net/icat/?ontology=ICD&amp;tab=ClassesTab&amp;id=http%3A%2F%2Fwho.int%2Ficd%23SpecificAnatomicLocation_1380","iCat")</x:f>
      </x:c>
      <x:c r="M12587" s="0" t="s">
        <x:v>21</x:v>
      </x:c>
      <x:c r="N12587" s="0" t="s">
        <x:v>46</x:v>
      </x:c>
    </x:row>
    <x:row r="12588" spans="1:16">
      <x:c r="A12588" s="0" t="s">
        <x:v>48366</x:v>
      </x:c>
      <x:c r="B12588" s="0" t="s">
        <x:v>48367</x:v>
      </x:c>
      <x:c r="C12588" s="0" t="s">
        <x:v>42840</x:v>
      </x:c>
      <x:c r="E12588" s="0" t="s">
        <x:v>48368</x:v>
      </x:c>
      <x:c r="F12588" s="0" t="s">
        <x:v>45</x:v>
      </x:c>
      <x:c r="G12588" s="0" t="s">
        <x:v>40</x:v>
      </x:c>
      <x:c r="H12588" s="0" t="s">
        <x:v>20</x:v>
      </x:c>
      <x:c r="I12588" s="0" t="s">
        <x:v>21</x:v>
      </x:c>
      <x:c r="K12588" s="0">
        <x:f>hyperlink("https://icd.who.int/dev11/l-ichi/en#/http%3A%2F%2Fid.who.int%2Ficd%2Fentity%2F1941856001","browser")</x:f>
      </x:c>
      <x:c r="L12588" s="0">
        <x:f>hyperlink("https://icat2.azurewebsites.net/icat/?ontology=ICD&amp;tab=ClassesTab&amp;id=http%3A%2F%2Fwho.int%2Ficd%23SpecificAnatomicLocation_1381","iCat")</x:f>
      </x:c>
      <x:c r="M12588" s="0" t="s">
        <x:v>21</x:v>
      </x:c>
      <x:c r="N12588" s="0" t="s">
        <x:v>46</x:v>
      </x:c>
    </x:row>
    <x:row r="12589" spans="1:16">
      <x:c r="A12589" s="0" t="s">
        <x:v>48369</x:v>
      </x:c>
      <x:c r="B12589" s="0" t="s">
        <x:v>48370</x:v>
      </x:c>
      <x:c r="C12589" s="0" t="s">
        <x:v>42840</x:v>
      </x:c>
      <x:c r="E12589" s="0" t="s">
        <x:v>48371</x:v>
      </x:c>
      <x:c r="F12589" s="0" t="s">
        <x:v>45</x:v>
      </x:c>
      <x:c r="G12589" s="0" t="s">
        <x:v>40</x:v>
      </x:c>
      <x:c r="H12589" s="0" t="s">
        <x:v>20</x:v>
      </x:c>
      <x:c r="I12589" s="0" t="s">
        <x:v>21</x:v>
      </x:c>
      <x:c r="K12589" s="0">
        <x:f>hyperlink("https://icd.who.int/dev11/l-ichi/en#/http%3A%2F%2Fid.who.int%2Ficd%2Fentity%2F943171777","browser")</x:f>
      </x:c>
      <x:c r="L12589" s="0">
        <x:f>hyperlink("https://icat2.azurewebsites.net/icat/?ontology=ICD&amp;tab=ClassesTab&amp;id=http%3A%2F%2Fwho.int%2Ficd%23SpecificAnatomicLocation_1384","iCat")</x:f>
      </x:c>
      <x:c r="M12589" s="0" t="s">
        <x:v>20</x:v>
      </x:c>
      <x:c r="N12589" s="0" t="s">
        <x:v>19</x:v>
      </x:c>
    </x:row>
    <x:row r="12590" spans="1:16">
      <x:c r="A12590" s="0" t="s">
        <x:v>48372</x:v>
      </x:c>
      <x:c r="B12590" s="0" t="s">
        <x:v>48373</x:v>
      </x:c>
      <x:c r="C12590" s="0" t="s">
        <x:v>42840</x:v>
      </x:c>
      <x:c r="E12590" s="0" t="s">
        <x:v>48374</x:v>
      </x:c>
      <x:c r="F12590" s="0" t="s">
        <x:v>45</x:v>
      </x:c>
      <x:c r="G12590" s="0" t="s">
        <x:v>206</x:v>
      </x:c>
      <x:c r="H12590" s="0" t="s">
        <x:v>20</x:v>
      </x:c>
      <x:c r="I12590" s="0" t="s">
        <x:v>21</x:v>
      </x:c>
      <x:c r="K12590" s="0">
        <x:f>hyperlink("https://icd.who.int/dev11/l-ichi/en#/http%3A%2F%2Fid.who.int%2Ficd%2Fentity%2F1577099199","browser")</x:f>
      </x:c>
      <x:c r="L12590" s="0">
        <x:f>hyperlink("https://icat2.azurewebsites.net/icat/?ontology=ICD&amp;tab=ClassesTab&amp;id=http%3A%2F%2Fwho.int%2Ficd%2322_6075012b_9a45_426f_82f7_08df9dce6573","iCat")</x:f>
      </x:c>
      <x:c r="M12590" s="0" t="s">
        <x:v>21</x:v>
      </x:c>
      <x:c r="N12590" s="0" t="s">
        <x:v>46</x:v>
      </x:c>
    </x:row>
    <x:row r="12591" spans="1:16">
      <x:c r="A12591" s="0" t="s">
        <x:v>48375</x:v>
      </x:c>
      <x:c r="B12591" s="0" t="s">
        <x:v>48376</x:v>
      </x:c>
      <x:c r="C12591" s="0" t="s">
        <x:v>42840</x:v>
      </x:c>
      <x:c r="E12591" s="0" t="s">
        <x:v>48377</x:v>
      </x:c>
      <x:c r="F12591" s="0" t="s">
        <x:v>45</x:v>
      </x:c>
      <x:c r="G12591" s="0" t="s">
        <x:v>40</x:v>
      </x:c>
      <x:c r="H12591" s="0" t="s">
        <x:v>20</x:v>
      </x:c>
      <x:c r="I12591" s="0" t="s">
        <x:v>21</x:v>
      </x:c>
      <x:c r="K12591" s="0">
        <x:f>hyperlink("https://icd.who.int/dev11/l-ichi/en#/http%3A%2F%2Fid.who.int%2Ficd%2Fentity%2F790612993","browser")</x:f>
      </x:c>
      <x:c r="L12591" s="0">
        <x:f>hyperlink("https://icat2.azurewebsites.net/icat/?ontology=ICD&amp;tab=ClassesTab&amp;id=http%3A%2F%2Fwho.int%2Ficd%23SpecificAnatomicLocation_1385","iCat")</x:f>
      </x:c>
      <x:c r="M12591" s="0" t="s">
        <x:v>21</x:v>
      </x:c>
      <x:c r="N12591" s="0" t="s">
        <x:v>46</x:v>
      </x:c>
    </x:row>
    <x:row r="12592" spans="1:16">
      <x:c r="A12592" s="0" t="s">
        <x:v>48378</x:v>
      </x:c>
      <x:c r="B12592" s="0" t="s">
        <x:v>48379</x:v>
      </x:c>
      <x:c r="C12592" s="0" t="s">
        <x:v>42840</x:v>
      </x:c>
      <x:c r="E12592" s="0" t="s">
        <x:v>48380</x:v>
      </x:c>
      <x:c r="F12592" s="0" t="s">
        <x:v>45</x:v>
      </x:c>
      <x:c r="G12592" s="0" t="s">
        <x:v>40</x:v>
      </x:c>
      <x:c r="H12592" s="0" t="s">
        <x:v>20</x:v>
      </x:c>
      <x:c r="I12592" s="0" t="s">
        <x:v>21</x:v>
      </x:c>
      <x:c r="K12592" s="0">
        <x:f>hyperlink("https://icd.who.int/dev11/l-ichi/en#/http%3A%2F%2Fid.who.int%2Ficd%2Fentity%2F1254552129","browser")</x:f>
      </x:c>
      <x:c r="L12592" s="0">
        <x:f>hyperlink("https://icat2.azurewebsites.net/icat/?ontology=ICD&amp;tab=ClassesTab&amp;id=http%3A%2F%2Fwho.int%2Ficd%23SpecificAnatomicLocation_1382","iCat")</x:f>
      </x:c>
      <x:c r="M12592" s="0" t="s">
        <x:v>21</x:v>
      </x:c>
      <x:c r="N12592" s="0" t="s">
        <x:v>46</x:v>
      </x:c>
    </x:row>
    <x:row r="12593" spans="1:16">
      <x:c r="A12593" s="0" t="s">
        <x:v>48381</x:v>
      </x:c>
      <x:c r="B12593" s="0" t="s">
        <x:v>48382</x:v>
      </x:c>
      <x:c r="C12593" s="0" t="s">
        <x:v>42840</x:v>
      </x:c>
      <x:c r="E12593" s="0" t="s">
        <x:v>48383</x:v>
      </x:c>
      <x:c r="F12593" s="0" t="s">
        <x:v>45</x:v>
      </x:c>
      <x:c r="G12593" s="0" t="s">
        <x:v>40</x:v>
      </x:c>
      <x:c r="H12593" s="0" t="s">
        <x:v>20</x:v>
      </x:c>
      <x:c r="I12593" s="0" t="s">
        <x:v>21</x:v>
      </x:c>
      <x:c r="K12593" s="0">
        <x:f>hyperlink("https://icd.who.int/dev11/l-ichi/en#/http%3A%2F%2Fid.who.int%2Ficd%2Fentity%2F1100379659","browser")</x:f>
      </x:c>
      <x:c r="L12593" s="0">
        <x:f>hyperlink("https://icat2.azurewebsites.net/icat/?ontology=ICD&amp;tab=ClassesTab&amp;id=http%3A%2F%2Fwho.int%2Ficd%2341_6075012b_9a45_426f_82f7_08df9dce6573","iCat")</x:f>
      </x:c>
      <x:c r="M12593" s="0" t="s">
        <x:v>21</x:v>
      </x:c>
      <x:c r="N12593" s="0" t="s">
        <x:v>46</x:v>
      </x:c>
    </x:row>
    <x:row r="12594" spans="1:16">
      <x:c r="A12594" s="0" t="s">
        <x:v>48384</x:v>
      </x:c>
      <x:c r="B12594" s="0" t="s">
        <x:v>48385</x:v>
      </x:c>
      <x:c r="C12594" s="0" t="s">
        <x:v>42840</x:v>
      </x:c>
      <x:c r="E12594" s="0" t="s">
        <x:v>48386</x:v>
      </x:c>
      <x:c r="F12594" s="0" t="s">
        <x:v>45</x:v>
      </x:c>
      <x:c r="G12594" s="0" t="s">
        <x:v>40</x:v>
      </x:c>
      <x:c r="H12594" s="0" t="s">
        <x:v>20</x:v>
      </x:c>
      <x:c r="I12594" s="0" t="s">
        <x:v>21</x:v>
      </x:c>
      <x:c r="K12594" s="0">
        <x:f>hyperlink("https://icd.who.int/dev11/l-ichi/en#/http%3A%2F%2Fid.who.int%2Ficd%2Fentity%2F1214154407","browser")</x:f>
      </x:c>
      <x:c r="L12594" s="0">
        <x:f>hyperlink("https://icat2.azurewebsites.net/icat/?ontology=ICD&amp;tab=ClassesTab&amp;id=http%3A%2F%2Fwho.int%2Ficd%23601_507568bb_ce35_4050_b683_dacb7bdbd10b","iCat")</x:f>
      </x:c>
      <x:c r="M12594" s="0" t="s">
        <x:v>21</x:v>
      </x:c>
      <x:c r="N12594" s="0" t="s">
        <x:v>46</x:v>
      </x:c>
    </x:row>
    <x:row r="12595" spans="1:16">
      <x:c r="A12595" s="0" t="s">
        <x:v>48387</x:v>
      </x:c>
      <x:c r="B12595" s="0" t="s">
        <x:v>48388</x:v>
      </x:c>
      <x:c r="C12595" s="0" t="s">
        <x:v>42840</x:v>
      </x:c>
      <x:c r="E12595" s="0" t="s">
        <x:v>48389</x:v>
      </x:c>
      <x:c r="F12595" s="0" t="s">
        <x:v>45</x:v>
      </x:c>
      <x:c r="G12595" s="0" t="s">
        <x:v>22</x:v>
      </x:c>
      <x:c r="H12595" s="0" t="s">
        <x:v>20</x:v>
      </x:c>
      <x:c r="I12595" s="0" t="s">
        <x:v>21</x:v>
      </x:c>
      <x:c r="K12595" s="0">
        <x:f>hyperlink("https://icd.who.int/dev11/l-ichi/en#/http%3A%2F%2Fid.who.int%2Ficd%2Fentity%2F573235775","browser")</x:f>
      </x:c>
      <x:c r="L12595" s="0">
        <x:f>hyperlink("https://icat2.azurewebsites.net/icat/?ontology=ICD&amp;tab=ClassesTab&amp;id=http%3A%2F%2Fwho.int%2Ficd%23SpecificAnatomicLocation_1388","iCat")</x:f>
      </x:c>
      <x:c r="M12595" s="0" t="s">
        <x:v>21</x:v>
      </x:c>
      <x:c r="N12595" s="0" t="s">
        <x:v>46</x:v>
      </x:c>
    </x:row>
    <x:row r="12596" spans="1:16">
      <x:c r="A12596" s="0" t="s">
        <x:v>48390</x:v>
      </x:c>
      <x:c r="B12596" s="0" t="s">
        <x:v>48391</x:v>
      </x:c>
      <x:c r="C12596" s="0" t="s">
        <x:v>42840</x:v>
      </x:c>
      <x:c r="E12596" s="0" t="s">
        <x:v>48392</x:v>
      </x:c>
      <x:c r="F12596" s="0" t="s">
        <x:v>45</x:v>
      </x:c>
      <x:c r="G12596" s="0" t="s">
        <x:v>22</x:v>
      </x:c>
      <x:c r="H12596" s="0" t="s">
        <x:v>20</x:v>
      </x:c>
      <x:c r="I12596" s="0" t="s">
        <x:v>21</x:v>
      </x:c>
      <x:c r="K12596" s="0">
        <x:f>hyperlink("https://icd.who.int/dev11/l-ichi/en#/http%3A%2F%2Fid.who.int%2Ficd%2Fentity%2F224708056","browser")</x:f>
      </x:c>
      <x:c r="L12596" s="0">
        <x:f>hyperlink("https://icat2.azurewebsites.net/icat/?ontology=ICD&amp;tab=ClassesTab&amp;id=http%3A%2F%2Fwho.int%2Ficd%23SpecificAnatomicLocation_1391","iCat")</x:f>
      </x:c>
      <x:c r="M12596" s="0" t="s">
        <x:v>21</x:v>
      </x:c>
      <x:c r="N12596" s="0" t="s">
        <x:v>46</x:v>
      </x:c>
    </x:row>
    <x:row r="12597" spans="1:16">
      <x:c r="A12597" s="0" t="s">
        <x:v>48393</x:v>
      </x:c>
      <x:c r="B12597" s="0" t="s">
        <x:v>48394</x:v>
      </x:c>
      <x:c r="C12597" s="0" t="s">
        <x:v>42840</x:v>
      </x:c>
      <x:c r="E12597" s="0" t="s">
        <x:v>48395</x:v>
      </x:c>
      <x:c r="F12597" s="0" t="s">
        <x:v>45</x:v>
      </x:c>
      <x:c r="G12597" s="0" t="s">
        <x:v>22</x:v>
      </x:c>
      <x:c r="H12597" s="0" t="s">
        <x:v>20</x:v>
      </x:c>
      <x:c r="I12597" s="0" t="s">
        <x:v>21</x:v>
      </x:c>
      <x:c r="K12597" s="0">
        <x:f>hyperlink("https://icd.who.int/dev11/l-ichi/en#/http%3A%2F%2Fid.who.int%2Ficd%2Fentity%2F809989035","browser")</x:f>
      </x:c>
      <x:c r="L12597" s="0">
        <x:f>hyperlink("https://icat2.azurewebsites.net/icat/?ontology=ICD&amp;tab=ClassesTab&amp;id=http%3A%2F%2Fwho.int%2Ficd%23792_d9027f82_5e3d_47a4_a6fe_3c65954dde3a","iCat")</x:f>
      </x:c>
      <x:c r="M12597" s="0" t="s">
        <x:v>21</x:v>
      </x:c>
      <x:c r="N12597" s="0" t="s">
        <x:v>46</x:v>
      </x:c>
    </x:row>
    <x:row r="12598" spans="1:16">
      <x:c r="A12598" s="0" t="s">
        <x:v>48396</x:v>
      </x:c>
      <x:c r="B12598" s="0" t="s">
        <x:v>48397</x:v>
      </x:c>
      <x:c r="C12598" s="0" t="s">
        <x:v>42840</x:v>
      </x:c>
      <x:c r="E12598" s="0" t="s">
        <x:v>48398</x:v>
      </x:c>
      <x:c r="F12598" s="0" t="s">
        <x:v>45</x:v>
      </x:c>
      <x:c r="G12598" s="0" t="s">
        <x:v>30</x:v>
      </x:c>
      <x:c r="H12598" s="0" t="s">
        <x:v>20</x:v>
      </x:c>
      <x:c r="I12598" s="0" t="s">
        <x:v>21</x:v>
      </x:c>
      <x:c r="K12598" s="0">
        <x:f>hyperlink("https://icd.who.int/dev11/l-ichi/en#/http%3A%2F%2Fid.who.int%2Ficd%2Fentity%2F405704375","browser")</x:f>
      </x:c>
      <x:c r="L12598" s="0">
        <x:f>hyperlink("https://icat2.azurewebsites.net/icat/?ontology=ICD&amp;tab=ClassesTab&amp;id=http%3A%2F%2Fwho.int%2Ficd%23SpecificAnatomicLocation_1191","iCat")</x:f>
      </x:c>
      <x:c r="M12598" s="0" t="s">
        <x:v>20</x:v>
      </x:c>
      <x:c r="N12598" s="0" t="s">
        <x:v>30</x:v>
      </x:c>
    </x:row>
    <x:row r="12599" spans="1:16">
      <x:c r="A12599" s="0" t="s">
        <x:v>48399</x:v>
      </x:c>
      <x:c r="B12599" s="0" t="s">
        <x:v>48400</x:v>
      </x:c>
      <x:c r="C12599" s="0" t="s">
        <x:v>42840</x:v>
      </x:c>
      <x:c r="E12599" s="0" t="s">
        <x:v>48401</x:v>
      </x:c>
      <x:c r="F12599" s="0" t="s">
        <x:v>45</x:v>
      </x:c>
      <x:c r="G12599" s="0" t="s">
        <x:v>35</x:v>
      </x:c>
      <x:c r="H12599" s="0" t="s">
        <x:v>20</x:v>
      </x:c>
      <x:c r="I12599" s="0" t="s">
        <x:v>21</x:v>
      </x:c>
      <x:c r="K12599" s="0">
        <x:f>hyperlink("https://icd.who.int/dev11/l-ichi/en#/http%3A%2F%2Fid.who.int%2Ficd%2Fentity%2F1302669122","browser")</x:f>
      </x:c>
      <x:c r="L12599" s="0">
        <x:f>hyperlink("https://icat2.azurewebsites.net/icat/?ontology=ICD&amp;tab=ClassesTab&amp;id=http%3A%2F%2Fwho.int%2Ficd%23751_b42302c6_9ff1_412e_a40f_2f411ad4c932","iCat")</x:f>
      </x:c>
      <x:c r="M12599" s="0" t="s">
        <x:v>20</x:v>
      </x:c>
      <x:c r="N12599" s="0" t="s">
        <x:v>35</x:v>
      </x:c>
    </x:row>
    <x:row r="12600" spans="1:16">
      <x:c r="A12600" s="0" t="s">
        <x:v>48402</x:v>
      </x:c>
      <x:c r="B12600" s="0" t="s">
        <x:v>48403</x:v>
      </x:c>
      <x:c r="C12600" s="0" t="s">
        <x:v>42840</x:v>
      </x:c>
      <x:c r="E12600" s="0" t="s">
        <x:v>48404</x:v>
      </x:c>
      <x:c r="F12600" s="0" t="s">
        <x:v>45</x:v>
      </x:c>
      <x:c r="G12600" s="0" t="s">
        <x:v>22</x:v>
      </x:c>
      <x:c r="H12600" s="0" t="s">
        <x:v>20</x:v>
      </x:c>
      <x:c r="I12600" s="0" t="s">
        <x:v>21</x:v>
      </x:c>
      <x:c r="K12600" s="0">
        <x:f>hyperlink("https://icd.who.int/dev11/l-ichi/en#/http%3A%2F%2Fid.who.int%2Ficd%2Fentity%2F53291568","browser")</x:f>
      </x:c>
      <x:c r="L12600" s="0">
        <x:f>hyperlink("https://icat2.azurewebsites.net/icat/?ontology=ICD&amp;tab=ClassesTab&amp;id=http%3A%2F%2Fwho.int%2Ficd%23SpecificAnatomicLocation_1186","iCat")</x:f>
      </x:c>
      <x:c r="M12600" s="0" t="s">
        <x:v>20</x:v>
      </x:c>
      <x:c r="N12600" s="0" t="s">
        <x:v>431</x:v>
      </x:c>
    </x:row>
    <x:row r="12601" spans="1:16">
      <x:c r="A12601" s="0" t="s">
        <x:v>48405</x:v>
      </x:c>
      <x:c r="B12601" s="0" t="s">
        <x:v>48406</x:v>
      </x:c>
      <x:c r="C12601" s="0" t="s">
        <x:v>42840</x:v>
      </x:c>
      <x:c r="E12601" s="0" t="s">
        <x:v>48407</x:v>
      </x:c>
      <x:c r="F12601" s="0" t="s">
        <x:v>45</x:v>
      </x:c>
      <x:c r="G12601" s="0" t="s">
        <x:v>40</x:v>
      </x:c>
      <x:c r="H12601" s="0" t="s">
        <x:v>20</x:v>
      </x:c>
      <x:c r="I12601" s="0" t="s">
        <x:v>21</x:v>
      </x:c>
      <x:c r="K12601" s="0">
        <x:f>hyperlink("https://icd.who.int/dev11/l-ichi/en#/http%3A%2F%2Fid.who.int%2Ficd%2Fentity%2F763225008","browser")</x:f>
      </x:c>
      <x:c r="L12601" s="0">
        <x:f>hyperlink("https://icat2.azurewebsites.net/icat/?ontology=ICD&amp;tab=ClassesTab&amp;id=http%3A%2F%2Fwho.int%2Ficd%23SpecificAnatomicLocation_1184","iCat")</x:f>
      </x:c>
      <x:c r="M12601" s="0" t="s">
        <x:v>20</x:v>
      </x:c>
      <x:c r="N12601" s="0" t="s">
        <x:v>30</x:v>
      </x:c>
    </x:row>
    <x:row r="12602" spans="1:16">
      <x:c r="A12602" s="0" t="s">
        <x:v>48408</x:v>
      </x:c>
      <x:c r="B12602" s="0" t="s">
        <x:v>48409</x:v>
      </x:c>
      <x:c r="C12602" s="0" t="s">
        <x:v>42840</x:v>
      </x:c>
      <x:c r="E12602" s="0" t="s">
        <x:v>48410</x:v>
      </x:c>
      <x:c r="F12602" s="0" t="s">
        <x:v>45</x:v>
      </x:c>
      <x:c r="G12602" s="0" t="s">
        <x:v>206</x:v>
      </x:c>
      <x:c r="H12602" s="0" t="s">
        <x:v>20</x:v>
      </x:c>
      <x:c r="I12602" s="0" t="s">
        <x:v>21</x:v>
      </x:c>
      <x:c r="K12602" s="0">
        <x:f>hyperlink("https://icd.who.int/dev11/l-ichi/en#/http%3A%2F%2Fid.who.int%2Ficd%2Fentity%2F280105504","browser")</x:f>
      </x:c>
      <x:c r="L12602" s="0">
        <x:f>hyperlink("https://icat2.azurewebsites.net/icat/?ontology=ICD&amp;tab=ClassesTab&amp;id=http%3A%2F%2Fwho.int%2Ficd%231294_b42302c6_9ff1_412e_a40f_2f411ad4c932","iCat")</x:f>
      </x:c>
      <x:c r="M12602" s="0" t="s">
        <x:v>21</x:v>
      </x:c>
      <x:c r="N12602" s="0" t="s">
        <x:v>46</x:v>
      </x:c>
    </x:row>
    <x:row r="12603" spans="1:16">
      <x:c r="A12603" s="0" t="s">
        <x:v>48411</x:v>
      </x:c>
      <x:c r="B12603" s="0" t="s">
        <x:v>48412</x:v>
      </x:c>
      <x:c r="C12603" s="0" t="s">
        <x:v>42840</x:v>
      </x:c>
      <x:c r="E12603" s="0" t="s">
        <x:v>48413</x:v>
      </x:c>
      <x:c r="F12603" s="0" t="s">
        <x:v>45</x:v>
      </x:c>
      <x:c r="G12603" s="0" t="s">
        <x:v>206</x:v>
      </x:c>
      <x:c r="H12603" s="0" t="s">
        <x:v>20</x:v>
      </x:c>
      <x:c r="I12603" s="0" t="s">
        <x:v>21</x:v>
      </x:c>
      <x:c r="K12603" s="0">
        <x:f>hyperlink("https://icd.who.int/dev11/l-ichi/en#/http%3A%2F%2Fid.who.int%2Ficd%2Fentity%2F711414984","browser")</x:f>
      </x:c>
      <x:c r="L12603" s="0">
        <x:f>hyperlink("https://icat2.azurewebsites.net/icat/?ontology=ICD&amp;tab=ClassesTab&amp;id=http%3A%2F%2Fwho.int%2Ficd%231312_b42302c6_9ff1_412e_a40f_2f411ad4c932","iCat")</x:f>
      </x:c>
      <x:c r="M12603" s="0" t="s">
        <x:v>21</x:v>
      </x:c>
      <x:c r="N12603" s="0" t="s">
        <x:v>46</x:v>
      </x:c>
    </x:row>
    <x:row r="12604" spans="1:16">
      <x:c r="A12604" s="0" t="s">
        <x:v>48414</x:v>
      </x:c>
      <x:c r="B12604" s="0" t="s">
        <x:v>48415</x:v>
      </x:c>
      <x:c r="C12604" s="0" t="s">
        <x:v>42840</x:v>
      </x:c>
      <x:c r="E12604" s="0" t="s">
        <x:v>48416</x:v>
      </x:c>
      <x:c r="F12604" s="0" t="s">
        <x:v>45</x:v>
      </x:c>
      <x:c r="G12604" s="0" t="s">
        <x:v>40</x:v>
      </x:c>
      <x:c r="H12604" s="0" t="s">
        <x:v>20</x:v>
      </x:c>
      <x:c r="I12604" s="0" t="s">
        <x:v>21</x:v>
      </x:c>
      <x:c r="K12604" s="0">
        <x:f>hyperlink("https://icd.who.int/dev11/l-ichi/en#/http%3A%2F%2Fid.who.int%2Ficd%2Fentity%2F978683760","browser")</x:f>
      </x:c>
      <x:c r="L12604" s="0">
        <x:f>hyperlink("https://icat2.azurewebsites.net/icat/?ontology=ICD&amp;tab=ClassesTab&amp;id=http%3A%2F%2Fwho.int%2Ficd%23SpecificAnatomicLocation_1185","iCat")</x:f>
      </x:c>
      <x:c r="M12604" s="0" t="s">
        <x:v>20</x:v>
      </x:c>
      <x:c r="N12604" s="0" t="s">
        <x:v>19</x:v>
      </x:c>
    </x:row>
    <x:row r="12605" spans="1:16">
      <x:c r="A12605" s="0" t="s">
        <x:v>48417</x:v>
      </x:c>
      <x:c r="B12605" s="0" t="s">
        <x:v>48418</x:v>
      </x:c>
      <x:c r="C12605" s="0" t="s">
        <x:v>42840</x:v>
      </x:c>
      <x:c r="E12605" s="0" t="s">
        <x:v>48419</x:v>
      </x:c>
      <x:c r="F12605" s="0" t="s">
        <x:v>45</x:v>
      </x:c>
      <x:c r="G12605" s="0" t="s">
        <x:v>206</x:v>
      </x:c>
      <x:c r="H12605" s="0" t="s">
        <x:v>20</x:v>
      </x:c>
      <x:c r="I12605" s="0" t="s">
        <x:v>21</x:v>
      </x:c>
      <x:c r="K12605" s="0">
        <x:f>hyperlink("https://icd.who.int/dev11/l-ichi/en#/http%3A%2F%2Fid.who.int%2Ficd%2Fentity%2F1110637202","browser")</x:f>
      </x:c>
      <x:c r="L12605" s="0">
        <x:f>hyperlink("https://icat2.azurewebsites.net/icat/?ontology=ICD&amp;tab=ClassesTab&amp;id=http%3A%2F%2Fwho.int%2Ficd%231780_6075012b_9a45_426f_82f7_08df9dce6573","iCat")</x:f>
      </x:c>
      <x:c r="M12605" s="0" t="s">
        <x:v>21</x:v>
      </x:c>
      <x:c r="N12605" s="0" t="s">
        <x:v>46</x:v>
      </x:c>
    </x:row>
    <x:row r="12606" spans="1:16">
      <x:c r="A12606" s="0" t="s">
        <x:v>48420</x:v>
      </x:c>
      <x:c r="B12606" s="0" t="s">
        <x:v>48421</x:v>
      </x:c>
      <x:c r="C12606" s="0" t="s">
        <x:v>42840</x:v>
      </x:c>
      <x:c r="E12606" s="0" t="s">
        <x:v>48422</x:v>
      </x:c>
      <x:c r="F12606" s="0" t="s">
        <x:v>45</x:v>
      </x:c>
      <x:c r="G12606" s="0" t="s">
        <x:v>40</x:v>
      </x:c>
      <x:c r="H12606" s="0" t="s">
        <x:v>20</x:v>
      </x:c>
      <x:c r="I12606" s="0" t="s">
        <x:v>21</x:v>
      </x:c>
      <x:c r="K12606" s="0">
        <x:f>hyperlink("https://icd.who.int/dev11/l-ichi/en#/http%3A%2F%2Fid.who.int%2Ficd%2Fentity%2F1151871725","browser")</x:f>
      </x:c>
      <x:c r="L12606" s="0">
        <x:f>hyperlink("https://icat2.azurewebsites.net/icat/?ontology=ICD&amp;tab=ClassesTab&amp;id=http%3A%2F%2Fwho.int%2Ficd%231134_b42302c6_9ff1_412e_a40f_2f411ad4c932","iCat")</x:f>
      </x:c>
      <x:c r="M12606" s="0" t="s">
        <x:v>20</x:v>
      </x:c>
      <x:c r="N12606" s="0" t="s">
        <x:v>35</x:v>
      </x:c>
    </x:row>
    <x:row r="12607" spans="1:16">
      <x:c r="A12607" s="0" t="s">
        <x:v>48423</x:v>
      </x:c>
      <x:c r="B12607" s="0" t="s">
        <x:v>48424</x:v>
      </x:c>
      <x:c r="C12607" s="0" t="s">
        <x:v>42840</x:v>
      </x:c>
      <x:c r="E12607" s="0" t="s">
        <x:v>48425</x:v>
      </x:c>
      <x:c r="F12607" s="0" t="s">
        <x:v>45</x:v>
      </x:c>
      <x:c r="G12607" s="0" t="s">
        <x:v>206</x:v>
      </x:c>
      <x:c r="H12607" s="0" t="s">
        <x:v>20</x:v>
      </x:c>
      <x:c r="I12607" s="0" t="s">
        <x:v>21</x:v>
      </x:c>
      <x:c r="K12607" s="0">
        <x:f>hyperlink("https://icd.who.int/dev11/l-ichi/en#/http%3A%2F%2Fid.who.int%2Ficd%2Fentity%2F2037392834","browser")</x:f>
      </x:c>
      <x:c r="L12607" s="0">
        <x:f>hyperlink("https://icat2.azurewebsites.net/icat/?ontology=ICD&amp;tab=ClassesTab&amp;id=http%3A%2F%2Fwho.int%2Ficd%231544_b42302c6_9ff1_412e_a40f_2f411ad4c932","iCat")</x:f>
      </x:c>
      <x:c r="M12607" s="0" t="s">
        <x:v>21</x:v>
      </x:c>
      <x:c r="N12607" s="0" t="s">
        <x:v>46</x:v>
      </x:c>
    </x:row>
    <x:row r="12608" spans="1:16">
      <x:c r="A12608" s="0" t="s">
        <x:v>48426</x:v>
      </x:c>
      <x:c r="B12608" s="0" t="s">
        <x:v>48427</x:v>
      </x:c>
      <x:c r="C12608" s="0" t="s">
        <x:v>42840</x:v>
      </x:c>
      <x:c r="E12608" s="0" t="s">
        <x:v>48428</x:v>
      </x:c>
      <x:c r="F12608" s="0" t="s">
        <x:v>45</x:v>
      </x:c>
      <x:c r="G12608" s="0" t="s">
        <x:v>206</x:v>
      </x:c>
      <x:c r="H12608" s="0" t="s">
        <x:v>20</x:v>
      </x:c>
      <x:c r="I12608" s="0" t="s">
        <x:v>21</x:v>
      </x:c>
      <x:c r="K12608" s="0">
        <x:f>hyperlink("https://icd.who.int/dev11/l-ichi/en#/http%3A%2F%2Fid.who.int%2Ficd%2Fentity%2F58665251","browser")</x:f>
      </x:c>
      <x:c r="L12608" s="0">
        <x:f>hyperlink("https://icat2.azurewebsites.net/icat/?ontology=ICD&amp;tab=ClassesTab&amp;id=http%3A%2F%2Fwho.int%2Ficd%231562_b42302c6_9ff1_412e_a40f_2f411ad4c932","iCat")</x:f>
      </x:c>
      <x:c r="M12608" s="0" t="s">
        <x:v>21</x:v>
      </x:c>
      <x:c r="N12608" s="0" t="s">
        <x:v>46</x:v>
      </x:c>
    </x:row>
    <x:row r="12609" spans="1:16">
      <x:c r="A12609" s="0" t="s">
        <x:v>48429</x:v>
      </x:c>
      <x:c r="B12609" s="0" t="s">
        <x:v>48430</x:v>
      </x:c>
      <x:c r="C12609" s="0" t="s">
        <x:v>42840</x:v>
      </x:c>
      <x:c r="E12609" s="0" t="s">
        <x:v>48431</x:v>
      </x:c>
      <x:c r="F12609" s="0" t="s">
        <x:v>45</x:v>
      </x:c>
      <x:c r="G12609" s="0" t="s">
        <x:v>206</x:v>
      </x:c>
      <x:c r="H12609" s="0" t="s">
        <x:v>20</x:v>
      </x:c>
      <x:c r="I12609" s="0" t="s">
        <x:v>21</x:v>
      </x:c>
      <x:c r="K12609" s="0">
        <x:f>hyperlink("https://icd.who.int/dev11/l-ichi/en#/http%3A%2F%2Fid.who.int%2Ficd%2Fentity%2F589425519","browser")</x:f>
      </x:c>
      <x:c r="L12609" s="0">
        <x:f>hyperlink("https://icat2.azurewebsites.net/icat/?ontology=ICD&amp;tab=ClassesTab&amp;id=http%3A%2F%2Fwho.int%2Ficd%231580_b42302c6_9ff1_412e_a40f_2f411ad4c932","iCat")</x:f>
      </x:c>
      <x:c r="M12609" s="0" t="s">
        <x:v>21</x:v>
      </x:c>
      <x:c r="N12609" s="0" t="s">
        <x:v>46</x:v>
      </x:c>
    </x:row>
    <x:row r="12610" spans="1:16">
      <x:c r="A12610" s="0" t="s">
        <x:v>48432</x:v>
      </x:c>
      <x:c r="B12610" s="0" t="s">
        <x:v>48433</x:v>
      </x:c>
      <x:c r="C12610" s="0" t="s">
        <x:v>42840</x:v>
      </x:c>
      <x:c r="E12610" s="0" t="s">
        <x:v>48434</x:v>
      </x:c>
      <x:c r="F12610" s="0" t="s">
        <x:v>45</x:v>
      </x:c>
      <x:c r="G12610" s="0" t="s">
        <x:v>40</x:v>
      </x:c>
      <x:c r="H12610" s="0" t="s">
        <x:v>20</x:v>
      </x:c>
      <x:c r="I12610" s="0" t="s">
        <x:v>21</x:v>
      </x:c>
      <x:c r="K12610" s="0">
        <x:f>hyperlink("https://icd.who.int/dev11/l-ichi/en#/http%3A%2F%2Fid.who.int%2Ficd%2Fentity%2F1321235729","browser")</x:f>
      </x:c>
      <x:c r="L12610" s="0">
        <x:f>hyperlink("https://icat2.azurewebsites.net/icat/?ontology=ICD&amp;tab=ClassesTab&amp;id=http%3A%2F%2Fwho.int%2Ficd%231152_b42302c6_9ff1_412e_a40f_2f411ad4c932","iCat")</x:f>
      </x:c>
      <x:c r="M12610" s="0" t="s">
        <x:v>20</x:v>
      </x:c>
      <x:c r="N12610" s="0" t="s">
        <x:v>35</x:v>
      </x:c>
    </x:row>
    <x:row r="12611" spans="1:16">
      <x:c r="A12611" s="0" t="s">
        <x:v>48435</x:v>
      </x:c>
      <x:c r="B12611" s="0" t="s">
        <x:v>48436</x:v>
      </x:c>
      <x:c r="C12611" s="0" t="s">
        <x:v>42840</x:v>
      </x:c>
      <x:c r="E12611" s="0" t="s">
        <x:v>48437</x:v>
      </x:c>
      <x:c r="F12611" s="0" t="s">
        <x:v>45</x:v>
      </x:c>
      <x:c r="G12611" s="0" t="s">
        <x:v>206</x:v>
      </x:c>
      <x:c r="H12611" s="0" t="s">
        <x:v>20</x:v>
      </x:c>
      <x:c r="I12611" s="0" t="s">
        <x:v>21</x:v>
      </x:c>
      <x:c r="K12611" s="0">
        <x:f>hyperlink("https://icd.who.int/dev11/l-ichi/en#/http%3A%2F%2Fid.who.int%2Ficd%2Fentity%2F124063597","browser")</x:f>
      </x:c>
      <x:c r="L12611" s="0">
        <x:f>hyperlink("https://icat2.azurewebsites.net/icat/?ontology=ICD&amp;tab=ClassesTab&amp;id=http%3A%2F%2Fwho.int%2Ficd%231598_b42302c6_9ff1_412e_a40f_2f411ad4c932","iCat")</x:f>
      </x:c>
      <x:c r="M12611" s="0" t="s">
        <x:v>21</x:v>
      </x:c>
      <x:c r="N12611" s="0" t="s">
        <x:v>46</x:v>
      </x:c>
    </x:row>
    <x:row r="12612" spans="1:16">
      <x:c r="A12612" s="0" t="s">
        <x:v>48438</x:v>
      </x:c>
      <x:c r="B12612" s="0" t="s">
        <x:v>48439</x:v>
      </x:c>
      <x:c r="C12612" s="0" t="s">
        <x:v>42840</x:v>
      </x:c>
      <x:c r="E12612" s="0" t="s">
        <x:v>48440</x:v>
      </x:c>
      <x:c r="F12612" s="0" t="s">
        <x:v>45</x:v>
      </x:c>
      <x:c r="G12612" s="0" t="s">
        <x:v>206</x:v>
      </x:c>
      <x:c r="H12612" s="0" t="s">
        <x:v>20</x:v>
      </x:c>
      <x:c r="I12612" s="0" t="s">
        <x:v>21</x:v>
      </x:c>
      <x:c r="K12612" s="0">
        <x:f>hyperlink("https://icd.who.int/dev11/l-ichi/en#/http%3A%2F%2Fid.who.int%2Ficd%2Fentity%2F1743866390","browser")</x:f>
      </x:c>
      <x:c r="L12612" s="0">
        <x:f>hyperlink("https://icat2.azurewebsites.net/icat/?ontology=ICD&amp;tab=ClassesTab&amp;id=http%3A%2F%2Fwho.int%2Ficd%231616_b42302c6_9ff1_412e_a40f_2f411ad4c932","iCat")</x:f>
      </x:c>
      <x:c r="M12612" s="0" t="s">
        <x:v>21</x:v>
      </x:c>
      <x:c r="N12612" s="0" t="s">
        <x:v>46</x:v>
      </x:c>
    </x:row>
    <x:row r="12613" spans="1:16">
      <x:c r="A12613" s="0" t="s">
        <x:v>48441</x:v>
      </x:c>
      <x:c r="B12613" s="0" t="s">
        <x:v>48442</x:v>
      </x:c>
      <x:c r="C12613" s="0" t="s">
        <x:v>42840</x:v>
      </x:c>
      <x:c r="E12613" s="0" t="s">
        <x:v>48443</x:v>
      </x:c>
      <x:c r="F12613" s="0" t="s">
        <x:v>45</x:v>
      </x:c>
      <x:c r="G12613" s="0" t="s">
        <x:v>206</x:v>
      </x:c>
      <x:c r="H12613" s="0" t="s">
        <x:v>20</x:v>
      </x:c>
      <x:c r="I12613" s="0" t="s">
        <x:v>21</x:v>
      </x:c>
      <x:c r="K12613" s="0">
        <x:f>hyperlink("https://icd.who.int/dev11/l-ichi/en#/http%3A%2F%2Fid.who.int%2Ficd%2Fentity%2F687440513","browser")</x:f>
      </x:c>
      <x:c r="L12613" s="0">
        <x:f>hyperlink("https://icat2.azurewebsites.net/icat/?ontology=ICD&amp;tab=ClassesTab&amp;id=http%3A%2F%2Fwho.int%2Ficd%231634_b42302c6_9ff1_412e_a40f_2f411ad4c932","iCat")</x:f>
      </x:c>
      <x:c r="M12613" s="0" t="s">
        <x:v>21</x:v>
      </x:c>
      <x:c r="N12613" s="0" t="s">
        <x:v>46</x:v>
      </x:c>
    </x:row>
    <x:row r="12614" spans="1:16">
      <x:c r="A12614" s="0" t="s">
        <x:v>48444</x:v>
      </x:c>
      <x:c r="B12614" s="0" t="s">
        <x:v>48445</x:v>
      </x:c>
      <x:c r="C12614" s="0" t="s">
        <x:v>42840</x:v>
      </x:c>
      <x:c r="E12614" s="0" t="s">
        <x:v>48446</x:v>
      </x:c>
      <x:c r="F12614" s="0" t="s">
        <x:v>45</x:v>
      </x:c>
      <x:c r="G12614" s="0" t="s">
        <x:v>40</x:v>
      </x:c>
      <x:c r="H12614" s="0" t="s">
        <x:v>20</x:v>
      </x:c>
      <x:c r="I12614" s="0" t="s">
        <x:v>21</x:v>
      </x:c>
      <x:c r="K12614" s="0">
        <x:f>hyperlink("https://icd.who.int/dev11/l-ichi/en#/http%3A%2F%2Fid.who.int%2Ficd%2Fentity%2F29932932","browser")</x:f>
      </x:c>
      <x:c r="L12614" s="0">
        <x:f>hyperlink("https://icat2.azurewebsites.net/icat/?ontology=ICD&amp;tab=ClassesTab&amp;id=http%3A%2F%2Fwho.int%2Ficd%231170_b42302c6_9ff1_412e_a40f_2f411ad4c932","iCat")</x:f>
      </x:c>
      <x:c r="M12614" s="0" t="s">
        <x:v>20</x:v>
      </x:c>
      <x:c r="N12614" s="0" t="s">
        <x:v>35</x:v>
      </x:c>
    </x:row>
    <x:row r="12615" spans="1:16">
      <x:c r="A12615" s="0" t="s">
        <x:v>48447</x:v>
      </x:c>
      <x:c r="B12615" s="0" t="s">
        <x:v>48448</x:v>
      </x:c>
      <x:c r="C12615" s="0" t="s">
        <x:v>42840</x:v>
      </x:c>
      <x:c r="E12615" s="0" t="s">
        <x:v>48449</x:v>
      </x:c>
      <x:c r="F12615" s="0" t="s">
        <x:v>45</x:v>
      </x:c>
      <x:c r="G12615" s="0" t="s">
        <x:v>206</x:v>
      </x:c>
      <x:c r="H12615" s="0" t="s">
        <x:v>20</x:v>
      </x:c>
      <x:c r="I12615" s="0" t="s">
        <x:v>21</x:v>
      </x:c>
      <x:c r="K12615" s="0">
        <x:f>hyperlink("https://icd.who.int/dev11/l-ichi/en#/http%3A%2F%2Fid.who.int%2Ficd%2Fentity%2F579984765","browser")</x:f>
      </x:c>
      <x:c r="L12615" s="0">
        <x:f>hyperlink("https://icat2.azurewebsites.net/icat/?ontology=ICD&amp;tab=ClassesTab&amp;id=http%3A%2F%2Fwho.int%2Ficd%231652_b42302c6_9ff1_412e_a40f_2f411ad4c932","iCat")</x:f>
      </x:c>
      <x:c r="M12615" s="0" t="s">
        <x:v>21</x:v>
      </x:c>
      <x:c r="N12615" s="0" t="s">
        <x:v>46</x:v>
      </x:c>
    </x:row>
    <x:row r="12616" spans="1:16">
      <x:c r="A12616" s="0" t="s">
        <x:v>48450</x:v>
      </x:c>
      <x:c r="B12616" s="0" t="s">
        <x:v>48451</x:v>
      </x:c>
      <x:c r="C12616" s="0" t="s">
        <x:v>42840</x:v>
      </x:c>
      <x:c r="E12616" s="0" t="s">
        <x:v>48452</x:v>
      </x:c>
      <x:c r="F12616" s="0" t="s">
        <x:v>45</x:v>
      </x:c>
      <x:c r="G12616" s="0" t="s">
        <x:v>206</x:v>
      </x:c>
      <x:c r="H12616" s="0" t="s">
        <x:v>20</x:v>
      </x:c>
      <x:c r="I12616" s="0" t="s">
        <x:v>21</x:v>
      </x:c>
      <x:c r="K12616" s="0">
        <x:f>hyperlink("https://icd.who.int/dev11/l-ichi/en#/http%3A%2F%2Fid.who.int%2Ficd%2Fentity%2F1838749162","browser")</x:f>
      </x:c>
      <x:c r="L12616" s="0">
        <x:f>hyperlink("https://icat2.azurewebsites.net/icat/?ontology=ICD&amp;tab=ClassesTab&amp;id=http%3A%2F%2Fwho.int%2Ficd%231670_b42302c6_9ff1_412e_a40f_2f411ad4c932","iCat")</x:f>
      </x:c>
      <x:c r="M12616" s="0" t="s">
        <x:v>21</x:v>
      </x:c>
      <x:c r="N12616" s="0" t="s">
        <x:v>46</x:v>
      </x:c>
    </x:row>
    <x:row r="12617" spans="1:16">
      <x:c r="A12617" s="0" t="s">
        <x:v>48453</x:v>
      </x:c>
      <x:c r="B12617" s="0" t="s">
        <x:v>48454</x:v>
      </x:c>
      <x:c r="C12617" s="0" t="s">
        <x:v>42840</x:v>
      </x:c>
      <x:c r="E12617" s="0" t="s">
        <x:v>48455</x:v>
      </x:c>
      <x:c r="F12617" s="0" t="s">
        <x:v>45</x:v>
      </x:c>
      <x:c r="G12617" s="0" t="s">
        <x:v>206</x:v>
      </x:c>
      <x:c r="H12617" s="0" t="s">
        <x:v>20</x:v>
      </x:c>
      <x:c r="I12617" s="0" t="s">
        <x:v>21</x:v>
      </x:c>
      <x:c r="K12617" s="0">
        <x:f>hyperlink("https://icd.who.int/dev11/l-ichi/en#/http%3A%2F%2Fid.who.int%2Ficd%2Fentity%2F218050147","browser")</x:f>
      </x:c>
      <x:c r="L12617" s="0">
        <x:f>hyperlink("https://icat2.azurewebsites.net/icat/?ontology=ICD&amp;tab=ClassesTab&amp;id=http%3A%2F%2Fwho.int%2Ficd%231688_b42302c6_9ff1_412e_a40f_2f411ad4c932","iCat")</x:f>
      </x:c>
      <x:c r="M12617" s="0" t="s">
        <x:v>21</x:v>
      </x:c>
      <x:c r="N12617" s="0" t="s">
        <x:v>46</x:v>
      </x:c>
    </x:row>
    <x:row r="12618" spans="1:16">
      <x:c r="A12618" s="0" t="s">
        <x:v>48456</x:v>
      </x:c>
      <x:c r="B12618" s="0" t="s">
        <x:v>48457</x:v>
      </x:c>
      <x:c r="C12618" s="0" t="s">
        <x:v>42840</x:v>
      </x:c>
      <x:c r="E12618" s="0" t="s">
        <x:v>48458</x:v>
      </x:c>
      <x:c r="F12618" s="0" t="s">
        <x:v>45</x:v>
      </x:c>
      <x:c r="G12618" s="0" t="s">
        <x:v>40</x:v>
      </x:c>
      <x:c r="H12618" s="0" t="s">
        <x:v>20</x:v>
      </x:c>
      <x:c r="I12618" s="0" t="s">
        <x:v>21</x:v>
      </x:c>
      <x:c r="K12618" s="0">
        <x:f>hyperlink("https://icd.who.int/dev11/l-ichi/en#/http%3A%2F%2Fid.who.int%2Ficd%2Fentity%2F1622050319","browser")</x:f>
      </x:c>
      <x:c r="L12618" s="0">
        <x:f>hyperlink("https://icat2.azurewebsites.net/icat/?ontology=ICD&amp;tab=ClassesTab&amp;id=http%3A%2F%2Fwho.int%2Ficd%231188_b42302c6_9ff1_412e_a40f_2f411ad4c932","iCat")</x:f>
      </x:c>
      <x:c r="M12618" s="0" t="s">
        <x:v>20</x:v>
      </x:c>
      <x:c r="N12618" s="0" t="s">
        <x:v>35</x:v>
      </x:c>
    </x:row>
    <x:row r="12619" spans="1:16">
      <x:c r="A12619" s="0" t="s">
        <x:v>48459</x:v>
      </x:c>
      <x:c r="B12619" s="0" t="s">
        <x:v>48460</x:v>
      </x:c>
      <x:c r="C12619" s="0" t="s">
        <x:v>42840</x:v>
      </x:c>
      <x:c r="E12619" s="0" t="s">
        <x:v>48461</x:v>
      </x:c>
      <x:c r="F12619" s="0" t="s">
        <x:v>45</x:v>
      </x:c>
      <x:c r="G12619" s="0" t="s">
        <x:v>206</x:v>
      </x:c>
      <x:c r="H12619" s="0" t="s">
        <x:v>20</x:v>
      </x:c>
      <x:c r="I12619" s="0" t="s">
        <x:v>21</x:v>
      </x:c>
      <x:c r="K12619" s="0">
        <x:f>hyperlink("https://icd.who.int/dev11/l-ichi/en#/http%3A%2F%2Fid.who.int%2Ficd%2Fentity%2F1185465096","browser")</x:f>
      </x:c>
      <x:c r="L12619" s="0">
        <x:f>hyperlink("https://icat2.azurewebsites.net/icat/?ontology=ICD&amp;tab=ClassesTab&amp;id=http%3A%2F%2Fwho.int%2Ficd%231709_b42302c6_9ff1_412e_a40f_2f411ad4c932","iCat")</x:f>
      </x:c>
      <x:c r="M12619" s="0" t="s">
        <x:v>21</x:v>
      </x:c>
      <x:c r="N12619" s="0" t="s">
        <x:v>46</x:v>
      </x:c>
    </x:row>
    <x:row r="12620" spans="1:16">
      <x:c r="A12620" s="0" t="s">
        <x:v>48462</x:v>
      </x:c>
      <x:c r="B12620" s="0" t="s">
        <x:v>48463</x:v>
      </x:c>
      <x:c r="C12620" s="0" t="s">
        <x:v>42840</x:v>
      </x:c>
      <x:c r="E12620" s="0" t="s">
        <x:v>48464</x:v>
      </x:c>
      <x:c r="F12620" s="0" t="s">
        <x:v>45</x:v>
      </x:c>
      <x:c r="G12620" s="0" t="s">
        <x:v>206</x:v>
      </x:c>
      <x:c r="H12620" s="0" t="s">
        <x:v>20</x:v>
      </x:c>
      <x:c r="I12620" s="0" t="s">
        <x:v>21</x:v>
      </x:c>
      <x:c r="K12620" s="0">
        <x:f>hyperlink("https://icd.who.int/dev11/l-ichi/en#/http%3A%2F%2Fid.who.int%2Ficd%2Fentity%2F1915141812","browser")</x:f>
      </x:c>
      <x:c r="L12620" s="0">
        <x:f>hyperlink("https://icat2.azurewebsites.net/icat/?ontology=ICD&amp;tab=ClassesTab&amp;id=http%3A%2F%2Fwho.int%2Ficd%231727_b42302c6_9ff1_412e_a40f_2f411ad4c932","iCat")</x:f>
      </x:c>
      <x:c r="M12620" s="0" t="s">
        <x:v>21</x:v>
      </x:c>
      <x:c r="N12620" s="0" t="s">
        <x:v>46</x:v>
      </x:c>
    </x:row>
    <x:row r="12621" spans="1:16">
      <x:c r="A12621" s="0" t="s">
        <x:v>48465</x:v>
      </x:c>
      <x:c r="B12621" s="0" t="s">
        <x:v>48466</x:v>
      </x:c>
      <x:c r="C12621" s="0" t="s">
        <x:v>42840</x:v>
      </x:c>
      <x:c r="E12621" s="0" t="s">
        <x:v>48467</x:v>
      </x:c>
      <x:c r="F12621" s="0" t="s">
        <x:v>45</x:v>
      </x:c>
      <x:c r="G12621" s="0" t="s">
        <x:v>206</x:v>
      </x:c>
      <x:c r="H12621" s="0" t="s">
        <x:v>20</x:v>
      </x:c>
      <x:c r="I12621" s="0" t="s">
        <x:v>21</x:v>
      </x:c>
      <x:c r="K12621" s="0">
        <x:f>hyperlink("https://icd.who.int/dev11/l-ichi/en#/http%3A%2F%2Fid.who.int%2Ficd%2Fentity%2F1296639290","browser")</x:f>
      </x:c>
      <x:c r="L12621" s="0">
        <x:f>hyperlink("https://icat2.azurewebsites.net/icat/?ontology=ICD&amp;tab=ClassesTab&amp;id=http%3A%2F%2Fwho.int%2Ficd%231745_b42302c6_9ff1_412e_a40f_2f411ad4c932","iCat")</x:f>
      </x:c>
      <x:c r="M12621" s="0" t="s">
        <x:v>21</x:v>
      </x:c>
      <x:c r="N12621" s="0" t="s">
        <x:v>46</x:v>
      </x:c>
    </x:row>
    <x:row r="12622" spans="1:16">
      <x:c r="A12622" s="0" t="s">
        <x:v>48468</x:v>
      </x:c>
      <x:c r="B12622" s="0" t="s">
        <x:v>48469</x:v>
      </x:c>
      <x:c r="C12622" s="0" t="s">
        <x:v>42840</x:v>
      </x:c>
      <x:c r="E12622" s="0" t="s">
        <x:v>48470</x:v>
      </x:c>
      <x:c r="F12622" s="0" t="s">
        <x:v>45</x:v>
      </x:c>
      <x:c r="G12622" s="0" t="s">
        <x:v>40</x:v>
      </x:c>
      <x:c r="H12622" s="0" t="s">
        <x:v>20</x:v>
      </x:c>
      <x:c r="I12622" s="0" t="s">
        <x:v>21</x:v>
      </x:c>
      <x:c r="K12622" s="0">
        <x:f>hyperlink("https://icd.who.int/dev11/l-ichi/en#/http%3A%2F%2Fid.who.int%2Ficd%2Fentity%2F3851128","browser")</x:f>
      </x:c>
      <x:c r="L12622" s="0">
        <x:f>hyperlink("https://icat2.azurewebsites.net/icat/?ontology=ICD&amp;tab=ClassesTab&amp;id=http%3A%2F%2Fwho.int%2Ficd%231206_b42302c6_9ff1_412e_a40f_2f411ad4c932","iCat")</x:f>
      </x:c>
      <x:c r="M12622" s="0" t="s">
        <x:v>20</x:v>
      </x:c>
      <x:c r="N12622" s="0" t="s">
        <x:v>35</x:v>
      </x:c>
    </x:row>
    <x:row r="12623" spans="1:16">
      <x:c r="A12623" s="0" t="s">
        <x:v>48471</x:v>
      </x:c>
      <x:c r="B12623" s="0" t="s">
        <x:v>48472</x:v>
      </x:c>
      <x:c r="C12623" s="0" t="s">
        <x:v>42840</x:v>
      </x:c>
      <x:c r="E12623" s="0" t="s">
        <x:v>48473</x:v>
      </x:c>
      <x:c r="F12623" s="0" t="s">
        <x:v>45</x:v>
      </x:c>
      <x:c r="G12623" s="0" t="s">
        <x:v>206</x:v>
      </x:c>
      <x:c r="H12623" s="0" t="s">
        <x:v>20</x:v>
      </x:c>
      <x:c r="I12623" s="0" t="s">
        <x:v>21</x:v>
      </x:c>
      <x:c r="K12623" s="0">
        <x:f>hyperlink("https://icd.who.int/dev11/l-ichi/en#/http%3A%2F%2Fid.who.int%2Ficd%2Fentity%2F927345115","browser")</x:f>
      </x:c>
      <x:c r="L12623" s="0">
        <x:f>hyperlink("https://icat2.azurewebsites.net/icat/?ontology=ICD&amp;tab=ClassesTab&amp;id=http%3A%2F%2Fwho.int%2Ficd%231763_b42302c6_9ff1_412e_a40f_2f411ad4c932","iCat")</x:f>
      </x:c>
      <x:c r="M12623" s="0" t="s">
        <x:v>21</x:v>
      </x:c>
      <x:c r="N12623" s="0" t="s">
        <x:v>46</x:v>
      </x:c>
    </x:row>
    <x:row r="12624" spans="1:16">
      <x:c r="A12624" s="0" t="s">
        <x:v>48474</x:v>
      </x:c>
      <x:c r="B12624" s="0" t="s">
        <x:v>48475</x:v>
      </x:c>
      <x:c r="C12624" s="0" t="s">
        <x:v>42840</x:v>
      </x:c>
      <x:c r="E12624" s="0" t="s">
        <x:v>48476</x:v>
      </x:c>
      <x:c r="F12624" s="0" t="s">
        <x:v>45</x:v>
      </x:c>
      <x:c r="G12624" s="0" t="s">
        <x:v>206</x:v>
      </x:c>
      <x:c r="H12624" s="0" t="s">
        <x:v>20</x:v>
      </x:c>
      <x:c r="I12624" s="0" t="s">
        <x:v>21</x:v>
      </x:c>
      <x:c r="K12624" s="0">
        <x:f>hyperlink("https://icd.who.int/dev11/l-ichi/en#/http%3A%2F%2Fid.who.int%2Ficd%2Fentity%2F387509143","browser")</x:f>
      </x:c>
      <x:c r="L12624" s="0">
        <x:f>hyperlink("https://icat2.azurewebsites.net/icat/?ontology=ICD&amp;tab=ClassesTab&amp;id=http%3A%2F%2Fwho.int%2Ficd%231781_b42302c6_9ff1_412e_a40f_2f411ad4c932","iCat")</x:f>
      </x:c>
      <x:c r="M12624" s="0" t="s">
        <x:v>21</x:v>
      </x:c>
      <x:c r="N12624" s="0" t="s">
        <x:v>46</x:v>
      </x:c>
    </x:row>
    <x:row r="12625" spans="1:16">
      <x:c r="A12625" s="0" t="s">
        <x:v>48477</x:v>
      </x:c>
      <x:c r="B12625" s="0" t="s">
        <x:v>48478</x:v>
      </x:c>
      <x:c r="C12625" s="0" t="s">
        <x:v>42840</x:v>
      </x:c>
      <x:c r="E12625" s="0" t="s">
        <x:v>48479</x:v>
      </x:c>
      <x:c r="F12625" s="0" t="s">
        <x:v>45</x:v>
      </x:c>
      <x:c r="G12625" s="0" t="s">
        <x:v>206</x:v>
      </x:c>
      <x:c r="H12625" s="0" t="s">
        <x:v>20</x:v>
      </x:c>
      <x:c r="I12625" s="0" t="s">
        <x:v>21</x:v>
      </x:c>
      <x:c r="K12625" s="0">
        <x:f>hyperlink("https://icd.who.int/dev11/l-ichi/en#/http%3A%2F%2Fid.who.int%2Ficd%2Fentity%2F861671317","browser")</x:f>
      </x:c>
      <x:c r="L12625" s="0">
        <x:f>hyperlink("https://icat2.azurewebsites.net/icat/?ontology=ICD&amp;tab=ClassesTab&amp;id=http%3A%2F%2Fwho.int%2Ficd%231799_b42302c6_9ff1_412e_a40f_2f411ad4c932","iCat")</x:f>
      </x:c>
      <x:c r="M12625" s="0" t="s">
        <x:v>21</x:v>
      </x:c>
      <x:c r="N12625" s="0" t="s">
        <x:v>46</x:v>
      </x:c>
    </x:row>
    <x:row r="12626" spans="1:16">
      <x:c r="A12626" s="0" t="s">
        <x:v>48480</x:v>
      </x:c>
      <x:c r="B12626" s="0" t="s">
        <x:v>48481</x:v>
      </x:c>
      <x:c r="C12626" s="0" t="s">
        <x:v>42840</x:v>
      </x:c>
      <x:c r="E12626" s="0" t="s">
        <x:v>48482</x:v>
      </x:c>
      <x:c r="F12626" s="0" t="s">
        <x:v>45</x:v>
      </x:c>
      <x:c r="G12626" s="0" t="s">
        <x:v>22</x:v>
      </x:c>
      <x:c r="H12626" s="0" t="s">
        <x:v>20</x:v>
      </x:c>
      <x:c r="I12626" s="0" t="s">
        <x:v>21</x:v>
      </x:c>
      <x:c r="K12626" s="0">
        <x:f>hyperlink("https://icd.who.int/dev11/l-ichi/en#/http%3A%2F%2Fid.who.int%2Ficd%2Fentity%2F335892208","browser")</x:f>
      </x:c>
      <x:c r="L12626" s="0">
        <x:f>hyperlink("https://icat2.azurewebsites.net/icat/?ontology=ICD&amp;tab=ClassesTab&amp;id=http%3A%2F%2Fwho.int%2Ficd%23SpecificAnatomicLocation_1187","iCat")</x:f>
      </x:c>
      <x:c r="M12626" s="0" t="s">
        <x:v>20</x:v>
      </x:c>
      <x:c r="N12626" s="0" t="s">
        <x:v>31</x:v>
      </x:c>
    </x:row>
    <x:row r="12627" spans="1:16">
      <x:c r="A12627" s="0" t="s">
        <x:v>48483</x:v>
      </x:c>
      <x:c r="B12627" s="0" t="s">
        <x:v>48484</x:v>
      </x:c>
      <x:c r="C12627" s="0" t="s">
        <x:v>42840</x:v>
      </x:c>
      <x:c r="E12627" s="0" t="s">
        <x:v>48485</x:v>
      </x:c>
      <x:c r="F12627" s="0" t="s">
        <x:v>45</x:v>
      </x:c>
      <x:c r="G12627" s="0" t="s">
        <x:v>40</x:v>
      </x:c>
      <x:c r="H12627" s="0" t="s">
        <x:v>20</x:v>
      </x:c>
      <x:c r="I12627" s="0" t="s">
        <x:v>21</x:v>
      </x:c>
      <x:c r="K12627" s="0">
        <x:f>hyperlink("https://icd.who.int/dev11/l-ichi/en#/http%3A%2F%2Fid.who.int%2Ficd%2Fentity%2F1533820673","browser")</x:f>
      </x:c>
      <x:c r="L12627" s="0">
        <x:f>hyperlink("https://icat2.azurewebsites.net/icat/?ontology=ICD&amp;tab=ClassesTab&amp;id=http%3A%2F%2Fwho.int%2Ficd%23913_b42302c6_9ff1_412e_a40f_2f411ad4c932","iCat")</x:f>
      </x:c>
      <x:c r="M12627" s="0" t="s">
        <x:v>20</x:v>
      </x:c>
      <x:c r="N12627" s="0" t="s">
        <x:v>35</x:v>
      </x:c>
    </x:row>
    <x:row r="12628" spans="1:16">
      <x:c r="A12628" s="0" t="s">
        <x:v>48486</x:v>
      </x:c>
      <x:c r="B12628" s="0" t="s">
        <x:v>48487</x:v>
      </x:c>
      <x:c r="C12628" s="0" t="s">
        <x:v>42840</x:v>
      </x:c>
      <x:c r="E12628" s="0" t="s">
        <x:v>48488</x:v>
      </x:c>
      <x:c r="F12628" s="0" t="s">
        <x:v>45</x:v>
      </x:c>
      <x:c r="G12628" s="0" t="s">
        <x:v>206</x:v>
      </x:c>
      <x:c r="H12628" s="0" t="s">
        <x:v>20</x:v>
      </x:c>
      <x:c r="I12628" s="0" t="s">
        <x:v>21</x:v>
      </x:c>
      <x:c r="K12628" s="0">
        <x:f>hyperlink("https://icd.who.int/dev11/l-ichi/en#/http%3A%2F%2Fid.who.int%2Ficd%2Fentity%2F1155165875","browser")</x:f>
      </x:c>
      <x:c r="L12628" s="0">
        <x:f>hyperlink("https://icat2.azurewebsites.net/icat/?ontology=ICD&amp;tab=ClassesTab&amp;id=http%3A%2F%2Fwho.int%2Ficd%231817_b42302c6_9ff1_412e_a40f_2f411ad4c932","iCat")</x:f>
      </x:c>
      <x:c r="M12628" s="0" t="s">
        <x:v>21</x:v>
      </x:c>
      <x:c r="N12628" s="0" t="s">
        <x:v>46</x:v>
      </x:c>
    </x:row>
    <x:row r="12629" spans="1:16">
      <x:c r="A12629" s="0" t="s">
        <x:v>48489</x:v>
      </x:c>
      <x:c r="B12629" s="0" t="s">
        <x:v>48490</x:v>
      </x:c>
      <x:c r="C12629" s="0" t="s">
        <x:v>42840</x:v>
      </x:c>
      <x:c r="E12629" s="0" t="s">
        <x:v>48491</x:v>
      </x:c>
      <x:c r="F12629" s="0" t="s">
        <x:v>45</x:v>
      </x:c>
      <x:c r="G12629" s="0" t="s">
        <x:v>206</x:v>
      </x:c>
      <x:c r="H12629" s="0" t="s">
        <x:v>20</x:v>
      </x:c>
      <x:c r="I12629" s="0" t="s">
        <x:v>21</x:v>
      </x:c>
      <x:c r="K12629" s="0">
        <x:f>hyperlink("https://icd.who.int/dev11/l-ichi/en#/http%3A%2F%2Fid.who.int%2Ficd%2Fentity%2F198354470","browser")</x:f>
      </x:c>
      <x:c r="L12629" s="0">
        <x:f>hyperlink("https://icat2.azurewebsites.net/icat/?ontology=ICD&amp;tab=ClassesTab&amp;id=http%3A%2F%2Fwho.int%2Ficd%231835_b42302c6_9ff1_412e_a40f_2f411ad4c932","iCat")</x:f>
      </x:c>
      <x:c r="M12629" s="0" t="s">
        <x:v>21</x:v>
      </x:c>
      <x:c r="N12629" s="0" t="s">
        <x:v>46</x:v>
      </x:c>
    </x:row>
    <x:row r="12630" spans="1:16">
      <x:c r="A12630" s="0" t="s">
        <x:v>48492</x:v>
      </x:c>
      <x:c r="B12630" s="0" t="s">
        <x:v>48493</x:v>
      </x:c>
      <x:c r="C12630" s="0" t="s">
        <x:v>42840</x:v>
      </x:c>
      <x:c r="E12630" s="0" t="s">
        <x:v>48494</x:v>
      </x:c>
      <x:c r="F12630" s="0" t="s">
        <x:v>45</x:v>
      </x:c>
      <x:c r="G12630" s="0" t="s">
        <x:v>206</x:v>
      </x:c>
      <x:c r="H12630" s="0" t="s">
        <x:v>20</x:v>
      </x:c>
      <x:c r="I12630" s="0" t="s">
        <x:v>21</x:v>
      </x:c>
      <x:c r="K12630" s="0">
        <x:f>hyperlink("https://icd.who.int/dev11/l-ichi/en#/http%3A%2F%2Fid.who.int%2Ficd%2Fentity%2F29030874","browser")</x:f>
      </x:c>
      <x:c r="L12630" s="0">
        <x:f>hyperlink("https://icat2.azurewebsites.net/icat/?ontology=ICD&amp;tab=ClassesTab&amp;id=http%3A%2F%2Fwho.int%2Ficd%231853_b42302c6_9ff1_412e_a40f_2f411ad4c932","iCat")</x:f>
      </x:c>
      <x:c r="M12630" s="0" t="s">
        <x:v>21</x:v>
      </x:c>
      <x:c r="N12630" s="0" t="s">
        <x:v>46</x:v>
      </x:c>
    </x:row>
    <x:row r="12631" spans="1:16">
      <x:c r="A12631" s="0" t="s">
        <x:v>48495</x:v>
      </x:c>
      <x:c r="B12631" s="0" t="s">
        <x:v>48496</x:v>
      </x:c>
      <x:c r="C12631" s="0" t="s">
        <x:v>42840</x:v>
      </x:c>
      <x:c r="E12631" s="0" t="s">
        <x:v>48497</x:v>
      </x:c>
      <x:c r="F12631" s="0" t="s">
        <x:v>45</x:v>
      </x:c>
      <x:c r="G12631" s="0" t="s">
        <x:v>40</x:v>
      </x:c>
      <x:c r="H12631" s="0" t="s">
        <x:v>20</x:v>
      </x:c>
      <x:c r="I12631" s="0" t="s">
        <x:v>21</x:v>
      </x:c>
      <x:c r="K12631" s="0">
        <x:f>hyperlink("https://icd.who.int/dev11/l-ichi/en#/http%3A%2F%2Fid.who.int%2Ficd%2Fentity%2F342161300","browser")</x:f>
      </x:c>
      <x:c r="L12631" s="0">
        <x:f>hyperlink("https://icat2.azurewebsites.net/icat/?ontology=ICD&amp;tab=ClassesTab&amp;id=http%3A%2F%2Fwho.int%2Ficd%23931_b42302c6_9ff1_412e_a40f_2f411ad4c932","iCat")</x:f>
      </x:c>
      <x:c r="M12631" s="0" t="s">
        <x:v>20</x:v>
      </x:c>
      <x:c r="N12631" s="0" t="s">
        <x:v>35</x:v>
      </x:c>
    </x:row>
    <x:row r="12632" spans="1:16">
      <x:c r="A12632" s="0" t="s">
        <x:v>48498</x:v>
      </x:c>
      <x:c r="B12632" s="0" t="s">
        <x:v>48499</x:v>
      </x:c>
      <x:c r="C12632" s="0" t="s">
        <x:v>42840</x:v>
      </x:c>
      <x:c r="E12632" s="0" t="s">
        <x:v>48500</x:v>
      </x:c>
      <x:c r="F12632" s="0" t="s">
        <x:v>45</x:v>
      </x:c>
      <x:c r="G12632" s="0" t="s">
        <x:v>206</x:v>
      </x:c>
      <x:c r="H12632" s="0" t="s">
        <x:v>20</x:v>
      </x:c>
      <x:c r="I12632" s="0" t="s">
        <x:v>21</x:v>
      </x:c>
      <x:c r="K12632" s="0">
        <x:f>hyperlink("https://icd.who.int/dev11/l-ichi/en#/http%3A%2F%2Fid.who.int%2Ficd%2Fentity%2F1320300879","browser")</x:f>
      </x:c>
      <x:c r="L12632" s="0">
        <x:f>hyperlink("https://icat2.azurewebsites.net/icat/?ontology=ICD&amp;tab=ClassesTab&amp;id=http%3A%2F%2Fwho.int%2Ficd%231871_b42302c6_9ff1_412e_a40f_2f411ad4c932","iCat")</x:f>
      </x:c>
      <x:c r="M12632" s="0" t="s">
        <x:v>21</x:v>
      </x:c>
      <x:c r="N12632" s="0" t="s">
        <x:v>46</x:v>
      </x:c>
    </x:row>
    <x:row r="12633" spans="1:16">
      <x:c r="A12633" s="0" t="s">
        <x:v>48501</x:v>
      </x:c>
      <x:c r="B12633" s="0" t="s">
        <x:v>48502</x:v>
      </x:c>
      <x:c r="C12633" s="0" t="s">
        <x:v>42840</x:v>
      </x:c>
      <x:c r="E12633" s="0" t="s">
        <x:v>48503</x:v>
      </x:c>
      <x:c r="F12633" s="0" t="s">
        <x:v>45</x:v>
      </x:c>
      <x:c r="G12633" s="0" t="s">
        <x:v>206</x:v>
      </x:c>
      <x:c r="H12633" s="0" t="s">
        <x:v>20</x:v>
      </x:c>
      <x:c r="I12633" s="0" t="s">
        <x:v>21</x:v>
      </x:c>
      <x:c r="K12633" s="0">
        <x:f>hyperlink("https://icd.who.int/dev11/l-ichi/en#/http%3A%2F%2Fid.who.int%2Ficd%2Fentity%2F802425542","browser")</x:f>
      </x:c>
      <x:c r="L12633" s="0">
        <x:f>hyperlink("https://icat2.azurewebsites.net/icat/?ontology=ICD&amp;tab=ClassesTab&amp;id=http%3A%2F%2Fwho.int%2Ficd%231889_b42302c6_9ff1_412e_a40f_2f411ad4c932","iCat")</x:f>
      </x:c>
      <x:c r="M12633" s="0" t="s">
        <x:v>21</x:v>
      </x:c>
      <x:c r="N12633" s="0" t="s">
        <x:v>46</x:v>
      </x:c>
    </x:row>
    <x:row r="12634" spans="1:16">
      <x:c r="A12634" s="0" t="s">
        <x:v>48504</x:v>
      </x:c>
      <x:c r="B12634" s="0" t="s">
        <x:v>48505</x:v>
      </x:c>
      <x:c r="C12634" s="0" t="s">
        <x:v>42840</x:v>
      </x:c>
      <x:c r="E12634" s="0" t="s">
        <x:v>48506</x:v>
      </x:c>
      <x:c r="F12634" s="0" t="s">
        <x:v>45</x:v>
      </x:c>
      <x:c r="G12634" s="0" t="s">
        <x:v>206</x:v>
      </x:c>
      <x:c r="H12634" s="0" t="s">
        <x:v>20</x:v>
      </x:c>
      <x:c r="I12634" s="0" t="s">
        <x:v>21</x:v>
      </x:c>
      <x:c r="K12634" s="0">
        <x:f>hyperlink("https://icd.who.int/dev11/l-ichi/en#/http%3A%2F%2Fid.who.int%2Ficd%2Fentity%2F1535131001","browser")</x:f>
      </x:c>
      <x:c r="L12634" s="0">
        <x:f>hyperlink("https://icat2.azurewebsites.net/icat/?ontology=ICD&amp;tab=ClassesTab&amp;id=http%3A%2F%2Fwho.int%2Ficd%231907_b42302c6_9ff1_412e_a40f_2f411ad4c932","iCat")</x:f>
      </x:c>
      <x:c r="M12634" s="0" t="s">
        <x:v>21</x:v>
      </x:c>
      <x:c r="N12634" s="0" t="s">
        <x:v>46</x:v>
      </x:c>
    </x:row>
    <x:row r="12635" spans="1:16">
      <x:c r="A12635" s="0" t="s">
        <x:v>48507</x:v>
      </x:c>
      <x:c r="B12635" s="0" t="s">
        <x:v>48508</x:v>
      </x:c>
      <x:c r="C12635" s="0" t="s">
        <x:v>42840</x:v>
      </x:c>
      <x:c r="E12635" s="0" t="s">
        <x:v>48509</x:v>
      </x:c>
      <x:c r="F12635" s="0" t="s">
        <x:v>45</x:v>
      </x:c>
      <x:c r="G12635" s="0" t="s">
        <x:v>40</x:v>
      </x:c>
      <x:c r="H12635" s="0" t="s">
        <x:v>20</x:v>
      </x:c>
      <x:c r="I12635" s="0" t="s">
        <x:v>21</x:v>
      </x:c>
      <x:c r="K12635" s="0">
        <x:f>hyperlink("https://icd.who.int/dev11/l-ichi/en#/http%3A%2F%2Fid.who.int%2Ficd%2Fentity%2F1781765595","browser")</x:f>
      </x:c>
      <x:c r="L12635" s="0">
        <x:f>hyperlink("https://icat2.azurewebsites.net/icat/?ontology=ICD&amp;tab=ClassesTab&amp;id=http%3A%2F%2Fwho.int%2Ficd%23949_b42302c6_9ff1_412e_a40f_2f411ad4c932","iCat")</x:f>
      </x:c>
      <x:c r="M12635" s="0" t="s">
        <x:v>20</x:v>
      </x:c>
      <x:c r="N12635" s="0" t="s">
        <x:v>35</x:v>
      </x:c>
    </x:row>
    <x:row r="12636" spans="1:16">
      <x:c r="A12636" s="0" t="s">
        <x:v>48510</x:v>
      </x:c>
      <x:c r="B12636" s="0" t="s">
        <x:v>48511</x:v>
      </x:c>
      <x:c r="C12636" s="0" t="s">
        <x:v>42840</x:v>
      </x:c>
      <x:c r="E12636" s="0" t="s">
        <x:v>48512</x:v>
      </x:c>
      <x:c r="F12636" s="0" t="s">
        <x:v>45</x:v>
      </x:c>
      <x:c r="G12636" s="0" t="s">
        <x:v>206</x:v>
      </x:c>
      <x:c r="H12636" s="0" t="s">
        <x:v>20</x:v>
      </x:c>
      <x:c r="I12636" s="0" t="s">
        <x:v>21</x:v>
      </x:c>
      <x:c r="K12636" s="0">
        <x:f>hyperlink("https://icd.who.int/dev11/l-ichi/en#/http%3A%2F%2Fid.who.int%2Ficd%2Fentity%2F344520172","browser")</x:f>
      </x:c>
      <x:c r="L12636" s="0">
        <x:f>hyperlink("https://icat2.azurewebsites.net/icat/?ontology=ICD&amp;tab=ClassesTab&amp;id=http%3A%2F%2Fwho.int%2Ficd%231925_b42302c6_9ff1_412e_a40f_2f411ad4c932","iCat")</x:f>
      </x:c>
      <x:c r="M12636" s="0" t="s">
        <x:v>21</x:v>
      </x:c>
      <x:c r="N12636" s="0" t="s">
        <x:v>46</x:v>
      </x:c>
    </x:row>
    <x:row r="12637" spans="1:16">
      <x:c r="A12637" s="0" t="s">
        <x:v>48513</x:v>
      </x:c>
      <x:c r="B12637" s="0" t="s">
        <x:v>48514</x:v>
      </x:c>
      <x:c r="C12637" s="0" t="s">
        <x:v>42840</x:v>
      </x:c>
      <x:c r="E12637" s="0" t="s">
        <x:v>48515</x:v>
      </x:c>
      <x:c r="F12637" s="0" t="s">
        <x:v>45</x:v>
      </x:c>
      <x:c r="G12637" s="0" t="s">
        <x:v>206</x:v>
      </x:c>
      <x:c r="H12637" s="0" t="s">
        <x:v>20</x:v>
      </x:c>
      <x:c r="I12637" s="0" t="s">
        <x:v>21</x:v>
      </x:c>
      <x:c r="K12637" s="0">
        <x:f>hyperlink("https://icd.who.int/dev11/l-ichi/en#/http%3A%2F%2Fid.who.int%2Ficd%2Fentity%2F518040080","browser")</x:f>
      </x:c>
      <x:c r="L12637" s="0">
        <x:f>hyperlink("https://icat2.azurewebsites.net/icat/?ontology=ICD&amp;tab=ClassesTab&amp;id=http%3A%2F%2Fwho.int%2Ficd%231943_b42302c6_9ff1_412e_a40f_2f411ad4c932","iCat")</x:f>
      </x:c>
      <x:c r="M12637" s="0" t="s">
        <x:v>21</x:v>
      </x:c>
      <x:c r="N12637" s="0" t="s">
        <x:v>46</x:v>
      </x:c>
    </x:row>
    <x:row r="12638" spans="1:16">
      <x:c r="A12638" s="0" t="s">
        <x:v>48516</x:v>
      </x:c>
      <x:c r="B12638" s="0" t="s">
        <x:v>48517</x:v>
      </x:c>
      <x:c r="C12638" s="0" t="s">
        <x:v>42840</x:v>
      </x:c>
      <x:c r="E12638" s="0" t="s">
        <x:v>48518</x:v>
      </x:c>
      <x:c r="F12638" s="0" t="s">
        <x:v>45</x:v>
      </x:c>
      <x:c r="G12638" s="0" t="s">
        <x:v>206</x:v>
      </x:c>
      <x:c r="H12638" s="0" t="s">
        <x:v>20</x:v>
      </x:c>
      <x:c r="I12638" s="0" t="s">
        <x:v>21</x:v>
      </x:c>
      <x:c r="K12638" s="0">
        <x:f>hyperlink("https://icd.who.int/dev11/l-ichi/en#/http%3A%2F%2Fid.who.int%2Ficd%2Fentity%2F1374184069","browser")</x:f>
      </x:c>
      <x:c r="L12638" s="0">
        <x:f>hyperlink("https://icat2.azurewebsites.net/icat/?ontology=ICD&amp;tab=ClassesTab&amp;id=http%3A%2F%2Fwho.int%2Ficd%231961_b42302c6_9ff1_412e_a40f_2f411ad4c932","iCat")</x:f>
      </x:c>
      <x:c r="M12638" s="0" t="s">
        <x:v>21</x:v>
      </x:c>
      <x:c r="N12638" s="0" t="s">
        <x:v>46</x:v>
      </x:c>
    </x:row>
    <x:row r="12639" spans="1:16">
      <x:c r="A12639" s="0" t="s">
        <x:v>48519</x:v>
      </x:c>
      <x:c r="B12639" s="0" t="s">
        <x:v>48520</x:v>
      </x:c>
      <x:c r="C12639" s="0" t="s">
        <x:v>42840</x:v>
      </x:c>
      <x:c r="E12639" s="0" t="s">
        <x:v>48521</x:v>
      </x:c>
      <x:c r="F12639" s="0" t="s">
        <x:v>45</x:v>
      </x:c>
      <x:c r="G12639" s="0" t="s">
        <x:v>40</x:v>
      </x:c>
      <x:c r="H12639" s="0" t="s">
        <x:v>20</x:v>
      </x:c>
      <x:c r="I12639" s="0" t="s">
        <x:v>21</x:v>
      </x:c>
      <x:c r="K12639" s="0">
        <x:f>hyperlink("https://icd.who.int/dev11/l-ichi/en#/http%3A%2F%2Fid.who.int%2Ficd%2Fentity%2F1589504111","browser")</x:f>
      </x:c>
      <x:c r="L12639" s="0">
        <x:f>hyperlink("https://icat2.azurewebsites.net/icat/?ontology=ICD&amp;tab=ClassesTab&amp;id=http%3A%2F%2Fwho.int%2Ficd%23967_b42302c6_9ff1_412e_a40f_2f411ad4c932","iCat")</x:f>
      </x:c>
      <x:c r="M12639" s="0" t="s">
        <x:v>20</x:v>
      </x:c>
      <x:c r="N12639" s="0" t="s">
        <x:v>35</x:v>
      </x:c>
    </x:row>
    <x:row r="12640" spans="1:16">
      <x:c r="A12640" s="0" t="s">
        <x:v>48522</x:v>
      </x:c>
      <x:c r="B12640" s="0" t="s">
        <x:v>48523</x:v>
      </x:c>
      <x:c r="C12640" s="0" t="s">
        <x:v>42840</x:v>
      </x:c>
      <x:c r="E12640" s="0" t="s">
        <x:v>48524</x:v>
      </x:c>
      <x:c r="F12640" s="0" t="s">
        <x:v>45</x:v>
      </x:c>
      <x:c r="G12640" s="0" t="s">
        <x:v>206</x:v>
      </x:c>
      <x:c r="H12640" s="0" t="s">
        <x:v>20</x:v>
      </x:c>
      <x:c r="I12640" s="0" t="s">
        <x:v>21</x:v>
      </x:c>
      <x:c r="K12640" s="0">
        <x:f>hyperlink("https://icd.who.int/dev11/l-ichi/en#/http%3A%2F%2Fid.who.int%2Ficd%2Fentity%2F1974240903","browser")</x:f>
      </x:c>
      <x:c r="L12640" s="0">
        <x:f>hyperlink("https://icat2.azurewebsites.net/icat/?ontology=ICD&amp;tab=ClassesTab&amp;id=http%3A%2F%2Fwho.int%2Ficd%231979_b42302c6_9ff1_412e_a40f_2f411ad4c932","iCat")</x:f>
      </x:c>
      <x:c r="M12640" s="0" t="s">
        <x:v>21</x:v>
      </x:c>
      <x:c r="N12640" s="0" t="s">
        <x:v>46</x:v>
      </x:c>
    </x:row>
    <x:row r="12641" spans="1:16">
      <x:c r="A12641" s="0" t="s">
        <x:v>48525</x:v>
      </x:c>
      <x:c r="B12641" s="0" t="s">
        <x:v>48526</x:v>
      </x:c>
      <x:c r="C12641" s="0" t="s">
        <x:v>42840</x:v>
      </x:c>
      <x:c r="E12641" s="0" t="s">
        <x:v>48527</x:v>
      </x:c>
      <x:c r="F12641" s="0" t="s">
        <x:v>45</x:v>
      </x:c>
      <x:c r="G12641" s="0" t="s">
        <x:v>206</x:v>
      </x:c>
      <x:c r="H12641" s="0" t="s">
        <x:v>20</x:v>
      </x:c>
      <x:c r="I12641" s="0" t="s">
        <x:v>21</x:v>
      </x:c>
      <x:c r="K12641" s="0">
        <x:f>hyperlink("https://icd.who.int/dev11/l-ichi/en#/http%3A%2F%2Fid.who.int%2Ficd%2Fentity%2F779416042","browser")</x:f>
      </x:c>
      <x:c r="L12641" s="0">
        <x:f>hyperlink("https://icat2.azurewebsites.net/icat/?ontology=ICD&amp;tab=ClassesTab&amp;id=http%3A%2F%2Fwho.int%2Ficd%231997_b42302c6_9ff1_412e_a40f_2f411ad4c932","iCat")</x:f>
      </x:c>
      <x:c r="M12641" s="0" t="s">
        <x:v>21</x:v>
      </x:c>
      <x:c r="N12641" s="0" t="s">
        <x:v>46</x:v>
      </x:c>
    </x:row>
    <x:row r="12642" spans="1:16">
      <x:c r="A12642" s="0" t="s">
        <x:v>48528</x:v>
      </x:c>
      <x:c r="B12642" s="0" t="s">
        <x:v>48529</x:v>
      </x:c>
      <x:c r="C12642" s="0" t="s">
        <x:v>42840</x:v>
      </x:c>
      <x:c r="E12642" s="0" t="s">
        <x:v>48530</x:v>
      </x:c>
      <x:c r="F12642" s="0" t="s">
        <x:v>45</x:v>
      </x:c>
      <x:c r="G12642" s="0" t="s">
        <x:v>206</x:v>
      </x:c>
      <x:c r="H12642" s="0" t="s">
        <x:v>20</x:v>
      </x:c>
      <x:c r="I12642" s="0" t="s">
        <x:v>21</x:v>
      </x:c>
      <x:c r="K12642" s="0">
        <x:f>hyperlink("https://icd.who.int/dev11/l-ichi/en#/http%3A%2F%2Fid.who.int%2Ficd%2Fentity%2F1005741964","browser")</x:f>
      </x:c>
      <x:c r="L12642" s="0">
        <x:f>hyperlink("https://icat2.azurewebsites.net/icat/?ontology=ICD&amp;tab=ClassesTab&amp;id=http%3A%2F%2Fwho.int%2Ficd%232015_b42302c6_9ff1_412e_a40f_2f411ad4c932","iCat")</x:f>
      </x:c>
      <x:c r="M12642" s="0" t="s">
        <x:v>21</x:v>
      </x:c>
      <x:c r="N12642" s="0" t="s">
        <x:v>46</x:v>
      </x:c>
    </x:row>
    <x:row r="12643" spans="1:16">
      <x:c r="A12643" s="0" t="s">
        <x:v>48531</x:v>
      </x:c>
      <x:c r="B12643" s="0" t="s">
        <x:v>48532</x:v>
      </x:c>
      <x:c r="C12643" s="0" t="s">
        <x:v>42840</x:v>
      </x:c>
      <x:c r="E12643" s="0" t="s">
        <x:v>48533</x:v>
      </x:c>
      <x:c r="F12643" s="0" t="s">
        <x:v>45</x:v>
      </x:c>
      <x:c r="G12643" s="0" t="s">
        <x:v>40</x:v>
      </x:c>
      <x:c r="H12643" s="0" t="s">
        <x:v>20</x:v>
      </x:c>
      <x:c r="I12643" s="0" t="s">
        <x:v>21</x:v>
      </x:c>
      <x:c r="K12643" s="0">
        <x:f>hyperlink("https://icd.who.int/dev11/l-ichi/en#/http%3A%2F%2Fid.who.int%2Ficd%2Fentity%2F2128816675","browser")</x:f>
      </x:c>
      <x:c r="L12643" s="0">
        <x:f>hyperlink("https://icat2.azurewebsites.net/icat/?ontology=ICD&amp;tab=ClassesTab&amp;id=http%3A%2F%2Fwho.int%2Ficd%23985_b42302c6_9ff1_412e_a40f_2f411ad4c932","iCat")</x:f>
      </x:c>
      <x:c r="M12643" s="0" t="s">
        <x:v>20</x:v>
      </x:c>
      <x:c r="N12643" s="0" t="s">
        <x:v>35</x:v>
      </x:c>
    </x:row>
    <x:row r="12644" spans="1:16">
      <x:c r="A12644" s="0" t="s">
        <x:v>48534</x:v>
      </x:c>
      <x:c r="B12644" s="0" t="s">
        <x:v>48535</x:v>
      </x:c>
      <x:c r="C12644" s="0" t="s">
        <x:v>42840</x:v>
      </x:c>
      <x:c r="E12644" s="0" t="s">
        <x:v>48536</x:v>
      </x:c>
      <x:c r="F12644" s="0" t="s">
        <x:v>45</x:v>
      </x:c>
      <x:c r="G12644" s="0" t="s">
        <x:v>206</x:v>
      </x:c>
      <x:c r="H12644" s="0" t="s">
        <x:v>20</x:v>
      </x:c>
      <x:c r="I12644" s="0" t="s">
        <x:v>21</x:v>
      </x:c>
      <x:c r="K12644" s="0">
        <x:f>hyperlink("https://icd.who.int/dev11/l-ichi/en#/http%3A%2F%2Fid.who.int%2Ficd%2Fentity%2F1107127147","browser")</x:f>
      </x:c>
      <x:c r="L12644" s="0">
        <x:f>hyperlink("https://icat2.azurewebsites.net/icat/?ontology=ICD&amp;tab=ClassesTab&amp;id=http%3A%2F%2Fwho.int%2Ficd%232033_b42302c6_9ff1_412e_a40f_2f411ad4c932","iCat")</x:f>
      </x:c>
      <x:c r="M12644" s="0" t="s">
        <x:v>21</x:v>
      </x:c>
      <x:c r="N12644" s="0" t="s">
        <x:v>46</x:v>
      </x:c>
    </x:row>
    <x:row r="12645" spans="1:16">
      <x:c r="A12645" s="0" t="s">
        <x:v>48537</x:v>
      </x:c>
      <x:c r="B12645" s="0" t="s">
        <x:v>48538</x:v>
      </x:c>
      <x:c r="C12645" s="0" t="s">
        <x:v>42840</x:v>
      </x:c>
      <x:c r="E12645" s="0" t="s">
        <x:v>48539</x:v>
      </x:c>
      <x:c r="F12645" s="0" t="s">
        <x:v>45</x:v>
      </x:c>
      <x:c r="G12645" s="0" t="s">
        <x:v>206</x:v>
      </x:c>
      <x:c r="H12645" s="0" t="s">
        <x:v>20</x:v>
      </x:c>
      <x:c r="I12645" s="0" t="s">
        <x:v>21</x:v>
      </x:c>
      <x:c r="K12645" s="0">
        <x:f>hyperlink("https://icd.who.int/dev11/l-ichi/en#/http%3A%2F%2Fid.who.int%2Ficd%2Fentity%2F2123559139","browser")</x:f>
      </x:c>
      <x:c r="L12645" s="0">
        <x:f>hyperlink("https://icat2.azurewebsites.net/icat/?ontology=ICD&amp;tab=ClassesTab&amp;id=http%3A%2F%2Fwho.int%2Ficd%232051_b42302c6_9ff1_412e_a40f_2f411ad4c932","iCat")</x:f>
      </x:c>
      <x:c r="M12645" s="0" t="s">
        <x:v>21</x:v>
      </x:c>
      <x:c r="N12645" s="0" t="s">
        <x:v>46</x:v>
      </x:c>
    </x:row>
    <x:row r="12646" spans="1:16">
      <x:c r="A12646" s="0" t="s">
        <x:v>48540</x:v>
      </x:c>
      <x:c r="B12646" s="0" t="s">
        <x:v>48541</x:v>
      </x:c>
      <x:c r="C12646" s="0" t="s">
        <x:v>42840</x:v>
      </x:c>
      <x:c r="E12646" s="0" t="s">
        <x:v>48542</x:v>
      </x:c>
      <x:c r="F12646" s="0" t="s">
        <x:v>45</x:v>
      </x:c>
      <x:c r="G12646" s="0" t="s">
        <x:v>206</x:v>
      </x:c>
      <x:c r="H12646" s="0" t="s">
        <x:v>20</x:v>
      </x:c>
      <x:c r="I12646" s="0" t="s">
        <x:v>21</x:v>
      </x:c>
      <x:c r="K12646" s="0">
        <x:f>hyperlink("https://icd.who.int/dev11/l-ichi/en#/http%3A%2F%2Fid.who.int%2Ficd%2Fentity%2F1889714609","browser")</x:f>
      </x:c>
      <x:c r="L12646" s="0">
        <x:f>hyperlink("https://icat2.azurewebsites.net/icat/?ontology=ICD&amp;tab=ClassesTab&amp;id=http%3A%2F%2Fwho.int%2Ficd%232069_b42302c6_9ff1_412e_a40f_2f411ad4c932","iCat")</x:f>
      </x:c>
      <x:c r="M12646" s="0" t="s">
        <x:v>21</x:v>
      </x:c>
      <x:c r="N12646" s="0" t="s">
        <x:v>46</x:v>
      </x:c>
    </x:row>
    <x:row r="12647" spans="1:16">
      <x:c r="A12647" s="0" t="s">
        <x:v>48543</x:v>
      </x:c>
      <x:c r="B12647" s="0" t="s">
        <x:v>48544</x:v>
      </x:c>
      <x:c r="C12647" s="0" t="s">
        <x:v>42840</x:v>
      </x:c>
      <x:c r="E12647" s="0" t="s">
        <x:v>48545</x:v>
      </x:c>
      <x:c r="F12647" s="0" t="s">
        <x:v>45</x:v>
      </x:c>
      <x:c r="G12647" s="0" t="s">
        <x:v>40</x:v>
      </x:c>
      <x:c r="H12647" s="0" t="s">
        <x:v>20</x:v>
      </x:c>
      <x:c r="I12647" s="0" t="s">
        <x:v>21</x:v>
      </x:c>
      <x:c r="K12647" s="0">
        <x:f>hyperlink("https://icd.who.int/dev11/l-ichi/en#/http%3A%2F%2Fid.who.int%2Ficd%2Fentity%2F17041402","browser")</x:f>
      </x:c>
      <x:c r="L12647" s="0">
        <x:f>hyperlink("https://icat2.azurewebsites.net/icat/?ontology=ICD&amp;tab=ClassesTab&amp;id=http%3A%2F%2Fwho.int%2Ficd%231003_b42302c6_9ff1_412e_a40f_2f411ad4c932","iCat")</x:f>
      </x:c>
      <x:c r="M12647" s="0" t="s">
        <x:v>20</x:v>
      </x:c>
      <x:c r="N12647" s="0" t="s">
        <x:v>35</x:v>
      </x:c>
    </x:row>
    <x:row r="12648" spans="1:16">
      <x:c r="A12648" s="0" t="s">
        <x:v>48546</x:v>
      </x:c>
      <x:c r="B12648" s="0" t="s">
        <x:v>48547</x:v>
      </x:c>
      <x:c r="C12648" s="0" t="s">
        <x:v>42840</x:v>
      </x:c>
      <x:c r="E12648" s="0" t="s">
        <x:v>48548</x:v>
      </x:c>
      <x:c r="F12648" s="0" t="s">
        <x:v>45</x:v>
      </x:c>
      <x:c r="G12648" s="0" t="s">
        <x:v>206</x:v>
      </x:c>
      <x:c r="H12648" s="0" t="s">
        <x:v>20</x:v>
      </x:c>
      <x:c r="I12648" s="0" t="s">
        <x:v>21</x:v>
      </x:c>
      <x:c r="K12648" s="0">
        <x:f>hyperlink("https://icd.who.int/dev11/l-ichi/en#/http%3A%2F%2Fid.who.int%2Ficd%2Fentity%2F729462492","browser")</x:f>
      </x:c>
      <x:c r="L12648" s="0">
        <x:f>hyperlink("https://icat2.azurewebsites.net/icat/?ontology=ICD&amp;tab=ClassesTab&amp;id=http%3A%2F%2Fwho.int%2Ficd%232087_b42302c6_9ff1_412e_a40f_2f411ad4c932","iCat")</x:f>
      </x:c>
      <x:c r="M12648" s="0" t="s">
        <x:v>21</x:v>
      </x:c>
      <x:c r="N12648" s="0" t="s">
        <x:v>46</x:v>
      </x:c>
    </x:row>
    <x:row r="12649" spans="1:16">
      <x:c r="A12649" s="0" t="s">
        <x:v>48549</x:v>
      </x:c>
      <x:c r="B12649" s="0" t="s">
        <x:v>48550</x:v>
      </x:c>
      <x:c r="C12649" s="0" t="s">
        <x:v>42840</x:v>
      </x:c>
      <x:c r="E12649" s="0" t="s">
        <x:v>48551</x:v>
      </x:c>
      <x:c r="F12649" s="0" t="s">
        <x:v>45</x:v>
      </x:c>
      <x:c r="G12649" s="0" t="s">
        <x:v>206</x:v>
      </x:c>
      <x:c r="H12649" s="0" t="s">
        <x:v>20</x:v>
      </x:c>
      <x:c r="I12649" s="0" t="s">
        <x:v>21</x:v>
      </x:c>
      <x:c r="K12649" s="0">
        <x:f>hyperlink("https://icd.who.int/dev11/l-ichi/en#/http%3A%2F%2Fid.who.int%2Ficd%2Fentity%2F615003202","browser")</x:f>
      </x:c>
      <x:c r="L12649" s="0">
        <x:f>hyperlink("https://icat2.azurewebsites.net/icat/?ontology=ICD&amp;tab=ClassesTab&amp;id=http%3A%2F%2Fwho.int%2Ficd%232105_b42302c6_9ff1_412e_a40f_2f411ad4c932","iCat")</x:f>
      </x:c>
      <x:c r="M12649" s="0" t="s">
        <x:v>21</x:v>
      </x:c>
      <x:c r="N12649" s="0" t="s">
        <x:v>46</x:v>
      </x:c>
    </x:row>
    <x:row r="12650" spans="1:16">
      <x:c r="A12650" s="0" t="s">
        <x:v>48552</x:v>
      </x:c>
      <x:c r="B12650" s="0" t="s">
        <x:v>48553</x:v>
      </x:c>
      <x:c r="C12650" s="0" t="s">
        <x:v>42840</x:v>
      </x:c>
      <x:c r="E12650" s="0" t="s">
        <x:v>48554</x:v>
      </x:c>
      <x:c r="F12650" s="0" t="s">
        <x:v>45</x:v>
      </x:c>
      <x:c r="G12650" s="0" t="s">
        <x:v>206</x:v>
      </x:c>
      <x:c r="H12650" s="0" t="s">
        <x:v>20</x:v>
      </x:c>
      <x:c r="I12650" s="0" t="s">
        <x:v>21</x:v>
      </x:c>
      <x:c r="K12650" s="0">
        <x:f>hyperlink("https://icd.who.int/dev11/l-ichi/en#/http%3A%2F%2Fid.who.int%2Ficd%2Fentity%2F1588017313","browser")</x:f>
      </x:c>
      <x:c r="L12650" s="0">
        <x:f>hyperlink("https://icat2.azurewebsites.net/icat/?ontology=ICD&amp;tab=ClassesTab&amp;id=http%3A%2F%2Fwho.int%2Ficd%232123_b42302c6_9ff1_412e_a40f_2f411ad4c932","iCat")</x:f>
      </x:c>
      <x:c r="M12650" s="0" t="s">
        <x:v>21</x:v>
      </x:c>
      <x:c r="N12650" s="0" t="s">
        <x:v>46</x:v>
      </x:c>
    </x:row>
    <x:row r="12651" spans="1:16">
      <x:c r="A12651" s="0" t="s">
        <x:v>48555</x:v>
      </x:c>
      <x:c r="B12651" s="0" t="s">
        <x:v>48556</x:v>
      </x:c>
      <x:c r="C12651" s="0" t="s">
        <x:v>42840</x:v>
      </x:c>
      <x:c r="E12651" s="0" t="s">
        <x:v>48557</x:v>
      </x:c>
      <x:c r="F12651" s="0" t="s">
        <x:v>45</x:v>
      </x:c>
      <x:c r="G12651" s="0" t="s">
        <x:v>40</x:v>
      </x:c>
      <x:c r="H12651" s="0" t="s">
        <x:v>20</x:v>
      </x:c>
      <x:c r="I12651" s="0" t="s">
        <x:v>21</x:v>
      </x:c>
      <x:c r="K12651" s="0">
        <x:f>hyperlink("https://icd.who.int/dev11/l-ichi/en#/http%3A%2F%2Fid.who.int%2Ficd%2Fentity%2F1309462383","browser")</x:f>
      </x:c>
      <x:c r="L12651" s="0">
        <x:f>hyperlink("https://icat2.azurewebsites.net/icat/?ontology=ICD&amp;tab=ClassesTab&amp;id=http%3A%2F%2Fwho.int%2Ficd%231021_b42302c6_9ff1_412e_a40f_2f411ad4c932","iCat")</x:f>
      </x:c>
      <x:c r="M12651" s="0" t="s">
        <x:v>20</x:v>
      </x:c>
      <x:c r="N12651" s="0" t="s">
        <x:v>35</x:v>
      </x:c>
    </x:row>
    <x:row r="12652" spans="1:16">
      <x:c r="A12652" s="0" t="s">
        <x:v>48558</x:v>
      </x:c>
      <x:c r="B12652" s="0" t="s">
        <x:v>48559</x:v>
      </x:c>
      <x:c r="C12652" s="0" t="s">
        <x:v>42840</x:v>
      </x:c>
      <x:c r="E12652" s="0" t="s">
        <x:v>48560</x:v>
      </x:c>
      <x:c r="F12652" s="0" t="s">
        <x:v>45</x:v>
      </x:c>
      <x:c r="G12652" s="0" t="s">
        <x:v>206</x:v>
      </x:c>
      <x:c r="H12652" s="0" t="s">
        <x:v>20</x:v>
      </x:c>
      <x:c r="I12652" s="0" t="s">
        <x:v>21</x:v>
      </x:c>
      <x:c r="K12652" s="0">
        <x:f>hyperlink("https://icd.who.int/dev11/l-ichi/en#/http%3A%2F%2Fid.who.int%2Ficd%2Fentity%2F1640538921","browser")</x:f>
      </x:c>
      <x:c r="L12652" s="0">
        <x:f>hyperlink("https://icat2.azurewebsites.net/icat/?ontology=ICD&amp;tab=ClassesTab&amp;id=http%3A%2F%2Fwho.int%2Ficd%232141_b42302c6_9ff1_412e_a40f_2f411ad4c932","iCat")</x:f>
      </x:c>
      <x:c r="M12652" s="0" t="s">
        <x:v>21</x:v>
      </x:c>
      <x:c r="N12652" s="0" t="s">
        <x:v>46</x:v>
      </x:c>
    </x:row>
    <x:row r="12653" spans="1:16">
      <x:c r="A12653" s="0" t="s">
        <x:v>48561</x:v>
      </x:c>
      <x:c r="B12653" s="0" t="s">
        <x:v>48562</x:v>
      </x:c>
      <x:c r="C12653" s="0" t="s">
        <x:v>42840</x:v>
      </x:c>
      <x:c r="E12653" s="0" t="s">
        <x:v>48563</x:v>
      </x:c>
      <x:c r="F12653" s="0" t="s">
        <x:v>45</x:v>
      </x:c>
      <x:c r="G12653" s="0" t="s">
        <x:v>206</x:v>
      </x:c>
      <x:c r="H12653" s="0" t="s">
        <x:v>20</x:v>
      </x:c>
      <x:c r="I12653" s="0" t="s">
        <x:v>21</x:v>
      </x:c>
      <x:c r="K12653" s="0">
        <x:f>hyperlink("https://icd.who.int/dev11/l-ichi/en#/http%3A%2F%2Fid.who.int%2Ficd%2Fentity%2F1166821163","browser")</x:f>
      </x:c>
      <x:c r="L12653" s="0">
        <x:f>hyperlink("https://icat2.azurewebsites.net/icat/?ontology=ICD&amp;tab=ClassesTab&amp;id=http%3A%2F%2Fwho.int%2Ficd%232159_b42302c6_9ff1_412e_a40f_2f411ad4c932","iCat")</x:f>
      </x:c>
      <x:c r="M12653" s="0" t="s">
        <x:v>21</x:v>
      </x:c>
      <x:c r="N12653" s="0" t="s">
        <x:v>46</x:v>
      </x:c>
    </x:row>
    <x:row r="12654" spans="1:16">
      <x:c r="A12654" s="0" t="s">
        <x:v>48564</x:v>
      </x:c>
      <x:c r="B12654" s="0" t="s">
        <x:v>48565</x:v>
      </x:c>
      <x:c r="C12654" s="0" t="s">
        <x:v>42840</x:v>
      </x:c>
      <x:c r="E12654" s="0" t="s">
        <x:v>48566</x:v>
      </x:c>
      <x:c r="F12654" s="0" t="s">
        <x:v>45</x:v>
      </x:c>
      <x:c r="G12654" s="0" t="s">
        <x:v>206</x:v>
      </x:c>
      <x:c r="H12654" s="0" t="s">
        <x:v>20</x:v>
      </x:c>
      <x:c r="I12654" s="0" t="s">
        <x:v>21</x:v>
      </x:c>
      <x:c r="K12654" s="0">
        <x:f>hyperlink("https://icd.who.int/dev11/l-ichi/en#/http%3A%2F%2Fid.who.int%2Ficd%2Fentity%2F1895971487","browser")</x:f>
      </x:c>
      <x:c r="L12654" s="0">
        <x:f>hyperlink("https://icat2.azurewebsites.net/icat/?ontology=ICD&amp;tab=ClassesTab&amp;id=http%3A%2F%2Fwho.int%2Ficd%232177_b42302c6_9ff1_412e_a40f_2f411ad4c932","iCat")</x:f>
      </x:c>
      <x:c r="M12654" s="0" t="s">
        <x:v>21</x:v>
      </x:c>
      <x:c r="N12654" s="0" t="s">
        <x:v>46</x:v>
      </x:c>
    </x:row>
    <x:row r="12655" spans="1:16">
      <x:c r="A12655" s="0" t="s">
        <x:v>48567</x:v>
      </x:c>
      <x:c r="B12655" s="0" t="s">
        <x:v>48568</x:v>
      </x:c>
      <x:c r="C12655" s="0" t="s">
        <x:v>42840</x:v>
      </x:c>
      <x:c r="E12655" s="0" t="s">
        <x:v>48569</x:v>
      </x:c>
      <x:c r="F12655" s="0" t="s">
        <x:v>45</x:v>
      </x:c>
      <x:c r="G12655" s="0" t="s">
        <x:v>40</x:v>
      </x:c>
      <x:c r="H12655" s="0" t="s">
        <x:v>20</x:v>
      </x:c>
      <x:c r="I12655" s="0" t="s">
        <x:v>21</x:v>
      </x:c>
      <x:c r="K12655" s="0">
        <x:f>hyperlink("https://icd.who.int/dev11/l-ichi/en#/http%3A%2F%2Fid.who.int%2Ficd%2Fentity%2F1783114605","browser")</x:f>
      </x:c>
      <x:c r="L12655" s="0">
        <x:f>hyperlink("https://icat2.azurewebsites.net/icat/?ontology=ICD&amp;tab=ClassesTab&amp;id=http%3A%2F%2Fwho.int%2Ficd%231039_b42302c6_9ff1_412e_a40f_2f411ad4c932","iCat")</x:f>
      </x:c>
      <x:c r="M12655" s="0" t="s">
        <x:v>20</x:v>
      </x:c>
      <x:c r="N12655" s="0" t="s">
        <x:v>35</x:v>
      </x:c>
    </x:row>
    <x:row r="12656" spans="1:16">
      <x:c r="A12656" s="0" t="s">
        <x:v>48570</x:v>
      </x:c>
      <x:c r="B12656" s="0" t="s">
        <x:v>48571</x:v>
      </x:c>
      <x:c r="C12656" s="0" t="s">
        <x:v>42840</x:v>
      </x:c>
      <x:c r="E12656" s="0" t="s">
        <x:v>48572</x:v>
      </x:c>
      <x:c r="F12656" s="0" t="s">
        <x:v>45</x:v>
      </x:c>
      <x:c r="G12656" s="0" t="s">
        <x:v>206</x:v>
      </x:c>
      <x:c r="H12656" s="0" t="s">
        <x:v>20</x:v>
      </x:c>
      <x:c r="I12656" s="0" t="s">
        <x:v>21</x:v>
      </x:c>
      <x:c r="K12656" s="0">
        <x:f>hyperlink("https://icd.who.int/dev11/l-ichi/en#/http%3A%2F%2Fid.who.int%2Ficd%2Fentity%2F1365047507","browser")</x:f>
      </x:c>
      <x:c r="L12656" s="0">
        <x:f>hyperlink("https://icat2.azurewebsites.net/icat/?ontology=ICD&amp;tab=ClassesTab&amp;id=http%3A%2F%2Fwho.int%2Ficd%232195_b42302c6_9ff1_412e_a40f_2f411ad4c932","iCat")</x:f>
      </x:c>
      <x:c r="M12656" s="0" t="s">
        <x:v>21</x:v>
      </x:c>
      <x:c r="N12656" s="0" t="s">
        <x:v>46</x:v>
      </x:c>
    </x:row>
    <x:row r="12657" spans="1:16">
      <x:c r="A12657" s="0" t="s">
        <x:v>48573</x:v>
      </x:c>
      <x:c r="B12657" s="0" t="s">
        <x:v>48574</x:v>
      </x:c>
      <x:c r="C12657" s="0" t="s">
        <x:v>42840</x:v>
      </x:c>
      <x:c r="E12657" s="0" t="s">
        <x:v>48575</x:v>
      </x:c>
      <x:c r="F12657" s="0" t="s">
        <x:v>45</x:v>
      </x:c>
      <x:c r="G12657" s="0" t="s">
        <x:v>206</x:v>
      </x:c>
      <x:c r="H12657" s="0" t="s">
        <x:v>20</x:v>
      </x:c>
      <x:c r="I12657" s="0" t="s">
        <x:v>21</x:v>
      </x:c>
      <x:c r="K12657" s="0">
        <x:f>hyperlink("https://icd.who.int/dev11/l-ichi/en#/http%3A%2F%2Fid.who.int%2Ficd%2Fentity%2F2135543039","browser")</x:f>
      </x:c>
      <x:c r="L12657" s="0">
        <x:f>hyperlink("https://icat2.azurewebsites.net/icat/?ontology=ICD&amp;tab=ClassesTab&amp;id=http%3A%2F%2Fwho.int%2Ficd%232213_b42302c6_9ff1_412e_a40f_2f411ad4c932","iCat")</x:f>
      </x:c>
      <x:c r="M12657" s="0" t="s">
        <x:v>21</x:v>
      </x:c>
      <x:c r="N12657" s="0" t="s">
        <x:v>46</x:v>
      </x:c>
    </x:row>
    <x:row r="12658" spans="1:16">
      <x:c r="A12658" s="0" t="s">
        <x:v>48576</x:v>
      </x:c>
      <x:c r="B12658" s="0" t="s">
        <x:v>48577</x:v>
      </x:c>
      <x:c r="C12658" s="0" t="s">
        <x:v>42840</x:v>
      </x:c>
      <x:c r="E12658" s="0" t="s">
        <x:v>48578</x:v>
      </x:c>
      <x:c r="F12658" s="0" t="s">
        <x:v>45</x:v>
      </x:c>
      <x:c r="G12658" s="0" t="s">
        <x:v>206</x:v>
      </x:c>
      <x:c r="H12658" s="0" t="s">
        <x:v>20</x:v>
      </x:c>
      <x:c r="I12658" s="0" t="s">
        <x:v>21</x:v>
      </x:c>
      <x:c r="K12658" s="0">
        <x:f>hyperlink("https://icd.who.int/dev11/l-ichi/en#/http%3A%2F%2Fid.who.int%2Ficd%2Fentity%2F809567338","browser")</x:f>
      </x:c>
      <x:c r="L12658" s="0">
        <x:f>hyperlink("https://icat2.azurewebsites.net/icat/?ontology=ICD&amp;tab=ClassesTab&amp;id=http%3A%2F%2Fwho.int%2Ficd%232231_b42302c6_9ff1_412e_a40f_2f411ad4c932","iCat")</x:f>
      </x:c>
      <x:c r="M12658" s="0" t="s">
        <x:v>21</x:v>
      </x:c>
      <x:c r="N12658" s="0" t="s">
        <x:v>46</x:v>
      </x:c>
    </x:row>
    <x:row r="12659" spans="1:16">
      <x:c r="A12659" s="0" t="s">
        <x:v>48579</x:v>
      </x:c>
      <x:c r="B12659" s="0" t="s">
        <x:v>48580</x:v>
      </x:c>
      <x:c r="C12659" s="0" t="s">
        <x:v>42840</x:v>
      </x:c>
      <x:c r="E12659" s="0" t="s">
        <x:v>48581</x:v>
      </x:c>
      <x:c r="F12659" s="0" t="s">
        <x:v>45</x:v>
      </x:c>
      <x:c r="G12659" s="0" t="s">
        <x:v>40</x:v>
      </x:c>
      <x:c r="H12659" s="0" t="s">
        <x:v>20</x:v>
      </x:c>
      <x:c r="I12659" s="0" t="s">
        <x:v>21</x:v>
      </x:c>
      <x:c r="K12659" s="0">
        <x:f>hyperlink("https://icd.who.int/dev11/l-ichi/en#/http%3A%2F%2Fid.who.int%2Ficd%2Fentity%2F782304710","browser")</x:f>
      </x:c>
      <x:c r="L12659" s="0">
        <x:f>hyperlink("https://icat2.azurewebsites.net/icat/?ontology=ICD&amp;tab=ClassesTab&amp;id=http%3A%2F%2Fwho.int%2Ficd%231057_b42302c6_9ff1_412e_a40f_2f411ad4c932","iCat")</x:f>
      </x:c>
      <x:c r="M12659" s="0" t="s">
        <x:v>20</x:v>
      </x:c>
      <x:c r="N12659" s="0" t="s">
        <x:v>35</x:v>
      </x:c>
    </x:row>
    <x:row r="12660" spans="1:16">
      <x:c r="A12660" s="0" t="s">
        <x:v>48582</x:v>
      </x:c>
      <x:c r="B12660" s="0" t="s">
        <x:v>48583</x:v>
      </x:c>
      <x:c r="C12660" s="0" t="s">
        <x:v>42840</x:v>
      </x:c>
      <x:c r="E12660" s="0" t="s">
        <x:v>48584</x:v>
      </x:c>
      <x:c r="F12660" s="0" t="s">
        <x:v>45</x:v>
      </x:c>
      <x:c r="G12660" s="0" t="s">
        <x:v>206</x:v>
      </x:c>
      <x:c r="H12660" s="0" t="s">
        <x:v>20</x:v>
      </x:c>
      <x:c r="I12660" s="0" t="s">
        <x:v>21</x:v>
      </x:c>
      <x:c r="K12660" s="0">
        <x:f>hyperlink("https://icd.who.int/dev11/l-ichi/en#/http%3A%2F%2Fid.who.int%2Ficd%2Fentity%2F1310090789","browser")</x:f>
      </x:c>
      <x:c r="L12660" s="0">
        <x:f>hyperlink("https://icat2.azurewebsites.net/icat/?ontology=ICD&amp;tab=ClassesTab&amp;id=http%3A%2F%2Fwho.int%2Ficd%232249_b42302c6_9ff1_412e_a40f_2f411ad4c932","iCat")</x:f>
      </x:c>
      <x:c r="M12660" s="0" t="s">
        <x:v>21</x:v>
      </x:c>
      <x:c r="N12660" s="0" t="s">
        <x:v>46</x:v>
      </x:c>
    </x:row>
    <x:row r="12661" spans="1:16">
      <x:c r="A12661" s="0" t="s">
        <x:v>48585</x:v>
      </x:c>
      <x:c r="B12661" s="0" t="s">
        <x:v>48586</x:v>
      </x:c>
      <x:c r="C12661" s="0" t="s">
        <x:v>42840</x:v>
      </x:c>
      <x:c r="E12661" s="0" t="s">
        <x:v>48587</x:v>
      </x:c>
      <x:c r="F12661" s="0" t="s">
        <x:v>45</x:v>
      </x:c>
      <x:c r="G12661" s="0" t="s">
        <x:v>206</x:v>
      </x:c>
      <x:c r="H12661" s="0" t="s">
        <x:v>20</x:v>
      </x:c>
      <x:c r="I12661" s="0" t="s">
        <x:v>21</x:v>
      </x:c>
      <x:c r="K12661" s="0">
        <x:f>hyperlink("https://icd.who.int/dev11/l-ichi/en#/http%3A%2F%2Fid.who.int%2Ficd%2Fentity%2F2056788881","browser")</x:f>
      </x:c>
      <x:c r="L12661" s="0">
        <x:f>hyperlink("https://icat2.azurewebsites.net/icat/?ontology=ICD&amp;tab=ClassesTab&amp;id=http%3A%2F%2Fwho.int%2Ficd%232267_b42302c6_9ff1_412e_a40f_2f411ad4c932","iCat")</x:f>
      </x:c>
      <x:c r="M12661" s="0" t="s">
        <x:v>21</x:v>
      </x:c>
      <x:c r="N12661" s="0" t="s">
        <x:v>46</x:v>
      </x:c>
    </x:row>
    <x:row r="12662" spans="1:16">
      <x:c r="A12662" s="0" t="s">
        <x:v>48588</x:v>
      </x:c>
      <x:c r="B12662" s="0" t="s">
        <x:v>48589</x:v>
      </x:c>
      <x:c r="C12662" s="0" t="s">
        <x:v>42840</x:v>
      </x:c>
      <x:c r="E12662" s="0" t="s">
        <x:v>48590</x:v>
      </x:c>
      <x:c r="F12662" s="0" t="s">
        <x:v>45</x:v>
      </x:c>
      <x:c r="G12662" s="0" t="s">
        <x:v>206</x:v>
      </x:c>
      <x:c r="H12662" s="0" t="s">
        <x:v>20</x:v>
      </x:c>
      <x:c r="I12662" s="0" t="s">
        <x:v>21</x:v>
      </x:c>
      <x:c r="K12662" s="0">
        <x:f>hyperlink("https://icd.who.int/dev11/l-ichi/en#/http%3A%2F%2Fid.who.int%2Ficd%2Fentity%2F1522981341","browser")</x:f>
      </x:c>
      <x:c r="L12662" s="0">
        <x:f>hyperlink("https://icat2.azurewebsites.net/icat/?ontology=ICD&amp;tab=ClassesTab&amp;id=http%3A%2F%2Fwho.int%2Ficd%232285_b42302c6_9ff1_412e_a40f_2f411ad4c932","iCat")</x:f>
      </x:c>
      <x:c r="M12662" s="0" t="s">
        <x:v>21</x:v>
      </x:c>
      <x:c r="N12662" s="0" t="s">
        <x:v>46</x:v>
      </x:c>
    </x:row>
    <x:row r="12663" spans="1:16">
      <x:c r="A12663" s="0" t="s">
        <x:v>48591</x:v>
      </x:c>
      <x:c r="B12663" s="0" t="s">
        <x:v>48592</x:v>
      </x:c>
      <x:c r="C12663" s="0" t="s">
        <x:v>42840</x:v>
      </x:c>
      <x:c r="E12663" s="0" t="s">
        <x:v>48593</x:v>
      </x:c>
      <x:c r="F12663" s="0" t="s">
        <x:v>45</x:v>
      </x:c>
      <x:c r="G12663" s="0" t="s">
        <x:v>40</x:v>
      </x:c>
      <x:c r="H12663" s="0" t="s">
        <x:v>20</x:v>
      </x:c>
      <x:c r="I12663" s="0" t="s">
        <x:v>21</x:v>
      </x:c>
      <x:c r="K12663" s="0">
        <x:f>hyperlink("https://icd.who.int/dev11/l-ichi/en#/http%3A%2F%2Fid.who.int%2Ficd%2Fentity%2F1638518097","browser")</x:f>
      </x:c>
      <x:c r="L12663" s="0">
        <x:f>hyperlink("https://icat2.azurewebsites.net/icat/?ontology=ICD&amp;tab=ClassesTab&amp;id=http%3A%2F%2Fwho.int%2Ficd%231075_b42302c6_9ff1_412e_a40f_2f411ad4c932","iCat")</x:f>
      </x:c>
      <x:c r="M12663" s="0" t="s">
        <x:v>20</x:v>
      </x:c>
      <x:c r="N12663" s="0" t="s">
        <x:v>35</x:v>
      </x:c>
    </x:row>
    <x:row r="12664" spans="1:16">
      <x:c r="A12664" s="0" t="s">
        <x:v>48594</x:v>
      </x:c>
      <x:c r="B12664" s="0" t="s">
        <x:v>48595</x:v>
      </x:c>
      <x:c r="C12664" s="0" t="s">
        <x:v>42840</x:v>
      </x:c>
      <x:c r="E12664" s="0" t="s">
        <x:v>48596</x:v>
      </x:c>
      <x:c r="F12664" s="0" t="s">
        <x:v>45</x:v>
      </x:c>
      <x:c r="G12664" s="0" t="s">
        <x:v>206</x:v>
      </x:c>
      <x:c r="H12664" s="0" t="s">
        <x:v>20</x:v>
      </x:c>
      <x:c r="I12664" s="0" t="s">
        <x:v>21</x:v>
      </x:c>
      <x:c r="K12664" s="0">
        <x:f>hyperlink("https://icd.who.int/dev11/l-ichi/en#/http%3A%2F%2Fid.who.int%2Ficd%2Fentity%2F1611898677","browser")</x:f>
      </x:c>
      <x:c r="L12664" s="0">
        <x:f>hyperlink("https://icat2.azurewebsites.net/icat/?ontology=ICD&amp;tab=ClassesTab&amp;id=http%3A%2F%2Fwho.int%2Ficd%232303_b42302c6_9ff1_412e_a40f_2f411ad4c932","iCat")</x:f>
      </x:c>
      <x:c r="M12664" s="0" t="s">
        <x:v>21</x:v>
      </x:c>
      <x:c r="N12664" s="0" t="s">
        <x:v>46</x:v>
      </x:c>
    </x:row>
    <x:row r="12665" spans="1:16">
      <x:c r="A12665" s="0" t="s">
        <x:v>48597</x:v>
      </x:c>
      <x:c r="B12665" s="0" t="s">
        <x:v>48598</x:v>
      </x:c>
      <x:c r="C12665" s="0" t="s">
        <x:v>42840</x:v>
      </x:c>
      <x:c r="E12665" s="0" t="s">
        <x:v>48599</x:v>
      </x:c>
      <x:c r="F12665" s="0" t="s">
        <x:v>45</x:v>
      </x:c>
      <x:c r="G12665" s="0" t="s">
        <x:v>206</x:v>
      </x:c>
      <x:c r="H12665" s="0" t="s">
        <x:v>20</x:v>
      </x:c>
      <x:c r="I12665" s="0" t="s">
        <x:v>21</x:v>
      </x:c>
      <x:c r="K12665" s="0">
        <x:f>hyperlink("https://icd.who.int/dev11/l-ichi/en#/http%3A%2F%2Fid.who.int%2Ficd%2Fentity%2F790321056","browser")</x:f>
      </x:c>
      <x:c r="L12665" s="0">
        <x:f>hyperlink("https://icat2.azurewebsites.net/icat/?ontology=ICD&amp;tab=ClassesTab&amp;id=http%3A%2F%2Fwho.int%2Ficd%232321_b42302c6_9ff1_412e_a40f_2f411ad4c932","iCat")</x:f>
      </x:c>
      <x:c r="M12665" s="0" t="s">
        <x:v>21</x:v>
      </x:c>
      <x:c r="N12665" s="0" t="s">
        <x:v>46</x:v>
      </x:c>
    </x:row>
    <x:row r="12666" spans="1:16">
      <x:c r="A12666" s="0" t="s">
        <x:v>48600</x:v>
      </x:c>
      <x:c r="B12666" s="0" t="s">
        <x:v>48601</x:v>
      </x:c>
      <x:c r="C12666" s="0" t="s">
        <x:v>42840</x:v>
      </x:c>
      <x:c r="E12666" s="0" t="s">
        <x:v>48602</x:v>
      </x:c>
      <x:c r="F12666" s="0" t="s">
        <x:v>45</x:v>
      </x:c>
      <x:c r="G12666" s="0" t="s">
        <x:v>206</x:v>
      </x:c>
      <x:c r="H12666" s="0" t="s">
        <x:v>20</x:v>
      </x:c>
      <x:c r="I12666" s="0" t="s">
        <x:v>21</x:v>
      </x:c>
      <x:c r="K12666" s="0">
        <x:f>hyperlink("https://icd.who.int/dev11/l-ichi/en#/http%3A%2F%2Fid.who.int%2Ficd%2Fentity%2F190821282","browser")</x:f>
      </x:c>
      <x:c r="L12666" s="0">
        <x:f>hyperlink("https://icat2.azurewebsites.net/icat/?ontology=ICD&amp;tab=ClassesTab&amp;id=http%3A%2F%2Fwho.int%2Ficd%232339_b42302c6_9ff1_412e_a40f_2f411ad4c932","iCat")</x:f>
      </x:c>
      <x:c r="M12666" s="0" t="s">
        <x:v>21</x:v>
      </x:c>
      <x:c r="N12666" s="0" t="s">
        <x:v>46</x:v>
      </x:c>
    </x:row>
    <x:row r="12667" spans="1:16">
      <x:c r="A12667" s="0" t="s">
        <x:v>48603</x:v>
      </x:c>
      <x:c r="B12667" s="0" t="s">
        <x:v>48604</x:v>
      </x:c>
      <x:c r="C12667" s="0" t="s">
        <x:v>42840</x:v>
      </x:c>
      <x:c r="E12667" s="0" t="s">
        <x:v>48605</x:v>
      </x:c>
      <x:c r="F12667" s="0" t="s">
        <x:v>45</x:v>
      </x:c>
      <x:c r="G12667" s="0" t="s">
        <x:v>40</x:v>
      </x:c>
      <x:c r="H12667" s="0" t="s">
        <x:v>20</x:v>
      </x:c>
      <x:c r="I12667" s="0" t="s">
        <x:v>21</x:v>
      </x:c>
      <x:c r="K12667" s="0">
        <x:f>hyperlink("https://icd.who.int/dev11/l-ichi/en#/http%3A%2F%2Fid.who.int%2Ficd%2Fentity%2F1961937769","browser")</x:f>
      </x:c>
      <x:c r="L12667" s="0">
        <x:f>hyperlink("https://icat2.azurewebsites.net/icat/?ontology=ICD&amp;tab=ClassesTab&amp;id=http%3A%2F%2Fwho.int%2Ficd%231093_b42302c6_9ff1_412e_a40f_2f411ad4c932","iCat")</x:f>
      </x:c>
      <x:c r="M12667" s="0" t="s">
        <x:v>20</x:v>
      </x:c>
      <x:c r="N12667" s="0" t="s">
        <x:v>35</x:v>
      </x:c>
    </x:row>
    <x:row r="12668" spans="1:16">
      <x:c r="A12668" s="0" t="s">
        <x:v>48606</x:v>
      </x:c>
      <x:c r="B12668" s="0" t="s">
        <x:v>48607</x:v>
      </x:c>
      <x:c r="C12668" s="0" t="s">
        <x:v>42840</x:v>
      </x:c>
      <x:c r="E12668" s="0" t="s">
        <x:v>48608</x:v>
      </x:c>
      <x:c r="F12668" s="0" t="s">
        <x:v>45</x:v>
      </x:c>
      <x:c r="G12668" s="0" t="s">
        <x:v>206</x:v>
      </x:c>
      <x:c r="H12668" s="0" t="s">
        <x:v>20</x:v>
      </x:c>
      <x:c r="I12668" s="0" t="s">
        <x:v>21</x:v>
      </x:c>
      <x:c r="K12668" s="0">
        <x:f>hyperlink("https://icd.who.int/dev11/l-ichi/en#/http%3A%2F%2Fid.who.int%2Ficd%2Fentity%2F1337367819","browser")</x:f>
      </x:c>
      <x:c r="L12668" s="0">
        <x:f>hyperlink("https://icat2.azurewebsites.net/icat/?ontology=ICD&amp;tab=ClassesTab&amp;id=http%3A%2F%2Fwho.int%2Ficd%232357_b42302c6_9ff1_412e_a40f_2f411ad4c932","iCat")</x:f>
      </x:c>
      <x:c r="M12668" s="0" t="s">
        <x:v>21</x:v>
      </x:c>
      <x:c r="N12668" s="0" t="s">
        <x:v>46</x:v>
      </x:c>
    </x:row>
    <x:row r="12669" spans="1:16">
      <x:c r="A12669" s="0" t="s">
        <x:v>48609</x:v>
      </x:c>
      <x:c r="B12669" s="0" t="s">
        <x:v>48610</x:v>
      </x:c>
      <x:c r="C12669" s="0" t="s">
        <x:v>42840</x:v>
      </x:c>
      <x:c r="E12669" s="0" t="s">
        <x:v>48611</x:v>
      </x:c>
      <x:c r="F12669" s="0" t="s">
        <x:v>45</x:v>
      </x:c>
      <x:c r="G12669" s="0" t="s">
        <x:v>206</x:v>
      </x:c>
      <x:c r="H12669" s="0" t="s">
        <x:v>20</x:v>
      </x:c>
      <x:c r="I12669" s="0" t="s">
        <x:v>21</x:v>
      </x:c>
      <x:c r="K12669" s="0">
        <x:f>hyperlink("https://icd.who.int/dev11/l-ichi/en#/http%3A%2F%2Fid.who.int%2Ficd%2Fentity%2F12473760","browser")</x:f>
      </x:c>
      <x:c r="L12669" s="0">
        <x:f>hyperlink("https://icat2.azurewebsites.net/icat/?ontology=ICD&amp;tab=ClassesTab&amp;id=http%3A%2F%2Fwho.int%2Ficd%232375_b42302c6_9ff1_412e_a40f_2f411ad4c932","iCat")</x:f>
      </x:c>
      <x:c r="M12669" s="0" t="s">
        <x:v>21</x:v>
      </x:c>
      <x:c r="N12669" s="0" t="s">
        <x:v>46</x:v>
      </x:c>
    </x:row>
    <x:row r="12670" spans="1:16">
      <x:c r="A12670" s="0" t="s">
        <x:v>48612</x:v>
      </x:c>
      <x:c r="B12670" s="0" t="s">
        <x:v>48613</x:v>
      </x:c>
      <x:c r="C12670" s="0" t="s">
        <x:v>42840</x:v>
      </x:c>
      <x:c r="E12670" s="0" t="s">
        <x:v>48614</x:v>
      </x:c>
      <x:c r="F12670" s="0" t="s">
        <x:v>45</x:v>
      </x:c>
      <x:c r="G12670" s="0" t="s">
        <x:v>206</x:v>
      </x:c>
      <x:c r="H12670" s="0" t="s">
        <x:v>20</x:v>
      </x:c>
      <x:c r="I12670" s="0" t="s">
        <x:v>21</x:v>
      </x:c>
      <x:c r="K12670" s="0">
        <x:f>hyperlink("https://icd.who.int/dev11/l-ichi/en#/http%3A%2F%2Fid.who.int%2Ficd%2Fentity%2F367481766","browser")</x:f>
      </x:c>
      <x:c r="L12670" s="0">
        <x:f>hyperlink("https://icat2.azurewebsites.net/icat/?ontology=ICD&amp;tab=ClassesTab&amp;id=http%3A%2F%2Fwho.int%2Ficd%232393_b42302c6_9ff1_412e_a40f_2f411ad4c932","iCat")</x:f>
      </x:c>
      <x:c r="M12670" s="0" t="s">
        <x:v>21</x:v>
      </x:c>
      <x:c r="N12670" s="0" t="s">
        <x:v>46</x:v>
      </x:c>
    </x:row>
    <x:row r="12671" spans="1:16">
      <x:c r="A12671" s="0" t="s">
        <x:v>48615</x:v>
      </x:c>
      <x:c r="B12671" s="0" t="s">
        <x:v>48616</x:v>
      </x:c>
      <x:c r="C12671" s="0" t="s">
        <x:v>42840</x:v>
      </x:c>
      <x:c r="E12671" s="0" t="s">
        <x:v>48617</x:v>
      </x:c>
      <x:c r="F12671" s="0" t="s">
        <x:v>45</x:v>
      </x:c>
      <x:c r="G12671" s="0" t="s">
        <x:v>40</x:v>
      </x:c>
      <x:c r="H12671" s="0" t="s">
        <x:v>20</x:v>
      </x:c>
      <x:c r="I12671" s="0" t="s">
        <x:v>21</x:v>
      </x:c>
      <x:c r="K12671" s="0">
        <x:f>hyperlink("https://icd.who.int/dev11/l-ichi/en#/http%3A%2F%2Fid.who.int%2Ficd%2Fentity%2F2065844725","browser")</x:f>
      </x:c>
      <x:c r="L12671" s="0">
        <x:f>hyperlink("https://icat2.azurewebsites.net/icat/?ontology=ICD&amp;tab=ClassesTab&amp;id=http%3A%2F%2Fwho.int%2Ficd%231111_b42302c6_9ff1_412e_a40f_2f411ad4c932","iCat")</x:f>
      </x:c>
      <x:c r="M12671" s="0" t="s">
        <x:v>20</x:v>
      </x:c>
      <x:c r="N12671" s="0" t="s">
        <x:v>35</x:v>
      </x:c>
    </x:row>
    <x:row r="12672" spans="1:16">
      <x:c r="A12672" s="0" t="s">
        <x:v>48618</x:v>
      </x:c>
      <x:c r="B12672" s="0" t="s">
        <x:v>48619</x:v>
      </x:c>
      <x:c r="C12672" s="0" t="s">
        <x:v>42840</x:v>
      </x:c>
      <x:c r="E12672" s="0" t="s">
        <x:v>48620</x:v>
      </x:c>
      <x:c r="F12672" s="0" t="s">
        <x:v>45</x:v>
      </x:c>
      <x:c r="G12672" s="0" t="s">
        <x:v>206</x:v>
      </x:c>
      <x:c r="H12672" s="0" t="s">
        <x:v>20</x:v>
      </x:c>
      <x:c r="I12672" s="0" t="s">
        <x:v>21</x:v>
      </x:c>
      <x:c r="K12672" s="0">
        <x:f>hyperlink("https://icd.who.int/dev11/l-ichi/en#/http%3A%2F%2Fid.who.int%2Ficd%2Fentity%2F66830283","browser")</x:f>
      </x:c>
      <x:c r="L12672" s="0">
        <x:f>hyperlink("https://icat2.azurewebsites.net/icat/?ontology=ICD&amp;tab=ClassesTab&amp;id=http%3A%2F%2Fwho.int%2Ficd%232411_b42302c6_9ff1_412e_a40f_2f411ad4c932","iCat")</x:f>
      </x:c>
      <x:c r="M12672" s="0" t="s">
        <x:v>21</x:v>
      </x:c>
      <x:c r="N12672" s="0" t="s">
        <x:v>46</x:v>
      </x:c>
    </x:row>
    <x:row r="12673" spans="1:16">
      <x:c r="A12673" s="0" t="s">
        <x:v>48621</x:v>
      </x:c>
      <x:c r="B12673" s="0" t="s">
        <x:v>48622</x:v>
      </x:c>
      <x:c r="C12673" s="0" t="s">
        <x:v>42840</x:v>
      </x:c>
      <x:c r="E12673" s="0" t="s">
        <x:v>48623</x:v>
      </x:c>
      <x:c r="F12673" s="0" t="s">
        <x:v>45</x:v>
      </x:c>
      <x:c r="G12673" s="0" t="s">
        <x:v>206</x:v>
      </x:c>
      <x:c r="H12673" s="0" t="s">
        <x:v>20</x:v>
      </x:c>
      <x:c r="I12673" s="0" t="s">
        <x:v>21</x:v>
      </x:c>
      <x:c r="K12673" s="0">
        <x:f>hyperlink("https://icd.who.int/dev11/l-ichi/en#/http%3A%2F%2Fid.who.int%2Ficd%2Fentity%2F231444121","browser")</x:f>
      </x:c>
      <x:c r="L12673" s="0">
        <x:f>hyperlink("https://icat2.azurewebsites.net/icat/?ontology=ICD&amp;tab=ClassesTab&amp;id=http%3A%2F%2Fwho.int%2Ficd%232429_b42302c6_9ff1_412e_a40f_2f411ad4c932","iCat")</x:f>
      </x:c>
      <x:c r="M12673" s="0" t="s">
        <x:v>21</x:v>
      </x:c>
      <x:c r="N12673" s="0" t="s">
        <x:v>46</x:v>
      </x:c>
    </x:row>
    <x:row r="12674" spans="1:16">
      <x:c r="A12674" s="0" t="s">
        <x:v>48624</x:v>
      </x:c>
      <x:c r="B12674" s="0" t="s">
        <x:v>48625</x:v>
      </x:c>
      <x:c r="C12674" s="0" t="s">
        <x:v>42840</x:v>
      </x:c>
      <x:c r="E12674" s="0" t="s">
        <x:v>48626</x:v>
      </x:c>
      <x:c r="F12674" s="0" t="s">
        <x:v>45</x:v>
      </x:c>
      <x:c r="G12674" s="0" t="s">
        <x:v>206</x:v>
      </x:c>
      <x:c r="H12674" s="0" t="s">
        <x:v>20</x:v>
      </x:c>
      <x:c r="I12674" s="0" t="s">
        <x:v>21</x:v>
      </x:c>
      <x:c r="K12674" s="0">
        <x:f>hyperlink("https://icd.who.int/dev11/l-ichi/en#/http%3A%2F%2Fid.who.int%2Ficd%2Fentity%2F1227006002","browser")</x:f>
      </x:c>
      <x:c r="L12674" s="0">
        <x:f>hyperlink("https://icat2.azurewebsites.net/icat/?ontology=ICD&amp;tab=ClassesTab&amp;id=http%3A%2F%2Fwho.int%2Ficd%232447_b42302c6_9ff1_412e_a40f_2f411ad4c932","iCat")</x:f>
      </x:c>
      <x:c r="M12674" s="0" t="s">
        <x:v>21</x:v>
      </x:c>
      <x:c r="N12674" s="0" t="s">
        <x:v>46</x:v>
      </x:c>
    </x:row>
    <x:row r="12675" spans="1:16">
      <x:c r="A12675" s="0" t="s">
        <x:v>48627</x:v>
      </x:c>
      <x:c r="B12675" s="0" t="s">
        <x:v>48628</x:v>
      </x:c>
      <x:c r="C12675" s="0" t="s">
        <x:v>42840</x:v>
      </x:c>
      <x:c r="E12675" s="0" t="s">
        <x:v>48629</x:v>
      </x:c>
      <x:c r="F12675" s="0" t="s">
        <x:v>45</x:v>
      </x:c>
      <x:c r="G12675" s="0" t="s">
        <x:v>22</x:v>
      </x:c>
      <x:c r="H12675" s="0" t="s">
        <x:v>20</x:v>
      </x:c>
      <x:c r="I12675" s="0" t="s">
        <x:v>21</x:v>
      </x:c>
      <x:c r="K12675" s="0">
        <x:f>hyperlink("https://icd.who.int/dev11/l-ichi/en#/http%3A%2F%2Fid.who.int%2Ficd%2Fentity%2F929081680","browser")</x:f>
      </x:c>
      <x:c r="L12675" s="0">
        <x:f>hyperlink("https://icat2.azurewebsites.net/icat/?ontology=ICD&amp;tab=ClassesTab&amp;id=http%3A%2F%2Fwho.int%2Ficd%23SpecificAnatomicLocation_1188","iCat")</x:f>
      </x:c>
      <x:c r="M12675" s="0" t="s">
        <x:v>20</x:v>
      </x:c>
      <x:c r="N12675" s="0" t="s">
        <x:v>40</x:v>
      </x:c>
    </x:row>
    <x:row r="12676" spans="1:16">
      <x:c r="A12676" s="0" t="s">
        <x:v>48630</x:v>
      </x:c>
      <x:c r="B12676" s="0" t="s">
        <x:v>48631</x:v>
      </x:c>
      <x:c r="C12676" s="0" t="s">
        <x:v>42840</x:v>
      </x:c>
      <x:c r="E12676" s="0" t="s">
        <x:v>48632</x:v>
      </x:c>
      <x:c r="F12676" s="0" t="s">
        <x:v>45</x:v>
      </x:c>
      <x:c r="G12676" s="0" t="s">
        <x:v>40</x:v>
      </x:c>
      <x:c r="H12676" s="0" t="s">
        <x:v>20</x:v>
      </x:c>
      <x:c r="I12676" s="0" t="s">
        <x:v>21</x:v>
      </x:c>
      <x:c r="K12676" s="0">
        <x:f>hyperlink("https://icd.who.int/dev11/l-ichi/en#/http%3A%2F%2Fid.who.int%2Ficd%2Fentity%2F1849866651","browser")</x:f>
      </x:c>
      <x:c r="L12676" s="0">
        <x:f>hyperlink("https://icat2.azurewebsites.net/icat/?ontology=ICD&amp;tab=ClassesTab&amp;id=http%3A%2F%2Fwho.int%2Ficd%23823_b42302c6_9ff1_412e_a40f_2f411ad4c932","iCat")</x:f>
      </x:c>
      <x:c r="M12676" s="0" t="s">
        <x:v>20</x:v>
      </x:c>
      <x:c r="N12676" s="0" t="s">
        <x:v>35</x:v>
      </x:c>
    </x:row>
    <x:row r="12677" spans="1:16">
      <x:c r="A12677" s="0" t="s">
        <x:v>48633</x:v>
      </x:c>
      <x:c r="B12677" s="0" t="s">
        <x:v>48634</x:v>
      </x:c>
      <x:c r="C12677" s="0" t="s">
        <x:v>42840</x:v>
      </x:c>
      <x:c r="E12677" s="0" t="s">
        <x:v>48635</x:v>
      </x:c>
      <x:c r="F12677" s="0" t="s">
        <x:v>45</x:v>
      </x:c>
      <x:c r="G12677" s="0" t="s">
        <x:v>206</x:v>
      </x:c>
      <x:c r="H12677" s="0" t="s">
        <x:v>20</x:v>
      </x:c>
      <x:c r="I12677" s="0" t="s">
        <x:v>21</x:v>
      </x:c>
      <x:c r="K12677" s="0">
        <x:f>hyperlink("https://icd.who.int/dev11/l-ichi/en#/http%3A%2F%2Fid.who.int%2Ficd%2Fentity%2F103442597","browser")</x:f>
      </x:c>
      <x:c r="L12677" s="0">
        <x:f>hyperlink("https://icat2.azurewebsites.net/icat/?ontology=ICD&amp;tab=ClassesTab&amp;id=http%3A%2F%2Fwho.int%2Ficd%232465_b42302c6_9ff1_412e_a40f_2f411ad4c932","iCat")</x:f>
      </x:c>
      <x:c r="M12677" s="0" t="s">
        <x:v>21</x:v>
      </x:c>
      <x:c r="N12677" s="0" t="s">
        <x:v>46</x:v>
      </x:c>
    </x:row>
    <x:row r="12678" spans="1:16">
      <x:c r="A12678" s="0" t="s">
        <x:v>48636</x:v>
      </x:c>
      <x:c r="B12678" s="0" t="s">
        <x:v>48637</x:v>
      </x:c>
      <x:c r="C12678" s="0" t="s">
        <x:v>42840</x:v>
      </x:c>
      <x:c r="E12678" s="0" t="s">
        <x:v>48638</x:v>
      </x:c>
      <x:c r="F12678" s="0" t="s">
        <x:v>45</x:v>
      </x:c>
      <x:c r="G12678" s="0" t="s">
        <x:v>206</x:v>
      </x:c>
      <x:c r="H12678" s="0" t="s">
        <x:v>20</x:v>
      </x:c>
      <x:c r="I12678" s="0" t="s">
        <x:v>21</x:v>
      </x:c>
      <x:c r="K12678" s="0">
        <x:f>hyperlink("https://icd.who.int/dev11/l-ichi/en#/http%3A%2F%2Fid.who.int%2Ficd%2Fentity%2F326332061","browser")</x:f>
      </x:c>
      <x:c r="L12678" s="0">
        <x:f>hyperlink("https://icat2.azurewebsites.net/icat/?ontology=ICD&amp;tab=ClassesTab&amp;id=http%3A%2F%2Fwho.int%2Ficd%232483_b42302c6_9ff1_412e_a40f_2f411ad4c932","iCat")</x:f>
      </x:c>
      <x:c r="M12678" s="0" t="s">
        <x:v>21</x:v>
      </x:c>
      <x:c r="N12678" s="0" t="s">
        <x:v>46</x:v>
      </x:c>
    </x:row>
    <x:row r="12679" spans="1:16">
      <x:c r="A12679" s="0" t="s">
        <x:v>48639</x:v>
      </x:c>
      <x:c r="B12679" s="0" t="s">
        <x:v>48640</x:v>
      </x:c>
      <x:c r="C12679" s="0" t="s">
        <x:v>42840</x:v>
      </x:c>
      <x:c r="E12679" s="0" t="s">
        <x:v>48641</x:v>
      </x:c>
      <x:c r="F12679" s="0" t="s">
        <x:v>45</x:v>
      </x:c>
      <x:c r="G12679" s="0" t="s">
        <x:v>206</x:v>
      </x:c>
      <x:c r="H12679" s="0" t="s">
        <x:v>20</x:v>
      </x:c>
      <x:c r="I12679" s="0" t="s">
        <x:v>21</x:v>
      </x:c>
      <x:c r="K12679" s="0">
        <x:f>hyperlink("https://icd.who.int/dev11/l-ichi/en#/http%3A%2F%2Fid.who.int%2Ficd%2Fentity%2F480373761","browser")</x:f>
      </x:c>
      <x:c r="L12679" s="0">
        <x:f>hyperlink("https://icat2.azurewebsites.net/icat/?ontology=ICD&amp;tab=ClassesTab&amp;id=http%3A%2F%2Fwho.int%2Ficd%232501_b42302c6_9ff1_412e_a40f_2f411ad4c932","iCat")</x:f>
      </x:c>
      <x:c r="M12679" s="0" t="s">
        <x:v>21</x:v>
      </x:c>
      <x:c r="N12679" s="0" t="s">
        <x:v>46</x:v>
      </x:c>
    </x:row>
    <x:row r="12680" spans="1:16">
      <x:c r="A12680" s="0" t="s">
        <x:v>48642</x:v>
      </x:c>
      <x:c r="B12680" s="0" t="s">
        <x:v>48643</x:v>
      </x:c>
      <x:c r="C12680" s="0" t="s">
        <x:v>42840</x:v>
      </x:c>
      <x:c r="E12680" s="0" t="s">
        <x:v>48644</x:v>
      </x:c>
      <x:c r="F12680" s="0" t="s">
        <x:v>45</x:v>
      </x:c>
      <x:c r="G12680" s="0" t="s">
        <x:v>40</x:v>
      </x:c>
      <x:c r="H12680" s="0" t="s">
        <x:v>20</x:v>
      </x:c>
      <x:c r="I12680" s="0" t="s">
        <x:v>21</x:v>
      </x:c>
      <x:c r="K12680" s="0">
        <x:f>hyperlink("https://icd.who.int/dev11/l-ichi/en#/http%3A%2F%2Fid.who.int%2Ficd%2Fentity%2F1361912339","browser")</x:f>
      </x:c>
      <x:c r="L12680" s="0">
        <x:f>hyperlink("https://icat2.azurewebsites.net/icat/?ontology=ICD&amp;tab=ClassesTab&amp;id=http%3A%2F%2Fwho.int%2Ficd%23841_b42302c6_9ff1_412e_a40f_2f411ad4c932","iCat")</x:f>
      </x:c>
      <x:c r="M12680" s="0" t="s">
        <x:v>20</x:v>
      </x:c>
      <x:c r="N12680" s="0" t="s">
        <x:v>35</x:v>
      </x:c>
    </x:row>
    <x:row r="12681" spans="1:16">
      <x:c r="A12681" s="0" t="s">
        <x:v>48645</x:v>
      </x:c>
      <x:c r="B12681" s="0" t="s">
        <x:v>48646</x:v>
      </x:c>
      <x:c r="C12681" s="0" t="s">
        <x:v>42840</x:v>
      </x:c>
      <x:c r="E12681" s="0" t="s">
        <x:v>48647</x:v>
      </x:c>
      <x:c r="F12681" s="0" t="s">
        <x:v>45</x:v>
      </x:c>
      <x:c r="G12681" s="0" t="s">
        <x:v>206</x:v>
      </x:c>
      <x:c r="H12681" s="0" t="s">
        <x:v>20</x:v>
      </x:c>
      <x:c r="I12681" s="0" t="s">
        <x:v>21</x:v>
      </x:c>
      <x:c r="K12681" s="0">
        <x:f>hyperlink("https://icd.who.int/dev11/l-ichi/en#/http%3A%2F%2Fid.who.int%2Ficd%2Fentity%2F954533891","browser")</x:f>
      </x:c>
      <x:c r="L12681" s="0">
        <x:f>hyperlink("https://icat2.azurewebsites.net/icat/?ontology=ICD&amp;tab=ClassesTab&amp;id=http%3A%2F%2Fwho.int%2Ficd%232519_b42302c6_9ff1_412e_a40f_2f411ad4c932","iCat")</x:f>
      </x:c>
      <x:c r="M12681" s="0" t="s">
        <x:v>21</x:v>
      </x:c>
      <x:c r="N12681" s="0" t="s">
        <x:v>46</x:v>
      </x:c>
    </x:row>
    <x:row r="12682" spans="1:16">
      <x:c r="A12682" s="0" t="s">
        <x:v>48648</x:v>
      </x:c>
      <x:c r="B12682" s="0" t="s">
        <x:v>48649</x:v>
      </x:c>
      <x:c r="C12682" s="0" t="s">
        <x:v>42840</x:v>
      </x:c>
      <x:c r="E12682" s="0" t="s">
        <x:v>48650</x:v>
      </x:c>
      <x:c r="F12682" s="0" t="s">
        <x:v>45</x:v>
      </x:c>
      <x:c r="G12682" s="0" t="s">
        <x:v>206</x:v>
      </x:c>
      <x:c r="H12682" s="0" t="s">
        <x:v>20</x:v>
      </x:c>
      <x:c r="I12682" s="0" t="s">
        <x:v>21</x:v>
      </x:c>
      <x:c r="K12682" s="0">
        <x:f>hyperlink("https://icd.who.int/dev11/l-ichi/en#/http%3A%2F%2Fid.who.int%2Ficd%2Fentity%2F208369079","browser")</x:f>
      </x:c>
      <x:c r="L12682" s="0">
        <x:f>hyperlink("https://icat2.azurewebsites.net/icat/?ontology=ICD&amp;tab=ClassesTab&amp;id=http%3A%2F%2Fwho.int%2Ficd%232537_b42302c6_9ff1_412e_a40f_2f411ad4c932","iCat")</x:f>
      </x:c>
      <x:c r="M12682" s="0" t="s">
        <x:v>21</x:v>
      </x:c>
      <x:c r="N12682" s="0" t="s">
        <x:v>46</x:v>
      </x:c>
    </x:row>
    <x:row r="12683" spans="1:16">
      <x:c r="A12683" s="0" t="s">
        <x:v>48651</x:v>
      </x:c>
      <x:c r="B12683" s="0" t="s">
        <x:v>48652</x:v>
      </x:c>
      <x:c r="C12683" s="0" t="s">
        <x:v>42840</x:v>
      </x:c>
      <x:c r="E12683" s="0" t="s">
        <x:v>48653</x:v>
      </x:c>
      <x:c r="F12683" s="0" t="s">
        <x:v>45</x:v>
      </x:c>
      <x:c r="G12683" s="0" t="s">
        <x:v>206</x:v>
      </x:c>
      <x:c r="H12683" s="0" t="s">
        <x:v>20</x:v>
      </x:c>
      <x:c r="I12683" s="0" t="s">
        <x:v>21</x:v>
      </x:c>
      <x:c r="K12683" s="0">
        <x:f>hyperlink("https://icd.who.int/dev11/l-ichi/en#/http%3A%2F%2Fid.who.int%2Ficd%2Fentity%2F855961151","browser")</x:f>
      </x:c>
      <x:c r="L12683" s="0">
        <x:f>hyperlink("https://icat2.azurewebsites.net/icat/?ontology=ICD&amp;tab=ClassesTab&amp;id=http%3A%2F%2Fwho.int%2Ficd%232555_b42302c6_9ff1_412e_a40f_2f411ad4c932","iCat")</x:f>
      </x:c>
      <x:c r="M12683" s="0" t="s">
        <x:v>21</x:v>
      </x:c>
      <x:c r="N12683" s="0" t="s">
        <x:v>46</x:v>
      </x:c>
    </x:row>
    <x:row r="12684" spans="1:16">
      <x:c r="A12684" s="0" t="s">
        <x:v>48654</x:v>
      </x:c>
      <x:c r="B12684" s="0" t="s">
        <x:v>48655</x:v>
      </x:c>
      <x:c r="C12684" s="0" t="s">
        <x:v>42840</x:v>
      </x:c>
      <x:c r="E12684" s="0" t="s">
        <x:v>48656</x:v>
      </x:c>
      <x:c r="F12684" s="0" t="s">
        <x:v>45</x:v>
      </x:c>
      <x:c r="G12684" s="0" t="s">
        <x:v>40</x:v>
      </x:c>
      <x:c r="H12684" s="0" t="s">
        <x:v>20</x:v>
      </x:c>
      <x:c r="I12684" s="0" t="s">
        <x:v>21</x:v>
      </x:c>
      <x:c r="K12684" s="0">
        <x:f>hyperlink("https://icd.who.int/dev11/l-ichi/en#/http%3A%2F%2Fid.who.int%2Ficd%2Fentity%2F1969866257","browser")</x:f>
      </x:c>
      <x:c r="L12684" s="0">
        <x:f>hyperlink("https://icat2.azurewebsites.net/icat/?ontology=ICD&amp;tab=ClassesTab&amp;id=http%3A%2F%2Fwho.int%2Ficd%23859_b42302c6_9ff1_412e_a40f_2f411ad4c932","iCat")</x:f>
      </x:c>
      <x:c r="M12684" s="0" t="s">
        <x:v>20</x:v>
      </x:c>
      <x:c r="N12684" s="0" t="s">
        <x:v>35</x:v>
      </x:c>
    </x:row>
    <x:row r="12685" spans="1:16">
      <x:c r="A12685" s="0" t="s">
        <x:v>48657</x:v>
      </x:c>
      <x:c r="B12685" s="0" t="s">
        <x:v>48658</x:v>
      </x:c>
      <x:c r="C12685" s="0" t="s">
        <x:v>42840</x:v>
      </x:c>
      <x:c r="E12685" s="0" t="s">
        <x:v>48659</x:v>
      </x:c>
      <x:c r="F12685" s="0" t="s">
        <x:v>45</x:v>
      </x:c>
      <x:c r="G12685" s="0" t="s">
        <x:v>206</x:v>
      </x:c>
      <x:c r="H12685" s="0" t="s">
        <x:v>20</x:v>
      </x:c>
      <x:c r="I12685" s="0" t="s">
        <x:v>21</x:v>
      </x:c>
      <x:c r="K12685" s="0">
        <x:f>hyperlink("https://icd.who.int/dev11/l-ichi/en#/http%3A%2F%2Fid.who.int%2Ficd%2Fentity%2F1225515744","browser")</x:f>
      </x:c>
      <x:c r="L12685" s="0">
        <x:f>hyperlink("https://icat2.azurewebsites.net/icat/?ontology=ICD&amp;tab=ClassesTab&amp;id=http%3A%2F%2Fwho.int%2Ficd%232573_b42302c6_9ff1_412e_a40f_2f411ad4c932","iCat")</x:f>
      </x:c>
      <x:c r="M12685" s="0" t="s">
        <x:v>21</x:v>
      </x:c>
      <x:c r="N12685" s="0" t="s">
        <x:v>46</x:v>
      </x:c>
    </x:row>
    <x:row r="12686" spans="1:16">
      <x:c r="A12686" s="0" t="s">
        <x:v>48660</x:v>
      </x:c>
      <x:c r="B12686" s="0" t="s">
        <x:v>48661</x:v>
      </x:c>
      <x:c r="C12686" s="0" t="s">
        <x:v>42840</x:v>
      </x:c>
      <x:c r="E12686" s="0" t="s">
        <x:v>48662</x:v>
      </x:c>
      <x:c r="F12686" s="0" t="s">
        <x:v>45</x:v>
      </x:c>
      <x:c r="G12686" s="0" t="s">
        <x:v>206</x:v>
      </x:c>
      <x:c r="H12686" s="0" t="s">
        <x:v>20</x:v>
      </x:c>
      <x:c r="I12686" s="0" t="s">
        <x:v>21</x:v>
      </x:c>
      <x:c r="K12686" s="0">
        <x:f>hyperlink("https://icd.who.int/dev11/l-ichi/en#/http%3A%2F%2Fid.who.int%2Ficd%2Fentity%2F1767186580","browser")</x:f>
      </x:c>
      <x:c r="L12686" s="0">
        <x:f>hyperlink("https://icat2.azurewebsites.net/icat/?ontology=ICD&amp;tab=ClassesTab&amp;id=http%3A%2F%2Fwho.int%2Ficd%232591_b42302c6_9ff1_412e_a40f_2f411ad4c932","iCat")</x:f>
      </x:c>
      <x:c r="M12686" s="0" t="s">
        <x:v>21</x:v>
      </x:c>
      <x:c r="N12686" s="0" t="s">
        <x:v>46</x:v>
      </x:c>
    </x:row>
    <x:row r="12687" spans="1:16">
      <x:c r="A12687" s="0" t="s">
        <x:v>48663</x:v>
      </x:c>
      <x:c r="B12687" s="0" t="s">
        <x:v>48664</x:v>
      </x:c>
      <x:c r="C12687" s="0" t="s">
        <x:v>42840</x:v>
      </x:c>
      <x:c r="E12687" s="0" t="s">
        <x:v>48665</x:v>
      </x:c>
      <x:c r="F12687" s="0" t="s">
        <x:v>45</x:v>
      </x:c>
      <x:c r="G12687" s="0" t="s">
        <x:v>206</x:v>
      </x:c>
      <x:c r="H12687" s="0" t="s">
        <x:v>20</x:v>
      </x:c>
      <x:c r="I12687" s="0" t="s">
        <x:v>21</x:v>
      </x:c>
      <x:c r="K12687" s="0">
        <x:f>hyperlink("https://icd.who.int/dev11/l-ichi/en#/http%3A%2F%2Fid.who.int%2Ficd%2Fentity%2F863971597","browser")</x:f>
      </x:c>
      <x:c r="L12687" s="0">
        <x:f>hyperlink("https://icat2.azurewebsites.net/icat/?ontology=ICD&amp;tab=ClassesTab&amp;id=http%3A%2F%2Fwho.int%2Ficd%232609_b42302c6_9ff1_412e_a40f_2f411ad4c932","iCat")</x:f>
      </x:c>
      <x:c r="M12687" s="0" t="s">
        <x:v>21</x:v>
      </x:c>
      <x:c r="N12687" s="0" t="s">
        <x:v>46</x:v>
      </x:c>
    </x:row>
    <x:row r="12688" spans="1:16">
      <x:c r="A12688" s="0" t="s">
        <x:v>48666</x:v>
      </x:c>
      <x:c r="B12688" s="0" t="s">
        <x:v>48667</x:v>
      </x:c>
      <x:c r="C12688" s="0" t="s">
        <x:v>42840</x:v>
      </x:c>
      <x:c r="E12688" s="0" t="s">
        <x:v>48668</x:v>
      </x:c>
      <x:c r="F12688" s="0" t="s">
        <x:v>45</x:v>
      </x:c>
      <x:c r="G12688" s="0" t="s">
        <x:v>40</x:v>
      </x:c>
      <x:c r="H12688" s="0" t="s">
        <x:v>20</x:v>
      </x:c>
      <x:c r="I12688" s="0" t="s">
        <x:v>21</x:v>
      </x:c>
      <x:c r="K12688" s="0">
        <x:f>hyperlink("https://icd.who.int/dev11/l-ichi/en#/http%3A%2F%2Fid.who.int%2Ficd%2Fentity%2F1105705893","browser")</x:f>
      </x:c>
      <x:c r="L12688" s="0">
        <x:f>hyperlink("https://icat2.azurewebsites.net/icat/?ontology=ICD&amp;tab=ClassesTab&amp;id=http%3A%2F%2Fwho.int%2Ficd%23877_b42302c6_9ff1_412e_a40f_2f411ad4c932","iCat")</x:f>
      </x:c>
      <x:c r="M12688" s="0" t="s">
        <x:v>20</x:v>
      </x:c>
      <x:c r="N12688" s="0" t="s">
        <x:v>35</x:v>
      </x:c>
    </x:row>
    <x:row r="12689" spans="1:16">
      <x:c r="A12689" s="0" t="s">
        <x:v>48669</x:v>
      </x:c>
      <x:c r="B12689" s="0" t="s">
        <x:v>48670</x:v>
      </x:c>
      <x:c r="C12689" s="0" t="s">
        <x:v>42840</x:v>
      </x:c>
      <x:c r="E12689" s="0" t="s">
        <x:v>48671</x:v>
      </x:c>
      <x:c r="F12689" s="0" t="s">
        <x:v>45</x:v>
      </x:c>
      <x:c r="G12689" s="0" t="s">
        <x:v>206</x:v>
      </x:c>
      <x:c r="H12689" s="0" t="s">
        <x:v>20</x:v>
      </x:c>
      <x:c r="I12689" s="0" t="s">
        <x:v>21</x:v>
      </x:c>
      <x:c r="K12689" s="0">
        <x:f>hyperlink("https://icd.who.int/dev11/l-ichi/en#/http%3A%2F%2Fid.who.int%2Ficd%2Fentity%2F133256377","browser")</x:f>
      </x:c>
      <x:c r="L12689" s="0">
        <x:f>hyperlink("https://icat2.azurewebsites.net/icat/?ontology=ICD&amp;tab=ClassesTab&amp;id=http%3A%2F%2Fwho.int%2Ficd%232627_b42302c6_9ff1_412e_a40f_2f411ad4c932","iCat")</x:f>
      </x:c>
      <x:c r="M12689" s="0" t="s">
        <x:v>21</x:v>
      </x:c>
      <x:c r="N12689" s="0" t="s">
        <x:v>46</x:v>
      </x:c>
    </x:row>
    <x:row r="12690" spans="1:16">
      <x:c r="A12690" s="0" t="s">
        <x:v>48672</x:v>
      </x:c>
      <x:c r="B12690" s="0" t="s">
        <x:v>48673</x:v>
      </x:c>
      <x:c r="C12690" s="0" t="s">
        <x:v>42840</x:v>
      </x:c>
      <x:c r="E12690" s="0" t="s">
        <x:v>48674</x:v>
      </x:c>
      <x:c r="F12690" s="0" t="s">
        <x:v>45</x:v>
      </x:c>
      <x:c r="G12690" s="0" t="s">
        <x:v>206</x:v>
      </x:c>
      <x:c r="H12690" s="0" t="s">
        <x:v>20</x:v>
      </x:c>
      <x:c r="I12690" s="0" t="s">
        <x:v>21</x:v>
      </x:c>
      <x:c r="K12690" s="0">
        <x:f>hyperlink("https://icd.who.int/dev11/l-ichi/en#/http%3A%2F%2Fid.who.int%2Ficd%2Fentity%2F949931825","browser")</x:f>
      </x:c>
      <x:c r="L12690" s="0">
        <x:f>hyperlink("https://icat2.azurewebsites.net/icat/?ontology=ICD&amp;tab=ClassesTab&amp;id=http%3A%2F%2Fwho.int%2Ficd%232645_b42302c6_9ff1_412e_a40f_2f411ad4c932","iCat")</x:f>
      </x:c>
      <x:c r="M12690" s="0" t="s">
        <x:v>21</x:v>
      </x:c>
      <x:c r="N12690" s="0" t="s">
        <x:v>46</x:v>
      </x:c>
    </x:row>
    <x:row r="12691" spans="1:16">
      <x:c r="A12691" s="0" t="s">
        <x:v>48675</x:v>
      </x:c>
      <x:c r="B12691" s="0" t="s">
        <x:v>48676</x:v>
      </x:c>
      <x:c r="C12691" s="0" t="s">
        <x:v>42840</x:v>
      </x:c>
      <x:c r="E12691" s="0" t="s">
        <x:v>48677</x:v>
      </x:c>
      <x:c r="F12691" s="0" t="s">
        <x:v>45</x:v>
      </x:c>
      <x:c r="G12691" s="0" t="s">
        <x:v>206</x:v>
      </x:c>
      <x:c r="H12691" s="0" t="s">
        <x:v>20</x:v>
      </x:c>
      <x:c r="I12691" s="0" t="s">
        <x:v>21</x:v>
      </x:c>
      <x:c r="K12691" s="0">
        <x:f>hyperlink("https://icd.who.int/dev11/l-ichi/en#/http%3A%2F%2Fid.who.int%2Ficd%2Fentity%2F1116849104","browser")</x:f>
      </x:c>
      <x:c r="L12691" s="0">
        <x:f>hyperlink("https://icat2.azurewebsites.net/icat/?ontology=ICD&amp;tab=ClassesTab&amp;id=http%3A%2F%2Fwho.int%2Ficd%232663_b42302c6_9ff1_412e_a40f_2f411ad4c932","iCat")</x:f>
      </x:c>
      <x:c r="M12691" s="0" t="s">
        <x:v>21</x:v>
      </x:c>
      <x:c r="N12691" s="0" t="s">
        <x:v>46</x:v>
      </x:c>
    </x:row>
    <x:row r="12692" spans="1:16">
      <x:c r="A12692" s="0" t="s">
        <x:v>48678</x:v>
      </x:c>
      <x:c r="B12692" s="0" t="s">
        <x:v>48679</x:v>
      </x:c>
      <x:c r="C12692" s="0" t="s">
        <x:v>42840</x:v>
      </x:c>
      <x:c r="E12692" s="0" t="s">
        <x:v>48680</x:v>
      </x:c>
      <x:c r="F12692" s="0" t="s">
        <x:v>45</x:v>
      </x:c>
      <x:c r="G12692" s="0" t="s">
        <x:v>40</x:v>
      </x:c>
      <x:c r="H12692" s="0" t="s">
        <x:v>20</x:v>
      </x:c>
      <x:c r="I12692" s="0" t="s">
        <x:v>21</x:v>
      </x:c>
      <x:c r="K12692" s="0">
        <x:f>hyperlink("https://icd.who.int/dev11/l-ichi/en#/http%3A%2F%2Fid.who.int%2Ficd%2Fentity%2F1639545321","browser")</x:f>
      </x:c>
      <x:c r="L12692" s="0">
        <x:f>hyperlink("https://icat2.azurewebsites.net/icat/?ontology=ICD&amp;tab=ClassesTab&amp;id=http%3A%2F%2Fwho.int%2Ficd%23895_b42302c6_9ff1_412e_a40f_2f411ad4c932","iCat")</x:f>
      </x:c>
      <x:c r="M12692" s="0" t="s">
        <x:v>20</x:v>
      </x:c>
      <x:c r="N12692" s="0" t="s">
        <x:v>35</x:v>
      </x:c>
    </x:row>
    <x:row r="12693" spans="1:16">
      <x:c r="A12693" s="0" t="s">
        <x:v>48681</x:v>
      </x:c>
      <x:c r="B12693" s="0" t="s">
        <x:v>48682</x:v>
      </x:c>
      <x:c r="C12693" s="0" t="s">
        <x:v>42840</x:v>
      </x:c>
      <x:c r="E12693" s="0" t="s">
        <x:v>48683</x:v>
      </x:c>
      <x:c r="F12693" s="0" t="s">
        <x:v>45</x:v>
      </x:c>
      <x:c r="G12693" s="0" t="s">
        <x:v>206</x:v>
      </x:c>
      <x:c r="H12693" s="0" t="s">
        <x:v>20</x:v>
      </x:c>
      <x:c r="I12693" s="0" t="s">
        <x:v>21</x:v>
      </x:c>
      <x:c r="K12693" s="0">
        <x:f>hyperlink("https://icd.who.int/dev11/l-ichi/en#/http%3A%2F%2Fid.who.int%2Ficd%2Fentity%2F1657733532","browser")</x:f>
      </x:c>
      <x:c r="L12693" s="0">
        <x:f>hyperlink("https://icat2.azurewebsites.net/icat/?ontology=ICD&amp;tab=ClassesTab&amp;id=http%3A%2F%2Fwho.int%2Ficd%232681_b42302c6_9ff1_412e_a40f_2f411ad4c932","iCat")</x:f>
      </x:c>
      <x:c r="M12693" s="0" t="s">
        <x:v>21</x:v>
      </x:c>
      <x:c r="N12693" s="0" t="s">
        <x:v>46</x:v>
      </x:c>
    </x:row>
    <x:row r="12694" spans="1:16">
      <x:c r="A12694" s="0" t="s">
        <x:v>48684</x:v>
      </x:c>
      <x:c r="B12694" s="0" t="s">
        <x:v>48685</x:v>
      </x:c>
      <x:c r="C12694" s="0" t="s">
        <x:v>42840</x:v>
      </x:c>
      <x:c r="E12694" s="0" t="s">
        <x:v>48686</x:v>
      </x:c>
      <x:c r="F12694" s="0" t="s">
        <x:v>45</x:v>
      </x:c>
      <x:c r="G12694" s="0" t="s">
        <x:v>206</x:v>
      </x:c>
      <x:c r="H12694" s="0" t="s">
        <x:v>20</x:v>
      </x:c>
      <x:c r="I12694" s="0" t="s">
        <x:v>21</x:v>
      </x:c>
      <x:c r="K12694" s="0">
        <x:f>hyperlink("https://icd.who.int/dev11/l-ichi/en#/http%3A%2F%2Fid.who.int%2Ficd%2Fentity%2F1183573406","browser")</x:f>
      </x:c>
      <x:c r="L12694" s="0">
        <x:f>hyperlink("https://icat2.azurewebsites.net/icat/?ontology=ICD&amp;tab=ClassesTab&amp;id=http%3A%2F%2Fwho.int%2Ficd%232699_b42302c6_9ff1_412e_a40f_2f411ad4c932","iCat")</x:f>
      </x:c>
      <x:c r="M12694" s="0" t="s">
        <x:v>21</x:v>
      </x:c>
      <x:c r="N12694" s="0" t="s">
        <x:v>46</x:v>
      </x:c>
    </x:row>
    <x:row r="12695" spans="1:16">
      <x:c r="A12695" s="0" t="s">
        <x:v>48687</x:v>
      </x:c>
      <x:c r="B12695" s="0" t="s">
        <x:v>48688</x:v>
      </x:c>
      <x:c r="C12695" s="0" t="s">
        <x:v>42840</x:v>
      </x:c>
      <x:c r="E12695" s="0" t="s">
        <x:v>48689</x:v>
      </x:c>
      <x:c r="F12695" s="0" t="s">
        <x:v>45</x:v>
      </x:c>
      <x:c r="G12695" s="0" t="s">
        <x:v>206</x:v>
      </x:c>
      <x:c r="H12695" s="0" t="s">
        <x:v>20</x:v>
      </x:c>
      <x:c r="I12695" s="0" t="s">
        <x:v>21</x:v>
      </x:c>
      <x:c r="K12695" s="0">
        <x:f>hyperlink("https://icd.who.int/dev11/l-ichi/en#/http%3A%2F%2Fid.who.int%2Ficd%2Fentity%2F853529123","browser")</x:f>
      </x:c>
      <x:c r="L12695" s="0">
        <x:f>hyperlink("https://icat2.azurewebsites.net/icat/?ontology=ICD&amp;tab=ClassesTab&amp;id=http%3A%2F%2Fwho.int%2Ficd%232717_b42302c6_9ff1_412e_a40f_2f411ad4c932","iCat")</x:f>
      </x:c>
      <x:c r="M12695" s="0" t="s">
        <x:v>21</x:v>
      </x:c>
      <x:c r="N12695" s="0" t="s">
        <x:v>46</x:v>
      </x:c>
    </x:row>
    <x:row r="12696" spans="1:16">
      <x:c r="A12696" s="0" t="s">
        <x:v>48690</x:v>
      </x:c>
      <x:c r="B12696" s="0" t="s">
        <x:v>48691</x:v>
      </x:c>
      <x:c r="C12696" s="0" t="s">
        <x:v>42840</x:v>
      </x:c>
      <x:c r="E12696" s="0" t="s">
        <x:v>48692</x:v>
      </x:c>
      <x:c r="F12696" s="0" t="s">
        <x:v>45</x:v>
      </x:c>
      <x:c r="G12696" s="0" t="s">
        <x:v>35</x:v>
      </x:c>
      <x:c r="H12696" s="0" t="s">
        <x:v>20</x:v>
      </x:c>
      <x:c r="I12696" s="0" t="s">
        <x:v>21</x:v>
      </x:c>
      <x:c r="K12696" s="0">
        <x:f>hyperlink("https://icd.who.int/dev11/l-ichi/en#/http%3A%2F%2Fid.who.int%2Ficd%2Fentity%2F1761166931","browser")</x:f>
      </x:c>
      <x:c r="L12696" s="0">
        <x:f>hyperlink("https://icat2.azurewebsites.net/icat/?ontology=ICD&amp;tab=ClassesTab&amp;id=http%3A%2F%2Fwho.int%2Ficd%233815_b42302c6_9ff1_412e_a40f_2f411ad4c932","iCat")</x:f>
      </x:c>
      <x:c r="M12696" s="0" t="s">
        <x:v>20</x:v>
      </x:c>
      <x:c r="N12696" s="0" t="s">
        <x:v>22</x:v>
      </x:c>
    </x:row>
    <x:row r="12697" spans="1:16">
      <x:c r="A12697" s="0" t="s">
        <x:v>48693</x:v>
      </x:c>
      <x:c r="B12697" s="0" t="s">
        <x:v>48694</x:v>
      </x:c>
      <x:c r="C12697" s="0" t="s">
        <x:v>42840</x:v>
      </x:c>
      <x:c r="E12697" s="0" t="s">
        <x:v>48695</x:v>
      </x:c>
      <x:c r="F12697" s="0" t="s">
        <x:v>45</x:v>
      </x:c>
      <x:c r="G12697" s="0" t="s">
        <x:v>22</x:v>
      </x:c>
      <x:c r="H12697" s="0" t="s">
        <x:v>20</x:v>
      </x:c>
      <x:c r="I12697" s="0" t="s">
        <x:v>21</x:v>
      </x:c>
      <x:c r="K12697" s="0">
        <x:f>hyperlink("https://icd.who.int/dev11/l-ichi/en#/http%3A%2F%2Fid.who.int%2Ficd%2Fentity%2F793228530","browser")</x:f>
      </x:c>
      <x:c r="L12697" s="0">
        <x:f>hyperlink("https://icat2.azurewebsites.net/icat/?ontology=ICD&amp;tab=ClassesTab&amp;id=http%3A%2F%2Fwho.int%2Ficd%234252_b42302c6_9ff1_412e_a40f_2f411ad4c932","iCat")</x:f>
      </x:c>
      <x:c r="M12697" s="0" t="s">
        <x:v>20</x:v>
      </x:c>
      <x:c r="N12697" s="0" t="s">
        <x:v>431</x:v>
      </x:c>
    </x:row>
    <x:row r="12698" spans="1:16">
      <x:c r="A12698" s="0" t="s">
        <x:v>48696</x:v>
      </x:c>
      <x:c r="B12698" s="0" t="s">
        <x:v>48697</x:v>
      </x:c>
      <x:c r="C12698" s="0" t="s">
        <x:v>42840</x:v>
      </x:c>
      <x:c r="E12698" s="0" t="s">
        <x:v>48698</x:v>
      </x:c>
      <x:c r="F12698" s="0" t="s">
        <x:v>45</x:v>
      </x:c>
      <x:c r="G12698" s="0" t="s">
        <x:v>40</x:v>
      </x:c>
      <x:c r="H12698" s="0" t="s">
        <x:v>20</x:v>
      </x:c>
      <x:c r="I12698" s="0" t="s">
        <x:v>21</x:v>
      </x:c>
      <x:c r="K12698" s="0">
        <x:f>hyperlink("https://icd.who.int/dev11/l-ichi/en#/http%3A%2F%2Fid.who.int%2Ficd%2Fentity%2F318130866","browser")</x:f>
      </x:c>
      <x:c r="L12698" s="0">
        <x:f>hyperlink("https://icat2.azurewebsites.net/icat/?ontology=ICD&amp;tab=ClassesTab&amp;id=http%3A%2F%2Fwho.int%2Ficd%233833_b42302c6_9ff1_412e_a40f_2f411ad4c932","iCat")</x:f>
      </x:c>
      <x:c r="M12698" s="0" t="s">
        <x:v>21</x:v>
      </x:c>
      <x:c r="N12698" s="0" t="s">
        <x:v>46</x:v>
      </x:c>
    </x:row>
    <x:row r="12699" spans="1:16">
      <x:c r="A12699" s="0" t="s">
        <x:v>48699</x:v>
      </x:c>
      <x:c r="B12699" s="0" t="s">
        <x:v>48700</x:v>
      </x:c>
      <x:c r="C12699" s="0" t="s">
        <x:v>42840</x:v>
      </x:c>
      <x:c r="E12699" s="0" t="s">
        <x:v>48701</x:v>
      </x:c>
      <x:c r="F12699" s="0" t="s">
        <x:v>45</x:v>
      </x:c>
      <x:c r="G12699" s="0" t="s">
        <x:v>40</x:v>
      </x:c>
      <x:c r="H12699" s="0" t="s">
        <x:v>20</x:v>
      </x:c>
      <x:c r="I12699" s="0" t="s">
        <x:v>21</x:v>
      </x:c>
      <x:c r="K12699" s="0">
        <x:f>hyperlink("https://icd.who.int/dev11/l-ichi/en#/http%3A%2F%2Fid.who.int%2Ficd%2Fentity%2F765055292","browser")</x:f>
      </x:c>
      <x:c r="L12699" s="0">
        <x:f>hyperlink("https://icat2.azurewebsites.net/icat/?ontology=ICD&amp;tab=ClassesTab&amp;id=http%3A%2F%2Fwho.int%2Ficd%233851_b42302c6_9ff1_412e_a40f_2f411ad4c932","iCat")</x:f>
      </x:c>
      <x:c r="M12699" s="0" t="s">
        <x:v>21</x:v>
      </x:c>
      <x:c r="N12699" s="0" t="s">
        <x:v>46</x:v>
      </x:c>
    </x:row>
    <x:row r="12700" spans="1:16">
      <x:c r="A12700" s="0" t="s">
        <x:v>48702</x:v>
      </x:c>
      <x:c r="B12700" s="0" t="s">
        <x:v>48703</x:v>
      </x:c>
      <x:c r="C12700" s="0" t="s">
        <x:v>42840</x:v>
      </x:c>
      <x:c r="E12700" s="0" t="s">
        <x:v>48704</x:v>
      </x:c>
      <x:c r="F12700" s="0" t="s">
        <x:v>45</x:v>
      </x:c>
      <x:c r="G12700" s="0" t="s">
        <x:v>40</x:v>
      </x:c>
      <x:c r="H12700" s="0" t="s">
        <x:v>20</x:v>
      </x:c>
      <x:c r="I12700" s="0" t="s">
        <x:v>21</x:v>
      </x:c>
      <x:c r="K12700" s="0">
        <x:f>hyperlink("https://icd.who.int/dev11/l-ichi/en#/http%3A%2F%2Fid.who.int%2Ficd%2Fentity%2F598335592","browser")</x:f>
      </x:c>
      <x:c r="L12700" s="0">
        <x:f>hyperlink("https://icat2.azurewebsites.net/icat/?ontology=ICD&amp;tab=ClassesTab&amp;id=http%3A%2F%2Fwho.int%2Ficd%233869_b42302c6_9ff1_412e_a40f_2f411ad4c932","iCat")</x:f>
      </x:c>
      <x:c r="M12700" s="0" t="s">
        <x:v>21</x:v>
      </x:c>
      <x:c r="N12700" s="0" t="s">
        <x:v>46</x:v>
      </x:c>
    </x:row>
    <x:row r="12701" spans="1:16">
      <x:c r="A12701" s="0" t="s">
        <x:v>48705</x:v>
      </x:c>
      <x:c r="B12701" s="0" t="s">
        <x:v>48706</x:v>
      </x:c>
      <x:c r="C12701" s="0" t="s">
        <x:v>42840</x:v>
      </x:c>
      <x:c r="E12701" s="0" t="s">
        <x:v>48707</x:v>
      </x:c>
      <x:c r="F12701" s="0" t="s">
        <x:v>45</x:v>
      </x:c>
      <x:c r="G12701" s="0" t="s">
        <x:v>40</x:v>
      </x:c>
      <x:c r="H12701" s="0" t="s">
        <x:v>20</x:v>
      </x:c>
      <x:c r="I12701" s="0" t="s">
        <x:v>21</x:v>
      </x:c>
      <x:c r="K12701" s="0">
        <x:f>hyperlink("https://icd.who.int/dev11/l-ichi/en#/http%3A%2F%2Fid.who.int%2Ficd%2Fentity%2F2114591943","browser")</x:f>
      </x:c>
      <x:c r="L12701" s="0">
        <x:f>hyperlink("https://icat2.azurewebsites.net/icat/?ontology=ICD&amp;tab=ClassesTab&amp;id=http%3A%2F%2Fwho.int%2Ficd%231043_d85a204c_d00a_4566_a3b7_2d137a1891cf","iCat")</x:f>
      </x:c>
      <x:c r="M12701" s="0" t="s">
        <x:v>21</x:v>
      </x:c>
      <x:c r="N12701" s="0" t="s">
        <x:v>46</x:v>
      </x:c>
    </x:row>
    <x:row r="12702" spans="1:16">
      <x:c r="A12702" s="0" t="s">
        <x:v>48708</x:v>
      </x:c>
      <x:c r="B12702" s="0" t="s">
        <x:v>48709</x:v>
      </x:c>
      <x:c r="C12702" s="0" t="s">
        <x:v>42840</x:v>
      </x:c>
      <x:c r="E12702" s="0" t="s">
        <x:v>48710</x:v>
      </x:c>
      <x:c r="F12702" s="0" t="s">
        <x:v>45</x:v>
      </x:c>
      <x:c r="G12702" s="0" t="s">
        <x:v>40</x:v>
      </x:c>
      <x:c r="H12702" s="0" t="s">
        <x:v>20</x:v>
      </x:c>
      <x:c r="I12702" s="0" t="s">
        <x:v>21</x:v>
      </x:c>
      <x:c r="K12702" s="0">
        <x:f>hyperlink("https://icd.who.int/dev11/l-ichi/en#/http%3A%2F%2Fid.who.int%2Ficd%2Fentity%2F2020710149","browser")</x:f>
      </x:c>
      <x:c r="L12702" s="0">
        <x:f>hyperlink("https://icat2.azurewebsites.net/icat/?ontology=ICD&amp;tab=ClassesTab&amp;id=http%3A%2F%2Fwho.int%2Ficd%233887_b42302c6_9ff1_412e_a40f_2f411ad4c932","iCat")</x:f>
      </x:c>
      <x:c r="M12702" s="0" t="s">
        <x:v>21</x:v>
      </x:c>
      <x:c r="N12702" s="0" t="s">
        <x:v>46</x:v>
      </x:c>
    </x:row>
    <x:row r="12703" spans="1:16">
      <x:c r="A12703" s="0" t="s">
        <x:v>48711</x:v>
      </x:c>
      <x:c r="B12703" s="0" t="s">
        <x:v>48712</x:v>
      </x:c>
      <x:c r="C12703" s="0" t="s">
        <x:v>42840</x:v>
      </x:c>
      <x:c r="E12703" s="0" t="s">
        <x:v>48713</x:v>
      </x:c>
      <x:c r="F12703" s="0" t="s">
        <x:v>45</x:v>
      </x:c>
      <x:c r="G12703" s="0" t="s">
        <x:v>40</x:v>
      </x:c>
      <x:c r="H12703" s="0" t="s">
        <x:v>20</x:v>
      </x:c>
      <x:c r="I12703" s="0" t="s">
        <x:v>21</x:v>
      </x:c>
      <x:c r="K12703" s="0">
        <x:f>hyperlink("https://icd.who.int/dev11/l-ichi/en#/http%3A%2F%2Fid.who.int%2Ficd%2Fentity%2F2007176601","browser")</x:f>
      </x:c>
      <x:c r="L12703" s="0">
        <x:f>hyperlink("https://icat2.azurewebsites.net/icat/?ontology=ICD&amp;tab=ClassesTab&amp;id=http%3A%2F%2Fwho.int%2Ficd%233905_b42302c6_9ff1_412e_a40f_2f411ad4c932","iCat")</x:f>
      </x:c>
      <x:c r="M12703" s="0" t="s">
        <x:v>21</x:v>
      </x:c>
      <x:c r="N12703" s="0" t="s">
        <x:v>46</x:v>
      </x:c>
    </x:row>
    <x:row r="12704" spans="1:16">
      <x:c r="A12704" s="0" t="s">
        <x:v>48714</x:v>
      </x:c>
      <x:c r="B12704" s="0" t="s">
        <x:v>48715</x:v>
      </x:c>
      <x:c r="C12704" s="0" t="s">
        <x:v>42840</x:v>
      </x:c>
      <x:c r="E12704" s="0" t="s">
        <x:v>48716</x:v>
      </x:c>
      <x:c r="F12704" s="0" t="s">
        <x:v>45</x:v>
      </x:c>
      <x:c r="G12704" s="0" t="s">
        <x:v>40</x:v>
      </x:c>
      <x:c r="H12704" s="0" t="s">
        <x:v>20</x:v>
      </x:c>
      <x:c r="I12704" s="0" t="s">
        <x:v>21</x:v>
      </x:c>
      <x:c r="K12704" s="0">
        <x:f>hyperlink("https://icd.who.int/dev11/l-ichi/en#/http%3A%2F%2Fid.who.int%2Ficd%2Fentity%2F229382520","browser")</x:f>
      </x:c>
      <x:c r="L12704" s="0">
        <x:f>hyperlink("https://icat2.azurewebsites.net/icat/?ontology=ICD&amp;tab=ClassesTab&amp;id=http%3A%2F%2Fwho.int%2Ficd%233923_b42302c6_9ff1_412e_a40f_2f411ad4c932","iCat")</x:f>
      </x:c>
      <x:c r="M12704" s="0" t="s">
        <x:v>21</x:v>
      </x:c>
      <x:c r="N12704" s="0" t="s">
        <x:v>46</x:v>
      </x:c>
    </x:row>
    <x:row r="12705" spans="1:16">
      <x:c r="A12705" s="0" t="s">
        <x:v>48717</x:v>
      </x:c>
      <x:c r="B12705" s="0" t="s">
        <x:v>48718</x:v>
      </x:c>
      <x:c r="C12705" s="0" t="s">
        <x:v>42840</x:v>
      </x:c>
      <x:c r="E12705" s="0" t="s">
        <x:v>48719</x:v>
      </x:c>
      <x:c r="F12705" s="0" t="s">
        <x:v>45</x:v>
      </x:c>
      <x:c r="G12705" s="0" t="s">
        <x:v>22</x:v>
      </x:c>
      <x:c r="H12705" s="0" t="s">
        <x:v>20</x:v>
      </x:c>
      <x:c r="I12705" s="0" t="s">
        <x:v>21</x:v>
      </x:c>
      <x:c r="K12705" s="0">
        <x:f>hyperlink("https://icd.who.int/dev11/l-ichi/en#/http%3A%2F%2Fid.who.int%2Ficd%2Fentity%2F808756694","browser")</x:f>
      </x:c>
      <x:c r="L12705" s="0">
        <x:f>hyperlink("https://icat2.azurewebsites.net/icat/?ontology=ICD&amp;tab=ClassesTab&amp;id=http%3A%2F%2Fwho.int%2Ficd%234276_b42302c6_9ff1_412e_a40f_2f411ad4c932","iCat")</x:f>
      </x:c>
      <x:c r="M12705" s="0" t="s">
        <x:v>20</x:v>
      </x:c>
      <x:c r="N12705" s="0" t="s">
        <x:v>31</x:v>
      </x:c>
    </x:row>
    <x:row r="12706" spans="1:16">
      <x:c r="A12706" s="0" t="s">
        <x:v>48720</x:v>
      </x:c>
      <x:c r="B12706" s="0" t="s">
        <x:v>48721</x:v>
      </x:c>
      <x:c r="C12706" s="0" t="s">
        <x:v>42840</x:v>
      </x:c>
      <x:c r="E12706" s="0" t="s">
        <x:v>48722</x:v>
      </x:c>
      <x:c r="F12706" s="0" t="s">
        <x:v>45</x:v>
      </x:c>
      <x:c r="G12706" s="0" t="s">
        <x:v>40</x:v>
      </x:c>
      <x:c r="H12706" s="0" t="s">
        <x:v>20</x:v>
      </x:c>
      <x:c r="I12706" s="0" t="s">
        <x:v>21</x:v>
      </x:c>
      <x:c r="K12706" s="0">
        <x:f>hyperlink("https://icd.who.int/dev11/l-ichi/en#/http%3A%2F%2Fid.who.int%2Ficd%2Fentity%2F851673842","browser")</x:f>
      </x:c>
      <x:c r="L12706" s="0">
        <x:f>hyperlink("https://icat2.azurewebsites.net/icat/?ontology=ICD&amp;tab=ClassesTab&amp;id=http%3A%2F%2Fwho.int%2Ficd%233941_b42302c6_9ff1_412e_a40f_2f411ad4c932","iCat")</x:f>
      </x:c>
      <x:c r="M12706" s="0" t="s">
        <x:v>21</x:v>
      </x:c>
      <x:c r="N12706" s="0" t="s">
        <x:v>46</x:v>
      </x:c>
    </x:row>
    <x:row r="12707" spans="1:16">
      <x:c r="A12707" s="0" t="s">
        <x:v>48723</x:v>
      </x:c>
      <x:c r="B12707" s="0" t="s">
        <x:v>48724</x:v>
      </x:c>
      <x:c r="C12707" s="0" t="s">
        <x:v>42840</x:v>
      </x:c>
      <x:c r="E12707" s="0" t="s">
        <x:v>48725</x:v>
      </x:c>
      <x:c r="F12707" s="0" t="s">
        <x:v>45</x:v>
      </x:c>
      <x:c r="G12707" s="0" t="s">
        <x:v>40</x:v>
      </x:c>
      <x:c r="H12707" s="0" t="s">
        <x:v>20</x:v>
      </x:c>
      <x:c r="I12707" s="0" t="s">
        <x:v>21</x:v>
      </x:c>
      <x:c r="K12707" s="0">
        <x:f>hyperlink("https://icd.who.int/dev11/l-ichi/en#/http%3A%2F%2Fid.who.int%2Ficd%2Fentity%2F377972468","browser")</x:f>
      </x:c>
      <x:c r="L12707" s="0">
        <x:f>hyperlink("https://icat2.azurewebsites.net/icat/?ontology=ICD&amp;tab=ClassesTab&amp;id=http%3A%2F%2Fwho.int%2Ficd%233959_b42302c6_9ff1_412e_a40f_2f411ad4c932","iCat")</x:f>
      </x:c>
      <x:c r="M12707" s="0" t="s">
        <x:v>21</x:v>
      </x:c>
      <x:c r="N12707" s="0" t="s">
        <x:v>46</x:v>
      </x:c>
    </x:row>
    <x:row r="12708" spans="1:16">
      <x:c r="A12708" s="0" t="s">
        <x:v>48726</x:v>
      </x:c>
      <x:c r="B12708" s="0" t="s">
        <x:v>48727</x:v>
      </x:c>
      <x:c r="C12708" s="0" t="s">
        <x:v>42840</x:v>
      </x:c>
      <x:c r="E12708" s="0" t="s">
        <x:v>48728</x:v>
      </x:c>
      <x:c r="F12708" s="0" t="s">
        <x:v>45</x:v>
      </x:c>
      <x:c r="G12708" s="0" t="s">
        <x:v>40</x:v>
      </x:c>
      <x:c r="H12708" s="0" t="s">
        <x:v>20</x:v>
      </x:c>
      <x:c r="I12708" s="0" t="s">
        <x:v>21</x:v>
      </x:c>
      <x:c r="K12708" s="0">
        <x:f>hyperlink("https://icd.who.int/dev11/l-ichi/en#/http%3A%2F%2Fid.who.int%2Ficd%2Fentity%2F571022152","browser")</x:f>
      </x:c>
      <x:c r="L12708" s="0">
        <x:f>hyperlink("https://icat2.azurewebsites.net/icat/?ontology=ICD&amp;tab=ClassesTab&amp;id=http%3A%2F%2Fwho.int%2Ficd%233977_b42302c6_9ff1_412e_a40f_2f411ad4c932","iCat")</x:f>
      </x:c>
      <x:c r="M12708" s="0" t="s">
        <x:v>21</x:v>
      </x:c>
      <x:c r="N12708" s="0" t="s">
        <x:v>46</x:v>
      </x:c>
    </x:row>
    <x:row r="12709" spans="1:16">
      <x:c r="A12709" s="0" t="s">
        <x:v>48729</x:v>
      </x:c>
      <x:c r="B12709" s="0" t="s">
        <x:v>48730</x:v>
      </x:c>
      <x:c r="C12709" s="0" t="s">
        <x:v>42840</x:v>
      </x:c>
      <x:c r="E12709" s="0" t="s">
        <x:v>48731</x:v>
      </x:c>
      <x:c r="F12709" s="0" t="s">
        <x:v>45</x:v>
      </x:c>
      <x:c r="G12709" s="0" t="s">
        <x:v>40</x:v>
      </x:c>
      <x:c r="H12709" s="0" t="s">
        <x:v>20</x:v>
      </x:c>
      <x:c r="I12709" s="0" t="s">
        <x:v>21</x:v>
      </x:c>
      <x:c r="K12709" s="0">
        <x:f>hyperlink("https://icd.who.int/dev11/l-ichi/en#/http%3A%2F%2Fid.who.int%2Ficd%2Fentity%2F39311628","browser")</x:f>
      </x:c>
      <x:c r="L12709" s="0">
        <x:f>hyperlink("https://icat2.azurewebsites.net/icat/?ontology=ICD&amp;tab=ClassesTab&amp;id=http%3A%2F%2Fwho.int%2Ficd%233995_b42302c6_9ff1_412e_a40f_2f411ad4c932","iCat")</x:f>
      </x:c>
      <x:c r="M12709" s="0" t="s">
        <x:v>21</x:v>
      </x:c>
      <x:c r="N12709" s="0" t="s">
        <x:v>46</x:v>
      </x:c>
    </x:row>
    <x:row r="12710" spans="1:16">
      <x:c r="A12710" s="0" t="s">
        <x:v>48732</x:v>
      </x:c>
      <x:c r="B12710" s="0" t="s">
        <x:v>48733</x:v>
      </x:c>
      <x:c r="C12710" s="0" t="s">
        <x:v>42840</x:v>
      </x:c>
      <x:c r="E12710" s="0" t="s">
        <x:v>48734</x:v>
      </x:c>
      <x:c r="F12710" s="0" t="s">
        <x:v>45</x:v>
      </x:c>
      <x:c r="G12710" s="0" t="s">
        <x:v>40</x:v>
      </x:c>
      <x:c r="H12710" s="0" t="s">
        <x:v>20</x:v>
      </x:c>
      <x:c r="I12710" s="0" t="s">
        <x:v>21</x:v>
      </x:c>
      <x:c r="K12710" s="0">
        <x:f>hyperlink("https://icd.who.int/dev11/l-ichi/en#/http%3A%2F%2Fid.who.int%2Ficd%2Fentity%2F1796859671","browser")</x:f>
      </x:c>
      <x:c r="L12710" s="0">
        <x:f>hyperlink("https://icat2.azurewebsites.net/icat/?ontology=ICD&amp;tab=ClassesTab&amp;id=http%3A%2F%2Fwho.int%2Ficd%234013_b42302c6_9ff1_412e_a40f_2f411ad4c932","iCat")</x:f>
      </x:c>
      <x:c r="M12710" s="0" t="s">
        <x:v>21</x:v>
      </x:c>
      <x:c r="N12710" s="0" t="s">
        <x:v>46</x:v>
      </x:c>
    </x:row>
    <x:row r="12711" spans="1:16">
      <x:c r="A12711" s="0" t="s">
        <x:v>48735</x:v>
      </x:c>
      <x:c r="B12711" s="0" t="s">
        <x:v>48736</x:v>
      </x:c>
      <x:c r="C12711" s="0" t="s">
        <x:v>42840</x:v>
      </x:c>
      <x:c r="E12711" s="0" t="s">
        <x:v>48737</x:v>
      </x:c>
      <x:c r="F12711" s="0" t="s">
        <x:v>45</x:v>
      </x:c>
      <x:c r="G12711" s="0" t="s">
        <x:v>40</x:v>
      </x:c>
      <x:c r="H12711" s="0" t="s">
        <x:v>20</x:v>
      </x:c>
      <x:c r="I12711" s="0" t="s">
        <x:v>21</x:v>
      </x:c>
      <x:c r="K12711" s="0">
        <x:f>hyperlink("https://icd.who.int/dev11/l-ichi/en#/http%3A%2F%2Fid.who.int%2Ficd%2Fentity%2F605106052","browser")</x:f>
      </x:c>
      <x:c r="L12711" s="0">
        <x:f>hyperlink("https://icat2.azurewebsites.net/icat/?ontology=ICD&amp;tab=ClassesTab&amp;id=http%3A%2F%2Fwho.int%2Ficd%234031_b42302c6_9ff1_412e_a40f_2f411ad4c932","iCat")</x:f>
      </x:c>
      <x:c r="M12711" s="0" t="s">
        <x:v>21</x:v>
      </x:c>
      <x:c r="N12711" s="0" t="s">
        <x:v>46</x:v>
      </x:c>
    </x:row>
    <x:row r="12712" spans="1:16">
      <x:c r="A12712" s="0" t="s">
        <x:v>48738</x:v>
      </x:c>
      <x:c r="B12712" s="0" t="s">
        <x:v>48739</x:v>
      </x:c>
      <x:c r="C12712" s="0" t="s">
        <x:v>42840</x:v>
      </x:c>
      <x:c r="E12712" s="0" t="s">
        <x:v>48740</x:v>
      </x:c>
      <x:c r="F12712" s="0" t="s">
        <x:v>45</x:v>
      </x:c>
      <x:c r="G12712" s="0" t="s">
        <x:v>40</x:v>
      </x:c>
      <x:c r="H12712" s="0" t="s">
        <x:v>20</x:v>
      </x:c>
      <x:c r="I12712" s="0" t="s">
        <x:v>21</x:v>
      </x:c>
      <x:c r="K12712" s="0">
        <x:f>hyperlink("https://icd.who.int/dev11/l-ichi/en#/http%3A%2F%2Fid.who.int%2Ficd%2Fentity%2F1514556877","browser")</x:f>
      </x:c>
      <x:c r="L12712" s="0">
        <x:f>hyperlink("https://icat2.azurewebsites.net/icat/?ontology=ICD&amp;tab=ClassesTab&amp;id=http%3A%2F%2Fwho.int%2Ficd%234049_b42302c6_9ff1_412e_a40f_2f411ad4c932","iCat")</x:f>
      </x:c>
      <x:c r="M12712" s="0" t="s">
        <x:v>21</x:v>
      </x:c>
      <x:c r="N12712" s="0" t="s">
        <x:v>46</x:v>
      </x:c>
    </x:row>
    <x:row r="12713" spans="1:16">
      <x:c r="A12713" s="0" t="s">
        <x:v>48741</x:v>
      </x:c>
      <x:c r="B12713" s="0" t="s">
        <x:v>48742</x:v>
      </x:c>
      <x:c r="C12713" s="0" t="s">
        <x:v>42840</x:v>
      </x:c>
      <x:c r="E12713" s="0" t="s">
        <x:v>48743</x:v>
      </x:c>
      <x:c r="F12713" s="0" t="s">
        <x:v>45</x:v>
      </x:c>
      <x:c r="G12713" s="0" t="s">
        <x:v>40</x:v>
      </x:c>
      <x:c r="H12713" s="0" t="s">
        <x:v>20</x:v>
      </x:c>
      <x:c r="I12713" s="0" t="s">
        <x:v>21</x:v>
      </x:c>
      <x:c r="K12713" s="0">
        <x:f>hyperlink("https://icd.who.int/dev11/l-ichi/en#/http%3A%2F%2Fid.who.int%2Ficd%2Fentity%2F1858613369","browser")</x:f>
      </x:c>
      <x:c r="L12713" s="0">
        <x:f>hyperlink("https://icat2.azurewebsites.net/icat/?ontology=ICD&amp;tab=ClassesTab&amp;id=http%3A%2F%2Fwho.int%2Ficd%234067_b42302c6_9ff1_412e_a40f_2f411ad4c932","iCat")</x:f>
      </x:c>
      <x:c r="M12713" s="0" t="s">
        <x:v>21</x:v>
      </x:c>
      <x:c r="N12713" s="0" t="s">
        <x:v>46</x:v>
      </x:c>
    </x:row>
    <x:row r="12714" spans="1:16">
      <x:c r="A12714" s="0" t="s">
        <x:v>48744</x:v>
      </x:c>
      <x:c r="B12714" s="0" t="s">
        <x:v>48745</x:v>
      </x:c>
      <x:c r="C12714" s="0" t="s">
        <x:v>42840</x:v>
      </x:c>
      <x:c r="E12714" s="0" t="s">
        <x:v>48746</x:v>
      </x:c>
      <x:c r="F12714" s="0" t="s">
        <x:v>45</x:v>
      </x:c>
      <x:c r="G12714" s="0" t="s">
        <x:v>40</x:v>
      </x:c>
      <x:c r="H12714" s="0" t="s">
        <x:v>20</x:v>
      </x:c>
      <x:c r="I12714" s="0" t="s">
        <x:v>21</x:v>
      </x:c>
      <x:c r="K12714" s="0">
        <x:f>hyperlink("https://icd.who.int/dev11/l-ichi/en#/http%3A%2F%2Fid.who.int%2Ficd%2Fentity%2F1318515253","browser")</x:f>
      </x:c>
      <x:c r="L12714" s="0">
        <x:f>hyperlink("https://icat2.azurewebsites.net/icat/?ontology=ICD&amp;tab=ClassesTab&amp;id=http%3A%2F%2Fwho.int%2Ficd%234085_b42302c6_9ff1_412e_a40f_2f411ad4c932","iCat")</x:f>
      </x:c>
      <x:c r="M12714" s="0" t="s">
        <x:v>21</x:v>
      </x:c>
      <x:c r="N12714" s="0" t="s">
        <x:v>46</x:v>
      </x:c>
    </x:row>
    <x:row r="12715" spans="1:16">
      <x:c r="A12715" s="0" t="s">
        <x:v>48747</x:v>
      </x:c>
      <x:c r="B12715" s="0" t="s">
        <x:v>48748</x:v>
      </x:c>
      <x:c r="C12715" s="0" t="s">
        <x:v>42840</x:v>
      </x:c>
      <x:c r="E12715" s="0" t="s">
        <x:v>48749</x:v>
      </x:c>
      <x:c r="F12715" s="0" t="s">
        <x:v>45</x:v>
      </x:c>
      <x:c r="G12715" s="0" t="s">
        <x:v>40</x:v>
      </x:c>
      <x:c r="H12715" s="0" t="s">
        <x:v>20</x:v>
      </x:c>
      <x:c r="I12715" s="0" t="s">
        <x:v>21</x:v>
      </x:c>
      <x:c r="K12715" s="0">
        <x:f>hyperlink("https://icd.who.int/dev11/l-ichi/en#/http%3A%2F%2Fid.who.int%2Ficd%2Fentity%2F1950594269","browser")</x:f>
      </x:c>
      <x:c r="L12715" s="0">
        <x:f>hyperlink("https://icat2.azurewebsites.net/icat/?ontology=ICD&amp;tab=ClassesTab&amp;id=http%3A%2F%2Fwho.int%2Ficd%234103_b42302c6_9ff1_412e_a40f_2f411ad4c932","iCat")</x:f>
      </x:c>
      <x:c r="M12715" s="0" t="s">
        <x:v>21</x:v>
      </x:c>
      <x:c r="N12715" s="0" t="s">
        <x:v>46</x:v>
      </x:c>
    </x:row>
    <x:row r="12716" spans="1:16">
      <x:c r="A12716" s="0" t="s">
        <x:v>48750</x:v>
      </x:c>
      <x:c r="B12716" s="0" t="s">
        <x:v>48751</x:v>
      </x:c>
      <x:c r="C12716" s="0" t="s">
        <x:v>42840</x:v>
      </x:c>
      <x:c r="E12716" s="0" t="s">
        <x:v>48752</x:v>
      </x:c>
      <x:c r="F12716" s="0" t="s">
        <x:v>45</x:v>
      </x:c>
      <x:c r="G12716" s="0" t="s">
        <x:v>40</x:v>
      </x:c>
      <x:c r="H12716" s="0" t="s">
        <x:v>20</x:v>
      </x:c>
      <x:c r="I12716" s="0" t="s">
        <x:v>21</x:v>
      </x:c>
      <x:c r="K12716" s="0">
        <x:f>hyperlink("https://icd.who.int/dev11/l-ichi/en#/http%3A%2F%2Fid.who.int%2Ficd%2Fentity%2F994802762","browser")</x:f>
      </x:c>
      <x:c r="L12716" s="0">
        <x:f>hyperlink("https://icat2.azurewebsites.net/icat/?ontology=ICD&amp;tab=ClassesTab&amp;id=http%3A%2F%2Fwho.int%2Ficd%234121_b42302c6_9ff1_412e_a40f_2f411ad4c932","iCat")</x:f>
      </x:c>
      <x:c r="M12716" s="0" t="s">
        <x:v>21</x:v>
      </x:c>
      <x:c r="N12716" s="0" t="s">
        <x:v>46</x:v>
      </x:c>
    </x:row>
    <x:row r="12717" spans="1:16">
      <x:c r="A12717" s="0" t="s">
        <x:v>48753</x:v>
      </x:c>
      <x:c r="B12717" s="0" t="s">
        <x:v>48754</x:v>
      </x:c>
      <x:c r="C12717" s="0" t="s">
        <x:v>42840</x:v>
      </x:c>
      <x:c r="E12717" s="0" t="s">
        <x:v>48755</x:v>
      </x:c>
      <x:c r="F12717" s="0" t="s">
        <x:v>45</x:v>
      </x:c>
      <x:c r="G12717" s="0" t="s">
        <x:v>40</x:v>
      </x:c>
      <x:c r="H12717" s="0" t="s">
        <x:v>20</x:v>
      </x:c>
      <x:c r="I12717" s="0" t="s">
        <x:v>21</x:v>
      </x:c>
      <x:c r="K12717" s="0">
        <x:f>hyperlink("https://icd.who.int/dev11/l-ichi/en#/http%3A%2F%2Fid.who.int%2Ficd%2Fentity%2F521115724","browser")</x:f>
      </x:c>
      <x:c r="L12717" s="0">
        <x:f>hyperlink("https://icat2.azurewebsites.net/icat/?ontology=ICD&amp;tab=ClassesTab&amp;id=http%3A%2F%2Fwho.int%2Ficd%234139_b42302c6_9ff1_412e_a40f_2f411ad4c932","iCat")</x:f>
      </x:c>
      <x:c r="M12717" s="0" t="s">
        <x:v>21</x:v>
      </x:c>
      <x:c r="N12717" s="0" t="s">
        <x:v>46</x:v>
      </x:c>
    </x:row>
    <x:row r="12718" spans="1:16">
      <x:c r="A12718" s="0" t="s">
        <x:v>48756</x:v>
      </x:c>
      <x:c r="B12718" s="0" t="s">
        <x:v>48757</x:v>
      </x:c>
      <x:c r="C12718" s="0" t="s">
        <x:v>42840</x:v>
      </x:c>
      <x:c r="E12718" s="0" t="s">
        <x:v>48758</x:v>
      </x:c>
      <x:c r="F12718" s="0" t="s">
        <x:v>45</x:v>
      </x:c>
      <x:c r="G12718" s="0" t="s">
        <x:v>22</x:v>
      </x:c>
      <x:c r="H12718" s="0" t="s">
        <x:v>20</x:v>
      </x:c>
      <x:c r="I12718" s="0" t="s">
        <x:v>21</x:v>
      </x:c>
      <x:c r="K12718" s="0">
        <x:f>hyperlink("https://icd.who.int/dev11/l-ichi/en#/http%3A%2F%2Fid.who.int%2Ficd%2Fentity%2F1971155025","browser")</x:f>
      </x:c>
      <x:c r="L12718" s="0">
        <x:f>hyperlink("https://icat2.azurewebsites.net/icat/?ontology=ICD&amp;tab=ClassesTab&amp;id=http%3A%2F%2Fwho.int%2Ficd%234306_b42302c6_9ff1_412e_a40f_2f411ad4c932","iCat")</x:f>
      </x:c>
      <x:c r="M12718" s="0" t="s">
        <x:v>20</x:v>
      </x:c>
      <x:c r="N12718" s="0" t="s">
        <x:v>40</x:v>
      </x:c>
    </x:row>
    <x:row r="12719" spans="1:16">
      <x:c r="A12719" s="0" t="s">
        <x:v>48759</x:v>
      </x:c>
      <x:c r="B12719" s="0" t="s">
        <x:v>48760</x:v>
      </x:c>
      <x:c r="C12719" s="0" t="s">
        <x:v>42840</x:v>
      </x:c>
      <x:c r="E12719" s="0" t="s">
        <x:v>48761</x:v>
      </x:c>
      <x:c r="F12719" s="0" t="s">
        <x:v>45</x:v>
      </x:c>
      <x:c r="G12719" s="0" t="s">
        <x:v>40</x:v>
      </x:c>
      <x:c r="H12719" s="0" t="s">
        <x:v>20</x:v>
      </x:c>
      <x:c r="I12719" s="0" t="s">
        <x:v>21</x:v>
      </x:c>
      <x:c r="K12719" s="0">
        <x:f>hyperlink("https://icd.who.int/dev11/l-ichi/en#/http%3A%2F%2Fid.who.int%2Ficd%2Fentity%2F1541846755","browser")</x:f>
      </x:c>
      <x:c r="L12719" s="0">
        <x:f>hyperlink("https://icat2.azurewebsites.net/icat/?ontology=ICD&amp;tab=ClassesTab&amp;id=http%3A%2F%2Fwho.int%2Ficd%234157_b42302c6_9ff1_412e_a40f_2f411ad4c932","iCat")</x:f>
      </x:c>
      <x:c r="M12719" s="0" t="s">
        <x:v>21</x:v>
      </x:c>
      <x:c r="N12719" s="0" t="s">
        <x:v>46</x:v>
      </x:c>
    </x:row>
    <x:row r="12720" spans="1:16">
      <x:c r="A12720" s="0" t="s">
        <x:v>48762</x:v>
      </x:c>
      <x:c r="B12720" s="0" t="s">
        <x:v>48763</x:v>
      </x:c>
      <x:c r="C12720" s="0" t="s">
        <x:v>42840</x:v>
      </x:c>
      <x:c r="E12720" s="0" t="s">
        <x:v>48764</x:v>
      </x:c>
      <x:c r="F12720" s="0" t="s">
        <x:v>45</x:v>
      </x:c>
      <x:c r="G12720" s="0" t="s">
        <x:v>40</x:v>
      </x:c>
      <x:c r="H12720" s="0" t="s">
        <x:v>20</x:v>
      </x:c>
      <x:c r="I12720" s="0" t="s">
        <x:v>21</x:v>
      </x:c>
      <x:c r="K12720" s="0">
        <x:f>hyperlink("https://icd.who.int/dev11/l-ichi/en#/http%3A%2F%2Fid.who.int%2Ficd%2Fentity%2F351174262","browser")</x:f>
      </x:c>
      <x:c r="L12720" s="0">
        <x:f>hyperlink("https://icat2.azurewebsites.net/icat/?ontology=ICD&amp;tab=ClassesTab&amp;id=http%3A%2F%2Fwho.int%2Ficd%234175_b42302c6_9ff1_412e_a40f_2f411ad4c932","iCat")</x:f>
      </x:c>
      <x:c r="M12720" s="0" t="s">
        <x:v>21</x:v>
      </x:c>
      <x:c r="N12720" s="0" t="s">
        <x:v>46</x:v>
      </x:c>
    </x:row>
    <x:row r="12721" spans="1:16">
      <x:c r="A12721" s="0" t="s">
        <x:v>48765</x:v>
      </x:c>
      <x:c r="B12721" s="0" t="s">
        <x:v>48766</x:v>
      </x:c>
      <x:c r="C12721" s="0" t="s">
        <x:v>42840</x:v>
      </x:c>
      <x:c r="E12721" s="0" t="s">
        <x:v>48767</x:v>
      </x:c>
      <x:c r="F12721" s="0" t="s">
        <x:v>45</x:v>
      </x:c>
      <x:c r="G12721" s="0" t="s">
        <x:v>40</x:v>
      </x:c>
      <x:c r="H12721" s="0" t="s">
        <x:v>20</x:v>
      </x:c>
      <x:c r="I12721" s="0" t="s">
        <x:v>21</x:v>
      </x:c>
      <x:c r="K12721" s="0">
        <x:f>hyperlink("https://icd.who.int/dev11/l-ichi/en#/http%3A%2F%2Fid.who.int%2Ficd%2Fentity%2F28801104","browser")</x:f>
      </x:c>
      <x:c r="L12721" s="0">
        <x:f>hyperlink("https://icat2.azurewebsites.net/icat/?ontology=ICD&amp;tab=ClassesTab&amp;id=http%3A%2F%2Fwho.int%2Ficd%234193_b42302c6_9ff1_412e_a40f_2f411ad4c932","iCat")</x:f>
      </x:c>
      <x:c r="M12721" s="0" t="s">
        <x:v>21</x:v>
      </x:c>
      <x:c r="N12721" s="0" t="s">
        <x:v>46</x:v>
      </x:c>
    </x:row>
    <x:row r="12722" spans="1:16">
      <x:c r="A12722" s="0" t="s">
        <x:v>48768</x:v>
      </x:c>
      <x:c r="B12722" s="0" t="s">
        <x:v>48769</x:v>
      </x:c>
      <x:c r="C12722" s="0" t="s">
        <x:v>42840</x:v>
      </x:c>
      <x:c r="E12722" s="0" t="s">
        <x:v>48770</x:v>
      </x:c>
      <x:c r="F12722" s="0" t="s">
        <x:v>45</x:v>
      </x:c>
      <x:c r="G12722" s="0" t="s">
        <x:v>40</x:v>
      </x:c>
      <x:c r="H12722" s="0" t="s">
        <x:v>20</x:v>
      </x:c>
      <x:c r="I12722" s="0" t="s">
        <x:v>21</x:v>
      </x:c>
      <x:c r="K12722" s="0">
        <x:f>hyperlink("https://icd.who.int/dev11/l-ichi/en#/http%3A%2F%2Fid.who.int%2Ficd%2Fentity%2F447055896","browser")</x:f>
      </x:c>
      <x:c r="L12722" s="0">
        <x:f>hyperlink("https://icat2.azurewebsites.net/icat/?ontology=ICD&amp;tab=ClassesTab&amp;id=http%3A%2F%2Fwho.int%2Ficd%234211_b42302c6_9ff1_412e_a40f_2f411ad4c932","iCat")</x:f>
      </x:c>
      <x:c r="M12722" s="0" t="s">
        <x:v>21</x:v>
      </x:c>
      <x:c r="N12722" s="0" t="s">
        <x:v>46</x:v>
      </x:c>
    </x:row>
    <x:row r="12723" spans="1:16">
      <x:c r="A12723" s="0" t="s">
        <x:v>48771</x:v>
      </x:c>
      <x:c r="B12723" s="0" t="s">
        <x:v>48772</x:v>
      </x:c>
      <x:c r="C12723" s="0" t="s">
        <x:v>42840</x:v>
      </x:c>
      <x:c r="E12723" s="0" t="s">
        <x:v>48773</x:v>
      </x:c>
      <x:c r="F12723" s="0" t="s">
        <x:v>45</x:v>
      </x:c>
      <x:c r="G12723" s="0" t="s">
        <x:v>40</x:v>
      </x:c>
      <x:c r="H12723" s="0" t="s">
        <x:v>20</x:v>
      </x:c>
      <x:c r="I12723" s="0" t="s">
        <x:v>21</x:v>
      </x:c>
      <x:c r="K12723" s="0">
        <x:f>hyperlink("https://icd.who.int/dev11/l-ichi/en#/http%3A%2F%2Fid.who.int%2Ficd%2Fentity%2F345356612","browser")</x:f>
      </x:c>
      <x:c r="L12723" s="0">
        <x:f>hyperlink("https://icat2.azurewebsites.net/icat/?ontology=ICD&amp;tab=ClassesTab&amp;id=http%3A%2F%2Fwho.int%2Ficd%234229_b42302c6_9ff1_412e_a40f_2f411ad4c932","iCat")</x:f>
      </x:c>
      <x:c r="M12723" s="0" t="s">
        <x:v>21</x:v>
      </x:c>
      <x:c r="N12723" s="0" t="s">
        <x:v>46</x:v>
      </x:c>
    </x:row>
    <x:row r="12724" spans="1:16">
      <x:c r="A12724" s="0" t="s">
        <x:v>48774</x:v>
      </x:c>
      <x:c r="B12724" s="0" t="s">
        <x:v>48775</x:v>
      </x:c>
      <x:c r="C12724" s="0" t="s">
        <x:v>42840</x:v>
      </x:c>
      <x:c r="E12724" s="0" t="s">
        <x:v>48776</x:v>
      </x:c>
      <x:c r="F12724" s="0" t="s">
        <x:v>45</x:v>
      </x:c>
      <x:c r="G12724" s="0" t="s">
        <x:v>22</x:v>
      </x:c>
      <x:c r="H12724" s="0" t="s">
        <x:v>20</x:v>
      </x:c>
      <x:c r="I12724" s="0" t="s">
        <x:v>21</x:v>
      </x:c>
      <x:c r="K12724" s="0">
        <x:f>hyperlink("https://icd.who.int/dev11/l-ichi/en#/http%3A%2F%2Fid.who.int%2Ficd%2Fentity%2F1185858858","browser")</x:f>
      </x:c>
      <x:c r="L12724" s="0">
        <x:f>hyperlink("https://icat2.azurewebsites.net/icat/?ontology=ICD&amp;tab=ClassesTab&amp;id=http%3A%2F%2Fwho.int%2Ficd%23SpecificAnatomicLocation_1201","iCat")</x:f>
      </x:c>
      <x:c r="M12724" s="0" t="s">
        <x:v>20</x:v>
      </x:c>
      <x:c r="N12724" s="0" t="s">
        <x:v>30</x:v>
      </x:c>
    </x:row>
    <x:row r="12725" spans="1:16">
      <x:c r="A12725" s="0" t="s">
        <x:v>48777</x:v>
      </x:c>
      <x:c r="B12725" s="0" t="s">
        <x:v>48778</x:v>
      </x:c>
      <x:c r="C12725" s="0" t="s">
        <x:v>42840</x:v>
      </x:c>
      <x:c r="E12725" s="0" t="s">
        <x:v>48779</x:v>
      </x:c>
      <x:c r="F12725" s="0" t="s">
        <x:v>45</x:v>
      </x:c>
      <x:c r="G12725" s="0" t="s">
        <x:v>40</x:v>
      </x:c>
      <x:c r="H12725" s="0" t="s">
        <x:v>20</x:v>
      </x:c>
      <x:c r="I12725" s="0" t="s">
        <x:v>21</x:v>
      </x:c>
      <x:c r="K12725" s="0">
        <x:f>hyperlink("https://icd.who.int/dev11/l-ichi/en#/http%3A%2F%2Fid.who.int%2Ficd%2Fentity%2F940624499","browser")</x:f>
      </x:c>
      <x:c r="L12725" s="0">
        <x:f>hyperlink("https://icat2.azurewebsites.net/icat/?ontology=ICD&amp;tab=ClassesTab&amp;id=http%3A%2F%2Fwho.int%2Ficd%233423_d9027f82_5e3d_47a4_a6fe_3c65954dde3a","iCat")</x:f>
      </x:c>
      <x:c r="M12725" s="0" t="s">
        <x:v>21</x:v>
      </x:c>
      <x:c r="N12725" s="0" t="s">
        <x:v>46</x:v>
      </x:c>
    </x:row>
    <x:row r="12726" spans="1:16">
      <x:c r="A12726" s="0" t="s">
        <x:v>48780</x:v>
      </x:c>
      <x:c r="B12726" s="0" t="s">
        <x:v>48781</x:v>
      </x:c>
      <x:c r="C12726" s="0" t="s">
        <x:v>42840</x:v>
      </x:c>
      <x:c r="E12726" s="0" t="s">
        <x:v>48782</x:v>
      </x:c>
      <x:c r="F12726" s="0" t="s">
        <x:v>45</x:v>
      </x:c>
      <x:c r="G12726" s="0" t="s">
        <x:v>40</x:v>
      </x:c>
      <x:c r="H12726" s="0" t="s">
        <x:v>20</x:v>
      </x:c>
      <x:c r="I12726" s="0" t="s">
        <x:v>21</x:v>
      </x:c>
      <x:c r="K12726" s="0">
        <x:f>hyperlink("https://icd.who.int/dev11/l-ichi/en#/http%3A%2F%2Fid.who.int%2Ficd%2Fentity%2F125784571","browser")</x:f>
      </x:c>
      <x:c r="L12726" s="0">
        <x:f>hyperlink("https://icat2.azurewebsites.net/icat/?ontology=ICD&amp;tab=ClassesTab&amp;id=http%3A%2F%2Fwho.int%2Ficd%233441_d9027f82_5e3d_47a4_a6fe_3c65954dde3a","iCat")</x:f>
      </x:c>
      <x:c r="M12726" s="0" t="s">
        <x:v>21</x:v>
      </x:c>
      <x:c r="N12726" s="0" t="s">
        <x:v>46</x:v>
      </x:c>
    </x:row>
    <x:row r="12727" spans="1:16">
      <x:c r="A12727" s="0" t="s">
        <x:v>48783</x:v>
      </x:c>
      <x:c r="B12727" s="0" t="s">
        <x:v>48784</x:v>
      </x:c>
      <x:c r="C12727" s="0" t="s">
        <x:v>42840</x:v>
      </x:c>
      <x:c r="E12727" s="0" t="s">
        <x:v>48785</x:v>
      </x:c>
      <x:c r="F12727" s="0" t="s">
        <x:v>45</x:v>
      </x:c>
      <x:c r="G12727" s="0" t="s">
        <x:v>30</x:v>
      </x:c>
      <x:c r="H12727" s="0" t="s">
        <x:v>20</x:v>
      </x:c>
      <x:c r="I12727" s="0" t="s">
        <x:v>21</x:v>
      </x:c>
      <x:c r="K12727" s="0">
        <x:f>hyperlink("https://icd.who.int/dev11/l-ichi/en#/http%3A%2F%2Fid.who.int%2Ficd%2Fentity%2F128614976","browser")</x:f>
      </x:c>
      <x:c r="L12727" s="0">
        <x:f>hyperlink("https://icat2.azurewebsites.net/icat/?ontology=ICD&amp;tab=ClassesTab&amp;id=http%3A%2F%2Fwho.int%2Ficd%23SpecificAnatomicLocation_1411","iCat")</x:f>
      </x:c>
      <x:c r="M12727" s="0" t="s">
        <x:v>20</x:v>
      </x:c>
      <x:c r="N12727" s="0" t="s">
        <x:v>30</x:v>
      </x:c>
    </x:row>
    <x:row r="12728" spans="1:16">
      <x:c r="A12728" s="0" t="s">
        <x:v>48786</x:v>
      </x:c>
      <x:c r="B12728" s="0" t="s">
        <x:v>48787</x:v>
      </x:c>
      <x:c r="C12728" s="0" t="s">
        <x:v>42840</x:v>
      </x:c>
      <x:c r="E12728" s="0" t="s">
        <x:v>48788</x:v>
      </x:c>
      <x:c r="F12728" s="0" t="s">
        <x:v>45</x:v>
      </x:c>
      <x:c r="G12728" s="0" t="s">
        <x:v>35</x:v>
      </x:c>
      <x:c r="H12728" s="0" t="s">
        <x:v>20</x:v>
      </x:c>
      <x:c r="I12728" s="0" t="s">
        <x:v>21</x:v>
      </x:c>
      <x:c r="K12728" s="0">
        <x:f>hyperlink("https://icd.who.int/dev11/l-ichi/en#/http%3A%2F%2Fid.who.int%2Ficd%2Fentity%2F480847577","browser")</x:f>
      </x:c>
      <x:c r="L12728" s="0">
        <x:f>hyperlink("https://icat2.azurewebsites.net/icat/?ontology=ICD&amp;tab=ClassesTab&amp;id=http%3A%2F%2Fwho.int%2Ficd%23SpecificAnatomicLocation_1406","iCat")</x:f>
      </x:c>
      <x:c r="M12728" s="0" t="s">
        <x:v>20</x:v>
      </x:c>
      <x:c r="N12728" s="0" t="s">
        <x:v>31</x:v>
      </x:c>
    </x:row>
    <x:row r="12729" spans="1:16">
      <x:c r="A12729" s="0" t="s">
        <x:v>48789</x:v>
      </x:c>
      <x:c r="B12729" s="0" t="s">
        <x:v>48790</x:v>
      </x:c>
      <x:c r="C12729" s="0" t="s">
        <x:v>42840</x:v>
      </x:c>
      <x:c r="E12729" s="0" t="s">
        <x:v>48791</x:v>
      </x:c>
      <x:c r="F12729" s="0" t="s">
        <x:v>45</x:v>
      </x:c>
      <x:c r="G12729" s="0" t="s">
        <x:v>22</x:v>
      </x:c>
      <x:c r="H12729" s="0" t="s">
        <x:v>20</x:v>
      </x:c>
      <x:c r="I12729" s="0" t="s">
        <x:v>21</x:v>
      </x:c>
      <x:c r="K12729" s="0">
        <x:f>hyperlink("https://icd.who.int/dev11/l-ichi/en#/http%3A%2F%2Fid.who.int%2Ficd%2Fentity%2F2059636601","browser")</x:f>
      </x:c>
      <x:c r="L12729" s="0">
        <x:f>hyperlink("https://icat2.azurewebsites.net/icat/?ontology=ICD&amp;tab=ClassesTab&amp;id=http%3A%2F%2Fwho.int%2Ficd%239114_16e67c35_8b57_40bb_9220_818553425a8c","iCat")</x:f>
      </x:c>
      <x:c r="M12729" s="0" t="s">
        <x:v>21</x:v>
      </x:c>
      <x:c r="N12729" s="0" t="s">
        <x:v>46</x:v>
      </x:c>
    </x:row>
    <x:row r="12730" spans="1:16">
      <x:c r="A12730" s="0" t="s">
        <x:v>48792</x:v>
      </x:c>
      <x:c r="B12730" s="0" t="s">
        <x:v>48793</x:v>
      </x:c>
      <x:c r="C12730" s="0" t="s">
        <x:v>42840</x:v>
      </x:c>
      <x:c r="E12730" s="0" t="s">
        <x:v>48794</x:v>
      </x:c>
      <x:c r="F12730" s="0" t="s">
        <x:v>45</x:v>
      </x:c>
      <x:c r="G12730" s="0" t="s">
        <x:v>22</x:v>
      </x:c>
      <x:c r="H12730" s="0" t="s">
        <x:v>20</x:v>
      </x:c>
      <x:c r="I12730" s="0" t="s">
        <x:v>21</x:v>
      </x:c>
      <x:c r="K12730" s="0">
        <x:f>hyperlink("https://icd.who.int/dev11/l-ichi/en#/http%3A%2F%2Fid.who.int%2Ficd%2Fentity%2F540406182","browser")</x:f>
      </x:c>
      <x:c r="L12730" s="0">
        <x:f>hyperlink("https://icat2.azurewebsites.net/icat/?ontology=ICD&amp;tab=ClassesTab&amp;id=http%3A%2F%2Fwho.int%2Ficd%239133_16e67c35_8b57_40bb_9220_818553425a8c","iCat")</x:f>
      </x:c>
      <x:c r="M12730" s="0" t="s">
        <x:v>21</x:v>
      </x:c>
      <x:c r="N12730" s="0" t="s">
        <x:v>46</x:v>
      </x:c>
    </x:row>
    <x:row r="12731" spans="1:16">
      <x:c r="A12731" s="0" t="s">
        <x:v>48795</x:v>
      </x:c>
      <x:c r="B12731" s="0" t="s">
        <x:v>48796</x:v>
      </x:c>
      <x:c r="C12731" s="0" t="s">
        <x:v>42840</x:v>
      </x:c>
      <x:c r="E12731" s="0" t="s">
        <x:v>48797</x:v>
      </x:c>
      <x:c r="F12731" s="0" t="s">
        <x:v>45</x:v>
      </x:c>
      <x:c r="G12731" s="0" t="s">
        <x:v>22</x:v>
      </x:c>
      <x:c r="H12731" s="0" t="s">
        <x:v>20</x:v>
      </x:c>
      <x:c r="I12731" s="0" t="s">
        <x:v>21</x:v>
      </x:c>
      <x:c r="K12731" s="0">
        <x:f>hyperlink("https://icd.who.int/dev11/l-ichi/en#/http%3A%2F%2Fid.who.int%2Ficd%2Fentity%2F1524565461","browser")</x:f>
      </x:c>
      <x:c r="L12731" s="0">
        <x:f>hyperlink("https://icat2.azurewebsites.net/icat/?ontology=ICD&amp;tab=ClassesTab&amp;id=http%3A%2F%2Fwho.int%2Ficd%239152_16e67c35_8b57_40bb_9220_818553425a8c","iCat")</x:f>
      </x:c>
      <x:c r="M12731" s="0" t="s">
        <x:v>21</x:v>
      </x:c>
      <x:c r="N12731" s="0" t="s">
        <x:v>46</x:v>
      </x:c>
    </x:row>
    <x:row r="12732" spans="1:16">
      <x:c r="A12732" s="0" t="s">
        <x:v>48798</x:v>
      </x:c>
      <x:c r="B12732" s="0" t="s">
        <x:v>48799</x:v>
      </x:c>
      <x:c r="C12732" s="0" t="s">
        <x:v>42840</x:v>
      </x:c>
      <x:c r="E12732" s="0" t="s">
        <x:v>48800</x:v>
      </x:c>
      <x:c r="F12732" s="0" t="s">
        <x:v>45</x:v>
      </x:c>
      <x:c r="G12732" s="0" t="s">
        <x:v>22</x:v>
      </x:c>
      <x:c r="H12732" s="0" t="s">
        <x:v>20</x:v>
      </x:c>
      <x:c r="I12732" s="0" t="s">
        <x:v>21</x:v>
      </x:c>
      <x:c r="K12732" s="0">
        <x:f>hyperlink("https://icd.who.int/dev11/l-ichi/en#/http%3A%2F%2Fid.who.int%2Ficd%2Fentity%2F892256126","browser")</x:f>
      </x:c>
      <x:c r="L12732" s="0">
        <x:f>hyperlink("https://icat2.azurewebsites.net/icat/?ontology=ICD&amp;tab=ClassesTab&amp;id=http%3A%2F%2Fwho.int%2Ficd%239171_16e67c35_8b57_40bb_9220_818553425a8c","iCat")</x:f>
      </x:c>
      <x:c r="M12732" s="0" t="s">
        <x:v>21</x:v>
      </x:c>
      <x:c r="N12732" s="0" t="s">
        <x:v>46</x:v>
      </x:c>
    </x:row>
    <x:row r="12733" spans="1:16">
      <x:c r="A12733" s="0" t="s">
        <x:v>48801</x:v>
      </x:c>
      <x:c r="B12733" s="0" t="s">
        <x:v>48802</x:v>
      </x:c>
      <x:c r="C12733" s="0" t="s">
        <x:v>42840</x:v>
      </x:c>
      <x:c r="E12733" s="0" t="s">
        <x:v>48803</x:v>
      </x:c>
      <x:c r="F12733" s="0" t="s">
        <x:v>45</x:v>
      </x:c>
      <x:c r="G12733" s="0" t="s">
        <x:v>22</x:v>
      </x:c>
      <x:c r="H12733" s="0" t="s">
        <x:v>20</x:v>
      </x:c>
      <x:c r="I12733" s="0" t="s">
        <x:v>21</x:v>
      </x:c>
      <x:c r="K12733" s="0">
        <x:f>hyperlink("https://icd.who.int/dev11/l-ichi/en#/http%3A%2F%2Fid.who.int%2Ficd%2Fentity%2F707160428","browser")</x:f>
      </x:c>
      <x:c r="L12733" s="0">
        <x:f>hyperlink("https://icat2.azurewebsites.net/icat/?ontology=ICD&amp;tab=ClassesTab&amp;id=http%3A%2F%2Fwho.int%2Ficd%239209_16e67c35_8b57_40bb_9220_818553425a8c","iCat")</x:f>
      </x:c>
      <x:c r="M12733" s="0" t="s">
        <x:v>21</x:v>
      </x:c>
      <x:c r="N12733" s="0" t="s">
        <x:v>46</x:v>
      </x:c>
    </x:row>
    <x:row r="12734" spans="1:16">
      <x:c r="A12734" s="0" t="s">
        <x:v>48804</x:v>
      </x:c>
      <x:c r="B12734" s="0" t="s">
        <x:v>48805</x:v>
      </x:c>
      <x:c r="C12734" s="0" t="s">
        <x:v>42840</x:v>
      </x:c>
      <x:c r="E12734" s="0" t="s">
        <x:v>48806</x:v>
      </x:c>
      <x:c r="F12734" s="0" t="s">
        <x:v>45</x:v>
      </x:c>
      <x:c r="G12734" s="0" t="s">
        <x:v>22</x:v>
      </x:c>
      <x:c r="H12734" s="0" t="s">
        <x:v>20</x:v>
      </x:c>
      <x:c r="I12734" s="0" t="s">
        <x:v>21</x:v>
      </x:c>
      <x:c r="K12734" s="0">
        <x:f>hyperlink("https://icd.who.int/dev11/l-ichi/en#/http%3A%2F%2Fid.who.int%2Ficd%2Fentity%2F548130312","browser")</x:f>
      </x:c>
      <x:c r="L12734" s="0">
        <x:f>hyperlink("https://icat2.azurewebsites.net/icat/?ontology=ICD&amp;tab=ClassesTab&amp;id=http%3A%2F%2Fwho.int%2Ficd%239228_16e67c35_8b57_40bb_9220_818553425a8c","iCat")</x:f>
      </x:c>
      <x:c r="M12734" s="0" t="s">
        <x:v>21</x:v>
      </x:c>
      <x:c r="N12734" s="0" t="s">
        <x:v>46</x:v>
      </x:c>
    </x:row>
    <x:row r="12735" spans="1:16">
      <x:c r="A12735" s="0" t="s">
        <x:v>48807</x:v>
      </x:c>
      <x:c r="B12735" s="0" t="s">
        <x:v>48808</x:v>
      </x:c>
      <x:c r="C12735" s="0" t="s">
        <x:v>42840</x:v>
      </x:c>
      <x:c r="E12735" s="0" t="s">
        <x:v>48809</x:v>
      </x:c>
      <x:c r="F12735" s="0" t="s">
        <x:v>45</x:v>
      </x:c>
      <x:c r="G12735" s="0" t="s">
        <x:v>22</x:v>
      </x:c>
      <x:c r="H12735" s="0" t="s">
        <x:v>20</x:v>
      </x:c>
      <x:c r="I12735" s="0" t="s">
        <x:v>21</x:v>
      </x:c>
      <x:c r="K12735" s="0">
        <x:f>hyperlink("https://icd.who.int/dev11/l-ichi/en#/http%3A%2F%2Fid.who.int%2Ficd%2Fentity%2F1153143443","browser")</x:f>
      </x:c>
      <x:c r="L12735" s="0">
        <x:f>hyperlink("https://icat2.azurewebsites.net/icat/?ontology=ICD&amp;tab=ClassesTab&amp;id=http%3A%2F%2Fwho.int%2Ficd%239247_16e67c35_8b57_40bb_9220_818553425a8c","iCat")</x:f>
      </x:c>
      <x:c r="M12735" s="0" t="s">
        <x:v>21</x:v>
      </x:c>
      <x:c r="N12735" s="0" t="s">
        <x:v>46</x:v>
      </x:c>
    </x:row>
    <x:row r="12736" spans="1:16">
      <x:c r="A12736" s="0" t="s">
        <x:v>48810</x:v>
      </x:c>
      <x:c r="B12736" s="0" t="s">
        <x:v>48811</x:v>
      </x:c>
      <x:c r="C12736" s="0" t="s">
        <x:v>42840</x:v>
      </x:c>
      <x:c r="E12736" s="0" t="s">
        <x:v>48812</x:v>
      </x:c>
      <x:c r="F12736" s="0" t="s">
        <x:v>45</x:v>
      </x:c>
      <x:c r="G12736" s="0" t="s">
        <x:v>22</x:v>
      </x:c>
      <x:c r="H12736" s="0" t="s">
        <x:v>20</x:v>
      </x:c>
      <x:c r="I12736" s="0" t="s">
        <x:v>21</x:v>
      </x:c>
      <x:c r="K12736" s="0">
        <x:f>hyperlink("https://icd.who.int/dev11/l-ichi/en#/http%3A%2F%2Fid.who.int%2Ficd%2Fentity%2F1859078083","browser")</x:f>
      </x:c>
      <x:c r="L12736" s="0">
        <x:f>hyperlink("https://icat2.azurewebsites.net/icat/?ontology=ICD&amp;tab=ClassesTab&amp;id=http%3A%2F%2Fwho.int%2Ficd%239267_16e67c35_8b57_40bb_9220_818553425a8c","iCat")</x:f>
      </x:c>
      <x:c r="M12736" s="0" t="s">
        <x:v>21</x:v>
      </x:c>
      <x:c r="N12736" s="0" t="s">
        <x:v>46</x:v>
      </x:c>
    </x:row>
    <x:row r="12737" spans="1:16">
      <x:c r="A12737" s="0" t="s">
        <x:v>48813</x:v>
      </x:c>
      <x:c r="B12737" s="0" t="s">
        <x:v>48814</x:v>
      </x:c>
      <x:c r="C12737" s="0" t="s">
        <x:v>42840</x:v>
      </x:c>
      <x:c r="E12737" s="0" t="s">
        <x:v>48815</x:v>
      </x:c>
      <x:c r="F12737" s="0" t="s">
        <x:v>45</x:v>
      </x:c>
      <x:c r="G12737" s="0" t="s">
        <x:v>22</x:v>
      </x:c>
      <x:c r="H12737" s="0" t="s">
        <x:v>20</x:v>
      </x:c>
      <x:c r="I12737" s="0" t="s">
        <x:v>21</x:v>
      </x:c>
      <x:c r="K12737" s="0">
        <x:f>hyperlink("https://icd.who.int/dev11/l-ichi/en#/http%3A%2F%2Fid.who.int%2Ficd%2Fentity%2F185920118","browser")</x:f>
      </x:c>
      <x:c r="L12737" s="0">
        <x:f>hyperlink("https://icat2.azurewebsites.net/icat/?ontology=ICD&amp;tab=ClassesTab&amp;id=http%3A%2F%2Fwho.int%2Ficd%239286_16e67c35_8b57_40bb_9220_818553425a8c","iCat")</x:f>
      </x:c>
      <x:c r="M12737" s="0" t="s">
        <x:v>21</x:v>
      </x:c>
      <x:c r="N12737" s="0" t="s">
        <x:v>46</x:v>
      </x:c>
    </x:row>
    <x:row r="12738" spans="1:16">
      <x:c r="A12738" s="0" t="s">
        <x:v>48816</x:v>
      </x:c>
      <x:c r="B12738" s="0" t="s">
        <x:v>48817</x:v>
      </x:c>
      <x:c r="C12738" s="0" t="s">
        <x:v>42840</x:v>
      </x:c>
      <x:c r="E12738" s="0" t="s">
        <x:v>48818</x:v>
      </x:c>
      <x:c r="F12738" s="0" t="s">
        <x:v>45</x:v>
      </x:c>
      <x:c r="G12738" s="0" t="s">
        <x:v>22</x:v>
      </x:c>
      <x:c r="H12738" s="0" t="s">
        <x:v>20</x:v>
      </x:c>
      <x:c r="I12738" s="0" t="s">
        <x:v>21</x:v>
      </x:c>
      <x:c r="K12738" s="0">
        <x:f>hyperlink("https://icd.who.int/dev11/l-ichi/en#/http%3A%2F%2Fid.who.int%2Ficd%2Fentity%2F608115414","browser")</x:f>
      </x:c>
      <x:c r="L12738" s="0">
        <x:f>hyperlink("https://icat2.azurewebsites.net/icat/?ontology=ICD&amp;tab=ClassesTab&amp;id=http%3A%2F%2Fwho.int%2Ficd%239305_16e67c35_8b57_40bb_9220_818553425a8c","iCat")</x:f>
      </x:c>
      <x:c r="M12738" s="0" t="s">
        <x:v>21</x:v>
      </x:c>
      <x:c r="N12738" s="0" t="s">
        <x:v>46</x:v>
      </x:c>
    </x:row>
    <x:row r="12739" spans="1:16">
      <x:c r="A12739" s="0" t="s">
        <x:v>48819</x:v>
      </x:c>
      <x:c r="B12739" s="0" t="s">
        <x:v>48820</x:v>
      </x:c>
      <x:c r="C12739" s="0" t="s">
        <x:v>42840</x:v>
      </x:c>
      <x:c r="E12739" s="0" t="s">
        <x:v>48821</x:v>
      </x:c>
      <x:c r="F12739" s="0" t="s">
        <x:v>45</x:v>
      </x:c>
      <x:c r="G12739" s="0" t="s">
        <x:v>22</x:v>
      </x:c>
      <x:c r="H12739" s="0" t="s">
        <x:v>20</x:v>
      </x:c>
      <x:c r="I12739" s="0" t="s">
        <x:v>21</x:v>
      </x:c>
      <x:c r="K12739" s="0">
        <x:f>hyperlink("https://icd.who.int/dev11/l-ichi/en#/http%3A%2F%2Fid.who.int%2Ficd%2Fentity%2F783465914","browser")</x:f>
      </x:c>
      <x:c r="L12739" s="0">
        <x:f>hyperlink("https://icat2.azurewebsites.net/icat/?ontology=ICD&amp;tab=ClassesTab&amp;id=http%3A%2F%2Fwho.int%2Ficd%239324_16e67c35_8b57_40bb_9220_818553425a8c","iCat")</x:f>
      </x:c>
      <x:c r="M12739" s="0" t="s">
        <x:v>21</x:v>
      </x:c>
      <x:c r="N12739" s="0" t="s">
        <x:v>46</x:v>
      </x:c>
    </x:row>
    <x:row r="12740" spans="1:16">
      <x:c r="A12740" s="0" t="s">
        <x:v>48822</x:v>
      </x:c>
      <x:c r="B12740" s="0" t="s">
        <x:v>48823</x:v>
      </x:c>
      <x:c r="C12740" s="0" t="s">
        <x:v>42840</x:v>
      </x:c>
      <x:c r="E12740" s="0" t="s">
        <x:v>48824</x:v>
      </x:c>
      <x:c r="F12740" s="0" t="s">
        <x:v>45</x:v>
      </x:c>
      <x:c r="G12740" s="0" t="s">
        <x:v>22</x:v>
      </x:c>
      <x:c r="H12740" s="0" t="s">
        <x:v>20</x:v>
      </x:c>
      <x:c r="I12740" s="0" t="s">
        <x:v>21</x:v>
      </x:c>
      <x:c r="K12740" s="0">
        <x:f>hyperlink("https://icd.who.int/dev11/l-ichi/en#/http%3A%2F%2Fid.who.int%2Ficd%2Fentity%2F69439612","browser")</x:f>
      </x:c>
      <x:c r="L12740" s="0">
        <x:f>hyperlink("https://icat2.azurewebsites.net/icat/?ontology=ICD&amp;tab=ClassesTab&amp;id=http%3A%2F%2Fwho.int%2Ficd%239343_16e67c35_8b57_40bb_9220_818553425a8c","iCat")</x:f>
      </x:c>
      <x:c r="M12740" s="0" t="s">
        <x:v>21</x:v>
      </x:c>
      <x:c r="N12740" s="0" t="s">
        <x:v>46</x:v>
      </x:c>
    </x:row>
    <x:row r="12741" spans="1:16">
      <x:c r="A12741" s="0" t="s">
        <x:v>48825</x:v>
      </x:c>
      <x:c r="B12741" s="0" t="s">
        <x:v>48826</x:v>
      </x:c>
      <x:c r="C12741" s="0" t="s">
        <x:v>42840</x:v>
      </x:c>
      <x:c r="E12741" s="0" t="s">
        <x:v>48827</x:v>
      </x:c>
      <x:c r="F12741" s="0" t="s">
        <x:v>45</x:v>
      </x:c>
      <x:c r="G12741" s="0" t="s">
        <x:v>35</x:v>
      </x:c>
      <x:c r="H12741" s="0" t="s">
        <x:v>20</x:v>
      </x:c>
      <x:c r="I12741" s="0" t="s">
        <x:v>21</x:v>
      </x:c>
      <x:c r="K12741" s="0">
        <x:f>hyperlink("https://icd.who.int/dev11/l-ichi/en#/http%3A%2F%2Fid.who.int%2Ficd%2Fentity%2F634489753","browser")</x:f>
      </x:c>
      <x:c r="L12741" s="0">
        <x:f>hyperlink("https://icat2.azurewebsites.net/icat/?ontology=ICD&amp;tab=ClassesTab&amp;id=http%3A%2F%2Fwho.int%2Ficd%23SpecificAnatomicLocation_1405","iCat")</x:f>
      </x:c>
      <x:c r="M12741" s="0" t="s">
        <x:v>20</x:v>
      </x:c>
      <x:c r="N12741" s="0" t="s">
        <x:v>35</x:v>
      </x:c>
    </x:row>
    <x:row r="12742" spans="1:16">
      <x:c r="A12742" s="0" t="s">
        <x:v>48828</x:v>
      </x:c>
      <x:c r="B12742" s="0" t="s">
        <x:v>48829</x:v>
      </x:c>
      <x:c r="C12742" s="0" t="s">
        <x:v>42840</x:v>
      </x:c>
      <x:c r="E12742" s="0" t="s">
        <x:v>48830</x:v>
      </x:c>
      <x:c r="F12742" s="0" t="s">
        <x:v>45</x:v>
      </x:c>
      <x:c r="G12742" s="0" t="s">
        <x:v>22</x:v>
      </x:c>
      <x:c r="H12742" s="0" t="s">
        <x:v>20</x:v>
      </x:c>
      <x:c r="I12742" s="0" t="s">
        <x:v>21</x:v>
      </x:c>
      <x:c r="K12742" s="0">
        <x:f>hyperlink("https://icd.who.int/dev11/l-ichi/en#/http%3A%2F%2Fid.who.int%2Ficd%2Fentity%2F1074312665","browser")</x:f>
      </x:c>
      <x:c r="L12742" s="0">
        <x:f>hyperlink("https://icat2.azurewebsites.net/icat/?ontology=ICD&amp;tab=ClassesTab&amp;id=http%3A%2F%2Fwho.int%2Ficd%23SpecificAnatomicLocation_1402","iCat")</x:f>
      </x:c>
      <x:c r="M12742" s="0" t="s">
        <x:v>21</x:v>
      </x:c>
      <x:c r="N12742" s="0" t="s">
        <x:v>46</x:v>
      </x:c>
    </x:row>
    <x:row r="12743" spans="1:16">
      <x:c r="A12743" s="0" t="s">
        <x:v>48831</x:v>
      </x:c>
      <x:c r="B12743" s="0" t="s">
        <x:v>48832</x:v>
      </x:c>
      <x:c r="C12743" s="0" t="s">
        <x:v>42840</x:v>
      </x:c>
      <x:c r="E12743" s="0" t="s">
        <x:v>48833</x:v>
      </x:c>
      <x:c r="F12743" s="0" t="s">
        <x:v>45</x:v>
      </x:c>
      <x:c r="G12743" s="0" t="s">
        <x:v>22</x:v>
      </x:c>
      <x:c r="H12743" s="0" t="s">
        <x:v>20</x:v>
      </x:c>
      <x:c r="I12743" s="0" t="s">
        <x:v>21</x:v>
      </x:c>
      <x:c r="K12743" s="0">
        <x:f>hyperlink("https://icd.who.int/dev11/l-ichi/en#/http%3A%2F%2Fid.who.int%2Ficd%2Fentity%2F1461768473","browser")</x:f>
      </x:c>
      <x:c r="L12743" s="0">
        <x:f>hyperlink("https://icat2.azurewebsites.net/icat/?ontology=ICD&amp;tab=ClassesTab&amp;id=http%3A%2F%2Fwho.int%2Ficd%23SpecificAnatomicLocation_1403","iCat")</x:f>
      </x:c>
      <x:c r="M12743" s="0" t="s">
        <x:v>21</x:v>
      </x:c>
      <x:c r="N12743" s="0" t="s">
        <x:v>46</x:v>
      </x:c>
    </x:row>
    <x:row r="12744" spans="1:16">
      <x:c r="A12744" s="0" t="s">
        <x:v>48834</x:v>
      </x:c>
      <x:c r="B12744" s="0" t="s">
        <x:v>48835</x:v>
      </x:c>
      <x:c r="C12744" s="0" t="s">
        <x:v>42840</x:v>
      </x:c>
      <x:c r="E12744" s="0" t="s">
        <x:v>48836</x:v>
      </x:c>
      <x:c r="F12744" s="0" t="s">
        <x:v>45</x:v>
      </x:c>
      <x:c r="G12744" s="0" t="s">
        <x:v>22</x:v>
      </x:c>
      <x:c r="H12744" s="0" t="s">
        <x:v>20</x:v>
      </x:c>
      <x:c r="I12744" s="0" t="s">
        <x:v>21</x:v>
      </x:c>
      <x:c r="K12744" s="0">
        <x:f>hyperlink("https://icd.who.int/dev11/l-ichi/en#/http%3A%2F%2Fid.who.int%2Ficd%2Fentity%2F855240537","browser")</x:f>
      </x:c>
      <x:c r="L12744" s="0">
        <x:f>hyperlink("https://icat2.azurewebsites.net/icat/?ontology=ICD&amp;tab=ClassesTab&amp;id=http%3A%2F%2Fwho.int%2Ficd%23SpecificAnatomicLocation_1404","iCat")</x:f>
      </x:c>
      <x:c r="M12744" s="0" t="s">
        <x:v>21</x:v>
      </x:c>
      <x:c r="N12744" s="0" t="s">
        <x:v>46</x:v>
      </x:c>
    </x:row>
    <x:row r="12745" spans="1:16">
      <x:c r="A12745" s="0" t="s">
        <x:v>48837</x:v>
      </x:c>
      <x:c r="B12745" s="0" t="s">
        <x:v>48838</x:v>
      </x:c>
      <x:c r="C12745" s="0" t="s">
        <x:v>42840</x:v>
      </x:c>
      <x:c r="E12745" s="0" t="s">
        <x:v>48839</x:v>
      </x:c>
      <x:c r="F12745" s="0" t="s">
        <x:v>45</x:v>
      </x:c>
      <x:c r="G12745" s="0" t="s">
        <x:v>30</x:v>
      </x:c>
      <x:c r="H12745" s="0" t="s">
        <x:v>20</x:v>
      </x:c>
      <x:c r="I12745" s="0" t="s">
        <x:v>21</x:v>
      </x:c>
      <x:c r="K12745" s="0">
        <x:f>hyperlink("https://icd.who.int/dev11/l-ichi/en#/http%3A%2F%2Fid.who.int%2Ficd%2Fentity%2F1145302967","browser")</x:f>
      </x:c>
      <x:c r="L12745" s="0">
        <x:f>hyperlink("https://icat2.azurewebsites.net/icat/?ontology=ICD&amp;tab=ClassesTab&amp;id=http%3A%2F%2Fwho.int%2Ficd%23SpecificAnatomicLocation_1467","iCat")</x:f>
      </x:c>
      <x:c r="M12745" s="0" t="s">
        <x:v>20</x:v>
      </x:c>
      <x:c r="N12745" s="0" t="s">
        <x:v>19</x:v>
      </x:c>
    </x:row>
    <x:row r="12746" spans="1:16">
      <x:c r="A12746" s="0" t="s">
        <x:v>48840</x:v>
      </x:c>
      <x:c r="B12746" s="0" t="s">
        <x:v>48841</x:v>
      </x:c>
      <x:c r="C12746" s="0" t="s">
        <x:v>42840</x:v>
      </x:c>
      <x:c r="E12746" s="0" t="s">
        <x:v>48842</x:v>
      </x:c>
      <x:c r="F12746" s="0" t="s">
        <x:v>45</x:v>
      </x:c>
      <x:c r="G12746" s="0" t="s">
        <x:v>35</x:v>
      </x:c>
      <x:c r="H12746" s="0" t="s">
        <x:v>20</x:v>
      </x:c>
      <x:c r="I12746" s="0" t="s">
        <x:v>21</x:v>
      </x:c>
      <x:c r="K12746" s="0">
        <x:f>hyperlink("https://icd.who.int/dev11/l-ichi/en#/http%3A%2F%2Fid.who.int%2Ficd%2Fentity%2F1399556983","browser")</x:f>
      </x:c>
      <x:c r="L12746" s="0">
        <x:f>hyperlink("https://icat2.azurewebsites.net/icat/?ontology=ICD&amp;tab=ClassesTab&amp;id=http%3A%2F%2Fwho.int%2Ficd%23SpecificAnatomicLocation_1466","iCat")</x:f>
      </x:c>
      <x:c r="M12746" s="0" t="s">
        <x:v>20</x:v>
      </x:c>
      <x:c r="N12746" s="0" t="s">
        <x:v>22</x:v>
      </x:c>
    </x:row>
    <x:row r="12747" spans="1:16">
      <x:c r="A12747" s="0" t="s">
        <x:v>48843</x:v>
      </x:c>
      <x:c r="B12747" s="0" t="s">
        <x:v>48844</x:v>
      </x:c>
      <x:c r="C12747" s="0" t="s">
        <x:v>42840</x:v>
      </x:c>
      <x:c r="E12747" s="0" t="s">
        <x:v>48845</x:v>
      </x:c>
      <x:c r="F12747" s="0" t="s">
        <x:v>45</x:v>
      </x:c>
      <x:c r="G12747" s="0" t="s">
        <x:v>22</x:v>
      </x:c>
      <x:c r="H12747" s="0" t="s">
        <x:v>20</x:v>
      </x:c>
      <x:c r="I12747" s="0" t="s">
        <x:v>21</x:v>
      </x:c>
      <x:c r="K12747" s="0">
        <x:f>hyperlink("https://icd.who.int/dev11/l-ichi/en#/http%3A%2F%2Fid.who.int%2Ficd%2Fentity%2F264902775","browser")</x:f>
      </x:c>
      <x:c r="L12747" s="0">
        <x:f>hyperlink("https://icat2.azurewebsites.net/icat/?ontology=ICD&amp;tab=ClassesTab&amp;id=http%3A%2F%2Fwho.int%2Ficd%23SpecificAnatomicLocation_1462","iCat")</x:f>
      </x:c>
      <x:c r="M12747" s="0" t="s">
        <x:v>20</x:v>
      </x:c>
      <x:c r="N12747" s="0" t="s">
        <x:v>19</x:v>
      </x:c>
    </x:row>
    <x:row r="12748" spans="1:16">
      <x:c r="A12748" s="0" t="s">
        <x:v>48846</x:v>
      </x:c>
      <x:c r="B12748" s="0" t="s">
        <x:v>48847</x:v>
      </x:c>
      <x:c r="C12748" s="0" t="s">
        <x:v>42840</x:v>
      </x:c>
      <x:c r="E12748" s="0" t="s">
        <x:v>48848</x:v>
      </x:c>
      <x:c r="F12748" s="0" t="s">
        <x:v>45</x:v>
      </x:c>
      <x:c r="G12748" s="0" t="s">
        <x:v>40</x:v>
      </x:c>
      <x:c r="H12748" s="0" t="s">
        <x:v>20</x:v>
      </x:c>
      <x:c r="I12748" s="0" t="s">
        <x:v>21</x:v>
      </x:c>
      <x:c r="K12748" s="0">
        <x:f>hyperlink("https://icd.who.int/dev11/l-ichi/en#/http%3A%2F%2Fid.who.int%2Ficd%2Fentity%2F917681463","browser")</x:f>
      </x:c>
      <x:c r="L12748" s="0">
        <x:f>hyperlink("https://icat2.azurewebsites.net/icat/?ontology=ICD&amp;tab=ClassesTab&amp;id=http%3A%2F%2Fwho.int%2Ficd%23SpecificAnatomicLocation_1461","iCat")</x:f>
      </x:c>
      <x:c r="M12748" s="0" t="s">
        <x:v>21</x:v>
      </x:c>
      <x:c r="N12748" s="0" t="s">
        <x:v>46</x:v>
      </x:c>
    </x:row>
    <x:row r="12749" spans="1:16">
      <x:c r="A12749" s="0" t="s">
        <x:v>48849</x:v>
      </x:c>
      <x:c r="B12749" s="0" t="s">
        <x:v>48850</x:v>
      </x:c>
      <x:c r="C12749" s="0" t="s">
        <x:v>42840</x:v>
      </x:c>
      <x:c r="E12749" s="0" t="s">
        <x:v>48851</x:v>
      </x:c>
      <x:c r="F12749" s="0" t="s">
        <x:v>45</x:v>
      </x:c>
      <x:c r="G12749" s="0" t="s">
        <x:v>22</x:v>
      </x:c>
      <x:c r="H12749" s="0" t="s">
        <x:v>20</x:v>
      </x:c>
      <x:c r="I12749" s="0" t="s">
        <x:v>21</x:v>
      </x:c>
      <x:c r="K12749" s="0">
        <x:f>hyperlink("https://icd.who.int/dev11/l-ichi/en#/http%3A%2F%2Fid.who.int%2Ficd%2Fentity%2F417496247","browser")</x:f>
      </x:c>
      <x:c r="L12749" s="0">
        <x:f>hyperlink("https://icat2.azurewebsites.net/icat/?ontology=ICD&amp;tab=ClassesTab&amp;id=http%3A%2F%2Fwho.int%2Ficd%23SpecificAnatomicLocation_1463","iCat")</x:f>
      </x:c>
      <x:c r="M12749" s="0" t="s">
        <x:v>21</x:v>
      </x:c>
      <x:c r="N12749" s="0" t="s">
        <x:v>46</x:v>
      </x:c>
    </x:row>
    <x:row r="12750" spans="1:16">
      <x:c r="A12750" s="0" t="s">
        <x:v>48852</x:v>
      </x:c>
      <x:c r="B12750" s="0" t="s">
        <x:v>48853</x:v>
      </x:c>
      <x:c r="C12750" s="0" t="s">
        <x:v>42840</x:v>
      </x:c>
      <x:c r="E12750" s="0" t="s">
        <x:v>48854</x:v>
      </x:c>
      <x:c r="F12750" s="0" t="s">
        <x:v>45</x:v>
      </x:c>
      <x:c r="G12750" s="0" t="s">
        <x:v>22</x:v>
      </x:c>
      <x:c r="H12750" s="0" t="s">
        <x:v>20</x:v>
      </x:c>
      <x:c r="I12750" s="0" t="s">
        <x:v>21</x:v>
      </x:c>
      <x:c r="K12750" s="0">
        <x:f>hyperlink("https://icd.who.int/dev11/l-ichi/en#/http%3A%2F%2Fid.who.int%2Ficd%2Fentity%2F1779639863","browser")</x:f>
      </x:c>
      <x:c r="L12750" s="0">
        <x:f>hyperlink("https://icat2.azurewebsites.net/icat/?ontology=ICD&amp;tab=ClassesTab&amp;id=http%3A%2F%2Fwho.int%2Ficd%23SpecificAnatomicLocation_1465","iCat")</x:f>
      </x:c>
      <x:c r="M12750" s="0" t="s">
        <x:v>20</x:v>
      </x:c>
      <x:c r="N12750" s="0" t="s">
        <x:v>30</x:v>
      </x:c>
    </x:row>
    <x:row r="12751" spans="1:16">
      <x:c r="A12751" s="0" t="s">
        <x:v>48855</x:v>
      </x:c>
      <x:c r="B12751" s="0" t="s">
        <x:v>48856</x:v>
      </x:c>
      <x:c r="C12751" s="0" t="s">
        <x:v>42840</x:v>
      </x:c>
      <x:c r="E12751" s="0" t="s">
        <x:v>48857</x:v>
      </x:c>
      <x:c r="F12751" s="0" t="s">
        <x:v>45</x:v>
      </x:c>
      <x:c r="G12751" s="0" t="s">
        <x:v>40</x:v>
      </x:c>
      <x:c r="H12751" s="0" t="s">
        <x:v>20</x:v>
      </x:c>
      <x:c r="I12751" s="0" t="s">
        <x:v>21</x:v>
      </x:c>
      <x:c r="K12751" s="0">
        <x:f>hyperlink("https://icd.who.int/dev11/l-ichi/en#/http%3A%2F%2Fid.who.int%2Ficd%2Fentity%2F458260832","browser")</x:f>
      </x:c>
      <x:c r="L12751" s="0">
        <x:f>hyperlink("https://icat2.azurewebsites.net/icat/?ontology=ICD&amp;tab=ClassesTab&amp;id=http%3A%2F%2Fwho.int%2Ficd%239367_16e67c35_8b57_40bb_9220_818553425a8c","iCat")</x:f>
      </x:c>
      <x:c r="M12751" s="0" t="s">
        <x:v>21</x:v>
      </x:c>
      <x:c r="N12751" s="0" t="s">
        <x:v>46</x:v>
      </x:c>
    </x:row>
    <x:row r="12752" spans="1:16">
      <x:c r="A12752" s="0" t="s">
        <x:v>48858</x:v>
      </x:c>
      <x:c r="B12752" s="0" t="s">
        <x:v>48859</x:v>
      </x:c>
      <x:c r="C12752" s="0" t="s">
        <x:v>42840</x:v>
      </x:c>
      <x:c r="E12752" s="0" t="s">
        <x:v>48860</x:v>
      </x:c>
      <x:c r="F12752" s="0" t="s">
        <x:v>45</x:v>
      </x:c>
      <x:c r="G12752" s="0" t="s">
        <x:v>40</x:v>
      </x:c>
      <x:c r="H12752" s="0" t="s">
        <x:v>20</x:v>
      </x:c>
      <x:c r="I12752" s="0" t="s">
        <x:v>21</x:v>
      </x:c>
      <x:c r="K12752" s="0">
        <x:f>hyperlink("https://icd.who.int/dev11/l-ichi/en#/http%3A%2F%2Fid.who.int%2Ficd%2Fentity%2F2123050219","browser")</x:f>
      </x:c>
      <x:c r="L12752" s="0">
        <x:f>hyperlink("https://icat2.azurewebsites.net/icat/?ontology=ICD&amp;tab=ClassesTab&amp;id=http%3A%2F%2Fwho.int%2Ficd%239386_16e67c35_8b57_40bb_9220_818553425a8c","iCat")</x:f>
      </x:c>
      <x:c r="M12752" s="0" t="s">
        <x:v>21</x:v>
      </x:c>
      <x:c r="N12752" s="0" t="s">
        <x:v>46</x:v>
      </x:c>
    </x:row>
    <x:row r="12753" spans="1:16">
      <x:c r="A12753" s="0" t="s">
        <x:v>48861</x:v>
      </x:c>
      <x:c r="B12753" s="0" t="s">
        <x:v>48862</x:v>
      </x:c>
      <x:c r="C12753" s="0" t="s">
        <x:v>42840</x:v>
      </x:c>
      <x:c r="E12753" s="0" t="s">
        <x:v>48863</x:v>
      </x:c>
      <x:c r="F12753" s="0" t="s">
        <x:v>45</x:v>
      </x:c>
      <x:c r="G12753" s="0" t="s">
        <x:v>22</x:v>
      </x:c>
      <x:c r="H12753" s="0" t="s">
        <x:v>20</x:v>
      </x:c>
      <x:c r="I12753" s="0" t="s">
        <x:v>21</x:v>
      </x:c>
      <x:c r="K12753" s="0">
        <x:f>hyperlink("https://icd.who.int/dev11/l-ichi/en#/http%3A%2F%2Fid.who.int%2Ficd%2Fentity%2F1375258212","browser")</x:f>
      </x:c>
      <x:c r="L12753" s="0">
        <x:f>hyperlink("https://icat2.azurewebsites.net/icat/?ontology=ICD&amp;tab=ClassesTab&amp;id=http%3A%2F%2Fwho.int%2Ficd%23SpecificAnatomicLocation_3346","iCat")</x:f>
      </x:c>
      <x:c r="M12753" s="0" t="s">
        <x:v>21</x:v>
      </x:c>
      <x:c r="N12753" s="0" t="s">
        <x:v>46</x:v>
      </x:c>
    </x:row>
    <x:row r="12754" spans="1:16">
      <x:c r="A12754" s="0" t="s">
        <x:v>48864</x:v>
      </x:c>
      <x:c r="B12754" s="0" t="s">
        <x:v>48865</x:v>
      </x:c>
      <x:c r="C12754" s="0" t="s">
        <x:v>42840</x:v>
      </x:c>
      <x:c r="E12754" s="0" t="s">
        <x:v>48866</x:v>
      </x:c>
      <x:c r="F12754" s="0" t="s">
        <x:v>45</x:v>
      </x:c>
      <x:c r="G12754" s="0" t="s">
        <x:v>19</x:v>
      </x:c>
      <x:c r="H12754" s="0" t="s">
        <x:v>20</x:v>
      </x:c>
      <x:c r="I12754" s="0" t="s">
        <x:v>21</x:v>
      </x:c>
      <x:c r="K12754" s="0">
        <x:f>hyperlink("https://icd.who.int/dev11/l-ichi/en#/http%3A%2F%2Fid.who.int%2Ficd%2Fentity%2F1415462031","browser")</x:f>
      </x:c>
      <x:c r="L12754" s="0">
        <x:f>hyperlink("https://icat2.azurewebsites.net/icat/?ontology=ICD&amp;tab=ClassesTab&amp;id=http%3A%2F%2Fwho.int%2Ficd%2310951_b42302c6_9ff1_412e_a40f_2f411ad4c932","iCat")</x:f>
      </x:c>
      <x:c r="M12754" s="0" t="s">
        <x:v>20</x:v>
      </x:c>
      <x:c r="N12754" s="0" t="s">
        <x:v>30</x:v>
      </x:c>
    </x:row>
    <x:row r="12755" spans="1:16">
      <x:c r="A12755" s="0" t="s">
        <x:v>48867</x:v>
      </x:c>
      <x:c r="B12755" s="0" t="s">
        <x:v>48868</x:v>
      </x:c>
      <x:c r="C12755" s="0" t="s">
        <x:v>42840</x:v>
      </x:c>
      <x:c r="E12755" s="0" t="s">
        <x:v>48869</x:v>
      </x:c>
      <x:c r="F12755" s="0" t="s">
        <x:v>45</x:v>
      </x:c>
      <x:c r="G12755" s="0" t="s">
        <x:v>30</x:v>
      </x:c>
      <x:c r="H12755" s="0" t="s">
        <x:v>20</x:v>
      </x:c>
      <x:c r="I12755" s="0" t="s">
        <x:v>21</x:v>
      </x:c>
      <x:c r="K12755" s="0">
        <x:f>hyperlink("https://icd.who.int/dev11/l-ichi/en#/http%3A%2F%2Fid.who.int%2Ficd%2Fentity%2F672187873","browser")</x:f>
      </x:c>
      <x:c r="L12755" s="0">
        <x:f>hyperlink("https://icat2.azurewebsites.net/icat/?ontology=ICD&amp;tab=ClassesTab&amp;id=http%3A%2F%2Fwho.int%2Ficd%23SpecificAnatomicLocation_1459","iCat")</x:f>
      </x:c>
      <x:c r="M12755" s="0" t="s">
        <x:v>20</x:v>
      </x:c>
      <x:c r="N12755" s="0" t="s">
        <x:v>431</x:v>
      </x:c>
    </x:row>
    <x:row r="12756" spans="1:16">
      <x:c r="A12756" s="0" t="s">
        <x:v>48870</x:v>
      </x:c>
      <x:c r="B12756" s="0" t="s">
        <x:v>48871</x:v>
      </x:c>
      <x:c r="C12756" s="0" t="s">
        <x:v>42840</x:v>
      </x:c>
      <x:c r="E12756" s="0" t="s">
        <x:v>48872</x:v>
      </x:c>
      <x:c r="F12756" s="0" t="s">
        <x:v>45</x:v>
      </x:c>
      <x:c r="G12756" s="0" t="s">
        <x:v>35</x:v>
      </x:c>
      <x:c r="H12756" s="0" t="s">
        <x:v>20</x:v>
      </x:c>
      <x:c r="I12756" s="0" t="s">
        <x:v>21</x:v>
      </x:c>
      <x:c r="K12756" s="0">
        <x:f>hyperlink("https://icd.who.int/dev11/l-ichi/en#/http%3A%2F%2Fid.who.int%2Ficd%2Fentity%2F1091984320","browser")</x:f>
      </x:c>
      <x:c r="L12756" s="0">
        <x:f>hyperlink("https://icat2.azurewebsites.net/icat/?ontology=ICD&amp;tab=ClassesTab&amp;id=http%3A%2F%2Fwho.int%2Ficd%23SpecificAnatomicLocation_1419","iCat")</x:f>
      </x:c>
      <x:c r="M12756" s="0" t="s">
        <x:v>20</x:v>
      </x:c>
      <x:c r="N12756" s="0" t="s">
        <x:v>30</x:v>
      </x:c>
    </x:row>
    <x:row r="12757" spans="1:16">
      <x:c r="A12757" s="0" t="s">
        <x:v>48873</x:v>
      </x:c>
      <x:c r="B12757" s="0" t="s">
        <x:v>48874</x:v>
      </x:c>
      <x:c r="C12757" s="0" t="s">
        <x:v>42840</x:v>
      </x:c>
      <x:c r="E12757" s="0" t="s">
        <x:v>48875</x:v>
      </x:c>
      <x:c r="F12757" s="0" t="s">
        <x:v>45</x:v>
      </x:c>
      <x:c r="G12757" s="0" t="s">
        <x:v>22</x:v>
      </x:c>
      <x:c r="H12757" s="0" t="s">
        <x:v>20</x:v>
      </x:c>
      <x:c r="I12757" s="0" t="s">
        <x:v>21</x:v>
      </x:c>
      <x:c r="K12757" s="0">
        <x:f>hyperlink("https://icd.who.int/dev11/l-ichi/en#/http%3A%2F%2Fid.who.int%2Ficd%2Fentity%2F1446920064","browser")</x:f>
      </x:c>
      <x:c r="L12757" s="0">
        <x:f>hyperlink("https://icat2.azurewebsites.net/icat/?ontology=ICD&amp;tab=ClassesTab&amp;id=http%3A%2F%2Fwho.int%2Ficd%23SpecificAnatomicLocation_1418","iCat")</x:f>
      </x:c>
      <x:c r="M12757" s="0" t="s">
        <x:v>20</x:v>
      </x:c>
      <x:c r="N12757" s="0" t="s">
        <x:v>35</x:v>
      </x:c>
    </x:row>
    <x:row r="12758" spans="1:16">
      <x:c r="A12758" s="0" t="s">
        <x:v>48876</x:v>
      </x:c>
      <x:c r="B12758" s="0" t="s">
        <x:v>48877</x:v>
      </x:c>
      <x:c r="C12758" s="0" t="s">
        <x:v>42840</x:v>
      </x:c>
      <x:c r="E12758" s="0" t="s">
        <x:v>48878</x:v>
      </x:c>
      <x:c r="F12758" s="0" t="s">
        <x:v>45</x:v>
      </x:c>
      <x:c r="G12758" s="0" t="s">
        <x:v>40</x:v>
      </x:c>
      <x:c r="H12758" s="0" t="s">
        <x:v>20</x:v>
      </x:c>
      <x:c r="I12758" s="0" t="s">
        <x:v>21</x:v>
      </x:c>
      <x:c r="K12758" s="0">
        <x:f>hyperlink("https://icd.who.int/dev11/l-ichi/en#/http%3A%2F%2Fid.who.int%2Ficd%2Fentity%2F329311988","browser")</x:f>
      </x:c>
      <x:c r="L12758" s="0">
        <x:f>hyperlink("https://icat2.azurewebsites.net/icat/?ontology=ICD&amp;tab=ClassesTab&amp;id=http%3A%2F%2Fwho.int%2Ficd%2311783_735007d5_2555_4eb5_a762_282e008a1468","iCat")</x:f>
      </x:c>
      <x:c r="M12758" s="0" t="s">
        <x:v>21</x:v>
      </x:c>
      <x:c r="N12758" s="0" t="s">
        <x:v>46</x:v>
      </x:c>
    </x:row>
    <x:row r="12759" spans="1:16">
      <x:c r="A12759" s="0" t="s">
        <x:v>48879</x:v>
      </x:c>
      <x:c r="B12759" s="0" t="s">
        <x:v>48880</x:v>
      </x:c>
      <x:c r="C12759" s="0" t="s">
        <x:v>42840</x:v>
      </x:c>
      <x:c r="E12759" s="0" t="s">
        <x:v>48881</x:v>
      </x:c>
      <x:c r="F12759" s="0" t="s">
        <x:v>45</x:v>
      </x:c>
      <x:c r="G12759" s="0" t="s">
        <x:v>40</x:v>
      </x:c>
      <x:c r="H12759" s="0" t="s">
        <x:v>20</x:v>
      </x:c>
      <x:c r="I12759" s="0" t="s">
        <x:v>21</x:v>
      </x:c>
      <x:c r="K12759" s="0">
        <x:f>hyperlink("https://icd.who.int/dev11/l-ichi/en#/http%3A%2F%2Fid.who.int%2Ficd%2Fentity%2F1968953536","browser")</x:f>
      </x:c>
      <x:c r="L12759" s="0">
        <x:f>hyperlink("https://icat2.azurewebsites.net/icat/?ontology=ICD&amp;tab=ClassesTab&amp;id=http%3A%2F%2Fwho.int%2Ficd%23SpecificAnatomicLocation_1417","iCat")</x:f>
      </x:c>
      <x:c r="M12759" s="0" t="s">
        <x:v>21</x:v>
      </x:c>
      <x:c r="N12759" s="0" t="s">
        <x:v>46</x:v>
      </x:c>
    </x:row>
    <x:row r="12760" spans="1:16">
      <x:c r="A12760" s="0" t="s">
        <x:v>48882</x:v>
      </x:c>
      <x:c r="B12760" s="0" t="s">
        <x:v>48883</x:v>
      </x:c>
      <x:c r="C12760" s="0" t="s">
        <x:v>42840</x:v>
      </x:c>
      <x:c r="E12760" s="0" t="s">
        <x:v>48884</x:v>
      </x:c>
      <x:c r="F12760" s="0" t="s">
        <x:v>45</x:v>
      </x:c>
      <x:c r="G12760" s="0" t="s">
        <x:v>40</x:v>
      </x:c>
      <x:c r="H12760" s="0" t="s">
        <x:v>20</x:v>
      </x:c>
      <x:c r="I12760" s="0" t="s">
        <x:v>21</x:v>
      </x:c>
      <x:c r="K12760" s="0">
        <x:f>hyperlink("https://icd.who.int/dev11/l-ichi/en#/http%3A%2F%2Fid.who.int%2Ficd%2Fentity%2F1512398092","browser")</x:f>
      </x:c>
      <x:c r="L12760" s="0">
        <x:f>hyperlink("https://icat2.azurewebsites.net/icat/?ontology=ICD&amp;tab=ClassesTab&amp;id=http%3A%2F%2Fwho.int%2Ficd%2311802_735007d5_2555_4eb5_a762_282e008a1468","iCat")</x:f>
      </x:c>
      <x:c r="M12760" s="0" t="s">
        <x:v>21</x:v>
      </x:c>
      <x:c r="N12760" s="0" t="s">
        <x:v>46</x:v>
      </x:c>
    </x:row>
    <x:row r="12761" spans="1:16">
      <x:c r="A12761" s="0" t="s">
        <x:v>48885</x:v>
      </x:c>
      <x:c r="B12761" s="0" t="s">
        <x:v>48886</x:v>
      </x:c>
      <x:c r="C12761" s="0" t="s">
        <x:v>42840</x:v>
      </x:c>
      <x:c r="E12761" s="0" t="s">
        <x:v>48887</x:v>
      </x:c>
      <x:c r="F12761" s="0" t="s">
        <x:v>45</x:v>
      </x:c>
      <x:c r="G12761" s="0" t="s">
        <x:v>22</x:v>
      </x:c>
      <x:c r="H12761" s="0" t="s">
        <x:v>20</x:v>
      </x:c>
      <x:c r="I12761" s="0" t="s">
        <x:v>21</x:v>
      </x:c>
      <x:c r="K12761" s="0">
        <x:f>hyperlink("https://icd.who.int/dev11/l-ichi/en#/http%3A%2F%2Fid.who.int%2Ficd%2Fentity%2F1651751936","browser")</x:f>
      </x:c>
      <x:c r="L12761" s="0">
        <x:f>hyperlink("https://icat2.azurewebsites.net/icat/?ontology=ICD&amp;tab=ClassesTab&amp;id=http%3A%2F%2Fwho.int%2Ficd%23SpecificAnatomicLocation_1416","iCat")</x:f>
      </x:c>
      <x:c r="M12761" s="0" t="s">
        <x:v>20</x:v>
      </x:c>
      <x:c r="N12761" s="0" t="s">
        <x:v>22</x:v>
      </x:c>
    </x:row>
    <x:row r="12762" spans="1:16">
      <x:c r="A12762" s="0" t="s">
        <x:v>48888</x:v>
      </x:c>
      <x:c r="B12762" s="0" t="s">
        <x:v>48889</x:v>
      </x:c>
      <x:c r="C12762" s="0" t="s">
        <x:v>42840</x:v>
      </x:c>
      <x:c r="E12762" s="0" t="s">
        <x:v>48890</x:v>
      </x:c>
      <x:c r="F12762" s="0" t="s">
        <x:v>45</x:v>
      </x:c>
      <x:c r="G12762" s="0" t="s">
        <x:v>40</x:v>
      </x:c>
      <x:c r="H12762" s="0" t="s">
        <x:v>20</x:v>
      </x:c>
      <x:c r="I12762" s="0" t="s">
        <x:v>21</x:v>
      </x:c>
      <x:c r="K12762" s="0">
        <x:f>hyperlink("https://icd.who.int/dev11/l-ichi/en#/http%3A%2F%2Fid.who.int%2Ficd%2Fentity%2F1527451968","browser")</x:f>
      </x:c>
      <x:c r="L12762" s="0">
        <x:f>hyperlink("https://icat2.azurewebsites.net/icat/?ontology=ICD&amp;tab=ClassesTab&amp;id=http%3A%2F%2Fwho.int%2Ficd%23SpecificAnatomicLocation_1415","iCat")</x:f>
      </x:c>
      <x:c r="M12762" s="0" t="s">
        <x:v>21</x:v>
      </x:c>
      <x:c r="N12762" s="0" t="s">
        <x:v>46</x:v>
      </x:c>
    </x:row>
    <x:row r="12763" spans="1:16">
      <x:c r="A12763" s="0" t="s">
        <x:v>48891</x:v>
      </x:c>
      <x:c r="B12763" s="0" t="s">
        <x:v>48892</x:v>
      </x:c>
      <x:c r="C12763" s="0" t="s">
        <x:v>42840</x:v>
      </x:c>
      <x:c r="E12763" s="0" t="s">
        <x:v>48893</x:v>
      </x:c>
      <x:c r="F12763" s="0" t="s">
        <x:v>45</x:v>
      </x:c>
      <x:c r="G12763" s="0" t="s">
        <x:v>40</x:v>
      </x:c>
      <x:c r="H12763" s="0" t="s">
        <x:v>20</x:v>
      </x:c>
      <x:c r="I12763" s="0" t="s">
        <x:v>21</x:v>
      </x:c>
      <x:c r="K12763" s="0">
        <x:f>hyperlink("https://icd.who.int/dev11/l-ichi/en#/http%3A%2F%2Fid.who.int%2Ficd%2Fentity%2F1277392256","browser")</x:f>
      </x:c>
      <x:c r="L12763" s="0">
        <x:f>hyperlink("https://icat2.azurewebsites.net/icat/?ontology=ICD&amp;tab=ClassesTab&amp;id=http%3A%2F%2Fwho.int%2Ficd%23SpecificAnatomicLocation_1414","iCat")</x:f>
      </x:c>
      <x:c r="M12763" s="0" t="s">
        <x:v>21</x:v>
      </x:c>
      <x:c r="N12763" s="0" t="s">
        <x:v>46</x:v>
      </x:c>
    </x:row>
    <x:row r="12764" spans="1:16">
      <x:c r="A12764" s="0" t="s">
        <x:v>48894</x:v>
      </x:c>
      <x:c r="B12764" s="0" t="s">
        <x:v>48895</x:v>
      </x:c>
      <x:c r="C12764" s="0" t="s">
        <x:v>42840</x:v>
      </x:c>
      <x:c r="E12764" s="0" t="s">
        <x:v>48896</x:v>
      </x:c>
      <x:c r="F12764" s="0" t="s">
        <x:v>45</x:v>
      </x:c>
      <x:c r="G12764" s="0" t="s">
        <x:v>40</x:v>
      </x:c>
      <x:c r="H12764" s="0" t="s">
        <x:v>20</x:v>
      </x:c>
      <x:c r="I12764" s="0" t="s">
        <x:v>21</x:v>
      </x:c>
      <x:c r="K12764" s="0">
        <x:f>hyperlink("https://icd.who.int/dev11/l-ichi/en#/http%3A%2F%2Fid.who.int%2Ficd%2Fentity%2F704269248","browser")</x:f>
      </x:c>
      <x:c r="L12764" s="0">
        <x:f>hyperlink("https://icat2.azurewebsites.net/icat/?ontology=ICD&amp;tab=ClassesTab&amp;id=http%3A%2F%2Fwho.int%2Ficd%23SpecificAnatomicLocation_1413","iCat")</x:f>
      </x:c>
      <x:c r="M12764" s="0" t="s">
        <x:v>21</x:v>
      </x:c>
      <x:c r="N12764" s="0" t="s">
        <x:v>46</x:v>
      </x:c>
    </x:row>
    <x:row r="12765" spans="1:16">
      <x:c r="A12765" s="0" t="s">
        <x:v>48897</x:v>
      </x:c>
      <x:c r="B12765" s="0" t="s">
        <x:v>48898</x:v>
      </x:c>
      <x:c r="C12765" s="0" t="s">
        <x:v>42840</x:v>
      </x:c>
      <x:c r="E12765" s="0" t="s">
        <x:v>48899</x:v>
      </x:c>
      <x:c r="F12765" s="0" t="s">
        <x:v>45</x:v>
      </x:c>
      <x:c r="G12765" s="0" t="s">
        <x:v>40</x:v>
      </x:c>
      <x:c r="H12765" s="0" t="s">
        <x:v>20</x:v>
      </x:c>
      <x:c r="I12765" s="0" t="s">
        <x:v>21</x:v>
      </x:c>
      <x:c r="K12765" s="0">
        <x:f>hyperlink("https://icd.who.int/dev11/l-ichi/en#/http%3A%2F%2Fid.who.int%2Ficd%2Fentity%2F1053961984","browser")</x:f>
      </x:c>
      <x:c r="L12765" s="0">
        <x:f>hyperlink("https://icat2.azurewebsites.net/icat/?ontology=ICD&amp;tab=ClassesTab&amp;id=http%3A%2F%2Fwho.int%2Ficd%23SpecificAnatomicLocation_1412","iCat")</x:f>
      </x:c>
      <x:c r="M12765" s="0" t="s">
        <x:v>21</x:v>
      </x:c>
      <x:c r="N12765" s="0" t="s">
        <x:v>46</x:v>
      </x:c>
    </x:row>
    <x:row r="12766" spans="1:16">
      <x:c r="A12766" s="0" t="s">
        <x:v>48900</x:v>
      </x:c>
      <x:c r="B12766" s="0" t="s">
        <x:v>48901</x:v>
      </x:c>
      <x:c r="C12766" s="0" t="s">
        <x:v>42840</x:v>
      </x:c>
      <x:c r="E12766" s="0" t="s">
        <x:v>48902</x:v>
      </x:c>
      <x:c r="F12766" s="0" t="s">
        <x:v>45</x:v>
      </x:c>
      <x:c r="G12766" s="0" t="s">
        <x:v>35</x:v>
      </x:c>
      <x:c r="H12766" s="0" t="s">
        <x:v>20</x:v>
      </x:c>
      <x:c r="I12766" s="0" t="s">
        <x:v>21</x:v>
      </x:c>
      <x:c r="K12766" s="0">
        <x:f>hyperlink("https://icd.who.int/dev11/l-ichi/en#/http%3A%2F%2Fid.who.int%2Ficd%2Fentity%2F759525864","browser")</x:f>
      </x:c>
      <x:c r="L12766" s="0">
        <x:f>hyperlink("https://icat2.azurewebsites.net/icat/?ontology=ICD&amp;tab=ClassesTab&amp;id=http%3A%2F%2Fwho.int%2Ficd%23SpecificAnatomicLocation_1427","iCat")</x:f>
      </x:c>
      <x:c r="M12766" s="0" t="s">
        <x:v>20</x:v>
      </x:c>
      <x:c r="N12766" s="0" t="s">
        <x:v>36</x:v>
      </x:c>
    </x:row>
    <x:row r="12767" spans="1:16">
      <x:c r="A12767" s="0" t="s">
        <x:v>48903</x:v>
      </x:c>
      <x:c r="B12767" s="0" t="s">
        <x:v>48904</x:v>
      </x:c>
      <x:c r="C12767" s="0" t="s">
        <x:v>42840</x:v>
      </x:c>
      <x:c r="E12767" s="0" t="s">
        <x:v>48905</x:v>
      </x:c>
      <x:c r="F12767" s="0" t="s">
        <x:v>45</x:v>
      </x:c>
      <x:c r="G12767" s="0" t="s">
        <x:v>22</x:v>
      </x:c>
      <x:c r="H12767" s="0" t="s">
        <x:v>20</x:v>
      </x:c>
      <x:c r="I12767" s="0" t="s">
        <x:v>21</x:v>
      </x:c>
      <x:c r="K12767" s="0">
        <x:f>hyperlink("https://icd.who.int/dev11/l-ichi/en#/http%3A%2F%2Fid.who.int%2Ficd%2Fentity%2F1319168025","browser")</x:f>
      </x:c>
      <x:c r="L12767" s="0">
        <x:f>hyperlink("https://icat2.azurewebsites.net/icat/?ontology=ICD&amp;tab=ClassesTab&amp;id=http%3A%2F%2Fwho.int%2Ficd%2318787_8716753b_e453_4876_8495_e2fe7d720f73","iCat")</x:f>
      </x:c>
      <x:c r="M12767" s="0" t="s">
        <x:v>21</x:v>
      </x:c>
      <x:c r="N12767" s="0" t="s">
        <x:v>46</x:v>
      </x:c>
    </x:row>
    <x:row r="12768" spans="1:16">
      <x:c r="A12768" s="0" t="s">
        <x:v>48906</x:v>
      </x:c>
      <x:c r="B12768" s="0" t="s">
        <x:v>48907</x:v>
      </x:c>
      <x:c r="C12768" s="0" t="s">
        <x:v>42840</x:v>
      </x:c>
      <x:c r="E12768" s="0" t="s">
        <x:v>48908</x:v>
      </x:c>
      <x:c r="F12768" s="0" t="s">
        <x:v>45</x:v>
      </x:c>
      <x:c r="G12768" s="0" t="s">
        <x:v>22</x:v>
      </x:c>
      <x:c r="H12768" s="0" t="s">
        <x:v>20</x:v>
      </x:c>
      <x:c r="I12768" s="0" t="s">
        <x:v>21</x:v>
      </x:c>
      <x:c r="K12768" s="0">
        <x:f>hyperlink("https://icd.who.int/dev11/l-ichi/en#/http%3A%2F%2Fid.who.int%2Ficd%2Fentity%2F1218203560","browser")</x:f>
      </x:c>
      <x:c r="L12768" s="0">
        <x:f>hyperlink("https://icat2.azurewebsites.net/icat/?ontology=ICD&amp;tab=ClassesTab&amp;id=http%3A%2F%2Fwho.int%2Ficd%23SpecificAnatomicLocation_1420","iCat")</x:f>
      </x:c>
      <x:c r="M12768" s="0" t="s">
        <x:v>21</x:v>
      </x:c>
      <x:c r="N12768" s="0" t="s">
        <x:v>46</x:v>
      </x:c>
    </x:row>
    <x:row r="12769" spans="1:16">
      <x:c r="A12769" s="0" t="s">
        <x:v>48909</x:v>
      </x:c>
      <x:c r="B12769" s="0" t="s">
        <x:v>48910</x:v>
      </x:c>
      <x:c r="C12769" s="0" t="s">
        <x:v>42840</x:v>
      </x:c>
      <x:c r="E12769" s="0" t="s">
        <x:v>48911</x:v>
      </x:c>
      <x:c r="F12769" s="0" t="s">
        <x:v>45</x:v>
      </x:c>
      <x:c r="G12769" s="0" t="s">
        <x:v>22</x:v>
      </x:c>
      <x:c r="H12769" s="0" t="s">
        <x:v>20</x:v>
      </x:c>
      <x:c r="I12769" s="0" t="s">
        <x:v>21</x:v>
      </x:c>
      <x:c r="K12769" s="0">
        <x:f>hyperlink("https://icd.who.int/dev11/l-ichi/en#/http%3A%2F%2Fid.who.int%2Ficd%2Fentity%2F1605643112","browser")</x:f>
      </x:c>
      <x:c r="L12769" s="0">
        <x:f>hyperlink("https://icat2.azurewebsites.net/icat/?ontology=ICD&amp;tab=ClassesTab&amp;id=http%3A%2F%2Fwho.int%2Ficd%23SpecificAnatomicLocation_1421","iCat")</x:f>
      </x:c>
      <x:c r="M12769" s="0" t="s">
        <x:v>21</x:v>
      </x:c>
      <x:c r="N12769" s="0" t="s">
        <x:v>46</x:v>
      </x:c>
    </x:row>
    <x:row r="12770" spans="1:16">
      <x:c r="A12770" s="0" t="s">
        <x:v>48912</x:v>
      </x:c>
      <x:c r="B12770" s="0" t="s">
        <x:v>48913</x:v>
      </x:c>
      <x:c r="C12770" s="0" t="s">
        <x:v>42840</x:v>
      </x:c>
      <x:c r="E12770" s="0" t="s">
        <x:v>48914</x:v>
      </x:c>
      <x:c r="F12770" s="0" t="s">
        <x:v>45</x:v>
      </x:c>
      <x:c r="G12770" s="0" t="s">
        <x:v>22</x:v>
      </x:c>
      <x:c r="H12770" s="0" t="s">
        <x:v>20</x:v>
      </x:c>
      <x:c r="I12770" s="0" t="s">
        <x:v>21</x:v>
      </x:c>
      <x:c r="K12770" s="0">
        <x:f>hyperlink("https://icd.who.int/dev11/l-ichi/en#/http%3A%2F%2Fid.who.int%2Ficd%2Fentity%2F339598504","browser")</x:f>
      </x:c>
      <x:c r="L12770" s="0">
        <x:f>hyperlink("https://icat2.azurewebsites.net/icat/?ontology=ICD&amp;tab=ClassesTab&amp;id=http%3A%2F%2Fwho.int%2Ficd%23SpecificAnatomicLocation_1424","iCat")</x:f>
      </x:c>
      <x:c r="M12770" s="0" t="s">
        <x:v>21</x:v>
      </x:c>
      <x:c r="N12770" s="0" t="s">
        <x:v>46</x:v>
      </x:c>
    </x:row>
    <x:row r="12771" spans="1:16">
      <x:c r="A12771" s="0" t="s">
        <x:v>48915</x:v>
      </x:c>
      <x:c r="B12771" s="0" t="s">
        <x:v>48916</x:v>
      </x:c>
      <x:c r="C12771" s="0" t="s">
        <x:v>42840</x:v>
      </x:c>
      <x:c r="E12771" s="0" t="s">
        <x:v>48917</x:v>
      </x:c>
      <x:c r="F12771" s="0" t="s">
        <x:v>45</x:v>
      </x:c>
      <x:c r="G12771" s="0" t="s">
        <x:v>22</x:v>
      </x:c>
      <x:c r="H12771" s="0" t="s">
        <x:v>20</x:v>
      </x:c>
      <x:c r="I12771" s="0" t="s">
        <x:v>21</x:v>
      </x:c>
      <x:c r="K12771" s="0">
        <x:f>hyperlink("https://icd.who.int/dev11/l-ichi/en#/http%3A%2F%2Fid.who.int%2Ficd%2Fentity%2F51755112","browser")</x:f>
      </x:c>
      <x:c r="L12771" s="0">
        <x:f>hyperlink("https://icat2.azurewebsites.net/icat/?ontology=ICD&amp;tab=ClassesTab&amp;id=http%3A%2F%2Fwho.int%2Ficd%23SpecificAnatomicLocation_1425","iCat")</x:f>
      </x:c>
      <x:c r="M12771" s="0" t="s">
        <x:v>21</x:v>
      </x:c>
      <x:c r="N12771" s="0" t="s">
        <x:v>46</x:v>
      </x:c>
    </x:row>
    <x:row r="12772" spans="1:16">
      <x:c r="A12772" s="0" t="s">
        <x:v>48918</x:v>
      </x:c>
      <x:c r="B12772" s="0" t="s">
        <x:v>48919</x:v>
      </x:c>
      <x:c r="C12772" s="0" t="s">
        <x:v>42840</x:v>
      </x:c>
      <x:c r="E12772" s="0" t="s">
        <x:v>48920</x:v>
      </x:c>
      <x:c r="F12772" s="0" t="s">
        <x:v>45</x:v>
      </x:c>
      <x:c r="G12772" s="0" t="s">
        <x:v>22</x:v>
      </x:c>
      <x:c r="H12772" s="0" t="s">
        <x:v>20</x:v>
      </x:c>
      <x:c r="I12772" s="0" t="s">
        <x:v>21</x:v>
      </x:c>
      <x:c r="K12772" s="0">
        <x:f>hyperlink("https://icd.who.int/dev11/l-ichi/en#/http%3A%2F%2Fid.who.int%2Ficd%2Fentity%2F980227368","browser")</x:f>
      </x:c>
      <x:c r="L12772" s="0">
        <x:f>hyperlink("https://icat2.azurewebsites.net/icat/?ontology=ICD&amp;tab=ClassesTab&amp;id=http%3A%2F%2Fwho.int%2Ficd%23SpecificAnatomicLocation_1426","iCat")</x:f>
      </x:c>
      <x:c r="M12772" s="0" t="s">
        <x:v>21</x:v>
      </x:c>
      <x:c r="N12772" s="0" t="s">
        <x:v>46</x:v>
      </x:c>
    </x:row>
    <x:row r="12773" spans="1:16">
      <x:c r="A12773" s="0" t="s">
        <x:v>48921</x:v>
      </x:c>
      <x:c r="B12773" s="0" t="s">
        <x:v>48922</x:v>
      </x:c>
      <x:c r="C12773" s="0" t="s">
        <x:v>42840</x:v>
      </x:c>
      <x:c r="E12773" s="0" t="s">
        <x:v>48923</x:v>
      </x:c>
      <x:c r="F12773" s="0" t="s">
        <x:v>45</x:v>
      </x:c>
      <x:c r="G12773" s="0" t="s">
        <x:v>22</x:v>
      </x:c>
      <x:c r="H12773" s="0" t="s">
        <x:v>20</x:v>
      </x:c>
      <x:c r="I12773" s="0" t="s">
        <x:v>21</x:v>
      </x:c>
      <x:c r="K12773" s="0">
        <x:f>hyperlink("https://icd.who.int/dev11/l-ichi/en#/http%3A%2F%2Fid.who.int%2Ficd%2Fentity%2F1724679720","browser")</x:f>
      </x:c>
      <x:c r="L12773" s="0">
        <x:f>hyperlink("https://icat2.azurewebsites.net/icat/?ontology=ICD&amp;tab=ClassesTab&amp;id=http%3A%2F%2Fwho.int%2Ficd%23SpecificAnatomicLocation_1422","iCat")</x:f>
      </x:c>
      <x:c r="M12773" s="0" t="s">
        <x:v>20</x:v>
      </x:c>
      <x:c r="N12773" s="0" t="s">
        <x:v>30</x:v>
      </x:c>
    </x:row>
    <x:row r="12774" spans="1:16">
      <x:c r="A12774" s="0" t="s">
        <x:v>48924</x:v>
      </x:c>
      <x:c r="B12774" s="0" t="s">
        <x:v>48925</x:v>
      </x:c>
      <x:c r="C12774" s="0" t="s">
        <x:v>42840</x:v>
      </x:c>
      <x:c r="E12774" s="0" t="s">
        <x:v>48926</x:v>
      </x:c>
      <x:c r="F12774" s="0" t="s">
        <x:v>45</x:v>
      </x:c>
      <x:c r="G12774" s="0" t="s">
        <x:v>40</x:v>
      </x:c>
      <x:c r="H12774" s="0" t="s">
        <x:v>20</x:v>
      </x:c>
      <x:c r="I12774" s="0" t="s">
        <x:v>21</x:v>
      </x:c>
      <x:c r="K12774" s="0">
        <x:f>hyperlink("https://icd.who.int/dev11/l-ichi/en#/http%3A%2F%2Fid.who.int%2Ficd%2Fentity%2F1182253318","browser")</x:f>
      </x:c>
      <x:c r="L12774" s="0">
        <x:f>hyperlink("https://icat2.azurewebsites.net/icat/?ontology=ICD&amp;tab=ClassesTab&amp;id=http%3A%2F%2Fwho.int%2Ficd%239509_16e67c35_8b57_40bb_9220_818553425a8c","iCat")</x:f>
      </x:c>
      <x:c r="M12774" s="0" t="s">
        <x:v>21</x:v>
      </x:c>
      <x:c r="N12774" s="0" t="s">
        <x:v>46</x:v>
      </x:c>
    </x:row>
    <x:row r="12775" spans="1:16">
      <x:c r="A12775" s="0" t="s">
        <x:v>48927</x:v>
      </x:c>
      <x:c r="B12775" s="0" t="s">
        <x:v>48928</x:v>
      </x:c>
      <x:c r="C12775" s="0" t="s">
        <x:v>42840</x:v>
      </x:c>
      <x:c r="E12775" s="0" t="s">
        <x:v>48929</x:v>
      </x:c>
      <x:c r="F12775" s="0" t="s">
        <x:v>45</x:v>
      </x:c>
      <x:c r="G12775" s="0" t="s">
        <x:v>40</x:v>
      </x:c>
      <x:c r="H12775" s="0" t="s">
        <x:v>20</x:v>
      </x:c>
      <x:c r="I12775" s="0" t="s">
        <x:v>21</x:v>
      </x:c>
      <x:c r="K12775" s="0">
        <x:f>hyperlink("https://icd.who.int/dev11/l-ichi/en#/http%3A%2F%2Fid.who.int%2Ficd%2Fentity%2F1291478634","browser")</x:f>
      </x:c>
      <x:c r="L12775" s="0">
        <x:f>hyperlink("https://icat2.azurewebsites.net/icat/?ontology=ICD&amp;tab=ClassesTab&amp;id=http%3A%2F%2Fwho.int%2Ficd%239528_16e67c35_8b57_40bb_9220_818553425a8c","iCat")</x:f>
      </x:c>
      <x:c r="M12775" s="0" t="s">
        <x:v>21</x:v>
      </x:c>
      <x:c r="N12775" s="0" t="s">
        <x:v>46</x:v>
      </x:c>
    </x:row>
    <x:row r="12776" spans="1:16">
      <x:c r="A12776" s="0" t="s">
        <x:v>48930</x:v>
      </x:c>
      <x:c r="B12776" s="0" t="s">
        <x:v>48931</x:v>
      </x:c>
      <x:c r="C12776" s="0" t="s">
        <x:v>42840</x:v>
      </x:c>
      <x:c r="E12776" s="0" t="s">
        <x:v>48932</x:v>
      </x:c>
      <x:c r="F12776" s="0" t="s">
        <x:v>45</x:v>
      </x:c>
      <x:c r="G12776" s="0" t="s">
        <x:v>22</x:v>
      </x:c>
      <x:c r="H12776" s="0" t="s">
        <x:v>20</x:v>
      </x:c>
      <x:c r="I12776" s="0" t="s">
        <x:v>21</x:v>
      </x:c>
      <x:c r="K12776" s="0">
        <x:f>hyperlink("https://icd.who.int/dev11/l-ichi/en#/http%3A%2F%2Fid.who.int%2Ficd%2Fentity%2F1304389078","browser")</x:f>
      </x:c>
      <x:c r="L12776" s="0">
        <x:f>hyperlink("https://icat2.azurewebsites.net/icat/?ontology=ICD&amp;tab=ClassesTab&amp;id=http%3A%2F%2Fwho.int%2Ficd%239471_16e67c35_8b57_40bb_9220_818553425a8c","iCat")</x:f>
      </x:c>
      <x:c r="M12776" s="0" t="s">
        <x:v>21</x:v>
      </x:c>
      <x:c r="N12776" s="0" t="s">
        <x:v>46</x:v>
      </x:c>
    </x:row>
    <x:row r="12777" spans="1:16">
      <x:c r="A12777" s="0" t="s">
        <x:v>48933</x:v>
      </x:c>
      <x:c r="B12777" s="0" t="s">
        <x:v>48934</x:v>
      </x:c>
      <x:c r="C12777" s="0" t="s">
        <x:v>42840</x:v>
      </x:c>
      <x:c r="E12777" s="0" t="s">
        <x:v>48935</x:v>
      </x:c>
      <x:c r="F12777" s="0" t="s">
        <x:v>45</x:v>
      </x:c>
      <x:c r="G12777" s="0" t="s">
        <x:v>22</x:v>
      </x:c>
      <x:c r="H12777" s="0" t="s">
        <x:v>20</x:v>
      </x:c>
      <x:c r="I12777" s="0" t="s">
        <x:v>21</x:v>
      </x:c>
      <x:c r="K12777" s="0">
        <x:f>hyperlink("https://icd.who.int/dev11/l-ichi/en#/http%3A%2F%2Fid.who.int%2Ficd%2Fentity%2F677693537","browser")</x:f>
      </x:c>
      <x:c r="L12777" s="0">
        <x:f>hyperlink("https://icat2.azurewebsites.net/icat/?ontology=ICD&amp;tab=ClassesTab&amp;id=http%3A%2F%2Fwho.int%2Ficd%239490_16e67c35_8b57_40bb_9220_818553425a8c","iCat")</x:f>
      </x:c>
      <x:c r="M12777" s="0" t="s">
        <x:v>21</x:v>
      </x:c>
      <x:c r="N12777" s="0" t="s">
        <x:v>46</x:v>
      </x:c>
    </x:row>
    <x:row r="12778" spans="1:16">
      <x:c r="A12778" s="0" t="s">
        <x:v>48936</x:v>
      </x:c>
      <x:c r="B12778" s="0" t="s">
        <x:v>48937</x:v>
      </x:c>
      <x:c r="C12778" s="0" t="s">
        <x:v>42840</x:v>
      </x:c>
      <x:c r="E12778" s="0" t="s">
        <x:v>48938</x:v>
      </x:c>
      <x:c r="F12778" s="0" t="s">
        <x:v>45</x:v>
      </x:c>
      <x:c r="G12778" s="0" t="s">
        <x:v>35</x:v>
      </x:c>
      <x:c r="H12778" s="0" t="s">
        <x:v>20</x:v>
      </x:c>
      <x:c r="I12778" s="0" t="s">
        <x:v>21</x:v>
      </x:c>
      <x:c r="K12778" s="0">
        <x:f>hyperlink("https://icd.who.int/dev11/l-ichi/en#/http%3A%2F%2Fid.who.int%2Ficd%2Fentity%2F255752241","browser")</x:f>
      </x:c>
      <x:c r="L12778" s="0">
        <x:f>hyperlink("https://icat2.azurewebsites.net/icat/?ontology=ICD&amp;tab=ClassesTab&amp;id=http%3A%2F%2Fwho.int%2Ficd%23SpecificAnatomicLocation_1433","iCat")</x:f>
      </x:c>
      <x:c r="M12778" s="0" t="s">
        <x:v>20</x:v>
      </x:c>
      <x:c r="N12778" s="0" t="s">
        <x:v>431</x:v>
      </x:c>
    </x:row>
    <x:row r="12779" spans="1:16">
      <x:c r="A12779" s="0" t="s">
        <x:v>48939</x:v>
      </x:c>
      <x:c r="B12779" s="0" t="s">
        <x:v>48940</x:v>
      </x:c>
      <x:c r="C12779" s="0" t="s">
        <x:v>42840</x:v>
      </x:c>
      <x:c r="E12779" s="0" t="s">
        <x:v>48941</x:v>
      </x:c>
      <x:c r="F12779" s="0" t="s">
        <x:v>45</x:v>
      </x:c>
      <x:c r="G12779" s="0" t="s">
        <x:v>22</x:v>
      </x:c>
      <x:c r="H12779" s="0" t="s">
        <x:v>20</x:v>
      </x:c>
      <x:c r="I12779" s="0" t="s">
        <x:v>21</x:v>
      </x:c>
      <x:c r="K12779" s="0">
        <x:f>hyperlink("https://icd.who.int/dev11/l-ichi/en#/http%3A%2F%2Fid.who.int%2Ficd%2Fentity%2F910611825","browser")</x:f>
      </x:c>
      <x:c r="L12779" s="0">
        <x:f>hyperlink("https://icat2.azurewebsites.net/icat/?ontology=ICD&amp;tab=ClassesTab&amp;id=http%3A%2F%2Fwho.int%2Ficd%23SpecificAnatomicLocation_1430","iCat")</x:f>
      </x:c>
      <x:c r="M12779" s="0" t="s">
        <x:v>21</x:v>
      </x:c>
      <x:c r="N12779" s="0" t="s">
        <x:v>46</x:v>
      </x:c>
    </x:row>
    <x:row r="12780" spans="1:16">
      <x:c r="A12780" s="0" t="s">
        <x:v>48942</x:v>
      </x:c>
      <x:c r="B12780" s="0" t="s">
        <x:v>48943</x:v>
      </x:c>
      <x:c r="C12780" s="0" t="s">
        <x:v>42840</x:v>
      </x:c>
      <x:c r="E12780" s="0" t="s">
        <x:v>48944</x:v>
      </x:c>
      <x:c r="F12780" s="0" t="s">
        <x:v>45</x:v>
      </x:c>
      <x:c r="G12780" s="0" t="s">
        <x:v>22</x:v>
      </x:c>
      <x:c r="H12780" s="0" t="s">
        <x:v>20</x:v>
      </x:c>
      <x:c r="I12780" s="0" t="s">
        <x:v>21</x:v>
      </x:c>
      <x:c r="K12780" s="0">
        <x:f>hyperlink("https://icd.who.int/dev11/l-ichi/en#/http%3A%2F%2Fid.who.int%2Ficd%2Fentity%2F560902577","browser")</x:f>
      </x:c>
      <x:c r="L12780" s="0">
        <x:f>hyperlink("https://icat2.azurewebsites.net/icat/?ontology=ICD&amp;tab=ClassesTab&amp;id=http%3A%2F%2Fwho.int%2Ficd%23SpecificAnatomicLocation_1431","iCat")</x:f>
      </x:c>
      <x:c r="M12780" s="0" t="s">
        <x:v>21</x:v>
      </x:c>
      <x:c r="N12780" s="0" t="s">
        <x:v>46</x:v>
      </x:c>
    </x:row>
    <x:row r="12781" spans="1:16">
      <x:c r="A12781" s="0" t="s">
        <x:v>48945</x:v>
      </x:c>
      <x:c r="B12781" s="0" t="s">
        <x:v>48946</x:v>
      </x:c>
      <x:c r="C12781" s="0" t="s">
        <x:v>42840</x:v>
      </x:c>
      <x:c r="E12781" s="0" t="s">
        <x:v>48947</x:v>
      </x:c>
      <x:c r="F12781" s="0" t="s">
        <x:v>45</x:v>
      </x:c>
      <x:c r="G12781" s="0" t="s">
        <x:v>22</x:v>
      </x:c>
      <x:c r="H12781" s="0" t="s">
        <x:v>20</x:v>
      </x:c>
      <x:c r="I12781" s="0" t="s">
        <x:v>21</x:v>
      </x:c>
      <x:c r="K12781" s="0">
        <x:f>hyperlink("https://icd.who.int/dev11/l-ichi/en#/http%3A%2F%2Fid.who.int%2Ficd%2Fentity%2F237016664","browser")</x:f>
      </x:c>
      <x:c r="L12781" s="0">
        <x:f>hyperlink("https://icat2.azurewebsites.net/icat/?ontology=ICD&amp;tab=ClassesTab&amp;id=http%3A%2F%2Fwho.int%2Ficd%23SpecificAnatomicLocation_1428","iCat")</x:f>
      </x:c>
      <x:c r="M12781" s="0" t="s">
        <x:v>21</x:v>
      </x:c>
      <x:c r="N12781" s="0" t="s">
        <x:v>46</x:v>
      </x:c>
    </x:row>
    <x:row r="12782" spans="1:16">
      <x:c r="A12782" s="0" t="s">
        <x:v>48948</x:v>
      </x:c>
      <x:c r="B12782" s="0" t="s">
        <x:v>48949</x:v>
      </x:c>
      <x:c r="C12782" s="0" t="s">
        <x:v>42840</x:v>
      </x:c>
      <x:c r="E12782" s="0" t="s">
        <x:v>48950</x:v>
      </x:c>
      <x:c r="F12782" s="0" t="s">
        <x:v>45</x:v>
      </x:c>
      <x:c r="G12782" s="0" t="s">
        <x:v>22</x:v>
      </x:c>
      <x:c r="H12782" s="0" t="s">
        <x:v>20</x:v>
      </x:c>
      <x:c r="I12782" s="0" t="s">
        <x:v>21</x:v>
      </x:c>
      <x:c r="K12782" s="0">
        <x:f>hyperlink("https://icd.who.int/dev11/l-ichi/en#/http%3A%2F%2Fid.who.int%2Ficd%2Fentity%2F404102385","browser")</x:f>
      </x:c>
      <x:c r="L12782" s="0">
        <x:f>hyperlink("https://icat2.azurewebsites.net/icat/?ontology=ICD&amp;tab=ClassesTab&amp;id=http%3A%2F%2Fwho.int%2Ficd%23SpecificAnatomicLocation_1432","iCat")</x:f>
      </x:c>
      <x:c r="M12782" s="0" t="s">
        <x:v>21</x:v>
      </x:c>
      <x:c r="N12782" s="0" t="s">
        <x:v>46</x:v>
      </x:c>
    </x:row>
    <x:row r="12783" spans="1:16">
      <x:c r="A12783" s="0" t="s">
        <x:v>48951</x:v>
      </x:c>
      <x:c r="B12783" s="0" t="s">
        <x:v>48952</x:v>
      </x:c>
      <x:c r="C12783" s="0" t="s">
        <x:v>42840</x:v>
      </x:c>
      <x:c r="E12783" s="0" t="s">
        <x:v>48953</x:v>
      </x:c>
      <x:c r="F12783" s="0" t="s">
        <x:v>45</x:v>
      </x:c>
      <x:c r="G12783" s="0" t="s">
        <x:v>22</x:v>
      </x:c>
      <x:c r="H12783" s="0" t="s">
        <x:v>20</x:v>
      </x:c>
      <x:c r="I12783" s="0" t="s">
        <x:v>21</x:v>
      </x:c>
      <x:c r="K12783" s="0">
        <x:f>hyperlink("https://icd.who.int/dev11/l-ichi/en#/http%3A%2F%2Fid.who.int%2Ficd%2Fentity%2F420016792","browser")</x:f>
      </x:c>
      <x:c r="L12783" s="0">
        <x:f>hyperlink("https://icat2.azurewebsites.net/icat/?ontology=ICD&amp;tab=ClassesTab&amp;id=http%3A%2F%2Fwho.int%2Ficd%23SpecificAnatomicLocation_1429","iCat")</x:f>
      </x:c>
      <x:c r="M12783" s="0" t="s">
        <x:v>21</x:v>
      </x:c>
      <x:c r="N12783" s="0" t="s">
        <x:v>46</x:v>
      </x:c>
    </x:row>
    <x:row r="12784" spans="1:16">
      <x:c r="A12784" s="0" t="s">
        <x:v>48954</x:v>
      </x:c>
      <x:c r="B12784" s="0" t="s">
        <x:v>48955</x:v>
      </x:c>
      <x:c r="C12784" s="0" t="s">
        <x:v>42840</x:v>
      </x:c>
      <x:c r="E12784" s="0" t="s">
        <x:v>48956</x:v>
      </x:c>
      <x:c r="F12784" s="0" t="s">
        <x:v>45</x:v>
      </x:c>
      <x:c r="G12784" s="0" t="s">
        <x:v>22</x:v>
      </x:c>
      <x:c r="H12784" s="0" t="s">
        <x:v>20</x:v>
      </x:c>
      <x:c r="I12784" s="0" t="s">
        <x:v>21</x:v>
      </x:c>
      <x:c r="K12784" s="0">
        <x:f>hyperlink("https://icd.who.int/dev11/l-ichi/en#/http%3A%2F%2Fid.who.int%2Ficd%2Fentity%2F930174412","browser")</x:f>
      </x:c>
      <x:c r="L12784" s="0">
        <x:f>hyperlink("https://icat2.azurewebsites.net/icat/?ontology=ICD&amp;tab=ClassesTab&amp;id=http%3A%2F%2Fwho.int%2Ficd%2311871_6075012b_9a45_426f_82f7_08df9dce6573","iCat")</x:f>
      </x:c>
      <x:c r="M12784" s="0" t="s">
        <x:v>21</x:v>
      </x:c>
      <x:c r="N12784" s="0" t="s">
        <x:v>46</x:v>
      </x:c>
    </x:row>
    <x:row r="12785" spans="1:16">
      <x:c r="A12785" s="0" t="s">
        <x:v>48957</x:v>
      </x:c>
      <x:c r="B12785" s="0" t="s">
        <x:v>48958</x:v>
      </x:c>
      <x:c r="C12785" s="0" t="s">
        <x:v>42840</x:v>
      </x:c>
      <x:c r="E12785" s="0" t="s">
        <x:v>48959</x:v>
      </x:c>
      <x:c r="F12785" s="0" t="s">
        <x:v>45</x:v>
      </x:c>
      <x:c r="G12785" s="0" t="s">
        <x:v>22</x:v>
      </x:c>
      <x:c r="H12785" s="0" t="s">
        <x:v>20</x:v>
      </x:c>
      <x:c r="I12785" s="0" t="s">
        <x:v>21</x:v>
      </x:c>
      <x:c r="K12785" s="0">
        <x:f>hyperlink("https://icd.who.int/dev11/l-ichi/en#/http%3A%2F%2Fid.who.int%2Ficd%2Fentity%2F1386936447","browser")</x:f>
      </x:c>
      <x:c r="L12785" s="0">
        <x:f>hyperlink("https://icat2.azurewebsites.net/icat/?ontology=ICD&amp;tab=ClassesTab&amp;id=http%3A%2F%2Fwho.int%2Ficd%2311890_6075012b_9a45_426f_82f7_08df9dce6573","iCat")</x:f>
      </x:c>
      <x:c r="M12785" s="0" t="s">
        <x:v>21</x:v>
      </x:c>
      <x:c r="N12785" s="0" t="s">
        <x:v>46</x:v>
      </x:c>
    </x:row>
    <x:row r="12786" spans="1:16">
      <x:c r="A12786" s="0" t="s">
        <x:v>48960</x:v>
      </x:c>
      <x:c r="B12786" s="0" t="s">
        <x:v>48961</x:v>
      </x:c>
      <x:c r="C12786" s="0" t="s">
        <x:v>42840</x:v>
      </x:c>
      <x:c r="E12786" s="0" t="s">
        <x:v>48962</x:v>
      </x:c>
      <x:c r="F12786" s="0" t="s">
        <x:v>45</x:v>
      </x:c>
      <x:c r="G12786" s="0" t="s">
        <x:v>35</x:v>
      </x:c>
      <x:c r="H12786" s="0" t="s">
        <x:v>20</x:v>
      </x:c>
      <x:c r="I12786" s="0" t="s">
        <x:v>21</x:v>
      </x:c>
      <x:c r="K12786" s="0">
        <x:f>hyperlink("https://icd.who.int/dev11/l-ichi/en#/http%3A%2F%2Fid.who.int%2Ficd%2Fentity%2F1895435407","browser")</x:f>
      </x:c>
      <x:c r="L12786" s="0">
        <x:f>hyperlink("https://icat2.azurewebsites.net/icat/?ontology=ICD&amp;tab=ClassesTab&amp;id=http%3A%2F%2Fwho.int%2Ficd%23SpecificAnatomicLocation_1438","iCat")</x:f>
      </x:c>
      <x:c r="M12786" s="0" t="s">
        <x:v>20</x:v>
      </x:c>
      <x:c r="N12786" s="0" t="s">
        <x:v>206</x:v>
      </x:c>
    </x:row>
    <x:row r="12787" spans="1:16">
      <x:c r="A12787" s="0" t="s">
        <x:v>48963</x:v>
      </x:c>
      <x:c r="B12787" s="0" t="s">
        <x:v>48964</x:v>
      </x:c>
      <x:c r="C12787" s="0" t="s">
        <x:v>42840</x:v>
      </x:c>
      <x:c r="E12787" s="0" t="s">
        <x:v>48965</x:v>
      </x:c>
      <x:c r="F12787" s="0" t="s">
        <x:v>45</x:v>
      </x:c>
      <x:c r="G12787" s="0" t="s">
        <x:v>22</x:v>
      </x:c>
      <x:c r="H12787" s="0" t="s">
        <x:v>20</x:v>
      </x:c>
      <x:c r="I12787" s="0" t="s">
        <x:v>21</x:v>
      </x:c>
      <x:c r="K12787" s="0">
        <x:f>hyperlink("https://icd.who.int/dev11/l-ichi/en#/http%3A%2F%2Fid.who.int%2Ficd%2Fentity%2F1793541745","browser")</x:f>
      </x:c>
      <x:c r="L12787" s="0">
        <x:f>hyperlink("https://icat2.azurewebsites.net/icat/?ontology=ICD&amp;tab=ClassesTab&amp;id=http%3A%2F%2Fwho.int%2Ficd%23SpecificAnatomicLocation_1434","iCat")</x:f>
      </x:c>
      <x:c r="M12787" s="0" t="s">
        <x:v>21</x:v>
      </x:c>
      <x:c r="N12787" s="0" t="s">
        <x:v>46</x:v>
      </x:c>
    </x:row>
    <x:row r="12788" spans="1:16">
      <x:c r="A12788" s="0" t="s">
        <x:v>48966</x:v>
      </x:c>
      <x:c r="B12788" s="0" t="s">
        <x:v>48967</x:v>
      </x:c>
      <x:c r="C12788" s="0" t="s">
        <x:v>42840</x:v>
      </x:c>
      <x:c r="E12788" s="0" t="s">
        <x:v>48968</x:v>
      </x:c>
      <x:c r="F12788" s="0" t="s">
        <x:v>45</x:v>
      </x:c>
      <x:c r="G12788" s="0" t="s">
        <x:v>22</x:v>
      </x:c>
      <x:c r="H12788" s="0" t="s">
        <x:v>20</x:v>
      </x:c>
      <x:c r="I12788" s="0" t="s">
        <x:v>21</x:v>
      </x:c>
      <x:c r="K12788" s="0">
        <x:f>hyperlink("https://icd.who.int/dev11/l-ichi/en#/http%3A%2F%2Fid.who.int%2Ficd%2Fentity%2F1666376405","browser")</x:f>
      </x:c>
      <x:c r="L12788" s="0">
        <x:f>hyperlink("https://icat2.azurewebsites.net/icat/?ontology=ICD&amp;tab=ClassesTab&amp;id=http%3A%2F%2Fwho.int%2Ficd%2311829_6075012b_9a45_426f_82f7_08df9dce6573","iCat")</x:f>
      </x:c>
      <x:c r="M12788" s="0" t="s">
        <x:v>21</x:v>
      </x:c>
      <x:c r="N12788" s="0" t="s">
        <x:v>46</x:v>
      </x:c>
    </x:row>
    <x:row r="12789" spans="1:16">
      <x:c r="A12789" s="0" t="s">
        <x:v>48969</x:v>
      </x:c>
      <x:c r="B12789" s="0" t="s">
        <x:v>48970</x:v>
      </x:c>
      <x:c r="C12789" s="0" t="s">
        <x:v>42840</x:v>
      </x:c>
      <x:c r="E12789" s="0" t="s">
        <x:v>48971</x:v>
      </x:c>
      <x:c r="F12789" s="0" t="s">
        <x:v>45</x:v>
      </x:c>
      <x:c r="G12789" s="0" t="s">
        <x:v>22</x:v>
      </x:c>
      <x:c r="H12789" s="0" t="s">
        <x:v>20</x:v>
      </x:c>
      <x:c r="I12789" s="0" t="s">
        <x:v>21</x:v>
      </x:c>
      <x:c r="K12789" s="0">
        <x:f>hyperlink("https://icd.who.int/dev11/l-ichi/en#/http%3A%2F%2Fid.who.int%2Ficd%2Fentity%2F1402989361","browser")</x:f>
      </x:c>
      <x:c r="L12789" s="0">
        <x:f>hyperlink("https://icat2.azurewebsites.net/icat/?ontology=ICD&amp;tab=ClassesTab&amp;id=http%3A%2F%2Fwho.int%2Ficd%23SpecificAnatomicLocation_1437","iCat")</x:f>
      </x:c>
      <x:c r="M12789" s="0" t="s">
        <x:v>21</x:v>
      </x:c>
      <x:c r="N12789" s="0" t="s">
        <x:v>46</x:v>
      </x:c>
    </x:row>
    <x:row r="12790" spans="1:16">
      <x:c r="A12790" s="0" t="s">
        <x:v>48972</x:v>
      </x:c>
      <x:c r="B12790" s="0" t="s">
        <x:v>48973</x:v>
      </x:c>
      <x:c r="C12790" s="0" t="s">
        <x:v>42840</x:v>
      </x:c>
      <x:c r="E12790" s="0" t="s">
        <x:v>48974</x:v>
      </x:c>
      <x:c r="F12790" s="0" t="s">
        <x:v>45</x:v>
      </x:c>
      <x:c r="G12790" s="0" t="s">
        <x:v>22</x:v>
      </x:c>
      <x:c r="H12790" s="0" t="s">
        <x:v>20</x:v>
      </x:c>
      <x:c r="I12790" s="0" t="s">
        <x:v>21</x:v>
      </x:c>
      <x:c r="K12790" s="0">
        <x:f>hyperlink("https://icd.who.int/dev11/l-ichi/en#/http%3A%2F%2Fid.who.int%2Ficd%2Fentity%2F2110726833","browser")</x:f>
      </x:c>
      <x:c r="L12790" s="0">
        <x:f>hyperlink("https://icat2.azurewebsites.net/icat/?ontology=ICD&amp;tab=ClassesTab&amp;id=http%3A%2F%2Fwho.int%2Ficd%23SpecificAnatomicLocation_1435","iCat")</x:f>
      </x:c>
      <x:c r="M12790" s="0" t="s">
        <x:v>21</x:v>
      </x:c>
      <x:c r="N12790" s="0" t="s">
        <x:v>46</x:v>
      </x:c>
    </x:row>
    <x:row r="12791" spans="1:16">
      <x:c r="A12791" s="0" t="s">
        <x:v>48975</x:v>
      </x:c>
      <x:c r="B12791" s="0" t="s">
        <x:v>48976</x:v>
      </x:c>
      <x:c r="C12791" s="0" t="s">
        <x:v>42840</x:v>
      </x:c>
      <x:c r="E12791" s="0" t="s">
        <x:v>48977</x:v>
      </x:c>
      <x:c r="F12791" s="0" t="s">
        <x:v>45</x:v>
      </x:c>
      <x:c r="G12791" s="0" t="s">
        <x:v>22</x:v>
      </x:c>
      <x:c r="H12791" s="0" t="s">
        <x:v>20</x:v>
      </x:c>
      <x:c r="I12791" s="0" t="s">
        <x:v>21</x:v>
      </x:c>
      <x:c r="K12791" s="0">
        <x:f>hyperlink("https://icd.who.int/dev11/l-ichi/en#/http%3A%2F%2Fid.who.int%2Ficd%2Fentity%2F1152880625","browser")</x:f>
      </x:c>
      <x:c r="L12791" s="0">
        <x:f>hyperlink("https://icat2.azurewebsites.net/icat/?ontology=ICD&amp;tab=ClassesTab&amp;id=http%3A%2F%2Fwho.int%2Ficd%23SpecificAnatomicLocation_1436","iCat")</x:f>
      </x:c>
      <x:c r="M12791" s="0" t="s">
        <x:v>21</x:v>
      </x:c>
      <x:c r="N12791" s="0" t="s">
        <x:v>46</x:v>
      </x:c>
    </x:row>
    <x:row r="12792" spans="1:16">
      <x:c r="A12792" s="0" t="s">
        <x:v>48978</x:v>
      </x:c>
      <x:c r="B12792" s="0" t="s">
        <x:v>48979</x:v>
      </x:c>
      <x:c r="C12792" s="0" t="s">
        <x:v>42840</x:v>
      </x:c>
      <x:c r="E12792" s="0" t="s">
        <x:v>48980</x:v>
      </x:c>
      <x:c r="F12792" s="0" t="s">
        <x:v>45</x:v>
      </x:c>
      <x:c r="G12792" s="0" t="s">
        <x:v>22</x:v>
      </x:c>
      <x:c r="H12792" s="0" t="s">
        <x:v>20</x:v>
      </x:c>
      <x:c r="I12792" s="0" t="s">
        <x:v>21</x:v>
      </x:c>
      <x:c r="K12792" s="0">
        <x:f>hyperlink("https://icd.who.int/dev11/l-ichi/en#/http%3A%2F%2Fid.who.int%2Ficd%2Fentity%2F1484844899","browser")</x:f>
      </x:c>
      <x:c r="L12792" s="0">
        <x:f>hyperlink("https://icat2.azurewebsites.net/icat/?ontology=ICD&amp;tab=ClassesTab&amp;id=http%3A%2F%2Fwho.int%2Ficd%2311852_6075012b_9a45_426f_82f7_08df9dce6573","iCat")</x:f>
      </x:c>
      <x:c r="M12792" s="0" t="s">
        <x:v>21</x:v>
      </x:c>
      <x:c r="N12792" s="0" t="s">
        <x:v>46</x:v>
      </x:c>
    </x:row>
    <x:row r="12793" spans="1:16">
      <x:c r="A12793" s="0" t="s">
        <x:v>48981</x:v>
      </x:c>
      <x:c r="B12793" s="0" t="s">
        <x:v>48982</x:v>
      </x:c>
      <x:c r="C12793" s="0" t="s">
        <x:v>42840</x:v>
      </x:c>
      <x:c r="E12793" s="0" t="s">
        <x:v>48983</x:v>
      </x:c>
      <x:c r="F12793" s="0" t="s">
        <x:v>45</x:v>
      </x:c>
      <x:c r="G12793" s="0" t="s">
        <x:v>35</x:v>
      </x:c>
      <x:c r="H12793" s="0" t="s">
        <x:v>20</x:v>
      </x:c>
      <x:c r="I12793" s="0" t="s">
        <x:v>21</x:v>
      </x:c>
      <x:c r="K12793" s="0">
        <x:f>hyperlink("https://icd.who.int/dev11/l-ichi/en#/http%3A%2F%2Fid.who.int%2Ficd%2Fentity%2F2038724831","browser")</x:f>
      </x:c>
      <x:c r="L12793" s="0">
        <x:f>hyperlink("https://icat2.azurewebsites.net/icat/?ontology=ICD&amp;tab=ClassesTab&amp;id=http%3A%2F%2Fwho.int%2Ficd%23SpecificAnatomicLocation_1450","iCat")</x:f>
      </x:c>
      <x:c r="M12793" s="0" t="s">
        <x:v>20</x:v>
      </x:c>
      <x:c r="N12793" s="0" t="s">
        <x:v>31</x:v>
      </x:c>
    </x:row>
    <x:row r="12794" spans="1:16">
      <x:c r="A12794" s="0" t="s">
        <x:v>48984</x:v>
      </x:c>
      <x:c r="B12794" s="0" t="s">
        <x:v>48985</x:v>
      </x:c>
      <x:c r="C12794" s="0" t="s">
        <x:v>42840</x:v>
      </x:c>
      <x:c r="E12794" s="0" t="s">
        <x:v>48986</x:v>
      </x:c>
      <x:c r="F12794" s="0" t="s">
        <x:v>45</x:v>
      </x:c>
      <x:c r="G12794" s="0" t="s">
        <x:v>22</x:v>
      </x:c>
      <x:c r="H12794" s="0" t="s">
        <x:v>20</x:v>
      </x:c>
      <x:c r="I12794" s="0" t="s">
        <x:v>21</x:v>
      </x:c>
      <x:c r="K12794" s="0">
        <x:f>hyperlink("https://icd.who.int/dev11/l-ichi/en#/http%3A%2F%2Fid.who.int%2Ficd%2Fentity%2F123658760","browser")</x:f>
      </x:c>
      <x:c r="L12794" s="0">
        <x:f>hyperlink("https://icat2.azurewebsites.net/icat/?ontology=ICD&amp;tab=ClassesTab&amp;id=http%3A%2F%2Fwho.int%2Ficd%23SpecificAnatomicLocation_1440","iCat")</x:f>
      </x:c>
      <x:c r="M12794" s="0" t="s">
        <x:v>20</x:v>
      </x:c>
      <x:c r="N12794" s="0" t="s">
        <x:v>22</x:v>
      </x:c>
    </x:row>
    <x:row r="12795" spans="1:16">
      <x:c r="A12795" s="0" t="s">
        <x:v>48987</x:v>
      </x:c>
      <x:c r="B12795" s="0" t="s">
        <x:v>48988</x:v>
      </x:c>
      <x:c r="C12795" s="0" t="s">
        <x:v>42840</x:v>
      </x:c>
      <x:c r="E12795" s="0" t="s">
        <x:v>48989</x:v>
      </x:c>
      <x:c r="F12795" s="0" t="s">
        <x:v>45</x:v>
      </x:c>
      <x:c r="G12795" s="0" t="s">
        <x:v>40</x:v>
      </x:c>
      <x:c r="H12795" s="0" t="s">
        <x:v>20</x:v>
      </x:c>
      <x:c r="I12795" s="0" t="s">
        <x:v>21</x:v>
      </x:c>
      <x:c r="K12795" s="0">
        <x:f>hyperlink("https://icd.who.int/dev11/l-ichi/en#/http%3A%2F%2Fid.who.int%2Ficd%2Fentity%2F1741842511","browser")</x:f>
      </x:c>
      <x:c r="L12795" s="0">
        <x:f>hyperlink("https://icat2.azurewebsites.net/icat/?ontology=ICD&amp;tab=ClassesTab&amp;id=http%3A%2F%2Fwho.int%2Ficd%23SpecificAnatomicLocation_1439","iCat")</x:f>
      </x:c>
      <x:c r="M12795" s="0" t="s">
        <x:v>21</x:v>
      </x:c>
      <x:c r="N12795" s="0" t="s">
        <x:v>46</x:v>
      </x:c>
    </x:row>
    <x:row r="12796" spans="1:16">
      <x:c r="A12796" s="0" t="s">
        <x:v>48990</x:v>
      </x:c>
      <x:c r="B12796" s="0" t="s">
        <x:v>48991</x:v>
      </x:c>
      <x:c r="C12796" s="0" t="s">
        <x:v>42840</x:v>
      </x:c>
      <x:c r="E12796" s="0" t="s">
        <x:v>48992</x:v>
      </x:c>
      <x:c r="F12796" s="0" t="s">
        <x:v>45</x:v>
      </x:c>
      <x:c r="G12796" s="0" t="s">
        <x:v>40</x:v>
      </x:c>
      <x:c r="H12796" s="0" t="s">
        <x:v>20</x:v>
      </x:c>
      <x:c r="I12796" s="0" t="s">
        <x:v>21</x:v>
      </x:c>
      <x:c r="K12796" s="0">
        <x:f>hyperlink("https://icd.who.int/dev11/l-ichi/en#/http%3A%2F%2Fid.who.int%2Ficd%2Fentity%2F1339590094","browser")</x:f>
      </x:c>
      <x:c r="L12796" s="0">
        <x:f>hyperlink("https://icat2.azurewebsites.net/icat/?ontology=ICD&amp;tab=ClassesTab&amp;id=http%3A%2F%2Fwho.int%2Ficd%2320544_6cd63085_564e_41fc_abd5_83ab7d9bb63c","iCat")</x:f>
      </x:c>
      <x:c r="M12796" s="0" t="s">
        <x:v>21</x:v>
      </x:c>
      <x:c r="N12796" s="0" t="s">
        <x:v>46</x:v>
      </x:c>
    </x:row>
    <x:row r="12797" spans="1:16">
      <x:c r="A12797" s="0" t="s">
        <x:v>48993</x:v>
      </x:c>
      <x:c r="B12797" s="0" t="s">
        <x:v>48994</x:v>
      </x:c>
      <x:c r="C12797" s="0" t="s">
        <x:v>42840</x:v>
      </x:c>
      <x:c r="E12797" s="0" t="s">
        <x:v>48995</x:v>
      </x:c>
      <x:c r="F12797" s="0" t="s">
        <x:v>45</x:v>
      </x:c>
      <x:c r="G12797" s="0" t="s">
        <x:v>40</x:v>
      </x:c>
      <x:c r="H12797" s="0" t="s">
        <x:v>20</x:v>
      </x:c>
      <x:c r="I12797" s="0" t="s">
        <x:v>21</x:v>
      </x:c>
      <x:c r="K12797" s="0">
        <x:f>hyperlink("https://icd.who.int/dev11/l-ichi/en#/http%3A%2F%2Fid.who.int%2Ficd%2Fentity%2F355400465","browser")</x:f>
      </x:c>
      <x:c r="L12797" s="0">
        <x:f>hyperlink("https://icat2.azurewebsites.net/icat/?ontology=ICD&amp;tab=ClassesTab&amp;id=http%3A%2F%2Fwho.int%2Ficd%2320563_6cd63085_564e_41fc_abd5_83ab7d9bb63c","iCat")</x:f>
      </x:c>
      <x:c r="M12797" s="0" t="s">
        <x:v>21</x:v>
      </x:c>
      <x:c r="N12797" s="0" t="s">
        <x:v>46</x:v>
      </x:c>
    </x:row>
    <x:row r="12798" spans="1:16">
      <x:c r="A12798" s="0" t="s">
        <x:v>48996</x:v>
      </x:c>
      <x:c r="B12798" s="0" t="s">
        <x:v>48997</x:v>
      </x:c>
      <x:c r="C12798" s="0" t="s">
        <x:v>42840</x:v>
      </x:c>
      <x:c r="E12798" s="0" t="s">
        <x:v>48998</x:v>
      </x:c>
      <x:c r="F12798" s="0" t="s">
        <x:v>45</x:v>
      </x:c>
      <x:c r="G12798" s="0" t="s">
        <x:v>40</x:v>
      </x:c>
      <x:c r="H12798" s="0" t="s">
        <x:v>20</x:v>
      </x:c>
      <x:c r="I12798" s="0" t="s">
        <x:v>21</x:v>
      </x:c>
      <x:c r="K12798" s="0">
        <x:f>hyperlink("https://icd.who.int/dev11/l-ichi/en#/http%3A%2F%2Fid.who.int%2Ficd%2Fentity%2F896547165","browser")</x:f>
      </x:c>
      <x:c r="L12798" s="0">
        <x:f>hyperlink("https://icat2.azurewebsites.net/icat/?ontology=ICD&amp;tab=ClassesTab&amp;id=http%3A%2F%2Fwho.int%2Ficd%2320581_6cd63085_564e_41fc_abd5_83ab7d9bb63c","iCat")</x:f>
      </x:c>
      <x:c r="M12798" s="0" t="s">
        <x:v>21</x:v>
      </x:c>
      <x:c r="N12798" s="0" t="s">
        <x:v>46</x:v>
      </x:c>
    </x:row>
    <x:row r="12799" spans="1:16">
      <x:c r="A12799" s="0" t="s">
        <x:v>48999</x:v>
      </x:c>
      <x:c r="B12799" s="0" t="s">
        <x:v>49000</x:v>
      </x:c>
      <x:c r="C12799" s="0" t="s">
        <x:v>42840</x:v>
      </x:c>
      <x:c r="E12799" s="0" t="s">
        <x:v>49001</x:v>
      </x:c>
      <x:c r="F12799" s="0" t="s">
        <x:v>45</x:v>
      </x:c>
      <x:c r="G12799" s="0" t="s">
        <x:v>22</x:v>
      </x:c>
      <x:c r="H12799" s="0" t="s">
        <x:v>20</x:v>
      </x:c>
      <x:c r="I12799" s="0" t="s">
        <x:v>21</x:v>
      </x:c>
      <x:c r="K12799" s="0">
        <x:f>hyperlink("https://icd.who.int/dev11/l-ichi/en#/http%3A%2F%2Fid.who.int%2Ficd%2Fentity%2F276203208","browser")</x:f>
      </x:c>
      <x:c r="L12799" s="0">
        <x:f>hyperlink("https://icat2.azurewebsites.net/icat/?ontology=ICD&amp;tab=ClassesTab&amp;id=http%3A%2F%2Fwho.int%2Ficd%23SpecificAnatomicLocation_1441","iCat")</x:f>
      </x:c>
      <x:c r="M12799" s="0" t="s">
        <x:v>21</x:v>
      </x:c>
      <x:c r="N12799" s="0" t="s">
        <x:v>46</x:v>
      </x:c>
    </x:row>
    <x:row r="12800" spans="1:16">
      <x:c r="A12800" s="0" t="s">
        <x:v>49002</x:v>
      </x:c>
      <x:c r="B12800" s="0" t="s">
        <x:v>49003</x:v>
      </x:c>
      <x:c r="C12800" s="0" t="s">
        <x:v>42840</x:v>
      </x:c>
      <x:c r="E12800" s="0" t="s">
        <x:v>49004</x:v>
      </x:c>
      <x:c r="F12800" s="0" t="s">
        <x:v>45</x:v>
      </x:c>
      <x:c r="G12800" s="0" t="s">
        <x:v>22</x:v>
      </x:c>
      <x:c r="H12800" s="0" t="s">
        <x:v>20</x:v>
      </x:c>
      <x:c r="I12800" s="0" t="s">
        <x:v>21</x:v>
      </x:c>
      <x:c r="K12800" s="0">
        <x:f>hyperlink("https://icd.who.int/dev11/l-ichi/en#/http%3A%2F%2Fid.who.int%2Ficd%2Fentity%2F688794504","browser")</x:f>
      </x:c>
      <x:c r="L12800" s="0">
        <x:f>hyperlink("https://icat2.azurewebsites.net/icat/?ontology=ICD&amp;tab=ClassesTab&amp;id=http%3A%2F%2Fwho.int%2Ficd%23SpecificAnatomicLocation_1442","iCat")</x:f>
      </x:c>
      <x:c r="M12800" s="0" t="s">
        <x:v>21</x:v>
      </x:c>
      <x:c r="N12800" s="0" t="s">
        <x:v>46</x:v>
      </x:c>
    </x:row>
    <x:row r="12801" spans="1:16">
      <x:c r="A12801" s="0" t="s">
        <x:v>49005</x:v>
      </x:c>
      <x:c r="B12801" s="0" t="s">
        <x:v>49006</x:v>
      </x:c>
      <x:c r="C12801" s="0" t="s">
        <x:v>42840</x:v>
      </x:c>
      <x:c r="E12801" s="0" t="s">
        <x:v>49007</x:v>
      </x:c>
      <x:c r="F12801" s="0" t="s">
        <x:v>45</x:v>
      </x:c>
      <x:c r="G12801" s="0" t="s">
        <x:v>22</x:v>
      </x:c>
      <x:c r="H12801" s="0" t="s">
        <x:v>20</x:v>
      </x:c>
      <x:c r="I12801" s="0" t="s">
        <x:v>21</x:v>
      </x:c>
      <x:c r="K12801" s="0">
        <x:f>hyperlink("https://icd.who.int/dev11/l-ichi/en#/http%3A%2F%2Fid.who.int%2Ficd%2Fentity%2F1042698056","browser")</x:f>
      </x:c>
      <x:c r="L12801" s="0">
        <x:f>hyperlink("https://icat2.azurewebsites.net/icat/?ontology=ICD&amp;tab=ClassesTab&amp;id=http%3A%2F%2Fwho.int%2Ficd%23SpecificAnatomicLocation_1443","iCat")</x:f>
      </x:c>
      <x:c r="M12801" s="0" t="s">
        <x:v>21</x:v>
      </x:c>
      <x:c r="N12801" s="0" t="s">
        <x:v>46</x:v>
      </x:c>
    </x:row>
    <x:row r="12802" spans="1:16">
      <x:c r="A12802" s="0" t="s">
        <x:v>49008</x:v>
      </x:c>
      <x:c r="B12802" s="0" t="s">
        <x:v>49009</x:v>
      </x:c>
      <x:c r="C12802" s="0" t="s">
        <x:v>42840</x:v>
      </x:c>
      <x:c r="E12802" s="0" t="s">
        <x:v>49010</x:v>
      </x:c>
      <x:c r="F12802" s="0" t="s">
        <x:v>45</x:v>
      </x:c>
      <x:c r="G12802" s="0" t="s">
        <x:v>22</x:v>
      </x:c>
      <x:c r="H12802" s="0" t="s">
        <x:v>20</x:v>
      </x:c>
      <x:c r="I12802" s="0" t="s">
        <x:v>21</x:v>
      </x:c>
      <x:c r="K12802" s="0">
        <x:f>hyperlink("https://icd.who.int/dev11/l-ichi/en#/http%3A%2F%2Fid.who.int%2Ficd%2Fentity%2F1543467272","browser")</x:f>
      </x:c>
      <x:c r="L12802" s="0">
        <x:f>hyperlink("https://icat2.azurewebsites.net/icat/?ontology=ICD&amp;tab=ClassesTab&amp;id=http%3A%2F%2Fwho.int%2Ficd%23SpecificAnatomicLocation_1444","iCat")</x:f>
      </x:c>
      <x:c r="M12802" s="0" t="s">
        <x:v>21</x:v>
      </x:c>
      <x:c r="N12802" s="0" t="s">
        <x:v>46</x:v>
      </x:c>
    </x:row>
    <x:row r="12803" spans="1:16">
      <x:c r="A12803" s="0" t="s">
        <x:v>49011</x:v>
      </x:c>
      <x:c r="B12803" s="0" t="s">
        <x:v>49012</x:v>
      </x:c>
      <x:c r="C12803" s="0" t="s">
        <x:v>42840</x:v>
      </x:c>
      <x:c r="E12803" s="0" t="s">
        <x:v>49013</x:v>
      </x:c>
      <x:c r="F12803" s="0" t="s">
        <x:v>45</x:v>
      </x:c>
      <x:c r="G12803" s="0" t="s">
        <x:v>22</x:v>
      </x:c>
      <x:c r="H12803" s="0" t="s">
        <x:v>20</x:v>
      </x:c>
      <x:c r="I12803" s="0" t="s">
        <x:v>21</x:v>
      </x:c>
      <x:c r="K12803" s="0">
        <x:f>hyperlink("https://icd.who.int/dev11/l-ichi/en#/http%3A%2F%2Fid.who.int%2Ficd%2Fentity%2F1289164232","browser")</x:f>
      </x:c>
      <x:c r="L12803" s="0">
        <x:f>hyperlink("https://icat2.azurewebsites.net/icat/?ontology=ICD&amp;tab=ClassesTab&amp;id=http%3A%2F%2Fwho.int%2Ficd%23SpecificAnatomicLocation_1445","iCat")</x:f>
      </x:c>
      <x:c r="M12803" s="0" t="s">
        <x:v>21</x:v>
      </x:c>
      <x:c r="N12803" s="0" t="s">
        <x:v>46</x:v>
      </x:c>
    </x:row>
    <x:row r="12804" spans="1:16">
      <x:c r="A12804" s="0" t="s">
        <x:v>49014</x:v>
      </x:c>
      <x:c r="B12804" s="0" t="s">
        <x:v>49015</x:v>
      </x:c>
      <x:c r="C12804" s="0" t="s">
        <x:v>42840</x:v>
      </x:c>
      <x:c r="E12804" s="0" t="s">
        <x:v>49016</x:v>
      </x:c>
      <x:c r="F12804" s="0" t="s">
        <x:v>45</x:v>
      </x:c>
      <x:c r="G12804" s="0" t="s">
        <x:v>22</x:v>
      </x:c>
      <x:c r="H12804" s="0" t="s">
        <x:v>20</x:v>
      </x:c>
      <x:c r="I12804" s="0" t="s">
        <x:v>21</x:v>
      </x:c>
      <x:c r="K12804" s="0">
        <x:f>hyperlink("https://icd.who.int/dev11/l-ichi/en#/http%3A%2F%2Fid.who.int%2Ficd%2Fentity%2F1974450312","browser")</x:f>
      </x:c>
      <x:c r="L12804" s="0">
        <x:f>hyperlink("https://icat2.azurewebsites.net/icat/?ontology=ICD&amp;tab=ClassesTab&amp;id=http%3A%2F%2Fwho.int%2Ficd%23SpecificAnatomicLocation_1446","iCat")</x:f>
      </x:c>
      <x:c r="M12804" s="0" t="s">
        <x:v>21</x:v>
      </x:c>
      <x:c r="N12804" s="0" t="s">
        <x:v>46</x:v>
      </x:c>
    </x:row>
    <x:row r="12805" spans="1:16">
      <x:c r="A12805" s="0" t="s">
        <x:v>49017</x:v>
      </x:c>
      <x:c r="B12805" s="0" t="s">
        <x:v>49018</x:v>
      </x:c>
      <x:c r="C12805" s="0" t="s">
        <x:v>42840</x:v>
      </x:c>
      <x:c r="E12805" s="0" t="s">
        <x:v>49019</x:v>
      </x:c>
      <x:c r="F12805" s="0" t="s">
        <x:v>45</x:v>
      </x:c>
      <x:c r="G12805" s="0" t="s">
        <x:v>22</x:v>
      </x:c>
      <x:c r="H12805" s="0" t="s">
        <x:v>20</x:v>
      </x:c>
      <x:c r="I12805" s="0" t="s">
        <x:v>21</x:v>
      </x:c>
      <x:c r="K12805" s="0">
        <x:f>hyperlink("https://icd.who.int/dev11/l-ichi/en#/http%3A%2F%2Fid.who.int%2Ficd%2Fentity%2F1105345528","browser")</x:f>
      </x:c>
      <x:c r="L12805" s="0">
        <x:f>hyperlink("https://icat2.azurewebsites.net/icat/?ontology=ICD&amp;tab=ClassesTab&amp;id=http%3A%2F%2Fwho.int%2Ficd%23SpecificAnatomicLocation_1448","iCat")</x:f>
      </x:c>
      <x:c r="M12805" s="0" t="s">
        <x:v>20</x:v>
      </x:c>
      <x:c r="N12805" s="0" t="s">
        <x:v>19</x:v>
      </x:c>
    </x:row>
    <x:row r="12806" spans="1:16">
      <x:c r="A12806" s="0" t="s">
        <x:v>49020</x:v>
      </x:c>
      <x:c r="B12806" s="0" t="s">
        <x:v>49021</x:v>
      </x:c>
      <x:c r="C12806" s="0" t="s">
        <x:v>42840</x:v>
      </x:c>
      <x:c r="E12806" s="0" t="s">
        <x:v>49022</x:v>
      </x:c>
      <x:c r="F12806" s="0" t="s">
        <x:v>45</x:v>
      </x:c>
      <x:c r="G12806" s="0" t="s">
        <x:v>40</x:v>
      </x:c>
      <x:c r="H12806" s="0" t="s">
        <x:v>20</x:v>
      </x:c>
      <x:c r="I12806" s="0" t="s">
        <x:v>21</x:v>
      </x:c>
      <x:c r="K12806" s="0">
        <x:f>hyperlink("https://icd.who.int/dev11/l-ichi/en#/http%3A%2F%2Fid.who.int%2Ficd%2Fentity%2F1653070920","browser")</x:f>
      </x:c>
      <x:c r="L12806" s="0">
        <x:f>hyperlink("https://icat2.azurewebsites.net/icat/?ontology=ICD&amp;tab=ClassesTab&amp;id=http%3A%2F%2Fwho.int%2Ficd%23SpecificAnatomicLocation_1447","iCat")</x:f>
      </x:c>
      <x:c r="M12806" s="0" t="s">
        <x:v>21</x:v>
      </x:c>
      <x:c r="N12806" s="0" t="s">
        <x:v>46</x:v>
      </x:c>
    </x:row>
    <x:row r="12807" spans="1:16">
      <x:c r="A12807" s="0" t="s">
        <x:v>49023</x:v>
      </x:c>
      <x:c r="B12807" s="0" t="s">
        <x:v>49024</x:v>
      </x:c>
      <x:c r="C12807" s="0" t="s">
        <x:v>42840</x:v>
      </x:c>
      <x:c r="E12807" s="0" t="s">
        <x:v>49025</x:v>
      </x:c>
      <x:c r="F12807" s="0" t="s">
        <x:v>45</x:v>
      </x:c>
      <x:c r="G12807" s="0" t="s">
        <x:v>22</x:v>
      </x:c>
      <x:c r="H12807" s="0" t="s">
        <x:v>20</x:v>
      </x:c>
      <x:c r="I12807" s="0" t="s">
        <x:v>21</x:v>
      </x:c>
      <x:c r="K12807" s="0">
        <x:f>hyperlink("https://icd.who.int/dev11/l-ichi/en#/http%3A%2F%2Fid.who.int%2Ficd%2Fentity%2F1456103224","browser")</x:f>
      </x:c>
      <x:c r="L12807" s="0">
        <x:f>hyperlink("https://icat2.azurewebsites.net/icat/?ontology=ICD&amp;tab=ClassesTab&amp;id=http%3A%2F%2Fwho.int%2Ficd%23SpecificAnatomicLocation_1449","iCat")</x:f>
      </x:c>
      <x:c r="M12807" s="0" t="s">
        <x:v>21</x:v>
      </x:c>
      <x:c r="N12807" s="0" t="s">
        <x:v>46</x:v>
      </x:c>
    </x:row>
    <x:row r="12808" spans="1:16">
      <x:c r="A12808" s="0" t="s">
        <x:v>49026</x:v>
      </x:c>
      <x:c r="B12808" s="0" t="s">
        <x:v>49027</x:v>
      </x:c>
      <x:c r="C12808" s="0" t="s">
        <x:v>42840</x:v>
      </x:c>
      <x:c r="E12808" s="0" t="s">
        <x:v>49028</x:v>
      </x:c>
      <x:c r="F12808" s="0" t="s">
        <x:v>45</x:v>
      </x:c>
      <x:c r="G12808" s="0" t="s">
        <x:v>22</x:v>
      </x:c>
      <x:c r="H12808" s="0" t="s">
        <x:v>20</x:v>
      </x:c>
      <x:c r="I12808" s="0" t="s">
        <x:v>21</x:v>
      </x:c>
      <x:c r="K12808" s="0">
        <x:f>hyperlink("https://icd.who.int/dev11/l-ichi/en#/http%3A%2F%2Fid.who.int%2Ficd%2Fentity%2F288677215","browser")</x:f>
      </x:c>
      <x:c r="L12808" s="0">
        <x:f>hyperlink("https://icat2.azurewebsites.net/icat/?ontology=ICD&amp;tab=ClassesTab&amp;id=http%3A%2F%2Fwho.int%2Ficd%2320599_6cd63085_564e_41fc_abd5_83ab7d9bb63c","iCat")</x:f>
      </x:c>
      <x:c r="M12808" s="0" t="s">
        <x:v>21</x:v>
      </x:c>
      <x:c r="N12808" s="0" t="s">
        <x:v>46</x:v>
      </x:c>
    </x:row>
    <x:row r="12809" spans="1:16">
      <x:c r="A12809" s="0" t="s">
        <x:v>49029</x:v>
      </x:c>
      <x:c r="B12809" s="0" t="s">
        <x:v>49030</x:v>
      </x:c>
      <x:c r="C12809" s="0" t="s">
        <x:v>42840</x:v>
      </x:c>
      <x:c r="E12809" s="0" t="s">
        <x:v>49031</x:v>
      </x:c>
      <x:c r="F12809" s="0" t="s">
        <x:v>45</x:v>
      </x:c>
      <x:c r="G12809" s="0" t="s">
        <x:v>22</x:v>
      </x:c>
      <x:c r="H12809" s="0" t="s">
        <x:v>20</x:v>
      </x:c>
      <x:c r="I12809" s="0" t="s">
        <x:v>21</x:v>
      </x:c>
      <x:c r="K12809" s="0">
        <x:f>hyperlink("https://icd.who.int/dev11/l-ichi/en#/http%3A%2F%2Fid.who.int%2Ficd%2Fentity%2F1906350120","browser")</x:f>
      </x:c>
      <x:c r="L12809" s="0">
        <x:f>hyperlink("https://icat2.azurewebsites.net/icat/?ontology=ICD&amp;tab=ClassesTab&amp;id=http%3A%2F%2Fwho.int%2Ficd%2320617_6cd63085_564e_41fc_abd5_83ab7d9bb63c","iCat")</x:f>
      </x:c>
      <x:c r="M12809" s="0" t="s">
        <x:v>21</x:v>
      </x:c>
      <x:c r="N12809" s="0" t="s">
        <x:v>46</x:v>
      </x:c>
    </x:row>
    <x:row r="12810" spans="1:16">
      <x:c r="A12810" s="0" t="s">
        <x:v>49032</x:v>
      </x:c>
      <x:c r="B12810" s="0" t="s">
        <x:v>49033</x:v>
      </x:c>
      <x:c r="C12810" s="0" t="s">
        <x:v>42840</x:v>
      </x:c>
      <x:c r="E12810" s="0" t="s">
        <x:v>49034</x:v>
      </x:c>
      <x:c r="F12810" s="0" t="s">
        <x:v>45</x:v>
      </x:c>
      <x:c r="G12810" s="0" t="s">
        <x:v>22</x:v>
      </x:c>
      <x:c r="H12810" s="0" t="s">
        <x:v>20</x:v>
      </x:c>
      <x:c r="I12810" s="0" t="s">
        <x:v>21</x:v>
      </x:c>
      <x:c r="K12810" s="0">
        <x:f>hyperlink("https://icd.who.int/dev11/l-ichi/en#/http%3A%2F%2Fid.who.int%2Ficd%2Fentity%2F1051218099","browser")</x:f>
      </x:c>
      <x:c r="L12810" s="0">
        <x:f>hyperlink("https://icat2.azurewebsites.net/icat/?ontology=ICD&amp;tab=ClassesTab&amp;id=http%3A%2F%2Fwho.int%2Ficd%2320635_6cd63085_564e_41fc_abd5_83ab7d9bb63c","iCat")</x:f>
      </x:c>
      <x:c r="M12810" s="0" t="s">
        <x:v>21</x:v>
      </x:c>
      <x:c r="N12810" s="0" t="s">
        <x:v>46</x:v>
      </x:c>
    </x:row>
    <x:row r="12811" spans="1:16">
      <x:c r="A12811" s="0" t="s">
        <x:v>49035</x:v>
      </x:c>
      <x:c r="B12811" s="0" t="s">
        <x:v>49036</x:v>
      </x:c>
      <x:c r="C12811" s="0" t="s">
        <x:v>42840</x:v>
      </x:c>
      <x:c r="E12811" s="0" t="s">
        <x:v>49037</x:v>
      </x:c>
      <x:c r="F12811" s="0" t="s">
        <x:v>45</x:v>
      </x:c>
      <x:c r="G12811" s="0" t="s">
        <x:v>35</x:v>
      </x:c>
      <x:c r="H12811" s="0" t="s">
        <x:v>20</x:v>
      </x:c>
      <x:c r="I12811" s="0" t="s">
        <x:v>21</x:v>
      </x:c>
      <x:c r="K12811" s="0">
        <x:f>hyperlink("https://icd.who.int/dev11/l-ichi/en#/http%3A%2F%2Fid.who.int%2Ficd%2Fentity%2F1060675873","browser")</x:f>
      </x:c>
      <x:c r="L12811" s="0">
        <x:f>hyperlink("https://icat2.azurewebsites.net/icat/?ontology=ICD&amp;tab=ClassesTab&amp;id=http%3A%2F%2Fwho.int%2Ficd%23SpecificAnatomicLocation_1458","iCat")</x:f>
      </x:c>
      <x:c r="M12811" s="0" t="s">
        <x:v>20</x:v>
      </x:c>
      <x:c r="N12811" s="0" t="s">
        <x:v>40</x:v>
      </x:c>
    </x:row>
    <x:row r="12812" spans="1:16">
      <x:c r="A12812" s="0" t="s">
        <x:v>49038</x:v>
      </x:c>
      <x:c r="B12812" s="0" t="s">
        <x:v>49039</x:v>
      </x:c>
      <x:c r="C12812" s="0" t="s">
        <x:v>42840</x:v>
      </x:c>
      <x:c r="E12812" s="0" t="s">
        <x:v>49040</x:v>
      </x:c>
      <x:c r="F12812" s="0" t="s">
        <x:v>45</x:v>
      </x:c>
      <x:c r="G12812" s="0" t="s">
        <x:v>22</x:v>
      </x:c>
      <x:c r="H12812" s="0" t="s">
        <x:v>20</x:v>
      </x:c>
      <x:c r="I12812" s="0" t="s">
        <x:v>21</x:v>
      </x:c>
      <x:c r="K12812" s="0">
        <x:f>hyperlink("https://icd.who.int/dev11/l-ichi/en#/http%3A%2F%2Fid.who.int%2Ficd%2Fentity%2F2083288434","browser")</x:f>
      </x:c>
      <x:c r="L12812" s="0">
        <x:f>hyperlink("https://icat2.azurewebsites.net/icat/?ontology=ICD&amp;tab=ClassesTab&amp;id=http%3A%2F%2Fwho.int%2Ficd%239558_16e67c35_8b57_40bb_9220_818553425a8c","iCat")</x:f>
      </x:c>
      <x:c r="M12812" s="0" t="s">
        <x:v>20</x:v>
      </x:c>
      <x:c r="N12812" s="0" t="s">
        <x:v>22</x:v>
      </x:c>
    </x:row>
    <x:row r="12813" spans="1:16">
      <x:c r="A12813" s="0" t="s">
        <x:v>49041</x:v>
      </x:c>
      <x:c r="B12813" s="0" t="s">
        <x:v>49042</x:v>
      </x:c>
      <x:c r="C12813" s="0" t="s">
        <x:v>42840</x:v>
      </x:c>
      <x:c r="E12813" s="0" t="s">
        <x:v>49043</x:v>
      </x:c>
      <x:c r="F12813" s="0" t="s">
        <x:v>45</x:v>
      </x:c>
      <x:c r="G12813" s="0" t="s">
        <x:v>40</x:v>
      </x:c>
      <x:c r="H12813" s="0" t="s">
        <x:v>20</x:v>
      </x:c>
      <x:c r="I12813" s="0" t="s">
        <x:v>21</x:v>
      </x:c>
      <x:c r="K12813" s="0">
        <x:f>hyperlink("https://icd.who.int/dev11/l-ichi/en#/http%3A%2F%2Fid.who.int%2Ficd%2Fentity%2F418946772","browser")</x:f>
      </x:c>
      <x:c r="L12813" s="0">
        <x:f>hyperlink("https://icat2.azurewebsites.net/icat/?ontology=ICD&amp;tab=ClassesTab&amp;id=http%3A%2F%2Fwho.int%2Ficd%236005_b42302c6_9ff1_412e_a40f_2f411ad4c932","iCat")</x:f>
      </x:c>
      <x:c r="M12813" s="0" t="s">
        <x:v>21</x:v>
      </x:c>
      <x:c r="N12813" s="0" t="s">
        <x:v>46</x:v>
      </x:c>
    </x:row>
    <x:row r="12814" spans="1:16">
      <x:c r="A12814" s="0" t="s">
        <x:v>49044</x:v>
      </x:c>
      <x:c r="B12814" s="0" t="s">
        <x:v>49045</x:v>
      </x:c>
      <x:c r="C12814" s="0" t="s">
        <x:v>42840</x:v>
      </x:c>
      <x:c r="E12814" s="0" t="s">
        <x:v>49046</x:v>
      </x:c>
      <x:c r="F12814" s="0" t="s">
        <x:v>45</x:v>
      </x:c>
      <x:c r="G12814" s="0" t="s">
        <x:v>40</x:v>
      </x:c>
      <x:c r="H12814" s="0" t="s">
        <x:v>20</x:v>
      </x:c>
      <x:c r="I12814" s="0" t="s">
        <x:v>21</x:v>
      </x:c>
      <x:c r="K12814" s="0">
        <x:f>hyperlink("https://icd.who.int/dev11/l-ichi/en#/http%3A%2F%2Fid.who.int%2Ficd%2Fentity%2F192225887","browser")</x:f>
      </x:c>
      <x:c r="L12814" s="0">
        <x:f>hyperlink("https://icat2.azurewebsites.net/icat/?ontology=ICD&amp;tab=ClassesTab&amp;id=http%3A%2F%2Fwho.int%2Ficd%23SpecificAnatomicLocation_1456","iCat")</x:f>
      </x:c>
      <x:c r="M12814" s="0" t="s">
        <x:v>21</x:v>
      </x:c>
      <x:c r="N12814" s="0" t="s">
        <x:v>46</x:v>
      </x:c>
    </x:row>
    <x:row r="12815" spans="1:16">
      <x:c r="A12815" s="0" t="s">
        <x:v>49047</x:v>
      </x:c>
      <x:c r="B12815" s="0" t="s">
        <x:v>49048</x:v>
      </x:c>
      <x:c r="C12815" s="0" t="s">
        <x:v>42840</x:v>
      </x:c>
      <x:c r="E12815" s="0" t="s">
        <x:v>49049</x:v>
      </x:c>
      <x:c r="F12815" s="0" t="s">
        <x:v>45</x:v>
      </x:c>
      <x:c r="G12815" s="0" t="s">
        <x:v>40</x:v>
      </x:c>
      <x:c r="H12815" s="0" t="s">
        <x:v>20</x:v>
      </x:c>
      <x:c r="I12815" s="0" t="s">
        <x:v>21</x:v>
      </x:c>
      <x:c r="K12815" s="0">
        <x:f>hyperlink("https://icd.who.int/dev11/l-ichi/en#/http%3A%2F%2Fid.who.int%2Ficd%2Fentity%2F475874975","browser")</x:f>
      </x:c>
      <x:c r="L12815" s="0">
        <x:f>hyperlink("https://icat2.azurewebsites.net/icat/?ontology=ICD&amp;tab=ClassesTab&amp;id=http%3A%2F%2Fwho.int%2Ficd%23SpecificAnatomicLocation_1457","iCat")</x:f>
      </x:c>
      <x:c r="M12815" s="0" t="s">
        <x:v>21</x:v>
      </x:c>
      <x:c r="N12815" s="0" t="s">
        <x:v>46</x:v>
      </x:c>
    </x:row>
    <x:row r="12816" spans="1:16">
      <x:c r="A12816" s="0" t="s">
        <x:v>49050</x:v>
      </x:c>
      <x:c r="B12816" s="0" t="s">
        <x:v>49051</x:v>
      </x:c>
      <x:c r="C12816" s="0" t="s">
        <x:v>42840</x:v>
      </x:c>
      <x:c r="E12816" s="0" t="s">
        <x:v>49052</x:v>
      </x:c>
      <x:c r="F12816" s="0" t="s">
        <x:v>45</x:v>
      </x:c>
      <x:c r="G12816" s="0" t="s">
        <x:v>40</x:v>
      </x:c>
      <x:c r="H12816" s="0" t="s">
        <x:v>20</x:v>
      </x:c>
      <x:c r="I12816" s="0" t="s">
        <x:v>21</x:v>
      </x:c>
      <x:c r="K12816" s="0">
        <x:f>hyperlink("https://icd.who.int/dev11/l-ichi/en#/http%3A%2F%2Fid.who.int%2Ficd%2Fentity%2F839749407","browser")</x:f>
      </x:c>
      <x:c r="L12816" s="0">
        <x:f>hyperlink("https://icat2.azurewebsites.net/icat/?ontology=ICD&amp;tab=ClassesTab&amp;id=http%3A%2F%2Fwho.int%2Ficd%23SpecificAnatomicLocation_1455","iCat")</x:f>
      </x:c>
      <x:c r="M12816" s="0" t="s">
        <x:v>21</x:v>
      </x:c>
      <x:c r="N12816" s="0" t="s">
        <x:v>46</x:v>
      </x:c>
    </x:row>
    <x:row r="12817" spans="1:16">
      <x:c r="A12817" s="0" t="s">
        <x:v>49053</x:v>
      </x:c>
      <x:c r="B12817" s="0" t="s">
        <x:v>49054</x:v>
      </x:c>
      <x:c r="C12817" s="0" t="s">
        <x:v>42840</x:v>
      </x:c>
      <x:c r="E12817" s="0" t="s">
        <x:v>49055</x:v>
      </x:c>
      <x:c r="F12817" s="0" t="s">
        <x:v>45</x:v>
      </x:c>
      <x:c r="G12817" s="0" t="s">
        <x:v>22</x:v>
      </x:c>
      <x:c r="H12817" s="0" t="s">
        <x:v>20</x:v>
      </x:c>
      <x:c r="I12817" s="0" t="s">
        <x:v>21</x:v>
      </x:c>
      <x:c r="K12817" s="0">
        <x:f>hyperlink("https://icd.who.int/dev11/l-ichi/en#/http%3A%2F%2Fid.who.int%2Ficd%2Fentity%2F1750825720","browser")</x:f>
      </x:c>
      <x:c r="L12817" s="0">
        <x:f>hyperlink("https://icat2.azurewebsites.net/icat/?ontology=ICD&amp;tab=ClassesTab&amp;id=http%3A%2F%2Fwho.int%2Ficd%239577_16e67c35_8b57_40bb_9220_818553425a8c","iCat")</x:f>
      </x:c>
      <x:c r="M12817" s="0" t="s">
        <x:v>20</x:v>
      </x:c>
      <x:c r="N12817" s="0" t="s">
        <x:v>22</x:v>
      </x:c>
    </x:row>
    <x:row r="12818" spans="1:16">
      <x:c r="A12818" s="0" t="s">
        <x:v>49056</x:v>
      </x:c>
      <x:c r="B12818" s="0" t="s">
        <x:v>49057</x:v>
      </x:c>
      <x:c r="C12818" s="0" t="s">
        <x:v>42840</x:v>
      </x:c>
      <x:c r="E12818" s="0" t="s">
        <x:v>49058</x:v>
      </x:c>
      <x:c r="F12818" s="0" t="s">
        <x:v>45</x:v>
      </x:c>
      <x:c r="G12818" s="0" t="s">
        <x:v>40</x:v>
      </x:c>
      <x:c r="H12818" s="0" t="s">
        <x:v>20</x:v>
      </x:c>
      <x:c r="I12818" s="0" t="s">
        <x:v>21</x:v>
      </x:c>
      <x:c r="K12818" s="0">
        <x:f>hyperlink("https://icd.who.int/dev11/l-ichi/en#/http%3A%2F%2Fid.who.int%2Ficd%2Fentity%2F151309985","browser")</x:f>
      </x:c>
      <x:c r="L12818" s="0">
        <x:f>hyperlink("https://icat2.azurewebsites.net/icat/?ontology=ICD&amp;tab=ClassesTab&amp;id=http%3A%2F%2Fwho.int%2Ficd%239677_16e67c35_8b57_40bb_9220_818553425a8c","iCat")</x:f>
      </x:c>
      <x:c r="M12818" s="0" t="s">
        <x:v>21</x:v>
      </x:c>
      <x:c r="N12818" s="0" t="s">
        <x:v>46</x:v>
      </x:c>
    </x:row>
    <x:row r="12819" spans="1:16">
      <x:c r="A12819" s="0" t="s">
        <x:v>49059</x:v>
      </x:c>
      <x:c r="B12819" s="0" t="s">
        <x:v>49060</x:v>
      </x:c>
      <x:c r="C12819" s="0" t="s">
        <x:v>42840</x:v>
      </x:c>
      <x:c r="E12819" s="0" t="s">
        <x:v>49061</x:v>
      </x:c>
      <x:c r="F12819" s="0" t="s">
        <x:v>45</x:v>
      </x:c>
      <x:c r="G12819" s="0" t="s">
        <x:v>40</x:v>
      </x:c>
      <x:c r="H12819" s="0" t="s">
        <x:v>20</x:v>
      </x:c>
      <x:c r="I12819" s="0" t="s">
        <x:v>21</x:v>
      </x:c>
      <x:c r="K12819" s="0">
        <x:f>hyperlink("https://icd.who.int/dev11/l-ichi/en#/http%3A%2F%2Fid.who.int%2Ficd%2Fentity%2F1826579220","browser")</x:f>
      </x:c>
      <x:c r="L12819" s="0">
        <x:f>hyperlink("https://icat2.azurewebsites.net/icat/?ontology=ICD&amp;tab=ClassesTab&amp;id=http%3A%2F%2Fwho.int%2Ficd%239696_16e67c35_8b57_40bb_9220_818553425a8c","iCat")</x:f>
      </x:c>
      <x:c r="M12819" s="0" t="s">
        <x:v>21</x:v>
      </x:c>
      <x:c r="N12819" s="0" t="s">
        <x:v>46</x:v>
      </x:c>
    </x:row>
    <x:row r="12820" spans="1:16">
      <x:c r="A12820" s="0" t="s">
        <x:v>49062</x:v>
      </x:c>
      <x:c r="B12820" s="0" t="s">
        <x:v>49063</x:v>
      </x:c>
      <x:c r="C12820" s="0" t="s">
        <x:v>42840</x:v>
      </x:c>
      <x:c r="E12820" s="0" t="s">
        <x:v>49064</x:v>
      </x:c>
      <x:c r="F12820" s="0" t="s">
        <x:v>45</x:v>
      </x:c>
      <x:c r="G12820" s="0" t="s">
        <x:v>40</x:v>
      </x:c>
      <x:c r="H12820" s="0" t="s">
        <x:v>20</x:v>
      </x:c>
      <x:c r="I12820" s="0" t="s">
        <x:v>21</x:v>
      </x:c>
      <x:c r="K12820" s="0">
        <x:f>hyperlink("https://icd.who.int/dev11/l-ichi/en#/http%3A%2F%2Fid.who.int%2Ficd%2Fentity%2F1140102068","browser")</x:f>
      </x:c>
      <x:c r="L12820" s="0">
        <x:f>hyperlink("https://icat2.azurewebsites.net/icat/?ontology=ICD&amp;tab=ClassesTab&amp;id=http%3A%2F%2Fwho.int%2Ficd%239715_16e67c35_8b57_40bb_9220_818553425a8c","iCat")</x:f>
      </x:c>
      <x:c r="M12820" s="0" t="s">
        <x:v>21</x:v>
      </x:c>
      <x:c r="N12820" s="0" t="s">
        <x:v>46</x:v>
      </x:c>
    </x:row>
    <x:row r="12821" spans="1:16">
      <x:c r="A12821" s="0" t="s">
        <x:v>49065</x:v>
      </x:c>
      <x:c r="B12821" s="0" t="s">
        <x:v>49066</x:v>
      </x:c>
      <x:c r="C12821" s="0" t="s">
        <x:v>42840</x:v>
      </x:c>
      <x:c r="E12821" s="0" t="s">
        <x:v>49067</x:v>
      </x:c>
      <x:c r="F12821" s="0" t="s">
        <x:v>45</x:v>
      </x:c>
      <x:c r="G12821" s="0" t="s">
        <x:v>40</x:v>
      </x:c>
      <x:c r="H12821" s="0" t="s">
        <x:v>20</x:v>
      </x:c>
      <x:c r="I12821" s="0" t="s">
        <x:v>21</x:v>
      </x:c>
      <x:c r="K12821" s="0">
        <x:f>hyperlink("https://icd.who.int/dev11/l-ichi/en#/http%3A%2F%2Fid.who.int%2Ficd%2Fentity%2F1232680152","browser")</x:f>
      </x:c>
      <x:c r="L12821" s="0">
        <x:f>hyperlink("https://icat2.azurewebsites.net/icat/?ontology=ICD&amp;tab=ClassesTab&amp;id=http%3A%2F%2Fwho.int%2Ficd%239734_16e67c35_8b57_40bb_9220_818553425a8c","iCat")</x:f>
      </x:c>
      <x:c r="M12821" s="0" t="s">
        <x:v>21</x:v>
      </x:c>
      <x:c r="N12821" s="0" t="s">
        <x:v>46</x:v>
      </x:c>
    </x:row>
    <x:row r="12822" spans="1:16">
      <x:c r="A12822" s="0" t="s">
        <x:v>49068</x:v>
      </x:c>
      <x:c r="B12822" s="0" t="s">
        <x:v>49069</x:v>
      </x:c>
      <x:c r="C12822" s="0" t="s">
        <x:v>42840</x:v>
      </x:c>
      <x:c r="E12822" s="0" t="s">
        <x:v>49070</x:v>
      </x:c>
      <x:c r="F12822" s="0" t="s">
        <x:v>45</x:v>
      </x:c>
      <x:c r="G12822" s="0" t="s">
        <x:v>22</x:v>
      </x:c>
      <x:c r="H12822" s="0" t="s">
        <x:v>20</x:v>
      </x:c>
      <x:c r="I12822" s="0" t="s">
        <x:v>21</x:v>
      </x:c>
      <x:c r="K12822" s="0">
        <x:f>hyperlink("https://icd.who.int/dev11/l-ichi/en#/http%3A%2F%2Fid.who.int%2Ficd%2Fentity%2F226547533","browser")</x:f>
      </x:c>
      <x:c r="L12822" s="0">
        <x:f>hyperlink("https://icat2.azurewebsites.net/icat/?ontology=ICD&amp;tab=ClassesTab&amp;id=http%3A%2F%2Fwho.int%2Ficd%239596_16e67c35_8b57_40bb_9220_818553425a8c","iCat")</x:f>
      </x:c>
      <x:c r="M12822" s="0" t="s">
        <x:v>20</x:v>
      </x:c>
      <x:c r="N12822" s="0" t="s">
        <x:v>22</x:v>
      </x:c>
    </x:row>
    <x:row r="12823" spans="1:16">
      <x:c r="A12823" s="0" t="s">
        <x:v>49071</x:v>
      </x:c>
      <x:c r="B12823" s="0" t="s">
        <x:v>49072</x:v>
      </x:c>
      <x:c r="C12823" s="0" t="s">
        <x:v>42840</x:v>
      </x:c>
      <x:c r="E12823" s="0" t="s">
        <x:v>49073</x:v>
      </x:c>
      <x:c r="F12823" s="0" t="s">
        <x:v>45</x:v>
      </x:c>
      <x:c r="G12823" s="0" t="s">
        <x:v>40</x:v>
      </x:c>
      <x:c r="H12823" s="0" t="s">
        <x:v>20</x:v>
      </x:c>
      <x:c r="I12823" s="0" t="s">
        <x:v>21</x:v>
      </x:c>
      <x:c r="K12823" s="0">
        <x:f>hyperlink("https://icd.who.int/dev11/l-ichi/en#/http%3A%2F%2Fid.who.int%2Ficd%2Fentity%2F1676155162","browser")</x:f>
      </x:c>
      <x:c r="L12823" s="0">
        <x:f>hyperlink("https://icat2.azurewebsites.net/icat/?ontology=ICD&amp;tab=ClassesTab&amp;id=http%3A%2F%2Fwho.int%2Ficd%239753_16e67c35_8b57_40bb_9220_818553425a8c","iCat")</x:f>
      </x:c>
      <x:c r="M12823" s="0" t="s">
        <x:v>21</x:v>
      </x:c>
      <x:c r="N12823" s="0" t="s">
        <x:v>46</x:v>
      </x:c>
    </x:row>
    <x:row r="12824" spans="1:16">
      <x:c r="A12824" s="0" t="s">
        <x:v>49074</x:v>
      </x:c>
      <x:c r="B12824" s="0" t="s">
        <x:v>49075</x:v>
      </x:c>
      <x:c r="C12824" s="0" t="s">
        <x:v>42840</x:v>
      </x:c>
      <x:c r="E12824" s="0" t="s">
        <x:v>49076</x:v>
      </x:c>
      <x:c r="F12824" s="0" t="s">
        <x:v>45</x:v>
      </x:c>
      <x:c r="G12824" s="0" t="s">
        <x:v>40</x:v>
      </x:c>
      <x:c r="H12824" s="0" t="s">
        <x:v>20</x:v>
      </x:c>
      <x:c r="I12824" s="0" t="s">
        <x:v>21</x:v>
      </x:c>
      <x:c r="K12824" s="0">
        <x:f>hyperlink("https://icd.who.int/dev11/l-ichi/en#/http%3A%2F%2Fid.who.int%2Ficd%2Fentity%2F1768275574","browser")</x:f>
      </x:c>
      <x:c r="L12824" s="0">
        <x:f>hyperlink("https://icat2.azurewebsites.net/icat/?ontology=ICD&amp;tab=ClassesTab&amp;id=http%3A%2F%2Fwho.int%2Ficd%239772_16e67c35_8b57_40bb_9220_818553425a8c","iCat")</x:f>
      </x:c>
      <x:c r="M12824" s="0" t="s">
        <x:v>21</x:v>
      </x:c>
      <x:c r="N12824" s="0" t="s">
        <x:v>46</x:v>
      </x:c>
    </x:row>
    <x:row r="12825" spans="1:16">
      <x:c r="A12825" s="0" t="s">
        <x:v>49077</x:v>
      </x:c>
      <x:c r="B12825" s="0" t="s">
        <x:v>49078</x:v>
      </x:c>
      <x:c r="C12825" s="0" t="s">
        <x:v>42840</x:v>
      </x:c>
      <x:c r="E12825" s="0" t="s">
        <x:v>49079</x:v>
      </x:c>
      <x:c r="F12825" s="0" t="s">
        <x:v>45</x:v>
      </x:c>
      <x:c r="G12825" s="0" t="s">
        <x:v>40</x:v>
      </x:c>
      <x:c r="H12825" s="0" t="s">
        <x:v>20</x:v>
      </x:c>
      <x:c r="I12825" s="0" t="s">
        <x:v>21</x:v>
      </x:c>
      <x:c r="K12825" s="0">
        <x:f>hyperlink("https://icd.who.int/dev11/l-ichi/en#/http%3A%2F%2Fid.who.int%2Ficd%2Fentity%2F1774325252","browser")</x:f>
      </x:c>
      <x:c r="L12825" s="0">
        <x:f>hyperlink("https://icat2.azurewebsites.net/icat/?ontology=ICD&amp;tab=ClassesTab&amp;id=http%3A%2F%2Fwho.int%2Ficd%239791_16e67c35_8b57_40bb_9220_818553425a8c","iCat")</x:f>
      </x:c>
      <x:c r="M12825" s="0" t="s">
        <x:v>21</x:v>
      </x:c>
      <x:c r="N12825" s="0" t="s">
        <x:v>46</x:v>
      </x:c>
    </x:row>
    <x:row r="12826" spans="1:16">
      <x:c r="A12826" s="0" t="s">
        <x:v>49080</x:v>
      </x:c>
      <x:c r="B12826" s="0" t="s">
        <x:v>49081</x:v>
      </x:c>
      <x:c r="C12826" s="0" t="s">
        <x:v>42840</x:v>
      </x:c>
      <x:c r="E12826" s="0" t="s">
        <x:v>49082</x:v>
      </x:c>
      <x:c r="F12826" s="0" t="s">
        <x:v>45</x:v>
      </x:c>
      <x:c r="G12826" s="0" t="s">
        <x:v>40</x:v>
      </x:c>
      <x:c r="H12826" s="0" t="s">
        <x:v>20</x:v>
      </x:c>
      <x:c r="I12826" s="0" t="s">
        <x:v>21</x:v>
      </x:c>
      <x:c r="K12826" s="0">
        <x:f>hyperlink("https://icd.who.int/dev11/l-ichi/en#/http%3A%2F%2Fid.who.int%2Ficd%2Fentity%2F541570556","browser")</x:f>
      </x:c>
      <x:c r="L12826" s="0">
        <x:f>hyperlink("https://icat2.azurewebsites.net/icat/?ontology=ICD&amp;tab=ClassesTab&amp;id=http%3A%2F%2Fwho.int%2Ficd%239810_16e67c35_8b57_40bb_9220_818553425a8c","iCat")</x:f>
      </x:c>
      <x:c r="M12826" s="0" t="s">
        <x:v>21</x:v>
      </x:c>
      <x:c r="N12826" s="0" t="s">
        <x:v>46</x:v>
      </x:c>
    </x:row>
    <x:row r="12827" spans="1:16">
      <x:c r="A12827" s="0" t="s">
        <x:v>49083</x:v>
      </x:c>
      <x:c r="B12827" s="0" t="s">
        <x:v>49084</x:v>
      </x:c>
      <x:c r="C12827" s="0" t="s">
        <x:v>42840</x:v>
      </x:c>
      <x:c r="E12827" s="0" t="s">
        <x:v>49085</x:v>
      </x:c>
      <x:c r="F12827" s="0" t="s">
        <x:v>45</x:v>
      </x:c>
      <x:c r="G12827" s="0" t="s">
        <x:v>22</x:v>
      </x:c>
      <x:c r="H12827" s="0" t="s">
        <x:v>20</x:v>
      </x:c>
      <x:c r="I12827" s="0" t="s">
        <x:v>21</x:v>
      </x:c>
      <x:c r="K12827" s="0">
        <x:f>hyperlink("https://icd.who.int/dev11/l-ichi/en#/http%3A%2F%2Fid.who.int%2Ficd%2Fentity%2F913003817","browser")</x:f>
      </x:c>
      <x:c r="L12827" s="0">
        <x:f>hyperlink("https://icat2.azurewebsites.net/icat/?ontology=ICD&amp;tab=ClassesTab&amp;id=http%3A%2F%2Fwho.int%2Ficd%239615_16e67c35_8b57_40bb_9220_818553425a8c","iCat")</x:f>
      </x:c>
      <x:c r="M12827" s="0" t="s">
        <x:v>20</x:v>
      </x:c>
      <x:c r="N12827" s="0" t="s">
        <x:v>22</x:v>
      </x:c>
    </x:row>
    <x:row r="12828" spans="1:16">
      <x:c r="A12828" s="0" t="s">
        <x:v>49086</x:v>
      </x:c>
      <x:c r="B12828" s="0" t="s">
        <x:v>49087</x:v>
      </x:c>
      <x:c r="C12828" s="0" t="s">
        <x:v>42840</x:v>
      </x:c>
      <x:c r="E12828" s="0" t="s">
        <x:v>49088</x:v>
      </x:c>
      <x:c r="F12828" s="0" t="s">
        <x:v>45</x:v>
      </x:c>
      <x:c r="G12828" s="0" t="s">
        <x:v>40</x:v>
      </x:c>
      <x:c r="H12828" s="0" t="s">
        <x:v>20</x:v>
      </x:c>
      <x:c r="I12828" s="0" t="s">
        <x:v>21</x:v>
      </x:c>
      <x:c r="K12828" s="0">
        <x:f>hyperlink("https://icd.who.int/dev11/l-ichi/en#/http%3A%2F%2Fid.who.int%2Ficd%2Fentity%2F244250262","browser")</x:f>
      </x:c>
      <x:c r="L12828" s="0">
        <x:f>hyperlink("https://icat2.azurewebsites.net/icat/?ontology=ICD&amp;tab=ClassesTab&amp;id=http%3A%2F%2Fwho.int%2Ficd%239829_16e67c35_8b57_40bb_9220_818553425a8c","iCat")</x:f>
      </x:c>
      <x:c r="M12828" s="0" t="s">
        <x:v>21</x:v>
      </x:c>
      <x:c r="N12828" s="0" t="s">
        <x:v>46</x:v>
      </x:c>
    </x:row>
    <x:row r="12829" spans="1:16">
      <x:c r="A12829" s="0" t="s">
        <x:v>49089</x:v>
      </x:c>
      <x:c r="B12829" s="0" t="s">
        <x:v>49090</x:v>
      </x:c>
      <x:c r="C12829" s="0" t="s">
        <x:v>42840</x:v>
      </x:c>
      <x:c r="E12829" s="0" t="s">
        <x:v>49091</x:v>
      </x:c>
      <x:c r="F12829" s="0" t="s">
        <x:v>45</x:v>
      </x:c>
      <x:c r="G12829" s="0" t="s">
        <x:v>40</x:v>
      </x:c>
      <x:c r="H12829" s="0" t="s">
        <x:v>20</x:v>
      </x:c>
      <x:c r="I12829" s="0" t="s">
        <x:v>21</x:v>
      </x:c>
      <x:c r="K12829" s="0">
        <x:f>hyperlink("https://icd.who.int/dev11/l-ichi/en#/http%3A%2F%2Fid.who.int%2Ficd%2Fentity%2F1952711397","browser")</x:f>
      </x:c>
      <x:c r="L12829" s="0">
        <x:f>hyperlink("https://icat2.azurewebsites.net/icat/?ontology=ICD&amp;tab=ClassesTab&amp;id=http%3A%2F%2Fwho.int%2Ficd%239848_16e67c35_8b57_40bb_9220_818553425a8c","iCat")</x:f>
      </x:c>
      <x:c r="M12829" s="0" t="s">
        <x:v>21</x:v>
      </x:c>
      <x:c r="N12829" s="0" t="s">
        <x:v>46</x:v>
      </x:c>
    </x:row>
    <x:row r="12830" spans="1:16">
      <x:c r="A12830" s="0" t="s">
        <x:v>49092</x:v>
      </x:c>
      <x:c r="B12830" s="0" t="s">
        <x:v>49093</x:v>
      </x:c>
      <x:c r="C12830" s="0" t="s">
        <x:v>42840</x:v>
      </x:c>
      <x:c r="E12830" s="0" t="s">
        <x:v>49094</x:v>
      </x:c>
      <x:c r="F12830" s="0" t="s">
        <x:v>45</x:v>
      </x:c>
      <x:c r="G12830" s="0" t="s">
        <x:v>40</x:v>
      </x:c>
      <x:c r="H12830" s="0" t="s">
        <x:v>20</x:v>
      </x:c>
      <x:c r="I12830" s="0" t="s">
        <x:v>21</x:v>
      </x:c>
      <x:c r="K12830" s="0">
        <x:f>hyperlink("https://icd.who.int/dev11/l-ichi/en#/http%3A%2F%2Fid.who.int%2Ficd%2Fentity%2F1611861357","browser")</x:f>
      </x:c>
      <x:c r="L12830" s="0">
        <x:f>hyperlink("https://icat2.azurewebsites.net/icat/?ontology=ICD&amp;tab=ClassesTab&amp;id=http%3A%2F%2Fwho.int%2Ficd%239867_16e67c35_8b57_40bb_9220_818553425a8c","iCat")</x:f>
      </x:c>
      <x:c r="M12830" s="0" t="s">
        <x:v>21</x:v>
      </x:c>
      <x:c r="N12830" s="0" t="s">
        <x:v>46</x:v>
      </x:c>
    </x:row>
    <x:row r="12831" spans="1:16">
      <x:c r="A12831" s="0" t="s">
        <x:v>49095</x:v>
      </x:c>
      <x:c r="B12831" s="0" t="s">
        <x:v>49096</x:v>
      </x:c>
      <x:c r="C12831" s="0" t="s">
        <x:v>42840</x:v>
      </x:c>
      <x:c r="E12831" s="0" t="s">
        <x:v>49097</x:v>
      </x:c>
      <x:c r="F12831" s="0" t="s">
        <x:v>45</x:v>
      </x:c>
      <x:c r="G12831" s="0" t="s">
        <x:v>40</x:v>
      </x:c>
      <x:c r="H12831" s="0" t="s">
        <x:v>20</x:v>
      </x:c>
      <x:c r="I12831" s="0" t="s">
        <x:v>21</x:v>
      </x:c>
      <x:c r="K12831" s="0">
        <x:f>hyperlink("https://icd.who.int/dev11/l-ichi/en#/http%3A%2F%2Fid.who.int%2Ficd%2Fentity%2F97034458","browser")</x:f>
      </x:c>
      <x:c r="L12831" s="0">
        <x:f>hyperlink("https://icat2.azurewebsites.net/icat/?ontology=ICD&amp;tab=ClassesTab&amp;id=http%3A%2F%2Fwho.int%2Ficd%239886_16e67c35_8b57_40bb_9220_818553425a8c","iCat")</x:f>
      </x:c>
      <x:c r="M12831" s="0" t="s">
        <x:v>21</x:v>
      </x:c>
      <x:c r="N12831" s="0" t="s">
        <x:v>46</x:v>
      </x:c>
    </x:row>
    <x:row r="12832" spans="1:16">
      <x:c r="A12832" s="0" t="s">
        <x:v>49098</x:v>
      </x:c>
      <x:c r="B12832" s="0" t="s">
        <x:v>49099</x:v>
      </x:c>
      <x:c r="C12832" s="0" t="s">
        <x:v>42840</x:v>
      </x:c>
      <x:c r="E12832" s="0" t="s">
        <x:v>49100</x:v>
      </x:c>
      <x:c r="F12832" s="0" t="s">
        <x:v>45</x:v>
      </x:c>
      <x:c r="G12832" s="0" t="s">
        <x:v>22</x:v>
      </x:c>
      <x:c r="H12832" s="0" t="s">
        <x:v>20</x:v>
      </x:c>
      <x:c r="I12832" s="0" t="s">
        <x:v>21</x:v>
      </x:c>
      <x:c r="K12832" s="0">
        <x:f>hyperlink("https://icd.who.int/dev11/l-ichi/en#/http%3A%2F%2Fid.who.int%2Ficd%2Fentity%2F1021768261","browser")</x:f>
      </x:c>
      <x:c r="L12832" s="0">
        <x:f>hyperlink("https://icat2.azurewebsites.net/icat/?ontology=ICD&amp;tab=ClassesTab&amp;id=http%3A%2F%2Fwho.int%2Ficd%239634_16e67c35_8b57_40bb_9220_818553425a8c","iCat")</x:f>
      </x:c>
      <x:c r="M12832" s="0" t="s">
        <x:v>20</x:v>
      </x:c>
      <x:c r="N12832" s="0" t="s">
        <x:v>22</x:v>
      </x:c>
    </x:row>
    <x:row r="12833" spans="1:16">
      <x:c r="A12833" s="0" t="s">
        <x:v>49101</x:v>
      </x:c>
      <x:c r="B12833" s="0" t="s">
        <x:v>49102</x:v>
      </x:c>
      <x:c r="C12833" s="0" t="s">
        <x:v>42840</x:v>
      </x:c>
      <x:c r="E12833" s="0" t="s">
        <x:v>49103</x:v>
      </x:c>
      <x:c r="F12833" s="0" t="s">
        <x:v>45</x:v>
      </x:c>
      <x:c r="G12833" s="0" t="s">
        <x:v>40</x:v>
      </x:c>
      <x:c r="H12833" s="0" t="s">
        <x:v>20</x:v>
      </x:c>
      <x:c r="I12833" s="0" t="s">
        <x:v>21</x:v>
      </x:c>
      <x:c r="K12833" s="0">
        <x:f>hyperlink("https://icd.who.int/dev11/l-ichi/en#/http%3A%2F%2Fid.who.int%2Ficd%2Fentity%2F719540346","browser")</x:f>
      </x:c>
      <x:c r="L12833" s="0">
        <x:f>hyperlink("https://icat2.azurewebsites.net/icat/?ontology=ICD&amp;tab=ClassesTab&amp;id=http%3A%2F%2Fwho.int%2Ficd%239905_16e67c35_8b57_40bb_9220_818553425a8c","iCat")</x:f>
      </x:c>
      <x:c r="M12833" s="0" t="s">
        <x:v>21</x:v>
      </x:c>
      <x:c r="N12833" s="0" t="s">
        <x:v>46</x:v>
      </x:c>
    </x:row>
    <x:row r="12834" spans="1:16">
      <x:c r="A12834" s="0" t="s">
        <x:v>49104</x:v>
      </x:c>
      <x:c r="B12834" s="0" t="s">
        <x:v>49105</x:v>
      </x:c>
      <x:c r="C12834" s="0" t="s">
        <x:v>42840</x:v>
      </x:c>
      <x:c r="E12834" s="0" t="s">
        <x:v>49106</x:v>
      </x:c>
      <x:c r="F12834" s="0" t="s">
        <x:v>45</x:v>
      </x:c>
      <x:c r="G12834" s="0" t="s">
        <x:v>40</x:v>
      </x:c>
      <x:c r="H12834" s="0" t="s">
        <x:v>20</x:v>
      </x:c>
      <x:c r="I12834" s="0" t="s">
        <x:v>21</x:v>
      </x:c>
      <x:c r="K12834" s="0">
        <x:f>hyperlink("https://icd.who.int/dev11/l-ichi/en#/http%3A%2F%2Fid.who.int%2Ficd%2Fentity%2F544143126","browser")</x:f>
      </x:c>
      <x:c r="L12834" s="0">
        <x:f>hyperlink("https://icat2.azurewebsites.net/icat/?ontology=ICD&amp;tab=ClassesTab&amp;id=http%3A%2F%2Fwho.int%2Ficd%239924_16e67c35_8b57_40bb_9220_818553425a8c","iCat")</x:f>
      </x:c>
      <x:c r="M12834" s="0" t="s">
        <x:v>21</x:v>
      </x:c>
      <x:c r="N12834" s="0" t="s">
        <x:v>46</x:v>
      </x:c>
    </x:row>
    <x:row r="12835" spans="1:16">
      <x:c r="A12835" s="0" t="s">
        <x:v>49107</x:v>
      </x:c>
      <x:c r="B12835" s="0" t="s">
        <x:v>49108</x:v>
      </x:c>
      <x:c r="C12835" s="0" t="s">
        <x:v>42840</x:v>
      </x:c>
      <x:c r="E12835" s="0" t="s">
        <x:v>49109</x:v>
      </x:c>
      <x:c r="F12835" s="0" t="s">
        <x:v>45</x:v>
      </x:c>
      <x:c r="G12835" s="0" t="s">
        <x:v>40</x:v>
      </x:c>
      <x:c r="H12835" s="0" t="s">
        <x:v>20</x:v>
      </x:c>
      <x:c r="I12835" s="0" t="s">
        <x:v>21</x:v>
      </x:c>
      <x:c r="K12835" s="0">
        <x:f>hyperlink("https://icd.who.int/dev11/l-ichi/en#/http%3A%2F%2Fid.who.int%2Ficd%2Fentity%2F7503288","browser")</x:f>
      </x:c>
      <x:c r="L12835" s="0">
        <x:f>hyperlink("https://icat2.azurewebsites.net/icat/?ontology=ICD&amp;tab=ClassesTab&amp;id=http%3A%2F%2Fwho.int%2Ficd%239962_16e67c35_8b57_40bb_9220_818553425a8c","iCat")</x:f>
      </x:c>
      <x:c r="M12835" s="0" t="s">
        <x:v>21</x:v>
      </x:c>
      <x:c r="N12835" s="0" t="s">
        <x:v>46</x:v>
      </x:c>
    </x:row>
    <x:row r="12836" spans="1:16">
      <x:c r="A12836" s="0" t="s">
        <x:v>49110</x:v>
      </x:c>
      <x:c r="B12836" s="0" t="s">
        <x:v>49111</x:v>
      </x:c>
      <x:c r="C12836" s="0" t="s">
        <x:v>42840</x:v>
      </x:c>
      <x:c r="E12836" s="0" t="s">
        <x:v>49112</x:v>
      </x:c>
      <x:c r="F12836" s="0" t="s">
        <x:v>45</x:v>
      </x:c>
      <x:c r="G12836" s="0" t="s">
        <x:v>40</x:v>
      </x:c>
      <x:c r="H12836" s="0" t="s">
        <x:v>20</x:v>
      </x:c>
      <x:c r="I12836" s="0" t="s">
        <x:v>21</x:v>
      </x:c>
      <x:c r="K12836" s="0">
        <x:f>hyperlink("https://icd.who.int/dev11/l-ichi/en#/http%3A%2F%2Fid.who.int%2Ficd%2Fentity%2F1568069787","browser")</x:f>
      </x:c>
      <x:c r="L12836" s="0">
        <x:f>hyperlink("https://icat2.azurewebsites.net/icat/?ontology=ICD&amp;tab=ClassesTab&amp;id=http%3A%2F%2Fwho.int%2Ficd%2310000_16e67c35_8b57_40bb_9220_818553425a8c","iCat")</x:f>
      </x:c>
      <x:c r="M12836" s="0" t="s">
        <x:v>21</x:v>
      </x:c>
      <x:c r="N12836" s="0" t="s">
        <x:v>46</x:v>
      </x:c>
    </x:row>
    <x:row r="12837" spans="1:16">
      <x:c r="A12837" s="0" t="s">
        <x:v>49113</x:v>
      </x:c>
      <x:c r="B12837" s="0" t="s">
        <x:v>49114</x:v>
      </x:c>
      <x:c r="C12837" s="0" t="s">
        <x:v>42840</x:v>
      </x:c>
      <x:c r="E12837" s="0" t="s">
        <x:v>49115</x:v>
      </x:c>
      <x:c r="F12837" s="0" t="s">
        <x:v>45</x:v>
      </x:c>
      <x:c r="G12837" s="0" t="s">
        <x:v>35</x:v>
      </x:c>
      <x:c r="H12837" s="0" t="s">
        <x:v>20</x:v>
      </x:c>
      <x:c r="I12837" s="0" t="s">
        <x:v>21</x:v>
      </x:c>
      <x:c r="K12837" s="0">
        <x:f>hyperlink("https://icd.who.int/dev11/l-ichi/en#/http%3A%2F%2Fid.who.int%2Ficd%2Fentity%2F623242207","browser")</x:f>
      </x:c>
      <x:c r="L12837" s="0">
        <x:f>hyperlink("https://icat2.azurewebsites.net/icat/?ontology=ICD&amp;tab=ClassesTab&amp;id=http%3A%2F%2Fwho.int%2Ficd%23SpecificAnatomicLocation_1454","iCat")</x:f>
      </x:c>
      <x:c r="M12837" s="0" t="s">
        <x:v>20</x:v>
      </x:c>
      <x:c r="N12837" s="0" t="s">
        <x:v>40</x:v>
      </x:c>
    </x:row>
    <x:row r="12838" spans="1:16">
      <x:c r="A12838" s="0" t="s">
        <x:v>49116</x:v>
      </x:c>
      <x:c r="B12838" s="0" t="s">
        <x:v>49117</x:v>
      </x:c>
      <x:c r="C12838" s="0" t="s">
        <x:v>42840</x:v>
      </x:c>
      <x:c r="E12838" s="0" t="s">
        <x:v>49118</x:v>
      </x:c>
      <x:c r="F12838" s="0" t="s">
        <x:v>45</x:v>
      </x:c>
      <x:c r="G12838" s="0" t="s">
        <x:v>22</x:v>
      </x:c>
      <x:c r="H12838" s="0" t="s">
        <x:v>20</x:v>
      </x:c>
      <x:c r="I12838" s="0" t="s">
        <x:v>21</x:v>
      </x:c>
      <x:c r="K12838" s="0">
        <x:f>hyperlink("https://icd.who.int/dev11/l-ichi/en#/http%3A%2F%2Fid.who.int%2Ficd%2Fentity%2F1856773151","browser")</x:f>
      </x:c>
      <x:c r="L12838" s="0">
        <x:f>hyperlink("https://icat2.azurewebsites.net/icat/?ontology=ICD&amp;tab=ClassesTab&amp;id=http%3A%2F%2Fwho.int%2Ficd%23SpecificAnatomicLocation_1451","iCat")</x:f>
      </x:c>
      <x:c r="M12838" s="0" t="s">
        <x:v>20</x:v>
      </x:c>
      <x:c r="N12838" s="0" t="s">
        <x:v>40</x:v>
      </x:c>
    </x:row>
    <x:row r="12839" spans="1:16">
      <x:c r="A12839" s="0" t="s">
        <x:v>49119</x:v>
      </x:c>
      <x:c r="B12839" s="0" t="s">
        <x:v>49120</x:v>
      </x:c>
      <x:c r="C12839" s="0" t="s">
        <x:v>42840</x:v>
      </x:c>
      <x:c r="E12839" s="0" t="s">
        <x:v>49121</x:v>
      </x:c>
      <x:c r="F12839" s="0" t="s">
        <x:v>45</x:v>
      </x:c>
      <x:c r="G12839" s="0" t="s">
        <x:v>40</x:v>
      </x:c>
      <x:c r="H12839" s="0" t="s">
        <x:v>20</x:v>
      </x:c>
      <x:c r="I12839" s="0" t="s">
        <x:v>21</x:v>
      </x:c>
      <x:c r="K12839" s="0">
        <x:f>hyperlink("https://icd.who.int/dev11/l-ichi/en#/http%3A%2F%2Fid.who.int%2Ficd%2Fentity%2F595827502","browser")</x:f>
      </x:c>
      <x:c r="L12839" s="0">
        <x:f>hyperlink("https://icat2.azurewebsites.net/icat/?ontology=ICD&amp;tab=ClassesTab&amp;id=http%3A%2F%2Fwho.int%2Ficd%23SpecificAnatomicLocation_1257","iCat")</x:f>
      </x:c>
      <x:c r="M12839" s="0" t="s">
        <x:v>21</x:v>
      </x:c>
      <x:c r="N12839" s="0" t="s">
        <x:v>46</x:v>
      </x:c>
    </x:row>
    <x:row r="12840" spans="1:16">
      <x:c r="A12840" s="0" t="s">
        <x:v>49122</x:v>
      </x:c>
      <x:c r="B12840" s="0" t="s">
        <x:v>49123</x:v>
      </x:c>
      <x:c r="C12840" s="0" t="s">
        <x:v>42840</x:v>
      </x:c>
      <x:c r="E12840" s="0" t="s">
        <x:v>49124</x:v>
      </x:c>
      <x:c r="F12840" s="0" t="s">
        <x:v>45</x:v>
      </x:c>
      <x:c r="G12840" s="0" t="s">
        <x:v>40</x:v>
      </x:c>
      <x:c r="H12840" s="0" t="s">
        <x:v>20</x:v>
      </x:c>
      <x:c r="I12840" s="0" t="s">
        <x:v>21</x:v>
      </x:c>
      <x:c r="K12840" s="0">
        <x:f>hyperlink("https://icd.who.int/dev11/l-ichi/en#/http%3A%2F%2Fid.who.int%2Ficd%2Fentity%2F158099590","browser")</x:f>
      </x:c>
      <x:c r="L12840" s="0">
        <x:f>hyperlink("https://icat2.azurewebsites.net/icat/?ontology=ICD&amp;tab=ClassesTab&amp;id=http%3A%2F%2Fwho.int%2Ficd%23SpecificAnatomicLocation_1261","iCat")</x:f>
      </x:c>
      <x:c r="M12840" s="0" t="s">
        <x:v>21</x:v>
      </x:c>
      <x:c r="N12840" s="0" t="s">
        <x:v>46</x:v>
      </x:c>
    </x:row>
    <x:row r="12841" spans="1:16">
      <x:c r="A12841" s="0" t="s">
        <x:v>49125</x:v>
      </x:c>
      <x:c r="B12841" s="0" t="s">
        <x:v>49126</x:v>
      </x:c>
      <x:c r="C12841" s="0" t="s">
        <x:v>42840</x:v>
      </x:c>
      <x:c r="E12841" s="0" t="s">
        <x:v>49127</x:v>
      </x:c>
      <x:c r="F12841" s="0" t="s">
        <x:v>45</x:v>
      </x:c>
      <x:c r="G12841" s="0" t="s">
        <x:v>40</x:v>
      </x:c>
      <x:c r="H12841" s="0" t="s">
        <x:v>20</x:v>
      </x:c>
      <x:c r="I12841" s="0" t="s">
        <x:v>21</x:v>
      </x:c>
      <x:c r="K12841" s="0">
        <x:f>hyperlink("https://icd.who.int/dev11/l-ichi/en#/http%3A%2F%2Fid.who.int%2Ficd%2Fentity%2F1439562630","browser")</x:f>
      </x:c>
      <x:c r="L12841" s="0">
        <x:f>hyperlink("https://icat2.azurewebsites.net/icat/?ontology=ICD&amp;tab=ClassesTab&amp;id=http%3A%2F%2Fwho.int%2Ficd%23SpecificAnatomicLocation_1265","iCat")</x:f>
      </x:c>
      <x:c r="M12841" s="0" t="s">
        <x:v>21</x:v>
      </x:c>
      <x:c r="N12841" s="0" t="s">
        <x:v>46</x:v>
      </x:c>
    </x:row>
    <x:row r="12842" spans="1:16">
      <x:c r="A12842" s="0" t="s">
        <x:v>49128</x:v>
      </x:c>
      <x:c r="B12842" s="0" t="s">
        <x:v>49129</x:v>
      </x:c>
      <x:c r="C12842" s="0" t="s">
        <x:v>42840</x:v>
      </x:c>
      <x:c r="E12842" s="0" t="s">
        <x:v>49130</x:v>
      </x:c>
      <x:c r="F12842" s="0" t="s">
        <x:v>45</x:v>
      </x:c>
      <x:c r="G12842" s="0" t="s">
        <x:v>40</x:v>
      </x:c>
      <x:c r="H12842" s="0" t="s">
        <x:v>20</x:v>
      </x:c>
      <x:c r="I12842" s="0" t="s">
        <x:v>21</x:v>
      </x:c>
      <x:c r="K12842" s="0">
        <x:f>hyperlink("https://icd.who.int/dev11/l-ichi/en#/http%3A%2F%2Fid.who.int%2Ficd%2Fentity%2F1339076986","browser")</x:f>
      </x:c>
      <x:c r="L12842" s="0">
        <x:f>hyperlink("https://icat2.azurewebsites.net/icat/?ontology=ICD&amp;tab=ClassesTab&amp;id=http%3A%2F%2Fwho.int%2Ficd%23SpecificAnatomicLocation_1269","iCat")</x:f>
      </x:c>
      <x:c r="M12842" s="0" t="s">
        <x:v>21</x:v>
      </x:c>
      <x:c r="N12842" s="0" t="s">
        <x:v>46</x:v>
      </x:c>
    </x:row>
    <x:row r="12843" spans="1:16">
      <x:c r="A12843" s="0" t="s">
        <x:v>49131</x:v>
      </x:c>
      <x:c r="B12843" s="0" t="s">
        <x:v>49132</x:v>
      </x:c>
      <x:c r="C12843" s="0" t="s">
        <x:v>42840</x:v>
      </x:c>
      <x:c r="E12843" s="0" t="s">
        <x:v>49133</x:v>
      </x:c>
      <x:c r="F12843" s="0" t="s">
        <x:v>45</x:v>
      </x:c>
      <x:c r="G12843" s="0" t="s">
        <x:v>40</x:v>
      </x:c>
      <x:c r="H12843" s="0" t="s">
        <x:v>20</x:v>
      </x:c>
      <x:c r="I12843" s="0" t="s">
        <x:v>21</x:v>
      </x:c>
      <x:c r="K12843" s="0">
        <x:f>hyperlink("https://icd.who.int/dev11/l-ichi/en#/http%3A%2F%2Fid.who.int%2Ficd%2Fentity%2F1248945463","browser")</x:f>
      </x:c>
      <x:c r="L12843" s="0">
        <x:f>hyperlink("https://icat2.azurewebsites.net/icat/?ontology=ICD&amp;tab=ClassesTab&amp;id=http%3A%2F%2Fwho.int%2Ficd%23SpecificAnatomicLocation_1246","iCat")</x:f>
      </x:c>
      <x:c r="M12843" s="0" t="s">
        <x:v>21</x:v>
      </x:c>
      <x:c r="N12843" s="0" t="s">
        <x:v>46</x:v>
      </x:c>
    </x:row>
    <x:row r="12844" spans="1:16">
      <x:c r="A12844" s="0" t="s">
        <x:v>49134</x:v>
      </x:c>
      <x:c r="B12844" s="0" t="s">
        <x:v>49135</x:v>
      </x:c>
      <x:c r="C12844" s="0" t="s">
        <x:v>42840</x:v>
      </x:c>
      <x:c r="E12844" s="0" t="s">
        <x:v>49136</x:v>
      </x:c>
      <x:c r="F12844" s="0" t="s">
        <x:v>45</x:v>
      </x:c>
      <x:c r="G12844" s="0" t="s">
        <x:v>22</x:v>
      </x:c>
      <x:c r="H12844" s="0" t="s">
        <x:v>20</x:v>
      </x:c>
      <x:c r="I12844" s="0" t="s">
        <x:v>21</x:v>
      </x:c>
      <x:c r="K12844" s="0">
        <x:f>hyperlink("https://icd.who.int/dev11/l-ichi/en#/http%3A%2F%2Fid.who.int%2Ficd%2Fentity%2F1996623307","browser")</x:f>
      </x:c>
      <x:c r="L12844" s="0">
        <x:f>hyperlink("https://icat2.azurewebsites.net/icat/?ontology=ICD&amp;tab=ClassesTab&amp;id=http%3A%2F%2Fwho.int%2Ficd%2310020_16e67c35_8b57_40bb_9220_818553425a8c","iCat")</x:f>
      </x:c>
      <x:c r="M12844" s="0" t="s">
        <x:v>20</x:v>
      </x:c>
      <x:c r="N12844" s="0" t="s">
        <x:v>22</x:v>
      </x:c>
    </x:row>
    <x:row r="12845" spans="1:16">
      <x:c r="A12845" s="0" t="s">
        <x:v>49137</x:v>
      </x:c>
      <x:c r="B12845" s="0" t="s">
        <x:v>49138</x:v>
      </x:c>
      <x:c r="C12845" s="0" t="s">
        <x:v>42840</x:v>
      </x:c>
      <x:c r="E12845" s="0" t="s">
        <x:v>49139</x:v>
      </x:c>
      <x:c r="F12845" s="0" t="s">
        <x:v>45</x:v>
      </x:c>
      <x:c r="G12845" s="0" t="s">
        <x:v>40</x:v>
      </x:c>
      <x:c r="H12845" s="0" t="s">
        <x:v>20</x:v>
      </x:c>
      <x:c r="I12845" s="0" t="s">
        <x:v>21</x:v>
      </x:c>
      <x:c r="K12845" s="0">
        <x:f>hyperlink("https://icd.who.int/dev11/l-ichi/en#/http%3A%2F%2Fid.who.int%2Ficd%2Fentity%2F883687406","browser")</x:f>
      </x:c>
      <x:c r="L12845" s="0">
        <x:f>hyperlink("https://icat2.azurewebsites.net/icat/?ontology=ICD&amp;tab=ClassesTab&amp;id=http%3A%2F%2Fwho.int%2Ficd%23SpecificAnatomicLocation_1256","iCat")</x:f>
      </x:c>
      <x:c r="M12845" s="0" t="s">
        <x:v>21</x:v>
      </x:c>
      <x:c r="N12845" s="0" t="s">
        <x:v>46</x:v>
      </x:c>
    </x:row>
    <x:row r="12846" spans="1:16">
      <x:c r="A12846" s="0" t="s">
        <x:v>49140</x:v>
      </x:c>
      <x:c r="B12846" s="0" t="s">
        <x:v>49141</x:v>
      </x:c>
      <x:c r="C12846" s="0" t="s">
        <x:v>42840</x:v>
      </x:c>
      <x:c r="E12846" s="0" t="s">
        <x:v>49142</x:v>
      </x:c>
      <x:c r="F12846" s="0" t="s">
        <x:v>45</x:v>
      </x:c>
      <x:c r="G12846" s="0" t="s">
        <x:v>40</x:v>
      </x:c>
      <x:c r="H12846" s="0" t="s">
        <x:v>20</x:v>
      </x:c>
      <x:c r="I12846" s="0" t="s">
        <x:v>21</x:v>
      </x:c>
      <x:c r="K12846" s="0">
        <x:f>hyperlink("https://icd.who.int/dev11/l-ichi/en#/http%3A%2F%2Fid.who.int%2Ficd%2Fentity%2F507776070","browser")</x:f>
      </x:c>
      <x:c r="L12846" s="0">
        <x:f>hyperlink("https://icat2.azurewebsites.net/icat/?ontology=ICD&amp;tab=ClassesTab&amp;id=http%3A%2F%2Fwho.int%2Ficd%23SpecificAnatomicLocation_1260","iCat")</x:f>
      </x:c>
      <x:c r="M12846" s="0" t="s">
        <x:v>21</x:v>
      </x:c>
      <x:c r="N12846" s="0" t="s">
        <x:v>46</x:v>
      </x:c>
    </x:row>
    <x:row r="12847" spans="1:16">
      <x:c r="A12847" s="0" t="s">
        <x:v>49143</x:v>
      </x:c>
      <x:c r="B12847" s="0" t="s">
        <x:v>49144</x:v>
      </x:c>
      <x:c r="C12847" s="0" t="s">
        <x:v>42840</x:v>
      </x:c>
      <x:c r="E12847" s="0" t="s">
        <x:v>49145</x:v>
      </x:c>
      <x:c r="F12847" s="0" t="s">
        <x:v>45</x:v>
      </x:c>
      <x:c r="G12847" s="0" t="s">
        <x:v>40</x:v>
      </x:c>
      <x:c r="H12847" s="0" t="s">
        <x:v>20</x:v>
      </x:c>
      <x:c r="I12847" s="0" t="s">
        <x:v>21</x:v>
      </x:c>
      <x:c r="K12847" s="0">
        <x:f>hyperlink("https://icd.who.int/dev11/l-ichi/en#/http%3A%2F%2Fid.who.int%2Ficd%2Fentity%2F1122344774","browser")</x:f>
      </x:c>
      <x:c r="L12847" s="0">
        <x:f>hyperlink("https://icat2.azurewebsites.net/icat/?ontology=ICD&amp;tab=ClassesTab&amp;id=http%3A%2F%2Fwho.int%2Ficd%23SpecificAnatomicLocation_1264","iCat")</x:f>
      </x:c>
      <x:c r="M12847" s="0" t="s">
        <x:v>21</x:v>
      </x:c>
      <x:c r="N12847" s="0" t="s">
        <x:v>46</x:v>
      </x:c>
    </x:row>
    <x:row r="12848" spans="1:16">
      <x:c r="A12848" s="0" t="s">
        <x:v>49146</x:v>
      </x:c>
      <x:c r="B12848" s="0" t="s">
        <x:v>49147</x:v>
      </x:c>
      <x:c r="C12848" s="0" t="s">
        <x:v>42840</x:v>
      </x:c>
      <x:c r="E12848" s="0" t="s">
        <x:v>49148</x:v>
      </x:c>
      <x:c r="F12848" s="0" t="s">
        <x:v>45</x:v>
      </x:c>
      <x:c r="G12848" s="0" t="s">
        <x:v>40</x:v>
      </x:c>
      <x:c r="H12848" s="0" t="s">
        <x:v>20</x:v>
      </x:c>
      <x:c r="I12848" s="0" t="s">
        <x:v>21</x:v>
      </x:c>
      <x:c r="K12848" s="0">
        <x:f>hyperlink("https://icd.who.int/dev11/l-ichi/en#/http%3A%2F%2Fid.who.int%2Ficd%2Fentity%2F1492702650","browser")</x:f>
      </x:c>
      <x:c r="L12848" s="0">
        <x:f>hyperlink("https://icat2.azurewebsites.net/icat/?ontology=ICD&amp;tab=ClassesTab&amp;id=http%3A%2F%2Fwho.int%2Ficd%23SpecificAnatomicLocation_1268","iCat")</x:f>
      </x:c>
      <x:c r="M12848" s="0" t="s">
        <x:v>21</x:v>
      </x:c>
      <x:c r="N12848" s="0" t="s">
        <x:v>46</x:v>
      </x:c>
    </x:row>
    <x:row r="12849" spans="1:16">
      <x:c r="A12849" s="0" t="s">
        <x:v>49149</x:v>
      </x:c>
      <x:c r="B12849" s="0" t="s">
        <x:v>49150</x:v>
      </x:c>
      <x:c r="C12849" s="0" t="s">
        <x:v>42840</x:v>
      </x:c>
      <x:c r="E12849" s="0" t="s">
        <x:v>49151</x:v>
      </x:c>
      <x:c r="F12849" s="0" t="s">
        <x:v>45</x:v>
      </x:c>
      <x:c r="G12849" s="0" t="s">
        <x:v>22</x:v>
      </x:c>
      <x:c r="H12849" s="0" t="s">
        <x:v>20</x:v>
      </x:c>
      <x:c r="I12849" s="0" t="s">
        <x:v>21</x:v>
      </x:c>
      <x:c r="K12849" s="0">
        <x:f>hyperlink("https://icd.who.int/dev11/l-ichi/en#/http%3A%2F%2Fid.who.int%2Ficd%2Fentity%2F1090311583","browser")</x:f>
      </x:c>
      <x:c r="L12849" s="0">
        <x:f>hyperlink("https://icat2.azurewebsites.net/icat/?ontology=ICD&amp;tab=ClassesTab&amp;id=http%3A%2F%2Fwho.int%2Ficd%23SpecificAnatomicLocation_1453","iCat")</x:f>
      </x:c>
      <x:c r="M12849" s="0" t="s">
        <x:v>20</x:v>
      </x:c>
      <x:c r="N12849" s="0" t="s">
        <x:v>40</x:v>
      </x:c>
    </x:row>
    <x:row r="12850" spans="1:16">
      <x:c r="A12850" s="0" t="s">
        <x:v>49152</x:v>
      </x:c>
      <x:c r="B12850" s="0" t="s">
        <x:v>49153</x:v>
      </x:c>
      <x:c r="C12850" s="0" t="s">
        <x:v>42840</x:v>
      </x:c>
      <x:c r="E12850" s="0" t="s">
        <x:v>49154</x:v>
      </x:c>
      <x:c r="F12850" s="0" t="s">
        <x:v>45</x:v>
      </x:c>
      <x:c r="G12850" s="0" t="s">
        <x:v>40</x:v>
      </x:c>
      <x:c r="H12850" s="0" t="s">
        <x:v>20</x:v>
      </x:c>
      <x:c r="I12850" s="0" t="s">
        <x:v>21</x:v>
      </x:c>
      <x:c r="K12850" s="0">
        <x:f>hyperlink("https://icd.who.int/dev11/l-ichi/en#/http%3A%2F%2Fid.who.int%2Ficd%2Fentity%2F231953070","browser")</x:f>
      </x:c>
      <x:c r="L12850" s="0">
        <x:f>hyperlink("https://icat2.azurewebsites.net/icat/?ontology=ICD&amp;tab=ClassesTab&amp;id=http%3A%2F%2Fwho.int%2Ficd%23SpecificAnatomicLocation_1255","iCat")</x:f>
      </x:c>
      <x:c r="M12850" s="0" t="s">
        <x:v>21</x:v>
      </x:c>
      <x:c r="N12850" s="0" t="s">
        <x:v>46</x:v>
      </x:c>
    </x:row>
    <x:row r="12851" spans="1:16">
      <x:c r="A12851" s="0" t="s">
        <x:v>49155</x:v>
      </x:c>
      <x:c r="B12851" s="0" t="s">
        <x:v>49156</x:v>
      </x:c>
      <x:c r="C12851" s="0" t="s">
        <x:v>42840</x:v>
      </x:c>
      <x:c r="E12851" s="0" t="s">
        <x:v>49157</x:v>
      </x:c>
      <x:c r="F12851" s="0" t="s">
        <x:v>45</x:v>
      </x:c>
      <x:c r="G12851" s="0" t="s">
        <x:v>40</x:v>
      </x:c>
      <x:c r="H12851" s="0" t="s">
        <x:v>20</x:v>
      </x:c>
      <x:c r="I12851" s="0" t="s">
        <x:v>21</x:v>
      </x:c>
      <x:c r="K12851" s="0">
        <x:f>hyperlink("https://icd.who.int/dev11/l-ichi/en#/http%3A%2F%2Fid.who.int%2Ficd%2Fentity%2F399382610","browser")</x:f>
      </x:c>
      <x:c r="L12851" s="0">
        <x:f>hyperlink("https://icat2.azurewebsites.net/icat/?ontology=ICD&amp;tab=ClassesTab&amp;id=http%3A%2F%2Fwho.int%2Ficd%23SpecificAnatomicLocation_1259","iCat")</x:f>
      </x:c>
      <x:c r="M12851" s="0" t="s">
        <x:v>21</x:v>
      </x:c>
      <x:c r="N12851" s="0" t="s">
        <x:v>46</x:v>
      </x:c>
    </x:row>
    <x:row r="12852" spans="1:16">
      <x:c r="A12852" s="0" t="s">
        <x:v>49158</x:v>
      </x:c>
      <x:c r="B12852" s="0" t="s">
        <x:v>49159</x:v>
      </x:c>
      <x:c r="C12852" s="0" t="s">
        <x:v>42840</x:v>
      </x:c>
      <x:c r="E12852" s="0" t="s">
        <x:v>49160</x:v>
      </x:c>
      <x:c r="F12852" s="0" t="s">
        <x:v>45</x:v>
      </x:c>
      <x:c r="G12852" s="0" t="s">
        <x:v>40</x:v>
      </x:c>
      <x:c r="H12852" s="0" t="s">
        <x:v>20</x:v>
      </x:c>
      <x:c r="I12852" s="0" t="s">
        <x:v>21</x:v>
      </x:c>
      <x:c r="K12852" s="0">
        <x:f>hyperlink("https://icd.who.int/dev11/l-ichi/en#/http%3A%2F%2Fid.who.int%2Ficd%2Fentity%2F658284806","browser")</x:f>
      </x:c>
      <x:c r="L12852" s="0">
        <x:f>hyperlink("https://icat2.azurewebsites.net/icat/?ontology=ICD&amp;tab=ClassesTab&amp;id=http%3A%2F%2Fwho.int%2Ficd%23SpecificAnatomicLocation_1263","iCat")</x:f>
      </x:c>
      <x:c r="M12852" s="0" t="s">
        <x:v>21</x:v>
      </x:c>
      <x:c r="N12852" s="0" t="s">
        <x:v>46</x:v>
      </x:c>
    </x:row>
    <x:row r="12853" spans="1:16">
      <x:c r="A12853" s="0" t="s">
        <x:v>49161</x:v>
      </x:c>
      <x:c r="B12853" s="0" t="s">
        <x:v>49162</x:v>
      </x:c>
      <x:c r="C12853" s="0" t="s">
        <x:v>42840</x:v>
      </x:c>
      <x:c r="E12853" s="0" t="s">
        <x:v>49163</x:v>
      </x:c>
      <x:c r="F12853" s="0" t="s">
        <x:v>45</x:v>
      </x:c>
      <x:c r="G12853" s="0" t="s">
        <x:v>40</x:v>
      </x:c>
      <x:c r="H12853" s="0" t="s">
        <x:v>20</x:v>
      </x:c>
      <x:c r="I12853" s="0" t="s">
        <x:v>21</x:v>
      </x:c>
      <x:c r="K12853" s="0">
        <x:f>hyperlink("https://icd.who.int/dev11/l-ichi/en#/http%3A%2F%2Fid.who.int%2Ficd%2Fentity%2F2073899526","browser")</x:f>
      </x:c>
      <x:c r="L12853" s="0">
        <x:f>hyperlink("https://icat2.azurewebsites.net/icat/?ontology=ICD&amp;tab=ClassesTab&amp;id=http%3A%2F%2Fwho.int%2Ficd%23SpecificAnatomicLocation_1267","iCat")</x:f>
      </x:c>
      <x:c r="M12853" s="0" t="s">
        <x:v>21</x:v>
      </x:c>
      <x:c r="N12853" s="0" t="s">
        <x:v>46</x:v>
      </x:c>
    </x:row>
    <x:row r="12854" spans="1:16">
      <x:c r="A12854" s="0" t="s">
        <x:v>49164</x:v>
      </x:c>
      <x:c r="B12854" s="0" t="s">
        <x:v>49165</x:v>
      </x:c>
      <x:c r="C12854" s="0" t="s">
        <x:v>42840</x:v>
      </x:c>
      <x:c r="E12854" s="0" t="s">
        <x:v>49166</x:v>
      </x:c>
      <x:c r="F12854" s="0" t="s">
        <x:v>45</x:v>
      </x:c>
      <x:c r="G12854" s="0" t="s">
        <x:v>40</x:v>
      </x:c>
      <x:c r="H12854" s="0" t="s">
        <x:v>20</x:v>
      </x:c>
      <x:c r="I12854" s="0" t="s">
        <x:v>21</x:v>
      </x:c>
      <x:c r="K12854" s="0">
        <x:f>hyperlink("https://icd.who.int/dev11/l-ichi/en#/http%3A%2F%2Fid.who.int%2Ficd%2Fentity%2F1566114295","browser")</x:f>
      </x:c>
      <x:c r="L12854" s="0">
        <x:f>hyperlink("https://icat2.azurewebsites.net/icat/?ontology=ICD&amp;tab=ClassesTab&amp;id=http%3A%2F%2Fwho.int%2Ficd%23SpecificAnatomicLocation_1247","iCat")</x:f>
      </x:c>
      <x:c r="M12854" s="0" t="s">
        <x:v>21</x:v>
      </x:c>
      <x:c r="N12854" s="0" t="s">
        <x:v>46</x:v>
      </x:c>
    </x:row>
    <x:row r="12855" spans="1:16">
      <x:c r="A12855" s="0" t="s">
        <x:v>49167</x:v>
      </x:c>
      <x:c r="B12855" s="0" t="s">
        <x:v>49168</x:v>
      </x:c>
      <x:c r="C12855" s="0" t="s">
        <x:v>42840</x:v>
      </x:c>
      <x:c r="E12855" s="0" t="s">
        <x:v>49169</x:v>
      </x:c>
      <x:c r="F12855" s="0" t="s">
        <x:v>45</x:v>
      </x:c>
      <x:c r="G12855" s="0" t="s">
        <x:v>22</x:v>
      </x:c>
      <x:c r="H12855" s="0" t="s">
        <x:v>20</x:v>
      </x:c>
      <x:c r="I12855" s="0" t="s">
        <x:v>21</x:v>
      </x:c>
      <x:c r="K12855" s="0">
        <x:f>hyperlink("https://icd.who.int/dev11/l-ichi/en#/http%3A%2F%2Fid.who.int%2Ficd%2Fentity%2F1348651907","browser")</x:f>
      </x:c>
      <x:c r="L12855" s="0">
        <x:f>hyperlink("https://icat2.azurewebsites.net/icat/?ontology=ICD&amp;tab=ClassesTab&amp;id=http%3A%2F%2Fwho.int%2Ficd%233021_d9027f82_5e3d_47a4_a6fe_3c65954dde3a","iCat")</x:f>
      </x:c>
      <x:c r="M12855" s="0" t="s">
        <x:v>21</x:v>
      </x:c>
      <x:c r="N12855" s="0" t="s">
        <x:v>46</x:v>
      </x:c>
    </x:row>
    <x:row r="12856" spans="1:16">
      <x:c r="A12856" s="0" t="s">
        <x:v>49170</x:v>
      </x:c>
      <x:c r="B12856" s="0" t="s">
        <x:v>49171</x:v>
      </x:c>
      <x:c r="C12856" s="0" t="s">
        <x:v>42840</x:v>
      </x:c>
      <x:c r="E12856" s="0" t="s">
        <x:v>49172</x:v>
      </x:c>
      <x:c r="F12856" s="0" t="s">
        <x:v>45</x:v>
      </x:c>
      <x:c r="G12856" s="0" t="s">
        <x:v>22</x:v>
      </x:c>
      <x:c r="H12856" s="0" t="s">
        <x:v>20</x:v>
      </x:c>
      <x:c r="I12856" s="0" t="s">
        <x:v>21</x:v>
      </x:c>
      <x:c r="K12856" s="0">
        <x:f>hyperlink("https://icd.who.int/dev11/l-ichi/en#/http%3A%2F%2Fid.who.int%2Ficd%2Fentity%2F1948659585","browser")</x:f>
      </x:c>
      <x:c r="L12856" s="0">
        <x:f>hyperlink("https://icat2.azurewebsites.net/icat/?ontology=ICD&amp;tab=ClassesTab&amp;id=http%3A%2F%2Fwho.int%2Ficd%233039_d9027f82_5e3d_47a4_a6fe_3c65954dde3a","iCat")</x:f>
      </x:c>
      <x:c r="M12856" s="0" t="s">
        <x:v>21</x:v>
      </x:c>
      <x:c r="N12856" s="0" t="s">
        <x:v>46</x:v>
      </x:c>
    </x:row>
    <x:row r="12857" spans="1:16">
      <x:c r="A12857" s="0" t="s">
        <x:v>49173</x:v>
      </x:c>
      <x:c r="B12857" s="0" t="s">
        <x:v>49174</x:v>
      </x:c>
      <x:c r="C12857" s="0" t="s">
        <x:v>42840</x:v>
      </x:c>
      <x:c r="E12857" s="0" t="s">
        <x:v>49175</x:v>
      </x:c>
      <x:c r="F12857" s="0" t="s">
        <x:v>45</x:v>
      </x:c>
      <x:c r="G12857" s="0" t="s">
        <x:v>30</x:v>
      </x:c>
      <x:c r="H12857" s="0" t="s">
        <x:v>20</x:v>
      </x:c>
      <x:c r="I12857" s="0" t="s">
        <x:v>21</x:v>
      </x:c>
      <x:c r="K12857" s="0">
        <x:f>hyperlink("https://icd.who.int/dev11/l-ichi/en#/http%3A%2F%2Fid.who.int%2Ficd%2Fentity%2F805764304","browser")</x:f>
      </x:c>
      <x:c r="L12857" s="0">
        <x:f>hyperlink("https://icat2.azurewebsites.net/icat/?ontology=ICD&amp;tab=ClassesTab&amp;id=http%3A%2F%2Fwho.int%2Ficd%23SpecificAnatomicLocation_1508","iCat")</x:f>
      </x:c>
      <x:c r="M12857" s="0" t="s">
        <x:v>20</x:v>
      </x:c>
      <x:c r="N12857" s="0" t="s">
        <x:v>431</x:v>
      </x:c>
    </x:row>
    <x:row r="12858" spans="1:16">
      <x:c r="A12858" s="0" t="s">
        <x:v>49176</x:v>
      </x:c>
      <x:c r="B12858" s="0" t="s">
        <x:v>49177</x:v>
      </x:c>
      <x:c r="C12858" s="0" t="s">
        <x:v>42840</x:v>
      </x:c>
      <x:c r="E12858" s="0" t="s">
        <x:v>49178</x:v>
      </x:c>
      <x:c r="F12858" s="0" t="s">
        <x:v>45</x:v>
      </x:c>
      <x:c r="G12858" s="0" t="s">
        <x:v>35</x:v>
      </x:c>
      <x:c r="H12858" s="0" t="s">
        <x:v>20</x:v>
      </x:c>
      <x:c r="I12858" s="0" t="s">
        <x:v>21</x:v>
      </x:c>
      <x:c r="K12858" s="0">
        <x:f>hyperlink("https://icd.who.int/dev11/l-ichi/en#/http%3A%2F%2Fid.who.int%2Ficd%2Fentity%2F983135600","browser")</x:f>
      </x:c>
      <x:c r="L12858" s="0">
        <x:f>hyperlink("https://icat2.azurewebsites.net/icat/?ontology=ICD&amp;tab=ClassesTab&amp;id=http%3A%2F%2Fwho.int%2Ficd%23SpecificAnatomicLocation_1477","iCat")</x:f>
      </x:c>
      <x:c r="M12858" s="0" t="s">
        <x:v>20</x:v>
      </x:c>
      <x:c r="N12858" s="0" t="s">
        <x:v>36</x:v>
      </x:c>
    </x:row>
    <x:row r="12859" spans="1:16">
      <x:c r="A12859" s="0" t="s">
        <x:v>49179</x:v>
      </x:c>
      <x:c r="B12859" s="0" t="s">
        <x:v>49180</x:v>
      </x:c>
      <x:c r="C12859" s="0" t="s">
        <x:v>42840</x:v>
      </x:c>
      <x:c r="E12859" s="0" t="s">
        <x:v>49181</x:v>
      </x:c>
      <x:c r="F12859" s="0" t="s">
        <x:v>45</x:v>
      </x:c>
      <x:c r="G12859" s="0" t="s">
        <x:v>22</x:v>
      </x:c>
      <x:c r="H12859" s="0" t="s">
        <x:v>20</x:v>
      </x:c>
      <x:c r="I12859" s="0" t="s">
        <x:v>21</x:v>
      </x:c>
      <x:c r="K12859" s="0">
        <x:f>hyperlink("https://icd.who.int/dev11/l-ichi/en#/http%3A%2F%2Fid.who.int%2Ficd%2Fentity%2F1879993545","browser")</x:f>
      </x:c>
      <x:c r="L12859" s="0">
        <x:f>hyperlink("https://icat2.azurewebsites.net/icat/?ontology=ICD&amp;tab=ClassesTab&amp;id=http%3A%2F%2Fwho.int%2Ficd%23SpecificAnatomicLocation_1469","iCat")</x:f>
      </x:c>
      <x:c r="M12859" s="0" t="s">
        <x:v>21</x:v>
      </x:c>
      <x:c r="N12859" s="0" t="s">
        <x:v>46</x:v>
      </x:c>
    </x:row>
    <x:row r="12860" spans="1:16">
      <x:c r="A12860" s="0" t="s">
        <x:v>49182</x:v>
      </x:c>
      <x:c r="B12860" s="0" t="s">
        <x:v>49183</x:v>
      </x:c>
      <x:c r="C12860" s="0" t="s">
        <x:v>42840</x:v>
      </x:c>
      <x:c r="E12860" s="0" t="s">
        <x:v>49184</x:v>
      </x:c>
      <x:c r="F12860" s="0" t="s">
        <x:v>45</x:v>
      </x:c>
      <x:c r="G12860" s="0" t="s">
        <x:v>22</x:v>
      </x:c>
      <x:c r="H12860" s="0" t="s">
        <x:v>20</x:v>
      </x:c>
      <x:c r="I12860" s="0" t="s">
        <x:v>21</x:v>
      </x:c>
      <x:c r="K12860" s="0">
        <x:f>hyperlink("https://icd.who.int/dev11/l-ichi/en#/http%3A%2F%2Fid.who.int%2Ficd%2Fentity%2F1730545673","browser")</x:f>
      </x:c>
      <x:c r="L12860" s="0">
        <x:f>hyperlink("https://icat2.azurewebsites.net/icat/?ontology=ICD&amp;tab=ClassesTab&amp;id=http%3A%2F%2Fwho.int%2Ficd%23SpecificAnatomicLocation_1468","iCat")</x:f>
      </x:c>
      <x:c r="M12860" s="0" t="s">
        <x:v>21</x:v>
      </x:c>
      <x:c r="N12860" s="0" t="s">
        <x:v>46</x:v>
      </x:c>
    </x:row>
    <x:row r="12861" spans="1:16">
      <x:c r="A12861" s="0" t="s">
        <x:v>49185</x:v>
      </x:c>
      <x:c r="B12861" s="0" t="s">
        <x:v>49186</x:v>
      </x:c>
      <x:c r="C12861" s="0" t="s">
        <x:v>42840</x:v>
      </x:c>
      <x:c r="E12861" s="0" t="s">
        <x:v>49187</x:v>
      </x:c>
      <x:c r="F12861" s="0" t="s">
        <x:v>45</x:v>
      </x:c>
      <x:c r="G12861" s="0" t="s">
        <x:v>22</x:v>
      </x:c>
      <x:c r="H12861" s="0" t="s">
        <x:v>20</x:v>
      </x:c>
      <x:c r="I12861" s="0" t="s">
        <x:v>21</x:v>
      </x:c>
      <x:c r="K12861" s="0">
        <x:f>hyperlink("https://icd.who.int/dev11/l-ichi/en#/http%3A%2F%2Fid.who.int%2Ficd%2Fentity%2F766579120","browser")</x:f>
      </x:c>
      <x:c r="L12861" s="0">
        <x:f>hyperlink("https://icat2.azurewebsites.net/icat/?ontology=ICD&amp;tab=ClassesTab&amp;id=http%3A%2F%2Fwho.int%2Ficd%23SpecificAnatomicLocation_1476","iCat")</x:f>
      </x:c>
      <x:c r="M12861" s="0" t="s">
        <x:v>20</x:v>
      </x:c>
      <x:c r="N12861" s="0" t="s">
        <x:v>30</x:v>
      </x:c>
    </x:row>
    <x:row r="12862" spans="1:16">
      <x:c r="A12862" s="0" t="s">
        <x:v>49188</x:v>
      </x:c>
      <x:c r="B12862" s="0" t="s">
        <x:v>49189</x:v>
      </x:c>
      <x:c r="C12862" s="0" t="s">
        <x:v>42840</x:v>
      </x:c>
      <x:c r="E12862" s="0" t="s">
        <x:v>49190</x:v>
      </x:c>
      <x:c r="F12862" s="0" t="s">
        <x:v>45</x:v>
      </x:c>
      <x:c r="G12862" s="0" t="s">
        <x:v>40</x:v>
      </x:c>
      <x:c r="H12862" s="0" t="s">
        <x:v>20</x:v>
      </x:c>
      <x:c r="I12862" s="0" t="s">
        <x:v>21</x:v>
      </x:c>
      <x:c r="K12862" s="0">
        <x:f>hyperlink("https://icd.who.int/dev11/l-ichi/en#/http%3A%2F%2Fid.who.int%2Ficd%2Fentity%2F1299250003","browser")</x:f>
      </x:c>
      <x:c r="L12862" s="0">
        <x:f>hyperlink("https://icat2.azurewebsites.net/icat/?ontology=ICD&amp;tab=ClassesTab&amp;id=http%3A%2F%2Fwho.int%2Ficd%2310145_16e67c35_8b57_40bb_9220_818553425a8c","iCat")</x:f>
      </x:c>
      <x:c r="M12862" s="0" t="s">
        <x:v>21</x:v>
      </x:c>
      <x:c r="N12862" s="0" t="s">
        <x:v>46</x:v>
      </x:c>
    </x:row>
    <x:row r="12863" spans="1:16">
      <x:c r="A12863" s="0" t="s">
        <x:v>49191</x:v>
      </x:c>
      <x:c r="B12863" s="0" t="s">
        <x:v>49192</x:v>
      </x:c>
      <x:c r="C12863" s="0" t="s">
        <x:v>42840</x:v>
      </x:c>
      <x:c r="E12863" s="0" t="s">
        <x:v>49193</x:v>
      </x:c>
      <x:c r="F12863" s="0" t="s">
        <x:v>45</x:v>
      </x:c>
      <x:c r="G12863" s="0" t="s">
        <x:v>40</x:v>
      </x:c>
      <x:c r="H12863" s="0" t="s">
        <x:v>20</x:v>
      </x:c>
      <x:c r="I12863" s="0" t="s">
        <x:v>21</x:v>
      </x:c>
      <x:c r="K12863" s="0">
        <x:f>hyperlink("https://icd.who.int/dev11/l-ichi/en#/http%3A%2F%2Fid.who.int%2Ficd%2Fentity%2F1207786559","browser")</x:f>
      </x:c>
      <x:c r="L12863" s="0">
        <x:f>hyperlink("https://icat2.azurewebsites.net/icat/?ontology=ICD&amp;tab=ClassesTab&amp;id=http%3A%2F%2Fwho.int%2Ficd%2310164_16e67c35_8b57_40bb_9220_818553425a8c","iCat")</x:f>
      </x:c>
      <x:c r="M12863" s="0" t="s">
        <x:v>21</x:v>
      </x:c>
      <x:c r="N12863" s="0" t="s">
        <x:v>46</x:v>
      </x:c>
    </x:row>
    <x:row r="12864" spans="1:16">
      <x:c r="A12864" s="0" t="s">
        <x:v>49194</x:v>
      </x:c>
      <x:c r="B12864" s="0" t="s">
        <x:v>49195</x:v>
      </x:c>
      <x:c r="C12864" s="0" t="s">
        <x:v>42840</x:v>
      </x:c>
      <x:c r="E12864" s="0" t="s">
        <x:v>49196</x:v>
      </x:c>
      <x:c r="F12864" s="0" t="s">
        <x:v>45</x:v>
      </x:c>
      <x:c r="G12864" s="0" t="s">
        <x:v>22</x:v>
      </x:c>
      <x:c r="H12864" s="0" t="s">
        <x:v>20</x:v>
      </x:c>
      <x:c r="I12864" s="0" t="s">
        <x:v>21</x:v>
      </x:c>
      <x:c r="K12864" s="0">
        <x:f>hyperlink("https://icd.who.int/dev11/l-ichi/en#/http%3A%2F%2Fid.who.int%2Ficd%2Fentity%2F1598049072","browser")</x:f>
      </x:c>
      <x:c r="L12864" s="0">
        <x:f>hyperlink("https://icat2.azurewebsites.net/icat/?ontology=ICD&amp;tab=ClassesTab&amp;id=http%3A%2F%2Fwho.int%2Ficd%23SpecificAnatomicLocation_1470","iCat")</x:f>
      </x:c>
      <x:c r="M12864" s="0" t="s">
        <x:v>21</x:v>
      </x:c>
      <x:c r="N12864" s="0" t="s">
        <x:v>46</x:v>
      </x:c>
    </x:row>
    <x:row r="12865" spans="1:16">
      <x:c r="A12865" s="0" t="s">
        <x:v>49197</x:v>
      </x:c>
      <x:c r="B12865" s="0" t="s">
        <x:v>49198</x:v>
      </x:c>
      <x:c r="C12865" s="0" t="s">
        <x:v>42840</x:v>
      </x:c>
      <x:c r="E12865" s="0" t="s">
        <x:v>49199</x:v>
      </x:c>
      <x:c r="F12865" s="0" t="s">
        <x:v>45</x:v>
      </x:c>
      <x:c r="G12865" s="0" t="s">
        <x:v>22</x:v>
      </x:c>
      <x:c r="H12865" s="0" t="s">
        <x:v>20</x:v>
      </x:c>
      <x:c r="I12865" s="0" t="s">
        <x:v>21</x:v>
      </x:c>
      <x:c r="K12865" s="0">
        <x:f>hyperlink("https://icd.who.int/dev11/l-ichi/en#/http%3A%2F%2Fid.who.int%2Ficd%2Fentity%2F65132592","browser")</x:f>
      </x:c>
      <x:c r="L12865" s="0">
        <x:f>hyperlink("https://icat2.azurewebsites.net/icat/?ontology=ICD&amp;tab=ClassesTab&amp;id=http%3A%2F%2Fwho.int%2Ficd%23SpecificAnatomicLocation_1474","iCat")</x:f>
      </x:c>
      <x:c r="M12865" s="0" t="s">
        <x:v>21</x:v>
      </x:c>
      <x:c r="N12865" s="0" t="s">
        <x:v>46</x:v>
      </x:c>
    </x:row>
    <x:row r="12866" spans="1:16">
      <x:c r="A12866" s="0" t="s">
        <x:v>49200</x:v>
      </x:c>
      <x:c r="B12866" s="0" t="s">
        <x:v>49201</x:v>
      </x:c>
      <x:c r="C12866" s="0" t="s">
        <x:v>42840</x:v>
      </x:c>
      <x:c r="E12866" s="0" t="s">
        <x:v>49202</x:v>
      </x:c>
      <x:c r="F12866" s="0" t="s">
        <x:v>45</x:v>
      </x:c>
      <x:c r="G12866" s="0" t="s">
        <x:v>22</x:v>
      </x:c>
      <x:c r="H12866" s="0" t="s">
        <x:v>20</x:v>
      </x:c>
      <x:c r="I12866" s="0" t="s">
        <x:v>21</x:v>
      </x:c>
      <x:c r="K12866" s="0">
        <x:f>hyperlink("https://icd.who.int/dev11/l-ichi/en#/http%3A%2F%2Fid.who.int%2Ficd%2Fentity%2F1715005040","browser")</x:f>
      </x:c>
      <x:c r="L12866" s="0">
        <x:f>hyperlink("https://icat2.azurewebsites.net/icat/?ontology=ICD&amp;tab=ClassesTab&amp;id=http%3A%2F%2Fwho.int%2Ficd%23SpecificAnatomicLocation_1473","iCat")</x:f>
      </x:c>
      <x:c r="M12866" s="0" t="s">
        <x:v>21</x:v>
      </x:c>
      <x:c r="N12866" s="0" t="s">
        <x:v>46</x:v>
      </x:c>
    </x:row>
    <x:row r="12867" spans="1:16">
      <x:c r="A12867" s="0" t="s">
        <x:v>49203</x:v>
      </x:c>
      <x:c r="B12867" s="0" t="s">
        <x:v>49204</x:v>
      </x:c>
      <x:c r="C12867" s="0" t="s">
        <x:v>42840</x:v>
      </x:c>
      <x:c r="E12867" s="0" t="s">
        <x:v>49205</x:v>
      </x:c>
      <x:c r="F12867" s="0" t="s">
        <x:v>45</x:v>
      </x:c>
      <x:c r="G12867" s="0" t="s">
        <x:v>22</x:v>
      </x:c>
      <x:c r="H12867" s="0" t="s">
        <x:v>20</x:v>
      </x:c>
      <x:c r="I12867" s="0" t="s">
        <x:v>21</x:v>
      </x:c>
      <x:c r="K12867" s="0">
        <x:f>hyperlink("https://icd.who.int/dev11/l-ichi/en#/http%3A%2F%2Fid.who.int%2Ficd%2Fentity%2F1896907440","browser")</x:f>
      </x:c>
      <x:c r="L12867" s="0">
        <x:f>hyperlink("https://icat2.azurewebsites.net/icat/?ontology=ICD&amp;tab=ClassesTab&amp;id=http%3A%2F%2Fwho.int%2Ficd%23SpecificAnatomicLocation_1472","iCat")</x:f>
      </x:c>
      <x:c r="M12867" s="0" t="s">
        <x:v>21</x:v>
      </x:c>
      <x:c r="N12867" s="0" t="s">
        <x:v>46</x:v>
      </x:c>
    </x:row>
    <x:row r="12868" spans="1:16">
      <x:c r="A12868" s="0" t="s">
        <x:v>49206</x:v>
      </x:c>
      <x:c r="B12868" s="0" t="s">
        <x:v>49207</x:v>
      </x:c>
      <x:c r="C12868" s="0" t="s">
        <x:v>42840</x:v>
      </x:c>
      <x:c r="E12868" s="0" t="s">
        <x:v>49208</x:v>
      </x:c>
      <x:c r="F12868" s="0" t="s">
        <x:v>45</x:v>
      </x:c>
      <x:c r="G12868" s="0" t="s">
        <x:v>22</x:v>
      </x:c>
      <x:c r="H12868" s="0" t="s">
        <x:v>20</x:v>
      </x:c>
      <x:c r="I12868" s="0" t="s">
        <x:v>21</x:v>
      </x:c>
      <x:c r="K12868" s="0">
        <x:f>hyperlink("https://icd.who.int/dev11/l-ichi/en#/http%3A%2F%2Fid.who.int%2Ficd%2Fentity%2F348765424","browser")</x:f>
      </x:c>
      <x:c r="L12868" s="0">
        <x:f>hyperlink("https://icat2.azurewebsites.net/icat/?ontology=ICD&amp;tab=ClassesTab&amp;id=http%3A%2F%2Fwho.int%2Ficd%23SpecificAnatomicLocation_1475","iCat")</x:f>
      </x:c>
      <x:c r="M12868" s="0" t="s">
        <x:v>21</x:v>
      </x:c>
      <x:c r="N12868" s="0" t="s">
        <x:v>46</x:v>
      </x:c>
    </x:row>
    <x:row r="12869" spans="1:16">
      <x:c r="A12869" s="0" t="s">
        <x:v>49209</x:v>
      </x:c>
      <x:c r="B12869" s="0" t="s">
        <x:v>49210</x:v>
      </x:c>
      <x:c r="C12869" s="0" t="s">
        <x:v>42840</x:v>
      </x:c>
      <x:c r="E12869" s="0" t="s">
        <x:v>49211</x:v>
      </x:c>
      <x:c r="F12869" s="0" t="s">
        <x:v>45</x:v>
      </x:c>
      <x:c r="G12869" s="0" t="s">
        <x:v>22</x:v>
      </x:c>
      <x:c r="H12869" s="0" t="s">
        <x:v>20</x:v>
      </x:c>
      <x:c r="I12869" s="0" t="s">
        <x:v>21</x:v>
      </x:c>
      <x:c r="K12869" s="0">
        <x:f>hyperlink("https://icd.who.int/dev11/l-ichi/en#/http%3A%2F%2Fid.who.int%2Ficd%2Fentity%2F1214787568","browser")</x:f>
      </x:c>
      <x:c r="L12869" s="0">
        <x:f>hyperlink("https://icat2.azurewebsites.net/icat/?ontology=ICD&amp;tab=ClassesTab&amp;id=http%3A%2F%2Fwho.int%2Ficd%23SpecificAnatomicLocation_1471","iCat")</x:f>
      </x:c>
      <x:c r="M12869" s="0" t="s">
        <x:v>21</x:v>
      </x:c>
      <x:c r="N12869" s="0" t="s">
        <x:v>46</x:v>
      </x:c>
    </x:row>
    <x:row r="12870" spans="1:16">
      <x:c r="A12870" s="0" t="s">
        <x:v>49212</x:v>
      </x:c>
      <x:c r="B12870" s="0" t="s">
        <x:v>49213</x:v>
      </x:c>
      <x:c r="C12870" s="0" t="s">
        <x:v>42840</x:v>
      </x:c>
      <x:c r="E12870" s="0" t="s">
        <x:v>49214</x:v>
      </x:c>
      <x:c r="F12870" s="0" t="s">
        <x:v>45</x:v>
      </x:c>
      <x:c r="G12870" s="0" t="s">
        <x:v>35</x:v>
      </x:c>
      <x:c r="H12870" s="0" t="s">
        <x:v>20</x:v>
      </x:c>
      <x:c r="I12870" s="0" t="s">
        <x:v>21</x:v>
      </x:c>
      <x:c r="K12870" s="0">
        <x:f>hyperlink("https://icd.who.int/dev11/l-ichi/en#/http%3A%2F%2Fid.who.int%2Ficd%2Fentity%2F435983056","browser")</x:f>
      </x:c>
      <x:c r="L12870" s="0">
        <x:f>hyperlink("https://icat2.azurewebsites.net/icat/?ontology=ICD&amp;tab=ClassesTab&amp;id=http%3A%2F%2Fwho.int%2Ficd%23SpecificAnatomicLocation_1478","iCat")</x:f>
      </x:c>
      <x:c r="M12870" s="0" t="s">
        <x:v>21</x:v>
      </x:c>
      <x:c r="N12870" s="0" t="s">
        <x:v>46</x:v>
      </x:c>
    </x:row>
    <x:row r="12871" spans="1:16">
      <x:c r="A12871" s="0" t="s">
        <x:v>49215</x:v>
      </x:c>
      <x:c r="B12871" s="0" t="s">
        <x:v>49216</x:v>
      </x:c>
      <x:c r="C12871" s="0" t="s">
        <x:v>42840</x:v>
      </x:c>
      <x:c r="E12871" s="0" t="s">
        <x:v>49217</x:v>
      </x:c>
      <x:c r="F12871" s="0" t="s">
        <x:v>45</x:v>
      </x:c>
      <x:c r="G12871" s="0" t="s">
        <x:v>35</x:v>
      </x:c>
      <x:c r="H12871" s="0" t="s">
        <x:v>20</x:v>
      </x:c>
      <x:c r="I12871" s="0" t="s">
        <x:v>21</x:v>
      </x:c>
      <x:c r="K12871" s="0">
        <x:f>hyperlink("https://icd.who.int/dev11/l-ichi/en#/http%3A%2F%2Fid.who.int%2Ficd%2Fentity%2F520825881","browser")</x:f>
      </x:c>
      <x:c r="L12871" s="0">
        <x:f>hyperlink("https://icat2.azurewebsites.net/icat/?ontology=ICD&amp;tab=ClassesTab&amp;id=http%3A%2F%2Fwho.int%2Ficd%23SpecificAnatomicLocation_1484","iCat")</x:f>
      </x:c>
      <x:c r="M12871" s="0" t="s">
        <x:v>20</x:v>
      </x:c>
      <x:c r="N12871" s="0" t="s">
        <x:v>206</x:v>
      </x:c>
    </x:row>
    <x:row r="12872" spans="1:16">
      <x:c r="A12872" s="0" t="s">
        <x:v>49218</x:v>
      </x:c>
      <x:c r="B12872" s="0" t="s">
        <x:v>49219</x:v>
      </x:c>
      <x:c r="C12872" s="0" t="s">
        <x:v>42840</x:v>
      </x:c>
      <x:c r="E12872" s="0" t="s">
        <x:v>49220</x:v>
      </x:c>
      <x:c r="F12872" s="0" t="s">
        <x:v>45</x:v>
      </x:c>
      <x:c r="G12872" s="0" t="s">
        <x:v>22</x:v>
      </x:c>
      <x:c r="H12872" s="0" t="s">
        <x:v>20</x:v>
      </x:c>
      <x:c r="I12872" s="0" t="s">
        <x:v>21</x:v>
      </x:c>
      <x:c r="K12872" s="0">
        <x:f>hyperlink("https://icd.who.int/dev11/l-ichi/en#/http%3A%2F%2Fid.who.int%2Ficd%2Fentity%2F248837648","browser")</x:f>
      </x:c>
      <x:c r="L12872" s="0">
        <x:f>hyperlink("https://icat2.azurewebsites.net/icat/?ontology=ICD&amp;tab=ClassesTab&amp;id=http%3A%2F%2Fwho.int%2Ficd%23SpecificAnatomicLocation_1479","iCat")</x:f>
      </x:c>
      <x:c r="M12872" s="0" t="s">
        <x:v>20</x:v>
      </x:c>
      <x:c r="N12872" s="0" t="s">
        <x:v>30</x:v>
      </x:c>
    </x:row>
    <x:row r="12873" spans="1:16">
      <x:c r="A12873" s="0" t="s">
        <x:v>49221</x:v>
      </x:c>
      <x:c r="B12873" s="0" t="s">
        <x:v>49222</x:v>
      </x:c>
      <x:c r="C12873" s="0" t="s">
        <x:v>42840</x:v>
      </x:c>
      <x:c r="E12873" s="0" t="s">
        <x:v>49223</x:v>
      </x:c>
      <x:c r="F12873" s="0" t="s">
        <x:v>45</x:v>
      </x:c>
      <x:c r="G12873" s="0" t="s">
        <x:v>40</x:v>
      </x:c>
      <x:c r="H12873" s="0" t="s">
        <x:v>20</x:v>
      </x:c>
      <x:c r="I12873" s="0" t="s">
        <x:v>21</x:v>
      </x:c>
      <x:c r="K12873" s="0">
        <x:f>hyperlink("https://icd.who.int/dev11/l-ichi/en#/http%3A%2F%2Fid.who.int%2Ficd%2Fentity%2F945934160","browser")</x:f>
      </x:c>
      <x:c r="L12873" s="0">
        <x:f>hyperlink("https://icat2.azurewebsites.net/icat/?ontology=ICD&amp;tab=ClassesTab&amp;id=http%3A%2F%2Fwho.int%2Ficd%2310192_16e67c35_8b57_40bb_9220_818553425a8c","iCat")</x:f>
      </x:c>
      <x:c r="M12873" s="0" t="s">
        <x:v>21</x:v>
      </x:c>
      <x:c r="N12873" s="0" t="s">
        <x:v>46</x:v>
      </x:c>
    </x:row>
    <x:row r="12874" spans="1:16">
      <x:c r="A12874" s="0" t="s">
        <x:v>49224</x:v>
      </x:c>
      <x:c r="B12874" s="0" t="s">
        <x:v>49225</x:v>
      </x:c>
      <x:c r="C12874" s="0" t="s">
        <x:v>42840</x:v>
      </x:c>
      <x:c r="E12874" s="0" t="s">
        <x:v>49226</x:v>
      </x:c>
      <x:c r="F12874" s="0" t="s">
        <x:v>45</x:v>
      </x:c>
      <x:c r="G12874" s="0" t="s">
        <x:v>40</x:v>
      </x:c>
      <x:c r="H12874" s="0" t="s">
        <x:v>20</x:v>
      </x:c>
      <x:c r="I12874" s="0" t="s">
        <x:v>21</x:v>
      </x:c>
      <x:c r="K12874" s="0">
        <x:f>hyperlink("https://icd.who.int/dev11/l-ichi/en#/http%3A%2F%2Fid.who.int%2Ficd%2Fentity%2F1175397069","browser")</x:f>
      </x:c>
      <x:c r="L12874" s="0">
        <x:f>hyperlink("https://icat2.azurewebsites.net/icat/?ontology=ICD&amp;tab=ClassesTab&amp;id=http%3A%2F%2Fwho.int%2Ficd%2310212_16e67c35_8b57_40bb_9220_818553425a8c","iCat")</x:f>
      </x:c>
      <x:c r="M12874" s="0" t="s">
        <x:v>21</x:v>
      </x:c>
      <x:c r="N12874" s="0" t="s">
        <x:v>46</x:v>
      </x:c>
    </x:row>
    <x:row r="12875" spans="1:16">
      <x:c r="A12875" s="0" t="s">
        <x:v>49227</x:v>
      </x:c>
      <x:c r="B12875" s="0" t="s">
        <x:v>49228</x:v>
      </x:c>
      <x:c r="C12875" s="0" t="s">
        <x:v>42840</x:v>
      </x:c>
      <x:c r="E12875" s="0" t="s">
        <x:v>49229</x:v>
      </x:c>
      <x:c r="F12875" s="0" t="s">
        <x:v>45</x:v>
      </x:c>
      <x:c r="G12875" s="0" t="s">
        <x:v>22</x:v>
      </x:c>
      <x:c r="H12875" s="0" t="s">
        <x:v>20</x:v>
      </x:c>
      <x:c r="I12875" s="0" t="s">
        <x:v>21</x:v>
      </x:c>
      <x:c r="K12875" s="0">
        <x:f>hyperlink("https://icd.who.int/dev11/l-ichi/en#/http%3A%2F%2Fid.who.int%2Ficd%2Fentity%2F1845130905","browser")</x:f>
      </x:c>
      <x:c r="L12875" s="0">
        <x:f>hyperlink("https://icat2.azurewebsites.net/icat/?ontology=ICD&amp;tab=ClassesTab&amp;id=http%3A%2F%2Fwho.int%2Ficd%23SpecificAnatomicLocation_1482","iCat")</x:f>
      </x:c>
      <x:c r="M12875" s="0" t="s">
        <x:v>21</x:v>
      </x:c>
      <x:c r="N12875" s="0" t="s">
        <x:v>46</x:v>
      </x:c>
    </x:row>
    <x:row r="12876" spans="1:16">
      <x:c r="A12876" s="0" t="s">
        <x:v>49230</x:v>
      </x:c>
      <x:c r="B12876" s="0" t="s">
        <x:v>49231</x:v>
      </x:c>
      <x:c r="C12876" s="0" t="s">
        <x:v>42840</x:v>
      </x:c>
      <x:c r="E12876" s="0" t="s">
        <x:v>49232</x:v>
      </x:c>
      <x:c r="F12876" s="0" t="s">
        <x:v>45</x:v>
      </x:c>
      <x:c r="G12876" s="0" t="s">
        <x:v>22</x:v>
      </x:c>
      <x:c r="H12876" s="0" t="s">
        <x:v>20</x:v>
      </x:c>
      <x:c r="I12876" s="0" t="s">
        <x:v>21</x:v>
      </x:c>
      <x:c r="K12876" s="0">
        <x:f>hyperlink("https://icd.who.int/dev11/l-ichi/en#/http%3A%2F%2Fid.who.int%2Ficd%2Fentity%2F1135263513","browser")</x:f>
      </x:c>
      <x:c r="L12876" s="0">
        <x:f>hyperlink("https://icat2.azurewebsites.net/icat/?ontology=ICD&amp;tab=ClassesTab&amp;id=http%3A%2F%2Fwho.int%2Ficd%23SpecificAnatomicLocation_1480","iCat")</x:f>
      </x:c>
      <x:c r="M12876" s="0" t="s">
        <x:v>21</x:v>
      </x:c>
      <x:c r="N12876" s="0" t="s">
        <x:v>46</x:v>
      </x:c>
    </x:row>
    <x:row r="12877" spans="1:16">
      <x:c r="A12877" s="0" t="s">
        <x:v>49233</x:v>
      </x:c>
      <x:c r="B12877" s="0" t="s">
        <x:v>49234</x:v>
      </x:c>
      <x:c r="C12877" s="0" t="s">
        <x:v>42840</x:v>
      </x:c>
      <x:c r="E12877" s="0" t="s">
        <x:v>49235</x:v>
      </x:c>
      <x:c r="F12877" s="0" t="s">
        <x:v>45</x:v>
      </x:c>
      <x:c r="G12877" s="0" t="s">
        <x:v>22</x:v>
      </x:c>
      <x:c r="H12877" s="0" t="s">
        <x:v>20</x:v>
      </x:c>
      <x:c r="I12877" s="0" t="s">
        <x:v>21</x:v>
      </x:c>
      <x:c r="K12877" s="0">
        <x:f>hyperlink("https://icd.who.int/dev11/l-ichi/en#/http%3A%2F%2Fid.who.int%2Ficd%2Fentity%2F1417862105","browser")</x:f>
      </x:c>
      <x:c r="L12877" s="0">
        <x:f>hyperlink("https://icat2.azurewebsites.net/icat/?ontology=ICD&amp;tab=ClassesTab&amp;id=http%3A%2F%2Fwho.int%2Ficd%23SpecificAnatomicLocation_1481","iCat")</x:f>
      </x:c>
      <x:c r="M12877" s="0" t="s">
        <x:v>21</x:v>
      </x:c>
      <x:c r="N12877" s="0" t="s">
        <x:v>46</x:v>
      </x:c>
    </x:row>
    <x:row r="12878" spans="1:16">
      <x:c r="A12878" s="0" t="s">
        <x:v>49236</x:v>
      </x:c>
      <x:c r="B12878" s="0" t="s">
        <x:v>49237</x:v>
      </x:c>
      <x:c r="C12878" s="0" t="s">
        <x:v>42840</x:v>
      </x:c>
      <x:c r="E12878" s="0" t="s">
        <x:v>49238</x:v>
      </x:c>
      <x:c r="F12878" s="0" t="s">
        <x:v>45</x:v>
      </x:c>
      <x:c r="G12878" s="0" t="s">
        <x:v>22</x:v>
      </x:c>
      <x:c r="H12878" s="0" t="s">
        <x:v>20</x:v>
      </x:c>
      <x:c r="I12878" s="0" t="s">
        <x:v>21</x:v>
      </x:c>
      <x:c r="K12878" s="0">
        <x:f>hyperlink("https://icd.who.int/dev11/l-ichi/en#/http%3A%2F%2Fid.who.int%2Ficd%2Fentity%2F2060587609","browser")</x:f>
      </x:c>
      <x:c r="L12878" s="0">
        <x:f>hyperlink("https://icat2.azurewebsites.net/icat/?ontology=ICD&amp;tab=ClassesTab&amp;id=http%3A%2F%2Fwho.int%2Ficd%23SpecificAnatomicLocation_1483","iCat")</x:f>
      </x:c>
      <x:c r="M12878" s="0" t="s">
        <x:v>21</x:v>
      </x:c>
      <x:c r="N12878" s="0" t="s">
        <x:v>46</x:v>
      </x:c>
    </x:row>
    <x:row r="12879" spans="1:16">
      <x:c r="A12879" s="0" t="s">
        <x:v>49239</x:v>
      </x:c>
      <x:c r="B12879" s="0" t="s">
        <x:v>49240</x:v>
      </x:c>
      <x:c r="C12879" s="0" t="s">
        <x:v>42840</x:v>
      </x:c>
      <x:c r="E12879" s="0" t="s">
        <x:v>49241</x:v>
      </x:c>
      <x:c r="F12879" s="0" t="s">
        <x:v>45</x:v>
      </x:c>
      <x:c r="G12879" s="0" t="s">
        <x:v>22</x:v>
      </x:c>
      <x:c r="H12879" s="0" t="s">
        <x:v>20</x:v>
      </x:c>
      <x:c r="I12879" s="0" t="s">
        <x:v>21</x:v>
      </x:c>
      <x:c r="K12879" s="0">
        <x:f>hyperlink("https://icd.who.int/dev11/l-ichi/en#/http%3A%2F%2Fid.who.int%2Ficd%2Fentity%2F1907436090","browser")</x:f>
      </x:c>
      <x:c r="L12879" s="0">
        <x:f>hyperlink("https://icat2.azurewebsites.net/icat/?ontology=ICD&amp;tab=ClassesTab&amp;id=http%3A%2F%2Fwho.int%2Ficd%2393473_735007d5_2555_4eb5_a762_282e008a1468","iCat")</x:f>
      </x:c>
      <x:c r="M12879" s="0" t="s">
        <x:v>21</x:v>
      </x:c>
      <x:c r="N12879" s="0" t="s">
        <x:v>46</x:v>
      </x:c>
    </x:row>
    <x:row r="12880" spans="1:16">
      <x:c r="A12880" s="0" t="s">
        <x:v>49242</x:v>
      </x:c>
      <x:c r="B12880" s="0" t="s">
        <x:v>49243</x:v>
      </x:c>
      <x:c r="C12880" s="0" t="s">
        <x:v>42840</x:v>
      </x:c>
      <x:c r="E12880" s="0" t="s">
        <x:v>49244</x:v>
      </x:c>
      <x:c r="F12880" s="0" t="s">
        <x:v>45</x:v>
      </x:c>
      <x:c r="G12880" s="0" t="s">
        <x:v>35</x:v>
      </x:c>
      <x:c r="H12880" s="0" t="s">
        <x:v>20</x:v>
      </x:c>
      <x:c r="I12880" s="0" t="s">
        <x:v>21</x:v>
      </x:c>
      <x:c r="K12880" s="0">
        <x:f>hyperlink("https://icd.who.int/dev11/l-ichi/en#/http%3A%2F%2Fid.who.int%2Ficd%2Fentity%2F85354215","browser")</x:f>
      </x:c>
      <x:c r="L12880" s="0">
        <x:f>hyperlink("https://icat2.azurewebsites.net/icat/?ontology=ICD&amp;tab=ClassesTab&amp;id=http%3A%2F%2Fwho.int%2Ficd%23SpecificAnatomicLocation_1488","iCat")</x:f>
      </x:c>
      <x:c r="M12880" s="0" t="s">
        <x:v>20</x:v>
      </x:c>
      <x:c r="N12880" s="0" t="s">
        <x:v>35</x:v>
      </x:c>
    </x:row>
    <x:row r="12881" spans="1:16">
      <x:c r="A12881" s="0" t="s">
        <x:v>49245</x:v>
      </x:c>
      <x:c r="B12881" s="0" t="s">
        <x:v>49246</x:v>
      </x:c>
      <x:c r="C12881" s="0" t="s">
        <x:v>42840</x:v>
      </x:c>
      <x:c r="E12881" s="0" t="s">
        <x:v>49247</x:v>
      </x:c>
      <x:c r="F12881" s="0" t="s">
        <x:v>45</x:v>
      </x:c>
      <x:c r="G12881" s="0" t="s">
        <x:v>22</x:v>
      </x:c>
      <x:c r="H12881" s="0" t="s">
        <x:v>20</x:v>
      </x:c>
      <x:c r="I12881" s="0" t="s">
        <x:v>21</x:v>
      </x:c>
      <x:c r="K12881" s="0">
        <x:f>hyperlink("https://icd.who.int/dev11/l-ichi/en#/http%3A%2F%2Fid.who.int%2Ficd%2Fentity%2F136530137","browser")</x:f>
      </x:c>
      <x:c r="L12881" s="0">
        <x:f>hyperlink("https://icat2.azurewebsites.net/icat/?ontology=ICD&amp;tab=ClassesTab&amp;id=http%3A%2F%2Fwho.int%2Ficd%23SpecificAnatomicLocation_1485","iCat")</x:f>
      </x:c>
      <x:c r="M12881" s="0" t="s">
        <x:v>21</x:v>
      </x:c>
      <x:c r="N12881" s="0" t="s">
        <x:v>46</x:v>
      </x:c>
    </x:row>
    <x:row r="12882" spans="1:16">
      <x:c r="A12882" s="0" t="s">
        <x:v>49248</x:v>
      </x:c>
      <x:c r="B12882" s="0" t="s">
        <x:v>49249</x:v>
      </x:c>
      <x:c r="C12882" s="0" t="s">
        <x:v>42840</x:v>
      </x:c>
      <x:c r="E12882" s="0" t="s">
        <x:v>49250</x:v>
      </x:c>
      <x:c r="F12882" s="0" t="s">
        <x:v>45</x:v>
      </x:c>
      <x:c r="G12882" s="0" t="s">
        <x:v>22</x:v>
      </x:c>
      <x:c r="H12882" s="0" t="s">
        <x:v>20</x:v>
      </x:c>
      <x:c r="I12882" s="0" t="s">
        <x:v>21</x:v>
      </x:c>
      <x:c r="K12882" s="0">
        <x:f>hyperlink("https://icd.who.int/dev11/l-ichi/en#/http%3A%2F%2Fid.who.int%2Ficd%2Fentity%2F828106137","browser")</x:f>
      </x:c>
      <x:c r="L12882" s="0">
        <x:f>hyperlink("https://icat2.azurewebsites.net/icat/?ontology=ICD&amp;tab=ClassesTab&amp;id=http%3A%2F%2Fwho.int%2Ficd%23SpecificAnatomicLocation_1486","iCat")</x:f>
      </x:c>
      <x:c r="M12882" s="0" t="s">
        <x:v>21</x:v>
      </x:c>
      <x:c r="N12882" s="0" t="s">
        <x:v>46</x:v>
      </x:c>
    </x:row>
    <x:row r="12883" spans="1:16">
      <x:c r="A12883" s="0" t="s">
        <x:v>49251</x:v>
      </x:c>
      <x:c r="B12883" s="0" t="s">
        <x:v>49252</x:v>
      </x:c>
      <x:c r="C12883" s="0" t="s">
        <x:v>42840</x:v>
      </x:c>
      <x:c r="E12883" s="0" t="s">
        <x:v>49253</x:v>
      </x:c>
      <x:c r="F12883" s="0" t="s">
        <x:v>45</x:v>
      </x:c>
      <x:c r="G12883" s="0" t="s">
        <x:v>22</x:v>
      </x:c>
      <x:c r="H12883" s="0" t="s">
        <x:v>20</x:v>
      </x:c>
      <x:c r="I12883" s="0" t="s">
        <x:v>21</x:v>
      </x:c>
      <x:c r="K12883" s="0">
        <x:f>hyperlink("https://icd.who.int/dev11/l-ichi/en#/http%3A%2F%2Fid.who.int%2Ficd%2Fentity%2F645103961","browser")</x:f>
      </x:c>
      <x:c r="L12883" s="0">
        <x:f>hyperlink("https://icat2.azurewebsites.net/icat/?ontology=ICD&amp;tab=ClassesTab&amp;id=http%3A%2F%2Fwho.int%2Ficd%23SpecificAnatomicLocation_1487","iCat")</x:f>
      </x:c>
      <x:c r="M12883" s="0" t="s">
        <x:v>21</x:v>
      </x:c>
      <x:c r="N12883" s="0" t="s">
        <x:v>46</x:v>
      </x:c>
    </x:row>
    <x:row r="12884" spans="1:16">
      <x:c r="A12884" s="0" t="s">
        <x:v>49254</x:v>
      </x:c>
      <x:c r="B12884" s="0" t="s">
        <x:v>49255</x:v>
      </x:c>
      <x:c r="C12884" s="0" t="s">
        <x:v>42840</x:v>
      </x:c>
      <x:c r="E12884" s="0" t="s">
        <x:v>49256</x:v>
      </x:c>
      <x:c r="F12884" s="0" t="s">
        <x:v>45</x:v>
      </x:c>
      <x:c r="G12884" s="0" t="s">
        <x:v>35</x:v>
      </x:c>
      <x:c r="H12884" s="0" t="s">
        <x:v>20</x:v>
      </x:c>
      <x:c r="I12884" s="0" t="s">
        <x:v>21</x:v>
      </x:c>
      <x:c r="K12884" s="0">
        <x:f>hyperlink("https://icd.who.int/dev11/l-ichi/en#/http%3A%2F%2Fid.who.int%2Ficd%2Fentity%2F1491791024","browser")</x:f>
      </x:c>
      <x:c r="L12884" s="0">
        <x:f>hyperlink("https://icat2.azurewebsites.net/icat/?ontology=ICD&amp;tab=ClassesTab&amp;id=http%3A%2F%2Fwho.int%2Ficd%23SpecificAnatomicLocation_1502","iCat")</x:f>
      </x:c>
      <x:c r="M12884" s="0" t="s">
        <x:v>20</x:v>
      </x:c>
      <x:c r="N12884" s="0" t="s">
        <x:v>36</x:v>
      </x:c>
    </x:row>
    <x:row r="12885" spans="1:16">
      <x:c r="A12885" s="0" t="s">
        <x:v>49257</x:v>
      </x:c>
      <x:c r="B12885" s="0" t="s">
        <x:v>49258</x:v>
      </x:c>
      <x:c r="C12885" s="0" t="s">
        <x:v>42840</x:v>
      </x:c>
      <x:c r="E12885" s="0" t="s">
        <x:v>49259</x:v>
      </x:c>
      <x:c r="F12885" s="0" t="s">
        <x:v>45</x:v>
      </x:c>
      <x:c r="G12885" s="0" t="s">
        <x:v>22</x:v>
      </x:c>
      <x:c r="H12885" s="0" t="s">
        <x:v>20</x:v>
      </x:c>
      <x:c r="I12885" s="0" t="s">
        <x:v>21</x:v>
      </x:c>
      <x:c r="K12885" s="0">
        <x:f>hyperlink("https://icd.who.int/dev11/l-ichi/en#/http%3A%2F%2Fid.who.int%2Ficd%2Fentity%2F710426882","browser")</x:f>
      </x:c>
      <x:c r="L12885" s="0">
        <x:f>hyperlink("https://icat2.azurewebsites.net/icat/?ontology=ICD&amp;tab=ClassesTab&amp;id=http%3A%2F%2Fwho.int%2Ficd%23SpecificAnatomicLocation_1491","iCat")</x:f>
      </x:c>
      <x:c r="M12885" s="0" t="s">
        <x:v>20</x:v>
      </x:c>
      <x:c r="N12885" s="0" t="s">
        <x:v>30</x:v>
      </x:c>
    </x:row>
    <x:row r="12886" spans="1:16">
      <x:c r="A12886" s="0" t="s">
        <x:v>49260</x:v>
      </x:c>
      <x:c r="B12886" s="0" t="s">
        <x:v>49261</x:v>
      </x:c>
      <x:c r="C12886" s="0" t="s">
        <x:v>42840</x:v>
      </x:c>
      <x:c r="E12886" s="0" t="s">
        <x:v>49262</x:v>
      </x:c>
      <x:c r="F12886" s="0" t="s">
        <x:v>45</x:v>
      </x:c>
      <x:c r="G12886" s="0" t="s">
        <x:v>40</x:v>
      </x:c>
      <x:c r="H12886" s="0" t="s">
        <x:v>20</x:v>
      </x:c>
      <x:c r="I12886" s="0" t="s">
        <x:v>21</x:v>
      </x:c>
      <x:c r="K12886" s="0">
        <x:f>hyperlink("https://icd.who.int/dev11/l-ichi/en#/http%3A%2F%2Fid.who.int%2Ficd%2Fentity%2F306053671","browser")</x:f>
      </x:c>
      <x:c r="L12886" s="0">
        <x:f>hyperlink("https://icat2.azurewebsites.net/icat/?ontology=ICD&amp;tab=ClassesTab&amp;id=http%3A%2F%2Fwho.int%2Ficd%23SpecificAnatomicLocation_1489","iCat")</x:f>
      </x:c>
      <x:c r="M12886" s="0" t="s">
        <x:v>21</x:v>
      </x:c>
      <x:c r="N12886" s="0" t="s">
        <x:v>46</x:v>
      </x:c>
    </x:row>
    <x:row r="12887" spans="1:16">
      <x:c r="A12887" s="0" t="s">
        <x:v>49263</x:v>
      </x:c>
      <x:c r="B12887" s="0" t="s">
        <x:v>49264</x:v>
      </x:c>
      <x:c r="C12887" s="0" t="s">
        <x:v>42840</x:v>
      </x:c>
      <x:c r="E12887" s="0" t="s">
        <x:v>49265</x:v>
      </x:c>
      <x:c r="F12887" s="0" t="s">
        <x:v>45</x:v>
      </x:c>
      <x:c r="G12887" s="0" t="s">
        <x:v>40</x:v>
      </x:c>
      <x:c r="H12887" s="0" t="s">
        <x:v>20</x:v>
      </x:c>
      <x:c r="I12887" s="0" t="s">
        <x:v>21</x:v>
      </x:c>
      <x:c r="K12887" s="0">
        <x:f>hyperlink("https://icd.who.int/dev11/l-ichi/en#/http%3A%2F%2Fid.who.int%2Ficd%2Fentity%2F1030759874","browser")</x:f>
      </x:c>
      <x:c r="L12887" s="0">
        <x:f>hyperlink("https://icat2.azurewebsites.net/icat/?ontology=ICD&amp;tab=ClassesTab&amp;id=http%3A%2F%2Fwho.int%2Ficd%23SpecificAnatomicLocation_1490","iCat")</x:f>
      </x:c>
      <x:c r="M12887" s="0" t="s">
        <x:v>21</x:v>
      </x:c>
      <x:c r="N12887" s="0" t="s">
        <x:v>46</x:v>
      </x:c>
    </x:row>
    <x:row r="12888" spans="1:16">
      <x:c r="A12888" s="0" t="s">
        <x:v>49266</x:v>
      </x:c>
      <x:c r="B12888" s="0" t="s">
        <x:v>49267</x:v>
      </x:c>
      <x:c r="C12888" s="0" t="s">
        <x:v>42840</x:v>
      </x:c>
      <x:c r="E12888" s="0" t="s">
        <x:v>49268</x:v>
      </x:c>
      <x:c r="F12888" s="0" t="s">
        <x:v>45</x:v>
      </x:c>
      <x:c r="G12888" s="0" t="s">
        <x:v>22</x:v>
      </x:c>
      <x:c r="H12888" s="0" t="s">
        <x:v>20</x:v>
      </x:c>
      <x:c r="I12888" s="0" t="s">
        <x:v>21</x:v>
      </x:c>
      <x:c r="K12888" s="0">
        <x:f>hyperlink("https://icd.who.int/dev11/l-ichi/en#/http%3A%2F%2Fid.who.int%2Ficd%2Fentity%2F1996083714","browser")</x:f>
      </x:c>
      <x:c r="L12888" s="0">
        <x:f>hyperlink("https://icat2.azurewebsites.net/icat/?ontology=ICD&amp;tab=ClassesTab&amp;id=http%3A%2F%2Fwho.int%2Ficd%23SpecificAnatomicLocation_1495","iCat")</x:f>
      </x:c>
      <x:c r="M12888" s="0" t="s">
        <x:v>20</x:v>
      </x:c>
      <x:c r="N12888" s="0" t="s">
        <x:v>35</x:v>
      </x:c>
    </x:row>
    <x:row r="12889" spans="1:16">
      <x:c r="A12889" s="0" t="s">
        <x:v>49269</x:v>
      </x:c>
      <x:c r="B12889" s="0" t="s">
        <x:v>49270</x:v>
      </x:c>
      <x:c r="C12889" s="0" t="s">
        <x:v>42840</x:v>
      </x:c>
      <x:c r="E12889" s="0" t="s">
        <x:v>49271</x:v>
      </x:c>
      <x:c r="F12889" s="0" t="s">
        <x:v>45</x:v>
      </x:c>
      <x:c r="G12889" s="0" t="s">
        <x:v>40</x:v>
      </x:c>
      <x:c r="H12889" s="0" t="s">
        <x:v>20</x:v>
      </x:c>
      <x:c r="I12889" s="0" t="s">
        <x:v>21</x:v>
      </x:c>
      <x:c r="K12889" s="0">
        <x:f>hyperlink("https://icd.who.int/dev11/l-ichi/en#/http%3A%2F%2Fid.who.int%2Ficd%2Fentity%2F320924738","browser")</x:f>
      </x:c>
      <x:c r="L12889" s="0">
        <x:f>hyperlink("https://icat2.azurewebsites.net/icat/?ontology=ICD&amp;tab=ClassesTab&amp;id=http%3A%2F%2Fwho.int%2Ficd%23SpecificAnatomicLocation_1492","iCat")</x:f>
      </x:c>
      <x:c r="M12889" s="0" t="s">
        <x:v>21</x:v>
      </x:c>
      <x:c r="N12889" s="0" t="s">
        <x:v>46</x:v>
      </x:c>
    </x:row>
    <x:row r="12890" spans="1:16">
      <x:c r="A12890" s="0" t="s">
        <x:v>49272</x:v>
      </x:c>
      <x:c r="B12890" s="0" t="s">
        <x:v>49273</x:v>
      </x:c>
      <x:c r="C12890" s="0" t="s">
        <x:v>42840</x:v>
      </x:c>
      <x:c r="E12890" s="0" t="s">
        <x:v>49274</x:v>
      </x:c>
      <x:c r="F12890" s="0" t="s">
        <x:v>45</x:v>
      </x:c>
      <x:c r="G12890" s="0" t="s">
        <x:v>40</x:v>
      </x:c>
      <x:c r="H12890" s="0" t="s">
        <x:v>20</x:v>
      </x:c>
      <x:c r="I12890" s="0" t="s">
        <x:v>21</x:v>
      </x:c>
      <x:c r="K12890" s="0">
        <x:f>hyperlink("https://icd.who.int/dev11/l-ichi/en#/http%3A%2F%2Fid.who.int%2Ficd%2Fentity%2F1641133762","browser")</x:f>
      </x:c>
      <x:c r="L12890" s="0">
        <x:f>hyperlink("https://icat2.azurewebsites.net/icat/?ontology=ICD&amp;tab=ClassesTab&amp;id=http%3A%2F%2Fwho.int%2Ficd%23SpecificAnatomicLocation_1494","iCat")</x:f>
      </x:c>
      <x:c r="M12890" s="0" t="s">
        <x:v>21</x:v>
      </x:c>
      <x:c r="N12890" s="0" t="s">
        <x:v>46</x:v>
      </x:c>
    </x:row>
    <x:row r="12891" spans="1:16">
      <x:c r="A12891" s="0" t="s">
        <x:v>49275</x:v>
      </x:c>
      <x:c r="B12891" s="0" t="s">
        <x:v>49276</x:v>
      </x:c>
      <x:c r="C12891" s="0" t="s">
        <x:v>42840</x:v>
      </x:c>
      <x:c r="E12891" s="0" t="s">
        <x:v>49277</x:v>
      </x:c>
      <x:c r="F12891" s="0" t="s">
        <x:v>45</x:v>
      </x:c>
      <x:c r="G12891" s="0" t="s">
        <x:v>40</x:v>
      </x:c>
      <x:c r="H12891" s="0" t="s">
        <x:v>20</x:v>
      </x:c>
      <x:c r="I12891" s="0" t="s">
        <x:v>21</x:v>
      </x:c>
      <x:c r="K12891" s="0">
        <x:f>hyperlink("https://icd.who.int/dev11/l-ichi/en#/http%3A%2F%2Fid.who.int%2Ficd%2Fentity%2F67668098","browser")</x:f>
      </x:c>
      <x:c r="L12891" s="0">
        <x:f>hyperlink("https://icat2.azurewebsites.net/icat/?ontology=ICD&amp;tab=ClassesTab&amp;id=http%3A%2F%2Fwho.int%2Ficd%23SpecificAnatomicLocation_1493","iCat")</x:f>
      </x:c>
      <x:c r="M12891" s="0" t="s">
        <x:v>21</x:v>
      </x:c>
      <x:c r="N12891" s="0" t="s">
        <x:v>46</x:v>
      </x:c>
    </x:row>
    <x:row r="12892" spans="1:16">
      <x:c r="A12892" s="0" t="s">
        <x:v>49278</x:v>
      </x:c>
      <x:c r="B12892" s="0" t="s">
        <x:v>49279</x:v>
      </x:c>
      <x:c r="C12892" s="0" t="s">
        <x:v>42840</x:v>
      </x:c>
      <x:c r="E12892" s="0" t="s">
        <x:v>49280</x:v>
      </x:c>
      <x:c r="F12892" s="0" t="s">
        <x:v>45</x:v>
      </x:c>
      <x:c r="G12892" s="0" t="s">
        <x:v>22</x:v>
      </x:c>
      <x:c r="H12892" s="0" t="s">
        <x:v>20</x:v>
      </x:c>
      <x:c r="I12892" s="0" t="s">
        <x:v>21</x:v>
      </x:c>
      <x:c r="K12892" s="0">
        <x:f>hyperlink("https://icd.who.int/dev11/l-ichi/en#/http%3A%2F%2Fid.who.int%2Ficd%2Fentity%2F1333886786","browser")</x:f>
      </x:c>
      <x:c r="L12892" s="0">
        <x:f>hyperlink("https://icat2.azurewebsites.net/icat/?ontology=ICD&amp;tab=ClassesTab&amp;id=http%3A%2F%2Fwho.int%2Ficd%23SpecificAnatomicLocation_1496","iCat")</x:f>
      </x:c>
      <x:c r="M12892" s="0" t="s">
        <x:v>21</x:v>
      </x:c>
      <x:c r="N12892" s="0" t="s">
        <x:v>46</x:v>
      </x:c>
    </x:row>
    <x:row r="12893" spans="1:16">
      <x:c r="A12893" s="0" t="s">
        <x:v>49281</x:v>
      </x:c>
      <x:c r="B12893" s="0" t="s">
        <x:v>49282</x:v>
      </x:c>
      <x:c r="C12893" s="0" t="s">
        <x:v>42840</x:v>
      </x:c>
      <x:c r="E12893" s="0" t="s">
        <x:v>49283</x:v>
      </x:c>
      <x:c r="F12893" s="0" t="s">
        <x:v>45</x:v>
      </x:c>
      <x:c r="G12893" s="0" t="s">
        <x:v>22</x:v>
      </x:c>
      <x:c r="H12893" s="0" t="s">
        <x:v>20</x:v>
      </x:c>
      <x:c r="I12893" s="0" t="s">
        <x:v>21</x:v>
      </x:c>
      <x:c r="K12893" s="0">
        <x:f>hyperlink("https://icd.who.int/dev11/l-ichi/en#/http%3A%2F%2Fid.who.int%2Ficd%2Fentity%2F1487477634","browser")</x:f>
      </x:c>
      <x:c r="L12893" s="0">
        <x:f>hyperlink("https://icat2.azurewebsites.net/icat/?ontology=ICD&amp;tab=ClassesTab&amp;id=http%3A%2F%2Fwho.int%2Ficd%23SpecificAnatomicLocation_1497","iCat")</x:f>
      </x:c>
      <x:c r="M12893" s="0" t="s">
        <x:v>21</x:v>
      </x:c>
      <x:c r="N12893" s="0" t="s">
        <x:v>46</x:v>
      </x:c>
    </x:row>
    <x:row r="12894" spans="1:16">
      <x:c r="A12894" s="0" t="s">
        <x:v>49284</x:v>
      </x:c>
      <x:c r="B12894" s="0" t="s">
        <x:v>49285</x:v>
      </x:c>
      <x:c r="C12894" s="0" t="s">
        <x:v>42840</x:v>
      </x:c>
      <x:c r="E12894" s="0" t="s">
        <x:v>49286</x:v>
      </x:c>
      <x:c r="F12894" s="0" t="s">
        <x:v>45</x:v>
      </x:c>
      <x:c r="G12894" s="0" t="s">
        <x:v>22</x:v>
      </x:c>
      <x:c r="H12894" s="0" t="s">
        <x:v>20</x:v>
      </x:c>
      <x:c r="I12894" s="0" t="s">
        <x:v>21</x:v>
      </x:c>
      <x:c r="K12894" s="0">
        <x:f>hyperlink("https://icd.who.int/dev11/l-ichi/en#/http%3A%2F%2Fid.who.int%2Ficd%2Fentity%2F2077031486","browser")</x:f>
      </x:c>
      <x:c r="L12894" s="0">
        <x:f>hyperlink("https://icat2.azurewebsites.net/icat/?ontology=ICD&amp;tab=ClassesTab&amp;id=http%3A%2F%2Fwho.int%2Ficd%23SpecificAnatomicLocation_1498","iCat")</x:f>
      </x:c>
      <x:c r="M12894" s="0" t="s">
        <x:v>21</x:v>
      </x:c>
      <x:c r="N12894" s="0" t="s">
        <x:v>46</x:v>
      </x:c>
    </x:row>
    <x:row r="12895" spans="1:16">
      <x:c r="A12895" s="0" t="s">
        <x:v>49287</x:v>
      </x:c>
      <x:c r="B12895" s="0" t="s">
        <x:v>49288</x:v>
      </x:c>
      <x:c r="C12895" s="0" t="s">
        <x:v>42840</x:v>
      </x:c>
      <x:c r="E12895" s="0" t="s">
        <x:v>49289</x:v>
      </x:c>
      <x:c r="F12895" s="0" t="s">
        <x:v>45</x:v>
      </x:c>
      <x:c r="G12895" s="0" t="s">
        <x:v>22</x:v>
      </x:c>
      <x:c r="H12895" s="0" t="s">
        <x:v>20</x:v>
      </x:c>
      <x:c r="I12895" s="0" t="s">
        <x:v>21</x:v>
      </x:c>
      <x:c r="K12895" s="0">
        <x:f>hyperlink("https://icd.who.int/dev11/l-ichi/en#/http%3A%2F%2Fid.who.int%2Ficd%2Fentity%2F1826920702","browser")</x:f>
      </x:c>
      <x:c r="L12895" s="0">
        <x:f>hyperlink("https://icat2.azurewebsites.net/icat/?ontology=ICD&amp;tab=ClassesTab&amp;id=http%3A%2F%2Fwho.int%2Ficd%23SpecificAnatomicLocation_1499","iCat")</x:f>
      </x:c>
      <x:c r="M12895" s="0" t="s">
        <x:v>21</x:v>
      </x:c>
      <x:c r="N12895" s="0" t="s">
        <x:v>46</x:v>
      </x:c>
    </x:row>
    <x:row r="12896" spans="1:16">
      <x:c r="A12896" s="0" t="s">
        <x:v>49290</x:v>
      </x:c>
      <x:c r="B12896" s="0" t="s">
        <x:v>49291</x:v>
      </x:c>
      <x:c r="C12896" s="0" t="s">
        <x:v>42840</x:v>
      </x:c>
      <x:c r="E12896" s="0" t="s">
        <x:v>49292</x:v>
      </x:c>
      <x:c r="F12896" s="0" t="s">
        <x:v>45</x:v>
      </x:c>
      <x:c r="G12896" s="0" t="s">
        <x:v>22</x:v>
      </x:c>
      <x:c r="H12896" s="0" t="s">
        <x:v>20</x:v>
      </x:c>
      <x:c r="I12896" s="0" t="s">
        <x:v>21</x:v>
      </x:c>
      <x:c r="K12896" s="0">
        <x:f>hyperlink("https://icd.who.int/dev11/l-ichi/en#/http%3A%2F%2Fid.who.int%2Ficd%2Fentity%2F1991910704","browser")</x:f>
      </x:c>
      <x:c r="L12896" s="0">
        <x:f>hyperlink("https://icat2.azurewebsites.net/icat/?ontology=ICD&amp;tab=ClassesTab&amp;id=http%3A%2F%2Fwho.int%2Ficd%23SpecificAnatomicLocation_1500","iCat")</x:f>
      </x:c>
      <x:c r="M12896" s="0" t="s">
        <x:v>21</x:v>
      </x:c>
      <x:c r="N12896" s="0" t="s">
        <x:v>46</x:v>
      </x:c>
    </x:row>
    <x:row r="12897" spans="1:16">
      <x:c r="A12897" s="0" t="s">
        <x:v>49293</x:v>
      </x:c>
      <x:c r="B12897" s="0" t="s">
        <x:v>49294</x:v>
      </x:c>
      <x:c r="C12897" s="0" t="s">
        <x:v>42840</x:v>
      </x:c>
      <x:c r="E12897" s="0" t="s">
        <x:v>49295</x:v>
      </x:c>
      <x:c r="F12897" s="0" t="s">
        <x:v>45</x:v>
      </x:c>
      <x:c r="G12897" s="0" t="s">
        <x:v>22</x:v>
      </x:c>
      <x:c r="H12897" s="0" t="s">
        <x:v>20</x:v>
      </x:c>
      <x:c r="I12897" s="0" t="s">
        <x:v>21</x:v>
      </x:c>
      <x:c r="K12897" s="0">
        <x:f>hyperlink("https://icd.who.int/dev11/l-ichi/en#/http%3A%2F%2Fid.who.int%2Ficd%2Fentity%2F2137029069","browser")</x:f>
      </x:c>
      <x:c r="L12897" s="0">
        <x:f>hyperlink("https://icat2.azurewebsites.net/icat/?ontology=ICD&amp;tab=ClassesTab&amp;id=http%3A%2F%2Fwho.int%2Ficd%233096_d9027f82_5e3d_47a4_a6fe_3c65954dde3a","iCat")</x:f>
      </x:c>
      <x:c r="M12897" s="0" t="s">
        <x:v>21</x:v>
      </x:c>
      <x:c r="N12897" s="0" t="s">
        <x:v>46</x:v>
      </x:c>
    </x:row>
    <x:row r="12898" spans="1:16">
      <x:c r="A12898" s="0" t="s">
        <x:v>49296</x:v>
      </x:c>
      <x:c r="B12898" s="0" t="s">
        <x:v>49297</x:v>
      </x:c>
      <x:c r="C12898" s="0" t="s">
        <x:v>42840</x:v>
      </x:c>
      <x:c r="E12898" s="0" t="s">
        <x:v>49298</x:v>
      </x:c>
      <x:c r="F12898" s="0" t="s">
        <x:v>45</x:v>
      </x:c>
      <x:c r="G12898" s="0" t="s">
        <x:v>22</x:v>
      </x:c>
      <x:c r="H12898" s="0" t="s">
        <x:v>20</x:v>
      </x:c>
      <x:c r="I12898" s="0" t="s">
        <x:v>21</x:v>
      </x:c>
      <x:c r="K12898" s="0">
        <x:f>hyperlink("https://icd.who.int/dev11/l-ichi/en#/http%3A%2F%2Fid.who.int%2Ficd%2Fentity%2F1636975088","browser")</x:f>
      </x:c>
      <x:c r="L12898" s="0">
        <x:f>hyperlink("https://icat2.azurewebsites.net/icat/?ontology=ICD&amp;tab=ClassesTab&amp;id=http%3A%2F%2Fwho.int%2Ficd%23SpecificAnatomicLocation_1501","iCat")</x:f>
      </x:c>
      <x:c r="M12898" s="0" t="s">
        <x:v>21</x:v>
      </x:c>
      <x:c r="N12898" s="0" t="s">
        <x:v>46</x:v>
      </x:c>
    </x:row>
    <x:row r="12899" spans="1:16">
      <x:c r="A12899" s="0" t="s">
        <x:v>49299</x:v>
      </x:c>
      <x:c r="B12899" s="0" t="s">
        <x:v>49300</x:v>
      </x:c>
      <x:c r="C12899" s="0" t="s">
        <x:v>42840</x:v>
      </x:c>
      <x:c r="E12899" s="0" t="s">
        <x:v>49301</x:v>
      </x:c>
      <x:c r="F12899" s="0" t="s">
        <x:v>45</x:v>
      </x:c>
      <x:c r="G12899" s="0" t="s">
        <x:v>35</x:v>
      </x:c>
      <x:c r="H12899" s="0" t="s">
        <x:v>20</x:v>
      </x:c>
      <x:c r="I12899" s="0" t="s">
        <x:v>21</x:v>
      </x:c>
      <x:c r="K12899" s="0">
        <x:f>hyperlink("https://icd.who.int/dev11/l-ichi/en#/http%3A%2F%2Fid.who.int%2Ficd%2Fentity%2F325262192","browser")</x:f>
      </x:c>
      <x:c r="L12899" s="0">
        <x:f>hyperlink("https://icat2.azurewebsites.net/icat/?ontology=ICD&amp;tab=ClassesTab&amp;id=http%3A%2F%2Fwho.int%2Ficd%23SpecificAnatomicLocation_1507","iCat")</x:f>
      </x:c>
      <x:c r="M12899" s="0" t="s">
        <x:v>21</x:v>
      </x:c>
      <x:c r="N12899" s="0" t="s">
        <x:v>46</x:v>
      </x:c>
    </x:row>
    <x:row r="12900" spans="1:16">
      <x:c r="A12900" s="0" t="s">
        <x:v>49302</x:v>
      </x:c>
      <x:c r="B12900" s="0" t="s">
        <x:v>49303</x:v>
      </x:c>
      <x:c r="C12900" s="0" t="s">
        <x:v>42840</x:v>
      </x:c>
      <x:c r="E12900" s="0" t="s">
        <x:v>49304</x:v>
      </x:c>
      <x:c r="F12900" s="0" t="s">
        <x:v>45</x:v>
      </x:c>
      <x:c r="G12900" s="0" t="s">
        <x:v>35</x:v>
      </x:c>
      <x:c r="H12900" s="0" t="s">
        <x:v>20</x:v>
      </x:c>
      <x:c r="I12900" s="0" t="s">
        <x:v>21</x:v>
      </x:c>
      <x:c r="K12900" s="0">
        <x:f>hyperlink("https://icd.who.int/dev11/l-ichi/en#/http%3A%2F%2Fid.who.int%2Ficd%2Fentity%2F72056752","browser")</x:f>
      </x:c>
      <x:c r="L12900" s="0">
        <x:f>hyperlink("https://icat2.azurewebsites.net/icat/?ontology=ICD&amp;tab=ClassesTab&amp;id=http%3A%2F%2Fwho.int%2Ficd%23SpecificAnatomicLocation_1506","iCat")</x:f>
      </x:c>
      <x:c r="M12900" s="0" t="s">
        <x:v>20</x:v>
      </x:c>
      <x:c r="N12900" s="0" t="s">
        <x:v>35</x:v>
      </x:c>
    </x:row>
    <x:row r="12901" spans="1:16">
      <x:c r="A12901" s="0" t="s">
        <x:v>49305</x:v>
      </x:c>
      <x:c r="B12901" s="0" t="s">
        <x:v>49306</x:v>
      </x:c>
      <x:c r="C12901" s="0" t="s">
        <x:v>42840</x:v>
      </x:c>
      <x:c r="E12901" s="0" t="s">
        <x:v>49307</x:v>
      </x:c>
      <x:c r="F12901" s="0" t="s">
        <x:v>45</x:v>
      </x:c>
      <x:c r="G12901" s="0" t="s">
        <x:v>22</x:v>
      </x:c>
      <x:c r="H12901" s="0" t="s">
        <x:v>20</x:v>
      </x:c>
      <x:c r="I12901" s="0" t="s">
        <x:v>21</x:v>
      </x:c>
      <x:c r="K12901" s="0">
        <x:f>hyperlink("https://icd.who.int/dev11/l-ichi/en#/http%3A%2F%2Fid.who.int%2Ficd%2Fentity%2F1338148976","browser")</x:f>
      </x:c>
      <x:c r="L12901" s="0">
        <x:f>hyperlink("https://icat2.azurewebsites.net/icat/?ontology=ICD&amp;tab=ClassesTab&amp;id=http%3A%2F%2Fwho.int%2Ficd%23SpecificAnatomicLocation_1503","iCat")</x:f>
      </x:c>
      <x:c r="M12901" s="0" t="s">
        <x:v>20</x:v>
      </x:c>
      <x:c r="N12901" s="0" t="s">
        <x:v>40</x:v>
      </x:c>
    </x:row>
    <x:row r="12902" spans="1:16">
      <x:c r="A12902" s="0" t="s">
        <x:v>49308</x:v>
      </x:c>
      <x:c r="B12902" s="0" t="s">
        <x:v>49309</x:v>
      </x:c>
      <x:c r="C12902" s="0" t="s">
        <x:v>42840</x:v>
      </x:c>
      <x:c r="E12902" s="0" t="s">
        <x:v>49310</x:v>
      </x:c>
      <x:c r="F12902" s="0" t="s">
        <x:v>45</x:v>
      </x:c>
      <x:c r="G12902" s="0" t="s">
        <x:v>40</x:v>
      </x:c>
      <x:c r="H12902" s="0" t="s">
        <x:v>20</x:v>
      </x:c>
      <x:c r="I12902" s="0" t="s">
        <x:v>21</x:v>
      </x:c>
      <x:c r="K12902" s="0">
        <x:f>hyperlink("https://icd.who.int/dev11/l-ichi/en#/http%3A%2F%2Fid.who.int%2Ficd%2Fentity%2F1562664263","browser")</x:f>
      </x:c>
      <x:c r="L12902" s="0">
        <x:f>hyperlink("https://icat2.azurewebsites.net/icat/?ontology=ICD&amp;tab=ClassesTab&amp;id=http%3A%2F%2Fwho.int%2Ficd%2310268_16e67c35_8b57_40bb_9220_818553425a8c","iCat")</x:f>
      </x:c>
      <x:c r="M12902" s="0" t="s">
        <x:v>21</x:v>
      </x:c>
      <x:c r="N12902" s="0" t="s">
        <x:v>46</x:v>
      </x:c>
    </x:row>
    <x:row r="12903" spans="1:16">
      <x:c r="A12903" s="0" t="s">
        <x:v>49311</x:v>
      </x:c>
      <x:c r="B12903" s="0" t="s">
        <x:v>49312</x:v>
      </x:c>
      <x:c r="C12903" s="0" t="s">
        <x:v>42840</x:v>
      </x:c>
      <x:c r="E12903" s="0" t="s">
        <x:v>49313</x:v>
      </x:c>
      <x:c r="F12903" s="0" t="s">
        <x:v>45</x:v>
      </x:c>
      <x:c r="G12903" s="0" t="s">
        <x:v>40</x:v>
      </x:c>
      <x:c r="H12903" s="0" t="s">
        <x:v>20</x:v>
      </x:c>
      <x:c r="I12903" s="0" t="s">
        <x:v>21</x:v>
      </x:c>
      <x:c r="K12903" s="0">
        <x:f>hyperlink("https://icd.who.int/dev11/l-ichi/en#/http%3A%2F%2Fid.who.int%2Ficd%2Fentity%2F637884440","browser")</x:f>
      </x:c>
      <x:c r="L12903" s="0">
        <x:f>hyperlink("https://icat2.azurewebsites.net/icat/?ontology=ICD&amp;tab=ClassesTab&amp;id=http%3A%2F%2Fwho.int%2Ficd%2310287_16e67c35_8b57_40bb_9220_818553425a8c","iCat")</x:f>
      </x:c>
      <x:c r="M12903" s="0" t="s">
        <x:v>21</x:v>
      </x:c>
      <x:c r="N12903" s="0" t="s">
        <x:v>46</x:v>
      </x:c>
    </x:row>
    <x:row r="12904" spans="1:16">
      <x:c r="A12904" s="0" t="s">
        <x:v>49314</x:v>
      </x:c>
      <x:c r="B12904" s="0" t="s">
        <x:v>49315</x:v>
      </x:c>
      <x:c r="C12904" s="0" t="s">
        <x:v>42840</x:v>
      </x:c>
      <x:c r="E12904" s="0" t="s">
        <x:v>49316</x:v>
      </x:c>
      <x:c r="F12904" s="0" t="s">
        <x:v>45</x:v>
      </x:c>
      <x:c r="G12904" s="0" t="s">
        <x:v>40</x:v>
      </x:c>
      <x:c r="H12904" s="0" t="s">
        <x:v>20</x:v>
      </x:c>
      <x:c r="I12904" s="0" t="s">
        <x:v>21</x:v>
      </x:c>
      <x:c r="K12904" s="0">
        <x:f>hyperlink("https://icd.who.int/dev11/l-ichi/en#/http%3A%2F%2Fid.who.int%2Ficd%2Fentity%2F1817359731","browser")</x:f>
      </x:c>
      <x:c r="L12904" s="0">
        <x:f>hyperlink("https://icat2.azurewebsites.net/icat/?ontology=ICD&amp;tab=ClassesTab&amp;id=http%3A%2F%2Fwho.int%2Ficd%2310306_16e67c35_8b57_40bb_9220_818553425a8c","iCat")</x:f>
      </x:c>
      <x:c r="M12904" s="0" t="s">
        <x:v>21</x:v>
      </x:c>
      <x:c r="N12904" s="0" t="s">
        <x:v>46</x:v>
      </x:c>
    </x:row>
    <x:row r="12905" spans="1:16">
      <x:c r="A12905" s="0" t="s">
        <x:v>49317</x:v>
      </x:c>
      <x:c r="B12905" s="0" t="s">
        <x:v>49318</x:v>
      </x:c>
      <x:c r="C12905" s="0" t="s">
        <x:v>42840</x:v>
      </x:c>
      <x:c r="E12905" s="0" t="s">
        <x:v>49319</x:v>
      </x:c>
      <x:c r="F12905" s="0" t="s">
        <x:v>45</x:v>
      </x:c>
      <x:c r="G12905" s="0" t="s">
        <x:v>40</x:v>
      </x:c>
      <x:c r="H12905" s="0" t="s">
        <x:v>20</x:v>
      </x:c>
      <x:c r="I12905" s="0" t="s">
        <x:v>21</x:v>
      </x:c>
      <x:c r="K12905" s="0">
        <x:f>hyperlink("https://icd.who.int/dev11/l-ichi/en#/http%3A%2F%2Fid.who.int%2Ficd%2Fentity%2F61018076","browser")</x:f>
      </x:c>
      <x:c r="L12905" s="0">
        <x:f>hyperlink("https://icat2.azurewebsites.net/icat/?ontology=ICD&amp;tab=ClassesTab&amp;id=http%3A%2F%2Fwho.int%2Ficd%2310325_16e67c35_8b57_40bb_9220_818553425a8c","iCat")</x:f>
      </x:c>
      <x:c r="M12905" s="0" t="s">
        <x:v>21</x:v>
      </x:c>
      <x:c r="N12905" s="0" t="s">
        <x:v>46</x:v>
      </x:c>
    </x:row>
    <x:row r="12906" spans="1:16">
      <x:c r="A12906" s="0" t="s">
        <x:v>49320</x:v>
      </x:c>
      <x:c r="B12906" s="0" t="s">
        <x:v>49321</x:v>
      </x:c>
      <x:c r="C12906" s="0" t="s">
        <x:v>42840</x:v>
      </x:c>
      <x:c r="E12906" s="0" t="s">
        <x:v>49322</x:v>
      </x:c>
      <x:c r="F12906" s="0" t="s">
        <x:v>45</x:v>
      </x:c>
      <x:c r="G12906" s="0" t="s">
        <x:v>40</x:v>
      </x:c>
      <x:c r="H12906" s="0" t="s">
        <x:v>20</x:v>
      </x:c>
      <x:c r="I12906" s="0" t="s">
        <x:v>21</x:v>
      </x:c>
      <x:c r="K12906" s="0">
        <x:f>hyperlink("https://icd.who.int/dev11/l-ichi/en#/http%3A%2F%2Fid.who.int%2Ficd%2Fentity%2F2034891691","browser")</x:f>
      </x:c>
      <x:c r="L12906" s="0">
        <x:f>hyperlink("https://icat2.azurewebsites.net/icat/?ontology=ICD&amp;tab=ClassesTab&amp;id=http%3A%2F%2Fwho.int%2Ficd%2310344_16e67c35_8b57_40bb_9220_818553425a8c","iCat")</x:f>
      </x:c>
      <x:c r="M12906" s="0" t="s">
        <x:v>21</x:v>
      </x:c>
      <x:c r="N12906" s="0" t="s">
        <x:v>46</x:v>
      </x:c>
    </x:row>
    <x:row r="12907" spans="1:16">
      <x:c r="A12907" s="0" t="s">
        <x:v>49323</x:v>
      </x:c>
      <x:c r="B12907" s="0" t="s">
        <x:v>49324</x:v>
      </x:c>
      <x:c r="C12907" s="0" t="s">
        <x:v>42840</x:v>
      </x:c>
      <x:c r="E12907" s="0" t="s">
        <x:v>49325</x:v>
      </x:c>
      <x:c r="F12907" s="0" t="s">
        <x:v>45</x:v>
      </x:c>
      <x:c r="G12907" s="0" t="s">
        <x:v>22</x:v>
      </x:c>
      <x:c r="H12907" s="0" t="s">
        <x:v>20</x:v>
      </x:c>
      <x:c r="I12907" s="0" t="s">
        <x:v>21</x:v>
      </x:c>
      <x:c r="K12907" s="0">
        <x:f>hyperlink("https://icd.who.int/dev11/l-ichi/en#/http%3A%2F%2Fid.who.int%2Ficd%2Fentity%2F1470757419","browser")</x:f>
      </x:c>
      <x:c r="L12907" s="0">
        <x:f>hyperlink("https://icat2.azurewebsites.net/icat/?ontology=ICD&amp;tab=ClassesTab&amp;id=http%3A%2F%2Fwho.int%2Ficd%2310249_16e67c35_8b57_40bb_9220_818553425a8c","iCat")</x:f>
      </x:c>
      <x:c r="M12907" s="0" t="s">
        <x:v>20</x:v>
      </x:c>
      <x:c r="N12907" s="0" t="s">
        <x:v>22</x:v>
      </x:c>
    </x:row>
    <x:row r="12908" spans="1:16">
      <x:c r="A12908" s="0" t="s">
        <x:v>49326</x:v>
      </x:c>
      <x:c r="B12908" s="0" t="s">
        <x:v>49327</x:v>
      </x:c>
      <x:c r="C12908" s="0" t="s">
        <x:v>42840</x:v>
      </x:c>
      <x:c r="E12908" s="0" t="s">
        <x:v>49328</x:v>
      </x:c>
      <x:c r="F12908" s="0" t="s">
        <x:v>45</x:v>
      </x:c>
      <x:c r="G12908" s="0" t="s">
        <x:v>40</x:v>
      </x:c>
      <x:c r="H12908" s="0" t="s">
        <x:v>20</x:v>
      </x:c>
      <x:c r="I12908" s="0" t="s">
        <x:v>21</x:v>
      </x:c>
      <x:c r="K12908" s="0">
        <x:f>hyperlink("https://icd.who.int/dev11/l-ichi/en#/http%3A%2F%2Fid.who.int%2Ficd%2Fentity%2F599754102","browser")</x:f>
      </x:c>
      <x:c r="L12908" s="0">
        <x:f>hyperlink("https://icat2.azurewebsites.net/icat/?ontology=ICD&amp;tab=ClassesTab&amp;id=http%3A%2F%2Fwho.int%2Ficd%2310363_16e67c35_8b57_40bb_9220_818553425a8c","iCat")</x:f>
      </x:c>
      <x:c r="M12908" s="0" t="s">
        <x:v>21</x:v>
      </x:c>
      <x:c r="N12908" s="0" t="s">
        <x:v>46</x:v>
      </x:c>
    </x:row>
    <x:row r="12909" spans="1:16">
      <x:c r="A12909" s="0" t="s">
        <x:v>49329</x:v>
      </x:c>
      <x:c r="B12909" s="0" t="s">
        <x:v>49330</x:v>
      </x:c>
      <x:c r="C12909" s="0" t="s">
        <x:v>42840</x:v>
      </x:c>
      <x:c r="E12909" s="0" t="s">
        <x:v>49331</x:v>
      </x:c>
      <x:c r="F12909" s="0" t="s">
        <x:v>45</x:v>
      </x:c>
      <x:c r="G12909" s="0" t="s">
        <x:v>40</x:v>
      </x:c>
      <x:c r="H12909" s="0" t="s">
        <x:v>20</x:v>
      </x:c>
      <x:c r="I12909" s="0" t="s">
        <x:v>21</x:v>
      </x:c>
      <x:c r="K12909" s="0">
        <x:f>hyperlink("https://icd.who.int/dev11/l-ichi/en#/http%3A%2F%2Fid.who.int%2Ficd%2Fentity%2F1180969155","browser")</x:f>
      </x:c>
      <x:c r="L12909" s="0">
        <x:f>hyperlink("https://icat2.azurewebsites.net/icat/?ontology=ICD&amp;tab=ClassesTab&amp;id=http%3A%2F%2Fwho.int%2Ficd%2310382_16e67c35_8b57_40bb_9220_818553425a8c","iCat")</x:f>
      </x:c>
      <x:c r="M12909" s="0" t="s">
        <x:v>21</x:v>
      </x:c>
      <x:c r="N12909" s="0" t="s">
        <x:v>46</x:v>
      </x:c>
    </x:row>
    <x:row r="12910" spans="1:16">
      <x:c r="A12910" s="0" t="s">
        <x:v>49332</x:v>
      </x:c>
      <x:c r="B12910" s="0" t="s">
        <x:v>49333</x:v>
      </x:c>
      <x:c r="C12910" s="0" t="s">
        <x:v>42840</x:v>
      </x:c>
      <x:c r="E12910" s="0" t="s">
        <x:v>49334</x:v>
      </x:c>
      <x:c r="F12910" s="0" t="s">
        <x:v>45</x:v>
      </x:c>
      <x:c r="G12910" s="0" t="s">
        <x:v>40</x:v>
      </x:c>
      <x:c r="H12910" s="0" t="s">
        <x:v>20</x:v>
      </x:c>
      <x:c r="I12910" s="0" t="s">
        <x:v>21</x:v>
      </x:c>
      <x:c r="K12910" s="0">
        <x:f>hyperlink("https://icd.who.int/dev11/l-ichi/en#/http%3A%2F%2Fid.who.int%2Ficd%2Fentity%2F1887549074","browser")</x:f>
      </x:c>
      <x:c r="L12910" s="0">
        <x:f>hyperlink("https://icat2.azurewebsites.net/icat/?ontology=ICD&amp;tab=ClassesTab&amp;id=http%3A%2F%2Fwho.int%2Ficd%2310401_16e67c35_8b57_40bb_9220_818553425a8c","iCat")</x:f>
      </x:c>
      <x:c r="M12910" s="0" t="s">
        <x:v>21</x:v>
      </x:c>
      <x:c r="N12910" s="0" t="s">
        <x:v>46</x:v>
      </x:c>
    </x:row>
    <x:row r="12911" spans="1:16">
      <x:c r="A12911" s="0" t="s">
        <x:v>49335</x:v>
      </x:c>
      <x:c r="B12911" s="0" t="s">
        <x:v>49336</x:v>
      </x:c>
      <x:c r="C12911" s="0" t="s">
        <x:v>42840</x:v>
      </x:c>
      <x:c r="E12911" s="0" t="s">
        <x:v>49337</x:v>
      </x:c>
      <x:c r="F12911" s="0" t="s">
        <x:v>45</x:v>
      </x:c>
      <x:c r="G12911" s="0" t="s">
        <x:v>40</x:v>
      </x:c>
      <x:c r="H12911" s="0" t="s">
        <x:v>20</x:v>
      </x:c>
      <x:c r="I12911" s="0" t="s">
        <x:v>21</x:v>
      </x:c>
      <x:c r="K12911" s="0">
        <x:f>hyperlink("https://icd.who.int/dev11/l-ichi/en#/http%3A%2F%2Fid.who.int%2Ficd%2Fentity%2F2047611390","browser")</x:f>
      </x:c>
      <x:c r="L12911" s="0">
        <x:f>hyperlink("https://icat2.azurewebsites.net/icat/?ontology=ICD&amp;tab=ClassesTab&amp;id=http%3A%2F%2Fwho.int%2Ficd%2310420_16e67c35_8b57_40bb_9220_818553425a8c","iCat")</x:f>
      </x:c>
      <x:c r="M12911" s="0" t="s">
        <x:v>21</x:v>
      </x:c>
      <x:c r="N12911" s="0" t="s">
        <x:v>46</x:v>
      </x:c>
    </x:row>
    <x:row r="12912" spans="1:16">
      <x:c r="A12912" s="0" t="s">
        <x:v>49338</x:v>
      </x:c>
      <x:c r="B12912" s="0" t="s">
        <x:v>49339</x:v>
      </x:c>
      <x:c r="C12912" s="0" t="s">
        <x:v>42840</x:v>
      </x:c>
      <x:c r="E12912" s="0" t="s">
        <x:v>49340</x:v>
      </x:c>
      <x:c r="F12912" s="0" t="s">
        <x:v>45</x:v>
      </x:c>
      <x:c r="G12912" s="0" t="s">
        <x:v>22</x:v>
      </x:c>
      <x:c r="H12912" s="0" t="s">
        <x:v>20</x:v>
      </x:c>
      <x:c r="I12912" s="0" t="s">
        <x:v>21</x:v>
      </x:c>
      <x:c r="K12912" s="0">
        <x:f>hyperlink("https://icd.who.int/dev11/l-ichi/en#/http%3A%2F%2Fid.who.int%2Ficd%2Fentity%2F1026806512","browser")</x:f>
      </x:c>
      <x:c r="L12912" s="0">
        <x:f>hyperlink("https://icat2.azurewebsites.net/icat/?ontology=ICD&amp;tab=ClassesTab&amp;id=http%3A%2F%2Fwho.int%2Ficd%23SpecificAnatomicLocation_1505","iCat")</x:f>
      </x:c>
      <x:c r="M12912" s="0" t="s">
        <x:v>20</x:v>
      </x:c>
      <x:c r="N12912" s="0" t="s">
        <x:v>40</x:v>
      </x:c>
    </x:row>
    <x:row r="12913" spans="1:16">
      <x:c r="A12913" s="0" t="s">
        <x:v>49341</x:v>
      </x:c>
      <x:c r="B12913" s="0" t="s">
        <x:v>49342</x:v>
      </x:c>
      <x:c r="C12913" s="0" t="s">
        <x:v>42840</x:v>
      </x:c>
      <x:c r="E12913" s="0" t="s">
        <x:v>49343</x:v>
      </x:c>
      <x:c r="F12913" s="0" t="s">
        <x:v>45</x:v>
      </x:c>
      <x:c r="G12913" s="0" t="s">
        <x:v>40</x:v>
      </x:c>
      <x:c r="H12913" s="0" t="s">
        <x:v>20</x:v>
      </x:c>
      <x:c r="I12913" s="0" t="s">
        <x:v>21</x:v>
      </x:c>
      <x:c r="K12913" s="0">
        <x:f>hyperlink("https://icd.who.int/dev11/l-ichi/en#/http%3A%2F%2Fid.who.int%2Ficd%2Fentity%2F2125563842","browser")</x:f>
      </x:c>
      <x:c r="L12913" s="0">
        <x:f>hyperlink("https://icat2.azurewebsites.net/icat/?ontology=ICD&amp;tab=ClassesTab&amp;id=http%3A%2F%2Fwho.int%2Ficd%2310439_16e67c35_8b57_40bb_9220_818553425a8c","iCat")</x:f>
      </x:c>
      <x:c r="M12913" s="0" t="s">
        <x:v>21</x:v>
      </x:c>
      <x:c r="N12913" s="0" t="s">
        <x:v>46</x:v>
      </x:c>
    </x:row>
    <x:row r="12914" spans="1:16">
      <x:c r="A12914" s="0" t="s">
        <x:v>49344</x:v>
      </x:c>
      <x:c r="B12914" s="0" t="s">
        <x:v>49345</x:v>
      </x:c>
      <x:c r="C12914" s="0" t="s">
        <x:v>42840</x:v>
      </x:c>
      <x:c r="E12914" s="0" t="s">
        <x:v>49346</x:v>
      </x:c>
      <x:c r="F12914" s="0" t="s">
        <x:v>45</x:v>
      </x:c>
      <x:c r="G12914" s="0" t="s">
        <x:v>40</x:v>
      </x:c>
      <x:c r="H12914" s="0" t="s">
        <x:v>20</x:v>
      </x:c>
      <x:c r="I12914" s="0" t="s">
        <x:v>21</x:v>
      </x:c>
      <x:c r="K12914" s="0">
        <x:f>hyperlink("https://icd.who.int/dev11/l-ichi/en#/http%3A%2F%2Fid.who.int%2Ficd%2Fentity%2F73102257","browser")</x:f>
      </x:c>
      <x:c r="L12914" s="0">
        <x:f>hyperlink("https://icat2.azurewebsites.net/icat/?ontology=ICD&amp;tab=ClassesTab&amp;id=http%3A%2F%2Fwho.int%2Ficd%2310458_16e67c35_8b57_40bb_9220_818553425a8c","iCat")</x:f>
      </x:c>
      <x:c r="M12914" s="0" t="s">
        <x:v>21</x:v>
      </x:c>
      <x:c r="N12914" s="0" t="s">
        <x:v>46</x:v>
      </x:c>
    </x:row>
    <x:row r="12915" spans="1:16">
      <x:c r="A12915" s="0" t="s">
        <x:v>49347</x:v>
      </x:c>
      <x:c r="B12915" s="0" t="s">
        <x:v>49348</x:v>
      </x:c>
      <x:c r="C12915" s="0" t="s">
        <x:v>42840</x:v>
      </x:c>
      <x:c r="E12915" s="0" t="s">
        <x:v>49349</x:v>
      </x:c>
      <x:c r="F12915" s="0" t="s">
        <x:v>45</x:v>
      </x:c>
      <x:c r="G12915" s="0" t="s">
        <x:v>40</x:v>
      </x:c>
      <x:c r="H12915" s="0" t="s">
        <x:v>20</x:v>
      </x:c>
      <x:c r="I12915" s="0" t="s">
        <x:v>21</x:v>
      </x:c>
      <x:c r="K12915" s="0">
        <x:f>hyperlink("https://icd.who.int/dev11/l-ichi/en#/http%3A%2F%2Fid.who.int%2Ficd%2Fentity%2F271350841","browser")</x:f>
      </x:c>
      <x:c r="L12915" s="0">
        <x:f>hyperlink("https://icat2.azurewebsites.net/icat/?ontology=ICD&amp;tab=ClassesTab&amp;id=http%3A%2F%2Fwho.int%2Ficd%2310477_16e67c35_8b57_40bb_9220_818553425a8c","iCat")</x:f>
      </x:c>
      <x:c r="M12915" s="0" t="s">
        <x:v>21</x:v>
      </x:c>
      <x:c r="N12915" s="0" t="s">
        <x:v>46</x:v>
      </x:c>
    </x:row>
    <x:row r="12916" spans="1:16">
      <x:c r="A12916" s="0" t="s">
        <x:v>49350</x:v>
      </x:c>
      <x:c r="B12916" s="0" t="s">
        <x:v>49351</x:v>
      </x:c>
      <x:c r="C12916" s="0" t="s">
        <x:v>42840</x:v>
      </x:c>
      <x:c r="E12916" s="0" t="s">
        <x:v>49352</x:v>
      </x:c>
      <x:c r="F12916" s="0" t="s">
        <x:v>45</x:v>
      </x:c>
      <x:c r="G12916" s="0" t="s">
        <x:v>40</x:v>
      </x:c>
      <x:c r="H12916" s="0" t="s">
        <x:v>20</x:v>
      </x:c>
      <x:c r="I12916" s="0" t="s">
        <x:v>21</x:v>
      </x:c>
      <x:c r="K12916" s="0">
        <x:f>hyperlink("https://icd.who.int/dev11/l-ichi/en#/http%3A%2F%2Fid.who.int%2Ficd%2Fentity%2F1979175310","browser")</x:f>
      </x:c>
      <x:c r="L12916" s="0">
        <x:f>hyperlink("https://icat2.azurewebsites.net/icat/?ontology=ICD&amp;tab=ClassesTab&amp;id=http%3A%2F%2Fwho.int%2Ficd%2310496_16e67c35_8b57_40bb_9220_818553425a8c","iCat")</x:f>
      </x:c>
      <x:c r="M12916" s="0" t="s">
        <x:v>21</x:v>
      </x:c>
      <x:c r="N12916" s="0" t="s">
        <x:v>46</x:v>
      </x:c>
    </x:row>
    <x:row r="12917" spans="1:16">
      <x:c r="A12917" s="0" t="s">
        <x:v>49353</x:v>
      </x:c>
      <x:c r="B12917" s="0" t="s">
        <x:v>49354</x:v>
      </x:c>
      <x:c r="C12917" s="0" t="s">
        <x:v>42840</x:v>
      </x:c>
      <x:c r="E12917" s="0" t="s">
        <x:v>49355</x:v>
      </x:c>
      <x:c r="F12917" s="0" t="s">
        <x:v>45</x:v>
      </x:c>
      <x:c r="G12917" s="0" t="s">
        <x:v>40</x:v>
      </x:c>
      <x:c r="H12917" s="0" t="s">
        <x:v>20</x:v>
      </x:c>
      <x:c r="I12917" s="0" t="s">
        <x:v>21</x:v>
      </x:c>
      <x:c r="K12917" s="0">
        <x:f>hyperlink("https://icd.who.int/dev11/l-ichi/en#/http%3A%2F%2Fid.who.int%2Ficd%2Fentity%2F1524375854","browser")</x:f>
      </x:c>
      <x:c r="L12917" s="0">
        <x:f>hyperlink("https://icat2.azurewebsites.net/icat/?ontology=ICD&amp;tab=ClassesTab&amp;id=http%3A%2F%2Fwho.int%2Ficd%2310515_16e67c35_8b57_40bb_9220_818553425a8c","iCat")</x:f>
      </x:c>
      <x:c r="M12917" s="0" t="s">
        <x:v>21</x:v>
      </x:c>
      <x:c r="N12917" s="0" t="s">
        <x:v>46</x:v>
      </x:c>
    </x:row>
    <x:row r="12918" spans="1:16">
      <x:c r="A12918" s="0" t="s">
        <x:v>49356</x:v>
      </x:c>
      <x:c r="B12918" s="0" t="s">
        <x:v>49357</x:v>
      </x:c>
      <x:c r="D12918" s="0" t="s">
        <x:v>44524</x:v>
      </x:c>
      <x:c r="E12918" s="0" t="s">
        <x:v>49358</x:v>
      </x:c>
      <x:c r="F12918" s="0" t="s">
        <x:v>26</x:v>
      </x:c>
      <x:c r="G12918" s="0" t="s">
        <x:v>22</x:v>
      </x:c>
      <x:c r="H12918" s="0" t="s">
        <x:v>20</x:v>
      </x:c>
      <x:c r="I12918" s="0" t="s">
        <x:v>21</x:v>
      </x:c>
      <x:c r="K12918" s="0">
        <x:f>hyperlink("https://icd.who.int/dev11/l-ichi/en#/http%3A%2F%2Fid.who.int%2Ficd%2Fentity%2F461235915","browser")</x:f>
      </x:c>
      <x:c r="L12918" s="0">
        <x:f>hyperlink("https://icat2.azurewebsites.net/icat/?ontology=ICD&amp;tab=ClassesTab&amp;id=http%3A%2F%2Fwho.int%2Ficd%23SpecificAnatomicLocation_3432","iCat")</x:f>
      </x:c>
      <x:c r="M12918" s="0" t="s">
        <x:v>20</x:v>
      </x:c>
      <x:c r="N12918" s="0" t="s">
        <x:v>119</x:v>
      </x:c>
    </x:row>
    <x:row r="12919" spans="1:16">
      <x:c r="A12919" s="0" t="s">
        <x:v>49359</x:v>
      </x:c>
      <x:c r="B12919" s="0" t="s">
        <x:v>49360</x:v>
      </x:c>
      <x:c r="C12919" s="0" t="s">
        <x:v>42840</x:v>
      </x:c>
      <x:c r="E12919" s="0" t="s">
        <x:v>49361</x:v>
      </x:c>
      <x:c r="F12919" s="0" t="s">
        <x:v>45</x:v>
      </x:c>
      <x:c r="G12919" s="0" t="s">
        <x:v>19</x:v>
      </x:c>
      <x:c r="H12919" s="0" t="s">
        <x:v>20</x:v>
      </x:c>
      <x:c r="I12919" s="0" t="s">
        <x:v>21</x:v>
      </x:c>
      <x:c r="K12919" s="0">
        <x:f>hyperlink("https://icd.who.int/dev11/l-ichi/en#/http%3A%2F%2Fid.who.int%2Ficd%2Fentity%2F864772028","browser")</x:f>
      </x:c>
      <x:c r="L12919" s="0">
        <x:f>hyperlink("https://icat2.azurewebsites.net/icat/?ontology=ICD&amp;tab=ClassesTab&amp;id=http%3A%2F%2Fwho.int%2Ficd%23SpecificAnatomicLocation_3233","iCat")</x:f>
      </x:c>
      <x:c r="M12919" s="0" t="s">
        <x:v>20</x:v>
      </x:c>
      <x:c r="N12919" s="0" t="s">
        <x:v>30</x:v>
      </x:c>
    </x:row>
    <x:row r="12920" spans="1:16">
      <x:c r="A12920" s="0" t="s">
        <x:v>49362</x:v>
      </x:c>
      <x:c r="B12920" s="0" t="s">
        <x:v>49363</x:v>
      </x:c>
      <x:c r="C12920" s="0" t="s">
        <x:v>42840</x:v>
      </x:c>
      <x:c r="E12920" s="0" t="s">
        <x:v>49364</x:v>
      </x:c>
      <x:c r="F12920" s="0" t="s">
        <x:v>45</x:v>
      </x:c>
      <x:c r="G12920" s="0" t="s">
        <x:v>30</x:v>
      </x:c>
      <x:c r="H12920" s="0" t="s">
        <x:v>20</x:v>
      </x:c>
      <x:c r="I12920" s="0" t="s">
        <x:v>21</x:v>
      </x:c>
      <x:c r="K12920" s="0">
        <x:f>hyperlink("https://icd.who.int/dev11/l-ichi/en#/http%3A%2F%2Fid.who.int%2Ficd%2Fentity%2F1363003152","browser")</x:f>
      </x:c>
      <x:c r="L12920" s="0">
        <x:f>hyperlink("https://icat2.azurewebsites.net/icat/?ontology=ICD&amp;tab=ClassesTab&amp;id=http%3A%2F%2Fwho.int%2Ficd%2310559_16e67c35_8b57_40bb_9220_818553425a8c","iCat")</x:f>
      </x:c>
      <x:c r="M12920" s="0" t="s">
        <x:v>20</x:v>
      </x:c>
      <x:c r="N12920" s="0" t="s">
        <x:v>30</x:v>
      </x:c>
    </x:row>
    <x:row r="12921" spans="1:16">
      <x:c r="A12921" s="0" t="s">
        <x:v>49365</x:v>
      </x:c>
      <x:c r="B12921" s="0" t="s">
        <x:v>49366</x:v>
      </x:c>
      <x:c r="C12921" s="0" t="s">
        <x:v>42840</x:v>
      </x:c>
      <x:c r="E12921" s="0" t="s">
        <x:v>49367</x:v>
      </x:c>
      <x:c r="F12921" s="0" t="s">
        <x:v>45</x:v>
      </x:c>
      <x:c r="G12921" s="0" t="s">
        <x:v>35</x:v>
      </x:c>
      <x:c r="H12921" s="0" t="s">
        <x:v>20</x:v>
      </x:c>
      <x:c r="I12921" s="0" t="s">
        <x:v>21</x:v>
      </x:c>
      <x:c r="K12921" s="0">
        <x:f>hyperlink("https://icd.who.int/dev11/l-ichi/en#/http%3A%2F%2Fid.who.int%2Ficd%2Fentity%2F183759612","browser")</x:f>
      </x:c>
      <x:c r="L12921" s="0">
        <x:f>hyperlink("https://icat2.azurewebsites.net/icat/?ontology=ICD&amp;tab=ClassesTab&amp;id=http%3A%2F%2Fwho.int%2Ficd%23SpecificAnatomicLocation_3230","iCat")</x:f>
      </x:c>
      <x:c r="M12921" s="0" t="s">
        <x:v>21</x:v>
      </x:c>
      <x:c r="N12921" s="0" t="s">
        <x:v>46</x:v>
      </x:c>
    </x:row>
    <x:row r="12922" spans="1:16">
      <x:c r="A12922" s="0" t="s">
        <x:v>49368</x:v>
      </x:c>
      <x:c r="B12922" s="0" t="s">
        <x:v>49369</x:v>
      </x:c>
      <x:c r="C12922" s="0" t="s">
        <x:v>42840</x:v>
      </x:c>
      <x:c r="E12922" s="0" t="s">
        <x:v>49370</x:v>
      </x:c>
      <x:c r="F12922" s="0" t="s">
        <x:v>45</x:v>
      </x:c>
      <x:c r="G12922" s="0" t="s">
        <x:v>35</x:v>
      </x:c>
      <x:c r="H12922" s="0" t="s">
        <x:v>20</x:v>
      </x:c>
      <x:c r="I12922" s="0" t="s">
        <x:v>21</x:v>
      </x:c>
      <x:c r="K12922" s="0">
        <x:f>hyperlink("https://icd.who.int/dev11/l-ichi/en#/http%3A%2F%2Fid.who.int%2Ficd%2Fentity%2F1948870691","browser")</x:f>
      </x:c>
      <x:c r="L12922" s="0">
        <x:f>hyperlink("https://icat2.azurewebsites.net/icat/?ontology=ICD&amp;tab=ClassesTab&amp;id=http%3A%2F%2Fwho.int%2Ficd%23SpecificAnatomicLocation_3220","iCat")</x:f>
      </x:c>
      <x:c r="M12922" s="0" t="s">
        <x:v>21</x:v>
      </x:c>
      <x:c r="N12922" s="0" t="s">
        <x:v>46</x:v>
      </x:c>
    </x:row>
    <x:row r="12923" spans="1:16">
      <x:c r="A12923" s="0" t="s">
        <x:v>49371</x:v>
      </x:c>
      <x:c r="B12923" s="0" t="s">
        <x:v>49372</x:v>
      </x:c>
      <x:c r="C12923" s="0" t="s">
        <x:v>42840</x:v>
      </x:c>
      <x:c r="E12923" s="0" t="s">
        <x:v>49373</x:v>
      </x:c>
      <x:c r="F12923" s="0" t="s">
        <x:v>45</x:v>
      </x:c>
      <x:c r="G12923" s="0" t="s">
        <x:v>30</x:v>
      </x:c>
      <x:c r="H12923" s="0" t="s">
        <x:v>20</x:v>
      </x:c>
      <x:c r="I12923" s="0" t="s">
        <x:v>21</x:v>
      </x:c>
      <x:c r="K12923" s="0">
        <x:f>hyperlink("https://icd.who.int/dev11/l-ichi/en#/http%3A%2F%2Fid.who.int%2Ficd%2Fentity%2F439298507","browser")</x:f>
      </x:c>
      <x:c r="L12923" s="0">
        <x:f>hyperlink("https://icat2.azurewebsites.net/icat/?ontology=ICD&amp;tab=ClassesTab&amp;id=http%3A%2F%2Fwho.int%2Ficd%2310581_16e67c35_8b57_40bb_9220_818553425a8c","iCat")</x:f>
      </x:c>
      <x:c r="M12923" s="0" t="s">
        <x:v>20</x:v>
      </x:c>
      <x:c r="N12923" s="0" t="s">
        <x:v>2748</x:v>
      </x:c>
    </x:row>
    <x:row r="12924" spans="1:16">
      <x:c r="A12924" s="0" t="s">
        <x:v>49374</x:v>
      </x:c>
      <x:c r="B12924" s="0" t="s">
        <x:v>49375</x:v>
      </x:c>
      <x:c r="C12924" s="0" t="s">
        <x:v>42840</x:v>
      </x:c>
      <x:c r="E12924" s="0" t="s">
        <x:v>49376</x:v>
      </x:c>
      <x:c r="F12924" s="0" t="s">
        <x:v>45</x:v>
      </x:c>
      <x:c r="G12924" s="0" t="s">
        <x:v>35</x:v>
      </x:c>
      <x:c r="H12924" s="0" t="s">
        <x:v>20</x:v>
      </x:c>
      <x:c r="I12924" s="0" t="s">
        <x:v>21</x:v>
      </x:c>
      <x:c r="K12924" s="0">
        <x:f>hyperlink("https://icd.who.int/dev11/l-ichi/en#/http%3A%2F%2Fid.who.int%2Ficd%2Fentity%2F1661013219","browser")</x:f>
      </x:c>
      <x:c r="L12924" s="0">
        <x:f>hyperlink("https://icat2.azurewebsites.net/icat/?ontology=ICD&amp;tab=ClassesTab&amp;id=http%3A%2F%2Fwho.int%2Ficd%23SpecificAnatomicLocation_3221","iCat")</x:f>
      </x:c>
      <x:c r="M12924" s="0" t="s">
        <x:v>21</x:v>
      </x:c>
      <x:c r="N12924" s="0" t="s">
        <x:v>46</x:v>
      </x:c>
    </x:row>
    <x:row r="12925" spans="1:16">
      <x:c r="A12925" s="0" t="s">
        <x:v>49377</x:v>
      </x:c>
      <x:c r="B12925" s="0" t="s">
        <x:v>49378</x:v>
      </x:c>
      <x:c r="C12925" s="0" t="s">
        <x:v>42840</x:v>
      </x:c>
      <x:c r="E12925" s="0" t="s">
        <x:v>49379</x:v>
      </x:c>
      <x:c r="F12925" s="0" t="s">
        <x:v>45</x:v>
      </x:c>
      <x:c r="G12925" s="0" t="s">
        <x:v>35</x:v>
      </x:c>
      <x:c r="H12925" s="0" t="s">
        <x:v>20</x:v>
      </x:c>
      <x:c r="I12925" s="0" t="s">
        <x:v>21</x:v>
      </x:c>
      <x:c r="K12925" s="0">
        <x:f>hyperlink("https://icd.who.int/dev11/l-ichi/en#/http%3A%2F%2Fid.who.int%2Ficd%2Fentity%2F1297204579","browser")</x:f>
      </x:c>
      <x:c r="L12925" s="0">
        <x:f>hyperlink("https://icat2.azurewebsites.net/icat/?ontology=ICD&amp;tab=ClassesTab&amp;id=http%3A%2F%2Fwho.int%2Ficd%23SpecificAnatomicLocation_3223","iCat")</x:f>
      </x:c>
      <x:c r="M12925" s="0" t="s">
        <x:v>21</x:v>
      </x:c>
      <x:c r="N12925" s="0" t="s">
        <x:v>46</x:v>
      </x:c>
    </x:row>
    <x:row r="12926" spans="1:16">
      <x:c r="A12926" s="0" t="s">
        <x:v>49380</x:v>
      </x:c>
      <x:c r="B12926" s="0" t="s">
        <x:v>49381</x:v>
      </x:c>
      <x:c r="C12926" s="0" t="s">
        <x:v>42840</x:v>
      </x:c>
      <x:c r="E12926" s="0" t="s">
        <x:v>49382</x:v>
      </x:c>
      <x:c r="F12926" s="0" t="s">
        <x:v>45</x:v>
      </x:c>
      <x:c r="G12926" s="0" t="s">
        <x:v>35</x:v>
      </x:c>
      <x:c r="H12926" s="0" t="s">
        <x:v>20</x:v>
      </x:c>
      <x:c r="I12926" s="0" t="s">
        <x:v>21</x:v>
      </x:c>
      <x:c r="K12926" s="0">
        <x:f>hyperlink("https://icd.who.int/dev11/l-ichi/en#/http%3A%2F%2Fid.who.int%2Ficd%2Fentity%2F926180756","browser")</x:f>
      </x:c>
      <x:c r="L12926" s="0">
        <x:f>hyperlink("https://icat2.azurewebsites.net/icat/?ontology=ICD&amp;tab=ClassesTab&amp;id=http%3A%2F%2Fwho.int%2Ficd%23SpecificAnatomicLocation_3207","iCat")</x:f>
      </x:c>
      <x:c r="M12926" s="0" t="s">
        <x:v>21</x:v>
      </x:c>
      <x:c r="N12926" s="0" t="s">
        <x:v>46</x:v>
      </x:c>
    </x:row>
    <x:row r="12927" spans="1:16">
      <x:c r="A12927" s="0" t="s">
        <x:v>49383</x:v>
      </x:c>
      <x:c r="B12927" s="0" t="s">
        <x:v>49384</x:v>
      </x:c>
      <x:c r="C12927" s="0" t="s">
        <x:v>42840</x:v>
      </x:c>
      <x:c r="E12927" s="0" t="s">
        <x:v>49385</x:v>
      </x:c>
      <x:c r="F12927" s="0" t="s">
        <x:v>45</x:v>
      </x:c>
      <x:c r="G12927" s="0" t="s">
        <x:v>35</x:v>
      </x:c>
      <x:c r="H12927" s="0" t="s">
        <x:v>20</x:v>
      </x:c>
      <x:c r="I12927" s="0" t="s">
        <x:v>21</x:v>
      </x:c>
      <x:c r="K12927" s="0">
        <x:f>hyperlink("https://icd.who.int/dev11/l-ichi/en#/http%3A%2F%2Fid.who.int%2Ficd%2Fentity%2F114832035","browser")</x:f>
      </x:c>
      <x:c r="L12927" s="0">
        <x:f>hyperlink("https://icat2.azurewebsites.net/icat/?ontology=ICD&amp;tab=ClassesTab&amp;id=http%3A%2F%2Fwho.int%2Ficd%23SpecificAnatomicLocation_3226","iCat")</x:f>
      </x:c>
      <x:c r="M12927" s="0" t="s">
        <x:v>21</x:v>
      </x:c>
      <x:c r="N12927" s="0" t="s">
        <x:v>46</x:v>
      </x:c>
    </x:row>
    <x:row r="12928" spans="1:16">
      <x:c r="A12928" s="0" t="s">
        <x:v>49386</x:v>
      </x:c>
      <x:c r="B12928" s="0" t="s">
        <x:v>49387</x:v>
      </x:c>
      <x:c r="C12928" s="0" t="s">
        <x:v>42840</x:v>
      </x:c>
      <x:c r="E12928" s="0" t="s">
        <x:v>49388</x:v>
      </x:c>
      <x:c r="F12928" s="0" t="s">
        <x:v>45</x:v>
      </x:c>
      <x:c r="G12928" s="0" t="s">
        <x:v>35</x:v>
      </x:c>
      <x:c r="H12928" s="0" t="s">
        <x:v>20</x:v>
      </x:c>
      <x:c r="I12928" s="0" t="s">
        <x:v>21</x:v>
      </x:c>
      <x:c r="K12928" s="0">
        <x:f>hyperlink("https://icd.who.int/dev11/l-ichi/en#/http%3A%2F%2Fid.who.int%2Ficd%2Fentity%2F1740519115","browser")</x:f>
      </x:c>
      <x:c r="L12928" s="0">
        <x:f>hyperlink("https://icat2.azurewebsites.net/icat/?ontology=ICD&amp;tab=ClassesTab&amp;id=http%3A%2F%2Fwho.int%2Ficd%23SpecificAnatomicLocation_3215","iCat")</x:f>
      </x:c>
      <x:c r="M12928" s="0" t="s">
        <x:v>21</x:v>
      </x:c>
      <x:c r="N12928" s="0" t="s">
        <x:v>46</x:v>
      </x:c>
    </x:row>
    <x:row r="12929" spans="1:16">
      <x:c r="A12929" s="0" t="s">
        <x:v>49389</x:v>
      </x:c>
      <x:c r="B12929" s="0" t="s">
        <x:v>49390</x:v>
      </x:c>
      <x:c r="C12929" s="0" t="s">
        <x:v>42840</x:v>
      </x:c>
      <x:c r="E12929" s="0" t="s">
        <x:v>49391</x:v>
      </x:c>
      <x:c r="F12929" s="0" t="s">
        <x:v>45</x:v>
      </x:c>
      <x:c r="G12929" s="0" t="s">
        <x:v>35</x:v>
      </x:c>
      <x:c r="H12929" s="0" t="s">
        <x:v>20</x:v>
      </x:c>
      <x:c r="I12929" s="0" t="s">
        <x:v>21</x:v>
      </x:c>
      <x:c r="K12929" s="0">
        <x:f>hyperlink("https://icd.who.int/dev11/l-ichi/en#/http%3A%2F%2Fid.who.int%2Ficd%2Fentity%2F741851403","browser")</x:f>
      </x:c>
      <x:c r="L12929" s="0">
        <x:f>hyperlink("https://icat2.azurewebsites.net/icat/?ontology=ICD&amp;tab=ClassesTab&amp;id=http%3A%2F%2Fwho.int%2Ficd%23SpecificAnatomicLocation_3210","iCat")</x:f>
      </x:c>
      <x:c r="M12929" s="0" t="s">
        <x:v>21</x:v>
      </x:c>
      <x:c r="N12929" s="0" t="s">
        <x:v>46</x:v>
      </x:c>
    </x:row>
    <x:row r="12930" spans="1:16">
      <x:c r="A12930" s="0" t="s">
        <x:v>49392</x:v>
      </x:c>
      <x:c r="B12930" s="0" t="s">
        <x:v>49393</x:v>
      </x:c>
      <x:c r="C12930" s="0" t="s">
        <x:v>42840</x:v>
      </x:c>
      <x:c r="E12930" s="0" t="s">
        <x:v>49394</x:v>
      </x:c>
      <x:c r="F12930" s="0" t="s">
        <x:v>45</x:v>
      </x:c>
      <x:c r="G12930" s="0" t="s">
        <x:v>35</x:v>
      </x:c>
      <x:c r="H12930" s="0" t="s">
        <x:v>20</x:v>
      </x:c>
      <x:c r="I12930" s="0" t="s">
        <x:v>21</x:v>
      </x:c>
      <x:c r="K12930" s="0">
        <x:f>hyperlink("https://icd.who.int/dev11/l-ichi/en#/http%3A%2F%2Fid.who.int%2Ficd%2Fentity%2F1888899595","browser")</x:f>
      </x:c>
      <x:c r="L12930" s="0">
        <x:f>hyperlink("https://icat2.azurewebsites.net/icat/?ontology=ICD&amp;tab=ClassesTab&amp;id=http%3A%2F%2Fwho.int%2Ficd%23SpecificAnatomicLocation_3214","iCat")</x:f>
      </x:c>
      <x:c r="M12930" s="0" t="s">
        <x:v>21</x:v>
      </x:c>
      <x:c r="N12930" s="0" t="s">
        <x:v>46</x:v>
      </x:c>
    </x:row>
    <x:row r="12931" spans="1:16">
      <x:c r="A12931" s="0" t="s">
        <x:v>49395</x:v>
      </x:c>
      <x:c r="B12931" s="0" t="s">
        <x:v>49396</x:v>
      </x:c>
      <x:c r="C12931" s="0" t="s">
        <x:v>42840</x:v>
      </x:c>
      <x:c r="E12931" s="0" t="s">
        <x:v>49397</x:v>
      </x:c>
      <x:c r="F12931" s="0" t="s">
        <x:v>45</x:v>
      </x:c>
      <x:c r="G12931" s="0" t="s">
        <x:v>35</x:v>
      </x:c>
      <x:c r="H12931" s="0" t="s">
        <x:v>20</x:v>
      </x:c>
      <x:c r="I12931" s="0" t="s">
        <x:v>21</x:v>
      </x:c>
      <x:c r="K12931" s="0">
        <x:f>hyperlink("https://icd.who.int/dev11/l-ichi/en#/http%3A%2F%2Fid.who.int%2Ficd%2Fentity%2F1590074251","browser")</x:f>
      </x:c>
      <x:c r="L12931" s="0">
        <x:f>hyperlink("https://icat2.azurewebsites.net/icat/?ontology=ICD&amp;tab=ClassesTab&amp;id=http%3A%2F%2Fwho.int%2Ficd%23SpecificAnatomicLocation_3216","iCat")</x:f>
      </x:c>
      <x:c r="M12931" s="0" t="s">
        <x:v>21</x:v>
      </x:c>
      <x:c r="N12931" s="0" t="s">
        <x:v>46</x:v>
      </x:c>
    </x:row>
    <x:row r="12932" spans="1:16">
      <x:c r="A12932" s="0" t="s">
        <x:v>49398</x:v>
      </x:c>
      <x:c r="B12932" s="0" t="s">
        <x:v>49399</x:v>
      </x:c>
      <x:c r="C12932" s="0" t="s">
        <x:v>42840</x:v>
      </x:c>
      <x:c r="E12932" s="0" t="s">
        <x:v>49400</x:v>
      </x:c>
      <x:c r="F12932" s="0" t="s">
        <x:v>45</x:v>
      </x:c>
      <x:c r="G12932" s="0" t="s">
        <x:v>35</x:v>
      </x:c>
      <x:c r="H12932" s="0" t="s">
        <x:v>20</x:v>
      </x:c>
      <x:c r="I12932" s="0" t="s">
        <x:v>21</x:v>
      </x:c>
      <x:c r="K12932" s="0">
        <x:f>hyperlink("https://icd.who.int/dev11/l-ichi/en#/http%3A%2F%2Fid.who.int%2Ficd%2Fentity%2F58320620","browser")</x:f>
      </x:c>
      <x:c r="L12932" s="0">
        <x:f>hyperlink("https://icat2.azurewebsites.net/icat/?ontology=ICD&amp;tab=ClassesTab&amp;id=http%3A%2F%2Fwho.int%2Ficd%23SpecificAnatomicLocation_3209","iCat")</x:f>
      </x:c>
      <x:c r="M12932" s="0" t="s">
        <x:v>21</x:v>
      </x:c>
      <x:c r="N12932" s="0" t="s">
        <x:v>46</x:v>
      </x:c>
    </x:row>
    <x:row r="12933" spans="1:16">
      <x:c r="A12933" s="0" t="s">
        <x:v>49401</x:v>
      </x:c>
      <x:c r="B12933" s="0" t="s">
        <x:v>49402</x:v>
      </x:c>
      <x:c r="C12933" s="0" t="s">
        <x:v>42840</x:v>
      </x:c>
      <x:c r="E12933" s="0" t="s">
        <x:v>49403</x:v>
      </x:c>
      <x:c r="F12933" s="0" t="s">
        <x:v>45</x:v>
      </x:c>
      <x:c r="G12933" s="0" t="s">
        <x:v>35</x:v>
      </x:c>
      <x:c r="H12933" s="0" t="s">
        <x:v>20</x:v>
      </x:c>
      <x:c r="I12933" s="0" t="s">
        <x:v>21</x:v>
      </x:c>
      <x:c r="K12933" s="0">
        <x:f>hyperlink("https://icd.who.int/dev11/l-ichi/en#/http%3A%2F%2Fid.who.int%2Ficd%2Fentity%2F680065827","browser")</x:f>
      </x:c>
      <x:c r="L12933" s="0">
        <x:f>hyperlink("https://icat2.azurewebsites.net/icat/?ontology=ICD&amp;tab=ClassesTab&amp;id=http%3A%2F%2Fwho.int%2Ficd%23SpecificAnatomicLocation_3224","iCat")</x:f>
      </x:c>
      <x:c r="M12933" s="0" t="s">
        <x:v>21</x:v>
      </x:c>
      <x:c r="N12933" s="0" t="s">
        <x:v>46</x:v>
      </x:c>
    </x:row>
    <x:row r="12934" spans="1:16">
      <x:c r="A12934" s="0" t="s">
        <x:v>49404</x:v>
      </x:c>
      <x:c r="B12934" s="0" t="s">
        <x:v>49405</x:v>
      </x:c>
      <x:c r="C12934" s="0" t="s">
        <x:v>42840</x:v>
      </x:c>
      <x:c r="E12934" s="0" t="s">
        <x:v>49406</x:v>
      </x:c>
      <x:c r="F12934" s="0" t="s">
        <x:v>45</x:v>
      </x:c>
      <x:c r="G12934" s="0" t="s">
        <x:v>35</x:v>
      </x:c>
      <x:c r="H12934" s="0" t="s">
        <x:v>20</x:v>
      </x:c>
      <x:c r="I12934" s="0" t="s">
        <x:v>21</x:v>
      </x:c>
      <x:c r="K12934" s="0">
        <x:f>hyperlink("https://icd.who.int/dev11/l-ichi/en#/http%3A%2F%2Fid.who.int%2Ficd%2Fentity%2F991929803","browser")</x:f>
      </x:c>
      <x:c r="L12934" s="0">
        <x:f>hyperlink("https://icat2.azurewebsites.net/icat/?ontology=ICD&amp;tab=ClassesTab&amp;id=http%3A%2F%2Fwho.int%2Ficd%23SpecificAnatomicLocation_3211","iCat")</x:f>
      </x:c>
      <x:c r="M12934" s="0" t="s">
        <x:v>21</x:v>
      </x:c>
      <x:c r="N12934" s="0" t="s">
        <x:v>46</x:v>
      </x:c>
    </x:row>
    <x:row r="12935" spans="1:16">
      <x:c r="A12935" s="0" t="s">
        <x:v>49407</x:v>
      </x:c>
      <x:c r="B12935" s="0" t="s">
        <x:v>49408</x:v>
      </x:c>
      <x:c r="C12935" s="0" t="s">
        <x:v>42840</x:v>
      </x:c>
      <x:c r="E12935" s="0" t="s">
        <x:v>49409</x:v>
      </x:c>
      <x:c r="F12935" s="0" t="s">
        <x:v>45</x:v>
      </x:c>
      <x:c r="G12935" s="0" t="s">
        <x:v>35</x:v>
      </x:c>
      <x:c r="H12935" s="0" t="s">
        <x:v>20</x:v>
      </x:c>
      <x:c r="I12935" s="0" t="s">
        <x:v>21</x:v>
      </x:c>
      <x:c r="K12935" s="0">
        <x:f>hyperlink("https://icd.who.int/dev11/l-ichi/en#/http%3A%2F%2Fid.who.int%2Ficd%2Fentity%2F40306827","browser")</x:f>
      </x:c>
      <x:c r="L12935" s="0">
        <x:f>hyperlink("https://icat2.azurewebsites.net/icat/?ontology=ICD&amp;tab=ClassesTab&amp;id=http%3A%2F%2Fwho.int%2Ficd%23SpecificAnatomicLocation_3212","iCat")</x:f>
      </x:c>
      <x:c r="M12935" s="0" t="s">
        <x:v>21</x:v>
      </x:c>
      <x:c r="N12935" s="0" t="s">
        <x:v>46</x:v>
      </x:c>
    </x:row>
    <x:row r="12936" spans="1:16">
      <x:c r="A12936" s="0" t="s">
        <x:v>49410</x:v>
      </x:c>
      <x:c r="B12936" s="0" t="s">
        <x:v>49411</x:v>
      </x:c>
      <x:c r="C12936" s="0" t="s">
        <x:v>42840</x:v>
      </x:c>
      <x:c r="E12936" s="0" t="s">
        <x:v>49412</x:v>
      </x:c>
      <x:c r="F12936" s="0" t="s">
        <x:v>45</x:v>
      </x:c>
      <x:c r="G12936" s="0" t="s">
        <x:v>35</x:v>
      </x:c>
      <x:c r="H12936" s="0" t="s">
        <x:v>20</x:v>
      </x:c>
      <x:c r="I12936" s="0" t="s">
        <x:v>21</x:v>
      </x:c>
      <x:c r="K12936" s="0">
        <x:f>hyperlink("https://icd.who.int/dev11/l-ichi/en#/http%3A%2F%2Fid.who.int%2Ficd%2Fentity%2F1067491299","browser")</x:f>
      </x:c>
      <x:c r="L12936" s="0">
        <x:f>hyperlink("https://icat2.azurewebsites.net/icat/?ontology=ICD&amp;tab=ClassesTab&amp;id=http%3A%2F%2Fwho.int%2Ficd%23SpecificAnatomicLocation_3225","iCat")</x:f>
      </x:c>
      <x:c r="M12936" s="0" t="s">
        <x:v>21</x:v>
      </x:c>
      <x:c r="N12936" s="0" t="s">
        <x:v>46</x:v>
      </x:c>
    </x:row>
    <x:row r="12937" spans="1:16">
      <x:c r="A12937" s="0" t="s">
        <x:v>49413</x:v>
      </x:c>
      <x:c r="B12937" s="0" t="s">
        <x:v>49414</x:v>
      </x:c>
      <x:c r="C12937" s="0" t="s">
        <x:v>42840</x:v>
      </x:c>
      <x:c r="E12937" s="0" t="s">
        <x:v>49415</x:v>
      </x:c>
      <x:c r="F12937" s="0" t="s">
        <x:v>45</x:v>
      </x:c>
      <x:c r="G12937" s="0" t="s">
        <x:v>35</x:v>
      </x:c>
      <x:c r="H12937" s="0" t="s">
        <x:v>20</x:v>
      </x:c>
      <x:c r="I12937" s="0" t="s">
        <x:v>21</x:v>
      </x:c>
      <x:c r="K12937" s="0">
        <x:f>hyperlink("https://icd.who.int/dev11/l-ichi/en#/http%3A%2F%2Fid.who.int%2Ficd%2Fentity%2F2107866165","browser")</x:f>
      </x:c>
      <x:c r="L12937" s="0">
        <x:f>hyperlink("https://icat2.azurewebsites.net/icat/?ontology=ICD&amp;tab=ClassesTab&amp;id=http%3A%2F%2Fwho.int%2Ficd%23SpecificAnatomicLocation_3219","iCat")</x:f>
      </x:c>
      <x:c r="M12937" s="0" t="s">
        <x:v>21</x:v>
      </x:c>
      <x:c r="N12937" s="0" t="s">
        <x:v>46</x:v>
      </x:c>
    </x:row>
    <x:row r="12938" spans="1:16">
      <x:c r="A12938" s="0" t="s">
        <x:v>49416</x:v>
      </x:c>
      <x:c r="B12938" s="0" t="s">
        <x:v>49417</x:v>
      </x:c>
      <x:c r="C12938" s="0" t="s">
        <x:v>42840</x:v>
      </x:c>
      <x:c r="E12938" s="0" t="s">
        <x:v>49418</x:v>
      </x:c>
      <x:c r="F12938" s="0" t="s">
        <x:v>45</x:v>
      </x:c>
      <x:c r="G12938" s="0" t="s">
        <x:v>35</x:v>
      </x:c>
      <x:c r="H12938" s="0" t="s">
        <x:v>20</x:v>
      </x:c>
      <x:c r="I12938" s="0" t="s">
        <x:v>21</x:v>
      </x:c>
      <x:c r="K12938" s="0">
        <x:f>hyperlink("https://icd.who.int/dev11/l-ichi/en#/http%3A%2F%2Fid.who.int%2Ficd%2Fentity%2F1517920675","browser")</x:f>
      </x:c>
      <x:c r="L12938" s="0">
        <x:f>hyperlink("https://icat2.azurewebsites.net/icat/?ontology=ICD&amp;tab=ClassesTab&amp;id=http%3A%2F%2Fwho.int%2Ficd%23SpecificAnatomicLocation_3222","iCat")</x:f>
      </x:c>
      <x:c r="M12938" s="0" t="s">
        <x:v>21</x:v>
      </x:c>
      <x:c r="N12938" s="0" t="s">
        <x:v>46</x:v>
      </x:c>
    </x:row>
    <x:row r="12939" spans="1:16">
      <x:c r="A12939" s="0" t="s">
        <x:v>49419</x:v>
      </x:c>
      <x:c r="B12939" s="0" t="s">
        <x:v>49420</x:v>
      </x:c>
      <x:c r="C12939" s="0" t="s">
        <x:v>42840</x:v>
      </x:c>
      <x:c r="E12939" s="0" t="s">
        <x:v>49421</x:v>
      </x:c>
      <x:c r="F12939" s="0" t="s">
        <x:v>45</x:v>
      </x:c>
      <x:c r="G12939" s="0" t="s">
        <x:v>35</x:v>
      </x:c>
      <x:c r="H12939" s="0" t="s">
        <x:v>20</x:v>
      </x:c>
      <x:c r="I12939" s="0" t="s">
        <x:v>21</x:v>
      </x:c>
      <x:c r="K12939" s="0">
        <x:f>hyperlink("https://icd.who.int/dev11/l-ichi/en#/http%3A%2F%2Fid.who.int%2Ficd%2Fentity%2F340886060","browser")</x:f>
      </x:c>
      <x:c r="L12939" s="0">
        <x:f>hyperlink("https://icat2.azurewebsites.net/icat/?ontology=ICD&amp;tab=ClassesTab&amp;id=http%3A%2F%2Fwho.int%2Ficd%23SpecificAnatomicLocation_3208","iCat")</x:f>
      </x:c>
      <x:c r="M12939" s="0" t="s">
        <x:v>21</x:v>
      </x:c>
      <x:c r="N12939" s="0" t="s">
        <x:v>46</x:v>
      </x:c>
    </x:row>
    <x:row r="12940" spans="1:16">
      <x:c r="A12940" s="0" t="s">
        <x:v>49422</x:v>
      </x:c>
      <x:c r="B12940" s="0" t="s">
        <x:v>49423</x:v>
      </x:c>
      <x:c r="C12940" s="0" t="s">
        <x:v>42840</x:v>
      </x:c>
      <x:c r="E12940" s="0" t="s">
        <x:v>49424</x:v>
      </x:c>
      <x:c r="F12940" s="0" t="s">
        <x:v>45</x:v>
      </x:c>
      <x:c r="G12940" s="0" t="s">
        <x:v>35</x:v>
      </x:c>
      <x:c r="H12940" s="0" t="s">
        <x:v>20</x:v>
      </x:c>
      <x:c r="I12940" s="0" t="s">
        <x:v>21</x:v>
      </x:c>
      <x:c r="K12940" s="0">
        <x:f>hyperlink("https://icd.who.int/dev11/l-ichi/en#/http%3A%2F%2Fid.who.int%2Ficd%2Fentity%2F848671197","browser")</x:f>
      </x:c>
      <x:c r="L12940" s="0">
        <x:f>hyperlink("https://icat2.azurewebsites.net/icat/?ontology=ICD&amp;tab=ClassesTab&amp;id=http%3A%2F%2Fwho.int%2Ficd%23SpecificAnatomicLocation_3228","iCat")</x:f>
      </x:c>
      <x:c r="M12940" s="0" t="s">
        <x:v>21</x:v>
      </x:c>
      <x:c r="N12940" s="0" t="s">
        <x:v>46</x:v>
      </x:c>
    </x:row>
    <x:row r="12941" spans="1:16">
      <x:c r="A12941" s="0" t="s">
        <x:v>49425</x:v>
      </x:c>
      <x:c r="B12941" s="0" t="s">
        <x:v>49426</x:v>
      </x:c>
      <x:c r="C12941" s="0" t="s">
        <x:v>42840</x:v>
      </x:c>
      <x:c r="E12941" s="0" t="s">
        <x:v>49427</x:v>
      </x:c>
      <x:c r="F12941" s="0" t="s">
        <x:v>45</x:v>
      </x:c>
      <x:c r="G12941" s="0" t="s">
        <x:v>35</x:v>
      </x:c>
      <x:c r="H12941" s="0" t="s">
        <x:v>20</x:v>
      </x:c>
      <x:c r="I12941" s="0" t="s">
        <x:v>21</x:v>
      </x:c>
      <x:c r="K12941" s="0">
        <x:f>hyperlink("https://icd.who.int/dev11/l-ichi/en#/http%3A%2F%2Fid.who.int%2Ficd%2Fentity%2F633197853","browser")</x:f>
      </x:c>
      <x:c r="L12941" s="0">
        <x:f>hyperlink("https://icat2.azurewebsites.net/icat/?ontology=ICD&amp;tab=ClassesTab&amp;id=http%3A%2F%2Fwho.int%2Ficd%23SpecificAnatomicLocation_3229","iCat")</x:f>
      </x:c>
      <x:c r="M12941" s="0" t="s">
        <x:v>21</x:v>
      </x:c>
      <x:c r="N12941" s="0" t="s">
        <x:v>46</x:v>
      </x:c>
    </x:row>
    <x:row r="12942" spans="1:16">
      <x:c r="A12942" s="0" t="s">
        <x:v>49428</x:v>
      </x:c>
      <x:c r="B12942" s="0" t="s">
        <x:v>49429</x:v>
      </x:c>
      <x:c r="C12942" s="0" t="s">
        <x:v>42840</x:v>
      </x:c>
      <x:c r="E12942" s="0" t="s">
        <x:v>49430</x:v>
      </x:c>
      <x:c r="F12942" s="0" t="s">
        <x:v>45</x:v>
      </x:c>
      <x:c r="G12942" s="0" t="s">
        <x:v>35</x:v>
      </x:c>
      <x:c r="H12942" s="0" t="s">
        <x:v>20</x:v>
      </x:c>
      <x:c r="I12942" s="0" t="s">
        <x:v>21</x:v>
      </x:c>
      <x:c r="K12942" s="0">
        <x:f>hyperlink("https://icd.who.int/dev11/l-ichi/en#/http%3A%2F%2Fid.who.int%2Ficd%2Fentity%2F357526603","browser")</x:f>
      </x:c>
      <x:c r="L12942" s="0">
        <x:f>hyperlink("https://icat2.azurewebsites.net/icat/?ontology=ICD&amp;tab=ClassesTab&amp;id=http%3A%2F%2Fwho.int%2Ficd%23SpecificAnatomicLocation_3213","iCat")</x:f>
      </x:c>
      <x:c r="M12942" s="0" t="s">
        <x:v>21</x:v>
      </x:c>
      <x:c r="N12942" s="0" t="s">
        <x:v>46</x:v>
      </x:c>
    </x:row>
    <x:row r="12943" spans="1:16">
      <x:c r="A12943" s="0" t="s">
        <x:v>49431</x:v>
      </x:c>
      <x:c r="B12943" s="0" t="s">
        <x:v>49432</x:v>
      </x:c>
      <x:c r="C12943" s="0" t="s">
        <x:v>42840</x:v>
      </x:c>
      <x:c r="E12943" s="0" t="s">
        <x:v>49433</x:v>
      </x:c>
      <x:c r="F12943" s="0" t="s">
        <x:v>45</x:v>
      </x:c>
      <x:c r="G12943" s="0" t="s">
        <x:v>35</x:v>
      </x:c>
      <x:c r="H12943" s="0" t="s">
        <x:v>20</x:v>
      </x:c>
      <x:c r="I12943" s="0" t="s">
        <x:v>21</x:v>
      </x:c>
      <x:c r="K12943" s="0">
        <x:f>hyperlink("https://icd.who.int/dev11/l-ichi/en#/http%3A%2F%2Fid.who.int%2Ficd%2Fentity%2F300963427","browser")</x:f>
      </x:c>
      <x:c r="L12943" s="0">
        <x:f>hyperlink("https://icat2.azurewebsites.net/icat/?ontology=ICD&amp;tab=ClassesTab&amp;id=http%3A%2F%2Fwho.int%2Ficd%23SpecificAnatomicLocation_3227","iCat")</x:f>
      </x:c>
      <x:c r="M12943" s="0" t="s">
        <x:v>21</x:v>
      </x:c>
      <x:c r="N12943" s="0" t="s">
        <x:v>46</x:v>
      </x:c>
    </x:row>
    <x:row r="12944" spans="1:16">
      <x:c r="A12944" s="0" t="s">
        <x:v>49434</x:v>
      </x:c>
      <x:c r="B12944" s="0" t="s">
        <x:v>49435</x:v>
      </x:c>
      <x:c r="C12944" s="0" t="s">
        <x:v>42840</x:v>
      </x:c>
      <x:c r="E12944" s="0" t="s">
        <x:v>49436</x:v>
      </x:c>
      <x:c r="F12944" s="0" t="s">
        <x:v>45</x:v>
      </x:c>
      <x:c r="G12944" s="0" t="s">
        <x:v>35</x:v>
      </x:c>
      <x:c r="H12944" s="0" t="s">
        <x:v>20</x:v>
      </x:c>
      <x:c r="I12944" s="0" t="s">
        <x:v>21</x:v>
      </x:c>
      <x:c r="K12944" s="0">
        <x:f>hyperlink("https://icd.who.int/dev11/l-ichi/en#/http%3A%2F%2Fid.who.int%2Ficd%2Fentity%2F1787500789","browser")</x:f>
      </x:c>
      <x:c r="L12944" s="0">
        <x:f>hyperlink("https://icat2.azurewebsites.net/icat/?ontology=ICD&amp;tab=ClassesTab&amp;id=http%3A%2F%2Fwho.int%2Ficd%23SpecificAnatomicLocation_3218","iCat")</x:f>
      </x:c>
      <x:c r="M12944" s="0" t="s">
        <x:v>21</x:v>
      </x:c>
      <x:c r="N12944" s="0" t="s">
        <x:v>46</x:v>
      </x:c>
    </x:row>
    <x:row r="12945" spans="1:16">
      <x:c r="A12945" s="0" t="s">
        <x:v>49437</x:v>
      </x:c>
      <x:c r="B12945" s="0" t="s">
        <x:v>49438</x:v>
      </x:c>
      <x:c r="C12945" s="0" t="s">
        <x:v>42840</x:v>
      </x:c>
      <x:c r="E12945" s="0" t="s">
        <x:v>49439</x:v>
      </x:c>
      <x:c r="F12945" s="0" t="s">
        <x:v>45</x:v>
      </x:c>
      <x:c r="G12945" s="0" t="s">
        <x:v>35</x:v>
      </x:c>
      <x:c r="H12945" s="0" t="s">
        <x:v>20</x:v>
      </x:c>
      <x:c r="I12945" s="0" t="s">
        <x:v>21</x:v>
      </x:c>
      <x:c r="K12945" s="0">
        <x:f>hyperlink("https://icd.who.int/dev11/l-ichi/en#/http%3A%2F%2Fid.who.int%2Ficd%2Fentity%2F528559059","browser")</x:f>
      </x:c>
      <x:c r="L12945" s="0">
        <x:f>hyperlink("https://icat2.azurewebsites.net/icat/?ontology=ICD&amp;tab=ClassesTab&amp;id=http%3A%2F%2Fwho.int%2Ficd%23SpecificAnatomicLocation_3593","iCat")</x:f>
      </x:c>
      <x:c r="M12945" s="0" t="s">
        <x:v>21</x:v>
      </x:c>
      <x:c r="N12945" s="0" t="s">
        <x:v>46</x:v>
      </x:c>
    </x:row>
    <x:row r="12946" spans="1:16">
      <x:c r="A12946" s="0" t="s">
        <x:v>49440</x:v>
      </x:c>
      <x:c r="B12946" s="0" t="s">
        <x:v>49441</x:v>
      </x:c>
      <x:c r="C12946" s="0" t="s">
        <x:v>42840</x:v>
      </x:c>
      <x:c r="E12946" s="0" t="s">
        <x:v>49442</x:v>
      </x:c>
      <x:c r="F12946" s="0" t="s">
        <x:v>45</x:v>
      </x:c>
      <x:c r="G12946" s="0" t="s">
        <x:v>19</x:v>
      </x:c>
      <x:c r="H12946" s="0" t="s">
        <x:v>20</x:v>
      </x:c>
      <x:c r="I12946" s="0" t="s">
        <x:v>21</x:v>
      </x:c>
      <x:c r="K12946" s="0">
        <x:f>hyperlink("https://icd.who.int/dev11/l-ichi/en#/http%3A%2F%2Fid.who.int%2Ficd%2Fentity%2F2085220884","browser")</x:f>
      </x:c>
      <x:c r="L12946" s="0">
        <x:f>hyperlink("https://icat2.azurewebsites.net/icat/?ontology=ICD&amp;tab=ClassesTab&amp;id=http%3A%2F%2Fwho.int%2Ficd%23SpecificAnatomicLocation_3253","iCat")</x:f>
      </x:c>
      <x:c r="M12946" s="0" t="s">
        <x:v>20</x:v>
      </x:c>
      <x:c r="N12946" s="0" t="s">
        <x:v>30</x:v>
      </x:c>
    </x:row>
    <x:row r="12947" spans="1:16">
      <x:c r="A12947" s="0" t="s">
        <x:v>49443</x:v>
      </x:c>
      <x:c r="B12947" s="0" t="s">
        <x:v>49444</x:v>
      </x:c>
      <x:c r="C12947" s="0" t="s">
        <x:v>42840</x:v>
      </x:c>
      <x:c r="E12947" s="0" t="s">
        <x:v>49445</x:v>
      </x:c>
      <x:c r="F12947" s="0" t="s">
        <x:v>45</x:v>
      </x:c>
      <x:c r="G12947" s="0" t="s">
        <x:v>30</x:v>
      </x:c>
      <x:c r="H12947" s="0" t="s">
        <x:v>20</x:v>
      </x:c>
      <x:c r="I12947" s="0" t="s">
        <x:v>21</x:v>
      </x:c>
      <x:c r="K12947" s="0">
        <x:f>hyperlink("https://icd.who.int/dev11/l-ichi/en#/http%3A%2F%2Fid.who.int%2Ficd%2Fentity%2F1959335168","browser")</x:f>
      </x:c>
      <x:c r="L12947" s="0">
        <x:f>hyperlink("https://icat2.azurewebsites.net/icat/?ontology=ICD&amp;tab=ClassesTab&amp;id=http%3A%2F%2Fwho.int%2Ficd%2310693_16e67c35_8b57_40bb_9220_818553425a8c","iCat")</x:f>
      </x:c>
      <x:c r="M12947" s="0" t="s">
        <x:v>20</x:v>
      </x:c>
      <x:c r="N12947" s="0" t="s">
        <x:v>40</x:v>
      </x:c>
    </x:row>
    <x:row r="12948" spans="1:16">
      <x:c r="A12948" s="0" t="s">
        <x:v>49446</x:v>
      </x:c>
      <x:c r="B12948" s="0" t="s">
        <x:v>49447</x:v>
      </x:c>
      <x:c r="C12948" s="0" t="s">
        <x:v>42840</x:v>
      </x:c>
      <x:c r="E12948" s="0" t="s">
        <x:v>49448</x:v>
      </x:c>
      <x:c r="F12948" s="0" t="s">
        <x:v>45</x:v>
      </x:c>
      <x:c r="G12948" s="0" t="s">
        <x:v>35</x:v>
      </x:c>
      <x:c r="H12948" s="0" t="s">
        <x:v>20</x:v>
      </x:c>
      <x:c r="I12948" s="0" t="s">
        <x:v>21</x:v>
      </x:c>
      <x:c r="K12948" s="0">
        <x:f>hyperlink("https://icd.who.int/dev11/l-ichi/en#/http%3A%2F%2Fid.who.int%2Ficd%2Fentity%2F1670051326","browser")</x:f>
      </x:c>
      <x:c r="L12948" s="0">
        <x:f>hyperlink("https://icat2.azurewebsites.net/icat/?ontology=ICD&amp;tab=ClassesTab&amp;id=http%3A%2F%2Fwho.int%2Ficd%233469_d9027f82_5e3d_47a4_a6fe_3c65954dde3a","iCat")</x:f>
      </x:c>
      <x:c r="M12948" s="0" t="s">
        <x:v>21</x:v>
      </x:c>
      <x:c r="N12948" s="0" t="s">
        <x:v>46</x:v>
      </x:c>
    </x:row>
    <x:row r="12949" spans="1:16">
      <x:c r="A12949" s="0" t="s">
        <x:v>49449</x:v>
      </x:c>
      <x:c r="B12949" s="0" t="s">
        <x:v>49450</x:v>
      </x:c>
      <x:c r="C12949" s="0" t="s">
        <x:v>42840</x:v>
      </x:c>
      <x:c r="E12949" s="0" t="s">
        <x:v>49451</x:v>
      </x:c>
      <x:c r="F12949" s="0" t="s">
        <x:v>45</x:v>
      </x:c>
      <x:c r="G12949" s="0" t="s">
        <x:v>35</x:v>
      </x:c>
      <x:c r="H12949" s="0" t="s">
        <x:v>20</x:v>
      </x:c>
      <x:c r="I12949" s="0" t="s">
        <x:v>21</x:v>
      </x:c>
      <x:c r="K12949" s="0">
        <x:f>hyperlink("https://icd.who.int/dev11/l-ichi/en#/http%3A%2F%2Fid.who.int%2Ficd%2Fentity%2F2013440124","browser")</x:f>
      </x:c>
      <x:c r="L12949" s="0">
        <x:f>hyperlink("https://icat2.azurewebsites.net/icat/?ontology=ICD&amp;tab=ClassesTab&amp;id=http%3A%2F%2Fwho.int%2Ficd%23SpecificAnatomicLocation_3236","iCat")</x:f>
      </x:c>
      <x:c r="M12949" s="0" t="s">
        <x:v>21</x:v>
      </x:c>
      <x:c r="N12949" s="0" t="s">
        <x:v>46</x:v>
      </x:c>
    </x:row>
    <x:row r="12950" spans="1:16">
      <x:c r="A12950" s="0" t="s">
        <x:v>49452</x:v>
      </x:c>
      <x:c r="B12950" s="0" t="s">
        <x:v>49453</x:v>
      </x:c>
      <x:c r="C12950" s="0" t="s">
        <x:v>42840</x:v>
      </x:c>
      <x:c r="E12950" s="0" t="s">
        <x:v>49454</x:v>
      </x:c>
      <x:c r="F12950" s="0" t="s">
        <x:v>45</x:v>
      </x:c>
      <x:c r="G12950" s="0" t="s">
        <x:v>35</x:v>
      </x:c>
      <x:c r="H12950" s="0" t="s">
        <x:v>20</x:v>
      </x:c>
      <x:c r="I12950" s="0" t="s">
        <x:v>21</x:v>
      </x:c>
      <x:c r="K12950" s="0">
        <x:f>hyperlink("https://icd.who.int/dev11/l-ichi/en#/http%3A%2F%2Fid.who.int%2Ficd%2Fentity%2F1448239612","browser")</x:f>
      </x:c>
      <x:c r="L12950" s="0">
        <x:f>hyperlink("https://icat2.azurewebsites.net/icat/?ontology=ICD&amp;tab=ClassesTab&amp;id=http%3A%2F%2Fwho.int%2Ficd%23SpecificAnatomicLocation_3234","iCat")</x:f>
      </x:c>
      <x:c r="M12950" s="0" t="s">
        <x:v>21</x:v>
      </x:c>
      <x:c r="N12950" s="0" t="s">
        <x:v>46</x:v>
      </x:c>
    </x:row>
    <x:row r="12951" spans="1:16">
      <x:c r="A12951" s="0" t="s">
        <x:v>49455</x:v>
      </x:c>
      <x:c r="B12951" s="0" t="s">
        <x:v>49456</x:v>
      </x:c>
      <x:c r="C12951" s="0" t="s">
        <x:v>42840</x:v>
      </x:c>
      <x:c r="E12951" s="0" t="s">
        <x:v>49457</x:v>
      </x:c>
      <x:c r="F12951" s="0" t="s">
        <x:v>45</x:v>
      </x:c>
      <x:c r="G12951" s="0" t="s">
        <x:v>35</x:v>
      </x:c>
      <x:c r="H12951" s="0" t="s">
        <x:v>20</x:v>
      </x:c>
      <x:c r="I12951" s="0" t="s">
        <x:v>21</x:v>
      </x:c>
      <x:c r="K12951" s="0">
        <x:f>hyperlink("https://icd.who.int/dev11/l-ichi/en#/http%3A%2F%2Fid.who.int%2Ficd%2Fentity%2F1098515772","browser")</x:f>
      </x:c>
      <x:c r="L12951" s="0">
        <x:f>hyperlink("https://icat2.azurewebsites.net/icat/?ontology=ICD&amp;tab=ClassesTab&amp;id=http%3A%2F%2Fwho.int%2Ficd%23SpecificAnatomicLocation_3235","iCat")</x:f>
      </x:c>
      <x:c r="M12951" s="0" t="s">
        <x:v>21</x:v>
      </x:c>
      <x:c r="N12951" s="0" t="s">
        <x:v>46</x:v>
      </x:c>
    </x:row>
    <x:row r="12952" spans="1:16">
      <x:c r="A12952" s="0" t="s">
        <x:v>49458</x:v>
      </x:c>
      <x:c r="B12952" s="0" t="s">
        <x:v>49459</x:v>
      </x:c>
      <x:c r="C12952" s="0" t="s">
        <x:v>42840</x:v>
      </x:c>
      <x:c r="E12952" s="0" t="s">
        <x:v>49460</x:v>
      </x:c>
      <x:c r="F12952" s="0" t="s">
        <x:v>45</x:v>
      </x:c>
      <x:c r="G12952" s="0" t="s">
        <x:v>35</x:v>
      </x:c>
      <x:c r="H12952" s="0" t="s">
        <x:v>20</x:v>
      </x:c>
      <x:c r="I12952" s="0" t="s">
        <x:v>21</x:v>
      </x:c>
      <x:c r="K12952" s="0">
        <x:f>hyperlink("https://icd.who.int/dev11/l-ichi/en#/http%3A%2F%2Fid.who.int%2Ficd%2Fentity%2F1377385364","browser")</x:f>
      </x:c>
      <x:c r="L12952" s="0">
        <x:f>hyperlink("https://icat2.azurewebsites.net/icat/?ontology=ICD&amp;tab=ClassesTab&amp;id=http%3A%2F%2Fwho.int%2Ficd%23SpecificAnatomicLocation_3251","iCat")</x:f>
      </x:c>
      <x:c r="M12952" s="0" t="s">
        <x:v>21</x:v>
      </x:c>
      <x:c r="N12952" s="0" t="s">
        <x:v>46</x:v>
      </x:c>
    </x:row>
    <x:row r="12953" spans="1:16">
      <x:c r="A12953" s="0" t="s">
        <x:v>49461</x:v>
      </x:c>
      <x:c r="B12953" s="0" t="s">
        <x:v>49462</x:v>
      </x:c>
      <x:c r="C12953" s="0" t="s">
        <x:v>42840</x:v>
      </x:c>
      <x:c r="E12953" s="0" t="s">
        <x:v>49463</x:v>
      </x:c>
      <x:c r="F12953" s="0" t="s">
        <x:v>45</x:v>
      </x:c>
      <x:c r="G12953" s="0" t="s">
        <x:v>30</x:v>
      </x:c>
      <x:c r="H12953" s="0" t="s">
        <x:v>20</x:v>
      </x:c>
      <x:c r="I12953" s="0" t="s">
        <x:v>21</x:v>
      </x:c>
      <x:c r="K12953" s="0">
        <x:f>hyperlink("https://icd.who.int/dev11/l-ichi/en#/http%3A%2F%2Fid.who.int%2Ficd%2Fentity%2F1050605669","browser")</x:f>
      </x:c>
      <x:c r="L12953" s="0">
        <x:f>hyperlink("https://icat2.azurewebsites.net/icat/?ontology=ICD&amp;tab=ClassesTab&amp;id=http%3A%2F%2Fwho.int%2Ficd%2310712_16e67c35_8b57_40bb_9220_818553425a8c","iCat")</x:f>
      </x:c>
      <x:c r="M12953" s="0" t="s">
        <x:v>20</x:v>
      </x:c>
      <x:c r="N12953" s="0" t="s">
        <x:v>584</x:v>
      </x:c>
    </x:row>
    <x:row r="12954" spans="1:16">
      <x:c r="A12954" s="0" t="s">
        <x:v>49464</x:v>
      </x:c>
      <x:c r="B12954" s="0" t="s">
        <x:v>49465</x:v>
      </x:c>
      <x:c r="C12954" s="0" t="s">
        <x:v>42840</x:v>
      </x:c>
      <x:c r="E12954" s="0" t="s">
        <x:v>49466</x:v>
      </x:c>
      <x:c r="F12954" s="0" t="s">
        <x:v>45</x:v>
      </x:c>
      <x:c r="G12954" s="0" t="s">
        <x:v>35</x:v>
      </x:c>
      <x:c r="H12954" s="0" t="s">
        <x:v>20</x:v>
      </x:c>
      <x:c r="I12954" s="0" t="s">
        <x:v>21</x:v>
      </x:c>
      <x:c r="K12954" s="0">
        <x:f>hyperlink("https://icd.who.int/dev11/l-ichi/en#/http%3A%2F%2Fid.who.int%2Ficd%2Fentity%2F1732925069","browser")</x:f>
      </x:c>
      <x:c r="L12954" s="0">
        <x:f>hyperlink("https://icat2.azurewebsites.net/icat/?ontology=ICD&amp;tab=ClassesTab&amp;id=http%3A%2F%2Fwho.int%2Ficd%23SpecificAnatomicLocation_3244","iCat")</x:f>
      </x:c>
      <x:c r="M12954" s="0" t="s">
        <x:v>21</x:v>
      </x:c>
      <x:c r="N12954" s="0" t="s">
        <x:v>46</x:v>
      </x:c>
    </x:row>
    <x:row r="12955" spans="1:16">
      <x:c r="A12955" s="0" t="s">
        <x:v>49467</x:v>
      </x:c>
      <x:c r="B12955" s="0" t="s">
        <x:v>49468</x:v>
      </x:c>
      <x:c r="C12955" s="0" t="s">
        <x:v>42840</x:v>
      </x:c>
      <x:c r="E12955" s="0" t="s">
        <x:v>49469</x:v>
      </x:c>
      <x:c r="F12955" s="0" t="s">
        <x:v>45</x:v>
      </x:c>
      <x:c r="G12955" s="0" t="s">
        <x:v>35</x:v>
      </x:c>
      <x:c r="H12955" s="0" t="s">
        <x:v>20</x:v>
      </x:c>
      <x:c r="I12955" s="0" t="s">
        <x:v>21</x:v>
      </x:c>
      <x:c r="K12955" s="0">
        <x:f>hyperlink("https://icd.who.int/dev11/l-ichi/en#/http%3A%2F%2Fid.who.int%2Ficd%2Fentity%2F1160863572","browser")</x:f>
      </x:c>
      <x:c r="L12955" s="0">
        <x:f>hyperlink("https://icat2.azurewebsites.net/icat/?ontology=ICD&amp;tab=ClassesTab&amp;id=http%3A%2F%2Fwho.int%2Ficd%23SpecificAnatomicLocation_3250","iCat")</x:f>
      </x:c>
      <x:c r="M12955" s="0" t="s">
        <x:v>21</x:v>
      </x:c>
      <x:c r="N12955" s="0" t="s">
        <x:v>46</x:v>
      </x:c>
    </x:row>
    <x:row r="12956" spans="1:16">
      <x:c r="A12956" s="0" t="s">
        <x:v>49470</x:v>
      </x:c>
      <x:c r="B12956" s="0" t="s">
        <x:v>49471</x:v>
      </x:c>
      <x:c r="C12956" s="0" t="s">
        <x:v>42840</x:v>
      </x:c>
      <x:c r="E12956" s="0" t="s">
        <x:v>49472</x:v>
      </x:c>
      <x:c r="F12956" s="0" t="s">
        <x:v>45</x:v>
      </x:c>
      <x:c r="G12956" s="0" t="s">
        <x:v>35</x:v>
      </x:c>
      <x:c r="H12956" s="0" t="s">
        <x:v>20</x:v>
      </x:c>
      <x:c r="I12956" s="0" t="s">
        <x:v>21</x:v>
      </x:c>
      <x:c r="K12956" s="0">
        <x:f>hyperlink("https://icd.who.int/dev11/l-ichi/en#/http%3A%2F%2Fid.who.int%2Ficd%2Fentity%2F1280256772","browser")</x:f>
      </x:c>
      <x:c r="L12956" s="0">
        <x:f>hyperlink("https://icat2.azurewebsites.net/icat/?ontology=ICD&amp;tab=ClassesTab&amp;id=http%3A%2F%2Fwho.int%2Ficd%23SpecificAnatomicLocation_3238","iCat")</x:f>
      </x:c>
      <x:c r="M12956" s="0" t="s">
        <x:v>21</x:v>
      </x:c>
      <x:c r="N12956" s="0" t="s">
        <x:v>46</x:v>
      </x:c>
    </x:row>
    <x:row r="12957" spans="1:16">
      <x:c r="A12957" s="0" t="s">
        <x:v>49473</x:v>
      </x:c>
      <x:c r="B12957" s="0" t="s">
        <x:v>49474</x:v>
      </x:c>
      <x:c r="C12957" s="0" t="s">
        <x:v>42840</x:v>
      </x:c>
      <x:c r="E12957" s="0" t="s">
        <x:v>49475</x:v>
      </x:c>
      <x:c r="F12957" s="0" t="s">
        <x:v>45</x:v>
      </x:c>
      <x:c r="G12957" s="0" t="s">
        <x:v>35</x:v>
      </x:c>
      <x:c r="H12957" s="0" t="s">
        <x:v>20</x:v>
      </x:c>
      <x:c r="I12957" s="0" t="s">
        <x:v>21</x:v>
      </x:c>
      <x:c r="K12957" s="0">
        <x:f>hyperlink("https://icd.who.int/dev11/l-ichi/en#/http%3A%2F%2Fid.who.int%2Ficd%2Fentity%2F1533497284","browser")</x:f>
      </x:c>
      <x:c r="L12957" s="0">
        <x:f>hyperlink("https://icat2.azurewebsites.net/icat/?ontology=ICD&amp;tab=ClassesTab&amp;id=http%3A%2F%2Fwho.int%2Ficd%23SpecificAnatomicLocation_3239","iCat")</x:f>
      </x:c>
      <x:c r="M12957" s="0" t="s">
        <x:v>21</x:v>
      </x:c>
      <x:c r="N12957" s="0" t="s">
        <x:v>46</x:v>
      </x:c>
    </x:row>
    <x:row r="12958" spans="1:16">
      <x:c r="A12958" s="0" t="s">
        <x:v>49476</x:v>
      </x:c>
      <x:c r="B12958" s="0" t="s">
        <x:v>49477</x:v>
      </x:c>
      <x:c r="C12958" s="0" t="s">
        <x:v>42840</x:v>
      </x:c>
      <x:c r="E12958" s="0" t="s">
        <x:v>49478</x:v>
      </x:c>
      <x:c r="F12958" s="0" t="s">
        <x:v>45</x:v>
      </x:c>
      <x:c r="G12958" s="0" t="s">
        <x:v>35</x:v>
      </x:c>
      <x:c r="H12958" s="0" t="s">
        <x:v>20</x:v>
      </x:c>
      <x:c r="I12958" s="0" t="s">
        <x:v>21</x:v>
      </x:c>
      <x:c r="K12958" s="0">
        <x:f>hyperlink("https://icd.who.int/dev11/l-ichi/en#/http%3A%2F%2Fid.who.int%2Ficd%2Fentity%2F1580399565","browser")</x:f>
      </x:c>
      <x:c r="L12958" s="0">
        <x:f>hyperlink("https://icat2.azurewebsites.net/icat/?ontology=ICD&amp;tab=ClassesTab&amp;id=http%3A%2F%2Fwho.int%2Ficd%23SpecificAnatomicLocation_3247","iCat")</x:f>
      </x:c>
      <x:c r="M12958" s="0" t="s">
        <x:v>21</x:v>
      </x:c>
      <x:c r="N12958" s="0" t="s">
        <x:v>46</x:v>
      </x:c>
    </x:row>
    <x:row r="12959" spans="1:16">
      <x:c r="A12959" s="0" t="s">
        <x:v>49479</x:v>
      </x:c>
      <x:c r="B12959" s="0" t="s">
        <x:v>49480</x:v>
      </x:c>
      <x:c r="C12959" s="0" t="s">
        <x:v>42840</x:v>
      </x:c>
      <x:c r="E12959" s="0" t="s">
        <x:v>49481</x:v>
      </x:c>
      <x:c r="F12959" s="0" t="s">
        <x:v>45</x:v>
      </x:c>
      <x:c r="G12959" s="0" t="s">
        <x:v>35</x:v>
      </x:c>
      <x:c r="H12959" s="0" t="s">
        <x:v>20</x:v>
      </x:c>
      <x:c r="I12959" s="0" t="s">
        <x:v>21</x:v>
      </x:c>
      <x:c r="K12959" s="0">
        <x:f>hyperlink("https://icd.who.int/dev11/l-ichi/en#/http%3A%2F%2Fid.who.int%2Ficd%2Fentity%2F1801557716","browser")</x:f>
      </x:c>
      <x:c r="L12959" s="0">
        <x:f>hyperlink("https://icat2.azurewebsites.net/icat/?ontology=ICD&amp;tab=ClassesTab&amp;id=http%3A%2F%2Fwho.int%2Ficd%23SpecificAnatomicLocation_3252","iCat")</x:f>
      </x:c>
      <x:c r="M12959" s="0" t="s">
        <x:v>21</x:v>
      </x:c>
      <x:c r="N12959" s="0" t="s">
        <x:v>46</x:v>
      </x:c>
    </x:row>
    <x:row r="12960" spans="1:16">
      <x:c r="A12960" s="0" t="s">
        <x:v>49482</x:v>
      </x:c>
      <x:c r="B12960" s="0" t="s">
        <x:v>49483</x:v>
      </x:c>
      <x:c r="C12960" s="0" t="s">
        <x:v>42840</x:v>
      </x:c>
      <x:c r="E12960" s="0" t="s">
        <x:v>49484</x:v>
      </x:c>
      <x:c r="F12960" s="0" t="s">
        <x:v>45</x:v>
      </x:c>
      <x:c r="G12960" s="0" t="s">
        <x:v>35</x:v>
      </x:c>
      <x:c r="H12960" s="0" t="s">
        <x:v>20</x:v>
      </x:c>
      <x:c r="I12960" s="0" t="s">
        <x:v>21</x:v>
      </x:c>
      <x:c r="K12960" s="0">
        <x:f>hyperlink("https://icd.who.int/dev11/l-ichi/en#/http%3A%2F%2Fid.who.int%2Ficd%2Fentity%2F1226481421","browser")</x:f>
      </x:c>
      <x:c r="L12960" s="0">
        <x:f>hyperlink("https://icat2.azurewebsites.net/icat/?ontology=ICD&amp;tab=ClassesTab&amp;id=http%3A%2F%2Fwho.int%2Ficd%23SpecificAnatomicLocation_3246","iCat")</x:f>
      </x:c>
      <x:c r="M12960" s="0" t="s">
        <x:v>21</x:v>
      </x:c>
      <x:c r="N12960" s="0" t="s">
        <x:v>46</x:v>
      </x:c>
    </x:row>
    <x:row r="12961" spans="1:16">
      <x:c r="A12961" s="0" t="s">
        <x:v>49485</x:v>
      </x:c>
      <x:c r="B12961" s="0" t="s">
        <x:v>49486</x:v>
      </x:c>
      <x:c r="C12961" s="0" t="s">
        <x:v>42840</x:v>
      </x:c>
      <x:c r="E12961" s="0" t="s">
        <x:v>49487</x:v>
      </x:c>
      <x:c r="F12961" s="0" t="s">
        <x:v>45</x:v>
      </x:c>
      <x:c r="G12961" s="0" t="s">
        <x:v>35</x:v>
      </x:c>
      <x:c r="H12961" s="0" t="s">
        <x:v>20</x:v>
      </x:c>
      <x:c r="I12961" s="0" t="s">
        <x:v>21</x:v>
      </x:c>
      <x:c r="K12961" s="0">
        <x:f>hyperlink("https://icd.who.int/dev11/l-ichi/en#/http%3A%2F%2Fid.who.int%2Ficd%2Fentity%2F2102860915","browser")</x:f>
      </x:c>
      <x:c r="L12961" s="0">
        <x:f>hyperlink("https://icat2.azurewebsites.net/icat/?ontology=ICD&amp;tab=ClassesTab&amp;id=http%3A%2F%2Fwho.int%2Ficd%23SpecificAnatomicLocation_3248","iCat")</x:f>
      </x:c>
      <x:c r="M12961" s="0" t="s">
        <x:v>21</x:v>
      </x:c>
      <x:c r="N12961" s="0" t="s">
        <x:v>46</x:v>
      </x:c>
    </x:row>
    <x:row r="12962" spans="1:16">
      <x:c r="A12962" s="0" t="s">
        <x:v>49488</x:v>
      </x:c>
      <x:c r="B12962" s="0" t="s">
        <x:v>49489</x:v>
      </x:c>
      <x:c r="C12962" s="0" t="s">
        <x:v>42840</x:v>
      </x:c>
      <x:c r="E12962" s="0" t="s">
        <x:v>49490</x:v>
      </x:c>
      <x:c r="F12962" s="0" t="s">
        <x:v>45</x:v>
      </x:c>
      <x:c r="G12962" s="0" t="s">
        <x:v>35</x:v>
      </x:c>
      <x:c r="H12962" s="0" t="s">
        <x:v>20</x:v>
      </x:c>
      <x:c r="I12962" s="0" t="s">
        <x:v>21</x:v>
      </x:c>
      <x:c r="K12962" s="0">
        <x:f>hyperlink("https://icd.who.int/dev11/l-ichi/en#/http%3A%2F%2Fid.who.int%2Ficd%2Fentity%2F751018317","browser")</x:f>
      </x:c>
      <x:c r="L12962" s="0">
        <x:f>hyperlink("https://icat2.azurewebsites.net/icat/?ontology=ICD&amp;tab=ClassesTab&amp;id=http%3A%2F%2Fwho.int%2Ficd%23SpecificAnatomicLocation_3241","iCat")</x:f>
      </x:c>
      <x:c r="M12962" s="0" t="s">
        <x:v>21</x:v>
      </x:c>
      <x:c r="N12962" s="0" t="s">
        <x:v>46</x:v>
      </x:c>
    </x:row>
    <x:row r="12963" spans="1:16">
      <x:c r="A12963" s="0" t="s">
        <x:v>49491</x:v>
      </x:c>
      <x:c r="B12963" s="0" t="s">
        <x:v>49492</x:v>
      </x:c>
      <x:c r="C12963" s="0" t="s">
        <x:v>42840</x:v>
      </x:c>
      <x:c r="E12963" s="0" t="s">
        <x:v>49493</x:v>
      </x:c>
      <x:c r="F12963" s="0" t="s">
        <x:v>45</x:v>
      </x:c>
      <x:c r="G12963" s="0" t="s">
        <x:v>35</x:v>
      </x:c>
      <x:c r="H12963" s="0" t="s">
        <x:v>20</x:v>
      </x:c>
      <x:c r="I12963" s="0" t="s">
        <x:v>21</x:v>
      </x:c>
      <x:c r="K12963" s="0">
        <x:f>hyperlink("https://icd.who.int/dev11/l-ichi/en#/http%3A%2F%2Fid.who.int%2Ficd%2Fentity%2F364579853","browser")</x:f>
      </x:c>
      <x:c r="L12963" s="0">
        <x:f>hyperlink("https://icat2.azurewebsites.net/icat/?ontology=ICD&amp;tab=ClassesTab&amp;id=http%3A%2F%2Fwho.int%2Ficd%23SpecificAnatomicLocation_3242","iCat")</x:f>
      </x:c>
      <x:c r="M12963" s="0" t="s">
        <x:v>21</x:v>
      </x:c>
      <x:c r="N12963" s="0" t="s">
        <x:v>46</x:v>
      </x:c>
    </x:row>
    <x:row r="12964" spans="1:16">
      <x:c r="A12964" s="0" t="s">
        <x:v>49494</x:v>
      </x:c>
      <x:c r="B12964" s="0" t="s">
        <x:v>49495</x:v>
      </x:c>
      <x:c r="C12964" s="0" t="s">
        <x:v>42840</x:v>
      </x:c>
      <x:c r="E12964" s="0" t="s">
        <x:v>49496</x:v>
      </x:c>
      <x:c r="F12964" s="0" t="s">
        <x:v>45</x:v>
      </x:c>
      <x:c r="G12964" s="0" t="s">
        <x:v>35</x:v>
      </x:c>
      <x:c r="H12964" s="0" t="s">
        <x:v>20</x:v>
      </x:c>
      <x:c r="I12964" s="0" t="s">
        <x:v>21</x:v>
      </x:c>
      <x:c r="K12964" s="0">
        <x:f>hyperlink("https://icd.who.int/dev11/l-ichi/en#/http%3A%2F%2Fid.who.int%2Ficd%2Fentity%2F1005307277","browser")</x:f>
      </x:c>
      <x:c r="L12964" s="0">
        <x:f>hyperlink("https://icat2.azurewebsites.net/icat/?ontology=ICD&amp;tab=ClassesTab&amp;id=http%3A%2F%2Fwho.int%2Ficd%23SpecificAnatomicLocation_3240","iCat")</x:f>
      </x:c>
      <x:c r="M12964" s="0" t="s">
        <x:v>21</x:v>
      </x:c>
      <x:c r="N12964" s="0" t="s">
        <x:v>46</x:v>
      </x:c>
    </x:row>
    <x:row r="12965" spans="1:16">
      <x:c r="A12965" s="0" t="s">
        <x:v>49497</x:v>
      </x:c>
      <x:c r="B12965" s="0" t="s">
        <x:v>49498</x:v>
      </x:c>
      <x:c r="C12965" s="0" t="s">
        <x:v>42840</x:v>
      </x:c>
      <x:c r="E12965" s="0" t="s">
        <x:v>49499</x:v>
      </x:c>
      <x:c r="F12965" s="0" t="s">
        <x:v>45</x:v>
      </x:c>
      <x:c r="G12965" s="0" t="s">
        <x:v>35</x:v>
      </x:c>
      <x:c r="H12965" s="0" t="s">
        <x:v>20</x:v>
      </x:c>
      <x:c r="I12965" s="0" t="s">
        <x:v>21</x:v>
      </x:c>
      <x:c r="K12965" s="0">
        <x:f>hyperlink("https://icd.who.int/dev11/l-ichi/en#/http%3A%2F%2Fid.who.int%2Ficd%2Fentity%2F43215053","browser")</x:f>
      </x:c>
      <x:c r="L12965" s="0">
        <x:f>hyperlink("https://icat2.azurewebsites.net/icat/?ontology=ICD&amp;tab=ClassesTab&amp;id=http%3A%2F%2Fwho.int%2Ficd%23SpecificAnatomicLocation_3243","iCat")</x:f>
      </x:c>
      <x:c r="M12965" s="0" t="s">
        <x:v>21</x:v>
      </x:c>
      <x:c r="N12965" s="0" t="s">
        <x:v>46</x:v>
      </x:c>
    </x:row>
    <x:row r="12966" spans="1:16">
      <x:c r="A12966" s="0" t="s">
        <x:v>49500</x:v>
      </x:c>
      <x:c r="B12966" s="0" t="s">
        <x:v>49501</x:v>
      </x:c>
      <x:c r="C12966" s="0" t="s">
        <x:v>42840</x:v>
      </x:c>
      <x:c r="E12966" s="0" t="s">
        <x:v>49502</x:v>
      </x:c>
      <x:c r="F12966" s="0" t="s">
        <x:v>45</x:v>
      </x:c>
      <x:c r="G12966" s="0" t="s">
        <x:v>35</x:v>
      </x:c>
      <x:c r="H12966" s="0" t="s">
        <x:v>20</x:v>
      </x:c>
      <x:c r="I12966" s="0" t="s">
        <x:v>21</x:v>
      </x:c>
      <x:c r="K12966" s="0">
        <x:f>hyperlink("https://icd.who.int/dev11/l-ichi/en#/http%3A%2F%2Fid.who.int%2Ficd%2Fentity%2F1786738867","browser")</x:f>
      </x:c>
      <x:c r="L12966" s="0">
        <x:f>hyperlink("https://icat2.azurewebsites.net/icat/?ontology=ICD&amp;tab=ClassesTab&amp;id=http%3A%2F%2Fwho.int%2Ficd%23SpecificAnatomicLocation_3249","iCat")</x:f>
      </x:c>
      <x:c r="M12966" s="0" t="s">
        <x:v>21</x:v>
      </x:c>
      <x:c r="N12966" s="0" t="s">
        <x:v>46</x:v>
      </x:c>
    </x:row>
    <x:row r="12967" spans="1:16">
      <x:c r="A12967" s="0" t="s">
        <x:v>49503</x:v>
      </x:c>
      <x:c r="B12967" s="0" t="s">
        <x:v>49504</x:v>
      </x:c>
      <x:c r="C12967" s="0" t="s">
        <x:v>42840</x:v>
      </x:c>
      <x:c r="E12967" s="0" t="s">
        <x:v>49505</x:v>
      </x:c>
      <x:c r="F12967" s="0" t="s">
        <x:v>45</x:v>
      </x:c>
      <x:c r="G12967" s="0" t="s">
        <x:v>35</x:v>
      </x:c>
      <x:c r="H12967" s="0" t="s">
        <x:v>20</x:v>
      </x:c>
      <x:c r="I12967" s="0" t="s">
        <x:v>21</x:v>
      </x:c>
      <x:c r="K12967" s="0">
        <x:f>hyperlink("https://icd.who.int/dev11/l-ichi/en#/http%3A%2F%2Fid.who.int%2Ficd%2Fentity%2F1865075900","browser")</x:f>
      </x:c>
      <x:c r="L12967" s="0">
        <x:f>hyperlink("https://icat2.azurewebsites.net/icat/?ontology=ICD&amp;tab=ClassesTab&amp;id=http%3A%2F%2Fwho.int%2Ficd%23SpecificAnatomicLocation_3237","iCat")</x:f>
      </x:c>
      <x:c r="M12967" s="0" t="s">
        <x:v>21</x:v>
      </x:c>
      <x:c r="N12967" s="0" t="s">
        <x:v>46</x:v>
      </x:c>
    </x:row>
    <x:row r="12968" spans="1:16">
      <x:c r="A12968" s="0" t="s">
        <x:v>49506</x:v>
      </x:c>
      <x:c r="B12968" s="0" t="s">
        <x:v>49507</x:v>
      </x:c>
      <x:c r="C12968" s="0" t="s">
        <x:v>42840</x:v>
      </x:c>
      <x:c r="E12968" s="0" t="s">
        <x:v>49508</x:v>
      </x:c>
      <x:c r="F12968" s="0" t="s">
        <x:v>45</x:v>
      </x:c>
      <x:c r="G12968" s="0" t="s">
        <x:v>35</x:v>
      </x:c>
      <x:c r="H12968" s="0" t="s">
        <x:v>20</x:v>
      </x:c>
      <x:c r="I12968" s="0" t="s">
        <x:v>21</x:v>
      </x:c>
      <x:c r="K12968" s="0">
        <x:f>hyperlink("https://icd.who.int/dev11/l-ichi/en#/http%3A%2F%2Fid.who.int%2Ficd%2Fentity%2F1885483597","browser")</x:f>
      </x:c>
      <x:c r="L12968" s="0">
        <x:f>hyperlink("https://icat2.azurewebsites.net/icat/?ontology=ICD&amp;tab=ClassesTab&amp;id=http%3A%2F%2Fwho.int%2Ficd%23SpecificAnatomicLocation_3245","iCat")</x:f>
      </x:c>
      <x:c r="M12968" s="0" t="s">
        <x:v>21</x:v>
      </x:c>
      <x:c r="N12968" s="0" t="s">
        <x:v>46</x:v>
      </x:c>
    </x:row>
    <x:row r="12969" spans="1:16">
      <x:c r="A12969" s="0" t="s">
        <x:v>49509</x:v>
      </x:c>
      <x:c r="B12969" s="0" t="s">
        <x:v>49510</x:v>
      </x:c>
      <x:c r="C12969" s="0" t="s">
        <x:v>42840</x:v>
      </x:c>
      <x:c r="E12969" s="0" t="s">
        <x:v>49511</x:v>
      </x:c>
      <x:c r="F12969" s="0" t="s">
        <x:v>45</x:v>
      </x:c>
      <x:c r="G12969" s="0" t="s">
        <x:v>19</x:v>
      </x:c>
      <x:c r="H12969" s="0" t="s">
        <x:v>20</x:v>
      </x:c>
      <x:c r="I12969" s="0" t="s">
        <x:v>21</x:v>
      </x:c>
      <x:c r="K12969" s="0">
        <x:f>hyperlink("https://icd.who.int/dev11/l-ichi/en#/http%3A%2F%2Fid.who.int%2Ficd%2Fentity%2F625587547","browser")</x:f>
      </x:c>
      <x:c r="L12969" s="0">
        <x:f>hyperlink("https://icat2.azurewebsites.net/icat/?ontology=ICD&amp;tab=ClassesTab&amp;id=http%3A%2F%2Fwho.int%2Ficd%23SpecificAnatomicLocation_3278","iCat")</x:f>
      </x:c>
      <x:c r="M12969" s="0" t="s">
        <x:v>20</x:v>
      </x:c>
      <x:c r="N12969" s="0" t="s">
        <x:v>30</x:v>
      </x:c>
    </x:row>
    <x:row r="12970" spans="1:16">
      <x:c r="A12970" s="0" t="s">
        <x:v>49512</x:v>
      </x:c>
      <x:c r="B12970" s="0" t="s">
        <x:v>49513</x:v>
      </x:c>
      <x:c r="C12970" s="0" t="s">
        <x:v>42840</x:v>
      </x:c>
      <x:c r="E12970" s="0" t="s">
        <x:v>49514</x:v>
      </x:c>
      <x:c r="F12970" s="0" t="s">
        <x:v>45</x:v>
      </x:c>
      <x:c r="G12970" s="0" t="s">
        <x:v>30</x:v>
      </x:c>
      <x:c r="H12970" s="0" t="s">
        <x:v>20</x:v>
      </x:c>
      <x:c r="I12970" s="0" t="s">
        <x:v>21</x:v>
      </x:c>
      <x:c r="K12970" s="0">
        <x:f>hyperlink("https://icd.who.int/dev11/l-ichi/en#/http%3A%2F%2Fid.who.int%2Ficd%2Fentity%2F192726145","browser")</x:f>
      </x:c>
      <x:c r="L12970" s="0">
        <x:f>hyperlink("https://icat2.azurewebsites.net/icat/?ontology=ICD&amp;tab=ClassesTab&amp;id=http%3A%2F%2Fwho.int%2Ficd%2310751_16e67c35_8b57_40bb_9220_818553425a8c","iCat")</x:f>
      </x:c>
      <x:c r="M12970" s="0" t="s">
        <x:v>20</x:v>
      </x:c>
      <x:c r="N12970" s="0" t="s">
        <x:v>35</x:v>
      </x:c>
    </x:row>
    <x:row r="12971" spans="1:16">
      <x:c r="A12971" s="0" t="s">
        <x:v>49515</x:v>
      </x:c>
      <x:c r="B12971" s="0" t="s">
        <x:v>49516</x:v>
      </x:c>
      <x:c r="C12971" s="0" t="s">
        <x:v>42840</x:v>
      </x:c>
      <x:c r="E12971" s="0" t="s">
        <x:v>49517</x:v>
      </x:c>
      <x:c r="F12971" s="0" t="s">
        <x:v>45</x:v>
      </x:c>
      <x:c r="G12971" s="0" t="s">
        <x:v>35</x:v>
      </x:c>
      <x:c r="H12971" s="0" t="s">
        <x:v>20</x:v>
      </x:c>
      <x:c r="I12971" s="0" t="s">
        <x:v>21</x:v>
      </x:c>
      <x:c r="K12971" s="0">
        <x:f>hyperlink("https://icd.who.int/dev11/l-ichi/en#/http%3A%2F%2Fid.who.int%2Ficd%2Fentity%2F246982804","browser")</x:f>
      </x:c>
      <x:c r="L12971" s="0">
        <x:f>hyperlink("https://icat2.azurewebsites.net/icat/?ontology=ICD&amp;tab=ClassesTab&amp;id=http%3A%2F%2Fwho.int%2Ficd%23SpecificAnatomicLocation_3255","iCat")</x:f>
      </x:c>
      <x:c r="M12971" s="0" t="s">
        <x:v>21</x:v>
      </x:c>
      <x:c r="N12971" s="0" t="s">
        <x:v>46</x:v>
      </x:c>
    </x:row>
    <x:row r="12972" spans="1:16">
      <x:c r="A12972" s="0" t="s">
        <x:v>49518</x:v>
      </x:c>
      <x:c r="B12972" s="0" t="s">
        <x:v>49519</x:v>
      </x:c>
      <x:c r="C12972" s="0" t="s">
        <x:v>42840</x:v>
      </x:c>
      <x:c r="E12972" s="0" t="s">
        <x:v>49520</x:v>
      </x:c>
      <x:c r="F12972" s="0" t="s">
        <x:v>45</x:v>
      </x:c>
      <x:c r="G12972" s="0" t="s">
        <x:v>35</x:v>
      </x:c>
      <x:c r="H12972" s="0" t="s">
        <x:v>20</x:v>
      </x:c>
      <x:c r="I12972" s="0" t="s">
        <x:v>21</x:v>
      </x:c>
      <x:c r="K12972" s="0">
        <x:f>hyperlink("https://icd.who.int/dev11/l-ichi/en#/http%3A%2F%2Fid.who.int%2Ficd%2Fentity%2F2029439036","browser")</x:f>
      </x:c>
      <x:c r="L12972" s="0">
        <x:f>hyperlink("https://icat2.azurewebsites.net/icat/?ontology=ICD&amp;tab=ClassesTab&amp;id=http%3A%2F%2Fwho.int%2Ficd%23SpecificAnatomicLocation_3267","iCat")</x:f>
      </x:c>
      <x:c r="M12972" s="0" t="s">
        <x:v>21</x:v>
      </x:c>
      <x:c r="N12972" s="0" t="s">
        <x:v>46</x:v>
      </x:c>
    </x:row>
    <x:row r="12973" spans="1:16">
      <x:c r="A12973" s="0" t="s">
        <x:v>49521</x:v>
      </x:c>
      <x:c r="B12973" s="0" t="s">
        <x:v>49522</x:v>
      </x:c>
      <x:c r="C12973" s="0" t="s">
        <x:v>42840</x:v>
      </x:c>
      <x:c r="E12973" s="0" t="s">
        <x:v>49523</x:v>
      </x:c>
      <x:c r="F12973" s="0" t="s">
        <x:v>45</x:v>
      </x:c>
      <x:c r="G12973" s="0" t="s">
        <x:v>35</x:v>
      </x:c>
      <x:c r="H12973" s="0" t="s">
        <x:v>20</x:v>
      </x:c>
      <x:c r="I12973" s="0" t="s">
        <x:v>21</x:v>
      </x:c>
      <x:c r="K12973" s="0">
        <x:f>hyperlink("https://icd.who.int/dev11/l-ichi/en#/http%3A%2F%2Fid.who.int%2Ficd%2Fentity%2F428919892","browser")</x:f>
      </x:c>
      <x:c r="L12973" s="0">
        <x:f>hyperlink("https://icat2.azurewebsites.net/icat/?ontology=ICD&amp;tab=ClassesTab&amp;id=http%3A%2F%2Fwho.int%2Ficd%23SpecificAnatomicLocation_3254","iCat")</x:f>
      </x:c>
      <x:c r="M12973" s="0" t="s">
        <x:v>21</x:v>
      </x:c>
      <x:c r="N12973" s="0" t="s">
        <x:v>46</x:v>
      </x:c>
    </x:row>
    <x:row r="12974" spans="1:16">
      <x:c r="A12974" s="0" t="s">
        <x:v>49524</x:v>
      </x:c>
      <x:c r="B12974" s="0" t="s">
        <x:v>49525</x:v>
      </x:c>
      <x:c r="C12974" s="0" t="s">
        <x:v>42840</x:v>
      </x:c>
      <x:c r="E12974" s="0" t="s">
        <x:v>49526</x:v>
      </x:c>
      <x:c r="F12974" s="0" t="s">
        <x:v>45</x:v>
      </x:c>
      <x:c r="G12974" s="0" t="s">
        <x:v>30</x:v>
      </x:c>
      <x:c r="H12974" s="0" t="s">
        <x:v>20</x:v>
      </x:c>
      <x:c r="I12974" s="0" t="s">
        <x:v>21</x:v>
      </x:c>
      <x:c r="K12974" s="0">
        <x:f>hyperlink("https://icd.who.int/dev11/l-ichi/en#/http%3A%2F%2Fid.who.int%2Ficd%2Fentity%2F32596973","browser")</x:f>
      </x:c>
      <x:c r="L12974" s="0">
        <x:f>hyperlink("https://icat2.azurewebsites.net/icat/?ontology=ICD&amp;tab=ClassesTab&amp;id=http%3A%2F%2Fwho.int%2Ficd%2310770_16e67c35_8b57_40bb_9220_818553425a8c","iCat")</x:f>
      </x:c>
      <x:c r="M12974" s="0" t="s">
        <x:v>20</x:v>
      </x:c>
      <x:c r="N12974" s="0" t="s">
        <x:v>684</x:v>
      </x:c>
    </x:row>
    <x:row r="12975" spans="1:16">
      <x:c r="A12975" s="0" t="s">
        <x:v>49527</x:v>
      </x:c>
      <x:c r="B12975" s="0" t="s">
        <x:v>49528</x:v>
      </x:c>
      <x:c r="C12975" s="0" t="s">
        <x:v>42840</x:v>
      </x:c>
      <x:c r="E12975" s="0" t="s">
        <x:v>49529</x:v>
      </x:c>
      <x:c r="F12975" s="0" t="s">
        <x:v>45</x:v>
      </x:c>
      <x:c r="G12975" s="0" t="s">
        <x:v>35</x:v>
      </x:c>
      <x:c r="H12975" s="0" t="s">
        <x:v>20</x:v>
      </x:c>
      <x:c r="I12975" s="0" t="s">
        <x:v>21</x:v>
      </x:c>
      <x:c r="K12975" s="0">
        <x:f>hyperlink("https://icd.who.int/dev11/l-ichi/en#/http%3A%2F%2Fid.who.int%2Ficd%2Fentity%2F1960642661","browser")</x:f>
      </x:c>
      <x:c r="L12975" s="0">
        <x:f>hyperlink("https://icat2.azurewebsites.net/icat/?ontology=ICD&amp;tab=ClassesTab&amp;id=http%3A%2F%2Fwho.int%2Ficd%23SpecificAnatomicLocation_3271","iCat")</x:f>
      </x:c>
      <x:c r="M12975" s="0" t="s">
        <x:v>21</x:v>
      </x:c>
      <x:c r="N12975" s="0" t="s">
        <x:v>46</x:v>
      </x:c>
    </x:row>
    <x:row r="12976" spans="1:16">
      <x:c r="A12976" s="0" t="s">
        <x:v>49530</x:v>
      </x:c>
      <x:c r="B12976" s="0" t="s">
        <x:v>49531</x:v>
      </x:c>
      <x:c r="C12976" s="0" t="s">
        <x:v>42840</x:v>
      </x:c>
      <x:c r="E12976" s="0" t="s">
        <x:v>49532</x:v>
      </x:c>
      <x:c r="F12976" s="0" t="s">
        <x:v>45</x:v>
      </x:c>
      <x:c r="G12976" s="0" t="s">
        <x:v>35</x:v>
      </x:c>
      <x:c r="H12976" s="0" t="s">
        <x:v>20</x:v>
      </x:c>
      <x:c r="I12976" s="0" t="s">
        <x:v>21</x:v>
      </x:c>
      <x:c r="K12976" s="0">
        <x:f>hyperlink("https://icd.who.int/dev11/l-ichi/en#/http%3A%2F%2Fid.who.int%2Ficd%2Fentity%2F935331284","browser")</x:f>
      </x:c>
      <x:c r="L12976" s="0">
        <x:f>hyperlink("https://icat2.azurewebsites.net/icat/?ontology=ICD&amp;tab=ClassesTab&amp;id=http%3A%2F%2Fwho.int%2Ficd%23SpecificAnatomicLocation_3256","iCat")</x:f>
      </x:c>
      <x:c r="M12976" s="0" t="s">
        <x:v>21</x:v>
      </x:c>
      <x:c r="N12976" s="0" t="s">
        <x:v>46</x:v>
      </x:c>
    </x:row>
    <x:row r="12977" spans="1:16">
      <x:c r="A12977" s="0" t="s">
        <x:v>49533</x:v>
      </x:c>
      <x:c r="B12977" s="0" t="s">
        <x:v>49534</x:v>
      </x:c>
      <x:c r="C12977" s="0" t="s">
        <x:v>42840</x:v>
      </x:c>
      <x:c r="E12977" s="0" t="s">
        <x:v>49535</x:v>
      </x:c>
      <x:c r="F12977" s="0" t="s">
        <x:v>45</x:v>
      </x:c>
      <x:c r="G12977" s="0" t="s">
        <x:v>35</x:v>
      </x:c>
      <x:c r="H12977" s="0" t="s">
        <x:v>20</x:v>
      </x:c>
      <x:c r="I12977" s="0" t="s">
        <x:v>21</x:v>
      </x:c>
      <x:c r="K12977" s="0">
        <x:f>hyperlink("https://icd.who.int/dev11/l-ichi/en#/http%3A%2F%2Fid.who.int%2Ficd%2Fentity%2F103568101","browser")</x:f>
      </x:c>
      <x:c r="L12977" s="0">
        <x:f>hyperlink("https://icat2.azurewebsites.net/icat/?ontology=ICD&amp;tab=ClassesTab&amp;id=http%3A%2F%2Fwho.int%2Ficd%23SpecificAnatomicLocation_3277","iCat")</x:f>
      </x:c>
      <x:c r="M12977" s="0" t="s">
        <x:v>21</x:v>
      </x:c>
      <x:c r="N12977" s="0" t="s">
        <x:v>46</x:v>
      </x:c>
    </x:row>
    <x:row r="12978" spans="1:16">
      <x:c r="A12978" s="0" t="s">
        <x:v>49536</x:v>
      </x:c>
      <x:c r="B12978" s="0" t="s">
        <x:v>49537</x:v>
      </x:c>
      <x:c r="C12978" s="0" t="s">
        <x:v>42840</x:v>
      </x:c>
      <x:c r="E12978" s="0" t="s">
        <x:v>49538</x:v>
      </x:c>
      <x:c r="F12978" s="0" t="s">
        <x:v>45</x:v>
      </x:c>
      <x:c r="G12978" s="0" t="s">
        <x:v>35</x:v>
      </x:c>
      <x:c r="H12978" s="0" t="s">
        <x:v>20</x:v>
      </x:c>
      <x:c r="I12978" s="0" t="s">
        <x:v>21</x:v>
      </x:c>
      <x:c r="K12978" s="0">
        <x:f>hyperlink("https://icd.who.int/dev11/l-ichi/en#/http%3A%2F%2Fid.who.int%2Ficd%2Fentity%2F1536372612","browser")</x:f>
      </x:c>
      <x:c r="L12978" s="0">
        <x:f>hyperlink("https://icat2.azurewebsites.net/icat/?ontology=ICD&amp;tab=ClassesTab&amp;id=http%3A%2F%2Fwho.int%2Ficd%23SpecificAnatomicLocation_3268","iCat")</x:f>
      </x:c>
      <x:c r="M12978" s="0" t="s">
        <x:v>21</x:v>
      </x:c>
      <x:c r="N12978" s="0" t="s">
        <x:v>46</x:v>
      </x:c>
    </x:row>
    <x:row r="12979" spans="1:16">
      <x:c r="A12979" s="0" t="s">
        <x:v>49539</x:v>
      </x:c>
      <x:c r="B12979" s="0" t="s">
        <x:v>49540</x:v>
      </x:c>
      <x:c r="C12979" s="0" t="s">
        <x:v>42840</x:v>
      </x:c>
      <x:c r="E12979" s="0" t="s">
        <x:v>49541</x:v>
      </x:c>
      <x:c r="F12979" s="0" t="s">
        <x:v>45</x:v>
      </x:c>
      <x:c r="G12979" s="0" t="s">
        <x:v>35</x:v>
      </x:c>
      <x:c r="H12979" s="0" t="s">
        <x:v>20</x:v>
      </x:c>
      <x:c r="I12979" s="0" t="s">
        <x:v>21</x:v>
      </x:c>
      <x:c r="K12979" s="0">
        <x:f>hyperlink("https://icd.who.int/dev11/l-ichi/en#/http%3A%2F%2Fid.who.int%2Ficd%2Fentity%2F489682556","browser")</x:f>
      </x:c>
      <x:c r="L12979" s="0">
        <x:f>hyperlink("https://icat2.azurewebsites.net/icat/?ontology=ICD&amp;tab=ClassesTab&amp;id=http%3A%2F%2Fwho.int%2Ficd%23SpecificAnatomicLocation_3260","iCat")</x:f>
      </x:c>
      <x:c r="M12979" s="0" t="s">
        <x:v>21</x:v>
      </x:c>
      <x:c r="N12979" s="0" t="s">
        <x:v>46</x:v>
      </x:c>
    </x:row>
    <x:row r="12980" spans="1:16">
      <x:c r="A12980" s="0" t="s">
        <x:v>49542</x:v>
      </x:c>
      <x:c r="B12980" s="0" t="s">
        <x:v>49543</x:v>
      </x:c>
      <x:c r="C12980" s="0" t="s">
        <x:v>42840</x:v>
      </x:c>
      <x:c r="E12980" s="0" t="s">
        <x:v>49544</x:v>
      </x:c>
      <x:c r="F12980" s="0" t="s">
        <x:v>45</x:v>
      </x:c>
      <x:c r="G12980" s="0" t="s">
        <x:v>35</x:v>
      </x:c>
      <x:c r="H12980" s="0" t="s">
        <x:v>20</x:v>
      </x:c>
      <x:c r="I12980" s="0" t="s">
        <x:v>21</x:v>
      </x:c>
      <x:c r="K12980" s="0">
        <x:f>hyperlink("https://icd.who.int/dev11/l-ichi/en#/http%3A%2F%2Fid.who.int%2Ficd%2Fentity%2F1677028517","browser")</x:f>
      </x:c>
      <x:c r="L12980" s="0">
        <x:f>hyperlink("https://icat2.azurewebsites.net/icat/?ontology=ICD&amp;tab=ClassesTab&amp;id=http%3A%2F%2Fwho.int%2Ficd%23SpecificAnatomicLocation_3270","iCat")</x:f>
      </x:c>
      <x:c r="M12980" s="0" t="s">
        <x:v>21</x:v>
      </x:c>
      <x:c r="N12980" s="0" t="s">
        <x:v>46</x:v>
      </x:c>
    </x:row>
    <x:row r="12981" spans="1:16">
      <x:c r="A12981" s="0" t="s">
        <x:v>49545</x:v>
      </x:c>
      <x:c r="B12981" s="0" t="s">
        <x:v>49546</x:v>
      </x:c>
      <x:c r="C12981" s="0" t="s">
        <x:v>42840</x:v>
      </x:c>
      <x:c r="E12981" s="0" t="s">
        <x:v>49547</x:v>
      </x:c>
      <x:c r="F12981" s="0" t="s">
        <x:v>45</x:v>
      </x:c>
      <x:c r="G12981" s="0" t="s">
        <x:v>35</x:v>
      </x:c>
      <x:c r="H12981" s="0" t="s">
        <x:v>20</x:v>
      </x:c>
      <x:c r="I12981" s="0" t="s">
        <x:v>21</x:v>
      </x:c>
      <x:c r="K12981" s="0">
        <x:f>hyperlink("https://icd.who.int/dev11/l-ichi/en#/http%3A%2F%2Fid.who.int%2Ficd%2Fentity%2F679254885","browser")</x:f>
      </x:c>
      <x:c r="L12981" s="0">
        <x:f>hyperlink("https://icat2.azurewebsites.net/icat/?ontology=ICD&amp;tab=ClassesTab&amp;id=http%3A%2F%2Fwho.int%2Ficd%23SpecificAnatomicLocation_3275","iCat")</x:f>
      </x:c>
      <x:c r="M12981" s="0" t="s">
        <x:v>21</x:v>
      </x:c>
      <x:c r="N12981" s="0" t="s">
        <x:v>46</x:v>
      </x:c>
    </x:row>
    <x:row r="12982" spans="1:16">
      <x:c r="A12982" s="0" t="s">
        <x:v>49548</x:v>
      </x:c>
      <x:c r="B12982" s="0" t="s">
        <x:v>49549</x:v>
      </x:c>
      <x:c r="C12982" s="0" t="s">
        <x:v>42840</x:v>
      </x:c>
      <x:c r="E12982" s="0" t="s">
        <x:v>49550</x:v>
      </x:c>
      <x:c r="F12982" s="0" t="s">
        <x:v>45</x:v>
      </x:c>
      <x:c r="G12982" s="0" t="s">
        <x:v>35</x:v>
      </x:c>
      <x:c r="H12982" s="0" t="s">
        <x:v>20</x:v>
      </x:c>
      <x:c r="I12982" s="0" t="s">
        <x:v>21</x:v>
      </x:c>
      <x:c r="K12982" s="0">
        <x:f>hyperlink("https://icd.who.int/dev11/l-ichi/en#/http%3A%2F%2Fid.who.int%2Ficd%2Fentity%2F346415724","browser")</x:f>
      </x:c>
      <x:c r="L12982" s="0">
        <x:f>hyperlink("https://icat2.azurewebsites.net/icat/?ontology=ICD&amp;tab=ClassesTab&amp;id=http%3A%2F%2Fwho.int%2Ficd%23SpecificAnatomicLocation_3259","iCat")</x:f>
      </x:c>
      <x:c r="M12982" s="0" t="s">
        <x:v>20</x:v>
      </x:c>
      <x:c r="N12982" s="0" t="s">
        <x:v>30</x:v>
      </x:c>
    </x:row>
    <x:row r="12983" spans="1:16">
      <x:c r="A12983" s="0" t="s">
        <x:v>49551</x:v>
      </x:c>
      <x:c r="B12983" s="0" t="s">
        <x:v>49552</x:v>
      </x:c>
      <x:c r="C12983" s="0" t="s">
        <x:v>42840</x:v>
      </x:c>
      <x:c r="E12983" s="0" t="s">
        <x:v>49553</x:v>
      </x:c>
      <x:c r="F12983" s="0" t="s">
        <x:v>45</x:v>
      </x:c>
      <x:c r="G12983" s="0" t="s">
        <x:v>22</x:v>
      </x:c>
      <x:c r="H12983" s="0" t="s">
        <x:v>20</x:v>
      </x:c>
      <x:c r="I12983" s="0" t="s">
        <x:v>21</x:v>
      </x:c>
      <x:c r="K12983" s="0">
        <x:f>hyperlink("https://icd.who.int/dev11/l-ichi/en#/http%3A%2F%2Fid.who.int%2Ficd%2Fentity%2F59606700","browser")</x:f>
      </x:c>
      <x:c r="L12983" s="0">
        <x:f>hyperlink("https://icat2.azurewebsites.net/icat/?ontology=ICD&amp;tab=ClassesTab&amp;id=http%3A%2F%2Fwho.int%2Ficd%23SpecificAnatomicLocation_3258","iCat")</x:f>
      </x:c>
      <x:c r="M12983" s="0" t="s">
        <x:v>21</x:v>
      </x:c>
      <x:c r="N12983" s="0" t="s">
        <x:v>46</x:v>
      </x:c>
    </x:row>
    <x:row r="12984" spans="1:16">
      <x:c r="A12984" s="0" t="s">
        <x:v>49554</x:v>
      </x:c>
      <x:c r="B12984" s="0" t="s">
        <x:v>49555</x:v>
      </x:c>
      <x:c r="C12984" s="0" t="s">
        <x:v>42840</x:v>
      </x:c>
      <x:c r="E12984" s="0" t="s">
        <x:v>49556</x:v>
      </x:c>
      <x:c r="F12984" s="0" t="s">
        <x:v>45</x:v>
      </x:c>
      <x:c r="G12984" s="0" t="s">
        <x:v>22</x:v>
      </x:c>
      <x:c r="H12984" s="0" t="s">
        <x:v>20</x:v>
      </x:c>
      <x:c r="I12984" s="0" t="s">
        <x:v>21</x:v>
      </x:c>
      <x:c r="K12984" s="0">
        <x:f>hyperlink("https://icd.who.int/dev11/l-ichi/en#/http%3A%2F%2Fid.who.int%2Ficd%2Fentity%2F552100116","browser")</x:f>
      </x:c>
      <x:c r="L12984" s="0">
        <x:f>hyperlink("https://icat2.azurewebsites.net/icat/?ontology=ICD&amp;tab=ClassesTab&amp;id=http%3A%2F%2Fwho.int%2Ficd%23SpecificAnatomicLocation_3257","iCat")</x:f>
      </x:c>
      <x:c r="M12984" s="0" t="s">
        <x:v>21</x:v>
      </x:c>
      <x:c r="N12984" s="0" t="s">
        <x:v>46</x:v>
      </x:c>
    </x:row>
    <x:row r="12985" spans="1:16">
      <x:c r="A12985" s="0" t="s">
        <x:v>49557</x:v>
      </x:c>
      <x:c r="B12985" s="0" t="s">
        <x:v>49558</x:v>
      </x:c>
      <x:c r="C12985" s="0" t="s">
        <x:v>42840</x:v>
      </x:c>
      <x:c r="E12985" s="0" t="s">
        <x:v>49559</x:v>
      </x:c>
      <x:c r="F12985" s="0" t="s">
        <x:v>45</x:v>
      </x:c>
      <x:c r="G12985" s="0" t="s">
        <x:v>35</x:v>
      </x:c>
      <x:c r="H12985" s="0" t="s">
        <x:v>20</x:v>
      </x:c>
      <x:c r="I12985" s="0" t="s">
        <x:v>21</x:v>
      </x:c>
      <x:c r="K12985" s="0">
        <x:f>hyperlink("https://icd.who.int/dev11/l-ichi/en#/http%3A%2F%2Fid.who.int%2Ficd%2Fentity%2F1287342916","browser")</x:f>
      </x:c>
      <x:c r="L12985" s="0">
        <x:f>hyperlink("https://icat2.azurewebsites.net/icat/?ontology=ICD&amp;tab=ClassesTab&amp;id=http%3A%2F%2Fwho.int%2Ficd%23SpecificAnatomicLocation_3269","iCat")</x:f>
      </x:c>
      <x:c r="M12985" s="0" t="s">
        <x:v>21</x:v>
      </x:c>
      <x:c r="N12985" s="0" t="s">
        <x:v>46</x:v>
      </x:c>
    </x:row>
    <x:row r="12986" spans="1:16">
      <x:c r="A12986" s="0" t="s">
        <x:v>49560</x:v>
      </x:c>
      <x:c r="B12986" s="0" t="s">
        <x:v>49561</x:v>
      </x:c>
      <x:c r="C12986" s="0" t="s">
        <x:v>42840</x:v>
      </x:c>
      <x:c r="E12986" s="0" t="s">
        <x:v>49562</x:v>
      </x:c>
      <x:c r="F12986" s="0" t="s">
        <x:v>45</x:v>
      </x:c>
      <x:c r="G12986" s="0" t="s">
        <x:v>35</x:v>
      </x:c>
      <x:c r="H12986" s="0" t="s">
        <x:v>20</x:v>
      </x:c>
      <x:c r="I12986" s="0" t="s">
        <x:v>21</x:v>
      </x:c>
      <x:c r="K12986" s="0">
        <x:f>hyperlink("https://icd.who.int/dev11/l-ichi/en#/http%3A%2F%2Fid.who.int%2Ficd%2Fentity%2F1876864252","browser")</x:f>
      </x:c>
      <x:c r="L12986" s="0">
        <x:f>hyperlink("https://icat2.azurewebsites.net/icat/?ontology=ICD&amp;tab=ClassesTab&amp;id=http%3A%2F%2Fwho.int%2Ficd%23SpecificAnatomicLocation_3266","iCat")</x:f>
      </x:c>
      <x:c r="M12986" s="0" t="s">
        <x:v>20</x:v>
      </x:c>
      <x:c r="N12986" s="0" t="s">
        <x:v>35</x:v>
      </x:c>
    </x:row>
    <x:row r="12987" spans="1:16">
      <x:c r="A12987" s="0" t="s">
        <x:v>49563</x:v>
      </x:c>
      <x:c r="B12987" s="0" t="s">
        <x:v>49564</x:v>
      </x:c>
      <x:c r="C12987" s="0" t="s">
        <x:v>42840</x:v>
      </x:c>
      <x:c r="E12987" s="0" t="s">
        <x:v>49565</x:v>
      </x:c>
      <x:c r="F12987" s="0" t="s">
        <x:v>45</x:v>
      </x:c>
      <x:c r="G12987" s="0" t="s">
        <x:v>22</x:v>
      </x:c>
      <x:c r="H12987" s="0" t="s">
        <x:v>20</x:v>
      </x:c>
      <x:c r="I12987" s="0" t="s">
        <x:v>21</x:v>
      </x:c>
      <x:c r="K12987" s="0">
        <x:f>hyperlink("https://icd.who.int/dev11/l-ichi/en#/http%3A%2F%2Fid.who.int%2Ficd%2Fentity%2F609704764","browser")</x:f>
      </x:c>
      <x:c r="L12987" s="0">
        <x:f>hyperlink("https://icat2.azurewebsites.net/icat/?ontology=ICD&amp;tab=ClassesTab&amp;id=http%3A%2F%2Fwho.int%2Ficd%23SpecificAnatomicLocation_3263","iCat")</x:f>
      </x:c>
      <x:c r="M12987" s="0" t="s">
        <x:v>21</x:v>
      </x:c>
      <x:c r="N12987" s="0" t="s">
        <x:v>46</x:v>
      </x:c>
    </x:row>
    <x:row r="12988" spans="1:16">
      <x:c r="A12988" s="0" t="s">
        <x:v>49566</x:v>
      </x:c>
      <x:c r="B12988" s="0" t="s">
        <x:v>49567</x:v>
      </x:c>
      <x:c r="C12988" s="0" t="s">
        <x:v>42840</x:v>
      </x:c>
      <x:c r="E12988" s="0" t="s">
        <x:v>49568</x:v>
      </x:c>
      <x:c r="F12988" s="0" t="s">
        <x:v>45</x:v>
      </x:c>
      <x:c r="G12988" s="0" t="s">
        <x:v>22</x:v>
      </x:c>
      <x:c r="H12988" s="0" t="s">
        <x:v>20</x:v>
      </x:c>
      <x:c r="I12988" s="0" t="s">
        <x:v>21</x:v>
      </x:c>
      <x:c r="K12988" s="0">
        <x:f>hyperlink("https://icd.who.int/dev11/l-ichi/en#/http%3A%2F%2Fid.who.int%2Ficd%2Fentity%2F1453719996","browser")</x:f>
      </x:c>
      <x:c r="L12988" s="0">
        <x:f>hyperlink("https://icat2.azurewebsites.net/icat/?ontology=ICD&amp;tab=ClassesTab&amp;id=http%3A%2F%2Fwho.int%2Ficd%23SpecificAnatomicLocation_3265","iCat")</x:f>
      </x:c>
      <x:c r="M12988" s="0" t="s">
        <x:v>21</x:v>
      </x:c>
      <x:c r="N12988" s="0" t="s">
        <x:v>46</x:v>
      </x:c>
    </x:row>
    <x:row r="12989" spans="1:16">
      <x:c r="A12989" s="0" t="s">
        <x:v>49569</x:v>
      </x:c>
      <x:c r="B12989" s="0" t="s">
        <x:v>49570</x:v>
      </x:c>
      <x:c r="C12989" s="0" t="s">
        <x:v>42840</x:v>
      </x:c>
      <x:c r="E12989" s="0" t="s">
        <x:v>49571</x:v>
      </x:c>
      <x:c r="F12989" s="0" t="s">
        <x:v>45</x:v>
      </x:c>
      <x:c r="G12989" s="0" t="s">
        <x:v>22</x:v>
      </x:c>
      <x:c r="H12989" s="0" t="s">
        <x:v>20</x:v>
      </x:c>
      <x:c r="I12989" s="0" t="s">
        <x:v>21</x:v>
      </x:c>
      <x:c r="K12989" s="0">
        <x:f>hyperlink("https://icd.who.int/dev11/l-ichi/en#/http%3A%2F%2Fid.who.int%2Ficd%2Fentity%2F1099851132","browser")</x:f>
      </x:c>
      <x:c r="L12989" s="0">
        <x:f>hyperlink("https://icat2.azurewebsites.net/icat/?ontology=ICD&amp;tab=ClassesTab&amp;id=http%3A%2F%2Fwho.int%2Ficd%23SpecificAnatomicLocation_3264","iCat")</x:f>
      </x:c>
      <x:c r="M12989" s="0" t="s">
        <x:v>21</x:v>
      </x:c>
      <x:c r="N12989" s="0" t="s">
        <x:v>46</x:v>
      </x:c>
    </x:row>
    <x:row r="12990" spans="1:16">
      <x:c r="A12990" s="0" t="s">
        <x:v>49572</x:v>
      </x:c>
      <x:c r="B12990" s="0" t="s">
        <x:v>49573</x:v>
      </x:c>
      <x:c r="C12990" s="0" t="s">
        <x:v>42840</x:v>
      </x:c>
      <x:c r="E12990" s="0" t="s">
        <x:v>49574</x:v>
      </x:c>
      <x:c r="F12990" s="0" t="s">
        <x:v>45</x:v>
      </x:c>
      <x:c r="G12990" s="0" t="s">
        <x:v>35</x:v>
      </x:c>
      <x:c r="H12990" s="0" t="s">
        <x:v>20</x:v>
      </x:c>
      <x:c r="I12990" s="0" t="s">
        <x:v>21</x:v>
      </x:c>
      <x:c r="K12990" s="0">
        <x:f>hyperlink("https://icd.who.int/dev11/l-ichi/en#/http%3A%2F%2Fid.who.int%2Ficd%2Fentity%2F863977468","browser")</x:f>
      </x:c>
      <x:c r="L12990" s="0">
        <x:f>hyperlink("https://icat2.azurewebsites.net/icat/?ontology=ICD&amp;tab=ClassesTab&amp;id=http%3A%2F%2Fwho.int%2Ficd%23SpecificAnatomicLocation_3262","iCat")</x:f>
      </x:c>
      <x:c r="M12990" s="0" t="s">
        <x:v>21</x:v>
      </x:c>
      <x:c r="N12990" s="0" t="s">
        <x:v>46</x:v>
      </x:c>
    </x:row>
    <x:row r="12991" spans="1:16">
      <x:c r="A12991" s="0" t="s">
        <x:v>49575</x:v>
      </x:c>
      <x:c r="B12991" s="0" t="s">
        <x:v>49576</x:v>
      </x:c>
      <x:c r="C12991" s="0" t="s">
        <x:v>42840</x:v>
      </x:c>
      <x:c r="E12991" s="0" t="s">
        <x:v>49577</x:v>
      </x:c>
      <x:c r="F12991" s="0" t="s">
        <x:v>45</x:v>
      </x:c>
      <x:c r="G12991" s="0" t="s">
        <x:v>35</x:v>
      </x:c>
      <x:c r="H12991" s="0" t="s">
        <x:v>20</x:v>
      </x:c>
      <x:c r="I12991" s="0" t="s">
        <x:v>21</x:v>
      </x:c>
      <x:c r="K12991" s="0">
        <x:f>hyperlink("https://icd.who.int/dev11/l-ichi/en#/http%3A%2F%2Fid.who.int%2Ficd%2Fentity%2F168268476","browser")</x:f>
      </x:c>
      <x:c r="L12991" s="0">
        <x:f>hyperlink("https://icat2.azurewebsites.net/icat/?ontology=ICD&amp;tab=ClassesTab&amp;id=http%3A%2F%2Fwho.int%2Ficd%23SpecificAnatomicLocation_3261","iCat")</x:f>
      </x:c>
      <x:c r="M12991" s="0" t="s">
        <x:v>21</x:v>
      </x:c>
      <x:c r="N12991" s="0" t="s">
        <x:v>46</x:v>
      </x:c>
    </x:row>
    <x:row r="12992" spans="1:16">
      <x:c r="A12992" s="0" t="s">
        <x:v>49578</x:v>
      </x:c>
      <x:c r="B12992" s="0" t="s">
        <x:v>49579</x:v>
      </x:c>
      <x:c r="C12992" s="0" t="s">
        <x:v>42840</x:v>
      </x:c>
      <x:c r="E12992" s="0" t="s">
        <x:v>49580</x:v>
      </x:c>
      <x:c r="F12992" s="0" t="s">
        <x:v>45</x:v>
      </x:c>
      <x:c r="G12992" s="0" t="s">
        <x:v>35</x:v>
      </x:c>
      <x:c r="H12992" s="0" t="s">
        <x:v>20</x:v>
      </x:c>
      <x:c r="I12992" s="0" t="s">
        <x:v>21</x:v>
      </x:c>
      <x:c r="K12992" s="0">
        <x:f>hyperlink("https://icd.who.int/dev11/l-ichi/en#/http%3A%2F%2Fid.who.int%2Ficd%2Fentity%2F285488677","browser")</x:f>
      </x:c>
      <x:c r="L12992" s="0">
        <x:f>hyperlink("https://icat2.azurewebsites.net/icat/?ontology=ICD&amp;tab=ClassesTab&amp;id=http%3A%2F%2Fwho.int%2Ficd%23SpecificAnatomicLocation_3276","iCat")</x:f>
      </x:c>
      <x:c r="M12992" s="0" t="s">
        <x:v>21</x:v>
      </x:c>
      <x:c r="N12992" s="0" t="s">
        <x:v>46</x:v>
      </x:c>
    </x:row>
    <x:row r="12993" spans="1:16">
      <x:c r="A12993" s="0" t="s">
        <x:v>49581</x:v>
      </x:c>
      <x:c r="B12993" s="0" t="s">
        <x:v>49582</x:v>
      </x:c>
      <x:c r="C12993" s="0" t="s">
        <x:v>42840</x:v>
      </x:c>
      <x:c r="E12993" s="0" t="s">
        <x:v>49583</x:v>
      </x:c>
      <x:c r="F12993" s="0" t="s">
        <x:v>45</x:v>
      </x:c>
      <x:c r="G12993" s="0" t="s">
        <x:v>19</x:v>
      </x:c>
      <x:c r="H12993" s="0" t="s">
        <x:v>20</x:v>
      </x:c>
      <x:c r="I12993" s="0" t="s">
        <x:v>21</x:v>
      </x:c>
      <x:c r="K12993" s="0">
        <x:f>hyperlink("https://icd.who.int/dev11/l-ichi/en#/http%3A%2F%2Fid.who.int%2Ficd%2Fentity%2F1753246500","browser")</x:f>
      </x:c>
      <x:c r="L12993" s="0">
        <x:f>hyperlink("https://icat2.azurewebsites.net/icat/?ontology=ICD&amp;tab=ClassesTab&amp;id=http%3A%2F%2Fwho.int%2Ficd%23SpecificAnatomicLocation_3345","iCat")</x:f>
      </x:c>
      <x:c r="M12993" s="0" t="s">
        <x:v>20</x:v>
      </x:c>
      <x:c r="N12993" s="0" t="s">
        <x:v>30</x:v>
      </x:c>
    </x:row>
    <x:row r="12994" spans="1:16">
      <x:c r="A12994" s="0" t="s">
        <x:v>49584</x:v>
      </x:c>
      <x:c r="B12994" s="0" t="s">
        <x:v>49585</x:v>
      </x:c>
      <x:c r="C12994" s="0" t="s">
        <x:v>42840</x:v>
      </x:c>
      <x:c r="E12994" s="0" t="s">
        <x:v>49586</x:v>
      </x:c>
      <x:c r="F12994" s="0" t="s">
        <x:v>45</x:v>
      </x:c>
      <x:c r="G12994" s="0" t="s">
        <x:v>30</x:v>
      </x:c>
      <x:c r="H12994" s="0" t="s">
        <x:v>20</x:v>
      </x:c>
      <x:c r="I12994" s="0" t="s">
        <x:v>21</x:v>
      </x:c>
      <x:c r="K12994" s="0">
        <x:f>hyperlink("https://icd.who.int/dev11/l-ichi/en#/http%3A%2F%2Fid.who.int%2Ficd%2Fentity%2F223741850","browser")</x:f>
      </x:c>
      <x:c r="L12994" s="0">
        <x:f>hyperlink("https://icat2.azurewebsites.net/icat/?ontology=ICD&amp;tab=ClassesTab&amp;id=http%3A%2F%2Fwho.int%2Ficd%2310811_16e67c35_8b57_40bb_9220_818553425a8c","iCat")</x:f>
      </x:c>
      <x:c r="M12994" s="0" t="s">
        <x:v>20</x:v>
      </x:c>
      <x:c r="N12994" s="0" t="s">
        <x:v>22</x:v>
      </x:c>
    </x:row>
    <x:row r="12995" spans="1:16">
      <x:c r="A12995" s="0" t="s">
        <x:v>49587</x:v>
      </x:c>
      <x:c r="B12995" s="0" t="s">
        <x:v>49588</x:v>
      </x:c>
      <x:c r="C12995" s="0" t="s">
        <x:v>42840</x:v>
      </x:c>
      <x:c r="E12995" s="0" t="s">
        <x:v>49589</x:v>
      </x:c>
      <x:c r="F12995" s="0" t="s">
        <x:v>45</x:v>
      </x:c>
      <x:c r="G12995" s="0" t="s">
        <x:v>35</x:v>
      </x:c>
      <x:c r="H12995" s="0" t="s">
        <x:v>20</x:v>
      </x:c>
      <x:c r="I12995" s="0" t="s">
        <x:v>21</x:v>
      </x:c>
      <x:c r="K12995" s="0">
        <x:f>hyperlink("https://icd.who.int/dev11/l-ichi/en#/http%3A%2F%2Fid.who.int%2Ficd%2Fentity%2F719727487","browser")</x:f>
      </x:c>
      <x:c r="L12995" s="0">
        <x:f>hyperlink("https://icat2.azurewebsites.net/icat/?ontology=ICD&amp;tab=ClassesTab&amp;id=http%3A%2F%2Fwho.int%2Ficd%232735_d9027f82_5e3d_47a4_a6fe_3c65954dde3a","iCat")</x:f>
      </x:c>
      <x:c r="M12995" s="0" t="s">
        <x:v>20</x:v>
      </x:c>
      <x:c r="N12995" s="0" t="s">
        <x:v>35</x:v>
      </x:c>
    </x:row>
    <x:row r="12996" spans="1:16">
      <x:c r="A12996" s="0" t="s">
        <x:v>49590</x:v>
      </x:c>
      <x:c r="B12996" s="0" t="s">
        <x:v>49591</x:v>
      </x:c>
      <x:c r="C12996" s="0" t="s">
        <x:v>42840</x:v>
      </x:c>
      <x:c r="E12996" s="0" t="s">
        <x:v>49592</x:v>
      </x:c>
      <x:c r="F12996" s="0" t="s">
        <x:v>45</x:v>
      </x:c>
      <x:c r="G12996" s="0" t="s">
        <x:v>22</x:v>
      </x:c>
      <x:c r="H12996" s="0" t="s">
        <x:v>20</x:v>
      </x:c>
      <x:c r="I12996" s="0" t="s">
        <x:v>21</x:v>
      </x:c>
      <x:c r="K12996" s="0">
        <x:f>hyperlink("https://icd.who.int/dev11/l-ichi/en#/http%3A%2F%2Fid.who.int%2Ficd%2Fentity%2F1748499538","browser")</x:f>
      </x:c>
      <x:c r="L12996" s="0">
        <x:f>hyperlink("https://icat2.azurewebsites.net/icat/?ontology=ICD&amp;tab=ClassesTab&amp;id=http%3A%2F%2Fwho.int%2Ficd%23SpecificAnatomicLocation_3281","iCat")</x:f>
      </x:c>
      <x:c r="M12996" s="0" t="s">
        <x:v>21</x:v>
      </x:c>
      <x:c r="N12996" s="0" t="s">
        <x:v>46</x:v>
      </x:c>
    </x:row>
    <x:row r="12997" spans="1:16">
      <x:c r="A12997" s="0" t="s">
        <x:v>49593</x:v>
      </x:c>
      <x:c r="B12997" s="0" t="s">
        <x:v>49594</x:v>
      </x:c>
      <x:c r="C12997" s="0" t="s">
        <x:v>42840</x:v>
      </x:c>
      <x:c r="E12997" s="0" t="s">
        <x:v>49595</x:v>
      </x:c>
      <x:c r="F12997" s="0" t="s">
        <x:v>45</x:v>
      </x:c>
      <x:c r="G12997" s="0" t="s">
        <x:v>22</x:v>
      </x:c>
      <x:c r="H12997" s="0" t="s">
        <x:v>20</x:v>
      </x:c>
      <x:c r="I12997" s="0" t="s">
        <x:v>21</x:v>
      </x:c>
      <x:c r="K12997" s="0">
        <x:f>hyperlink("https://icd.who.int/dev11/l-ichi/en#/http%3A%2F%2Fid.who.int%2Ficd%2Fentity%2F2132777106","browser")</x:f>
      </x:c>
      <x:c r="L12997" s="0">
        <x:f>hyperlink("https://icat2.azurewebsites.net/icat/?ontology=ICD&amp;tab=ClassesTab&amp;id=http%3A%2F%2Fwho.int%2Ficd%23SpecificAnatomicLocation_3280","iCat")</x:f>
      </x:c>
      <x:c r="M12997" s="0" t="s">
        <x:v>21</x:v>
      </x:c>
      <x:c r="N12997" s="0" t="s">
        <x:v>46</x:v>
      </x:c>
    </x:row>
    <x:row r="12998" spans="1:16">
      <x:c r="A12998" s="0" t="s">
        <x:v>49596</x:v>
      </x:c>
      <x:c r="B12998" s="0" t="s">
        <x:v>49597</x:v>
      </x:c>
      <x:c r="C12998" s="0" t="s">
        <x:v>42840</x:v>
      </x:c>
      <x:c r="E12998" s="0" t="s">
        <x:v>49598</x:v>
      </x:c>
      <x:c r="F12998" s="0" t="s">
        <x:v>45</x:v>
      </x:c>
      <x:c r="G12998" s="0" t="s">
        <x:v>22</x:v>
      </x:c>
      <x:c r="H12998" s="0" t="s">
        <x:v>20</x:v>
      </x:c>
      <x:c r="I12998" s="0" t="s">
        <x:v>21</x:v>
      </x:c>
      <x:c r="K12998" s="0">
        <x:f>hyperlink("https://icd.who.int/dev11/l-ichi/en#/http%3A%2F%2Fid.who.int%2Ficd%2Fentity%2F845271451","browser")</x:f>
      </x:c>
      <x:c r="L12998" s="0">
        <x:f>hyperlink("https://icat2.azurewebsites.net/icat/?ontology=ICD&amp;tab=ClassesTab&amp;id=http%3A%2F%2Fwho.int%2Ficd%23SpecificAnatomicLocation_3279","iCat")</x:f>
      </x:c>
      <x:c r="M12998" s="0" t="s">
        <x:v>21</x:v>
      </x:c>
      <x:c r="N12998" s="0" t="s">
        <x:v>46</x:v>
      </x:c>
    </x:row>
    <x:row r="12999" spans="1:16">
      <x:c r="A12999" s="0" t="s">
        <x:v>49599</x:v>
      </x:c>
      <x:c r="B12999" s="0" t="s">
        <x:v>49600</x:v>
      </x:c>
      <x:c r="C12999" s="0" t="s">
        <x:v>42840</x:v>
      </x:c>
      <x:c r="E12999" s="0" t="s">
        <x:v>49601</x:v>
      </x:c>
      <x:c r="F12999" s="0" t="s">
        <x:v>45</x:v>
      </x:c>
      <x:c r="G12999" s="0" t="s">
        <x:v>35</x:v>
      </x:c>
      <x:c r="H12999" s="0" t="s">
        <x:v>20</x:v>
      </x:c>
      <x:c r="I12999" s="0" t="s">
        <x:v>21</x:v>
      </x:c>
      <x:c r="K12999" s="0">
        <x:f>hyperlink("https://icd.who.int/dev11/l-ichi/en#/http%3A%2F%2Fid.who.int%2Ficd%2Fentity%2F1364152594","browser")</x:f>
      </x:c>
      <x:c r="L12999" s="0">
        <x:f>hyperlink("https://icat2.azurewebsites.net/icat/?ontology=ICD&amp;tab=ClassesTab&amp;id=http%3A%2F%2Fwho.int%2Ficd%23SpecificAnatomicLocation_3282","iCat")</x:f>
      </x:c>
      <x:c r="M12999" s="0" t="s">
        <x:v>20</x:v>
      </x:c>
      <x:c r="N12999" s="0" t="s">
        <x:v>35</x:v>
      </x:c>
    </x:row>
    <x:row r="13000" spans="1:16">
      <x:c r="A13000" s="0" t="s">
        <x:v>49602</x:v>
      </x:c>
      <x:c r="B13000" s="0" t="s">
        <x:v>49603</x:v>
      </x:c>
      <x:c r="C13000" s="0" t="s">
        <x:v>42840</x:v>
      </x:c>
      <x:c r="E13000" s="0" t="s">
        <x:v>49604</x:v>
      </x:c>
      <x:c r="F13000" s="0" t="s">
        <x:v>45</x:v>
      </x:c>
      <x:c r="G13000" s="0" t="s">
        <x:v>22</x:v>
      </x:c>
      <x:c r="H13000" s="0" t="s">
        <x:v>20</x:v>
      </x:c>
      <x:c r="I13000" s="0" t="s">
        <x:v>21</x:v>
      </x:c>
      <x:c r="K13000" s="0">
        <x:f>hyperlink("https://icd.who.int/dev11/l-ichi/en#/http%3A%2F%2Fid.who.int%2Ficd%2Fentity%2F599657362","browser")</x:f>
      </x:c>
      <x:c r="L13000" s="0">
        <x:f>hyperlink("https://icat2.azurewebsites.net/icat/?ontology=ICD&amp;tab=ClassesTab&amp;id=http%3A%2F%2Fwho.int%2Ficd%23SpecificAnatomicLocation_3284","iCat")</x:f>
      </x:c>
      <x:c r="M13000" s="0" t="s">
        <x:v>21</x:v>
      </x:c>
      <x:c r="N13000" s="0" t="s">
        <x:v>46</x:v>
      </x:c>
    </x:row>
    <x:row r="13001" spans="1:16">
      <x:c r="A13001" s="0" t="s">
        <x:v>49605</x:v>
      </x:c>
      <x:c r="B13001" s="0" t="s">
        <x:v>49606</x:v>
      </x:c>
      <x:c r="C13001" s="0" t="s">
        <x:v>42840</x:v>
      </x:c>
      <x:c r="E13001" s="0" t="s">
        <x:v>49607</x:v>
      </x:c>
      <x:c r="F13001" s="0" t="s">
        <x:v>45</x:v>
      </x:c>
      <x:c r="G13001" s="0" t="s">
        <x:v>22</x:v>
      </x:c>
      <x:c r="H13001" s="0" t="s">
        <x:v>20</x:v>
      </x:c>
      <x:c r="I13001" s="0" t="s">
        <x:v>21</x:v>
      </x:c>
      <x:c r="K13001" s="0">
        <x:f>hyperlink("https://icd.who.int/dev11/l-ichi/en#/http%3A%2F%2Fid.who.int%2Ficd%2Fentity%2F2102118863","browser")</x:f>
      </x:c>
      <x:c r="L13001" s="0">
        <x:f>hyperlink("https://icat2.azurewebsites.net/icat/?ontology=ICD&amp;tab=ClassesTab&amp;id=http%3A%2F%2Fwho.int%2Ficd%231484_289760b8_59e2_4c12_8227_8273a894742b","iCat")</x:f>
      </x:c>
      <x:c r="M13001" s="0" t="s">
        <x:v>21</x:v>
      </x:c>
      <x:c r="N13001" s="0" t="s">
        <x:v>46</x:v>
      </x:c>
    </x:row>
    <x:row r="13002" spans="1:16">
      <x:c r="A13002" s="0" t="s">
        <x:v>49608</x:v>
      </x:c>
      <x:c r="B13002" s="0" t="s">
        <x:v>49609</x:v>
      </x:c>
      <x:c r="C13002" s="0" t="s">
        <x:v>42840</x:v>
      </x:c>
      <x:c r="E13002" s="0" t="s">
        <x:v>49610</x:v>
      </x:c>
      <x:c r="F13002" s="0" t="s">
        <x:v>45</x:v>
      </x:c>
      <x:c r="G13002" s="0" t="s">
        <x:v>22</x:v>
      </x:c>
      <x:c r="H13002" s="0" t="s">
        <x:v>20</x:v>
      </x:c>
      <x:c r="I13002" s="0" t="s">
        <x:v>21</x:v>
      </x:c>
      <x:c r="K13002" s="0">
        <x:f>hyperlink("https://icd.who.int/dev11/l-ichi/en#/http%3A%2F%2Fid.who.int%2Ficd%2Fentity%2F1734868251","browser")</x:f>
      </x:c>
      <x:c r="L13002" s="0">
        <x:f>hyperlink("https://icat2.azurewebsites.net/icat/?ontology=ICD&amp;tab=ClassesTab&amp;id=http%3A%2F%2Fwho.int%2Ficd%231503_289760b8_59e2_4c12_8227_8273a894742b","iCat")</x:f>
      </x:c>
      <x:c r="M13002" s="0" t="s">
        <x:v>21</x:v>
      </x:c>
      <x:c r="N13002" s="0" t="s">
        <x:v>46</x:v>
      </x:c>
    </x:row>
    <x:row r="13003" spans="1:16">
      <x:c r="A13003" s="0" t="s">
        <x:v>49611</x:v>
      </x:c>
      <x:c r="B13003" s="0" t="s">
        <x:v>49612</x:v>
      </x:c>
      <x:c r="C13003" s="0" t="s">
        <x:v>42840</x:v>
      </x:c>
      <x:c r="E13003" s="0" t="s">
        <x:v>49613</x:v>
      </x:c>
      <x:c r="F13003" s="0" t="s">
        <x:v>45</x:v>
      </x:c>
      <x:c r="G13003" s="0" t="s">
        <x:v>35</x:v>
      </x:c>
      <x:c r="H13003" s="0" t="s">
        <x:v>20</x:v>
      </x:c>
      <x:c r="I13003" s="0" t="s">
        <x:v>21</x:v>
      </x:c>
      <x:c r="K13003" s="0">
        <x:f>hyperlink("https://icd.who.int/dev11/l-ichi/en#/http%3A%2F%2Fid.who.int%2Ficd%2Fentity%2F1768750843","browser")</x:f>
      </x:c>
      <x:c r="L13003" s="0">
        <x:f>hyperlink("https://icat2.azurewebsites.net/icat/?ontology=ICD&amp;tab=ClassesTab&amp;id=http%3A%2F%2Fwho.int%2Ficd%2313391_16e67c35_8b57_40bb_9220_818553425a8c","iCat")</x:f>
      </x:c>
      <x:c r="M13003" s="0" t="s">
        <x:v>20</x:v>
      </x:c>
      <x:c r="N13003" s="0" t="s">
        <x:v>30</x:v>
      </x:c>
    </x:row>
    <x:row r="13004" spans="1:16">
      <x:c r="A13004" s="0" t="s">
        <x:v>49614</x:v>
      </x:c>
      <x:c r="B13004" s="0" t="s">
        <x:v>49615</x:v>
      </x:c>
      <x:c r="C13004" s="0" t="s">
        <x:v>42840</x:v>
      </x:c>
      <x:c r="E13004" s="0" t="s">
        <x:v>49616</x:v>
      </x:c>
      <x:c r="F13004" s="0" t="s">
        <x:v>45</x:v>
      </x:c>
      <x:c r="G13004" s="0" t="s">
        <x:v>22</x:v>
      </x:c>
      <x:c r="H13004" s="0" t="s">
        <x:v>20</x:v>
      </x:c>
      <x:c r="I13004" s="0" t="s">
        <x:v>21</x:v>
      </x:c>
      <x:c r="K13004" s="0">
        <x:f>hyperlink("https://icd.who.int/dev11/l-ichi/en#/http%3A%2F%2Fid.who.int%2Ficd%2Fentity%2F1181169106","browser")</x:f>
      </x:c>
      <x:c r="L13004" s="0">
        <x:f>hyperlink("https://icat2.azurewebsites.net/icat/?ontology=ICD&amp;tab=ClassesTab&amp;id=http%3A%2F%2Fwho.int%2Ficd%23SpecificAnatomicLocation_3283","iCat")</x:f>
      </x:c>
      <x:c r="M13004" s="0" t="s">
        <x:v>21</x:v>
      </x:c>
      <x:c r="N13004" s="0" t="s">
        <x:v>46</x:v>
      </x:c>
    </x:row>
    <x:row r="13005" spans="1:16">
      <x:c r="A13005" s="0" t="s">
        <x:v>49617</x:v>
      </x:c>
      <x:c r="B13005" s="0" t="s">
        <x:v>49618</x:v>
      </x:c>
      <x:c r="C13005" s="0" t="s">
        <x:v>42840</x:v>
      </x:c>
      <x:c r="E13005" s="0" t="s">
        <x:v>49619</x:v>
      </x:c>
      <x:c r="F13005" s="0" t="s">
        <x:v>45</x:v>
      </x:c>
      <x:c r="G13005" s="0" t="s">
        <x:v>22</x:v>
      </x:c>
      <x:c r="H13005" s="0" t="s">
        <x:v>20</x:v>
      </x:c>
      <x:c r="I13005" s="0" t="s">
        <x:v>21</x:v>
      </x:c>
      <x:c r="K13005" s="0">
        <x:f>hyperlink("https://icd.who.int/dev11/l-ichi/en#/http%3A%2F%2Fid.who.int%2Ficd%2Fentity%2F233751058","browser")</x:f>
      </x:c>
      <x:c r="L13005" s="0">
        <x:f>hyperlink("https://icat2.azurewebsites.net/icat/?ontology=ICD&amp;tab=ClassesTab&amp;id=http%3A%2F%2Fwho.int%2Ficd%23SpecificAnatomicLocation_3286","iCat")</x:f>
      </x:c>
      <x:c r="M13005" s="0" t="s">
        <x:v>21</x:v>
      </x:c>
      <x:c r="N13005" s="0" t="s">
        <x:v>46</x:v>
      </x:c>
    </x:row>
    <x:row r="13006" spans="1:16">
      <x:c r="A13006" s="0" t="s">
        <x:v>49620</x:v>
      </x:c>
      <x:c r="B13006" s="0" t="s">
        <x:v>49621</x:v>
      </x:c>
      <x:c r="C13006" s="0" t="s">
        <x:v>42840</x:v>
      </x:c>
      <x:c r="E13006" s="0" t="s">
        <x:v>49622</x:v>
      </x:c>
      <x:c r="F13006" s="0" t="s">
        <x:v>45</x:v>
      </x:c>
      <x:c r="G13006" s="0" t="s">
        <x:v>35</x:v>
      </x:c>
      <x:c r="H13006" s="0" t="s">
        <x:v>20</x:v>
      </x:c>
      <x:c r="I13006" s="0" t="s">
        <x:v>21</x:v>
      </x:c>
      <x:c r="K13006" s="0">
        <x:f>hyperlink("https://icd.who.int/dev11/l-ichi/en#/http%3A%2F%2Fid.who.int%2Ficd%2Fentity%2F1676501535","browser")</x:f>
      </x:c>
      <x:c r="L13006" s="0">
        <x:f>hyperlink("https://icat2.azurewebsites.net/icat/?ontology=ICD&amp;tab=ClassesTab&amp;id=http%3A%2F%2Fwho.int%2Ficd%232963_d9027f82_5e3d_47a4_a6fe_3c65954dde3a","iCat")</x:f>
      </x:c>
      <x:c r="M13006" s="0" t="s">
        <x:v>20</x:v>
      </x:c>
      <x:c r="N13006" s="0" t="s">
        <x:v>22</x:v>
      </x:c>
    </x:row>
    <x:row r="13007" spans="1:16">
      <x:c r="A13007" s="0" t="s">
        <x:v>49623</x:v>
      </x:c>
      <x:c r="B13007" s="0" t="s">
        <x:v>49624</x:v>
      </x:c>
      <x:c r="C13007" s="0" t="s">
        <x:v>42840</x:v>
      </x:c>
      <x:c r="E13007" s="0" t="s">
        <x:v>49625</x:v>
      </x:c>
      <x:c r="F13007" s="0" t="s">
        <x:v>45</x:v>
      </x:c>
      <x:c r="G13007" s="0" t="s">
        <x:v>22</x:v>
      </x:c>
      <x:c r="H13007" s="0" t="s">
        <x:v>20</x:v>
      </x:c>
      <x:c r="I13007" s="0" t="s">
        <x:v>21</x:v>
      </x:c>
      <x:c r="K13007" s="0">
        <x:f>hyperlink("https://icd.who.int/dev11/l-ichi/en#/http%3A%2F%2Fid.who.int%2Ficd%2Fentity%2F908311134","browser")</x:f>
      </x:c>
      <x:c r="L13007" s="0">
        <x:f>hyperlink("https://icat2.azurewebsites.net/icat/?ontology=ICD&amp;tab=ClassesTab&amp;id=http%3A%2F%2Fwho.int%2Ficd%2310889_16e67c35_8b57_40bb_9220_818553425a8c","iCat")</x:f>
      </x:c>
      <x:c r="M13007" s="0" t="s">
        <x:v>20</x:v>
      </x:c>
      <x:c r="N13007" s="0" t="s">
        <x:v>35</x:v>
      </x:c>
    </x:row>
    <x:row r="13008" spans="1:16">
      <x:c r="A13008" s="0" t="s">
        <x:v>49626</x:v>
      </x:c>
      <x:c r="B13008" s="0" t="s">
        <x:v>49627</x:v>
      </x:c>
      <x:c r="C13008" s="0" t="s">
        <x:v>42840</x:v>
      </x:c>
      <x:c r="E13008" s="0" t="s">
        <x:v>49628</x:v>
      </x:c>
      <x:c r="F13008" s="0" t="s">
        <x:v>45</x:v>
      </x:c>
      <x:c r="G13008" s="0" t="s">
        <x:v>40</x:v>
      </x:c>
      <x:c r="H13008" s="0" t="s">
        <x:v>20</x:v>
      </x:c>
      <x:c r="I13008" s="0" t="s">
        <x:v>21</x:v>
      </x:c>
      <x:c r="K13008" s="0">
        <x:f>hyperlink("https://icd.who.int/dev11/l-ichi/en#/http%3A%2F%2Fid.who.int%2Ficd%2Fentity%2F449226450","browser")</x:f>
      </x:c>
      <x:c r="L13008" s="0">
        <x:f>hyperlink("https://icat2.azurewebsites.net/icat/?ontology=ICD&amp;tab=ClassesTab&amp;id=http%3A%2F%2Fwho.int%2Ficd%23SpecificAnatomicLocation_3287","iCat")</x:f>
      </x:c>
      <x:c r="M13008" s="0" t="s">
        <x:v>21</x:v>
      </x:c>
      <x:c r="N13008" s="0" t="s">
        <x:v>46</x:v>
      </x:c>
    </x:row>
    <x:row r="13009" spans="1:16">
      <x:c r="A13009" s="0" t="s">
        <x:v>49629</x:v>
      </x:c>
      <x:c r="B13009" s="0" t="s">
        <x:v>49630</x:v>
      </x:c>
      <x:c r="C13009" s="0" t="s">
        <x:v>42840</x:v>
      </x:c>
      <x:c r="E13009" s="0" t="s">
        <x:v>49631</x:v>
      </x:c>
      <x:c r="F13009" s="0" t="s">
        <x:v>45</x:v>
      </x:c>
      <x:c r="G13009" s="0" t="s">
        <x:v>40</x:v>
      </x:c>
      <x:c r="H13009" s="0" t="s">
        <x:v>20</x:v>
      </x:c>
      <x:c r="I13009" s="0" t="s">
        <x:v>21</x:v>
      </x:c>
      <x:c r="K13009" s="0">
        <x:f>hyperlink("https://icd.who.int/dev11/l-ichi/en#/http%3A%2F%2Fid.who.int%2Ficd%2Fentity%2F87674707","browser")</x:f>
      </x:c>
      <x:c r="L13009" s="0">
        <x:f>hyperlink("https://icat2.azurewebsites.net/icat/?ontology=ICD&amp;tab=ClassesTab&amp;id=http%3A%2F%2Fwho.int%2Ficd%23SpecificAnatomicLocation_3331","iCat")</x:f>
      </x:c>
      <x:c r="M13009" s="0" t="s">
        <x:v>21</x:v>
      </x:c>
      <x:c r="N13009" s="0" t="s">
        <x:v>46</x:v>
      </x:c>
    </x:row>
    <x:row r="13010" spans="1:16">
      <x:c r="A13010" s="0" t="s">
        <x:v>49632</x:v>
      </x:c>
      <x:c r="B13010" s="0" t="s">
        <x:v>49633</x:v>
      </x:c>
      <x:c r="C13010" s="0" t="s">
        <x:v>42840</x:v>
      </x:c>
      <x:c r="E13010" s="0" t="s">
        <x:v>49634</x:v>
      </x:c>
      <x:c r="F13010" s="0" t="s">
        <x:v>45</x:v>
      </x:c>
      <x:c r="G13010" s="0" t="s">
        <x:v>40</x:v>
      </x:c>
      <x:c r="H13010" s="0" t="s">
        <x:v>20</x:v>
      </x:c>
      <x:c r="I13010" s="0" t="s">
        <x:v>21</x:v>
      </x:c>
      <x:c r="K13010" s="0">
        <x:f>hyperlink("https://icd.who.int/dev11/l-ichi/en#/http%3A%2F%2Fid.who.int%2Ficd%2Fentity%2F967000430","browser")</x:f>
      </x:c>
      <x:c r="L13010" s="0">
        <x:f>hyperlink("https://icat2.azurewebsites.net/icat/?ontology=ICD&amp;tab=ClassesTab&amp;id=http%3A%2F%2Fwho.int%2Ficd%23SpecificAnatomicLocation_3288","iCat")</x:f>
      </x:c>
      <x:c r="M13010" s="0" t="s">
        <x:v>21</x:v>
      </x:c>
      <x:c r="N13010" s="0" t="s">
        <x:v>46</x:v>
      </x:c>
    </x:row>
    <x:row r="13011" spans="1:16">
      <x:c r="A13011" s="0" t="s">
        <x:v>49635</x:v>
      </x:c>
      <x:c r="B13011" s="0" t="s">
        <x:v>49636</x:v>
      </x:c>
      <x:c r="C13011" s="0" t="s">
        <x:v>42840</x:v>
      </x:c>
      <x:c r="E13011" s="0" t="s">
        <x:v>49637</x:v>
      </x:c>
      <x:c r="F13011" s="0" t="s">
        <x:v>45</x:v>
      </x:c>
      <x:c r="G13011" s="0" t="s">
        <x:v>22</x:v>
      </x:c>
      <x:c r="H13011" s="0" t="s">
        <x:v>20</x:v>
      </x:c>
      <x:c r="I13011" s="0" t="s">
        <x:v>21</x:v>
      </x:c>
      <x:c r="K13011" s="0">
        <x:f>hyperlink("https://icd.who.int/dev11/l-ichi/en#/http%3A%2F%2Fid.who.int%2Ficd%2Fentity%2F780871086","browser")</x:f>
      </x:c>
      <x:c r="L13011" s="0">
        <x:f>hyperlink("https://icat2.azurewebsites.net/icat/?ontology=ICD&amp;tab=ClassesTab&amp;id=http%3A%2F%2Fwho.int%2Ficd%23SpecificAnatomicLocation_3289","iCat")</x:f>
      </x:c>
      <x:c r="M13011" s="0" t="s">
        <x:v>21</x:v>
      </x:c>
      <x:c r="N13011" s="0" t="s">
        <x:v>46</x:v>
      </x:c>
    </x:row>
    <x:row r="13012" spans="1:16">
      <x:c r="A13012" s="0" t="s">
        <x:v>49638</x:v>
      </x:c>
      <x:c r="B13012" s="0" t="s">
        <x:v>49639</x:v>
      </x:c>
      <x:c r="C13012" s="0" t="s">
        <x:v>42840</x:v>
      </x:c>
      <x:c r="E13012" s="0" t="s">
        <x:v>49640</x:v>
      </x:c>
      <x:c r="F13012" s="0" t="s">
        <x:v>45</x:v>
      </x:c>
      <x:c r="G13012" s="0" t="s">
        <x:v>22</x:v>
      </x:c>
      <x:c r="H13012" s="0" t="s">
        <x:v>20</x:v>
      </x:c>
      <x:c r="I13012" s="0" t="s">
        <x:v>21</x:v>
      </x:c>
      <x:c r="K13012" s="0">
        <x:f>hyperlink("https://icd.who.int/dev11/l-ichi/en#/http%3A%2F%2Fid.who.int%2Ficd%2Fentity%2F29688395","browser")</x:f>
      </x:c>
      <x:c r="L13012" s="0">
        <x:f>hyperlink("https://icat2.azurewebsites.net/icat/?ontology=ICD&amp;tab=ClassesTab&amp;id=http%3A%2F%2Fwho.int%2Ficd%23SpecificAnatomicLocation_3290","iCat")</x:f>
      </x:c>
      <x:c r="M13012" s="0" t="s">
        <x:v>20</x:v>
      </x:c>
      <x:c r="N13012" s="0" t="s">
        <x:v>40</x:v>
      </x:c>
    </x:row>
    <x:row r="13013" spans="1:16">
      <x:c r="A13013" s="0" t="s">
        <x:v>49641</x:v>
      </x:c>
      <x:c r="B13013" s="0" t="s">
        <x:v>49642</x:v>
      </x:c>
      <x:c r="C13013" s="0" t="s">
        <x:v>42840</x:v>
      </x:c>
      <x:c r="E13013" s="0" t="s">
        <x:v>49643</x:v>
      </x:c>
      <x:c r="F13013" s="0" t="s">
        <x:v>45</x:v>
      </x:c>
      <x:c r="G13013" s="0" t="s">
        <x:v>40</x:v>
      </x:c>
      <x:c r="H13013" s="0" t="s">
        <x:v>20</x:v>
      </x:c>
      <x:c r="I13013" s="0" t="s">
        <x:v>21</x:v>
      </x:c>
      <x:c r="K13013" s="0">
        <x:f>hyperlink("https://icd.who.int/dev11/l-ichi/en#/http%3A%2F%2Fid.who.int%2Ficd%2Fentity%2F1177543503","browser")</x:f>
      </x:c>
      <x:c r="L13013" s="0">
        <x:f>hyperlink("https://icat2.azurewebsites.net/icat/?ontology=ICD&amp;tab=ClassesTab&amp;id=http%3A%2F%2Fwho.int%2Ficd%2310959_16e67c35_8b57_40bb_9220_818553425a8c","iCat")</x:f>
      </x:c>
      <x:c r="M13013" s="0" t="s">
        <x:v>21</x:v>
      </x:c>
      <x:c r="N13013" s="0" t="s">
        <x:v>46</x:v>
      </x:c>
    </x:row>
    <x:row r="13014" spans="1:16">
      <x:c r="A13014" s="0" t="s">
        <x:v>49644</x:v>
      </x:c>
      <x:c r="B13014" s="0" t="s">
        <x:v>49645</x:v>
      </x:c>
      <x:c r="C13014" s="0" t="s">
        <x:v>42840</x:v>
      </x:c>
      <x:c r="E13014" s="0" t="s">
        <x:v>49646</x:v>
      </x:c>
      <x:c r="F13014" s="0" t="s">
        <x:v>45</x:v>
      </x:c>
      <x:c r="G13014" s="0" t="s">
        <x:v>40</x:v>
      </x:c>
      <x:c r="H13014" s="0" t="s">
        <x:v>20</x:v>
      </x:c>
      <x:c r="I13014" s="0" t="s">
        <x:v>21</x:v>
      </x:c>
      <x:c r="K13014" s="0">
        <x:f>hyperlink("https://icd.who.int/dev11/l-ichi/en#/http%3A%2F%2Fid.who.int%2Ficd%2Fentity%2F1285702691","browser")</x:f>
      </x:c>
      <x:c r="L13014" s="0">
        <x:f>hyperlink("https://icat2.azurewebsites.net/icat/?ontology=ICD&amp;tab=ClassesTab&amp;id=http%3A%2F%2Fwho.int%2Ficd%2310978_16e67c35_8b57_40bb_9220_818553425a8c","iCat")</x:f>
      </x:c>
      <x:c r="M13014" s="0" t="s">
        <x:v>21</x:v>
      </x:c>
      <x:c r="N13014" s="0" t="s">
        <x:v>46</x:v>
      </x:c>
    </x:row>
    <x:row r="13015" spans="1:16">
      <x:c r="A13015" s="0" t="s">
        <x:v>49647</x:v>
      </x:c>
      <x:c r="B13015" s="0" t="s">
        <x:v>49648</x:v>
      </x:c>
      <x:c r="C13015" s="0" t="s">
        <x:v>42840</x:v>
      </x:c>
      <x:c r="E13015" s="0" t="s">
        <x:v>49649</x:v>
      </x:c>
      <x:c r="F13015" s="0" t="s">
        <x:v>45</x:v>
      </x:c>
      <x:c r="G13015" s="0" t="s">
        <x:v>40</x:v>
      </x:c>
      <x:c r="H13015" s="0" t="s">
        <x:v>20</x:v>
      </x:c>
      <x:c r="I13015" s="0" t="s">
        <x:v>21</x:v>
      </x:c>
      <x:c r="K13015" s="0">
        <x:f>hyperlink("https://icd.who.int/dev11/l-ichi/en#/http%3A%2F%2Fid.who.int%2Ficd%2Fentity%2F931348850","browser")</x:f>
      </x:c>
      <x:c r="L13015" s="0">
        <x:f>hyperlink("https://icat2.azurewebsites.net/icat/?ontology=ICD&amp;tab=ClassesTab&amp;id=http%3A%2F%2Fwho.int%2Ficd%2310997_16e67c35_8b57_40bb_9220_818553425a8c","iCat")</x:f>
      </x:c>
      <x:c r="M13015" s="0" t="s">
        <x:v>21</x:v>
      </x:c>
      <x:c r="N13015" s="0" t="s">
        <x:v>46</x:v>
      </x:c>
    </x:row>
    <x:row r="13016" spans="1:16">
      <x:c r="A13016" s="0" t="s">
        <x:v>49650</x:v>
      </x:c>
      <x:c r="B13016" s="0" t="s">
        <x:v>49651</x:v>
      </x:c>
      <x:c r="C13016" s="0" t="s">
        <x:v>42840</x:v>
      </x:c>
      <x:c r="E13016" s="0" t="s">
        <x:v>49652</x:v>
      </x:c>
      <x:c r="F13016" s="0" t="s">
        <x:v>45</x:v>
      </x:c>
      <x:c r="G13016" s="0" t="s">
        <x:v>40</x:v>
      </x:c>
      <x:c r="H13016" s="0" t="s">
        <x:v>20</x:v>
      </x:c>
      <x:c r="I13016" s="0" t="s">
        <x:v>21</x:v>
      </x:c>
      <x:c r="K13016" s="0">
        <x:f>hyperlink("https://icd.who.int/dev11/l-ichi/en#/http%3A%2F%2Fid.who.int%2Ficd%2Fentity%2F786402768","browser")</x:f>
      </x:c>
      <x:c r="L13016" s="0">
        <x:f>hyperlink("https://icat2.azurewebsites.net/icat/?ontology=ICD&amp;tab=ClassesTab&amp;id=http%3A%2F%2Fwho.int%2Ficd%2311016_16e67c35_8b57_40bb_9220_818553425a8c","iCat")</x:f>
      </x:c>
      <x:c r="M13016" s="0" t="s">
        <x:v>21</x:v>
      </x:c>
      <x:c r="N13016" s="0" t="s">
        <x:v>46</x:v>
      </x:c>
    </x:row>
    <x:row r="13017" spans="1:16">
      <x:c r="A13017" s="0" t="s">
        <x:v>49653</x:v>
      </x:c>
      <x:c r="B13017" s="0" t="s">
        <x:v>49654</x:v>
      </x:c>
      <x:c r="C13017" s="0" t="s">
        <x:v>42840</x:v>
      </x:c>
      <x:c r="E13017" s="0" t="s">
        <x:v>49655</x:v>
      </x:c>
      <x:c r="F13017" s="0" t="s">
        <x:v>45</x:v>
      </x:c>
      <x:c r="G13017" s="0" t="s">
        <x:v>40</x:v>
      </x:c>
      <x:c r="H13017" s="0" t="s">
        <x:v>20</x:v>
      </x:c>
      <x:c r="I13017" s="0" t="s">
        <x:v>21</x:v>
      </x:c>
      <x:c r="K13017" s="0">
        <x:f>hyperlink("https://icd.who.int/dev11/l-ichi/en#/http%3A%2F%2Fid.who.int%2Ficd%2Fentity%2F1093547879","browser")</x:f>
      </x:c>
      <x:c r="L13017" s="0">
        <x:f>hyperlink("https://icat2.azurewebsites.net/icat/?ontology=ICD&amp;tab=ClassesTab&amp;id=http%3A%2F%2Fwho.int%2Ficd%2311035_16e67c35_8b57_40bb_9220_818553425a8c","iCat")</x:f>
      </x:c>
      <x:c r="M13017" s="0" t="s">
        <x:v>21</x:v>
      </x:c>
      <x:c r="N13017" s="0" t="s">
        <x:v>46</x:v>
      </x:c>
    </x:row>
    <x:row r="13018" spans="1:16">
      <x:c r="A13018" s="0" t="s">
        <x:v>49656</x:v>
      </x:c>
      <x:c r="B13018" s="0" t="s">
        <x:v>49657</x:v>
      </x:c>
      <x:c r="C13018" s="0" t="s">
        <x:v>42840</x:v>
      </x:c>
      <x:c r="E13018" s="0" t="s">
        <x:v>49658</x:v>
      </x:c>
      <x:c r="F13018" s="0" t="s">
        <x:v>45</x:v>
      </x:c>
      <x:c r="G13018" s="0" t="s">
        <x:v>22</x:v>
      </x:c>
      <x:c r="H13018" s="0" t="s">
        <x:v>20</x:v>
      </x:c>
      <x:c r="I13018" s="0" t="s">
        <x:v>21</x:v>
      </x:c>
      <x:c r="K13018" s="0">
        <x:f>hyperlink("https://icd.who.int/dev11/l-ichi/en#/http%3A%2F%2Fid.who.int%2Ficd%2Fentity%2F951955211","browser")</x:f>
      </x:c>
      <x:c r="L13018" s="0">
        <x:f>hyperlink("https://icat2.azurewebsites.net/icat/?ontology=ICD&amp;tab=ClassesTab&amp;id=http%3A%2F%2Fwho.int%2Ficd%23SpecificAnatomicLocation_3293","iCat")</x:f>
      </x:c>
      <x:c r="M13018" s="0" t="s">
        <x:v>20</x:v>
      </x:c>
      <x:c r="N13018" s="0" t="s">
        <x:v>35</x:v>
      </x:c>
    </x:row>
    <x:row r="13019" spans="1:16">
      <x:c r="A13019" s="0" t="s">
        <x:v>49659</x:v>
      </x:c>
      <x:c r="B13019" s="0" t="s">
        <x:v>49660</x:v>
      </x:c>
      <x:c r="C13019" s="0" t="s">
        <x:v>42840</x:v>
      </x:c>
      <x:c r="E13019" s="0" t="s">
        <x:v>49661</x:v>
      </x:c>
      <x:c r="F13019" s="0" t="s">
        <x:v>45</x:v>
      </x:c>
      <x:c r="G13019" s="0" t="s">
        <x:v>40</x:v>
      </x:c>
      <x:c r="H13019" s="0" t="s">
        <x:v>20</x:v>
      </x:c>
      <x:c r="I13019" s="0" t="s">
        <x:v>21</x:v>
      </x:c>
      <x:c r="K13019" s="0">
        <x:f>hyperlink("https://icd.who.int/dev11/l-ichi/en#/http%3A%2F%2Fid.who.int%2Ficd%2Fentity%2F1622869003","browser")</x:f>
      </x:c>
      <x:c r="L13019" s="0">
        <x:f>hyperlink("https://icat2.azurewebsites.net/icat/?ontology=ICD&amp;tab=ClassesTab&amp;id=http%3A%2F%2Fwho.int%2Ficd%2311059_16e67c35_8b57_40bb_9220_818553425a8c","iCat")</x:f>
      </x:c>
      <x:c r="M13019" s="0" t="s">
        <x:v>21</x:v>
      </x:c>
      <x:c r="N13019" s="0" t="s">
        <x:v>46</x:v>
      </x:c>
    </x:row>
    <x:row r="13020" spans="1:16">
      <x:c r="A13020" s="0" t="s">
        <x:v>49662</x:v>
      </x:c>
      <x:c r="B13020" s="0" t="s">
        <x:v>49663</x:v>
      </x:c>
      <x:c r="C13020" s="0" t="s">
        <x:v>42840</x:v>
      </x:c>
      <x:c r="E13020" s="0" t="s">
        <x:v>49664</x:v>
      </x:c>
      <x:c r="F13020" s="0" t="s">
        <x:v>45</x:v>
      </x:c>
      <x:c r="G13020" s="0" t="s">
        <x:v>40</x:v>
      </x:c>
      <x:c r="H13020" s="0" t="s">
        <x:v>20</x:v>
      </x:c>
      <x:c r="I13020" s="0" t="s">
        <x:v>21</x:v>
      </x:c>
      <x:c r="K13020" s="0">
        <x:f>hyperlink("https://icd.who.int/dev11/l-ichi/en#/http%3A%2F%2Fid.who.int%2Ficd%2Fentity%2F798346187","browser")</x:f>
      </x:c>
      <x:c r="L13020" s="0">
        <x:f>hyperlink("https://icat2.azurewebsites.net/icat/?ontology=ICD&amp;tab=ClassesTab&amp;id=http%3A%2F%2Fwho.int%2Ficd%23SpecificAnatomicLocation_3292","iCat")</x:f>
      </x:c>
      <x:c r="M13020" s="0" t="s">
        <x:v>20</x:v>
      </x:c>
      <x:c r="N13020" s="0" t="s">
        <x:v>22</x:v>
      </x:c>
    </x:row>
    <x:row r="13021" spans="1:16">
      <x:c r="A13021" s="0" t="s">
        <x:v>49665</x:v>
      </x:c>
      <x:c r="B13021" s="0" t="s">
        <x:v>49666</x:v>
      </x:c>
      <x:c r="C13021" s="0" t="s">
        <x:v>42840</x:v>
      </x:c>
      <x:c r="E13021" s="0" t="s">
        <x:v>49667</x:v>
      </x:c>
      <x:c r="F13021" s="0" t="s">
        <x:v>45</x:v>
      </x:c>
      <x:c r="G13021" s="0" t="s">
        <x:v>206</x:v>
      </x:c>
      <x:c r="H13021" s="0" t="s">
        <x:v>20</x:v>
      </x:c>
      <x:c r="I13021" s="0" t="s">
        <x:v>21</x:v>
      </x:c>
      <x:c r="K13021" s="0">
        <x:f>hyperlink("https://icd.who.int/dev11/l-ichi/en#/http%3A%2F%2Fid.who.int%2Ficd%2Fentity%2F189831406","browser")</x:f>
      </x:c>
      <x:c r="L13021" s="0">
        <x:f>hyperlink("https://icat2.azurewebsites.net/icat/?ontology=ICD&amp;tab=ClassesTab&amp;id=http%3A%2F%2Fwho.int%2Ficd%2311080_16e67c35_8b57_40bb_9220_818553425a8c","iCat")</x:f>
      </x:c>
      <x:c r="M13021" s="0" t="s">
        <x:v>21</x:v>
      </x:c>
      <x:c r="N13021" s="0" t="s">
        <x:v>46</x:v>
      </x:c>
    </x:row>
    <x:row r="13022" spans="1:16">
      <x:c r="A13022" s="0" t="s">
        <x:v>49668</x:v>
      </x:c>
      <x:c r="B13022" s="0" t="s">
        <x:v>49669</x:v>
      </x:c>
      <x:c r="C13022" s="0" t="s">
        <x:v>42840</x:v>
      </x:c>
      <x:c r="E13022" s="0" t="s">
        <x:v>49670</x:v>
      </x:c>
      <x:c r="F13022" s="0" t="s">
        <x:v>45</x:v>
      </x:c>
      <x:c r="G13022" s="0" t="s">
        <x:v>206</x:v>
      </x:c>
      <x:c r="H13022" s="0" t="s">
        <x:v>20</x:v>
      </x:c>
      <x:c r="I13022" s="0" t="s">
        <x:v>21</x:v>
      </x:c>
      <x:c r="K13022" s="0">
        <x:f>hyperlink("https://icd.who.int/dev11/l-ichi/en#/http%3A%2F%2Fid.who.int%2Ficd%2Fentity%2F267194066","browser")</x:f>
      </x:c>
      <x:c r="L13022" s="0">
        <x:f>hyperlink("https://icat2.azurewebsites.net/icat/?ontology=ICD&amp;tab=ClassesTab&amp;id=http%3A%2F%2Fwho.int%2Ficd%2311099_16e67c35_8b57_40bb_9220_818553425a8c","iCat")</x:f>
      </x:c>
      <x:c r="M13022" s="0" t="s">
        <x:v>21</x:v>
      </x:c>
      <x:c r="N13022" s="0" t="s">
        <x:v>46</x:v>
      </x:c>
    </x:row>
    <x:row r="13023" spans="1:16">
      <x:c r="A13023" s="0" t="s">
        <x:v>49671</x:v>
      </x:c>
      <x:c r="B13023" s="0" t="s">
        <x:v>49672</x:v>
      </x:c>
      <x:c r="C13023" s="0" t="s">
        <x:v>42840</x:v>
      </x:c>
      <x:c r="E13023" s="0" t="s">
        <x:v>49673</x:v>
      </x:c>
      <x:c r="F13023" s="0" t="s">
        <x:v>45</x:v>
      </x:c>
      <x:c r="G13023" s="0" t="s">
        <x:v>206</x:v>
      </x:c>
      <x:c r="H13023" s="0" t="s">
        <x:v>20</x:v>
      </x:c>
      <x:c r="I13023" s="0" t="s">
        <x:v>21</x:v>
      </x:c>
      <x:c r="K13023" s="0">
        <x:f>hyperlink("https://icd.who.int/dev11/l-ichi/en#/http%3A%2F%2Fid.who.int%2Ficd%2Fentity%2F1169875895","browser")</x:f>
      </x:c>
      <x:c r="L13023" s="0">
        <x:f>hyperlink("https://icat2.azurewebsites.net/icat/?ontology=ICD&amp;tab=ClassesTab&amp;id=http%3A%2F%2Fwho.int%2Ficd%2311118_16e67c35_8b57_40bb_9220_818553425a8c","iCat")</x:f>
      </x:c>
      <x:c r="M13023" s="0" t="s">
        <x:v>21</x:v>
      </x:c>
      <x:c r="N13023" s="0" t="s">
        <x:v>46</x:v>
      </x:c>
    </x:row>
    <x:row r="13024" spans="1:16">
      <x:c r="A13024" s="0" t="s">
        <x:v>49674</x:v>
      </x:c>
      <x:c r="B13024" s="0" t="s">
        <x:v>49675</x:v>
      </x:c>
      <x:c r="C13024" s="0" t="s">
        <x:v>42840</x:v>
      </x:c>
      <x:c r="E13024" s="0" t="s">
        <x:v>49676</x:v>
      </x:c>
      <x:c r="F13024" s="0" t="s">
        <x:v>45</x:v>
      </x:c>
      <x:c r="G13024" s="0" t="s">
        <x:v>206</x:v>
      </x:c>
      <x:c r="H13024" s="0" t="s">
        <x:v>20</x:v>
      </x:c>
      <x:c r="I13024" s="0" t="s">
        <x:v>21</x:v>
      </x:c>
      <x:c r="K13024" s="0">
        <x:f>hyperlink("https://icd.who.int/dev11/l-ichi/en#/http%3A%2F%2Fid.who.int%2Ficd%2Fentity%2F1372449855","browser")</x:f>
      </x:c>
      <x:c r="L13024" s="0">
        <x:f>hyperlink("https://icat2.azurewebsites.net/icat/?ontology=ICD&amp;tab=ClassesTab&amp;id=http%3A%2F%2Fwho.int%2Ficd%2311137_16e67c35_8b57_40bb_9220_818553425a8c","iCat")</x:f>
      </x:c>
      <x:c r="M13024" s="0" t="s">
        <x:v>21</x:v>
      </x:c>
      <x:c r="N13024" s="0" t="s">
        <x:v>46</x:v>
      </x:c>
    </x:row>
    <x:row r="13025" spans="1:16">
      <x:c r="A13025" s="0" t="s">
        <x:v>49677</x:v>
      </x:c>
      <x:c r="B13025" s="0" t="s">
        <x:v>49678</x:v>
      </x:c>
      <x:c r="C13025" s="0" t="s">
        <x:v>42840</x:v>
      </x:c>
      <x:c r="E13025" s="0" t="s">
        <x:v>49679</x:v>
      </x:c>
      <x:c r="F13025" s="0" t="s">
        <x:v>45</x:v>
      </x:c>
      <x:c r="G13025" s="0" t="s">
        <x:v>40</x:v>
      </x:c>
      <x:c r="H13025" s="0" t="s">
        <x:v>20</x:v>
      </x:c>
      <x:c r="I13025" s="0" t="s">
        <x:v>21</x:v>
      </x:c>
      <x:c r="K13025" s="0">
        <x:f>hyperlink("https://icd.who.int/dev11/l-ichi/en#/http%3A%2F%2Fid.who.int%2Ficd%2Fentity%2F384657035","browser")</x:f>
      </x:c>
      <x:c r="L13025" s="0">
        <x:f>hyperlink("https://icat2.azurewebsites.net/icat/?ontology=ICD&amp;tab=ClassesTab&amp;id=http%3A%2F%2Fwho.int%2Ficd%23SpecificAnatomicLocation_3291","iCat")</x:f>
      </x:c>
      <x:c r="M13025" s="0" t="s">
        <x:v>20</x:v>
      </x:c>
      <x:c r="N13025" s="0" t="s">
        <x:v>22</x:v>
      </x:c>
    </x:row>
    <x:row r="13026" spans="1:16">
      <x:c r="A13026" s="0" t="s">
        <x:v>49680</x:v>
      </x:c>
      <x:c r="B13026" s="0" t="s">
        <x:v>49681</x:v>
      </x:c>
      <x:c r="C13026" s="0" t="s">
        <x:v>42840</x:v>
      </x:c>
      <x:c r="E13026" s="0" t="s">
        <x:v>49682</x:v>
      </x:c>
      <x:c r="F13026" s="0" t="s">
        <x:v>45</x:v>
      </x:c>
      <x:c r="G13026" s="0" t="s">
        <x:v>206</x:v>
      </x:c>
      <x:c r="H13026" s="0" t="s">
        <x:v>20</x:v>
      </x:c>
      <x:c r="I13026" s="0" t="s">
        <x:v>21</x:v>
      </x:c>
      <x:c r="K13026" s="0">
        <x:f>hyperlink("https://icd.who.int/dev11/l-ichi/en#/http%3A%2F%2Fid.who.int%2Ficd%2Fentity%2F903721130","browser")</x:f>
      </x:c>
      <x:c r="L13026" s="0">
        <x:f>hyperlink("https://icat2.azurewebsites.net/icat/?ontology=ICD&amp;tab=ClassesTab&amp;id=http%3A%2F%2Fwho.int%2Ficd%2311158_16e67c35_8b57_40bb_9220_818553425a8c","iCat")</x:f>
      </x:c>
      <x:c r="M13026" s="0" t="s">
        <x:v>21</x:v>
      </x:c>
      <x:c r="N13026" s="0" t="s">
        <x:v>46</x:v>
      </x:c>
    </x:row>
    <x:row r="13027" spans="1:16">
      <x:c r="A13027" s="0" t="s">
        <x:v>49683</x:v>
      </x:c>
      <x:c r="B13027" s="0" t="s">
        <x:v>49684</x:v>
      </x:c>
      <x:c r="C13027" s="0" t="s">
        <x:v>42840</x:v>
      </x:c>
      <x:c r="E13027" s="0" t="s">
        <x:v>49685</x:v>
      </x:c>
      <x:c r="F13027" s="0" t="s">
        <x:v>45</x:v>
      </x:c>
      <x:c r="G13027" s="0" t="s">
        <x:v>206</x:v>
      </x:c>
      <x:c r="H13027" s="0" t="s">
        <x:v>20</x:v>
      </x:c>
      <x:c r="I13027" s="0" t="s">
        <x:v>21</x:v>
      </x:c>
      <x:c r="K13027" s="0">
        <x:f>hyperlink("https://icd.who.int/dev11/l-ichi/en#/http%3A%2F%2Fid.who.int%2Ficd%2Fentity%2F531195388","browser")</x:f>
      </x:c>
      <x:c r="L13027" s="0">
        <x:f>hyperlink("https://icat2.azurewebsites.net/icat/?ontology=ICD&amp;tab=ClassesTab&amp;id=http%3A%2F%2Fwho.int%2Ficd%2311178_16e67c35_8b57_40bb_9220_818553425a8c","iCat")</x:f>
      </x:c>
      <x:c r="M13027" s="0" t="s">
        <x:v>21</x:v>
      </x:c>
      <x:c r="N13027" s="0" t="s">
        <x:v>46</x:v>
      </x:c>
    </x:row>
    <x:row r="13028" spans="1:16">
      <x:c r="A13028" s="0" t="s">
        <x:v>49686</x:v>
      </x:c>
      <x:c r="B13028" s="0" t="s">
        <x:v>49687</x:v>
      </x:c>
      <x:c r="C13028" s="0" t="s">
        <x:v>42840</x:v>
      </x:c>
      <x:c r="E13028" s="0" t="s">
        <x:v>49688</x:v>
      </x:c>
      <x:c r="F13028" s="0" t="s">
        <x:v>45</x:v>
      </x:c>
      <x:c r="G13028" s="0" t="s">
        <x:v>206</x:v>
      </x:c>
      <x:c r="H13028" s="0" t="s">
        <x:v>20</x:v>
      </x:c>
      <x:c r="I13028" s="0" t="s">
        <x:v>21</x:v>
      </x:c>
      <x:c r="K13028" s="0">
        <x:f>hyperlink("https://icd.who.int/dev11/l-ichi/en#/http%3A%2F%2Fid.who.int%2Ficd%2Fentity%2F1519106675","browser")</x:f>
      </x:c>
      <x:c r="L13028" s="0">
        <x:f>hyperlink("https://icat2.azurewebsites.net/icat/?ontology=ICD&amp;tab=ClassesTab&amp;id=http%3A%2F%2Fwho.int%2Ficd%2311198_16e67c35_8b57_40bb_9220_818553425a8c","iCat")</x:f>
      </x:c>
      <x:c r="M13028" s="0" t="s">
        <x:v>21</x:v>
      </x:c>
      <x:c r="N13028" s="0" t="s">
        <x:v>46</x:v>
      </x:c>
    </x:row>
    <x:row r="13029" spans="1:16">
      <x:c r="A13029" s="0" t="s">
        <x:v>49689</x:v>
      </x:c>
      <x:c r="B13029" s="0" t="s">
        <x:v>49690</x:v>
      </x:c>
      <x:c r="C13029" s="0" t="s">
        <x:v>42840</x:v>
      </x:c>
      <x:c r="E13029" s="0" t="s">
        <x:v>49691</x:v>
      </x:c>
      <x:c r="F13029" s="0" t="s">
        <x:v>45</x:v>
      </x:c>
      <x:c r="G13029" s="0" t="s">
        <x:v>206</x:v>
      </x:c>
      <x:c r="H13029" s="0" t="s">
        <x:v>20</x:v>
      </x:c>
      <x:c r="I13029" s="0" t="s">
        <x:v>21</x:v>
      </x:c>
      <x:c r="K13029" s="0">
        <x:f>hyperlink("https://icd.who.int/dev11/l-ichi/en#/http%3A%2F%2Fid.who.int%2Ficd%2Fentity%2F451317048","browser")</x:f>
      </x:c>
      <x:c r="L13029" s="0">
        <x:f>hyperlink("https://icat2.azurewebsites.net/icat/?ontology=ICD&amp;tab=ClassesTab&amp;id=http%3A%2F%2Fwho.int%2Ficd%2311217_16e67c35_8b57_40bb_9220_818553425a8c","iCat")</x:f>
      </x:c>
      <x:c r="M13029" s="0" t="s">
        <x:v>21</x:v>
      </x:c>
      <x:c r="N13029" s="0" t="s">
        <x:v>46</x:v>
      </x:c>
    </x:row>
    <x:row r="13030" spans="1:16">
      <x:c r="A13030" s="0" t="s">
        <x:v>49692</x:v>
      </x:c>
      <x:c r="B13030" s="0" t="s">
        <x:v>49693</x:v>
      </x:c>
      <x:c r="C13030" s="0" t="s">
        <x:v>42840</x:v>
      </x:c>
      <x:c r="E13030" s="0" t="s">
        <x:v>49694</x:v>
      </x:c>
      <x:c r="F13030" s="0" t="s">
        <x:v>45</x:v>
      </x:c>
      <x:c r="G13030" s="0" t="s">
        <x:v>30</x:v>
      </x:c>
      <x:c r="H13030" s="0" t="s">
        <x:v>20</x:v>
      </x:c>
      <x:c r="I13030" s="0" t="s">
        <x:v>21</x:v>
      </x:c>
      <x:c r="K13030" s="0">
        <x:f>hyperlink("https://icd.who.int/dev11/l-ichi/en#/http%3A%2F%2Fid.who.int%2Ficd%2Fentity%2F131834102","browser")</x:f>
      </x:c>
      <x:c r="L13030" s="0">
        <x:f>hyperlink("https://icat2.azurewebsites.net/icat/?ontology=ICD&amp;tab=ClassesTab&amp;id=http%3A%2F%2Fwho.int%2Ficd%2310830_16e67c35_8b57_40bb_9220_818553425a8c","iCat")</x:f>
      </x:c>
      <x:c r="M13030" s="0" t="s">
        <x:v>20</x:v>
      </x:c>
      <x:c r="N13030" s="0" t="s">
        <x:v>22</x:v>
      </x:c>
    </x:row>
    <x:row r="13031" spans="1:16">
      <x:c r="A13031" s="0" t="s">
        <x:v>49695</x:v>
      </x:c>
      <x:c r="B13031" s="0" t="s">
        <x:v>49696</x:v>
      </x:c>
      <x:c r="C13031" s="0" t="s">
        <x:v>42840</x:v>
      </x:c>
      <x:c r="E13031" s="0" t="s">
        <x:v>49697</x:v>
      </x:c>
      <x:c r="F13031" s="0" t="s">
        <x:v>45</x:v>
      </x:c>
      <x:c r="G13031" s="0" t="s">
        <x:v>35</x:v>
      </x:c>
      <x:c r="H13031" s="0" t="s">
        <x:v>20</x:v>
      </x:c>
      <x:c r="I13031" s="0" t="s">
        <x:v>21</x:v>
      </x:c>
      <x:c r="K13031" s="0">
        <x:f>hyperlink("https://icd.who.int/dev11/l-ichi/en#/http%3A%2F%2Fid.who.int%2Ficd%2Fentity%2F1020159779","browser")</x:f>
      </x:c>
      <x:c r="L13031" s="0">
        <x:f>hyperlink("https://icat2.azurewebsites.net/icat/?ontology=ICD&amp;tab=ClassesTab&amp;id=http%3A%2F%2Fwho.int%2Ficd%23SpecificAnatomicLocation_3755","iCat")</x:f>
      </x:c>
      <x:c r="M13031" s="0" t="s">
        <x:v>20</x:v>
      </x:c>
      <x:c r="N13031" s="0" t="s">
        <x:v>584</x:v>
      </x:c>
    </x:row>
    <x:row r="13032" spans="1:16">
      <x:c r="A13032" s="0" t="s">
        <x:v>49698</x:v>
      </x:c>
      <x:c r="B13032" s="0" t="s">
        <x:v>49699</x:v>
      </x:c>
      <x:c r="C13032" s="0" t="s">
        <x:v>42840</x:v>
      </x:c>
      <x:c r="E13032" s="0" t="s">
        <x:v>49700</x:v>
      </x:c>
      <x:c r="F13032" s="0" t="s">
        <x:v>45</x:v>
      </x:c>
      <x:c r="G13032" s="0" t="s">
        <x:v>22</x:v>
      </x:c>
      <x:c r="H13032" s="0" t="s">
        <x:v>20</x:v>
      </x:c>
      <x:c r="I13032" s="0" t="s">
        <x:v>21</x:v>
      </x:c>
      <x:c r="K13032" s="0">
        <x:f>hyperlink("https://icd.who.int/dev11/l-ichi/en#/http%3A%2F%2Fid.who.int%2Ficd%2Fentity%2F1242497723","browser")</x:f>
      </x:c>
      <x:c r="L13032" s="0">
        <x:f>hyperlink("https://icat2.azurewebsites.net/icat/?ontology=ICD&amp;tab=ClassesTab&amp;id=http%3A%2F%2Fwho.int%2Ficd%23SpecificAnatomicLocation_3300","iCat")</x:f>
      </x:c>
      <x:c r="M13032" s="0" t="s">
        <x:v>20</x:v>
      </x:c>
      <x:c r="N13032" s="0" t="s">
        <x:v>30</x:v>
      </x:c>
    </x:row>
    <x:row r="13033" spans="1:16">
      <x:c r="A13033" s="0" t="s">
        <x:v>49701</x:v>
      </x:c>
      <x:c r="B13033" s="0" t="s">
        <x:v>49702</x:v>
      </x:c>
      <x:c r="C13033" s="0" t="s">
        <x:v>42840</x:v>
      </x:c>
      <x:c r="E13033" s="0" t="s">
        <x:v>49703</x:v>
      </x:c>
      <x:c r="F13033" s="0" t="s">
        <x:v>45</x:v>
      </x:c>
      <x:c r="G13033" s="0" t="s">
        <x:v>40</x:v>
      </x:c>
      <x:c r="H13033" s="0" t="s">
        <x:v>20</x:v>
      </x:c>
      <x:c r="I13033" s="0" t="s">
        <x:v>21</x:v>
      </x:c>
      <x:c r="K13033" s="0">
        <x:f>hyperlink("https://icd.who.int/dev11/l-ichi/en#/http%3A%2F%2Fid.who.int%2Ficd%2Fentity%2F1199168437","browser")</x:f>
      </x:c>
      <x:c r="L13033" s="0">
        <x:f>hyperlink("https://icat2.azurewebsites.net/icat/?ontology=ICD&amp;tab=ClassesTab&amp;id=http%3A%2F%2Fwho.int%2Ficd%23SpecificAnatomicLocation_3298","iCat")</x:f>
      </x:c>
      <x:c r="M13033" s="0" t="s">
        <x:v>21</x:v>
      </x:c>
      <x:c r="N13033" s="0" t="s">
        <x:v>46</x:v>
      </x:c>
    </x:row>
    <x:row r="13034" spans="1:16">
      <x:c r="A13034" s="0" t="s">
        <x:v>49704</x:v>
      </x:c>
      <x:c r="B13034" s="0" t="s">
        <x:v>49705</x:v>
      </x:c>
      <x:c r="C13034" s="0" t="s">
        <x:v>42840</x:v>
      </x:c>
      <x:c r="E13034" s="0" t="s">
        <x:v>49706</x:v>
      </x:c>
      <x:c r="F13034" s="0" t="s">
        <x:v>45</x:v>
      </x:c>
      <x:c r="G13034" s="0" t="s">
        <x:v>40</x:v>
      </x:c>
      <x:c r="H13034" s="0" t="s">
        <x:v>20</x:v>
      </x:c>
      <x:c r="I13034" s="0" t="s">
        <x:v>21</x:v>
      </x:c>
      <x:c r="K13034" s="0">
        <x:f>hyperlink("https://icd.who.int/dev11/l-ichi/en#/http%3A%2F%2Fid.who.int%2Ficd%2Fentity%2F1347534709","browser")</x:f>
      </x:c>
      <x:c r="L13034" s="0">
        <x:f>hyperlink("https://icat2.azurewebsites.net/icat/?ontology=ICD&amp;tab=ClassesTab&amp;id=http%3A%2F%2Fwho.int%2Ficd%23SpecificAnatomicLocation_3299","iCat")</x:f>
      </x:c>
      <x:c r="M13034" s="0" t="s">
        <x:v>21</x:v>
      </x:c>
      <x:c r="N13034" s="0" t="s">
        <x:v>46</x:v>
      </x:c>
    </x:row>
    <x:row r="13035" spans="1:16">
      <x:c r="A13035" s="0" t="s">
        <x:v>49707</x:v>
      </x:c>
      <x:c r="B13035" s="0" t="s">
        <x:v>49708</x:v>
      </x:c>
      <x:c r="C13035" s="0" t="s">
        <x:v>42840</x:v>
      </x:c>
      <x:c r="E13035" s="0" t="s">
        <x:v>49709</x:v>
      </x:c>
      <x:c r="F13035" s="0" t="s">
        <x:v>45</x:v>
      </x:c>
      <x:c r="G13035" s="0" t="s">
        <x:v>22</x:v>
      </x:c>
      <x:c r="H13035" s="0" t="s">
        <x:v>20</x:v>
      </x:c>
      <x:c r="I13035" s="0" t="s">
        <x:v>21</x:v>
      </x:c>
      <x:c r="K13035" s="0">
        <x:f>hyperlink("https://icd.who.int/dev11/l-ichi/en#/http%3A%2F%2Fid.who.int%2Ficd%2Fentity%2F444944868","browser")</x:f>
      </x:c>
      <x:c r="L13035" s="0">
        <x:f>hyperlink("https://icat2.azurewebsites.net/icat/?ontology=ICD&amp;tab=ClassesTab&amp;id=http%3A%2F%2Fwho.int%2Ficd%23SpecificAnatomicLocation_3312","iCat")</x:f>
      </x:c>
      <x:c r="M13035" s="0" t="s">
        <x:v>21</x:v>
      </x:c>
      <x:c r="N13035" s="0" t="s">
        <x:v>46</x:v>
      </x:c>
    </x:row>
    <x:row r="13036" spans="1:16">
      <x:c r="A13036" s="0" t="s">
        <x:v>49710</x:v>
      </x:c>
      <x:c r="B13036" s="0" t="s">
        <x:v>49711</x:v>
      </x:c>
      <x:c r="C13036" s="0" t="s">
        <x:v>42840</x:v>
      </x:c>
      <x:c r="E13036" s="0" t="s">
        <x:v>49712</x:v>
      </x:c>
      <x:c r="F13036" s="0" t="s">
        <x:v>45</x:v>
      </x:c>
      <x:c r="G13036" s="0" t="s">
        <x:v>22</x:v>
      </x:c>
      <x:c r="H13036" s="0" t="s">
        <x:v>20</x:v>
      </x:c>
      <x:c r="I13036" s="0" t="s">
        <x:v>21</x:v>
      </x:c>
      <x:c r="K13036" s="0">
        <x:f>hyperlink("https://icd.who.int/dev11/l-ichi/en#/http%3A%2F%2Fid.who.int%2Ficd%2Fentity%2F1566871883","browser")</x:f>
      </x:c>
      <x:c r="L13036" s="0">
        <x:f>hyperlink("https://icat2.azurewebsites.net/icat/?ontology=ICD&amp;tab=ClassesTab&amp;id=http%3A%2F%2Fwho.int%2Ficd%23SpecificAnatomicLocation_3294","iCat")</x:f>
      </x:c>
      <x:c r="M13036" s="0" t="s">
        <x:v>21</x:v>
      </x:c>
      <x:c r="N13036" s="0" t="s">
        <x:v>46</x:v>
      </x:c>
    </x:row>
    <x:row r="13037" spans="1:16">
      <x:c r="A13037" s="0" t="s">
        <x:v>49713</x:v>
      </x:c>
      <x:c r="B13037" s="0" t="s">
        <x:v>49714</x:v>
      </x:c>
      <x:c r="C13037" s="0" t="s">
        <x:v>42840</x:v>
      </x:c>
      <x:c r="E13037" s="0" t="s">
        <x:v>49715</x:v>
      </x:c>
      <x:c r="F13037" s="0" t="s">
        <x:v>45</x:v>
      </x:c>
      <x:c r="G13037" s="0" t="s">
        <x:v>22</x:v>
      </x:c>
      <x:c r="H13037" s="0" t="s">
        <x:v>20</x:v>
      </x:c>
      <x:c r="I13037" s="0" t="s">
        <x:v>21</x:v>
      </x:c>
      <x:c r="K13037" s="0">
        <x:f>hyperlink("https://icd.who.int/dev11/l-ichi/en#/http%3A%2F%2Fid.who.int%2Ficd%2Fentity%2F380539323","browser")</x:f>
      </x:c>
      <x:c r="L13037" s="0">
        <x:f>hyperlink("https://icat2.azurewebsites.net/icat/?ontology=ICD&amp;tab=ClassesTab&amp;id=http%3A%2F%2Fwho.int%2Ficd%23SpecificAnatomicLocation_3304","iCat")</x:f>
      </x:c>
      <x:c r="M13037" s="0" t="s">
        <x:v>21</x:v>
      </x:c>
      <x:c r="N13037" s="0" t="s">
        <x:v>46</x:v>
      </x:c>
    </x:row>
    <x:row r="13038" spans="1:16">
      <x:c r="A13038" s="0" t="s">
        <x:v>49716</x:v>
      </x:c>
      <x:c r="B13038" s="0" t="s">
        <x:v>49717</x:v>
      </x:c>
      <x:c r="C13038" s="0" t="s">
        <x:v>42840</x:v>
      </x:c>
      <x:c r="E13038" s="0" t="s">
        <x:v>49718</x:v>
      </x:c>
      <x:c r="F13038" s="0" t="s">
        <x:v>45</x:v>
      </x:c>
      <x:c r="G13038" s="0" t="s">
        <x:v>22</x:v>
      </x:c>
      <x:c r="H13038" s="0" t="s">
        <x:v>20</x:v>
      </x:c>
      <x:c r="I13038" s="0" t="s">
        <x:v>21</x:v>
      </x:c>
      <x:c r="K13038" s="0">
        <x:f>hyperlink("https://icd.who.int/dev11/l-ichi/en#/http%3A%2F%2Fid.who.int%2Ficd%2Fentity%2F1937223675","browser")</x:f>
      </x:c>
      <x:c r="L13038" s="0">
        <x:f>hyperlink("https://icat2.azurewebsites.net/icat/?ontology=ICD&amp;tab=ClassesTab&amp;id=http%3A%2F%2Fwho.int%2Ficd%23SpecificAnatomicLocation_3303","iCat")</x:f>
      </x:c>
      <x:c r="M13038" s="0" t="s">
        <x:v>20</x:v>
      </x:c>
      <x:c r="N13038" s="0" t="s">
        <x:v>30</x:v>
      </x:c>
    </x:row>
    <x:row r="13039" spans="1:16">
      <x:c r="A13039" s="0" t="s">
        <x:v>49719</x:v>
      </x:c>
      <x:c r="B13039" s="0" t="s">
        <x:v>49720</x:v>
      </x:c>
      <x:c r="C13039" s="0" t="s">
        <x:v>42840</x:v>
      </x:c>
      <x:c r="E13039" s="0" t="s">
        <x:v>49721</x:v>
      </x:c>
      <x:c r="F13039" s="0" t="s">
        <x:v>45</x:v>
      </x:c>
      <x:c r="G13039" s="0" t="s">
        <x:v>40</x:v>
      </x:c>
      <x:c r="H13039" s="0" t="s">
        <x:v>20</x:v>
      </x:c>
      <x:c r="I13039" s="0" t="s">
        <x:v>21</x:v>
      </x:c>
      <x:c r="K13039" s="0">
        <x:f>hyperlink("https://icd.who.int/dev11/l-ichi/en#/http%3A%2F%2Fid.who.int%2Ficd%2Fentity%2F1683999547","browser")</x:f>
      </x:c>
      <x:c r="L13039" s="0">
        <x:f>hyperlink("https://icat2.azurewebsites.net/icat/?ontology=ICD&amp;tab=ClassesTab&amp;id=http%3A%2F%2Fwho.int%2Ficd%23SpecificAnatomicLocation_3302","iCat")</x:f>
      </x:c>
      <x:c r="M13039" s="0" t="s">
        <x:v>21</x:v>
      </x:c>
      <x:c r="N13039" s="0" t="s">
        <x:v>46</x:v>
      </x:c>
    </x:row>
    <x:row r="13040" spans="1:16">
      <x:c r="A13040" s="0" t="s">
        <x:v>49722</x:v>
      </x:c>
      <x:c r="B13040" s="0" t="s">
        <x:v>49723</x:v>
      </x:c>
      <x:c r="C13040" s="0" t="s">
        <x:v>42840</x:v>
      </x:c>
      <x:c r="E13040" s="0" t="s">
        <x:v>49724</x:v>
      </x:c>
      <x:c r="F13040" s="0" t="s">
        <x:v>45</x:v>
      </x:c>
      <x:c r="G13040" s="0" t="s">
        <x:v>40</x:v>
      </x:c>
      <x:c r="H13040" s="0" t="s">
        <x:v>20</x:v>
      </x:c>
      <x:c r="I13040" s="0" t="s">
        <x:v>21</x:v>
      </x:c>
      <x:c r="K13040" s="0">
        <x:f>hyperlink("https://icd.who.int/dev11/l-ichi/en#/http%3A%2F%2Fid.who.int%2Ficd%2Fentity%2F1562863227","browser")</x:f>
      </x:c>
      <x:c r="L13040" s="0">
        <x:f>hyperlink("https://icat2.azurewebsites.net/icat/?ontology=ICD&amp;tab=ClassesTab&amp;id=http%3A%2F%2Fwho.int%2Ficd%23SpecificAnatomicLocation_3301","iCat")</x:f>
      </x:c>
      <x:c r="M13040" s="0" t="s">
        <x:v>21</x:v>
      </x:c>
      <x:c r="N13040" s="0" t="s">
        <x:v>46</x:v>
      </x:c>
    </x:row>
    <x:row r="13041" spans="1:16">
      <x:c r="A13041" s="0" t="s">
        <x:v>49725</x:v>
      </x:c>
      <x:c r="B13041" s="0" t="s">
        <x:v>49726</x:v>
      </x:c>
      <x:c r="C13041" s="0" t="s">
        <x:v>42840</x:v>
      </x:c>
      <x:c r="E13041" s="0" t="s">
        <x:v>49727</x:v>
      </x:c>
      <x:c r="F13041" s="0" t="s">
        <x:v>45</x:v>
      </x:c>
      <x:c r="G13041" s="0" t="s">
        <x:v>22</x:v>
      </x:c>
      <x:c r="H13041" s="0" t="s">
        <x:v>20</x:v>
      </x:c>
      <x:c r="I13041" s="0" t="s">
        <x:v>21</x:v>
      </x:c>
      <x:c r="K13041" s="0">
        <x:f>hyperlink("https://icd.who.int/dev11/l-ichi/en#/http%3A%2F%2Fid.who.int%2Ficd%2Fentity%2F213113669","browser")</x:f>
      </x:c>
      <x:c r="L13041" s="0">
        <x:f>hyperlink("https://icat2.azurewebsites.net/icat/?ontology=ICD&amp;tab=ClassesTab&amp;id=http%3A%2F%2Fwho.int%2Ficd%23SpecificAnatomicLocation_3308","iCat")</x:f>
      </x:c>
      <x:c r="M13041" s="0" t="s">
        <x:v>21</x:v>
      </x:c>
      <x:c r="N13041" s="0" t="s">
        <x:v>46</x:v>
      </x:c>
    </x:row>
    <x:row r="13042" spans="1:16">
      <x:c r="A13042" s="0" t="s">
        <x:v>49728</x:v>
      </x:c>
      <x:c r="B13042" s="0" t="s">
        <x:v>49729</x:v>
      </x:c>
      <x:c r="C13042" s="0" t="s">
        <x:v>42840</x:v>
      </x:c>
      <x:c r="E13042" s="0" t="s">
        <x:v>49730</x:v>
      </x:c>
      <x:c r="F13042" s="0" t="s">
        <x:v>45</x:v>
      </x:c>
      <x:c r="G13042" s="0" t="s">
        <x:v>22</x:v>
      </x:c>
      <x:c r="H13042" s="0" t="s">
        <x:v>20</x:v>
      </x:c>
      <x:c r="I13042" s="0" t="s">
        <x:v>21</x:v>
      </x:c>
      <x:c r="K13042" s="0">
        <x:f>hyperlink("https://icd.who.int/dev11/l-ichi/en#/http%3A%2F%2Fid.who.int%2Ficd%2Fentity%2F1679571979","browser")</x:f>
      </x:c>
      <x:c r="L13042" s="0">
        <x:f>hyperlink("https://icat2.azurewebsites.net/icat/?ontology=ICD&amp;tab=ClassesTab&amp;id=http%3A%2F%2Fwho.int%2Ficd%23SpecificAnatomicLocation_3297","iCat")</x:f>
      </x:c>
      <x:c r="M13042" s="0" t="s">
        <x:v>21</x:v>
      </x:c>
      <x:c r="N13042" s="0" t="s">
        <x:v>46</x:v>
      </x:c>
    </x:row>
    <x:row r="13043" spans="1:16">
      <x:c r="A13043" s="0" t="s">
        <x:v>49731</x:v>
      </x:c>
      <x:c r="B13043" s="0" t="s">
        <x:v>49732</x:v>
      </x:c>
      <x:c r="C13043" s="0" t="s">
        <x:v>42840</x:v>
      </x:c>
      <x:c r="E13043" s="0" t="s">
        <x:v>49733</x:v>
      </x:c>
      <x:c r="F13043" s="0" t="s">
        <x:v>45</x:v>
      </x:c>
      <x:c r="G13043" s="0" t="s">
        <x:v>22</x:v>
      </x:c>
      <x:c r="H13043" s="0" t="s">
        <x:v>20</x:v>
      </x:c>
      <x:c r="I13043" s="0" t="s">
        <x:v>21</x:v>
      </x:c>
      <x:c r="K13043" s="0">
        <x:f>hyperlink("https://icd.who.int/dev11/l-ichi/en#/http%3A%2F%2Fid.who.int%2Ficd%2Fentity%2F463191941","browser")</x:f>
      </x:c>
      <x:c r="L13043" s="0">
        <x:f>hyperlink("https://icat2.azurewebsites.net/icat/?ontology=ICD&amp;tab=ClassesTab&amp;id=http%3A%2F%2Fwho.int%2Ficd%23SpecificAnatomicLocation_3309","iCat")</x:f>
      </x:c>
      <x:c r="M13043" s="0" t="s">
        <x:v>21</x:v>
      </x:c>
      <x:c r="N13043" s="0" t="s">
        <x:v>46</x:v>
      </x:c>
    </x:row>
    <x:row r="13044" spans="1:16">
      <x:c r="A13044" s="0" t="s">
        <x:v>49734</x:v>
      </x:c>
      <x:c r="B13044" s="0" t="s">
        <x:v>49735</x:v>
      </x:c>
      <x:c r="C13044" s="0" t="s">
        <x:v>42840</x:v>
      </x:c>
      <x:c r="E13044" s="0" t="s">
        <x:v>49736</x:v>
      </x:c>
      <x:c r="F13044" s="0" t="s">
        <x:v>45</x:v>
      </x:c>
      <x:c r="G13044" s="0" t="s">
        <x:v>22</x:v>
      </x:c>
      <x:c r="H13044" s="0" t="s">
        <x:v>20</x:v>
      </x:c>
      <x:c r="I13044" s="0" t="s">
        <x:v>21</x:v>
      </x:c>
      <x:c r="K13044" s="0">
        <x:f>hyperlink("https://icd.who.int/dev11/l-ichi/en#/http%3A%2F%2Fid.who.int%2Ficd%2Fentity%2F603847844","browser")</x:f>
      </x:c>
      <x:c r="L13044" s="0">
        <x:f>hyperlink("https://icat2.azurewebsites.net/icat/?ontology=ICD&amp;tab=ClassesTab&amp;id=http%3A%2F%2Fwho.int%2Ficd%23SpecificAnatomicLocation_3311","iCat")</x:f>
      </x:c>
      <x:c r="M13044" s="0" t="s">
        <x:v>21</x:v>
      </x:c>
      <x:c r="N13044" s="0" t="s">
        <x:v>46</x:v>
      </x:c>
    </x:row>
    <x:row r="13045" spans="1:16">
      <x:c r="A13045" s="0" t="s">
        <x:v>49737</x:v>
      </x:c>
      <x:c r="B13045" s="0" t="s">
        <x:v>49738</x:v>
      </x:c>
      <x:c r="C13045" s="0" t="s">
        <x:v>42840</x:v>
      </x:c>
      <x:c r="E13045" s="0" t="s">
        <x:v>49739</x:v>
      </x:c>
      <x:c r="F13045" s="0" t="s">
        <x:v>45</x:v>
      </x:c>
      <x:c r="G13045" s="0" t="s">
        <x:v>22</x:v>
      </x:c>
      <x:c r="H13045" s="0" t="s">
        <x:v>20</x:v>
      </x:c>
      <x:c r="I13045" s="0" t="s">
        <x:v>21</x:v>
      </x:c>
      <x:c r="K13045" s="0">
        <x:f>hyperlink("https://icd.who.int/dev11/l-ichi/en#/http%3A%2F%2Fid.who.int%2Ficd%2Fentity%2F1932810443","browser")</x:f>
      </x:c>
      <x:c r="L13045" s="0">
        <x:f>hyperlink("https://icat2.azurewebsites.net/icat/?ontology=ICD&amp;tab=ClassesTab&amp;id=http%3A%2F%2Fwho.int%2Ficd%23SpecificAnatomicLocation_3296","iCat")</x:f>
      </x:c>
      <x:c r="M13045" s="0" t="s">
        <x:v>21</x:v>
      </x:c>
      <x:c r="N13045" s="0" t="s">
        <x:v>46</x:v>
      </x:c>
    </x:row>
    <x:row r="13046" spans="1:16">
      <x:c r="A13046" s="0" t="s">
        <x:v>49740</x:v>
      </x:c>
      <x:c r="B13046" s="0" t="s">
        <x:v>49741</x:v>
      </x:c>
      <x:c r="C13046" s="0" t="s">
        <x:v>42840</x:v>
      </x:c>
      <x:c r="E13046" s="0" t="s">
        <x:v>49742</x:v>
      </x:c>
      <x:c r="F13046" s="0" t="s">
        <x:v>45</x:v>
      </x:c>
      <x:c r="G13046" s="0" t="s">
        <x:v>22</x:v>
      </x:c>
      <x:c r="H13046" s="0" t="s">
        <x:v>20</x:v>
      </x:c>
      <x:c r="I13046" s="0" t="s">
        <x:v>21</x:v>
      </x:c>
      <x:c r="K13046" s="0">
        <x:f>hyperlink("https://icd.who.int/dev11/l-ichi/en#/http%3A%2F%2Fid.who.int%2Ficd%2Fentity%2F1246557579","browser")</x:f>
      </x:c>
      <x:c r="L13046" s="0">
        <x:f>hyperlink("https://icat2.azurewebsites.net/icat/?ontology=ICD&amp;tab=ClassesTab&amp;id=http%3A%2F%2Fwho.int%2Ficd%23SpecificAnatomicLocation_3295","iCat")</x:f>
      </x:c>
      <x:c r="M13046" s="0" t="s">
        <x:v>21</x:v>
      </x:c>
      <x:c r="N13046" s="0" t="s">
        <x:v>46</x:v>
      </x:c>
    </x:row>
    <x:row r="13047" spans="1:16">
      <x:c r="A13047" s="0" t="s">
        <x:v>49743</x:v>
      </x:c>
      <x:c r="B13047" s="0" t="s">
        <x:v>49744</x:v>
      </x:c>
      <x:c r="C13047" s="0" t="s">
        <x:v>42840</x:v>
      </x:c>
      <x:c r="E13047" s="0" t="s">
        <x:v>49745</x:v>
      </x:c>
      <x:c r="F13047" s="0" t="s">
        <x:v>45</x:v>
      </x:c>
      <x:c r="G13047" s="0" t="s">
        <x:v>22</x:v>
      </x:c>
      <x:c r="H13047" s="0" t="s">
        <x:v>20</x:v>
      </x:c>
      <x:c r="I13047" s="0" t="s">
        <x:v>21</x:v>
      </x:c>
      <x:c r="K13047" s="0">
        <x:f>hyperlink("https://icd.who.int/dev11/l-ichi/en#/http%3A%2F%2Fid.who.int%2Ficd%2Fentity%2F25621883","browser")</x:f>
      </x:c>
      <x:c r="L13047" s="0">
        <x:f>hyperlink("https://icat2.azurewebsites.net/icat/?ontology=ICD&amp;tab=ClassesTab&amp;id=http%3A%2F%2Fwho.int%2Ficd%23SpecificAnatomicLocation_3305","iCat")</x:f>
      </x:c>
      <x:c r="M13047" s="0" t="s">
        <x:v>21</x:v>
      </x:c>
      <x:c r="N13047" s="0" t="s">
        <x:v>46</x:v>
      </x:c>
    </x:row>
    <x:row r="13048" spans="1:16">
      <x:c r="A13048" s="0" t="s">
        <x:v>49746</x:v>
      </x:c>
      <x:c r="B13048" s="0" t="s">
        <x:v>49747</x:v>
      </x:c>
      <x:c r="C13048" s="0" t="s">
        <x:v>42840</x:v>
      </x:c>
      <x:c r="E13048" s="0" t="s">
        <x:v>49748</x:v>
      </x:c>
      <x:c r="F13048" s="0" t="s">
        <x:v>45</x:v>
      </x:c>
      <x:c r="G13048" s="0" t="s">
        <x:v>22</x:v>
      </x:c>
      <x:c r="H13048" s="0" t="s">
        <x:v>20</x:v>
      </x:c>
      <x:c r="I13048" s="0" t="s">
        <x:v>21</x:v>
      </x:c>
      <x:c r="K13048" s="0">
        <x:f>hyperlink("https://icd.who.int/dev11/l-ichi/en#/http%3A%2F%2Fid.who.int%2Ficd%2Fentity%2F802569467","browser")</x:f>
      </x:c>
      <x:c r="L13048" s="0">
        <x:f>hyperlink("https://icat2.azurewebsites.net/icat/?ontology=ICD&amp;tab=ClassesTab&amp;id=http%3A%2F%2Fwho.int%2Ficd%23SpecificAnatomicLocation_3307","iCat")</x:f>
      </x:c>
      <x:c r="M13048" s="0" t="s">
        <x:v>21</x:v>
      </x:c>
      <x:c r="N13048" s="0" t="s">
        <x:v>46</x:v>
      </x:c>
    </x:row>
    <x:row r="13049" spans="1:16">
      <x:c r="A13049" s="0" t="s">
        <x:v>49749</x:v>
      </x:c>
      <x:c r="B13049" s="0" t="s">
        <x:v>49750</x:v>
      </x:c>
      <x:c r="C13049" s="0" t="s">
        <x:v>42840</x:v>
      </x:c>
      <x:c r="E13049" s="0" t="s">
        <x:v>49751</x:v>
      </x:c>
      <x:c r="F13049" s="0" t="s">
        <x:v>45</x:v>
      </x:c>
      <x:c r="G13049" s="0" t="s">
        <x:v>22</x:v>
      </x:c>
      <x:c r="H13049" s="0" t="s">
        <x:v>20</x:v>
      </x:c>
      <x:c r="I13049" s="0" t="s">
        <x:v>21</x:v>
      </x:c>
      <x:c r="K13049" s="0">
        <x:f>hyperlink("https://icd.who.int/dev11/l-ichi/en#/http%3A%2F%2Fid.who.int%2Ficd%2Fentity%2F956192827","browser")</x:f>
      </x:c>
      <x:c r="L13049" s="0">
        <x:f>hyperlink("https://icat2.azurewebsites.net/icat/?ontology=ICD&amp;tab=ClassesTab&amp;id=http%3A%2F%2Fwho.int%2Ficd%23SpecificAnatomicLocation_3306","iCat")</x:f>
      </x:c>
      <x:c r="M13049" s="0" t="s">
        <x:v>21</x:v>
      </x:c>
      <x:c r="N13049" s="0" t="s">
        <x:v>46</x:v>
      </x:c>
    </x:row>
    <x:row r="13050" spans="1:16">
      <x:c r="A13050" s="0" t="s">
        <x:v>49752</x:v>
      </x:c>
      <x:c r="B13050" s="0" t="s">
        <x:v>49753</x:v>
      </x:c>
      <x:c r="C13050" s="0" t="s">
        <x:v>42840</x:v>
      </x:c>
      <x:c r="E13050" s="0" t="s">
        <x:v>49754</x:v>
      </x:c>
      <x:c r="F13050" s="0" t="s">
        <x:v>45</x:v>
      </x:c>
      <x:c r="G13050" s="0" t="s">
        <x:v>22</x:v>
      </x:c>
      <x:c r="H13050" s="0" t="s">
        <x:v>20</x:v>
      </x:c>
      <x:c r="I13050" s="0" t="s">
        <x:v>21</x:v>
      </x:c>
      <x:c r="K13050" s="0">
        <x:f>hyperlink("https://icd.who.int/dev11/l-ichi/en#/http%3A%2F%2Fid.who.int%2Ficd%2Fentity%2F886413412","browser")</x:f>
      </x:c>
      <x:c r="L13050" s="0">
        <x:f>hyperlink("https://icat2.azurewebsites.net/icat/?ontology=ICD&amp;tab=ClassesTab&amp;id=http%3A%2F%2Fwho.int%2Ficd%23SpecificAnatomicLocation_3310","iCat")</x:f>
      </x:c>
      <x:c r="M13050" s="0" t="s">
        <x:v>21</x:v>
      </x:c>
      <x:c r="N13050" s="0" t="s">
        <x:v>46</x:v>
      </x:c>
    </x:row>
    <x:row r="13051" spans="1:16">
      <x:c r="A13051" s="0" t="s">
        <x:v>49755</x:v>
      </x:c>
      <x:c r="B13051" s="0" t="s">
        <x:v>49756</x:v>
      </x:c>
      <x:c r="C13051" s="0" t="s">
        <x:v>42840</x:v>
      </x:c>
      <x:c r="E13051" s="0" t="s">
        <x:v>49757</x:v>
      </x:c>
      <x:c r="F13051" s="0" t="s">
        <x:v>45</x:v>
      </x:c>
      <x:c r="G13051" s="0" t="s">
        <x:v>35</x:v>
      </x:c>
      <x:c r="H13051" s="0" t="s">
        <x:v>20</x:v>
      </x:c>
      <x:c r="I13051" s="0" t="s">
        <x:v>21</x:v>
      </x:c>
      <x:c r="K13051" s="0">
        <x:f>hyperlink("https://icd.who.int/dev11/l-ichi/en#/http%3A%2F%2Fid.who.int%2Ficd%2Fentity%2F443625892","browser")</x:f>
      </x:c>
      <x:c r="L13051" s="0">
        <x:f>hyperlink("https://icat2.azurewebsites.net/icat/?ontology=ICD&amp;tab=ClassesTab&amp;id=http%3A%2F%2Fwho.int%2Ficd%23SpecificAnatomicLocation_3343","iCat")</x:f>
      </x:c>
      <x:c r="M13051" s="0" t="s">
        <x:v>20</x:v>
      </x:c>
      <x:c r="N13051" s="0" t="s">
        <x:v>40</x:v>
      </x:c>
    </x:row>
    <x:row r="13052" spans="1:16">
      <x:c r="A13052" s="0" t="s">
        <x:v>49758</x:v>
      </x:c>
      <x:c r="B13052" s="0" t="s">
        <x:v>49759</x:v>
      </x:c>
      <x:c r="C13052" s="0" t="s">
        <x:v>42840</x:v>
      </x:c>
      <x:c r="E13052" s="0" t="s">
        <x:v>49760</x:v>
      </x:c>
      <x:c r="F13052" s="0" t="s">
        <x:v>45</x:v>
      </x:c>
      <x:c r="G13052" s="0" t="s">
        <x:v>22</x:v>
      </x:c>
      <x:c r="H13052" s="0" t="s">
        <x:v>20</x:v>
      </x:c>
      <x:c r="I13052" s="0" t="s">
        <x:v>21</x:v>
      </x:c>
      <x:c r="K13052" s="0">
        <x:f>hyperlink("https://icd.who.int/dev11/l-ichi/en#/http%3A%2F%2Fid.who.int%2Ficd%2Fentity%2F1176814308","browser")</x:f>
      </x:c>
      <x:c r="L13052" s="0">
        <x:f>hyperlink("https://icat2.azurewebsites.net/icat/?ontology=ICD&amp;tab=ClassesTab&amp;id=http%3A%2F%2Fwho.int%2Ficd%23SpecificAnatomicLocation_3316","iCat")</x:f>
      </x:c>
      <x:c r="M13052" s="0" t="s">
        <x:v>21</x:v>
      </x:c>
      <x:c r="N13052" s="0" t="s">
        <x:v>46</x:v>
      </x:c>
    </x:row>
    <x:row r="13053" spans="1:16">
      <x:c r="A13053" s="0" t="s">
        <x:v>49761</x:v>
      </x:c>
      <x:c r="B13053" s="0" t="s">
        <x:v>49762</x:v>
      </x:c>
      <x:c r="C13053" s="0" t="s">
        <x:v>42840</x:v>
      </x:c>
      <x:c r="E13053" s="0" t="s">
        <x:v>49763</x:v>
      </x:c>
      <x:c r="F13053" s="0" t="s">
        <x:v>45</x:v>
      </x:c>
      <x:c r="G13053" s="0" t="s">
        <x:v>22</x:v>
      </x:c>
      <x:c r="H13053" s="0" t="s">
        <x:v>20</x:v>
      </x:c>
      <x:c r="I13053" s="0" t="s">
        <x:v>21</x:v>
      </x:c>
      <x:c r="K13053" s="0">
        <x:f>hyperlink("https://icd.who.int/dev11/l-ichi/en#/http%3A%2F%2Fid.who.int%2Ficd%2Fentity%2F1752435556","browser")</x:f>
      </x:c>
      <x:c r="L13053" s="0">
        <x:f>hyperlink("https://icat2.azurewebsites.net/icat/?ontology=ICD&amp;tab=ClassesTab&amp;id=http%3A%2F%2Fwho.int%2Ficd%23SpecificAnatomicLocation_3314","iCat")</x:f>
      </x:c>
      <x:c r="M13053" s="0" t="s">
        <x:v>21</x:v>
      </x:c>
      <x:c r="N13053" s="0" t="s">
        <x:v>46</x:v>
      </x:c>
    </x:row>
    <x:row r="13054" spans="1:16">
      <x:c r="A13054" s="0" t="s">
        <x:v>49764</x:v>
      </x:c>
      <x:c r="B13054" s="0" t="s">
        <x:v>49765</x:v>
      </x:c>
      <x:c r="C13054" s="0" t="s">
        <x:v>42840</x:v>
      </x:c>
      <x:c r="E13054" s="0" t="s">
        <x:v>49766</x:v>
      </x:c>
      <x:c r="F13054" s="0" t="s">
        <x:v>45</x:v>
      </x:c>
      <x:c r="G13054" s="0" t="s">
        <x:v>22</x:v>
      </x:c>
      <x:c r="H13054" s="0" t="s">
        <x:v>20</x:v>
      </x:c>
      <x:c r="I13054" s="0" t="s">
        <x:v>21</x:v>
      </x:c>
      <x:c r="K13054" s="0">
        <x:f>hyperlink("https://icd.who.int/dev11/l-ichi/en#/http%3A%2F%2Fid.who.int%2Ficd%2Fentity%2F2136764324","browser")</x:f>
      </x:c>
      <x:c r="L13054" s="0">
        <x:f>hyperlink("https://icat2.azurewebsites.net/icat/?ontology=ICD&amp;tab=ClassesTab&amp;id=http%3A%2F%2Fwho.int%2Ficd%23SpecificAnatomicLocation_3315","iCat")</x:f>
      </x:c>
      <x:c r="M13054" s="0" t="s">
        <x:v>21</x:v>
      </x:c>
      <x:c r="N13054" s="0" t="s">
        <x:v>46</x:v>
      </x:c>
    </x:row>
    <x:row r="13055" spans="1:16">
      <x:c r="A13055" s="0" t="s">
        <x:v>49767</x:v>
      </x:c>
      <x:c r="B13055" s="0" t="s">
        <x:v>49768</x:v>
      </x:c>
      <x:c r="C13055" s="0" t="s">
        <x:v>42840</x:v>
      </x:c>
      <x:c r="E13055" s="0" t="s">
        <x:v>49769</x:v>
      </x:c>
      <x:c r="F13055" s="0" t="s">
        <x:v>45</x:v>
      </x:c>
      <x:c r="G13055" s="0" t="s">
        <x:v>22</x:v>
      </x:c>
      <x:c r="H13055" s="0" t="s">
        <x:v>20</x:v>
      </x:c>
      <x:c r="I13055" s="0" t="s">
        <x:v>21</x:v>
      </x:c>
      <x:c r="K13055" s="0">
        <x:f>hyperlink("https://icd.who.int/dev11/l-ichi/en#/http%3A%2F%2Fid.who.int%2Ficd%2Fentity%2F1359783460","browser")</x:f>
      </x:c>
      <x:c r="L13055" s="0">
        <x:f>hyperlink("https://icat2.azurewebsites.net/icat/?ontology=ICD&amp;tab=ClassesTab&amp;id=http%3A%2F%2Fwho.int%2Ficd%23SpecificAnatomicLocation_3317","iCat")</x:f>
      </x:c>
      <x:c r="M13055" s="0" t="s">
        <x:v>21</x:v>
      </x:c>
      <x:c r="N13055" s="0" t="s">
        <x:v>46</x:v>
      </x:c>
    </x:row>
    <x:row r="13056" spans="1:16">
      <x:c r="A13056" s="0" t="s">
        <x:v>49770</x:v>
      </x:c>
      <x:c r="B13056" s="0" t="s">
        <x:v>49771</x:v>
      </x:c>
      <x:c r="C13056" s="0" t="s">
        <x:v>42840</x:v>
      </x:c>
      <x:c r="E13056" s="0" t="s">
        <x:v>49772</x:v>
      </x:c>
      <x:c r="F13056" s="0" t="s">
        <x:v>45</x:v>
      </x:c>
      <x:c r="G13056" s="0" t="s">
        <x:v>22</x:v>
      </x:c>
      <x:c r="H13056" s="0" t="s">
        <x:v>20</x:v>
      </x:c>
      <x:c r="I13056" s="0" t="s">
        <x:v>21</x:v>
      </x:c>
      <x:c r="K13056" s="0">
        <x:f>hyperlink("https://icd.who.int/dev11/l-ichi/en#/http%3A%2F%2Fid.who.int%2Ficd%2Fentity%2F229455140","browser")</x:f>
      </x:c>
      <x:c r="L13056" s="0">
        <x:f>hyperlink("https://icat2.azurewebsites.net/icat/?ontology=ICD&amp;tab=ClassesTab&amp;id=http%3A%2F%2Fwho.int%2Ficd%23SpecificAnatomicLocation_3313","iCat")</x:f>
      </x:c>
      <x:c r="M13056" s="0" t="s">
        <x:v>21</x:v>
      </x:c>
      <x:c r="N13056" s="0" t="s">
        <x:v>46</x:v>
      </x:c>
    </x:row>
    <x:row r="13057" spans="1:16">
      <x:c r="A13057" s="0" t="s">
        <x:v>49773</x:v>
      </x:c>
      <x:c r="B13057" s="0" t="s">
        <x:v>49774</x:v>
      </x:c>
      <x:c r="C13057" s="0" t="s">
        <x:v>42840</x:v>
      </x:c>
      <x:c r="E13057" s="0" t="s">
        <x:v>49775</x:v>
      </x:c>
      <x:c r="F13057" s="0" t="s">
        <x:v>45</x:v>
      </x:c>
      <x:c r="G13057" s="0" t="s">
        <x:v>35</x:v>
      </x:c>
      <x:c r="H13057" s="0" t="s">
        <x:v>20</x:v>
      </x:c>
      <x:c r="I13057" s="0" t="s">
        <x:v>21</x:v>
      </x:c>
      <x:c r="K13057" s="0">
        <x:f>hyperlink("https://icd.who.int/dev11/l-ichi/en#/http%3A%2F%2Fid.who.int%2Ficd%2Fentity%2F1919500700","browser")</x:f>
      </x:c>
      <x:c r="L13057" s="0">
        <x:f>hyperlink("https://icat2.azurewebsites.net/icat/?ontology=ICD&amp;tab=ClassesTab&amp;id=http%3A%2F%2Fwho.int%2Ficd%23SpecificAnatomicLocation_3318","iCat")</x:f>
      </x:c>
      <x:c r="M13057" s="0" t="s">
        <x:v>21</x:v>
      </x:c>
      <x:c r="N13057" s="0" t="s">
        <x:v>46</x:v>
      </x:c>
    </x:row>
    <x:row r="13058" spans="1:16">
      <x:c r="A13058" s="0" t="s">
        <x:v>49776</x:v>
      </x:c>
      <x:c r="B13058" s="0" t="s">
        <x:v>49777</x:v>
      </x:c>
      <x:c r="C13058" s="0" t="s">
        <x:v>42840</x:v>
      </x:c>
      <x:c r="E13058" s="0" t="s">
        <x:v>49778</x:v>
      </x:c>
      <x:c r="F13058" s="0" t="s">
        <x:v>45</x:v>
      </x:c>
      <x:c r="G13058" s="0" t="s">
        <x:v>35</x:v>
      </x:c>
      <x:c r="H13058" s="0" t="s">
        <x:v>20</x:v>
      </x:c>
      <x:c r="I13058" s="0" t="s">
        <x:v>21</x:v>
      </x:c>
      <x:c r="K13058" s="0">
        <x:f>hyperlink("https://icd.who.int/dev11/l-ichi/en#/http%3A%2F%2Fid.who.int%2Ficd%2Fentity%2F2141720548","browser")</x:f>
      </x:c>
      <x:c r="L13058" s="0">
        <x:f>hyperlink("https://icat2.azurewebsites.net/icat/?ontology=ICD&amp;tab=ClassesTab&amp;id=http%3A%2F%2Fwho.int%2Ficd%23SpecificAnatomicLocation_3344","iCat")</x:f>
      </x:c>
      <x:c r="M13058" s="0" t="s">
        <x:v>20</x:v>
      </x:c>
      <x:c r="N13058" s="0" t="s">
        <x:v>7780</x:v>
      </x:c>
    </x:row>
    <x:row r="13059" spans="1:16">
      <x:c r="A13059" s="0" t="s">
        <x:v>49779</x:v>
      </x:c>
      <x:c r="B13059" s="0" t="s">
        <x:v>49780</x:v>
      </x:c>
      <x:c r="C13059" s="0" t="s">
        <x:v>42840</x:v>
      </x:c>
      <x:c r="E13059" s="0" t="s">
        <x:v>49781</x:v>
      </x:c>
      <x:c r="F13059" s="0" t="s">
        <x:v>45</x:v>
      </x:c>
      <x:c r="G13059" s="0" t="s">
        <x:v>22</x:v>
      </x:c>
      <x:c r="H13059" s="0" t="s">
        <x:v>20</x:v>
      </x:c>
      <x:c r="I13059" s="0" t="s">
        <x:v>21</x:v>
      </x:c>
      <x:c r="K13059" s="0">
        <x:f>hyperlink("https://icd.who.int/dev11/l-ichi/en#/http%3A%2F%2Fid.who.int%2Ficd%2Fentity%2F1010917907","browser")</x:f>
      </x:c>
      <x:c r="L13059" s="0">
        <x:f>hyperlink("https://icat2.azurewebsites.net/icat/?ontology=ICD&amp;tab=ClassesTab&amp;id=http%3A%2F%2Fwho.int%2Ficd%23SpecificAnatomicLocation_3332","iCat")</x:f>
      </x:c>
      <x:c r="M13059" s="0" t="s">
        <x:v>21</x:v>
      </x:c>
      <x:c r="N13059" s="0" t="s">
        <x:v>46</x:v>
      </x:c>
    </x:row>
    <x:row r="13060" spans="1:16">
      <x:c r="A13060" s="0" t="s">
        <x:v>49782</x:v>
      </x:c>
      <x:c r="B13060" s="0" t="s">
        <x:v>49783</x:v>
      </x:c>
      <x:c r="C13060" s="0" t="s">
        <x:v>42840</x:v>
      </x:c>
      <x:c r="E13060" s="0" t="s">
        <x:v>49784</x:v>
      </x:c>
      <x:c r="F13060" s="0" t="s">
        <x:v>45</x:v>
      </x:c>
      <x:c r="G13060" s="0" t="s">
        <x:v>22</x:v>
      </x:c>
      <x:c r="H13060" s="0" t="s">
        <x:v>20</x:v>
      </x:c>
      <x:c r="I13060" s="0" t="s">
        <x:v>21</x:v>
      </x:c>
      <x:c r="K13060" s="0">
        <x:f>hyperlink("https://icd.who.int/dev11/l-ichi/en#/http%3A%2F%2Fid.who.int%2Ficd%2Fentity%2F587832548","browser")</x:f>
      </x:c>
      <x:c r="L13060" s="0">
        <x:f>hyperlink("https://icat2.azurewebsites.net/icat/?ontology=ICD&amp;tab=ClassesTab&amp;id=http%3A%2F%2Fwho.int%2Ficd%23SpecificAnatomicLocation_3340","iCat")</x:f>
      </x:c>
      <x:c r="M13060" s="0" t="s">
        <x:v>21</x:v>
      </x:c>
      <x:c r="N13060" s="0" t="s">
        <x:v>46</x:v>
      </x:c>
    </x:row>
    <x:row r="13061" spans="1:16">
      <x:c r="A13061" s="0" t="s">
        <x:v>49785</x:v>
      </x:c>
      <x:c r="B13061" s="0" t="s">
        <x:v>49786</x:v>
      </x:c>
      <x:c r="C13061" s="0" t="s">
        <x:v>42840</x:v>
      </x:c>
      <x:c r="E13061" s="0" t="s">
        <x:v>49787</x:v>
      </x:c>
      <x:c r="F13061" s="0" t="s">
        <x:v>45</x:v>
      </x:c>
      <x:c r="G13061" s="0" t="s">
        <x:v>22</x:v>
      </x:c>
      <x:c r="H13061" s="0" t="s">
        <x:v>20</x:v>
      </x:c>
      <x:c r="I13061" s="0" t="s">
        <x:v>21</x:v>
      </x:c>
      <x:c r="K13061" s="0">
        <x:f>hyperlink("https://icd.who.int/dev11/l-ichi/en#/http%3A%2F%2Fid.who.int%2Ficd%2Fentity%2F728303315","browser")</x:f>
      </x:c>
      <x:c r="L13061" s="0">
        <x:f>hyperlink("https://icat2.azurewebsites.net/icat/?ontology=ICD&amp;tab=ClassesTab&amp;id=http%3A%2F%2Fwho.int%2Ficd%23SpecificAnatomicLocation_3333","iCat")</x:f>
      </x:c>
      <x:c r="M13061" s="0" t="s">
        <x:v>21</x:v>
      </x:c>
      <x:c r="N13061" s="0" t="s">
        <x:v>46</x:v>
      </x:c>
    </x:row>
    <x:row r="13062" spans="1:16">
      <x:c r="A13062" s="0" t="s">
        <x:v>49788</x:v>
      </x:c>
      <x:c r="B13062" s="0" t="s">
        <x:v>49789</x:v>
      </x:c>
      <x:c r="C13062" s="0" t="s">
        <x:v>42840</x:v>
      </x:c>
      <x:c r="E13062" s="0" t="s">
        <x:v>49790</x:v>
      </x:c>
      <x:c r="F13062" s="0" t="s">
        <x:v>45</x:v>
      </x:c>
      <x:c r="G13062" s="0" t="s">
        <x:v>22</x:v>
      </x:c>
      <x:c r="H13062" s="0" t="s">
        <x:v>20</x:v>
      </x:c>
      <x:c r="I13062" s="0" t="s">
        <x:v>21</x:v>
      </x:c>
      <x:c r="K13062" s="0">
        <x:f>hyperlink("https://icd.who.int/dev11/l-ichi/en#/http%3A%2F%2Fid.who.int%2Ficd%2Fentity%2F507145164","browser")</x:f>
      </x:c>
      <x:c r="L13062" s="0">
        <x:f>hyperlink("https://icat2.azurewebsites.net/icat/?ontology=ICD&amp;tab=ClassesTab&amp;id=http%3A%2F%2Fwho.int%2Ficd%23SpecificAnatomicLocation_3326","iCat")</x:f>
      </x:c>
      <x:c r="M13062" s="0" t="s">
        <x:v>21</x:v>
      </x:c>
      <x:c r="N13062" s="0" t="s">
        <x:v>46</x:v>
      </x:c>
    </x:row>
    <x:row r="13063" spans="1:16">
      <x:c r="A13063" s="0" t="s">
        <x:v>49791</x:v>
      </x:c>
      <x:c r="B13063" s="0" t="s">
        <x:v>49792</x:v>
      </x:c>
      <x:c r="C13063" s="0" t="s">
        <x:v>42840</x:v>
      </x:c>
      <x:c r="E13063" s="0" t="s">
        <x:v>49793</x:v>
      </x:c>
      <x:c r="F13063" s="0" t="s">
        <x:v>45</x:v>
      </x:c>
      <x:c r="G13063" s="0" t="s">
        <x:v>22</x:v>
      </x:c>
      <x:c r="H13063" s="0" t="s">
        <x:v>20</x:v>
      </x:c>
      <x:c r="I13063" s="0" t="s">
        <x:v>21</x:v>
      </x:c>
      <x:c r="K13063" s="0">
        <x:f>hyperlink("https://icd.who.int/dev11/l-ichi/en#/http%3A%2F%2Fid.who.int%2Ficd%2Fentity%2F1503157331","browser")</x:f>
      </x:c>
      <x:c r="L13063" s="0">
        <x:f>hyperlink("https://icat2.azurewebsites.net/icat/?ontology=ICD&amp;tab=ClassesTab&amp;id=http%3A%2F%2Fwho.int%2Ficd%23SpecificAnatomicLocation_3335","iCat")</x:f>
      </x:c>
      <x:c r="M13063" s="0" t="s">
        <x:v>21</x:v>
      </x:c>
      <x:c r="N13063" s="0" t="s">
        <x:v>46</x:v>
      </x:c>
    </x:row>
    <x:row r="13064" spans="1:16">
      <x:c r="A13064" s="0" t="s">
        <x:v>49794</x:v>
      </x:c>
      <x:c r="B13064" s="0" t="s">
        <x:v>49795</x:v>
      </x:c>
      <x:c r="C13064" s="0" t="s">
        <x:v>42840</x:v>
      </x:c>
      <x:c r="E13064" s="0" t="s">
        <x:v>49796</x:v>
      </x:c>
      <x:c r="F13064" s="0" t="s">
        <x:v>45</x:v>
      </x:c>
      <x:c r="G13064" s="0" t="s">
        <x:v>22</x:v>
      </x:c>
      <x:c r="H13064" s="0" t="s">
        <x:v>20</x:v>
      </x:c>
      <x:c r="I13064" s="0" t="s">
        <x:v>21</x:v>
      </x:c>
      <x:c r="K13064" s="0">
        <x:f>hyperlink("https://icd.who.int/dev11/l-ichi/en#/http%3A%2F%2Fid.who.int%2Ficd%2Fentity%2F1132795565","browser")</x:f>
      </x:c>
      <x:c r="L13064" s="0">
        <x:f>hyperlink("https://icat2.azurewebsites.net/icat/?ontology=ICD&amp;tab=ClassesTab&amp;id=http%3A%2F%2Fwho.int%2Ficd%23SpecificAnatomicLocation_3339","iCat")</x:f>
      </x:c>
      <x:c r="M13064" s="0" t="s">
        <x:v>21</x:v>
      </x:c>
      <x:c r="N13064" s="0" t="s">
        <x:v>46</x:v>
      </x:c>
    </x:row>
    <x:row r="13065" spans="1:16">
      <x:c r="A13065" s="0" t="s">
        <x:v>49797</x:v>
      </x:c>
      <x:c r="B13065" s="0" t="s">
        <x:v>49798</x:v>
      </x:c>
      <x:c r="C13065" s="0" t="s">
        <x:v>42840</x:v>
      </x:c>
      <x:c r="E13065" s="0" t="s">
        <x:v>49799</x:v>
      </x:c>
      <x:c r="F13065" s="0" t="s">
        <x:v>45</x:v>
      </x:c>
      <x:c r="G13065" s="0" t="s">
        <x:v>22</x:v>
      </x:c>
      <x:c r="H13065" s="0" t="s">
        <x:v>20</x:v>
      </x:c>
      <x:c r="I13065" s="0" t="s">
        <x:v>21</x:v>
      </x:c>
      <x:c r="K13065" s="0">
        <x:f>hyperlink("https://icd.who.int/dev11/l-ichi/en#/http%3A%2F%2Fid.who.int%2Ficd%2Fentity%2F812294732","browser")</x:f>
      </x:c>
      <x:c r="L13065" s="0">
        <x:f>hyperlink("https://icat2.azurewebsites.net/icat/?ontology=ICD&amp;tab=ClassesTab&amp;id=http%3A%2F%2Fwho.int%2Ficd%23SpecificAnatomicLocation_3324","iCat")</x:f>
      </x:c>
      <x:c r="M13065" s="0" t="s">
        <x:v>21</x:v>
      </x:c>
      <x:c r="N13065" s="0" t="s">
        <x:v>46</x:v>
      </x:c>
    </x:row>
    <x:row r="13066" spans="1:16">
      <x:c r="A13066" s="0" t="s">
        <x:v>49800</x:v>
      </x:c>
      <x:c r="B13066" s="0" t="s">
        <x:v>49801</x:v>
      </x:c>
      <x:c r="C13066" s="0" t="s">
        <x:v>42840</x:v>
      </x:c>
      <x:c r="E13066" s="0" t="s">
        <x:v>49802</x:v>
      </x:c>
      <x:c r="F13066" s="0" t="s">
        <x:v>45</x:v>
      </x:c>
      <x:c r="G13066" s="0" t="s">
        <x:v>22</x:v>
      </x:c>
      <x:c r="H13066" s="0" t="s">
        <x:v>20</x:v>
      </x:c>
      <x:c r="I13066" s="0" t="s">
        <x:v>21</x:v>
      </x:c>
      <x:c r="K13066" s="0">
        <x:f>hyperlink("https://icd.who.int/dev11/l-ichi/en#/http%3A%2F%2Fid.who.int%2Ficd%2Fentity%2F712501428","browser")</x:f>
      </x:c>
      <x:c r="L13066" s="0">
        <x:f>hyperlink("https://icat2.azurewebsites.net/icat/?ontology=ICD&amp;tab=ClassesTab&amp;id=http%3A%2F%2Fwho.int%2Ficd%23SpecificAnatomicLocation_3328","iCat")</x:f>
      </x:c>
      <x:c r="M13066" s="0" t="s">
        <x:v>21</x:v>
      </x:c>
      <x:c r="N13066" s="0" t="s">
        <x:v>46</x:v>
      </x:c>
    </x:row>
    <x:row r="13067" spans="1:16">
      <x:c r="A13067" s="0" t="s">
        <x:v>49803</x:v>
      </x:c>
      <x:c r="B13067" s="0" t="s">
        <x:v>49804</x:v>
      </x:c>
      <x:c r="C13067" s="0" t="s">
        <x:v>42840</x:v>
      </x:c>
      <x:c r="E13067" s="0" t="s">
        <x:v>49805</x:v>
      </x:c>
      <x:c r="F13067" s="0" t="s">
        <x:v>45</x:v>
      </x:c>
      <x:c r="G13067" s="0" t="s">
        <x:v>22</x:v>
      </x:c>
      <x:c r="H13067" s="0" t="s">
        <x:v>20</x:v>
      </x:c>
      <x:c r="I13067" s="0" t="s">
        <x:v>21</x:v>
      </x:c>
      <x:c r="K13067" s="0">
        <x:f>hyperlink("https://icd.who.int/dev11/l-ichi/en#/http%3A%2F%2Fid.who.int%2Ficd%2Fentity%2F874641444","browser")</x:f>
      </x:c>
      <x:c r="L13067" s="0">
        <x:f>hyperlink("https://icat2.azurewebsites.net/icat/?ontology=ICD&amp;tab=ClassesTab&amp;id=http%3A%2F%2Fwho.int%2Ficd%23SpecificAnatomicLocation_3341","iCat")</x:f>
      </x:c>
      <x:c r="M13067" s="0" t="s">
        <x:v>21</x:v>
      </x:c>
      <x:c r="N13067" s="0" t="s">
        <x:v>46</x:v>
      </x:c>
    </x:row>
    <x:row r="13068" spans="1:16">
      <x:c r="A13068" s="0" t="s">
        <x:v>49806</x:v>
      </x:c>
      <x:c r="B13068" s="0" t="s">
        <x:v>49807</x:v>
      </x:c>
      <x:c r="C13068" s="0" t="s">
        <x:v>42840</x:v>
      </x:c>
      <x:c r="E13068" s="0" t="s">
        <x:v>49808</x:v>
      </x:c>
      <x:c r="F13068" s="0" t="s">
        <x:v>45</x:v>
      </x:c>
      <x:c r="G13068" s="0" t="s">
        <x:v>22</x:v>
      </x:c>
      <x:c r="H13068" s="0" t="s">
        <x:v>20</x:v>
      </x:c>
      <x:c r="I13068" s="0" t="s">
        <x:v>21</x:v>
      </x:c>
      <x:c r="K13068" s="0">
        <x:f>hyperlink("https://icd.who.int/dev11/l-ichi/en#/http%3A%2F%2Fid.who.int%2Ficd%2Fentity%2F1029672052","browser")</x:f>
      </x:c>
      <x:c r="L13068" s="0">
        <x:f>hyperlink("https://icat2.azurewebsites.net/icat/?ontology=ICD&amp;tab=ClassesTab&amp;id=http%3A%2F%2Fwho.int%2Ficd%23SpecificAnatomicLocation_3329","iCat")</x:f>
      </x:c>
      <x:c r="M13068" s="0" t="s">
        <x:v>21</x:v>
      </x:c>
      <x:c r="N13068" s="0" t="s">
        <x:v>46</x:v>
      </x:c>
    </x:row>
    <x:row r="13069" spans="1:16">
      <x:c r="A13069" s="0" t="s">
        <x:v>49809</x:v>
      </x:c>
      <x:c r="B13069" s="0" t="s">
        <x:v>49810</x:v>
      </x:c>
      <x:c r="C13069" s="0" t="s">
        <x:v>42840</x:v>
      </x:c>
      <x:c r="E13069" s="0" t="s">
        <x:v>49811</x:v>
      </x:c>
      <x:c r="F13069" s="0" t="s">
        <x:v>45</x:v>
      </x:c>
      <x:c r="G13069" s="0" t="s">
        <x:v>22</x:v>
      </x:c>
      <x:c r="H13069" s="0" t="s">
        <x:v>20</x:v>
      </x:c>
      <x:c r="I13069" s="0" t="s">
        <x:v>21</x:v>
      </x:c>
      <x:c r="K13069" s="0">
        <x:f>hyperlink("https://icd.who.int/dev11/l-ichi/en#/http%3A%2F%2Fid.who.int%2Ficd%2Fentity%2F303147923","browser")</x:f>
      </x:c>
      <x:c r="L13069" s="0">
        <x:f>hyperlink("https://icat2.azurewebsites.net/icat/?ontology=ICD&amp;tab=ClassesTab&amp;id=http%3A%2F%2Fwho.int%2Ficd%23SpecificAnatomicLocation_3330","iCat")</x:f>
      </x:c>
      <x:c r="M13069" s="0" t="s">
        <x:v>21</x:v>
      </x:c>
      <x:c r="N13069" s="0" t="s">
        <x:v>46</x:v>
      </x:c>
    </x:row>
    <x:row r="13070" spans="1:16">
      <x:c r="A13070" s="0" t="s">
        <x:v>49812</x:v>
      </x:c>
      <x:c r="B13070" s="0" t="s">
        <x:v>49813</x:v>
      </x:c>
      <x:c r="C13070" s="0" t="s">
        <x:v>42840</x:v>
      </x:c>
      <x:c r="E13070" s="0" t="s">
        <x:v>49814</x:v>
      </x:c>
      <x:c r="F13070" s="0" t="s">
        <x:v>45</x:v>
      </x:c>
      <x:c r="G13070" s="0" t="s">
        <x:v>22</x:v>
      </x:c>
      <x:c r="H13070" s="0" t="s">
        <x:v>20</x:v>
      </x:c>
      <x:c r="I13070" s="0" t="s">
        <x:v>21</x:v>
      </x:c>
      <x:c r="K13070" s="0">
        <x:f>hyperlink("https://icd.who.int/dev11/l-ichi/en#/http%3A%2F%2Fid.who.int%2Ficd%2Fentity%2F2078496140","browser")</x:f>
      </x:c>
      <x:c r="L13070" s="0">
        <x:f>hyperlink("https://icat2.azurewebsites.net/icat/?ontology=ICD&amp;tab=ClassesTab&amp;id=http%3A%2F%2Fwho.int%2Ficd%23SpecificAnatomicLocation_3321","iCat")</x:f>
      </x:c>
      <x:c r="M13070" s="0" t="s">
        <x:v>20</x:v>
      </x:c>
      <x:c r="N13070" s="0" t="s">
        <x:v>30</x:v>
      </x:c>
    </x:row>
    <x:row r="13071" spans="1:16">
      <x:c r="A13071" s="0" t="s">
        <x:v>49815</x:v>
      </x:c>
      <x:c r="B13071" s="0" t="s">
        <x:v>49816</x:v>
      </x:c>
      <x:c r="C13071" s="0" t="s">
        <x:v>42840</x:v>
      </x:c>
      <x:c r="E13071" s="0" t="s">
        <x:v>49817</x:v>
      </x:c>
      <x:c r="F13071" s="0" t="s">
        <x:v>45</x:v>
      </x:c>
      <x:c r="G13071" s="0" t="s">
        <x:v>40</x:v>
      </x:c>
      <x:c r="H13071" s="0" t="s">
        <x:v>20</x:v>
      </x:c>
      <x:c r="I13071" s="0" t="s">
        <x:v>21</x:v>
      </x:c>
      <x:c r="K13071" s="0">
        <x:f>hyperlink("https://icd.who.int/dev11/l-ichi/en#/http%3A%2F%2Fid.who.int%2Ficd%2Fentity%2F1825255756","browser")</x:f>
      </x:c>
      <x:c r="L13071" s="0">
        <x:f>hyperlink("https://icat2.azurewebsites.net/icat/?ontology=ICD&amp;tab=ClassesTab&amp;id=http%3A%2F%2Fwho.int%2Ficd%23SpecificAnatomicLocation_3320","iCat")</x:f>
      </x:c>
      <x:c r="M13071" s="0" t="s">
        <x:v>21</x:v>
      </x:c>
      <x:c r="N13071" s="0" t="s">
        <x:v>46</x:v>
      </x:c>
    </x:row>
    <x:row r="13072" spans="1:16">
      <x:c r="A13072" s="0" t="s">
        <x:v>49818</x:v>
      </x:c>
      <x:c r="B13072" s="0" t="s">
        <x:v>49819</x:v>
      </x:c>
      <x:c r="C13072" s="0" t="s">
        <x:v>42840</x:v>
      </x:c>
      <x:c r="E13072" s="0" t="s">
        <x:v>49820</x:v>
      </x:c>
      <x:c r="F13072" s="0" t="s">
        <x:v>45</x:v>
      </x:c>
      <x:c r="G13072" s="0" t="s">
        <x:v>40</x:v>
      </x:c>
      <x:c r="H13072" s="0" t="s">
        <x:v>20</x:v>
      </x:c>
      <x:c r="I13072" s="0" t="s">
        <x:v>21</x:v>
      </x:c>
      <x:c r="K13072" s="0">
        <x:f>hyperlink("https://icd.who.int/dev11/l-ichi/en#/http%3A%2F%2Fid.who.int%2Ficd%2Fentity%2F1698768220","browser")</x:f>
      </x:c>
      <x:c r="L13072" s="0">
        <x:f>hyperlink("https://icat2.azurewebsites.net/icat/?ontology=ICD&amp;tab=ClassesTab&amp;id=http%3A%2F%2Fwho.int%2Ficd%23SpecificAnatomicLocation_3319","iCat")</x:f>
      </x:c>
      <x:c r="M13072" s="0" t="s">
        <x:v>21</x:v>
      </x:c>
      <x:c r="N13072" s="0" t="s">
        <x:v>46</x:v>
      </x:c>
    </x:row>
    <x:row r="13073" spans="1:16">
      <x:c r="A13073" s="0" t="s">
        <x:v>49821</x:v>
      </x:c>
      <x:c r="B13073" s="0" t="s">
        <x:v>49822</x:v>
      </x:c>
      <x:c r="C13073" s="0" t="s">
        <x:v>42840</x:v>
      </x:c>
      <x:c r="E13073" s="0" t="s">
        <x:v>49823</x:v>
      </x:c>
      <x:c r="F13073" s="0" t="s">
        <x:v>45</x:v>
      </x:c>
      <x:c r="G13073" s="0" t="s">
        <x:v>22</x:v>
      </x:c>
      <x:c r="H13073" s="0" t="s">
        <x:v>20</x:v>
      </x:c>
      <x:c r="I13073" s="0" t="s">
        <x:v>21</x:v>
      </x:c>
      <x:c r="K13073" s="0">
        <x:f>hyperlink("https://icd.who.int/dev11/l-ichi/en#/http%3A%2F%2Fid.who.int%2Ficd%2Fentity%2F2009634259","browser")</x:f>
      </x:c>
      <x:c r="L13073" s="0">
        <x:f>hyperlink("https://icat2.azurewebsites.net/icat/?ontology=ICD&amp;tab=ClassesTab&amp;id=http%3A%2F%2Fwho.int%2Ficd%23SpecificAnatomicLocation_3337","iCat")</x:f>
      </x:c>
      <x:c r="M13073" s="0" t="s">
        <x:v>21</x:v>
      </x:c>
      <x:c r="N13073" s="0" t="s">
        <x:v>46</x:v>
      </x:c>
    </x:row>
    <x:row r="13074" spans="1:16">
      <x:c r="A13074" s="0" t="s">
        <x:v>49824</x:v>
      </x:c>
      <x:c r="B13074" s="0" t="s">
        <x:v>49825</x:v>
      </x:c>
      <x:c r="C13074" s="0" t="s">
        <x:v>42840</x:v>
      </x:c>
      <x:c r="E13074" s="0" t="s">
        <x:v>49826</x:v>
      </x:c>
      <x:c r="F13074" s="0" t="s">
        <x:v>45</x:v>
      </x:c>
      <x:c r="G13074" s="0" t="s">
        <x:v>22</x:v>
      </x:c>
      <x:c r="H13074" s="0" t="s">
        <x:v>20</x:v>
      </x:c>
      <x:c r="I13074" s="0" t="s">
        <x:v>21</x:v>
      </x:c>
      <x:c r="K13074" s="0">
        <x:f>hyperlink("https://icd.who.int/dev11/l-ichi/en#/http%3A%2F%2Fid.who.int%2Ficd%2Fentity%2F223958372","browser")</x:f>
      </x:c>
      <x:c r="L13074" s="0">
        <x:f>hyperlink("https://icat2.azurewebsites.net/icat/?ontology=ICD&amp;tab=ClassesTab&amp;id=http%3A%2F%2Fwho.int%2Ficd%23SpecificAnatomicLocation_3342","iCat")</x:f>
      </x:c>
      <x:c r="M13074" s="0" t="s">
        <x:v>21</x:v>
      </x:c>
      <x:c r="N13074" s="0" t="s">
        <x:v>46</x:v>
      </x:c>
    </x:row>
    <x:row r="13075" spans="1:16">
      <x:c r="A13075" s="0" t="s">
        <x:v>49827</x:v>
      </x:c>
      <x:c r="B13075" s="0" t="s">
        <x:v>49828</x:v>
      </x:c>
      <x:c r="C13075" s="0" t="s">
        <x:v>42840</x:v>
      </x:c>
      <x:c r="E13075" s="0" t="s">
        <x:v>49829</x:v>
      </x:c>
      <x:c r="F13075" s="0" t="s">
        <x:v>45</x:v>
      </x:c>
      <x:c r="G13075" s="0" t="s">
        <x:v>22</x:v>
      </x:c>
      <x:c r="H13075" s="0" t="s">
        <x:v>20</x:v>
      </x:c>
      <x:c r="I13075" s="0" t="s">
        <x:v>21</x:v>
      </x:c>
      <x:c r="K13075" s="0">
        <x:f>hyperlink("https://icd.who.int/dev11/l-ichi/en#/http%3A%2F%2Fid.who.int%2Ficd%2Fentity%2F1320171667","browser")</x:f>
      </x:c>
      <x:c r="L13075" s="0">
        <x:f>hyperlink("https://icat2.azurewebsites.net/icat/?ontology=ICD&amp;tab=ClassesTab&amp;id=http%3A%2F%2Fwho.int%2Ficd%23SpecificAnatomicLocation_3334","iCat")</x:f>
      </x:c>
      <x:c r="M13075" s="0" t="s">
        <x:v>21</x:v>
      </x:c>
      <x:c r="N13075" s="0" t="s">
        <x:v>46</x:v>
      </x:c>
    </x:row>
    <x:row r="13076" spans="1:16">
      <x:c r="A13076" s="0" t="s">
        <x:v>49830</x:v>
      </x:c>
      <x:c r="B13076" s="0" t="s">
        <x:v>49831</x:v>
      </x:c>
      <x:c r="C13076" s="0" t="s">
        <x:v>42840</x:v>
      </x:c>
      <x:c r="E13076" s="0" t="s">
        <x:v>49832</x:v>
      </x:c>
      <x:c r="F13076" s="0" t="s">
        <x:v>45</x:v>
      </x:c>
      <x:c r="G13076" s="0" t="s">
        <x:v>22</x:v>
      </x:c>
      <x:c r="H13076" s="0" t="s">
        <x:v>20</x:v>
      </x:c>
      <x:c r="I13076" s="0" t="s">
        <x:v>21</x:v>
      </x:c>
      <x:c r="K13076" s="0">
        <x:f>hyperlink("https://icd.who.int/dev11/l-ichi/en#/http%3A%2F%2Fid.who.int%2Ficd%2Fentity%2F152178444","browser")</x:f>
      </x:c>
      <x:c r="L13076" s="0">
        <x:f>hyperlink("https://icat2.azurewebsites.net/icat/?ontology=ICD&amp;tab=ClassesTab&amp;id=http%3A%2F%2Fwho.int%2Ficd%23SpecificAnatomicLocation_3327","iCat")</x:f>
      </x:c>
      <x:c r="M13076" s="0" t="s">
        <x:v>21</x:v>
      </x:c>
      <x:c r="N13076" s="0" t="s">
        <x:v>46</x:v>
      </x:c>
    </x:row>
    <x:row r="13077" spans="1:16">
      <x:c r="A13077" s="0" t="s">
        <x:v>49833</x:v>
      </x:c>
      <x:c r="B13077" s="0" t="s">
        <x:v>49834</x:v>
      </x:c>
      <x:c r="C13077" s="0" t="s">
        <x:v>42840</x:v>
      </x:c>
      <x:c r="E13077" s="0" t="s">
        <x:v>49835</x:v>
      </x:c>
      <x:c r="F13077" s="0" t="s">
        <x:v>45</x:v>
      </x:c>
      <x:c r="G13077" s="0" t="s">
        <x:v>22</x:v>
      </x:c>
      <x:c r="H13077" s="0" t="s">
        <x:v>20</x:v>
      </x:c>
      <x:c r="I13077" s="0" t="s">
        <x:v>21</x:v>
      </x:c>
      <x:c r="K13077" s="0">
        <x:f>hyperlink("https://icd.who.int/dev11/l-ichi/en#/http%3A%2F%2Fid.who.int%2Ficd%2Fentity%2F1625354515","browser")</x:f>
      </x:c>
      <x:c r="L13077" s="0">
        <x:f>hyperlink("https://icat2.azurewebsites.net/icat/?ontology=ICD&amp;tab=ClassesTab&amp;id=http%3A%2F%2Fwho.int%2Ficd%23SpecificAnatomicLocation_3336","iCat")</x:f>
      </x:c>
      <x:c r="M13077" s="0" t="s">
        <x:v>21</x:v>
      </x:c>
      <x:c r="N13077" s="0" t="s">
        <x:v>46</x:v>
      </x:c>
    </x:row>
    <x:row r="13078" spans="1:16">
      <x:c r="A13078" s="0" t="s">
        <x:v>49836</x:v>
      </x:c>
      <x:c r="B13078" s="0" t="s">
        <x:v>49837</x:v>
      </x:c>
      <x:c r="C13078" s="0" t="s">
        <x:v>42840</x:v>
      </x:c>
      <x:c r="E13078" s="0" t="s">
        <x:v>49838</x:v>
      </x:c>
      <x:c r="F13078" s="0" t="s">
        <x:v>45</x:v>
      </x:c>
      <x:c r="G13078" s="0" t="s">
        <x:v>22</x:v>
      </x:c>
      <x:c r="H13078" s="0" t="s">
        <x:v>20</x:v>
      </x:c>
      <x:c r="I13078" s="0" t="s">
        <x:v>21</x:v>
      </x:c>
      <x:c r="K13078" s="0">
        <x:f>hyperlink("https://icd.who.int/dev11/l-ichi/en#/http%3A%2F%2Fid.who.int%2Ficd%2Fentity%2F1420653165","browser")</x:f>
      </x:c>
      <x:c r="L13078" s="0">
        <x:f>hyperlink("https://icat2.azurewebsites.net/icat/?ontology=ICD&amp;tab=ClassesTab&amp;id=http%3A%2F%2Fwho.int%2Ficd%23SpecificAnatomicLocation_3338","iCat")</x:f>
      </x:c>
      <x:c r="M13078" s="0" t="s">
        <x:v>21</x:v>
      </x:c>
      <x:c r="N13078" s="0" t="s">
        <x:v>46</x:v>
      </x:c>
    </x:row>
    <x:row r="13079" spans="1:16">
      <x:c r="A13079" s="0" t="s">
        <x:v>49839</x:v>
      </x:c>
      <x:c r="B13079" s="0" t="s">
        <x:v>49840</x:v>
      </x:c>
      <x:c r="C13079" s="0" t="s">
        <x:v>42840</x:v>
      </x:c>
      <x:c r="E13079" s="0" t="s">
        <x:v>49841</x:v>
      </x:c>
      <x:c r="F13079" s="0" t="s">
        <x:v>45</x:v>
      </x:c>
      <x:c r="G13079" s="0" t="s">
        <x:v>22</x:v>
      </x:c>
      <x:c r="H13079" s="0" t="s">
        <x:v>20</x:v>
      </x:c>
      <x:c r="I13079" s="0" t="s">
        <x:v>21</x:v>
      </x:c>
      <x:c r="K13079" s="0">
        <x:f>hyperlink("https://icd.who.int/dev11/l-ichi/en#/http%3A%2F%2Fid.who.int%2Ficd%2Fentity%2F1437834252","browser")</x:f>
      </x:c>
      <x:c r="L13079" s="0">
        <x:f>hyperlink("https://icat2.azurewebsites.net/icat/?ontology=ICD&amp;tab=ClassesTab&amp;id=http%3A%2F%2Fwho.int%2Ficd%23SpecificAnatomicLocation_3323","iCat")</x:f>
      </x:c>
      <x:c r="M13079" s="0" t="s">
        <x:v>21</x:v>
      </x:c>
      <x:c r="N13079" s="0" t="s">
        <x:v>46</x:v>
      </x:c>
    </x:row>
    <x:row r="13080" spans="1:16">
      <x:c r="A13080" s="0" t="s">
        <x:v>49842</x:v>
      </x:c>
      <x:c r="B13080" s="0" t="s">
        <x:v>49843</x:v>
      </x:c>
      <x:c r="C13080" s="0" t="s">
        <x:v>42840</x:v>
      </x:c>
      <x:c r="E13080" s="0" t="s">
        <x:v>49844</x:v>
      </x:c>
      <x:c r="F13080" s="0" t="s">
        <x:v>45</x:v>
      </x:c>
      <x:c r="G13080" s="0" t="s">
        <x:v>19</x:v>
      </x:c>
      <x:c r="H13080" s="0" t="s">
        <x:v>20</x:v>
      </x:c>
      <x:c r="I13080" s="0" t="s">
        <x:v>21</x:v>
      </x:c>
      <x:c r="K13080" s="0">
        <x:f>hyperlink("https://icd.who.int/dev11/l-ichi/en#/http%3A%2F%2Fid.who.int%2Ficd%2Fentity%2F8274514","browser")</x:f>
      </x:c>
      <x:c r="L13080" s="0">
        <x:f>hyperlink("https://icat2.azurewebsites.net/icat/?ontology=ICD&amp;tab=ClassesTab&amp;id=http%3A%2F%2Fwho.int%2Ficd%23SpecificAnatomicLocation_3425","iCat")</x:f>
      </x:c>
      <x:c r="M13080" s="0" t="s">
        <x:v>20</x:v>
      </x:c>
      <x:c r="N13080" s="0" t="s">
        <x:v>30</x:v>
      </x:c>
    </x:row>
    <x:row r="13081" spans="1:16">
      <x:c r="A13081" s="0" t="s">
        <x:v>49845</x:v>
      </x:c>
      <x:c r="B13081" s="0" t="s">
        <x:v>49846</x:v>
      </x:c>
      <x:c r="C13081" s="0" t="s">
        <x:v>42840</x:v>
      </x:c>
      <x:c r="E13081" s="0" t="s">
        <x:v>49847</x:v>
      </x:c>
      <x:c r="F13081" s="0" t="s">
        <x:v>45</x:v>
      </x:c>
      <x:c r="G13081" s="0" t="s">
        <x:v>30</x:v>
      </x:c>
      <x:c r="H13081" s="0" t="s">
        <x:v>20</x:v>
      </x:c>
      <x:c r="I13081" s="0" t="s">
        <x:v>21</x:v>
      </x:c>
      <x:c r="K13081" s="0">
        <x:f>hyperlink("https://icd.who.int/dev11/l-ichi/en#/http%3A%2F%2Fid.who.int%2Ficd%2Fentity%2F319259361","browser")</x:f>
      </x:c>
      <x:c r="L13081" s="0">
        <x:f>hyperlink("https://icat2.azurewebsites.net/icat/?ontology=ICD&amp;tab=ClassesTab&amp;id=http%3A%2F%2Fwho.int%2Ficd%2311466_16e67c35_8b57_40bb_9220_818553425a8c","iCat")</x:f>
      </x:c>
      <x:c r="M13081" s="0" t="s">
        <x:v>20</x:v>
      </x:c>
      <x:c r="N13081" s="0" t="s">
        <x:v>22</x:v>
      </x:c>
    </x:row>
    <x:row r="13082" spans="1:16">
      <x:c r="A13082" s="0" t="s">
        <x:v>49848</x:v>
      </x:c>
      <x:c r="B13082" s="0" t="s">
        <x:v>49849</x:v>
      </x:c>
      <x:c r="C13082" s="0" t="s">
        <x:v>42840</x:v>
      </x:c>
      <x:c r="E13082" s="0" t="s">
        <x:v>49850</x:v>
      </x:c>
      <x:c r="F13082" s="0" t="s">
        <x:v>45</x:v>
      </x:c>
      <x:c r="G13082" s="0" t="s">
        <x:v>35</x:v>
      </x:c>
      <x:c r="H13082" s="0" t="s">
        <x:v>20</x:v>
      </x:c>
      <x:c r="I13082" s="0" t="s">
        <x:v>21</x:v>
      </x:c>
      <x:c r="K13082" s="0">
        <x:f>hyperlink("https://icd.who.int/dev11/l-ichi/en#/http%3A%2F%2Fid.who.int%2Ficd%2Fentity%2F1188078244","browser")</x:f>
      </x:c>
      <x:c r="L13082" s="0">
        <x:f>hyperlink("https://icat2.azurewebsites.net/icat/?ontology=ICD&amp;tab=ClassesTab&amp;id=http%3A%2F%2Fwho.int%2Ficd%23SpecificAnatomicLocation_3347","iCat")</x:f>
      </x:c>
      <x:c r="M13082" s="0" t="s">
        <x:v>21</x:v>
      </x:c>
      <x:c r="N13082" s="0" t="s">
        <x:v>46</x:v>
      </x:c>
    </x:row>
    <x:row r="13083" spans="1:16">
      <x:c r="A13083" s="0" t="s">
        <x:v>49851</x:v>
      </x:c>
      <x:c r="B13083" s="0" t="s">
        <x:v>49852</x:v>
      </x:c>
      <x:c r="C13083" s="0" t="s">
        <x:v>42840</x:v>
      </x:c>
      <x:c r="E13083" s="0" t="s">
        <x:v>49853</x:v>
      </x:c>
      <x:c r="F13083" s="0" t="s">
        <x:v>45</x:v>
      </x:c>
      <x:c r="G13083" s="0" t="s">
        <x:v>35</x:v>
      </x:c>
      <x:c r="H13083" s="0" t="s">
        <x:v>20</x:v>
      </x:c>
      <x:c r="I13083" s="0" t="s">
        <x:v>21</x:v>
      </x:c>
      <x:c r="K13083" s="0">
        <x:f>hyperlink("https://icd.who.int/dev11/l-ichi/en#/http%3A%2F%2Fid.who.int%2Ficd%2Fentity%2F1574110781","browser")</x:f>
      </x:c>
      <x:c r="L13083" s="0">
        <x:f>hyperlink("https://icat2.azurewebsites.net/icat/?ontology=ICD&amp;tab=ClassesTab&amp;id=http%3A%2F%2Fwho.int%2Ficd%23SpecificAnatomicLocation_3350","iCat")</x:f>
      </x:c>
      <x:c r="M13083" s="0" t="s">
        <x:v>20</x:v>
      </x:c>
      <x:c r="N13083" s="0" t="s">
        <x:v>22</x:v>
      </x:c>
    </x:row>
    <x:row r="13084" spans="1:16">
      <x:c r="A13084" s="0" t="s">
        <x:v>49854</x:v>
      </x:c>
      <x:c r="B13084" s="0" t="s">
        <x:v>49855</x:v>
      </x:c>
      <x:c r="C13084" s="0" t="s">
        <x:v>42840</x:v>
      </x:c>
      <x:c r="E13084" s="0" t="s">
        <x:v>49856</x:v>
      </x:c>
      <x:c r="F13084" s="0" t="s">
        <x:v>45</x:v>
      </x:c>
      <x:c r="G13084" s="0" t="s">
        <x:v>22</x:v>
      </x:c>
      <x:c r="H13084" s="0" t="s">
        <x:v>20</x:v>
      </x:c>
      <x:c r="I13084" s="0" t="s">
        <x:v>21</x:v>
      </x:c>
      <x:c r="K13084" s="0">
        <x:f>hyperlink("https://icd.who.int/dev11/l-ichi/en#/http%3A%2F%2Fid.who.int%2Ficd%2Fentity%2F1706378524","browser")</x:f>
      </x:c>
      <x:c r="L13084" s="0">
        <x:f>hyperlink("https://icat2.azurewebsites.net/icat/?ontology=ICD&amp;tab=ClassesTab&amp;id=http%3A%2F%2Fwho.int%2Ficd%23SpecificAnatomicLocation_3348","iCat")</x:f>
      </x:c>
      <x:c r="M13084" s="0" t="s">
        <x:v>21</x:v>
      </x:c>
      <x:c r="N13084" s="0" t="s">
        <x:v>46</x:v>
      </x:c>
    </x:row>
    <x:row r="13085" spans="1:16">
      <x:c r="A13085" s="0" t="s">
        <x:v>49857</x:v>
      </x:c>
      <x:c r="B13085" s="0" t="s">
        <x:v>49858</x:v>
      </x:c>
      <x:c r="C13085" s="0" t="s">
        <x:v>42840</x:v>
      </x:c>
      <x:c r="E13085" s="0" t="s">
        <x:v>49859</x:v>
      </x:c>
      <x:c r="F13085" s="0" t="s">
        <x:v>45</x:v>
      </x:c>
      <x:c r="G13085" s="0" t="s">
        <x:v>22</x:v>
      </x:c>
      <x:c r="H13085" s="0" t="s">
        <x:v>20</x:v>
      </x:c>
      <x:c r="I13085" s="0" t="s">
        <x:v>21</x:v>
      </x:c>
      <x:c r="K13085" s="0">
        <x:f>hyperlink("https://icd.who.int/dev11/l-ichi/en#/http%3A%2F%2Fid.who.int%2Ficd%2Fentity%2F1922900444","browser")</x:f>
      </x:c>
      <x:c r="L13085" s="0">
        <x:f>hyperlink("https://icat2.azurewebsites.net/icat/?ontology=ICD&amp;tab=ClassesTab&amp;id=http%3A%2F%2Fwho.int%2Ficd%23SpecificAnatomicLocation_3349","iCat")</x:f>
      </x:c>
      <x:c r="M13085" s="0" t="s">
        <x:v>21</x:v>
      </x:c>
      <x:c r="N13085" s="0" t="s">
        <x:v>46</x:v>
      </x:c>
    </x:row>
    <x:row r="13086" spans="1:16">
      <x:c r="A13086" s="0" t="s">
        <x:v>49860</x:v>
      </x:c>
      <x:c r="B13086" s="0" t="s">
        <x:v>49861</x:v>
      </x:c>
      <x:c r="C13086" s="0" t="s">
        <x:v>42840</x:v>
      </x:c>
      <x:c r="E13086" s="0" t="s">
        <x:v>49862</x:v>
      </x:c>
      <x:c r="F13086" s="0" t="s">
        <x:v>45</x:v>
      </x:c>
      <x:c r="G13086" s="0" t="s">
        <x:v>22</x:v>
      </x:c>
      <x:c r="H13086" s="0" t="s">
        <x:v>20</x:v>
      </x:c>
      <x:c r="I13086" s="0" t="s">
        <x:v>21</x:v>
      </x:c>
      <x:c r="K13086" s="0">
        <x:f>hyperlink("https://icd.who.int/dev11/l-ichi/en#/http%3A%2F%2Fid.who.int%2Ficd%2Fentity%2F736494563","browser")</x:f>
      </x:c>
      <x:c r="L13086" s="0">
        <x:f>hyperlink("https://icat2.azurewebsites.net/icat/?ontology=ICD&amp;tab=ClassesTab&amp;id=http%3A%2F%2Fwho.int%2Ficd%23SpecificAnatomicLocation_3754","iCat")</x:f>
      </x:c>
      <x:c r="M13086" s="0" t="s">
        <x:v>21</x:v>
      </x:c>
      <x:c r="N13086" s="0" t="s">
        <x:v>46</x:v>
      </x:c>
    </x:row>
    <x:row r="13087" spans="1:16">
      <x:c r="A13087" s="0" t="s">
        <x:v>49863</x:v>
      </x:c>
      <x:c r="B13087" s="0" t="s">
        <x:v>49864</x:v>
      </x:c>
      <x:c r="C13087" s="0" t="s">
        <x:v>42840</x:v>
      </x:c>
      <x:c r="E13087" s="0" t="s">
        <x:v>49865</x:v>
      </x:c>
      <x:c r="F13087" s="0" t="s">
        <x:v>45</x:v>
      </x:c>
      <x:c r="G13087" s="0" t="s">
        <x:v>22</x:v>
      </x:c>
      <x:c r="H13087" s="0" t="s">
        <x:v>20</x:v>
      </x:c>
      <x:c r="I13087" s="0" t="s">
        <x:v>21</x:v>
      </x:c>
      <x:c r="K13087" s="0">
        <x:f>hyperlink("https://icd.who.int/dev11/l-ichi/en#/http%3A%2F%2Fid.who.int%2Ficd%2Fentity%2F1155293432","browser")</x:f>
      </x:c>
      <x:c r="L13087" s="0">
        <x:f>hyperlink("https://icat2.azurewebsites.net/icat/?ontology=ICD&amp;tab=ClassesTab&amp;id=http%3A%2F%2Fwho.int%2Ficd%232798_d9027f82_5e3d_47a4_a6fe_3c65954dde3a","iCat")</x:f>
      </x:c>
      <x:c r="M13087" s="0" t="s">
        <x:v>21</x:v>
      </x:c>
      <x:c r="N13087" s="0" t="s">
        <x:v>46</x:v>
      </x:c>
    </x:row>
    <x:row r="13088" spans="1:16">
      <x:c r="A13088" s="0" t="s">
        <x:v>49866</x:v>
      </x:c>
      <x:c r="B13088" s="0" t="s">
        <x:v>49867</x:v>
      </x:c>
      <x:c r="C13088" s="0" t="s">
        <x:v>42840</x:v>
      </x:c>
      <x:c r="E13088" s="0" t="s">
        <x:v>49868</x:v>
      </x:c>
      <x:c r="F13088" s="0" t="s">
        <x:v>45</x:v>
      </x:c>
      <x:c r="G13088" s="0" t="s">
        <x:v>35</x:v>
      </x:c>
      <x:c r="H13088" s="0" t="s">
        <x:v>20</x:v>
      </x:c>
      <x:c r="I13088" s="0" t="s">
        <x:v>21</x:v>
      </x:c>
      <x:c r="K13088" s="0">
        <x:f>hyperlink("https://icd.who.int/dev11/l-ichi/en#/http%3A%2F%2Fid.who.int%2Ficd%2Fentity%2F2000483733","browser")</x:f>
      </x:c>
      <x:c r="L13088" s="0">
        <x:f>hyperlink("https://icat2.azurewebsites.net/icat/?ontology=ICD&amp;tab=ClassesTab&amp;id=http%3A%2F%2Fwho.int%2Ficd%23SpecificAnatomicLocation_3366","iCat")</x:f>
      </x:c>
      <x:c r="M13088" s="0" t="s">
        <x:v>20</x:v>
      </x:c>
      <x:c r="N13088" s="0" t="s">
        <x:v>30</x:v>
      </x:c>
    </x:row>
    <x:row r="13089" spans="1:16">
      <x:c r="A13089" s="0" t="s">
        <x:v>49869</x:v>
      </x:c>
      <x:c r="B13089" s="0" t="s">
        <x:v>49870</x:v>
      </x:c>
      <x:c r="C13089" s="0" t="s">
        <x:v>42840</x:v>
      </x:c>
      <x:c r="E13089" s="0" t="s">
        <x:v>49871</x:v>
      </x:c>
      <x:c r="F13089" s="0" t="s">
        <x:v>45</x:v>
      </x:c>
      <x:c r="G13089" s="0" t="s">
        <x:v>22</x:v>
      </x:c>
      <x:c r="H13089" s="0" t="s">
        <x:v>20</x:v>
      </x:c>
      <x:c r="I13089" s="0" t="s">
        <x:v>21</x:v>
      </x:c>
      <x:c r="K13089" s="0">
        <x:f>hyperlink("https://icd.who.int/dev11/l-ichi/en#/http%3A%2F%2Fid.who.int%2Ficd%2Fentity%2F1938018237","browser")</x:f>
      </x:c>
      <x:c r="L13089" s="0">
        <x:f>hyperlink("https://icat2.azurewebsites.net/icat/?ontology=ICD&amp;tab=ClassesTab&amp;id=http%3A%2F%2Fwho.int%2Ficd%23SpecificAnatomicLocation_3352","iCat")</x:f>
      </x:c>
      <x:c r="M13089" s="0" t="s">
        <x:v>21</x:v>
      </x:c>
      <x:c r="N13089" s="0" t="s">
        <x:v>46</x:v>
      </x:c>
    </x:row>
    <x:row r="13090" spans="1:16">
      <x:c r="A13090" s="0" t="s">
        <x:v>49872</x:v>
      </x:c>
      <x:c r="B13090" s="0" t="s">
        <x:v>49873</x:v>
      </x:c>
      <x:c r="C13090" s="0" t="s">
        <x:v>42840</x:v>
      </x:c>
      <x:c r="E13090" s="0" t="s">
        <x:v>49874</x:v>
      </x:c>
      <x:c r="F13090" s="0" t="s">
        <x:v>45</x:v>
      </x:c>
      <x:c r="G13090" s="0" t="s">
        <x:v>22</x:v>
      </x:c>
      <x:c r="H13090" s="0" t="s">
        <x:v>20</x:v>
      </x:c>
      <x:c r="I13090" s="0" t="s">
        <x:v>21</x:v>
      </x:c>
      <x:c r="K13090" s="0">
        <x:f>hyperlink("https://icd.who.int/dev11/l-ichi/en#/http%3A%2F%2Fid.who.int%2Ficd%2Fentity%2F1257988861","browser")</x:f>
      </x:c>
      <x:c r="L13090" s="0">
        <x:f>hyperlink("https://icat2.azurewebsites.net/icat/?ontology=ICD&amp;tab=ClassesTab&amp;id=http%3A%2F%2Fwho.int%2Ficd%23SpecificAnatomicLocation_3351","iCat")</x:f>
      </x:c>
      <x:c r="M13090" s="0" t="s">
        <x:v>21</x:v>
      </x:c>
      <x:c r="N13090" s="0" t="s">
        <x:v>46</x:v>
      </x:c>
    </x:row>
    <x:row r="13091" spans="1:16">
      <x:c r="A13091" s="0" t="s">
        <x:v>49875</x:v>
      </x:c>
      <x:c r="B13091" s="0" t="s">
        <x:v>49876</x:v>
      </x:c>
      <x:c r="C13091" s="0" t="s">
        <x:v>42840</x:v>
      </x:c>
      <x:c r="E13091" s="0" t="s">
        <x:v>49877</x:v>
      </x:c>
      <x:c r="F13091" s="0" t="s">
        <x:v>45</x:v>
      </x:c>
      <x:c r="G13091" s="0" t="s">
        <x:v>35</x:v>
      </x:c>
      <x:c r="H13091" s="0" t="s">
        <x:v>20</x:v>
      </x:c>
      <x:c r="I13091" s="0" t="s">
        <x:v>21</x:v>
      </x:c>
      <x:c r="K13091" s="0">
        <x:f>hyperlink("https://icd.who.int/dev11/l-ichi/en#/http%3A%2F%2Fid.who.int%2Ficd%2Fentity%2F355147270","browser")</x:f>
      </x:c>
      <x:c r="L13091" s="0">
        <x:f>hyperlink("https://icat2.azurewebsites.net/icat/?ontology=ICD&amp;tab=ClassesTab&amp;id=http%3A%2F%2Fwho.int%2Ficd%233151_d9027f82_5e3d_47a4_a6fe_3c65954dde3a","iCat")</x:f>
      </x:c>
      <x:c r="M13091" s="0" t="s">
        <x:v>20</x:v>
      </x:c>
      <x:c r="N13091" s="0" t="s">
        <x:v>40</x:v>
      </x:c>
    </x:row>
    <x:row r="13092" spans="1:16">
      <x:c r="A13092" s="0" t="s">
        <x:v>49878</x:v>
      </x:c>
      <x:c r="B13092" s="0" t="s">
        <x:v>49879</x:v>
      </x:c>
      <x:c r="C13092" s="0" t="s">
        <x:v>42840</x:v>
      </x:c>
      <x:c r="E13092" s="0" t="s">
        <x:v>49880</x:v>
      </x:c>
      <x:c r="F13092" s="0" t="s">
        <x:v>45</x:v>
      </x:c>
      <x:c r="G13092" s="0" t="s">
        <x:v>22</x:v>
      </x:c>
      <x:c r="H13092" s="0" t="s">
        <x:v>20</x:v>
      </x:c>
      <x:c r="I13092" s="0" t="s">
        <x:v>21</x:v>
      </x:c>
      <x:c r="K13092" s="0">
        <x:f>hyperlink("https://icd.who.int/dev11/l-ichi/en#/http%3A%2F%2Fid.who.int%2Ficd%2Fentity%2F1611960661","browser")</x:f>
      </x:c>
      <x:c r="L13092" s="0">
        <x:f>hyperlink("https://icat2.azurewebsites.net/icat/?ontology=ICD&amp;tab=ClassesTab&amp;id=http%3A%2F%2Fwho.int%2Ficd%23SpecificAnatomicLocation_3367","iCat")</x:f>
      </x:c>
      <x:c r="M13092" s="0" t="s">
        <x:v>20</x:v>
      </x:c>
      <x:c r="N13092" s="0" t="s">
        <x:v>206</x:v>
      </x:c>
    </x:row>
    <x:row r="13093" spans="1:16">
      <x:c r="A13093" s="0" t="s">
        <x:v>49881</x:v>
      </x:c>
      <x:c r="B13093" s="0" t="s">
        <x:v>49882</x:v>
      </x:c>
      <x:c r="C13093" s="0" t="s">
        <x:v>42840</x:v>
      </x:c>
      <x:c r="E13093" s="0" t="s">
        <x:v>49883</x:v>
      </x:c>
      <x:c r="F13093" s="0" t="s">
        <x:v>45</x:v>
      </x:c>
      <x:c r="G13093" s="0" t="s">
        <x:v>40</x:v>
      </x:c>
      <x:c r="H13093" s="0" t="s">
        <x:v>20</x:v>
      </x:c>
      <x:c r="I13093" s="0" t="s">
        <x:v>21</x:v>
      </x:c>
      <x:c r="K13093" s="0">
        <x:f>hyperlink("https://icd.who.int/dev11/l-ichi/en#/http%3A%2F%2Fid.who.int%2Ficd%2Fentity%2F375058941","browser")</x:f>
      </x:c>
      <x:c r="L13093" s="0">
        <x:f>hyperlink("https://icat2.azurewebsites.net/icat/?ontology=ICD&amp;tab=ClassesTab&amp;id=http%3A%2F%2Fwho.int%2Ficd%23SpecificAnatomicLocation_3355","iCat")</x:f>
      </x:c>
      <x:c r="M13093" s="0" t="s">
        <x:v>21</x:v>
      </x:c>
      <x:c r="N13093" s="0" t="s">
        <x:v>46</x:v>
      </x:c>
    </x:row>
    <x:row r="13094" spans="1:16">
      <x:c r="A13094" s="0" t="s">
        <x:v>49884</x:v>
      </x:c>
      <x:c r="B13094" s="0" t="s">
        <x:v>49885</x:v>
      </x:c>
      <x:c r="C13094" s="0" t="s">
        <x:v>42840</x:v>
      </x:c>
      <x:c r="E13094" s="0" t="s">
        <x:v>49886</x:v>
      </x:c>
      <x:c r="F13094" s="0" t="s">
        <x:v>45</x:v>
      </x:c>
      <x:c r="G13094" s="0" t="s">
        <x:v>40</x:v>
      </x:c>
      <x:c r="H13094" s="0" t="s">
        <x:v>20</x:v>
      </x:c>
      <x:c r="I13094" s="0" t="s">
        <x:v>21</x:v>
      </x:c>
      <x:c r="K13094" s="0">
        <x:f>hyperlink("https://icd.who.int/dev11/l-ichi/en#/http%3A%2F%2Fid.who.int%2Ficd%2Fentity%2F24286525","browser")</x:f>
      </x:c>
      <x:c r="L13094" s="0">
        <x:f>hyperlink("https://icat2.azurewebsites.net/icat/?ontology=ICD&amp;tab=ClassesTab&amp;id=http%3A%2F%2Fwho.int%2Ficd%23SpecificAnatomicLocation_3354","iCat")</x:f>
      </x:c>
      <x:c r="M13094" s="0" t="s">
        <x:v>21</x:v>
      </x:c>
      <x:c r="N13094" s="0" t="s">
        <x:v>46</x:v>
      </x:c>
    </x:row>
    <x:row r="13095" spans="1:16">
      <x:c r="A13095" s="0" t="s">
        <x:v>49887</x:v>
      </x:c>
      <x:c r="B13095" s="0" t="s">
        <x:v>49888</x:v>
      </x:c>
      <x:c r="C13095" s="0" t="s">
        <x:v>42840</x:v>
      </x:c>
      <x:c r="E13095" s="0" t="s">
        <x:v>49889</x:v>
      </x:c>
      <x:c r="F13095" s="0" t="s">
        <x:v>45</x:v>
      </x:c>
      <x:c r="G13095" s="0" t="s">
        <x:v>40</x:v>
      </x:c>
      <x:c r="H13095" s="0" t="s">
        <x:v>20</x:v>
      </x:c>
      <x:c r="I13095" s="0" t="s">
        <x:v>21</x:v>
      </x:c>
      <x:c r="K13095" s="0">
        <x:f>hyperlink("https://icd.who.int/dev11/l-ichi/en#/http%3A%2F%2Fid.who.int%2Ficd%2Fentity%2F790781117","browser")</x:f>
      </x:c>
      <x:c r="L13095" s="0">
        <x:f>hyperlink("https://icat2.azurewebsites.net/icat/?ontology=ICD&amp;tab=ClassesTab&amp;id=http%3A%2F%2Fwho.int%2Ficd%23SpecificAnatomicLocation_3356","iCat")</x:f>
      </x:c>
      <x:c r="M13095" s="0" t="s">
        <x:v>21</x:v>
      </x:c>
      <x:c r="N13095" s="0" t="s">
        <x:v>46</x:v>
      </x:c>
    </x:row>
    <x:row r="13096" spans="1:16">
      <x:c r="A13096" s="0" t="s">
        <x:v>49890</x:v>
      </x:c>
      <x:c r="B13096" s="0" t="s">
        <x:v>49891</x:v>
      </x:c>
      <x:c r="C13096" s="0" t="s">
        <x:v>42840</x:v>
      </x:c>
      <x:c r="E13096" s="0" t="s">
        <x:v>49892</x:v>
      </x:c>
      <x:c r="F13096" s="0" t="s">
        <x:v>45</x:v>
      </x:c>
      <x:c r="G13096" s="0" t="s">
        <x:v>40</x:v>
      </x:c>
      <x:c r="H13096" s="0" t="s">
        <x:v>20</x:v>
      </x:c>
      <x:c r="I13096" s="0" t="s">
        <x:v>21</x:v>
      </x:c>
      <x:c r="K13096" s="0">
        <x:f>hyperlink("https://icd.who.int/dev11/l-ichi/en#/http%3A%2F%2Fid.who.int%2Ficd%2Fentity%2F940193917","browser")</x:f>
      </x:c>
      <x:c r="L13096" s="0">
        <x:f>hyperlink("https://icat2.azurewebsites.net/icat/?ontology=ICD&amp;tab=ClassesTab&amp;id=http%3A%2F%2Fwho.int%2Ficd%23SpecificAnatomicLocation_3357","iCat")</x:f>
      </x:c>
      <x:c r="M13096" s="0" t="s">
        <x:v>21</x:v>
      </x:c>
      <x:c r="N13096" s="0" t="s">
        <x:v>46</x:v>
      </x:c>
    </x:row>
    <x:row r="13097" spans="1:16">
      <x:c r="A13097" s="0" t="s">
        <x:v>49893</x:v>
      </x:c>
      <x:c r="B13097" s="0" t="s">
        <x:v>49894</x:v>
      </x:c>
      <x:c r="C13097" s="0" t="s">
        <x:v>42840</x:v>
      </x:c>
      <x:c r="E13097" s="0" t="s">
        <x:v>49895</x:v>
      </x:c>
      <x:c r="F13097" s="0" t="s">
        <x:v>45</x:v>
      </x:c>
      <x:c r="G13097" s="0" t="s">
        <x:v>40</x:v>
      </x:c>
      <x:c r="H13097" s="0" t="s">
        <x:v>20</x:v>
      </x:c>
      <x:c r="I13097" s="0" t="s">
        <x:v>21</x:v>
      </x:c>
      <x:c r="K13097" s="0">
        <x:f>hyperlink("https://icd.who.int/dev11/l-ichi/en#/http%3A%2F%2Fid.who.int%2Ficd%2Fentity%2F460316611","browser")</x:f>
      </x:c>
      <x:c r="L13097" s="0">
        <x:f>hyperlink("https://icat2.azurewebsites.net/icat/?ontology=ICD&amp;tab=ClassesTab&amp;id=http%3A%2F%2Fwho.int%2Ficd%23SpecificAnatomicLocation_3358","iCat")</x:f>
      </x:c>
      <x:c r="M13097" s="0" t="s">
        <x:v>21</x:v>
      </x:c>
      <x:c r="N13097" s="0" t="s">
        <x:v>46</x:v>
      </x:c>
    </x:row>
    <x:row r="13098" spans="1:16">
      <x:c r="A13098" s="0" t="s">
        <x:v>49896</x:v>
      </x:c>
      <x:c r="B13098" s="0" t="s">
        <x:v>49897</x:v>
      </x:c>
      <x:c r="C13098" s="0" t="s">
        <x:v>42840</x:v>
      </x:c>
      <x:c r="E13098" s="0" t="s">
        <x:v>49898</x:v>
      </x:c>
      <x:c r="F13098" s="0" t="s">
        <x:v>45</x:v>
      </x:c>
      <x:c r="G13098" s="0" t="s">
        <x:v>40</x:v>
      </x:c>
      <x:c r="H13098" s="0" t="s">
        <x:v>20</x:v>
      </x:c>
      <x:c r="I13098" s="0" t="s">
        <x:v>21</x:v>
      </x:c>
      <x:c r="K13098" s="0">
        <x:f>hyperlink("https://icd.who.int/dev11/l-ichi/en#/http%3A%2F%2Fid.who.int%2Ficd%2Fentity%2F206027523","browser")</x:f>
      </x:c>
      <x:c r="L13098" s="0">
        <x:f>hyperlink("https://icat2.azurewebsites.net/icat/?ontology=ICD&amp;tab=ClassesTab&amp;id=http%3A%2F%2Fwho.int%2Ficd%23SpecificAnatomicLocation_3359","iCat")</x:f>
      </x:c>
      <x:c r="M13098" s="0" t="s">
        <x:v>21</x:v>
      </x:c>
      <x:c r="N13098" s="0" t="s">
        <x:v>46</x:v>
      </x:c>
    </x:row>
    <x:row r="13099" spans="1:16">
      <x:c r="A13099" s="0" t="s">
        <x:v>49899</x:v>
      </x:c>
      <x:c r="B13099" s="0" t="s">
        <x:v>49900</x:v>
      </x:c>
      <x:c r="C13099" s="0" t="s">
        <x:v>42840</x:v>
      </x:c>
      <x:c r="E13099" s="0" t="s">
        <x:v>49901</x:v>
      </x:c>
      <x:c r="F13099" s="0" t="s">
        <x:v>45</x:v>
      </x:c>
      <x:c r="G13099" s="0" t="s">
        <x:v>22</x:v>
      </x:c>
      <x:c r="H13099" s="0" t="s">
        <x:v>20</x:v>
      </x:c>
      <x:c r="I13099" s="0" t="s">
        <x:v>21</x:v>
      </x:c>
      <x:c r="K13099" s="0">
        <x:f>hyperlink("https://icd.who.int/dev11/l-ichi/en#/http%3A%2F%2Fid.who.int%2Ficd%2Fentity%2F97365781","browser")</x:f>
      </x:c>
      <x:c r="L13099" s="0">
        <x:f>hyperlink("https://icat2.azurewebsites.net/icat/?ontology=ICD&amp;tab=ClassesTab&amp;id=http%3A%2F%2Fwho.int%2Ficd%23SpecificAnatomicLocation_3360","iCat")</x:f>
      </x:c>
      <x:c r="M13099" s="0" t="s">
        <x:v>21</x:v>
      </x:c>
      <x:c r="N13099" s="0" t="s">
        <x:v>46</x:v>
      </x:c>
    </x:row>
    <x:row r="13100" spans="1:16">
      <x:c r="A13100" s="0" t="s">
        <x:v>49902</x:v>
      </x:c>
      <x:c r="B13100" s="0" t="s">
        <x:v>49903</x:v>
      </x:c>
      <x:c r="C13100" s="0" t="s">
        <x:v>42840</x:v>
      </x:c>
      <x:c r="E13100" s="0" t="s">
        <x:v>49904</x:v>
      </x:c>
      <x:c r="F13100" s="0" t="s">
        <x:v>45</x:v>
      </x:c>
      <x:c r="G13100" s="0" t="s">
        <x:v>22</x:v>
      </x:c>
      <x:c r="H13100" s="0" t="s">
        <x:v>20</x:v>
      </x:c>
      <x:c r="I13100" s="0" t="s">
        <x:v>21</x:v>
      </x:c>
      <x:c r="K13100" s="0">
        <x:f>hyperlink("https://icd.who.int/dev11/l-ichi/en#/http%3A%2F%2Fid.who.int%2Ficd%2Fentity%2F317049813","browser")</x:f>
      </x:c>
      <x:c r="L13100" s="0">
        <x:f>hyperlink("https://icat2.azurewebsites.net/icat/?ontology=ICD&amp;tab=ClassesTab&amp;id=http%3A%2F%2Fwho.int%2Ficd%23SpecificAnatomicLocation_3361","iCat")</x:f>
      </x:c>
      <x:c r="M13100" s="0" t="s">
        <x:v>21</x:v>
      </x:c>
      <x:c r="N13100" s="0" t="s">
        <x:v>46</x:v>
      </x:c>
    </x:row>
    <x:row r="13101" spans="1:16">
      <x:c r="A13101" s="0" t="s">
        <x:v>49905</x:v>
      </x:c>
      <x:c r="B13101" s="0" t="s">
        <x:v>49906</x:v>
      </x:c>
      <x:c r="C13101" s="0" t="s">
        <x:v>42840</x:v>
      </x:c>
      <x:c r="E13101" s="0" t="s">
        <x:v>49907</x:v>
      </x:c>
      <x:c r="F13101" s="0" t="s">
        <x:v>45</x:v>
      </x:c>
      <x:c r="G13101" s="0" t="s">
        <x:v>22</x:v>
      </x:c>
      <x:c r="H13101" s="0" t="s">
        <x:v>20</x:v>
      </x:c>
      <x:c r="I13101" s="0" t="s">
        <x:v>21</x:v>
      </x:c>
      <x:c r="K13101" s="0">
        <x:f>hyperlink("https://icd.who.int/dev11/l-ichi/en#/http%3A%2F%2Fid.who.int%2Ficd%2Fentity%2F731735701","browser")</x:f>
      </x:c>
      <x:c r="L13101" s="0">
        <x:f>hyperlink("https://icat2.azurewebsites.net/icat/?ontology=ICD&amp;tab=ClassesTab&amp;id=http%3A%2F%2Fwho.int%2Ficd%23SpecificAnatomicLocation_3362","iCat")</x:f>
      </x:c>
      <x:c r="M13101" s="0" t="s">
        <x:v>20</x:v>
      </x:c>
      <x:c r="N13101" s="0" t="s">
        <x:v>40</x:v>
      </x:c>
    </x:row>
    <x:row r="13102" spans="1:16">
      <x:c r="A13102" s="0" t="s">
        <x:v>49908</x:v>
      </x:c>
      <x:c r="B13102" s="0" t="s">
        <x:v>49909</x:v>
      </x:c>
      <x:c r="C13102" s="0" t="s">
        <x:v>42840</x:v>
      </x:c>
      <x:c r="E13102" s="0" t="s">
        <x:v>49910</x:v>
      </x:c>
      <x:c r="F13102" s="0" t="s">
        <x:v>45</x:v>
      </x:c>
      <x:c r="G13102" s="0" t="s">
        <x:v>40</x:v>
      </x:c>
      <x:c r="H13102" s="0" t="s">
        <x:v>20</x:v>
      </x:c>
      <x:c r="I13102" s="0" t="s">
        <x:v>21</x:v>
      </x:c>
      <x:c r="K13102" s="0">
        <x:f>hyperlink("https://icd.who.int/dev11/l-ichi/en#/http%3A%2F%2Fid.who.int%2Ficd%2Fentity%2F207474987","browser")</x:f>
      </x:c>
      <x:c r="L13102" s="0">
        <x:f>hyperlink("https://icat2.azurewebsites.net/icat/?ontology=ICD&amp;tab=ClassesTab&amp;id=http%3A%2F%2Fwho.int%2Ficd%2311576_16e67c35_8b57_40bb_9220_818553425a8c","iCat")</x:f>
      </x:c>
      <x:c r="M13102" s="0" t="s">
        <x:v>21</x:v>
      </x:c>
      <x:c r="N13102" s="0" t="s">
        <x:v>46</x:v>
      </x:c>
    </x:row>
    <x:row r="13103" spans="1:16">
      <x:c r="A13103" s="0" t="s">
        <x:v>49911</x:v>
      </x:c>
      <x:c r="B13103" s="0" t="s">
        <x:v>49912</x:v>
      </x:c>
      <x:c r="C13103" s="0" t="s">
        <x:v>42840</x:v>
      </x:c>
      <x:c r="E13103" s="0" t="s">
        <x:v>49913</x:v>
      </x:c>
      <x:c r="F13103" s="0" t="s">
        <x:v>45</x:v>
      </x:c>
      <x:c r="G13103" s="0" t="s">
        <x:v>40</x:v>
      </x:c>
      <x:c r="H13103" s="0" t="s">
        <x:v>20</x:v>
      </x:c>
      <x:c r="I13103" s="0" t="s">
        <x:v>21</x:v>
      </x:c>
      <x:c r="K13103" s="0">
        <x:f>hyperlink("https://icd.who.int/dev11/l-ichi/en#/http%3A%2F%2Fid.who.int%2Ficd%2Fentity%2F217735515","browser")</x:f>
      </x:c>
      <x:c r="L13103" s="0">
        <x:f>hyperlink("https://icat2.azurewebsites.net/icat/?ontology=ICD&amp;tab=ClassesTab&amp;id=http%3A%2F%2Fwho.int%2Ficd%2311595_16e67c35_8b57_40bb_9220_818553425a8c","iCat")</x:f>
      </x:c>
      <x:c r="M13103" s="0" t="s">
        <x:v>21</x:v>
      </x:c>
      <x:c r="N13103" s="0" t="s">
        <x:v>46</x:v>
      </x:c>
    </x:row>
    <x:row r="13104" spans="1:16">
      <x:c r="A13104" s="0" t="s">
        <x:v>49914</x:v>
      </x:c>
      <x:c r="B13104" s="0" t="s">
        <x:v>49915</x:v>
      </x:c>
      <x:c r="C13104" s="0" t="s">
        <x:v>42840</x:v>
      </x:c>
      <x:c r="E13104" s="0" t="s">
        <x:v>49916</x:v>
      </x:c>
      <x:c r="F13104" s="0" t="s">
        <x:v>45</x:v>
      </x:c>
      <x:c r="G13104" s="0" t="s">
        <x:v>40</x:v>
      </x:c>
      <x:c r="H13104" s="0" t="s">
        <x:v>20</x:v>
      </x:c>
      <x:c r="I13104" s="0" t="s">
        <x:v>21</x:v>
      </x:c>
      <x:c r="K13104" s="0">
        <x:f>hyperlink("https://icd.who.int/dev11/l-ichi/en#/http%3A%2F%2Fid.who.int%2Ficd%2Fentity%2F1922337992","browser")</x:f>
      </x:c>
      <x:c r="L13104" s="0">
        <x:f>hyperlink("https://icat2.azurewebsites.net/icat/?ontology=ICD&amp;tab=ClassesTab&amp;id=http%3A%2F%2Fwho.int%2Ficd%2311615_16e67c35_8b57_40bb_9220_818553425a8c","iCat")</x:f>
      </x:c>
      <x:c r="M13104" s="0" t="s">
        <x:v>21</x:v>
      </x:c>
      <x:c r="N13104" s="0" t="s">
        <x:v>46</x:v>
      </x:c>
    </x:row>
    <x:row r="13105" spans="1:16">
      <x:c r="A13105" s="0" t="s">
        <x:v>49917</x:v>
      </x:c>
      <x:c r="B13105" s="0" t="s">
        <x:v>49918</x:v>
      </x:c>
      <x:c r="C13105" s="0" t="s">
        <x:v>42840</x:v>
      </x:c>
      <x:c r="E13105" s="0" t="s">
        <x:v>49919</x:v>
      </x:c>
      <x:c r="F13105" s="0" t="s">
        <x:v>45</x:v>
      </x:c>
      <x:c r="G13105" s="0" t="s">
        <x:v>40</x:v>
      </x:c>
      <x:c r="H13105" s="0" t="s">
        <x:v>20</x:v>
      </x:c>
      <x:c r="I13105" s="0" t="s">
        <x:v>21</x:v>
      </x:c>
      <x:c r="K13105" s="0">
        <x:f>hyperlink("https://icd.who.int/dev11/l-ichi/en#/http%3A%2F%2Fid.who.int%2Ficd%2Fentity%2F1491098006","browser")</x:f>
      </x:c>
      <x:c r="L13105" s="0">
        <x:f>hyperlink("https://icat2.azurewebsites.net/icat/?ontology=ICD&amp;tab=ClassesTab&amp;id=http%3A%2F%2Fwho.int%2Ficd%2311635_16e67c35_8b57_40bb_9220_818553425a8c","iCat")</x:f>
      </x:c>
      <x:c r="M13105" s="0" t="s">
        <x:v>21</x:v>
      </x:c>
      <x:c r="N13105" s="0" t="s">
        <x:v>46</x:v>
      </x:c>
    </x:row>
    <x:row r="13106" spans="1:16">
      <x:c r="A13106" s="0" t="s">
        <x:v>49920</x:v>
      </x:c>
      <x:c r="B13106" s="0" t="s">
        <x:v>49921</x:v>
      </x:c>
      <x:c r="C13106" s="0" t="s">
        <x:v>42840</x:v>
      </x:c>
      <x:c r="E13106" s="0" t="s">
        <x:v>49922</x:v>
      </x:c>
      <x:c r="F13106" s="0" t="s">
        <x:v>45</x:v>
      </x:c>
      <x:c r="G13106" s="0" t="s">
        <x:v>40</x:v>
      </x:c>
      <x:c r="H13106" s="0" t="s">
        <x:v>20</x:v>
      </x:c>
      <x:c r="I13106" s="0" t="s">
        <x:v>21</x:v>
      </x:c>
      <x:c r="K13106" s="0">
        <x:f>hyperlink("https://icd.who.int/dev11/l-ichi/en#/http%3A%2F%2Fid.who.int%2Ficd%2Fentity%2F571125223","browser")</x:f>
      </x:c>
      <x:c r="L13106" s="0">
        <x:f>hyperlink("https://icat2.azurewebsites.net/icat/?ontology=ICD&amp;tab=ClassesTab&amp;id=http%3A%2F%2Fwho.int%2Ficd%2311654_16e67c35_8b57_40bb_9220_818553425a8c","iCat")</x:f>
      </x:c>
      <x:c r="M13106" s="0" t="s">
        <x:v>21</x:v>
      </x:c>
      <x:c r="N13106" s="0" t="s">
        <x:v>46</x:v>
      </x:c>
    </x:row>
    <x:row r="13107" spans="1:16">
      <x:c r="A13107" s="0" t="s">
        <x:v>49923</x:v>
      </x:c>
      <x:c r="B13107" s="0" t="s">
        <x:v>49924</x:v>
      </x:c>
      <x:c r="C13107" s="0" t="s">
        <x:v>42840</x:v>
      </x:c>
      <x:c r="E13107" s="0" t="s">
        <x:v>49925</x:v>
      </x:c>
      <x:c r="F13107" s="0" t="s">
        <x:v>45</x:v>
      </x:c>
      <x:c r="G13107" s="0" t="s">
        <x:v>22</x:v>
      </x:c>
      <x:c r="H13107" s="0" t="s">
        <x:v>20</x:v>
      </x:c>
      <x:c r="I13107" s="0" t="s">
        <x:v>21</x:v>
      </x:c>
      <x:c r="K13107" s="0">
        <x:f>hyperlink("https://icd.who.int/dev11/l-ichi/en#/http%3A%2F%2Fid.who.int%2Ficd%2Fentity%2F1313102037","browser")</x:f>
      </x:c>
      <x:c r="L13107" s="0">
        <x:f>hyperlink("https://icat2.azurewebsites.net/icat/?ontology=ICD&amp;tab=ClassesTab&amp;id=http%3A%2F%2Fwho.int%2Ficd%23SpecificAnatomicLocation_3365","iCat")</x:f>
      </x:c>
      <x:c r="M13107" s="0" t="s">
        <x:v>20</x:v>
      </x:c>
      <x:c r="N13107" s="0" t="s">
        <x:v>35</x:v>
      </x:c>
    </x:row>
    <x:row r="13108" spans="1:16">
      <x:c r="A13108" s="0" t="s">
        <x:v>49926</x:v>
      </x:c>
      <x:c r="B13108" s="0" t="s">
        <x:v>49927</x:v>
      </x:c>
      <x:c r="C13108" s="0" t="s">
        <x:v>42840</x:v>
      </x:c>
      <x:c r="E13108" s="0" t="s">
        <x:v>49928</x:v>
      </x:c>
      <x:c r="F13108" s="0" t="s">
        <x:v>45</x:v>
      </x:c>
      <x:c r="G13108" s="0" t="s">
        <x:v>40</x:v>
      </x:c>
      <x:c r="H13108" s="0" t="s">
        <x:v>20</x:v>
      </x:c>
      <x:c r="I13108" s="0" t="s">
        <x:v>21</x:v>
      </x:c>
      <x:c r="K13108" s="0">
        <x:f>hyperlink("https://icd.who.int/dev11/l-ichi/en#/http%3A%2F%2Fid.who.int%2Ficd%2Fentity%2F679938699","browser")</x:f>
      </x:c>
      <x:c r="L13108" s="0">
        <x:f>hyperlink("https://icat2.azurewebsites.net/icat/?ontology=ICD&amp;tab=ClassesTab&amp;id=http%3A%2F%2Fwho.int%2Ficd%2311675_16e67c35_8b57_40bb_9220_818553425a8c","iCat")</x:f>
      </x:c>
      <x:c r="M13108" s="0" t="s">
        <x:v>21</x:v>
      </x:c>
      <x:c r="N13108" s="0" t="s">
        <x:v>46</x:v>
      </x:c>
    </x:row>
    <x:row r="13109" spans="1:16">
      <x:c r="A13109" s="0" t="s">
        <x:v>49929</x:v>
      </x:c>
      <x:c r="B13109" s="0" t="s">
        <x:v>49930</x:v>
      </x:c>
      <x:c r="C13109" s="0" t="s">
        <x:v>42840</x:v>
      </x:c>
      <x:c r="E13109" s="0" t="s">
        <x:v>49931</x:v>
      </x:c>
      <x:c r="F13109" s="0" t="s">
        <x:v>45</x:v>
      </x:c>
      <x:c r="G13109" s="0" t="s">
        <x:v>40</x:v>
      </x:c>
      <x:c r="H13109" s="0" t="s">
        <x:v>20</x:v>
      </x:c>
      <x:c r="I13109" s="0" t="s">
        <x:v>21</x:v>
      </x:c>
      <x:c r="K13109" s="0">
        <x:f>hyperlink("https://icd.who.int/dev11/l-ichi/en#/http%3A%2F%2Fid.who.int%2Ficd%2Fentity%2F1018495573","browser")</x:f>
      </x:c>
      <x:c r="L13109" s="0">
        <x:f>hyperlink("https://icat2.azurewebsites.net/icat/?ontology=ICD&amp;tab=ClassesTab&amp;id=http%3A%2F%2Fwho.int%2Ficd%23SpecificAnatomicLocation_3363","iCat")</x:f>
      </x:c>
      <x:c r="M13109" s="0" t="s">
        <x:v>20</x:v>
      </x:c>
      <x:c r="N13109" s="0" t="s">
        <x:v>22</x:v>
      </x:c>
    </x:row>
    <x:row r="13110" spans="1:16">
      <x:c r="A13110" s="0" t="s">
        <x:v>49932</x:v>
      </x:c>
      <x:c r="B13110" s="0" t="s">
        <x:v>49933</x:v>
      </x:c>
      <x:c r="C13110" s="0" t="s">
        <x:v>42840</x:v>
      </x:c>
      <x:c r="E13110" s="0" t="s">
        <x:v>49934</x:v>
      </x:c>
      <x:c r="F13110" s="0" t="s">
        <x:v>45</x:v>
      </x:c>
      <x:c r="G13110" s="0" t="s">
        <x:v>206</x:v>
      </x:c>
      <x:c r="H13110" s="0" t="s">
        <x:v>20</x:v>
      </x:c>
      <x:c r="I13110" s="0" t="s">
        <x:v>21</x:v>
      </x:c>
      <x:c r="K13110" s="0">
        <x:f>hyperlink("https://icd.who.int/dev11/l-ichi/en#/http%3A%2F%2Fid.who.int%2Ficd%2Fentity%2F148490439","browser")</x:f>
      </x:c>
      <x:c r="L13110" s="0">
        <x:f>hyperlink("https://icat2.azurewebsites.net/icat/?ontology=ICD&amp;tab=ClassesTab&amp;id=http%3A%2F%2Fwho.int%2Ficd%2311697_16e67c35_8b57_40bb_9220_818553425a8c","iCat")</x:f>
      </x:c>
      <x:c r="M13110" s="0" t="s">
        <x:v>21</x:v>
      </x:c>
      <x:c r="N13110" s="0" t="s">
        <x:v>46</x:v>
      </x:c>
    </x:row>
    <x:row r="13111" spans="1:16">
      <x:c r="A13111" s="0" t="s">
        <x:v>49935</x:v>
      </x:c>
      <x:c r="B13111" s="0" t="s">
        <x:v>49936</x:v>
      </x:c>
      <x:c r="C13111" s="0" t="s">
        <x:v>42840</x:v>
      </x:c>
      <x:c r="E13111" s="0" t="s">
        <x:v>49937</x:v>
      </x:c>
      <x:c r="F13111" s="0" t="s">
        <x:v>45</x:v>
      </x:c>
      <x:c r="G13111" s="0" t="s">
        <x:v>206</x:v>
      </x:c>
      <x:c r="H13111" s="0" t="s">
        <x:v>20</x:v>
      </x:c>
      <x:c r="I13111" s="0" t="s">
        <x:v>21</x:v>
      </x:c>
      <x:c r="K13111" s="0">
        <x:f>hyperlink("https://icd.who.int/dev11/l-ichi/en#/http%3A%2F%2Fid.who.int%2Ficd%2Fentity%2F1116612002","browser")</x:f>
      </x:c>
      <x:c r="L13111" s="0">
        <x:f>hyperlink("https://icat2.azurewebsites.net/icat/?ontology=ICD&amp;tab=ClassesTab&amp;id=http%3A%2F%2Fwho.int%2Ficd%2311716_16e67c35_8b57_40bb_9220_818553425a8c","iCat")</x:f>
      </x:c>
      <x:c r="M13111" s="0" t="s">
        <x:v>21</x:v>
      </x:c>
      <x:c r="N13111" s="0" t="s">
        <x:v>46</x:v>
      </x:c>
    </x:row>
    <x:row r="13112" spans="1:16">
      <x:c r="A13112" s="0" t="s">
        <x:v>49938</x:v>
      </x:c>
      <x:c r="B13112" s="0" t="s">
        <x:v>49939</x:v>
      </x:c>
      <x:c r="C13112" s="0" t="s">
        <x:v>42840</x:v>
      </x:c>
      <x:c r="E13112" s="0" t="s">
        <x:v>49940</x:v>
      </x:c>
      <x:c r="F13112" s="0" t="s">
        <x:v>45</x:v>
      </x:c>
      <x:c r="G13112" s="0" t="s">
        <x:v>206</x:v>
      </x:c>
      <x:c r="H13112" s="0" t="s">
        <x:v>20</x:v>
      </x:c>
      <x:c r="I13112" s="0" t="s">
        <x:v>21</x:v>
      </x:c>
      <x:c r="K13112" s="0">
        <x:f>hyperlink("https://icd.who.int/dev11/l-ichi/en#/http%3A%2F%2Fid.who.int%2Ficd%2Fentity%2F763338507","browser")</x:f>
      </x:c>
      <x:c r="L13112" s="0">
        <x:f>hyperlink("https://icat2.azurewebsites.net/icat/?ontology=ICD&amp;tab=ClassesTab&amp;id=http%3A%2F%2Fwho.int%2Ficd%2311735_16e67c35_8b57_40bb_9220_818553425a8c","iCat")</x:f>
      </x:c>
      <x:c r="M13112" s="0" t="s">
        <x:v>21</x:v>
      </x:c>
      <x:c r="N13112" s="0" t="s">
        <x:v>46</x:v>
      </x:c>
    </x:row>
    <x:row r="13113" spans="1:16">
      <x:c r="A13113" s="0" t="s">
        <x:v>49941</x:v>
      </x:c>
      <x:c r="B13113" s="0" t="s">
        <x:v>49942</x:v>
      </x:c>
      <x:c r="C13113" s="0" t="s">
        <x:v>42840</x:v>
      </x:c>
      <x:c r="E13113" s="0" t="s">
        <x:v>49943</x:v>
      </x:c>
      <x:c r="F13113" s="0" t="s">
        <x:v>45</x:v>
      </x:c>
      <x:c r="G13113" s="0" t="s">
        <x:v>206</x:v>
      </x:c>
      <x:c r="H13113" s="0" t="s">
        <x:v>20</x:v>
      </x:c>
      <x:c r="I13113" s="0" t="s">
        <x:v>21</x:v>
      </x:c>
      <x:c r="K13113" s="0">
        <x:f>hyperlink("https://icd.who.int/dev11/l-ichi/en#/http%3A%2F%2Fid.who.int%2Ficd%2Fentity%2F1469410170","browser")</x:f>
      </x:c>
      <x:c r="L13113" s="0">
        <x:f>hyperlink("https://icat2.azurewebsites.net/icat/?ontology=ICD&amp;tab=ClassesTab&amp;id=http%3A%2F%2Fwho.int%2Ficd%2311754_16e67c35_8b57_40bb_9220_818553425a8c","iCat")</x:f>
      </x:c>
      <x:c r="M13113" s="0" t="s">
        <x:v>21</x:v>
      </x:c>
      <x:c r="N13113" s="0" t="s">
        <x:v>46</x:v>
      </x:c>
    </x:row>
    <x:row r="13114" spans="1:16">
      <x:c r="A13114" s="0" t="s">
        <x:v>49944</x:v>
      </x:c>
      <x:c r="B13114" s="0" t="s">
        <x:v>49945</x:v>
      </x:c>
      <x:c r="C13114" s="0" t="s">
        <x:v>42840</x:v>
      </x:c>
      <x:c r="E13114" s="0" t="s">
        <x:v>49946</x:v>
      </x:c>
      <x:c r="F13114" s="0" t="s">
        <x:v>45</x:v>
      </x:c>
      <x:c r="G13114" s="0" t="s">
        <x:v>40</x:v>
      </x:c>
      <x:c r="H13114" s="0" t="s">
        <x:v>20</x:v>
      </x:c>
      <x:c r="I13114" s="0" t="s">
        <x:v>21</x:v>
      </x:c>
      <x:c r="K13114" s="0">
        <x:f>hyperlink("https://icd.who.int/dev11/l-ichi/en#/http%3A%2F%2Fid.who.int%2Ficd%2Fentity%2F1500265493","browser")</x:f>
      </x:c>
      <x:c r="L13114" s="0">
        <x:f>hyperlink("https://icat2.azurewebsites.net/icat/?ontology=ICD&amp;tab=ClassesTab&amp;id=http%3A%2F%2Fwho.int%2Ficd%23SpecificAnatomicLocation_3364","iCat")</x:f>
      </x:c>
      <x:c r="M13114" s="0" t="s">
        <x:v>20</x:v>
      </x:c>
      <x:c r="N13114" s="0" t="s">
        <x:v>22</x:v>
      </x:c>
    </x:row>
    <x:row r="13115" spans="1:16">
      <x:c r="A13115" s="0" t="s">
        <x:v>49947</x:v>
      </x:c>
      <x:c r="B13115" s="0" t="s">
        <x:v>49948</x:v>
      </x:c>
      <x:c r="C13115" s="0" t="s">
        <x:v>42840</x:v>
      </x:c>
      <x:c r="E13115" s="0" t="s">
        <x:v>49949</x:v>
      </x:c>
      <x:c r="F13115" s="0" t="s">
        <x:v>45</x:v>
      </x:c>
      <x:c r="G13115" s="0" t="s">
        <x:v>206</x:v>
      </x:c>
      <x:c r="H13115" s="0" t="s">
        <x:v>20</x:v>
      </x:c>
      <x:c r="I13115" s="0" t="s">
        <x:v>21</x:v>
      </x:c>
      <x:c r="K13115" s="0">
        <x:f>hyperlink("https://icd.who.int/dev11/l-ichi/en#/http%3A%2F%2Fid.who.int%2Ficd%2Fentity%2F224597415","browser")</x:f>
      </x:c>
      <x:c r="L13115" s="0">
        <x:f>hyperlink("https://icat2.azurewebsites.net/icat/?ontology=ICD&amp;tab=ClassesTab&amp;id=http%3A%2F%2Fwho.int%2Ficd%2311773_16e67c35_8b57_40bb_9220_818553425a8c","iCat")</x:f>
      </x:c>
      <x:c r="M13115" s="0" t="s">
        <x:v>21</x:v>
      </x:c>
      <x:c r="N13115" s="0" t="s">
        <x:v>46</x:v>
      </x:c>
    </x:row>
    <x:row r="13116" spans="1:16">
      <x:c r="A13116" s="0" t="s">
        <x:v>49950</x:v>
      </x:c>
      <x:c r="B13116" s="0" t="s">
        <x:v>49951</x:v>
      </x:c>
      <x:c r="C13116" s="0" t="s">
        <x:v>42840</x:v>
      </x:c>
      <x:c r="E13116" s="0" t="s">
        <x:v>49952</x:v>
      </x:c>
      <x:c r="F13116" s="0" t="s">
        <x:v>45</x:v>
      </x:c>
      <x:c r="G13116" s="0" t="s">
        <x:v>206</x:v>
      </x:c>
      <x:c r="H13116" s="0" t="s">
        <x:v>20</x:v>
      </x:c>
      <x:c r="I13116" s="0" t="s">
        <x:v>21</x:v>
      </x:c>
      <x:c r="K13116" s="0">
        <x:f>hyperlink("https://icd.who.int/dev11/l-ichi/en#/http%3A%2F%2Fid.who.int%2Ficd%2Fentity%2F1756936210","browser")</x:f>
      </x:c>
      <x:c r="L13116" s="0">
        <x:f>hyperlink("https://icat2.azurewebsites.net/icat/?ontology=ICD&amp;tab=ClassesTab&amp;id=http%3A%2F%2Fwho.int%2Ficd%2311792_16e67c35_8b57_40bb_9220_818553425a8c","iCat")</x:f>
      </x:c>
      <x:c r="M13116" s="0" t="s">
        <x:v>21</x:v>
      </x:c>
      <x:c r="N13116" s="0" t="s">
        <x:v>46</x:v>
      </x:c>
    </x:row>
    <x:row r="13117" spans="1:16">
      <x:c r="A13117" s="0" t="s">
        <x:v>49953</x:v>
      </x:c>
      <x:c r="B13117" s="0" t="s">
        <x:v>49954</x:v>
      </x:c>
      <x:c r="C13117" s="0" t="s">
        <x:v>42840</x:v>
      </x:c>
      <x:c r="E13117" s="0" t="s">
        <x:v>49955</x:v>
      </x:c>
      <x:c r="F13117" s="0" t="s">
        <x:v>45</x:v>
      </x:c>
      <x:c r="G13117" s="0" t="s">
        <x:v>206</x:v>
      </x:c>
      <x:c r="H13117" s="0" t="s">
        <x:v>20</x:v>
      </x:c>
      <x:c r="I13117" s="0" t="s">
        <x:v>21</x:v>
      </x:c>
      <x:c r="K13117" s="0">
        <x:f>hyperlink("https://icd.who.int/dev11/l-ichi/en#/http%3A%2F%2Fid.who.int%2Ficd%2Fentity%2F1145118249","browser")</x:f>
      </x:c>
      <x:c r="L13117" s="0">
        <x:f>hyperlink("https://icat2.azurewebsites.net/icat/?ontology=ICD&amp;tab=ClassesTab&amp;id=http%3A%2F%2Fwho.int%2Ficd%2311811_16e67c35_8b57_40bb_9220_818553425a8c","iCat")</x:f>
      </x:c>
      <x:c r="M13117" s="0" t="s">
        <x:v>21</x:v>
      </x:c>
      <x:c r="N13117" s="0" t="s">
        <x:v>46</x:v>
      </x:c>
    </x:row>
    <x:row r="13118" spans="1:16">
      <x:c r="A13118" s="0" t="s">
        <x:v>49956</x:v>
      </x:c>
      <x:c r="B13118" s="0" t="s">
        <x:v>49957</x:v>
      </x:c>
      <x:c r="C13118" s="0" t="s">
        <x:v>42840</x:v>
      </x:c>
      <x:c r="E13118" s="0" t="s">
        <x:v>49958</x:v>
      </x:c>
      <x:c r="F13118" s="0" t="s">
        <x:v>45</x:v>
      </x:c>
      <x:c r="G13118" s="0" t="s">
        <x:v>206</x:v>
      </x:c>
      <x:c r="H13118" s="0" t="s">
        <x:v>20</x:v>
      </x:c>
      <x:c r="I13118" s="0" t="s">
        <x:v>21</x:v>
      </x:c>
      <x:c r="K13118" s="0">
        <x:f>hyperlink("https://icd.who.int/dev11/l-ichi/en#/http%3A%2F%2Fid.who.int%2Ficd%2Fentity%2F1322039621","browser")</x:f>
      </x:c>
      <x:c r="L13118" s="0">
        <x:f>hyperlink("https://icat2.azurewebsites.net/icat/?ontology=ICD&amp;tab=ClassesTab&amp;id=http%3A%2F%2Fwho.int%2Ficd%2311830_16e67c35_8b57_40bb_9220_818553425a8c","iCat")</x:f>
      </x:c>
      <x:c r="M13118" s="0" t="s">
        <x:v>21</x:v>
      </x:c>
      <x:c r="N13118" s="0" t="s">
        <x:v>46</x:v>
      </x:c>
    </x:row>
    <x:row r="13119" spans="1:16">
      <x:c r="A13119" s="0" t="s">
        <x:v>49959</x:v>
      </x:c>
      <x:c r="B13119" s="0" t="s">
        <x:v>49960</x:v>
      </x:c>
      <x:c r="C13119" s="0" t="s">
        <x:v>42840</x:v>
      </x:c>
      <x:c r="E13119" s="0" t="s">
        <x:v>49961</x:v>
      </x:c>
      <x:c r="F13119" s="0" t="s">
        <x:v>45</x:v>
      </x:c>
      <x:c r="G13119" s="0" t="s">
        <x:v>30</x:v>
      </x:c>
      <x:c r="H13119" s="0" t="s">
        <x:v>20</x:v>
      </x:c>
      <x:c r="I13119" s="0" t="s">
        <x:v>21</x:v>
      </x:c>
      <x:c r="K13119" s="0">
        <x:f>hyperlink("https://icd.who.int/dev11/l-ichi/en#/http%3A%2F%2Fid.who.int%2Ficd%2Fentity%2F1281516466","browser")</x:f>
      </x:c>
      <x:c r="L13119" s="0">
        <x:f>hyperlink("https://icat2.azurewebsites.net/icat/?ontology=ICD&amp;tab=ClassesTab&amp;id=http%3A%2F%2Fwho.int%2Ficd%2311491_16e67c35_8b57_40bb_9220_818553425a8c","iCat")</x:f>
      </x:c>
      <x:c r="M13119" s="0" t="s">
        <x:v>20</x:v>
      </x:c>
      <x:c r="N13119" s="0" t="s">
        <x:v>35</x:v>
      </x:c>
    </x:row>
    <x:row r="13120" spans="1:16">
      <x:c r="A13120" s="0" t="s">
        <x:v>49962</x:v>
      </x:c>
      <x:c r="B13120" s="0" t="s">
        <x:v>49963</x:v>
      </x:c>
      <x:c r="C13120" s="0" t="s">
        <x:v>42840</x:v>
      </x:c>
      <x:c r="E13120" s="0" t="s">
        <x:v>49964</x:v>
      </x:c>
      <x:c r="F13120" s="0" t="s">
        <x:v>45</x:v>
      </x:c>
      <x:c r="G13120" s="0" t="s">
        <x:v>35</x:v>
      </x:c>
      <x:c r="H13120" s="0" t="s">
        <x:v>20</x:v>
      </x:c>
      <x:c r="I13120" s="0" t="s">
        <x:v>21</x:v>
      </x:c>
      <x:c r="K13120" s="0">
        <x:f>hyperlink("https://icd.who.int/dev11/l-ichi/en#/http%3A%2F%2Fid.who.int%2Ficd%2Fentity%2F1921980626","browser")</x:f>
      </x:c>
      <x:c r="L13120" s="0">
        <x:f>hyperlink("https://icat2.azurewebsites.net/icat/?ontology=ICD&amp;tab=ClassesTab&amp;id=http%3A%2F%2Fwho.int%2Ficd%23SpecificAnatomicLocation_3423","iCat")</x:f>
      </x:c>
      <x:c r="M13120" s="0" t="s">
        <x:v>20</x:v>
      </x:c>
      <x:c r="N13120" s="0" t="s">
        <x:v>431</x:v>
      </x:c>
    </x:row>
    <x:row r="13121" spans="1:16">
      <x:c r="A13121" s="0" t="s">
        <x:v>49965</x:v>
      </x:c>
      <x:c r="B13121" s="0" t="s">
        <x:v>49966</x:v>
      </x:c>
      <x:c r="C13121" s="0" t="s">
        <x:v>42840</x:v>
      </x:c>
      <x:c r="E13121" s="0" t="s">
        <x:v>49967</x:v>
      </x:c>
      <x:c r="F13121" s="0" t="s">
        <x:v>45</x:v>
      </x:c>
      <x:c r="G13121" s="0" t="s">
        <x:v>22</x:v>
      </x:c>
      <x:c r="H13121" s="0" t="s">
        <x:v>20</x:v>
      </x:c>
      <x:c r="I13121" s="0" t="s">
        <x:v>21</x:v>
      </x:c>
      <x:c r="K13121" s="0">
        <x:f>hyperlink("https://icd.who.int/dev11/l-ichi/en#/http%3A%2F%2Fid.who.int%2Ficd%2Fentity%2F1131509483","browser")</x:f>
      </x:c>
      <x:c r="L13121" s="0">
        <x:f>hyperlink("https://icat2.azurewebsites.net/icat/?ontology=ICD&amp;tab=ClassesTab&amp;id=http%3A%2F%2Fwho.int%2Ficd%23SpecificAnatomicLocation_3368","iCat")</x:f>
      </x:c>
      <x:c r="M13121" s="0" t="s">
        <x:v>21</x:v>
      </x:c>
      <x:c r="N13121" s="0" t="s">
        <x:v>46</x:v>
      </x:c>
    </x:row>
    <x:row r="13122" spans="1:16">
      <x:c r="A13122" s="0" t="s">
        <x:v>49968</x:v>
      </x:c>
      <x:c r="B13122" s="0" t="s">
        <x:v>49969</x:v>
      </x:c>
      <x:c r="C13122" s="0" t="s">
        <x:v>42840</x:v>
      </x:c>
      <x:c r="E13122" s="0" t="s">
        <x:v>49970</x:v>
      </x:c>
      <x:c r="F13122" s="0" t="s">
        <x:v>45</x:v>
      </x:c>
      <x:c r="G13122" s="0" t="s">
        <x:v>22</x:v>
      </x:c>
      <x:c r="H13122" s="0" t="s">
        <x:v>20</x:v>
      </x:c>
      <x:c r="I13122" s="0" t="s">
        <x:v>21</x:v>
      </x:c>
      <x:c r="K13122" s="0">
        <x:f>hyperlink("https://icd.who.int/dev11/l-ichi/en#/http%3A%2F%2Fid.who.int%2Ficd%2Fentity%2F334044346","browser")</x:f>
      </x:c>
      <x:c r="L13122" s="0">
        <x:f>hyperlink("https://icat2.azurewebsites.net/icat/?ontology=ICD&amp;tab=ClassesTab&amp;id=http%3A%2F%2Fwho.int%2Ficd%23SpecificAnatomicLocation_3410","iCat")</x:f>
      </x:c>
      <x:c r="M13122" s="0" t="s">
        <x:v>21</x:v>
      </x:c>
      <x:c r="N13122" s="0" t="s">
        <x:v>46</x:v>
      </x:c>
    </x:row>
    <x:row r="13123" spans="1:16">
      <x:c r="A13123" s="0" t="s">
        <x:v>49971</x:v>
      </x:c>
      <x:c r="B13123" s="0" t="s">
        <x:v>49972</x:v>
      </x:c>
      <x:c r="C13123" s="0" t="s">
        <x:v>42840</x:v>
      </x:c>
      <x:c r="E13123" s="0" t="s">
        <x:v>49973</x:v>
      </x:c>
      <x:c r="F13123" s="0" t="s">
        <x:v>45</x:v>
      </x:c>
      <x:c r="G13123" s="0" t="s">
        <x:v>22</x:v>
      </x:c>
      <x:c r="H13123" s="0" t="s">
        <x:v>20</x:v>
      </x:c>
      <x:c r="I13123" s="0" t="s">
        <x:v>21</x:v>
      </x:c>
      <x:c r="K13123" s="0">
        <x:f>hyperlink("https://icd.who.int/dev11/l-ichi/en#/http%3A%2F%2Fid.who.int%2Ficd%2Fentity%2F666281676","browser")</x:f>
      </x:c>
      <x:c r="L13123" s="0">
        <x:f>hyperlink("https://icat2.azurewebsites.net/icat/?ontology=ICD&amp;tab=ClassesTab&amp;id=http%3A%2F%2Fwho.int%2Ficd%23SpecificAnatomicLocation_3374","iCat")</x:f>
      </x:c>
      <x:c r="M13123" s="0" t="s">
        <x:v>21</x:v>
      </x:c>
      <x:c r="N13123" s="0" t="s">
        <x:v>46</x:v>
      </x:c>
    </x:row>
    <x:row r="13124" spans="1:16">
      <x:c r="A13124" s="0" t="s">
        <x:v>49974</x:v>
      </x:c>
      <x:c r="B13124" s="0" t="s">
        <x:v>49975</x:v>
      </x:c>
      <x:c r="C13124" s="0" t="s">
        <x:v>42840</x:v>
      </x:c>
      <x:c r="E13124" s="0" t="s">
        <x:v>49976</x:v>
      </x:c>
      <x:c r="F13124" s="0" t="s">
        <x:v>45</x:v>
      </x:c>
      <x:c r="G13124" s="0" t="s">
        <x:v>22</x:v>
      </x:c>
      <x:c r="H13124" s="0" t="s">
        <x:v>20</x:v>
      </x:c>
      <x:c r="I13124" s="0" t="s">
        <x:v>21</x:v>
      </x:c>
      <x:c r="K13124" s="0">
        <x:f>hyperlink("https://icd.who.int/dev11/l-ichi/en#/http%3A%2F%2Fid.who.int%2Ficd%2Fentity%2F1415123499","browser")</x:f>
      </x:c>
      <x:c r="L13124" s="0">
        <x:f>hyperlink("https://icat2.azurewebsites.net/icat/?ontology=ICD&amp;tab=ClassesTab&amp;id=http%3A%2F%2Fwho.int%2Ficd%23SpecificAnatomicLocation_3369","iCat")</x:f>
      </x:c>
      <x:c r="M13124" s="0" t="s">
        <x:v>21</x:v>
      </x:c>
      <x:c r="N13124" s="0" t="s">
        <x:v>46</x:v>
      </x:c>
    </x:row>
    <x:row r="13125" spans="1:16">
      <x:c r="A13125" s="0" t="s">
        <x:v>49977</x:v>
      </x:c>
      <x:c r="B13125" s="0" t="s">
        <x:v>49978</x:v>
      </x:c>
      <x:c r="C13125" s="0" t="s">
        <x:v>42840</x:v>
      </x:c>
      <x:c r="E13125" s="0" t="s">
        <x:v>49979</x:v>
      </x:c>
      <x:c r="F13125" s="0" t="s">
        <x:v>45</x:v>
      </x:c>
      <x:c r="G13125" s="0" t="s">
        <x:v>22</x:v>
      </x:c>
      <x:c r="H13125" s="0" t="s">
        <x:v>20</x:v>
      </x:c>
      <x:c r="I13125" s="0" t="s">
        <x:v>21</x:v>
      </x:c>
      <x:c r="K13125" s="0">
        <x:f>hyperlink("https://icd.who.int/dev11/l-ichi/en#/http%3A%2F%2Fid.who.int%2Ficd%2Fentity%2F1816088844","browser")</x:f>
      </x:c>
      <x:c r="L13125" s="0">
        <x:f>hyperlink("https://icat2.azurewebsites.net/icat/?ontology=ICD&amp;tab=ClassesTab&amp;id=http%3A%2F%2Fwho.int%2Ficd%23SpecificAnatomicLocation_3371","iCat")</x:f>
      </x:c>
      <x:c r="M13125" s="0" t="s">
        <x:v>21</x:v>
      </x:c>
      <x:c r="N13125" s="0" t="s">
        <x:v>46</x:v>
      </x:c>
    </x:row>
    <x:row r="13126" spans="1:16">
      <x:c r="A13126" s="0" t="s">
        <x:v>49980</x:v>
      </x:c>
      <x:c r="B13126" s="0" t="s">
        <x:v>49981</x:v>
      </x:c>
      <x:c r="C13126" s="0" t="s">
        <x:v>42840</x:v>
      </x:c>
      <x:c r="E13126" s="0" t="s">
        <x:v>49982</x:v>
      </x:c>
      <x:c r="F13126" s="0" t="s">
        <x:v>45</x:v>
      </x:c>
      <x:c r="G13126" s="0" t="s">
        <x:v>22</x:v>
      </x:c>
      <x:c r="H13126" s="0" t="s">
        <x:v>20</x:v>
      </x:c>
      <x:c r="I13126" s="0" t="s">
        <x:v>21</x:v>
      </x:c>
      <x:c r="K13126" s="0">
        <x:f>hyperlink("https://icd.who.int/dev11/l-ichi/en#/http%3A%2F%2Fid.who.int%2Ficd%2Fentity%2F2065118668","browser")</x:f>
      </x:c>
      <x:c r="L13126" s="0">
        <x:f>hyperlink("https://icat2.azurewebsites.net/icat/?ontology=ICD&amp;tab=ClassesTab&amp;id=http%3A%2F%2Fwho.int%2Ficd%23SpecificAnatomicLocation_3370","iCat")</x:f>
      </x:c>
      <x:c r="M13126" s="0" t="s">
        <x:v>21</x:v>
      </x:c>
      <x:c r="N13126" s="0" t="s">
        <x:v>46</x:v>
      </x:c>
    </x:row>
    <x:row r="13127" spans="1:16">
      <x:c r="A13127" s="0" t="s">
        <x:v>49983</x:v>
      </x:c>
      <x:c r="B13127" s="0" t="s">
        <x:v>49984</x:v>
      </x:c>
      <x:c r="C13127" s="0" t="s">
        <x:v>42840</x:v>
      </x:c>
      <x:c r="E13127" s="0" t="s">
        <x:v>49985</x:v>
      </x:c>
      <x:c r="F13127" s="0" t="s">
        <x:v>45</x:v>
      </x:c>
      <x:c r="G13127" s="0" t="s">
        <x:v>22</x:v>
      </x:c>
      <x:c r="H13127" s="0" t="s">
        <x:v>20</x:v>
      </x:c>
      <x:c r="I13127" s="0" t="s">
        <x:v>21</x:v>
      </x:c>
      <x:c r="K13127" s="0">
        <x:f>hyperlink("https://icd.who.int/dev11/l-ichi/en#/http%3A%2F%2Fid.who.int%2Ficd%2Fentity%2F1114609804","browser")</x:f>
      </x:c>
      <x:c r="L13127" s="0">
        <x:f>hyperlink("https://icat2.azurewebsites.net/icat/?ontology=ICD&amp;tab=ClassesTab&amp;id=http%3A%2F%2Fwho.int%2Ficd%23SpecificAnatomicLocation_3373","iCat")</x:f>
      </x:c>
      <x:c r="M13127" s="0" t="s">
        <x:v>21</x:v>
      </x:c>
      <x:c r="N13127" s="0" t="s">
        <x:v>46</x:v>
      </x:c>
    </x:row>
    <x:row r="13128" spans="1:16">
      <x:c r="A13128" s="0" t="s">
        <x:v>49986</x:v>
      </x:c>
      <x:c r="B13128" s="0" t="s">
        <x:v>49987</x:v>
      </x:c>
      <x:c r="C13128" s="0" t="s">
        <x:v>42840</x:v>
      </x:c>
      <x:c r="E13128" s="0" t="s">
        <x:v>49988</x:v>
      </x:c>
      <x:c r="F13128" s="0" t="s">
        <x:v>45</x:v>
      </x:c>
      <x:c r="G13128" s="0" t="s">
        <x:v>35</x:v>
      </x:c>
      <x:c r="H13128" s="0" t="s">
        <x:v>20</x:v>
      </x:c>
      <x:c r="I13128" s="0" t="s">
        <x:v>21</x:v>
      </x:c>
      <x:c r="K13128" s="0">
        <x:f>hyperlink("https://icd.who.int/dev11/l-ichi/en#/http%3A%2F%2Fid.who.int%2Ficd%2Fentity%2F391521938","browser")</x:f>
      </x:c>
      <x:c r="L13128" s="0">
        <x:f>hyperlink("https://icat2.azurewebsites.net/icat/?ontology=ICD&amp;tab=ClassesTab&amp;id=http%3A%2F%2Fwho.int%2Ficd%23SpecificAnatomicLocation_3424","iCat")</x:f>
      </x:c>
      <x:c r="M13128" s="0" t="s">
        <x:v>20</x:v>
      </x:c>
      <x:c r="N13128" s="0" t="s">
        <x:v>119</x:v>
      </x:c>
    </x:row>
    <x:row r="13129" spans="1:16">
      <x:c r="A13129" s="0" t="s">
        <x:v>49989</x:v>
      </x:c>
      <x:c r="B13129" s="0" t="s">
        <x:v>49990</x:v>
      </x:c>
      <x:c r="C13129" s="0" t="s">
        <x:v>42840</x:v>
      </x:c>
      <x:c r="E13129" s="0" t="s">
        <x:v>49991</x:v>
      </x:c>
      <x:c r="F13129" s="0" t="s">
        <x:v>45</x:v>
      </x:c>
      <x:c r="G13129" s="0" t="s">
        <x:v>22</x:v>
      </x:c>
      <x:c r="H13129" s="0" t="s">
        <x:v>20</x:v>
      </x:c>
      <x:c r="I13129" s="0" t="s">
        <x:v>21</x:v>
      </x:c>
      <x:c r="K13129" s="0">
        <x:f>hyperlink("https://icd.who.int/dev11/l-ichi/en#/http%3A%2F%2Fid.who.int%2Ficd%2Fentity%2F713263348","browser")</x:f>
      </x:c>
      <x:c r="L13129" s="0">
        <x:f>hyperlink("https://icat2.azurewebsites.net/icat/?ontology=ICD&amp;tab=ClassesTab&amp;id=http%3A%2F%2Fwho.int%2Ficd%23SpecificAnatomicLocation_3379","iCat")</x:f>
      </x:c>
      <x:c r="M13129" s="0" t="s">
        <x:v>21</x:v>
      </x:c>
      <x:c r="N13129" s="0" t="s">
        <x:v>46</x:v>
      </x:c>
    </x:row>
    <x:row r="13130" spans="1:16">
      <x:c r="A13130" s="0" t="s">
        <x:v>49992</x:v>
      </x:c>
      <x:c r="B13130" s="0" t="s">
        <x:v>49993</x:v>
      </x:c>
      <x:c r="C13130" s="0" t="s">
        <x:v>42840</x:v>
      </x:c>
      <x:c r="E13130" s="0" t="s">
        <x:v>49994</x:v>
      </x:c>
      <x:c r="F13130" s="0" t="s">
        <x:v>45</x:v>
      </x:c>
      <x:c r="G13130" s="0" t="s">
        <x:v>22</x:v>
      </x:c>
      <x:c r="H13130" s="0" t="s">
        <x:v>20</x:v>
      </x:c>
      <x:c r="I13130" s="0" t="s">
        <x:v>21</x:v>
      </x:c>
      <x:c r="K13130" s="0">
        <x:f>hyperlink("https://icd.who.int/dev11/l-ichi/en#/http%3A%2F%2Fid.who.int%2Ficd%2Fentity%2F1585802427","browser")</x:f>
      </x:c>
      <x:c r="L13130" s="0">
        <x:f>hyperlink("https://icat2.azurewebsites.net/icat/?ontology=ICD&amp;tab=ClassesTab&amp;id=http%3A%2F%2Fwho.int%2Ficd%23SpecificAnatomicLocation_3383","iCat")</x:f>
      </x:c>
      <x:c r="M13130" s="0" t="s">
        <x:v>21</x:v>
      </x:c>
      <x:c r="N13130" s="0" t="s">
        <x:v>46</x:v>
      </x:c>
    </x:row>
    <x:row r="13131" spans="1:16">
      <x:c r="A13131" s="0" t="s">
        <x:v>49995</x:v>
      </x:c>
      <x:c r="B13131" s="0" t="s">
        <x:v>49996</x:v>
      </x:c>
      <x:c r="C13131" s="0" t="s">
        <x:v>42840</x:v>
      </x:c>
      <x:c r="E13131" s="0" t="s">
        <x:v>49997</x:v>
      </x:c>
      <x:c r="F13131" s="0" t="s">
        <x:v>45</x:v>
      </x:c>
      <x:c r="G13131" s="0" t="s">
        <x:v>22</x:v>
      </x:c>
      <x:c r="H13131" s="0" t="s">
        <x:v>20</x:v>
      </x:c>
      <x:c r="I13131" s="0" t="s">
        <x:v>21</x:v>
      </x:c>
      <x:c r="K13131" s="0">
        <x:f>hyperlink("https://icd.who.int/dev11/l-ichi/en#/http%3A%2F%2Fid.who.int%2Ficd%2Fentity%2F1034677300","browser")</x:f>
      </x:c>
      <x:c r="L13131" s="0">
        <x:f>hyperlink("https://icat2.azurewebsites.net/icat/?ontology=ICD&amp;tab=ClassesTab&amp;id=http%3A%2F%2Fwho.int%2Ficd%23SpecificAnatomicLocation_3378","iCat")</x:f>
      </x:c>
      <x:c r="M13131" s="0" t="s">
        <x:v>21</x:v>
      </x:c>
      <x:c r="N13131" s="0" t="s">
        <x:v>46</x:v>
      </x:c>
    </x:row>
    <x:row r="13132" spans="1:16">
      <x:c r="A13132" s="0" t="s">
        <x:v>49998</x:v>
      </x:c>
      <x:c r="B13132" s="0" t="s">
        <x:v>49999</x:v>
      </x:c>
      <x:c r="C13132" s="0" t="s">
        <x:v>42840</x:v>
      </x:c>
      <x:c r="E13132" s="0" t="s">
        <x:v>50000</x:v>
      </x:c>
      <x:c r="F13132" s="0" t="s">
        <x:v>45</x:v>
      </x:c>
      <x:c r="G13132" s="0" t="s">
        <x:v>22</x:v>
      </x:c>
      <x:c r="H13132" s="0" t="s">
        <x:v>20</x:v>
      </x:c>
      <x:c r="I13132" s="0" t="s">
        <x:v>21</x:v>
      </x:c>
      <x:c r="K13132" s="0">
        <x:f>hyperlink("https://icd.who.int/dev11/l-ichi/en#/http%3A%2F%2Fid.who.int%2Ficd%2Fentity%2F166096716","browser")</x:f>
      </x:c>
      <x:c r="L13132" s="0">
        <x:f>hyperlink("https://icat2.azurewebsites.net/icat/?ontology=ICD&amp;tab=ClassesTab&amp;id=http%3A%2F%2Fwho.int%2Ficd%23SpecificAnatomicLocation_3376","iCat")</x:f>
      </x:c>
      <x:c r="M13132" s="0" t="s">
        <x:v>21</x:v>
      </x:c>
      <x:c r="N13132" s="0" t="s">
        <x:v>46</x:v>
      </x:c>
    </x:row>
    <x:row r="13133" spans="1:16">
      <x:c r="A13133" s="0" t="s">
        <x:v>50001</x:v>
      </x:c>
      <x:c r="B13133" s="0" t="s">
        <x:v>50002</x:v>
      </x:c>
      <x:c r="C13133" s="0" t="s">
        <x:v>42840</x:v>
      </x:c>
      <x:c r="E13133" s="0" t="s">
        <x:v>50003</x:v>
      </x:c>
      <x:c r="F13133" s="0" t="s">
        <x:v>45</x:v>
      </x:c>
      <x:c r="G13133" s="0" t="s">
        <x:v>22</x:v>
      </x:c>
      <x:c r="H13133" s="0" t="s">
        <x:v>20</x:v>
      </x:c>
      <x:c r="I13133" s="0" t="s">
        <x:v>21</x:v>
      </x:c>
      <x:c r="K13133" s="0">
        <x:f>hyperlink("https://icd.who.int/dev11/l-ichi/en#/http%3A%2F%2Fid.who.int%2Ficd%2Fentity%2F815710732","browser")</x:f>
      </x:c>
      <x:c r="L13133" s="0">
        <x:f>hyperlink("https://icat2.azurewebsites.net/icat/?ontology=ICD&amp;tab=ClassesTab&amp;id=http%3A%2F%2Fwho.int%2Ficd%23SpecificAnatomicLocation_3375","iCat")</x:f>
      </x:c>
      <x:c r="M13133" s="0" t="s">
        <x:v>21</x:v>
      </x:c>
      <x:c r="N13133" s="0" t="s">
        <x:v>46</x:v>
      </x:c>
    </x:row>
    <x:row r="13134" spans="1:16">
      <x:c r="A13134" s="0" t="s">
        <x:v>50004</x:v>
      </x:c>
      <x:c r="B13134" s="0" t="s">
        <x:v>50005</x:v>
      </x:c>
      <x:c r="C13134" s="0" t="s">
        <x:v>42840</x:v>
      </x:c>
      <x:c r="E13134" s="0" t="s">
        <x:v>50006</x:v>
      </x:c>
      <x:c r="F13134" s="0" t="s">
        <x:v>45</x:v>
      </x:c>
      <x:c r="G13134" s="0" t="s">
        <x:v>22</x:v>
      </x:c>
      <x:c r="H13134" s="0" t="s">
        <x:v>20</x:v>
      </x:c>
      <x:c r="I13134" s="0" t="s">
        <x:v>21</x:v>
      </x:c>
      <x:c r="K13134" s="0">
        <x:f>hyperlink("https://icd.who.int/dev11/l-ichi/en#/http%3A%2F%2Fid.who.int%2Ficd%2Fentity%2F1744683515","browser")</x:f>
      </x:c>
      <x:c r="L13134" s="0">
        <x:f>hyperlink("https://icat2.azurewebsites.net/icat/?ontology=ICD&amp;tab=ClassesTab&amp;id=http%3A%2F%2Fwho.int%2Ficd%23SpecificAnatomicLocation_3380","iCat")</x:f>
      </x:c>
      <x:c r="M13134" s="0" t="s">
        <x:v>21</x:v>
      </x:c>
      <x:c r="N13134" s="0" t="s">
        <x:v>46</x:v>
      </x:c>
    </x:row>
    <x:row r="13135" spans="1:16">
      <x:c r="A13135" s="0" t="s">
        <x:v>50007</x:v>
      </x:c>
      <x:c r="B13135" s="0" t="s">
        <x:v>50008</x:v>
      </x:c>
      <x:c r="C13135" s="0" t="s">
        <x:v>42840</x:v>
      </x:c>
      <x:c r="E13135" s="0" t="s">
        <x:v>50009</x:v>
      </x:c>
      <x:c r="F13135" s="0" t="s">
        <x:v>45</x:v>
      </x:c>
      <x:c r="G13135" s="0" t="s">
        <x:v>22</x:v>
      </x:c>
      <x:c r="H13135" s="0" t="s">
        <x:v>20</x:v>
      </x:c>
      <x:c r="I13135" s="0" t="s">
        <x:v>21</x:v>
      </x:c>
      <x:c r="K13135" s="0">
        <x:f>hyperlink("https://icd.who.int/dev11/l-ichi/en#/http%3A%2F%2Fid.who.int%2Ficd%2Fentity%2F516819852","browser")</x:f>
      </x:c>
      <x:c r="L13135" s="0">
        <x:f>hyperlink("https://icat2.azurewebsites.net/icat/?ontology=ICD&amp;tab=ClassesTab&amp;id=http%3A%2F%2Fwho.int%2Ficd%23SpecificAnatomicLocation_3377","iCat")</x:f>
      </x:c>
      <x:c r="M13135" s="0" t="s">
        <x:v>21</x:v>
      </x:c>
      <x:c r="N13135" s="0" t="s">
        <x:v>46</x:v>
      </x:c>
    </x:row>
    <x:row r="13136" spans="1:16">
      <x:c r="A13136" s="0" t="s">
        <x:v>50010</x:v>
      </x:c>
      <x:c r="B13136" s="0" t="s">
        <x:v>50011</x:v>
      </x:c>
      <x:c r="C13136" s="0" t="s">
        <x:v>42840</x:v>
      </x:c>
      <x:c r="E13136" s="0" t="s">
        <x:v>50012</x:v>
      </x:c>
      <x:c r="F13136" s="0" t="s">
        <x:v>45</x:v>
      </x:c>
      <x:c r="G13136" s="0" t="s">
        <x:v>22</x:v>
      </x:c>
      <x:c r="H13136" s="0" t="s">
        <x:v>20</x:v>
      </x:c>
      <x:c r="I13136" s="0" t="s">
        <x:v>21</x:v>
      </x:c>
      <x:c r="K13136" s="0">
        <x:f>hyperlink("https://icd.who.int/dev11/l-ichi/en#/http%3A%2F%2Fid.who.int%2Ficd%2Fentity%2F1236076667","browser")</x:f>
      </x:c>
      <x:c r="L13136" s="0">
        <x:f>hyperlink("https://icat2.azurewebsites.net/icat/?ontology=ICD&amp;tab=ClassesTab&amp;id=http%3A%2F%2Fwho.int%2Ficd%23SpecificAnatomicLocation_3382","iCat")</x:f>
      </x:c>
      <x:c r="M13136" s="0" t="s">
        <x:v>21</x:v>
      </x:c>
      <x:c r="N13136" s="0" t="s">
        <x:v>46</x:v>
      </x:c>
    </x:row>
    <x:row r="13137" spans="1:16">
      <x:c r="A13137" s="0" t="s">
        <x:v>50013</x:v>
      </x:c>
      <x:c r="B13137" s="0" t="s">
        <x:v>50014</x:v>
      </x:c>
      <x:c r="C13137" s="0" t="s">
        <x:v>42840</x:v>
      </x:c>
      <x:c r="E13137" s="0" t="s">
        <x:v>50015</x:v>
      </x:c>
      <x:c r="F13137" s="0" t="s">
        <x:v>45</x:v>
      </x:c>
      <x:c r="G13137" s="0" t="s">
        <x:v>35</x:v>
      </x:c>
      <x:c r="H13137" s="0" t="s">
        <x:v>20</x:v>
      </x:c>
      <x:c r="I13137" s="0" t="s">
        <x:v>21</x:v>
      </x:c>
      <x:c r="K13137" s="0">
        <x:f>hyperlink("https://icd.who.int/dev11/l-ichi/en#/http%3A%2F%2Fid.who.int%2Ficd%2Fentity%2F1705475090","browser")</x:f>
      </x:c>
      <x:c r="L13137" s="0">
        <x:f>hyperlink("https://icat2.azurewebsites.net/icat/?ontology=ICD&amp;tab=ClassesTab&amp;id=http%3A%2F%2Fwho.int%2Ficd%23SpecificAnatomicLocation_3422","iCat")</x:f>
      </x:c>
      <x:c r="M13137" s="0" t="s">
        <x:v>20</x:v>
      </x:c>
      <x:c r="N13137" s="0" t="s">
        <x:v>21740</x:v>
      </x:c>
    </x:row>
    <x:row r="13138" spans="1:16">
      <x:c r="A13138" s="0" t="s">
        <x:v>50016</x:v>
      </x:c>
      <x:c r="B13138" s="0" t="s">
        <x:v>50017</x:v>
      </x:c>
      <x:c r="C13138" s="0" t="s">
        <x:v>42840</x:v>
      </x:c>
      <x:c r="E13138" s="0" t="s">
        <x:v>50018</x:v>
      </x:c>
      <x:c r="F13138" s="0" t="s">
        <x:v>45</x:v>
      </x:c>
      <x:c r="G13138" s="0" t="s">
        <x:v>22</x:v>
      </x:c>
      <x:c r="H13138" s="0" t="s">
        <x:v>20</x:v>
      </x:c>
      <x:c r="I13138" s="0" t="s">
        <x:v>21</x:v>
      </x:c>
      <x:c r="K13138" s="0">
        <x:f>hyperlink("https://icd.who.int/dev11/l-ichi/en#/http%3A%2F%2Fid.who.int%2Ficd%2Fentity%2F353147771","browser")</x:f>
      </x:c>
      <x:c r="L13138" s="0">
        <x:f>hyperlink("https://icat2.azurewebsites.net/icat/?ontology=ICD&amp;tab=ClassesTab&amp;id=http%3A%2F%2Fwho.int%2Ficd%23SpecificAnatomicLocation_3386","iCat")</x:f>
      </x:c>
      <x:c r="M13138" s="0" t="s">
        <x:v>21</x:v>
      </x:c>
      <x:c r="N13138" s="0" t="s">
        <x:v>46</x:v>
      </x:c>
    </x:row>
    <x:row r="13139" spans="1:16">
      <x:c r="A13139" s="0" t="s">
        <x:v>50019</x:v>
      </x:c>
      <x:c r="B13139" s="0" t="s">
        <x:v>50020</x:v>
      </x:c>
      <x:c r="C13139" s="0" t="s">
        <x:v>42840</x:v>
      </x:c>
      <x:c r="E13139" s="0" t="s">
        <x:v>50021</x:v>
      </x:c>
      <x:c r="F13139" s="0" t="s">
        <x:v>45</x:v>
      </x:c>
      <x:c r="G13139" s="0" t="s">
        <x:v>22</x:v>
      </x:c>
      <x:c r="H13139" s="0" t="s">
        <x:v>20</x:v>
      </x:c>
      <x:c r="I13139" s="0" t="s">
        <x:v>21</x:v>
      </x:c>
      <x:c r="K13139" s="0">
        <x:f>hyperlink("https://icd.who.int/dev11/l-ichi/en#/http%3A%2F%2Fid.who.int%2Ficd%2Fentity%2F1431684422","browser")</x:f>
      </x:c>
      <x:c r="L13139" s="0">
        <x:f>hyperlink("https://icat2.azurewebsites.net/icat/?ontology=ICD&amp;tab=ClassesTab&amp;id=http%3A%2F%2Fwho.int%2Ficd%23SpecificAnatomicLocation_3418","iCat")</x:f>
      </x:c>
      <x:c r="M13139" s="0" t="s">
        <x:v>21</x:v>
      </x:c>
      <x:c r="N13139" s="0" t="s">
        <x:v>46</x:v>
      </x:c>
    </x:row>
    <x:row r="13140" spans="1:16">
      <x:c r="A13140" s="0" t="s">
        <x:v>50022</x:v>
      </x:c>
      <x:c r="B13140" s="0" t="s">
        <x:v>50023</x:v>
      </x:c>
      <x:c r="C13140" s="0" t="s">
        <x:v>42840</x:v>
      </x:c>
      <x:c r="E13140" s="0" t="s">
        <x:v>50024</x:v>
      </x:c>
      <x:c r="F13140" s="0" t="s">
        <x:v>45</x:v>
      </x:c>
      <x:c r="G13140" s="0" t="s">
        <x:v>22</x:v>
      </x:c>
      <x:c r="H13140" s="0" t="s">
        <x:v>20</x:v>
      </x:c>
      <x:c r="I13140" s="0" t="s">
        <x:v>21</x:v>
      </x:c>
      <x:c r="K13140" s="0">
        <x:f>hyperlink("https://icd.who.int/dev11/l-ichi/en#/http%3A%2F%2Fid.who.int%2Ficd%2Fentity%2F995906299","browser")</x:f>
      </x:c>
      <x:c r="L13140" s="0">
        <x:f>hyperlink("https://icat2.azurewebsites.net/icat/?ontology=ICD&amp;tab=ClassesTab&amp;id=http%3A%2F%2Fwho.int%2Ficd%23SpecificAnatomicLocation_3384","iCat")</x:f>
      </x:c>
      <x:c r="M13140" s="0" t="s">
        <x:v>21</x:v>
      </x:c>
      <x:c r="N13140" s="0" t="s">
        <x:v>46</x:v>
      </x:c>
    </x:row>
    <x:row r="13141" spans="1:16">
      <x:c r="A13141" s="0" t="s">
        <x:v>50025</x:v>
      </x:c>
      <x:c r="B13141" s="0" t="s">
        <x:v>50026</x:v>
      </x:c>
      <x:c r="C13141" s="0" t="s">
        <x:v>42840</x:v>
      </x:c>
      <x:c r="E13141" s="0" t="s">
        <x:v>50027</x:v>
      </x:c>
      <x:c r="F13141" s="0" t="s">
        <x:v>45</x:v>
      </x:c>
      <x:c r="G13141" s="0" t="s">
        <x:v>22</x:v>
      </x:c>
      <x:c r="H13141" s="0" t="s">
        <x:v>20</x:v>
      </x:c>
      <x:c r="I13141" s="0" t="s">
        <x:v>21</x:v>
      </x:c>
      <x:c r="K13141" s="0">
        <x:f>hyperlink("https://icd.who.int/dev11/l-ichi/en#/http%3A%2F%2Fid.who.int%2Ficd%2Fentity%2F2097046882","browser")</x:f>
      </x:c>
      <x:c r="L13141" s="0">
        <x:f>hyperlink("https://icat2.azurewebsites.net/icat/?ontology=ICD&amp;tab=ClassesTab&amp;id=http%3A%2F%2Fwho.int%2Ficd%23SpecificAnatomicLocation_3397","iCat")</x:f>
      </x:c>
      <x:c r="M13141" s="0" t="s">
        <x:v>21</x:v>
      </x:c>
      <x:c r="N13141" s="0" t="s">
        <x:v>46</x:v>
      </x:c>
    </x:row>
    <x:row r="13142" spans="1:16">
      <x:c r="A13142" s="0" t="s">
        <x:v>50028</x:v>
      </x:c>
      <x:c r="B13142" s="0" t="s">
        <x:v>50029</x:v>
      </x:c>
      <x:c r="C13142" s="0" t="s">
        <x:v>42840</x:v>
      </x:c>
      <x:c r="E13142" s="0" t="s">
        <x:v>50030</x:v>
      </x:c>
      <x:c r="F13142" s="0" t="s">
        <x:v>45</x:v>
      </x:c>
      <x:c r="G13142" s="0" t="s">
        <x:v>22</x:v>
      </x:c>
      <x:c r="H13142" s="0" t="s">
        <x:v>20</x:v>
      </x:c>
      <x:c r="I13142" s="0" t="s">
        <x:v>21</x:v>
      </x:c>
      <x:c r="K13142" s="0">
        <x:f>hyperlink("https://icd.who.int/dev11/l-ichi/en#/http%3A%2F%2Fid.who.int%2Ficd%2Fentity%2F1274525074","browser")</x:f>
      </x:c>
      <x:c r="L13142" s="0">
        <x:f>hyperlink("https://icat2.azurewebsites.net/icat/?ontology=ICD&amp;tab=ClassesTab&amp;id=http%3A%2F%2Fwho.int%2Ficd%23SpecificAnatomicLocation_3420","iCat")</x:f>
      </x:c>
      <x:c r="M13142" s="0" t="s">
        <x:v>21</x:v>
      </x:c>
      <x:c r="N13142" s="0" t="s">
        <x:v>46</x:v>
      </x:c>
    </x:row>
    <x:row r="13143" spans="1:16">
      <x:c r="A13143" s="0" t="s">
        <x:v>50031</x:v>
      </x:c>
      <x:c r="B13143" s="0" t="s">
        <x:v>50032</x:v>
      </x:c>
      <x:c r="C13143" s="0" t="s">
        <x:v>42840</x:v>
      </x:c>
      <x:c r="E13143" s="0" t="s">
        <x:v>50033</x:v>
      </x:c>
      <x:c r="F13143" s="0" t="s">
        <x:v>45</x:v>
      </x:c>
      <x:c r="G13143" s="0" t="s">
        <x:v>22</x:v>
      </x:c>
      <x:c r="H13143" s="0" t="s">
        <x:v>20</x:v>
      </x:c>
      <x:c r="I13143" s="0" t="s">
        <x:v>21</x:v>
      </x:c>
      <x:c r="K13143" s="0">
        <x:f>hyperlink("https://icd.who.int/dev11/l-ichi/en#/http%3A%2F%2Fid.who.int%2Ficd%2Fentity%2F1628980794","browser")</x:f>
      </x:c>
      <x:c r="L13143" s="0">
        <x:f>hyperlink("https://icat2.azurewebsites.net/icat/?ontology=ICD&amp;tab=ClassesTab&amp;id=http%3A%2F%2Fwho.int%2Ficd%23SpecificAnatomicLocation_3416","iCat")</x:f>
      </x:c>
      <x:c r="M13143" s="0" t="s">
        <x:v>21</x:v>
      </x:c>
      <x:c r="N13143" s="0" t="s">
        <x:v>46</x:v>
      </x:c>
    </x:row>
    <x:row r="13144" spans="1:16">
      <x:c r="A13144" s="0" t="s">
        <x:v>50034</x:v>
      </x:c>
      <x:c r="B13144" s="0" t="s">
        <x:v>50035</x:v>
      </x:c>
      <x:c r="C13144" s="0" t="s">
        <x:v>42840</x:v>
      </x:c>
      <x:c r="E13144" s="0" t="s">
        <x:v>50036</x:v>
      </x:c>
      <x:c r="F13144" s="0" t="s">
        <x:v>45</x:v>
      </x:c>
      <x:c r="G13144" s="0" t="s">
        <x:v>22</x:v>
      </x:c>
      <x:c r="H13144" s="0" t="s">
        <x:v>20</x:v>
      </x:c>
      <x:c r="I13144" s="0" t="s">
        <x:v>21</x:v>
      </x:c>
      <x:c r="K13144" s="0">
        <x:f>hyperlink("https://icd.who.int/dev11/l-ichi/en#/http%3A%2F%2Fid.who.int%2Ficd%2Fentity%2F79788154","browser")</x:f>
      </x:c>
      <x:c r="L13144" s="0">
        <x:f>hyperlink("https://icat2.azurewebsites.net/icat/?ontology=ICD&amp;tab=ClassesTab&amp;id=http%3A%2F%2Fwho.int%2Ficd%23SpecificAnatomicLocation_3411","iCat")</x:f>
      </x:c>
      <x:c r="M13144" s="0" t="s">
        <x:v>21</x:v>
      </x:c>
      <x:c r="N13144" s="0" t="s">
        <x:v>46</x:v>
      </x:c>
    </x:row>
    <x:row r="13145" spans="1:16">
      <x:c r="A13145" s="0" t="s">
        <x:v>50037</x:v>
      </x:c>
      <x:c r="B13145" s="0" t="s">
        <x:v>50038</x:v>
      </x:c>
      <x:c r="C13145" s="0" t="s">
        <x:v>42840</x:v>
      </x:c>
      <x:c r="E13145" s="0" t="s">
        <x:v>50039</x:v>
      </x:c>
      <x:c r="F13145" s="0" t="s">
        <x:v>45</x:v>
      </x:c>
      <x:c r="G13145" s="0" t="s">
        <x:v>22</x:v>
      </x:c>
      <x:c r="H13145" s="0" t="s">
        <x:v>20</x:v>
      </x:c>
      <x:c r="I13145" s="0" t="s">
        <x:v>21</x:v>
      </x:c>
      <x:c r="K13145" s="0">
        <x:f>hyperlink("https://icd.who.int/dev11/l-ichi/en#/http%3A%2F%2Fid.who.int%2Ficd%2Fentity%2F1558171986","browser")</x:f>
      </x:c>
      <x:c r="L13145" s="0">
        <x:f>hyperlink("https://icat2.azurewebsites.net/icat/?ontology=ICD&amp;tab=ClassesTab&amp;id=http%3A%2F%2Fwho.int%2Ficd%23SpecificAnatomicLocation_3421","iCat")</x:f>
      </x:c>
      <x:c r="M13145" s="0" t="s">
        <x:v>21</x:v>
      </x:c>
      <x:c r="N13145" s="0" t="s">
        <x:v>46</x:v>
      </x:c>
    </x:row>
    <x:row r="13146" spans="1:16">
      <x:c r="A13146" s="0" t="s">
        <x:v>50040</x:v>
      </x:c>
      <x:c r="B13146" s="0" t="s">
        <x:v>50041</x:v>
      </x:c>
      <x:c r="C13146" s="0" t="s">
        <x:v>42840</x:v>
      </x:c>
      <x:c r="E13146" s="0" t="s">
        <x:v>50042</x:v>
      </x:c>
      <x:c r="F13146" s="0" t="s">
        <x:v>45</x:v>
      </x:c>
      <x:c r="G13146" s="0" t="s">
        <x:v>22</x:v>
      </x:c>
      <x:c r="H13146" s="0" t="s">
        <x:v>20</x:v>
      </x:c>
      <x:c r="I13146" s="0" t="s">
        <x:v>21</x:v>
      </x:c>
      <x:c r="K13146" s="0">
        <x:f>hyperlink("https://icd.who.int/dev11/l-ichi/en#/http%3A%2F%2Fid.who.int%2Ficd%2Fentity%2F1809187234","browser")</x:f>
      </x:c>
      <x:c r="L13146" s="0">
        <x:f>hyperlink("https://icat2.azurewebsites.net/icat/?ontology=ICD&amp;tab=ClassesTab&amp;id=http%3A%2F%2Fwho.int%2Ficd%23SpecificAnatomicLocation_3396","iCat")</x:f>
      </x:c>
      <x:c r="M13146" s="0" t="s">
        <x:v>21</x:v>
      </x:c>
      <x:c r="N13146" s="0" t="s">
        <x:v>46</x:v>
      </x:c>
    </x:row>
    <x:row r="13147" spans="1:16">
      <x:c r="A13147" s="0" t="s">
        <x:v>50043</x:v>
      </x:c>
      <x:c r="B13147" s="0" t="s">
        <x:v>50044</x:v>
      </x:c>
      <x:c r="C13147" s="0" t="s">
        <x:v>42840</x:v>
      </x:c>
      <x:c r="E13147" s="0" t="s">
        <x:v>50045</x:v>
      </x:c>
      <x:c r="F13147" s="0" t="s">
        <x:v>45</x:v>
      </x:c>
      <x:c r="G13147" s="0" t="s">
        <x:v>22</x:v>
      </x:c>
      <x:c r="H13147" s="0" t="s">
        <x:v>20</x:v>
      </x:c>
      <x:c r="I13147" s="0" t="s">
        <x:v>21</x:v>
      </x:c>
      <x:c r="K13147" s="0">
        <x:f>hyperlink("https://icd.who.int/dev11/l-ichi/en#/http%3A%2F%2Fid.who.int%2Ficd%2Fentity%2F1414212387","browser")</x:f>
      </x:c>
      <x:c r="L13147" s="0">
        <x:f>hyperlink("https://icat2.azurewebsites.net/icat/?ontology=ICD&amp;tab=ClassesTab&amp;id=http%3A%2F%2Fwho.int%2Ficd%23SpecificAnatomicLocation_3403","iCat")</x:f>
      </x:c>
      <x:c r="M13147" s="0" t="s">
        <x:v>21</x:v>
      </x:c>
      <x:c r="N13147" s="0" t="s">
        <x:v>46</x:v>
      </x:c>
    </x:row>
    <x:row r="13148" spans="1:16">
      <x:c r="A13148" s="0" t="s">
        <x:v>50046</x:v>
      </x:c>
      <x:c r="B13148" s="0" t="s">
        <x:v>50047</x:v>
      </x:c>
      <x:c r="C13148" s="0" t="s">
        <x:v>42840</x:v>
      </x:c>
      <x:c r="E13148" s="0" t="s">
        <x:v>50048</x:v>
      </x:c>
      <x:c r="F13148" s="0" t="s">
        <x:v>45</x:v>
      </x:c>
      <x:c r="G13148" s="0" t="s">
        <x:v>22</x:v>
      </x:c>
      <x:c r="H13148" s="0" t="s">
        <x:v>20</x:v>
      </x:c>
      <x:c r="I13148" s="0" t="s">
        <x:v>21</x:v>
      </x:c>
      <x:c r="K13148" s="0">
        <x:f>hyperlink("https://icd.who.int/dev11/l-ichi/en#/http%3A%2F%2Fid.who.int%2Ficd%2Fentity%2F1035588922","browser")</x:f>
      </x:c>
      <x:c r="L13148" s="0">
        <x:f>hyperlink("https://icat2.azurewebsites.net/icat/?ontology=ICD&amp;tab=ClassesTab&amp;id=http%3A%2F%2Fwho.int%2Ficd%23SpecificAnatomicLocation_3412","iCat")</x:f>
      </x:c>
      <x:c r="M13148" s="0" t="s">
        <x:v>21</x:v>
      </x:c>
      <x:c r="N13148" s="0" t="s">
        <x:v>46</x:v>
      </x:c>
    </x:row>
    <x:row r="13149" spans="1:16">
      <x:c r="A13149" s="0" t="s">
        <x:v>50049</x:v>
      </x:c>
      <x:c r="B13149" s="0" t="s">
        <x:v>50050</x:v>
      </x:c>
      <x:c r="C13149" s="0" t="s">
        <x:v>42840</x:v>
      </x:c>
      <x:c r="E13149" s="0" t="s">
        <x:v>50051</x:v>
      </x:c>
      <x:c r="F13149" s="0" t="s">
        <x:v>45</x:v>
      </x:c>
      <x:c r="G13149" s="0" t="s">
        <x:v>22</x:v>
      </x:c>
      <x:c r="H13149" s="0" t="s">
        <x:v>20</x:v>
      </x:c>
      <x:c r="I13149" s="0" t="s">
        <x:v>21</x:v>
      </x:c>
      <x:c r="K13149" s="0">
        <x:f>hyperlink("https://icd.who.int/dev11/l-ichi/en#/http%3A%2F%2Fid.who.int%2Ficd%2Fentity%2F2048647843","browser")</x:f>
      </x:c>
      <x:c r="L13149" s="0">
        <x:f>hyperlink("https://icat2.azurewebsites.net/icat/?ontology=ICD&amp;tab=ClassesTab&amp;id=http%3A%2F%2Fwho.int%2Ficd%23SpecificAnatomicLocation_3401","iCat")</x:f>
      </x:c>
      <x:c r="M13149" s="0" t="s">
        <x:v>21</x:v>
      </x:c>
      <x:c r="N13149" s="0" t="s">
        <x:v>46</x:v>
      </x:c>
    </x:row>
    <x:row r="13150" spans="1:16">
      <x:c r="A13150" s="0" t="s">
        <x:v>50052</x:v>
      </x:c>
      <x:c r="B13150" s="0" t="s">
        <x:v>50053</x:v>
      </x:c>
      <x:c r="C13150" s="0" t="s">
        <x:v>42840</x:v>
      </x:c>
      <x:c r="E13150" s="0" t="s">
        <x:v>50054</x:v>
      </x:c>
      <x:c r="F13150" s="0" t="s">
        <x:v>45</x:v>
      </x:c>
      <x:c r="G13150" s="0" t="s">
        <x:v>22</x:v>
      </x:c>
      <x:c r="H13150" s="0" t="s">
        <x:v>20</x:v>
      </x:c>
      <x:c r="I13150" s="0" t="s">
        <x:v>21</x:v>
      </x:c>
      <x:c r="K13150" s="0">
        <x:f>hyperlink("https://icd.who.int/dev11/l-ichi/en#/http%3A%2F%2Fid.who.int%2Ficd%2Fentity%2F1387179234","browser")</x:f>
      </x:c>
      <x:c r="L13150" s="0">
        <x:f>hyperlink("https://icat2.azurewebsites.net/icat/?ontology=ICD&amp;tab=ClassesTab&amp;id=http%3A%2F%2Fwho.int%2Ficd%23SpecificAnatomicLocation_3395","iCat")</x:f>
      </x:c>
      <x:c r="M13150" s="0" t="s">
        <x:v>21</x:v>
      </x:c>
      <x:c r="N13150" s="0" t="s">
        <x:v>46</x:v>
      </x:c>
    </x:row>
    <x:row r="13151" spans="1:16">
      <x:c r="A13151" s="0" t="s">
        <x:v>50055</x:v>
      </x:c>
      <x:c r="B13151" s="0" t="s">
        <x:v>50056</x:v>
      </x:c>
      <x:c r="C13151" s="0" t="s">
        <x:v>42840</x:v>
      </x:c>
      <x:c r="E13151" s="0" t="s">
        <x:v>50057</x:v>
      </x:c>
      <x:c r="F13151" s="0" t="s">
        <x:v>45</x:v>
      </x:c>
      <x:c r="G13151" s="0" t="s">
        <x:v>22</x:v>
      </x:c>
      <x:c r="H13151" s="0" t="s">
        <x:v>20</x:v>
      </x:c>
      <x:c r="I13151" s="0" t="s">
        <x:v>21</x:v>
      </x:c>
      <x:c r="K13151" s="0">
        <x:f>hyperlink("https://icd.who.int/dev11/l-ichi/en#/http%3A%2F%2Fid.who.int%2Ficd%2Fentity%2F730816413","browser")</x:f>
      </x:c>
      <x:c r="L13151" s="0">
        <x:f>hyperlink("https://icat2.azurewebsites.net/icat/?ontology=ICD&amp;tab=ClassesTab&amp;id=http%3A%2F%2Fwho.int%2Ficd%23SpecificAnatomicLocation_3408","iCat")</x:f>
      </x:c>
      <x:c r="M13151" s="0" t="s">
        <x:v>21</x:v>
      </x:c>
      <x:c r="N13151" s="0" t="s">
        <x:v>46</x:v>
      </x:c>
    </x:row>
    <x:row r="13152" spans="1:16">
      <x:c r="A13152" s="0" t="s">
        <x:v>50058</x:v>
      </x:c>
      <x:c r="B13152" s="0" t="s">
        <x:v>50059</x:v>
      </x:c>
      <x:c r="C13152" s="0" t="s">
        <x:v>42840</x:v>
      </x:c>
      <x:c r="E13152" s="0" t="s">
        <x:v>50060</x:v>
      </x:c>
      <x:c r="F13152" s="0" t="s">
        <x:v>45</x:v>
      </x:c>
      <x:c r="G13152" s="0" t="s">
        <x:v>22</x:v>
      </x:c>
      <x:c r="H13152" s="0" t="s">
        <x:v>20</x:v>
      </x:c>
      <x:c r="I13152" s="0" t="s">
        <x:v>21</x:v>
      </x:c>
      <x:c r="K13152" s="0">
        <x:f>hyperlink("https://icd.who.int/dev11/l-ichi/en#/http%3A%2F%2Fid.who.int%2Ficd%2Fentity%2F557914117","browser")</x:f>
      </x:c>
      <x:c r="L13152" s="0">
        <x:f>hyperlink("https://icat2.azurewebsites.net/icat/?ontology=ICD&amp;tab=ClassesTab&amp;id=http%3A%2F%2Fwho.int%2Ficd%23SpecificAnatomicLocation_3388","iCat")</x:f>
      </x:c>
      <x:c r="M13152" s="0" t="s">
        <x:v>21</x:v>
      </x:c>
      <x:c r="N13152" s="0" t="s">
        <x:v>46</x:v>
      </x:c>
    </x:row>
    <x:row r="13153" spans="1:16">
      <x:c r="A13153" s="0" t="s">
        <x:v>50061</x:v>
      </x:c>
      <x:c r="B13153" s="0" t="s">
        <x:v>50062</x:v>
      </x:c>
      <x:c r="C13153" s="0" t="s">
        <x:v>42840</x:v>
      </x:c>
      <x:c r="E13153" s="0" t="s">
        <x:v>50063</x:v>
      </x:c>
      <x:c r="F13153" s="0" t="s">
        <x:v>45</x:v>
      </x:c>
      <x:c r="G13153" s="0" t="s">
        <x:v>22</x:v>
      </x:c>
      <x:c r="H13153" s="0" t="s">
        <x:v>20</x:v>
      </x:c>
      <x:c r="I13153" s="0" t="s">
        <x:v>21</x:v>
      </x:c>
      <x:c r="K13153" s="0">
        <x:f>hyperlink("https://icd.who.int/dev11/l-ichi/en#/http%3A%2F%2Fid.who.int%2Ficd%2Fentity%2F149600291","browser")</x:f>
      </x:c>
      <x:c r="L13153" s="0">
        <x:f>hyperlink("https://icat2.azurewebsites.net/icat/?ontology=ICD&amp;tab=ClassesTab&amp;id=http%3A%2F%2Fwho.int%2Ficd%23SpecificAnatomicLocation_3407","iCat")</x:f>
      </x:c>
      <x:c r="M13153" s="0" t="s">
        <x:v>20</x:v>
      </x:c>
      <x:c r="N13153" s="0" t="s">
        <x:v>30</x:v>
      </x:c>
    </x:row>
    <x:row r="13154" spans="1:16">
      <x:c r="A13154" s="0" t="s">
        <x:v>50064</x:v>
      </x:c>
      <x:c r="B13154" s="0" t="s">
        <x:v>50065</x:v>
      </x:c>
      <x:c r="C13154" s="0" t="s">
        <x:v>42840</x:v>
      </x:c>
      <x:c r="E13154" s="0" t="s">
        <x:v>50066</x:v>
      </x:c>
      <x:c r="F13154" s="0" t="s">
        <x:v>45</x:v>
      </x:c>
      <x:c r="G13154" s="0" t="s">
        <x:v>40</x:v>
      </x:c>
      <x:c r="H13154" s="0" t="s">
        <x:v>20</x:v>
      </x:c>
      <x:c r="I13154" s="0" t="s">
        <x:v>21</x:v>
      </x:c>
      <x:c r="K13154" s="0">
        <x:f>hyperlink("https://icd.who.int/dev11/l-ichi/en#/http%3A%2F%2Fid.who.int%2Ficd%2Fentity%2F649752995","browser")</x:f>
      </x:c>
      <x:c r="L13154" s="0">
        <x:f>hyperlink("https://icat2.azurewebsites.net/icat/?ontology=ICD&amp;tab=ClassesTab&amp;id=http%3A%2F%2Fwho.int%2Ficd%23SpecificAnatomicLocation_3405","iCat")</x:f>
      </x:c>
      <x:c r="M13154" s="0" t="s">
        <x:v>21</x:v>
      </x:c>
      <x:c r="N13154" s="0" t="s">
        <x:v>46</x:v>
      </x:c>
    </x:row>
    <x:row r="13155" spans="1:16">
      <x:c r="A13155" s="0" t="s">
        <x:v>50067</x:v>
      </x:c>
      <x:c r="B13155" s="0" t="s">
        <x:v>50068</x:v>
      </x:c>
      <x:c r="C13155" s="0" t="s">
        <x:v>42840</x:v>
      </x:c>
      <x:c r="E13155" s="0" t="s">
        <x:v>50069</x:v>
      </x:c>
      <x:c r="F13155" s="0" t="s">
        <x:v>45</x:v>
      </x:c>
      <x:c r="G13155" s="0" t="s">
        <x:v>40</x:v>
      </x:c>
      <x:c r="H13155" s="0" t="s">
        <x:v>20</x:v>
      </x:c>
      <x:c r="I13155" s="0" t="s">
        <x:v>21</x:v>
      </x:c>
      <x:c r="K13155" s="0">
        <x:f>hyperlink("https://icd.who.int/dev11/l-ichi/en#/http%3A%2F%2Fid.who.int%2Ficd%2Fentity%2F532864227","browser")</x:f>
      </x:c>
      <x:c r="L13155" s="0">
        <x:f>hyperlink("https://icat2.azurewebsites.net/icat/?ontology=ICD&amp;tab=ClassesTab&amp;id=http%3A%2F%2Fwho.int%2Ficd%23SpecificAnatomicLocation_3406","iCat")</x:f>
      </x:c>
      <x:c r="M13155" s="0" t="s">
        <x:v>21</x:v>
      </x:c>
      <x:c r="N13155" s="0" t="s">
        <x:v>46</x:v>
      </x:c>
    </x:row>
    <x:row r="13156" spans="1:16">
      <x:c r="A13156" s="0" t="s">
        <x:v>50070</x:v>
      </x:c>
      <x:c r="B13156" s="0" t="s">
        <x:v>50071</x:v>
      </x:c>
      <x:c r="C13156" s="0" t="s">
        <x:v>42840</x:v>
      </x:c>
      <x:c r="E13156" s="0" t="s">
        <x:v>50072</x:v>
      </x:c>
      <x:c r="F13156" s="0" t="s">
        <x:v>45</x:v>
      </x:c>
      <x:c r="G13156" s="0" t="s">
        <x:v>22</x:v>
      </x:c>
      <x:c r="H13156" s="0" t="s">
        <x:v>20</x:v>
      </x:c>
      <x:c r="I13156" s="0" t="s">
        <x:v>21</x:v>
      </x:c>
      <x:c r="K13156" s="0">
        <x:f>hyperlink("https://icd.who.int/dev11/l-ichi/en#/http%3A%2F%2Fid.who.int%2Ficd%2Fentity%2F1166460962","browser")</x:f>
      </x:c>
      <x:c r="L13156" s="0">
        <x:f>hyperlink("https://icat2.azurewebsites.net/icat/?ontology=ICD&amp;tab=ClassesTab&amp;id=http%3A%2F%2Fwho.int%2Ficd%23SpecificAnatomicLocation_3394","iCat")</x:f>
      </x:c>
      <x:c r="M13156" s="0" t="s">
        <x:v>21</x:v>
      </x:c>
      <x:c r="N13156" s="0" t="s">
        <x:v>46</x:v>
      </x:c>
    </x:row>
    <x:row r="13157" spans="1:16">
      <x:c r="A13157" s="0" t="s">
        <x:v>50073</x:v>
      </x:c>
      <x:c r="B13157" s="0" t="s">
        <x:v>50074</x:v>
      </x:c>
      <x:c r="C13157" s="0" t="s">
        <x:v>42840</x:v>
      </x:c>
      <x:c r="E13157" s="0" t="s">
        <x:v>50075</x:v>
      </x:c>
      <x:c r="F13157" s="0" t="s">
        <x:v>45</x:v>
      </x:c>
      <x:c r="G13157" s="0" t="s">
        <x:v>22</x:v>
      </x:c>
      <x:c r="H13157" s="0" t="s">
        <x:v>20</x:v>
      </x:c>
      <x:c r="I13157" s="0" t="s">
        <x:v>21</x:v>
      </x:c>
      <x:c r="K13157" s="0">
        <x:f>hyperlink("https://icd.who.int/dev11/l-ichi/en#/http%3A%2F%2Fid.who.int%2Ficd%2Fentity%2F1604027102","browser")</x:f>
      </x:c>
      <x:c r="L13157" s="0">
        <x:f>hyperlink("https://icat2.azurewebsites.net/icat/?ontology=ICD&amp;tab=ClassesTab&amp;id=http%3A%2F%2Fwho.int%2Ficd%23SpecificAnatomicLocation_3398","iCat")</x:f>
      </x:c>
      <x:c r="M13157" s="0" t="s">
        <x:v>21</x:v>
      </x:c>
      <x:c r="N13157" s="0" t="s">
        <x:v>46</x:v>
      </x:c>
    </x:row>
    <x:row r="13158" spans="1:16">
      <x:c r="A13158" s="0" t="s">
        <x:v>50076</x:v>
      </x:c>
      <x:c r="B13158" s="0" t="s">
        <x:v>50077</x:v>
      </x:c>
      <x:c r="C13158" s="0" t="s">
        <x:v>42840</x:v>
      </x:c>
      <x:c r="E13158" s="0" t="s">
        <x:v>50078</x:v>
      </x:c>
      <x:c r="F13158" s="0" t="s">
        <x:v>45</x:v>
      </x:c>
      <x:c r="G13158" s="0" t="s">
        <x:v>22</x:v>
      </x:c>
      <x:c r="H13158" s="0" t="s">
        <x:v>20</x:v>
      </x:c>
      <x:c r="I13158" s="0" t="s">
        <x:v>21</x:v>
      </x:c>
      <x:c r="K13158" s="0">
        <x:f>hyperlink("https://icd.who.int/dev11/l-ichi/en#/http%3A%2F%2Fid.who.int%2Ficd%2Fentity%2F1482746746","browser")</x:f>
      </x:c>
      <x:c r="L13158" s="0">
        <x:f>hyperlink("https://icat2.azurewebsites.net/icat/?ontology=ICD&amp;tab=ClassesTab&amp;id=http%3A%2F%2Fwho.int%2Ficd%23SpecificAnatomicLocation_3415","iCat")</x:f>
      </x:c>
      <x:c r="M13158" s="0" t="s">
        <x:v>21</x:v>
      </x:c>
      <x:c r="N13158" s="0" t="s">
        <x:v>46</x:v>
      </x:c>
    </x:row>
    <x:row r="13159" spans="1:16">
      <x:c r="A13159" s="0" t="s">
        <x:v>50079</x:v>
      </x:c>
      <x:c r="B13159" s="0" t="s">
        <x:v>50080</x:v>
      </x:c>
      <x:c r="C13159" s="0" t="s">
        <x:v>42840</x:v>
      </x:c>
      <x:c r="E13159" s="0" t="s">
        <x:v>50081</x:v>
      </x:c>
      <x:c r="F13159" s="0" t="s">
        <x:v>45</x:v>
      </x:c>
      <x:c r="G13159" s="0" t="s">
        <x:v>22</x:v>
      </x:c>
      <x:c r="H13159" s="0" t="s">
        <x:v>20</x:v>
      </x:c>
      <x:c r="I13159" s="0" t="s">
        <x:v>21</x:v>
      </x:c>
      <x:c r="K13159" s="0">
        <x:f>hyperlink("https://icd.who.int/dev11/l-ichi/en#/http%3A%2F%2Fid.who.int%2Ficd%2Fentity%2F1982866170","browser")</x:f>
      </x:c>
      <x:c r="L13159" s="0">
        <x:f>hyperlink("https://icat2.azurewebsites.net/icat/?ontology=ICD&amp;tab=ClassesTab&amp;id=http%3A%2F%2Fwho.int%2Ficd%23SpecificAnatomicLocation_3417","iCat")</x:f>
      </x:c>
      <x:c r="M13159" s="0" t="s">
        <x:v>21</x:v>
      </x:c>
      <x:c r="N13159" s="0" t="s">
        <x:v>46</x:v>
      </x:c>
    </x:row>
    <x:row r="13160" spans="1:16">
      <x:c r="A13160" s="0" t="s">
        <x:v>50082</x:v>
      </x:c>
      <x:c r="B13160" s="0" t="s">
        <x:v>50083</x:v>
      </x:c>
      <x:c r="C13160" s="0" t="s">
        <x:v>42840</x:v>
      </x:c>
      <x:c r="E13160" s="0" t="s">
        <x:v>50084</x:v>
      </x:c>
      <x:c r="F13160" s="0" t="s">
        <x:v>45</x:v>
      </x:c>
      <x:c r="G13160" s="0" t="s">
        <x:v>22</x:v>
      </x:c>
      <x:c r="H13160" s="0" t="s">
        <x:v>20</x:v>
      </x:c>
      <x:c r="I13160" s="0" t="s">
        <x:v>21</x:v>
      </x:c>
      <x:c r="K13160" s="0">
        <x:f>hyperlink("https://icd.who.int/dev11/l-ichi/en#/http%3A%2F%2Fid.who.int%2Ficd%2Fentity%2F1219749406","browser")</x:f>
      </x:c>
      <x:c r="L13160" s="0">
        <x:f>hyperlink("https://icat2.azurewebsites.net/icat/?ontology=ICD&amp;tab=ClassesTab&amp;id=http%3A%2F%2Fwho.int%2Ficd%23SpecificAnatomicLocation_3399","iCat")</x:f>
      </x:c>
      <x:c r="M13160" s="0" t="s">
        <x:v>21</x:v>
      </x:c>
      <x:c r="N13160" s="0" t="s">
        <x:v>46</x:v>
      </x:c>
    </x:row>
    <x:row r="13161" spans="1:16">
      <x:c r="A13161" s="0" t="s">
        <x:v>50085</x:v>
      </x:c>
      <x:c r="B13161" s="0" t="s">
        <x:v>50086</x:v>
      </x:c>
      <x:c r="C13161" s="0" t="s">
        <x:v>42840</x:v>
      </x:c>
      <x:c r="E13161" s="0" t="s">
        <x:v>50087</x:v>
      </x:c>
      <x:c r="F13161" s="0" t="s">
        <x:v>45</x:v>
      </x:c>
      <x:c r="G13161" s="0" t="s">
        <x:v>22</x:v>
      </x:c>
      <x:c r="H13161" s="0" t="s">
        <x:v>20</x:v>
      </x:c>
      <x:c r="I13161" s="0" t="s">
        <x:v>21</x:v>
      </x:c>
      <x:c r="K13161" s="0">
        <x:f>hyperlink("https://icd.who.int/dev11/l-ichi/en#/http%3A%2F%2Fid.who.int%2Ficd%2Fentity%2F1832093283","browser")</x:f>
      </x:c>
      <x:c r="L13161" s="0">
        <x:f>hyperlink("https://icat2.azurewebsites.net/icat/?ontology=ICD&amp;tab=ClassesTab&amp;id=http%3A%2F%2Fwho.int%2Ficd%23SpecificAnatomicLocation_3400","iCat")</x:f>
      </x:c>
      <x:c r="M13161" s="0" t="s">
        <x:v>21</x:v>
      </x:c>
      <x:c r="N13161" s="0" t="s">
        <x:v>46</x:v>
      </x:c>
    </x:row>
    <x:row r="13162" spans="1:16">
      <x:c r="A13162" s="0" t="s">
        <x:v>50088</x:v>
      </x:c>
      <x:c r="B13162" s="0" t="s">
        <x:v>50089</x:v>
      </x:c>
      <x:c r="C13162" s="0" t="s">
        <x:v>42840</x:v>
      </x:c>
      <x:c r="E13162" s="0" t="s">
        <x:v>50090</x:v>
      </x:c>
      <x:c r="F13162" s="0" t="s">
        <x:v>45</x:v>
      </x:c>
      <x:c r="G13162" s="0" t="s">
        <x:v>22</x:v>
      </x:c>
      <x:c r="H13162" s="0" t="s">
        <x:v>20</x:v>
      </x:c>
      <x:c r="I13162" s="0" t="s">
        <x:v>21</x:v>
      </x:c>
      <x:c r="K13162" s="0">
        <x:f>hyperlink("https://icd.who.int/dev11/l-ichi/en#/http%3A%2F%2Fid.who.int%2Ficd%2Fentity%2F831657315","browser")</x:f>
      </x:c>
      <x:c r="L13162" s="0">
        <x:f>hyperlink("https://icat2.azurewebsites.net/icat/?ontology=ICD&amp;tab=ClassesTab&amp;id=http%3A%2F%2Fwho.int%2Ficd%23SpecificAnatomicLocation_3404","iCat")</x:f>
      </x:c>
      <x:c r="M13162" s="0" t="s">
        <x:v>21</x:v>
      </x:c>
      <x:c r="N13162" s="0" t="s">
        <x:v>46</x:v>
      </x:c>
    </x:row>
    <x:row r="13163" spans="1:16">
      <x:c r="A13163" s="0" t="s">
        <x:v>50091</x:v>
      </x:c>
      <x:c r="B13163" s="0" t="s">
        <x:v>50092</x:v>
      </x:c>
      <x:c r="C13163" s="0" t="s">
        <x:v>42840</x:v>
      </x:c>
      <x:c r="E13163" s="0" t="s">
        <x:v>50093</x:v>
      </x:c>
      <x:c r="F13163" s="0" t="s">
        <x:v>45</x:v>
      </x:c>
      <x:c r="G13163" s="0" t="s">
        <x:v>22</x:v>
      </x:c>
      <x:c r="H13163" s="0" t="s">
        <x:v>20</x:v>
      </x:c>
      <x:c r="I13163" s="0" t="s">
        <x:v>21</x:v>
      </x:c>
      <x:c r="K13163" s="0">
        <x:f>hyperlink("https://icd.who.int/dev11/l-ichi/en#/http%3A%2F%2Fid.who.int%2Ficd%2Fentity%2F714191354","browser")</x:f>
      </x:c>
      <x:c r="L13163" s="0">
        <x:f>hyperlink("https://icat2.azurewebsites.net/icat/?ontology=ICD&amp;tab=ClassesTab&amp;id=http%3A%2F%2Fwho.int%2Ficd%23SpecificAnatomicLocation_3413","iCat")</x:f>
      </x:c>
      <x:c r="M13163" s="0" t="s">
        <x:v>21</x:v>
      </x:c>
      <x:c r="N13163" s="0" t="s">
        <x:v>46</x:v>
      </x:c>
    </x:row>
    <x:row r="13164" spans="1:16">
      <x:c r="A13164" s="0" t="s">
        <x:v>50094</x:v>
      </x:c>
      <x:c r="B13164" s="0" t="s">
        <x:v>50095</x:v>
      </x:c>
      <x:c r="C13164" s="0" t="s">
        <x:v>42840</x:v>
      </x:c>
      <x:c r="E13164" s="0" t="s">
        <x:v>50096</x:v>
      </x:c>
      <x:c r="F13164" s="0" t="s">
        <x:v>45</x:v>
      </x:c>
      <x:c r="G13164" s="0" t="s">
        <x:v>22</x:v>
      </x:c>
      <x:c r="H13164" s="0" t="s">
        <x:v>20</x:v>
      </x:c>
      <x:c r="I13164" s="0" t="s">
        <x:v>21</x:v>
      </x:c>
      <x:c r="K13164" s="0">
        <x:f>hyperlink("https://icd.who.int/dev11/l-ichi/en#/http%3A%2F%2Fid.who.int%2Ficd%2Fentity%2F1130581987","browser")</x:f>
      </x:c>
      <x:c r="L13164" s="0">
        <x:f>hyperlink("https://icat2.azurewebsites.net/icat/?ontology=ICD&amp;tab=ClassesTab&amp;id=http%3A%2F%2Fwho.int%2Ficd%23SpecificAnatomicLocation_3402","iCat")</x:f>
      </x:c>
      <x:c r="M13164" s="0" t="s">
        <x:v>21</x:v>
      </x:c>
      <x:c r="N13164" s="0" t="s">
        <x:v>46</x:v>
      </x:c>
    </x:row>
    <x:row r="13165" spans="1:16">
      <x:c r="A13165" s="0" t="s">
        <x:v>50097</x:v>
      </x:c>
      <x:c r="B13165" s="0" t="s">
        <x:v>50098</x:v>
      </x:c>
      <x:c r="C13165" s="0" t="s">
        <x:v>42840</x:v>
      </x:c>
      <x:c r="E13165" s="0" t="s">
        <x:v>50099</x:v>
      </x:c>
      <x:c r="F13165" s="0" t="s">
        <x:v>45</x:v>
      </x:c>
      <x:c r="G13165" s="0" t="s">
        <x:v>22</x:v>
      </x:c>
      <x:c r="H13165" s="0" t="s">
        <x:v>20</x:v>
      </x:c>
      <x:c r="I13165" s="0" t="s">
        <x:v>21</x:v>
      </x:c>
      <x:c r="K13165" s="0">
        <x:f>hyperlink("https://icd.who.int/dev11/l-ichi/en#/http%3A%2F%2Fid.who.int%2Ficd%2Fentity%2F1017592669","browser")</x:f>
      </x:c>
      <x:c r="L13165" s="0">
        <x:f>hyperlink("https://icat2.azurewebsites.net/icat/?ontology=ICD&amp;tab=ClassesTab&amp;id=http%3A%2F%2Fwho.int%2Ficd%23SpecificAnatomicLocation_3409","iCat")</x:f>
      </x:c>
      <x:c r="M13165" s="0" t="s">
        <x:v>21</x:v>
      </x:c>
      <x:c r="N13165" s="0" t="s">
        <x:v>46</x:v>
      </x:c>
    </x:row>
    <x:row r="13166" spans="1:16">
      <x:c r="A13166" s="0" t="s">
        <x:v>50100</x:v>
      </x:c>
      <x:c r="B13166" s="0" t="s">
        <x:v>50101</x:v>
      </x:c>
      <x:c r="C13166" s="0" t="s">
        <x:v>42840</x:v>
      </x:c>
      <x:c r="E13166" s="0" t="s">
        <x:v>50102</x:v>
      </x:c>
      <x:c r="F13166" s="0" t="s">
        <x:v>45</x:v>
      </x:c>
      <x:c r="G13166" s="0" t="s">
        <x:v>22</x:v>
      </x:c>
      <x:c r="H13166" s="0" t="s">
        <x:v>20</x:v>
      </x:c>
      <x:c r="I13166" s="0" t="s">
        <x:v>21</x:v>
      </x:c>
      <x:c r="K13166" s="0">
        <x:f>hyperlink("https://icd.who.int/dev11/l-ichi/en#/http%3A%2F%2Fid.who.int%2Ficd%2Fentity%2F35979195","browser")</x:f>
      </x:c>
      <x:c r="L13166" s="0">
        <x:f>hyperlink("https://icat2.azurewebsites.net/icat/?ontology=ICD&amp;tab=ClassesTab&amp;id=http%3A%2F%2Fwho.int%2Ficd%23SpecificAnatomicLocation_3387","iCat")</x:f>
      </x:c>
      <x:c r="M13166" s="0" t="s">
        <x:v>21</x:v>
      </x:c>
      <x:c r="N13166" s="0" t="s">
        <x:v>46</x:v>
      </x:c>
    </x:row>
    <x:row r="13167" spans="1:16">
      <x:c r="A13167" s="0" t="s">
        <x:v>50103</x:v>
      </x:c>
      <x:c r="B13167" s="0" t="s">
        <x:v>50104</x:v>
      </x:c>
      <x:c r="C13167" s="0" t="s">
        <x:v>42840</x:v>
      </x:c>
      <x:c r="E13167" s="0" t="s">
        <x:v>50105</x:v>
      </x:c>
      <x:c r="F13167" s="0" t="s">
        <x:v>45</x:v>
      </x:c>
      <x:c r="G13167" s="0" t="s">
        <x:v>22</x:v>
      </x:c>
      <x:c r="H13167" s="0" t="s">
        <x:v>20</x:v>
      </x:c>
      <x:c r="I13167" s="0" t="s">
        <x:v>21</x:v>
      </x:c>
      <x:c r="K13167" s="0">
        <x:f>hyperlink("https://icd.who.int/dev11/l-ichi/en#/http%3A%2F%2Fid.who.int%2Ficd%2Fentity%2F1115529606","browser")</x:f>
      </x:c>
      <x:c r="L13167" s="0">
        <x:f>hyperlink("https://icat2.azurewebsites.net/icat/?ontology=ICD&amp;tab=ClassesTab&amp;id=http%3A%2F%2Fwho.int%2Ficd%23SpecificAnatomicLocation_3419","iCat")</x:f>
      </x:c>
      <x:c r="M13167" s="0" t="s">
        <x:v>21</x:v>
      </x:c>
      <x:c r="N13167" s="0" t="s">
        <x:v>46</x:v>
      </x:c>
    </x:row>
    <x:row r="13168" spans="1:16">
      <x:c r="A13168" s="0" t="s">
        <x:v>50106</x:v>
      </x:c>
      <x:c r="B13168" s="0" t="s">
        <x:v>50107</x:v>
      </x:c>
      <x:c r="C13168" s="0" t="s">
        <x:v>42840</x:v>
      </x:c>
      <x:c r="E13168" s="0" t="s">
        <x:v>50108</x:v>
      </x:c>
      <x:c r="F13168" s="0" t="s">
        <x:v>45</x:v>
      </x:c>
      <x:c r="G13168" s="0" t="s">
        <x:v>22</x:v>
      </x:c>
      <x:c r="H13168" s="0" t="s">
        <x:v>20</x:v>
      </x:c>
      <x:c r="I13168" s="0" t="s">
        <x:v>21</x:v>
      </x:c>
      <x:c r="K13168" s="0">
        <x:f>hyperlink("https://icd.who.int/dev11/l-ichi/en#/http%3A%2F%2Fid.who.int%2Ficd%2Fentity%2F745813563","browser")</x:f>
      </x:c>
      <x:c r="L13168" s="0">
        <x:f>hyperlink("https://icat2.azurewebsites.net/icat/?ontology=ICD&amp;tab=ClassesTab&amp;id=http%3A%2F%2Fwho.int%2Ficd%23SpecificAnatomicLocation_3385","iCat")</x:f>
      </x:c>
      <x:c r="M13168" s="0" t="s">
        <x:v>21</x:v>
      </x:c>
      <x:c r="N13168" s="0" t="s">
        <x:v>46</x:v>
      </x:c>
    </x:row>
    <x:row r="13169" spans="1:16">
      <x:c r="A13169" s="0" t="s">
        <x:v>50109</x:v>
      </x:c>
      <x:c r="B13169" s="0" t="s">
        <x:v>50110</x:v>
      </x:c>
      <x:c r="C13169" s="0" t="s">
        <x:v>42840</x:v>
      </x:c>
      <x:c r="E13169" s="0" t="s">
        <x:v>50111</x:v>
      </x:c>
      <x:c r="F13169" s="0" t="s">
        <x:v>45</x:v>
      </x:c>
      <x:c r="G13169" s="0" t="s">
        <x:v>22</x:v>
      </x:c>
      <x:c r="H13169" s="0" t="s">
        <x:v>20</x:v>
      </x:c>
      <x:c r="I13169" s="0" t="s">
        <x:v>21</x:v>
      </x:c>
      <x:c r="K13169" s="0">
        <x:f>hyperlink("https://icd.who.int/dev11/l-ichi/en#/http%3A%2F%2Fid.who.int%2Ficd%2Fentity%2F543159906","browser")</x:f>
      </x:c>
      <x:c r="L13169" s="0">
        <x:f>hyperlink("https://icat2.azurewebsites.net/icat/?ontology=ICD&amp;tab=ClassesTab&amp;id=http%3A%2F%2Fwho.int%2Ficd%23SpecificAnatomicLocation_3393","iCat")</x:f>
      </x:c>
      <x:c r="M13169" s="0" t="s">
        <x:v>20</x:v>
      </x:c>
      <x:c r="N13169" s="0" t="s">
        <x:v>22</x:v>
      </x:c>
    </x:row>
    <x:row r="13170" spans="1:16">
      <x:c r="A13170" s="0" t="s">
        <x:v>50112</x:v>
      </x:c>
      <x:c r="B13170" s="0" t="s">
        <x:v>50113</x:v>
      </x:c>
      <x:c r="C13170" s="0" t="s">
        <x:v>42840</x:v>
      </x:c>
      <x:c r="E13170" s="0" t="s">
        <x:v>50114</x:v>
      </x:c>
      <x:c r="F13170" s="0" t="s">
        <x:v>45</x:v>
      </x:c>
      <x:c r="G13170" s="0" t="s">
        <x:v>40</x:v>
      </x:c>
      <x:c r="H13170" s="0" t="s">
        <x:v>20</x:v>
      </x:c>
      <x:c r="I13170" s="0" t="s">
        <x:v>21</x:v>
      </x:c>
      <x:c r="K13170" s="0">
        <x:f>hyperlink("https://icd.who.int/dev11/l-ichi/en#/http%3A%2F%2Fid.who.int%2Ficd%2Fentity%2F912882885","browser")</x:f>
      </x:c>
      <x:c r="L13170" s="0">
        <x:f>hyperlink("https://icat2.azurewebsites.net/icat/?ontology=ICD&amp;tab=ClassesTab&amp;id=http%3A%2F%2Fwho.int%2Ficd%23SpecificAnatomicLocation_3389","iCat")</x:f>
      </x:c>
      <x:c r="M13170" s="0" t="s">
        <x:v>21</x:v>
      </x:c>
      <x:c r="N13170" s="0" t="s">
        <x:v>46</x:v>
      </x:c>
    </x:row>
    <x:row r="13171" spans="1:16">
      <x:c r="A13171" s="0" t="s">
        <x:v>50115</x:v>
      </x:c>
      <x:c r="B13171" s="0" t="s">
        <x:v>50116</x:v>
      </x:c>
      <x:c r="C13171" s="0" t="s">
        <x:v>42840</x:v>
      </x:c>
      <x:c r="E13171" s="0" t="s">
        <x:v>50117</x:v>
      </x:c>
      <x:c r="F13171" s="0" t="s">
        <x:v>45</x:v>
      </x:c>
      <x:c r="G13171" s="0" t="s">
        <x:v>40</x:v>
      </x:c>
      <x:c r="H13171" s="0" t="s">
        <x:v>20</x:v>
      </x:c>
      <x:c r="I13171" s="0" t="s">
        <x:v>21</x:v>
      </x:c>
      <x:c r="K13171" s="0">
        <x:f>hyperlink("https://icd.who.int/dev11/l-ichi/en#/http%3A%2F%2Fid.who.int%2Ficd%2Fentity%2F235880418","browser")</x:f>
      </x:c>
      <x:c r="L13171" s="0">
        <x:f>hyperlink("https://icat2.azurewebsites.net/icat/?ontology=ICD&amp;tab=ClassesTab&amp;id=http%3A%2F%2Fwho.int%2Ficd%23SpecificAnatomicLocation_3391","iCat")</x:f>
      </x:c>
      <x:c r="M13171" s="0" t="s">
        <x:v>21</x:v>
      </x:c>
      <x:c r="N13171" s="0" t="s">
        <x:v>46</x:v>
      </x:c>
    </x:row>
    <x:row r="13172" spans="1:16">
      <x:c r="A13172" s="0" t="s">
        <x:v>50118</x:v>
      </x:c>
      <x:c r="B13172" s="0" t="s">
        <x:v>50119</x:v>
      </x:c>
      <x:c r="C13172" s="0" t="s">
        <x:v>42840</x:v>
      </x:c>
      <x:c r="E13172" s="0" t="s">
        <x:v>50120</x:v>
      </x:c>
      <x:c r="F13172" s="0" t="s">
        <x:v>45</x:v>
      </x:c>
      <x:c r="G13172" s="0" t="s">
        <x:v>40</x:v>
      </x:c>
      <x:c r="H13172" s="0" t="s">
        <x:v>20</x:v>
      </x:c>
      <x:c r="I13172" s="0" t="s">
        <x:v>21</x:v>
      </x:c>
      <x:c r="K13172" s="0">
        <x:f>hyperlink("https://icd.who.int/dev11/l-ichi/en#/http%3A%2F%2Fid.who.int%2Ficd%2Fentity%2F930583202","browser")</x:f>
      </x:c>
      <x:c r="L13172" s="0">
        <x:f>hyperlink("https://icat2.azurewebsites.net/icat/?ontology=ICD&amp;tab=ClassesTab&amp;id=http%3A%2F%2Fwho.int%2Ficd%23SpecificAnatomicLocation_3392","iCat")</x:f>
      </x:c>
      <x:c r="M13172" s="0" t="s">
        <x:v>21</x:v>
      </x:c>
      <x:c r="N13172" s="0" t="s">
        <x:v>46</x:v>
      </x:c>
    </x:row>
    <x:row r="13173" spans="1:16">
      <x:c r="A13173" s="0" t="s">
        <x:v>50121</x:v>
      </x:c>
      <x:c r="B13173" s="0" t="s">
        <x:v>50122</x:v>
      </x:c>
      <x:c r="C13173" s="0" t="s">
        <x:v>42840</x:v>
      </x:c>
      <x:c r="E13173" s="0" t="s">
        <x:v>50123</x:v>
      </x:c>
      <x:c r="F13173" s="0" t="s">
        <x:v>45</x:v>
      </x:c>
      <x:c r="G13173" s="0" t="s">
        <x:v>40</x:v>
      </x:c>
      <x:c r="H13173" s="0" t="s">
        <x:v>20</x:v>
      </x:c>
      <x:c r="I13173" s="0" t="s">
        <x:v>21</x:v>
      </x:c>
      <x:c r="K13173" s="0">
        <x:f>hyperlink("https://icd.who.int/dev11/l-ichi/en#/http%3A%2F%2Fid.who.int%2Ficd%2Fentity%2F422009634","browser")</x:f>
      </x:c>
      <x:c r="L13173" s="0">
        <x:f>hyperlink("https://icat2.azurewebsites.net/icat/?ontology=ICD&amp;tab=ClassesTab&amp;id=http%3A%2F%2Fwho.int%2Ficd%23SpecificAnatomicLocation_3390","iCat")</x:f>
      </x:c>
      <x:c r="M13173" s="0" t="s">
        <x:v>21</x:v>
      </x:c>
      <x:c r="N13173" s="0" t="s">
        <x:v>46</x:v>
      </x:c>
    </x:row>
    <x:row r="13174" spans="1:16">
      <x:c r="A13174" s="0" t="s">
        <x:v>50124</x:v>
      </x:c>
      <x:c r="B13174" s="0" t="s">
        <x:v>50125</x:v>
      </x:c>
      <x:c r="C13174" s="0" t="s">
        <x:v>42840</x:v>
      </x:c>
      <x:c r="E13174" s="0" t="s">
        <x:v>50126</x:v>
      </x:c>
      <x:c r="F13174" s="0" t="s">
        <x:v>45</x:v>
      </x:c>
      <x:c r="G13174" s="0" t="s">
        <x:v>22</x:v>
      </x:c>
      <x:c r="H13174" s="0" t="s">
        <x:v>20</x:v>
      </x:c>
      <x:c r="I13174" s="0" t="s">
        <x:v>21</x:v>
      </x:c>
      <x:c r="K13174" s="0">
        <x:f>hyperlink("https://icd.who.int/dev11/l-ichi/en#/http%3A%2F%2Fid.who.int%2Ficd%2Fentity%2F1330155450","browser")</x:f>
      </x:c>
      <x:c r="L13174" s="0">
        <x:f>hyperlink("https://icat2.azurewebsites.net/icat/?ontology=ICD&amp;tab=ClassesTab&amp;id=http%3A%2F%2Fwho.int%2Ficd%23SpecificAnatomicLocation_3414","iCat")</x:f>
      </x:c>
      <x:c r="M13174" s="0" t="s">
        <x:v>21</x:v>
      </x:c>
      <x:c r="N13174" s="0" t="s">
        <x:v>46</x:v>
      </x:c>
    </x:row>
    <x:row r="13175" spans="1:16">
      <x:c r="A13175" s="0" t="s">
        <x:v>50127</x:v>
      </x:c>
      <x:c r="B13175" s="0" t="s">
        <x:v>50128</x:v>
      </x:c>
      <x:c r="C13175" s="0" t="s">
        <x:v>42840</x:v>
      </x:c>
      <x:c r="E13175" s="0" t="s">
        <x:v>50129</x:v>
      </x:c>
      <x:c r="F13175" s="0" t="s">
        <x:v>45</x:v>
      </x:c>
      <x:c r="G13175" s="0" t="s">
        <x:v>19</x:v>
      </x:c>
      <x:c r="H13175" s="0" t="s">
        <x:v>20</x:v>
      </x:c>
      <x:c r="I13175" s="0" t="s">
        <x:v>21</x:v>
      </x:c>
      <x:c r="K13175" s="0">
        <x:f>hyperlink("https://icd.who.int/dev11/l-ichi/en#/http%3A%2F%2Fid.who.int%2Ficd%2Fentity%2F1041587014","browser")</x:f>
      </x:c>
      <x:c r="L13175" s="0">
        <x:f>hyperlink("https://icat2.azurewebsites.net/icat/?ontology=ICD&amp;tab=ClassesTab&amp;id=http%3A%2F%2Fwho.int%2Ficd%2310896_b42302c6_9ff1_412e_a40f_2f411ad4c932","iCat")</x:f>
      </x:c>
      <x:c r="M13175" s="0" t="s">
        <x:v>21</x:v>
      </x:c>
      <x:c r="N13175" s="0" t="s">
        <x:v>46</x:v>
      </x:c>
    </x:row>
    <x:row r="13176" spans="1:16">
      <x:c r="A13176" s="0" t="s">
        <x:v>50130</x:v>
      </x:c>
      <x:c r="B13176" s="0" t="s">
        <x:v>50131</x:v>
      </x:c>
      <x:c r="D13176" s="0" t="s">
        <x:v>44797</x:v>
      </x:c>
      <x:c r="E13176" s="0" t="s">
        <x:v>50132</x:v>
      </x:c>
      <x:c r="F13176" s="0" t="s">
        <x:v>26</x:v>
      </x:c>
      <x:c r="G13176" s="0" t="s">
        <x:v>40</x:v>
      </x:c>
      <x:c r="H13176" s="0" t="s">
        <x:v>20</x:v>
      </x:c>
      <x:c r="I13176" s="0" t="s">
        <x:v>21</x:v>
      </x:c>
      <x:c r="K13176" s="0">
        <x:f>hyperlink("https://icd.who.int/dev11/l-ichi/en#/http%3A%2F%2Fid.who.int%2Ficd%2Fentity%2F223046766","browser")</x:f>
      </x:c>
      <x:c r="L13176" s="0">
        <x:f>hyperlink("https://icat2.azurewebsites.net/icat/?ontology=ICD&amp;tab=ClassesTab&amp;id=http%3A%2F%2Fwho.int%2Ficd%23SpecificAnatomicLocation_3428","iCat")</x:f>
      </x:c>
      <x:c r="M13176" s="0" t="s">
        <x:v>20</x:v>
      </x:c>
      <x:c r="N13176" s="0" t="s">
        <x:v>30</x:v>
      </x:c>
    </x:row>
    <x:row r="13177" spans="1:16">
      <x:c r="A13177" s="0" t="s">
        <x:v>50133</x:v>
      </x:c>
      <x:c r="B13177" s="0" t="s">
        <x:v>50134</x:v>
      </x:c>
      <x:c r="C13177" s="0" t="s">
        <x:v>42840</x:v>
      </x:c>
      <x:c r="E13177" s="0" t="s">
        <x:v>50135</x:v>
      </x:c>
      <x:c r="F13177" s="0" t="s">
        <x:v>45</x:v>
      </x:c>
      <x:c r="G13177" s="0" t="s">
        <x:v>19</x:v>
      </x:c>
      <x:c r="H13177" s="0" t="s">
        <x:v>20</x:v>
      </x:c>
      <x:c r="I13177" s="0" t="s">
        <x:v>21</x:v>
      </x:c>
      <x:c r="K13177" s="0">
        <x:f>hyperlink("https://icd.who.int/dev11/l-ichi/en#/http%3A%2F%2Fid.who.int%2Ficd%2Fentity%2F774802386","browser")</x:f>
      </x:c>
      <x:c r="L13177" s="0">
        <x:f>hyperlink("https://icat2.azurewebsites.net/icat/?ontology=ICD&amp;tab=ClassesTab&amp;id=http%3A%2F%2Fwho.int%2Ficd%23SpecificAnatomicLocation_3427","iCat")</x:f>
      </x:c>
      <x:c r="M13177" s="0" t="s">
        <x:v>20</x:v>
      </x:c>
      <x:c r="N13177" s="0" t="s">
        <x:v>30</x:v>
      </x:c>
    </x:row>
    <x:row r="13178" spans="1:16">
      <x:c r="A13178" s="0" t="s">
        <x:v>50136</x:v>
      </x:c>
      <x:c r="B13178" s="0" t="s">
        <x:v>50137</x:v>
      </x:c>
      <x:c r="C13178" s="0" t="s">
        <x:v>42840</x:v>
      </x:c>
      <x:c r="E13178" s="0" t="s">
        <x:v>50138</x:v>
      </x:c>
      <x:c r="F13178" s="0" t="s">
        <x:v>45</x:v>
      </x:c>
      <x:c r="G13178" s="0" t="s">
        <x:v>30</x:v>
      </x:c>
      <x:c r="H13178" s="0" t="s">
        <x:v>20</x:v>
      </x:c>
      <x:c r="I13178" s="0" t="s">
        <x:v>21</x:v>
      </x:c>
      <x:c r="K13178" s="0">
        <x:f>hyperlink("https://icd.who.int/dev11/l-ichi/en#/http%3A%2F%2Fid.who.int%2Ficd%2Fentity%2F66023439","browser")</x:f>
      </x:c>
      <x:c r="L13178" s="0">
        <x:f>hyperlink("https://icat2.azurewebsites.net/icat/?ontology=ICD&amp;tab=ClassesTab&amp;id=http%3A%2F%2Fwho.int%2Ficd%237562_b42302c6_9ff1_412e_a40f_2f411ad4c932","iCat")</x:f>
      </x:c>
      <x:c r="M13178" s="0" t="s">
        <x:v>21</x:v>
      </x:c>
      <x:c r="N13178" s="0" t="s">
        <x:v>46</x:v>
      </x:c>
    </x:row>
    <x:row r="13179" spans="1:16">
      <x:c r="A13179" s="0" t="s">
        <x:v>50139</x:v>
      </x:c>
      <x:c r="B13179" s="0" t="s">
        <x:v>50140</x:v>
      </x:c>
      <x:c r="C13179" s="0" t="s">
        <x:v>42840</x:v>
      </x:c>
      <x:c r="E13179" s="0" t="s">
        <x:v>50141</x:v>
      </x:c>
      <x:c r="F13179" s="0" t="s">
        <x:v>45</x:v>
      </x:c>
      <x:c r="G13179" s="0" t="s">
        <x:v>30</x:v>
      </x:c>
      <x:c r="H13179" s="0" t="s">
        <x:v>20</x:v>
      </x:c>
      <x:c r="I13179" s="0" t="s">
        <x:v>21</x:v>
      </x:c>
      <x:c r="K13179" s="0">
        <x:f>hyperlink("https://icd.who.int/dev11/l-ichi/en#/http%3A%2F%2Fid.who.int%2Ficd%2Fentity%2F598848067","browser")</x:f>
      </x:c>
      <x:c r="L13179" s="0">
        <x:f>hyperlink("https://icat2.azurewebsites.net/icat/?ontology=ICD&amp;tab=ClassesTab&amp;id=http%3A%2F%2Fwho.int%2Ficd%237580_b42302c6_9ff1_412e_a40f_2f411ad4c932","iCat")</x:f>
      </x:c>
      <x:c r="M13179" s="0" t="s">
        <x:v>20</x:v>
      </x:c>
      <x:c r="N13179" s="0" t="s">
        <x:v>22</x:v>
      </x:c>
    </x:row>
    <x:row r="13180" spans="1:16">
      <x:c r="A13180" s="0" t="s">
        <x:v>50142</x:v>
      </x:c>
      <x:c r="B13180" s="0" t="s">
        <x:v>50143</x:v>
      </x:c>
      <x:c r="C13180" s="0" t="s">
        <x:v>42840</x:v>
      </x:c>
      <x:c r="E13180" s="0" t="s">
        <x:v>50144</x:v>
      </x:c>
      <x:c r="F13180" s="0" t="s">
        <x:v>45</x:v>
      </x:c>
      <x:c r="G13180" s="0" t="s">
        <x:v>35</x:v>
      </x:c>
      <x:c r="H13180" s="0" t="s">
        <x:v>20</x:v>
      </x:c>
      <x:c r="I13180" s="0" t="s">
        <x:v>21</x:v>
      </x:c>
      <x:c r="K13180" s="0">
        <x:f>hyperlink("https://icd.who.int/dev11/l-ichi/en#/http%3A%2F%2Fid.who.int%2Ficd%2Fentity%2F133518913","browser")</x:f>
      </x:c>
      <x:c r="L13180" s="0">
        <x:f>hyperlink("https://icat2.azurewebsites.net/icat/?ontology=ICD&amp;tab=ClassesTab&amp;id=http%3A%2F%2Fwho.int%2Ficd%237598_b42302c6_9ff1_412e_a40f_2f411ad4c932","iCat")</x:f>
      </x:c>
      <x:c r="M13180" s="0" t="s">
        <x:v>21</x:v>
      </x:c>
      <x:c r="N13180" s="0" t="s">
        <x:v>46</x:v>
      </x:c>
    </x:row>
    <x:row r="13181" spans="1:16">
      <x:c r="A13181" s="0" t="s">
        <x:v>50145</x:v>
      </x:c>
      <x:c r="B13181" s="0" t="s">
        <x:v>50146</x:v>
      </x:c>
      <x:c r="C13181" s="0" t="s">
        <x:v>42840</x:v>
      </x:c>
      <x:c r="E13181" s="0" t="s">
        <x:v>50147</x:v>
      </x:c>
      <x:c r="F13181" s="0" t="s">
        <x:v>45</x:v>
      </x:c>
      <x:c r="G13181" s="0" t="s">
        <x:v>35</x:v>
      </x:c>
      <x:c r="H13181" s="0" t="s">
        <x:v>20</x:v>
      </x:c>
      <x:c r="I13181" s="0" t="s">
        <x:v>21</x:v>
      </x:c>
      <x:c r="K13181" s="0">
        <x:f>hyperlink("https://icd.who.int/dev11/l-ichi/en#/http%3A%2F%2Fid.who.int%2Ficd%2Fentity%2F678026157","browser")</x:f>
      </x:c>
      <x:c r="L13181" s="0">
        <x:f>hyperlink("https://icat2.azurewebsites.net/icat/?ontology=ICD&amp;tab=ClassesTab&amp;id=http%3A%2F%2Fwho.int%2Ficd%237634_b42302c6_9ff1_412e_a40f_2f411ad4c932","iCat")</x:f>
      </x:c>
      <x:c r="M13181" s="0" t="s">
        <x:v>21</x:v>
      </x:c>
      <x:c r="N13181" s="0" t="s">
        <x:v>46</x:v>
      </x:c>
    </x:row>
    <x:row r="13182" spans="1:16">
      <x:c r="A13182" s="0" t="s">
        <x:v>50148</x:v>
      </x:c>
      <x:c r="B13182" s="0" t="s">
        <x:v>50149</x:v>
      </x:c>
      <x:c r="C13182" s="0" t="s">
        <x:v>42840</x:v>
      </x:c>
      <x:c r="E13182" s="0" t="s">
        <x:v>50150</x:v>
      </x:c>
      <x:c r="F13182" s="0" t="s">
        <x:v>45</x:v>
      </x:c>
      <x:c r="G13182" s="0" t="s">
        <x:v>35</x:v>
      </x:c>
      <x:c r="H13182" s="0" t="s">
        <x:v>20</x:v>
      </x:c>
      <x:c r="I13182" s="0" t="s">
        <x:v>21</x:v>
      </x:c>
      <x:c r="K13182" s="0">
        <x:f>hyperlink("https://icd.who.int/dev11/l-ichi/en#/http%3A%2F%2Fid.who.int%2Ficd%2Fentity%2F570524753","browser")</x:f>
      </x:c>
      <x:c r="L13182" s="0">
        <x:f>hyperlink("https://icat2.azurewebsites.net/icat/?ontology=ICD&amp;tab=ClassesTab&amp;id=http%3A%2F%2Fwho.int%2Ficd%237652_b42302c6_9ff1_412e_a40f_2f411ad4c932","iCat")</x:f>
      </x:c>
      <x:c r="M13182" s="0" t="s">
        <x:v>21</x:v>
      </x:c>
      <x:c r="N13182" s="0" t="s">
        <x:v>46</x:v>
      </x:c>
    </x:row>
    <x:row r="13183" spans="1:16">
      <x:c r="A13183" s="0" t="s">
        <x:v>50151</x:v>
      </x:c>
      <x:c r="B13183" s="0" t="s">
        <x:v>50152</x:v>
      </x:c>
      <x:c r="C13183" s="0" t="s">
        <x:v>42840</x:v>
      </x:c>
      <x:c r="E13183" s="0" t="s">
        <x:v>50153</x:v>
      </x:c>
      <x:c r="F13183" s="0" t="s">
        <x:v>45</x:v>
      </x:c>
      <x:c r="G13183" s="0" t="s">
        <x:v>35</x:v>
      </x:c>
      <x:c r="H13183" s="0" t="s">
        <x:v>20</x:v>
      </x:c>
      <x:c r="I13183" s="0" t="s">
        <x:v>21</x:v>
      </x:c>
      <x:c r="K13183" s="0">
        <x:f>hyperlink("https://icd.who.int/dev11/l-ichi/en#/http%3A%2F%2Fid.who.int%2Ficd%2Fentity%2F1734415162","browser")</x:f>
      </x:c>
      <x:c r="L13183" s="0">
        <x:f>hyperlink("https://icat2.azurewebsites.net/icat/?ontology=ICD&amp;tab=ClassesTab&amp;id=http%3A%2F%2Fwho.int%2Ficd%237616_b42302c6_9ff1_412e_a40f_2f411ad4c932","iCat")</x:f>
      </x:c>
      <x:c r="M13183" s="0" t="s">
        <x:v>21</x:v>
      </x:c>
      <x:c r="N13183" s="0" t="s">
        <x:v>46</x:v>
      </x:c>
    </x:row>
    <x:row r="13184" spans="1:16">
      <x:c r="A13184" s="0" t="s">
        <x:v>50154</x:v>
      </x:c>
      <x:c r="B13184" s="0" t="s">
        <x:v>50155</x:v>
      </x:c>
      <x:c r="C13184" s="0" t="s">
        <x:v>42840</x:v>
      </x:c>
      <x:c r="E13184" s="0" t="s">
        <x:v>50156</x:v>
      </x:c>
      <x:c r="F13184" s="0" t="s">
        <x:v>45</x:v>
      </x:c>
      <x:c r="G13184" s="0" t="s">
        <x:v>19</x:v>
      </x:c>
      <x:c r="H13184" s="0" t="s">
        <x:v>20</x:v>
      </x:c>
      <x:c r="I13184" s="0" t="s">
        <x:v>21</x:v>
      </x:c>
      <x:c r="K13184" s="0">
        <x:f>hyperlink("https://icd.who.int/dev11/l-ichi/en#/http%3A%2F%2Fid.who.int%2Ficd%2Fentity%2F956755730","browser")</x:f>
      </x:c>
      <x:c r="L13184" s="0">
        <x:f>hyperlink("https://icat2.azurewebsites.net/icat/?ontology=ICD&amp;tab=ClassesTab&amp;id=http%3A%2F%2Fwho.int%2Ficd%23SpecificAnatomicLocation_3426","iCat")</x:f>
      </x:c>
      <x:c r="M13184" s="0" t="s">
        <x:v>21</x:v>
      </x:c>
      <x:c r="N13184" s="0" t="s">
        <x:v>46</x:v>
      </x:c>
    </x:row>
    <x:row r="13185" spans="1:16">
      <x:c r="A13185" s="0" t="s">
        <x:v>50157</x:v>
      </x:c>
      <x:c r="B13185" s="0" t="s">
        <x:v>50158</x:v>
      </x:c>
      <x:c r="D13185" s="0" t="s">
        <x:v>44797</x:v>
      </x:c>
      <x:c r="E13185" s="0" t="s">
        <x:v>50159</x:v>
      </x:c>
      <x:c r="F13185" s="0" t="s">
        <x:v>26</x:v>
      </x:c>
      <x:c r="G13185" s="0" t="s">
        <x:v>40</x:v>
      </x:c>
      <x:c r="H13185" s="0" t="s">
        <x:v>20</x:v>
      </x:c>
      <x:c r="I13185" s="0" t="s">
        <x:v>21</x:v>
      </x:c>
      <x:c r="K13185" s="0">
        <x:f>hyperlink("https://icd.who.int/dev11/l-ichi/en#/http%3A%2F%2Fid.who.int%2Ficd%2Fentity%2F570772363","browser")</x:f>
      </x:c>
      <x:c r="L13185" s="0">
        <x:f>hyperlink("https://icat2.azurewebsites.net/icat/?ontology=ICD&amp;tab=ClassesTab&amp;id=http%3A%2F%2Fwho.int%2Ficd%23SpecificAnatomicLocation_3431","iCat")</x:f>
      </x:c>
      <x:c r="M13185" s="0" t="s">
        <x:v>20</x:v>
      </x:c>
      <x:c r="N13185" s="0" t="s">
        <x:v>30</x:v>
      </x:c>
    </x:row>
    <x:row r="13186" spans="1:16">
      <x:c r="A13186" s="0" t="s">
        <x:v>50160</x:v>
      </x:c>
      <x:c r="B13186" s="0" t="s">
        <x:v>50161</x:v>
      </x:c>
      <x:c r="C13186" s="0" t="s">
        <x:v>42840</x:v>
      </x:c>
      <x:c r="E13186" s="0" t="s">
        <x:v>50162</x:v>
      </x:c>
      <x:c r="F13186" s="0" t="s">
        <x:v>45</x:v>
      </x:c>
      <x:c r="G13186" s="0" t="s">
        <x:v>19</x:v>
      </x:c>
      <x:c r="H13186" s="0" t="s">
        <x:v>20</x:v>
      </x:c>
      <x:c r="I13186" s="0" t="s">
        <x:v>21</x:v>
      </x:c>
      <x:c r="K13186" s="0">
        <x:f>hyperlink("https://icd.who.int/dev11/l-ichi/en#/http%3A%2F%2Fid.who.int%2Ficd%2Fentity%2F892153675","browser")</x:f>
      </x:c>
      <x:c r="L13186" s="0">
        <x:f>hyperlink("https://icat2.azurewebsites.net/icat/?ontology=ICD&amp;tab=ClassesTab&amp;id=http%3A%2F%2Fwho.int%2Ficd%23SpecificAnatomicLocation_3430","iCat")</x:f>
      </x:c>
      <x:c r="M13186" s="0" t="s">
        <x:v>21</x:v>
      </x:c>
      <x:c r="N13186" s="0" t="s">
        <x:v>46</x:v>
      </x:c>
    </x:row>
    <x:row r="13187" spans="1:16">
      <x:c r="A13187" s="0" t="s">
        <x:v>50163</x:v>
      </x:c>
      <x:c r="B13187" s="0" t="s">
        <x:v>50164</x:v>
      </x:c>
      <x:c r="C13187" s="0" t="s">
        <x:v>42840</x:v>
      </x:c>
      <x:c r="E13187" s="0" t="s">
        <x:v>50165</x:v>
      </x:c>
      <x:c r="F13187" s="0" t="s">
        <x:v>45</x:v>
      </x:c>
      <x:c r="G13187" s="0" t="s">
        <x:v>19</x:v>
      </x:c>
      <x:c r="H13187" s="0" t="s">
        <x:v>20</x:v>
      </x:c>
      <x:c r="I13187" s="0" t="s">
        <x:v>21</x:v>
      </x:c>
      <x:c r="K13187" s="0">
        <x:f>hyperlink("https://icd.who.int/dev11/l-ichi/en#/http%3A%2F%2Fid.who.int%2Ficd%2Fentity%2F442697902","browser")</x:f>
      </x:c>
      <x:c r="L13187" s="0">
        <x:f>hyperlink("https://icat2.azurewebsites.net/icat/?ontology=ICD&amp;tab=ClassesTab&amp;id=http%3A%2F%2Fwho.int%2Ficd%23SpecificAnatomicLocation_3429","iCat")</x:f>
      </x:c>
      <x:c r="M13187" s="0" t="s">
        <x:v>21</x:v>
      </x:c>
      <x:c r="N13187" s="0" t="s">
        <x:v>46</x:v>
      </x:c>
    </x:row>
    <x:row r="13188" spans="1:16">
      <x:c r="A13188" s="0" t="s">
        <x:v>50166</x:v>
      </x:c>
      <x:c r="B13188" s="0" t="s">
        <x:v>50167</x:v>
      </x:c>
      <x:c r="D13188" s="0" t="s">
        <x:v>44524</x:v>
      </x:c>
      <x:c r="E13188" s="0" t="s">
        <x:v>50168</x:v>
      </x:c>
      <x:c r="F13188" s="0" t="s">
        <x:v>26</x:v>
      </x:c>
      <x:c r="G13188" s="0" t="s">
        <x:v>22</x:v>
      </x:c>
      <x:c r="H13188" s="0" t="s">
        <x:v>20</x:v>
      </x:c>
      <x:c r="I13188" s="0" t="s">
        <x:v>21</x:v>
      </x:c>
      <x:c r="K13188" s="0">
        <x:f>hyperlink("https://icd.who.int/dev11/l-ichi/en#/http%3A%2F%2Fid.who.int%2Ficd%2Fentity%2F1448567552","browser")</x:f>
      </x:c>
      <x:c r="L13188" s="0">
        <x:f>hyperlink("https://icat2.azurewebsites.net/icat/?ontology=ICD&amp;tab=ClassesTab&amp;id=http%3A%2F%2Fwho.int%2Ficd%23SpecificAnatomicLocation_1744","iCat")</x:f>
      </x:c>
      <x:c r="M13188" s="0" t="s">
        <x:v>20</x:v>
      </x:c>
      <x:c r="N13188" s="0" t="s">
        <x:v>431</x:v>
      </x:c>
    </x:row>
    <x:row r="13189" spans="1:16">
      <x:c r="A13189" s="0" t="s">
        <x:v>50169</x:v>
      </x:c>
      <x:c r="B13189" s="0" t="s">
        <x:v>50170</x:v>
      </x:c>
      <x:c r="C13189" s="0" t="s">
        <x:v>42840</x:v>
      </x:c>
      <x:c r="E13189" s="0" t="s">
        <x:v>50171</x:v>
      </x:c>
      <x:c r="F13189" s="0" t="s">
        <x:v>45</x:v>
      </x:c>
      <x:c r="G13189" s="0" t="s">
        <x:v>19</x:v>
      </x:c>
      <x:c r="H13189" s="0" t="s">
        <x:v>20</x:v>
      </x:c>
      <x:c r="I13189" s="0" t="s">
        <x:v>21</x:v>
      </x:c>
      <x:c r="K13189" s="0">
        <x:f>hyperlink("https://icd.who.int/dev11/l-ichi/en#/http%3A%2F%2Fid.who.int%2Ficd%2Fentity%2F1922573088","browser")</x:f>
      </x:c>
      <x:c r="L13189" s="0">
        <x:f>hyperlink("https://icat2.azurewebsites.net/icat/?ontology=ICD&amp;tab=ClassesTab&amp;id=http%3A%2F%2Fwho.int%2Ficd%23SpecificAnatomicLocation_1639","iCat")</x:f>
      </x:c>
      <x:c r="M13189" s="0" t="s">
        <x:v>20</x:v>
      </x:c>
      <x:c r="N13189" s="0" t="s">
        <x:v>50172</x:v>
      </x:c>
    </x:row>
    <x:row r="13190" spans="1:16">
      <x:c r="A13190" s="0" t="s">
        <x:v>50173</x:v>
      </x:c>
      <x:c r="B13190" s="0" t="s">
        <x:v>50174</x:v>
      </x:c>
      <x:c r="C13190" s="0" t="s">
        <x:v>42840</x:v>
      </x:c>
      <x:c r="E13190" s="0" t="s">
        <x:v>50175</x:v>
      </x:c>
      <x:c r="F13190" s="0" t="s">
        <x:v>45</x:v>
      </x:c>
      <x:c r="G13190" s="0" t="s">
        <x:v>30</x:v>
      </x:c>
      <x:c r="H13190" s="0" t="s">
        <x:v>20</x:v>
      </x:c>
      <x:c r="I13190" s="0" t="s">
        <x:v>21</x:v>
      </x:c>
      <x:c r="K13190" s="0">
        <x:f>hyperlink("https://icd.who.int/dev11/l-ichi/en#/http%3A%2F%2Fid.who.int%2Ficd%2Fentity%2F1647332146","browser")</x:f>
      </x:c>
      <x:c r="L13190" s="0">
        <x:f>hyperlink("https://icat2.azurewebsites.net/icat/?ontology=ICD&amp;tab=ClassesTab&amp;id=http%3A%2F%2Fwho.int%2Ficd%23SpecificAnatomicLocation_1583","iCat")</x:f>
      </x:c>
      <x:c r="M13190" s="0" t="s">
        <x:v>21</x:v>
      </x:c>
      <x:c r="N13190" s="0" t="s">
        <x:v>46</x:v>
      </x:c>
    </x:row>
    <x:row r="13191" spans="1:16">
      <x:c r="A13191" s="0" t="s">
        <x:v>50176</x:v>
      </x:c>
      <x:c r="B13191" s="0" t="s">
        <x:v>50177</x:v>
      </x:c>
      <x:c r="C13191" s="0" t="s">
        <x:v>42840</x:v>
      </x:c>
      <x:c r="E13191" s="0" t="s">
        <x:v>50178</x:v>
      </x:c>
      <x:c r="F13191" s="0" t="s">
        <x:v>45</x:v>
      </x:c>
      <x:c r="G13191" s="0" t="s">
        <x:v>30</x:v>
      </x:c>
      <x:c r="H13191" s="0" t="s">
        <x:v>20</x:v>
      </x:c>
      <x:c r="I13191" s="0" t="s">
        <x:v>21</x:v>
      </x:c>
      <x:c r="K13191" s="0">
        <x:f>hyperlink("https://icd.who.int/dev11/l-ichi/en#/http%3A%2F%2Fid.who.int%2Ficd%2Fentity%2F668661832","browser")</x:f>
      </x:c>
      <x:c r="L13191" s="0">
        <x:f>hyperlink("https://icat2.azurewebsites.net/icat/?ontology=ICD&amp;tab=ClassesTab&amp;id=http%3A%2F%2Fwho.int%2Ficd%23SpecificAnatomicLocation_1558","iCat")</x:f>
      </x:c>
      <x:c r="M13191" s="0" t="s">
        <x:v>21</x:v>
      </x:c>
      <x:c r="N13191" s="0" t="s">
        <x:v>46</x:v>
      </x:c>
    </x:row>
    <x:row r="13192" spans="1:16">
      <x:c r="A13192" s="0" t="s">
        <x:v>50179</x:v>
      </x:c>
      <x:c r="B13192" s="0" t="s">
        <x:v>50180</x:v>
      </x:c>
      <x:c r="C13192" s="0" t="s">
        <x:v>42840</x:v>
      </x:c>
      <x:c r="E13192" s="0" t="s">
        <x:v>50181</x:v>
      </x:c>
      <x:c r="F13192" s="0" t="s">
        <x:v>45</x:v>
      </x:c>
      <x:c r="G13192" s="0" t="s">
        <x:v>30</x:v>
      </x:c>
      <x:c r="H13192" s="0" t="s">
        <x:v>20</x:v>
      </x:c>
      <x:c r="I13192" s="0" t="s">
        <x:v>21</x:v>
      </x:c>
      <x:c r="K13192" s="0">
        <x:f>hyperlink("https://icd.who.int/dev11/l-ichi/en#/http%3A%2F%2Fid.who.int%2Ficd%2Fentity%2F328694584","browser")</x:f>
      </x:c>
      <x:c r="L13192" s="0">
        <x:f>hyperlink("https://icat2.azurewebsites.net/icat/?ontology=ICD&amp;tab=ClassesTab&amp;id=http%3A%2F%2Fwho.int%2Ficd%23SpecificAnatomicLocation_1556","iCat")</x:f>
      </x:c>
      <x:c r="M13192" s="0" t="s">
        <x:v>21</x:v>
      </x:c>
      <x:c r="N13192" s="0" t="s">
        <x:v>46</x:v>
      </x:c>
    </x:row>
    <x:row r="13193" spans="1:16">
      <x:c r="A13193" s="0" t="s">
        <x:v>50182</x:v>
      </x:c>
      <x:c r="B13193" s="0" t="s">
        <x:v>50183</x:v>
      </x:c>
      <x:c r="C13193" s="0" t="s">
        <x:v>42840</x:v>
      </x:c>
      <x:c r="E13193" s="0" t="s">
        <x:v>50184</x:v>
      </x:c>
      <x:c r="F13193" s="0" t="s">
        <x:v>45</x:v>
      </x:c>
      <x:c r="G13193" s="0" t="s">
        <x:v>30</x:v>
      </x:c>
      <x:c r="H13193" s="0" t="s">
        <x:v>20</x:v>
      </x:c>
      <x:c r="I13193" s="0" t="s">
        <x:v>21</x:v>
      </x:c>
      <x:c r="K13193" s="0">
        <x:f>hyperlink("https://icd.who.int/dev11/l-ichi/en#/http%3A%2F%2Fid.who.int%2Ficd%2Fentity%2F388514080","browser")</x:f>
      </x:c>
      <x:c r="L13193" s="0">
        <x:f>hyperlink("https://icat2.azurewebsites.net/icat/?ontology=ICD&amp;tab=ClassesTab&amp;id=http%3A%2F%2Fwho.int%2Ficd%23SpecificAnatomicLocation_1562","iCat")</x:f>
      </x:c>
      <x:c r="M13193" s="0" t="s">
        <x:v>21</x:v>
      </x:c>
      <x:c r="N13193" s="0" t="s">
        <x:v>46</x:v>
      </x:c>
    </x:row>
    <x:row r="13194" spans="1:16">
      <x:c r="A13194" s="0" t="s">
        <x:v>50185</x:v>
      </x:c>
      <x:c r="B13194" s="0" t="s">
        <x:v>50186</x:v>
      </x:c>
      <x:c r="C13194" s="0" t="s">
        <x:v>42840</x:v>
      </x:c>
      <x:c r="E13194" s="0" t="s">
        <x:v>50187</x:v>
      </x:c>
      <x:c r="F13194" s="0" t="s">
        <x:v>45</x:v>
      </x:c>
      <x:c r="G13194" s="0" t="s">
        <x:v>30</x:v>
      </x:c>
      <x:c r="H13194" s="0" t="s">
        <x:v>20</x:v>
      </x:c>
      <x:c r="I13194" s="0" t="s">
        <x:v>21</x:v>
      </x:c>
      <x:c r="K13194" s="0">
        <x:f>hyperlink("https://icd.who.int/dev11/l-ichi/en#/http%3A%2F%2Fid.who.int%2Ficd%2Fentity%2F9696","browser")</x:f>
      </x:c>
      <x:c r="L13194" s="0">
        <x:f>hyperlink("https://icat2.azurewebsites.net/icat/?ontology=ICD&amp;tab=ClassesTab&amp;id=http%3A%2F%2Fwho.int%2Ficd%23SpecificAnatomicLocation_1563","iCat")</x:f>
      </x:c>
      <x:c r="M13194" s="0" t="s">
        <x:v>21</x:v>
      </x:c>
      <x:c r="N13194" s="0" t="s">
        <x:v>46</x:v>
      </x:c>
    </x:row>
    <x:row r="13195" spans="1:16">
      <x:c r="A13195" s="0" t="s">
        <x:v>50188</x:v>
      </x:c>
      <x:c r="B13195" s="0" t="s">
        <x:v>50189</x:v>
      </x:c>
      <x:c r="C13195" s="0" t="s">
        <x:v>42840</x:v>
      </x:c>
      <x:c r="E13195" s="0" t="s">
        <x:v>50190</x:v>
      </x:c>
      <x:c r="F13195" s="0" t="s">
        <x:v>45</x:v>
      </x:c>
      <x:c r="G13195" s="0" t="s">
        <x:v>30</x:v>
      </x:c>
      <x:c r="H13195" s="0" t="s">
        <x:v>20</x:v>
      </x:c>
      <x:c r="I13195" s="0" t="s">
        <x:v>21</x:v>
      </x:c>
      <x:c r="K13195" s="0">
        <x:f>hyperlink("https://icd.who.int/dev11/l-ichi/en#/http%3A%2F%2Fid.who.int%2Ficd%2Fentity%2F1708727200","browser")</x:f>
      </x:c>
      <x:c r="L13195" s="0">
        <x:f>hyperlink("https://icat2.azurewebsites.net/icat/?ontology=ICD&amp;tab=ClassesTab&amp;id=http%3A%2F%2Fwho.int%2Ficd%23SpecificAnatomicLocation_1564","iCat")</x:f>
      </x:c>
      <x:c r="M13195" s="0" t="s">
        <x:v>21</x:v>
      </x:c>
      <x:c r="N13195" s="0" t="s">
        <x:v>46</x:v>
      </x:c>
    </x:row>
    <x:row r="13196" spans="1:16">
      <x:c r="A13196" s="0" t="s">
        <x:v>50191</x:v>
      </x:c>
      <x:c r="B13196" s="0" t="s">
        <x:v>50192</x:v>
      </x:c>
      <x:c r="C13196" s="0" t="s">
        <x:v>42840</x:v>
      </x:c>
      <x:c r="E13196" s="0" t="s">
        <x:v>50193</x:v>
      </x:c>
      <x:c r="F13196" s="0" t="s">
        <x:v>45</x:v>
      </x:c>
      <x:c r="G13196" s="0" t="s">
        <x:v>30</x:v>
      </x:c>
      <x:c r="H13196" s="0" t="s">
        <x:v>20</x:v>
      </x:c>
      <x:c r="I13196" s="0" t="s">
        <x:v>21</x:v>
      </x:c>
      <x:c r="K13196" s="0">
        <x:f>hyperlink("https://icd.who.int/dev11/l-ichi/en#/http%3A%2F%2Fid.who.int%2Ficd%2Fentity%2F1928429408","browser")</x:f>
      </x:c>
      <x:c r="L13196" s="0">
        <x:f>hyperlink("https://icat2.azurewebsites.net/icat/?ontology=ICD&amp;tab=ClassesTab&amp;id=http%3A%2F%2Fwho.int%2Ficd%23SpecificAnatomicLocation_1565","iCat")</x:f>
      </x:c>
      <x:c r="M13196" s="0" t="s">
        <x:v>21</x:v>
      </x:c>
      <x:c r="N13196" s="0" t="s">
        <x:v>46</x:v>
      </x:c>
    </x:row>
    <x:row r="13197" spans="1:16">
      <x:c r="A13197" s="0" t="s">
        <x:v>50194</x:v>
      </x:c>
      <x:c r="B13197" s="0" t="s">
        <x:v>50195</x:v>
      </x:c>
      <x:c r="C13197" s="0" t="s">
        <x:v>42840</x:v>
      </x:c>
      <x:c r="E13197" s="0" t="s">
        <x:v>50196</x:v>
      </x:c>
      <x:c r="F13197" s="0" t="s">
        <x:v>45</x:v>
      </x:c>
      <x:c r="G13197" s="0" t="s">
        <x:v>30</x:v>
      </x:c>
      <x:c r="H13197" s="0" t="s">
        <x:v>20</x:v>
      </x:c>
      <x:c r="I13197" s="0" t="s">
        <x:v>21</x:v>
      </x:c>
      <x:c r="K13197" s="0">
        <x:f>hyperlink("https://icd.who.int/dev11/l-ichi/en#/http%3A%2F%2Fid.who.int%2Ficd%2Fentity%2F1267323424","browser")</x:f>
      </x:c>
      <x:c r="L13197" s="0">
        <x:f>hyperlink("https://icat2.azurewebsites.net/icat/?ontology=ICD&amp;tab=ClassesTab&amp;id=http%3A%2F%2Fwho.int%2Ficd%23SpecificAnatomicLocation_1566","iCat")</x:f>
      </x:c>
      <x:c r="M13197" s="0" t="s">
        <x:v>21</x:v>
      </x:c>
      <x:c r="N13197" s="0" t="s">
        <x:v>46</x:v>
      </x:c>
    </x:row>
    <x:row r="13198" spans="1:16">
      <x:c r="A13198" s="0" t="s">
        <x:v>50197</x:v>
      </x:c>
      <x:c r="B13198" s="0" t="s">
        <x:v>50198</x:v>
      </x:c>
      <x:c r="C13198" s="0" t="s">
        <x:v>42840</x:v>
      </x:c>
      <x:c r="E13198" s="0" t="s">
        <x:v>50199</x:v>
      </x:c>
      <x:c r="F13198" s="0" t="s">
        <x:v>45</x:v>
      </x:c>
      <x:c r="G13198" s="0" t="s">
        <x:v>30</x:v>
      </x:c>
      <x:c r="H13198" s="0" t="s">
        <x:v>20</x:v>
      </x:c>
      <x:c r="I13198" s="0" t="s">
        <x:v>21</x:v>
      </x:c>
      <x:c r="K13198" s="0">
        <x:f>hyperlink("https://icd.who.int/dev11/l-ichi/en#/http%3A%2F%2Fid.who.int%2Ficd%2Fentity%2F1554101984","browser")</x:f>
      </x:c>
      <x:c r="L13198" s="0">
        <x:f>hyperlink("https://icat2.azurewebsites.net/icat/?ontology=ICD&amp;tab=ClassesTab&amp;id=http%3A%2F%2Fwho.int%2Ficd%23SpecificAnatomicLocation_1567","iCat")</x:f>
      </x:c>
      <x:c r="M13198" s="0" t="s">
        <x:v>21</x:v>
      </x:c>
      <x:c r="N13198" s="0" t="s">
        <x:v>46</x:v>
      </x:c>
    </x:row>
    <x:row r="13199" spans="1:16">
      <x:c r="A13199" s="0" t="s">
        <x:v>50200</x:v>
      </x:c>
      <x:c r="B13199" s="0" t="s">
        <x:v>50201</x:v>
      </x:c>
      <x:c r="C13199" s="0" t="s">
        <x:v>42840</x:v>
      </x:c>
      <x:c r="E13199" s="0" t="s">
        <x:v>50202</x:v>
      </x:c>
      <x:c r="F13199" s="0" t="s">
        <x:v>45</x:v>
      </x:c>
      <x:c r="G13199" s="0" t="s">
        <x:v>30</x:v>
      </x:c>
      <x:c r="H13199" s="0" t="s">
        <x:v>20</x:v>
      </x:c>
      <x:c r="I13199" s="0" t="s">
        <x:v>21</x:v>
      </x:c>
      <x:c r="K13199" s="0">
        <x:f>hyperlink("https://icd.who.int/dev11/l-ichi/en#/http%3A%2F%2Fid.who.int%2Ficd%2Fentity%2F2143572320","browser")</x:f>
      </x:c>
      <x:c r="L13199" s="0">
        <x:f>hyperlink("https://icat2.azurewebsites.net/icat/?ontology=ICD&amp;tab=ClassesTab&amp;id=http%3A%2F%2Fwho.int%2Ficd%23SpecificAnatomicLocation_1568","iCat")</x:f>
      </x:c>
      <x:c r="M13199" s="0" t="s">
        <x:v>21</x:v>
      </x:c>
      <x:c r="N13199" s="0" t="s">
        <x:v>46</x:v>
      </x:c>
    </x:row>
    <x:row r="13200" spans="1:16">
      <x:c r="A13200" s="0" t="s">
        <x:v>50203</x:v>
      </x:c>
      <x:c r="B13200" s="0" t="s">
        <x:v>50204</x:v>
      </x:c>
      <x:c r="C13200" s="0" t="s">
        <x:v>42840</x:v>
      </x:c>
      <x:c r="E13200" s="0" t="s">
        <x:v>50205</x:v>
      </x:c>
      <x:c r="F13200" s="0" t="s">
        <x:v>45</x:v>
      </x:c>
      <x:c r="G13200" s="0" t="s">
        <x:v>30</x:v>
      </x:c>
      <x:c r="H13200" s="0" t="s">
        <x:v>20</x:v>
      </x:c>
      <x:c r="I13200" s="0" t="s">
        <x:v>21</x:v>
      </x:c>
      <x:c r="K13200" s="0">
        <x:f>hyperlink("https://icd.who.int/dev11/l-ichi/en#/http%3A%2F%2Fid.who.int%2Ficd%2Fentity%2F1760310688","browser")</x:f>
      </x:c>
      <x:c r="L13200" s="0">
        <x:f>hyperlink("https://icat2.azurewebsites.net/icat/?ontology=ICD&amp;tab=ClassesTab&amp;id=http%3A%2F%2Fwho.int%2Ficd%23SpecificAnatomicLocation_1569","iCat")</x:f>
      </x:c>
      <x:c r="M13200" s="0" t="s">
        <x:v>21</x:v>
      </x:c>
      <x:c r="N13200" s="0" t="s">
        <x:v>46</x:v>
      </x:c>
    </x:row>
    <x:row r="13201" spans="1:16">
      <x:c r="A13201" s="0" t="s">
        <x:v>50206</x:v>
      </x:c>
      <x:c r="B13201" s="0" t="s">
        <x:v>50207</x:v>
      </x:c>
      <x:c r="C13201" s="0" t="s">
        <x:v>42840</x:v>
      </x:c>
      <x:c r="E13201" s="0" t="s">
        <x:v>50208</x:v>
      </x:c>
      <x:c r="F13201" s="0" t="s">
        <x:v>45</x:v>
      </x:c>
      <x:c r="G13201" s="0" t="s">
        <x:v>30</x:v>
      </x:c>
      <x:c r="H13201" s="0" t="s">
        <x:v>20</x:v>
      </x:c>
      <x:c r="I13201" s="0" t="s">
        <x:v>21</x:v>
      </x:c>
      <x:c r="K13201" s="0">
        <x:f>hyperlink("https://icd.who.int/dev11/l-ichi/en#/http%3A%2F%2Fid.who.int%2Ficd%2Fentity%2F1201803847","browser")</x:f>
      </x:c>
      <x:c r="L13201" s="0">
        <x:f>hyperlink("https://icat2.azurewebsites.net/icat/?ontology=ICD&amp;tab=ClassesTab&amp;id=http%3A%2F%2Fwho.int%2Ficd%23SpecificAnatomicLocation_1570","iCat")</x:f>
      </x:c>
      <x:c r="M13201" s="0" t="s">
        <x:v>21</x:v>
      </x:c>
      <x:c r="N13201" s="0" t="s">
        <x:v>46</x:v>
      </x:c>
    </x:row>
    <x:row r="13202" spans="1:16">
      <x:c r="A13202" s="0" t="s">
        <x:v>50209</x:v>
      </x:c>
      <x:c r="B13202" s="0" t="s">
        <x:v>50210</x:v>
      </x:c>
      <x:c r="C13202" s="0" t="s">
        <x:v>42840</x:v>
      </x:c>
      <x:c r="E13202" s="0" t="s">
        <x:v>50211</x:v>
      </x:c>
      <x:c r="F13202" s="0" t="s">
        <x:v>45</x:v>
      </x:c>
      <x:c r="G13202" s="0" t="s">
        <x:v>30</x:v>
      </x:c>
      <x:c r="H13202" s="0" t="s">
        <x:v>20</x:v>
      </x:c>
      <x:c r="I13202" s="0" t="s">
        <x:v>21</x:v>
      </x:c>
      <x:c r="K13202" s="0">
        <x:f>hyperlink("https://icd.who.int/dev11/l-ichi/en#/http%3A%2F%2Fid.who.int%2Ficd%2Fentity%2F1351251591","browser")</x:f>
      </x:c>
      <x:c r="L13202" s="0">
        <x:f>hyperlink("https://icat2.azurewebsites.net/icat/?ontology=ICD&amp;tab=ClassesTab&amp;id=http%3A%2F%2Fwho.int%2Ficd%23SpecificAnatomicLocation_1571","iCat")</x:f>
      </x:c>
      <x:c r="M13202" s="0" t="s">
        <x:v>21</x:v>
      </x:c>
      <x:c r="N13202" s="0" t="s">
        <x:v>46</x:v>
      </x:c>
    </x:row>
    <x:row r="13203" spans="1:16">
      <x:c r="A13203" s="0" t="s">
        <x:v>50212</x:v>
      </x:c>
      <x:c r="B13203" s="0" t="s">
        <x:v>50213</x:v>
      </x:c>
      <x:c r="C13203" s="0" t="s">
        <x:v>42840</x:v>
      </x:c>
      <x:c r="E13203" s="0" t="s">
        <x:v>50214</x:v>
      </x:c>
      <x:c r="F13203" s="0" t="s">
        <x:v>45</x:v>
      </x:c>
      <x:c r="G13203" s="0" t="s">
        <x:v>30</x:v>
      </x:c>
      <x:c r="H13203" s="0" t="s">
        <x:v>20</x:v>
      </x:c>
      <x:c r="I13203" s="0" t="s">
        <x:v>21</x:v>
      </x:c>
      <x:c r="K13203" s="0">
        <x:f>hyperlink("https://icd.who.int/dev11/l-ichi/en#/http%3A%2F%2Fid.who.int%2Ficd%2Fentity%2F1777523655","browser")</x:f>
      </x:c>
      <x:c r="L13203" s="0">
        <x:f>hyperlink("https://icat2.azurewebsites.net/icat/?ontology=ICD&amp;tab=ClassesTab&amp;id=http%3A%2F%2Fwho.int%2Ficd%23SpecificAnatomicLocation_1572","iCat")</x:f>
      </x:c>
      <x:c r="M13203" s="0" t="s">
        <x:v>21</x:v>
      </x:c>
      <x:c r="N13203" s="0" t="s">
        <x:v>46</x:v>
      </x:c>
    </x:row>
    <x:row r="13204" spans="1:16">
      <x:c r="A13204" s="0" t="s">
        <x:v>50215</x:v>
      </x:c>
      <x:c r="B13204" s="0" t="s">
        <x:v>50216</x:v>
      </x:c>
      <x:c r="C13204" s="0" t="s">
        <x:v>42840</x:v>
      </x:c>
      <x:c r="E13204" s="0" t="s">
        <x:v>50217</x:v>
      </x:c>
      <x:c r="F13204" s="0" t="s">
        <x:v>45</x:v>
      </x:c>
      <x:c r="G13204" s="0" t="s">
        <x:v>30</x:v>
      </x:c>
      <x:c r="H13204" s="0" t="s">
        <x:v>20</x:v>
      </x:c>
      <x:c r="I13204" s="0" t="s">
        <x:v>21</x:v>
      </x:c>
      <x:c r="K13204" s="0">
        <x:f>hyperlink("https://icd.who.int/dev11/l-ichi/en#/http%3A%2F%2Fid.who.int%2Ficd%2Fentity%2F2128264967","browser")</x:f>
      </x:c>
      <x:c r="L13204" s="0">
        <x:f>hyperlink("https://icat2.azurewebsites.net/icat/?ontology=ICD&amp;tab=ClassesTab&amp;id=http%3A%2F%2Fwho.int%2Ficd%23SpecificAnatomicLocation_1573","iCat")</x:f>
      </x:c>
      <x:c r="M13204" s="0" t="s">
        <x:v>21</x:v>
      </x:c>
      <x:c r="N13204" s="0" t="s">
        <x:v>46</x:v>
      </x:c>
    </x:row>
    <x:row r="13205" spans="1:16">
      <x:c r="A13205" s="0" t="s">
        <x:v>50218</x:v>
      </x:c>
      <x:c r="B13205" s="0" t="s">
        <x:v>50219</x:v>
      </x:c>
      <x:c r="C13205" s="0" t="s">
        <x:v>42840</x:v>
      </x:c>
      <x:c r="E13205" s="0" t="s">
        <x:v>50220</x:v>
      </x:c>
      <x:c r="F13205" s="0" t="s">
        <x:v>45</x:v>
      </x:c>
      <x:c r="G13205" s="0" t="s">
        <x:v>30</x:v>
      </x:c>
      <x:c r="H13205" s="0" t="s">
        <x:v>20</x:v>
      </x:c>
      <x:c r="I13205" s="0" t="s">
        <x:v>21</x:v>
      </x:c>
      <x:c r="K13205" s="0">
        <x:f>hyperlink("https://icd.who.int/dev11/l-ichi/en#/http%3A%2F%2Fid.who.int%2Ficd%2Fentity%2F453214535","browser")</x:f>
      </x:c>
      <x:c r="L13205" s="0">
        <x:f>hyperlink("https://icat2.azurewebsites.net/icat/?ontology=ICD&amp;tab=ClassesTab&amp;id=http%3A%2F%2Fwho.int%2Ficd%23SpecificAnatomicLocation_1574","iCat")</x:f>
      </x:c>
      <x:c r="M13205" s="0" t="s">
        <x:v>21</x:v>
      </x:c>
      <x:c r="N13205" s="0" t="s">
        <x:v>46</x:v>
      </x:c>
    </x:row>
    <x:row r="13206" spans="1:16">
      <x:c r="A13206" s="0" t="s">
        <x:v>50221</x:v>
      </x:c>
      <x:c r="B13206" s="0" t="s">
        <x:v>50222</x:v>
      </x:c>
      <x:c r="C13206" s="0" t="s">
        <x:v>42840</x:v>
      </x:c>
      <x:c r="E13206" s="0" t="s">
        <x:v>50223</x:v>
      </x:c>
      <x:c r="F13206" s="0" t="s">
        <x:v>45</x:v>
      </x:c>
      <x:c r="G13206" s="0" t="s">
        <x:v>30</x:v>
      </x:c>
      <x:c r="H13206" s="0" t="s">
        <x:v>20</x:v>
      </x:c>
      <x:c r="I13206" s="0" t="s">
        <x:v>21</x:v>
      </x:c>
      <x:c r="K13206" s="0">
        <x:f>hyperlink("https://icd.who.int/dev11/l-ichi/en#/http%3A%2F%2Fid.who.int%2Ficd%2Fentity%2F2033446825","browser")</x:f>
      </x:c>
      <x:c r="L13206" s="0">
        <x:f>hyperlink("https://icat2.azurewebsites.net/icat/?ontology=ICD&amp;tab=ClassesTab&amp;id=http%3A%2F%2Fwho.int%2Ficd%23SpecificAnatomicLocation_1594","iCat")</x:f>
      </x:c>
      <x:c r="M13206" s="0" t="s">
        <x:v>21</x:v>
      </x:c>
      <x:c r="N13206" s="0" t="s">
        <x:v>46</x:v>
      </x:c>
    </x:row>
    <x:row r="13207" spans="1:16">
      <x:c r="A13207" s="0" t="s">
        <x:v>50224</x:v>
      </x:c>
      <x:c r="B13207" s="0" t="s">
        <x:v>50225</x:v>
      </x:c>
      <x:c r="C13207" s="0" t="s">
        <x:v>42840</x:v>
      </x:c>
      <x:c r="E13207" s="0" t="s">
        <x:v>50226</x:v>
      </x:c>
      <x:c r="F13207" s="0" t="s">
        <x:v>45</x:v>
      </x:c>
      <x:c r="G13207" s="0" t="s">
        <x:v>30</x:v>
      </x:c>
      <x:c r="H13207" s="0" t="s">
        <x:v>20</x:v>
      </x:c>
      <x:c r="I13207" s="0" t="s">
        <x:v>21</x:v>
      </x:c>
      <x:c r="K13207" s="0">
        <x:f>hyperlink("https://icd.who.int/dev11/l-ichi/en#/http%3A%2F%2Fid.who.int%2Ficd%2Fentity%2F204203399","browser")</x:f>
      </x:c>
      <x:c r="L13207" s="0">
        <x:f>hyperlink("https://icat2.azurewebsites.net/icat/?ontology=ICD&amp;tab=ClassesTab&amp;id=http%3A%2F%2Fwho.int%2Ficd%23SpecificAnatomicLocation_1575","iCat")</x:f>
      </x:c>
      <x:c r="M13207" s="0" t="s">
        <x:v>21</x:v>
      </x:c>
      <x:c r="N13207" s="0" t="s">
        <x:v>46</x:v>
      </x:c>
    </x:row>
    <x:row r="13208" spans="1:16">
      <x:c r="A13208" s="0" t="s">
        <x:v>50227</x:v>
      </x:c>
      <x:c r="B13208" s="0" t="s">
        <x:v>50228</x:v>
      </x:c>
      <x:c r="C13208" s="0" t="s">
        <x:v>42840</x:v>
      </x:c>
      <x:c r="E13208" s="0" t="s">
        <x:v>50229</x:v>
      </x:c>
      <x:c r="F13208" s="0" t="s">
        <x:v>45</x:v>
      </x:c>
      <x:c r="G13208" s="0" t="s">
        <x:v>30</x:v>
      </x:c>
      <x:c r="H13208" s="0" t="s">
        <x:v>20</x:v>
      </x:c>
      <x:c r="I13208" s="0" t="s">
        <x:v>21</x:v>
      </x:c>
      <x:c r="K13208" s="0">
        <x:f>hyperlink("https://icd.who.int/dev11/l-ichi/en#/http%3A%2F%2Fid.who.int%2Ficd%2Fentity%2F894650567","browser")</x:f>
      </x:c>
      <x:c r="L13208" s="0">
        <x:f>hyperlink("https://icat2.azurewebsites.net/icat/?ontology=ICD&amp;tab=ClassesTab&amp;id=http%3A%2F%2Fwho.int%2Ficd%23SpecificAnatomicLocation_1576","iCat")</x:f>
      </x:c>
      <x:c r="M13208" s="0" t="s">
        <x:v>21</x:v>
      </x:c>
      <x:c r="N13208" s="0" t="s">
        <x:v>46</x:v>
      </x:c>
    </x:row>
    <x:row r="13209" spans="1:16">
      <x:c r="A13209" s="0" t="s">
        <x:v>50230</x:v>
      </x:c>
      <x:c r="B13209" s="0" t="s">
        <x:v>50231</x:v>
      </x:c>
      <x:c r="C13209" s="0" t="s">
        <x:v>42840</x:v>
      </x:c>
      <x:c r="E13209" s="0" t="s">
        <x:v>50232</x:v>
      </x:c>
      <x:c r="F13209" s="0" t="s">
        <x:v>45</x:v>
      </x:c>
      <x:c r="G13209" s="0" t="s">
        <x:v>30</x:v>
      </x:c>
      <x:c r="H13209" s="0" t="s">
        <x:v>20</x:v>
      </x:c>
      <x:c r="I13209" s="0" t="s">
        <x:v>21</x:v>
      </x:c>
      <x:c r="K13209" s="0">
        <x:f>hyperlink("https://icd.who.int/dev11/l-ichi/en#/http%3A%2F%2Fid.who.int%2Ficd%2Fentity%2F578497543","browser")</x:f>
      </x:c>
      <x:c r="L13209" s="0">
        <x:f>hyperlink("https://icat2.azurewebsites.net/icat/?ontology=ICD&amp;tab=ClassesTab&amp;id=http%3A%2F%2Fwho.int%2Ficd%23SpecificAnatomicLocation_1577","iCat")</x:f>
      </x:c>
      <x:c r="M13209" s="0" t="s">
        <x:v>21</x:v>
      </x:c>
      <x:c r="N13209" s="0" t="s">
        <x:v>46</x:v>
      </x:c>
    </x:row>
    <x:row r="13210" spans="1:16">
      <x:c r="A13210" s="0" t="s">
        <x:v>50233</x:v>
      </x:c>
      <x:c r="B13210" s="0" t="s">
        <x:v>50234</x:v>
      </x:c>
      <x:c r="C13210" s="0" t="s">
        <x:v>42840</x:v>
      </x:c>
      <x:c r="E13210" s="0" t="s">
        <x:v>50235</x:v>
      </x:c>
      <x:c r="F13210" s="0" t="s">
        <x:v>45</x:v>
      </x:c>
      <x:c r="G13210" s="0" t="s">
        <x:v>30</x:v>
      </x:c>
      <x:c r="H13210" s="0" t="s">
        <x:v>20</x:v>
      </x:c>
      <x:c r="I13210" s="0" t="s">
        <x:v>21</x:v>
      </x:c>
      <x:c r="K13210" s="0">
        <x:f>hyperlink("https://icd.who.int/dev11/l-ichi/en#/http%3A%2F%2Fid.who.int%2Ficd%2Fentity%2F18795449","browser")</x:f>
      </x:c>
      <x:c r="L13210" s="0">
        <x:f>hyperlink("https://icat2.azurewebsites.net/icat/?ontology=ICD&amp;tab=ClassesTab&amp;id=http%3A%2F%2Fwho.int%2Ficd%23SpecificAnatomicLocation_1578","iCat")</x:f>
      </x:c>
      <x:c r="M13210" s="0" t="s">
        <x:v>21</x:v>
      </x:c>
      <x:c r="N13210" s="0" t="s">
        <x:v>46</x:v>
      </x:c>
    </x:row>
    <x:row r="13211" spans="1:16">
      <x:c r="A13211" s="0" t="s">
        <x:v>50236</x:v>
      </x:c>
      <x:c r="B13211" s="0" t="s">
        <x:v>50237</x:v>
      </x:c>
      <x:c r="C13211" s="0" t="s">
        <x:v>42840</x:v>
      </x:c>
      <x:c r="E13211" s="0" t="s">
        <x:v>50238</x:v>
      </x:c>
      <x:c r="F13211" s="0" t="s">
        <x:v>45</x:v>
      </x:c>
      <x:c r="G13211" s="0" t="s">
        <x:v>30</x:v>
      </x:c>
      <x:c r="H13211" s="0" t="s">
        <x:v>20</x:v>
      </x:c>
      <x:c r="I13211" s="0" t="s">
        <x:v>21</x:v>
      </x:c>
      <x:c r="K13211" s="0">
        <x:f>hyperlink("https://icd.who.int/dev11/l-ichi/en#/http%3A%2F%2Fid.who.int%2Ficd%2Fentity%2F372682617","browser")</x:f>
      </x:c>
      <x:c r="L13211" s="0">
        <x:f>hyperlink("https://icat2.azurewebsites.net/icat/?ontology=ICD&amp;tab=ClassesTab&amp;id=http%3A%2F%2Fwho.int%2Ficd%23SpecificAnatomicLocation_1579","iCat")</x:f>
      </x:c>
      <x:c r="M13211" s="0" t="s">
        <x:v>21</x:v>
      </x:c>
      <x:c r="N13211" s="0" t="s">
        <x:v>46</x:v>
      </x:c>
    </x:row>
    <x:row r="13212" spans="1:16">
      <x:c r="A13212" s="0" t="s">
        <x:v>50239</x:v>
      </x:c>
      <x:c r="B13212" s="0" t="s">
        <x:v>50240</x:v>
      </x:c>
      <x:c r="C13212" s="0" t="s">
        <x:v>42840</x:v>
      </x:c>
      <x:c r="E13212" s="0" t="s">
        <x:v>50241</x:v>
      </x:c>
      <x:c r="F13212" s="0" t="s">
        <x:v>45</x:v>
      </x:c>
      <x:c r="G13212" s="0" t="s">
        <x:v>30</x:v>
      </x:c>
      <x:c r="H13212" s="0" t="s">
        <x:v>20</x:v>
      </x:c>
      <x:c r="I13212" s="0" t="s">
        <x:v>21</x:v>
      </x:c>
      <x:c r="K13212" s="0">
        <x:f>hyperlink("https://icd.who.int/dev11/l-ichi/en#/http%3A%2F%2Fid.who.int%2Ficd%2Fentity%2F1531504242","browser")</x:f>
      </x:c>
      <x:c r="L13212" s="0">
        <x:f>hyperlink("https://icat2.azurewebsites.net/icat/?ontology=ICD&amp;tab=ClassesTab&amp;id=http%3A%2F%2Fwho.int%2Ficd%23SpecificAnatomicLocation_1580","iCat")</x:f>
      </x:c>
      <x:c r="M13212" s="0" t="s">
        <x:v>21</x:v>
      </x:c>
      <x:c r="N13212" s="0" t="s">
        <x:v>46</x:v>
      </x:c>
    </x:row>
    <x:row r="13213" spans="1:16">
      <x:c r="A13213" s="0" t="s">
        <x:v>50242</x:v>
      </x:c>
      <x:c r="B13213" s="0" t="s">
        <x:v>50243</x:v>
      </x:c>
      <x:c r="C13213" s="0" t="s">
        <x:v>42840</x:v>
      </x:c>
      <x:c r="E13213" s="0" t="s">
        <x:v>50244</x:v>
      </x:c>
      <x:c r="F13213" s="0" t="s">
        <x:v>45</x:v>
      </x:c>
      <x:c r="G13213" s="0" t="s">
        <x:v>30</x:v>
      </x:c>
      <x:c r="H13213" s="0" t="s">
        <x:v>20</x:v>
      </x:c>
      <x:c r="I13213" s="0" t="s">
        <x:v>21</x:v>
      </x:c>
      <x:c r="K13213" s="0">
        <x:f>hyperlink("https://icd.who.int/dev11/l-ichi/en#/http%3A%2F%2Fid.who.int%2Ficd%2Fentity%2F1281393330","browser")</x:f>
      </x:c>
      <x:c r="L13213" s="0">
        <x:f>hyperlink("https://icat2.azurewebsites.net/icat/?ontology=ICD&amp;tab=ClassesTab&amp;id=http%3A%2F%2Fwho.int%2Ficd%23SpecificAnatomicLocation_1581","iCat")</x:f>
      </x:c>
      <x:c r="M13213" s="0" t="s">
        <x:v>21</x:v>
      </x:c>
      <x:c r="N13213" s="0" t="s">
        <x:v>46</x:v>
      </x:c>
    </x:row>
    <x:row r="13214" spans="1:16">
      <x:c r="A13214" s="0" t="s">
        <x:v>50245</x:v>
      </x:c>
      <x:c r="B13214" s="0" t="s">
        <x:v>50246</x:v>
      </x:c>
      <x:c r="C13214" s="0" t="s">
        <x:v>42840</x:v>
      </x:c>
      <x:c r="E13214" s="0" t="s">
        <x:v>50247</x:v>
      </x:c>
      <x:c r="F13214" s="0" t="s">
        <x:v>45</x:v>
      </x:c>
      <x:c r="G13214" s="0" t="s">
        <x:v>30</x:v>
      </x:c>
      <x:c r="H13214" s="0" t="s">
        <x:v>20</x:v>
      </x:c>
      <x:c r="I13214" s="0" t="s">
        <x:v>21</x:v>
      </x:c>
      <x:c r="K13214" s="0">
        <x:f>hyperlink("https://icd.who.int/dev11/l-ichi/en#/http%3A%2F%2Fid.who.int%2Ficd%2Fentity%2F1964519410","browser")</x:f>
      </x:c>
      <x:c r="L13214" s="0">
        <x:f>hyperlink("https://icat2.azurewebsites.net/icat/?ontology=ICD&amp;tab=ClassesTab&amp;id=http%3A%2F%2Fwho.int%2Ficd%23SpecificAnatomicLocation_1582","iCat")</x:f>
      </x:c>
      <x:c r="M13214" s="0" t="s">
        <x:v>21</x:v>
      </x:c>
      <x:c r="N13214" s="0" t="s">
        <x:v>46</x:v>
      </x:c>
    </x:row>
    <x:row r="13215" spans="1:16">
      <x:c r="A13215" s="0" t="s">
        <x:v>50248</x:v>
      </x:c>
      <x:c r="B13215" s="0" t="s">
        <x:v>50249</x:v>
      </x:c>
      <x:c r="C13215" s="0" t="s">
        <x:v>42840</x:v>
      </x:c>
      <x:c r="E13215" s="0" t="s">
        <x:v>50250</x:v>
      </x:c>
      <x:c r="F13215" s="0" t="s">
        <x:v>45</x:v>
      </x:c>
      <x:c r="G13215" s="0" t="s">
        <x:v>30</x:v>
      </x:c>
      <x:c r="H13215" s="0" t="s">
        <x:v>20</x:v>
      </x:c>
      <x:c r="I13215" s="0" t="s">
        <x:v>21</x:v>
      </x:c>
      <x:c r="K13215" s="0">
        <x:f>hyperlink("https://icd.who.int/dev11/l-ichi/en#/http%3A%2F%2Fid.who.int%2Ficd%2Fentity%2F132740466","browser")</x:f>
      </x:c>
      <x:c r="L13215" s="0">
        <x:f>hyperlink("https://icat2.azurewebsites.net/icat/?ontology=ICD&amp;tab=ClassesTab&amp;id=http%3A%2F%2Fwho.int%2Ficd%23SpecificAnatomicLocation_1584","iCat")</x:f>
      </x:c>
      <x:c r="M13215" s="0" t="s">
        <x:v>21</x:v>
      </x:c>
      <x:c r="N13215" s="0" t="s">
        <x:v>46</x:v>
      </x:c>
    </x:row>
    <x:row r="13216" spans="1:16">
      <x:c r="A13216" s="0" t="s">
        <x:v>50251</x:v>
      </x:c>
      <x:c r="B13216" s="0" t="s">
        <x:v>50252</x:v>
      </x:c>
      <x:c r="C13216" s="0" t="s">
        <x:v>42840</x:v>
      </x:c>
      <x:c r="E13216" s="0" t="s">
        <x:v>50253</x:v>
      </x:c>
      <x:c r="F13216" s="0" t="s">
        <x:v>45</x:v>
      </x:c>
      <x:c r="G13216" s="0" t="s">
        <x:v>30</x:v>
      </x:c>
      <x:c r="H13216" s="0" t="s">
        <x:v>20</x:v>
      </x:c>
      <x:c r="I13216" s="0" t="s">
        <x:v>21</x:v>
      </x:c>
      <x:c r="K13216" s="0">
        <x:f>hyperlink("https://icd.who.int/dev11/l-ichi/en#/http%3A%2F%2Fid.who.int%2Ficd%2Fentity%2F281088434","browser")</x:f>
      </x:c>
      <x:c r="L13216" s="0">
        <x:f>hyperlink("https://icat2.azurewebsites.net/icat/?ontology=ICD&amp;tab=ClassesTab&amp;id=http%3A%2F%2Fwho.int%2Ficd%23SpecificAnatomicLocation_1585","iCat")</x:f>
      </x:c>
      <x:c r="M13216" s="0" t="s">
        <x:v>21</x:v>
      </x:c>
      <x:c r="N13216" s="0" t="s">
        <x:v>46</x:v>
      </x:c>
    </x:row>
    <x:row r="13217" spans="1:16">
      <x:c r="A13217" s="0" t="s">
        <x:v>50254</x:v>
      </x:c>
      <x:c r="B13217" s="0" t="s">
        <x:v>50255</x:v>
      </x:c>
      <x:c r="C13217" s="0" t="s">
        <x:v>42840</x:v>
      </x:c>
      <x:c r="E13217" s="0" t="s">
        <x:v>50256</x:v>
      </x:c>
      <x:c r="F13217" s="0" t="s">
        <x:v>45</x:v>
      </x:c>
      <x:c r="G13217" s="0" t="s">
        <x:v>30</x:v>
      </x:c>
      <x:c r="H13217" s="0" t="s">
        <x:v>20</x:v>
      </x:c>
      <x:c r="I13217" s="0" t="s">
        <x:v>21</x:v>
      </x:c>
      <x:c r="K13217" s="0">
        <x:f>hyperlink("https://icd.who.int/dev11/l-ichi/en#/http%3A%2F%2Fid.who.int%2Ficd%2Fentity%2F700038386","browser")</x:f>
      </x:c>
      <x:c r="L13217" s="0">
        <x:f>hyperlink("https://icat2.azurewebsites.net/icat/?ontology=ICD&amp;tab=ClassesTab&amp;id=http%3A%2F%2Fwho.int%2Ficd%23SpecificAnatomicLocation_1586","iCat")</x:f>
      </x:c>
      <x:c r="M13217" s="0" t="s">
        <x:v>21</x:v>
      </x:c>
      <x:c r="N13217" s="0" t="s">
        <x:v>46</x:v>
      </x:c>
    </x:row>
    <x:row r="13218" spans="1:16">
      <x:c r="A13218" s="0" t="s">
        <x:v>50257</x:v>
      </x:c>
      <x:c r="B13218" s="0" t="s">
        <x:v>50258</x:v>
      </x:c>
      <x:c r="C13218" s="0" t="s">
        <x:v>42840</x:v>
      </x:c>
      <x:c r="E13218" s="0" t="s">
        <x:v>50259</x:v>
      </x:c>
      <x:c r="F13218" s="0" t="s">
        <x:v>45</x:v>
      </x:c>
      <x:c r="G13218" s="0" t="s">
        <x:v>30</x:v>
      </x:c>
      <x:c r="H13218" s="0" t="s">
        <x:v>20</x:v>
      </x:c>
      <x:c r="I13218" s="0" t="s">
        <x:v>21</x:v>
      </x:c>
      <x:c r="K13218" s="0">
        <x:f>hyperlink("https://icd.who.int/dev11/l-ichi/en#/http%3A%2F%2Fid.who.int%2Ficd%2Fentity%2F1049745458","browser")</x:f>
      </x:c>
      <x:c r="L13218" s="0">
        <x:f>hyperlink("https://icat2.azurewebsites.net/icat/?ontology=ICD&amp;tab=ClassesTab&amp;id=http%3A%2F%2Fwho.int%2Ficd%23SpecificAnatomicLocation_1587","iCat")</x:f>
      </x:c>
      <x:c r="M13218" s="0" t="s">
        <x:v>21</x:v>
      </x:c>
      <x:c r="N13218" s="0" t="s">
        <x:v>46</x:v>
      </x:c>
    </x:row>
    <x:row r="13219" spans="1:16">
      <x:c r="A13219" s="0" t="s">
        <x:v>50260</x:v>
      </x:c>
      <x:c r="B13219" s="0" t="s">
        <x:v>50261</x:v>
      </x:c>
      <x:c r="C13219" s="0" t="s">
        <x:v>42840</x:v>
      </x:c>
      <x:c r="E13219" s="0" t="s">
        <x:v>50262</x:v>
      </x:c>
      <x:c r="F13219" s="0" t="s">
        <x:v>45</x:v>
      </x:c>
      <x:c r="G13219" s="0" t="s">
        <x:v>30</x:v>
      </x:c>
      <x:c r="H13219" s="0" t="s">
        <x:v>20</x:v>
      </x:c>
      <x:c r="I13219" s="0" t="s">
        <x:v>21</x:v>
      </x:c>
      <x:c r="K13219" s="0">
        <x:f>hyperlink("https://icd.who.int/dev11/l-ichi/en#/http%3A%2F%2Fid.who.int%2Ficd%2Fentity%2F502546318","browser")</x:f>
      </x:c>
      <x:c r="L13219" s="0">
        <x:f>hyperlink("https://icat2.azurewebsites.net/icat/?ontology=ICD&amp;tab=ClassesTab&amp;id=http%3A%2F%2Fwho.int%2Ficd%23SpecificAnatomicLocation_1588","iCat")</x:f>
      </x:c>
      <x:c r="M13219" s="0" t="s">
        <x:v>21</x:v>
      </x:c>
      <x:c r="N13219" s="0" t="s">
        <x:v>46</x:v>
      </x:c>
    </x:row>
    <x:row r="13220" spans="1:16">
      <x:c r="A13220" s="0" t="s">
        <x:v>50263</x:v>
      </x:c>
      <x:c r="B13220" s="0" t="s">
        <x:v>50264</x:v>
      </x:c>
      <x:c r="C13220" s="0" t="s">
        <x:v>42840</x:v>
      </x:c>
      <x:c r="E13220" s="0" t="s">
        <x:v>50265</x:v>
      </x:c>
      <x:c r="F13220" s="0" t="s">
        <x:v>45</x:v>
      </x:c>
      <x:c r="G13220" s="0" t="s">
        <x:v>30</x:v>
      </x:c>
      <x:c r="H13220" s="0" t="s">
        <x:v>20</x:v>
      </x:c>
      <x:c r="I13220" s="0" t="s">
        <x:v>21</x:v>
      </x:c>
      <x:c r="K13220" s="0">
        <x:f>hyperlink("https://icd.who.int/dev11/l-ichi/en#/http%3A%2F%2Fid.who.int%2Ficd%2Fentity%2F182213454","browser")</x:f>
      </x:c>
      <x:c r="L13220" s="0">
        <x:f>hyperlink("https://icat2.azurewebsites.net/icat/?ontology=ICD&amp;tab=ClassesTab&amp;id=http%3A%2F%2Fwho.int%2Ficd%23SpecificAnatomicLocation_1589","iCat")</x:f>
      </x:c>
      <x:c r="M13220" s="0" t="s">
        <x:v>21</x:v>
      </x:c>
      <x:c r="N13220" s="0" t="s">
        <x:v>46</x:v>
      </x:c>
    </x:row>
    <x:row r="13221" spans="1:16">
      <x:c r="A13221" s="0" t="s">
        <x:v>50266</x:v>
      </x:c>
      <x:c r="B13221" s="0" t="s">
        <x:v>50267</x:v>
      </x:c>
      <x:c r="C13221" s="0" t="s">
        <x:v>42840</x:v>
      </x:c>
      <x:c r="E13221" s="0" t="s">
        <x:v>50268</x:v>
      </x:c>
      <x:c r="F13221" s="0" t="s">
        <x:v>45</x:v>
      </x:c>
      <x:c r="G13221" s="0" t="s">
        <x:v>30</x:v>
      </x:c>
      <x:c r="H13221" s="0" t="s">
        <x:v>20</x:v>
      </x:c>
      <x:c r="I13221" s="0" t="s">
        <x:v>21</x:v>
      </x:c>
      <x:c r="K13221" s="0">
        <x:f>hyperlink("https://icd.who.int/dev11/l-ichi/en#/http%3A%2F%2Fid.who.int%2Ficd%2Fentity%2F630357161","browser")</x:f>
      </x:c>
      <x:c r="L13221" s="0">
        <x:f>hyperlink("https://icat2.azurewebsites.net/icat/?ontology=ICD&amp;tab=ClassesTab&amp;id=http%3A%2F%2Fwho.int%2Ficd%23SpecificAnatomicLocation_1590","iCat")</x:f>
      </x:c>
      <x:c r="M13221" s="0" t="s">
        <x:v>21</x:v>
      </x:c>
      <x:c r="N13221" s="0" t="s">
        <x:v>46</x:v>
      </x:c>
    </x:row>
    <x:row r="13222" spans="1:16">
      <x:c r="A13222" s="0" t="s">
        <x:v>50269</x:v>
      </x:c>
      <x:c r="B13222" s="0" t="s">
        <x:v>50270</x:v>
      </x:c>
      <x:c r="C13222" s="0" t="s">
        <x:v>42840</x:v>
      </x:c>
      <x:c r="E13222" s="0" t="s">
        <x:v>50271</x:v>
      </x:c>
      <x:c r="F13222" s="0" t="s">
        <x:v>45</x:v>
      </x:c>
      <x:c r="G13222" s="0" t="s">
        <x:v>30</x:v>
      </x:c>
      <x:c r="H13222" s="0" t="s">
        <x:v>20</x:v>
      </x:c>
      <x:c r="I13222" s="0" t="s">
        <x:v>21</x:v>
      </x:c>
      <x:c r="K13222" s="0">
        <x:f>hyperlink("https://icd.who.int/dev11/l-ichi/en#/http%3A%2F%2Fid.who.int%2Ficd%2Fentity%2F851056745","browser")</x:f>
      </x:c>
      <x:c r="L13222" s="0">
        <x:f>hyperlink("https://icat2.azurewebsites.net/icat/?ontology=ICD&amp;tab=ClassesTab&amp;id=http%3A%2F%2Fwho.int%2Ficd%23SpecificAnatomicLocation_1591","iCat")</x:f>
      </x:c>
      <x:c r="M13222" s="0" t="s">
        <x:v>21</x:v>
      </x:c>
      <x:c r="N13222" s="0" t="s">
        <x:v>46</x:v>
      </x:c>
    </x:row>
    <x:row r="13223" spans="1:16">
      <x:c r="A13223" s="0" t="s">
        <x:v>50272</x:v>
      </x:c>
      <x:c r="B13223" s="0" t="s">
        <x:v>50273</x:v>
      </x:c>
      <x:c r="C13223" s="0" t="s">
        <x:v>42840</x:v>
      </x:c>
      <x:c r="E13223" s="0" t="s">
        <x:v>50274</x:v>
      </x:c>
      <x:c r="F13223" s="0" t="s">
        <x:v>45</x:v>
      </x:c>
      <x:c r="G13223" s="0" t="s">
        <x:v>30</x:v>
      </x:c>
      <x:c r="H13223" s="0" t="s">
        <x:v>20</x:v>
      </x:c>
      <x:c r="I13223" s="0" t="s">
        <x:v>21</x:v>
      </x:c>
      <x:c r="K13223" s="0">
        <x:f>hyperlink("https://icd.who.int/dev11/l-ichi/en#/http%3A%2F%2Fid.who.int%2Ficd%2Fentity%2F197309737","browser")</x:f>
      </x:c>
      <x:c r="L13223" s="0">
        <x:f>hyperlink("https://icat2.azurewebsites.net/icat/?ontology=ICD&amp;tab=ClassesTab&amp;id=http%3A%2F%2Fwho.int%2Ficd%23SpecificAnatomicLocation_1592","iCat")</x:f>
      </x:c>
      <x:c r="M13223" s="0" t="s">
        <x:v>21</x:v>
      </x:c>
      <x:c r="N13223" s="0" t="s">
        <x:v>46</x:v>
      </x:c>
    </x:row>
    <x:row r="13224" spans="1:16">
      <x:c r="A13224" s="0" t="s">
        <x:v>50275</x:v>
      </x:c>
      <x:c r="B13224" s="0" t="s">
        <x:v>50276</x:v>
      </x:c>
      <x:c r="C13224" s="0" t="s">
        <x:v>42840</x:v>
      </x:c>
      <x:c r="E13224" s="0" t="s">
        <x:v>50277</x:v>
      </x:c>
      <x:c r="F13224" s="0" t="s">
        <x:v>45</x:v>
      </x:c>
      <x:c r="G13224" s="0" t="s">
        <x:v>30</x:v>
      </x:c>
      <x:c r="H13224" s="0" t="s">
        <x:v>20</x:v>
      </x:c>
      <x:c r="I13224" s="0" t="s">
        <x:v>21</x:v>
      </x:c>
      <x:c r="K13224" s="0">
        <x:f>hyperlink("https://icd.who.int/dev11/l-ichi/en#/http%3A%2F%2Fid.who.int%2Ficd%2Fentity%2F485151209","browser")</x:f>
      </x:c>
      <x:c r="L13224" s="0">
        <x:f>hyperlink("https://icat2.azurewebsites.net/icat/?ontology=ICD&amp;tab=ClassesTab&amp;id=http%3A%2F%2Fwho.int%2Ficd%23SpecificAnatomicLocation_1593","iCat")</x:f>
      </x:c>
      <x:c r="M13224" s="0" t="s">
        <x:v>21</x:v>
      </x:c>
      <x:c r="N13224" s="0" t="s">
        <x:v>46</x:v>
      </x:c>
    </x:row>
    <x:row r="13225" spans="1:16">
      <x:c r="A13225" s="0" t="s">
        <x:v>50278</x:v>
      </x:c>
      <x:c r="B13225" s="0" t="s">
        <x:v>50279</x:v>
      </x:c>
      <x:c r="C13225" s="0" t="s">
        <x:v>42840</x:v>
      </x:c>
      <x:c r="E13225" s="0" t="s">
        <x:v>50280</x:v>
      </x:c>
      <x:c r="F13225" s="0" t="s">
        <x:v>45</x:v>
      </x:c>
      <x:c r="G13225" s="0" t="s">
        <x:v>30</x:v>
      </x:c>
      <x:c r="H13225" s="0" t="s">
        <x:v>20</x:v>
      </x:c>
      <x:c r="I13225" s="0" t="s">
        <x:v>21</x:v>
      </x:c>
      <x:c r="K13225" s="0">
        <x:f>hyperlink("https://icd.who.int/dev11/l-ichi/en#/http%3A%2F%2Fid.who.int%2Ficd%2Fentity%2F1847298921","browser")</x:f>
      </x:c>
      <x:c r="L13225" s="0">
        <x:f>hyperlink("https://icat2.azurewebsites.net/icat/?ontology=ICD&amp;tab=ClassesTab&amp;id=http%3A%2F%2Fwho.int%2Ficd%23SpecificAnatomicLocation_1595","iCat")</x:f>
      </x:c>
      <x:c r="M13225" s="0" t="s">
        <x:v>21</x:v>
      </x:c>
      <x:c r="N13225" s="0" t="s">
        <x:v>46</x:v>
      </x:c>
    </x:row>
    <x:row r="13226" spans="1:16">
      <x:c r="A13226" s="0" t="s">
        <x:v>50281</x:v>
      </x:c>
      <x:c r="B13226" s="0" t="s">
        <x:v>50282</x:v>
      </x:c>
      <x:c r="C13226" s="0" t="s">
        <x:v>42840</x:v>
      </x:c>
      <x:c r="E13226" s="0" t="s">
        <x:v>50283</x:v>
      </x:c>
      <x:c r="F13226" s="0" t="s">
        <x:v>45</x:v>
      </x:c>
      <x:c r="G13226" s="0" t="s">
        <x:v>30</x:v>
      </x:c>
      <x:c r="H13226" s="0" t="s">
        <x:v>20</x:v>
      </x:c>
      <x:c r="I13226" s="0" t="s">
        <x:v>21</x:v>
      </x:c>
      <x:c r="K13226" s="0">
        <x:f>hyperlink("https://icd.who.int/dev11/l-ichi/en#/http%3A%2F%2Fid.who.int%2Ficd%2Fentity%2F1375585440","browser")</x:f>
      </x:c>
      <x:c r="L13226" s="0">
        <x:f>hyperlink("https://icat2.azurewebsites.net/icat/?ontology=ICD&amp;tab=ClassesTab&amp;id=http%3A%2F%2Fwho.int%2Ficd%23SpecificAnatomicLocation_1636","iCat")</x:f>
      </x:c>
      <x:c r="M13226" s="0" t="s">
        <x:v>21</x:v>
      </x:c>
      <x:c r="N13226" s="0" t="s">
        <x:v>46</x:v>
      </x:c>
    </x:row>
    <x:row r="13227" spans="1:16">
      <x:c r="A13227" s="0" t="s">
        <x:v>50284</x:v>
      </x:c>
      <x:c r="B13227" s="0" t="s">
        <x:v>50285</x:v>
      </x:c>
      <x:c r="C13227" s="0" t="s">
        <x:v>42840</x:v>
      </x:c>
      <x:c r="E13227" s="0" t="s">
        <x:v>50286</x:v>
      </x:c>
      <x:c r="F13227" s="0" t="s">
        <x:v>45</x:v>
      </x:c>
      <x:c r="G13227" s="0" t="s">
        <x:v>30</x:v>
      </x:c>
      <x:c r="H13227" s="0" t="s">
        <x:v>20</x:v>
      </x:c>
      <x:c r="I13227" s="0" t="s">
        <x:v>21</x:v>
      </x:c>
      <x:c r="K13227" s="0">
        <x:f>hyperlink("https://icd.who.int/dev11/l-ichi/en#/http%3A%2F%2Fid.who.int%2Ficd%2Fentity%2F821206152","browser")</x:f>
      </x:c>
      <x:c r="L13227" s="0">
        <x:f>hyperlink("https://icat2.azurewebsites.net/icat/?ontology=ICD&amp;tab=ClassesTab&amp;id=http%3A%2F%2Fwho.int%2Ficd%23SpecificAnatomicLocation_1559","iCat")</x:f>
      </x:c>
      <x:c r="M13227" s="0" t="s">
        <x:v>21</x:v>
      </x:c>
      <x:c r="N13227" s="0" t="s">
        <x:v>46</x:v>
      </x:c>
    </x:row>
    <x:row r="13228" spans="1:16">
      <x:c r="A13228" s="0" t="s">
        <x:v>50287</x:v>
      </x:c>
      <x:c r="B13228" s="0" t="s">
        <x:v>50288</x:v>
      </x:c>
      <x:c r="C13228" s="0" t="s">
        <x:v>42840</x:v>
      </x:c>
      <x:c r="E13228" s="0" t="s">
        <x:v>50289</x:v>
      </x:c>
      <x:c r="F13228" s="0" t="s">
        <x:v>45</x:v>
      </x:c>
      <x:c r="G13228" s="0" t="s">
        <x:v>30</x:v>
      </x:c>
      <x:c r="H13228" s="0" t="s">
        <x:v>20</x:v>
      </x:c>
      <x:c r="I13228" s="0" t="s">
        <x:v>21</x:v>
      </x:c>
      <x:c r="K13228" s="0">
        <x:f>hyperlink("https://icd.who.int/dev11/l-ichi/en#/http%3A%2F%2Fid.who.int%2Ficd%2Fentity%2F1466115625","browser")</x:f>
      </x:c>
      <x:c r="L13228" s="0">
        <x:f>hyperlink("https://icat2.azurewebsites.net/icat/?ontology=ICD&amp;tab=ClassesTab&amp;id=http%3A%2F%2Fwho.int%2Ficd%23SpecificAnatomicLocation_1596","iCat")</x:f>
      </x:c>
      <x:c r="M13228" s="0" t="s">
        <x:v>21</x:v>
      </x:c>
      <x:c r="N13228" s="0" t="s">
        <x:v>46</x:v>
      </x:c>
    </x:row>
    <x:row r="13229" spans="1:16">
      <x:c r="A13229" s="0" t="s">
        <x:v>50290</x:v>
      </x:c>
      <x:c r="B13229" s="0" t="s">
        <x:v>50291</x:v>
      </x:c>
      <x:c r="C13229" s="0" t="s">
        <x:v>42840</x:v>
      </x:c>
      <x:c r="E13229" s="0" t="s">
        <x:v>50292</x:v>
      </x:c>
      <x:c r="F13229" s="0" t="s">
        <x:v>45</x:v>
      </x:c>
      <x:c r="G13229" s="0" t="s">
        <x:v>30</x:v>
      </x:c>
      <x:c r="H13229" s="0" t="s">
        <x:v>20</x:v>
      </x:c>
      <x:c r="I13229" s="0" t="s">
        <x:v>21</x:v>
      </x:c>
      <x:c r="K13229" s="0">
        <x:f>hyperlink("https://icd.who.int/dev11/l-ichi/en#/http%3A%2F%2Fid.who.int%2Ficd%2Fentity%2F1078674153","browser")</x:f>
      </x:c>
      <x:c r="L13229" s="0">
        <x:f>hyperlink("https://icat2.azurewebsites.net/icat/?ontology=ICD&amp;tab=ClassesTab&amp;id=http%3A%2F%2Fwho.int%2Ficd%23SpecificAnatomicLocation_1597","iCat")</x:f>
      </x:c>
      <x:c r="M13229" s="0" t="s">
        <x:v>21</x:v>
      </x:c>
      <x:c r="N13229" s="0" t="s">
        <x:v>46</x:v>
      </x:c>
    </x:row>
    <x:row r="13230" spans="1:16">
      <x:c r="A13230" s="0" t="s">
        <x:v>50293</x:v>
      </x:c>
      <x:c r="B13230" s="0" t="s">
        <x:v>50294</x:v>
      </x:c>
      <x:c r="C13230" s="0" t="s">
        <x:v>42840</x:v>
      </x:c>
      <x:c r="E13230" s="0" t="s">
        <x:v>50295</x:v>
      </x:c>
      <x:c r="F13230" s="0" t="s">
        <x:v>45</x:v>
      </x:c>
      <x:c r="G13230" s="0" t="s">
        <x:v>30</x:v>
      </x:c>
      <x:c r="H13230" s="0" t="s">
        <x:v>20</x:v>
      </x:c>
      <x:c r="I13230" s="0" t="s">
        <x:v>21</x:v>
      </x:c>
      <x:c r="K13230" s="0">
        <x:f>hyperlink("https://icd.who.int/dev11/l-ichi/en#/http%3A%2F%2Fid.who.int%2Ficd%2Fentity%2F1664001367","browser")</x:f>
      </x:c>
      <x:c r="L13230" s="0">
        <x:f>hyperlink("https://icat2.azurewebsites.net/icat/?ontology=ICD&amp;tab=ClassesTab&amp;id=http%3A%2F%2Fwho.int%2Ficd%23SpecificAnatomicLocation_1598","iCat")</x:f>
      </x:c>
      <x:c r="M13230" s="0" t="s">
        <x:v>21</x:v>
      </x:c>
      <x:c r="N13230" s="0" t="s">
        <x:v>46</x:v>
      </x:c>
    </x:row>
    <x:row r="13231" spans="1:16">
      <x:c r="A13231" s="0" t="s">
        <x:v>50296</x:v>
      </x:c>
      <x:c r="B13231" s="0" t="s">
        <x:v>50297</x:v>
      </x:c>
      <x:c r="C13231" s="0" t="s">
        <x:v>42840</x:v>
      </x:c>
      <x:c r="E13231" s="0" t="s">
        <x:v>50298</x:v>
      </x:c>
      <x:c r="F13231" s="0" t="s">
        <x:v>45</x:v>
      </x:c>
      <x:c r="G13231" s="0" t="s">
        <x:v>30</x:v>
      </x:c>
      <x:c r="H13231" s="0" t="s">
        <x:v>20</x:v>
      </x:c>
      <x:c r="I13231" s="0" t="s">
        <x:v>21</x:v>
      </x:c>
      <x:c r="K13231" s="0">
        <x:f>hyperlink("https://icd.who.int/dev11/l-ichi/en#/http%3A%2F%2Fid.who.int%2Ficd%2Fentity%2F1946599831","browser")</x:f>
      </x:c>
      <x:c r="L13231" s="0">
        <x:f>hyperlink("https://icat2.azurewebsites.net/icat/?ontology=ICD&amp;tab=ClassesTab&amp;id=http%3A%2F%2Fwho.int%2Ficd%23SpecificAnatomicLocation_1599","iCat")</x:f>
      </x:c>
      <x:c r="M13231" s="0" t="s">
        <x:v>21</x:v>
      </x:c>
      <x:c r="N13231" s="0" t="s">
        <x:v>46</x:v>
      </x:c>
    </x:row>
    <x:row r="13232" spans="1:16">
      <x:c r="A13232" s="0" t="s">
        <x:v>50299</x:v>
      </x:c>
      <x:c r="B13232" s="0" t="s">
        <x:v>50300</x:v>
      </x:c>
      <x:c r="C13232" s="0" t="s">
        <x:v>42840</x:v>
      </x:c>
      <x:c r="E13232" s="0" t="s">
        <x:v>50301</x:v>
      </x:c>
      <x:c r="F13232" s="0" t="s">
        <x:v>45</x:v>
      </x:c>
      <x:c r="G13232" s="0" t="s">
        <x:v>30</x:v>
      </x:c>
      <x:c r="H13232" s="0" t="s">
        <x:v>20</x:v>
      </x:c>
      <x:c r="I13232" s="0" t="s">
        <x:v>21</x:v>
      </x:c>
      <x:c r="K13232" s="0">
        <x:f>hyperlink("https://icd.who.int/dev11/l-ichi/en#/http%3A%2F%2Fid.who.int%2Ficd%2Fentity%2F2064791352","browser")</x:f>
      </x:c>
      <x:c r="L13232" s="0">
        <x:f>hyperlink("https://icat2.azurewebsites.net/icat/?ontology=ICD&amp;tab=ClassesTab&amp;id=http%3A%2F%2Fwho.int%2Ficd%23SpecificAnatomicLocation_1600","iCat")</x:f>
      </x:c>
      <x:c r="M13232" s="0" t="s">
        <x:v>21</x:v>
      </x:c>
      <x:c r="N13232" s="0" t="s">
        <x:v>46</x:v>
      </x:c>
    </x:row>
    <x:row r="13233" spans="1:16">
      <x:c r="A13233" s="0" t="s">
        <x:v>50302</x:v>
      </x:c>
      <x:c r="B13233" s="0" t="s">
        <x:v>50303</x:v>
      </x:c>
      <x:c r="C13233" s="0" t="s">
        <x:v>42840</x:v>
      </x:c>
      <x:c r="E13233" s="0" t="s">
        <x:v>50304</x:v>
      </x:c>
      <x:c r="F13233" s="0" t="s">
        <x:v>45</x:v>
      </x:c>
      <x:c r="G13233" s="0" t="s">
        <x:v>30</x:v>
      </x:c>
      <x:c r="H13233" s="0" t="s">
        <x:v>20</x:v>
      </x:c>
      <x:c r="I13233" s="0" t="s">
        <x:v>21</x:v>
      </x:c>
      <x:c r="K13233" s="0">
        <x:f>hyperlink("https://icd.who.int/dev11/l-ichi/en#/http%3A%2F%2Fid.who.int%2Ficd%2Fentity%2F1815761912","browser")</x:f>
      </x:c>
      <x:c r="L13233" s="0">
        <x:f>hyperlink("https://icat2.azurewebsites.net/icat/?ontology=ICD&amp;tab=ClassesTab&amp;id=http%3A%2F%2Fwho.int%2Ficd%23SpecificAnatomicLocation_1601","iCat")</x:f>
      </x:c>
      <x:c r="M13233" s="0" t="s">
        <x:v>21</x:v>
      </x:c>
      <x:c r="N13233" s="0" t="s">
        <x:v>46</x:v>
      </x:c>
    </x:row>
    <x:row r="13234" spans="1:16">
      <x:c r="A13234" s="0" t="s">
        <x:v>50305</x:v>
      </x:c>
      <x:c r="B13234" s="0" t="s">
        <x:v>50306</x:v>
      </x:c>
      <x:c r="C13234" s="0" t="s">
        <x:v>42840</x:v>
      </x:c>
      <x:c r="E13234" s="0" t="s">
        <x:v>50307</x:v>
      </x:c>
      <x:c r="F13234" s="0" t="s">
        <x:v>45</x:v>
      </x:c>
      <x:c r="G13234" s="0" t="s">
        <x:v>30</x:v>
      </x:c>
      <x:c r="H13234" s="0" t="s">
        <x:v>20</x:v>
      </x:c>
      <x:c r="I13234" s="0" t="s">
        <x:v>21</x:v>
      </x:c>
      <x:c r="K13234" s="0">
        <x:f>hyperlink("https://icd.who.int/dev11/l-ichi/en#/http%3A%2F%2Fid.who.int%2Ficd%2Fentity%2F1430453944","browser")</x:f>
      </x:c>
      <x:c r="L13234" s="0">
        <x:f>hyperlink("https://icat2.azurewebsites.net/icat/?ontology=ICD&amp;tab=ClassesTab&amp;id=http%3A%2F%2Fwho.int%2Ficd%23SpecificAnatomicLocation_1602","iCat")</x:f>
      </x:c>
      <x:c r="M13234" s="0" t="s">
        <x:v>21</x:v>
      </x:c>
      <x:c r="N13234" s="0" t="s">
        <x:v>46</x:v>
      </x:c>
    </x:row>
    <x:row r="13235" spans="1:16">
      <x:c r="A13235" s="0" t="s">
        <x:v>50308</x:v>
      </x:c>
      <x:c r="B13235" s="0" t="s">
        <x:v>50309</x:v>
      </x:c>
      <x:c r="C13235" s="0" t="s">
        <x:v>42840</x:v>
      </x:c>
      <x:c r="E13235" s="0" t="s">
        <x:v>50310</x:v>
      </x:c>
      <x:c r="F13235" s="0" t="s">
        <x:v>45</x:v>
      </x:c>
      <x:c r="G13235" s="0" t="s">
        <x:v>30</x:v>
      </x:c>
      <x:c r="H13235" s="0" t="s">
        <x:v>20</x:v>
      </x:c>
      <x:c r="I13235" s="0" t="s">
        <x:v>21</x:v>
      </x:c>
      <x:c r="K13235" s="0">
        <x:f>hyperlink("https://icd.who.int/dev11/l-ichi/en#/http%3A%2F%2Fid.who.int%2Ficd%2Fentity%2F1114282616","browser")</x:f>
      </x:c>
      <x:c r="L13235" s="0">
        <x:f>hyperlink("https://icat2.azurewebsites.net/icat/?ontology=ICD&amp;tab=ClassesTab&amp;id=http%3A%2F%2Fwho.int%2Ficd%23SpecificAnatomicLocation_1603","iCat")</x:f>
      </x:c>
      <x:c r="M13235" s="0" t="s">
        <x:v>21</x:v>
      </x:c>
      <x:c r="N13235" s="0" t="s">
        <x:v>46</x:v>
      </x:c>
    </x:row>
    <x:row r="13236" spans="1:16">
      <x:c r="A13236" s="0" t="s">
        <x:v>50311</x:v>
      </x:c>
      <x:c r="B13236" s="0" t="s">
        <x:v>50312</x:v>
      </x:c>
      <x:c r="C13236" s="0" t="s">
        <x:v>42840</x:v>
      </x:c>
      <x:c r="E13236" s="0" t="s">
        <x:v>50313</x:v>
      </x:c>
      <x:c r="F13236" s="0" t="s">
        <x:v>45</x:v>
      </x:c>
      <x:c r="G13236" s="0" t="s">
        <x:v>30</x:v>
      </x:c>
      <x:c r="H13236" s="0" t="s">
        <x:v>20</x:v>
      </x:c>
      <x:c r="I13236" s="0" t="s">
        <x:v>21</x:v>
      </x:c>
      <x:c r="K13236" s="0">
        <x:f>hyperlink("https://icd.who.int/dev11/l-ichi/en#/http%3A%2F%2Fid.who.int%2Ficd%2Fentity%2F964200608","browser")</x:f>
      </x:c>
      <x:c r="L13236" s="0">
        <x:f>hyperlink("https://icat2.azurewebsites.net/icat/?ontology=ICD&amp;tab=ClassesTab&amp;id=http%3A%2F%2Fwho.int%2Ficd%23SpecificAnatomicLocation_1560","iCat")</x:f>
      </x:c>
      <x:c r="M13236" s="0" t="s">
        <x:v>21</x:v>
      </x:c>
      <x:c r="N13236" s="0" t="s">
        <x:v>46</x:v>
      </x:c>
    </x:row>
    <x:row r="13237" spans="1:16">
      <x:c r="A13237" s="0" t="s">
        <x:v>50314</x:v>
      </x:c>
      <x:c r="B13237" s="0" t="s">
        <x:v>50315</x:v>
      </x:c>
      <x:c r="C13237" s="0" t="s">
        <x:v>42840</x:v>
      </x:c>
      <x:c r="E13237" s="0" t="s">
        <x:v>50316</x:v>
      </x:c>
      <x:c r="F13237" s="0" t="s">
        <x:v>45</x:v>
      </x:c>
      <x:c r="G13237" s="0" t="s">
        <x:v>30</x:v>
      </x:c>
      <x:c r="H13237" s="0" t="s">
        <x:v>20</x:v>
      </x:c>
      <x:c r="I13237" s="0" t="s">
        <x:v>21</x:v>
      </x:c>
      <x:c r="K13237" s="0">
        <x:f>hyperlink("https://icd.who.int/dev11/l-ichi/en#/http%3A%2F%2Fid.who.int%2Ficd%2Fentity%2F666084408","browser")</x:f>
      </x:c>
      <x:c r="L13237" s="0">
        <x:f>hyperlink("https://icat2.azurewebsites.net/icat/?ontology=ICD&amp;tab=ClassesTab&amp;id=http%3A%2F%2Fwho.int%2Ficd%23SpecificAnatomicLocation_1604","iCat")</x:f>
      </x:c>
      <x:c r="M13237" s="0" t="s">
        <x:v>21</x:v>
      </x:c>
      <x:c r="N13237" s="0" t="s">
        <x:v>46</x:v>
      </x:c>
    </x:row>
    <x:row r="13238" spans="1:16">
      <x:c r="A13238" s="0" t="s">
        <x:v>50317</x:v>
      </x:c>
      <x:c r="B13238" s="0" t="s">
        <x:v>50318</x:v>
      </x:c>
      <x:c r="C13238" s="0" t="s">
        <x:v>42840</x:v>
      </x:c>
      <x:c r="E13238" s="0" t="s">
        <x:v>50319</x:v>
      </x:c>
      <x:c r="F13238" s="0" t="s">
        <x:v>45</x:v>
      </x:c>
      <x:c r="G13238" s="0" t="s">
        <x:v>30</x:v>
      </x:c>
      <x:c r="H13238" s="0" t="s">
        <x:v>20</x:v>
      </x:c>
      <x:c r="I13238" s="0" t="s">
        <x:v>21</x:v>
      </x:c>
      <x:c r="K13238" s="0">
        <x:f>hyperlink("https://icd.who.int/dev11/l-ichi/en#/http%3A%2F%2Fid.who.int%2Ficd%2Fentity%2F815513848","browser")</x:f>
      </x:c>
      <x:c r="L13238" s="0">
        <x:f>hyperlink("https://icat2.azurewebsites.net/icat/?ontology=ICD&amp;tab=ClassesTab&amp;id=http%3A%2F%2Fwho.int%2Ficd%23SpecificAnatomicLocation_1605","iCat")</x:f>
      </x:c>
      <x:c r="M13238" s="0" t="s">
        <x:v>21</x:v>
      </x:c>
      <x:c r="N13238" s="0" t="s">
        <x:v>46</x:v>
      </x:c>
    </x:row>
    <x:row r="13239" spans="1:16">
      <x:c r="A13239" s="0" t="s">
        <x:v>50320</x:v>
      </x:c>
      <x:c r="B13239" s="0" t="s">
        <x:v>50321</x:v>
      </x:c>
      <x:c r="C13239" s="0" t="s">
        <x:v>42840</x:v>
      </x:c>
      <x:c r="E13239" s="0" t="s">
        <x:v>50322</x:v>
      </x:c>
      <x:c r="F13239" s="0" t="s">
        <x:v>45</x:v>
      </x:c>
      <x:c r="G13239" s="0" t="s">
        <x:v>30</x:v>
      </x:c>
      <x:c r="H13239" s="0" t="s">
        <x:v>20</x:v>
      </x:c>
      <x:c r="I13239" s="0" t="s">
        <x:v>21</x:v>
      </x:c>
      <x:c r="K13239" s="0">
        <x:f>hyperlink("https://icd.who.int/dev11/l-ichi/en#/http%3A%2F%2Fid.who.int%2Ficd%2Fentity%2F165899704","browser")</x:f>
      </x:c>
      <x:c r="L13239" s="0">
        <x:f>hyperlink("https://icat2.azurewebsites.net/icat/?ontology=ICD&amp;tab=ClassesTab&amp;id=http%3A%2F%2Fwho.int%2Ficd%23SpecificAnatomicLocation_1606","iCat")</x:f>
      </x:c>
      <x:c r="M13239" s="0" t="s">
        <x:v>21</x:v>
      </x:c>
      <x:c r="N13239" s="0" t="s">
        <x:v>46</x:v>
      </x:c>
    </x:row>
    <x:row r="13240" spans="1:16">
      <x:c r="A13240" s="0" t="s">
        <x:v>50323</x:v>
      </x:c>
      <x:c r="B13240" s="0" t="s">
        <x:v>50324</x:v>
      </x:c>
      <x:c r="C13240" s="0" t="s">
        <x:v>42840</x:v>
      </x:c>
      <x:c r="E13240" s="0" t="s">
        <x:v>50325</x:v>
      </x:c>
      <x:c r="F13240" s="0" t="s">
        <x:v>45</x:v>
      </x:c>
      <x:c r="G13240" s="0" t="s">
        <x:v>30</x:v>
      </x:c>
      <x:c r="H13240" s="0" t="s">
        <x:v>20</x:v>
      </x:c>
      <x:c r="I13240" s="0" t="s">
        <x:v>21</x:v>
      </x:c>
      <x:c r="K13240" s="0">
        <x:f>hyperlink("https://icd.who.int/dev11/l-ichi/en#/http%3A%2F%2Fid.who.int%2Ficd%2Fentity%2F516622712","browser")</x:f>
      </x:c>
      <x:c r="L13240" s="0">
        <x:f>hyperlink("https://icat2.azurewebsites.net/icat/?ontology=ICD&amp;tab=ClassesTab&amp;id=http%3A%2F%2Fwho.int%2Ficd%23SpecificAnatomicLocation_1607","iCat")</x:f>
      </x:c>
      <x:c r="M13240" s="0" t="s">
        <x:v>21</x:v>
      </x:c>
      <x:c r="N13240" s="0" t="s">
        <x:v>46</x:v>
      </x:c>
    </x:row>
    <x:row r="13241" spans="1:16">
      <x:c r="A13241" s="0" t="s">
        <x:v>50326</x:v>
      </x:c>
      <x:c r="B13241" s="0" t="s">
        <x:v>50327</x:v>
      </x:c>
      <x:c r="C13241" s="0" t="s">
        <x:v>42840</x:v>
      </x:c>
      <x:c r="E13241" s="0" t="s">
        <x:v>50328</x:v>
      </x:c>
      <x:c r="F13241" s="0" t="s">
        <x:v>45</x:v>
      </x:c>
      <x:c r="G13241" s="0" t="s">
        <x:v>30</x:v>
      </x:c>
      <x:c r="H13241" s="0" t="s">
        <x:v>20</x:v>
      </x:c>
      <x:c r="I13241" s="0" t="s">
        <x:v>21</x:v>
      </x:c>
      <x:c r="K13241" s="0">
        <x:f>hyperlink("https://icd.who.int/dev11/l-ichi/en#/http%3A%2F%2Fid.who.int%2Ficd%2Fentity%2F1034874568","browser")</x:f>
      </x:c>
      <x:c r="L13241" s="0">
        <x:f>hyperlink("https://icat2.azurewebsites.net/icat/?ontology=ICD&amp;tab=ClassesTab&amp;id=http%3A%2F%2Fwho.int%2Ficd%23SpecificAnatomicLocation_1608","iCat")</x:f>
      </x:c>
      <x:c r="M13241" s="0" t="s">
        <x:v>21</x:v>
      </x:c>
      <x:c r="N13241" s="0" t="s">
        <x:v>46</x:v>
      </x:c>
    </x:row>
    <x:row r="13242" spans="1:16">
      <x:c r="A13242" s="0" t="s">
        <x:v>50329</x:v>
      </x:c>
      <x:c r="B13242" s="0" t="s">
        <x:v>50330</x:v>
      </x:c>
      <x:c r="C13242" s="0" t="s">
        <x:v>42840</x:v>
      </x:c>
      <x:c r="E13242" s="0" t="s">
        <x:v>50331</x:v>
      </x:c>
      <x:c r="F13242" s="0" t="s">
        <x:v>45</x:v>
      </x:c>
      <x:c r="G13242" s="0" t="s">
        <x:v>30</x:v>
      </x:c>
      <x:c r="H13242" s="0" t="s">
        <x:v>20</x:v>
      </x:c>
      <x:c r="I13242" s="0" t="s">
        <x:v>21</x:v>
      </x:c>
      <x:c r="K13242" s="0">
        <x:f>hyperlink("https://icd.who.int/dev11/l-ichi/en#/http%3A%2F%2Fid.who.int%2Ficd%2Fentity%2F713460232","browser")</x:f>
      </x:c>
      <x:c r="L13242" s="0">
        <x:f>hyperlink("https://icat2.azurewebsites.net/icat/?ontology=ICD&amp;tab=ClassesTab&amp;id=http%3A%2F%2Fwho.int%2Ficd%23SpecificAnatomicLocation_1609","iCat")</x:f>
      </x:c>
      <x:c r="M13242" s="0" t="s">
        <x:v>21</x:v>
      </x:c>
      <x:c r="N13242" s="0" t="s">
        <x:v>46</x:v>
      </x:c>
    </x:row>
    <x:row r="13243" spans="1:16">
      <x:c r="A13243" s="0" t="s">
        <x:v>50332</x:v>
      </x:c>
      <x:c r="B13243" s="0" t="s">
        <x:v>50333</x:v>
      </x:c>
      <x:c r="C13243" s="0" t="s">
        <x:v>42840</x:v>
      </x:c>
      <x:c r="E13243" s="0" t="s">
        <x:v>50334</x:v>
      </x:c>
      <x:c r="F13243" s="0" t="s">
        <x:v>45</x:v>
      </x:c>
      <x:c r="G13243" s="0" t="s">
        <x:v>30</x:v>
      </x:c>
      <x:c r="H13243" s="0" t="s">
        <x:v>20</x:v>
      </x:c>
      <x:c r="I13243" s="0" t="s">
        <x:v>21</x:v>
      </x:c>
      <x:c r="K13243" s="0">
        <x:f>hyperlink("https://icd.who.int/dev11/l-ichi/en#/http%3A%2F%2Fid.who.int%2Ficd%2Fentity%2F97037807","browser")</x:f>
      </x:c>
      <x:c r="L13243" s="0">
        <x:f>hyperlink("https://icat2.azurewebsites.net/icat/?ontology=ICD&amp;tab=ClassesTab&amp;id=http%3A%2F%2Fwho.int%2Ficd%23SpecificAnatomicLocation_1610","iCat")</x:f>
      </x:c>
      <x:c r="M13243" s="0" t="s">
        <x:v>21</x:v>
      </x:c>
      <x:c r="N13243" s="0" t="s">
        <x:v>46</x:v>
      </x:c>
    </x:row>
    <x:row r="13244" spans="1:16">
      <x:c r="A13244" s="0" t="s">
        <x:v>50335</x:v>
      </x:c>
      <x:c r="B13244" s="0" t="s">
        <x:v>50336</x:v>
      </x:c>
      <x:c r="C13244" s="0" t="s">
        <x:v>42840</x:v>
      </x:c>
      <x:c r="E13244" s="0" t="s">
        <x:v>50337</x:v>
      </x:c>
      <x:c r="F13244" s="0" t="s">
        <x:v>45</x:v>
      </x:c>
      <x:c r="G13244" s="0" t="s">
        <x:v>30</x:v>
      </x:c>
      <x:c r="H13244" s="0" t="s">
        <x:v>20</x:v>
      </x:c>
      <x:c r="I13244" s="0" t="s">
        <x:v>21</x:v>
      </x:c>
      <x:c r="K13244" s="0">
        <x:f>hyperlink("https://icd.who.int/dev11/l-ichi/en#/http%3A%2F%2Fid.who.int%2Ficd%2Fentity%2F316721455","browser")</x:f>
      </x:c>
      <x:c r="L13244" s="0">
        <x:f>hyperlink("https://icat2.azurewebsites.net/icat/?ontology=ICD&amp;tab=ClassesTab&amp;id=http%3A%2F%2Fwho.int%2Ficd%23SpecificAnatomicLocation_1611","iCat")</x:f>
      </x:c>
      <x:c r="M13244" s="0" t="s">
        <x:v>21</x:v>
      </x:c>
      <x:c r="N13244" s="0" t="s">
        <x:v>46</x:v>
      </x:c>
    </x:row>
    <x:row r="13245" spans="1:16">
      <x:c r="A13245" s="0" t="s">
        <x:v>50338</x:v>
      </x:c>
      <x:c r="B13245" s="0" t="s">
        <x:v>50339</x:v>
      </x:c>
      <x:c r="C13245" s="0" t="s">
        <x:v>42840</x:v>
      </x:c>
      <x:c r="E13245" s="0" t="s">
        <x:v>50340</x:v>
      </x:c>
      <x:c r="F13245" s="0" t="s">
        <x:v>45</x:v>
      </x:c>
      <x:c r="G13245" s="0" t="s">
        <x:v>30</x:v>
      </x:c>
      <x:c r="H13245" s="0" t="s">
        <x:v>20</x:v>
      </x:c>
      <x:c r="I13245" s="0" t="s">
        <x:v>21</x:v>
      </x:c>
      <x:c r="K13245" s="0">
        <x:f>hyperlink("https://icd.who.int/dev11/l-ichi/en#/http%3A%2F%2Fid.who.int%2Ficd%2Fentity%2F731407471","browser")</x:f>
      </x:c>
      <x:c r="L13245" s="0">
        <x:f>hyperlink("https://icat2.azurewebsites.net/icat/?ontology=ICD&amp;tab=ClassesTab&amp;id=http%3A%2F%2Fwho.int%2Ficd%23SpecificAnatomicLocation_1612","iCat")</x:f>
      </x:c>
      <x:c r="M13245" s="0" t="s">
        <x:v>21</x:v>
      </x:c>
      <x:c r="N13245" s="0" t="s">
        <x:v>46</x:v>
      </x:c>
    </x:row>
    <x:row r="13246" spans="1:16">
      <x:c r="A13246" s="0" t="s">
        <x:v>50341</x:v>
      </x:c>
      <x:c r="B13246" s="0" t="s">
        <x:v>50342</x:v>
      </x:c>
      <x:c r="C13246" s="0" t="s">
        <x:v>42840</x:v>
      </x:c>
      <x:c r="E13246" s="0" t="s">
        <x:v>50343</x:v>
      </x:c>
      <x:c r="F13246" s="0" t="s">
        <x:v>45</x:v>
      </x:c>
      <x:c r="G13246" s="0" t="s">
        <x:v>30</x:v>
      </x:c>
      <x:c r="H13246" s="0" t="s">
        <x:v>20</x:v>
      </x:c>
      <x:c r="I13246" s="0" t="s">
        <x:v>21</x:v>
      </x:c>
      <x:c r="K13246" s="0">
        <x:f>hyperlink("https://icd.who.int/dev11/l-ichi/en#/http%3A%2F%2Fid.who.int%2Ficd%2Fentity%2F1018167471","browser")</x:f>
      </x:c>
      <x:c r="L13246" s="0">
        <x:f>hyperlink("https://icat2.azurewebsites.net/icat/?ontology=ICD&amp;tab=ClassesTab&amp;id=http%3A%2F%2Fwho.int%2Ficd%23SpecificAnatomicLocation_1613","iCat")</x:f>
      </x:c>
      <x:c r="M13246" s="0" t="s">
        <x:v>21</x:v>
      </x:c>
      <x:c r="N13246" s="0" t="s">
        <x:v>46</x:v>
      </x:c>
    </x:row>
    <x:row r="13247" spans="1:16">
      <x:c r="A13247" s="0" t="s">
        <x:v>50344</x:v>
      </x:c>
      <x:c r="B13247" s="0" t="s">
        <x:v>50345</x:v>
      </x:c>
      <x:c r="C13247" s="0" t="s">
        <x:v>42840</x:v>
      </x:c>
      <x:c r="E13247" s="0" t="s">
        <x:v>50346</x:v>
      </x:c>
      <x:c r="F13247" s="0" t="s">
        <x:v>45</x:v>
      </x:c>
      <x:c r="G13247" s="0" t="s">
        <x:v>30</x:v>
      </x:c>
      <x:c r="H13247" s="0" t="s">
        <x:v>20</x:v>
      </x:c>
      <x:c r="I13247" s="0" t="s">
        <x:v>21</x:v>
      </x:c>
      <x:c r="K13247" s="0">
        <x:f>hyperlink("https://icd.who.int/dev11/l-ichi/en#/http%3A%2F%2Fid.who.int%2Ficd%2Fentity%2F1500069615","browser")</x:f>
      </x:c>
      <x:c r="L13247" s="0">
        <x:f>hyperlink("https://icat2.azurewebsites.net/icat/?ontology=ICD&amp;tab=ClassesTab&amp;id=http%3A%2F%2Fwho.int%2Ficd%23SpecificAnatomicLocation_1614","iCat")</x:f>
      </x:c>
      <x:c r="M13247" s="0" t="s">
        <x:v>21</x:v>
      </x:c>
      <x:c r="N13247" s="0" t="s">
        <x:v>46</x:v>
      </x:c>
    </x:row>
    <x:row r="13248" spans="1:16">
      <x:c r="A13248" s="0" t="s">
        <x:v>50347</x:v>
      </x:c>
      <x:c r="B13248" s="0" t="s">
        <x:v>50348</x:v>
      </x:c>
      <x:c r="C13248" s="0" t="s">
        <x:v>42840</x:v>
      </x:c>
      <x:c r="E13248" s="0" t="s">
        <x:v>50349</x:v>
      </x:c>
      <x:c r="F13248" s="0" t="s">
        <x:v>45</x:v>
      </x:c>
      <x:c r="G13248" s="0" t="s">
        <x:v>30</x:v>
      </x:c>
      <x:c r="H13248" s="0" t="s">
        <x:v>20</x:v>
      </x:c>
      <x:c r="I13248" s="0" t="s">
        <x:v>21</x:v>
      </x:c>
      <x:c r="K13248" s="0">
        <x:f>hyperlink("https://icd.who.int/dev11/l-ichi/en#/http%3A%2F%2Fid.who.int%2Ficd%2Fentity%2F1312905775","browser")</x:f>
      </x:c>
      <x:c r="L13248" s="0">
        <x:f>hyperlink("https://icat2.azurewebsites.net/icat/?ontology=ICD&amp;tab=ClassesTab&amp;id=http%3A%2F%2Fwho.int%2Ficd%23SpecificAnatomicLocation_1615","iCat")</x:f>
      </x:c>
      <x:c r="M13248" s="0" t="s">
        <x:v>21</x:v>
      </x:c>
      <x:c r="N13248" s="0" t="s">
        <x:v>46</x:v>
      </x:c>
    </x:row>
    <x:row r="13249" spans="1:16">
      <x:c r="A13249" s="0" t="s">
        <x:v>50350</x:v>
      </x:c>
      <x:c r="B13249" s="0" t="s">
        <x:v>50351</x:v>
      </x:c>
      <x:c r="C13249" s="0" t="s">
        <x:v>42840</x:v>
      </x:c>
      <x:c r="E13249" s="0" t="s">
        <x:v>50352</x:v>
      </x:c>
      <x:c r="F13249" s="0" t="s">
        <x:v>45</x:v>
      </x:c>
      <x:c r="G13249" s="0" t="s">
        <x:v>30</x:v>
      </x:c>
      <x:c r="H13249" s="0" t="s">
        <x:v>20</x:v>
      </x:c>
      <x:c r="I13249" s="0" t="s">
        <x:v>21</x:v>
      </x:c>
      <x:c r="K13249" s="0">
        <x:f>hyperlink("https://icd.who.int/dev11/l-ichi/en#/http%3A%2F%2Fid.who.int%2Ficd%2Fentity%2F2000287599","browser")</x:f>
      </x:c>
      <x:c r="L13249" s="0">
        <x:f>hyperlink("https://icat2.azurewebsites.net/icat/?ontology=ICD&amp;tab=ClassesTab&amp;id=http%3A%2F%2Fwho.int%2Ficd%23SpecificAnatomicLocation_1616","iCat")</x:f>
      </x:c>
      <x:c r="M13249" s="0" t="s">
        <x:v>21</x:v>
      </x:c>
      <x:c r="N13249" s="0" t="s">
        <x:v>46</x:v>
      </x:c>
    </x:row>
    <x:row r="13250" spans="1:16">
      <x:c r="A13250" s="0" t="s">
        <x:v>50353</x:v>
      </x:c>
      <x:c r="B13250" s="0" t="s">
        <x:v>50354</x:v>
      </x:c>
      <x:c r="C13250" s="0" t="s">
        <x:v>42840</x:v>
      </x:c>
      <x:c r="E13250" s="0" t="s">
        <x:v>50355</x:v>
      </x:c>
      <x:c r="F13250" s="0" t="s">
        <x:v>45</x:v>
      </x:c>
      <x:c r="G13250" s="0" t="s">
        <x:v>30</x:v>
      </x:c>
      <x:c r="H13250" s="0" t="s">
        <x:v>20</x:v>
      </x:c>
      <x:c r="I13250" s="0" t="s">
        <x:v>21</x:v>
      </x:c>
      <x:c r="K13250" s="0">
        <x:f>hyperlink("https://icd.who.int/dev11/l-ichi/en#/http%3A%2F%2Fid.who.int%2Ficd%2Fentity%2F1611764655","browser")</x:f>
      </x:c>
      <x:c r="L13250" s="0">
        <x:f>hyperlink("https://icat2.azurewebsites.net/icat/?ontology=ICD&amp;tab=ClassesTab&amp;id=http%3A%2F%2Fwho.int%2Ficd%23SpecificAnatomicLocation_1617","iCat")</x:f>
      </x:c>
      <x:c r="M13250" s="0" t="s">
        <x:v>21</x:v>
      </x:c>
      <x:c r="N13250" s="0" t="s">
        <x:v>46</x:v>
      </x:c>
    </x:row>
    <x:row r="13251" spans="1:16">
      <x:c r="A13251" s="0" t="s">
        <x:v>50356</x:v>
      </x:c>
      <x:c r="B13251" s="0" t="s">
        <x:v>50357</x:v>
      </x:c>
      <x:c r="C13251" s="0" t="s">
        <x:v>42840</x:v>
      </x:c>
      <x:c r="E13251" s="0" t="s">
        <x:v>50358</x:v>
      </x:c>
      <x:c r="F13251" s="0" t="s">
        <x:v>45</x:v>
      </x:c>
      <x:c r="G13251" s="0" t="s">
        <x:v>30</x:v>
      </x:c>
      <x:c r="H13251" s="0" t="s">
        <x:v>20</x:v>
      </x:c>
      <x:c r="I13251" s="0" t="s">
        <x:v>21</x:v>
      </x:c>
      <x:c r="K13251" s="0">
        <x:f>hyperlink("https://icd.who.int/dev11/l-ichi/en#/http%3A%2F%2Fid.who.int%2Ficd%2Fentity%2F1131705361","browser")</x:f>
      </x:c>
      <x:c r="L13251" s="0">
        <x:f>hyperlink("https://icat2.azurewebsites.net/icat/?ontology=ICD&amp;tab=ClassesTab&amp;id=http%3A%2F%2Fwho.int%2Ficd%23SpecificAnatomicLocation_1618","iCat")</x:f>
      </x:c>
      <x:c r="M13251" s="0" t="s">
        <x:v>21</x:v>
      </x:c>
      <x:c r="N13251" s="0" t="s">
        <x:v>46</x:v>
      </x:c>
    </x:row>
    <x:row r="13252" spans="1:16">
      <x:c r="A13252" s="0" t="s">
        <x:v>50359</x:v>
      </x:c>
      <x:c r="B13252" s="0" t="s">
        <x:v>50360</x:v>
      </x:c>
      <x:c r="C13252" s="0" t="s">
        <x:v>42840</x:v>
      </x:c>
      <x:c r="E13252" s="0" t="s">
        <x:v>50361</x:v>
      </x:c>
      <x:c r="F13252" s="0" t="s">
        <x:v>45</x:v>
      </x:c>
      <x:c r="G13252" s="0" t="s">
        <x:v>30</x:v>
      </x:c>
      <x:c r="H13252" s="0" t="s">
        <x:v>20</x:v>
      </x:c>
      <x:c r="I13252" s="0" t="s">
        <x:v>21</x:v>
      </x:c>
      <x:c r="K13252" s="0">
        <x:f>hyperlink("https://icd.who.int/dev11/l-ichi/en#/http%3A%2F%2Fid.who.int%2Ficd%2Fentity%2F1415319761","browser")</x:f>
      </x:c>
      <x:c r="L13252" s="0">
        <x:f>hyperlink("https://icat2.azurewebsites.net/icat/?ontology=ICD&amp;tab=ClassesTab&amp;id=http%3A%2F%2Fwho.int%2Ficd%23SpecificAnatomicLocation_1619","iCat")</x:f>
      </x:c>
      <x:c r="M13252" s="0" t="s">
        <x:v>21</x:v>
      </x:c>
      <x:c r="N13252" s="0" t="s">
        <x:v>46</x:v>
      </x:c>
    </x:row>
    <x:row r="13253" spans="1:16">
      <x:c r="A13253" s="0" t="s">
        <x:v>50362</x:v>
      </x:c>
      <x:c r="B13253" s="0" t="s">
        <x:v>50363</x:v>
      </x:c>
      <x:c r="C13253" s="0" t="s">
        <x:v>42840</x:v>
      </x:c>
      <x:c r="E13253" s="0" t="s">
        <x:v>50364</x:v>
      </x:c>
      <x:c r="F13253" s="0" t="s">
        <x:v>45</x:v>
      </x:c>
      <x:c r="G13253" s="0" t="s">
        <x:v>30</x:v>
      </x:c>
      <x:c r="H13253" s="0" t="s">
        <x:v>20</x:v>
      </x:c>
      <x:c r="I13253" s="0" t="s">
        <x:v>21</x:v>
      </x:c>
      <x:c r="K13253" s="0">
        <x:f>hyperlink("https://icd.who.int/dev11/l-ichi/en#/http%3A%2F%2Fid.who.int%2Ficd%2Fentity%2F1574307015","browser")</x:f>
      </x:c>
      <x:c r="L13253" s="0">
        <x:f>hyperlink("https://icat2.azurewebsites.net/icat/?ontology=ICD&amp;tab=ClassesTab&amp;id=http%3A%2F%2Fwho.int%2Ficd%23SpecificAnatomicLocation_1620","iCat")</x:f>
      </x:c>
      <x:c r="M13253" s="0" t="s">
        <x:v>21</x:v>
      </x:c>
      <x:c r="N13253" s="0" t="s">
        <x:v>46</x:v>
      </x:c>
    </x:row>
    <x:row r="13254" spans="1:16">
      <x:c r="A13254" s="0" t="s">
        <x:v>50365</x:v>
      </x:c>
      <x:c r="B13254" s="0" t="s">
        <x:v>50366</x:v>
      </x:c>
      <x:c r="C13254" s="0" t="s">
        <x:v>42840</x:v>
      </x:c>
      <x:c r="E13254" s="0" t="s">
        <x:v>50367</x:v>
      </x:c>
      <x:c r="F13254" s="0" t="s">
        <x:v>45</x:v>
      </x:c>
      <x:c r="G13254" s="0" t="s">
        <x:v>30</x:v>
      </x:c>
      <x:c r="H13254" s="0" t="s">
        <x:v>20</x:v>
      </x:c>
      <x:c r="I13254" s="0" t="s">
        <x:v>21</x:v>
      </x:c>
      <x:c r="K13254" s="0">
        <x:f>hyperlink("https://icd.who.int/dev11/l-ichi/en#/http%3A%2F%2Fid.who.int%2Ficd%2Fentity%2F1258184711","browser")</x:f>
      </x:c>
      <x:c r="L13254" s="0">
        <x:f>hyperlink("https://icat2.azurewebsites.net/icat/?ontology=ICD&amp;tab=ClassesTab&amp;id=http%3A%2F%2Fwho.int%2Ficd%23SpecificAnatomicLocation_1621","iCat")</x:f>
      </x:c>
      <x:c r="M13254" s="0" t="s">
        <x:v>21</x:v>
      </x:c>
      <x:c r="N13254" s="0" t="s">
        <x:v>46</x:v>
      </x:c>
    </x:row>
    <x:row r="13255" spans="1:16">
      <x:c r="A13255" s="0" t="s">
        <x:v>50368</x:v>
      </x:c>
      <x:c r="B13255" s="0" t="s">
        <x:v>50369</x:v>
      </x:c>
      <x:c r="C13255" s="0" t="s">
        <x:v>42840</x:v>
      </x:c>
      <x:c r="E13255" s="0" t="s">
        <x:v>50370</x:v>
      </x:c>
      <x:c r="F13255" s="0" t="s">
        <x:v>45</x:v>
      </x:c>
      <x:c r="G13255" s="0" t="s">
        <x:v>30</x:v>
      </x:c>
      <x:c r="H13255" s="0" t="s">
        <x:v>20</x:v>
      </x:c>
      <x:c r="I13255" s="0" t="s">
        <x:v>21</x:v>
      </x:c>
      <x:c r="K13255" s="0">
        <x:f>hyperlink("https://icd.who.int/dev11/l-ichi/en#/http%3A%2F%2Fid.who.int%2Ficd%2Fentity%2F1938214215","browser")</x:f>
      </x:c>
      <x:c r="L13255" s="0">
        <x:f>hyperlink("https://icat2.azurewebsites.net/icat/?ontology=ICD&amp;tab=ClassesTab&amp;id=http%3A%2F%2Fwho.int%2Ficd%23SpecificAnatomicLocation_1622","iCat")</x:f>
      </x:c>
      <x:c r="M13255" s="0" t="s">
        <x:v>21</x:v>
      </x:c>
      <x:c r="N13255" s="0" t="s">
        <x:v>46</x:v>
      </x:c>
    </x:row>
    <x:row r="13256" spans="1:16">
      <x:c r="A13256" s="0" t="s">
        <x:v>50371</x:v>
      </x:c>
      <x:c r="B13256" s="0" t="s">
        <x:v>50372</x:v>
      </x:c>
      <x:c r="C13256" s="0" t="s">
        <x:v>42840</x:v>
      </x:c>
      <x:c r="E13256" s="0" t="s">
        <x:v>50373</x:v>
      </x:c>
      <x:c r="F13256" s="0" t="s">
        <x:v>45</x:v>
      </x:c>
      <x:c r="G13256" s="0" t="s">
        <x:v>30</x:v>
      </x:c>
      <x:c r="H13256" s="0" t="s">
        <x:v>20</x:v>
      </x:c>
      <x:c r="I13256" s="0" t="s">
        <x:v>21</x:v>
      </x:c>
      <x:c r="K13256" s="0">
        <x:f>hyperlink("https://icd.who.int/dev11/l-ichi/en#/http%3A%2F%2Fid.who.int%2Ficd%2Fentity%2F1689168263","browser")</x:f>
      </x:c>
      <x:c r="L13256" s="0">
        <x:f>hyperlink("https://icat2.azurewebsites.net/icat/?ontology=ICD&amp;tab=ClassesTab&amp;id=http%3A%2F%2Fwho.int%2Ficd%23SpecificAnatomicLocation_1623","iCat")</x:f>
      </x:c>
      <x:c r="M13256" s="0" t="s">
        <x:v>21</x:v>
      </x:c>
      <x:c r="N13256" s="0" t="s">
        <x:v>46</x:v>
      </x:c>
    </x:row>
    <x:row r="13257" spans="1:16">
      <x:c r="A13257" s="0" t="s">
        <x:v>50374</x:v>
      </x:c>
      <x:c r="B13257" s="0" t="s">
        <x:v>50375</x:v>
      </x:c>
      <x:c r="C13257" s="0" t="s">
        <x:v>42840</x:v>
      </x:c>
      <x:c r="E13257" s="0" t="s">
        <x:v>50376</x:v>
      </x:c>
      <x:c r="F13257" s="0" t="s">
        <x:v>45</x:v>
      </x:c>
      <x:c r="G13257" s="0" t="s">
        <x:v>30</x:v>
      </x:c>
      <x:c r="H13257" s="0" t="s">
        <x:v>20</x:v>
      </x:c>
      <x:c r="I13257" s="0" t="s">
        <x:v>21</x:v>
      </x:c>
      <x:c r="K13257" s="0">
        <x:f>hyperlink("https://icd.who.int/dev11/l-ichi/en#/http%3A%2F%2Fid.who.int%2Ficd%2Fentity%2F24614855","browser")</x:f>
      </x:c>
      <x:c r="L13257" s="0">
        <x:f>hyperlink("https://icat2.azurewebsites.net/icat/?ontology=ICD&amp;tab=ClassesTab&amp;id=http%3A%2F%2Fwho.int%2Ficd%23SpecificAnatomicLocation_1624","iCat")</x:f>
      </x:c>
      <x:c r="M13257" s="0" t="s">
        <x:v>21</x:v>
      </x:c>
      <x:c r="N13257" s="0" t="s">
        <x:v>46</x:v>
      </x:c>
    </x:row>
    <x:row r="13258" spans="1:16">
      <x:c r="A13258" s="0" t="s">
        <x:v>50377</x:v>
      </x:c>
      <x:c r="B13258" s="0" t="s">
        <x:v>50378</x:v>
      </x:c>
      <x:c r="C13258" s="0" t="s">
        <x:v>42840</x:v>
      </x:c>
      <x:c r="E13258" s="0" t="s">
        <x:v>50379</x:v>
      </x:c>
      <x:c r="F13258" s="0" t="s">
        <x:v>45</x:v>
      </x:c>
      <x:c r="G13258" s="0" t="s">
        <x:v>30</x:v>
      </x:c>
      <x:c r="H13258" s="0" t="s">
        <x:v>20</x:v>
      </x:c>
      <x:c r="I13258" s="0" t="s">
        <x:v>21</x:v>
      </x:c>
      <x:c r="K13258" s="0">
        <x:f>hyperlink("https://icd.who.int/dev11/l-ichi/en#/http%3A%2F%2Fid.who.int%2Ficd%2Fentity%2F79634424","browser")</x:f>
      </x:c>
      <x:c r="L13258" s="0">
        <x:f>hyperlink("https://icat2.azurewebsites.net/icat/?ontology=ICD&amp;tab=ClassesTab&amp;id=http%3A%2F%2Fwho.int%2Ficd%23SpecificAnatomicLocation_1557","iCat")</x:f>
      </x:c>
      <x:c r="M13258" s="0" t="s">
        <x:v>21</x:v>
      </x:c>
      <x:c r="N13258" s="0" t="s">
        <x:v>46</x:v>
      </x:c>
    </x:row>
    <x:row r="13259" spans="1:16">
      <x:c r="A13259" s="0" t="s">
        <x:v>50380</x:v>
      </x:c>
      <x:c r="B13259" s="0" t="s">
        <x:v>50381</x:v>
      </x:c>
      <x:c r="C13259" s="0" t="s">
        <x:v>42840</x:v>
      </x:c>
      <x:c r="E13259" s="0" t="s">
        <x:v>50382</x:v>
      </x:c>
      <x:c r="F13259" s="0" t="s">
        <x:v>45</x:v>
      </x:c>
      <x:c r="G13259" s="0" t="s">
        <x:v>30</x:v>
      </x:c>
      <x:c r="H13259" s="0" t="s">
        <x:v>20</x:v>
      </x:c>
      <x:c r="I13259" s="0" t="s">
        <x:v>21</x:v>
      </x:c>
      <x:c r="K13259" s="0">
        <x:f>hyperlink("https://icd.who.int/dev11/l-ichi/en#/http%3A%2F%2Fid.who.int%2Ficd%2Fentity%2F375386887","browser")</x:f>
      </x:c>
      <x:c r="L13259" s="0">
        <x:f>hyperlink("https://icat2.azurewebsites.net/icat/?ontology=ICD&amp;tab=ClassesTab&amp;id=http%3A%2F%2Fwho.int%2Ficd%23SpecificAnatomicLocation_1625","iCat")</x:f>
      </x:c>
      <x:c r="M13259" s="0" t="s">
        <x:v>21</x:v>
      </x:c>
      <x:c r="N13259" s="0" t="s">
        <x:v>46</x:v>
      </x:c>
    </x:row>
    <x:row r="13260" spans="1:16">
      <x:c r="A13260" s="0" t="s">
        <x:v>50383</x:v>
      </x:c>
      <x:c r="B13260" s="0" t="s">
        <x:v>50384</x:v>
      </x:c>
      <x:c r="C13260" s="0" t="s">
        <x:v>42840</x:v>
      </x:c>
      <x:c r="E13260" s="0" t="s">
        <x:v>50385</x:v>
      </x:c>
      <x:c r="F13260" s="0" t="s">
        <x:v>45</x:v>
      </x:c>
      <x:c r="G13260" s="0" t="s">
        <x:v>30</x:v>
      </x:c>
      <x:c r="H13260" s="0" t="s">
        <x:v>20</x:v>
      </x:c>
      <x:c r="I13260" s="0" t="s">
        <x:v>21</x:v>
      </x:c>
      <x:c r="K13260" s="0">
        <x:f>hyperlink("https://icd.who.int/dev11/l-ichi/en#/http%3A%2F%2Fid.who.int%2Ficd%2Fentity%2F791109191","browser")</x:f>
      </x:c>
      <x:c r="L13260" s="0">
        <x:f>hyperlink("https://icat2.azurewebsites.net/icat/?ontology=ICD&amp;tab=ClassesTab&amp;id=http%3A%2F%2Fwho.int%2Ficd%23SpecificAnatomicLocation_1626","iCat")</x:f>
      </x:c>
      <x:c r="M13260" s="0" t="s">
        <x:v>21</x:v>
      </x:c>
      <x:c r="N13260" s="0" t="s">
        <x:v>46</x:v>
      </x:c>
    </x:row>
    <x:row r="13261" spans="1:16">
      <x:c r="A13261" s="0" t="s">
        <x:v>50386</x:v>
      </x:c>
      <x:c r="B13261" s="0" t="s">
        <x:v>50387</x:v>
      </x:c>
      <x:c r="C13261" s="0" t="s">
        <x:v>42840</x:v>
      </x:c>
      <x:c r="E13261" s="0" t="s">
        <x:v>50388</x:v>
      </x:c>
      <x:c r="F13261" s="0" t="s">
        <x:v>45</x:v>
      </x:c>
      <x:c r="G13261" s="0" t="s">
        <x:v>30</x:v>
      </x:c>
      <x:c r="H13261" s="0" t="s">
        <x:v>20</x:v>
      </x:c>
      <x:c r="I13261" s="0" t="s">
        <x:v>21</x:v>
      </x:c>
      <x:c r="K13261" s="0">
        <x:f>hyperlink("https://icd.who.int/dev11/l-ichi/en#/http%3A%2F%2Fid.who.int%2Ficd%2Fentity%2F940522119","browser")</x:f>
      </x:c>
      <x:c r="L13261" s="0">
        <x:f>hyperlink("https://icat2.azurewebsites.net/icat/?ontology=ICD&amp;tab=ClassesTab&amp;id=http%3A%2F%2Fwho.int%2Ficd%23SpecificAnatomicLocation_1627","iCat")</x:f>
      </x:c>
      <x:c r="M13261" s="0" t="s">
        <x:v>21</x:v>
      </x:c>
      <x:c r="N13261" s="0" t="s">
        <x:v>46</x:v>
      </x:c>
    </x:row>
    <x:row r="13262" spans="1:16">
      <x:c r="A13262" s="0" t="s">
        <x:v>50389</x:v>
      </x:c>
      <x:c r="B13262" s="0" t="s">
        <x:v>50390</x:v>
      </x:c>
      <x:c r="C13262" s="0" t="s">
        <x:v>42840</x:v>
      </x:c>
      <x:c r="E13262" s="0" t="s">
        <x:v>50391</x:v>
      </x:c>
      <x:c r="F13262" s="0" t="s">
        <x:v>45</x:v>
      </x:c>
      <x:c r="G13262" s="0" t="s">
        <x:v>30</x:v>
      </x:c>
      <x:c r="H13262" s="0" t="s">
        <x:v>20</x:v>
      </x:c>
      <x:c r="I13262" s="0" t="s">
        <x:v>21</x:v>
      </x:c>
      <x:c r="K13262" s="0">
        <x:f>hyperlink("https://icd.who.int/dev11/l-ichi/en#/http%3A%2F%2Fid.who.int%2Ficd%2Fentity%2F459988281","browser")</x:f>
      </x:c>
      <x:c r="L13262" s="0">
        <x:f>hyperlink("https://icat2.azurewebsites.net/icat/?ontology=ICD&amp;tab=ClassesTab&amp;id=http%3A%2F%2Fwho.int%2Ficd%23SpecificAnatomicLocation_1628","iCat")</x:f>
      </x:c>
      <x:c r="M13262" s="0" t="s">
        <x:v>21</x:v>
      </x:c>
      <x:c r="N13262" s="0" t="s">
        <x:v>46</x:v>
      </x:c>
    </x:row>
    <x:row r="13263" spans="1:16">
      <x:c r="A13263" s="0" t="s">
        <x:v>50392</x:v>
      </x:c>
      <x:c r="B13263" s="0" t="s">
        <x:v>50393</x:v>
      </x:c>
      <x:c r="C13263" s="0" t="s">
        <x:v>42840</x:v>
      </x:c>
      <x:c r="E13263" s="0" t="s">
        <x:v>50394</x:v>
      </x:c>
      <x:c r="F13263" s="0" t="s">
        <x:v>45</x:v>
      </x:c>
      <x:c r="G13263" s="0" t="s">
        <x:v>30</x:v>
      </x:c>
      <x:c r="H13263" s="0" t="s">
        <x:v>20</x:v>
      </x:c>
      <x:c r="I13263" s="0" t="s">
        <x:v>21</x:v>
      </x:c>
      <x:c r="K13263" s="0">
        <x:f>hyperlink("https://icd.who.int/dev11/l-ichi/en#/http%3A%2F%2Fid.who.int%2Ficd%2Fentity%2F205699577","browser")</x:f>
      </x:c>
      <x:c r="L13263" s="0">
        <x:f>hyperlink("https://icat2.azurewebsites.net/icat/?ontology=ICD&amp;tab=ClassesTab&amp;id=http%3A%2F%2Fwho.int%2Ficd%23SpecificAnatomicLocation_1629","iCat")</x:f>
      </x:c>
      <x:c r="M13263" s="0" t="s">
        <x:v>21</x:v>
      </x:c>
      <x:c r="N13263" s="0" t="s">
        <x:v>46</x:v>
      </x:c>
    </x:row>
    <x:row r="13264" spans="1:16">
      <x:c r="A13264" s="0" t="s">
        <x:v>50395</x:v>
      </x:c>
      <x:c r="B13264" s="0" t="s">
        <x:v>50396</x:v>
      </x:c>
      <x:c r="C13264" s="0" t="s">
        <x:v>42840</x:v>
      </x:c>
      <x:c r="E13264" s="0" t="s">
        <x:v>50397</x:v>
      </x:c>
      <x:c r="F13264" s="0" t="s">
        <x:v>45</x:v>
      </x:c>
      <x:c r="G13264" s="0" t="s">
        <x:v>30</x:v>
      </x:c>
      <x:c r="H13264" s="0" t="s">
        <x:v>20</x:v>
      </x:c>
      <x:c r="I13264" s="0" t="s">
        <x:v>21</x:v>
      </x:c>
      <x:c r="K13264" s="0">
        <x:f>hyperlink("https://icd.who.int/dev11/l-ichi/en#/http%3A%2F%2Fid.who.int%2Ficd%2Fentity%2F588029472","browser")</x:f>
      </x:c>
      <x:c r="L13264" s="0">
        <x:f>hyperlink("https://icat2.azurewebsites.net/icat/?ontology=ICD&amp;tab=ClassesTab&amp;id=http%3A%2F%2Fwho.int%2Ficd%23SpecificAnatomicLocation_1630","iCat")</x:f>
      </x:c>
      <x:c r="M13264" s="0" t="s">
        <x:v>21</x:v>
      </x:c>
      <x:c r="N13264" s="0" t="s">
        <x:v>46</x:v>
      </x:c>
    </x:row>
    <x:row r="13265" spans="1:16">
      <x:c r="A13265" s="0" t="s">
        <x:v>50398</x:v>
      </x:c>
      <x:c r="B13265" s="0" t="s">
        <x:v>50399</x:v>
      </x:c>
      <x:c r="C13265" s="0" t="s">
        <x:v>42840</x:v>
      </x:c>
      <x:c r="E13265" s="0" t="s">
        <x:v>50400</x:v>
      </x:c>
      <x:c r="F13265" s="0" t="s">
        <x:v>45</x:v>
      </x:c>
      <x:c r="G13265" s="0" t="s">
        <x:v>30</x:v>
      </x:c>
      <x:c r="H13265" s="0" t="s">
        <x:v>20</x:v>
      </x:c>
      <x:c r="I13265" s="0" t="s">
        <x:v>21</x:v>
      </x:c>
      <x:c r="K13265" s="0">
        <x:f>hyperlink("https://icd.who.int/dev11/l-ichi/en#/http%3A%2F%2Fid.who.int%2Ficd%2Fentity%2F874838752","browser")</x:f>
      </x:c>
      <x:c r="L13265" s="0">
        <x:f>hyperlink("https://icat2.azurewebsites.net/icat/?ontology=ICD&amp;tab=ClassesTab&amp;id=http%3A%2F%2Fwho.int%2Ficd%23SpecificAnatomicLocation_1631","iCat")</x:f>
      </x:c>
      <x:c r="M13265" s="0" t="s">
        <x:v>21</x:v>
      </x:c>
      <x:c r="N13265" s="0" t="s">
        <x:v>46</x:v>
      </x:c>
    </x:row>
    <x:row r="13266" spans="1:16">
      <x:c r="A13266" s="0" t="s">
        <x:v>50401</x:v>
      </x:c>
      <x:c r="B13266" s="0" t="s">
        <x:v>50402</x:v>
      </x:c>
      <x:c r="C13266" s="0" t="s">
        <x:v>42840</x:v>
      </x:c>
      <x:c r="E13266" s="0" t="s">
        <x:v>50403</x:v>
      </x:c>
      <x:c r="F13266" s="0" t="s">
        <x:v>45</x:v>
      </x:c>
      <x:c r="G13266" s="0" t="s">
        <x:v>30</x:v>
      </x:c>
      <x:c r="H13266" s="0" t="s">
        <x:v>20</x:v>
      </x:c>
      <x:c r="I13266" s="0" t="s">
        <x:v>21</x:v>
      </x:c>
      <x:c r="K13266" s="0">
        <x:f>hyperlink("https://icd.who.int/dev11/l-ichi/en#/http%3A%2F%2Fid.who.int%2Ficd%2Fentity%2F443822944","browser")</x:f>
      </x:c>
      <x:c r="L13266" s="0">
        <x:f>hyperlink("https://icat2.azurewebsites.net/icat/?ontology=ICD&amp;tab=ClassesTab&amp;id=http%3A%2F%2Fwho.int%2Ficd%23SpecificAnatomicLocation_1633","iCat")</x:f>
      </x:c>
      <x:c r="M13266" s="0" t="s">
        <x:v>21</x:v>
      </x:c>
      <x:c r="N13266" s="0" t="s">
        <x:v>46</x:v>
      </x:c>
    </x:row>
    <x:row r="13267" spans="1:16">
      <x:c r="A13267" s="0" t="s">
        <x:v>50404</x:v>
      </x:c>
      <x:c r="B13267" s="0" t="s">
        <x:v>50405</x:v>
      </x:c>
      <x:c r="C13267" s="0" t="s">
        <x:v>42840</x:v>
      </x:c>
      <x:c r="E13267" s="0" t="s">
        <x:v>50406</x:v>
      </x:c>
      <x:c r="F13267" s="0" t="s">
        <x:v>45</x:v>
      </x:c>
      <x:c r="G13267" s="0" t="s">
        <x:v>30</x:v>
      </x:c>
      <x:c r="H13267" s="0" t="s">
        <x:v>20</x:v>
      </x:c>
      <x:c r="I13267" s="0" t="s">
        <x:v>21</x:v>
      </x:c>
      <x:c r="K13267" s="0">
        <x:f>hyperlink("https://icd.who.int/dev11/l-ichi/en#/http%3A%2F%2Fid.who.int%2Ficd%2Fentity%2F2142047520","browser")</x:f>
      </x:c>
      <x:c r="L13267" s="0">
        <x:f>hyperlink("https://icat2.azurewebsites.net/icat/?ontology=ICD&amp;tab=ClassesTab&amp;id=http%3A%2F%2Fwho.int%2Ficd%23SpecificAnatomicLocation_1634","iCat")</x:f>
      </x:c>
      <x:c r="M13267" s="0" t="s">
        <x:v>21</x:v>
      </x:c>
      <x:c r="N13267" s="0" t="s">
        <x:v>46</x:v>
      </x:c>
    </x:row>
    <x:row r="13268" spans="1:16">
      <x:c r="A13268" s="0" t="s">
        <x:v>50407</x:v>
      </x:c>
      <x:c r="B13268" s="0" t="s">
        <x:v>50408</x:v>
      </x:c>
      <x:c r="C13268" s="0" t="s">
        <x:v>42840</x:v>
      </x:c>
      <x:c r="E13268" s="0" t="s">
        <x:v>50409</x:v>
      </x:c>
      <x:c r="F13268" s="0" t="s">
        <x:v>45</x:v>
      </x:c>
      <x:c r="G13268" s="0" t="s">
        <x:v>30</x:v>
      </x:c>
      <x:c r="H13268" s="0" t="s">
        <x:v>20</x:v>
      </x:c>
      <x:c r="I13268" s="0" t="s">
        <x:v>21</x:v>
      </x:c>
      <x:c r="K13268" s="0">
        <x:f>hyperlink("https://icd.who.int/dev11/l-ichi/en#/http%3A%2F%2Fid.who.int%2Ficd%2Fentity%2F1753573856","browser")</x:f>
      </x:c>
      <x:c r="L13268" s="0">
        <x:f>hyperlink("https://icat2.azurewebsites.net/icat/?ontology=ICD&amp;tab=ClassesTab&amp;id=http%3A%2F%2Fwho.int%2Ficd%23SpecificAnatomicLocation_1635","iCat")</x:f>
      </x:c>
      <x:c r="M13268" s="0" t="s">
        <x:v>21</x:v>
      </x:c>
      <x:c r="N13268" s="0" t="s">
        <x:v>46</x:v>
      </x:c>
    </x:row>
    <x:row r="13269" spans="1:16">
      <x:c r="A13269" s="0" t="s">
        <x:v>50410</x:v>
      </x:c>
      <x:c r="B13269" s="0" t="s">
        <x:v>50411</x:v>
      </x:c>
      <x:c r="C13269" s="0" t="s">
        <x:v>42840</x:v>
      </x:c>
      <x:c r="E13269" s="0" t="s">
        <x:v>50412</x:v>
      </x:c>
      <x:c r="F13269" s="0" t="s">
        <x:v>45</x:v>
      </x:c>
      <x:c r="G13269" s="0" t="s">
        <x:v>30</x:v>
      </x:c>
      <x:c r="H13269" s="0" t="s">
        <x:v>20</x:v>
      </x:c>
      <x:c r="I13269" s="0" t="s">
        <x:v>21</x:v>
      </x:c>
      <x:c r="K13269" s="0">
        <x:f>hyperlink("https://icd.who.int/dev11/l-ichi/en#/http%3A%2F%2Fid.who.int%2Ficd%2Fentity%2F777055328","browser")</x:f>
      </x:c>
      <x:c r="L13269" s="0">
        <x:f>hyperlink("https://icat2.azurewebsites.net/icat/?ontology=ICD&amp;tab=ClassesTab&amp;id=http%3A%2F%2Fwho.int%2Ficd%23SpecificAnatomicLocation_1561","iCat")</x:f>
      </x:c>
      <x:c r="M13269" s="0" t="s">
        <x:v>21</x:v>
      </x:c>
      <x:c r="N13269" s="0" t="s">
        <x:v>46</x:v>
      </x:c>
    </x:row>
    <x:row r="13270" spans="1:16">
      <x:c r="A13270" s="0" t="s">
        <x:v>50413</x:v>
      </x:c>
      <x:c r="B13270" s="0" t="s">
        <x:v>50414</x:v>
      </x:c>
      <x:c r="C13270" s="0" t="s">
        <x:v>42840</x:v>
      </x:c>
      <x:c r="E13270" s="0" t="s">
        <x:v>50415</x:v>
      </x:c>
      <x:c r="F13270" s="0" t="s">
        <x:v>45</x:v>
      </x:c>
      <x:c r="G13270" s="0" t="s">
        <x:v>30</x:v>
      </x:c>
      <x:c r="H13270" s="0" t="s">
        <x:v>20</x:v>
      </x:c>
      <x:c r="I13270" s="0" t="s">
        <x:v>21</x:v>
      </x:c>
      <x:c r="K13270" s="0">
        <x:f>hyperlink("https://icd.who.int/dev11/l-ichi/en#/http%3A%2F%2Fid.who.int%2Ficd%2Fentity%2F224155552","browser")</x:f>
      </x:c>
      <x:c r="L13270" s="0">
        <x:f>hyperlink("https://icat2.azurewebsites.net/icat/?ontology=ICD&amp;tab=ClassesTab&amp;id=http%3A%2F%2Fwho.int%2Ficd%23SpecificAnatomicLocation_1632","iCat")</x:f>
      </x:c>
      <x:c r="M13270" s="0" t="s">
        <x:v>21</x:v>
      </x:c>
      <x:c r="N13270" s="0" t="s">
        <x:v>46</x:v>
      </x:c>
    </x:row>
    <x:row r="13271" spans="1:16">
      <x:c r="A13271" s="0" t="s">
        <x:v>50416</x:v>
      </x:c>
      <x:c r="B13271" s="0" t="s">
        <x:v>50417</x:v>
      </x:c>
      <x:c r="C13271" s="0" t="s">
        <x:v>42840</x:v>
      </x:c>
      <x:c r="E13271" s="0" t="s">
        <x:v>50418</x:v>
      </x:c>
      <x:c r="F13271" s="0" t="s">
        <x:v>45</x:v>
      </x:c>
      <x:c r="G13271" s="0" t="s">
        <x:v>30</x:v>
      </x:c>
      <x:c r="H13271" s="0" t="s">
        <x:v>20</x:v>
      </x:c>
      <x:c r="I13271" s="0" t="s">
        <x:v>21</x:v>
      </x:c>
      <x:c r="K13271" s="0">
        <x:f>hyperlink("https://icd.who.int/dev11/l-ichi/en#/http%3A%2F%2Fid.who.int%2Ficd%2Fentity%2F1188405344","browser")</x:f>
      </x:c>
      <x:c r="L13271" s="0">
        <x:f>hyperlink("https://icat2.azurewebsites.net/icat/?ontology=ICD&amp;tab=ClassesTab&amp;id=http%3A%2F%2Fwho.int%2Ficd%23SpecificAnatomicLocation_1637","iCat")</x:f>
      </x:c>
      <x:c r="M13271" s="0" t="s">
        <x:v>21</x:v>
      </x:c>
      <x:c r="N13271" s="0" t="s">
        <x:v>46</x:v>
      </x:c>
    </x:row>
    <x:row r="13272" spans="1:16">
      <x:c r="A13272" s="0" t="s">
        <x:v>50419</x:v>
      </x:c>
      <x:c r="B13272" s="0" t="s">
        <x:v>50420</x:v>
      </x:c>
      <x:c r="C13272" s="0" t="s">
        <x:v>42840</x:v>
      </x:c>
      <x:c r="E13272" s="0" t="s">
        <x:v>50421</x:v>
      </x:c>
      <x:c r="F13272" s="0" t="s">
        <x:v>45</x:v>
      </x:c>
      <x:c r="G13272" s="0" t="s">
        <x:v>30</x:v>
      </x:c>
      <x:c r="H13272" s="0" t="s">
        <x:v>20</x:v>
      </x:c>
      <x:c r="I13272" s="0" t="s">
        <x:v>21</x:v>
      </x:c>
      <x:c r="K13272" s="0">
        <x:f>hyperlink("https://icd.who.int/dev11/l-ichi/en#/http%3A%2F%2Fid.who.int%2Ficd%2Fentity%2F1706051552","browser")</x:f>
      </x:c>
      <x:c r="L13272" s="0">
        <x:f>hyperlink("https://icat2.azurewebsites.net/icat/?ontology=ICD&amp;tab=ClassesTab&amp;id=http%3A%2F%2Fwho.int%2Ficd%23SpecificAnatomicLocation_1638","iCat")</x:f>
      </x:c>
      <x:c r="M13272" s="0" t="s">
        <x:v>21</x:v>
      </x:c>
      <x:c r="N13272" s="0" t="s">
        <x:v>46</x:v>
      </x:c>
    </x:row>
    <x:row r="13273" spans="1:16">
      <x:c r="A13273" s="0" t="s">
        <x:v>50422</x:v>
      </x:c>
      <x:c r="B13273" s="0" t="s">
        <x:v>50423</x:v>
      </x:c>
      <x:c r="C13273" s="0" t="s">
        <x:v>42840</x:v>
      </x:c>
      <x:c r="E13273" s="0" t="s">
        <x:v>50424</x:v>
      </x:c>
      <x:c r="F13273" s="0" t="s">
        <x:v>45</x:v>
      </x:c>
      <x:c r="G13273" s="0" t="s">
        <x:v>19</x:v>
      </x:c>
      <x:c r="H13273" s="0" t="s">
        <x:v>20</x:v>
      </x:c>
      <x:c r="I13273" s="0" t="s">
        <x:v>21</x:v>
      </x:c>
      <x:c r="K13273" s="0">
        <x:f>hyperlink("https://icd.who.int/dev11/l-ichi/en#/http%3A%2F%2Fid.who.int%2Ficd%2Fentity%2F1359586520","browser")</x:f>
      </x:c>
      <x:c r="L13273" s="0">
        <x:f>hyperlink("https://icat2.azurewebsites.net/icat/?ontology=ICD&amp;tab=ClassesTab&amp;id=http%3A%2F%2Fwho.int%2Ficd%23SpecificAnatomicLocation_1667","iCat")</x:f>
      </x:c>
      <x:c r="M13273" s="0" t="s">
        <x:v>20</x:v>
      </x:c>
      <x:c r="N13273" s="0" t="s">
        <x:v>903</x:v>
      </x:c>
    </x:row>
    <x:row r="13274" spans="1:16">
      <x:c r="A13274" s="0" t="s">
        <x:v>50425</x:v>
      </x:c>
      <x:c r="B13274" s="0" t="s">
        <x:v>50426</x:v>
      </x:c>
      <x:c r="C13274" s="0" t="s">
        <x:v>42840</x:v>
      </x:c>
      <x:c r="E13274" s="0" t="s">
        <x:v>50427</x:v>
      </x:c>
      <x:c r="F13274" s="0" t="s">
        <x:v>45</x:v>
      </x:c>
      <x:c r="G13274" s="0" t="s">
        <x:v>30</x:v>
      </x:c>
      <x:c r="H13274" s="0" t="s">
        <x:v>20</x:v>
      </x:c>
      <x:c r="I13274" s="0" t="s">
        <x:v>21</x:v>
      </x:c>
      <x:c r="K13274" s="0">
        <x:f>hyperlink("https://icd.who.int/dev11/l-ichi/en#/http%3A%2F%2Fid.who.int%2Ficd%2Fentity%2F712174160","browser")</x:f>
      </x:c>
      <x:c r="L13274" s="0">
        <x:f>hyperlink("https://icat2.azurewebsites.net/icat/?ontology=ICD&amp;tab=ClassesTab&amp;id=http%3A%2F%2Fwho.int%2Ficd%23SpecificAnatomicLocation_1658","iCat")</x:f>
      </x:c>
      <x:c r="M13274" s="0" t="s">
        <x:v>21</x:v>
      </x:c>
      <x:c r="N13274" s="0" t="s">
        <x:v>46</x:v>
      </x:c>
    </x:row>
    <x:row r="13275" spans="1:16">
      <x:c r="A13275" s="0" t="s">
        <x:v>50428</x:v>
      </x:c>
      <x:c r="B13275" s="0" t="s">
        <x:v>50429</x:v>
      </x:c>
      <x:c r="C13275" s="0" t="s">
        <x:v>42840</x:v>
      </x:c>
      <x:c r="E13275" s="0" t="s">
        <x:v>50430</x:v>
      </x:c>
      <x:c r="F13275" s="0" t="s">
        <x:v>45</x:v>
      </x:c>
      <x:c r="G13275" s="0" t="s">
        <x:v>30</x:v>
      </x:c>
      <x:c r="H13275" s="0" t="s">
        <x:v>20</x:v>
      </x:c>
      <x:c r="I13275" s="0" t="s">
        <x:v>21</x:v>
      </x:c>
      <x:c r="K13275" s="0">
        <x:f>hyperlink("https://icd.who.int/dev11/l-ichi/en#/http%3A%2F%2Fid.who.int%2Ficd%2Fentity%2F1029344912","browser")</x:f>
      </x:c>
      <x:c r="L13275" s="0">
        <x:f>hyperlink("https://icat2.azurewebsites.net/icat/?ontology=ICD&amp;tab=ClassesTab&amp;id=http%3A%2F%2Fwho.int%2Ficd%23SpecificAnatomicLocation_1659","iCat")</x:f>
      </x:c>
      <x:c r="M13275" s="0" t="s">
        <x:v>21</x:v>
      </x:c>
      <x:c r="N13275" s="0" t="s">
        <x:v>46</x:v>
      </x:c>
    </x:row>
    <x:row r="13276" spans="1:16">
      <x:c r="A13276" s="0" t="s">
        <x:v>50431</x:v>
      </x:c>
      <x:c r="B13276" s="0" t="s">
        <x:v>50432</x:v>
      </x:c>
      <x:c r="C13276" s="0" t="s">
        <x:v>42840</x:v>
      </x:c>
      <x:c r="E13276" s="0" t="s">
        <x:v>50433</x:v>
      </x:c>
      <x:c r="F13276" s="0" t="s">
        <x:v>45</x:v>
      </x:c>
      <x:c r="G13276" s="0" t="s">
        <x:v>30</x:v>
      </x:c>
      <x:c r="H13276" s="0" t="s">
        <x:v>20</x:v>
      </x:c>
      <x:c r="I13276" s="0" t="s">
        <x:v>21</x:v>
      </x:c>
      <x:c r="K13276" s="0">
        <x:f>hyperlink("https://icd.who.int/dev11/l-ichi/en#/http%3A%2F%2Fid.who.int%2Ficd%2Fentity%2F886086296","browser")</x:f>
      </x:c>
      <x:c r="L13276" s="0">
        <x:f>hyperlink("https://icat2.azurewebsites.net/icat/?ontology=ICD&amp;tab=ClassesTab&amp;id=http%3A%2F%2Fwho.int%2Ficd%23SpecificAnatomicLocation_1660","iCat")</x:f>
      </x:c>
      <x:c r="M13276" s="0" t="s">
        <x:v>21</x:v>
      </x:c>
      <x:c r="N13276" s="0" t="s">
        <x:v>46</x:v>
      </x:c>
    </x:row>
    <x:row r="13277" spans="1:16">
      <x:c r="A13277" s="0" t="s">
        <x:v>50434</x:v>
      </x:c>
      <x:c r="B13277" s="0" t="s">
        <x:v>50435</x:v>
      </x:c>
      <x:c r="C13277" s="0" t="s">
        <x:v>42840</x:v>
      </x:c>
      <x:c r="E13277" s="0" t="s">
        <x:v>50436</x:v>
      </x:c>
      <x:c r="F13277" s="0" t="s">
        <x:v>45</x:v>
      </x:c>
      <x:c r="G13277" s="0" t="s">
        <x:v>30</x:v>
      </x:c>
      <x:c r="H13277" s="0" t="s">
        <x:v>20</x:v>
      </x:c>
      <x:c r="I13277" s="0" t="s">
        <x:v>21</x:v>
      </x:c>
      <x:c r="K13277" s="0">
        <x:f>hyperlink("https://icd.who.int/dev11/l-ichi/en#/http%3A%2F%2Fid.who.int%2Ficd%2Fentity%2F603520600","browser")</x:f>
      </x:c>
      <x:c r="L13277" s="0">
        <x:f>hyperlink("https://icat2.azurewebsites.net/icat/?ontology=ICD&amp;tab=ClassesTab&amp;id=http%3A%2F%2Fwho.int%2Ficd%23SpecificAnatomicLocation_1661","iCat")</x:f>
      </x:c>
      <x:c r="M13277" s="0" t="s">
        <x:v>21</x:v>
      </x:c>
      <x:c r="N13277" s="0" t="s">
        <x:v>46</x:v>
      </x:c>
    </x:row>
    <x:row r="13278" spans="1:16">
      <x:c r="A13278" s="0" t="s">
        <x:v>50437</x:v>
      </x:c>
      <x:c r="B13278" s="0" t="s">
        <x:v>50438</x:v>
      </x:c>
      <x:c r="C13278" s="0" t="s">
        <x:v>42840</x:v>
      </x:c>
      <x:c r="E13278" s="0" t="s">
        <x:v>50439</x:v>
      </x:c>
      <x:c r="F13278" s="0" t="s">
        <x:v>45</x:v>
      </x:c>
      <x:c r="G13278" s="0" t="s">
        <x:v>30</x:v>
      </x:c>
      <x:c r="H13278" s="0" t="s">
        <x:v>20</x:v>
      </x:c>
      <x:c r="I13278" s="0" t="s">
        <x:v>21</x:v>
      </x:c>
      <x:c r="K13278" s="0">
        <x:f>hyperlink("https://icd.who.int/dev11/l-ichi/en#/http%3A%2F%2Fid.who.int%2Ficd%2Fentity%2F444617496","browser")</x:f>
      </x:c>
      <x:c r="L13278" s="0">
        <x:f>hyperlink("https://icat2.azurewebsites.net/icat/?ontology=ICD&amp;tab=ClassesTab&amp;id=http%3A%2F%2Fwho.int%2Ficd%23SpecificAnatomicLocation_1662","iCat")</x:f>
      </x:c>
      <x:c r="M13278" s="0" t="s">
        <x:v>21</x:v>
      </x:c>
      <x:c r="N13278" s="0" t="s">
        <x:v>46</x:v>
      </x:c>
    </x:row>
    <x:row r="13279" spans="1:16">
      <x:c r="A13279" s="0" t="s">
        <x:v>50440</x:v>
      </x:c>
      <x:c r="B13279" s="0" t="s">
        <x:v>50441</x:v>
      </x:c>
      <x:c r="C13279" s="0" t="s">
        <x:v>42840</x:v>
      </x:c>
      <x:c r="E13279" s="0" t="s">
        <x:v>50442</x:v>
      </x:c>
      <x:c r="F13279" s="0" t="s">
        <x:v>45</x:v>
      </x:c>
      <x:c r="G13279" s="0" t="s">
        <x:v>30</x:v>
      </x:c>
      <x:c r="H13279" s="0" t="s">
        <x:v>20</x:v>
      </x:c>
      <x:c r="I13279" s="0" t="s">
        <x:v>21</x:v>
      </x:c>
      <x:c r="K13279" s="0">
        <x:f>hyperlink("https://icd.who.int/dev11/l-ichi/en#/http%3A%2F%2Fid.who.int%2Ficd%2Fentity%2F229128152","browser")</x:f>
      </x:c>
      <x:c r="L13279" s="0">
        <x:f>hyperlink("https://icat2.azurewebsites.net/icat/?ontology=ICD&amp;tab=ClassesTab&amp;id=http%3A%2F%2Fwho.int%2Ficd%23SpecificAnatomicLocation_1663","iCat")</x:f>
      </x:c>
      <x:c r="M13279" s="0" t="s">
        <x:v>21</x:v>
      </x:c>
      <x:c r="N13279" s="0" t="s">
        <x:v>46</x:v>
      </x:c>
    </x:row>
    <x:row r="13280" spans="1:16">
      <x:c r="A13280" s="0" t="s">
        <x:v>50443</x:v>
      </x:c>
      <x:c r="B13280" s="0" t="s">
        <x:v>50444</x:v>
      </x:c>
      <x:c r="C13280" s="0" t="s">
        <x:v>42840</x:v>
      </x:c>
      <x:c r="E13280" s="0" t="s">
        <x:v>50445</x:v>
      </x:c>
      <x:c r="F13280" s="0" t="s">
        <x:v>45</x:v>
      </x:c>
      <x:c r="G13280" s="0" t="s">
        <x:v>30</x:v>
      </x:c>
      <x:c r="H13280" s="0" t="s">
        <x:v>20</x:v>
      </x:c>
      <x:c r="I13280" s="0" t="s">
        <x:v>21</x:v>
      </x:c>
      <x:c r="K13280" s="0">
        <x:f>hyperlink("https://icd.who.int/dev11/l-ichi/en#/http%3A%2F%2Fid.who.int%2Ficd%2Fentity%2F1752238488","browser")</x:f>
      </x:c>
      <x:c r="L13280" s="0">
        <x:f>hyperlink("https://icat2.azurewebsites.net/icat/?ontology=ICD&amp;tab=ClassesTab&amp;id=http%3A%2F%2Fwho.int%2Ficd%23SpecificAnatomicLocation_1664","iCat")</x:f>
      </x:c>
      <x:c r="M13280" s="0" t="s">
        <x:v>21</x:v>
      </x:c>
      <x:c r="N13280" s="0" t="s">
        <x:v>46</x:v>
      </x:c>
    </x:row>
    <x:row r="13281" spans="1:16">
      <x:c r="A13281" s="0" t="s">
        <x:v>50446</x:v>
      </x:c>
      <x:c r="B13281" s="0" t="s">
        <x:v>50447</x:v>
      </x:c>
      <x:c r="C13281" s="0" t="s">
        <x:v>42840</x:v>
      </x:c>
      <x:c r="E13281" s="0" t="s">
        <x:v>50448</x:v>
      </x:c>
      <x:c r="F13281" s="0" t="s">
        <x:v>45</x:v>
      </x:c>
      <x:c r="G13281" s="0" t="s">
        <x:v>30</x:v>
      </x:c>
      <x:c r="H13281" s="0" t="s">
        <x:v>20</x:v>
      </x:c>
      <x:c r="I13281" s="0" t="s">
        <x:v>21</x:v>
      </x:c>
      <x:c r="K13281" s="0">
        <x:f>hyperlink("https://icd.who.int/dev11/l-ichi/en#/http%3A%2F%2Fid.who.int%2Ficd%2Fentity%2F2136567128","browser")</x:f>
      </x:c>
      <x:c r="L13281" s="0">
        <x:f>hyperlink("https://icat2.azurewebsites.net/icat/?ontology=ICD&amp;tab=ClassesTab&amp;id=http%3A%2F%2Fwho.int%2Ficd%23SpecificAnatomicLocation_1665","iCat")</x:f>
      </x:c>
      <x:c r="M13281" s="0" t="s">
        <x:v>21</x:v>
      </x:c>
      <x:c r="N13281" s="0" t="s">
        <x:v>46</x:v>
      </x:c>
    </x:row>
    <x:row r="13282" spans="1:16">
      <x:c r="A13282" s="0" t="s">
        <x:v>50449</x:v>
      </x:c>
      <x:c r="B13282" s="0" t="s">
        <x:v>50450</x:v>
      </x:c>
      <x:c r="C13282" s="0" t="s">
        <x:v>42840</x:v>
      </x:c>
      <x:c r="E13282" s="0" t="s">
        <x:v>50451</x:v>
      </x:c>
      <x:c r="F13282" s="0" t="s">
        <x:v>45</x:v>
      </x:c>
      <x:c r="G13282" s="0" t="s">
        <x:v>30</x:v>
      </x:c>
      <x:c r="H13282" s="0" t="s">
        <x:v>20</x:v>
      </x:c>
      <x:c r="I13282" s="0" t="s">
        <x:v>21</x:v>
      </x:c>
      <x:c r="K13282" s="0">
        <x:f>hyperlink("https://icd.who.int/dev11/l-ichi/en#/http%3A%2F%2Fid.who.int%2Ficd%2Fentity%2F1176616984","browser")</x:f>
      </x:c>
      <x:c r="L13282" s="0">
        <x:f>hyperlink("https://icat2.azurewebsites.net/icat/?ontology=ICD&amp;tab=ClassesTab&amp;id=http%3A%2F%2Fwho.int%2Ficd%23SpecificAnatomicLocation_1666","iCat")</x:f>
      </x:c>
      <x:c r="M13282" s="0" t="s">
        <x:v>21</x:v>
      </x:c>
      <x:c r="N13282" s="0" t="s">
        <x:v>46</x:v>
      </x:c>
    </x:row>
    <x:row r="13283" spans="1:16">
      <x:c r="A13283" s="0" t="s">
        <x:v>50452</x:v>
      </x:c>
      <x:c r="B13283" s="0" t="s">
        <x:v>50453</x:v>
      </x:c>
      <x:c r="C13283" s="0" t="s">
        <x:v>42840</x:v>
      </x:c>
      <x:c r="E13283" s="0" t="s">
        <x:v>50454</x:v>
      </x:c>
      <x:c r="F13283" s="0" t="s">
        <x:v>45</x:v>
      </x:c>
      <x:c r="G13283" s="0" t="s">
        <x:v>30</x:v>
      </x:c>
      <x:c r="H13283" s="0" t="s">
        <x:v>20</x:v>
      </x:c>
      <x:c r="I13283" s="0" t="s">
        <x:v>21</x:v>
      </x:c>
      <x:c r="K13283" s="0">
        <x:f>hyperlink("https://icd.who.int/dev11/l-ichi/en#/http%3A%2F%2Fid.who.int%2Ficd%2Fentity%2F152505840","browser")</x:f>
      </x:c>
      <x:c r="L13283" s="0">
        <x:f>hyperlink("https://icat2.azurewebsites.net/icat/?ontology=ICD&amp;tab=ClassesTab&amp;id=http%3A%2F%2Fwho.int%2Ficd%23SpecificAnatomicLocation_1657","iCat")</x:f>
      </x:c>
      <x:c r="M13283" s="0" t="s">
        <x:v>21</x:v>
      </x:c>
      <x:c r="N13283" s="0" t="s">
        <x:v>46</x:v>
      </x:c>
    </x:row>
    <x:row r="13284" spans="1:16">
      <x:c r="A13284" s="0" t="s">
        <x:v>50455</x:v>
      </x:c>
      <x:c r="B13284" s="0" t="s">
        <x:v>50456</x:v>
      </x:c>
      <x:c r="C13284" s="0" t="s">
        <x:v>42840</x:v>
      </x:c>
      <x:c r="E13284" s="0" t="s">
        <x:v>50457</x:v>
      </x:c>
      <x:c r="F13284" s="0" t="s">
        <x:v>45</x:v>
      </x:c>
      <x:c r="G13284" s="0" t="s">
        <x:v>19</x:v>
      </x:c>
      <x:c r="H13284" s="0" t="s">
        <x:v>20</x:v>
      </x:c>
      <x:c r="I13284" s="0" t="s">
        <x:v>21</x:v>
      </x:c>
      <x:c r="K13284" s="0">
        <x:f>hyperlink("https://icd.who.int/dev11/l-ichi/en#/http%3A%2F%2Fid.who.int%2Ficd%2Fentity%2F955996865","browser")</x:f>
      </x:c>
      <x:c r="L13284" s="0">
        <x:f>hyperlink("https://icat2.azurewebsites.net/icat/?ontology=ICD&amp;tab=ClassesTab&amp;id=http%3A%2F%2Fwho.int%2Ficd%23SpecificAnatomicLocation_1676","iCat")</x:f>
      </x:c>
      <x:c r="M13284" s="0" t="s">
        <x:v>20</x:v>
      </x:c>
      <x:c r="N13284" s="0" t="s">
        <x:v>119</x:v>
      </x:c>
    </x:row>
    <x:row r="13285" spans="1:16">
      <x:c r="A13285" s="0" t="s">
        <x:v>50458</x:v>
      </x:c>
      <x:c r="B13285" s="0" t="s">
        <x:v>50459</x:v>
      </x:c>
      <x:c r="C13285" s="0" t="s">
        <x:v>42840</x:v>
      </x:c>
      <x:c r="E13285" s="0" t="s">
        <x:v>50460</x:v>
      </x:c>
      <x:c r="F13285" s="0" t="s">
        <x:v>45</x:v>
      </x:c>
      <x:c r="G13285" s="0" t="s">
        <x:v>30</x:v>
      </x:c>
      <x:c r="H13285" s="0" t="s">
        <x:v>20</x:v>
      </x:c>
      <x:c r="I13285" s="0" t="s">
        <x:v>21</x:v>
      </x:c>
      <x:c r="K13285" s="0">
        <x:f>hyperlink("https://icd.who.int/dev11/l-ichi/en#/http%3A%2F%2Fid.who.int%2Ficd%2Fentity%2F1919697768","browser")</x:f>
      </x:c>
      <x:c r="L13285" s="0">
        <x:f>hyperlink("https://icat2.azurewebsites.net/icat/?ontology=ICD&amp;tab=ClassesTab&amp;id=http%3A%2F%2Fwho.int%2Ficd%23SpecificAnatomicLocation_1668","iCat")</x:f>
      </x:c>
      <x:c r="M13285" s="0" t="s">
        <x:v>21</x:v>
      </x:c>
      <x:c r="N13285" s="0" t="s">
        <x:v>46</x:v>
      </x:c>
    </x:row>
    <x:row r="13286" spans="1:16">
      <x:c r="A13286" s="0" t="s">
        <x:v>50461</x:v>
      </x:c>
      <x:c r="B13286" s="0" t="s">
        <x:v>50462</x:v>
      </x:c>
      <x:c r="C13286" s="0" t="s">
        <x:v>42840</x:v>
      </x:c>
      <x:c r="E13286" s="0" t="s">
        <x:v>50463</x:v>
      </x:c>
      <x:c r="F13286" s="0" t="s">
        <x:v>45</x:v>
      </x:c>
      <x:c r="G13286" s="0" t="s">
        <x:v>30</x:v>
      </x:c>
      <x:c r="H13286" s="0" t="s">
        <x:v>20</x:v>
      </x:c>
      <x:c r="I13286" s="0" t="s">
        <x:v>21</x:v>
      </x:c>
      <x:c r="K13286" s="0">
        <x:f>hyperlink("https://icd.who.int/dev11/l-ichi/en#/http%3A%2F%2Fid.who.int%2Ficd%2Fentity%2F1698965416","browser")</x:f>
      </x:c>
      <x:c r="L13286" s="0">
        <x:f>hyperlink("https://icat2.azurewebsites.net/icat/?ontology=ICD&amp;tab=ClassesTab&amp;id=http%3A%2F%2Fwho.int%2Ficd%23SpecificAnatomicLocation_1669","iCat")</x:f>
      </x:c>
      <x:c r="M13286" s="0" t="s">
        <x:v>21</x:v>
      </x:c>
      <x:c r="N13286" s="0" t="s">
        <x:v>46</x:v>
      </x:c>
    </x:row>
    <x:row r="13287" spans="1:16">
      <x:c r="A13287" s="0" t="s">
        <x:v>50464</x:v>
      </x:c>
      <x:c r="B13287" s="0" t="s">
        <x:v>50465</x:v>
      </x:c>
      <x:c r="C13287" s="0" t="s">
        <x:v>42840</x:v>
      </x:c>
      <x:c r="E13287" s="0" t="s">
        <x:v>50466</x:v>
      </x:c>
      <x:c r="F13287" s="0" t="s">
        <x:v>45</x:v>
      </x:c>
      <x:c r="G13287" s="0" t="s">
        <x:v>30</x:v>
      </x:c>
      <x:c r="H13287" s="0" t="s">
        <x:v>20</x:v>
      </x:c>
      <x:c r="I13287" s="0" t="s">
        <x:v>21</x:v>
      </x:c>
      <x:c r="K13287" s="0">
        <x:f>hyperlink("https://icd.who.int/dev11/l-ichi/en#/http%3A%2F%2Fid.who.int%2Ficd%2Fentity%2F1242169409","browser")</x:f>
      </x:c>
      <x:c r="L13287" s="0">
        <x:f>hyperlink("https://icat2.azurewebsites.net/icat/?ontology=ICD&amp;tab=ClassesTab&amp;id=http%3A%2F%2Fwho.int%2Ficd%23SpecificAnatomicLocation_1670","iCat")</x:f>
      </x:c>
      <x:c r="M13287" s="0" t="s">
        <x:v>21</x:v>
      </x:c>
      <x:c r="N13287" s="0" t="s">
        <x:v>46</x:v>
      </x:c>
    </x:row>
    <x:row r="13288" spans="1:16">
      <x:c r="A13288" s="0" t="s">
        <x:v>50467</x:v>
      </x:c>
      <x:c r="B13288" s="0" t="s">
        <x:v>50468</x:v>
      </x:c>
      <x:c r="C13288" s="0" t="s">
        <x:v>42840</x:v>
      </x:c>
      <x:c r="E13288" s="0" t="s">
        <x:v>50469</x:v>
      </x:c>
      <x:c r="F13288" s="0" t="s">
        <x:v>45</x:v>
      </x:c>
      <x:c r="G13288" s="0" t="s">
        <x:v>30</x:v>
      </x:c>
      <x:c r="H13288" s="0" t="s">
        <x:v>20</x:v>
      </x:c>
      <x:c r="I13288" s="0" t="s">
        <x:v>21</x:v>
      </x:c>
      <x:c r="K13288" s="0">
        <x:f>hyperlink("https://icd.who.int/dev11/l-ichi/en#/http%3A%2F%2Fid.who.int%2Ficd%2Fentity%2F1562535041","browser")</x:f>
      </x:c>
      <x:c r="L13288" s="0">
        <x:f>hyperlink("https://icat2.azurewebsites.net/icat/?ontology=ICD&amp;tab=ClassesTab&amp;id=http%3A%2F%2Fwho.int%2Ficd%23SpecificAnatomicLocation_1671","iCat")</x:f>
      </x:c>
      <x:c r="M13288" s="0" t="s">
        <x:v>21</x:v>
      </x:c>
      <x:c r="N13288" s="0" t="s">
        <x:v>46</x:v>
      </x:c>
    </x:row>
    <x:row r="13289" spans="1:16">
      <x:c r="A13289" s="0" t="s">
        <x:v>50470</x:v>
      </x:c>
      <x:c r="B13289" s="0" t="s">
        <x:v>50471</x:v>
      </x:c>
      <x:c r="C13289" s="0" t="s">
        <x:v>42840</x:v>
      </x:c>
      <x:c r="E13289" s="0" t="s">
        <x:v>50472</x:v>
      </x:c>
      <x:c r="F13289" s="0" t="s">
        <x:v>45</x:v>
      </x:c>
      <x:c r="G13289" s="0" t="s">
        <x:v>30</x:v>
      </x:c>
      <x:c r="H13289" s="0" t="s">
        <x:v>20</x:v>
      </x:c>
      <x:c r="I13289" s="0" t="s">
        <x:v>21</x:v>
      </x:c>
      <x:c r="K13289" s="0">
        <x:f>hyperlink("https://icd.who.int/dev11/l-ichi/en#/http%3A%2F%2Fid.who.int%2Ficd%2Fentity%2F1683671489","browser")</x:f>
      </x:c>
      <x:c r="L13289" s="0">
        <x:f>hyperlink("https://icat2.azurewebsites.net/icat/?ontology=ICD&amp;tab=ClassesTab&amp;id=http%3A%2F%2Fwho.int%2Ficd%23SpecificAnatomicLocation_1672","iCat")</x:f>
      </x:c>
      <x:c r="M13289" s="0" t="s">
        <x:v>21</x:v>
      </x:c>
      <x:c r="N13289" s="0" t="s">
        <x:v>46</x:v>
      </x:c>
    </x:row>
    <x:row r="13290" spans="1:16">
      <x:c r="A13290" s="0" t="s">
        <x:v>50473</x:v>
      </x:c>
      <x:c r="B13290" s="0" t="s">
        <x:v>50474</x:v>
      </x:c>
      <x:c r="C13290" s="0" t="s">
        <x:v>42840</x:v>
      </x:c>
      <x:c r="E13290" s="0" t="s">
        <x:v>50475</x:v>
      </x:c>
      <x:c r="F13290" s="0" t="s">
        <x:v>45</x:v>
      </x:c>
      <x:c r="G13290" s="0" t="s">
        <x:v>30</x:v>
      </x:c>
      <x:c r="H13290" s="0" t="s">
        <x:v>20</x:v>
      </x:c>
      <x:c r="I13290" s="0" t="s">
        <x:v>21</x:v>
      </x:c>
      <x:c r="K13290" s="0">
        <x:f>hyperlink("https://icd.who.int/dev11/l-ichi/en#/http%3A%2F%2Fid.who.int%2Ficd%2Fentity%2F1936895233","browser")</x:f>
      </x:c>
      <x:c r="L13290" s="0">
        <x:f>hyperlink("https://icat2.azurewebsites.net/icat/?ontology=ICD&amp;tab=ClassesTab&amp;id=http%3A%2F%2Fwho.int%2Ficd%23SpecificAnatomicLocation_1673","iCat")</x:f>
      </x:c>
      <x:c r="M13290" s="0" t="s">
        <x:v>21</x:v>
      </x:c>
      <x:c r="N13290" s="0" t="s">
        <x:v>46</x:v>
      </x:c>
    </x:row>
    <x:row r="13291" spans="1:16">
      <x:c r="A13291" s="0" t="s">
        <x:v>50476</x:v>
      </x:c>
      <x:c r="B13291" s="0" t="s">
        <x:v>50477</x:v>
      </x:c>
      <x:c r="C13291" s="0" t="s">
        <x:v>42840</x:v>
      </x:c>
      <x:c r="E13291" s="0" t="s">
        <x:v>50478</x:v>
      </x:c>
      <x:c r="F13291" s="0" t="s">
        <x:v>45</x:v>
      </x:c>
      <x:c r="G13291" s="0" t="s">
        <x:v>30</x:v>
      </x:c>
      <x:c r="H13291" s="0" t="s">
        <x:v>20</x:v>
      </x:c>
      <x:c r="I13291" s="0" t="s">
        <x:v>21</x:v>
      </x:c>
      <x:c r="K13291" s="0">
        <x:f>hyperlink("https://icd.who.int/dev11/l-ichi/en#/http%3A%2F%2Fid.who.int%2Ficd%2Fentity%2F380343105","browser")</x:f>
      </x:c>
      <x:c r="L13291" s="0">
        <x:f>hyperlink("https://icat2.azurewebsites.net/icat/?ontology=ICD&amp;tab=ClassesTab&amp;id=http%3A%2F%2Fwho.int%2Ficd%23SpecificAnatomicLocation_1674","iCat")</x:f>
      </x:c>
      <x:c r="M13291" s="0" t="s">
        <x:v>21</x:v>
      </x:c>
      <x:c r="N13291" s="0" t="s">
        <x:v>46</x:v>
      </x:c>
    </x:row>
    <x:row r="13292" spans="1:16">
      <x:c r="A13292" s="0" t="s">
        <x:v>50479</x:v>
      </x:c>
      <x:c r="B13292" s="0" t="s">
        <x:v>50480</x:v>
      </x:c>
      <x:c r="C13292" s="0" t="s">
        <x:v>42840</x:v>
      </x:c>
      <x:c r="E13292" s="0" t="s">
        <x:v>50481</x:v>
      </x:c>
      <x:c r="F13292" s="0" t="s">
        <x:v>45</x:v>
      </x:c>
      <x:c r="G13292" s="0" t="s">
        <x:v>30</x:v>
      </x:c>
      <x:c r="H13292" s="0" t="s">
        <x:v>20</x:v>
      </x:c>
      <x:c r="I13292" s="0" t="s">
        <x:v>21</x:v>
      </x:c>
      <x:c r="K13292" s="0">
        <x:f>hyperlink("https://icd.who.int/dev11/l-ichi/en#/http%3A%2F%2Fid.who.int%2Ficd%2Fentity%2F25425793","browser")</x:f>
      </x:c>
      <x:c r="L13292" s="0">
        <x:f>hyperlink("https://icat2.azurewebsites.net/icat/?ontology=ICD&amp;tab=ClassesTab&amp;id=http%3A%2F%2Fwho.int%2Ficd%23SpecificAnatomicLocation_1675","iCat")</x:f>
      </x:c>
      <x:c r="M13292" s="0" t="s">
        <x:v>21</x:v>
      </x:c>
      <x:c r="N13292" s="0" t="s">
        <x:v>46</x:v>
      </x:c>
    </x:row>
    <x:row r="13293" spans="1:16">
      <x:c r="A13293" s="0" t="s">
        <x:v>50482</x:v>
      </x:c>
      <x:c r="B13293" s="0" t="s">
        <x:v>50483</x:v>
      </x:c>
      <x:c r="C13293" s="0" t="s">
        <x:v>42840</x:v>
      </x:c>
      <x:c r="E13293" s="0" t="s">
        <x:v>50484</x:v>
      </x:c>
      <x:c r="F13293" s="0" t="s">
        <x:v>45</x:v>
      </x:c>
      <x:c r="G13293" s="0" t="s">
        <x:v>19</x:v>
      </x:c>
      <x:c r="H13293" s="0" t="s">
        <x:v>20</x:v>
      </x:c>
      <x:c r="I13293" s="0" t="s">
        <x:v>21</x:v>
      </x:c>
      <x:c r="K13293" s="0">
        <x:f>hyperlink("https://icd.who.int/dev11/l-ichi/en#/http%3A%2F%2Fid.who.int%2Ficd%2Fentity%2F507472176","browser")</x:f>
      </x:c>
      <x:c r="L13293" s="0">
        <x:f>hyperlink("https://icat2.azurewebsites.net/icat/?ontology=ICD&amp;tab=ClassesTab&amp;id=http%3A%2F%2Fwho.int%2Ficd%23SpecificAnatomicLocation_1656","iCat")</x:f>
      </x:c>
      <x:c r="M13293" s="0" t="s">
        <x:v>20</x:v>
      </x:c>
      <x:c r="N13293" s="0" t="s">
        <x:v>2677</x:v>
      </x:c>
    </x:row>
    <x:row r="13294" spans="1:16">
      <x:c r="A13294" s="0" t="s">
        <x:v>50485</x:v>
      </x:c>
      <x:c r="B13294" s="0" t="s">
        <x:v>50486</x:v>
      </x:c>
      <x:c r="C13294" s="0" t="s">
        <x:v>42840</x:v>
      </x:c>
      <x:c r="E13294" s="0" t="s">
        <x:v>50487</x:v>
      </x:c>
      <x:c r="F13294" s="0" t="s">
        <x:v>45</x:v>
      </x:c>
      <x:c r="G13294" s="0" t="s">
        <x:v>30</x:v>
      </x:c>
      <x:c r="H13294" s="0" t="s">
        <x:v>20</x:v>
      </x:c>
      <x:c r="I13294" s="0" t="s">
        <x:v>21</x:v>
      </x:c>
      <x:c r="K13294" s="0">
        <x:f>hyperlink("https://icd.who.int/dev11/l-ichi/en#/http%3A%2F%2Fid.who.int%2Ficd%2Fentity%2F87870889","browser")</x:f>
      </x:c>
      <x:c r="L13294" s="0">
        <x:f>hyperlink("https://icat2.azurewebsites.net/icat/?ontology=ICD&amp;tab=ClassesTab&amp;id=http%3A%2F%2Fwho.int%2Ficd%23SpecificAnatomicLocation_1641","iCat")</x:f>
      </x:c>
      <x:c r="M13294" s="0" t="s">
        <x:v>21</x:v>
      </x:c>
      <x:c r="N13294" s="0" t="s">
        <x:v>46</x:v>
      </x:c>
    </x:row>
    <x:row r="13295" spans="1:16">
      <x:c r="A13295" s="0" t="s">
        <x:v>50488</x:v>
      </x:c>
      <x:c r="B13295" s="0" t="s">
        <x:v>50489</x:v>
      </x:c>
      <x:c r="C13295" s="0" t="s">
        <x:v>42840</x:v>
      </x:c>
      <x:c r="E13295" s="0" t="s">
        <x:v>50490</x:v>
      </x:c>
      <x:c r="F13295" s="0" t="s">
        <x:v>45</x:v>
      </x:c>
      <x:c r="G13295" s="0" t="s">
        <x:v>30</x:v>
      </x:c>
      <x:c r="H13295" s="0" t="s">
        <x:v>20</x:v>
      </x:c>
      <x:c r="I13295" s="0" t="s">
        <x:v>21</x:v>
      </x:c>
      <x:c r="K13295" s="0">
        <x:f>hyperlink("https://icd.who.int/dev11/l-ichi/en#/http%3A%2F%2Fid.who.int%2Ficd%2Fentity%2F728499241","browser")</x:f>
      </x:c>
      <x:c r="L13295" s="0">
        <x:f>hyperlink("https://icat2.azurewebsites.net/icat/?ontology=ICD&amp;tab=ClassesTab&amp;id=http%3A%2F%2Fwho.int%2Ficd%23SpecificAnatomicLocation_1643","iCat")</x:f>
      </x:c>
      <x:c r="M13295" s="0" t="s">
        <x:v>21</x:v>
      </x:c>
      <x:c r="N13295" s="0" t="s">
        <x:v>46</x:v>
      </x:c>
    </x:row>
    <x:row r="13296" spans="1:16">
      <x:c r="A13296" s="0" t="s">
        <x:v>50491</x:v>
      </x:c>
      <x:c r="B13296" s="0" t="s">
        <x:v>50492</x:v>
      </x:c>
      <x:c r="C13296" s="0" t="s">
        <x:v>42840</x:v>
      </x:c>
      <x:c r="E13296" s="0" t="s">
        <x:v>50493</x:v>
      </x:c>
      <x:c r="F13296" s="0" t="s">
        <x:v>45</x:v>
      </x:c>
      <x:c r="G13296" s="0" t="s">
        <x:v>30</x:v>
      </x:c>
      <x:c r="H13296" s="0" t="s">
        <x:v>20</x:v>
      </x:c>
      <x:c r="I13296" s="0" t="s">
        <x:v>21</x:v>
      </x:c>
      <x:c r="K13296" s="0">
        <x:f>hyperlink("https://icd.who.int/dev11/l-ichi/en#/http%3A%2F%2Fid.who.int%2Ficd%2Fentity%2F1320499817","browser")</x:f>
      </x:c>
      <x:c r="L13296" s="0">
        <x:f>hyperlink("https://icat2.azurewebsites.net/icat/?ontology=ICD&amp;tab=ClassesTab&amp;id=http%3A%2F%2Fwho.int%2Ficd%23SpecificAnatomicLocation_1644","iCat")</x:f>
      </x:c>
      <x:c r="M13296" s="0" t="s">
        <x:v>21</x:v>
      </x:c>
      <x:c r="N13296" s="0" t="s">
        <x:v>46</x:v>
      </x:c>
    </x:row>
    <x:row r="13297" spans="1:16">
      <x:c r="A13297" s="0" t="s">
        <x:v>50494</x:v>
      </x:c>
      <x:c r="B13297" s="0" t="s">
        <x:v>50495</x:v>
      </x:c>
      <x:c r="C13297" s="0" t="s">
        <x:v>42840</x:v>
      </x:c>
      <x:c r="E13297" s="0" t="s">
        <x:v>50496</x:v>
      </x:c>
      <x:c r="F13297" s="0" t="s">
        <x:v>45</x:v>
      </x:c>
      <x:c r="G13297" s="0" t="s">
        <x:v>30</x:v>
      </x:c>
      <x:c r="H13297" s="0" t="s">
        <x:v>20</x:v>
      </x:c>
      <x:c r="I13297" s="0" t="s">
        <x:v>21</x:v>
      </x:c>
      <x:c r="K13297" s="0">
        <x:f>hyperlink("https://icd.who.int/dev11/l-ichi/en#/http%3A%2F%2Fid.who.int%2Ficd%2Fentity%2F1503485609","browser")</x:f>
      </x:c>
      <x:c r="L13297" s="0">
        <x:f>hyperlink("https://icat2.azurewebsites.net/icat/?ontology=ICD&amp;tab=ClassesTab&amp;id=http%3A%2F%2Fwho.int%2Ficd%23SpecificAnatomicLocation_1645","iCat")</x:f>
      </x:c>
      <x:c r="M13297" s="0" t="s">
        <x:v>21</x:v>
      </x:c>
      <x:c r="N13297" s="0" t="s">
        <x:v>46</x:v>
      </x:c>
    </x:row>
    <x:row r="13298" spans="1:16">
      <x:c r="A13298" s="0" t="s">
        <x:v>50497</x:v>
      </x:c>
      <x:c r="B13298" s="0" t="s">
        <x:v>50498</x:v>
      </x:c>
      <x:c r="C13298" s="0" t="s">
        <x:v>42840</x:v>
      </x:c>
      <x:c r="E13298" s="0" t="s">
        <x:v>50499</x:v>
      </x:c>
      <x:c r="F13298" s="0" t="s">
        <x:v>45</x:v>
      </x:c>
      <x:c r="G13298" s="0" t="s">
        <x:v>30</x:v>
      </x:c>
      <x:c r="H13298" s="0" t="s">
        <x:v>20</x:v>
      </x:c>
      <x:c r="I13298" s="0" t="s">
        <x:v>21</x:v>
      </x:c>
      <x:c r="K13298" s="0">
        <x:f>hyperlink("https://icd.who.int/dev11/l-ichi/en#/http%3A%2F%2Fid.who.int%2Ficd%2Fentity%2F1625682921","browser")</x:f>
      </x:c>
      <x:c r="L13298" s="0">
        <x:f>hyperlink("https://icat2.azurewebsites.net/icat/?ontology=ICD&amp;tab=ClassesTab&amp;id=http%3A%2F%2Fwho.int%2Ficd%23SpecificAnatomicLocation_1646","iCat")</x:f>
      </x:c>
      <x:c r="M13298" s="0" t="s">
        <x:v>21</x:v>
      </x:c>
      <x:c r="N13298" s="0" t="s">
        <x:v>46</x:v>
      </x:c>
    </x:row>
    <x:row r="13299" spans="1:16">
      <x:c r="A13299" s="0" t="s">
        <x:v>50500</x:v>
      </x:c>
      <x:c r="B13299" s="0" t="s">
        <x:v>50501</x:v>
      </x:c>
      <x:c r="C13299" s="0" t="s">
        <x:v>42840</x:v>
      </x:c>
      <x:c r="E13299" s="0" t="s">
        <x:v>50502</x:v>
      </x:c>
      <x:c r="F13299" s="0" t="s">
        <x:v>45</x:v>
      </x:c>
      <x:c r="G13299" s="0" t="s">
        <x:v>30</x:v>
      </x:c>
      <x:c r="H13299" s="0" t="s">
        <x:v>20</x:v>
      </x:c>
      <x:c r="I13299" s="0" t="s">
        <x:v>21</x:v>
      </x:c>
      <x:c r="K13299" s="0">
        <x:f>hyperlink("https://icd.who.int/dev11/l-ichi/en#/http%3A%2F%2Fid.who.int%2Ficd%2Fentity%2F1011114217","browser")</x:f>
      </x:c>
      <x:c r="L13299" s="0">
        <x:f>hyperlink("https://icat2.azurewebsites.net/icat/?ontology=ICD&amp;tab=ClassesTab&amp;id=http%3A%2F%2Fwho.int%2Ficd%23SpecificAnatomicLocation_1642","iCat")</x:f>
      </x:c>
      <x:c r="M13299" s="0" t="s">
        <x:v>21</x:v>
      </x:c>
      <x:c r="N13299" s="0" t="s">
        <x:v>46</x:v>
      </x:c>
    </x:row>
    <x:row r="13300" spans="1:16">
      <x:c r="A13300" s="0" t="s">
        <x:v>50503</x:v>
      </x:c>
      <x:c r="B13300" s="0" t="s">
        <x:v>50504</x:v>
      </x:c>
      <x:c r="C13300" s="0" t="s">
        <x:v>42840</x:v>
      </x:c>
      <x:c r="E13300" s="0" t="s">
        <x:v>50505</x:v>
      </x:c>
      <x:c r="F13300" s="0" t="s">
        <x:v>45</x:v>
      </x:c>
      <x:c r="G13300" s="0" t="s">
        <x:v>30</x:v>
      </x:c>
      <x:c r="H13300" s="0" t="s">
        <x:v>20</x:v>
      </x:c>
      <x:c r="I13300" s="0" t="s">
        <x:v>21</x:v>
      </x:c>
      <x:c r="K13300" s="0">
        <x:f>hyperlink("https://icd.who.int/dev11/l-ichi/en#/http%3A%2F%2Fid.who.int%2Ficd%2Fentity%2F1117714992","browser")</x:f>
      </x:c>
      <x:c r="L13300" s="0">
        <x:f>hyperlink("https://icat2.azurewebsites.net/icat/?ontology=ICD&amp;tab=ClassesTab&amp;id=http%3A%2F%2Fwho.int%2Ficd%23SpecificAnatomicLocation_1652","iCat")</x:f>
      </x:c>
      <x:c r="M13300" s="0" t="s">
        <x:v>21</x:v>
      </x:c>
      <x:c r="N13300" s="0" t="s">
        <x:v>46</x:v>
      </x:c>
    </x:row>
    <x:row r="13301" spans="1:16">
      <x:c r="A13301" s="0" t="s">
        <x:v>50506</x:v>
      </x:c>
      <x:c r="B13301" s="0" t="s">
        <x:v>50507</x:v>
      </x:c>
      <x:c r="C13301" s="0" t="s">
        <x:v>42840</x:v>
      </x:c>
      <x:c r="E13301" s="0" t="s">
        <x:v>50508</x:v>
      </x:c>
      <x:c r="F13301" s="0" t="s">
        <x:v>45</x:v>
      </x:c>
      <x:c r="G13301" s="0" t="s">
        <x:v>30</x:v>
      </x:c>
      <x:c r="H13301" s="0" t="s">
        <x:v>20</x:v>
      </x:c>
      <x:c r="I13301" s="0" t="s">
        <x:v>21</x:v>
      </x:c>
      <x:c r="K13301" s="0">
        <x:f>hyperlink("https://icd.who.int/dev11/l-ichi/en#/http%3A%2F%2Fid.who.int%2Ficd%2Fentity%2F2009962281","browser")</x:f>
      </x:c>
      <x:c r="L13301" s="0">
        <x:f>hyperlink("https://icat2.azurewebsites.net/icat/?ontology=ICD&amp;tab=ClassesTab&amp;id=http%3A%2F%2Fwho.int%2Ficd%23SpecificAnatomicLocation_1647","iCat")</x:f>
      </x:c>
      <x:c r="M13301" s="0" t="s">
        <x:v>21</x:v>
      </x:c>
      <x:c r="N13301" s="0" t="s">
        <x:v>46</x:v>
      </x:c>
    </x:row>
    <x:row r="13302" spans="1:16">
      <x:c r="A13302" s="0" t="s">
        <x:v>50509</x:v>
      </x:c>
      <x:c r="B13302" s="0" t="s">
        <x:v>50510</x:v>
      </x:c>
      <x:c r="C13302" s="0" t="s">
        <x:v>42840</x:v>
      </x:c>
      <x:c r="E13302" s="0" t="s">
        <x:v>50511</x:v>
      </x:c>
      <x:c r="F13302" s="0" t="s">
        <x:v>45</x:v>
      </x:c>
      <x:c r="G13302" s="0" t="s">
        <x:v>30</x:v>
      </x:c>
      <x:c r="H13302" s="0" t="s">
        <x:v>20</x:v>
      </x:c>
      <x:c r="I13302" s="0" t="s">
        <x:v>21</x:v>
      </x:c>
      <x:c r="K13302" s="0">
        <x:f>hyperlink("https://icd.who.int/dev11/l-ichi/en#/http%3A%2F%2Fid.who.int%2Ficd%2Fentity%2F1420325015","browser")</x:f>
      </x:c>
      <x:c r="L13302" s="0">
        <x:f>hyperlink("https://icat2.azurewebsites.net/icat/?ontology=ICD&amp;tab=ClassesTab&amp;id=http%3A%2F%2Fwho.int%2Ficd%23SpecificAnatomicLocation_1648","iCat")</x:f>
      </x:c>
      <x:c r="M13302" s="0" t="s">
        <x:v>21</x:v>
      </x:c>
      <x:c r="N13302" s="0" t="s">
        <x:v>46</x:v>
      </x:c>
    </x:row>
    <x:row r="13303" spans="1:16">
      <x:c r="A13303" s="0" t="s">
        <x:v>50512</x:v>
      </x:c>
      <x:c r="B13303" s="0" t="s">
        <x:v>50513</x:v>
      </x:c>
      <x:c r="C13303" s="0" t="s">
        <x:v>42840</x:v>
      </x:c>
      <x:c r="E13303" s="0" t="s">
        <x:v>50514</x:v>
      </x:c>
      <x:c r="F13303" s="0" t="s">
        <x:v>45</x:v>
      </x:c>
      <x:c r="G13303" s="0" t="s">
        <x:v>30</x:v>
      </x:c>
      <x:c r="H13303" s="0" t="s">
        <x:v>20</x:v>
      </x:c>
      <x:c r="I13303" s="0" t="s">
        <x:v>21</x:v>
      </x:c>
      <x:c r="K13303" s="0">
        <x:f>hyperlink("https://icd.who.int/dev11/l-ichi/en#/http%3A%2F%2Fid.who.int%2Ficd%2Fentity%2F1438031600","browser")</x:f>
      </x:c>
      <x:c r="L13303" s="0">
        <x:f>hyperlink("https://icat2.azurewebsites.net/icat/?ontology=ICD&amp;tab=ClassesTab&amp;id=http%3A%2F%2Fwho.int%2Ficd%23SpecificAnatomicLocation_1653","iCat")</x:f>
      </x:c>
      <x:c r="M13303" s="0" t="s">
        <x:v>21</x:v>
      </x:c>
      <x:c r="N13303" s="0" t="s">
        <x:v>46</x:v>
      </x:c>
    </x:row>
    <x:row r="13304" spans="1:16">
      <x:c r="A13304" s="0" t="s">
        <x:v>50515</x:v>
      </x:c>
      <x:c r="B13304" s="0" t="s">
        <x:v>50516</x:v>
      </x:c>
      <x:c r="C13304" s="0" t="s">
        <x:v>42840</x:v>
      </x:c>
      <x:c r="E13304" s="0" t="s">
        <x:v>50517</x:v>
      </x:c>
      <x:c r="F13304" s="0" t="s">
        <x:v>45</x:v>
      </x:c>
      <x:c r="G13304" s="0" t="s">
        <x:v>30</x:v>
      </x:c>
      <x:c r="H13304" s="0" t="s">
        <x:v>20</x:v>
      </x:c>
      <x:c r="I13304" s="0" t="s">
        <x:v>21</x:v>
      </x:c>
      <x:c r="K13304" s="0">
        <x:f>hyperlink("https://icd.who.int/dev11/l-ichi/en#/http%3A%2F%2Fid.who.int%2Ficd%2Fentity%2F812622000","browser")</x:f>
      </x:c>
      <x:c r="L13304" s="0">
        <x:f>hyperlink("https://icat2.azurewebsites.net/icat/?ontology=ICD&amp;tab=ClassesTab&amp;id=http%3A%2F%2Fwho.int%2Ficd%23SpecificAnatomicLocation_1654","iCat")</x:f>
      </x:c>
      <x:c r="M13304" s="0" t="s">
        <x:v>21</x:v>
      </x:c>
      <x:c r="N13304" s="0" t="s">
        <x:v>46</x:v>
      </x:c>
    </x:row>
    <x:row r="13305" spans="1:16">
      <x:c r="A13305" s="0" t="s">
        <x:v>50518</x:v>
      </x:c>
      <x:c r="B13305" s="0" t="s">
        <x:v>50519</x:v>
      </x:c>
      <x:c r="C13305" s="0" t="s">
        <x:v>42840</x:v>
      </x:c>
      <x:c r="E13305" s="0" t="s">
        <x:v>50520</x:v>
      </x:c>
      <x:c r="F13305" s="0" t="s">
        <x:v>45</x:v>
      </x:c>
      <x:c r="G13305" s="0" t="s">
        <x:v>30</x:v>
      </x:c>
      <x:c r="H13305" s="0" t="s">
        <x:v>20</x:v>
      </x:c>
      <x:c r="I13305" s="0" t="s">
        <x:v>21</x:v>
      </x:c>
      <x:c r="K13305" s="0">
        <x:f>hyperlink("https://icd.who.int/dev11/l-ichi/en#/http%3A%2F%2Fid.who.int%2Ficd%2Fentity%2F1132467287","browser")</x:f>
      </x:c>
      <x:c r="L13305" s="0">
        <x:f>hyperlink("https://icat2.azurewebsites.net/icat/?ontology=ICD&amp;tab=ClassesTab&amp;id=http%3A%2F%2Fwho.int%2Ficd%23SpecificAnatomicLocation_1649","iCat")</x:f>
      </x:c>
      <x:c r="M13305" s="0" t="s">
        <x:v>21</x:v>
      </x:c>
      <x:c r="N13305" s="0" t="s">
        <x:v>46</x:v>
      </x:c>
    </x:row>
    <x:row r="13306" spans="1:16">
      <x:c r="A13306" s="0" t="s">
        <x:v>50521</x:v>
      </x:c>
      <x:c r="B13306" s="0" t="s">
        <x:v>50522</x:v>
      </x:c>
      <x:c r="C13306" s="0" t="s">
        <x:v>42840</x:v>
      </x:c>
      <x:c r="E13306" s="0" t="s">
        <x:v>50523</x:v>
      </x:c>
      <x:c r="F13306" s="0" t="s">
        <x:v>45</x:v>
      </x:c>
      <x:c r="G13306" s="0" t="s">
        <x:v>30</x:v>
      </x:c>
      <x:c r="H13306" s="0" t="s">
        <x:v>20</x:v>
      </x:c>
      <x:c r="I13306" s="0" t="s">
        <x:v>21</x:v>
      </x:c>
      <x:c r="K13306" s="0">
        <x:f>hyperlink("https://icd.who.int/dev11/l-ichi/en#/http%3A%2F%2Fid.who.int%2Ficd%2Fentity%2F1825452976","browser")</x:f>
      </x:c>
      <x:c r="L13306" s="0">
        <x:f>hyperlink("https://icat2.azurewebsites.net/icat/?ontology=ICD&amp;tab=ClassesTab&amp;id=http%3A%2F%2Fwho.int%2Ficd%23SpecificAnatomicLocation_1650","iCat")</x:f>
      </x:c>
      <x:c r="M13306" s="0" t="s">
        <x:v>21</x:v>
      </x:c>
      <x:c r="N13306" s="0" t="s">
        <x:v>46</x:v>
      </x:c>
    </x:row>
    <x:row r="13307" spans="1:16">
      <x:c r="A13307" s="0" t="s">
        <x:v>50524</x:v>
      </x:c>
      <x:c r="B13307" s="0" t="s">
        <x:v>50525</x:v>
      </x:c>
      <x:c r="C13307" s="0" t="s">
        <x:v>42840</x:v>
      </x:c>
      <x:c r="E13307" s="0" t="s">
        <x:v>50526</x:v>
      </x:c>
      <x:c r="F13307" s="0" t="s">
        <x:v>45</x:v>
      </x:c>
      <x:c r="G13307" s="0" t="s">
        <x:v>30</x:v>
      </x:c>
      <x:c r="H13307" s="0" t="s">
        <x:v>20</x:v>
      </x:c>
      <x:c r="I13307" s="0" t="s">
        <x:v>21</x:v>
      </x:c>
      <x:c r="K13307" s="0">
        <x:f>hyperlink("https://icd.who.int/dev11/l-ichi/en#/http%3A%2F%2Fid.who.int%2Ficd%2Fentity%2F303343977","browser")</x:f>
      </x:c>
      <x:c r="L13307" s="0">
        <x:f>hyperlink("https://icat2.azurewebsites.net/icat/?ontology=ICD&amp;tab=ClassesTab&amp;id=http%3A%2F%2Fwho.int%2Ficd%23SpecificAnatomicLocation_1640","iCat")</x:f>
      </x:c>
      <x:c r="M13307" s="0" t="s">
        <x:v>21</x:v>
      </x:c>
      <x:c r="N13307" s="0" t="s">
        <x:v>46</x:v>
      </x:c>
    </x:row>
    <x:row r="13308" spans="1:16">
      <x:c r="A13308" s="0" t="s">
        <x:v>50527</x:v>
      </x:c>
      <x:c r="B13308" s="0" t="s">
        <x:v>50528</x:v>
      </x:c>
      <x:c r="C13308" s="0" t="s">
        <x:v>42840</x:v>
      </x:c>
      <x:c r="E13308" s="0" t="s">
        <x:v>50529</x:v>
      </x:c>
      <x:c r="F13308" s="0" t="s">
        <x:v>45</x:v>
      </x:c>
      <x:c r="G13308" s="0" t="s">
        <x:v>30</x:v>
      </x:c>
      <x:c r="H13308" s="0" t="s">
        <x:v>20</x:v>
      </x:c>
      <x:c r="I13308" s="0" t="s">
        <x:v>21</x:v>
      </x:c>
      <x:c r="K13308" s="0">
        <x:f>hyperlink("https://icd.who.int/dev11/l-ichi/en#/http%3A%2F%2Fid.who.int%2Ficd%2Fentity%2F2078693232","browser")</x:f>
      </x:c>
      <x:c r="L13308" s="0">
        <x:f>hyperlink("https://icat2.azurewebsites.net/icat/?ontology=ICD&amp;tab=ClassesTab&amp;id=http%3A%2F%2Fwho.int%2Ficd%23SpecificAnatomicLocation_1651","iCat")</x:f>
      </x:c>
      <x:c r="M13308" s="0" t="s">
        <x:v>21</x:v>
      </x:c>
      <x:c r="N13308" s="0" t="s">
        <x:v>46</x:v>
      </x:c>
    </x:row>
    <x:row r="13309" spans="1:16">
      <x:c r="A13309" s="0" t="s">
        <x:v>50530</x:v>
      </x:c>
      <x:c r="B13309" s="0" t="s">
        <x:v>50531</x:v>
      </x:c>
      <x:c r="C13309" s="0" t="s">
        <x:v>42840</x:v>
      </x:c>
      <x:c r="E13309" s="0" t="s">
        <x:v>50532</x:v>
      </x:c>
      <x:c r="F13309" s="0" t="s">
        <x:v>45</x:v>
      </x:c>
      <x:c r="G13309" s="0" t="s">
        <x:v>30</x:v>
      </x:c>
      <x:c r="H13309" s="0" t="s">
        <x:v>20</x:v>
      </x:c>
      <x:c r="I13309" s="0" t="s">
        <x:v>21</x:v>
      </x:c>
      <x:c r="K13309" s="0">
        <x:f>hyperlink("https://icd.who.int/dev11/l-ichi/en#/http%3A%2F%2Fid.who.int%2Ficd%2Fentity%2F659014768","browser")</x:f>
      </x:c>
      <x:c r="L13309" s="0">
        <x:f>hyperlink("https://icat2.azurewebsites.net/icat/?ontology=ICD&amp;tab=ClassesTab&amp;id=http%3A%2F%2Fwho.int%2Ficd%23SpecificAnatomicLocation_1655","iCat")</x:f>
      </x:c>
      <x:c r="M13309" s="0" t="s">
        <x:v>21</x:v>
      </x:c>
      <x:c r="N13309" s="0" t="s">
        <x:v>46</x:v>
      </x:c>
    </x:row>
    <x:row r="13310" spans="1:16">
      <x:c r="A13310" s="0" t="s">
        <x:v>50533</x:v>
      </x:c>
      <x:c r="B13310" s="0" t="s">
        <x:v>50534</x:v>
      </x:c>
      <x:c r="C13310" s="0" t="s">
        <x:v>42840</x:v>
      </x:c>
      <x:c r="E13310" s="0" t="s">
        <x:v>50535</x:v>
      </x:c>
      <x:c r="F13310" s="0" t="s">
        <x:v>45</x:v>
      </x:c>
      <x:c r="G13310" s="0" t="s">
        <x:v>19</x:v>
      </x:c>
      <x:c r="H13310" s="0" t="s">
        <x:v>20</x:v>
      </x:c>
      <x:c r="I13310" s="0" t="s">
        <x:v>21</x:v>
      </x:c>
      <x:c r="K13310" s="0">
        <x:f>hyperlink("https://icd.who.int/dev11/l-ichi/en#/http%3A%2F%2Fid.who.int%2Ficd%2Fentity%2F107652911","browser")</x:f>
      </x:c>
      <x:c r="L13310" s="0">
        <x:f>hyperlink("https://icat2.azurewebsites.net/icat/?ontology=ICD&amp;tab=ClassesTab&amp;id=http%3A%2F%2Fwho.int%2Ficd%23SpecificAnatomicLocation_1692","iCat")</x:f>
      </x:c>
      <x:c r="M13310" s="0" t="s">
        <x:v>20</x:v>
      </x:c>
      <x:c r="N13310" s="0" t="s">
        <x:v>31</x:v>
      </x:c>
    </x:row>
    <x:row r="13311" spans="1:16">
      <x:c r="A13311" s="0" t="s">
        <x:v>50536</x:v>
      </x:c>
      <x:c r="B13311" s="0" t="s">
        <x:v>50537</x:v>
      </x:c>
      <x:c r="C13311" s="0" t="s">
        <x:v>42840</x:v>
      </x:c>
      <x:c r="E13311" s="0" t="s">
        <x:v>50538</x:v>
      </x:c>
      <x:c r="F13311" s="0" t="s">
        <x:v>45</x:v>
      </x:c>
      <x:c r="G13311" s="0" t="s">
        <x:v>30</x:v>
      </x:c>
      <x:c r="H13311" s="0" t="s">
        <x:v>20</x:v>
      </x:c>
      <x:c r="I13311" s="0" t="s">
        <x:v>21</x:v>
      </x:c>
      <x:c r="K13311" s="0">
        <x:f>hyperlink("https://icd.who.int/dev11/l-ichi/en#/http%3A%2F%2Fid.who.int%2Ficd%2Fentity%2F213309887","browser")</x:f>
      </x:c>
      <x:c r="L13311" s="0">
        <x:f>hyperlink("https://icat2.azurewebsites.net/icat/?ontology=ICD&amp;tab=ClassesTab&amp;id=http%3A%2F%2Fwho.int%2Ficd%23SpecificAnatomicLocation_1678","iCat")</x:f>
      </x:c>
      <x:c r="M13311" s="0" t="s">
        <x:v>21</x:v>
      </x:c>
      <x:c r="N13311" s="0" t="s">
        <x:v>46</x:v>
      </x:c>
    </x:row>
    <x:row r="13312" spans="1:16">
      <x:c r="A13312" s="0" t="s">
        <x:v>50539</x:v>
      </x:c>
      <x:c r="B13312" s="0" t="s">
        <x:v>50540</x:v>
      </x:c>
      <x:c r="C13312" s="0" t="s">
        <x:v>42840</x:v>
      </x:c>
      <x:c r="E13312" s="0" t="s">
        <x:v>50541</x:v>
      </x:c>
      <x:c r="F13312" s="0" t="s">
        <x:v>45</x:v>
      </x:c>
      <x:c r="G13312" s="0" t="s">
        <x:v>30</x:v>
      </x:c>
      <x:c r="H13312" s="0" t="s">
        <x:v>20</x:v>
      </x:c>
      <x:c r="I13312" s="0" t="s">
        <x:v>21</x:v>
      </x:c>
      <x:c r="K13312" s="0">
        <x:f>hyperlink("https://icd.who.int/dev11/l-ichi/en#/http%3A%2F%2Fid.who.int%2Ficd%2Fentity%2F463388031","browser")</x:f>
      </x:c>
      <x:c r="L13312" s="0">
        <x:f>hyperlink("https://icat2.azurewebsites.net/icat/?ontology=ICD&amp;tab=ClassesTab&amp;id=http%3A%2F%2Fwho.int%2Ficd%23SpecificAnatomicLocation_1679","iCat")</x:f>
      </x:c>
      <x:c r="M13312" s="0" t="s">
        <x:v>21</x:v>
      </x:c>
      <x:c r="N13312" s="0" t="s">
        <x:v>46</x:v>
      </x:c>
    </x:row>
    <x:row r="13313" spans="1:16">
      <x:c r="A13313" s="0" t="s">
        <x:v>50542</x:v>
      </x:c>
      <x:c r="B13313" s="0" t="s">
        <x:v>50543</x:v>
      </x:c>
      <x:c r="C13313" s="0" t="s">
        <x:v>42840</x:v>
      </x:c>
      <x:c r="E13313" s="0" t="s">
        <x:v>50544</x:v>
      </x:c>
      <x:c r="F13313" s="0" t="s">
        <x:v>45</x:v>
      </x:c>
      <x:c r="G13313" s="0" t="s">
        <x:v>30</x:v>
      </x:c>
      <x:c r="H13313" s="0" t="s">
        <x:v>20</x:v>
      </x:c>
      <x:c r="I13313" s="0" t="s">
        <x:v>21</x:v>
      </x:c>
      <x:c r="K13313" s="0">
        <x:f>hyperlink("https://icd.who.int/dev11/l-ichi/en#/http%3A%2F%2Fid.who.int%2Ficd%2Fentity%2F1457583222","browser")</x:f>
      </x:c>
      <x:c r="L13313" s="0">
        <x:f>hyperlink("https://icat2.azurewebsites.net/icat/?ontology=ICD&amp;tab=ClassesTab&amp;id=http%3A%2F%2Fwho.int%2Ficd%23SpecificAnatomicLocation_1680","iCat")</x:f>
      </x:c>
      <x:c r="M13313" s="0" t="s">
        <x:v>21</x:v>
      </x:c>
      <x:c r="N13313" s="0" t="s">
        <x:v>46</x:v>
      </x:c>
    </x:row>
    <x:row r="13314" spans="1:16">
      <x:c r="A13314" s="0" t="s">
        <x:v>50545</x:v>
      </x:c>
      <x:c r="B13314" s="0" t="s">
        <x:v>50546</x:v>
      </x:c>
      <x:c r="C13314" s="0" t="s">
        <x:v>42840</x:v>
      </x:c>
      <x:c r="E13314" s="0" t="s">
        <x:v>50547</x:v>
      </x:c>
      <x:c r="F13314" s="0" t="s">
        <x:v>45</x:v>
      </x:c>
      <x:c r="G13314" s="0" t="s">
        <x:v>30</x:v>
      </x:c>
      <x:c r="H13314" s="0" t="s">
        <x:v>20</x:v>
      </x:c>
      <x:c r="I13314" s="0" t="s">
        <x:v>21</x:v>
      </x:c>
      <x:c r="K13314" s="0">
        <x:f>hyperlink("https://icd.who.int/dev11/l-ichi/en#/http%3A%2F%2Fid.who.int%2Ficd%2Fentity%2F1103663286","browser")</x:f>
      </x:c>
      <x:c r="L13314" s="0">
        <x:f>hyperlink("https://icat2.azurewebsites.net/icat/?ontology=ICD&amp;tab=ClassesTab&amp;id=http%3A%2F%2Fwho.int%2Ficd%23SpecificAnatomicLocation_1681","iCat")</x:f>
      </x:c>
      <x:c r="M13314" s="0" t="s">
        <x:v>21</x:v>
      </x:c>
      <x:c r="N13314" s="0" t="s">
        <x:v>46</x:v>
      </x:c>
    </x:row>
    <x:row r="13315" spans="1:16">
      <x:c r="A13315" s="0" t="s">
        <x:v>50548</x:v>
      </x:c>
      <x:c r="B13315" s="0" t="s">
        <x:v>50549</x:v>
      </x:c>
      <x:c r="C13315" s="0" t="s">
        <x:v>42840</x:v>
      </x:c>
      <x:c r="E13315" s="0" t="s">
        <x:v>50550</x:v>
      </x:c>
      <x:c r="F13315" s="0" t="s">
        <x:v>45</x:v>
      </x:c>
      <x:c r="G13315" s="0" t="s">
        <x:v>30</x:v>
      </x:c>
      <x:c r="H13315" s="0" t="s">
        <x:v>20</x:v>
      </x:c>
      <x:c r="I13315" s="0" t="s">
        <x:v>21</x:v>
      </x:c>
      <x:c r="K13315" s="0">
        <x:f>hyperlink("https://icd.who.int/dev11/l-ichi/en#/http%3A%2F%2Fid.who.int%2Ficd%2Fentity%2F172058486","browser")</x:f>
      </x:c>
      <x:c r="L13315" s="0">
        <x:f>hyperlink("https://icat2.azurewebsites.net/icat/?ontology=ICD&amp;tab=ClassesTab&amp;id=http%3A%2F%2Fwho.int%2Ficd%23SpecificAnatomicLocation_1684","iCat")</x:f>
      </x:c>
      <x:c r="M13315" s="0" t="s">
        <x:v>21</x:v>
      </x:c>
      <x:c r="N13315" s="0" t="s">
        <x:v>46</x:v>
      </x:c>
    </x:row>
    <x:row r="13316" spans="1:16">
      <x:c r="A13316" s="0" t="s">
        <x:v>50551</x:v>
      </x:c>
      <x:c r="B13316" s="0" t="s">
        <x:v>50552</x:v>
      </x:c>
      <x:c r="C13316" s="0" t="s">
        <x:v>42840</x:v>
      </x:c>
      <x:c r="E13316" s="0" t="s">
        <x:v>50553</x:v>
      </x:c>
      <x:c r="F13316" s="0" t="s">
        <x:v>45</x:v>
      </x:c>
      <x:c r="G13316" s="0" t="s">
        <x:v>30</x:v>
      </x:c>
      <x:c r="H13316" s="0" t="s">
        <x:v>20</x:v>
      </x:c>
      <x:c r="I13316" s="0" t="s">
        <x:v>21</x:v>
      </x:c>
      <x:c r="K13316" s="0">
        <x:f>hyperlink("https://icd.who.int/dev11/l-ichi/en#/http%3A%2F%2Fid.who.int%2Ficd%2Fentity%2F2024816118","browser")</x:f>
      </x:c>
      <x:c r="L13316" s="0">
        <x:f>hyperlink("https://icat2.azurewebsites.net/icat/?ontology=ICD&amp;tab=ClassesTab&amp;id=http%3A%2F%2Fwho.int%2Ficd%23SpecificAnatomicLocation_1682","iCat")</x:f>
      </x:c>
      <x:c r="M13316" s="0" t="s">
        <x:v>21</x:v>
      </x:c>
      <x:c r="N13316" s="0" t="s">
        <x:v>46</x:v>
      </x:c>
    </x:row>
    <x:row r="13317" spans="1:16">
      <x:c r="A13317" s="0" t="s">
        <x:v>50554</x:v>
      </x:c>
      <x:c r="B13317" s="0" t="s">
        <x:v>50555</x:v>
      </x:c>
      <x:c r="C13317" s="0" t="s">
        <x:v>42840</x:v>
      </x:c>
      <x:c r="E13317" s="0" t="s">
        <x:v>50556</x:v>
      </x:c>
      <x:c r="F13317" s="0" t="s">
        <x:v>45</x:v>
      </x:c>
      <x:c r="G13317" s="0" t="s">
        <x:v>30</x:v>
      </x:c>
      <x:c r="H13317" s="0" t="s">
        <x:v>20</x:v>
      </x:c>
      <x:c r="I13317" s="0" t="s">
        <x:v>21</x:v>
      </x:c>
      <x:c r="K13317" s="0">
        <x:f>hyperlink("https://icd.who.int/dev11/l-ichi/en#/http%3A%2F%2Fid.who.int%2Ficd%2Fentity%2F1872255286","browser")</x:f>
      </x:c>
      <x:c r="L13317" s="0">
        <x:f>hyperlink("https://icat2.azurewebsites.net/icat/?ontology=ICD&amp;tab=ClassesTab&amp;id=http%3A%2F%2Fwho.int%2Ficd%23SpecificAnatomicLocation_1683","iCat")</x:f>
      </x:c>
      <x:c r="M13317" s="0" t="s">
        <x:v>21</x:v>
      </x:c>
      <x:c r="N13317" s="0" t="s">
        <x:v>46</x:v>
      </x:c>
    </x:row>
    <x:row r="13318" spans="1:16">
      <x:c r="A13318" s="0" t="s">
        <x:v>50557</x:v>
      </x:c>
      <x:c r="B13318" s="0" t="s">
        <x:v>50558</x:v>
      </x:c>
      <x:c r="C13318" s="0" t="s">
        <x:v>42840</x:v>
      </x:c>
      <x:c r="E13318" s="0" t="s">
        <x:v>50559</x:v>
      </x:c>
      <x:c r="F13318" s="0" t="s">
        <x:v>45</x:v>
      </x:c>
      <x:c r="G13318" s="0" t="s">
        <x:v>30</x:v>
      </x:c>
      <x:c r="H13318" s="0" t="s">
        <x:v>20</x:v>
      </x:c>
      <x:c r="I13318" s="0" t="s">
        <x:v>21</x:v>
      </x:c>
      <x:c r="K13318" s="0">
        <x:f>hyperlink("https://icd.who.int/dev11/l-ichi/en#/http%3A%2F%2Fid.who.int%2Ficd%2Fentity%2F493421494","browser")</x:f>
      </x:c>
      <x:c r="L13318" s="0">
        <x:f>hyperlink("https://icat2.azurewebsites.net/icat/?ontology=ICD&amp;tab=ClassesTab&amp;id=http%3A%2F%2Fwho.int%2Ficd%23SpecificAnatomicLocation_1685","iCat")</x:f>
      </x:c>
      <x:c r="M13318" s="0" t="s">
        <x:v>21</x:v>
      </x:c>
      <x:c r="N13318" s="0" t="s">
        <x:v>46</x:v>
      </x:c>
    </x:row>
    <x:row r="13319" spans="1:16">
      <x:c r="A13319" s="0" t="s">
        <x:v>50560</x:v>
      </x:c>
      <x:c r="B13319" s="0" t="s">
        <x:v>50561</x:v>
      </x:c>
      <x:c r="C13319" s="0" t="s">
        <x:v>42840</x:v>
      </x:c>
      <x:c r="E13319" s="0" t="s">
        <x:v>50562</x:v>
      </x:c>
      <x:c r="F13319" s="0" t="s">
        <x:v>45</x:v>
      </x:c>
      <x:c r="G13319" s="0" t="s">
        <x:v>30</x:v>
      </x:c>
      <x:c r="H13319" s="0" t="s">
        <x:v>20</x:v>
      </x:c>
      <x:c r="I13319" s="0" t="s">
        <x:v>21</x:v>
      </x:c>
      <x:c r="K13319" s="0">
        <x:f>hyperlink("https://icd.who.int/dev11/l-ichi/en#/http%3A%2F%2Fid.who.int%2Ficd%2Fentity%2F605138678","browser")</x:f>
      </x:c>
      <x:c r="L13319" s="0">
        <x:f>hyperlink("https://icat2.azurewebsites.net/icat/?ontology=ICD&amp;tab=ClassesTab&amp;id=http%3A%2F%2Fwho.int%2Ficd%23SpecificAnatomicLocation_1686","iCat")</x:f>
      </x:c>
      <x:c r="M13319" s="0" t="s">
        <x:v>21</x:v>
      </x:c>
      <x:c r="N13319" s="0" t="s">
        <x:v>46</x:v>
      </x:c>
    </x:row>
    <x:row r="13320" spans="1:16">
      <x:c r="A13320" s="0" t="s">
        <x:v>50563</x:v>
      </x:c>
      <x:c r="B13320" s="0" t="s">
        <x:v>50564</x:v>
      </x:c>
      <x:c r="C13320" s="0" t="s">
        <x:v>42840</x:v>
      </x:c>
      <x:c r="E13320" s="0" t="s">
        <x:v>50565</x:v>
      </x:c>
      <x:c r="F13320" s="0" t="s">
        <x:v>45</x:v>
      </x:c>
      <x:c r="G13320" s="0" t="s">
        <x:v>30</x:v>
      </x:c>
      <x:c r="H13320" s="0" t="s">
        <x:v>20</x:v>
      </x:c>
      <x:c r="I13320" s="0" t="s">
        <x:v>21</x:v>
      </x:c>
      <x:c r="K13320" s="0">
        <x:f>hyperlink("https://icd.who.int/dev11/l-ichi/en#/http%3A%2F%2Fid.who.int%2Ficd%2Fentity%2F859425334","browser")</x:f>
      </x:c>
      <x:c r="L13320" s="0">
        <x:f>hyperlink("https://icat2.azurewebsites.net/icat/?ontology=ICD&amp;tab=ClassesTab&amp;id=http%3A%2F%2Fwho.int%2Ficd%23SpecificAnatomicLocation_1687","iCat")</x:f>
      </x:c>
      <x:c r="M13320" s="0" t="s">
        <x:v>21</x:v>
      </x:c>
      <x:c r="N13320" s="0" t="s">
        <x:v>46</x:v>
      </x:c>
    </x:row>
    <x:row r="13321" spans="1:16">
      <x:c r="A13321" s="0" t="s">
        <x:v>50566</x:v>
      </x:c>
      <x:c r="B13321" s="0" t="s">
        <x:v>50567</x:v>
      </x:c>
      <x:c r="C13321" s="0" t="s">
        <x:v>42840</x:v>
      </x:c>
      <x:c r="E13321" s="0" t="s">
        <x:v>50568</x:v>
      </x:c>
      <x:c r="F13321" s="0" t="s">
        <x:v>45</x:v>
      </x:c>
      <x:c r="G13321" s="0" t="s">
        <x:v>30</x:v>
      </x:c>
      <x:c r="H13321" s="0" t="s">
        <x:v>20</x:v>
      </x:c>
      <x:c r="I13321" s="0" t="s">
        <x:v>21</x:v>
      </x:c>
      <x:c r="K13321" s="0">
        <x:f>hyperlink("https://icd.who.int/dev11/l-ichi/en#/http%3A%2F%2Fid.who.int%2Ficd%2Fentity%2F125061450","browser")</x:f>
      </x:c>
      <x:c r="L13321" s="0">
        <x:f>hyperlink("https://icat2.azurewebsites.net/icat/?ontology=ICD&amp;tab=ClassesTab&amp;id=http%3A%2F%2Fwho.int%2Ficd%23SpecificAnatomicLocation_1689","iCat")</x:f>
      </x:c>
      <x:c r="M13321" s="0" t="s">
        <x:v>21</x:v>
      </x:c>
      <x:c r="N13321" s="0" t="s">
        <x:v>46</x:v>
      </x:c>
    </x:row>
    <x:row r="13322" spans="1:16">
      <x:c r="A13322" s="0" t="s">
        <x:v>50569</x:v>
      </x:c>
      <x:c r="B13322" s="0" t="s">
        <x:v>50570</x:v>
      </x:c>
      <x:c r="C13322" s="0" t="s">
        <x:v>42840</x:v>
      </x:c>
      <x:c r="E13322" s="0" t="s">
        <x:v>50571</x:v>
      </x:c>
      <x:c r="F13322" s="0" t="s">
        <x:v>45</x:v>
      </x:c>
      <x:c r="G13322" s="0" t="s">
        <x:v>30</x:v>
      </x:c>
      <x:c r="H13322" s="0" t="s">
        <x:v>20</x:v>
      </x:c>
      <x:c r="I13322" s="0" t="s">
        <x:v>21</x:v>
      </x:c>
      <x:c r="K13322" s="0">
        <x:f>hyperlink("https://icd.who.int/dev11/l-ichi/en#/http%3A%2F%2Fid.who.int%2Ficd%2Fentity%2F1058146927","browser")</x:f>
      </x:c>
      <x:c r="L13322" s="0">
        <x:f>hyperlink("https://icat2.azurewebsites.net/icat/?ontology=ICD&amp;tab=ClassesTab&amp;id=http%3A%2F%2Fwho.int%2Ficd%23SpecificAnatomicLocation_1691","iCat")</x:f>
      </x:c>
      <x:c r="M13322" s="0" t="s">
        <x:v>21</x:v>
      </x:c>
      <x:c r="N13322" s="0" t="s">
        <x:v>46</x:v>
      </x:c>
    </x:row>
    <x:row r="13323" spans="1:16">
      <x:c r="A13323" s="0" t="s">
        <x:v>50572</x:v>
      </x:c>
      <x:c r="B13323" s="0" t="s">
        <x:v>50573</x:v>
      </x:c>
      <x:c r="C13323" s="0" t="s">
        <x:v>42840</x:v>
      </x:c>
      <x:c r="E13323" s="0" t="s">
        <x:v>50574</x:v>
      </x:c>
      <x:c r="F13323" s="0" t="s">
        <x:v>45</x:v>
      </x:c>
      <x:c r="G13323" s="0" t="s">
        <x:v>19</x:v>
      </x:c>
      <x:c r="H13323" s="0" t="s">
        <x:v>20</x:v>
      </x:c>
      <x:c r="I13323" s="0" t="s">
        <x:v>21</x:v>
      </x:c>
      <x:c r="K13323" s="0">
        <x:f>hyperlink("https://icd.who.int/dev11/l-ichi/en#/http%3A%2F%2Fid.who.int%2Ficd%2Fentity%2F720361080","browser")</x:f>
      </x:c>
      <x:c r="L13323" s="0">
        <x:f>hyperlink("https://icat2.azurewebsites.net/icat/?ontology=ICD&amp;tab=ClassesTab&amp;id=http%3A%2F%2Fwho.int%2Ficd%23SpecificAnatomicLocation_1555","iCat")</x:f>
      </x:c>
      <x:c r="M13323" s="0" t="s">
        <x:v>20</x:v>
      </x:c>
      <x:c r="N13323" s="0" t="s">
        <x:v>8549</x:v>
      </x:c>
    </x:row>
    <x:row r="13324" spans="1:16">
      <x:c r="A13324" s="0" t="s">
        <x:v>50575</x:v>
      </x:c>
      <x:c r="B13324" s="0" t="s">
        <x:v>50576</x:v>
      </x:c>
      <x:c r="C13324" s="0" t="s">
        <x:v>42840</x:v>
      </x:c>
      <x:c r="E13324" s="0" t="s">
        <x:v>50577</x:v>
      </x:c>
      <x:c r="F13324" s="0" t="s">
        <x:v>45</x:v>
      </x:c>
      <x:c r="G13324" s="0" t="s">
        <x:v>30</x:v>
      </x:c>
      <x:c r="H13324" s="0" t="s">
        <x:v>20</x:v>
      </x:c>
      <x:c r="I13324" s="0" t="s">
        <x:v>21</x:v>
      </x:c>
      <x:c r="K13324" s="0">
        <x:f>hyperlink("https://icd.who.int/dev11/l-ichi/en#/http%3A%2F%2Fid.who.int%2Ficd%2Fentity%2F140558313","browser")</x:f>
      </x:c>
      <x:c r="L13324" s="0">
        <x:f>hyperlink("https://icat2.azurewebsites.net/icat/?ontology=ICD&amp;tab=ClassesTab&amp;id=http%3A%2F%2Fwho.int%2Ficd%23SpecificAnatomicLocation_1510","iCat")</x:f>
      </x:c>
      <x:c r="M13324" s="0" t="s">
        <x:v>21</x:v>
      </x:c>
      <x:c r="N13324" s="0" t="s">
        <x:v>46</x:v>
      </x:c>
    </x:row>
    <x:row r="13325" spans="1:16">
      <x:c r="A13325" s="0" t="s">
        <x:v>50578</x:v>
      </x:c>
      <x:c r="B13325" s="0" t="s">
        <x:v>50579</x:v>
      </x:c>
      <x:c r="C13325" s="0" t="s">
        <x:v>42840</x:v>
      </x:c>
      <x:c r="E13325" s="0" t="s">
        <x:v>50580</x:v>
      </x:c>
      <x:c r="F13325" s="0" t="s">
        <x:v>45</x:v>
      </x:c>
      <x:c r="G13325" s="0" t="s">
        <x:v>30</x:v>
      </x:c>
      <x:c r="H13325" s="0" t="s">
        <x:v>20</x:v>
      </x:c>
      <x:c r="I13325" s="0" t="s">
        <x:v>21</x:v>
      </x:c>
      <x:c r="K13325" s="0">
        <x:f>hyperlink("https://icd.who.int/dev11/l-ichi/en#/http%3A%2F%2Fid.who.int%2Ficd%2Fentity%2F823661225","browser")</x:f>
      </x:c>
      <x:c r="L13325" s="0">
        <x:f>hyperlink("https://icat2.azurewebsites.net/icat/?ontology=ICD&amp;tab=ClassesTab&amp;id=http%3A%2F%2Fwho.int%2Ficd%23SpecificAnatomicLocation_1513","iCat")</x:f>
      </x:c>
      <x:c r="M13325" s="0" t="s">
        <x:v>21</x:v>
      </x:c>
      <x:c r="N13325" s="0" t="s">
        <x:v>46</x:v>
      </x:c>
    </x:row>
    <x:row r="13326" spans="1:16">
      <x:c r="A13326" s="0" t="s">
        <x:v>50581</x:v>
      </x:c>
      <x:c r="B13326" s="0" t="s">
        <x:v>50582</x:v>
      </x:c>
      <x:c r="C13326" s="0" t="s">
        <x:v>42840</x:v>
      </x:c>
      <x:c r="E13326" s="0" t="s">
        <x:v>50583</x:v>
      </x:c>
      <x:c r="F13326" s="0" t="s">
        <x:v>45</x:v>
      </x:c>
      <x:c r="G13326" s="0" t="s">
        <x:v>30</x:v>
      </x:c>
      <x:c r="H13326" s="0" t="s">
        <x:v>20</x:v>
      </x:c>
      <x:c r="I13326" s="0" t="s">
        <x:v>21</x:v>
      </x:c>
      <x:c r="K13326" s="0">
        <x:f>hyperlink("https://icd.who.int/dev11/l-ichi/en#/http%3A%2F%2Fid.who.int%2Ficd%2Fentity%2F2056381801","browser")</x:f>
      </x:c>
      <x:c r="L13326" s="0">
        <x:f>hyperlink("https://icat2.azurewebsites.net/icat/?ontology=ICD&amp;tab=ClassesTab&amp;id=http%3A%2F%2Fwho.int%2Ficd%23SpecificAnatomicLocation_1516","iCat")</x:f>
      </x:c>
      <x:c r="M13326" s="0" t="s">
        <x:v>21</x:v>
      </x:c>
      <x:c r="N13326" s="0" t="s">
        <x:v>46</x:v>
      </x:c>
    </x:row>
    <x:row r="13327" spans="1:16">
      <x:c r="A13327" s="0" t="s">
        <x:v>50584</x:v>
      </x:c>
      <x:c r="B13327" s="0" t="s">
        <x:v>50585</x:v>
      </x:c>
      <x:c r="C13327" s="0" t="s">
        <x:v>42840</x:v>
      </x:c>
      <x:c r="E13327" s="0" t="s">
        <x:v>50586</x:v>
      </x:c>
      <x:c r="F13327" s="0" t="s">
        <x:v>45</x:v>
      </x:c>
      <x:c r="G13327" s="0" t="s">
        <x:v>30</x:v>
      </x:c>
      <x:c r="H13327" s="0" t="s">
        <x:v>20</x:v>
      </x:c>
      <x:c r="I13327" s="0" t="s">
        <x:v>21</x:v>
      </x:c>
      <x:c r="K13327" s="0">
        <x:f>hyperlink("https://icd.who.int/dev11/l-ichi/en#/http%3A%2F%2Fid.who.int%2Ficd%2Fentity%2F1840873897","browser")</x:f>
      </x:c>
      <x:c r="L13327" s="0">
        <x:f>hyperlink("https://icat2.azurewebsites.net/icat/?ontology=ICD&amp;tab=ClassesTab&amp;id=http%3A%2F%2Fwho.int%2Ficd%23SpecificAnatomicLocation_1517","iCat")</x:f>
      </x:c>
      <x:c r="M13327" s="0" t="s">
        <x:v>21</x:v>
      </x:c>
      <x:c r="N13327" s="0" t="s">
        <x:v>46</x:v>
      </x:c>
    </x:row>
    <x:row r="13328" spans="1:16">
      <x:c r="A13328" s="0" t="s">
        <x:v>50587</x:v>
      </x:c>
      <x:c r="B13328" s="0" t="s">
        <x:v>50588</x:v>
      </x:c>
      <x:c r="C13328" s="0" t="s">
        <x:v>42840</x:v>
      </x:c>
      <x:c r="E13328" s="0" t="s">
        <x:v>50589</x:v>
      </x:c>
      <x:c r="F13328" s="0" t="s">
        <x:v>45</x:v>
      </x:c>
      <x:c r="G13328" s="0" t="s">
        <x:v>30</x:v>
      </x:c>
      <x:c r="H13328" s="0" t="s">
        <x:v>20</x:v>
      </x:c>
      <x:c r="I13328" s="0" t="s">
        <x:v>21</x:v>
      </x:c>
      <x:c r="K13328" s="0">
        <x:f>hyperlink("https://icd.who.int/dev11/l-ichi/en#/http%3A%2F%2Fid.who.int%2Ficd%2Fentity%2F1323066903","browser")</x:f>
      </x:c>
      <x:c r="L13328" s="0">
        <x:f>hyperlink("https://icat2.azurewebsites.net/icat/?ontology=ICD&amp;tab=ClassesTab&amp;id=http%3A%2F%2Fwho.int%2Ficd%23SpecificAnatomicLocation_1518","iCat")</x:f>
      </x:c>
      <x:c r="M13328" s="0" t="s">
        <x:v>21</x:v>
      </x:c>
      <x:c r="N13328" s="0" t="s">
        <x:v>46</x:v>
      </x:c>
    </x:row>
    <x:row r="13329" spans="1:16">
      <x:c r="A13329" s="0" t="s">
        <x:v>50590</x:v>
      </x:c>
      <x:c r="B13329" s="0" t="s">
        <x:v>50591</x:v>
      </x:c>
      <x:c r="C13329" s="0" t="s">
        <x:v>42840</x:v>
      </x:c>
      <x:c r="E13329" s="0" t="s">
        <x:v>50592</x:v>
      </x:c>
      <x:c r="F13329" s="0" t="s">
        <x:v>45</x:v>
      </x:c>
      <x:c r="G13329" s="0" t="s">
        <x:v>30</x:v>
      </x:c>
      <x:c r="H13329" s="0" t="s">
        <x:v>20</x:v>
      </x:c>
      <x:c r="I13329" s="0" t="s">
        <x:v>21</x:v>
      </x:c>
      <x:c r="K13329" s="0">
        <x:f>hyperlink("https://icd.who.int/dev11/l-ichi/en#/http%3A%2F%2Fid.who.int%2Ficd%2Fentity%2F1509163735","browser")</x:f>
      </x:c>
      <x:c r="L13329" s="0">
        <x:f>hyperlink("https://icat2.azurewebsites.net/icat/?ontology=ICD&amp;tab=ClassesTab&amp;id=http%3A%2F%2Fwho.int%2Ficd%23SpecificAnatomicLocation_1519","iCat")</x:f>
      </x:c>
      <x:c r="M13329" s="0" t="s">
        <x:v>21</x:v>
      </x:c>
      <x:c r="N13329" s="0" t="s">
        <x:v>46</x:v>
      </x:c>
    </x:row>
    <x:row r="13330" spans="1:16">
      <x:c r="A13330" s="0" t="s">
        <x:v>50593</x:v>
      </x:c>
      <x:c r="B13330" s="0" t="s">
        <x:v>50594</x:v>
      </x:c>
      <x:c r="C13330" s="0" t="s">
        <x:v>42840</x:v>
      </x:c>
      <x:c r="E13330" s="0" t="s">
        <x:v>50595</x:v>
      </x:c>
      <x:c r="F13330" s="0" t="s">
        <x:v>45</x:v>
      </x:c>
      <x:c r="G13330" s="0" t="s">
        <x:v>30</x:v>
      </x:c>
      <x:c r="H13330" s="0" t="s">
        <x:v>20</x:v>
      </x:c>
      <x:c r="I13330" s="0" t="s">
        <x:v>21</x:v>
      </x:c>
      <x:c r="K13330" s="0">
        <x:f>hyperlink("https://icd.who.int/dev11/l-ichi/en#/http%3A%2F%2Fid.who.int%2Ficd%2Fentity%2F2117001025","browser")</x:f>
      </x:c>
      <x:c r="L13330" s="0">
        <x:f>hyperlink("https://icat2.azurewebsites.net/icat/?ontology=ICD&amp;tab=ClassesTab&amp;id=http%3A%2F%2Fwho.int%2Ficd%23SpecificAnatomicLocation_1522","iCat")</x:f>
      </x:c>
      <x:c r="M13330" s="0" t="s">
        <x:v>20</x:v>
      </x:c>
      <x:c r="N13330" s="0" t="s">
        <x:v>30</x:v>
      </x:c>
    </x:row>
    <x:row r="13331" spans="1:16">
      <x:c r="A13331" s="0" t="s">
        <x:v>50596</x:v>
      </x:c>
      <x:c r="B13331" s="0" t="s">
        <x:v>50597</x:v>
      </x:c>
      <x:c r="C13331" s="0" t="s">
        <x:v>42840</x:v>
      </x:c>
      <x:c r="E13331" s="0" t="s">
        <x:v>50598</x:v>
      </x:c>
      <x:c r="F13331" s="0" t="s">
        <x:v>45</x:v>
      </x:c>
      <x:c r="G13331" s="0" t="s">
        <x:v>35</x:v>
      </x:c>
      <x:c r="H13331" s="0" t="s">
        <x:v>20</x:v>
      </x:c>
      <x:c r="I13331" s="0" t="s">
        <x:v>21</x:v>
      </x:c>
      <x:c r="K13331" s="0">
        <x:f>hyperlink("https://icd.who.int/dev11/l-ichi/en#/http%3A%2F%2Fid.who.int%2Ficd%2Fentity%2F1350440641","browser")</x:f>
      </x:c>
      <x:c r="L13331" s="0">
        <x:f>hyperlink("https://icat2.azurewebsites.net/icat/?ontology=ICD&amp;tab=ClassesTab&amp;id=http%3A%2F%2Fwho.int%2Ficd%23SpecificAnatomicLocation_1520","iCat")</x:f>
      </x:c>
      <x:c r="M13331" s="0" t="s">
        <x:v>21</x:v>
      </x:c>
      <x:c r="N13331" s="0" t="s">
        <x:v>46</x:v>
      </x:c>
    </x:row>
    <x:row r="13332" spans="1:16">
      <x:c r="A13332" s="0" t="s">
        <x:v>50599</x:v>
      </x:c>
      <x:c r="B13332" s="0" t="s">
        <x:v>50600</x:v>
      </x:c>
      <x:c r="C13332" s="0" t="s">
        <x:v>42840</x:v>
      </x:c>
      <x:c r="E13332" s="0" t="s">
        <x:v>50601</x:v>
      </x:c>
      <x:c r="F13332" s="0" t="s">
        <x:v>45</x:v>
      </x:c>
      <x:c r="G13332" s="0" t="s">
        <x:v>35</x:v>
      </x:c>
      <x:c r="H13332" s="0" t="s">
        <x:v>20</x:v>
      </x:c>
      <x:c r="I13332" s="0" t="s">
        <x:v>21</x:v>
      </x:c>
      <x:c r="K13332" s="0">
        <x:f>hyperlink("https://icd.who.int/dev11/l-ichi/en#/http%3A%2F%2Fid.who.int%2Ficd%2Fentity%2F1196847617","browser")</x:f>
      </x:c>
      <x:c r="L13332" s="0">
        <x:f>hyperlink("https://icat2.azurewebsites.net/icat/?ontology=ICD&amp;tab=ClassesTab&amp;id=http%3A%2F%2Fwho.int%2Ficd%23SpecificAnatomicLocation_1521","iCat")</x:f>
      </x:c>
      <x:c r="M13332" s="0" t="s">
        <x:v>21</x:v>
      </x:c>
      <x:c r="N13332" s="0" t="s">
        <x:v>46</x:v>
      </x:c>
    </x:row>
    <x:row r="13333" spans="1:16">
      <x:c r="A13333" s="0" t="s">
        <x:v>50602</x:v>
      </x:c>
      <x:c r="B13333" s="0" t="s">
        <x:v>50603</x:v>
      </x:c>
      <x:c r="C13333" s="0" t="s">
        <x:v>42840</x:v>
      </x:c>
      <x:c r="E13333" s="0" t="s">
        <x:v>50604</x:v>
      </x:c>
      <x:c r="F13333" s="0" t="s">
        <x:v>45</x:v>
      </x:c>
      <x:c r="G13333" s="0" t="s">
        <x:v>30</x:v>
      </x:c>
      <x:c r="H13333" s="0" t="s">
        <x:v>20</x:v>
      </x:c>
      <x:c r="I13333" s="0" t="s">
        <x:v>21</x:v>
      </x:c>
      <x:c r="K13333" s="0">
        <x:f>hyperlink("https://icd.who.int/dev11/l-ichi/en#/http%3A%2F%2Fid.who.int%2Ficd%2Fentity%2F1762048897","browser")</x:f>
      </x:c>
      <x:c r="L13333" s="0">
        <x:f>hyperlink("https://icat2.azurewebsites.net/icat/?ontology=ICD&amp;tab=ClassesTab&amp;id=http%3A%2F%2Fwho.int%2Ficd%23SpecificAnatomicLocation_1523","iCat")</x:f>
      </x:c>
      <x:c r="M13333" s="0" t="s">
        <x:v>21</x:v>
      </x:c>
      <x:c r="N13333" s="0" t="s">
        <x:v>46</x:v>
      </x:c>
    </x:row>
    <x:row r="13334" spans="1:16">
      <x:c r="A13334" s="0" t="s">
        <x:v>50605</x:v>
      </x:c>
      <x:c r="B13334" s="0" t="s">
        <x:v>50606</x:v>
      </x:c>
      <x:c r="C13334" s="0" t="s">
        <x:v>42840</x:v>
      </x:c>
      <x:c r="E13334" s="0" t="s">
        <x:v>50607</x:v>
      </x:c>
      <x:c r="F13334" s="0" t="s">
        <x:v>45</x:v>
      </x:c>
      <x:c r="G13334" s="0" t="s">
        <x:v>30</x:v>
      </x:c>
      <x:c r="H13334" s="0" t="s">
        <x:v>20</x:v>
      </x:c>
      <x:c r="I13334" s="0" t="s">
        <x:v>21</x:v>
      </x:c>
      <x:c r="K13334" s="0">
        <x:f>hyperlink("https://icd.who.int/dev11/l-ichi/en#/http%3A%2F%2Fid.who.int%2Ficd%2Fentity%2F215975361","browser")</x:f>
      </x:c>
      <x:c r="L13334" s="0">
        <x:f>hyperlink("https://icat2.azurewebsites.net/icat/?ontology=ICD&amp;tab=ClassesTab&amp;id=http%3A%2F%2Fwho.int%2Ficd%23SpecificAnatomicLocation_1524","iCat")</x:f>
      </x:c>
      <x:c r="M13334" s="0" t="s">
        <x:v>21</x:v>
      </x:c>
      <x:c r="N13334" s="0" t="s">
        <x:v>46</x:v>
      </x:c>
    </x:row>
    <x:row r="13335" spans="1:16">
      <x:c r="A13335" s="0" t="s">
        <x:v>50608</x:v>
      </x:c>
      <x:c r="B13335" s="0" t="s">
        <x:v>50609</x:v>
      </x:c>
      <x:c r="C13335" s="0" t="s">
        <x:v>42840</x:v>
      </x:c>
      <x:c r="E13335" s="0" t="s">
        <x:v>50610</x:v>
      </x:c>
      <x:c r="F13335" s="0" t="s">
        <x:v>45</x:v>
      </x:c>
      <x:c r="G13335" s="0" t="s">
        <x:v>30</x:v>
      </x:c>
      <x:c r="H13335" s="0" t="s">
        <x:v>20</x:v>
      </x:c>
      <x:c r="I13335" s="0" t="s">
        <x:v>21</x:v>
      </x:c>
      <x:c r="K13335" s="0">
        <x:f>hyperlink("https://icd.who.int/dev11/l-ichi/en#/http%3A%2F%2Fid.who.int%2Ficd%2Fentity%2F469229825","browser")</x:f>
      </x:c>
      <x:c r="L13335" s="0">
        <x:f>hyperlink("https://icat2.azurewebsites.net/icat/?ontology=ICD&amp;tab=ClassesTab&amp;id=http%3A%2F%2Fwho.int%2Ficd%23SpecificAnatomicLocation_1525","iCat")</x:f>
      </x:c>
      <x:c r="M13335" s="0" t="s">
        <x:v>21</x:v>
      </x:c>
      <x:c r="N13335" s="0" t="s">
        <x:v>46</x:v>
      </x:c>
    </x:row>
    <x:row r="13336" spans="1:16">
      <x:c r="A13336" s="0" t="s">
        <x:v>50611</x:v>
      </x:c>
      <x:c r="B13336" s="0" t="s">
        <x:v>50612</x:v>
      </x:c>
      <x:c r="C13336" s="0" t="s">
        <x:v>42840</x:v>
      </x:c>
      <x:c r="E13336" s="0" t="s">
        <x:v>50613</x:v>
      </x:c>
      <x:c r="F13336" s="0" t="s">
        <x:v>45</x:v>
      </x:c>
      <x:c r="G13336" s="0" t="s">
        <x:v>30</x:v>
      </x:c>
      <x:c r="H13336" s="0" t="s">
        <x:v>20</x:v>
      </x:c>
      <x:c r="I13336" s="0" t="s">
        <x:v>21</x:v>
      </x:c>
      <x:c r="K13336" s="0">
        <x:f>hyperlink("https://icd.who.int/dev11/l-ichi/en#/http%3A%2F%2Fid.who.int%2Ficd%2Fentity%2F965535960","browser")</x:f>
      </x:c>
      <x:c r="L13336" s="0">
        <x:f>hyperlink("https://icat2.azurewebsites.net/icat/?ontology=ICD&amp;tab=ClassesTab&amp;id=http%3A%2F%2Fwho.int%2Ficd%23SpecificAnatomicLocation_1531","iCat")</x:f>
      </x:c>
      <x:c r="M13336" s="0" t="s">
        <x:v>21</x:v>
      </x:c>
      <x:c r="N13336" s="0" t="s">
        <x:v>46</x:v>
      </x:c>
    </x:row>
    <x:row r="13337" spans="1:16">
      <x:c r="A13337" s="0" t="s">
        <x:v>50614</x:v>
      </x:c>
      <x:c r="B13337" s="0" t="s">
        <x:v>50615</x:v>
      </x:c>
      <x:c r="C13337" s="0" t="s">
        <x:v>42840</x:v>
      </x:c>
      <x:c r="E13337" s="0" t="s">
        <x:v>50616</x:v>
      </x:c>
      <x:c r="F13337" s="0" t="s">
        <x:v>45</x:v>
      </x:c>
      <x:c r="G13337" s="0" t="s">
        <x:v>30</x:v>
      </x:c>
      <x:c r="H13337" s="0" t="s">
        <x:v>20</x:v>
      </x:c>
      <x:c r="I13337" s="0" t="s">
        <x:v>21</x:v>
      </x:c>
      <x:c r="K13337" s="0">
        <x:f>hyperlink("https://icd.who.int/dev11/l-ichi/en#/http%3A%2F%2Fid.who.int%2Ficd%2Fentity%2F16008600","browser")</x:f>
      </x:c>
      <x:c r="L13337" s="0">
        <x:f>hyperlink("https://icat2.azurewebsites.net/icat/?ontology=ICD&amp;tab=ClassesTab&amp;id=http%3A%2F%2Fwho.int%2Ficd%23SpecificAnatomicLocation_1532","iCat")</x:f>
      </x:c>
      <x:c r="M13337" s="0" t="s">
        <x:v>21</x:v>
      </x:c>
      <x:c r="N13337" s="0" t="s">
        <x:v>46</x:v>
      </x:c>
    </x:row>
    <x:row r="13338" spans="1:16">
      <x:c r="A13338" s="0" t="s">
        <x:v>50617</x:v>
      </x:c>
      <x:c r="B13338" s="0" t="s">
        <x:v>50618</x:v>
      </x:c>
      <x:c r="C13338" s="0" t="s">
        <x:v>42840</x:v>
      </x:c>
      <x:c r="E13338" s="0" t="s">
        <x:v>50619</x:v>
      </x:c>
      <x:c r="F13338" s="0" t="s">
        <x:v>45</x:v>
      </x:c>
      <x:c r="G13338" s="0" t="s">
        <x:v>30</x:v>
      </x:c>
      <x:c r="H13338" s="0" t="s">
        <x:v>20</x:v>
      </x:c>
      <x:c r="I13338" s="0" t="s">
        <x:v>21</x:v>
      </x:c>
      <x:c r="K13338" s="0">
        <x:f>hyperlink("https://icd.who.int/dev11/l-ichi/en#/http%3A%2F%2Fid.who.int%2Ficd%2Fentity%2F400302424","browser")</x:f>
      </x:c>
      <x:c r="L13338" s="0">
        <x:f>hyperlink("https://icat2.azurewebsites.net/icat/?ontology=ICD&amp;tab=ClassesTab&amp;id=http%3A%2F%2Fwho.int%2Ficd%23SpecificAnatomicLocation_1533","iCat")</x:f>
      </x:c>
      <x:c r="M13338" s="0" t="s">
        <x:v>21</x:v>
      </x:c>
      <x:c r="N13338" s="0" t="s">
        <x:v>46</x:v>
      </x:c>
    </x:row>
    <x:row r="13339" spans="1:16">
      <x:c r="A13339" s="0" t="s">
        <x:v>50620</x:v>
      </x:c>
      <x:c r="B13339" s="0" t="s">
        <x:v>50621</x:v>
      </x:c>
      <x:c r="C13339" s="0" t="s">
        <x:v>42840</x:v>
      </x:c>
      <x:c r="E13339" s="0" t="s">
        <x:v>50622</x:v>
      </x:c>
      <x:c r="F13339" s="0" t="s">
        <x:v>45</x:v>
      </x:c>
      <x:c r="G13339" s="0" t="s">
        <x:v>30</x:v>
      </x:c>
      <x:c r="H13339" s="0" t="s">
        <x:v>20</x:v>
      </x:c>
      <x:c r="I13339" s="0" t="s">
        <x:v>21</x:v>
      </x:c>
      <x:c r="K13339" s="0">
        <x:f>hyperlink("https://icd.who.int/dev11/l-ichi/en#/http%3A%2F%2Fid.who.int%2Ficd%2Fentity%2F1912938264","browser")</x:f>
      </x:c>
      <x:c r="L13339" s="0">
        <x:f>hyperlink("https://icat2.azurewebsites.net/icat/?ontology=ICD&amp;tab=ClassesTab&amp;id=http%3A%2F%2Fwho.int%2Ficd%23SpecificAnatomicLocation_1534","iCat")</x:f>
      </x:c>
      <x:c r="M13339" s="0" t="s">
        <x:v>21</x:v>
      </x:c>
      <x:c r="N13339" s="0" t="s">
        <x:v>46</x:v>
      </x:c>
    </x:row>
    <x:row r="13340" spans="1:16">
      <x:c r="A13340" s="0" t="s">
        <x:v>50623</x:v>
      </x:c>
      <x:c r="B13340" s="0" t="s">
        <x:v>50624</x:v>
      </x:c>
      <x:c r="C13340" s="0" t="s">
        <x:v>42840</x:v>
      </x:c>
      <x:c r="E13340" s="0" t="s">
        <x:v>50625</x:v>
      </x:c>
      <x:c r="F13340" s="0" t="s">
        <x:v>45</x:v>
      </x:c>
      <x:c r="G13340" s="0" t="s">
        <x:v>30</x:v>
      </x:c>
      <x:c r="H13340" s="0" t="s">
        <x:v>20</x:v>
      </x:c>
      <x:c r="I13340" s="0" t="s">
        <x:v>21</x:v>
      </x:c>
      <x:c r="K13340" s="0">
        <x:f>hyperlink("https://icd.who.int/dev11/l-ichi/en#/http%3A%2F%2Fid.who.int%2Ficd%2Fentity%2F1697479640","browser")</x:f>
      </x:c>
      <x:c r="L13340" s="0">
        <x:f>hyperlink("https://icat2.azurewebsites.net/icat/?ontology=ICD&amp;tab=ClassesTab&amp;id=http%3A%2F%2Fwho.int%2Ficd%23SpecificAnatomicLocation_1535","iCat")</x:f>
      </x:c>
      <x:c r="M13340" s="0" t="s">
        <x:v>21</x:v>
      </x:c>
      <x:c r="N13340" s="0" t="s">
        <x:v>46</x:v>
      </x:c>
    </x:row>
    <x:row r="13341" spans="1:16">
      <x:c r="A13341" s="0" t="s">
        <x:v>50626</x:v>
      </x:c>
      <x:c r="B13341" s="0" t="s">
        <x:v>50627</x:v>
      </x:c>
      <x:c r="C13341" s="0" t="s">
        <x:v>42840</x:v>
      </x:c>
      <x:c r="E13341" s="0" t="s">
        <x:v>50628</x:v>
      </x:c>
      <x:c r="F13341" s="0" t="s">
        <x:v>45</x:v>
      </x:c>
      <x:c r="G13341" s="0" t="s">
        <x:v>30</x:v>
      </x:c>
      <x:c r="H13341" s="0" t="s">
        <x:v>20</x:v>
      </x:c>
      <x:c r="I13341" s="0" t="s">
        <x:v>21</x:v>
      </x:c>
      <x:c r="K13341" s="0">
        <x:f>hyperlink("https://icd.who.int/dev11/l-ichi/en#/http%3A%2F%2Fid.who.int%2Ficd%2Fentity%2F1549129368","browser")</x:f>
      </x:c>
      <x:c r="L13341" s="0">
        <x:f>hyperlink("https://icat2.azurewebsites.net/icat/?ontology=ICD&amp;tab=ClassesTab&amp;id=http%3A%2F%2Fwho.int%2Ficd%23SpecificAnatomicLocation_1536","iCat")</x:f>
      </x:c>
      <x:c r="M13341" s="0" t="s">
        <x:v>21</x:v>
      </x:c>
      <x:c r="N13341" s="0" t="s">
        <x:v>46</x:v>
      </x:c>
    </x:row>
    <x:row r="13342" spans="1:16">
      <x:c r="A13342" s="0" t="s">
        <x:v>50629</x:v>
      </x:c>
      <x:c r="B13342" s="0" t="s">
        <x:v>50630</x:v>
      </x:c>
      <x:c r="C13342" s="0" t="s">
        <x:v>42840</x:v>
      </x:c>
      <x:c r="E13342" s="0" t="s">
        <x:v>50631</x:v>
      </x:c>
      <x:c r="F13342" s="0" t="s">
        <x:v>45</x:v>
      </x:c>
      <x:c r="G13342" s="0" t="s">
        <x:v>30</x:v>
      </x:c>
      <x:c r="H13342" s="0" t="s">
        <x:v>20</x:v>
      </x:c>
      <x:c r="I13342" s="0" t="s">
        <x:v>21</x:v>
      </x:c>
      <x:c r="K13342" s="0">
        <x:f>hyperlink("https://icd.who.int/dev11/l-ichi/en#/http%3A%2F%2Fid.who.int%2Ficd%2Fentity%2F1266528856","browser")</x:f>
      </x:c>
      <x:c r="L13342" s="0">
        <x:f>hyperlink("https://icat2.azurewebsites.net/icat/?ontology=ICD&amp;tab=ClassesTab&amp;id=http%3A%2F%2Fwho.int%2Ficd%23SpecificAnatomicLocation_1537","iCat")</x:f>
      </x:c>
      <x:c r="M13342" s="0" t="s">
        <x:v>21</x:v>
      </x:c>
      <x:c r="N13342" s="0" t="s">
        <x:v>46</x:v>
      </x:c>
    </x:row>
    <x:row r="13343" spans="1:16">
      <x:c r="A13343" s="0" t="s">
        <x:v>50632</x:v>
      </x:c>
      <x:c r="B13343" s="0" t="s">
        <x:v>50633</x:v>
      </x:c>
      <x:c r="C13343" s="0" t="s">
        <x:v>42840</x:v>
      </x:c>
      <x:c r="E13343" s="0" t="s">
        <x:v>50634</x:v>
      </x:c>
      <x:c r="F13343" s="0" t="s">
        <x:v>45</x:v>
      </x:c>
      <x:c r="G13343" s="0" t="s">
        <x:v>30</x:v>
      </x:c>
      <x:c r="H13343" s="0" t="s">
        <x:v>20</x:v>
      </x:c>
      <x:c r="I13343" s="0" t="s">
        <x:v>21</x:v>
      </x:c>
      <x:c r="K13343" s="0">
        <x:f>hyperlink("https://icd.who.int/dev11/l-ichi/en#/http%3A%2F%2Fid.who.int%2Ficd%2Fentity%2F1746425320","browser")</x:f>
      </x:c>
      <x:c r="L13343" s="0">
        <x:f>hyperlink("https://icat2.azurewebsites.net/icat/?ontology=ICD&amp;tab=ClassesTab&amp;id=http%3A%2F%2Fwho.int%2Ficd%23SpecificAnatomicLocation_1538","iCat")</x:f>
      </x:c>
      <x:c r="M13343" s="0" t="s">
        <x:v>21</x:v>
      </x:c>
      <x:c r="N13343" s="0" t="s">
        <x:v>46</x:v>
      </x:c>
    </x:row>
    <x:row r="13344" spans="1:16">
      <x:c r="A13344" s="0" t="s">
        <x:v>50635</x:v>
      </x:c>
      <x:c r="B13344" s="0" t="s">
        <x:v>50636</x:v>
      </x:c>
      <x:c r="C13344" s="0" t="s">
        <x:v>42840</x:v>
      </x:c>
      <x:c r="E13344" s="0" t="s">
        <x:v>50637</x:v>
      </x:c>
      <x:c r="F13344" s="0" t="s">
        <x:v>45</x:v>
      </x:c>
      <x:c r="G13344" s="0" t="s">
        <x:v>30</x:v>
      </x:c>
      <x:c r="H13344" s="0" t="s">
        <x:v>20</x:v>
      </x:c>
      <x:c r="I13344" s="0" t="s">
        <x:v>21</x:v>
      </x:c>
      <x:c r="K13344" s="0">
        <x:f>hyperlink("https://icd.who.int/dev11/l-ichi/en#/http%3A%2F%2Fid.who.int%2Ficd%2Fentity%2F2133864744","browser")</x:f>
      </x:c>
      <x:c r="L13344" s="0">
        <x:f>hyperlink("https://icat2.azurewebsites.net/icat/?ontology=ICD&amp;tab=ClassesTab&amp;id=http%3A%2F%2Fwho.int%2Ficd%23SpecificAnatomicLocation_1539","iCat")</x:f>
      </x:c>
      <x:c r="M13344" s="0" t="s">
        <x:v>21</x:v>
      </x:c>
      <x:c r="N13344" s="0" t="s">
        <x:v>46</x:v>
      </x:c>
    </x:row>
    <x:row r="13345" spans="1:16">
      <x:c r="A13345" s="0" t="s">
        <x:v>50638</x:v>
      </x:c>
      <x:c r="B13345" s="0" t="s">
        <x:v>50639</x:v>
      </x:c>
      <x:c r="C13345" s="0" t="s">
        <x:v>42840</x:v>
      </x:c>
      <x:c r="E13345" s="0" t="s">
        <x:v>50640</x:v>
      </x:c>
      <x:c r="F13345" s="0" t="s">
        <x:v>45</x:v>
      </x:c>
      <x:c r="G13345" s="0" t="s">
        <x:v>30</x:v>
      </x:c>
      <x:c r="H13345" s="0" t="s">
        <x:v>20</x:v>
      </x:c>
      <x:c r="I13345" s="0" t="s">
        <x:v>21</x:v>
      </x:c>
      <x:c r="K13345" s="0">
        <x:f>hyperlink("https://icd.who.int/dev11/l-ichi/en#/http%3A%2F%2Fid.who.int%2Ficd%2Fentity%2F532462447","browser")</x:f>
      </x:c>
      <x:c r="L13345" s="0">
        <x:f>hyperlink("https://icat2.azurewebsites.net/icat/?ontology=ICD&amp;tab=ClassesTab&amp;id=http%3A%2F%2Fwho.int%2Ficd%23SpecificAnatomicLocation_1540","iCat")</x:f>
      </x:c>
      <x:c r="M13345" s="0" t="s">
        <x:v>21</x:v>
      </x:c>
      <x:c r="N13345" s="0" t="s">
        <x:v>46</x:v>
      </x:c>
    </x:row>
    <x:row r="13346" spans="1:16">
      <x:c r="A13346" s="0" t="s">
        <x:v>50641</x:v>
      </x:c>
      <x:c r="B13346" s="0" t="s">
        <x:v>50642</x:v>
      </x:c>
      <x:c r="C13346" s="0" t="s">
        <x:v>42840</x:v>
      </x:c>
      <x:c r="E13346" s="0" t="s">
        <x:v>50643</x:v>
      </x:c>
      <x:c r="F13346" s="0" t="s">
        <x:v>45</x:v>
      </x:c>
      <x:c r="G13346" s="0" t="s">
        <x:v>30</x:v>
      </x:c>
      <x:c r="H13346" s="0" t="s">
        <x:v>20</x:v>
      </x:c>
      <x:c r="I13346" s="0" t="s">
        <x:v>21</x:v>
      </x:c>
      <x:c r="K13346" s="0">
        <x:f>hyperlink("https://icd.who.int/dev11/l-ichi/en#/http%3A%2F%2Fid.who.int%2Ficd%2Fentity%2F143974319","browser")</x:f>
      </x:c>
      <x:c r="L13346" s="0">
        <x:f>hyperlink("https://icat2.azurewebsites.net/icat/?ontology=ICD&amp;tab=ClassesTab&amp;id=http%3A%2F%2Fwho.int%2Ficd%23SpecificAnatomicLocation_1541","iCat")</x:f>
      </x:c>
      <x:c r="M13346" s="0" t="s">
        <x:v>21</x:v>
      </x:c>
      <x:c r="N13346" s="0" t="s">
        <x:v>46</x:v>
      </x:c>
    </x:row>
    <x:row r="13347" spans="1:16">
      <x:c r="A13347" s="0" t="s">
        <x:v>50644</x:v>
      </x:c>
      <x:c r="B13347" s="0" t="s">
        <x:v>50645</x:v>
      </x:c>
      <x:c r="C13347" s="0" t="s">
        <x:v>42840</x:v>
      </x:c>
      <x:c r="E13347" s="0" t="s">
        <x:v>50646</x:v>
      </x:c>
      <x:c r="F13347" s="0" t="s">
        <x:v>45</x:v>
      </x:c>
      <x:c r="G13347" s="0" t="s">
        <x:v>30</x:v>
      </x:c>
      <x:c r="H13347" s="0" t="s">
        <x:v>20</x:v>
      </x:c>
      <x:c r="I13347" s="0" t="s">
        <x:v>21</x:v>
      </x:c>
      <x:c r="K13347" s="0">
        <x:f>hyperlink("https://icd.who.int/dev11/l-ichi/en#/http%3A%2F%2Fid.who.int%2Ficd%2Fentity%2F524868393","browser")</x:f>
      </x:c>
      <x:c r="L13347" s="0">
        <x:f>hyperlink("https://icat2.azurewebsites.net/icat/?ontology=ICD&amp;tab=ClassesTab&amp;id=http%3A%2F%2Fwho.int%2Ficd%23SpecificAnatomicLocation_1511","iCat")</x:f>
      </x:c>
      <x:c r="M13347" s="0" t="s">
        <x:v>21</x:v>
      </x:c>
      <x:c r="N13347" s="0" t="s">
        <x:v>46</x:v>
      </x:c>
    </x:row>
    <x:row r="13348" spans="1:16">
      <x:c r="A13348" s="0" t="s">
        <x:v>50647</x:v>
      </x:c>
      <x:c r="B13348" s="0" t="s">
        <x:v>50648</x:v>
      </x:c>
      <x:c r="C13348" s="0" t="s">
        <x:v>42840</x:v>
      </x:c>
      <x:c r="E13348" s="0" t="s">
        <x:v>50649</x:v>
      </x:c>
      <x:c r="F13348" s="0" t="s">
        <x:v>45</x:v>
      </x:c>
      <x:c r="G13348" s="0" t="s">
        <x:v>30</x:v>
      </x:c>
      <x:c r="H13348" s="0" t="s">
        <x:v>20</x:v>
      </x:c>
      <x:c r="I13348" s="0" t="s">
        <x:v>21</x:v>
      </x:c>
      <x:c r="K13348" s="0">
        <x:f>hyperlink("https://icd.who.int/dev11/l-ichi/en#/http%3A%2F%2Fid.who.int%2Ficd%2Fentity%2F837579503","browser")</x:f>
      </x:c>
      <x:c r="L13348" s="0">
        <x:f>hyperlink("https://icat2.azurewebsites.net/icat/?ontology=ICD&amp;tab=ClassesTab&amp;id=http%3A%2F%2Fwho.int%2Ficd%23SpecificAnatomicLocation_1542","iCat")</x:f>
      </x:c>
      <x:c r="M13348" s="0" t="s">
        <x:v>21</x:v>
      </x:c>
      <x:c r="N13348" s="0" t="s">
        <x:v>46</x:v>
      </x:c>
    </x:row>
    <x:row r="13349" spans="1:16">
      <x:c r="A13349" s="0" t="s">
        <x:v>50650</x:v>
      </x:c>
      <x:c r="B13349" s="0" t="s">
        <x:v>50651</x:v>
      </x:c>
      <x:c r="C13349" s="0" t="s">
        <x:v>42840</x:v>
      </x:c>
      <x:c r="E13349" s="0" t="s">
        <x:v>50652</x:v>
      </x:c>
      <x:c r="F13349" s="0" t="s">
        <x:v>45</x:v>
      </x:c>
      <x:c r="G13349" s="0" t="s">
        <x:v>30</x:v>
      </x:c>
      <x:c r="H13349" s="0" t="s">
        <x:v>20</x:v>
      </x:c>
      <x:c r="I13349" s="0" t="s">
        <x:v>21</x:v>
      </x:c>
      <x:c r="K13349" s="0">
        <x:f>hyperlink("https://icd.who.int/dev11/l-ichi/en#/http%3A%2F%2Fid.who.int%2Ficd%2Fentity%2F650384943","browser")</x:f>
      </x:c>
      <x:c r="L13349" s="0">
        <x:f>hyperlink("https://icat2.azurewebsites.net/icat/?ontology=ICD&amp;tab=ClassesTab&amp;id=http%3A%2F%2Fwho.int%2Ficd%23SpecificAnatomicLocation_1543","iCat")</x:f>
      </x:c>
      <x:c r="M13349" s="0" t="s">
        <x:v>21</x:v>
      </x:c>
      <x:c r="N13349" s="0" t="s">
        <x:v>46</x:v>
      </x:c>
    </x:row>
    <x:row r="13350" spans="1:16">
      <x:c r="A13350" s="0" t="s">
        <x:v>50653</x:v>
      </x:c>
      <x:c r="B13350" s="0" t="s">
        <x:v>50654</x:v>
      </x:c>
      <x:c r="C13350" s="0" t="s">
        <x:v>42840</x:v>
      </x:c>
      <x:c r="E13350" s="0" t="s">
        <x:v>50655</x:v>
      </x:c>
      <x:c r="F13350" s="0" t="s">
        <x:v>45</x:v>
      </x:c>
      <x:c r="G13350" s="0" t="s">
        <x:v>30</x:v>
      </x:c>
      <x:c r="H13350" s="0" t="s">
        <x:v>20</x:v>
      </x:c>
      <x:c r="I13350" s="0" t="s">
        <x:v>21</x:v>
      </x:c>
      <x:c r="K13350" s="0">
        <x:f>hyperlink("https://icd.who.int/dev11/l-ichi/en#/http%3A%2F%2Fid.who.int%2Ficd%2Fentity%2F1421946089","browser")</x:f>
      </x:c>
      <x:c r="L13350" s="0">
        <x:f>hyperlink("https://icat2.azurewebsites.net/icat/?ontology=ICD&amp;tab=ClassesTab&amp;id=http%3A%2F%2Fwho.int%2Ficd%23SpecificAnatomicLocation_1514","iCat")</x:f>
      </x:c>
      <x:c r="M13350" s="0" t="s">
        <x:v>21</x:v>
      </x:c>
      <x:c r="N13350" s="0" t="s">
        <x:v>46</x:v>
      </x:c>
    </x:row>
    <x:row r="13351" spans="1:16">
      <x:c r="A13351" s="0" t="s">
        <x:v>50656</x:v>
      </x:c>
      <x:c r="B13351" s="0" t="s">
        <x:v>50657</x:v>
      </x:c>
      <x:c r="C13351" s="0" t="s">
        <x:v>42840</x:v>
      </x:c>
      <x:c r="E13351" s="0" t="s">
        <x:v>50658</x:v>
      </x:c>
      <x:c r="F13351" s="0" t="s">
        <x:v>45</x:v>
      </x:c>
      <x:c r="G13351" s="0" t="s">
        <x:v>30</x:v>
      </x:c>
      <x:c r="H13351" s="0" t="s">
        <x:v>20</x:v>
      </x:c>
      <x:c r="I13351" s="0" t="s">
        <x:v>21</x:v>
      </x:c>
      <x:c r="K13351" s="0">
        <x:f>hyperlink("https://icd.who.int/dev11/l-ichi/en#/http%3A%2F%2Fid.who.int%2Ficd%2Fentity%2F1125984367","browser")</x:f>
      </x:c>
      <x:c r="L13351" s="0">
        <x:f>hyperlink("https://icat2.azurewebsites.net/icat/?ontology=ICD&amp;tab=ClassesTab&amp;id=http%3A%2F%2Fwho.int%2Ficd%23SpecificAnatomicLocation_1544","iCat")</x:f>
      </x:c>
      <x:c r="M13351" s="0" t="s">
        <x:v>21</x:v>
      </x:c>
      <x:c r="N13351" s="0" t="s">
        <x:v>46</x:v>
      </x:c>
    </x:row>
    <x:row r="13352" spans="1:16">
      <x:c r="A13352" s="0" t="s">
        <x:v>50659</x:v>
      </x:c>
      <x:c r="B13352" s="0" t="s">
        <x:v>50660</x:v>
      </x:c>
      <x:c r="C13352" s="0" t="s">
        <x:v>42840</x:v>
      </x:c>
      <x:c r="E13352" s="0" t="s">
        <x:v>50661</x:v>
      </x:c>
      <x:c r="F13352" s="0" t="s">
        <x:v>45</x:v>
      </x:c>
      <x:c r="G13352" s="0" t="s">
        <x:v>30</x:v>
      </x:c>
      <x:c r="H13352" s="0" t="s">
        <x:v>20</x:v>
      </x:c>
      <x:c r="I13352" s="0" t="s">
        <x:v>21</x:v>
      </x:c>
      <x:c r="K13352" s="0">
        <x:f>hyperlink("https://icd.who.int/dev11/l-ichi/en#/http%3A%2F%2Fid.who.int%2Ficd%2Fentity%2F2053473583","browser")</x:f>
      </x:c>
      <x:c r="L13352" s="0">
        <x:f>hyperlink("https://icat2.azurewebsites.net/icat/?ontology=ICD&amp;tab=ClassesTab&amp;id=http%3A%2F%2Fwho.int%2Ficd%23SpecificAnatomicLocation_1547","iCat")</x:f>
      </x:c>
      <x:c r="M13352" s="0" t="s">
        <x:v>20</x:v>
      </x:c>
      <x:c r="N13352" s="0" t="s">
        <x:v>30</x:v>
      </x:c>
    </x:row>
    <x:row r="13353" spans="1:16">
      <x:c r="A13353" s="0" t="s">
        <x:v>50662</x:v>
      </x:c>
      <x:c r="B13353" s="0" t="s">
        <x:v>50663</x:v>
      </x:c>
      <x:c r="C13353" s="0" t="s">
        <x:v>42840</x:v>
      </x:c>
      <x:c r="E13353" s="0" t="s">
        <x:v>50664</x:v>
      </x:c>
      <x:c r="F13353" s="0" t="s">
        <x:v>45</x:v>
      </x:c>
      <x:c r="G13353" s="0" t="s">
        <x:v>35</x:v>
      </x:c>
      <x:c r="H13353" s="0" t="s">
        <x:v>20</x:v>
      </x:c>
      <x:c r="I13353" s="0" t="s">
        <x:v>21</x:v>
      </x:c>
      <x:c r="K13353" s="0">
        <x:f>hyperlink("https://icd.who.int/dev11/l-ichi/en#/http%3A%2F%2Fid.who.int%2Ficd%2Fentity%2F1412779183","browser")</x:f>
      </x:c>
      <x:c r="L13353" s="0">
        <x:f>hyperlink("https://icat2.azurewebsites.net/icat/?ontology=ICD&amp;tab=ClassesTab&amp;id=http%3A%2F%2Fwho.int%2Ficd%23SpecificAnatomicLocation_1545","iCat")</x:f>
      </x:c>
      <x:c r="M13353" s="0" t="s">
        <x:v>21</x:v>
      </x:c>
      <x:c r="N13353" s="0" t="s">
        <x:v>46</x:v>
      </x:c>
    </x:row>
    <x:row r="13354" spans="1:16">
      <x:c r="A13354" s="0" t="s">
        <x:v>50665</x:v>
      </x:c>
      <x:c r="B13354" s="0" t="s">
        <x:v>50666</x:v>
      </x:c>
      <x:c r="C13354" s="0" t="s">
        <x:v>42840</x:v>
      </x:c>
      <x:c r="E13354" s="0" t="s">
        <x:v>50667</x:v>
      </x:c>
      <x:c r="F13354" s="0" t="s">
        <x:v>45</x:v>
      </x:c>
      <x:c r="G13354" s="0" t="s">
        <x:v>35</x:v>
      </x:c>
      <x:c r="H13354" s="0" t="s">
        <x:v>20</x:v>
      </x:c>
      <x:c r="I13354" s="0" t="s">
        <x:v>21</x:v>
      </x:c>
      <x:c r="K13354" s="0">
        <x:f>hyperlink("https://icd.who.int/dev11/l-ichi/en#/http%3A%2F%2Fid.who.int%2Ficd%2Fentity%2F1833820655","browser")</x:f>
      </x:c>
      <x:c r="L13354" s="0">
        <x:f>hyperlink("https://icat2.azurewebsites.net/icat/?ontology=ICD&amp;tab=ClassesTab&amp;id=http%3A%2F%2Fwho.int%2Ficd%23SpecificAnatomicLocation_1546","iCat")</x:f>
      </x:c>
      <x:c r="M13354" s="0" t="s">
        <x:v>21</x:v>
      </x:c>
      <x:c r="N13354" s="0" t="s">
        <x:v>46</x:v>
      </x:c>
    </x:row>
    <x:row r="13355" spans="1:16">
      <x:c r="A13355" s="0" t="s">
        <x:v>50668</x:v>
      </x:c>
      <x:c r="B13355" s="0" t="s">
        <x:v>50669</x:v>
      </x:c>
      <x:c r="C13355" s="0" t="s">
        <x:v>42840</x:v>
      </x:c>
      <x:c r="E13355" s="0" t="s">
        <x:v>50670</x:v>
      </x:c>
      <x:c r="F13355" s="0" t="s">
        <x:v>45</x:v>
      </x:c>
      <x:c r="G13355" s="0" t="s">
        <x:v>30</x:v>
      </x:c>
      <x:c r="H13355" s="0" t="s">
        <x:v>20</x:v>
      </x:c>
      <x:c r="I13355" s="0" t="s">
        <x:v>21</x:v>
      </x:c>
      <x:c r="K13355" s="0">
        <x:f>hyperlink("https://icd.who.int/dev11/l-ichi/en#/http%3A%2F%2Fid.who.int%2Ficd%2Fentity%2F1493197457","browser")</x:f>
      </x:c>
      <x:c r="L13355" s="0">
        <x:f>hyperlink("https://icat2.azurewebsites.net/icat/?ontology=ICD&amp;tab=ClassesTab&amp;id=http%3A%2F%2Fwho.int%2Ficd%23SpecificAnatomicLocation_1548","iCat")</x:f>
      </x:c>
      <x:c r="M13355" s="0" t="s">
        <x:v>21</x:v>
      </x:c>
      <x:c r="N13355" s="0" t="s">
        <x:v>46</x:v>
      </x:c>
    </x:row>
    <x:row r="13356" spans="1:16">
      <x:c r="A13356" s="0" t="s">
        <x:v>50671</x:v>
      </x:c>
      <x:c r="B13356" s="0" t="s">
        <x:v>50672</x:v>
      </x:c>
      <x:c r="C13356" s="0" t="s">
        <x:v>42840</x:v>
      </x:c>
      <x:c r="E13356" s="0" t="s">
        <x:v>50673</x:v>
      </x:c>
      <x:c r="F13356" s="0" t="s">
        <x:v>45</x:v>
      </x:c>
      <x:c r="G13356" s="0" t="s">
        <x:v>30</x:v>
      </x:c>
      <x:c r="H13356" s="0" t="s">
        <x:v>20</x:v>
      </x:c>
      <x:c r="I13356" s="0" t="s">
        <x:v>21</x:v>
      </x:c>
      <x:c r="K13356" s="0">
        <x:f>hyperlink("https://icd.who.int/dev11/l-ichi/en#/http%3A%2F%2Fid.who.int%2Ficd%2Fentity%2F640710249","browser")</x:f>
      </x:c>
      <x:c r="L13356" s="0">
        <x:f>hyperlink("https://icat2.azurewebsites.net/icat/?ontology=ICD&amp;tab=ClassesTab&amp;id=http%3A%2F%2Fwho.int%2Ficd%23SpecificAnatomicLocation_1512","iCat")</x:f>
      </x:c>
      <x:c r="M13356" s="0" t="s">
        <x:v>21</x:v>
      </x:c>
      <x:c r="N13356" s="0" t="s">
        <x:v>46</x:v>
      </x:c>
    </x:row>
    <x:row r="13357" spans="1:16">
      <x:c r="A13357" s="0" t="s">
        <x:v>50674</x:v>
      </x:c>
      <x:c r="B13357" s="0" t="s">
        <x:v>50675</x:v>
      </x:c>
      <x:c r="C13357" s="0" t="s">
        <x:v>42840</x:v>
      </x:c>
      <x:c r="E13357" s="0" t="s">
        <x:v>50676</x:v>
      </x:c>
      <x:c r="F13357" s="0" t="s">
        <x:v>45</x:v>
      </x:c>
      <x:c r="G13357" s="0" t="s">
        <x:v>30</x:v>
      </x:c>
      <x:c r="H13357" s="0" t="s">
        <x:v>20</x:v>
      </x:c>
      <x:c r="I13357" s="0" t="s">
        <x:v>21</x:v>
      </x:c>
      <x:c r="K13357" s="0">
        <x:f>hyperlink("https://icd.who.int/dev11/l-ichi/en#/http%3A%2F%2Fid.who.int%2Ficd%2Fentity%2F1139361833","browser")</x:f>
      </x:c>
      <x:c r="L13357" s="0">
        <x:f>hyperlink("https://icat2.azurewebsites.net/icat/?ontology=ICD&amp;tab=ClassesTab&amp;id=http%3A%2F%2Fwho.int%2Ficd%23SpecificAnatomicLocation_1515","iCat")</x:f>
      </x:c>
      <x:c r="M13357" s="0" t="s">
        <x:v>21</x:v>
      </x:c>
      <x:c r="N13357" s="0" t="s">
        <x:v>46</x:v>
      </x:c>
    </x:row>
    <x:row r="13358" spans="1:16">
      <x:c r="A13358" s="0" t="s">
        <x:v>50677</x:v>
      </x:c>
      <x:c r="B13358" s="0" t="s">
        <x:v>50678</x:v>
      </x:c>
      <x:c r="C13358" s="0" t="s">
        <x:v>42840</x:v>
      </x:c>
      <x:c r="E13358" s="0" t="s">
        <x:v>50679</x:v>
      </x:c>
      <x:c r="F13358" s="0" t="s">
        <x:v>45</x:v>
      </x:c>
      <x:c r="G13358" s="0" t="s">
        <x:v>30</x:v>
      </x:c>
      <x:c r="H13358" s="0" t="s">
        <x:v>20</x:v>
      </x:c>
      <x:c r="I13358" s="0" t="s">
        <x:v>21</x:v>
      </x:c>
      <x:c r="K13358" s="0">
        <x:f>hyperlink("https://icd.who.int/dev11/l-ichi/en#/http%3A%2F%2Fid.who.int%2Ficd%2Fentity%2F1311245905","browser")</x:f>
      </x:c>
      <x:c r="L13358" s="0">
        <x:f>hyperlink("https://icat2.azurewebsites.net/icat/?ontology=ICD&amp;tab=ClassesTab&amp;id=http%3A%2F%2Fwho.int%2Ficd%23SpecificAnatomicLocation_1549","iCat")</x:f>
      </x:c>
      <x:c r="M13358" s="0" t="s">
        <x:v>21</x:v>
      </x:c>
      <x:c r="N13358" s="0" t="s">
        <x:v>46</x:v>
      </x:c>
    </x:row>
    <x:row r="13359" spans="1:16">
      <x:c r="A13359" s="0" t="s">
        <x:v>50680</x:v>
      </x:c>
      <x:c r="B13359" s="0" t="s">
        <x:v>50681</x:v>
      </x:c>
      <x:c r="C13359" s="0" t="s">
        <x:v>42840</x:v>
      </x:c>
      <x:c r="E13359" s="0" t="s">
        <x:v>50682</x:v>
      </x:c>
      <x:c r="F13359" s="0" t="s">
        <x:v>45</x:v>
      </x:c>
      <x:c r="G13359" s="0" t="s">
        <x:v>30</x:v>
      </x:c>
      <x:c r="H13359" s="0" t="s">
        <x:v>20</x:v>
      </x:c>
      <x:c r="I13359" s="0" t="s">
        <x:v>21</x:v>
      </x:c>
      <x:c r="K13359" s="0">
        <x:f>hyperlink("https://icd.who.int/dev11/l-ichi/en#/http%3A%2F%2Fid.who.int%2Ficd%2Fentity%2F1634083256","browser")</x:f>
      </x:c>
      <x:c r="L13359" s="0">
        <x:f>hyperlink("https://icat2.azurewebsites.net/icat/?ontology=ICD&amp;tab=ClassesTab&amp;id=http%3A%2F%2Fwho.int%2Ficd%23SpecificAnatomicLocation_1550","iCat")</x:f>
      </x:c>
      <x:c r="M13359" s="0" t="s">
        <x:v>21</x:v>
      </x:c>
      <x:c r="N13359" s="0" t="s">
        <x:v>46</x:v>
      </x:c>
    </x:row>
    <x:row r="13360" spans="1:16">
      <x:c r="A13360" s="0" t="s">
        <x:v>50683</x:v>
      </x:c>
      <x:c r="B13360" s="0" t="s">
        <x:v>50684</x:v>
      </x:c>
      <x:c r="C13360" s="0" t="s">
        <x:v>42840</x:v>
      </x:c>
      <x:c r="E13360" s="0" t="s">
        <x:v>50685</x:v>
      </x:c>
      <x:c r="F13360" s="0" t="s">
        <x:v>45</x:v>
      </x:c>
      <x:c r="G13360" s="0" t="s">
        <x:v>30</x:v>
      </x:c>
      <x:c r="H13360" s="0" t="s">
        <x:v>20</x:v>
      </x:c>
      <x:c r="I13360" s="0" t="s">
        <x:v>21</x:v>
      </x:c>
      <x:c r="K13360" s="0">
        <x:f>hyperlink("https://icd.who.int/dev11/l-ichi/en#/http%3A%2F%2Fid.who.int%2Ficd%2Fentity%2F1984841080","browser")</x:f>
      </x:c>
      <x:c r="L13360" s="0">
        <x:f>hyperlink("https://icat2.azurewebsites.net/icat/?ontology=ICD&amp;tab=ClassesTab&amp;id=http%3A%2F%2Fwho.int%2Ficd%23SpecificAnatomicLocation_1551","iCat")</x:f>
      </x:c>
      <x:c r="M13360" s="0" t="s">
        <x:v>21</x:v>
      </x:c>
      <x:c r="N13360" s="0" t="s">
        <x:v>46</x:v>
      </x:c>
    </x:row>
    <x:row r="13361" spans="1:16">
      <x:c r="A13361" s="0" t="s">
        <x:v>50686</x:v>
      </x:c>
      <x:c r="B13361" s="0" t="s">
        <x:v>50687</x:v>
      </x:c>
      <x:c r="C13361" s="0" t="s">
        <x:v>42840</x:v>
      </x:c>
      <x:c r="E13361" s="0" t="s">
        <x:v>50688</x:v>
      </x:c>
      <x:c r="F13361" s="0" t="s">
        <x:v>45</x:v>
      </x:c>
      <x:c r="G13361" s="0" t="s">
        <x:v>30</x:v>
      </x:c>
      <x:c r="H13361" s="0" t="s">
        <x:v>20</x:v>
      </x:c>
      <x:c r="I13361" s="0" t="s">
        <x:v>21</x:v>
      </x:c>
      <x:c r="K13361" s="0">
        <x:f>hyperlink("https://icd.who.int/dev11/l-ichi/en#/http%3A%2F%2Fid.who.int%2Ficd%2Fentity%2F1328998456","browser")</x:f>
      </x:c>
      <x:c r="L13361" s="0">
        <x:f>hyperlink("https://icat2.azurewebsites.net/icat/?ontology=ICD&amp;tab=ClassesTab&amp;id=http%3A%2F%2Fwho.int%2Ficd%23SpecificAnatomicLocation_1552","iCat")</x:f>
      </x:c>
      <x:c r="M13361" s="0" t="s">
        <x:v>21</x:v>
      </x:c>
      <x:c r="N13361" s="0" t="s">
        <x:v>46</x:v>
      </x:c>
    </x:row>
    <x:row r="13362" spans="1:16">
      <x:c r="A13362" s="0" t="s">
        <x:v>50689</x:v>
      </x:c>
      <x:c r="B13362" s="0" t="s">
        <x:v>50690</x:v>
      </x:c>
      <x:c r="C13362" s="0" t="s">
        <x:v>42840</x:v>
      </x:c>
      <x:c r="E13362" s="0" t="s">
        <x:v>50691</x:v>
      </x:c>
      <x:c r="F13362" s="0" t="s">
        <x:v>45</x:v>
      </x:c>
      <x:c r="G13362" s="0" t="s">
        <x:v>30</x:v>
      </x:c>
      <x:c r="H13362" s="0" t="s">
        <x:v>20</x:v>
      </x:c>
      <x:c r="I13362" s="0" t="s">
        <x:v>21</x:v>
      </x:c>
      <x:c r="K13362" s="0">
        <x:f>hyperlink("https://icd.who.int/dev11/l-ichi/en#/http%3A%2F%2Fid.who.int%2Ficd%2Fentity%2F782535704","browser")</x:f>
      </x:c>
      <x:c r="L13362" s="0">
        <x:f>hyperlink("https://icat2.azurewebsites.net/icat/?ontology=ICD&amp;tab=ClassesTab&amp;id=http%3A%2F%2Fwho.int%2Ficd%23SpecificAnatomicLocation_1530","iCat")</x:f>
      </x:c>
      <x:c r="M13362" s="0" t="s">
        <x:v>20</x:v>
      </x:c>
      <x:c r="N13362" s="0" t="s">
        <x:v>22</x:v>
      </x:c>
    </x:row>
    <x:row r="13363" spans="1:16">
      <x:c r="A13363" s="0" t="s">
        <x:v>50692</x:v>
      </x:c>
      <x:c r="B13363" s="0" t="s">
        <x:v>50693</x:v>
      </x:c>
      <x:c r="C13363" s="0" t="s">
        <x:v>42840</x:v>
      </x:c>
      <x:c r="E13363" s="0" t="s">
        <x:v>50694</x:v>
      </x:c>
      <x:c r="F13363" s="0" t="s">
        <x:v>45</x:v>
      </x:c>
      <x:c r="G13363" s="0" t="s">
        <x:v>35</x:v>
      </x:c>
      <x:c r="H13363" s="0" t="s">
        <x:v>20</x:v>
      </x:c>
      <x:c r="I13363" s="0" t="s">
        <x:v>21</x:v>
      </x:c>
      <x:c r="K13363" s="0">
        <x:f>hyperlink("https://icd.who.int/dev11/l-ichi/en#/http%3A%2F%2Fid.who.int%2Ficd%2Fentity%2F900147329","browser")</x:f>
      </x:c>
      <x:c r="L13363" s="0">
        <x:f>hyperlink("https://icat2.azurewebsites.net/icat/?ontology=ICD&amp;tab=ClassesTab&amp;id=http%3A%2F%2Fwho.int%2Ficd%23SpecificAnatomicLocation_1527","iCat")</x:f>
      </x:c>
      <x:c r="M13363" s="0" t="s">
        <x:v>21</x:v>
      </x:c>
      <x:c r="N13363" s="0" t="s">
        <x:v>46</x:v>
      </x:c>
    </x:row>
    <x:row r="13364" spans="1:16">
      <x:c r="A13364" s="0" t="s">
        <x:v>50695</x:v>
      </x:c>
      <x:c r="B13364" s="0" t="s">
        <x:v>50696</x:v>
      </x:c>
      <x:c r="C13364" s="0" t="s">
        <x:v>42840</x:v>
      </x:c>
      <x:c r="E13364" s="0" t="s">
        <x:v>50697</x:v>
      </x:c>
      <x:c r="F13364" s="0" t="s">
        <x:v>45</x:v>
      </x:c>
      <x:c r="G13364" s="0" t="s">
        <x:v>35</x:v>
      </x:c>
      <x:c r="H13364" s="0" t="s">
        <x:v>20</x:v>
      </x:c>
      <x:c r="I13364" s="0" t="s">
        <x:v>21</x:v>
      </x:c>
      <x:c r="K13364" s="0">
        <x:f>hyperlink("https://icd.who.int/dev11/l-ichi/en#/http%3A%2F%2Fid.who.int%2Ficd%2Fentity%2F32156671","browser")</x:f>
      </x:c>
      <x:c r="L13364" s="0">
        <x:f>hyperlink("https://icat2.azurewebsites.net/icat/?ontology=ICD&amp;tab=ClassesTab&amp;id=http%3A%2F%2Fwho.int%2Ficd%23SpecificAnatomicLocation_1529","iCat")</x:f>
      </x:c>
      <x:c r="M13364" s="0" t="s">
        <x:v>21</x:v>
      </x:c>
      <x:c r="N13364" s="0" t="s">
        <x:v>46</x:v>
      </x:c>
    </x:row>
    <x:row r="13365" spans="1:16">
      <x:c r="A13365" s="0" t="s">
        <x:v>50698</x:v>
      </x:c>
      <x:c r="B13365" s="0" t="s">
        <x:v>50699</x:v>
      </x:c>
      <x:c r="C13365" s="0" t="s">
        <x:v>42840</x:v>
      </x:c>
      <x:c r="E13365" s="0" t="s">
        <x:v>50700</x:v>
      </x:c>
      <x:c r="F13365" s="0" t="s">
        <x:v>45</x:v>
      </x:c>
      <x:c r="G13365" s="0" t="s">
        <x:v>35</x:v>
      </x:c>
      <x:c r="H13365" s="0" t="s">
        <x:v>20</x:v>
      </x:c>
      <x:c r="I13365" s="0" t="s">
        <x:v>21</x:v>
      </x:c>
      <x:c r="K13365" s="0">
        <x:f>hyperlink("https://icd.who.int/dev11/l-ichi/en#/http%3A%2F%2Fid.who.int%2Ficd%2Fentity%2F579816513","browser")</x:f>
      </x:c>
      <x:c r="L13365" s="0">
        <x:f>hyperlink("https://icat2.azurewebsites.net/icat/?ontology=ICD&amp;tab=ClassesTab&amp;id=http%3A%2F%2Fwho.int%2Ficd%23SpecificAnatomicLocation_1526","iCat")</x:f>
      </x:c>
      <x:c r="M13365" s="0" t="s">
        <x:v>21</x:v>
      </x:c>
      <x:c r="N13365" s="0" t="s">
        <x:v>46</x:v>
      </x:c>
    </x:row>
    <x:row r="13366" spans="1:16">
      <x:c r="A13366" s="0" t="s">
        <x:v>50701</x:v>
      </x:c>
      <x:c r="B13366" s="0" t="s">
        <x:v>50702</x:v>
      </x:c>
      <x:c r="C13366" s="0" t="s">
        <x:v>42840</x:v>
      </x:c>
      <x:c r="E13366" s="0" t="s">
        <x:v>50703</x:v>
      </x:c>
      <x:c r="F13366" s="0" t="s">
        <x:v>45</x:v>
      </x:c>
      <x:c r="G13366" s="0" t="s">
        <x:v>35</x:v>
      </x:c>
      <x:c r="H13366" s="0" t="s">
        <x:v>20</x:v>
      </x:c>
      <x:c r="I13366" s="0" t="s">
        <x:v>21</x:v>
      </x:c>
      <x:c r="K13366" s="0">
        <x:f>hyperlink("https://icd.who.int/dev11/l-ichi/en#/http%3A%2F%2Fid.who.int%2Ficd%2Fentity%2F381865791","browser")</x:f>
      </x:c>
      <x:c r="L13366" s="0">
        <x:f>hyperlink("https://icat2.azurewebsites.net/icat/?ontology=ICD&amp;tab=ClassesTab&amp;id=http%3A%2F%2Fwho.int%2Ficd%23SpecificAnatomicLocation_1528","iCat")</x:f>
      </x:c>
      <x:c r="M13366" s="0" t="s">
        <x:v>21</x:v>
      </x:c>
      <x:c r="N13366" s="0" t="s">
        <x:v>46</x:v>
      </x:c>
    </x:row>
    <x:row r="13367" spans="1:16">
      <x:c r="A13367" s="0" t="s">
        <x:v>50704</x:v>
      </x:c>
      <x:c r="B13367" s="0" t="s">
        <x:v>50705</x:v>
      </x:c>
      <x:c r="C13367" s="0" t="s">
        <x:v>42840</x:v>
      </x:c>
      <x:c r="E13367" s="0" t="s">
        <x:v>50706</x:v>
      </x:c>
      <x:c r="F13367" s="0" t="s">
        <x:v>45</x:v>
      </x:c>
      <x:c r="G13367" s="0" t="s">
        <x:v>30</x:v>
      </x:c>
      <x:c r="H13367" s="0" t="s">
        <x:v>20</x:v>
      </x:c>
      <x:c r="I13367" s="0" t="s">
        <x:v>21</x:v>
      </x:c>
      <x:c r="K13367" s="0">
        <x:f>hyperlink("https://icd.who.int/dev11/l-ichi/en#/http%3A%2F%2Fid.who.int%2Ficd%2Fentity%2F1478397176","browser")</x:f>
      </x:c>
      <x:c r="L13367" s="0">
        <x:f>hyperlink("https://icat2.azurewebsites.net/icat/?ontology=ICD&amp;tab=ClassesTab&amp;id=http%3A%2F%2Fwho.int%2Ficd%23SpecificAnatomicLocation_1553","iCat")</x:f>
      </x:c>
      <x:c r="M13367" s="0" t="s">
        <x:v>21</x:v>
      </x:c>
      <x:c r="N13367" s="0" t="s">
        <x:v>46</x:v>
      </x:c>
    </x:row>
    <x:row r="13368" spans="1:16">
      <x:c r="A13368" s="0" t="s">
        <x:v>50707</x:v>
      </x:c>
      <x:c r="B13368" s="0" t="s">
        <x:v>50708</x:v>
      </x:c>
      <x:c r="C13368" s="0" t="s">
        <x:v>42840</x:v>
      </x:c>
      <x:c r="E13368" s="0" t="s">
        <x:v>50709</x:v>
      </x:c>
      <x:c r="F13368" s="0" t="s">
        <x:v>45</x:v>
      </x:c>
      <x:c r="G13368" s="0" t="s">
        <x:v>30</x:v>
      </x:c>
      <x:c r="H13368" s="0" t="s">
        <x:v>20</x:v>
      </x:c>
      <x:c r="I13368" s="0" t="s">
        <x:v>21</x:v>
      </x:c>
      <x:c r="K13368" s="0">
        <x:f>hyperlink("https://icd.who.int/dev11/l-ichi/en#/http%3A%2F%2Fid.who.int%2Ficd%2Fentity%2F1036497592","browser")</x:f>
      </x:c>
      <x:c r="L13368" s="0">
        <x:f>hyperlink("https://icat2.azurewebsites.net/icat/?ontology=ICD&amp;tab=ClassesTab&amp;id=http%3A%2F%2Fwho.int%2Ficd%23SpecificAnatomicLocation_1554","iCat")</x:f>
      </x:c>
      <x:c r="M13368" s="0" t="s">
        <x:v>21</x:v>
      </x:c>
      <x:c r="N13368" s="0" t="s">
        <x:v>46</x:v>
      </x:c>
    </x:row>
    <x:row r="13369" spans="1:16">
      <x:c r="A13369" s="0" t="s">
        <x:v>50710</x:v>
      </x:c>
      <x:c r="B13369" s="0" t="s">
        <x:v>50711</x:v>
      </x:c>
      <x:c r="C13369" s="0" t="s">
        <x:v>42840</x:v>
      </x:c>
      <x:c r="E13369" s="0" t="s">
        <x:v>50712</x:v>
      </x:c>
      <x:c r="F13369" s="0" t="s">
        <x:v>45</x:v>
      </x:c>
      <x:c r="G13369" s="0" t="s">
        <x:v>19</x:v>
      </x:c>
      <x:c r="H13369" s="0" t="s">
        <x:v>20</x:v>
      </x:c>
      <x:c r="I13369" s="0" t="s">
        <x:v>21</x:v>
      </x:c>
      <x:c r="K13369" s="0">
        <x:f>hyperlink("https://icd.who.int/dev11/l-ichi/en#/http%3A%2F%2Fid.who.int%2Ficd%2Fentity%2F864968000","browser")</x:f>
      </x:c>
      <x:c r="L13369" s="0">
        <x:f>hyperlink("https://icat2.azurewebsites.net/icat/?ontology=ICD&amp;tab=ClassesTab&amp;id=http%3A%2F%2Fwho.int%2Ficd%23SpecificAnatomicLocation_1743","iCat")</x:f>
      </x:c>
      <x:c r="M13369" s="0" t="s">
        <x:v>20</x:v>
      </x:c>
      <x:c r="N13369" s="0" t="s">
        <x:v>50713</x:v>
      </x:c>
    </x:row>
    <x:row r="13370" spans="1:16">
      <x:c r="A13370" s="0" t="s">
        <x:v>50714</x:v>
      </x:c>
      <x:c r="B13370" s="0" t="s">
        <x:v>50715</x:v>
      </x:c>
      <x:c r="C13370" s="0" t="s">
        <x:v>42840</x:v>
      </x:c>
      <x:c r="E13370" s="0" t="s">
        <x:v>50716</x:v>
      </x:c>
      <x:c r="F13370" s="0" t="s">
        <x:v>45</x:v>
      </x:c>
      <x:c r="G13370" s="0" t="s">
        <x:v>30</x:v>
      </x:c>
      <x:c r="H13370" s="0" t="s">
        <x:v>20</x:v>
      </x:c>
      <x:c r="I13370" s="0" t="s">
        <x:v>21</x:v>
      </x:c>
      <x:c r="K13370" s="0">
        <x:f>hyperlink("https://icd.who.int/dev11/l-ichi/en#/http%3A%2F%2Fid.who.int%2Ficd%2Fentity%2F289588207","browser")</x:f>
      </x:c>
      <x:c r="L13370" s="0">
        <x:f>hyperlink("https://icat2.azurewebsites.net/icat/?ontology=ICD&amp;tab=ClassesTab&amp;id=http%3A%2F%2Fwho.int%2Ficd%23SpecificAnatomicLocation_1693","iCat")</x:f>
      </x:c>
      <x:c r="M13370" s="0" t="s">
        <x:v>21</x:v>
      </x:c>
      <x:c r="N13370" s="0" t="s">
        <x:v>46</x:v>
      </x:c>
    </x:row>
    <x:row r="13371" spans="1:16">
      <x:c r="A13371" s="0" t="s">
        <x:v>50717</x:v>
      </x:c>
      <x:c r="B13371" s="0" t="s">
        <x:v>50718</x:v>
      </x:c>
      <x:c r="C13371" s="0" t="s">
        <x:v>42840</x:v>
      </x:c>
      <x:c r="E13371" s="0" t="s">
        <x:v>50719</x:v>
      </x:c>
      <x:c r="F13371" s="0" t="s">
        <x:v>45</x:v>
      </x:c>
      <x:c r="G13371" s="0" t="s">
        <x:v>30</x:v>
      </x:c>
      <x:c r="H13371" s="0" t="s">
        <x:v>20</x:v>
      </x:c>
      <x:c r="I13371" s="0" t="s">
        <x:v>21</x:v>
      </x:c>
      <x:c r="K13371" s="0">
        <x:f>hyperlink("https://icd.who.int/dev11/l-ichi/en#/http%3A%2F%2Fid.who.int%2Ficd%2Fentity%2F1956380079","browser")</x:f>
      </x:c>
      <x:c r="L13371" s="0">
        <x:f>hyperlink("https://icat2.azurewebsites.net/icat/?ontology=ICD&amp;tab=ClassesTab&amp;id=http%3A%2F%2Fwho.int%2Ficd%23SpecificAnatomicLocation_1694","iCat")</x:f>
      </x:c>
      <x:c r="M13371" s="0" t="s">
        <x:v>21</x:v>
      </x:c>
      <x:c r="N13371" s="0" t="s">
        <x:v>46</x:v>
      </x:c>
    </x:row>
    <x:row r="13372" spans="1:16">
      <x:c r="A13372" s="0" t="s">
        <x:v>50720</x:v>
      </x:c>
      <x:c r="B13372" s="0" t="s">
        <x:v>50721</x:v>
      </x:c>
      <x:c r="C13372" s="0" t="s">
        <x:v>42840</x:v>
      </x:c>
      <x:c r="E13372" s="0" t="s">
        <x:v>50722</x:v>
      </x:c>
      <x:c r="F13372" s="0" t="s">
        <x:v>45</x:v>
      </x:c>
      <x:c r="G13372" s="0" t="s">
        <x:v>30</x:v>
      </x:c>
      <x:c r="H13372" s="0" t="s">
        <x:v>20</x:v>
      </x:c>
      <x:c r="I13372" s="0" t="s">
        <x:v>21</x:v>
      </x:c>
      <x:c r="K13372" s="0">
        <x:f>hyperlink("https://icd.who.int/dev11/l-ichi/en#/http%3A%2F%2Fid.who.int%2Ficd%2Fentity%2F1672714607","browser")</x:f>
      </x:c>
      <x:c r="L13372" s="0">
        <x:f>hyperlink("https://icat2.azurewebsites.net/icat/?ontology=ICD&amp;tab=ClassesTab&amp;id=http%3A%2F%2Fwho.int%2Ficd%23SpecificAnatomicLocation_1695","iCat")</x:f>
      </x:c>
      <x:c r="M13372" s="0" t="s">
        <x:v>21</x:v>
      </x:c>
      <x:c r="N13372" s="0" t="s">
        <x:v>46</x:v>
      </x:c>
    </x:row>
    <x:row r="13373" spans="1:16">
      <x:c r="A13373" s="0" t="s">
        <x:v>50723</x:v>
      </x:c>
      <x:c r="B13373" s="0" t="s">
        <x:v>50724</x:v>
      </x:c>
      <x:c r="C13373" s="0" t="s">
        <x:v>42840</x:v>
      </x:c>
      <x:c r="E13373" s="0" t="s">
        <x:v>50725</x:v>
      </x:c>
      <x:c r="F13373" s="0" t="s">
        <x:v>45</x:v>
      </x:c>
      <x:c r="G13373" s="0" t="s">
        <x:v>30</x:v>
      </x:c>
      <x:c r="H13373" s="0" t="s">
        <x:v>20</x:v>
      </x:c>
      <x:c r="I13373" s="0" t="s">
        <x:v>21</x:v>
      </x:c>
      <x:c r="K13373" s="0">
        <x:f>hyperlink("https://icd.who.int/dev11/l-ichi/en#/http%3A%2F%2Fid.who.int%2Ficd%2Fentity%2F1523266607","browser")</x:f>
      </x:c>
      <x:c r="L13373" s="0">
        <x:f>hyperlink("https://icat2.azurewebsites.net/icat/?ontology=ICD&amp;tab=ClassesTab&amp;id=http%3A%2F%2Fwho.int%2Ficd%23SpecificAnatomicLocation_1696","iCat")</x:f>
      </x:c>
      <x:c r="M13373" s="0" t="s">
        <x:v>21</x:v>
      </x:c>
      <x:c r="N13373" s="0" t="s">
        <x:v>46</x:v>
      </x:c>
    </x:row>
    <x:row r="13374" spans="1:16">
      <x:c r="A13374" s="0" t="s">
        <x:v>50726</x:v>
      </x:c>
      <x:c r="B13374" s="0" t="s">
        <x:v>50727</x:v>
      </x:c>
      <x:c r="C13374" s="0" t="s">
        <x:v>42840</x:v>
      </x:c>
      <x:c r="E13374" s="0" t="s">
        <x:v>50728</x:v>
      </x:c>
      <x:c r="F13374" s="0" t="s">
        <x:v>45</x:v>
      </x:c>
      <x:c r="G13374" s="0" t="s">
        <x:v>30</x:v>
      </x:c>
      <x:c r="H13374" s="0" t="s">
        <x:v>20</x:v>
      </x:c>
      <x:c r="I13374" s="0" t="s">
        <x:v>21</x:v>
      </x:c>
      <x:c r="K13374" s="0">
        <x:f>hyperlink("https://icd.who.int/dev11/l-ichi/en#/http%3A%2F%2Fid.who.int%2Ficd%2Fentity%2F1306743023","browser")</x:f>
      </x:c>
      <x:c r="L13374" s="0">
        <x:f>hyperlink("https://icat2.azurewebsites.net/icat/?ontology=ICD&amp;tab=ClassesTab&amp;id=http%3A%2F%2Fwho.int%2Ficd%23SpecificAnatomicLocation_1697","iCat")</x:f>
      </x:c>
      <x:c r="M13374" s="0" t="s">
        <x:v>21</x:v>
      </x:c>
      <x:c r="N13374" s="0" t="s">
        <x:v>46</x:v>
      </x:c>
    </x:row>
    <x:row r="13375" spans="1:16">
      <x:c r="A13375" s="0" t="s">
        <x:v>50729</x:v>
      </x:c>
      <x:c r="B13375" s="0" t="s">
        <x:v>50730</x:v>
      </x:c>
      <x:c r="C13375" s="0" t="s">
        <x:v>42840</x:v>
      </x:c>
      <x:c r="E13375" s="0" t="s">
        <x:v>50731</x:v>
      </x:c>
      <x:c r="F13375" s="0" t="s">
        <x:v>45</x:v>
      </x:c>
      <x:c r="G13375" s="0" t="s">
        <x:v>30</x:v>
      </x:c>
      <x:c r="H13375" s="0" t="s">
        <x:v>20</x:v>
      </x:c>
      <x:c r="I13375" s="0" t="s">
        <x:v>21</x:v>
      </x:c>
      <x:c r="K13375" s="0">
        <x:f>hyperlink("https://icd.who.int/dev11/l-ichi/en#/http%3A%2F%2Fid.who.int%2Ficd%2Fentity%2F1854322513","browser")</x:f>
      </x:c>
      <x:c r="L13375" s="0">
        <x:f>hyperlink("https://icat2.azurewebsites.net/icat/?ontology=ICD&amp;tab=ClassesTab&amp;id=http%3A%2F%2Fwho.int%2Ficd%23SpecificAnatomicLocation_1698","iCat")</x:f>
      </x:c>
      <x:c r="M13375" s="0" t="s">
        <x:v>21</x:v>
      </x:c>
      <x:c r="N13375" s="0" t="s">
        <x:v>46</x:v>
      </x:c>
    </x:row>
    <x:row r="13376" spans="1:16">
      <x:c r="A13376" s="0" t="s">
        <x:v>50732</x:v>
      </x:c>
      <x:c r="B13376" s="0" t="s">
        <x:v>50733</x:v>
      </x:c>
      <x:c r="C13376" s="0" t="s">
        <x:v>42840</x:v>
      </x:c>
      <x:c r="E13376" s="0" t="s">
        <x:v>50734</x:v>
      </x:c>
      <x:c r="F13376" s="0" t="s">
        <x:v>45</x:v>
      </x:c>
      <x:c r="G13376" s="0" t="s">
        <x:v>30</x:v>
      </x:c>
      <x:c r="H13376" s="0" t="s">
        <x:v>20</x:v>
      </x:c>
      <x:c r="I13376" s="0" t="s">
        <x:v>21</x:v>
      </x:c>
      <x:c r="K13376" s="0">
        <x:f>hyperlink("https://icd.who.int/dev11/l-ichi/en#/http%3A%2F%2Fid.who.int%2Ficd%2Fentity%2F2041500561","browser")</x:f>
      </x:c>
      <x:c r="L13376" s="0">
        <x:f>hyperlink("https://icat2.azurewebsites.net/icat/?ontology=ICD&amp;tab=ClassesTab&amp;id=http%3A%2F%2Fwho.int%2Ficd%23SpecificAnatomicLocation_1699","iCat")</x:f>
      </x:c>
      <x:c r="M13376" s="0" t="s">
        <x:v>21</x:v>
      </x:c>
      <x:c r="N13376" s="0" t="s">
        <x:v>46</x:v>
      </x:c>
    </x:row>
    <x:row r="13377" spans="1:16">
      <x:c r="A13377" s="0" t="s">
        <x:v>50735</x:v>
      </x:c>
      <x:c r="B13377" s="0" t="s">
        <x:v>50736</x:v>
      </x:c>
      <x:c r="C13377" s="0" t="s">
        <x:v>42840</x:v>
      </x:c>
      <x:c r="E13377" s="0" t="s">
        <x:v>50737</x:v>
      </x:c>
      <x:c r="F13377" s="0" t="s">
        <x:v>45</x:v>
      </x:c>
      <x:c r="G13377" s="0" t="s">
        <x:v>30</x:v>
      </x:c>
      <x:c r="H13377" s="0" t="s">
        <x:v>20</x:v>
      </x:c>
      <x:c r="I13377" s="0" t="s">
        <x:v>21</x:v>
      </x:c>
      <x:c r="K13377" s="0">
        <x:f>hyperlink("https://icd.who.int/dev11/l-ichi/en#/http%3A%2F%2Fid.who.int%2Ficd%2Fentity%2F1676701279","browser")</x:f>
      </x:c>
      <x:c r="L13377" s="0">
        <x:f>hyperlink("https://icat2.azurewebsites.net/icat/?ontology=ICD&amp;tab=ClassesTab&amp;id=http%3A%2F%2Fwho.int%2Ficd%23SpecificAnatomicLocation_1700","iCat")</x:f>
      </x:c>
      <x:c r="M13377" s="0" t="s">
        <x:v>21</x:v>
      </x:c>
      <x:c r="N13377" s="0" t="s">
        <x:v>46</x:v>
      </x:c>
    </x:row>
    <x:row r="13378" spans="1:16">
      <x:c r="A13378" s="0" t="s">
        <x:v>50738</x:v>
      </x:c>
      <x:c r="B13378" s="0" t="s">
        <x:v>50739</x:v>
      </x:c>
      <x:c r="C13378" s="0" t="s">
        <x:v>42840</x:v>
      </x:c>
      <x:c r="E13378" s="0" t="s">
        <x:v>50740</x:v>
      </x:c>
      <x:c r="F13378" s="0" t="s">
        <x:v>45</x:v>
      </x:c>
      <x:c r="G13378" s="0" t="s">
        <x:v>30</x:v>
      </x:c>
      <x:c r="H13378" s="0" t="s">
        <x:v>20</x:v>
      </x:c>
      <x:c r="I13378" s="0" t="s">
        <x:v>21</x:v>
      </x:c>
      <x:c r="K13378" s="0">
        <x:f>hyperlink("https://icd.who.int/dev11/l-ichi/en#/http%3A%2F%2Fid.who.int%2Ficd%2Fentity%2F1960315551","browser")</x:f>
      </x:c>
      <x:c r="L13378" s="0">
        <x:f>hyperlink("https://icat2.azurewebsites.net/icat/?ontology=ICD&amp;tab=ClassesTab&amp;id=http%3A%2F%2Fwho.int%2Ficd%23SpecificAnatomicLocation_1701","iCat")</x:f>
      </x:c>
      <x:c r="M13378" s="0" t="s">
        <x:v>21</x:v>
      </x:c>
      <x:c r="N13378" s="0" t="s">
        <x:v>46</x:v>
      </x:c>
    </x:row>
    <x:row r="13379" spans="1:16">
      <x:c r="A13379" s="0" t="s">
        <x:v>50741</x:v>
      </x:c>
      <x:c r="B13379" s="0" t="s">
        <x:v>50742</x:v>
      </x:c>
      <x:c r="C13379" s="0" t="s">
        <x:v>42840</x:v>
      </x:c>
      <x:c r="E13379" s="0" t="s">
        <x:v>50743</x:v>
      </x:c>
      <x:c r="F13379" s="0" t="s">
        <x:v>45</x:v>
      </x:c>
      <x:c r="G13379" s="0" t="s">
        <x:v>30</x:v>
      </x:c>
      <x:c r="H13379" s="0" t="s">
        <x:v>20</x:v>
      </x:c>
      <x:c r="I13379" s="0" t="s">
        <x:v>21</x:v>
      </x:c>
      <x:c r="K13379" s="0">
        <x:f>hyperlink("https://icd.who.int/dev11/l-ichi/en#/http%3A%2F%2Fid.who.int%2Ficd%2Fentity%2F1302374367","browser")</x:f>
      </x:c>
      <x:c r="L13379" s="0">
        <x:f>hyperlink("https://icat2.azurewebsites.net/icat/?ontology=ICD&amp;tab=ClassesTab&amp;id=http%3A%2F%2Fwho.int%2Ficd%23SpecificAnatomicLocation_1702","iCat")</x:f>
      </x:c>
      <x:c r="M13379" s="0" t="s">
        <x:v>21</x:v>
      </x:c>
      <x:c r="N13379" s="0" t="s">
        <x:v>46</x:v>
      </x:c>
    </x:row>
    <x:row r="13380" spans="1:16">
      <x:c r="A13380" s="0" t="s">
        <x:v>50744</x:v>
      </x:c>
      <x:c r="B13380" s="0" t="s">
        <x:v>50745</x:v>
      </x:c>
      <x:c r="C13380" s="0" t="s">
        <x:v>42840</x:v>
      </x:c>
      <x:c r="E13380" s="0" t="s">
        <x:v>50746</x:v>
      </x:c>
      <x:c r="F13380" s="0" t="s">
        <x:v>45</x:v>
      </x:c>
      <x:c r="G13380" s="0" t="s">
        <x:v>30</x:v>
      </x:c>
      <x:c r="H13380" s="0" t="s">
        <x:v>20</x:v>
      </x:c>
      <x:c r="I13380" s="0" t="s">
        <x:v>21</x:v>
      </x:c>
      <x:c r="K13380" s="0">
        <x:f>hyperlink("https://icd.who.int/dev11/l-ichi/en#/http%3A%2F%2Fid.who.int%2Ficd%2Fentity%2F1518912287","browser")</x:f>
      </x:c>
      <x:c r="L13380" s="0">
        <x:f>hyperlink("https://icat2.azurewebsites.net/icat/?ontology=ICD&amp;tab=ClassesTab&amp;id=http%3A%2F%2Fwho.int%2Ficd%23SpecificAnatomicLocation_1703","iCat")</x:f>
      </x:c>
      <x:c r="M13380" s="0" t="s">
        <x:v>21</x:v>
      </x:c>
      <x:c r="N13380" s="0" t="s">
        <x:v>46</x:v>
      </x:c>
    </x:row>
    <x:row r="13381" spans="1:16">
      <x:c r="A13381" s="0" t="s">
        <x:v>50747</x:v>
      </x:c>
      <x:c r="B13381" s="0" t="s">
        <x:v>50748</x:v>
      </x:c>
      <x:c r="C13381" s="0" t="s">
        <x:v>42840</x:v>
      </x:c>
      <x:c r="E13381" s="0" t="s">
        <x:v>50749</x:v>
      </x:c>
      <x:c r="F13381" s="0" t="s">
        <x:v>45</x:v>
      </x:c>
      <x:c r="G13381" s="0" t="s">
        <x:v>30</x:v>
      </x:c>
      <x:c r="H13381" s="0" t="s">
        <x:v>20</x:v>
      </x:c>
      <x:c r="I13381" s="0" t="s">
        <x:v>21</x:v>
      </x:c>
      <x:c r="K13381" s="0">
        <x:f>hyperlink("https://icd.who.int/dev11/l-ichi/en#/http%3A%2F%2Fid.who.int%2Ficd%2Fentity%2F1062337887","browser")</x:f>
      </x:c>
      <x:c r="L13381" s="0">
        <x:f>hyperlink("https://icat2.azurewebsites.net/icat/?ontology=ICD&amp;tab=ClassesTab&amp;id=http%3A%2F%2Fwho.int%2Ficd%23SpecificAnatomicLocation_1704","iCat")</x:f>
      </x:c>
      <x:c r="M13381" s="0" t="s">
        <x:v>21</x:v>
      </x:c>
      <x:c r="N13381" s="0" t="s">
        <x:v>46</x:v>
      </x:c>
    </x:row>
    <x:row r="13382" spans="1:16">
      <x:c r="A13382" s="0" t="s">
        <x:v>50750</x:v>
      </x:c>
      <x:c r="B13382" s="0" t="s">
        <x:v>50751</x:v>
      </x:c>
      <x:c r="C13382" s="0" t="s">
        <x:v>42840</x:v>
      </x:c>
      <x:c r="E13382" s="0" t="s">
        <x:v>50752</x:v>
      </x:c>
      <x:c r="F13382" s="0" t="s">
        <x:v>45</x:v>
      </x:c>
      <x:c r="G13382" s="0" t="s">
        <x:v>30</x:v>
      </x:c>
      <x:c r="H13382" s="0" t="s">
        <x:v>20</x:v>
      </x:c>
      <x:c r="I13382" s="0" t="s">
        <x:v>21</x:v>
      </x:c>
      <x:c r="K13382" s="0">
        <x:f>hyperlink("https://icd.who.int/dev11/l-ichi/en#/http%3A%2F%2Fid.who.int%2Ficd%2Fentity%2F679057823","browser")</x:f>
      </x:c>
      <x:c r="L13382" s="0">
        <x:f>hyperlink("https://icat2.azurewebsites.net/icat/?ontology=ICD&amp;tab=ClassesTab&amp;id=http%3A%2F%2Fwho.int%2Ficd%23SpecificAnatomicLocation_1705","iCat")</x:f>
      </x:c>
      <x:c r="M13382" s="0" t="s">
        <x:v>21</x:v>
      </x:c>
      <x:c r="N13382" s="0" t="s">
        <x:v>46</x:v>
      </x:c>
    </x:row>
    <x:row r="13383" spans="1:16">
      <x:c r="A13383" s="0" t="s">
        <x:v>50753</x:v>
      </x:c>
      <x:c r="B13383" s="0" t="s">
        <x:v>50754</x:v>
      </x:c>
      <x:c r="C13383" s="0" t="s">
        <x:v>42840</x:v>
      </x:c>
      <x:c r="E13383" s="0" t="s">
        <x:v>50755</x:v>
      </x:c>
      <x:c r="F13383" s="0" t="s">
        <x:v>45</x:v>
      </x:c>
      <x:c r="G13383" s="0" t="s">
        <x:v>30</x:v>
      </x:c>
      <x:c r="H13383" s="0" t="s">
        <x:v>20</x:v>
      </x:c>
      <x:c r="I13383" s="0" t="s">
        <x:v>21</x:v>
      </x:c>
      <x:c r="K13383" s="0">
        <x:f>hyperlink("https://icd.who.int/dev11/l-ichi/en#/http%3A%2F%2Fid.who.int%2Ficd%2Fentity%2F285291743","browser")</x:f>
      </x:c>
      <x:c r="L13383" s="0">
        <x:f>hyperlink("https://icat2.azurewebsites.net/icat/?ontology=ICD&amp;tab=ClassesTab&amp;id=http%3A%2F%2Fwho.int%2Ficd%23SpecificAnatomicLocation_1706","iCat")</x:f>
      </x:c>
      <x:c r="M13383" s="0" t="s">
        <x:v>21</x:v>
      </x:c>
      <x:c r="N13383" s="0" t="s">
        <x:v>46</x:v>
      </x:c>
    </x:row>
    <x:row r="13384" spans="1:16">
      <x:c r="A13384" s="0" t="s">
        <x:v>50756</x:v>
      </x:c>
      <x:c r="B13384" s="0" t="s">
        <x:v>50757</x:v>
      </x:c>
      <x:c r="C13384" s="0" t="s">
        <x:v>42840</x:v>
      </x:c>
      <x:c r="E13384" s="0" t="s">
        <x:v>50758</x:v>
      </x:c>
      <x:c r="F13384" s="0" t="s">
        <x:v>45</x:v>
      </x:c>
      <x:c r="G13384" s="0" t="s">
        <x:v>30</x:v>
      </x:c>
      <x:c r="H13384" s="0" t="s">
        <x:v>20</x:v>
      </x:c>
      <x:c r="I13384" s="0" t="s">
        <x:v>21</x:v>
      </x:c>
      <x:c r="K13384" s="0">
        <x:f>hyperlink("https://icd.who.int/dev11/l-ichi/en#/http%3A%2F%2Fid.who.int%2Ficd%2Fentity%2F103370783","browser")</x:f>
      </x:c>
      <x:c r="L13384" s="0">
        <x:f>hyperlink("https://icat2.azurewebsites.net/icat/?ontology=ICD&amp;tab=ClassesTab&amp;id=http%3A%2F%2Fwho.int%2Ficd%23SpecificAnatomicLocation_1707","iCat")</x:f>
      </x:c>
      <x:c r="M13384" s="0" t="s">
        <x:v>21</x:v>
      </x:c>
      <x:c r="N13384" s="0" t="s">
        <x:v>46</x:v>
      </x:c>
    </x:row>
    <x:row r="13385" spans="1:16">
      <x:c r="A13385" s="0" t="s">
        <x:v>50759</x:v>
      </x:c>
      <x:c r="B13385" s="0" t="s">
        <x:v>50760</x:v>
      </x:c>
      <x:c r="C13385" s="0" t="s">
        <x:v>42840</x:v>
      </x:c>
      <x:c r="E13385" s="0" t="s">
        <x:v>50761</x:v>
      </x:c>
      <x:c r="F13385" s="0" t="s">
        <x:v>45</x:v>
      </x:c>
      <x:c r="G13385" s="0" t="s">
        <x:v>30</x:v>
      </x:c>
      <x:c r="H13385" s="0" t="s">
        <x:v>20</x:v>
      </x:c>
      <x:c r="I13385" s="0" t="s">
        <x:v>21</x:v>
      </x:c>
      <x:c r="K13385" s="0">
        <x:f>hyperlink("https://icd.who.int/dev11/l-ichi/en#/http%3A%2F%2Fid.who.int%2Ficd%2Fentity%2F625784737","browser")</x:f>
      </x:c>
      <x:c r="L13385" s="0">
        <x:f>hyperlink("https://icat2.azurewebsites.net/icat/?ontology=ICD&amp;tab=ClassesTab&amp;id=http%3A%2F%2Fwho.int%2Ficd%23SpecificAnatomicLocation_1708","iCat")</x:f>
      </x:c>
      <x:c r="M13385" s="0" t="s">
        <x:v>21</x:v>
      </x:c>
      <x:c r="N13385" s="0" t="s">
        <x:v>46</x:v>
      </x:c>
    </x:row>
    <x:row r="13386" spans="1:16">
      <x:c r="A13386" s="0" t="s">
        <x:v>50762</x:v>
      </x:c>
      <x:c r="B13386" s="0" t="s">
        <x:v>50763</x:v>
      </x:c>
      <x:c r="C13386" s="0" t="s">
        <x:v>42840</x:v>
      </x:c>
      <x:c r="E13386" s="0" t="s">
        <x:v>50764</x:v>
      </x:c>
      <x:c r="F13386" s="0" t="s">
        <x:v>45</x:v>
      </x:c>
      <x:c r="G13386" s="0" t="s">
        <x:v>30</x:v>
      </x:c>
      <x:c r="H13386" s="0" t="s">
        <x:v>20</x:v>
      </x:c>
      <x:c r="I13386" s="0" t="s">
        <x:v>21</x:v>
      </x:c>
      <x:c r="K13386" s="0">
        <x:f>hyperlink("https://icd.who.int/dev11/l-ichi/en#/http%3A%2F%2Fid.who.int%2Ficd%2Fentity%2F845468513","browser")</x:f>
      </x:c>
      <x:c r="L13386" s="0">
        <x:f>hyperlink("https://icat2.azurewebsites.net/icat/?ontology=ICD&amp;tab=ClassesTab&amp;id=http%3A%2F%2Fwho.int%2Ficd%23SpecificAnatomicLocation_1709","iCat")</x:f>
      </x:c>
      <x:c r="M13386" s="0" t="s">
        <x:v>21</x:v>
      </x:c>
      <x:c r="N13386" s="0" t="s">
        <x:v>46</x:v>
      </x:c>
    </x:row>
    <x:row r="13387" spans="1:16">
      <x:c r="A13387" s="0" t="s">
        <x:v>50765</x:v>
      </x:c>
      <x:c r="B13387" s="0" t="s">
        <x:v>50766</x:v>
      </x:c>
      <x:c r="C13387" s="0" t="s">
        <x:v>42840</x:v>
      </x:c>
      <x:c r="E13387" s="0" t="s">
        <x:v>50767</x:v>
      </x:c>
      <x:c r="F13387" s="0" t="s">
        <x:v>45</x:v>
      </x:c>
      <x:c r="G13387" s="0" t="s">
        <x:v>30</x:v>
      </x:c>
      <x:c r="H13387" s="0" t="s">
        <x:v>20</x:v>
      </x:c>
      <x:c r="I13387" s="0" t="s">
        <x:v>21</x:v>
      </x:c>
      <x:c r="K13387" s="0">
        <x:f>hyperlink("https://icd.who.int/dev11/l-ichi/en#/http%3A%2F%2Fid.who.int%2Ficd%2Fentity%2F489354376","browser")</x:f>
      </x:c>
      <x:c r="L13387" s="0">
        <x:f>hyperlink("https://icat2.azurewebsites.net/icat/?ontology=ICD&amp;tab=ClassesTab&amp;id=http%3A%2F%2Fwho.int%2Ficd%23SpecificAnatomicLocation_1710","iCat")</x:f>
      </x:c>
      <x:c r="M13387" s="0" t="s">
        <x:v>21</x:v>
      </x:c>
      <x:c r="N13387" s="0" t="s">
        <x:v>46</x:v>
      </x:c>
    </x:row>
    <x:row r="13388" spans="1:16">
      <x:c r="A13388" s="0" t="s">
        <x:v>50768</x:v>
      </x:c>
      <x:c r="B13388" s="0" t="s">
        <x:v>50769</x:v>
      </x:c>
      <x:c r="C13388" s="0" t="s">
        <x:v>42840</x:v>
      </x:c>
      <x:c r="E13388" s="0" t="s">
        <x:v>50770</x:v>
      </x:c>
      <x:c r="F13388" s="0" t="s">
        <x:v>45</x:v>
      </x:c>
      <x:c r="G13388" s="0" t="s">
        <x:v>30</x:v>
      </x:c>
      <x:c r="H13388" s="0" t="s">
        <x:v>20</x:v>
      </x:c>
      <x:c r="I13388" s="0" t="s">
        <x:v>21</x:v>
      </x:c>
      <x:c r="K13388" s="0">
        <x:f>hyperlink("https://icd.who.int/dev11/l-ichi/en#/http%3A%2F%2Fid.who.int%2Ficd%2Fentity%2F167940168","browser")</x:f>
      </x:c>
      <x:c r="L13388" s="0">
        <x:f>hyperlink("https://icat2.azurewebsites.net/icat/?ontology=ICD&amp;tab=ClassesTab&amp;id=http%3A%2F%2Fwho.int%2Ficd%23SpecificAnatomicLocation_1711","iCat")</x:f>
      </x:c>
      <x:c r="M13388" s="0" t="s">
        <x:v>21</x:v>
      </x:c>
      <x:c r="N13388" s="0" t="s">
        <x:v>46</x:v>
      </x:c>
    </x:row>
    <x:row r="13389" spans="1:16">
      <x:c r="A13389" s="0" t="s">
        <x:v>50771</x:v>
      </x:c>
      <x:c r="B13389" s="0" t="s">
        <x:v>50772</x:v>
      </x:c>
      <x:c r="C13389" s="0" t="s">
        <x:v>42840</x:v>
      </x:c>
      <x:c r="E13389" s="0" t="s">
        <x:v>50773</x:v>
      </x:c>
      <x:c r="F13389" s="0" t="s">
        <x:v>45</x:v>
      </x:c>
      <x:c r="G13389" s="0" t="s">
        <x:v>30</x:v>
      </x:c>
      <x:c r="H13389" s="0" t="s">
        <x:v>20</x:v>
      </x:c>
      <x:c r="I13389" s="0" t="s">
        <x:v>21</x:v>
      </x:c>
      <x:c r="K13389" s="0">
        <x:f>hyperlink("https://icd.who.int/dev11/l-ichi/en#/http%3A%2F%2Fid.who.int%2Ficd%2Fentity%2F863649032","browser")</x:f>
      </x:c>
      <x:c r="L13389" s="0">
        <x:f>hyperlink("https://icat2.azurewebsites.net/icat/?ontology=ICD&amp;tab=ClassesTab&amp;id=http%3A%2F%2Fwho.int%2Ficd%23SpecificAnatomicLocation_1712","iCat")</x:f>
      </x:c>
      <x:c r="M13389" s="0" t="s">
        <x:v>21</x:v>
      </x:c>
      <x:c r="N13389" s="0" t="s">
        <x:v>46</x:v>
      </x:c>
    </x:row>
    <x:row r="13390" spans="1:16">
      <x:c r="A13390" s="0" t="s">
        <x:v>50774</x:v>
      </x:c>
      <x:c r="B13390" s="0" t="s">
        <x:v>50775</x:v>
      </x:c>
      <x:c r="C13390" s="0" t="s">
        <x:v>42840</x:v>
      </x:c>
      <x:c r="E13390" s="0" t="s">
        <x:v>50776</x:v>
      </x:c>
      <x:c r="F13390" s="0" t="s">
        <x:v>45</x:v>
      </x:c>
      <x:c r="G13390" s="0" t="s">
        <x:v>30</x:v>
      </x:c>
      <x:c r="H13390" s="0" t="s">
        <x:v>20</x:v>
      </x:c>
      <x:c r="I13390" s="0" t="s">
        <x:v>21</x:v>
      </x:c>
      <x:c r="K13390" s="0">
        <x:f>hyperlink("https://icd.who.int/dev11/l-ichi/en#/http%3A%2F%2Fid.who.int%2Ficd%2Fentity%2F609376712","browser")</x:f>
      </x:c>
      <x:c r="L13390" s="0">
        <x:f>hyperlink("https://icat2.azurewebsites.net/icat/?ontology=ICD&amp;tab=ClassesTab&amp;id=http%3A%2F%2Fwho.int%2Ficd%23SpecificAnatomicLocation_1713","iCat")</x:f>
      </x:c>
      <x:c r="M13390" s="0" t="s">
        <x:v>21</x:v>
      </x:c>
      <x:c r="N13390" s="0" t="s">
        <x:v>46</x:v>
      </x:c>
    </x:row>
    <x:row r="13391" spans="1:16">
      <x:c r="A13391" s="0" t="s">
        <x:v>50777</x:v>
      </x:c>
      <x:c r="B13391" s="0" t="s">
        <x:v>50778</x:v>
      </x:c>
      <x:c r="C13391" s="0" t="s">
        <x:v>42840</x:v>
      </x:c>
      <x:c r="E13391" s="0" t="s">
        <x:v>50779</x:v>
      </x:c>
      <x:c r="F13391" s="0" t="s">
        <x:v>45</x:v>
      </x:c>
      <x:c r="G13391" s="0" t="s">
        <x:v>30</x:v>
      </x:c>
      <x:c r="H13391" s="0" t="s">
        <x:v>20</x:v>
      </x:c>
      <x:c r="I13391" s="0" t="s">
        <x:v>21</x:v>
      </x:c>
      <x:c r="K13391" s="0">
        <x:f>hyperlink("https://icd.who.int/dev11/l-ichi/en#/http%3A%2F%2Fid.who.int%2Ficd%2Fentity%2F1099655048","browser")</x:f>
      </x:c>
      <x:c r="L13391" s="0">
        <x:f>hyperlink("https://icat2.azurewebsites.net/icat/?ontology=ICD&amp;tab=ClassesTab&amp;id=http%3A%2F%2Fwho.int%2Ficd%23SpecificAnatomicLocation_1714","iCat")</x:f>
      </x:c>
      <x:c r="M13391" s="0" t="s">
        <x:v>21</x:v>
      </x:c>
      <x:c r="N13391" s="0" t="s">
        <x:v>46</x:v>
      </x:c>
    </x:row>
    <x:row r="13392" spans="1:16">
      <x:c r="A13392" s="0" t="s">
        <x:v>50780</x:v>
      </x:c>
      <x:c r="B13392" s="0" t="s">
        <x:v>50781</x:v>
      </x:c>
      <x:c r="C13392" s="0" t="s">
        <x:v>42840</x:v>
      </x:c>
      <x:c r="E13392" s="0" t="s">
        <x:v>50782</x:v>
      </x:c>
      <x:c r="F13392" s="0" t="s">
        <x:v>45</x:v>
      </x:c>
      <x:c r="G13392" s="0" t="s">
        <x:v>30</x:v>
      </x:c>
      <x:c r="H13392" s="0" t="s">
        <x:v>20</x:v>
      </x:c>
      <x:c r="I13392" s="0" t="s">
        <x:v>21</x:v>
      </x:c>
      <x:c r="K13392" s="0">
        <x:f>hyperlink("https://icd.who.int/dev11/l-ichi/en#/http%3A%2F%2Fid.who.int%2Ficd%2Fentity%2F1453523784","browser")</x:f>
      </x:c>
      <x:c r="L13392" s="0">
        <x:f>hyperlink("https://icat2.azurewebsites.net/icat/?ontology=ICD&amp;tab=ClassesTab&amp;id=http%3A%2F%2Fwho.int%2Ficd%23SpecificAnatomicLocation_1715","iCat")</x:f>
      </x:c>
      <x:c r="M13392" s="0" t="s">
        <x:v>21</x:v>
      </x:c>
      <x:c r="N13392" s="0" t="s">
        <x:v>46</x:v>
      </x:c>
    </x:row>
    <x:row r="13393" spans="1:16">
      <x:c r="A13393" s="0" t="s">
        <x:v>50783</x:v>
      </x:c>
      <x:c r="B13393" s="0" t="s">
        <x:v>50784</x:v>
      </x:c>
      <x:c r="C13393" s="0" t="s">
        <x:v>42840</x:v>
      </x:c>
      <x:c r="E13393" s="0" t="s">
        <x:v>50785</x:v>
      </x:c>
      <x:c r="F13393" s="0" t="s">
        <x:v>45</x:v>
      </x:c>
      <x:c r="G13393" s="0" t="s">
        <x:v>30</x:v>
      </x:c>
      <x:c r="H13393" s="0" t="s">
        <x:v>20</x:v>
      </x:c>
      <x:c r="I13393" s="0" t="s">
        <x:v>21</x:v>
      </x:c>
      <x:c r="K13393" s="0">
        <x:f>hyperlink("https://icd.who.int/dev11/l-ichi/en#/http%3A%2F%2Fid.who.int%2Ficd%2Fentity%2F1876667912","browser")</x:f>
      </x:c>
      <x:c r="L13393" s="0">
        <x:f>hyperlink("https://icat2.azurewebsites.net/icat/?ontology=ICD&amp;tab=ClassesTab&amp;id=http%3A%2F%2Fwho.int%2Ficd%23SpecificAnatomicLocation_1716","iCat")</x:f>
      </x:c>
      <x:c r="M13393" s="0" t="s">
        <x:v>21</x:v>
      </x:c>
      <x:c r="N13393" s="0" t="s">
        <x:v>46</x:v>
      </x:c>
    </x:row>
    <x:row r="13394" spans="1:16">
      <x:c r="A13394" s="0" t="s">
        <x:v>50786</x:v>
      </x:c>
      <x:c r="B13394" s="0" t="s">
        <x:v>50787</x:v>
      </x:c>
      <x:c r="C13394" s="0" t="s">
        <x:v>42840</x:v>
      </x:c>
      <x:c r="E13394" s="0" t="s">
        <x:v>50788</x:v>
      </x:c>
      <x:c r="F13394" s="0" t="s">
        <x:v>45</x:v>
      </x:c>
      <x:c r="G13394" s="0" t="s">
        <x:v>30</x:v>
      </x:c>
      <x:c r="H13394" s="0" t="s">
        <x:v>20</x:v>
      </x:c>
      <x:c r="I13394" s="0" t="s">
        <x:v>21</x:v>
      </x:c>
      <x:c r="K13394" s="0">
        <x:f>hyperlink("https://icd.who.int/dev11/l-ichi/en#/http%3A%2F%2Fid.who.int%2Ficd%2Fentity%2F2029243080","browser")</x:f>
      </x:c>
      <x:c r="L13394" s="0">
        <x:f>hyperlink("https://icat2.azurewebsites.net/icat/?ontology=ICD&amp;tab=ClassesTab&amp;id=http%3A%2F%2Fwho.int%2Ficd%23SpecificAnatomicLocation_1717","iCat")</x:f>
      </x:c>
      <x:c r="M13394" s="0" t="s">
        <x:v>21</x:v>
      </x:c>
      <x:c r="N13394" s="0" t="s">
        <x:v>46</x:v>
      </x:c>
    </x:row>
    <x:row r="13395" spans="1:16">
      <x:c r="A13395" s="0" t="s">
        <x:v>50789</x:v>
      </x:c>
      <x:c r="B13395" s="0" t="s">
        <x:v>50790</x:v>
      </x:c>
      <x:c r="C13395" s="0" t="s">
        <x:v>42840</x:v>
      </x:c>
      <x:c r="E13395" s="0" t="s">
        <x:v>50791</x:v>
      </x:c>
      <x:c r="F13395" s="0" t="s">
        <x:v>45</x:v>
      </x:c>
      <x:c r="G13395" s="0" t="s">
        <x:v>30</x:v>
      </x:c>
      <x:c r="H13395" s="0" t="s">
        <x:v>20</x:v>
      </x:c>
      <x:c r="I13395" s="0" t="s">
        <x:v>21</x:v>
      </x:c>
      <x:c r="K13395" s="0">
        <x:f>hyperlink("https://icd.who.int/dev11/l-ichi/en#/http%3A%2F%2Fid.who.int%2Ficd%2Fentity%2F1536568696","browser")</x:f>
      </x:c>
      <x:c r="L13395" s="0">
        <x:f>hyperlink("https://icat2.azurewebsites.net/icat/?ontology=ICD&amp;tab=ClassesTab&amp;id=http%3A%2F%2Fwho.int%2Ficd%23SpecificAnatomicLocation_1718","iCat")</x:f>
      </x:c>
      <x:c r="M13395" s="0" t="s">
        <x:v>21</x:v>
      </x:c>
      <x:c r="N13395" s="0" t="s">
        <x:v>46</x:v>
      </x:c>
    </x:row>
    <x:row r="13396" spans="1:16">
      <x:c r="A13396" s="0" t="s">
        <x:v>50792</x:v>
      </x:c>
      <x:c r="B13396" s="0" t="s">
        <x:v>50793</x:v>
      </x:c>
      <x:c r="C13396" s="0" t="s">
        <x:v>42840</x:v>
      </x:c>
      <x:c r="E13396" s="0" t="s">
        <x:v>50794</x:v>
      </x:c>
      <x:c r="F13396" s="0" t="s">
        <x:v>45</x:v>
      </x:c>
      <x:c r="G13396" s="0" t="s">
        <x:v>30</x:v>
      </x:c>
      <x:c r="H13396" s="0" t="s">
        <x:v>20</x:v>
      </x:c>
      <x:c r="I13396" s="0" t="s">
        <x:v>21</x:v>
      </x:c>
      <x:c r="K13396" s="0">
        <x:f>hyperlink("https://icd.who.int/dev11/l-ichi/en#/http%3A%2F%2Fid.who.int%2Ficd%2Fentity%2F1287539128","browser")</x:f>
      </x:c>
      <x:c r="L13396" s="0">
        <x:f>hyperlink("https://icat2.azurewebsites.net/icat/?ontology=ICD&amp;tab=ClassesTab&amp;id=http%3A%2F%2Fwho.int%2Ficd%23SpecificAnatomicLocation_1719","iCat")</x:f>
      </x:c>
      <x:c r="M13396" s="0" t="s">
        <x:v>21</x:v>
      </x:c>
      <x:c r="N13396" s="0" t="s">
        <x:v>46</x:v>
      </x:c>
    </x:row>
    <x:row r="13397" spans="1:16">
      <x:c r="A13397" s="0" t="s">
        <x:v>50795</x:v>
      </x:c>
      <x:c r="B13397" s="0" t="s">
        <x:v>50796</x:v>
      </x:c>
      <x:c r="C13397" s="0" t="s">
        <x:v>42840</x:v>
      </x:c>
      <x:c r="E13397" s="0" t="s">
        <x:v>50797</x:v>
      </x:c>
      <x:c r="F13397" s="0" t="s">
        <x:v>45</x:v>
      </x:c>
      <x:c r="G13397" s="0" t="s">
        <x:v>30</x:v>
      </x:c>
      <x:c r="H13397" s="0" t="s">
        <x:v>20</x:v>
      </x:c>
      <x:c r="I13397" s="0" t="s">
        <x:v>21</x:v>
      </x:c>
      <x:c r="K13397" s="0">
        <x:f>hyperlink("https://icd.who.int/dev11/l-ichi/en#/http%3A%2F%2Fid.who.int%2Ficd%2Fentity%2F1161059760","browser")</x:f>
      </x:c>
      <x:c r="L13397" s="0">
        <x:f>hyperlink("https://icat2.azurewebsites.net/icat/?ontology=ICD&amp;tab=ClassesTab&amp;id=http%3A%2F%2Fwho.int%2Ficd%23SpecificAnatomicLocation_1720","iCat")</x:f>
      </x:c>
      <x:c r="M13397" s="0" t="s">
        <x:v>21</x:v>
      </x:c>
      <x:c r="N13397" s="0" t="s">
        <x:v>46</x:v>
      </x:c>
    </x:row>
    <x:row r="13398" spans="1:16">
      <x:c r="A13398" s="0" t="s">
        <x:v>50798</x:v>
      </x:c>
      <x:c r="B13398" s="0" t="s">
        <x:v>50799</x:v>
      </x:c>
      <x:c r="C13398" s="0" t="s">
        <x:v>42840</x:v>
      </x:c>
      <x:c r="E13398" s="0" t="s">
        <x:v>50800</x:v>
      </x:c>
      <x:c r="F13398" s="0" t="s">
        <x:v>45</x:v>
      </x:c>
      <x:c r="G13398" s="0" t="s">
        <x:v>30</x:v>
      </x:c>
      <x:c r="H13398" s="0" t="s">
        <x:v>20</x:v>
      </x:c>
      <x:c r="I13398" s="0" t="s">
        <x:v>21</x:v>
      </x:c>
      <x:c r="K13398" s="0">
        <x:f>hyperlink("https://icd.who.int/dev11/l-ichi/en#/http%3A%2F%2Fid.who.int%2Ficd%2Fentity%2F1377581424","browser")</x:f>
      </x:c>
      <x:c r="L13398" s="0">
        <x:f>hyperlink("https://icat2.azurewebsites.net/icat/?ontology=ICD&amp;tab=ClassesTab&amp;id=http%3A%2F%2Fwho.int%2Ficd%23SpecificAnatomicLocation_1721","iCat")</x:f>
      </x:c>
      <x:c r="M13398" s="0" t="s">
        <x:v>21</x:v>
      </x:c>
      <x:c r="N13398" s="0" t="s">
        <x:v>46</x:v>
      </x:c>
    </x:row>
    <x:row r="13399" spans="1:16">
      <x:c r="A13399" s="0" t="s">
        <x:v>50801</x:v>
      </x:c>
      <x:c r="B13399" s="0" t="s">
        <x:v>50802</x:v>
      </x:c>
      <x:c r="C13399" s="0" t="s">
        <x:v>42840</x:v>
      </x:c>
      <x:c r="E13399" s="0" t="s">
        <x:v>50803</x:v>
      </x:c>
      <x:c r="F13399" s="0" t="s">
        <x:v>45</x:v>
      </x:c>
      <x:c r="G13399" s="0" t="s">
        <x:v>30</x:v>
      </x:c>
      <x:c r="H13399" s="0" t="s">
        <x:v>20</x:v>
      </x:c>
      <x:c r="I13399" s="0" t="s">
        <x:v>21</x:v>
      </x:c>
      <x:c r="K13399" s="0">
        <x:f>hyperlink("https://icd.who.int/dev11/l-ichi/en#/http%3A%2F%2Fid.who.int%2Ficd%2Fentity%2F1801753648","browser")</x:f>
      </x:c>
      <x:c r="L13399" s="0">
        <x:f>hyperlink("https://icat2.azurewebsites.net/icat/?ontology=ICD&amp;tab=ClassesTab&amp;id=http%3A%2F%2Fwho.int%2Ficd%23SpecificAnatomicLocation_1722","iCat")</x:f>
      </x:c>
      <x:c r="M13399" s="0" t="s">
        <x:v>21</x:v>
      </x:c>
      <x:c r="N13399" s="0" t="s">
        <x:v>46</x:v>
      </x:c>
    </x:row>
    <x:row r="13400" spans="1:16">
      <x:c r="A13400" s="0" t="s">
        <x:v>50804</x:v>
      </x:c>
      <x:c r="B13400" s="0" t="s">
        <x:v>50805</x:v>
      </x:c>
      <x:c r="C13400" s="0" t="s">
        <x:v>42840</x:v>
      </x:c>
      <x:c r="E13400" s="0" t="s">
        <x:v>50806</x:v>
      </x:c>
      <x:c r="F13400" s="0" t="s">
        <x:v>45</x:v>
      </x:c>
      <x:c r="G13400" s="0" t="s">
        <x:v>30</x:v>
      </x:c>
      <x:c r="H13400" s="0" t="s">
        <x:v>20</x:v>
      </x:c>
      <x:c r="I13400" s="0" t="s">
        <x:v>21</x:v>
      </x:c>
      <x:c r="K13400" s="0">
        <x:f>hyperlink("https://icd.who.int/dev11/l-ichi/en#/http%3A%2F%2Fid.who.int%2Ficd%2Fentity%2F2085417200","browser")</x:f>
      </x:c>
      <x:c r="L13400" s="0">
        <x:f>hyperlink("https://icat2.azurewebsites.net/icat/?ontology=ICD&amp;tab=ClassesTab&amp;id=http%3A%2F%2Fwho.int%2Ficd%23SpecificAnatomicLocation_1723","iCat")</x:f>
      </x:c>
      <x:c r="M13400" s="0" t="s">
        <x:v>21</x:v>
      </x:c>
      <x:c r="N13400" s="0" t="s">
        <x:v>46</x:v>
      </x:c>
    </x:row>
    <x:row r="13401" spans="1:16">
      <x:c r="A13401" s="0" t="s">
        <x:v>50807</x:v>
      </x:c>
      <x:c r="B13401" s="0" t="s">
        <x:v>50808</x:v>
      </x:c>
      <x:c r="C13401" s="0" t="s">
        <x:v>42840</x:v>
      </x:c>
      <x:c r="E13401" s="0" t="s">
        <x:v>50809</x:v>
      </x:c>
      <x:c r="F13401" s="0" t="s">
        <x:v>45</x:v>
      </x:c>
      <x:c r="G13401" s="0" t="s">
        <x:v>30</x:v>
      </x:c>
      <x:c r="H13401" s="0" t="s">
        <x:v>20</x:v>
      </x:c>
      <x:c r="I13401" s="0" t="s">
        <x:v>21</x:v>
      </x:c>
      <x:c r="K13401" s="0">
        <x:f>hyperlink("https://icd.who.int/dev11/l-ichi/en#/http%3A%2F%2Fid.who.int%2Ficd%2Fentity%2F429248176","browser")</x:f>
      </x:c>
      <x:c r="L13401" s="0">
        <x:f>hyperlink("https://icat2.azurewebsites.net/icat/?ontology=ICD&amp;tab=ClassesTab&amp;id=http%3A%2F%2Fwho.int%2Ficd%23SpecificAnatomicLocation_1724","iCat")</x:f>
      </x:c>
      <x:c r="M13401" s="0" t="s">
        <x:v>21</x:v>
      </x:c>
      <x:c r="N13401" s="0" t="s">
        <x:v>46</x:v>
      </x:c>
    </x:row>
    <x:row r="13402" spans="1:16">
      <x:c r="A13402" s="0" t="s">
        <x:v>50810</x:v>
      </x:c>
      <x:c r="B13402" s="0" t="s">
        <x:v>50811</x:v>
      </x:c>
      <x:c r="C13402" s="0" t="s">
        <x:v>42840</x:v>
      </x:c>
      <x:c r="E13402" s="0" t="s">
        <x:v>50812</x:v>
      </x:c>
      <x:c r="F13402" s="0" t="s">
        <x:v>45</x:v>
      </x:c>
      <x:c r="G13402" s="0" t="s">
        <x:v>30</x:v>
      </x:c>
      <x:c r="H13402" s="0" t="s">
        <x:v>20</x:v>
      </x:c>
      <x:c r="I13402" s="0" t="s">
        <x:v>21</x:v>
      </x:c>
      <x:c r="K13402" s="0">
        <x:f>hyperlink("https://icd.who.int/dev11/l-ichi/en#/http%3A%2F%2Fid.who.int%2Ficd%2Fentity%2F247310960","browser")</x:f>
      </x:c>
      <x:c r="L13402" s="0">
        <x:f>hyperlink("https://icat2.azurewebsites.net/icat/?ontology=ICD&amp;tab=ClassesTab&amp;id=http%3A%2F%2Fwho.int%2Ficd%23SpecificAnatomicLocation_1725","iCat")</x:f>
      </x:c>
      <x:c r="M13402" s="0" t="s">
        <x:v>21</x:v>
      </x:c>
      <x:c r="N13402" s="0" t="s">
        <x:v>46</x:v>
      </x:c>
    </x:row>
    <x:row r="13403" spans="1:16">
      <x:c r="A13403" s="0" t="s">
        <x:v>50813</x:v>
      </x:c>
      <x:c r="B13403" s="0" t="s">
        <x:v>50814</x:v>
      </x:c>
      <x:c r="C13403" s="0" t="s">
        <x:v>42840</x:v>
      </x:c>
      <x:c r="E13403" s="0" t="s">
        <x:v>50815</x:v>
      </x:c>
      <x:c r="F13403" s="0" t="s">
        <x:v>45</x:v>
      </x:c>
      <x:c r="G13403" s="0" t="s">
        <x:v>30</x:v>
      </x:c>
      <x:c r="H13403" s="0" t="s">
        <x:v>20</x:v>
      </x:c>
      <x:c r="I13403" s="0" t="s">
        <x:v>21</x:v>
      </x:c>
      <x:c r="K13403" s="0">
        <x:f>hyperlink("https://icd.who.int/dev11/l-ichi/en#/http%3A%2F%2Fid.who.int%2Ficd%2Fentity%2F935659312","browser")</x:f>
      </x:c>
      <x:c r="L13403" s="0">
        <x:f>hyperlink("https://icat2.azurewebsites.net/icat/?ontology=ICD&amp;tab=ClassesTab&amp;id=http%3A%2F%2Fwho.int%2Ficd%23SpecificAnatomicLocation_1726","iCat")</x:f>
      </x:c>
      <x:c r="M13403" s="0" t="s">
        <x:v>21</x:v>
      </x:c>
      <x:c r="N13403" s="0" t="s">
        <x:v>46</x:v>
      </x:c>
    </x:row>
    <x:row r="13404" spans="1:16">
      <x:c r="A13404" s="0" t="s">
        <x:v>50816</x:v>
      </x:c>
      <x:c r="B13404" s="0" t="s">
        <x:v>50817</x:v>
      </x:c>
      <x:c r="C13404" s="0" t="s">
        <x:v>42840</x:v>
      </x:c>
      <x:c r="E13404" s="0" t="s">
        <x:v>50818</x:v>
      </x:c>
      <x:c r="F13404" s="0" t="s">
        <x:v>45</x:v>
      </x:c>
      <x:c r="G13404" s="0" t="s">
        <x:v>30</x:v>
      </x:c>
      <x:c r="H13404" s="0" t="s">
        <x:v>20</x:v>
      </x:c>
      <x:c r="I13404" s="0" t="s">
        <x:v>21</x:v>
      </x:c>
      <x:c r="K13404" s="0">
        <x:f>hyperlink("https://icd.who.int/dev11/l-ichi/en#/http%3A%2F%2Fid.who.int%2Ficd%2Fentity%2F552428528","browser")</x:f>
      </x:c>
      <x:c r="L13404" s="0">
        <x:f>hyperlink("https://icat2.azurewebsites.net/icat/?ontology=ICD&amp;tab=ClassesTab&amp;id=http%3A%2F%2Fwho.int%2Ficd%23SpecificAnatomicLocation_1727","iCat")</x:f>
      </x:c>
      <x:c r="M13404" s="0" t="s">
        <x:v>21</x:v>
      </x:c>
      <x:c r="N13404" s="0" t="s">
        <x:v>46</x:v>
      </x:c>
    </x:row>
    <x:row r="13405" spans="1:16">
      <x:c r="A13405" s="0" t="s">
        <x:v>50819</x:v>
      </x:c>
      <x:c r="B13405" s="0" t="s">
        <x:v>50820</x:v>
      </x:c>
      <x:c r="C13405" s="0" t="s">
        <x:v>42840</x:v>
      </x:c>
      <x:c r="E13405" s="0" t="s">
        <x:v>50821</x:v>
      </x:c>
      <x:c r="F13405" s="0" t="s">
        <x:v>45</x:v>
      </x:c>
      <x:c r="G13405" s="0" t="s">
        <x:v>30</x:v>
      </x:c>
      <x:c r="H13405" s="0" t="s">
        <x:v>20</x:v>
      </x:c>
      <x:c r="I13405" s="0" t="s">
        <x:v>21</x:v>
      </x:c>
      <x:c r="K13405" s="0">
        <x:f>hyperlink("https://icd.who.int/dev11/l-ichi/en#/http%3A%2F%2Fid.who.int%2Ficd%2Fentity%2F59278416","browser")</x:f>
      </x:c>
      <x:c r="L13405" s="0">
        <x:f>hyperlink("https://icat2.azurewebsites.net/icat/?ontology=ICD&amp;tab=ClassesTab&amp;id=http%3A%2F%2Fwho.int%2Ficd%23SpecificAnatomicLocation_1728","iCat")</x:f>
      </x:c>
      <x:c r="M13405" s="0" t="s">
        <x:v>21</x:v>
      </x:c>
      <x:c r="N13405" s="0" t="s">
        <x:v>46</x:v>
      </x:c>
    </x:row>
    <x:row r="13406" spans="1:16">
      <x:c r="A13406" s="0" t="s">
        <x:v>50822</x:v>
      </x:c>
      <x:c r="B13406" s="0" t="s">
        <x:v>50823</x:v>
      </x:c>
      <x:c r="C13406" s="0" t="s">
        <x:v>42840</x:v>
      </x:c>
      <x:c r="E13406" s="0" t="s">
        <x:v>50824</x:v>
      </x:c>
      <x:c r="F13406" s="0" t="s">
        <x:v>45</x:v>
      </x:c>
      <x:c r="G13406" s="0" t="s">
        <x:v>30</x:v>
      </x:c>
      <x:c r="H13406" s="0" t="s">
        <x:v>20</x:v>
      </x:c>
      <x:c r="I13406" s="0" t="s">
        <x:v>21</x:v>
      </x:c>
      <x:c r="K13406" s="0">
        <x:f>hyperlink("https://icd.who.int/dev11/l-ichi/en#/http%3A%2F%2Fid.who.int%2Ficd%2Fentity%2F346087568","browser")</x:f>
      </x:c>
      <x:c r="L13406" s="0">
        <x:f>hyperlink("https://icat2.azurewebsites.net/icat/?ontology=ICD&amp;tab=ClassesTab&amp;id=http%3A%2F%2Fwho.int%2Ficd%23SpecificAnatomicLocation_1729","iCat")</x:f>
      </x:c>
      <x:c r="M13406" s="0" t="s">
        <x:v>21</x:v>
      </x:c>
      <x:c r="N13406" s="0" t="s">
        <x:v>46</x:v>
      </x:c>
    </x:row>
    <x:row r="13407" spans="1:16">
      <x:c r="A13407" s="0" t="s">
        <x:v>50825</x:v>
      </x:c>
      <x:c r="B13407" s="0" t="s">
        <x:v>50826</x:v>
      </x:c>
      <x:c r="C13407" s="0" t="s">
        <x:v>42840</x:v>
      </x:c>
      <x:c r="E13407" s="0" t="s">
        <x:v>50827</x:v>
      </x:c>
      <x:c r="F13407" s="0" t="s">
        <x:v>45</x:v>
      </x:c>
      <x:c r="G13407" s="0" t="s">
        <x:v>30</x:v>
      </x:c>
      <x:c r="H13407" s="0" t="s">
        <x:v>20</x:v>
      </x:c>
      <x:c r="I13407" s="0" t="s">
        <x:v>21</x:v>
      </x:c>
      <x:c r="K13407" s="0">
        <x:f>hyperlink("https://icd.who.int/dev11/l-ichi/en#/http%3A%2F%2Fid.who.int%2Ficd%2Fentity%2F751215543","browser")</x:f>
      </x:c>
      <x:c r="L13407" s="0">
        <x:f>hyperlink("https://icat2.azurewebsites.net/icat/?ontology=ICD&amp;tab=ClassesTab&amp;id=http%3A%2F%2Fwho.int%2Ficd%23SpecificAnatomicLocation_1731","iCat")</x:f>
      </x:c>
      <x:c r="M13407" s="0" t="s">
        <x:v>21</x:v>
      </x:c>
      <x:c r="N13407" s="0" t="s">
        <x:v>46</x:v>
      </x:c>
    </x:row>
    <x:row r="13408" spans="1:16">
      <x:c r="A13408" s="0" t="s">
        <x:v>50828</x:v>
      </x:c>
      <x:c r="B13408" s="0" t="s">
        <x:v>50829</x:v>
      </x:c>
      <x:c r="C13408" s="0" t="s">
        <x:v>42840</x:v>
      </x:c>
      <x:c r="E13408" s="0" t="s">
        <x:v>50830</x:v>
      </x:c>
      <x:c r="F13408" s="0" t="s">
        <x:v>45</x:v>
      </x:c>
      <x:c r="G13408" s="0" t="s">
        <x:v>30</x:v>
      </x:c>
      <x:c r="H13408" s="0" t="s">
        <x:v>20</x:v>
      </x:c>
      <x:c r="I13408" s="0" t="s">
        <x:v>21</x:v>
      </x:c>
      <x:c r="K13408" s="0">
        <x:f>hyperlink("https://icd.who.int/dev11/l-ichi/en#/http%3A%2F%2Fid.who.int%2Ficd%2Fentity%2F1005504375","browser")</x:f>
      </x:c>
      <x:c r="L13408" s="0">
        <x:f>hyperlink("https://icat2.azurewebsites.net/icat/?ontology=ICD&amp;tab=ClassesTab&amp;id=http%3A%2F%2Fwho.int%2Ficd%23SpecificAnatomicLocation_1730","iCat")</x:f>
      </x:c>
      <x:c r="M13408" s="0" t="s">
        <x:v>21</x:v>
      </x:c>
      <x:c r="N13408" s="0" t="s">
        <x:v>46</x:v>
      </x:c>
    </x:row>
    <x:row r="13409" spans="1:16">
      <x:c r="A13409" s="0" t="s">
        <x:v>50831</x:v>
      </x:c>
      <x:c r="B13409" s="0" t="s">
        <x:v>50832</x:v>
      </x:c>
      <x:c r="C13409" s="0" t="s">
        <x:v>42840</x:v>
      </x:c>
      <x:c r="E13409" s="0" t="s">
        <x:v>50833</x:v>
      </x:c>
      <x:c r="F13409" s="0" t="s">
        <x:v>45</x:v>
      </x:c>
      <x:c r="G13409" s="0" t="s">
        <x:v>30</x:v>
      </x:c>
      <x:c r="H13409" s="0" t="s">
        <x:v>20</x:v>
      </x:c>
      <x:c r="I13409" s="0" t="s">
        <x:v>21</x:v>
      </x:c>
      <x:c r="K13409" s="0">
        <x:f>hyperlink("https://icd.who.int/dev11/l-ichi/en#/http%3A%2F%2Fid.who.int%2Ficd%2Fentity%2F364777207","browser")</x:f>
      </x:c>
      <x:c r="L13409" s="0">
        <x:f>hyperlink("https://icat2.azurewebsites.net/icat/?ontology=ICD&amp;tab=ClassesTab&amp;id=http%3A%2F%2Fwho.int%2Ficd%23SpecificAnatomicLocation_1732","iCat")</x:f>
      </x:c>
      <x:c r="M13409" s="0" t="s">
        <x:v>21</x:v>
      </x:c>
      <x:c r="N13409" s="0" t="s">
        <x:v>46</x:v>
      </x:c>
    </x:row>
    <x:row r="13410" spans="1:16">
      <x:c r="A13410" s="0" t="s">
        <x:v>50834</x:v>
      </x:c>
      <x:c r="B13410" s="0" t="s">
        <x:v>50835</x:v>
      </x:c>
      <x:c r="C13410" s="0" t="s">
        <x:v>42840</x:v>
      </x:c>
      <x:c r="E13410" s="0" t="s">
        <x:v>50836</x:v>
      </x:c>
      <x:c r="F13410" s="0" t="s">
        <x:v>45</x:v>
      </x:c>
      <x:c r="G13410" s="0" t="s">
        <x:v>30</x:v>
      </x:c>
      <x:c r="H13410" s="0" t="s">
        <x:v>20</x:v>
      </x:c>
      <x:c r="I13410" s="0" t="s">
        <x:v>21</x:v>
      </x:c>
      <x:c r="K13410" s="0">
        <x:f>hyperlink("https://icd.who.int/dev11/l-ichi/en#/http%3A%2F%2Fid.who.int%2Ficd%2Fentity%2F43412023","browser")</x:f>
      </x:c>
      <x:c r="L13410" s="0">
        <x:f>hyperlink("https://icat2.azurewebsites.net/icat/?ontology=ICD&amp;tab=ClassesTab&amp;id=http%3A%2F%2Fwho.int%2Ficd%23SpecificAnatomicLocation_1733","iCat")</x:f>
      </x:c>
      <x:c r="M13410" s="0" t="s">
        <x:v>21</x:v>
      </x:c>
      <x:c r="N13410" s="0" t="s">
        <x:v>46</x:v>
      </x:c>
    </x:row>
    <x:row r="13411" spans="1:16">
      <x:c r="A13411" s="0" t="s">
        <x:v>50837</x:v>
      </x:c>
      <x:c r="B13411" s="0" t="s">
        <x:v>50838</x:v>
      </x:c>
      <x:c r="C13411" s="0" t="s">
        <x:v>42840</x:v>
      </x:c>
      <x:c r="E13411" s="0" t="s">
        <x:v>50839</x:v>
      </x:c>
      <x:c r="F13411" s="0" t="s">
        <x:v>45</x:v>
      </x:c>
      <x:c r="G13411" s="0" t="s">
        <x:v>30</x:v>
      </x:c>
      <x:c r="H13411" s="0" t="s">
        <x:v>20</x:v>
      </x:c>
      <x:c r="I13411" s="0" t="s">
        <x:v>21</x:v>
      </x:c>
      <x:c r="K13411" s="0">
        <x:f>hyperlink("https://icd.who.int/dev11/l-ichi/en#/http%3A%2F%2Fid.who.int%2Ficd%2Fentity%2F1733252215","browser")</x:f>
      </x:c>
      <x:c r="L13411" s="0">
        <x:f>hyperlink("https://icat2.azurewebsites.net/icat/?ontology=ICD&amp;tab=ClassesTab&amp;id=http%3A%2F%2Fwho.int%2Ficd%23SpecificAnatomicLocation_1734","iCat")</x:f>
      </x:c>
      <x:c r="M13411" s="0" t="s">
        <x:v>21</x:v>
      </x:c>
      <x:c r="N13411" s="0" t="s">
        <x:v>46</x:v>
      </x:c>
    </x:row>
    <x:row r="13412" spans="1:16">
      <x:c r="A13412" s="0" t="s">
        <x:v>50840</x:v>
      </x:c>
      <x:c r="B13412" s="0" t="s">
        <x:v>50841</x:v>
      </x:c>
      <x:c r="C13412" s="0" t="s">
        <x:v>42840</x:v>
      </x:c>
      <x:c r="E13412" s="0" t="s">
        <x:v>50842</x:v>
      </x:c>
      <x:c r="F13412" s="0" t="s">
        <x:v>45</x:v>
      </x:c>
      <x:c r="G13412" s="0" t="s">
        <x:v>30</x:v>
      </x:c>
      <x:c r="H13412" s="0" t="s">
        <x:v>20</x:v>
      </x:c>
      <x:c r="I13412" s="0" t="s">
        <x:v>21</x:v>
      </x:c>
      <x:c r="K13412" s="0">
        <x:f>hyperlink("https://icd.who.int/dev11/l-ichi/en#/http%3A%2F%2Fid.who.int%2Ficd%2Fentity%2F1885810871","browser")</x:f>
      </x:c>
      <x:c r="L13412" s="0">
        <x:f>hyperlink("https://icat2.azurewebsites.net/icat/?ontology=ICD&amp;tab=ClassesTab&amp;id=http%3A%2F%2Fwho.int%2Ficd%23SpecificAnatomicLocation_1735","iCat")</x:f>
      </x:c>
      <x:c r="M13412" s="0" t="s">
        <x:v>21</x:v>
      </x:c>
      <x:c r="N13412" s="0" t="s">
        <x:v>46</x:v>
      </x:c>
    </x:row>
    <x:row r="13413" spans="1:16">
      <x:c r="A13413" s="0" t="s">
        <x:v>50843</x:v>
      </x:c>
      <x:c r="B13413" s="0" t="s">
        <x:v>50844</x:v>
      </x:c>
      <x:c r="C13413" s="0" t="s">
        <x:v>42840</x:v>
      </x:c>
      <x:c r="E13413" s="0" t="s">
        <x:v>50845</x:v>
      </x:c>
      <x:c r="F13413" s="0" t="s">
        <x:v>45</x:v>
      </x:c>
      <x:c r="G13413" s="0" t="s">
        <x:v>30</x:v>
      </x:c>
      <x:c r="H13413" s="0" t="s">
        <x:v>20</x:v>
      </x:c>
      <x:c r="I13413" s="0" t="s">
        <x:v>21</x:v>
      </x:c>
      <x:c r="K13413" s="0">
        <x:f>hyperlink("https://icd.who.int/dev11/l-ichi/en#/http%3A%2F%2Fid.who.int%2Ficd%2Fentity%2F1226808823","browser")</x:f>
      </x:c>
      <x:c r="L13413" s="0">
        <x:f>hyperlink("https://icat2.azurewebsites.net/icat/?ontology=ICD&amp;tab=ClassesTab&amp;id=http%3A%2F%2Fwho.int%2Ficd%23SpecificAnatomicLocation_1736","iCat")</x:f>
      </x:c>
      <x:c r="M13413" s="0" t="s">
        <x:v>21</x:v>
      </x:c>
      <x:c r="N13413" s="0" t="s">
        <x:v>46</x:v>
      </x:c>
    </x:row>
    <x:row r="13414" spans="1:16">
      <x:c r="A13414" s="0" t="s">
        <x:v>50846</x:v>
      </x:c>
      <x:c r="B13414" s="0" t="s">
        <x:v>50847</x:v>
      </x:c>
      <x:c r="C13414" s="0" t="s">
        <x:v>42840</x:v>
      </x:c>
      <x:c r="E13414" s="0" t="s">
        <x:v>50848</x:v>
      </x:c>
      <x:c r="F13414" s="0" t="s">
        <x:v>45</x:v>
      </x:c>
      <x:c r="G13414" s="0" t="s">
        <x:v>30</x:v>
      </x:c>
      <x:c r="H13414" s="0" t="s">
        <x:v>20</x:v>
      </x:c>
      <x:c r="I13414" s="0" t="s">
        <x:v>21</x:v>
      </x:c>
      <x:c r="K13414" s="0">
        <x:f>hyperlink("https://icd.who.int/dev11/l-ichi/en#/http%3A%2F%2Fid.who.int%2Ficd%2Fentity%2F1580726583","browser")</x:f>
      </x:c>
      <x:c r="L13414" s="0">
        <x:f>hyperlink("https://icat2.azurewebsites.net/icat/?ontology=ICD&amp;tab=ClassesTab&amp;id=http%3A%2F%2Fwho.int%2Ficd%23SpecificAnatomicLocation_1737","iCat")</x:f>
      </x:c>
      <x:c r="M13414" s="0" t="s">
        <x:v>21</x:v>
      </x:c>
      <x:c r="N13414" s="0" t="s">
        <x:v>46</x:v>
      </x:c>
    </x:row>
    <x:row r="13415" spans="1:16">
      <x:c r="A13415" s="0" t="s">
        <x:v>50849</x:v>
      </x:c>
      <x:c r="B13415" s="0" t="s">
        <x:v>50850</x:v>
      </x:c>
      <x:c r="C13415" s="0" t="s">
        <x:v>42840</x:v>
      </x:c>
      <x:c r="E13415" s="0" t="s">
        <x:v>50851</x:v>
      </x:c>
      <x:c r="F13415" s="0" t="s">
        <x:v>45</x:v>
      </x:c>
      <x:c r="G13415" s="0" t="s">
        <x:v>30</x:v>
      </x:c>
      <x:c r="H13415" s="0" t="s">
        <x:v>20</x:v>
      </x:c>
      <x:c r="I13415" s="0" t="s">
        <x:v>21</x:v>
      </x:c>
      <x:c r="K13415" s="0">
        <x:f>hyperlink("https://icd.who.int/dev11/l-ichi/en#/http%3A%2F%2Fid.who.int%2Ficd%2Fentity%2F2102533769","browser")</x:f>
      </x:c>
      <x:c r="L13415" s="0">
        <x:f>hyperlink("https://icat2.azurewebsites.net/icat/?ontology=ICD&amp;tab=ClassesTab&amp;id=http%3A%2F%2Fwho.int%2Ficd%23SpecificAnatomicLocation_1738","iCat")</x:f>
      </x:c>
      <x:c r="M13415" s="0" t="s">
        <x:v>21</x:v>
      </x:c>
      <x:c r="N13415" s="0" t="s">
        <x:v>46</x:v>
      </x:c>
    </x:row>
    <x:row r="13416" spans="1:16">
      <x:c r="A13416" s="0" t="s">
        <x:v>50852</x:v>
      </x:c>
      <x:c r="B13416" s="0" t="s">
        <x:v>50853</x:v>
      </x:c>
      <x:c r="C13416" s="0" t="s">
        <x:v>42840</x:v>
      </x:c>
      <x:c r="E13416" s="0" t="s">
        <x:v>50854</x:v>
      </x:c>
      <x:c r="F13416" s="0" t="s">
        <x:v>45</x:v>
      </x:c>
      <x:c r="G13416" s="0" t="s">
        <x:v>30</x:v>
      </x:c>
      <x:c r="H13416" s="0" t="s">
        <x:v>20</x:v>
      </x:c>
      <x:c r="I13416" s="0" t="s">
        <x:v>21</x:v>
      </x:c>
      <x:c r="K13416" s="0">
        <x:f>hyperlink("https://icd.who.int/dev11/l-ichi/en#/http%3A%2F%2Fid.who.int%2Ficd%2Fentity%2F1786411593","browser")</x:f>
      </x:c>
      <x:c r="L13416" s="0">
        <x:f>hyperlink("https://icat2.azurewebsites.net/icat/?ontology=ICD&amp;tab=ClassesTab&amp;id=http%3A%2F%2Fwho.int%2Ficd%23SpecificAnatomicLocation_1739","iCat")</x:f>
      </x:c>
      <x:c r="M13416" s="0" t="s">
        <x:v>21</x:v>
      </x:c>
      <x:c r="N13416" s="0" t="s">
        <x:v>46</x:v>
      </x:c>
    </x:row>
    <x:row r="13417" spans="1:16">
      <x:c r="A13417" s="0" t="s">
        <x:v>50855</x:v>
      </x:c>
      <x:c r="B13417" s="0" t="s">
        <x:v>50856</x:v>
      </x:c>
      <x:c r="C13417" s="0" t="s">
        <x:v>42840</x:v>
      </x:c>
      <x:c r="E13417" s="0" t="s">
        <x:v>50857</x:v>
      </x:c>
      <x:c r="F13417" s="0" t="s">
        <x:v>45</x:v>
      </x:c>
      <x:c r="G13417" s="0" t="s">
        <x:v>30</x:v>
      </x:c>
      <x:c r="H13417" s="0" t="s">
        <x:v>20</x:v>
      </x:c>
      <x:c r="I13417" s="0" t="s">
        <x:v>21</x:v>
      </x:c>
      <x:c r="K13417" s="0">
        <x:f>hyperlink("https://icd.who.int/dev11/l-ichi/en#/http%3A%2F%2Fid.who.int%2Ficd%2Fentity%2F183955456","browser")</x:f>
      </x:c>
      <x:c r="L13417" s="0">
        <x:f>hyperlink("https://icat2.azurewebsites.net/icat/?ontology=ICD&amp;tab=ClassesTab&amp;id=http%3A%2F%2Fwho.int%2Ficd%23SpecificAnatomicLocation_1740","iCat")</x:f>
      </x:c>
      <x:c r="M13417" s="0" t="s">
        <x:v>21</x:v>
      </x:c>
      <x:c r="N13417" s="0" t="s">
        <x:v>46</x:v>
      </x:c>
    </x:row>
    <x:row r="13418" spans="1:16">
      <x:c r="A13418" s="0" t="s">
        <x:v>50858</x:v>
      </x:c>
      <x:c r="B13418" s="0" t="s">
        <x:v>50859</x:v>
      </x:c>
      <x:c r="C13418" s="0" t="s">
        <x:v>42840</x:v>
      </x:c>
      <x:c r="E13418" s="0" t="s">
        <x:v>50860</x:v>
      </x:c>
      <x:c r="F13418" s="0" t="s">
        <x:v>45</x:v>
      </x:c>
      <x:c r="G13418" s="0" t="s">
        <x:v>30</x:v>
      </x:c>
      <x:c r="H13418" s="0" t="s">
        <x:v>20</x:v>
      </x:c>
      <x:c r="I13418" s="0" t="s">
        <x:v>21</x:v>
      </x:c>
      <x:c r="K13418" s="0">
        <x:f>hyperlink("https://icd.who.int/dev11/l-ichi/en#/http%3A%2F%2Fid.who.int%2Ficd%2Fentity%2F501126336","browser")</x:f>
      </x:c>
      <x:c r="L13418" s="0">
        <x:f>hyperlink("https://icat2.azurewebsites.net/icat/?ontology=ICD&amp;tab=ClassesTab&amp;id=http%3A%2F%2Fwho.int%2Ficd%23SpecificAnatomicLocation_1741","iCat")</x:f>
      </x:c>
      <x:c r="M13418" s="0" t="s">
        <x:v>21</x:v>
      </x:c>
      <x:c r="N13418" s="0" t="s">
        <x:v>46</x:v>
      </x:c>
    </x:row>
    <x:row r="13419" spans="1:16">
      <x:c r="A13419" s="0" t="s">
        <x:v>50861</x:v>
      </x:c>
      <x:c r="B13419" s="0" t="s">
        <x:v>50862</x:v>
      </x:c>
      <x:c r="C13419" s="0" t="s">
        <x:v>42840</x:v>
      </x:c>
      <x:c r="E13419" s="0" t="s">
        <x:v>50863</x:v>
      </x:c>
      <x:c r="F13419" s="0" t="s">
        <x:v>45</x:v>
      </x:c>
      <x:c r="G13419" s="0" t="s">
        <x:v>30</x:v>
      </x:c>
      <x:c r="H13419" s="0" t="s">
        <x:v>20</x:v>
      </x:c>
      <x:c r="I13419" s="0" t="s">
        <x:v>21</x:v>
      </x:c>
      <x:c r="K13419" s="0">
        <x:f>hyperlink("https://icd.who.int/dev11/l-ichi/en#/http%3A%2F%2Fid.who.int%2Ficd%2Fentity%2F614873472","browser")</x:f>
      </x:c>
      <x:c r="L13419" s="0">
        <x:f>hyperlink("https://icat2.azurewebsites.net/icat/?ontology=ICD&amp;tab=ClassesTab&amp;id=http%3A%2F%2Fwho.int%2Ficd%23SpecificAnatomicLocation_1742","iCat")</x:f>
      </x:c>
      <x:c r="M13419" s="0" t="s">
        <x:v>21</x:v>
      </x:c>
      <x:c r="N13419" s="0" t="s">
        <x:v>46</x:v>
      </x:c>
    </x:row>
    <x:row r="13420" spans="1:16">
      <x:c r="A13420" s="0" t="s">
        <x:v>50864</x:v>
      </x:c>
      <x:c r="B13420" s="0" t="s">
        <x:v>50865</x:v>
      </x:c>
      <x:c r="D13420" s="0" t="s">
        <x:v>44524</x:v>
      </x:c>
      <x:c r="E13420" s="0" t="s">
        <x:v>50866</x:v>
      </x:c>
      <x:c r="F13420" s="0" t="s">
        <x:v>26</x:v>
      </x:c>
      <x:c r="G13420" s="0" t="s">
        <x:v>22</x:v>
      </x:c>
      <x:c r="H13420" s="0" t="s">
        <x:v>20</x:v>
      </x:c>
      <x:c r="I13420" s="0" t="s">
        <x:v>21</x:v>
      </x:c>
      <x:c r="K13420" s="0">
        <x:f>hyperlink("https://icd.who.int/dev11/l-ichi/en#/http%3A%2F%2Fid.who.int%2Ficd%2Fentity%2F1617949731","browser")</x:f>
      </x:c>
      <x:c r="L13420" s="0">
        <x:f>hyperlink("https://icat2.azurewebsites.net/icat/?ontology=ICD&amp;tab=ClassesTab&amp;id=http%3A%2F%2Fwho.int%2Ficd%23SpecificAnatomicLocation_3751","iCat")</x:f>
      </x:c>
      <x:c r="M13420" s="0" t="s">
        <x:v>20</x:v>
      </x:c>
      <x:c r="N13420" s="0" t="s">
        <x:v>119</x:v>
      </x:c>
    </x:row>
    <x:row r="13421" spans="1:16">
      <x:c r="A13421" s="0" t="s">
        <x:v>50867</x:v>
      </x:c>
      <x:c r="B13421" s="0" t="s">
        <x:v>50868</x:v>
      </x:c>
      <x:c r="C13421" s="0" t="s">
        <x:v>42840</x:v>
      </x:c>
      <x:c r="E13421" s="0" t="s">
        <x:v>50869</x:v>
      </x:c>
      <x:c r="F13421" s="0" t="s">
        <x:v>45</x:v>
      </x:c>
      <x:c r="G13421" s="0" t="s">
        <x:v>19</x:v>
      </x:c>
      <x:c r="H13421" s="0" t="s">
        <x:v>20</x:v>
      </x:c>
      <x:c r="I13421" s="0" t="s">
        <x:v>21</x:v>
      </x:c>
      <x:c r="K13421" s="0">
        <x:f>hyperlink("https://icd.who.int/dev11/l-ichi/en#/http%3A%2F%2Fid.who.int%2Ficd%2Fentity%2F1126217939","browser")</x:f>
      </x:c>
      <x:c r="L13421" s="0">
        <x:f>hyperlink("https://icat2.azurewebsites.net/icat/?ontology=ICD&amp;tab=ClassesTab&amp;id=http%3A%2F%2Fwho.int%2Ficd%23SpecificAnatomicLocation_3597","iCat")</x:f>
      </x:c>
      <x:c r="M13421" s="0" t="s">
        <x:v>20</x:v>
      </x:c>
      <x:c r="N13421" s="0" t="s">
        <x:v>19748</x:v>
      </x:c>
    </x:row>
    <x:row r="13422" spans="1:16">
      <x:c r="A13422" s="0" t="s">
        <x:v>50870</x:v>
      </x:c>
      <x:c r="B13422" s="0" t="s">
        <x:v>50871</x:v>
      </x:c>
      <x:c r="C13422" s="0" t="s">
        <x:v>42840</x:v>
      </x:c>
      <x:c r="E13422" s="0" t="s">
        <x:v>50872</x:v>
      </x:c>
      <x:c r="F13422" s="0" t="s">
        <x:v>45</x:v>
      </x:c>
      <x:c r="G13422" s="0" t="s">
        <x:v>30</x:v>
      </x:c>
      <x:c r="H13422" s="0" t="s">
        <x:v>20</x:v>
      </x:c>
      <x:c r="I13422" s="0" t="s">
        <x:v>21</x:v>
      </x:c>
      <x:c r="K13422" s="0">
        <x:f>hyperlink("https://icd.who.int/dev11/l-ichi/en#/http%3A%2F%2Fid.who.int%2Ficd%2Fentity%2F847743189","browser")</x:f>
      </x:c>
      <x:c r="L13422" s="0">
        <x:f>hyperlink("https://icat2.azurewebsites.net/icat/?ontology=ICD&amp;tab=ClassesTab&amp;id=http%3A%2F%2Fwho.int%2Ficd%23SpecificAnatomicLocation_3542","iCat")</x:f>
      </x:c>
      <x:c r="M13422" s="0" t="s">
        <x:v>21</x:v>
      </x:c>
      <x:c r="N13422" s="0" t="s">
        <x:v>46</x:v>
      </x:c>
    </x:row>
    <x:row r="13423" spans="1:16">
      <x:c r="A13423" s="0" t="s">
        <x:v>50873</x:v>
      </x:c>
      <x:c r="B13423" s="0" t="s">
        <x:v>50874</x:v>
      </x:c>
      <x:c r="C13423" s="0" t="s">
        <x:v>42840</x:v>
      </x:c>
      <x:c r="E13423" s="0" t="s">
        <x:v>50875</x:v>
      </x:c>
      <x:c r="F13423" s="0" t="s">
        <x:v>45</x:v>
      </x:c>
      <x:c r="G13423" s="0" t="s">
        <x:v>30</x:v>
      </x:c>
      <x:c r="H13423" s="0" t="s">
        <x:v>20</x:v>
      </x:c>
      <x:c r="I13423" s="0" t="s">
        <x:v>21</x:v>
      </x:c>
      <x:c r="K13423" s="0">
        <x:f>hyperlink("https://icd.who.int/dev11/l-ichi/en#/http%3A%2F%2Fid.who.int%2Ficd%2Fentity%2F2101683579","browser")</x:f>
      </x:c>
      <x:c r="L13423" s="0">
        <x:f>hyperlink("https://icat2.azurewebsites.net/icat/?ontology=ICD&amp;tab=ClassesTab&amp;id=http%3A%2F%2Fwho.int%2Ficd%23SpecificAnatomicLocation_3522","iCat")</x:f>
      </x:c>
      <x:c r="M13423" s="0" t="s">
        <x:v>21</x:v>
      </x:c>
      <x:c r="N13423" s="0" t="s">
        <x:v>46</x:v>
      </x:c>
    </x:row>
    <x:row r="13424" spans="1:16">
      <x:c r="A13424" s="0" t="s">
        <x:v>50876</x:v>
      </x:c>
      <x:c r="B13424" s="0" t="s">
        <x:v>50877</x:v>
      </x:c>
      <x:c r="C13424" s="0" t="s">
        <x:v>42840</x:v>
      </x:c>
      <x:c r="E13424" s="0" t="s">
        <x:v>50878</x:v>
      </x:c>
      <x:c r="F13424" s="0" t="s">
        <x:v>45</x:v>
      </x:c>
      <x:c r="G13424" s="0" t="s">
        <x:v>30</x:v>
      </x:c>
      <x:c r="H13424" s="0" t="s">
        <x:v>20</x:v>
      </x:c>
      <x:c r="I13424" s="0" t="s">
        <x:v>21</x:v>
      </x:c>
      <x:c r="K13424" s="0">
        <x:f>hyperlink("https://icd.who.int/dev11/l-ichi/en#/http%3A%2F%2Fid.who.int%2Ficd%2Fentity%2F1785545147","browser")</x:f>
      </x:c>
      <x:c r="L13424" s="0">
        <x:f>hyperlink("https://icat2.azurewebsites.net/icat/?ontology=ICD&amp;tab=ClassesTab&amp;id=http%3A%2F%2Fwho.int%2Ficd%23SpecificAnatomicLocation_3523","iCat")</x:f>
      </x:c>
      <x:c r="M13424" s="0" t="s">
        <x:v>21</x:v>
      </x:c>
      <x:c r="N13424" s="0" t="s">
        <x:v>46</x:v>
      </x:c>
    </x:row>
    <x:row r="13425" spans="1:16">
      <x:c r="A13425" s="0" t="s">
        <x:v>50879</x:v>
      </x:c>
      <x:c r="B13425" s="0" t="s">
        <x:v>50880</x:v>
      </x:c>
      <x:c r="C13425" s="0" t="s">
        <x:v>42840</x:v>
      </x:c>
      <x:c r="E13425" s="0" t="s">
        <x:v>50881</x:v>
      </x:c>
      <x:c r="F13425" s="0" t="s">
        <x:v>45</x:v>
      </x:c>
      <x:c r="G13425" s="0" t="s">
        <x:v>30</x:v>
      </x:c>
      <x:c r="H13425" s="0" t="s">
        <x:v>20</x:v>
      </x:c>
      <x:c r="I13425" s="0" t="s">
        <x:v>21</x:v>
      </x:c>
      <x:c r="K13425" s="0">
        <x:f>hyperlink("https://icd.who.int/dev11/l-ichi/en#/http%3A%2F%2Fid.who.int%2Ficd%2Fentity%2F263487483","browser")</x:f>
      </x:c>
      <x:c r="L13425" s="0">
        <x:f>hyperlink("https://icat2.azurewebsites.net/icat/?ontology=ICD&amp;tab=ClassesTab&amp;id=http%3A%2F%2Fwho.int%2Ficd%23SpecificAnatomicLocation_3524","iCat")</x:f>
      </x:c>
      <x:c r="M13425" s="0" t="s">
        <x:v>21</x:v>
      </x:c>
      <x:c r="N13425" s="0" t="s">
        <x:v>46</x:v>
      </x:c>
    </x:row>
    <x:row r="13426" spans="1:16">
      <x:c r="A13426" s="0" t="s">
        <x:v>50882</x:v>
      </x:c>
      <x:c r="B13426" s="0" t="s">
        <x:v>50883</x:v>
      </x:c>
      <x:c r="C13426" s="0" t="s">
        <x:v>42840</x:v>
      </x:c>
      <x:c r="E13426" s="0" t="s">
        <x:v>50884</x:v>
      </x:c>
      <x:c r="F13426" s="0" t="s">
        <x:v>45</x:v>
      </x:c>
      <x:c r="G13426" s="0" t="s">
        <x:v>30</x:v>
      </x:c>
      <x:c r="H13426" s="0" t="s">
        <x:v>20</x:v>
      </x:c>
      <x:c r="I13426" s="0" t="s">
        <x:v>21</x:v>
      </x:c>
      <x:c r="K13426" s="0">
        <x:f>hyperlink("https://icd.who.int/dev11/l-ichi/en#/http%3A%2F%2Fid.who.int%2Ficd%2Fentity%2F412883771","browser")</x:f>
      </x:c>
      <x:c r="L13426" s="0">
        <x:f>hyperlink("https://icat2.azurewebsites.net/icat/?ontology=ICD&amp;tab=ClassesTab&amp;id=http%3A%2F%2Fwho.int%2Ficd%23SpecificAnatomicLocation_3525","iCat")</x:f>
      </x:c>
      <x:c r="M13426" s="0" t="s">
        <x:v>21</x:v>
      </x:c>
      <x:c r="N13426" s="0" t="s">
        <x:v>46</x:v>
      </x:c>
    </x:row>
    <x:row r="13427" spans="1:16">
      <x:c r="A13427" s="0" t="s">
        <x:v>50885</x:v>
      </x:c>
      <x:c r="B13427" s="0" t="s">
        <x:v>50886</x:v>
      </x:c>
      <x:c r="C13427" s="0" t="s">
        <x:v>42840</x:v>
      </x:c>
      <x:c r="E13427" s="0" t="s">
        <x:v>50887</x:v>
      </x:c>
      <x:c r="F13427" s="0" t="s">
        <x:v>45</x:v>
      </x:c>
      <x:c r="G13427" s="0" t="s">
        <x:v>30</x:v>
      </x:c>
      <x:c r="H13427" s="0" t="s">
        <x:v>20</x:v>
      </x:c>
      <x:c r="I13427" s="0" t="s">
        <x:v>21</x:v>
      </x:c>
      <x:c r="K13427" s="0">
        <x:f>hyperlink("https://icd.who.int/dev11/l-ichi/en#/http%3A%2F%2Fid.who.int%2Ficd%2Fentity%2F568637051","browser")</x:f>
      </x:c>
      <x:c r="L13427" s="0">
        <x:f>hyperlink("https://icat2.azurewebsites.net/icat/?ontology=ICD&amp;tab=ClassesTab&amp;id=http%3A%2F%2Fwho.int%2Ficd%23SpecificAnatomicLocation_3526","iCat")</x:f>
      </x:c>
      <x:c r="M13427" s="0" t="s">
        <x:v>21</x:v>
      </x:c>
      <x:c r="N13427" s="0" t="s">
        <x:v>46</x:v>
      </x:c>
    </x:row>
    <x:row r="13428" spans="1:16">
      <x:c r="A13428" s="0" t="s">
        <x:v>50888</x:v>
      </x:c>
      <x:c r="B13428" s="0" t="s">
        <x:v>50889</x:v>
      </x:c>
      <x:c r="C13428" s="0" t="s">
        <x:v>42840</x:v>
      </x:c>
      <x:c r="E13428" s="0" t="s">
        <x:v>50890</x:v>
      </x:c>
      <x:c r="F13428" s="0" t="s">
        <x:v>45</x:v>
      </x:c>
      <x:c r="G13428" s="0" t="s">
        <x:v>30</x:v>
      </x:c>
      <x:c r="H13428" s="0" t="s">
        <x:v>20</x:v>
      </x:c>
      <x:c r="I13428" s="0" t="s">
        <x:v>21</x:v>
      </x:c>
      <x:c r="K13428" s="0">
        <x:f>hyperlink("https://icd.who.int/dev11/l-ichi/en#/http%3A%2F%2Fid.who.int%2Ficd%2Fentity%2F919392955","browser")</x:f>
      </x:c>
      <x:c r="L13428" s="0">
        <x:f>hyperlink("https://icat2.azurewebsites.net/icat/?ontology=ICD&amp;tab=ClassesTab&amp;id=http%3A%2F%2Fwho.int%2Ficd%23SpecificAnatomicLocation_3527","iCat")</x:f>
      </x:c>
      <x:c r="M13428" s="0" t="s">
        <x:v>21</x:v>
      </x:c>
      <x:c r="N13428" s="0" t="s">
        <x:v>46</x:v>
      </x:c>
    </x:row>
    <x:row r="13429" spans="1:16">
      <x:c r="A13429" s="0" t="s">
        <x:v>50891</x:v>
      </x:c>
      <x:c r="B13429" s="0" t="s">
        <x:v>50892</x:v>
      </x:c>
      <x:c r="C13429" s="0" t="s">
        <x:v>42840</x:v>
      </x:c>
      <x:c r="E13429" s="0" t="s">
        <x:v>50893</x:v>
      </x:c>
      <x:c r="F13429" s="0" t="s">
        <x:v>45</x:v>
      </x:c>
      <x:c r="G13429" s="0" t="s">
        <x:v>30</x:v>
      </x:c>
      <x:c r="H13429" s="0" t="s">
        <x:v>20</x:v>
      </x:c>
      <x:c r="I13429" s="0" t="s">
        <x:v>21</x:v>
      </x:c>
      <x:c r="K13429" s="0">
        <x:f>hyperlink("https://icd.who.int/dev11/l-ichi/en#/http%3A%2F%2Fid.who.int%2Ficd%2Fentity%2F363410693","browser")</x:f>
      </x:c>
      <x:c r="L13429" s="0">
        <x:f>hyperlink("https://icat2.azurewebsites.net/icat/?ontology=ICD&amp;tab=ClassesTab&amp;id=http%3A%2F%2Fwho.int%2Ficd%23SpecificAnatomicLocation_3528","iCat")</x:f>
      </x:c>
      <x:c r="M13429" s="0" t="s">
        <x:v>21</x:v>
      </x:c>
      <x:c r="N13429" s="0" t="s">
        <x:v>46</x:v>
      </x:c>
    </x:row>
    <x:row r="13430" spans="1:16">
      <x:c r="A13430" s="0" t="s">
        <x:v>50894</x:v>
      </x:c>
      <x:c r="B13430" s="0" t="s">
        <x:v>50895</x:v>
      </x:c>
      <x:c r="C13430" s="0" t="s">
        <x:v>42840</x:v>
      </x:c>
      <x:c r="E13430" s="0" t="s">
        <x:v>50896</x:v>
      </x:c>
      <x:c r="F13430" s="0" t="s">
        <x:v>45</x:v>
      </x:c>
      <x:c r="G13430" s="0" t="s">
        <x:v>30</x:v>
      </x:c>
      <x:c r="H13430" s="0" t="s">
        <x:v>20</x:v>
      </x:c>
      <x:c r="I13430" s="0" t="s">
        <x:v>21</x:v>
      </x:c>
      <x:c r="K13430" s="0">
        <x:f>hyperlink("https://icd.who.int/dev11/l-ichi/en#/http%3A%2F%2Fid.who.int%2Ficd%2Fentity%2F42029509","browser")</x:f>
      </x:c>
      <x:c r="L13430" s="0">
        <x:f>hyperlink("https://icat2.azurewebsites.net/icat/?ontology=ICD&amp;tab=ClassesTab&amp;id=http%3A%2F%2Fwho.int%2Ficd%23SpecificAnatomicLocation_3529","iCat")</x:f>
      </x:c>
      <x:c r="M13430" s="0" t="s">
        <x:v>21</x:v>
      </x:c>
      <x:c r="N13430" s="0" t="s">
        <x:v>46</x:v>
      </x:c>
    </x:row>
    <x:row r="13431" spans="1:16">
      <x:c r="A13431" s="0" t="s">
        <x:v>50897</x:v>
      </x:c>
      <x:c r="B13431" s="0" t="s">
        <x:v>50898</x:v>
      </x:c>
      <x:c r="C13431" s="0" t="s">
        <x:v>42840</x:v>
      </x:c>
      <x:c r="E13431" s="0" t="s">
        <x:v>50899</x:v>
      </x:c>
      <x:c r="F13431" s="0" t="s">
        <x:v>45</x:v>
      </x:c>
      <x:c r="G13431" s="0" t="s">
        <x:v>30</x:v>
      </x:c>
      <x:c r="H13431" s="0" t="s">
        <x:v>20</x:v>
      </x:c>
      <x:c r="I13431" s="0" t="s">
        <x:v>21</x:v>
      </x:c>
      <x:c r="K13431" s="0">
        <x:f>hyperlink("https://icd.who.int/dev11/l-ichi/en#/http%3A%2F%2Fid.who.int%2Ficd%2Fentity%2F768570914","browser")</x:f>
      </x:c>
      <x:c r="L13431" s="0">
        <x:f>hyperlink("https://icat2.azurewebsites.net/icat/?ontology=ICD&amp;tab=ClassesTab&amp;id=http%3A%2F%2Fwho.int%2Ficd%23SpecificAnatomicLocation_3530","iCat")</x:f>
      </x:c>
      <x:c r="M13431" s="0" t="s">
        <x:v>21</x:v>
      </x:c>
      <x:c r="N13431" s="0" t="s">
        <x:v>46</x:v>
      </x:c>
    </x:row>
    <x:row r="13432" spans="1:16">
      <x:c r="A13432" s="0" t="s">
        <x:v>50900</x:v>
      </x:c>
      <x:c r="B13432" s="0" t="s">
        <x:v>50901</x:v>
      </x:c>
      <x:c r="C13432" s="0" t="s">
        <x:v>42840</x:v>
      </x:c>
      <x:c r="E13432" s="0" t="s">
        <x:v>50902</x:v>
      </x:c>
      <x:c r="F13432" s="0" t="s">
        <x:v>45</x:v>
      </x:c>
      <x:c r="G13432" s="0" t="s">
        <x:v>30</x:v>
      </x:c>
      <x:c r="H13432" s="0" t="s">
        <x:v>20</x:v>
      </x:c>
      <x:c r="I13432" s="0" t="s">
        <x:v>21</x:v>
      </x:c>
      <x:c r="K13432" s="0">
        <x:f>hyperlink("https://icd.who.int/dev11/l-ichi/en#/http%3A%2F%2Fid.who.int%2Ficd%2Fentity%2F988222178","browser")</x:f>
      </x:c>
      <x:c r="L13432" s="0">
        <x:f>hyperlink("https://icat2.azurewebsites.net/icat/?ontology=ICD&amp;tab=ClassesTab&amp;id=http%3A%2F%2Fwho.int%2Ficd%23SpecificAnatomicLocation_3531","iCat")</x:f>
      </x:c>
      <x:c r="M13432" s="0" t="s">
        <x:v>21</x:v>
      </x:c>
      <x:c r="N13432" s="0" t="s">
        <x:v>46</x:v>
      </x:c>
    </x:row>
    <x:row r="13433" spans="1:16">
      <x:c r="A13433" s="0" t="s">
        <x:v>50903</x:v>
      </x:c>
      <x:c r="B13433" s="0" t="s">
        <x:v>50904</x:v>
      </x:c>
      <x:c r="C13433" s="0" t="s">
        <x:v>42840</x:v>
      </x:c>
      <x:c r="E13433" s="0" t="s">
        <x:v>50905</x:v>
      </x:c>
      <x:c r="F13433" s="0" t="s">
        <x:v>45</x:v>
      </x:c>
      <x:c r="G13433" s="0" t="s">
        <x:v>30</x:v>
      </x:c>
      <x:c r="H13433" s="0" t="s">
        <x:v>20</x:v>
      </x:c>
      <x:c r="I13433" s="0" t="s">
        <x:v>21</x:v>
      </x:c>
      <x:c r="K13433" s="0">
        <x:f>hyperlink("https://icd.who.int/dev11/l-ichi/en#/http%3A%2F%2Fid.who.int%2Ficd%2Fentity%2F60800930","browser")</x:f>
      </x:c>
      <x:c r="L13433" s="0">
        <x:f>hyperlink("https://icat2.azurewebsites.net/icat/?ontology=ICD&amp;tab=ClassesTab&amp;id=http%3A%2F%2Fwho.int%2Ficd%23SpecificAnatomicLocation_3532","iCat")</x:f>
      </x:c>
      <x:c r="M13433" s="0" t="s">
        <x:v>21</x:v>
      </x:c>
      <x:c r="N13433" s="0" t="s">
        <x:v>46</x:v>
      </x:c>
    </x:row>
    <x:row r="13434" spans="1:16">
      <x:c r="A13434" s="0" t="s">
        <x:v>50906</x:v>
      </x:c>
      <x:c r="B13434" s="0" t="s">
        <x:v>50907</x:v>
      </x:c>
      <x:c r="C13434" s="0" t="s">
        <x:v>42840</x:v>
      </x:c>
      <x:c r="E13434" s="0" t="s">
        <x:v>50908</x:v>
      </x:c>
      <x:c r="F13434" s="0" t="s">
        <x:v>45</x:v>
      </x:c>
      <x:c r="G13434" s="0" t="s">
        <x:v>30</x:v>
      </x:c>
      <x:c r="H13434" s="0" t="s">
        <x:v>20</x:v>
      </x:c>
      <x:c r="I13434" s="0" t="s">
        <x:v>21</x:v>
      </x:c>
      <x:c r="K13434" s="0">
        <x:f>hyperlink("https://icd.who.int/dev11/l-ichi/en#/http%3A%2F%2Fid.who.int%2Ficd%2Fentity%2F347593570","browser")</x:f>
      </x:c>
      <x:c r="L13434" s="0">
        <x:f>hyperlink("https://icat2.azurewebsites.net/icat/?ontology=ICD&amp;tab=ClassesTab&amp;id=http%3A%2F%2Fwho.int%2Ficd%23SpecificAnatomicLocation_3533","iCat")</x:f>
      </x:c>
      <x:c r="M13434" s="0" t="s">
        <x:v>21</x:v>
      </x:c>
      <x:c r="N13434" s="0" t="s">
        <x:v>46</x:v>
      </x:c>
    </x:row>
    <x:row r="13435" spans="1:16">
      <x:c r="A13435" s="0" t="s">
        <x:v>50909</x:v>
      </x:c>
      <x:c r="B13435" s="0" t="s">
        <x:v>50910</x:v>
      </x:c>
      <x:c r="C13435" s="0" t="s">
        <x:v>42840</x:v>
      </x:c>
      <x:c r="E13435" s="0" t="s">
        <x:v>50911</x:v>
      </x:c>
      <x:c r="F13435" s="0" t="s">
        <x:v>45</x:v>
      </x:c>
      <x:c r="G13435" s="0" t="s">
        <x:v>30</x:v>
      </x:c>
      <x:c r="H13435" s="0" t="s">
        <x:v>20</x:v>
      </x:c>
      <x:c r="I13435" s="0" t="s">
        <x:v>21</x:v>
      </x:c>
      <x:c r="K13435" s="0">
        <x:f>hyperlink("https://icd.who.int/dev11/l-ichi/en#/http%3A%2F%2Fid.who.int%2Ficd%2Fentity%2F1903093026","browser")</x:f>
      </x:c>
      <x:c r="L13435" s="0">
        <x:f>hyperlink("https://icat2.azurewebsites.net/icat/?ontology=ICD&amp;tab=ClassesTab&amp;id=http%3A%2F%2Fwho.int%2Ficd%23SpecificAnatomicLocation_3534","iCat")</x:f>
      </x:c>
      <x:c r="M13435" s="0" t="s">
        <x:v>21</x:v>
      </x:c>
      <x:c r="N13435" s="0" t="s">
        <x:v>46</x:v>
      </x:c>
    </x:row>
    <x:row r="13436" spans="1:16">
      <x:c r="A13436" s="0" t="s">
        <x:v>50912</x:v>
      </x:c>
      <x:c r="B13436" s="0" t="s">
        <x:v>50913</x:v>
      </x:c>
      <x:c r="C13436" s="0" t="s">
        <x:v>42840</x:v>
      </x:c>
      <x:c r="E13436" s="0" t="s">
        <x:v>50914</x:v>
      </x:c>
      <x:c r="F13436" s="0" t="s">
        <x:v>45</x:v>
      </x:c>
      <x:c r="G13436" s="0" t="s">
        <x:v>30</x:v>
      </x:c>
      <x:c r="H13436" s="0" t="s">
        <x:v>20</x:v>
      </x:c>
      <x:c r="I13436" s="0" t="s">
        <x:v>21</x:v>
      </x:c>
      <x:c r="K13436" s="0">
        <x:f>hyperlink("https://icd.who.int/dev11/l-ichi/en#/http%3A%2F%2Fid.who.int%2Ficd%2Fentity%2F1715896802","browser")</x:f>
      </x:c>
      <x:c r="L13436" s="0">
        <x:f>hyperlink("https://icat2.azurewebsites.net/icat/?ontology=ICD&amp;tab=ClassesTab&amp;id=http%3A%2F%2Fwho.int%2Ficd%23SpecificAnatomicLocation_3535","iCat")</x:f>
      </x:c>
      <x:c r="M13436" s="0" t="s">
        <x:v>21</x:v>
      </x:c>
      <x:c r="N13436" s="0" t="s">
        <x:v>46</x:v>
      </x:c>
    </x:row>
    <x:row r="13437" spans="1:16">
      <x:c r="A13437" s="0" t="s">
        <x:v>50915</x:v>
      </x:c>
      <x:c r="B13437" s="0" t="s">
        <x:v>50916</x:v>
      </x:c>
      <x:c r="C13437" s="0" t="s">
        <x:v>42840</x:v>
      </x:c>
      <x:c r="E13437" s="0" t="s">
        <x:v>50917</x:v>
      </x:c>
      <x:c r="F13437" s="0" t="s">
        <x:v>45</x:v>
      </x:c>
      <x:c r="G13437" s="0" t="s">
        <x:v>30</x:v>
      </x:c>
      <x:c r="H13437" s="0" t="s">
        <x:v>20</x:v>
      </x:c>
      <x:c r="I13437" s="0" t="s">
        <x:v>21</x:v>
      </x:c>
      <x:c r="K13437" s="0">
        <x:f>hyperlink("https://icd.who.int/dev11/l-ichi/en#/http%3A%2F%2Fid.who.int%2Ficd%2Fentity%2F1597910178","browser")</x:f>
      </x:c>
      <x:c r="L13437" s="0">
        <x:f>hyperlink("https://icat2.azurewebsites.net/icat/?ontology=ICD&amp;tab=ClassesTab&amp;id=http%3A%2F%2Fwho.int%2Ficd%23SpecificAnatomicLocation_3536","iCat")</x:f>
      </x:c>
      <x:c r="M13437" s="0" t="s">
        <x:v>21</x:v>
      </x:c>
      <x:c r="N13437" s="0" t="s">
        <x:v>46</x:v>
      </x:c>
    </x:row>
    <x:row r="13438" spans="1:16">
      <x:c r="A13438" s="0" t="s">
        <x:v>50918</x:v>
      </x:c>
      <x:c r="B13438" s="0" t="s">
        <x:v>50919</x:v>
      </x:c>
      <x:c r="C13438" s="0" t="s">
        <x:v>42840</x:v>
      </x:c>
      <x:c r="E13438" s="0" t="s">
        <x:v>50920</x:v>
      </x:c>
      <x:c r="F13438" s="0" t="s">
        <x:v>45</x:v>
      </x:c>
      <x:c r="G13438" s="0" t="s">
        <x:v>30</x:v>
      </x:c>
      <x:c r="H13438" s="0" t="s">
        <x:v>20</x:v>
      </x:c>
      <x:c r="I13438" s="0" t="s">
        <x:v>21</x:v>
      </x:c>
      <x:c r="K13438" s="0">
        <x:f>hyperlink("https://icd.who.int/dev11/l-ichi/en#/http%3A%2F%2Fid.who.int%2Ficd%2Fentity%2F1209419874","browser")</x:f>
      </x:c>
      <x:c r="L13438" s="0">
        <x:f>hyperlink("https://icat2.azurewebsites.net/icat/?ontology=ICD&amp;tab=ClassesTab&amp;id=http%3A%2F%2Fwho.int%2Ficd%23SpecificAnatomicLocation_3537","iCat")</x:f>
      </x:c>
      <x:c r="M13438" s="0" t="s">
        <x:v>21</x:v>
      </x:c>
      <x:c r="N13438" s="0" t="s">
        <x:v>46</x:v>
      </x:c>
    </x:row>
    <x:row r="13439" spans="1:16">
      <x:c r="A13439" s="0" t="s">
        <x:v>50921</x:v>
      </x:c>
      <x:c r="B13439" s="0" t="s">
        <x:v>50922</x:v>
      </x:c>
      <x:c r="C13439" s="0" t="s">
        <x:v>42840</x:v>
      </x:c>
      <x:c r="E13439" s="0" t="s">
        <x:v>50923</x:v>
      </x:c>
      <x:c r="F13439" s="0" t="s">
        <x:v>45</x:v>
      </x:c>
      <x:c r="G13439" s="0" t="s">
        <x:v>30</x:v>
      </x:c>
      <x:c r="H13439" s="0" t="s">
        <x:v>20</x:v>
      </x:c>
      <x:c r="I13439" s="0" t="s">
        <x:v>21</x:v>
      </x:c>
      <x:c r="K13439" s="0">
        <x:f>hyperlink("https://icd.who.int/dev11/l-ichi/en#/http%3A%2F%2Fid.who.int%2Ficd%2Fentity%2F1802743774","browser")</x:f>
      </x:c>
      <x:c r="L13439" s="0">
        <x:f>hyperlink("https://icat2.azurewebsites.net/icat/?ontology=ICD&amp;tab=ClassesTab&amp;id=http%3A%2F%2Fwho.int%2Ficd%23SpecificAnatomicLocation_3538","iCat")</x:f>
      </x:c>
      <x:c r="M13439" s="0" t="s">
        <x:v>21</x:v>
      </x:c>
      <x:c r="N13439" s="0" t="s">
        <x:v>46</x:v>
      </x:c>
    </x:row>
    <x:row r="13440" spans="1:16">
      <x:c r="A13440" s="0" t="s">
        <x:v>50924</x:v>
      </x:c>
      <x:c r="B13440" s="0" t="s">
        <x:v>50925</x:v>
      </x:c>
      <x:c r="C13440" s="0" t="s">
        <x:v>42840</x:v>
      </x:c>
      <x:c r="E13440" s="0" t="s">
        <x:v>50926</x:v>
      </x:c>
      <x:c r="F13440" s="0" t="s">
        <x:v>45</x:v>
      </x:c>
      <x:c r="G13440" s="0" t="s">
        <x:v>30</x:v>
      </x:c>
      <x:c r="H13440" s="0" t="s">
        <x:v>20</x:v>
      </x:c>
      <x:c r="I13440" s="0" t="s">
        <x:v>21</x:v>
      </x:c>
      <x:c r="K13440" s="0">
        <x:f>hyperlink("https://icd.who.int/dev11/l-ichi/en#/http%3A%2F%2Fid.who.int%2Ficd%2Fentity%2F2086390558","browser")</x:f>
      </x:c>
      <x:c r="L13440" s="0">
        <x:f>hyperlink("https://icat2.azurewebsites.net/icat/?ontology=ICD&amp;tab=ClassesTab&amp;id=http%3A%2F%2Fwho.int%2Ficd%23SpecificAnatomicLocation_3539","iCat")</x:f>
      </x:c>
      <x:c r="M13440" s="0" t="s">
        <x:v>21</x:v>
      </x:c>
      <x:c r="N13440" s="0" t="s">
        <x:v>46</x:v>
      </x:c>
    </x:row>
    <x:row r="13441" spans="1:16">
      <x:c r="A13441" s="0" t="s">
        <x:v>50927</x:v>
      </x:c>
      <x:c r="B13441" s="0" t="s">
        <x:v>50928</x:v>
      </x:c>
      <x:c r="C13441" s="0" t="s">
        <x:v>42840</x:v>
      </x:c>
      <x:c r="E13441" s="0" t="s">
        <x:v>50929</x:v>
      </x:c>
      <x:c r="F13441" s="0" t="s">
        <x:v>45</x:v>
      </x:c>
      <x:c r="G13441" s="0" t="s">
        <x:v>30</x:v>
      </x:c>
      <x:c r="H13441" s="0" t="s">
        <x:v>20</x:v>
      </x:c>
      <x:c r="I13441" s="0" t="s">
        <x:v>21</x:v>
      </x:c>
      <x:c r="K13441" s="0">
        <x:f>hyperlink("https://icd.who.int/dev11/l-ichi/en#/http%3A%2F%2Fid.who.int%2Ficd%2Fentity%2F483869013","browser")</x:f>
      </x:c>
      <x:c r="L13441" s="0">
        <x:f>hyperlink("https://icat2.azurewebsites.net/icat/?ontology=ICD&amp;tab=ClassesTab&amp;id=http%3A%2F%2Fwho.int%2Ficd%23SpecificAnatomicLocation_3540","iCat")</x:f>
      </x:c>
      <x:c r="M13441" s="0" t="s">
        <x:v>21</x:v>
      </x:c>
      <x:c r="N13441" s="0" t="s">
        <x:v>46</x:v>
      </x:c>
    </x:row>
    <x:row r="13442" spans="1:16">
      <x:c r="A13442" s="0" t="s">
        <x:v>50930</x:v>
      </x:c>
      <x:c r="B13442" s="0" t="s">
        <x:v>50931</x:v>
      </x:c>
      <x:c r="C13442" s="0" t="s">
        <x:v>42840</x:v>
      </x:c>
      <x:c r="E13442" s="0" t="s">
        <x:v>50932</x:v>
      </x:c>
      <x:c r="F13442" s="0" t="s">
        <x:v>45</x:v>
      </x:c>
      <x:c r="G13442" s="0" t="s">
        <x:v>30</x:v>
      </x:c>
      <x:c r="H13442" s="0" t="s">
        <x:v>20</x:v>
      </x:c>
      <x:c r="I13442" s="0" t="s">
        <x:v>21</x:v>
      </x:c>
      <x:c r="K13442" s="0">
        <x:f>hyperlink("https://icd.who.int/dev11/l-ichi/en#/http%3A%2F%2Fid.who.int%2Ficd%2Fentity%2F201270677","browser")</x:f>
      </x:c>
      <x:c r="L13442" s="0">
        <x:f>hyperlink("https://icat2.azurewebsites.net/icat/?ontology=ICD&amp;tab=ClassesTab&amp;id=http%3A%2F%2Fwho.int%2Ficd%23SpecificAnatomicLocation_3541","iCat")</x:f>
      </x:c>
      <x:c r="M13442" s="0" t="s">
        <x:v>21</x:v>
      </x:c>
      <x:c r="N13442" s="0" t="s">
        <x:v>46</x:v>
      </x:c>
    </x:row>
    <x:row r="13443" spans="1:16">
      <x:c r="A13443" s="0" t="s">
        <x:v>50933</x:v>
      </x:c>
      <x:c r="B13443" s="0" t="s">
        <x:v>50934</x:v>
      </x:c>
      <x:c r="C13443" s="0" t="s">
        <x:v>42840</x:v>
      </x:c>
      <x:c r="E13443" s="0" t="s">
        <x:v>50935</x:v>
      </x:c>
      <x:c r="F13443" s="0" t="s">
        <x:v>45</x:v>
      </x:c>
      <x:c r="G13443" s="0" t="s">
        <x:v>30</x:v>
      </x:c>
      <x:c r="H13443" s="0" t="s">
        <x:v>20</x:v>
      </x:c>
      <x:c r="I13443" s="0" t="s">
        <x:v>21</x:v>
      </x:c>
      <x:c r="K13443" s="0">
        <x:f>hyperlink("https://icd.who.int/dev11/l-ichi/en#/http%3A%2F%2Fid.who.int%2Ficd%2Fentity%2F632286229","browser")</x:f>
      </x:c>
      <x:c r="L13443" s="0">
        <x:f>hyperlink("https://icat2.azurewebsites.net/icat/?ontology=ICD&amp;tab=ClassesTab&amp;id=http%3A%2F%2Fwho.int%2Ficd%23SpecificAnatomicLocation_3543","iCat")</x:f>
      </x:c>
      <x:c r="M13443" s="0" t="s">
        <x:v>21</x:v>
      </x:c>
      <x:c r="N13443" s="0" t="s">
        <x:v>46</x:v>
      </x:c>
    </x:row>
    <x:row r="13444" spans="1:16">
      <x:c r="A13444" s="0" t="s">
        <x:v>50936</x:v>
      </x:c>
      <x:c r="B13444" s="0" t="s">
        <x:v>50937</x:v>
      </x:c>
      <x:c r="C13444" s="0" t="s">
        <x:v>42840</x:v>
      </x:c>
      <x:c r="E13444" s="0" t="s">
        <x:v>50938</x:v>
      </x:c>
      <x:c r="F13444" s="0" t="s">
        <x:v>45</x:v>
      </x:c>
      <x:c r="G13444" s="0" t="s">
        <x:v>30</x:v>
      </x:c>
      <x:c r="H13444" s="0" t="s">
        <x:v>20</x:v>
      </x:c>
      <x:c r="I13444" s="0" t="s">
        <x:v>21</x:v>
      </x:c>
      <x:c r="K13444" s="0">
        <x:f>hyperlink("https://icd.who.int/dev11/l-ichi/en#/http%3A%2F%2Fid.who.int%2Ficd%2Fentity%2F1081528917","browser")</x:f>
      </x:c>
      <x:c r="L13444" s="0">
        <x:f>hyperlink("https://icat2.azurewebsites.net/icat/?ontology=ICD&amp;tab=ClassesTab&amp;id=http%3A%2F%2Fwho.int%2Ficd%23SpecificAnatomicLocation_3544","iCat")</x:f>
      </x:c>
      <x:c r="M13444" s="0" t="s">
        <x:v>21</x:v>
      </x:c>
      <x:c r="N13444" s="0" t="s">
        <x:v>46</x:v>
      </x:c>
    </x:row>
    <x:row r="13445" spans="1:16">
      <x:c r="A13445" s="0" t="s">
        <x:v>50939</x:v>
      </x:c>
      <x:c r="B13445" s="0" t="s">
        <x:v>50940</x:v>
      </x:c>
      <x:c r="C13445" s="0" t="s">
        <x:v>42840</x:v>
      </x:c>
      <x:c r="E13445" s="0" t="s">
        <x:v>50941</x:v>
      </x:c>
      <x:c r="F13445" s="0" t="s">
        <x:v>45</x:v>
      </x:c>
      <x:c r="G13445" s="0" t="s">
        <x:v>30</x:v>
      </x:c>
      <x:c r="H13445" s="0" t="s">
        <x:v>20</x:v>
      </x:c>
      <x:c r="I13445" s="0" t="s">
        <x:v>21</x:v>
      </x:c>
      <x:c r="K13445" s="0">
        <x:f>hyperlink("https://icd.who.int/dev11/l-ichi/en#/http%3A%2F%2Fid.who.int%2Ficd%2Fentity%2F1465824917","browser")</x:f>
      </x:c>
      <x:c r="L13445" s="0">
        <x:f>hyperlink("https://icat2.azurewebsites.net/icat/?ontology=ICD&amp;tab=ClassesTab&amp;id=http%3A%2F%2Fwho.int%2Ficd%23SpecificAnatomicLocation_3545","iCat")</x:f>
      </x:c>
      <x:c r="M13445" s="0" t="s">
        <x:v>21</x:v>
      </x:c>
      <x:c r="N13445" s="0" t="s">
        <x:v>46</x:v>
      </x:c>
    </x:row>
    <x:row r="13446" spans="1:16">
      <x:c r="A13446" s="0" t="s">
        <x:v>50942</x:v>
      </x:c>
      <x:c r="B13446" s="0" t="s">
        <x:v>50943</x:v>
      </x:c>
      <x:c r="C13446" s="0" t="s">
        <x:v>42840</x:v>
      </x:c>
      <x:c r="E13446" s="0" t="s">
        <x:v>50944</x:v>
      </x:c>
      <x:c r="F13446" s="0" t="s">
        <x:v>45</x:v>
      </x:c>
      <x:c r="G13446" s="0" t="s">
        <x:v>30</x:v>
      </x:c>
      <x:c r="H13446" s="0" t="s">
        <x:v>20</x:v>
      </x:c>
      <x:c r="I13446" s="0" t="s">
        <x:v>21</x:v>
      </x:c>
      <x:c r="K13446" s="0">
        <x:f>hyperlink("https://icd.who.int/dev11/l-ichi/en#/http%3A%2F%2Fid.who.int%2Ficd%2Fentity%2F1847991253","browser")</x:f>
      </x:c>
      <x:c r="L13446" s="0">
        <x:f>hyperlink("https://icat2.azurewebsites.net/icat/?ontology=ICD&amp;tab=ClassesTab&amp;id=http%3A%2F%2Fwho.int%2Ficd%23SpecificAnatomicLocation_3546","iCat")</x:f>
      </x:c>
      <x:c r="M13446" s="0" t="s">
        <x:v>21</x:v>
      </x:c>
      <x:c r="N13446" s="0" t="s">
        <x:v>46</x:v>
      </x:c>
    </x:row>
    <x:row r="13447" spans="1:16">
      <x:c r="A13447" s="0" t="s">
        <x:v>50945</x:v>
      </x:c>
      <x:c r="B13447" s="0" t="s">
        <x:v>50946</x:v>
      </x:c>
      <x:c r="C13447" s="0" t="s">
        <x:v>42840</x:v>
      </x:c>
      <x:c r="E13447" s="0" t="s">
        <x:v>50947</x:v>
      </x:c>
      <x:c r="F13447" s="0" t="s">
        <x:v>45</x:v>
      </x:c>
      <x:c r="G13447" s="0" t="s">
        <x:v>30</x:v>
      </x:c>
      <x:c r="H13447" s="0" t="s">
        <x:v>20</x:v>
      </x:c>
      <x:c r="I13447" s="0" t="s">
        <x:v>21</x:v>
      </x:c>
      <x:c r="K13447" s="0">
        <x:f>hyperlink("https://icd.who.int/dev11/l-ichi/en#/http%3A%2F%2Fid.who.int%2Ficd%2Fentity%2F2030993173","browser")</x:f>
      </x:c>
      <x:c r="L13447" s="0">
        <x:f>hyperlink("https://icat2.azurewebsites.net/icat/?ontology=ICD&amp;tab=ClassesTab&amp;id=http%3A%2F%2Fwho.int%2Ficd%23SpecificAnatomicLocation_3547","iCat")</x:f>
      </x:c>
      <x:c r="M13447" s="0" t="s">
        <x:v>21</x:v>
      </x:c>
      <x:c r="N13447" s="0" t="s">
        <x:v>46</x:v>
      </x:c>
    </x:row>
    <x:row r="13448" spans="1:16">
      <x:c r="A13448" s="0" t="s">
        <x:v>50948</x:v>
      </x:c>
      <x:c r="B13448" s="0" t="s">
        <x:v>50949</x:v>
      </x:c>
      <x:c r="C13448" s="0" t="s">
        <x:v>42840</x:v>
      </x:c>
      <x:c r="E13448" s="0" t="s">
        <x:v>50950</x:v>
      </x:c>
      <x:c r="F13448" s="0" t="s">
        <x:v>45</x:v>
      </x:c>
      <x:c r="G13448" s="0" t="s">
        <x:v>30</x:v>
      </x:c>
      <x:c r="H13448" s="0" t="s">
        <x:v>20</x:v>
      </x:c>
      <x:c r="I13448" s="0" t="s">
        <x:v>21</x:v>
      </x:c>
      <x:c r="K13448" s="0">
        <x:f>hyperlink("https://icd.who.int/dev11/l-ichi/en#/http%3A%2F%2Fid.who.int%2Ficd%2Fentity%2F1517000875","browser")</x:f>
      </x:c>
      <x:c r="L13448" s="0">
        <x:f>hyperlink("https://icat2.azurewebsites.net/icat/?ontology=ICD&amp;tab=ClassesTab&amp;id=http%3A%2F%2Fwho.int%2Ficd%23SpecificAnatomicLocation_3548","iCat")</x:f>
      </x:c>
      <x:c r="M13448" s="0" t="s">
        <x:v>21</x:v>
      </x:c>
      <x:c r="N13448" s="0" t="s">
        <x:v>46</x:v>
      </x:c>
    </x:row>
    <x:row r="13449" spans="1:16">
      <x:c r="A13449" s="0" t="s">
        <x:v>50951</x:v>
      </x:c>
      <x:c r="B13449" s="0" t="s">
        <x:v>50952</x:v>
      </x:c>
      <x:c r="C13449" s="0" t="s">
        <x:v>42840</x:v>
      </x:c>
      <x:c r="E13449" s="0" t="s">
        <x:v>50953</x:v>
      </x:c>
      <x:c r="F13449" s="0" t="s">
        <x:v>45</x:v>
      </x:c>
      <x:c r="G13449" s="0" t="s">
        <x:v>30</x:v>
      </x:c>
      <x:c r="H13449" s="0" t="s">
        <x:v>20</x:v>
      </x:c>
      <x:c r="I13449" s="0" t="s">
        <x:v>21</x:v>
      </x:c>
      <x:c r="K13449" s="0">
        <x:f>hyperlink("https://icd.who.int/dev11/l-ichi/en#/http%3A%2F%2Fid.who.int%2Ficd%2Fentity%2F1296301163","browser")</x:f>
      </x:c>
      <x:c r="L13449" s="0">
        <x:f>hyperlink("https://icat2.azurewebsites.net/icat/?ontology=ICD&amp;tab=ClassesTab&amp;id=http%3A%2F%2Fwho.int%2Ficd%23SpecificAnatomicLocation_3549","iCat")</x:f>
      </x:c>
      <x:c r="M13449" s="0" t="s">
        <x:v>21</x:v>
      </x:c>
      <x:c r="N13449" s="0" t="s">
        <x:v>46</x:v>
      </x:c>
    </x:row>
    <x:row r="13450" spans="1:16">
      <x:c r="A13450" s="0" t="s">
        <x:v>50954</x:v>
      </x:c>
      <x:c r="B13450" s="0" t="s">
        <x:v>50955</x:v>
      </x:c>
      <x:c r="C13450" s="0" t="s">
        <x:v>42840</x:v>
      </x:c>
      <x:c r="E13450" s="0" t="s">
        <x:v>50956</x:v>
      </x:c>
      <x:c r="F13450" s="0" t="s">
        <x:v>45</x:v>
      </x:c>
      <x:c r="G13450" s="0" t="s">
        <x:v>30</x:v>
      </x:c>
      <x:c r="H13450" s="0" t="s">
        <x:v>20</x:v>
      </x:c>
      <x:c r="I13450" s="0" t="s">
        <x:v>21</x:v>
      </x:c>
      <x:c r="K13450" s="0">
        <x:f>hyperlink("https://icd.who.int/dev11/l-ichi/en#/http%3A%2F%2Fid.who.int%2Ficd%2Fentity%2F1645075342","browser")</x:f>
      </x:c>
      <x:c r="L13450" s="0">
        <x:f>hyperlink("https://icat2.azurewebsites.net/icat/?ontology=ICD&amp;tab=ClassesTab&amp;id=http%3A%2F%2Fwho.int%2Ficd%23SpecificAnatomicLocation_3550","iCat")</x:f>
      </x:c>
      <x:c r="M13450" s="0" t="s">
        <x:v>21</x:v>
      </x:c>
      <x:c r="N13450" s="0" t="s">
        <x:v>46</x:v>
      </x:c>
    </x:row>
    <x:row r="13451" spans="1:16">
      <x:c r="A13451" s="0" t="s">
        <x:v>50957</x:v>
      </x:c>
      <x:c r="B13451" s="0" t="s">
        <x:v>50958</x:v>
      </x:c>
      <x:c r="C13451" s="0" t="s">
        <x:v>42840</x:v>
      </x:c>
      <x:c r="E13451" s="0" t="s">
        <x:v>50959</x:v>
      </x:c>
      <x:c r="F13451" s="0" t="s">
        <x:v>45</x:v>
      </x:c>
      <x:c r="G13451" s="0" t="s">
        <x:v>30</x:v>
      </x:c>
      <x:c r="H13451" s="0" t="s">
        <x:v>20</x:v>
      </x:c>
      <x:c r="I13451" s="0" t="s">
        <x:v>21</x:v>
      </x:c>
      <x:c r="K13451" s="0">
        <x:f>hyperlink("https://icd.who.int/dev11/l-ichi/en#/http%3A%2F%2Fid.who.int%2Ficd%2Fentity%2F1965408078","browser")</x:f>
      </x:c>
      <x:c r="L13451" s="0">
        <x:f>hyperlink("https://icat2.azurewebsites.net/icat/?ontology=ICD&amp;tab=ClassesTab&amp;id=http%3A%2F%2Fwho.int%2Ficd%23SpecificAnatomicLocation_3551","iCat")</x:f>
      </x:c>
      <x:c r="M13451" s="0" t="s">
        <x:v>21</x:v>
      </x:c>
      <x:c r="N13451" s="0" t="s">
        <x:v>46</x:v>
      </x:c>
    </x:row>
    <x:row r="13452" spans="1:16">
      <x:c r="A13452" s="0" t="s">
        <x:v>50960</x:v>
      </x:c>
      <x:c r="B13452" s="0" t="s">
        <x:v>50961</x:v>
      </x:c>
      <x:c r="C13452" s="0" t="s">
        <x:v>42840</x:v>
      </x:c>
      <x:c r="E13452" s="0" t="s">
        <x:v>50962</x:v>
      </x:c>
      <x:c r="F13452" s="0" t="s">
        <x:v>45</x:v>
      </x:c>
      <x:c r="G13452" s="0" t="s">
        <x:v>30</x:v>
      </x:c>
      <x:c r="H13452" s="0" t="s">
        <x:v>20</x:v>
      </x:c>
      <x:c r="I13452" s="0" t="s">
        <x:v>21</x:v>
      </x:c>
      <x:c r="K13452" s="0">
        <x:f>hyperlink("https://icd.who.int/dev11/l-ichi/en#/http%3A%2F%2Fid.who.int%2Ficd%2Fentity%2F1281167886","browser")</x:f>
      </x:c>
      <x:c r="L13452" s="0">
        <x:f>hyperlink("https://icat2.azurewebsites.net/icat/?ontology=ICD&amp;tab=ClassesTab&amp;id=http%3A%2F%2Fwho.int%2Ficd%23SpecificAnatomicLocation_3552","iCat")</x:f>
      </x:c>
      <x:c r="M13452" s="0" t="s">
        <x:v>21</x:v>
      </x:c>
      <x:c r="N13452" s="0" t="s">
        <x:v>46</x:v>
      </x:c>
    </x:row>
    <x:row r="13453" spans="1:16">
      <x:c r="A13453" s="0" t="s">
        <x:v>50963</x:v>
      </x:c>
      <x:c r="B13453" s="0" t="s">
        <x:v>50964</x:v>
      </x:c>
      <x:c r="C13453" s="0" t="s">
        <x:v>42840</x:v>
      </x:c>
      <x:c r="E13453" s="0" t="s">
        <x:v>50965</x:v>
      </x:c>
      <x:c r="F13453" s="0" t="s">
        <x:v>45</x:v>
      </x:c>
      <x:c r="G13453" s="0" t="s">
        <x:v>30</x:v>
      </x:c>
      <x:c r="H13453" s="0" t="s">
        <x:v>20</x:v>
      </x:c>
      <x:c r="I13453" s="0" t="s">
        <x:v>21</x:v>
      </x:c>
      <x:c r="K13453" s="0">
        <x:f>hyperlink("https://icd.who.int/dev11/l-ichi/en#/http%3A%2F%2Fid.who.int%2Ficd%2Fentity%2F1534424782","browser")</x:f>
      </x:c>
      <x:c r="L13453" s="0">
        <x:f>hyperlink("https://icat2.azurewebsites.net/icat/?ontology=ICD&amp;tab=ClassesTab&amp;id=http%3A%2F%2Fwho.int%2Ficd%23SpecificAnatomicLocation_3553","iCat")</x:f>
      </x:c>
      <x:c r="M13453" s="0" t="s">
        <x:v>21</x:v>
      </x:c>
      <x:c r="N13453" s="0" t="s">
        <x:v>46</x:v>
      </x:c>
    </x:row>
    <x:row r="13454" spans="1:16">
      <x:c r="A13454" s="0" t="s">
        <x:v>50966</x:v>
      </x:c>
      <x:c r="B13454" s="0" t="s">
        <x:v>50967</x:v>
      </x:c>
      <x:c r="C13454" s="0" t="s">
        <x:v>42840</x:v>
      </x:c>
      <x:c r="E13454" s="0" t="s">
        <x:v>50968</x:v>
      </x:c>
      <x:c r="F13454" s="0" t="s">
        <x:v>45</x:v>
      </x:c>
      <x:c r="G13454" s="0" t="s">
        <x:v>30</x:v>
      </x:c>
      <x:c r="H13454" s="0" t="s">
        <x:v>20</x:v>
      </x:c>
      <x:c r="I13454" s="0" t="s">
        <x:v>21</x:v>
      </x:c>
      <x:c r="K13454" s="0">
        <x:f>hyperlink("https://icd.who.int/dev11/l-ichi/en#/http%3A%2F%2Fid.who.int%2Ficd%2Fentity%2F1051478158","browser")</x:f>
      </x:c>
      <x:c r="L13454" s="0">
        <x:f>hyperlink("https://icat2.azurewebsites.net/icat/?ontology=ICD&amp;tab=ClassesTab&amp;id=http%3A%2F%2Fwho.int%2Ficd%23SpecificAnatomicLocation_3554","iCat")</x:f>
      </x:c>
      <x:c r="M13454" s="0" t="s">
        <x:v>21</x:v>
      </x:c>
      <x:c r="N13454" s="0" t="s">
        <x:v>46</x:v>
      </x:c>
    </x:row>
    <x:row r="13455" spans="1:16">
      <x:c r="A13455" s="0" t="s">
        <x:v>50969</x:v>
      </x:c>
      <x:c r="B13455" s="0" t="s">
        <x:v>50970</x:v>
      </x:c>
      <x:c r="C13455" s="0" t="s">
        <x:v>42840</x:v>
      </x:c>
      <x:c r="E13455" s="0" t="s">
        <x:v>50971</x:v>
      </x:c>
      <x:c r="F13455" s="0" t="s">
        <x:v>45</x:v>
      </x:c>
      <x:c r="G13455" s="0" t="s">
        <x:v>30</x:v>
      </x:c>
      <x:c r="H13455" s="0" t="s">
        <x:v>20</x:v>
      </x:c>
      <x:c r="I13455" s="0" t="s">
        <x:v>21</x:v>
      </x:c>
      <x:c r="K13455" s="0">
        <x:f>hyperlink("https://icd.who.int/dev11/l-ichi/en#/http%3A%2F%2Fid.who.int%2Ficd%2Fentity%2F696527950","browser")</x:f>
      </x:c>
      <x:c r="L13455" s="0">
        <x:f>hyperlink("https://icat2.azurewebsites.net/icat/?ontology=ICD&amp;tab=ClassesTab&amp;id=http%3A%2F%2Fwho.int%2Ficd%23SpecificAnatomicLocation_3555","iCat")</x:f>
      </x:c>
      <x:c r="M13455" s="0" t="s">
        <x:v>21</x:v>
      </x:c>
      <x:c r="N13455" s="0" t="s">
        <x:v>46</x:v>
      </x:c>
    </x:row>
    <x:row r="13456" spans="1:16">
      <x:c r="A13456" s="0" t="s">
        <x:v>50972</x:v>
      </x:c>
      <x:c r="B13456" s="0" t="s">
        <x:v>50973</x:v>
      </x:c>
      <x:c r="C13456" s="0" t="s">
        <x:v>42840</x:v>
      </x:c>
      <x:c r="E13456" s="0" t="s">
        <x:v>50974</x:v>
      </x:c>
      <x:c r="F13456" s="0" t="s">
        <x:v>45</x:v>
      </x:c>
      <x:c r="G13456" s="0" t="s">
        <x:v>30</x:v>
      </x:c>
      <x:c r="H13456" s="0" t="s">
        <x:v>20</x:v>
      </x:c>
      <x:c r="I13456" s="0" t="s">
        <x:v>21</x:v>
      </x:c>
      <x:c r="K13456" s="0">
        <x:f>hyperlink("https://icd.who.int/dev11/l-ichi/en#/http%3A%2F%2Fid.who.int%2Ficd%2Fentity%2F284983566","browser")</x:f>
      </x:c>
      <x:c r="L13456" s="0">
        <x:f>hyperlink("https://icat2.azurewebsites.net/icat/?ontology=ICD&amp;tab=ClassesTab&amp;id=http%3A%2F%2Fwho.int%2Ficd%23SpecificAnatomicLocation_3556","iCat")</x:f>
      </x:c>
      <x:c r="M13456" s="0" t="s">
        <x:v>21</x:v>
      </x:c>
      <x:c r="N13456" s="0" t="s">
        <x:v>46</x:v>
      </x:c>
    </x:row>
    <x:row r="13457" spans="1:16">
      <x:c r="A13457" s="0" t="s">
        <x:v>50975</x:v>
      </x:c>
      <x:c r="B13457" s="0" t="s">
        <x:v>50976</x:v>
      </x:c>
      <x:c r="C13457" s="0" t="s">
        <x:v>42840</x:v>
      </x:c>
      <x:c r="E13457" s="0" t="s">
        <x:v>50977</x:v>
      </x:c>
      <x:c r="F13457" s="0" t="s">
        <x:v>45</x:v>
      </x:c>
      <x:c r="G13457" s="0" t="s">
        <x:v>30</x:v>
      </x:c>
      <x:c r="H13457" s="0" t="s">
        <x:v>20</x:v>
      </x:c>
      <x:c r="I13457" s="0" t="s">
        <x:v>21</x:v>
      </x:c>
      <x:c r="K13457" s="0">
        <x:f>hyperlink("https://icd.who.int/dev11/l-ichi/en#/http%3A%2F%2Fid.who.int%2Ficd%2Fentity%2F131392974","browser")</x:f>
      </x:c>
      <x:c r="L13457" s="0">
        <x:f>hyperlink("https://icat2.azurewebsites.net/icat/?ontology=ICD&amp;tab=ClassesTab&amp;id=http%3A%2F%2Fwho.int%2Ficd%23SpecificAnatomicLocation_3557","iCat")</x:f>
      </x:c>
      <x:c r="M13457" s="0" t="s">
        <x:v>21</x:v>
      </x:c>
      <x:c r="N13457" s="0" t="s">
        <x:v>46</x:v>
      </x:c>
    </x:row>
    <x:row r="13458" spans="1:16">
      <x:c r="A13458" s="0" t="s">
        <x:v>50978</x:v>
      </x:c>
      <x:c r="B13458" s="0" t="s">
        <x:v>50979</x:v>
      </x:c>
      <x:c r="C13458" s="0" t="s">
        <x:v>42840</x:v>
      </x:c>
      <x:c r="E13458" s="0" t="s">
        <x:v>50980</x:v>
      </x:c>
      <x:c r="F13458" s="0" t="s">
        <x:v>45</x:v>
      </x:c>
      <x:c r="G13458" s="0" t="s">
        <x:v>30</x:v>
      </x:c>
      <x:c r="H13458" s="0" t="s">
        <x:v>20</x:v>
      </x:c>
      <x:c r="I13458" s="0" t="s">
        <x:v>21</x:v>
      </x:c>
      <x:c r="K13458" s="0">
        <x:f>hyperlink("https://icd.who.int/dev11/l-ichi/en#/http%3A%2F%2Fid.who.int%2Ficd%2Fentity%2F615580274","browser")</x:f>
      </x:c>
      <x:c r="L13458" s="0">
        <x:f>hyperlink("https://icat2.azurewebsites.net/icat/?ontology=ICD&amp;tab=ClassesTab&amp;id=http%3A%2F%2Fwho.int%2Ficd%23SpecificAnatomicLocation_3558","iCat")</x:f>
      </x:c>
      <x:c r="M13458" s="0" t="s">
        <x:v>21</x:v>
      </x:c>
      <x:c r="N13458" s="0" t="s">
        <x:v>46</x:v>
      </x:c>
    </x:row>
    <x:row r="13459" spans="1:16">
      <x:c r="A13459" s="0" t="s">
        <x:v>50981</x:v>
      </x:c>
      <x:c r="B13459" s="0" t="s">
        <x:v>50982</x:v>
      </x:c>
      <x:c r="C13459" s="0" t="s">
        <x:v>42840</x:v>
      </x:c>
      <x:c r="E13459" s="0" t="s">
        <x:v>50983</x:v>
      </x:c>
      <x:c r="F13459" s="0" t="s">
        <x:v>45</x:v>
      </x:c>
      <x:c r="G13459" s="0" t="s">
        <x:v>30</x:v>
      </x:c>
      <x:c r="H13459" s="0" t="s">
        <x:v>20</x:v>
      </x:c>
      <x:c r="I13459" s="0" t="s">
        <x:v>21</x:v>
      </x:c>
      <x:c r="K13459" s="0">
        <x:f>hyperlink("https://icd.who.int/dev11/l-ichi/en#/http%3A%2F%2Fid.who.int%2Ficd%2Fentity%2F865691314","browser")</x:f>
      </x:c>
      <x:c r="L13459" s="0">
        <x:f>hyperlink("https://icat2.azurewebsites.net/icat/?ontology=ICD&amp;tab=ClassesTab&amp;id=http%3A%2F%2Fwho.int%2Ficd%23SpecificAnatomicLocation_3559","iCat")</x:f>
      </x:c>
      <x:c r="M13459" s="0" t="s">
        <x:v>21</x:v>
      </x:c>
      <x:c r="N13459" s="0" t="s">
        <x:v>46</x:v>
      </x:c>
    </x:row>
    <x:row r="13460" spans="1:16">
      <x:c r="A13460" s="0" t="s">
        <x:v>50984</x:v>
      </x:c>
      <x:c r="B13460" s="0" t="s">
        <x:v>50985</x:v>
      </x:c>
      <x:c r="C13460" s="0" t="s">
        <x:v>42840</x:v>
      </x:c>
      <x:c r="E13460" s="0" t="s">
        <x:v>50986</x:v>
      </x:c>
      <x:c r="F13460" s="0" t="s">
        <x:v>45</x:v>
      </x:c>
      <x:c r="G13460" s="0" t="s">
        <x:v>30</x:v>
      </x:c>
      <x:c r="H13460" s="0" t="s">
        <x:v>20</x:v>
      </x:c>
      <x:c r="I13460" s="0" t="s">
        <x:v>21</x:v>
      </x:c>
      <x:c r="K13460" s="0">
        <x:f>hyperlink("https://icd.who.int/dev11/l-ichi/en#/http%3A%2F%2Fid.who.int%2Ficd%2Fentity%2F974353062","browser")</x:f>
      </x:c>
      <x:c r="L13460" s="0">
        <x:f>hyperlink("https://icat2.azurewebsites.net/icat/?ontology=ICD&amp;tab=ClassesTab&amp;id=http%3A%2F%2Fwho.int%2Ficd%23SpecificAnatomicLocation_3560","iCat")</x:f>
      </x:c>
      <x:c r="M13460" s="0" t="s">
        <x:v>21</x:v>
      </x:c>
      <x:c r="N13460" s="0" t="s">
        <x:v>46</x:v>
      </x:c>
    </x:row>
    <x:row r="13461" spans="1:16">
      <x:c r="A13461" s="0" t="s">
        <x:v>50987</x:v>
      </x:c>
      <x:c r="B13461" s="0" t="s">
        <x:v>50988</x:v>
      </x:c>
      <x:c r="C13461" s="0" t="s">
        <x:v>42840</x:v>
      </x:c>
      <x:c r="E13461" s="0" t="s">
        <x:v>50989</x:v>
      </x:c>
      <x:c r="F13461" s="0" t="s">
        <x:v>45</x:v>
      </x:c>
      <x:c r="G13461" s="0" t="s">
        <x:v>30</x:v>
      </x:c>
      <x:c r="H13461" s="0" t="s">
        <x:v>20</x:v>
      </x:c>
      <x:c r="I13461" s="0" t="s">
        <x:v>21</x:v>
      </x:c>
      <x:c r="K13461" s="0">
        <x:f>hyperlink("https://icd.who.int/dev11/l-ichi/en#/http%3A%2F%2Fid.who.int%2Ficd%2Fentity%2F758847078","browser")</x:f>
      </x:c>
      <x:c r="L13461" s="0">
        <x:f>hyperlink("https://icat2.azurewebsites.net/icat/?ontology=ICD&amp;tab=ClassesTab&amp;id=http%3A%2F%2Fwho.int%2Ficd%23SpecificAnatomicLocation_3561","iCat")</x:f>
      </x:c>
      <x:c r="M13461" s="0" t="s">
        <x:v>21</x:v>
      </x:c>
      <x:c r="N13461" s="0" t="s">
        <x:v>46</x:v>
      </x:c>
    </x:row>
    <x:row r="13462" spans="1:16">
      <x:c r="A13462" s="0" t="s">
        <x:v>50990</x:v>
      </x:c>
      <x:c r="B13462" s="0" t="s">
        <x:v>50991</x:v>
      </x:c>
      <x:c r="C13462" s="0" t="s">
        <x:v>42840</x:v>
      </x:c>
      <x:c r="E13462" s="0" t="s">
        <x:v>50992</x:v>
      </x:c>
      <x:c r="F13462" s="0" t="s">
        <x:v>45</x:v>
      </x:c>
      <x:c r="G13462" s="0" t="s">
        <x:v>30</x:v>
      </x:c>
      <x:c r="H13462" s="0" t="s">
        <x:v>20</x:v>
      </x:c>
      <x:c r="I13462" s="0" t="s">
        <x:v>21</x:v>
      </x:c>
      <x:c r="K13462" s="0">
        <x:f>hyperlink("https://icd.who.int/dev11/l-ichi/en#/http%3A%2F%2Fid.who.int%2Ficd%2Fentity%2F339983142","browser")</x:f>
      </x:c>
      <x:c r="L13462" s="0">
        <x:f>hyperlink("https://icat2.azurewebsites.net/icat/?ontology=ICD&amp;tab=ClassesTab&amp;id=http%3A%2F%2Fwho.int%2Ficd%23SpecificAnatomicLocation_3562","iCat")</x:f>
      </x:c>
      <x:c r="M13462" s="0" t="s">
        <x:v>21</x:v>
      </x:c>
      <x:c r="N13462" s="0" t="s">
        <x:v>46</x:v>
      </x:c>
    </x:row>
    <x:row r="13463" spans="1:16">
      <x:c r="A13463" s="0" t="s">
        <x:v>50993</x:v>
      </x:c>
      <x:c r="B13463" s="0" t="s">
        <x:v>50994</x:v>
      </x:c>
      <x:c r="C13463" s="0" t="s">
        <x:v>42840</x:v>
      </x:c>
      <x:c r="E13463" s="0" t="s">
        <x:v>50995</x:v>
      </x:c>
      <x:c r="F13463" s="0" t="s">
        <x:v>45</x:v>
      </x:c>
      <x:c r="G13463" s="0" t="s">
        <x:v>30</x:v>
      </x:c>
      <x:c r="H13463" s="0" t="s">
        <x:v>20</x:v>
      </x:c>
      <x:c r="I13463" s="0" t="s">
        <x:v>21</x:v>
      </x:c>
      <x:c r="K13463" s="0">
        <x:f>hyperlink("https://icd.who.int/dev11/l-ichi/en#/http%3A%2F%2Fid.who.int%2Ficd%2Fentity%2F57401318","browser")</x:f>
      </x:c>
      <x:c r="L13463" s="0">
        <x:f>hyperlink("https://icat2.azurewebsites.net/icat/?ontology=ICD&amp;tab=ClassesTab&amp;id=http%3A%2F%2Fwho.int%2Ficd%23SpecificAnatomicLocation_3563","iCat")</x:f>
      </x:c>
      <x:c r="M13463" s="0" t="s">
        <x:v>21</x:v>
      </x:c>
      <x:c r="N13463" s="0" t="s">
        <x:v>46</x:v>
      </x:c>
    </x:row>
    <x:row r="13464" spans="1:16">
      <x:c r="A13464" s="0" t="s">
        <x:v>50996</x:v>
      </x:c>
      <x:c r="B13464" s="0" t="s">
        <x:v>50997</x:v>
      </x:c>
      <x:c r="C13464" s="0" t="s">
        <x:v>42840</x:v>
      </x:c>
      <x:c r="E13464" s="0" t="s">
        <x:v>50998</x:v>
      </x:c>
      <x:c r="F13464" s="0" t="s">
        <x:v>45</x:v>
      </x:c>
      <x:c r="G13464" s="0" t="s">
        <x:v>30</x:v>
      </x:c>
      <x:c r="H13464" s="0" t="s">
        <x:v>20</x:v>
      </x:c>
      <x:c r="I13464" s="0" t="s">
        <x:v>21</x:v>
      </x:c>
      <x:c r="K13464" s="0">
        <x:f>hyperlink("https://icd.who.int/dev11/l-ichi/en#/http%3A%2F%2Fid.who.int%2Ficd%2Fentity%2F1722999206","browser")</x:f>
      </x:c>
      <x:c r="L13464" s="0">
        <x:f>hyperlink("https://icat2.azurewebsites.net/icat/?ontology=ICD&amp;tab=ClassesTab&amp;id=http%3A%2F%2Fwho.int%2Ficd%23SpecificAnatomicLocation_3564","iCat")</x:f>
      </x:c>
      <x:c r="M13464" s="0" t="s">
        <x:v>21</x:v>
      </x:c>
      <x:c r="N13464" s="0" t="s">
        <x:v>46</x:v>
      </x:c>
    </x:row>
    <x:row r="13465" spans="1:16">
      <x:c r="A13465" s="0" t="s">
        <x:v>50999</x:v>
      </x:c>
      <x:c r="B13465" s="0" t="s">
        <x:v>51000</x:v>
      </x:c>
      <x:c r="C13465" s="0" t="s">
        <x:v>42840</x:v>
      </x:c>
      <x:c r="E13465" s="0" t="s">
        <x:v>51001</x:v>
      </x:c>
      <x:c r="F13465" s="0" t="s">
        <x:v>45</x:v>
      </x:c>
      <x:c r="G13465" s="0" t="s">
        <x:v>30</x:v>
      </x:c>
      <x:c r="H13465" s="0" t="s">
        <x:v>20</x:v>
      </x:c>
      <x:c r="I13465" s="0" t="s">
        <x:v>21</x:v>
      </x:c>
      <x:c r="K13465" s="0">
        <x:f>hyperlink("https://icd.who.int/dev11/l-ichi/en#/http%3A%2F%2Fid.who.int%2Ficd%2Fentity%2F1905952102","browser")</x:f>
      </x:c>
      <x:c r="L13465" s="0">
        <x:f>hyperlink("https://icat2.azurewebsites.net/icat/?ontology=ICD&amp;tab=ClassesTab&amp;id=http%3A%2F%2Fwho.int%2Ficd%23SpecificAnatomicLocation_3565","iCat")</x:f>
      </x:c>
      <x:c r="M13465" s="0" t="s">
        <x:v>21</x:v>
      </x:c>
      <x:c r="N13465" s="0" t="s">
        <x:v>46</x:v>
      </x:c>
    </x:row>
    <x:row r="13466" spans="1:16">
      <x:c r="A13466" s="0" t="s">
        <x:v>51002</x:v>
      </x:c>
      <x:c r="B13466" s="0" t="s">
        <x:v>51003</x:v>
      </x:c>
      <x:c r="C13466" s="0" t="s">
        <x:v>42840</x:v>
      </x:c>
      <x:c r="E13466" s="0" t="s">
        <x:v>51004</x:v>
      </x:c>
      <x:c r="F13466" s="0" t="s">
        <x:v>45</x:v>
      </x:c>
      <x:c r="G13466" s="0" t="s">
        <x:v>30</x:v>
      </x:c>
      <x:c r="H13466" s="0" t="s">
        <x:v>20</x:v>
      </x:c>
      <x:c r="I13466" s="0" t="s">
        <x:v>21</x:v>
      </x:c>
      <x:c r="K13466" s="0">
        <x:f>hyperlink("https://icd.who.int/dev11/l-ichi/en#/http%3A%2F%2Fid.who.int%2Ficd%2Fentity%2F1222780966","browser")</x:f>
      </x:c>
      <x:c r="L13466" s="0">
        <x:f>hyperlink("https://icat2.azurewebsites.net/icat/?ontology=ICD&amp;tab=ClassesTab&amp;id=http%3A%2F%2Fwho.int%2Ficd%23SpecificAnatomicLocation_3566","iCat")</x:f>
      </x:c>
      <x:c r="M13466" s="0" t="s">
        <x:v>21</x:v>
      </x:c>
      <x:c r="N13466" s="0" t="s">
        <x:v>46</x:v>
      </x:c>
    </x:row>
    <x:row r="13467" spans="1:16">
      <x:c r="A13467" s="0" t="s">
        <x:v>51005</x:v>
      </x:c>
      <x:c r="B13467" s="0" t="s">
        <x:v>51006</x:v>
      </x:c>
      <x:c r="C13467" s="0" t="s">
        <x:v>42840</x:v>
      </x:c>
      <x:c r="E13467" s="0" t="s">
        <x:v>51007</x:v>
      </x:c>
      <x:c r="F13467" s="0" t="s">
        <x:v>45</x:v>
      </x:c>
      <x:c r="G13467" s="0" t="s">
        <x:v>30</x:v>
      </x:c>
      <x:c r="H13467" s="0" t="s">
        <x:v>20</x:v>
      </x:c>
      <x:c r="I13467" s="0" t="s">
        <x:v>21</x:v>
      </x:c>
      <x:c r="K13467" s="0">
        <x:f>hyperlink("https://icd.who.int/dev11/l-ichi/en#/http%3A%2F%2Fid.who.int%2Ficd%2Fentity%2F1607093478","browser")</x:f>
      </x:c>
      <x:c r="L13467" s="0">
        <x:f>hyperlink("https://icat2.azurewebsites.net/icat/?ontology=ICD&amp;tab=ClassesTab&amp;id=http%3A%2F%2Fwho.int%2Ficd%23SpecificAnatomicLocation_3567","iCat")</x:f>
      </x:c>
      <x:c r="M13467" s="0" t="s">
        <x:v>21</x:v>
      </x:c>
      <x:c r="N13467" s="0" t="s">
        <x:v>46</x:v>
      </x:c>
    </x:row>
    <x:row r="13468" spans="1:16">
      <x:c r="A13468" s="0" t="s">
        <x:v>51008</x:v>
      </x:c>
      <x:c r="B13468" s="0" t="s">
        <x:v>51009</x:v>
      </x:c>
      <x:c r="C13468" s="0" t="s">
        <x:v>42840</x:v>
      </x:c>
      <x:c r="E13468" s="0" t="s">
        <x:v>51010</x:v>
      </x:c>
      <x:c r="F13468" s="0" t="s">
        <x:v>45</x:v>
      </x:c>
      <x:c r="G13468" s="0" t="s">
        <x:v>30</x:v>
      </x:c>
      <x:c r="H13468" s="0" t="s">
        <x:v>20</x:v>
      </x:c>
      <x:c r="I13468" s="0" t="s">
        <x:v>21</x:v>
      </x:c>
      <x:c r="K13468" s="0">
        <x:f>hyperlink("https://icd.who.int/dev11/l-ichi/en#/http%3A%2F%2Fid.who.int%2Ficd%2Fentity%2F2091887450","browser")</x:f>
      </x:c>
      <x:c r="L13468" s="0">
        <x:f>hyperlink("https://icat2.azurewebsites.net/icat/?ontology=ICD&amp;tab=ClassesTab&amp;id=http%3A%2F%2Fwho.int%2Ficd%23SpecificAnatomicLocation_3568","iCat")</x:f>
      </x:c>
      <x:c r="M13468" s="0" t="s">
        <x:v>21</x:v>
      </x:c>
      <x:c r="N13468" s="0" t="s">
        <x:v>46</x:v>
      </x:c>
    </x:row>
    <x:row r="13469" spans="1:16">
      <x:c r="A13469" s="0" t="s">
        <x:v>51011</x:v>
      </x:c>
      <x:c r="B13469" s="0" t="s">
        <x:v>51012</x:v>
      </x:c>
      <x:c r="C13469" s="0" t="s">
        <x:v>42840</x:v>
      </x:c>
      <x:c r="E13469" s="0" t="s">
        <x:v>51013</x:v>
      </x:c>
      <x:c r="F13469" s="0" t="s">
        <x:v>45</x:v>
      </x:c>
      <x:c r="G13469" s="0" t="s">
        <x:v>30</x:v>
      </x:c>
      <x:c r="H13469" s="0" t="s">
        <x:v>20</x:v>
      </x:c>
      <x:c r="I13469" s="0" t="s">
        <x:v>21</x:v>
      </x:c>
      <x:c r="K13469" s="0">
        <x:f>hyperlink("https://icd.who.int/dev11/l-ichi/en#/http%3A%2F%2Fid.who.int%2Ficd%2Fentity%2F1804062618","browser")</x:f>
      </x:c>
      <x:c r="L13469" s="0">
        <x:f>hyperlink("https://icat2.azurewebsites.net/icat/?ontology=ICD&amp;tab=ClassesTab&amp;id=http%3A%2F%2Fwho.int%2Ficd%23SpecificAnatomicLocation_3569","iCat")</x:f>
      </x:c>
      <x:c r="M13469" s="0" t="s">
        <x:v>21</x:v>
      </x:c>
      <x:c r="N13469" s="0" t="s">
        <x:v>46</x:v>
      </x:c>
    </x:row>
    <x:row r="13470" spans="1:16">
      <x:c r="A13470" s="0" t="s">
        <x:v>51014</x:v>
      </x:c>
      <x:c r="B13470" s="0" t="s">
        <x:v>51015</x:v>
      </x:c>
      <x:c r="C13470" s="0" t="s">
        <x:v>42840</x:v>
      </x:c>
      <x:c r="E13470" s="0" t="s">
        <x:v>51016</x:v>
      </x:c>
      <x:c r="F13470" s="0" t="s">
        <x:v>45</x:v>
      </x:c>
      <x:c r="G13470" s="0" t="s">
        <x:v>30</x:v>
      </x:c>
      <x:c r="H13470" s="0" t="s">
        <x:v>20</x:v>
      </x:c>
      <x:c r="I13470" s="0" t="s">
        <x:v>21</x:v>
      </x:c>
      <x:c r="K13470" s="0">
        <x:f>hyperlink("https://icd.who.int/dev11/l-ichi/en#/http%3A%2F%2Fid.who.int%2Ficd%2Fentity%2F409500541","browser")</x:f>
      </x:c>
      <x:c r="L13470" s="0">
        <x:f>hyperlink("https://icat2.azurewebsites.net/icat/?ontology=ICD&amp;tab=ClassesTab&amp;id=http%3A%2F%2Fwho.int%2Ficd%23SpecificAnatomicLocation_3574","iCat")</x:f>
      </x:c>
      <x:c r="M13470" s="0" t="s">
        <x:v>20</x:v>
      </x:c>
      <x:c r="N13470" s="0" t="s">
        <x:v>22</x:v>
      </x:c>
    </x:row>
    <x:row r="13471" spans="1:16">
      <x:c r="A13471" s="0" t="s">
        <x:v>51017</x:v>
      </x:c>
      <x:c r="B13471" s="0" t="s">
        <x:v>51018</x:v>
      </x:c>
      <x:c r="C13471" s="0" t="s">
        <x:v>42840</x:v>
      </x:c>
      <x:c r="E13471" s="0" t="s">
        <x:v>51019</x:v>
      </x:c>
      <x:c r="F13471" s="0" t="s">
        <x:v>45</x:v>
      </x:c>
      <x:c r="G13471" s="0" t="s">
        <x:v>35</x:v>
      </x:c>
      <x:c r="H13471" s="0" t="s">
        <x:v>20</x:v>
      </x:c>
      <x:c r="I13471" s="0" t="s">
        <x:v>21</x:v>
      </x:c>
      <x:c r="K13471" s="0">
        <x:f>hyperlink("https://icd.who.int/dev11/l-ichi/en#/http%3A%2F%2Fid.who.int%2Ficd%2Fentity%2F1154082941","browser")</x:f>
      </x:c>
      <x:c r="L13471" s="0">
        <x:f>hyperlink("https://icat2.azurewebsites.net/icat/?ontology=ICD&amp;tab=ClassesTab&amp;id=http%3A%2F%2Fwho.int%2Ficd%23SpecificAnatomicLocation_3570","iCat")</x:f>
      </x:c>
      <x:c r="M13471" s="0" t="s">
        <x:v>21</x:v>
      </x:c>
      <x:c r="N13471" s="0" t="s">
        <x:v>46</x:v>
      </x:c>
    </x:row>
    <x:row r="13472" spans="1:16">
      <x:c r="A13472" s="0" t="s">
        <x:v>51020</x:v>
      </x:c>
      <x:c r="B13472" s="0" t="s">
        <x:v>51021</x:v>
      </x:c>
      <x:c r="C13472" s="0" t="s">
        <x:v>42840</x:v>
      </x:c>
      <x:c r="E13472" s="0" t="s">
        <x:v>51022</x:v>
      </x:c>
      <x:c r="F13472" s="0" t="s">
        <x:v>45</x:v>
      </x:c>
      <x:c r="G13472" s="0" t="s">
        <x:v>35</x:v>
      </x:c>
      <x:c r="H13472" s="0" t="s">
        <x:v>20</x:v>
      </x:c>
      <x:c r="I13472" s="0" t="s">
        <x:v>21</x:v>
      </x:c>
      <x:c r="K13472" s="0">
        <x:f>hyperlink("https://icd.who.int/dev11/l-ichi/en#/http%3A%2F%2Fid.who.int%2Ficd%2Fentity%2F1407290557","browser")</x:f>
      </x:c>
      <x:c r="L13472" s="0">
        <x:f>hyperlink("https://icat2.azurewebsites.net/icat/?ontology=ICD&amp;tab=ClassesTab&amp;id=http%3A%2F%2Fwho.int%2Ficd%23SpecificAnatomicLocation_3571","iCat")</x:f>
      </x:c>
      <x:c r="M13472" s="0" t="s">
        <x:v>21</x:v>
      </x:c>
      <x:c r="N13472" s="0" t="s">
        <x:v>46</x:v>
      </x:c>
    </x:row>
    <x:row r="13473" spans="1:16">
      <x:c r="A13473" s="0" t="s">
        <x:v>51023</x:v>
      </x:c>
      <x:c r="B13473" s="0" t="s">
        <x:v>51024</x:v>
      </x:c>
      <x:c r="C13473" s="0" t="s">
        <x:v>42840</x:v>
      </x:c>
      <x:c r="E13473" s="0" t="s">
        <x:v>51025</x:v>
      </x:c>
      <x:c r="F13473" s="0" t="s">
        <x:v>45</x:v>
      </x:c>
      <x:c r="G13473" s="0" t="s">
        <x:v>35</x:v>
      </x:c>
      <x:c r="H13473" s="0" t="s">
        <x:v>20</x:v>
      </x:c>
      <x:c r="I13473" s="0" t="s">
        <x:v>21</x:v>
      </x:c>
      <x:c r="K13473" s="0">
        <x:f>hyperlink("https://icd.who.int/dev11/l-ichi/en#/http%3A%2F%2Fid.who.int%2Ficd%2Fentity%2F1788420605","browser")</x:f>
      </x:c>
      <x:c r="L13473" s="0">
        <x:f>hyperlink("https://icat2.azurewebsites.net/icat/?ontology=ICD&amp;tab=ClassesTab&amp;id=http%3A%2F%2Fwho.int%2Ficd%23SpecificAnatomicLocation_3572","iCat")</x:f>
      </x:c>
      <x:c r="M13473" s="0" t="s">
        <x:v>21</x:v>
      </x:c>
      <x:c r="N13473" s="0" t="s">
        <x:v>46</x:v>
      </x:c>
    </x:row>
    <x:row r="13474" spans="1:16">
      <x:c r="A13474" s="0" t="s">
        <x:v>51026</x:v>
      </x:c>
      <x:c r="B13474" s="0" t="s">
        <x:v>51027</x:v>
      </x:c>
      <x:c r="C13474" s="0" t="s">
        <x:v>42840</x:v>
      </x:c>
      <x:c r="E13474" s="0" t="s">
        <x:v>51028</x:v>
      </x:c>
      <x:c r="F13474" s="0" t="s">
        <x:v>45</x:v>
      </x:c>
      <x:c r="G13474" s="0" t="s">
        <x:v>35</x:v>
      </x:c>
      <x:c r="H13474" s="0" t="s">
        <x:v>20</x:v>
      </x:c>
      <x:c r="I13474" s="0" t="s">
        <x:v>21</x:v>
      </x:c>
      <x:c r="K13474" s="0">
        <x:f>hyperlink("https://icd.who.int/dev11/l-ichi/en#/http%3A%2F%2Fid.who.int%2Ficd%2Fentity%2F2108769597","browser")</x:f>
      </x:c>
      <x:c r="L13474" s="0">
        <x:f>hyperlink("https://icat2.azurewebsites.net/icat/?ontology=ICD&amp;tab=ClassesTab&amp;id=http%3A%2F%2Fwho.int%2Ficd%23SpecificAnatomicLocation_3573","iCat")</x:f>
      </x:c>
      <x:c r="M13474" s="0" t="s">
        <x:v>21</x:v>
      </x:c>
      <x:c r="N13474" s="0" t="s">
        <x:v>46</x:v>
      </x:c>
    </x:row>
    <x:row r="13475" spans="1:16">
      <x:c r="A13475" s="0" t="s">
        <x:v>51029</x:v>
      </x:c>
      <x:c r="B13475" s="0" t="s">
        <x:v>51030</x:v>
      </x:c>
      <x:c r="C13475" s="0" t="s">
        <x:v>42840</x:v>
      </x:c>
      <x:c r="E13475" s="0" t="s">
        <x:v>51031</x:v>
      </x:c>
      <x:c r="F13475" s="0" t="s">
        <x:v>45</x:v>
      </x:c>
      <x:c r="G13475" s="0" t="s">
        <x:v>30</x:v>
      </x:c>
      <x:c r="H13475" s="0" t="s">
        <x:v>20</x:v>
      </x:c>
      <x:c r="I13475" s="0" t="s">
        <x:v>21</x:v>
      </x:c>
      <x:c r="K13475" s="0">
        <x:f>hyperlink("https://icd.who.int/dev11/l-ichi/en#/http%3A%2F%2Fid.who.int%2Ficd%2Fentity%2F255860669","browser")</x:f>
      </x:c>
      <x:c r="L13475" s="0">
        <x:f>hyperlink("https://icat2.azurewebsites.net/icat/?ontology=ICD&amp;tab=ClassesTab&amp;id=http%3A%2F%2Fwho.int%2Ficd%23SpecificAnatomicLocation_3575","iCat")</x:f>
      </x:c>
      <x:c r="M13475" s="0" t="s">
        <x:v>21</x:v>
      </x:c>
      <x:c r="N13475" s="0" t="s">
        <x:v>46</x:v>
      </x:c>
    </x:row>
    <x:row r="13476" spans="1:16">
      <x:c r="A13476" s="0" t="s">
        <x:v>51032</x:v>
      </x:c>
      <x:c r="B13476" s="0" t="s">
        <x:v>51033</x:v>
      </x:c>
      <x:c r="C13476" s="0" t="s">
        <x:v>42840</x:v>
      </x:c>
      <x:c r="E13476" s="0" t="s">
        <x:v>51034</x:v>
      </x:c>
      <x:c r="F13476" s="0" t="s">
        <x:v>45</x:v>
      </x:c>
      <x:c r="G13476" s="0" t="s">
        <x:v>30</x:v>
      </x:c>
      <x:c r="H13476" s="0" t="s">
        <x:v>20</x:v>
      </x:c>
      <x:c r="I13476" s="0" t="s">
        <x:v>21</x:v>
      </x:c>
      <x:c r="K13476" s="0">
        <x:f>hyperlink("https://icd.who.int/dev11/l-ichi/en#/http%3A%2F%2Fid.who.int%2Ficd%2Fentity%2F909685501","browser")</x:f>
      </x:c>
      <x:c r="L13476" s="0">
        <x:f>hyperlink("https://icat2.azurewebsites.net/icat/?ontology=ICD&amp;tab=ClassesTab&amp;id=http%3A%2F%2Fwho.int%2Ficd%23SpecificAnatomicLocation_3576","iCat")</x:f>
      </x:c>
      <x:c r="M13476" s="0" t="s">
        <x:v>21</x:v>
      </x:c>
      <x:c r="N13476" s="0" t="s">
        <x:v>46</x:v>
      </x:c>
    </x:row>
    <x:row r="13477" spans="1:16">
      <x:c r="A13477" s="0" t="s">
        <x:v>51035</x:v>
      </x:c>
      <x:c r="B13477" s="0" t="s">
        <x:v>51036</x:v>
      </x:c>
      <x:c r="C13477" s="0" t="s">
        <x:v>42840</x:v>
      </x:c>
      <x:c r="E13477" s="0" t="s">
        <x:v>51037</x:v>
      </x:c>
      <x:c r="F13477" s="0" t="s">
        <x:v>45</x:v>
      </x:c>
      <x:c r="G13477" s="0" t="s">
        <x:v>30</x:v>
      </x:c>
      <x:c r="H13477" s="0" t="s">
        <x:v>20</x:v>
      </x:c>
      <x:c r="I13477" s="0" t="s">
        <x:v>21</x:v>
      </x:c>
      <x:c r="K13477" s="0">
        <x:f>hyperlink("https://icd.who.int/dev11/l-ichi/en#/http%3A%2F%2Fid.who.int%2Ficd%2Fentity%2F554751549","browser")</x:f>
      </x:c>
      <x:c r="L13477" s="0">
        <x:f>hyperlink("https://icat2.azurewebsites.net/icat/?ontology=ICD&amp;tab=ClassesTab&amp;id=http%3A%2F%2Fwho.int%2Ficd%23SpecificAnatomicLocation_3577","iCat")</x:f>
      </x:c>
      <x:c r="M13477" s="0" t="s">
        <x:v>21</x:v>
      </x:c>
      <x:c r="N13477" s="0" t="s">
        <x:v>46</x:v>
      </x:c>
    </x:row>
    <x:row r="13478" spans="1:16">
      <x:c r="A13478" s="0" t="s">
        <x:v>51038</x:v>
      </x:c>
      <x:c r="B13478" s="0" t="s">
        <x:v>51039</x:v>
      </x:c>
      <x:c r="C13478" s="0" t="s">
        <x:v>42840</x:v>
      </x:c>
      <x:c r="E13478" s="0" t="s">
        <x:v>51040</x:v>
      </x:c>
      <x:c r="F13478" s="0" t="s">
        <x:v>45</x:v>
      </x:c>
      <x:c r="G13478" s="0" t="s">
        <x:v>30</x:v>
      </x:c>
      <x:c r="H13478" s="0" t="s">
        <x:v>20</x:v>
      </x:c>
      <x:c r="I13478" s="0" t="s">
        <x:v>21</x:v>
      </x:c>
      <x:c r="K13478" s="0">
        <x:f>hyperlink("https://icd.who.int/dev11/l-ichi/en#/http%3A%2F%2Fid.who.int%2Ficd%2Fentity%2F41234819","browser")</x:f>
      </x:c>
      <x:c r="L13478" s="0">
        <x:f>hyperlink("https://icat2.azurewebsites.net/icat/?ontology=ICD&amp;tab=ClassesTab&amp;id=http%3A%2F%2Fwho.int%2Ficd%23SpecificAnatomicLocation_3578","iCat")</x:f>
      </x:c>
      <x:c r="M13478" s="0" t="s">
        <x:v>21</x:v>
      </x:c>
      <x:c r="N13478" s="0" t="s">
        <x:v>46</x:v>
      </x:c>
    </x:row>
    <x:row r="13479" spans="1:16">
      <x:c r="A13479" s="0" t="s">
        <x:v>51041</x:v>
      </x:c>
      <x:c r="B13479" s="0" t="s">
        <x:v>51042</x:v>
      </x:c>
      <x:c r="C13479" s="0" t="s">
        <x:v>42840</x:v>
      </x:c>
      <x:c r="E13479" s="0" t="s">
        <x:v>51043</x:v>
      </x:c>
      <x:c r="F13479" s="0" t="s">
        <x:v>45</x:v>
      </x:c>
      <x:c r="G13479" s="0" t="s">
        <x:v>30</x:v>
      </x:c>
      <x:c r="H13479" s="0" t="s">
        <x:v>20</x:v>
      </x:c>
      <x:c r="I13479" s="0" t="s">
        <x:v>21</x:v>
      </x:c>
      <x:c r="K13479" s="0">
        <x:f>hyperlink("https://icd.who.int/dev11/l-ichi/en#/http%3A%2F%2Fid.who.int%2Ficd%2Fentity%2F358438211","browser")</x:f>
      </x:c>
      <x:c r="L13479" s="0">
        <x:f>hyperlink("https://icat2.azurewebsites.net/icat/?ontology=ICD&amp;tab=ClassesTab&amp;id=http%3A%2F%2Fwho.int%2Ficd%23SpecificAnatomicLocation_3579","iCat")</x:f>
      </x:c>
      <x:c r="M13479" s="0" t="s">
        <x:v>21</x:v>
      </x:c>
      <x:c r="N13479" s="0" t="s">
        <x:v>46</x:v>
      </x:c>
    </x:row>
    <x:row r="13480" spans="1:16">
      <x:c r="A13480" s="0" t="s">
        <x:v>51044</x:v>
      </x:c>
      <x:c r="B13480" s="0" t="s">
        <x:v>51045</x:v>
      </x:c>
      <x:c r="C13480" s="0" t="s">
        <x:v>42840</x:v>
      </x:c>
      <x:c r="E13480" s="0" t="s">
        <x:v>51046</x:v>
      </x:c>
      <x:c r="F13480" s="0" t="s">
        <x:v>45</x:v>
      </x:c>
      <x:c r="G13480" s="0" t="s">
        <x:v>30</x:v>
      </x:c>
      <x:c r="H13480" s="0" t="s">
        <x:v>20</x:v>
      </x:c>
      <x:c r="I13480" s="0" t="s">
        <x:v>21</x:v>
      </x:c>
      <x:c r="K13480" s="0">
        <x:f>hyperlink("https://icd.who.int/dev11/l-ichi/en#/http%3A%2F%2Fid.who.int%2Ficd%2Fentity%2F1478696012","browser")</x:f>
      </x:c>
      <x:c r="L13480" s="0">
        <x:f>hyperlink("https://icat2.azurewebsites.net/icat/?ontology=ICD&amp;tab=ClassesTab&amp;id=http%3A%2F%2Fwho.int%2Ficd%23SpecificAnatomicLocation_3580","iCat")</x:f>
      </x:c>
      <x:c r="M13480" s="0" t="s">
        <x:v>21</x:v>
      </x:c>
      <x:c r="N13480" s="0" t="s">
        <x:v>46</x:v>
      </x:c>
    </x:row>
    <x:row r="13481" spans="1:16">
      <x:c r="A13481" s="0" t="s">
        <x:v>51047</x:v>
      </x:c>
      <x:c r="B13481" s="0" t="s">
        <x:v>51048</x:v>
      </x:c>
      <x:c r="C13481" s="0" t="s">
        <x:v>42840</x:v>
      </x:c>
      <x:c r="E13481" s="0" t="s">
        <x:v>51049</x:v>
      </x:c>
      <x:c r="F13481" s="0" t="s">
        <x:v>45</x:v>
      </x:c>
      <x:c r="G13481" s="0" t="s">
        <x:v>30</x:v>
      </x:c>
      <x:c r="H13481" s="0" t="s">
        <x:v>20</x:v>
      </x:c>
      <x:c r="I13481" s="0" t="s">
        <x:v>21</x:v>
      </x:c>
      <x:c r="K13481" s="0">
        <x:f>hyperlink("https://icd.who.int/dev11/l-ichi/en#/http%3A%2F%2Fid.who.int%2Ficd%2Fentity%2F1326151820","browser")</x:f>
      </x:c>
      <x:c r="L13481" s="0">
        <x:f>hyperlink("https://icat2.azurewebsites.net/icat/?ontology=ICD&amp;tab=ClassesTab&amp;id=http%3A%2F%2Fwho.int%2Ficd%23SpecificAnatomicLocation_3581","iCat")</x:f>
      </x:c>
      <x:c r="M13481" s="0" t="s">
        <x:v>21</x:v>
      </x:c>
      <x:c r="N13481" s="0" t="s">
        <x:v>46</x:v>
      </x:c>
    </x:row>
    <x:row r="13482" spans="1:16">
      <x:c r="A13482" s="0" t="s">
        <x:v>51050</x:v>
      </x:c>
      <x:c r="B13482" s="0" t="s">
        <x:v>51051</x:v>
      </x:c>
      <x:c r="C13482" s="0" t="s">
        <x:v>42840</x:v>
      </x:c>
      <x:c r="E13482" s="0" t="s">
        <x:v>51052</x:v>
      </x:c>
      <x:c r="F13482" s="0" t="s">
        <x:v>45</x:v>
      </x:c>
      <x:c r="G13482" s="0" t="s">
        <x:v>30</x:v>
      </x:c>
      <x:c r="H13482" s="0" t="s">
        <x:v>20</x:v>
      </x:c>
      <x:c r="I13482" s="0" t="s">
        <x:v>21</x:v>
      </x:c>
      <x:c r="K13482" s="0">
        <x:f>hyperlink("https://icd.who.int/dev11/l-ichi/en#/http%3A%2F%2Fid.who.int%2Ficd%2Fentity%2F1987302860","browser")</x:f>
      </x:c>
      <x:c r="L13482" s="0">
        <x:f>hyperlink("https://icat2.azurewebsites.net/icat/?ontology=ICD&amp;tab=ClassesTab&amp;id=http%3A%2F%2Fwho.int%2Ficd%23SpecificAnatomicLocation_3582","iCat")</x:f>
      </x:c>
      <x:c r="M13482" s="0" t="s">
        <x:v>21</x:v>
      </x:c>
      <x:c r="N13482" s="0" t="s">
        <x:v>46</x:v>
      </x:c>
    </x:row>
    <x:row r="13483" spans="1:16">
      <x:c r="A13483" s="0" t="s">
        <x:v>51053</x:v>
      </x:c>
      <x:c r="B13483" s="0" t="s">
        <x:v>51054</x:v>
      </x:c>
      <x:c r="C13483" s="0" t="s">
        <x:v>42840</x:v>
      </x:c>
      <x:c r="E13483" s="0" t="s">
        <x:v>51055</x:v>
      </x:c>
      <x:c r="F13483" s="0" t="s">
        <x:v>45</x:v>
      </x:c>
      <x:c r="G13483" s="0" t="s">
        <x:v>30</x:v>
      </x:c>
      <x:c r="H13483" s="0" t="s">
        <x:v>20</x:v>
      </x:c>
      <x:c r="I13483" s="0" t="s">
        <x:v>21</x:v>
      </x:c>
      <x:c r="K13483" s="0">
        <x:f>hyperlink("https://icd.who.int/dev11/l-ichi/en#/http%3A%2F%2Fid.who.int%2Ficd%2Fentity%2F1633399052","browser")</x:f>
      </x:c>
      <x:c r="L13483" s="0">
        <x:f>hyperlink("https://icat2.azurewebsites.net/icat/?ontology=ICD&amp;tab=ClassesTab&amp;id=http%3A%2F%2Fwho.int%2Ficd%23SpecificAnatomicLocation_3583","iCat")</x:f>
      </x:c>
      <x:c r="M13483" s="0" t="s">
        <x:v>21</x:v>
      </x:c>
      <x:c r="N13483" s="0" t="s">
        <x:v>46</x:v>
      </x:c>
    </x:row>
    <x:row r="13484" spans="1:16">
      <x:c r="A13484" s="0" t="s">
        <x:v>51056</x:v>
      </x:c>
      <x:c r="B13484" s="0" t="s">
        <x:v>51057</x:v>
      </x:c>
      <x:c r="C13484" s="0" t="s">
        <x:v>42840</x:v>
      </x:c>
      <x:c r="E13484" s="0" t="s">
        <x:v>51058</x:v>
      </x:c>
      <x:c r="F13484" s="0" t="s">
        <x:v>45</x:v>
      </x:c>
      <x:c r="G13484" s="0" t="s">
        <x:v>30</x:v>
      </x:c>
      <x:c r="H13484" s="0" t="s">
        <x:v>20</x:v>
      </x:c>
      <x:c r="I13484" s="0" t="s">
        <x:v>21</x:v>
      </x:c>
      <x:c r="K13484" s="0">
        <x:f>hyperlink("https://icd.who.int/dev11/l-ichi/en#/http%3A%2F%2Fid.who.int%2Ficd%2Fentity%2F75665228","browser")</x:f>
      </x:c>
      <x:c r="L13484" s="0">
        <x:f>hyperlink("https://icat2.azurewebsites.net/icat/?ontology=ICD&amp;tab=ClassesTab&amp;id=http%3A%2F%2Fwho.int%2Ficd%23SpecificAnatomicLocation_3584","iCat")</x:f>
      </x:c>
      <x:c r="M13484" s="0" t="s">
        <x:v>21</x:v>
      </x:c>
      <x:c r="N13484" s="0" t="s">
        <x:v>46</x:v>
      </x:c>
    </x:row>
    <x:row r="13485" spans="1:16">
      <x:c r="A13485" s="0" t="s">
        <x:v>51059</x:v>
      </x:c>
      <x:c r="B13485" s="0" t="s">
        <x:v>51060</x:v>
      </x:c>
      <x:c r="C13485" s="0" t="s">
        <x:v>42840</x:v>
      </x:c>
      <x:c r="E13485" s="0" t="s">
        <x:v>51061</x:v>
      </x:c>
      <x:c r="F13485" s="0" t="s">
        <x:v>45</x:v>
      </x:c>
      <x:c r="G13485" s="0" t="s">
        <x:v>30</x:v>
      </x:c>
      <x:c r="H13485" s="0" t="s">
        <x:v>20</x:v>
      </x:c>
      <x:c r="I13485" s="0" t="s">
        <x:v>21</x:v>
      </x:c>
      <x:c r="K13485" s="0">
        <x:f>hyperlink("https://icd.who.int/dev11/l-ichi/en#/http%3A%2F%2Fid.who.int%2Ficd%2Fentity%2F329968524","browser")</x:f>
      </x:c>
      <x:c r="L13485" s="0">
        <x:f>hyperlink("https://icat2.azurewebsites.net/icat/?ontology=ICD&amp;tab=ClassesTab&amp;id=http%3A%2F%2Fwho.int%2Ficd%23SpecificAnatomicLocation_3585","iCat")</x:f>
      </x:c>
      <x:c r="M13485" s="0" t="s">
        <x:v>21</x:v>
      </x:c>
      <x:c r="N13485" s="0" t="s">
        <x:v>46</x:v>
      </x:c>
    </x:row>
    <x:row r="13486" spans="1:16">
      <x:c r="A13486" s="0" t="s">
        <x:v>51062</x:v>
      </x:c>
      <x:c r="B13486" s="0" t="s">
        <x:v>51063</x:v>
      </x:c>
      <x:c r="C13486" s="0" t="s">
        <x:v>42840</x:v>
      </x:c>
      <x:c r="E13486" s="0" t="s">
        <x:v>51064</x:v>
      </x:c>
      <x:c r="F13486" s="0" t="s">
        <x:v>45</x:v>
      </x:c>
      <x:c r="G13486" s="0" t="s">
        <x:v>30</x:v>
      </x:c>
      <x:c r="H13486" s="0" t="s">
        <x:v>20</x:v>
      </x:c>
      <x:c r="I13486" s="0" t="s">
        <x:v>21</x:v>
      </x:c>
      <x:c r="K13486" s="0">
        <x:f>hyperlink("https://icd.who.int/dev11/l-ichi/en#/http%3A%2F%2Fid.who.int%2Ficd%2Fentity%2F718423756","browser")</x:f>
      </x:c>
      <x:c r="L13486" s="0">
        <x:f>hyperlink("https://icat2.azurewebsites.net/icat/?ontology=ICD&amp;tab=ClassesTab&amp;id=http%3A%2F%2Fwho.int%2Ficd%23SpecificAnatomicLocation_3586","iCat")</x:f>
      </x:c>
      <x:c r="M13486" s="0" t="s">
        <x:v>21</x:v>
      </x:c>
      <x:c r="N13486" s="0" t="s">
        <x:v>46</x:v>
      </x:c>
    </x:row>
    <x:row r="13487" spans="1:16">
      <x:c r="A13487" s="0" t="s">
        <x:v>51065</x:v>
      </x:c>
      <x:c r="B13487" s="0" t="s">
        <x:v>51066</x:v>
      </x:c>
      <x:c r="C13487" s="0" t="s">
        <x:v>42840</x:v>
      </x:c>
      <x:c r="E13487" s="0" t="s">
        <x:v>51067</x:v>
      </x:c>
      <x:c r="F13487" s="0" t="s">
        <x:v>45</x:v>
      </x:c>
      <x:c r="G13487" s="0" t="s">
        <x:v>30</x:v>
      </x:c>
      <x:c r="H13487" s="0" t="s">
        <x:v>20</x:v>
      </x:c>
      <x:c r="I13487" s="0" t="s">
        <x:v>21</x:v>
      </x:c>
      <x:c r="K13487" s="0">
        <x:f>hyperlink("https://icd.who.int/dev11/l-ichi/en#/http%3A%2F%2Fid.who.int%2Ficd%2Fentity%2F1039802892","browser")</x:f>
      </x:c>
      <x:c r="L13487" s="0">
        <x:f>hyperlink("https://icat2.azurewebsites.net/icat/?ontology=ICD&amp;tab=ClassesTab&amp;id=http%3A%2F%2Fwho.int%2Ficd%23SpecificAnatomicLocation_3587","iCat")</x:f>
      </x:c>
      <x:c r="M13487" s="0" t="s">
        <x:v>21</x:v>
      </x:c>
      <x:c r="N13487" s="0" t="s">
        <x:v>46</x:v>
      </x:c>
    </x:row>
    <x:row r="13488" spans="1:16">
      <x:c r="A13488" s="0" t="s">
        <x:v>51068</x:v>
      </x:c>
      <x:c r="B13488" s="0" t="s">
        <x:v>51069</x:v>
      </x:c>
      <x:c r="C13488" s="0" t="s">
        <x:v>42840</x:v>
      </x:c>
      <x:c r="E13488" s="0" t="s">
        <x:v>51070</x:v>
      </x:c>
      <x:c r="F13488" s="0" t="s">
        <x:v>45</x:v>
      </x:c>
      <x:c r="G13488" s="0" t="s">
        <x:v>30</x:v>
      </x:c>
      <x:c r="H13488" s="0" t="s">
        <x:v>20</x:v>
      </x:c>
      <x:c r="I13488" s="0" t="s">
        <x:v>21</x:v>
      </x:c>
      <x:c r="K13488" s="0">
        <x:f>hyperlink("https://icd.who.int/dev11/l-ichi/en#/http%3A%2F%2Fid.who.int%2Ficd%2Fentity%2F513787316","browser")</x:f>
      </x:c>
      <x:c r="L13488" s="0">
        <x:f>hyperlink("https://icat2.azurewebsites.net/icat/?ontology=ICD&amp;tab=ClassesTab&amp;id=http%3A%2F%2Fwho.int%2Ficd%23SpecificAnatomicLocation_3588","iCat")</x:f>
      </x:c>
      <x:c r="M13488" s="0" t="s">
        <x:v>21</x:v>
      </x:c>
      <x:c r="N13488" s="0" t="s">
        <x:v>46</x:v>
      </x:c>
    </x:row>
    <x:row r="13489" spans="1:16">
      <x:c r="A13489" s="0" t="s">
        <x:v>51071</x:v>
      </x:c>
      <x:c r="B13489" s="0" t="s">
        <x:v>51072</x:v>
      </x:c>
      <x:c r="C13489" s="0" t="s">
        <x:v>42840</x:v>
      </x:c>
      <x:c r="E13489" s="0" t="s">
        <x:v>51073</x:v>
      </x:c>
      <x:c r="F13489" s="0" t="s">
        <x:v>45</x:v>
      </x:c>
      <x:c r="G13489" s="0" t="s">
        <x:v>30</x:v>
      </x:c>
      <x:c r="H13489" s="0" t="s">
        <x:v>20</x:v>
      </x:c>
      <x:c r="I13489" s="0" t="s">
        <x:v>21</x:v>
      </x:c>
      <x:c r="K13489" s="0">
        <x:f>hyperlink("https://icd.who.int/dev11/l-ichi/en#/http%3A%2F%2Fid.who.int%2Ficd%2Fentity%2F163029364","browser")</x:f>
      </x:c>
      <x:c r="L13489" s="0">
        <x:f>hyperlink("https://icat2.azurewebsites.net/icat/?ontology=ICD&amp;tab=ClassesTab&amp;id=http%3A%2F%2Fwho.int%2Ficd%23SpecificAnatomicLocation_3589","iCat")</x:f>
      </x:c>
      <x:c r="M13489" s="0" t="s">
        <x:v>21</x:v>
      </x:c>
      <x:c r="N13489" s="0" t="s">
        <x:v>46</x:v>
      </x:c>
    </x:row>
    <x:row r="13490" spans="1:16">
      <x:c r="A13490" s="0" t="s">
        <x:v>51074</x:v>
      </x:c>
      <x:c r="B13490" s="0" t="s">
        <x:v>51075</x:v>
      </x:c>
      <x:c r="C13490" s="0" t="s">
        <x:v>42840</x:v>
      </x:c>
      <x:c r="E13490" s="0" t="s">
        <x:v>51076</x:v>
      </x:c>
      <x:c r="F13490" s="0" t="s">
        <x:v>45</x:v>
      </x:c>
      <x:c r="G13490" s="0" t="s">
        <x:v>30</x:v>
      </x:c>
      <x:c r="H13490" s="0" t="s">
        <x:v>20</x:v>
      </x:c>
      <x:c r="I13490" s="0" t="s">
        <x:v>21</x:v>
      </x:c>
      <x:c r="K13490" s="0">
        <x:f>hyperlink("https://icd.who.int/dev11/l-ichi/en#/http%3A%2F%2Fid.who.int%2Ficd%2Fentity%2F653887123","browser")</x:f>
      </x:c>
      <x:c r="L13490" s="0">
        <x:f>hyperlink("https://icat2.azurewebsites.net/icat/?ontology=ICD&amp;tab=ClassesTab&amp;id=http%3A%2F%2Fwho.int%2Ficd%23SpecificAnatomicLocation_3590","iCat")</x:f>
      </x:c>
      <x:c r="M13490" s="0" t="s">
        <x:v>21</x:v>
      </x:c>
      <x:c r="N13490" s="0" t="s">
        <x:v>46</x:v>
      </x:c>
    </x:row>
    <x:row r="13491" spans="1:16">
      <x:c r="A13491" s="0" t="s">
        <x:v>51077</x:v>
      </x:c>
      <x:c r="B13491" s="0" t="s">
        <x:v>51078</x:v>
      </x:c>
      <x:c r="C13491" s="0" t="s">
        <x:v>42840</x:v>
      </x:c>
      <x:c r="E13491" s="0" t="s">
        <x:v>51079</x:v>
      </x:c>
      <x:c r="F13491" s="0" t="s">
        <x:v>45</x:v>
      </x:c>
      <x:c r="G13491" s="0" t="s">
        <x:v>30</x:v>
      </x:c>
      <x:c r="H13491" s="0" t="s">
        <x:v>20</x:v>
      </x:c>
      <x:c r="I13491" s="0" t="s">
        <x:v>21</x:v>
      </x:c>
      <x:c r="K13491" s="0">
        <x:f>hyperlink("https://icd.who.int/dev11/l-ichi/en#/http%3A%2F%2Fid.who.int%2Ficd%2Fentity%2F145313555","browser")</x:f>
      </x:c>
      <x:c r="L13491" s="0">
        <x:f>hyperlink("https://icat2.azurewebsites.net/icat/?ontology=ICD&amp;tab=ClassesTab&amp;id=http%3A%2F%2Fwho.int%2Ficd%23SpecificAnatomicLocation_3592","iCat")</x:f>
      </x:c>
      <x:c r="M13491" s="0" t="s">
        <x:v>21</x:v>
      </x:c>
      <x:c r="N13491" s="0" t="s">
        <x:v>46</x:v>
      </x:c>
    </x:row>
    <x:row r="13492" spans="1:16">
      <x:c r="A13492" s="0" t="s">
        <x:v>51080</x:v>
      </x:c>
      <x:c r="B13492" s="0" t="s">
        <x:v>51081</x:v>
      </x:c>
      <x:c r="C13492" s="0" t="s">
        <x:v>42840</x:v>
      </x:c>
      <x:c r="E13492" s="0" t="s">
        <x:v>51082</x:v>
      </x:c>
      <x:c r="F13492" s="0" t="s">
        <x:v>45</x:v>
      </x:c>
      <x:c r="G13492" s="0" t="s">
        <x:v>30</x:v>
      </x:c>
      <x:c r="H13492" s="0" t="s">
        <x:v>20</x:v>
      </x:c>
      <x:c r="I13492" s="0" t="s">
        <x:v>21</x:v>
      </x:c>
      <x:c r="K13492" s="0">
        <x:f>hyperlink("https://icd.who.int/dev11/l-ichi/en#/http%3A%2F%2Fid.who.int%2Ficd%2Fentity%2F2052593043","browser")</x:f>
      </x:c>
      <x:c r="L13492" s="0">
        <x:f>hyperlink("https://icat2.azurewebsites.net/icat/?ontology=ICD&amp;tab=ClassesTab&amp;id=http%3A%2F%2Fwho.int%2Ficd%23SpecificAnatomicLocation_3594","iCat")</x:f>
      </x:c>
      <x:c r="M13492" s="0" t="s">
        <x:v>21</x:v>
      </x:c>
      <x:c r="N13492" s="0" t="s">
        <x:v>46</x:v>
      </x:c>
    </x:row>
    <x:row r="13493" spans="1:16">
      <x:c r="A13493" s="0" t="s">
        <x:v>51083</x:v>
      </x:c>
      <x:c r="B13493" s="0" t="s">
        <x:v>51084</x:v>
      </x:c>
      <x:c r="C13493" s="0" t="s">
        <x:v>42840</x:v>
      </x:c>
      <x:c r="E13493" s="0" t="s">
        <x:v>51085</x:v>
      </x:c>
      <x:c r="F13493" s="0" t="s">
        <x:v>45</x:v>
      </x:c>
      <x:c r="G13493" s="0" t="s">
        <x:v>30</x:v>
      </x:c>
      <x:c r="H13493" s="0" t="s">
        <x:v>20</x:v>
      </x:c>
      <x:c r="I13493" s="0" t="s">
        <x:v>21</x:v>
      </x:c>
      <x:c r="K13493" s="0">
        <x:f>hyperlink("https://icd.who.int/dev11/l-ichi/en#/http%3A%2F%2Fid.who.int%2Ficd%2Fentity%2F835838547","browser")</x:f>
      </x:c>
      <x:c r="L13493" s="0">
        <x:f>hyperlink("https://icat2.azurewebsites.net/icat/?ontology=ICD&amp;tab=ClassesTab&amp;id=http%3A%2F%2Fwho.int%2Ficd%23SpecificAnatomicLocation_3591","iCat")</x:f>
      </x:c>
      <x:c r="M13493" s="0" t="s">
        <x:v>21</x:v>
      </x:c>
      <x:c r="N13493" s="0" t="s">
        <x:v>46</x:v>
      </x:c>
    </x:row>
    <x:row r="13494" spans="1:16">
      <x:c r="A13494" s="0" t="s">
        <x:v>51086</x:v>
      </x:c>
      <x:c r="B13494" s="0" t="s">
        <x:v>51087</x:v>
      </x:c>
      <x:c r="C13494" s="0" t="s">
        <x:v>42840</x:v>
      </x:c>
      <x:c r="E13494" s="0" t="s">
        <x:v>51088</x:v>
      </x:c>
      <x:c r="F13494" s="0" t="s">
        <x:v>45</x:v>
      </x:c>
      <x:c r="G13494" s="0" t="s">
        <x:v>30</x:v>
      </x:c>
      <x:c r="H13494" s="0" t="s">
        <x:v>20</x:v>
      </x:c>
      <x:c r="I13494" s="0" t="s">
        <x:v>21</x:v>
      </x:c>
      <x:c r="K13494" s="0">
        <x:f>hyperlink("https://icd.who.int/dev11/l-ichi/en#/http%3A%2F%2Fid.who.int%2Ficd%2Fentity%2F1836085587","browser")</x:f>
      </x:c>
      <x:c r="L13494" s="0">
        <x:f>hyperlink("https://icat2.azurewebsites.net/icat/?ontology=ICD&amp;tab=ClassesTab&amp;id=http%3A%2F%2Fwho.int%2Ficd%23SpecificAnatomicLocation_3595","iCat")</x:f>
      </x:c>
      <x:c r="M13494" s="0" t="s">
        <x:v>21</x:v>
      </x:c>
      <x:c r="N13494" s="0" t="s">
        <x:v>46</x:v>
      </x:c>
    </x:row>
    <x:row r="13495" spans="1:16">
      <x:c r="A13495" s="0" t="s">
        <x:v>51089</x:v>
      </x:c>
      <x:c r="B13495" s="0" t="s">
        <x:v>51090</x:v>
      </x:c>
      <x:c r="C13495" s="0" t="s">
        <x:v>42840</x:v>
      </x:c>
      <x:c r="E13495" s="0" t="s">
        <x:v>51091</x:v>
      </x:c>
      <x:c r="F13495" s="0" t="s">
        <x:v>45</x:v>
      </x:c>
      <x:c r="G13495" s="0" t="s">
        <x:v>30</x:v>
      </x:c>
      <x:c r="H13495" s="0" t="s">
        <x:v>20</x:v>
      </x:c>
      <x:c r="I13495" s="0" t="s">
        <x:v>21</x:v>
      </x:c>
      <x:c r="K13495" s="0">
        <x:f>hyperlink("https://icd.who.int/dev11/l-ichi/en#/http%3A%2F%2Fid.who.int%2Ficd%2Fentity%2F1409866771","browser")</x:f>
      </x:c>
      <x:c r="L13495" s="0">
        <x:f>hyperlink("https://icat2.azurewebsites.net/icat/?ontology=ICD&amp;tab=ClassesTab&amp;id=http%3A%2F%2Fwho.int%2Ficd%23SpecificAnatomicLocation_3596","iCat")</x:f>
      </x:c>
      <x:c r="M13495" s="0" t="s">
        <x:v>21</x:v>
      </x:c>
      <x:c r="N13495" s="0" t="s">
        <x:v>46</x:v>
      </x:c>
    </x:row>
    <x:row r="13496" spans="1:16">
      <x:c r="A13496" s="0" t="s">
        <x:v>51092</x:v>
      </x:c>
      <x:c r="B13496" s="0" t="s">
        <x:v>51093</x:v>
      </x:c>
      <x:c r="C13496" s="0" t="s">
        <x:v>42840</x:v>
      </x:c>
      <x:c r="E13496" s="0" t="s">
        <x:v>51094</x:v>
      </x:c>
      <x:c r="F13496" s="0" t="s">
        <x:v>45</x:v>
      </x:c>
      <x:c r="G13496" s="0" t="s">
        <x:v>19</x:v>
      </x:c>
      <x:c r="H13496" s="0" t="s">
        <x:v>20</x:v>
      </x:c>
      <x:c r="I13496" s="0" t="s">
        <x:v>21</x:v>
      </x:c>
      <x:c r="K13496" s="0">
        <x:f>hyperlink("https://icd.who.int/dev11/l-ichi/en#/http%3A%2F%2Fid.who.int%2Ficd%2Fentity%2F687054421","browser")</x:f>
      </x:c>
      <x:c r="L13496" s="0">
        <x:f>hyperlink("https://icat2.azurewebsites.net/icat/?ontology=ICD&amp;tab=ClassesTab&amp;id=http%3A%2F%2Fwho.int%2Ficd%23SpecificAnatomicLocation_3612","iCat")</x:f>
      </x:c>
      <x:c r="M13496" s="0" t="s">
        <x:v>20</x:v>
      </x:c>
      <x:c r="N13496" s="0" t="s">
        <x:v>1298</x:v>
      </x:c>
    </x:row>
    <x:row r="13497" spans="1:16">
      <x:c r="A13497" s="0" t="s">
        <x:v>51095</x:v>
      </x:c>
      <x:c r="B13497" s="0" t="s">
        <x:v>51096</x:v>
      </x:c>
      <x:c r="C13497" s="0" t="s">
        <x:v>42840</x:v>
      </x:c>
      <x:c r="E13497" s="0" t="s">
        <x:v>51097</x:v>
      </x:c>
      <x:c r="F13497" s="0" t="s">
        <x:v>45</x:v>
      </x:c>
      <x:c r="G13497" s="0" t="s">
        <x:v>30</x:v>
      </x:c>
      <x:c r="H13497" s="0" t="s">
        <x:v>20</x:v>
      </x:c>
      <x:c r="I13497" s="0" t="s">
        <x:v>21</x:v>
      </x:c>
      <x:c r="K13497" s="0">
        <x:f>hyperlink("https://icd.who.int/dev11/l-ichi/en#/http%3A%2F%2Fid.who.int%2Ficd%2Fentity%2F703426610","browser")</x:f>
      </x:c>
      <x:c r="L13497" s="0">
        <x:f>hyperlink("https://icat2.azurewebsites.net/icat/?ontology=ICD&amp;tab=ClassesTab&amp;id=http%3A%2F%2Fwho.int%2Ficd%23SpecificAnatomicLocation_3609","iCat")</x:f>
      </x:c>
      <x:c r="M13497" s="0" t="s">
        <x:v>21</x:v>
      </x:c>
      <x:c r="N13497" s="0" t="s">
        <x:v>46</x:v>
      </x:c>
    </x:row>
    <x:row r="13498" spans="1:16">
      <x:c r="A13498" s="0" t="s">
        <x:v>51098</x:v>
      </x:c>
      <x:c r="B13498" s="0" t="s">
        <x:v>51099</x:v>
      </x:c>
      <x:c r="C13498" s="0" t="s">
        <x:v>42840</x:v>
      </x:c>
      <x:c r="E13498" s="0" t="s">
        <x:v>51100</x:v>
      </x:c>
      <x:c r="F13498" s="0" t="s">
        <x:v>45</x:v>
      </x:c>
      <x:c r="G13498" s="0" t="s">
        <x:v>30</x:v>
      </x:c>
      <x:c r="H13498" s="0" t="s">
        <x:v>20</x:v>
      </x:c>
      <x:c r="I13498" s="0" t="s">
        <x:v>21</x:v>
      </x:c>
      <x:c r="K13498" s="0">
        <x:f>hyperlink("https://icd.who.int/dev11/l-ichi/en#/http%3A%2F%2Fid.who.int%2Ficd%2Fentity%2F1615159149","browser")</x:f>
      </x:c>
      <x:c r="L13498" s="0">
        <x:f>hyperlink("https://icat2.azurewebsites.net/icat/?ontology=ICD&amp;tab=ClassesTab&amp;id=http%3A%2F%2Fwho.int%2Ficd%23SpecificAnatomicLocation_3598","iCat")</x:f>
      </x:c>
      <x:c r="M13498" s="0" t="s">
        <x:v>21</x:v>
      </x:c>
      <x:c r="N13498" s="0" t="s">
        <x:v>46</x:v>
      </x:c>
    </x:row>
    <x:row r="13499" spans="1:16">
      <x:c r="A13499" s="0" t="s">
        <x:v>51101</x:v>
      </x:c>
      <x:c r="B13499" s="0" t="s">
        <x:v>51102</x:v>
      </x:c>
      <x:c r="C13499" s="0" t="s">
        <x:v>42840</x:v>
      </x:c>
      <x:c r="E13499" s="0" t="s">
        <x:v>51103</x:v>
      </x:c>
      <x:c r="F13499" s="0" t="s">
        <x:v>45</x:v>
      </x:c>
      <x:c r="G13499" s="0" t="s">
        <x:v>30</x:v>
      </x:c>
      <x:c r="H13499" s="0" t="s">
        <x:v>20</x:v>
      </x:c>
      <x:c r="I13499" s="0" t="s">
        <x:v>21</x:v>
      </x:c>
      <x:c r="K13499" s="0">
        <x:f>hyperlink("https://icd.who.int/dev11/l-ichi/en#/http%3A%2F%2Fid.who.int%2Ficd%2Fentity%2F2003647405","browser")</x:f>
      </x:c>
      <x:c r="L13499" s="0">
        <x:f>hyperlink("https://icat2.azurewebsites.net/icat/?ontology=ICD&amp;tab=ClassesTab&amp;id=http%3A%2F%2Fwho.int%2Ficd%23SpecificAnatomicLocation_3599","iCat")</x:f>
      </x:c>
      <x:c r="M13499" s="0" t="s">
        <x:v>21</x:v>
      </x:c>
      <x:c r="N13499" s="0" t="s">
        <x:v>46</x:v>
      </x:c>
    </x:row>
    <x:row r="13500" spans="1:16">
      <x:c r="A13500" s="0" t="s">
        <x:v>51104</x:v>
      </x:c>
      <x:c r="B13500" s="0" t="s">
        <x:v>51105</x:v>
      </x:c>
      <x:c r="C13500" s="0" t="s">
        <x:v>42840</x:v>
      </x:c>
      <x:c r="E13500" s="0" t="s">
        <x:v>51106</x:v>
      </x:c>
      <x:c r="F13500" s="0" t="s">
        <x:v>45</x:v>
      </x:c>
      <x:c r="G13500" s="0" t="s">
        <x:v>30</x:v>
      </x:c>
      <x:c r="H13500" s="0" t="s">
        <x:v>20</x:v>
      </x:c>
      <x:c r="I13500" s="0" t="s">
        <x:v>21</x:v>
      </x:c>
      <x:c r="K13500" s="0">
        <x:f>hyperlink("https://icd.who.int/dev11/l-ichi/en#/http%3A%2F%2Fid.who.int%2Ficd%2Fentity%2F2021248270","browser")</x:f>
      </x:c>
      <x:c r="L13500" s="0">
        <x:f>hyperlink("https://icat2.azurewebsites.net/icat/?ontology=ICD&amp;tab=ClassesTab&amp;id=http%3A%2F%2Fwho.int%2Ficd%23SpecificAnatomicLocation_3600","iCat")</x:f>
      </x:c>
      <x:c r="M13500" s="0" t="s">
        <x:v>21</x:v>
      </x:c>
      <x:c r="N13500" s="0" t="s">
        <x:v>46</x:v>
      </x:c>
    </x:row>
    <x:row r="13501" spans="1:16">
      <x:c r="A13501" s="0" t="s">
        <x:v>51107</x:v>
      </x:c>
      <x:c r="B13501" s="0" t="s">
        <x:v>51108</x:v>
      </x:c>
      <x:c r="C13501" s="0" t="s">
        <x:v>42840</x:v>
      </x:c>
      <x:c r="E13501" s="0" t="s">
        <x:v>51109</x:v>
      </x:c>
      <x:c r="F13501" s="0" t="s">
        <x:v>45</x:v>
      </x:c>
      <x:c r="G13501" s="0" t="s">
        <x:v>30</x:v>
      </x:c>
      <x:c r="H13501" s="0" t="s">
        <x:v>20</x:v>
      </x:c>
      <x:c r="I13501" s="0" t="s">
        <x:v>21</x:v>
      </x:c>
      <x:c r="K13501" s="0">
        <x:f>hyperlink("https://icd.who.int/dev11/l-ichi/en#/http%3A%2F%2Fid.who.int%2Ficd%2Fentity%2F1867622862","browser")</x:f>
      </x:c>
      <x:c r="L13501" s="0">
        <x:f>hyperlink("https://icat2.azurewebsites.net/icat/?ontology=ICD&amp;tab=ClassesTab&amp;id=http%3A%2F%2Fwho.int%2Ficd%23SpecificAnatomicLocation_3601","iCat")</x:f>
      </x:c>
      <x:c r="M13501" s="0" t="s">
        <x:v>21</x:v>
      </x:c>
      <x:c r="N13501" s="0" t="s">
        <x:v>46</x:v>
      </x:c>
    </x:row>
    <x:row r="13502" spans="1:16">
      <x:c r="A13502" s="0" t="s">
        <x:v>51110</x:v>
      </x:c>
      <x:c r="B13502" s="0" t="s">
        <x:v>51111</x:v>
      </x:c>
      <x:c r="C13502" s="0" t="s">
        <x:v>42840</x:v>
      </x:c>
      <x:c r="E13502" s="0" t="s">
        <x:v>51112</x:v>
      </x:c>
      <x:c r="F13502" s="0" t="s">
        <x:v>45</x:v>
      </x:c>
      <x:c r="G13502" s="0" t="s">
        <x:v>30</x:v>
      </x:c>
      <x:c r="H13502" s="0" t="s">
        <x:v>20</x:v>
      </x:c>
      <x:c r="I13502" s="0" t="s">
        <x:v>21</x:v>
      </x:c>
      <x:c r="K13502" s="0">
        <x:f>hyperlink("https://icd.who.int/dev11/l-ichi/en#/http%3A%2F%2Fid.who.int%2Ficd%2Fentity%2F1445528718","browser")</x:f>
      </x:c>
      <x:c r="L13502" s="0">
        <x:f>hyperlink("https://icat2.azurewebsites.net/icat/?ontology=ICD&amp;tab=ClassesTab&amp;id=http%3A%2F%2Fwho.int%2Ficd%23SpecificAnatomicLocation_3602","iCat")</x:f>
      </x:c>
      <x:c r="M13502" s="0" t="s">
        <x:v>21</x:v>
      </x:c>
      <x:c r="N13502" s="0" t="s">
        <x:v>46</x:v>
      </x:c>
    </x:row>
    <x:row r="13503" spans="1:16">
      <x:c r="A13503" s="0" t="s">
        <x:v>51113</x:v>
      </x:c>
      <x:c r="B13503" s="0" t="s">
        <x:v>51114</x:v>
      </x:c>
      <x:c r="C13503" s="0" t="s">
        <x:v>42840</x:v>
      </x:c>
      <x:c r="E13503" s="0" t="s">
        <x:v>51115</x:v>
      </x:c>
      <x:c r="F13503" s="0" t="s">
        <x:v>45</x:v>
      </x:c>
      <x:c r="G13503" s="0" t="s">
        <x:v>30</x:v>
      </x:c>
      <x:c r="H13503" s="0" t="s">
        <x:v>20</x:v>
      </x:c>
      <x:c r="I13503" s="0" t="s">
        <x:v>21</x:v>
      </x:c>
      <x:c r="K13503" s="0">
        <x:f>hyperlink("https://icd.who.int/dev11/l-ichi/en#/http%3A%2F%2Fid.who.int%2Ficd%2Fentity%2F1090609230","browser")</x:f>
      </x:c>
      <x:c r="L13503" s="0">
        <x:f>hyperlink("https://icat2.azurewebsites.net/icat/?ontology=ICD&amp;tab=ClassesTab&amp;id=http%3A%2F%2Fwho.int%2Ficd%23SpecificAnatomicLocation_3603","iCat")</x:f>
      </x:c>
      <x:c r="M13503" s="0" t="s">
        <x:v>21</x:v>
      </x:c>
      <x:c r="N13503" s="0" t="s">
        <x:v>46</x:v>
      </x:c>
    </x:row>
    <x:row r="13504" spans="1:16">
      <x:c r="A13504" s="0" t="s">
        <x:v>51116</x:v>
      </x:c>
      <x:c r="B13504" s="0" t="s">
        <x:v>51117</x:v>
      </x:c>
      <x:c r="C13504" s="0" t="s">
        <x:v>42840</x:v>
      </x:c>
      <x:c r="E13504" s="0" t="s">
        <x:v>51118</x:v>
      </x:c>
      <x:c r="F13504" s="0" t="s">
        <x:v>45</x:v>
      </x:c>
      <x:c r="G13504" s="0" t="s">
        <x:v>30</x:v>
      </x:c>
      <x:c r="H13504" s="0" t="s">
        <x:v>20</x:v>
      </x:c>
      <x:c r="I13504" s="0" t="s">
        <x:v>21</x:v>
      </x:c>
      <x:c r="K13504" s="0">
        <x:f>hyperlink("https://icd.who.int/dev11/l-ichi/en#/http%3A%2F%2Fid.who.int%2Ficd%2Fentity%2F618159630","browser")</x:f>
      </x:c>
      <x:c r="L13504" s="0">
        <x:f>hyperlink("https://icat2.azurewebsites.net/icat/?ontology=ICD&amp;tab=ClassesTab&amp;id=http%3A%2F%2Fwho.int%2Ficd%23SpecificAnatomicLocation_3604","iCat")</x:f>
      </x:c>
      <x:c r="M13504" s="0" t="s">
        <x:v>21</x:v>
      </x:c>
      <x:c r="N13504" s="0" t="s">
        <x:v>46</x:v>
      </x:c>
    </x:row>
    <x:row r="13505" spans="1:16">
      <x:c r="A13505" s="0" t="s">
        <x:v>51119</x:v>
      </x:c>
      <x:c r="B13505" s="0" t="s">
        <x:v>51120</x:v>
      </x:c>
      <x:c r="C13505" s="0" t="s">
        <x:v>42840</x:v>
      </x:c>
      <x:c r="E13505" s="0" t="s">
        <x:v>51121</x:v>
      </x:c>
      <x:c r="F13505" s="0" t="s">
        <x:v>45</x:v>
      </x:c>
      <x:c r="G13505" s="0" t="s">
        <x:v>30</x:v>
      </x:c>
      <x:c r="H13505" s="0" t="s">
        <x:v>20</x:v>
      </x:c>
      <x:c r="I13505" s="0" t="s">
        <x:v>21</x:v>
      </x:c>
      <x:c r="K13505" s="0">
        <x:f>hyperlink("https://icd.who.int/dev11/l-ichi/en#/http%3A%2F%2Fid.who.int%2Ficd%2Fentity%2F871381710","browser")</x:f>
      </x:c>
      <x:c r="L13505" s="0">
        <x:f>hyperlink("https://icat2.azurewebsites.net/icat/?ontology=ICD&amp;tab=ClassesTab&amp;id=http%3A%2F%2Fwho.int%2Ficd%23SpecificAnatomicLocation_3605","iCat")</x:f>
      </x:c>
      <x:c r="M13505" s="0" t="s">
        <x:v>21</x:v>
      </x:c>
      <x:c r="N13505" s="0" t="s">
        <x:v>46</x:v>
      </x:c>
    </x:row>
    <x:row r="13506" spans="1:16">
      <x:c r="A13506" s="0" t="s">
        <x:v>51122</x:v>
      </x:c>
      <x:c r="B13506" s="0" t="s">
        <x:v>51123</x:v>
      </x:c>
      <x:c r="C13506" s="0" t="s">
        <x:v>42840</x:v>
      </x:c>
      <x:c r="E13506" s="0" t="s">
        <x:v>51124</x:v>
      </x:c>
      <x:c r="F13506" s="0" t="s">
        <x:v>45</x:v>
      </x:c>
      <x:c r="G13506" s="0" t="s">
        <x:v>30</x:v>
      </x:c>
      <x:c r="H13506" s="0" t="s">
        <x:v>20</x:v>
      </x:c>
      <x:c r="I13506" s="0" t="s">
        <x:v>21</x:v>
      </x:c>
      <x:c r="K13506" s="0">
        <x:f>hyperlink("https://icd.who.int/dev11/l-ichi/en#/http%3A%2F%2Fid.who.int%2Ficd%2Fentity%2F176723854","browser")</x:f>
      </x:c>
      <x:c r="L13506" s="0">
        <x:f>hyperlink("https://icat2.azurewebsites.net/icat/?ontology=ICD&amp;tab=ClassesTab&amp;id=http%3A%2F%2Fwho.int%2Ficd%23SpecificAnatomicLocation_3606","iCat")</x:f>
      </x:c>
      <x:c r="M13506" s="0" t="s">
        <x:v>21</x:v>
      </x:c>
      <x:c r="N13506" s="0" t="s">
        <x:v>46</x:v>
      </x:c>
    </x:row>
    <x:row r="13507" spans="1:16">
      <x:c r="A13507" s="0" t="s">
        <x:v>51125</x:v>
      </x:c>
      <x:c r="B13507" s="0" t="s">
        <x:v>51126</x:v>
      </x:c>
      <x:c r="C13507" s="0" t="s">
        <x:v>42840</x:v>
      </x:c>
      <x:c r="E13507" s="0" t="s">
        <x:v>51127</x:v>
      </x:c>
      <x:c r="F13507" s="0" t="s">
        <x:v>45</x:v>
      </x:c>
      <x:c r="G13507" s="0" t="s">
        <x:v>30</x:v>
      </x:c>
      <x:c r="H13507" s="0" t="s">
        <x:v>20</x:v>
      </x:c>
      <x:c r="I13507" s="0" t="s">
        <x:v>21</x:v>
      </x:c>
      <x:c r="K13507" s="0">
        <x:f>hyperlink("https://icd.who.int/dev11/l-ichi/en#/http%3A%2F%2Fid.who.int%2Ficd%2Fentity%2F497087310","browser")</x:f>
      </x:c>
      <x:c r="L13507" s="0">
        <x:f>hyperlink("https://icat2.azurewebsites.net/icat/?ontology=ICD&amp;tab=ClassesTab&amp;id=http%3A%2F%2Fwho.int%2Ficd%23SpecificAnatomicLocation_3607","iCat")</x:f>
      </x:c>
      <x:c r="M13507" s="0" t="s">
        <x:v>21</x:v>
      </x:c>
      <x:c r="N13507" s="0" t="s">
        <x:v>46</x:v>
      </x:c>
    </x:row>
    <x:row r="13508" spans="1:16">
      <x:c r="A13508" s="0" t="s">
        <x:v>51128</x:v>
      </x:c>
      <x:c r="B13508" s="0" t="s">
        <x:v>51129</x:v>
      </x:c>
      <x:c r="C13508" s="0" t="s">
        <x:v>42840</x:v>
      </x:c>
      <x:c r="E13508" s="0" t="s">
        <x:v>51130</x:v>
      </x:c>
      <x:c r="F13508" s="0" t="s">
        <x:v>45</x:v>
      </x:c>
      <x:c r="G13508" s="0" t="s">
        <x:v>30</x:v>
      </x:c>
      <x:c r="H13508" s="0" t="s">
        <x:v>20</x:v>
      </x:c>
      <x:c r="I13508" s="0" t="s">
        <x:v>21</x:v>
      </x:c>
      <x:c r="K13508" s="0">
        <x:f>hyperlink("https://icd.who.int/dev11/l-ichi/en#/http%3A%2F%2Fid.who.int%2Ficd%2Fentity%2F1053103346","browser")</x:f>
      </x:c>
      <x:c r="L13508" s="0">
        <x:f>hyperlink("https://icat2.azurewebsites.net/icat/?ontology=ICD&amp;tab=ClassesTab&amp;id=http%3A%2F%2Fwho.int%2Ficd%23SpecificAnatomicLocation_3608","iCat")</x:f>
      </x:c>
      <x:c r="M13508" s="0" t="s">
        <x:v>21</x:v>
      </x:c>
      <x:c r="N13508" s="0" t="s">
        <x:v>46</x:v>
      </x:c>
    </x:row>
    <x:row r="13509" spans="1:16">
      <x:c r="A13509" s="0" t="s">
        <x:v>51131</x:v>
      </x:c>
      <x:c r="B13509" s="0" t="s">
        <x:v>51132</x:v>
      </x:c>
      <x:c r="C13509" s="0" t="s">
        <x:v>42840</x:v>
      </x:c>
      <x:c r="E13509" s="0" t="s">
        <x:v>51133</x:v>
      </x:c>
      <x:c r="F13509" s="0" t="s">
        <x:v>45</x:v>
      </x:c>
      <x:c r="G13509" s="0" t="s">
        <x:v>30</x:v>
      </x:c>
      <x:c r="H13509" s="0" t="s">
        <x:v>20</x:v>
      </x:c>
      <x:c r="I13509" s="0" t="s">
        <x:v>21</x:v>
      </x:c>
      <x:c r="K13509" s="0">
        <x:f>hyperlink("https://icd.who.int/dev11/l-ichi/en#/http%3A%2F%2Fid.who.int%2Ficd%2Fentity%2F111368149","browser")</x:f>
      </x:c>
      <x:c r="L13509" s="0">
        <x:f>hyperlink("https://icat2.azurewebsites.net/icat/?ontology=ICD&amp;tab=ClassesTab&amp;id=http%3A%2F%2Fwho.int%2Ficd%23SpecificAnatomicLocation_3610","iCat")</x:f>
      </x:c>
      <x:c r="M13509" s="0" t="s">
        <x:v>21</x:v>
      </x:c>
      <x:c r="N13509" s="0" t="s">
        <x:v>46</x:v>
      </x:c>
    </x:row>
    <x:row r="13510" spans="1:16">
      <x:c r="A13510" s="0" t="s">
        <x:v>51134</x:v>
      </x:c>
      <x:c r="B13510" s="0" t="s">
        <x:v>51135</x:v>
      </x:c>
      <x:c r="C13510" s="0" t="s">
        <x:v>42840</x:v>
      </x:c>
      <x:c r="E13510" s="0" t="s">
        <x:v>51136</x:v>
      </x:c>
      <x:c r="F13510" s="0" t="s">
        <x:v>45</x:v>
      </x:c>
      <x:c r="G13510" s="0" t="s">
        <x:v>30</x:v>
      </x:c>
      <x:c r="H13510" s="0" t="s">
        <x:v>20</x:v>
      </x:c>
      <x:c r="I13510" s="0" t="s">
        <x:v>21</x:v>
      </x:c>
      <x:c r="K13510" s="0">
        <x:f>hyperlink("https://icd.who.int/dev11/l-ichi/en#/http%3A%2F%2Fid.who.int%2Ficd%2Fentity%2F294335253","browser")</x:f>
      </x:c>
      <x:c r="L13510" s="0">
        <x:f>hyperlink("https://icat2.azurewebsites.net/icat/?ontology=ICD&amp;tab=ClassesTab&amp;id=http%3A%2F%2Fwho.int%2Ficd%23SpecificAnatomicLocation_3611","iCat")</x:f>
      </x:c>
      <x:c r="M13510" s="0" t="s">
        <x:v>21</x:v>
      </x:c>
      <x:c r="N13510" s="0" t="s">
        <x:v>46</x:v>
      </x:c>
    </x:row>
    <x:row r="13511" spans="1:16">
      <x:c r="A13511" s="0" t="s">
        <x:v>51137</x:v>
      </x:c>
      <x:c r="B13511" s="0" t="s">
        <x:v>51138</x:v>
      </x:c>
      <x:c r="C13511" s="0" t="s">
        <x:v>42840</x:v>
      </x:c>
      <x:c r="E13511" s="0" t="s">
        <x:v>51139</x:v>
      </x:c>
      <x:c r="F13511" s="0" t="s">
        <x:v>45</x:v>
      </x:c>
      <x:c r="G13511" s="0" t="s">
        <x:v>19</x:v>
      </x:c>
      <x:c r="H13511" s="0" t="s">
        <x:v>20</x:v>
      </x:c>
      <x:c r="I13511" s="0" t="s">
        <x:v>21</x:v>
      </x:c>
      <x:c r="K13511" s="0">
        <x:f>hyperlink("https://icd.who.int/dev11/l-ichi/en#/http%3A%2F%2Fid.who.int%2Ficd%2Fentity%2F1234541117","browser")</x:f>
      </x:c>
      <x:c r="L13511" s="0">
        <x:f>hyperlink("https://icat2.azurewebsites.net/icat/?ontology=ICD&amp;tab=ClassesTab&amp;id=http%3A%2F%2Fwho.int%2Ficd%23SpecificAnatomicLocation_3621","iCat")</x:f>
      </x:c>
      <x:c r="M13511" s="0" t="s">
        <x:v>20</x:v>
      </x:c>
      <x:c r="N13511" s="0" t="s">
        <x:v>119</x:v>
      </x:c>
    </x:row>
    <x:row r="13512" spans="1:16">
      <x:c r="A13512" s="0" t="s">
        <x:v>51140</x:v>
      </x:c>
      <x:c r="B13512" s="0" t="s">
        <x:v>51141</x:v>
      </x:c>
      <x:c r="C13512" s="0" t="s">
        <x:v>42840</x:v>
      </x:c>
      <x:c r="E13512" s="0" t="s">
        <x:v>51142</x:v>
      </x:c>
      <x:c r="F13512" s="0" t="s">
        <x:v>45</x:v>
      </x:c>
      <x:c r="G13512" s="0" t="s">
        <x:v>30</x:v>
      </x:c>
      <x:c r="H13512" s="0" t="s">
        <x:v>20</x:v>
      </x:c>
      <x:c r="I13512" s="0" t="s">
        <x:v>21</x:v>
      </x:c>
      <x:c r="K13512" s="0">
        <x:f>hyperlink("https://icd.who.int/dev11/l-ichi/en#/http%3A%2F%2Fid.who.int%2Ficd%2Fentity%2F1071381141","browser")</x:f>
      </x:c>
      <x:c r="L13512" s="0">
        <x:f>hyperlink("https://icat2.azurewebsites.net/icat/?ontology=ICD&amp;tab=ClassesTab&amp;id=http%3A%2F%2Fwho.int%2Ficd%23SpecificAnatomicLocation_3613","iCat")</x:f>
      </x:c>
      <x:c r="M13512" s="0" t="s">
        <x:v>21</x:v>
      </x:c>
      <x:c r="N13512" s="0" t="s">
        <x:v>46</x:v>
      </x:c>
    </x:row>
    <x:row r="13513" spans="1:16">
      <x:c r="A13513" s="0" t="s">
        <x:v>51143</x:v>
      </x:c>
      <x:c r="B13513" s="0" t="s">
        <x:v>51144</x:v>
      </x:c>
      <x:c r="C13513" s="0" t="s">
        <x:v>42840</x:v>
      </x:c>
      <x:c r="E13513" s="0" t="s">
        <x:v>51145</x:v>
      </x:c>
      <x:c r="F13513" s="0" t="s">
        <x:v>45</x:v>
      </x:c>
      <x:c r="G13513" s="0" t="s">
        <x:v>30</x:v>
      </x:c>
      <x:c r="H13513" s="0" t="s">
        <x:v>20</x:v>
      </x:c>
      <x:c r="I13513" s="0" t="s">
        <x:v>21</x:v>
      </x:c>
      <x:c r="K13513" s="0">
        <x:f>hyperlink("https://icd.who.int/dev11/l-ichi/en#/http%3A%2F%2Fid.who.int%2Ficd%2Fentity%2F1510130901","browser")</x:f>
      </x:c>
      <x:c r="L13513" s="0">
        <x:f>hyperlink("https://icat2.azurewebsites.net/icat/?ontology=ICD&amp;tab=ClassesTab&amp;id=http%3A%2F%2Fwho.int%2Ficd%23SpecificAnatomicLocation_3614","iCat")</x:f>
      </x:c>
      <x:c r="M13513" s="0" t="s">
        <x:v>21</x:v>
      </x:c>
      <x:c r="N13513" s="0" t="s">
        <x:v>46</x:v>
      </x:c>
    </x:row>
    <x:row r="13514" spans="1:16">
      <x:c r="A13514" s="0" t="s">
        <x:v>51146</x:v>
      </x:c>
      <x:c r="B13514" s="0" t="s">
        <x:v>51147</x:v>
      </x:c>
      <x:c r="C13514" s="0" t="s">
        <x:v>42840</x:v>
      </x:c>
      <x:c r="E13514" s="0" t="s">
        <x:v>51148</x:v>
      </x:c>
      <x:c r="F13514" s="0" t="s">
        <x:v>45</x:v>
      </x:c>
      <x:c r="G13514" s="0" t="s">
        <x:v>30</x:v>
      </x:c>
      <x:c r="H13514" s="0" t="s">
        <x:v>20</x:v>
      </x:c>
      <x:c r="I13514" s="0" t="s">
        <x:v>21</x:v>
      </x:c>
      <x:c r="K13514" s="0">
        <x:f>hyperlink("https://icd.who.int/dev11/l-ichi/en#/http%3A%2F%2Fid.who.int%2Ficd%2Fentity%2F1294639125","browser")</x:f>
      </x:c>
      <x:c r="L13514" s="0">
        <x:f>hyperlink("https://icat2.azurewebsites.net/icat/?ontology=ICD&amp;tab=ClassesTab&amp;id=http%3A%2F%2Fwho.int%2Ficd%23SpecificAnatomicLocation_3615","iCat")</x:f>
      </x:c>
      <x:c r="M13514" s="0" t="s">
        <x:v>21</x:v>
      </x:c>
      <x:c r="N13514" s="0" t="s">
        <x:v>46</x:v>
      </x:c>
    </x:row>
    <x:row r="13515" spans="1:16">
      <x:c r="A13515" s="0" t="s">
        <x:v>51149</x:v>
      </x:c>
      <x:c r="B13515" s="0" t="s">
        <x:v>51150</x:v>
      </x:c>
      <x:c r="C13515" s="0" t="s">
        <x:v>42840</x:v>
      </x:c>
      <x:c r="E13515" s="0" t="s">
        <x:v>51151</x:v>
      </x:c>
      <x:c r="F13515" s="0" t="s">
        <x:v>45</x:v>
      </x:c>
      <x:c r="G13515" s="0" t="s">
        <x:v>30</x:v>
      </x:c>
      <x:c r="H13515" s="0" t="s">
        <x:v>20</x:v>
      </x:c>
      <x:c r="I13515" s="0" t="s">
        <x:v>21</x:v>
      </x:c>
      <x:c r="K13515" s="0">
        <x:f>hyperlink("https://icd.who.int/dev11/l-ichi/en#/http%3A%2F%2Fid.who.int%2Ficd%2Fentity%2F1951534421","browser")</x:f>
      </x:c>
      <x:c r="L13515" s="0">
        <x:f>hyperlink("https://icat2.azurewebsites.net/icat/?ontology=ICD&amp;tab=ClassesTab&amp;id=http%3A%2F%2Fwho.int%2Ficd%23SpecificAnatomicLocation_3616","iCat")</x:f>
      </x:c>
      <x:c r="M13515" s="0" t="s">
        <x:v>21</x:v>
      </x:c>
      <x:c r="N13515" s="0" t="s">
        <x:v>46</x:v>
      </x:c>
    </x:row>
    <x:row r="13516" spans="1:16">
      <x:c r="A13516" s="0" t="s">
        <x:v>51152</x:v>
      </x:c>
      <x:c r="B13516" s="0" t="s">
        <x:v>51153</x:v>
      </x:c>
      <x:c r="C13516" s="0" t="s">
        <x:v>42840</x:v>
      </x:c>
      <x:c r="E13516" s="0" t="s">
        <x:v>51154</x:v>
      </x:c>
      <x:c r="F13516" s="0" t="s">
        <x:v>45</x:v>
      </x:c>
      <x:c r="G13516" s="0" t="s">
        <x:v>30</x:v>
      </x:c>
      <x:c r="H13516" s="0" t="s">
        <x:v>20</x:v>
      </x:c>
      <x:c r="I13516" s="0" t="s">
        <x:v>21</x:v>
      </x:c>
      <x:c r="K13516" s="0">
        <x:f>hyperlink("https://icd.who.int/dev11/l-ichi/en#/http%3A%2F%2Fid.who.int%2Ficd%2Fentity%2F1668966805","browser")</x:f>
      </x:c>
      <x:c r="L13516" s="0">
        <x:f>hyperlink("https://icat2.azurewebsites.net/icat/?ontology=ICD&amp;tab=ClassesTab&amp;id=http%3A%2F%2Fwho.int%2Ficd%23SpecificAnatomicLocation_3617","iCat")</x:f>
      </x:c>
      <x:c r="M13516" s="0" t="s">
        <x:v>21</x:v>
      </x:c>
      <x:c r="N13516" s="0" t="s">
        <x:v>46</x:v>
      </x:c>
    </x:row>
    <x:row r="13517" spans="1:16">
      <x:c r="A13517" s="0" t="s">
        <x:v>51155</x:v>
      </x:c>
      <x:c r="B13517" s="0" t="s">
        <x:v>51156</x:v>
      </x:c>
      <x:c r="C13517" s="0" t="s">
        <x:v>42840</x:v>
      </x:c>
      <x:c r="E13517" s="0" t="s">
        <x:v>51157</x:v>
      </x:c>
      <x:c r="F13517" s="0" t="s">
        <x:v>45</x:v>
      </x:c>
      <x:c r="G13517" s="0" t="s">
        <x:v>30</x:v>
      </x:c>
      <x:c r="H13517" s="0" t="s">
        <x:v>20</x:v>
      </x:c>
      <x:c r="I13517" s="0" t="s">
        <x:v>21</x:v>
      </x:c>
      <x:c r="K13517" s="0">
        <x:f>hyperlink("https://icd.who.int/dev11/l-ichi/en#/http%3A%2F%2Fid.who.int%2Ficd%2Fentity%2F1075809835","browser")</x:f>
      </x:c>
      <x:c r="L13517" s="0">
        <x:f>hyperlink("https://icat2.azurewebsites.net/icat/?ontology=ICD&amp;tab=ClassesTab&amp;id=http%3A%2F%2Fwho.int%2Ficd%23SpecificAnatomicLocation_3618","iCat")</x:f>
      </x:c>
      <x:c r="M13517" s="0" t="s">
        <x:v>21</x:v>
      </x:c>
      <x:c r="N13517" s="0" t="s">
        <x:v>46</x:v>
      </x:c>
    </x:row>
    <x:row r="13518" spans="1:16">
      <x:c r="A13518" s="0" t="s">
        <x:v>51158</x:v>
      </x:c>
      <x:c r="B13518" s="0" t="s">
        <x:v>51159</x:v>
      </x:c>
      <x:c r="C13518" s="0" t="s">
        <x:v>42840</x:v>
      </x:c>
      <x:c r="E13518" s="0" t="s">
        <x:v>51160</x:v>
      </x:c>
      <x:c r="F13518" s="0" t="s">
        <x:v>45</x:v>
      </x:c>
      <x:c r="G13518" s="0" t="s">
        <x:v>30</x:v>
      </x:c>
      <x:c r="H13518" s="0" t="s">
        <x:v>20</x:v>
      </x:c>
      <x:c r="I13518" s="0" t="s">
        <x:v>21</x:v>
      </x:c>
      <x:c r="K13518" s="0">
        <x:f>hyperlink("https://icd.who.int/dev11/l-ichi/en#/http%3A%2F%2Fid.who.int%2Ficd%2Fentity%2F1463282411","browser")</x:f>
      </x:c>
      <x:c r="L13518" s="0">
        <x:f>hyperlink("https://icat2.azurewebsites.net/icat/?ontology=ICD&amp;tab=ClassesTab&amp;id=http%3A%2F%2Fwho.int%2Ficd%23SpecificAnatomicLocation_3619","iCat")</x:f>
      </x:c>
      <x:c r="M13518" s="0" t="s">
        <x:v>21</x:v>
      </x:c>
      <x:c r="N13518" s="0" t="s">
        <x:v>46</x:v>
      </x:c>
    </x:row>
    <x:row r="13519" spans="1:16">
      <x:c r="A13519" s="0" t="s">
        <x:v>51161</x:v>
      </x:c>
      <x:c r="B13519" s="0" t="s">
        <x:v>51162</x:v>
      </x:c>
      <x:c r="C13519" s="0" t="s">
        <x:v>42840</x:v>
      </x:c>
      <x:c r="E13519" s="0" t="s">
        <x:v>51163</x:v>
      </x:c>
      <x:c r="F13519" s="0" t="s">
        <x:v>45</x:v>
      </x:c>
      <x:c r="G13519" s="0" t="s">
        <x:v>30</x:v>
      </x:c>
      <x:c r="H13519" s="0" t="s">
        <x:v>20</x:v>
      </x:c>
      <x:c r="I13519" s="0" t="s">
        <x:v>21</x:v>
      </x:c>
      <x:c r="K13519" s="0">
        <x:f>hyperlink("https://icd.who.int/dev11/l-ichi/en#/http%3A%2F%2Fid.who.int%2Ficd%2Fentity%2F1589509885","browser")</x:f>
      </x:c>
      <x:c r="L13519" s="0">
        <x:f>hyperlink("https://icat2.azurewebsites.net/icat/?ontology=ICD&amp;tab=ClassesTab&amp;id=http%3A%2F%2Fwho.int%2Ficd%23SpecificAnatomicLocation_3620","iCat")</x:f>
      </x:c>
      <x:c r="M13519" s="0" t="s">
        <x:v>21</x:v>
      </x:c>
      <x:c r="N13519" s="0" t="s">
        <x:v>46</x:v>
      </x:c>
    </x:row>
    <x:row r="13520" spans="1:16">
      <x:c r="A13520" s="0" t="s">
        <x:v>51164</x:v>
      </x:c>
      <x:c r="B13520" s="0" t="s">
        <x:v>51165</x:v>
      </x:c>
      <x:c r="C13520" s="0" t="s">
        <x:v>42840</x:v>
      </x:c>
      <x:c r="E13520" s="0" t="s">
        <x:v>51166</x:v>
      </x:c>
      <x:c r="F13520" s="0" t="s">
        <x:v>45</x:v>
      </x:c>
      <x:c r="G13520" s="0" t="s">
        <x:v>19</x:v>
      </x:c>
      <x:c r="H13520" s="0" t="s">
        <x:v>20</x:v>
      </x:c>
      <x:c r="I13520" s="0" t="s">
        <x:v>21</x:v>
      </x:c>
      <x:c r="K13520" s="0">
        <x:f>hyperlink("https://icd.who.int/dev11/l-ichi/en#/http%3A%2F%2Fid.who.int%2Ficd%2Fentity%2F1170102886","browser")</x:f>
      </x:c>
      <x:c r="L13520" s="0">
        <x:f>hyperlink("https://icat2.azurewebsites.net/icat/?ontology=ICD&amp;tab=ClassesTab&amp;id=http%3A%2F%2Fwho.int%2Ficd%23SpecificAnatomicLocation_3637","iCat")</x:f>
      </x:c>
      <x:c r="M13520" s="0" t="s">
        <x:v>20</x:v>
      </x:c>
      <x:c r="N13520" s="0" t="s">
        <x:v>584</x:v>
      </x:c>
    </x:row>
    <x:row r="13521" spans="1:16">
      <x:c r="A13521" s="0" t="s">
        <x:v>51167</x:v>
      </x:c>
      <x:c r="B13521" s="0" t="s">
        <x:v>51168</x:v>
      </x:c>
      <x:c r="C13521" s="0" t="s">
        <x:v>42840</x:v>
      </x:c>
      <x:c r="E13521" s="0" t="s">
        <x:v>51169</x:v>
      </x:c>
      <x:c r="F13521" s="0" t="s">
        <x:v>45</x:v>
      </x:c>
      <x:c r="G13521" s="0" t="s">
        <x:v>30</x:v>
      </x:c>
      <x:c r="H13521" s="0" t="s">
        <x:v>20</x:v>
      </x:c>
      <x:c r="I13521" s="0" t="s">
        <x:v>21</x:v>
      </x:c>
      <x:c r="K13521" s="0">
        <x:f>hyperlink("https://icd.who.int/dev11/l-ichi/en#/http%3A%2F%2Fid.who.int%2Ficd%2Fentity%2F1740985277","browser")</x:f>
      </x:c>
      <x:c r="L13521" s="0">
        <x:f>hyperlink("https://icat2.azurewebsites.net/icat/?ontology=ICD&amp;tab=ClassesTab&amp;id=http%3A%2F%2Fwho.int%2Ficd%23SpecificAnatomicLocation_3623","iCat")</x:f>
      </x:c>
      <x:c r="M13521" s="0" t="s">
        <x:v>21</x:v>
      </x:c>
      <x:c r="N13521" s="0" t="s">
        <x:v>46</x:v>
      </x:c>
    </x:row>
    <x:row r="13522" spans="1:16">
      <x:c r="A13522" s="0" t="s">
        <x:v>51170</x:v>
      </x:c>
      <x:c r="B13522" s="0" t="s">
        <x:v>51171</x:v>
      </x:c>
      <x:c r="C13522" s="0" t="s">
        <x:v>42840</x:v>
      </x:c>
      <x:c r="E13522" s="0" t="s">
        <x:v>51172</x:v>
      </x:c>
      <x:c r="F13522" s="0" t="s">
        <x:v>45</x:v>
      </x:c>
      <x:c r="G13522" s="0" t="s">
        <x:v>30</x:v>
      </x:c>
      <x:c r="H13522" s="0" t="s">
        <x:v>20</x:v>
      </x:c>
      <x:c r="I13522" s="0" t="s">
        <x:v>21</x:v>
      </x:c>
      <x:c r="K13522" s="0">
        <x:f>hyperlink("https://icd.who.int/dev11/l-ichi/en#/http%3A%2F%2Fid.who.int%2Ficd%2Fentity%2F355731773","browser")</x:f>
      </x:c>
      <x:c r="L13522" s="0">
        <x:f>hyperlink("https://icat2.azurewebsites.net/icat/?ontology=ICD&amp;tab=ClassesTab&amp;id=http%3A%2F%2Fwho.int%2Ficd%23SpecificAnatomicLocation_3625","iCat")</x:f>
      </x:c>
      <x:c r="M13522" s="0" t="s">
        <x:v>21</x:v>
      </x:c>
      <x:c r="N13522" s="0" t="s">
        <x:v>46</x:v>
      </x:c>
    </x:row>
    <x:row r="13523" spans="1:16">
      <x:c r="A13523" s="0" t="s">
        <x:v>51173</x:v>
      </x:c>
      <x:c r="B13523" s="0" t="s">
        <x:v>51174</x:v>
      </x:c>
      <x:c r="C13523" s="0" t="s">
        <x:v>42840</x:v>
      </x:c>
      <x:c r="E13523" s="0" t="s">
        <x:v>51175</x:v>
      </x:c>
      <x:c r="F13523" s="0" t="s">
        <x:v>45</x:v>
      </x:c>
      <x:c r="G13523" s="0" t="s">
        <x:v>30</x:v>
      </x:c>
      <x:c r="H13523" s="0" t="s">
        <x:v>20</x:v>
      </x:c>
      <x:c r="I13523" s="0" t="s">
        <x:v>21</x:v>
      </x:c>
      <x:c r="K13523" s="0">
        <x:f>hyperlink("https://icd.who.int/dev11/l-ichi/en#/http%3A%2F%2Fid.who.int%2Ficd%2Fentity%2F743220349","browser")</x:f>
      </x:c>
      <x:c r="L13523" s="0">
        <x:f>hyperlink("https://icat2.azurewebsites.net/icat/?ontology=ICD&amp;tab=ClassesTab&amp;id=http%3A%2F%2Fwho.int%2Ficd%23SpecificAnatomicLocation_3626","iCat")</x:f>
      </x:c>
      <x:c r="M13523" s="0" t="s">
        <x:v>21</x:v>
      </x:c>
      <x:c r="N13523" s="0" t="s">
        <x:v>46</x:v>
      </x:c>
    </x:row>
    <x:row r="13524" spans="1:16">
      <x:c r="A13524" s="0" t="s">
        <x:v>51176</x:v>
      </x:c>
      <x:c r="B13524" s="0" t="s">
        <x:v>51177</x:v>
      </x:c>
      <x:c r="C13524" s="0" t="s">
        <x:v>42840</x:v>
      </x:c>
      <x:c r="E13524" s="0" t="s">
        <x:v>51178</x:v>
      </x:c>
      <x:c r="F13524" s="0" t="s">
        <x:v>45</x:v>
      </x:c>
      <x:c r="G13524" s="0" t="s">
        <x:v>30</x:v>
      </x:c>
      <x:c r="H13524" s="0" t="s">
        <x:v>20</x:v>
      </x:c>
      <x:c r="I13524" s="0" t="s">
        <x:v>21</x:v>
      </x:c>
      <x:c r="K13524" s="0">
        <x:f>hyperlink("https://icd.who.int/dev11/l-ichi/en#/http%3A%2F%2Fid.who.int%2Ficd%2Fentity%2F996458685","browser")</x:f>
      </x:c>
      <x:c r="L13524" s="0">
        <x:f>hyperlink("https://icat2.azurewebsites.net/icat/?ontology=ICD&amp;tab=ClassesTab&amp;id=http%3A%2F%2Fwho.int%2Ficd%23SpecificAnatomicLocation_3627","iCat")</x:f>
      </x:c>
      <x:c r="M13524" s="0" t="s">
        <x:v>21</x:v>
      </x:c>
      <x:c r="N13524" s="0" t="s">
        <x:v>46</x:v>
      </x:c>
    </x:row>
    <x:row r="13525" spans="1:16">
      <x:c r="A13525" s="0" t="s">
        <x:v>51179</x:v>
      </x:c>
      <x:c r="B13525" s="0" t="s">
        <x:v>51180</x:v>
      </x:c>
      <x:c r="C13525" s="0" t="s">
        <x:v>42840</x:v>
      </x:c>
      <x:c r="E13525" s="0" t="s">
        <x:v>51181</x:v>
      </x:c>
      <x:c r="F13525" s="0" t="s">
        <x:v>45</x:v>
      </x:c>
      <x:c r="G13525" s="0" t="s">
        <x:v>30</x:v>
      </x:c>
      <x:c r="H13525" s="0" t="s">
        <x:v>20</x:v>
      </x:c>
      <x:c r="I13525" s="0" t="s">
        <x:v>21</x:v>
      </x:c>
      <x:c r="K13525" s="0">
        <x:f>hyperlink("https://icd.who.int/dev11/l-ichi/en#/http%3A%2F%2Fid.who.int%2Ficd%2Fentity%2F402728707","browser")</x:f>
      </x:c>
      <x:c r="L13525" s="0">
        <x:f>hyperlink("https://icat2.azurewebsites.net/icat/?ontology=ICD&amp;tab=ClassesTab&amp;id=http%3A%2F%2Fwho.int%2Ficd%23SpecificAnatomicLocation_3628","iCat")</x:f>
      </x:c>
      <x:c r="M13525" s="0" t="s">
        <x:v>21</x:v>
      </x:c>
      <x:c r="N13525" s="0" t="s">
        <x:v>46</x:v>
      </x:c>
    </x:row>
    <x:row r="13526" spans="1:16">
      <x:c r="A13526" s="0" t="s">
        <x:v>51182</x:v>
      </x:c>
      <x:c r="B13526" s="0" t="s">
        <x:v>51183</x:v>
      </x:c>
      <x:c r="C13526" s="0" t="s">
        <x:v>42840</x:v>
      </x:c>
      <x:c r="E13526" s="0" t="s">
        <x:v>51184</x:v>
      </x:c>
      <x:c r="F13526" s="0" t="s">
        <x:v>45</x:v>
      </x:c>
      <x:c r="G13526" s="0" t="s">
        <x:v>30</x:v>
      </x:c>
      <x:c r="H13526" s="0" t="s">
        <x:v>20</x:v>
      </x:c>
      <x:c r="I13526" s="0" t="s">
        <x:v>21</x:v>
      </x:c>
      <x:c r="K13526" s="0">
        <x:f>hyperlink("https://icd.who.int/dev11/l-ichi/en#/http%3A%2F%2Fid.who.int%2Ficd%2Fentity%2F35417597","browser")</x:f>
      </x:c>
      <x:c r="L13526" s="0">
        <x:f>hyperlink("https://icat2.azurewebsites.net/icat/?ontology=ICD&amp;tab=ClassesTab&amp;id=http%3A%2F%2Fwho.int%2Ficd%23SpecificAnatomicLocation_3624","iCat")</x:f>
      </x:c>
      <x:c r="M13526" s="0" t="s">
        <x:v>21</x:v>
      </x:c>
      <x:c r="N13526" s="0" t="s">
        <x:v>46</x:v>
      </x:c>
    </x:row>
    <x:row r="13527" spans="1:16">
      <x:c r="A13527" s="0" t="s">
        <x:v>51185</x:v>
      </x:c>
      <x:c r="B13527" s="0" t="s">
        <x:v>51186</x:v>
      </x:c>
      <x:c r="C13527" s="0" t="s">
        <x:v>42840</x:v>
      </x:c>
      <x:c r="E13527" s="0" t="s">
        <x:v>51187</x:v>
      </x:c>
      <x:c r="F13527" s="0" t="s">
        <x:v>45</x:v>
      </x:c>
      <x:c r="G13527" s="0" t="s">
        <x:v>30</x:v>
      </x:c>
      <x:c r="H13527" s="0" t="s">
        <x:v>20</x:v>
      </x:c>
      <x:c r="I13527" s="0" t="s">
        <x:v>21</x:v>
      </x:c>
      <x:c r="K13527" s="0">
        <x:f>hyperlink("https://icd.who.int/dev11/l-ichi/en#/http%3A%2F%2Fid.who.int%2Ficd%2Fentity%2F421513574","browser")</x:f>
      </x:c>
      <x:c r="L13527" s="0">
        <x:f>hyperlink("https://icat2.azurewebsites.net/icat/?ontology=ICD&amp;tab=ClassesTab&amp;id=http%3A%2F%2Fwho.int%2Ficd%23SpecificAnatomicLocation_3633","iCat")</x:f>
      </x:c>
      <x:c r="M13527" s="0" t="s">
        <x:v>21</x:v>
      </x:c>
      <x:c r="N13527" s="0" t="s">
        <x:v>46</x:v>
      </x:c>
    </x:row>
    <x:row r="13528" spans="1:16">
      <x:c r="A13528" s="0" t="s">
        <x:v>51188</x:v>
      </x:c>
      <x:c r="B13528" s="0" t="s">
        <x:v>51189</x:v>
      </x:c>
      <x:c r="C13528" s="0" t="s">
        <x:v>42840</x:v>
      </x:c>
      <x:c r="E13528" s="0" t="s">
        <x:v>51190</x:v>
      </x:c>
      <x:c r="F13528" s="0" t="s">
        <x:v>45</x:v>
      </x:c>
      <x:c r="G13528" s="0" t="s">
        <x:v>30</x:v>
      </x:c>
      <x:c r="H13528" s="0" t="s">
        <x:v>20</x:v>
      </x:c>
      <x:c r="I13528" s="0" t="s">
        <x:v>21</x:v>
      </x:c>
      <x:c r="K13528" s="0">
        <x:f>hyperlink("https://icd.who.int/dev11/l-ichi/en#/http%3A%2F%2Fid.who.int%2Ficd%2Fentity%2F254362563","browser")</x:f>
      </x:c>
      <x:c r="L13528" s="0">
        <x:f>hyperlink("https://icat2.azurewebsites.net/icat/?ontology=ICD&amp;tab=ClassesTab&amp;id=http%3A%2F%2Fwho.int%2Ficd%23SpecificAnatomicLocation_3629","iCat")</x:f>
      </x:c>
      <x:c r="M13528" s="0" t="s">
        <x:v>21</x:v>
      </x:c>
      <x:c r="N13528" s="0" t="s">
        <x:v>46</x:v>
      </x:c>
    </x:row>
    <x:row r="13529" spans="1:16">
      <x:c r="A13529" s="0" t="s">
        <x:v>51191</x:v>
      </x:c>
      <x:c r="B13529" s="0" t="s">
        <x:v>51192</x:v>
      </x:c>
      <x:c r="C13529" s="0" t="s">
        <x:v>42840</x:v>
      </x:c>
      <x:c r="E13529" s="0" t="s">
        <x:v>51193</x:v>
      </x:c>
      <x:c r="F13529" s="0" t="s">
        <x:v>45</x:v>
      </x:c>
      <x:c r="G13529" s="0" t="s">
        <x:v>30</x:v>
      </x:c>
      <x:c r="H13529" s="0" t="s">
        <x:v>20</x:v>
      </x:c>
      <x:c r="I13529" s="0" t="s">
        <x:v>21</x:v>
      </x:c>
      <x:c r="K13529" s="0">
        <x:f>hyperlink("https://icd.who.int/dev11/l-ichi/en#/http%3A%2F%2Fid.who.int%2Ficd%2Fentity%2F543646758","browser")</x:f>
      </x:c>
      <x:c r="L13529" s="0">
        <x:f>hyperlink("https://icat2.azurewebsites.net/icat/?ontology=ICD&amp;tab=ClassesTab&amp;id=http%3A%2F%2Fwho.int%2Ficd%23SpecificAnatomicLocation_3630","iCat")</x:f>
      </x:c>
      <x:c r="M13529" s="0" t="s">
        <x:v>21</x:v>
      </x:c>
      <x:c r="N13529" s="0" t="s">
        <x:v>46</x:v>
      </x:c>
    </x:row>
    <x:row r="13530" spans="1:16">
      <x:c r="A13530" s="0" t="s">
        <x:v>51194</x:v>
      </x:c>
      <x:c r="B13530" s="0" t="s">
        <x:v>51195</x:v>
      </x:c>
      <x:c r="C13530" s="0" t="s">
        <x:v>42840</x:v>
      </x:c>
      <x:c r="E13530" s="0" t="s">
        <x:v>51196</x:v>
      </x:c>
      <x:c r="F13530" s="0" t="s">
        <x:v>45</x:v>
      </x:c>
      <x:c r="G13530" s="0" t="s">
        <x:v>30</x:v>
      </x:c>
      <x:c r="H13530" s="0" t="s">
        <x:v>20</x:v>
      </x:c>
      <x:c r="I13530" s="0" t="s">
        <x:v>21</x:v>
      </x:c>
      <x:c r="K13530" s="0">
        <x:f>hyperlink("https://icd.who.int/dev11/l-ichi/en#/http%3A%2F%2Fid.who.int%2Ficd%2Fentity%2F2093414182","browser")</x:f>
      </x:c>
      <x:c r="L13530" s="0">
        <x:f>hyperlink("https://icat2.azurewebsites.net/icat/?ontology=ICD&amp;tab=ClassesTab&amp;id=http%3A%2F%2Fwho.int%2Ficd%23SpecificAnatomicLocation_3634","iCat")</x:f>
      </x:c>
      <x:c r="M13530" s="0" t="s">
        <x:v>21</x:v>
      </x:c>
      <x:c r="N13530" s="0" t="s">
        <x:v>46</x:v>
      </x:c>
    </x:row>
    <x:row r="13531" spans="1:16">
      <x:c r="A13531" s="0" t="s">
        <x:v>51197</x:v>
      </x:c>
      <x:c r="B13531" s="0" t="s">
        <x:v>51198</x:v>
      </x:c>
      <x:c r="C13531" s="0" t="s">
        <x:v>42840</x:v>
      </x:c>
      <x:c r="E13531" s="0" t="s">
        <x:v>51199</x:v>
      </x:c>
      <x:c r="F13531" s="0" t="s">
        <x:v>45</x:v>
      </x:c>
      <x:c r="G13531" s="0" t="s">
        <x:v>30</x:v>
      </x:c>
      <x:c r="H13531" s="0" t="s">
        <x:v>20</x:v>
      </x:c>
      <x:c r="I13531" s="0" t="s">
        <x:v>21</x:v>
      </x:c>
      <x:c r="K13531" s="0">
        <x:f>hyperlink("https://icd.who.int/dev11/l-ichi/en#/http%3A%2F%2Fid.who.int%2Ficd%2Fentity%2F1810797542","browser")</x:f>
      </x:c>
      <x:c r="L13531" s="0">
        <x:f>hyperlink("https://icat2.azurewebsites.net/icat/?ontology=ICD&amp;tab=ClassesTab&amp;id=http%3A%2F%2Fwho.int%2Ficd%23SpecificAnatomicLocation_3635","iCat")</x:f>
      </x:c>
      <x:c r="M13531" s="0" t="s">
        <x:v>21</x:v>
      </x:c>
      <x:c r="N13531" s="0" t="s">
        <x:v>46</x:v>
      </x:c>
    </x:row>
    <x:row r="13532" spans="1:16">
      <x:c r="A13532" s="0" t="s">
        <x:v>51200</x:v>
      </x:c>
      <x:c r="B13532" s="0" t="s">
        <x:v>51201</x:v>
      </x:c>
      <x:c r="C13532" s="0" t="s">
        <x:v>42840</x:v>
      </x:c>
      <x:c r="E13532" s="0" t="s">
        <x:v>51202</x:v>
      </x:c>
      <x:c r="F13532" s="0" t="s">
        <x:v>45</x:v>
      </x:c>
      <x:c r="G13532" s="0" t="s">
        <x:v>30</x:v>
      </x:c>
      <x:c r="H13532" s="0" t="s">
        <x:v>20</x:v>
      </x:c>
      <x:c r="I13532" s="0" t="s">
        <x:v>21</x:v>
      </x:c>
      <x:c r="K13532" s="0">
        <x:f>hyperlink("https://icd.who.int/dev11/l-ichi/en#/http%3A%2F%2Fid.who.int%2Ficd%2Fentity%2F1894594429","browser")</x:f>
      </x:c>
      <x:c r="L13532" s="0">
        <x:f>hyperlink("https://icat2.azurewebsites.net/icat/?ontology=ICD&amp;tab=ClassesTab&amp;id=http%3A%2F%2Fwho.int%2Ficd%23SpecificAnatomicLocation_3622","iCat")</x:f>
      </x:c>
      <x:c r="M13532" s="0" t="s">
        <x:v>21</x:v>
      </x:c>
      <x:c r="N13532" s="0" t="s">
        <x:v>46</x:v>
      </x:c>
    </x:row>
    <x:row r="13533" spans="1:16">
      <x:c r="A13533" s="0" t="s">
        <x:v>51203</x:v>
      </x:c>
      <x:c r="B13533" s="0" t="s">
        <x:v>51204</x:v>
      </x:c>
      <x:c r="C13533" s="0" t="s">
        <x:v>42840</x:v>
      </x:c>
      <x:c r="E13533" s="0" t="s">
        <x:v>51205</x:v>
      </x:c>
      <x:c r="F13533" s="0" t="s">
        <x:v>45</x:v>
      </x:c>
      <x:c r="G13533" s="0" t="s">
        <x:v>30</x:v>
      </x:c>
      <x:c r="H13533" s="0" t="s">
        <x:v>20</x:v>
      </x:c>
      <x:c r="I13533" s="0" t="s">
        <x:v>21</x:v>
      </x:c>
      <x:c r="K13533" s="0">
        <x:f>hyperlink("https://icd.who.int/dev11/l-ichi/en#/http%3A%2F%2Fid.who.int%2Ficd%2Fentity%2F927924454","browser")</x:f>
      </x:c>
      <x:c r="L13533" s="0">
        <x:f>hyperlink("https://icat2.azurewebsites.net/icat/?ontology=ICD&amp;tab=ClassesTab&amp;id=http%3A%2F%2Fwho.int%2Ficd%23SpecificAnatomicLocation_3631","iCat")</x:f>
      </x:c>
      <x:c r="M13533" s="0" t="s">
        <x:v>21</x:v>
      </x:c>
      <x:c r="N13533" s="0" t="s">
        <x:v>46</x:v>
      </x:c>
    </x:row>
    <x:row r="13534" spans="1:16">
      <x:c r="A13534" s="0" t="s">
        <x:v>51206</x:v>
      </x:c>
      <x:c r="B13534" s="0" t="s">
        <x:v>51207</x:v>
      </x:c>
      <x:c r="C13534" s="0" t="s">
        <x:v>42840</x:v>
      </x:c>
      <x:c r="E13534" s="0" t="s">
        <x:v>51208</x:v>
      </x:c>
      <x:c r="F13534" s="0" t="s">
        <x:v>45</x:v>
      </x:c>
      <x:c r="G13534" s="0" t="s">
        <x:v>30</x:v>
      </x:c>
      <x:c r="H13534" s="0" t="s">
        <x:v>20</x:v>
      </x:c>
      <x:c r="I13534" s="0" t="s">
        <x:v>21</x:v>
      </x:c>
      <x:c r="K13534" s="0">
        <x:f>hyperlink("https://icd.who.int/dev11/l-ichi/en#/http%3A%2F%2Fid.who.int%2Ficd%2Fentity%2F238529958","browser")</x:f>
      </x:c>
      <x:c r="L13534" s="0">
        <x:f>hyperlink("https://icat2.azurewebsites.net/icat/?ontology=ICD&amp;tab=ClassesTab&amp;id=http%3A%2F%2Fwho.int%2Ficd%23SpecificAnatomicLocation_3632","iCat")</x:f>
      </x:c>
      <x:c r="M13534" s="0" t="s">
        <x:v>21</x:v>
      </x:c>
      <x:c r="N13534" s="0" t="s">
        <x:v>46</x:v>
      </x:c>
    </x:row>
    <x:row r="13535" spans="1:16">
      <x:c r="A13535" s="0" t="s">
        <x:v>51209</x:v>
      </x:c>
      <x:c r="B13535" s="0" t="s">
        <x:v>51210</x:v>
      </x:c>
      <x:c r="C13535" s="0" t="s">
        <x:v>42840</x:v>
      </x:c>
      <x:c r="E13535" s="0" t="s">
        <x:v>51211</x:v>
      </x:c>
      <x:c r="F13535" s="0" t="s">
        <x:v>45</x:v>
      </x:c>
      <x:c r="G13535" s="0" t="s">
        <x:v>30</x:v>
      </x:c>
      <x:c r="H13535" s="0" t="s">
        <x:v>20</x:v>
      </x:c>
      <x:c r="I13535" s="0" t="s">
        <x:v>21</x:v>
      </x:c>
      <x:c r="K13535" s="0">
        <x:f>hyperlink("https://icd.who.int/dev11/l-ichi/en#/http%3A%2F%2Fid.who.int%2Ficd%2Fentity%2F1385578150","browser")</x:f>
      </x:c>
      <x:c r="L13535" s="0">
        <x:f>hyperlink("https://icat2.azurewebsites.net/icat/?ontology=ICD&amp;tab=ClassesTab&amp;id=http%3A%2F%2Fwho.int%2Ficd%23SpecificAnatomicLocation_3636","iCat")</x:f>
      </x:c>
      <x:c r="M13535" s="0" t="s">
        <x:v>21</x:v>
      </x:c>
      <x:c r="N13535" s="0" t="s">
        <x:v>46</x:v>
      </x:c>
    </x:row>
    <x:row r="13536" spans="1:16">
      <x:c r="A13536" s="0" t="s">
        <x:v>51212</x:v>
      </x:c>
      <x:c r="B13536" s="0" t="s">
        <x:v>51213</x:v>
      </x:c>
      <x:c r="C13536" s="0" t="s">
        <x:v>42840</x:v>
      </x:c>
      <x:c r="E13536" s="0" t="s">
        <x:v>51214</x:v>
      </x:c>
      <x:c r="F13536" s="0" t="s">
        <x:v>45</x:v>
      </x:c>
      <x:c r="G13536" s="0" t="s">
        <x:v>19</x:v>
      </x:c>
      <x:c r="H13536" s="0" t="s">
        <x:v>20</x:v>
      </x:c>
      <x:c r="I13536" s="0" t="s">
        <x:v>21</x:v>
      </x:c>
      <x:c r="K13536" s="0">
        <x:f>hyperlink("https://icd.who.int/dev11/l-ichi/en#/http%3A%2F%2Fid.who.int%2Ficd%2Fentity%2F1089203821","browser")</x:f>
      </x:c>
      <x:c r="L13536" s="0">
        <x:f>hyperlink("https://icat2.azurewebsites.net/icat/?ontology=ICD&amp;tab=ClassesTab&amp;id=http%3A%2F%2Fwho.int%2Ficd%23SpecificAnatomicLocation_3649","iCat")</x:f>
      </x:c>
      <x:c r="M13536" s="0" t="s">
        <x:v>20</x:v>
      </x:c>
      <x:c r="N13536" s="0" t="s">
        <x:v>903</x:v>
      </x:c>
    </x:row>
    <x:row r="13537" spans="1:16">
      <x:c r="A13537" s="0" t="s">
        <x:v>51215</x:v>
      </x:c>
      <x:c r="B13537" s="0" t="s">
        <x:v>51216</x:v>
      </x:c>
      <x:c r="C13537" s="0" t="s">
        <x:v>42840</x:v>
      </x:c>
      <x:c r="E13537" s="0" t="s">
        <x:v>51217</x:v>
      </x:c>
      <x:c r="F13537" s="0" t="s">
        <x:v>45</x:v>
      </x:c>
      <x:c r="G13537" s="0" t="s">
        <x:v>30</x:v>
      </x:c>
      <x:c r="H13537" s="0" t="s">
        <x:v>20</x:v>
      </x:c>
      <x:c r="I13537" s="0" t="s">
        <x:v>21</x:v>
      </x:c>
      <x:c r="K13537" s="0">
        <x:f>hyperlink("https://icd.who.int/dev11/l-ichi/en#/http%3A%2F%2Fid.who.int%2Ficd%2Fentity%2F1911806234","browser")</x:f>
      </x:c>
      <x:c r="L13537" s="0">
        <x:f>hyperlink("https://icat2.azurewebsites.net/icat/?ontology=ICD&amp;tab=ClassesTab&amp;id=http%3A%2F%2Fwho.int%2Ficd%23SpecificAnatomicLocation_3639","iCat")</x:f>
      </x:c>
      <x:c r="M13537" s="0" t="s">
        <x:v>21</x:v>
      </x:c>
      <x:c r="N13537" s="0" t="s">
        <x:v>46</x:v>
      </x:c>
    </x:row>
    <x:row r="13538" spans="1:16">
      <x:c r="A13538" s="0" t="s">
        <x:v>51218</x:v>
      </x:c>
      <x:c r="B13538" s="0" t="s">
        <x:v>51219</x:v>
      </x:c>
      <x:c r="C13538" s="0" t="s">
        <x:v>42840</x:v>
      </x:c>
      <x:c r="E13538" s="0" t="s">
        <x:v>51220</x:v>
      </x:c>
      <x:c r="F13538" s="0" t="s">
        <x:v>45</x:v>
      </x:c>
      <x:c r="G13538" s="0" t="s">
        <x:v>30</x:v>
      </x:c>
      <x:c r="H13538" s="0" t="s">
        <x:v>20</x:v>
      </x:c>
      <x:c r="I13538" s="0" t="s">
        <x:v>21</x:v>
      </x:c>
      <x:c r="K13538" s="0">
        <x:f>hyperlink("https://icd.who.int/dev11/l-ichi/en#/http%3A%2F%2Fid.who.int%2Ficd%2Fentity%2F1306443859","browser")</x:f>
      </x:c>
      <x:c r="L13538" s="0">
        <x:f>hyperlink("https://icat2.azurewebsites.net/icat/?ontology=ICD&amp;tab=ClassesTab&amp;id=http%3A%2F%2Fwho.int%2Ficd%23SpecificAnatomicLocation_3644","iCat")</x:f>
      </x:c>
      <x:c r="M13538" s="0" t="s">
        <x:v>21</x:v>
      </x:c>
      <x:c r="N13538" s="0" t="s">
        <x:v>46</x:v>
      </x:c>
    </x:row>
    <x:row r="13539" spans="1:16">
      <x:c r="A13539" s="0" t="s">
        <x:v>51221</x:v>
      </x:c>
      <x:c r="B13539" s="0" t="s">
        <x:v>51222</x:v>
      </x:c>
      <x:c r="C13539" s="0" t="s">
        <x:v>42840</x:v>
      </x:c>
      <x:c r="E13539" s="0" t="s">
        <x:v>51223</x:v>
      </x:c>
      <x:c r="F13539" s="0" t="s">
        <x:v>45</x:v>
      </x:c>
      <x:c r="G13539" s="0" t="s">
        <x:v>30</x:v>
      </x:c>
      <x:c r="H13539" s="0" t="s">
        <x:v>20</x:v>
      </x:c>
      <x:c r="I13539" s="0" t="s">
        <x:v>21</x:v>
      </x:c>
      <x:c r="K13539" s="0">
        <x:f>hyperlink("https://icd.who.int/dev11/l-ichi/en#/http%3A%2F%2Fid.who.int%2Ficd%2Fentity%2F293557075","browser")</x:f>
      </x:c>
      <x:c r="L13539" s="0">
        <x:f>hyperlink("https://icat2.azurewebsites.net/icat/?ontology=ICD&amp;tab=ClassesTab&amp;id=http%3A%2F%2Fwho.int%2Ficd%23SpecificAnatomicLocation_3640","iCat")</x:f>
      </x:c>
      <x:c r="M13539" s="0" t="s">
        <x:v>21</x:v>
      </x:c>
      <x:c r="N13539" s="0" t="s">
        <x:v>46</x:v>
      </x:c>
    </x:row>
    <x:row r="13540" spans="1:16">
      <x:c r="A13540" s="0" t="s">
        <x:v>51224</x:v>
      </x:c>
      <x:c r="B13540" s="0" t="s">
        <x:v>51225</x:v>
      </x:c>
      <x:c r="C13540" s="0" t="s">
        <x:v>42840</x:v>
      </x:c>
      <x:c r="E13540" s="0" t="s">
        <x:v>51226</x:v>
      </x:c>
      <x:c r="F13540" s="0" t="s">
        <x:v>45</x:v>
      </x:c>
      <x:c r="G13540" s="0" t="s">
        <x:v>30</x:v>
      </x:c>
      <x:c r="H13540" s="0" t="s">
        <x:v>20</x:v>
      </x:c>
      <x:c r="I13540" s="0" t="s">
        <x:v>21</x:v>
      </x:c>
      <x:c r="K13540" s="0">
        <x:f>hyperlink("https://icd.who.int/dev11/l-ichi/en#/http%3A%2F%2Fid.who.int%2Ficd%2Fentity%2F106379155","browser")</x:f>
      </x:c>
      <x:c r="L13540" s="0">
        <x:f>hyperlink("https://icat2.azurewebsites.net/icat/?ontology=ICD&amp;tab=ClassesTab&amp;id=http%3A%2F%2Fwho.int%2Ficd%23SpecificAnatomicLocation_3641","iCat")</x:f>
      </x:c>
      <x:c r="M13540" s="0" t="s">
        <x:v>21</x:v>
      </x:c>
      <x:c r="N13540" s="0" t="s">
        <x:v>46</x:v>
      </x:c>
    </x:row>
    <x:row r="13541" spans="1:16">
      <x:c r="A13541" s="0" t="s">
        <x:v>51227</x:v>
      </x:c>
      <x:c r="B13541" s="0" t="s">
        <x:v>51228</x:v>
      </x:c>
      <x:c r="C13541" s="0" t="s">
        <x:v>42840</x:v>
      </x:c>
      <x:c r="E13541" s="0" t="s">
        <x:v>51229</x:v>
      </x:c>
      <x:c r="F13541" s="0" t="s">
        <x:v>45</x:v>
      </x:c>
      <x:c r="G13541" s="0" t="s">
        <x:v>30</x:v>
      </x:c>
      <x:c r="H13541" s="0" t="s">
        <x:v>20</x:v>
      </x:c>
      <x:c r="I13541" s="0" t="s">
        <x:v>21</x:v>
      </x:c>
      <x:c r="K13541" s="0">
        <x:f>hyperlink("https://icd.who.int/dev11/l-ichi/en#/http%3A%2F%2Fid.who.int%2Ficd%2Fentity%2F1060084435","browser")</x:f>
      </x:c>
      <x:c r="L13541" s="0">
        <x:f>hyperlink("https://icat2.azurewebsites.net/icat/?ontology=ICD&amp;tab=ClassesTab&amp;id=http%3A%2F%2Fwho.int%2Ficd%23SpecificAnatomicLocation_3642","iCat")</x:f>
      </x:c>
      <x:c r="M13541" s="0" t="s">
        <x:v>21</x:v>
      </x:c>
      <x:c r="N13541" s="0" t="s">
        <x:v>46</x:v>
      </x:c>
    </x:row>
    <x:row r="13542" spans="1:16">
      <x:c r="A13542" s="0" t="s">
        <x:v>51230</x:v>
      </x:c>
      <x:c r="B13542" s="0" t="s">
        <x:v>51231</x:v>
      </x:c>
      <x:c r="C13542" s="0" t="s">
        <x:v>42840</x:v>
      </x:c>
      <x:c r="E13542" s="0" t="s">
        <x:v>51232</x:v>
      </x:c>
      <x:c r="F13542" s="0" t="s">
        <x:v>45</x:v>
      </x:c>
      <x:c r="G13542" s="0" t="s">
        <x:v>30</x:v>
      </x:c>
      <x:c r="H13542" s="0" t="s">
        <x:v>20</x:v>
      </x:c>
      <x:c r="I13542" s="0" t="s">
        <x:v>21</x:v>
      </x:c>
      <x:c r="K13542" s="0">
        <x:f>hyperlink("https://icd.who.int/dev11/l-ichi/en#/http%3A%2F%2Fid.who.int%2Ficd%2Fentity%2F1526113427","browser")</x:f>
      </x:c>
      <x:c r="L13542" s="0">
        <x:f>hyperlink("https://icat2.azurewebsites.net/icat/?ontology=ICD&amp;tab=ClassesTab&amp;id=http%3A%2F%2Fwho.int%2Ficd%23SpecificAnatomicLocation_3645","iCat")</x:f>
      </x:c>
      <x:c r="M13542" s="0" t="s">
        <x:v>21</x:v>
      </x:c>
      <x:c r="N13542" s="0" t="s">
        <x:v>46</x:v>
      </x:c>
    </x:row>
    <x:row r="13543" spans="1:16">
      <x:c r="A13543" s="0" t="s">
        <x:v>51233</x:v>
      </x:c>
      <x:c r="B13543" s="0" t="s">
        <x:v>51234</x:v>
      </x:c>
      <x:c r="C13543" s="0" t="s">
        <x:v>42840</x:v>
      </x:c>
      <x:c r="E13543" s="0" t="s">
        <x:v>51235</x:v>
      </x:c>
      <x:c r="F13543" s="0" t="s">
        <x:v>45</x:v>
      </x:c>
      <x:c r="G13543" s="0" t="s">
        <x:v>30</x:v>
      </x:c>
      <x:c r="H13543" s="0" t="s">
        <x:v>20</x:v>
      </x:c>
      <x:c r="I13543" s="0" t="s">
        <x:v>21</x:v>
      </x:c>
      <x:c r="K13543" s="0">
        <x:f>hyperlink("https://icd.who.int/dev11/l-ichi/en#/http%3A%2F%2Fid.who.int%2Ficd%2Fentity%2F671612435","browser")</x:f>
      </x:c>
      <x:c r="L13543" s="0">
        <x:f>hyperlink("https://icat2.azurewebsites.net/icat/?ontology=ICD&amp;tab=ClassesTab&amp;id=http%3A%2F%2Fwho.int%2Ficd%23SpecificAnatomicLocation_3643","iCat")</x:f>
      </x:c>
      <x:c r="M13543" s="0" t="s">
        <x:v>21</x:v>
      </x:c>
      <x:c r="N13543" s="0" t="s">
        <x:v>46</x:v>
      </x:c>
    </x:row>
    <x:row r="13544" spans="1:16">
      <x:c r="A13544" s="0" t="s">
        <x:v>51236</x:v>
      </x:c>
      <x:c r="B13544" s="0" t="s">
        <x:v>51237</x:v>
      </x:c>
      <x:c r="C13544" s="0" t="s">
        <x:v>42840</x:v>
      </x:c>
      <x:c r="E13544" s="0" t="s">
        <x:v>51238</x:v>
      </x:c>
      <x:c r="F13544" s="0" t="s">
        <x:v>45</x:v>
      </x:c>
      <x:c r="G13544" s="0" t="s">
        <x:v>30</x:v>
      </x:c>
      <x:c r="H13544" s="0" t="s">
        <x:v>20</x:v>
      </x:c>
      <x:c r="I13544" s="0" t="s">
        <x:v>21</x:v>
      </x:c>
      <x:c r="K13544" s="0">
        <x:f>hyperlink("https://icd.who.int/dev11/l-ichi/en#/http%3A%2F%2Fid.who.int%2Ficd%2Fentity%2F1670253011","browser")</x:f>
      </x:c>
      <x:c r="L13544" s="0">
        <x:f>hyperlink("https://icat2.azurewebsites.net/icat/?ontology=ICD&amp;tab=ClassesTab&amp;id=http%3A%2F%2Fwho.int%2Ficd%23SpecificAnatomicLocation_3646","iCat")</x:f>
      </x:c>
      <x:c r="M13544" s="0" t="s">
        <x:v>21</x:v>
      </x:c>
      <x:c r="N13544" s="0" t="s">
        <x:v>46</x:v>
      </x:c>
    </x:row>
    <x:row r="13545" spans="1:16">
      <x:c r="A13545" s="0" t="s">
        <x:v>51239</x:v>
      </x:c>
      <x:c r="B13545" s="0" t="s">
        <x:v>51240</x:v>
      </x:c>
      <x:c r="C13545" s="0" t="s">
        <x:v>42840</x:v>
      </x:c>
      <x:c r="E13545" s="0" t="s">
        <x:v>51241</x:v>
      </x:c>
      <x:c r="F13545" s="0" t="s">
        <x:v>45</x:v>
      </x:c>
      <x:c r="G13545" s="0" t="s">
        <x:v>30</x:v>
      </x:c>
      <x:c r="H13545" s="0" t="s">
        <x:v>20</x:v>
      </x:c>
      <x:c r="I13545" s="0" t="s">
        <x:v>21</x:v>
      </x:c>
      <x:c r="K13545" s="0">
        <x:f>hyperlink("https://icd.who.int/dev11/l-ichi/en#/http%3A%2F%2Fid.who.int%2Ficd%2Fentity%2F1957063955","browser")</x:f>
      </x:c>
      <x:c r="L13545" s="0">
        <x:f>hyperlink("https://icat2.azurewebsites.net/icat/?ontology=ICD&amp;tab=ClassesTab&amp;id=http%3A%2F%2Fwho.int%2Ficd%23SpecificAnatomicLocation_3647","iCat")</x:f>
      </x:c>
      <x:c r="M13545" s="0" t="s">
        <x:v>21</x:v>
      </x:c>
      <x:c r="N13545" s="0" t="s">
        <x:v>46</x:v>
      </x:c>
    </x:row>
    <x:row r="13546" spans="1:16">
      <x:c r="A13546" s="0" t="s">
        <x:v>51242</x:v>
      </x:c>
      <x:c r="B13546" s="0" t="s">
        <x:v>51243</x:v>
      </x:c>
      <x:c r="C13546" s="0" t="s">
        <x:v>42840</x:v>
      </x:c>
      <x:c r="E13546" s="0" t="s">
        <x:v>51244</x:v>
      </x:c>
      <x:c r="F13546" s="0" t="s">
        <x:v>45</x:v>
      </x:c>
      <x:c r="G13546" s="0" t="s">
        <x:v>30</x:v>
      </x:c>
      <x:c r="H13546" s="0" t="s">
        <x:v>20</x:v>
      </x:c>
      <x:c r="I13546" s="0" t="s">
        <x:v>21</x:v>
      </x:c>
      <x:c r="K13546" s="0">
        <x:f>hyperlink("https://icd.who.int/dev11/l-ichi/en#/http%3A%2F%2Fid.who.int%2Ficd%2Fentity%2F1472432813","browser")</x:f>
      </x:c>
      <x:c r="L13546" s="0">
        <x:f>hyperlink("https://icat2.azurewebsites.net/icat/?ontology=ICD&amp;tab=ClassesTab&amp;id=http%3A%2F%2Fwho.int%2Ficd%23SpecificAnatomicLocation_3648","iCat")</x:f>
      </x:c>
      <x:c r="M13546" s="0" t="s">
        <x:v>21</x:v>
      </x:c>
      <x:c r="N13546" s="0" t="s">
        <x:v>46</x:v>
      </x:c>
    </x:row>
    <x:row r="13547" spans="1:16">
      <x:c r="A13547" s="0" t="s">
        <x:v>51245</x:v>
      </x:c>
      <x:c r="B13547" s="0" t="s">
        <x:v>51246</x:v>
      </x:c>
      <x:c r="C13547" s="0" t="s">
        <x:v>42840</x:v>
      </x:c>
      <x:c r="E13547" s="0" t="s">
        <x:v>51247</x:v>
      </x:c>
      <x:c r="F13547" s="0" t="s">
        <x:v>45</x:v>
      </x:c>
      <x:c r="G13547" s="0" t="s">
        <x:v>19</x:v>
      </x:c>
      <x:c r="H13547" s="0" t="s">
        <x:v>20</x:v>
      </x:c>
      <x:c r="I13547" s="0" t="s">
        <x:v>21</x:v>
      </x:c>
      <x:c r="K13547" s="0">
        <x:f>hyperlink("https://icd.who.int/dev11/l-ichi/en#/http%3A%2F%2Fid.who.int%2Ficd%2Fentity%2F1477031686","browser")</x:f>
      </x:c>
      <x:c r="L13547" s="0">
        <x:f>hyperlink("https://icat2.azurewebsites.net/icat/?ontology=ICD&amp;tab=ClassesTab&amp;id=http%3A%2F%2Fwho.int%2Ficd%23SpecificAnatomicLocation_3749","iCat")</x:f>
      </x:c>
      <x:c r="M13547" s="0" t="s">
        <x:v>20</x:v>
      </x:c>
      <x:c r="N13547" s="0" t="s">
        <x:v>10405</x:v>
      </x:c>
    </x:row>
    <x:row r="13548" spans="1:16">
      <x:c r="A13548" s="0" t="s">
        <x:v>51248</x:v>
      </x:c>
      <x:c r="B13548" s="0" t="s">
        <x:v>51249</x:v>
      </x:c>
      <x:c r="C13548" s="0" t="s">
        <x:v>42840</x:v>
      </x:c>
      <x:c r="E13548" s="0" t="s">
        <x:v>51250</x:v>
      </x:c>
      <x:c r="F13548" s="0" t="s">
        <x:v>45</x:v>
      </x:c>
      <x:c r="G13548" s="0" t="s">
        <x:v>30</x:v>
      </x:c>
      <x:c r="H13548" s="0" t="s">
        <x:v>20</x:v>
      </x:c>
      <x:c r="I13548" s="0" t="s">
        <x:v>21</x:v>
      </x:c>
      <x:c r="K13548" s="0">
        <x:f>hyperlink("https://icd.who.int/dev11/l-ichi/en#/http%3A%2F%2Fid.who.int%2Ficd%2Fentity%2F1508063525","browser")</x:f>
      </x:c>
      <x:c r="L13548" s="0">
        <x:f>hyperlink("https://icat2.azurewebsites.net/icat/?ontology=ICD&amp;tab=ClassesTab&amp;id=http%3A%2F%2Fwho.int%2Ficd%23SpecificAnatomicLocation_3703","iCat")</x:f>
      </x:c>
      <x:c r="M13548" s="0" t="s">
        <x:v>21</x:v>
      </x:c>
      <x:c r="N13548" s="0" t="s">
        <x:v>46</x:v>
      </x:c>
    </x:row>
    <x:row r="13549" spans="1:16">
      <x:c r="A13549" s="0" t="s">
        <x:v>51251</x:v>
      </x:c>
      <x:c r="B13549" s="0" t="s">
        <x:v>51252</x:v>
      </x:c>
      <x:c r="C13549" s="0" t="s">
        <x:v>42840</x:v>
      </x:c>
      <x:c r="E13549" s="0" t="s">
        <x:v>51253</x:v>
      </x:c>
      <x:c r="F13549" s="0" t="s">
        <x:v>45</x:v>
      </x:c>
      <x:c r="G13549" s="0" t="s">
        <x:v>30</x:v>
      </x:c>
      <x:c r="H13549" s="0" t="s">
        <x:v>20</x:v>
      </x:c>
      <x:c r="I13549" s="0" t="s">
        <x:v>21</x:v>
      </x:c>
      <x:c r="K13549" s="0">
        <x:f>hyperlink("https://icd.who.int/dev11/l-ichi/en#/http%3A%2F%2Fid.who.int%2Ficd%2Fentity%2F1010435941","browser")</x:f>
      </x:c>
      <x:c r="L13549" s="0">
        <x:f>hyperlink("https://icat2.azurewebsites.net/icat/?ontology=ICD&amp;tab=ClassesTab&amp;id=http%3A%2F%2Fwho.int%2Ficd%23SpecificAnatomicLocation_3704","iCat")</x:f>
      </x:c>
      <x:c r="M13549" s="0" t="s">
        <x:v>21</x:v>
      </x:c>
      <x:c r="N13549" s="0" t="s">
        <x:v>46</x:v>
      </x:c>
    </x:row>
    <x:row r="13550" spans="1:16">
      <x:c r="A13550" s="0" t="s">
        <x:v>51254</x:v>
      </x:c>
      <x:c r="B13550" s="0" t="s">
        <x:v>51255</x:v>
      </x:c>
      <x:c r="C13550" s="0" t="s">
        <x:v>42840</x:v>
      </x:c>
      <x:c r="E13550" s="0" t="s">
        <x:v>51256</x:v>
      </x:c>
      <x:c r="F13550" s="0" t="s">
        <x:v>45</x:v>
      </x:c>
      <x:c r="G13550" s="0" t="s">
        <x:v>30</x:v>
      </x:c>
      <x:c r="H13550" s="0" t="s">
        <x:v>20</x:v>
      </x:c>
      <x:c r="I13550" s="0" t="s">
        <x:v>21</x:v>
      </x:c>
      <x:c r="K13550" s="0">
        <x:f>hyperlink("https://icd.who.int/dev11/l-ichi/en#/http%3A%2F%2Fid.who.int%2Ficd%2Fentity%2F722625445","browser")</x:f>
      </x:c>
      <x:c r="L13550" s="0">
        <x:f>hyperlink("https://icat2.azurewebsites.net/icat/?ontology=ICD&amp;tab=ClassesTab&amp;id=http%3A%2F%2Fwho.int%2Ficd%23SpecificAnatomicLocation_3705","iCat")</x:f>
      </x:c>
      <x:c r="M13550" s="0" t="s">
        <x:v>21</x:v>
      </x:c>
      <x:c r="N13550" s="0" t="s">
        <x:v>46</x:v>
      </x:c>
    </x:row>
    <x:row r="13551" spans="1:16">
      <x:c r="A13551" s="0" t="s">
        <x:v>51257</x:v>
      </x:c>
      <x:c r="B13551" s="0" t="s">
        <x:v>51258</x:v>
      </x:c>
      <x:c r="C13551" s="0" t="s">
        <x:v>42840</x:v>
      </x:c>
      <x:c r="E13551" s="0" t="s">
        <x:v>51259</x:v>
      </x:c>
      <x:c r="F13551" s="0" t="s">
        <x:v>45</x:v>
      </x:c>
      <x:c r="G13551" s="0" t="s">
        <x:v>30</x:v>
      </x:c>
      <x:c r="H13551" s="0" t="s">
        <x:v>20</x:v>
      </x:c>
      <x:c r="I13551" s="0" t="s">
        <x:v>21</x:v>
      </x:c>
      <x:c r="K13551" s="0">
        <x:f>hyperlink("https://icd.who.int/dev11/l-ichi/en#/http%3A%2F%2Fid.who.int%2Ficd%2Fentity%2F308989669","browser")</x:f>
      </x:c>
      <x:c r="L13551" s="0">
        <x:f>hyperlink("https://icat2.azurewebsites.net/icat/?ontology=ICD&amp;tab=ClassesTab&amp;id=http%3A%2F%2Fwho.int%2Ficd%23SpecificAnatomicLocation_3706","iCat")</x:f>
      </x:c>
      <x:c r="M13551" s="0" t="s">
        <x:v>21</x:v>
      </x:c>
      <x:c r="N13551" s="0" t="s">
        <x:v>46</x:v>
      </x:c>
    </x:row>
    <x:row r="13552" spans="1:16">
      <x:c r="A13552" s="0" t="s">
        <x:v>51260</x:v>
      </x:c>
      <x:c r="B13552" s="0" t="s">
        <x:v>51261</x:v>
      </x:c>
      <x:c r="C13552" s="0" t="s">
        <x:v>42840</x:v>
      </x:c>
      <x:c r="E13552" s="0" t="s">
        <x:v>51262</x:v>
      </x:c>
      <x:c r="F13552" s="0" t="s">
        <x:v>45</x:v>
      </x:c>
      <x:c r="G13552" s="0" t="s">
        <x:v>30</x:v>
      </x:c>
      <x:c r="H13552" s="0" t="s">
        <x:v>20</x:v>
      </x:c>
      <x:c r="I13552" s="0" t="s">
        <x:v>21</x:v>
      </x:c>
      <x:c r="K13552" s="0">
        <x:f>hyperlink("https://icd.who.int/dev11/l-ichi/en#/http%3A%2F%2Fid.who.int%2Ficd%2Fentity%2F88255013","browser")</x:f>
      </x:c>
      <x:c r="L13552" s="0">
        <x:f>hyperlink("https://icat2.azurewebsites.net/icat/?ontology=ICD&amp;tab=ClassesTab&amp;id=http%3A%2F%2Fwho.int%2Ficd%23SpecificAnatomicLocation_3707","iCat")</x:f>
      </x:c>
      <x:c r="M13552" s="0" t="s">
        <x:v>21</x:v>
      </x:c>
      <x:c r="N13552" s="0" t="s">
        <x:v>46</x:v>
      </x:c>
    </x:row>
    <x:row r="13553" spans="1:16">
      <x:c r="A13553" s="0" t="s">
        <x:v>51263</x:v>
      </x:c>
      <x:c r="B13553" s="0" t="s">
        <x:v>51264</x:v>
      </x:c>
      <x:c r="C13553" s="0" t="s">
        <x:v>42840</x:v>
      </x:c>
      <x:c r="E13553" s="0" t="s">
        <x:v>51265</x:v>
      </x:c>
      <x:c r="F13553" s="0" t="s">
        <x:v>45</x:v>
      </x:c>
      <x:c r="G13553" s="0" t="s">
        <x:v>30</x:v>
      </x:c>
      <x:c r="H13553" s="0" t="s">
        <x:v>20</x:v>
      </x:c>
      <x:c r="I13553" s="0" t="s">
        <x:v>21</x:v>
      </x:c>
      <x:c r="K13553" s="0">
        <x:f>hyperlink("https://icd.who.int/dev11/l-ichi/en#/http%3A%2F%2Fid.who.int%2Ficd%2Fentity%2F507580094","browser")</x:f>
      </x:c>
      <x:c r="L13553" s="0">
        <x:f>hyperlink("https://icat2.azurewebsites.net/icat/?ontology=ICD&amp;tab=ClassesTab&amp;id=http%3A%2F%2Fwho.int%2Ficd%23SpecificAnatomicLocation_3710","iCat")</x:f>
      </x:c>
      <x:c r="M13553" s="0" t="s">
        <x:v>20</x:v>
      </x:c>
      <x:c r="N13553" s="0" t="s">
        <x:v>30</x:v>
      </x:c>
    </x:row>
    <x:row r="13554" spans="1:16">
      <x:c r="A13554" s="0" t="s">
        <x:v>51266</x:v>
      </x:c>
      <x:c r="B13554" s="0" t="s">
        <x:v>51267</x:v>
      </x:c>
      <x:c r="C13554" s="0" t="s">
        <x:v>42840</x:v>
      </x:c>
      <x:c r="E13554" s="0" t="s">
        <x:v>51268</x:v>
      </x:c>
      <x:c r="F13554" s="0" t="s">
        <x:v>45</x:v>
      </x:c>
      <x:c r="G13554" s="0" t="s">
        <x:v>35</x:v>
      </x:c>
      <x:c r="H13554" s="0" t="s">
        <x:v>20</x:v>
      </x:c>
      <x:c r="I13554" s="0" t="s">
        <x:v>21</x:v>
      </x:c>
      <x:c r="K13554" s="0">
        <x:f>hyperlink("https://icd.who.int/dev11/l-ichi/en#/http%3A%2F%2Fid.who.int%2Ficd%2Fentity%2F640109979","browser")</x:f>
      </x:c>
      <x:c r="L13554" s="0">
        <x:f>hyperlink("https://icat2.azurewebsites.net/icat/?ontology=ICD&amp;tab=ClassesTab&amp;id=http%3A%2F%2Fwho.int%2Ficd%23SpecificAnatomicLocation_3708","iCat")</x:f>
      </x:c>
      <x:c r="M13554" s="0" t="s">
        <x:v>21</x:v>
      </x:c>
      <x:c r="N13554" s="0" t="s">
        <x:v>46</x:v>
      </x:c>
    </x:row>
    <x:row r="13555" spans="1:16">
      <x:c r="A13555" s="0" t="s">
        <x:v>51269</x:v>
      </x:c>
      <x:c r="B13555" s="0" t="s">
        <x:v>51270</x:v>
      </x:c>
      <x:c r="C13555" s="0" t="s">
        <x:v>42840</x:v>
      </x:c>
      <x:c r="E13555" s="0" t="s">
        <x:v>51271</x:v>
      </x:c>
      <x:c r="F13555" s="0" t="s">
        <x:v>45</x:v>
      </x:c>
      <x:c r="G13555" s="0" t="s">
        <x:v>35</x:v>
      </x:c>
      <x:c r="H13555" s="0" t="s">
        <x:v>20</x:v>
      </x:c>
      <x:c r="I13555" s="0" t="s">
        <x:v>21</x:v>
      </x:c>
      <x:c r="K13555" s="0">
        <x:f>hyperlink("https://icd.who.int/dev11/l-ichi/en#/http%3A%2F%2Fid.who.int%2Ficd%2Fentity%2F823077211","browser")</x:f>
      </x:c>
      <x:c r="L13555" s="0">
        <x:f>hyperlink("https://icat2.azurewebsites.net/icat/?ontology=ICD&amp;tab=ClassesTab&amp;id=http%3A%2F%2Fwho.int%2Ficd%23SpecificAnatomicLocation_3709","iCat")</x:f>
      </x:c>
      <x:c r="M13555" s="0" t="s">
        <x:v>21</x:v>
      </x:c>
      <x:c r="N13555" s="0" t="s">
        <x:v>46</x:v>
      </x:c>
    </x:row>
    <x:row r="13556" spans="1:16">
      <x:c r="A13556" s="0" t="s">
        <x:v>51272</x:v>
      </x:c>
      <x:c r="B13556" s="0" t="s">
        <x:v>51273</x:v>
      </x:c>
      <x:c r="C13556" s="0" t="s">
        <x:v>42840</x:v>
      </x:c>
      <x:c r="E13556" s="0" t="s">
        <x:v>51274</x:v>
      </x:c>
      <x:c r="F13556" s="0" t="s">
        <x:v>45</x:v>
      </x:c>
      <x:c r="G13556" s="0" t="s">
        <x:v>30</x:v>
      </x:c>
      <x:c r="H13556" s="0" t="s">
        <x:v>20</x:v>
      </x:c>
      <x:c r="I13556" s="0" t="s">
        <x:v>21</x:v>
      </x:c>
      <x:c r="K13556" s="0">
        <x:f>hyperlink("https://icd.who.int/dev11/l-ichi/en#/http%3A%2F%2Fid.who.int%2Ficd%2Fentity%2F157903486","browser")</x:f>
      </x:c>
      <x:c r="L13556" s="0">
        <x:f>hyperlink("https://icat2.azurewebsites.net/icat/?ontology=ICD&amp;tab=ClassesTab&amp;id=http%3A%2F%2Fwho.int%2Ficd%23SpecificAnatomicLocation_3711","iCat")</x:f>
      </x:c>
      <x:c r="M13556" s="0" t="s">
        <x:v>21</x:v>
      </x:c>
      <x:c r="N13556" s="0" t="s">
        <x:v>46</x:v>
      </x:c>
    </x:row>
    <x:row r="13557" spans="1:16">
      <x:c r="A13557" s="0" t="s">
        <x:v>51275</x:v>
      </x:c>
      <x:c r="B13557" s="0" t="s">
        <x:v>51276</x:v>
      </x:c>
      <x:c r="C13557" s="0" t="s">
        <x:v>42840</x:v>
      </x:c>
      <x:c r="E13557" s="0" t="s">
        <x:v>51277</x:v>
      </x:c>
      <x:c r="F13557" s="0" t="s">
        <x:v>45</x:v>
      </x:c>
      <x:c r="G13557" s="0" t="s">
        <x:v>30</x:v>
      </x:c>
      <x:c r="H13557" s="0" t="s">
        <x:v>20</x:v>
      </x:c>
      <x:c r="I13557" s="0" t="s">
        <x:v>21</x:v>
      </x:c>
      <x:c r="K13557" s="0">
        <x:f>hyperlink("https://icd.who.int/dev11/l-ichi/en#/http%3A%2F%2Fid.who.int%2Ficd%2Fentity%2F806471486","browser")</x:f>
      </x:c>
      <x:c r="L13557" s="0">
        <x:f>hyperlink("https://icat2.azurewebsites.net/icat/?ontology=ICD&amp;tab=ClassesTab&amp;id=http%3A%2F%2Fwho.int%2Ficd%23SpecificAnatomicLocation_3712","iCat")</x:f>
      </x:c>
      <x:c r="M13557" s="0" t="s">
        <x:v>21</x:v>
      </x:c>
      <x:c r="N13557" s="0" t="s">
        <x:v>46</x:v>
      </x:c>
    </x:row>
    <x:row r="13558" spans="1:16">
      <x:c r="A13558" s="0" t="s">
        <x:v>51278</x:v>
      </x:c>
      <x:c r="B13558" s="0" t="s">
        <x:v>51279</x:v>
      </x:c>
      <x:c r="C13558" s="0" t="s">
        <x:v>42840</x:v>
      </x:c>
      <x:c r="E13558" s="0" t="s">
        <x:v>51280</x:v>
      </x:c>
      <x:c r="F13558" s="0" t="s">
        <x:v>45</x:v>
      </x:c>
      <x:c r="G13558" s="0" t="s">
        <x:v>30</x:v>
      </x:c>
      <x:c r="H13558" s="0" t="s">
        <x:v>20</x:v>
      </x:c>
      <x:c r="I13558" s="0" t="s">
        <x:v>21</x:v>
      </x:c>
      <x:c r="K13558" s="0">
        <x:f>hyperlink("https://icd.who.int/dev11/l-ichi/en#/http%3A%2F%2Fid.who.int%2Ficd%2Fentity%2F658088958","browser")</x:f>
      </x:c>
      <x:c r="L13558" s="0">
        <x:f>hyperlink("https://icat2.azurewebsites.net/icat/?ontology=ICD&amp;tab=ClassesTab&amp;id=http%3A%2F%2Fwho.int%2Ficd%23SpecificAnatomicLocation_3713","iCat")</x:f>
      </x:c>
      <x:c r="M13558" s="0" t="s">
        <x:v>21</x:v>
      </x:c>
      <x:c r="N13558" s="0" t="s">
        <x:v>46</x:v>
      </x:c>
    </x:row>
    <x:row r="13559" spans="1:16">
      <x:c r="A13559" s="0" t="s">
        <x:v>51281</x:v>
      </x:c>
      <x:c r="B13559" s="0" t="s">
        <x:v>51282</x:v>
      </x:c>
      <x:c r="C13559" s="0" t="s">
        <x:v>42840</x:v>
      </x:c>
      <x:c r="E13559" s="0" t="s">
        <x:v>51283</x:v>
      </x:c>
      <x:c r="F13559" s="0" t="s">
        <x:v>45</x:v>
      </x:c>
      <x:c r="G13559" s="0" t="s">
        <x:v>30</x:v>
      </x:c>
      <x:c r="H13559" s="0" t="s">
        <x:v>20</x:v>
      </x:c>
      <x:c r="I13559" s="0" t="s">
        <x:v>21</x:v>
      </x:c>
      <x:c r="K13559" s="0">
        <x:f>hyperlink("https://icd.who.int/dev11/l-ichi/en#/http%3A%2F%2Fid.who.int%2Ficd%2Fentity%2F1122016702","browser")</x:f>
      </x:c>
      <x:c r="L13559" s="0">
        <x:f>hyperlink("https://icat2.azurewebsites.net/icat/?ontology=ICD&amp;tab=ClassesTab&amp;id=http%3A%2F%2Fwho.int%2Ficd%23SpecificAnatomicLocation_3714","iCat")</x:f>
      </x:c>
      <x:c r="M13559" s="0" t="s">
        <x:v>21</x:v>
      </x:c>
      <x:c r="N13559" s="0" t="s">
        <x:v>46</x:v>
      </x:c>
    </x:row>
    <x:row r="13560" spans="1:16">
      <x:c r="A13560" s="0" t="s">
        <x:v>51284</x:v>
      </x:c>
      <x:c r="B13560" s="0" t="s">
        <x:v>51285</x:v>
      </x:c>
      <x:c r="C13560" s="0" t="s">
        <x:v>42840</x:v>
      </x:c>
      <x:c r="E13560" s="0" t="s">
        <x:v>51286</x:v>
      </x:c>
      <x:c r="F13560" s="0" t="s">
        <x:v>45</x:v>
      </x:c>
      <x:c r="G13560" s="0" t="s">
        <x:v>30</x:v>
      </x:c>
      <x:c r="H13560" s="0" t="s">
        <x:v>20</x:v>
      </x:c>
      <x:c r="I13560" s="0" t="s">
        <x:v>21</x:v>
      </x:c>
      <x:c r="K13560" s="0">
        <x:f>hyperlink("https://icd.who.int/dev11/l-ichi/en#/http%3A%2F%2Fid.who.int%2Ficd%2Fentity%2F161286714","browser")</x:f>
      </x:c>
      <x:c r="L13560" s="0">
        <x:f>hyperlink("https://icat2.azurewebsites.net/icat/?ontology=ICD&amp;tab=ClassesTab&amp;id=http%3A%2F%2Fwho.int%2Ficd%23SpecificAnatomicLocation_3740","iCat")</x:f>
      </x:c>
      <x:c r="M13560" s="0" t="s">
        <x:v>21</x:v>
      </x:c>
      <x:c r="N13560" s="0" t="s">
        <x:v>46</x:v>
      </x:c>
    </x:row>
    <x:row r="13561" spans="1:16">
      <x:c r="A13561" s="0" t="s">
        <x:v>51287</x:v>
      </x:c>
      <x:c r="B13561" s="0" t="s">
        <x:v>51288</x:v>
      </x:c>
      <x:c r="C13561" s="0" t="s">
        <x:v>42840</x:v>
      </x:c>
      <x:c r="E13561" s="0" t="s">
        <x:v>51289</x:v>
      </x:c>
      <x:c r="F13561" s="0" t="s">
        <x:v>45</x:v>
      </x:c>
      <x:c r="G13561" s="0" t="s">
        <x:v>30</x:v>
      </x:c>
      <x:c r="H13561" s="0" t="s">
        <x:v>20</x:v>
      </x:c>
      <x:c r="I13561" s="0" t="s">
        <x:v>21</x:v>
      </x:c>
      <x:c r="K13561" s="0">
        <x:f>hyperlink("https://icd.who.int/dev11/l-ichi/en#/http%3A%2F%2Fid.who.int%2Ficd%2Fentity%2F1439234430","browser")</x:f>
      </x:c>
      <x:c r="L13561" s="0">
        <x:f>hyperlink("https://icat2.azurewebsites.net/icat/?ontology=ICD&amp;tab=ClassesTab&amp;id=http%3A%2F%2Fwho.int%2Ficd%23SpecificAnatomicLocation_3715","iCat")</x:f>
      </x:c>
      <x:c r="M13561" s="0" t="s">
        <x:v>21</x:v>
      </x:c>
      <x:c r="N13561" s="0" t="s">
        <x:v>46</x:v>
      </x:c>
    </x:row>
    <x:row r="13562" spans="1:16">
      <x:c r="A13562" s="0" t="s">
        <x:v>51290</x:v>
      </x:c>
      <x:c r="B13562" s="0" t="s">
        <x:v>51291</x:v>
      </x:c>
      <x:c r="C13562" s="0" t="s">
        <x:v>42840</x:v>
      </x:c>
      <x:c r="E13562" s="0" t="s">
        <x:v>51292</x:v>
      </x:c>
      <x:c r="F13562" s="0" t="s">
        <x:v>45</x:v>
      </x:c>
      <x:c r="G13562" s="0" t="s">
        <x:v>30</x:v>
      </x:c>
      <x:c r="H13562" s="0" t="s">
        <x:v>20</x:v>
      </x:c>
      <x:c r="I13562" s="0" t="s">
        <x:v>21</x:v>
      </x:c>
      <x:c r="K13562" s="0">
        <x:f>hyperlink("https://icd.who.int/dev11/l-ichi/en#/http%3A%2F%2Fid.who.int%2Ficd%2Fentity%2F1823495230","browser")</x:f>
      </x:c>
      <x:c r="L13562" s="0">
        <x:f>hyperlink("https://icat2.azurewebsites.net/icat/?ontology=ICD&amp;tab=ClassesTab&amp;id=http%3A%2F%2Fwho.int%2Ficd%23SpecificAnatomicLocation_3716","iCat")</x:f>
      </x:c>
      <x:c r="M13562" s="0" t="s">
        <x:v>21</x:v>
      </x:c>
      <x:c r="N13562" s="0" t="s">
        <x:v>46</x:v>
      </x:c>
    </x:row>
    <x:row r="13563" spans="1:16">
      <x:c r="A13563" s="0" t="s">
        <x:v>51293</x:v>
      </x:c>
      <x:c r="B13563" s="0" t="s">
        <x:v>51294</x:v>
      </x:c>
      <x:c r="C13563" s="0" t="s">
        <x:v>42840</x:v>
      </x:c>
      <x:c r="E13563" s="0" t="s">
        <x:v>51295</x:v>
      </x:c>
      <x:c r="F13563" s="0" t="s">
        <x:v>45</x:v>
      </x:c>
      <x:c r="G13563" s="0" t="s">
        <x:v>30</x:v>
      </x:c>
      <x:c r="H13563" s="0" t="s">
        <x:v>20</x:v>
      </x:c>
      <x:c r="I13563" s="0" t="s">
        <x:v>21</x:v>
      </x:c>
      <x:c r="K13563" s="0">
        <x:f>hyperlink("https://icd.who.int/dev11/l-ichi/en#/http%3A%2F%2Fid.who.int%2Ficd%2Fentity%2F2073571582","browser")</x:f>
      </x:c>
      <x:c r="L13563" s="0">
        <x:f>hyperlink("https://icat2.azurewebsites.net/icat/?ontology=ICD&amp;tab=ClassesTab&amp;id=http%3A%2F%2Fwho.int%2Ficd%23SpecificAnatomicLocation_3717","iCat")</x:f>
      </x:c>
      <x:c r="M13563" s="0" t="s">
        <x:v>21</x:v>
      </x:c>
      <x:c r="N13563" s="0" t="s">
        <x:v>46</x:v>
      </x:c>
    </x:row>
    <x:row r="13564" spans="1:16">
      <x:c r="A13564" s="0" t="s">
        <x:v>51296</x:v>
      </x:c>
      <x:c r="B13564" s="0" t="s">
        <x:v>51297</x:v>
      </x:c>
      <x:c r="C13564" s="0" t="s">
        <x:v>42840</x:v>
      </x:c>
      <x:c r="E13564" s="0" t="s">
        <x:v>51298</x:v>
      </x:c>
      <x:c r="F13564" s="0" t="s">
        <x:v>45</x:v>
      </x:c>
      <x:c r="G13564" s="0" t="s">
        <x:v>30</x:v>
      </x:c>
      <x:c r="H13564" s="0" t="s">
        <x:v>20</x:v>
      </x:c>
      <x:c r="I13564" s="0" t="s">
        <x:v>21</x:v>
      </x:c>
      <x:c r="K13564" s="0">
        <x:f>hyperlink("https://icd.who.int/dev11/l-ichi/en#/http%3A%2F%2Fid.who.int%2Ficd%2Fentity%2F1493030722","browser")</x:f>
      </x:c>
      <x:c r="L13564" s="0">
        <x:f>hyperlink("https://icat2.azurewebsites.net/icat/?ontology=ICD&amp;tab=ClassesTab&amp;id=http%3A%2F%2Fwho.int%2Ficd%23SpecificAnatomicLocation_3718","iCat")</x:f>
      </x:c>
      <x:c r="M13564" s="0" t="s">
        <x:v>21</x:v>
      </x:c>
      <x:c r="N13564" s="0" t="s">
        <x:v>46</x:v>
      </x:c>
    </x:row>
    <x:row r="13565" spans="1:16">
      <x:c r="A13565" s="0" t="s">
        <x:v>51299</x:v>
      </x:c>
      <x:c r="B13565" s="0" t="s">
        <x:v>51300</x:v>
      </x:c>
      <x:c r="C13565" s="0" t="s">
        <x:v>42840</x:v>
      </x:c>
      <x:c r="E13565" s="0" t="s">
        <x:v>51301</x:v>
      </x:c>
      <x:c r="F13565" s="0" t="s">
        <x:v>45</x:v>
      </x:c>
      <x:c r="G13565" s="0" t="s">
        <x:v>30</x:v>
      </x:c>
      <x:c r="H13565" s="0" t="s">
        <x:v>20</x:v>
      </x:c>
      <x:c r="I13565" s="0" t="s">
        <x:v>21</x:v>
      </x:c>
      <x:c r="K13565" s="0">
        <x:f>hyperlink("https://icd.who.int/dev11/l-ichi/en#/http%3A%2F%2Fid.who.int%2Ficd%2Fentity%2F1339405186","browser")</x:f>
      </x:c>
      <x:c r="L13565" s="0">
        <x:f>hyperlink("https://icat2.azurewebsites.net/icat/?ontology=ICD&amp;tab=ClassesTab&amp;id=http%3A%2F%2Fwho.int%2Ficd%23SpecificAnatomicLocation_3719","iCat")</x:f>
      </x:c>
      <x:c r="M13565" s="0" t="s">
        <x:v>21</x:v>
      </x:c>
      <x:c r="N13565" s="0" t="s">
        <x:v>46</x:v>
      </x:c>
    </x:row>
    <x:row r="13566" spans="1:16">
      <x:c r="A13566" s="0" t="s">
        <x:v>51302</x:v>
      </x:c>
      <x:c r="B13566" s="0" t="s">
        <x:v>51303</x:v>
      </x:c>
      <x:c r="C13566" s="0" t="s">
        <x:v>42840</x:v>
      </x:c>
      <x:c r="E13566" s="0" t="s">
        <x:v>51304</x:v>
      </x:c>
      <x:c r="F13566" s="0" t="s">
        <x:v>45</x:v>
      </x:c>
      <x:c r="G13566" s="0" t="s">
        <x:v>30</x:v>
      </x:c>
      <x:c r="H13566" s="0" t="s">
        <x:v>20</x:v>
      </x:c>
      <x:c r="I13566" s="0" t="s">
        <x:v>21</x:v>
      </x:c>
      <x:c r="K13566" s="0">
        <x:f>hyperlink("https://icd.who.int/dev11/l-ichi/en#/http%3A%2F%2Fid.who.int%2Ficd%2Fentity%2F1180673942","browser")</x:f>
      </x:c>
      <x:c r="L13566" s="0">
        <x:f>hyperlink("https://icat2.azurewebsites.net/icat/?ontology=ICD&amp;tab=ClassesTab&amp;id=http%3A%2F%2Fwho.int%2Ficd%23SpecificAnatomicLocation_3720","iCat")</x:f>
      </x:c>
      <x:c r="M13566" s="0" t="s">
        <x:v>21</x:v>
      </x:c>
      <x:c r="N13566" s="0" t="s">
        <x:v>46</x:v>
      </x:c>
    </x:row>
    <x:row r="13567" spans="1:16">
      <x:c r="A13567" s="0" t="s">
        <x:v>51305</x:v>
      </x:c>
      <x:c r="B13567" s="0" t="s">
        <x:v>51306</x:v>
      </x:c>
      <x:c r="C13567" s="0" t="s">
        <x:v>42840</x:v>
      </x:c>
      <x:c r="E13567" s="0" t="s">
        <x:v>51307</x:v>
      </x:c>
      <x:c r="F13567" s="0" t="s">
        <x:v>45</x:v>
      </x:c>
      <x:c r="G13567" s="0" t="s">
        <x:v>30</x:v>
      </x:c>
      <x:c r="H13567" s="0" t="s">
        <x:v>20</x:v>
      </x:c>
      <x:c r="I13567" s="0" t="s">
        <x:v>21</x:v>
      </x:c>
      <x:c r="K13567" s="0">
        <x:f>hyperlink("https://icd.who.int/dev11/l-ichi/en#/http%3A%2F%2Fid.who.int%2Ficd%2Fentity%2F1366803286","browser")</x:f>
      </x:c>
      <x:c r="L13567" s="0">
        <x:f>hyperlink("https://icat2.azurewebsites.net/icat/?ontology=ICD&amp;tab=ClassesTab&amp;id=http%3A%2F%2Fwho.int%2Ficd%23SpecificAnatomicLocation_3721","iCat")</x:f>
      </x:c>
      <x:c r="M13567" s="0" t="s">
        <x:v>21</x:v>
      </x:c>
      <x:c r="N13567" s="0" t="s">
        <x:v>46</x:v>
      </x:c>
    </x:row>
    <x:row r="13568" spans="1:16">
      <x:c r="A13568" s="0" t="s">
        <x:v>51308</x:v>
      </x:c>
      <x:c r="B13568" s="0" t="s">
        <x:v>51309</x:v>
      </x:c>
      <x:c r="C13568" s="0" t="s">
        <x:v>42840</x:v>
      </x:c>
      <x:c r="E13568" s="0" t="s">
        <x:v>51310</x:v>
      </x:c>
      <x:c r="F13568" s="0" t="s">
        <x:v>45</x:v>
      </x:c>
      <x:c r="G13568" s="0" t="s">
        <x:v>30</x:v>
      </x:c>
      <x:c r="H13568" s="0" t="s">
        <x:v>20</x:v>
      </x:c>
      <x:c r="I13568" s="0" t="s">
        <x:v>21</x:v>
      </x:c>
      <x:c r="K13568" s="0">
        <x:f>hyperlink("https://icd.who.int/dev11/l-ichi/en#/http%3A%2F%2Fid.who.int%2Ficd%2Fentity%2F1745841686","browser")</x:f>
      </x:c>
      <x:c r="L13568" s="0">
        <x:f>hyperlink("https://icat2.azurewebsites.net/icat/?ontology=ICD&amp;tab=ClassesTab&amp;id=http%3A%2F%2Fwho.int%2Ficd%23SpecificAnatomicLocation_3722","iCat")</x:f>
      </x:c>
      <x:c r="M13568" s="0" t="s">
        <x:v>21</x:v>
      </x:c>
      <x:c r="N13568" s="0" t="s">
        <x:v>46</x:v>
      </x:c>
    </x:row>
    <x:row r="13569" spans="1:16">
      <x:c r="A13569" s="0" t="s">
        <x:v>51311</x:v>
      </x:c>
      <x:c r="B13569" s="0" t="s">
        <x:v>51312</x:v>
      </x:c>
      <x:c r="C13569" s="0" t="s">
        <x:v>42840</x:v>
      </x:c>
      <x:c r="E13569" s="0" t="s">
        <x:v>51313</x:v>
      </x:c>
      <x:c r="F13569" s="0" t="s">
        <x:v>45</x:v>
      </x:c>
      <x:c r="G13569" s="0" t="s">
        <x:v>30</x:v>
      </x:c>
      <x:c r="H13569" s="0" t="s">
        <x:v>20</x:v>
      </x:c>
      <x:c r="I13569" s="0" t="s">
        <x:v>21</x:v>
      </x:c>
      <x:c r="K13569" s="0">
        <x:f>hyperlink("https://icd.who.int/dev11/l-ichi/en#/http%3A%2F%2Fid.who.int%2Ficd%2Fentity%2F1816409210","browser")</x:f>
      </x:c>
      <x:c r="L13569" s="0">
        <x:f>hyperlink("https://icat2.azurewebsites.net/icat/?ontology=ICD&amp;tab=ClassesTab&amp;id=http%3A%2F%2Fwho.int%2Ficd%23SpecificAnatomicLocation_3747","iCat")</x:f>
      </x:c>
      <x:c r="M13569" s="0" t="s">
        <x:v>21</x:v>
      </x:c>
      <x:c r="N13569" s="0" t="s">
        <x:v>46</x:v>
      </x:c>
    </x:row>
    <x:row r="13570" spans="1:16">
      <x:c r="A13570" s="0" t="s">
        <x:v>51314</x:v>
      </x:c>
      <x:c r="B13570" s="0" t="s">
        <x:v>51315</x:v>
      </x:c>
      <x:c r="C13570" s="0" t="s">
        <x:v>42840</x:v>
      </x:c>
      <x:c r="E13570" s="0" t="s">
        <x:v>51316</x:v>
      </x:c>
      <x:c r="F13570" s="0" t="s">
        <x:v>45</x:v>
      </x:c>
      <x:c r="G13570" s="0" t="s">
        <x:v>30</x:v>
      </x:c>
      <x:c r="H13570" s="0" t="s">
        <x:v>20</x:v>
      </x:c>
      <x:c r="I13570" s="0" t="s">
        <x:v>21</x:v>
      </x:c>
      <x:c r="K13570" s="0">
        <x:f>hyperlink("https://icd.who.int/dev11/l-ichi/en#/http%3A%2F%2Fid.who.int%2Ficd%2Fentity%2F2133265110","browser")</x:f>
      </x:c>
      <x:c r="L13570" s="0">
        <x:f>hyperlink("https://icat2.azurewebsites.net/icat/?ontology=ICD&amp;tab=ClassesTab&amp;id=http%3A%2F%2Fwho.int%2Ficd%23SpecificAnatomicLocation_3723","iCat")</x:f>
      </x:c>
      <x:c r="M13570" s="0" t="s">
        <x:v>21</x:v>
      </x:c>
      <x:c r="N13570" s="0" t="s">
        <x:v>46</x:v>
      </x:c>
    </x:row>
    <x:row r="13571" spans="1:16">
      <x:c r="A13571" s="0" t="s">
        <x:v>51317</x:v>
      </x:c>
      <x:c r="B13571" s="0" t="s">
        <x:v>51318</x:v>
      </x:c>
      <x:c r="C13571" s="0" t="s">
        <x:v>42840</x:v>
      </x:c>
      <x:c r="E13571" s="0" t="s">
        <x:v>51319</x:v>
      </x:c>
      <x:c r="F13571" s="0" t="s">
        <x:v>45</x:v>
      </x:c>
      <x:c r="G13571" s="0" t="s">
        <x:v>30</x:v>
      </x:c>
      <x:c r="H13571" s="0" t="s">
        <x:v>20</x:v>
      </x:c>
      <x:c r="I13571" s="0" t="s">
        <x:v>21</x:v>
      </x:c>
      <x:c r="K13571" s="0">
        <x:f>hyperlink("https://icd.who.int/dev11/l-ichi/en#/http%3A%2F%2Fid.who.int%2Ficd%2Fentity%2F452867222","browser")</x:f>
      </x:c>
      <x:c r="L13571" s="0">
        <x:f>hyperlink("https://icat2.azurewebsites.net/icat/?ontology=ICD&amp;tab=ClassesTab&amp;id=http%3A%2F%2Fwho.int%2Ficd%23SpecificAnatomicLocation_3724","iCat")</x:f>
      </x:c>
      <x:c r="M13571" s="0" t="s">
        <x:v>21</x:v>
      </x:c>
      <x:c r="N13571" s="0" t="s">
        <x:v>46</x:v>
      </x:c>
    </x:row>
    <x:row r="13572" spans="1:16">
      <x:c r="A13572" s="0" t="s">
        <x:v>51320</x:v>
      </x:c>
      <x:c r="B13572" s="0" t="s">
        <x:v>51321</x:v>
      </x:c>
      <x:c r="C13572" s="0" t="s">
        <x:v>42840</x:v>
      </x:c>
      <x:c r="E13572" s="0" t="s">
        <x:v>51322</x:v>
      </x:c>
      <x:c r="F13572" s="0" t="s">
        <x:v>45</x:v>
      </x:c>
      <x:c r="G13572" s="0" t="s">
        <x:v>30</x:v>
      </x:c>
      <x:c r="H13572" s="0" t="s">
        <x:v>20</x:v>
      </x:c>
      <x:c r="I13572" s="0" t="s">
        <x:v>21</x:v>
      </x:c>
      <x:c r="K13572" s="0">
        <x:f>hyperlink("https://icd.who.int/dev11/l-ichi/en#/http%3A%2F%2Fid.who.int%2Ficd%2Fentity%2F232149078","browser")</x:f>
      </x:c>
      <x:c r="L13572" s="0">
        <x:f>hyperlink("https://icat2.azurewebsites.net/icat/?ontology=ICD&amp;tab=ClassesTab&amp;id=http%3A%2F%2Fwho.int%2Ficd%23SpecificAnatomicLocation_3725","iCat")</x:f>
      </x:c>
      <x:c r="M13572" s="0" t="s">
        <x:v>21</x:v>
      </x:c>
      <x:c r="N13572" s="0" t="s">
        <x:v>46</x:v>
      </x:c>
    </x:row>
    <x:row r="13573" spans="1:16">
      <x:c r="A13573" s="0" t="s">
        <x:v>51323</x:v>
      </x:c>
      <x:c r="B13573" s="0" t="s">
        <x:v>51324</x:v>
      </x:c>
      <x:c r="C13573" s="0" t="s">
        <x:v>42840</x:v>
      </x:c>
      <x:c r="E13573" s="0" t="s">
        <x:v>51325</x:v>
      </x:c>
      <x:c r="F13573" s="0" t="s">
        <x:v>45</x:v>
      </x:c>
      <x:c r="G13573" s="0" t="s">
        <x:v>30</x:v>
      </x:c>
      <x:c r="H13573" s="0" t="s">
        <x:v>20</x:v>
      </x:c>
      <x:c r="I13573" s="0" t="s">
        <x:v>21</x:v>
      </x:c>
      <x:c r="K13573" s="0">
        <x:f>hyperlink("https://icd.who.int/dev11/l-ichi/en#/http%3A%2F%2Fid.who.int%2Ficd%2Fentity%2F883883286","browser")</x:f>
      </x:c>
      <x:c r="L13573" s="0">
        <x:f>hyperlink("https://icat2.azurewebsites.net/icat/?ontology=ICD&amp;tab=ClassesTab&amp;id=http%3A%2F%2Fwho.int%2Ficd%23SpecificAnatomicLocation_3726","iCat")</x:f>
      </x:c>
      <x:c r="M13573" s="0" t="s">
        <x:v>21</x:v>
      </x:c>
      <x:c r="N13573" s="0" t="s">
        <x:v>46</x:v>
      </x:c>
    </x:row>
    <x:row r="13574" spans="1:16">
      <x:c r="A13574" s="0" t="s">
        <x:v>51326</x:v>
      </x:c>
      <x:c r="B13574" s="0" t="s">
        <x:v>51327</x:v>
      </x:c>
      <x:c r="C13574" s="0" t="s">
        <x:v>42840</x:v>
      </x:c>
      <x:c r="E13574" s="0" t="s">
        <x:v>51328</x:v>
      </x:c>
      <x:c r="F13574" s="0" t="s">
        <x:v>45</x:v>
      </x:c>
      <x:c r="G13574" s="0" t="s">
        <x:v>30</x:v>
      </x:c>
      <x:c r="H13574" s="0" t="s">
        <x:v>20</x:v>
      </x:c>
      <x:c r="I13574" s="0" t="s">
        <x:v>21</x:v>
      </x:c>
      <x:c r="K13574" s="0">
        <x:f>hyperlink("https://icd.who.int/dev11/l-ichi/en#/http%3A%2F%2Fid.who.int%2Ficd%2Fentity%2F596023766","browser")</x:f>
      </x:c>
      <x:c r="L13574" s="0">
        <x:f>hyperlink("https://icat2.azurewebsites.net/icat/?ontology=ICD&amp;tab=ClassesTab&amp;id=http%3A%2F%2Fwho.int%2Ficd%23SpecificAnatomicLocation_3727","iCat")</x:f>
      </x:c>
      <x:c r="M13574" s="0" t="s">
        <x:v>21</x:v>
      </x:c>
      <x:c r="N13574" s="0" t="s">
        <x:v>46</x:v>
      </x:c>
    </x:row>
    <x:row r="13575" spans="1:16">
      <x:c r="A13575" s="0" t="s">
        <x:v>51329</x:v>
      </x:c>
      <x:c r="B13575" s="0" t="s">
        <x:v>51330</x:v>
      </x:c>
      <x:c r="C13575" s="0" t="s">
        <x:v>42840</x:v>
      </x:c>
      <x:c r="E13575" s="0" t="s">
        <x:v>51331</x:v>
      </x:c>
      <x:c r="F13575" s="0" t="s">
        <x:v>45</x:v>
      </x:c>
      <x:c r="G13575" s="0" t="s">
        <x:v>30</x:v>
      </x:c>
      <x:c r="H13575" s="0" t="s">
        <x:v>20</x:v>
      </x:c>
      <x:c r="I13575" s="0" t="s">
        <x:v>21</x:v>
      </x:c>
      <x:c r="K13575" s="0">
        <x:f>hyperlink("https://icd.who.int/dev11/l-ichi/en#/http%3A%2F%2Fid.who.int%2Ficd%2Fentity%2F14909034","browser")</x:f>
      </x:c>
      <x:c r="L13575" s="0">
        <x:f>hyperlink("https://icat2.azurewebsites.net/icat/?ontology=ICD&amp;tab=ClassesTab&amp;id=http%3A%2F%2Fwho.int%2Ficd%23SpecificAnatomicLocation_3728","iCat")</x:f>
      </x:c>
      <x:c r="M13575" s="0" t="s">
        <x:v>21</x:v>
      </x:c>
      <x:c r="N13575" s="0" t="s">
        <x:v>46</x:v>
      </x:c>
    </x:row>
    <x:row r="13576" spans="1:16">
      <x:c r="A13576" s="0" t="s">
        <x:v>51332</x:v>
      </x:c>
      <x:c r="B13576" s="0" t="s">
        <x:v>51333</x:v>
      </x:c>
      <x:c r="C13576" s="0" t="s">
        <x:v>42840</x:v>
      </x:c>
      <x:c r="E13576" s="0" t="s">
        <x:v>51334</x:v>
      </x:c>
      <x:c r="F13576" s="0" t="s">
        <x:v>45</x:v>
      </x:c>
      <x:c r="G13576" s="0" t="s">
        <x:v>30</x:v>
      </x:c>
      <x:c r="H13576" s="0" t="s">
        <x:v>20</x:v>
      </x:c>
      <x:c r="I13576" s="0" t="s">
        <x:v>21</x:v>
      </x:c>
      <x:c r="K13576" s="0">
        <x:f>hyperlink("https://icd.who.int/dev11/l-ichi/en#/http%3A%2F%2Fid.who.int%2Ficd%2Fentity%2F399186602","browser")</x:f>
      </x:c>
      <x:c r="L13576" s="0">
        <x:f>hyperlink("https://icat2.azurewebsites.net/icat/?ontology=ICD&amp;tab=ClassesTab&amp;id=http%3A%2F%2Fwho.int%2Ficd%23SpecificAnatomicLocation_3729","iCat")</x:f>
      </x:c>
      <x:c r="M13576" s="0" t="s">
        <x:v>21</x:v>
      </x:c>
      <x:c r="N13576" s="0" t="s">
        <x:v>46</x:v>
      </x:c>
    </x:row>
    <x:row r="13577" spans="1:16">
      <x:c r="A13577" s="0" t="s">
        <x:v>51335</x:v>
      </x:c>
      <x:c r="B13577" s="0" t="s">
        <x:v>51336</x:v>
      </x:c>
      <x:c r="C13577" s="0" t="s">
        <x:v>42840</x:v>
      </x:c>
      <x:c r="E13577" s="0" t="s">
        <x:v>51337</x:v>
      </x:c>
      <x:c r="F13577" s="0" t="s">
        <x:v>45</x:v>
      </x:c>
      <x:c r="G13577" s="0" t="s">
        <x:v>30</x:v>
      </x:c>
      <x:c r="H13577" s="0" t="s">
        <x:v>20</x:v>
      </x:c>
      <x:c r="I13577" s="0" t="s">
        <x:v>21</x:v>
      </x:c>
      <x:c r="K13577" s="0">
        <x:f>hyperlink("https://icd.who.int/dev11/l-ichi/en#/http%3A%2F%2Fid.who.int%2Ficd%2Fentity%2F948256077","browser")</x:f>
      </x:c>
      <x:c r="L13577" s="0">
        <x:f>hyperlink("https://icat2.azurewebsites.net/icat/?ontology=ICD&amp;tab=ClassesTab&amp;id=http%3A%2F%2Fwho.int%2Ficd%23SpecificAnatomicLocation_3730","iCat")</x:f>
      </x:c>
      <x:c r="M13577" s="0" t="s">
        <x:v>21</x:v>
      </x:c>
      <x:c r="N13577" s="0" t="s">
        <x:v>46</x:v>
      </x:c>
    </x:row>
    <x:row r="13578" spans="1:16">
      <x:c r="A13578" s="0" t="s">
        <x:v>51338</x:v>
      </x:c>
      <x:c r="B13578" s="0" t="s">
        <x:v>51339</x:v>
      </x:c>
      <x:c r="C13578" s="0" t="s">
        <x:v>42840</x:v>
      </x:c>
      <x:c r="E13578" s="0" t="s">
        <x:v>51340</x:v>
      </x:c>
      <x:c r="F13578" s="0" t="s">
        <x:v>45</x:v>
      </x:c>
      <x:c r="G13578" s="0" t="s">
        <x:v>30</x:v>
      </x:c>
      <x:c r="H13578" s="0" t="s">
        <x:v>20</x:v>
      </x:c>
      <x:c r="I13578" s="0" t="s">
        <x:v>21</x:v>
      </x:c>
      <x:c r="K13578" s="0">
        <x:f>hyperlink("https://icd.who.int/dev11/l-ichi/en#/http%3A%2F%2Fid.who.int%2Ficd%2Fentity%2F2070696122","browser")</x:f>
      </x:c>
      <x:c r="L13578" s="0">
        <x:f>hyperlink("https://icat2.azurewebsites.net/icat/?ontology=ICD&amp;tab=ClassesTab&amp;id=http%3A%2F%2Fwho.int%2Ficd%23SpecificAnatomicLocation_3746","iCat")</x:f>
      </x:c>
      <x:c r="M13578" s="0" t="s">
        <x:v>21</x:v>
      </x:c>
      <x:c r="N13578" s="0" t="s">
        <x:v>46</x:v>
      </x:c>
    </x:row>
    <x:row r="13579" spans="1:16">
      <x:c r="A13579" s="0" t="s">
        <x:v>51341</x:v>
      </x:c>
      <x:c r="B13579" s="0" t="s">
        <x:v>51342</x:v>
      </x:c>
      <x:c r="C13579" s="0" t="s">
        <x:v>42840</x:v>
      </x:c>
      <x:c r="E13579" s="0" t="s">
        <x:v>51343</x:v>
      </x:c>
      <x:c r="F13579" s="0" t="s">
        <x:v>45</x:v>
      </x:c>
      <x:c r="G13579" s="0" t="s">
        <x:v>30</x:v>
      </x:c>
      <x:c r="H13579" s="0" t="s">
        <x:v>20</x:v>
      </x:c>
      <x:c r="I13579" s="0" t="s">
        <x:v>21</x:v>
      </x:c>
      <x:c r="K13579" s="0">
        <x:f>hyperlink("https://icd.who.int/dev11/l-ichi/en#/http%3A%2F%2Fid.who.int%2Ficd%2Fentity%2F799889805","browser")</x:f>
      </x:c>
      <x:c r="L13579" s="0">
        <x:f>hyperlink("https://icat2.azurewebsites.net/icat/?ontology=ICD&amp;tab=ClassesTab&amp;id=http%3A%2F%2Fwho.int%2Ficd%23SpecificAnatomicLocation_3731","iCat")</x:f>
      </x:c>
      <x:c r="M13579" s="0" t="s">
        <x:v>21</x:v>
      </x:c>
      <x:c r="N13579" s="0" t="s">
        <x:v>46</x:v>
      </x:c>
    </x:row>
    <x:row r="13580" spans="1:16">
      <x:c r="A13580" s="0" t="s">
        <x:v>51344</x:v>
      </x:c>
      <x:c r="B13580" s="0" t="s">
        <x:v>51345</x:v>
      </x:c>
      <x:c r="C13580" s="0" t="s">
        <x:v>42840</x:v>
      </x:c>
      <x:c r="E13580" s="0" t="s">
        <x:v>51346</x:v>
      </x:c>
      <x:c r="F13580" s="0" t="s">
        <x:v>45</x:v>
      </x:c>
      <x:c r="G13580" s="0" t="s">
        <x:v>30</x:v>
      </x:c>
      <x:c r="H13580" s="0" t="s">
        <x:v>20</x:v>
      </x:c>
      <x:c r="I13580" s="0" t="s">
        <x:v>21</x:v>
      </x:c>
      <x:c r="K13580" s="0">
        <x:f>hyperlink("https://icd.who.int/dev11/l-ichi/en#/http%3A%2F%2Fid.who.int%2Ficd%2Fentity%2F383120589","browser")</x:f>
      </x:c>
      <x:c r="L13580" s="0">
        <x:f>hyperlink("https://icat2.azurewebsites.net/icat/?ontology=ICD&amp;tab=ClassesTab&amp;id=http%3A%2F%2Fwho.int%2Ficd%23SpecificAnatomicLocation_3732","iCat")</x:f>
      </x:c>
      <x:c r="M13580" s="0" t="s">
        <x:v>21</x:v>
      </x:c>
      <x:c r="N13580" s="0" t="s">
        <x:v>46</x:v>
      </x:c>
    </x:row>
    <x:row r="13581" spans="1:16">
      <x:c r="A13581" s="0" t="s">
        <x:v>51347</x:v>
      </x:c>
      <x:c r="B13581" s="0" t="s">
        <x:v>51348</x:v>
      </x:c>
      <x:c r="C13581" s="0" t="s">
        <x:v>42840</x:v>
      </x:c>
      <x:c r="E13581" s="0" t="s">
        <x:v>51349</x:v>
      </x:c>
      <x:c r="F13581" s="0" t="s">
        <x:v>45</x:v>
      </x:c>
      <x:c r="G13581" s="0" t="s">
        <x:v>30</x:v>
      </x:c>
      <x:c r="H13581" s="0" t="s">
        <x:v>20</x:v>
      </x:c>
      <x:c r="I13581" s="0" t="s">
        <x:v>21</x:v>
      </x:c>
      <x:c r="K13581" s="0">
        <x:f>hyperlink("https://icd.who.int/dev11/l-ichi/en#/http%3A%2F%2Fid.who.int%2Ficd%2Fentity%2F33394701","browser")</x:f>
      </x:c>
      <x:c r="L13581" s="0">
        <x:f>hyperlink("https://icat2.azurewebsites.net/icat/?ontology=ICD&amp;tab=ClassesTab&amp;id=http%3A%2F%2Fwho.int%2Ficd%23SpecificAnatomicLocation_3733","iCat")</x:f>
      </x:c>
      <x:c r="M13581" s="0" t="s">
        <x:v>21</x:v>
      </x:c>
      <x:c r="N13581" s="0" t="s">
        <x:v>46</x:v>
      </x:c>
    </x:row>
    <x:row r="13582" spans="1:16">
      <x:c r="A13582" s="0" t="s">
        <x:v>51350</x:v>
      </x:c>
      <x:c r="B13582" s="0" t="s">
        <x:v>51351</x:v>
      </x:c>
      <x:c r="C13582" s="0" t="s">
        <x:v>42840</x:v>
      </x:c>
      <x:c r="E13582" s="0" t="s">
        <x:v>51352</x:v>
      </x:c>
      <x:c r="F13582" s="0" t="s">
        <x:v>45</x:v>
      </x:c>
      <x:c r="G13582" s="0" t="s">
        <x:v>30</x:v>
      </x:c>
      <x:c r="H13582" s="0" t="s">
        <x:v>20</x:v>
      </x:c>
      <x:c r="I13582" s="0" t="s">
        <x:v>21</x:v>
      </x:c>
      <x:c r="K13582" s="0">
        <x:f>hyperlink("https://icd.who.int/dev11/l-ichi/en#/http%3A%2F%2Fid.who.int%2Ficd%2Fentity%2F1680125517","browser")</x:f>
      </x:c>
      <x:c r="L13582" s="0">
        <x:f>hyperlink("https://icat2.azurewebsites.net/icat/?ontology=ICD&amp;tab=ClassesTab&amp;id=http%3A%2F%2Fwho.int%2Ficd%23SpecificAnatomicLocation_3734","iCat")</x:f>
      </x:c>
      <x:c r="M13582" s="0" t="s">
        <x:v>21</x:v>
      </x:c>
      <x:c r="N13582" s="0" t="s">
        <x:v>46</x:v>
      </x:c>
    </x:row>
    <x:row r="13583" spans="1:16">
      <x:c r="A13583" s="0" t="s">
        <x:v>51353</x:v>
      </x:c>
      <x:c r="B13583" s="0" t="s">
        <x:v>51354</x:v>
      </x:c>
      <x:c r="C13583" s="0" t="s">
        <x:v>42840</x:v>
      </x:c>
      <x:c r="E13583" s="0" t="s">
        <x:v>51355</x:v>
      </x:c>
      <x:c r="F13583" s="0" t="s">
        <x:v>45</x:v>
      </x:c>
      <x:c r="G13583" s="0" t="s">
        <x:v>30</x:v>
      </x:c>
      <x:c r="H13583" s="0" t="s">
        <x:v>20</x:v>
      </x:c>
      <x:c r="I13583" s="0" t="s">
        <x:v>21</x:v>
      </x:c>
      <x:c r="K13583" s="0">
        <x:f>hyperlink("https://icd.who.int/dev11/l-ichi/en#/http%3A%2F%2Fid.who.int%2Ficd%2Fentity%2F1930218125","browser")</x:f>
      </x:c>
      <x:c r="L13583" s="0">
        <x:f>hyperlink("https://icat2.azurewebsites.net/icat/?ontology=ICD&amp;tab=ClassesTab&amp;id=http%3A%2F%2Fwho.int%2Ficd%23SpecificAnatomicLocation_3735","iCat")</x:f>
      </x:c>
      <x:c r="M13583" s="0" t="s">
        <x:v>21</x:v>
      </x:c>
      <x:c r="N13583" s="0" t="s">
        <x:v>46</x:v>
      </x:c>
    </x:row>
    <x:row r="13584" spans="1:16">
      <x:c r="A13584" s="0" t="s">
        <x:v>51356</x:v>
      </x:c>
      <x:c r="B13584" s="0" t="s">
        <x:v>51357</x:v>
      </x:c>
      <x:c r="C13584" s="0" t="s">
        <x:v>42840</x:v>
      </x:c>
      <x:c r="E13584" s="0" t="s">
        <x:v>51358</x:v>
      </x:c>
      <x:c r="F13584" s="0" t="s">
        <x:v>45</x:v>
      </x:c>
      <x:c r="G13584" s="0" t="s">
        <x:v>30</x:v>
      </x:c>
      <x:c r="H13584" s="0" t="s">
        <x:v>20</x:v>
      </x:c>
      <x:c r="I13584" s="0" t="s">
        <x:v>21</x:v>
      </x:c>
      <x:c r="K13584" s="0">
        <x:f>hyperlink("https://icd.who.int/dev11/l-ichi/en#/http%3A%2F%2Fid.who.int%2Ficd%2Fentity%2F515206906","browser")</x:f>
      </x:c>
      <x:c r="L13584" s="0">
        <x:f>hyperlink("https://icat2.azurewebsites.net/icat/?ontology=ICD&amp;tab=ClassesTab&amp;id=http%3A%2F%2Fwho.int%2Ficd%23SpecificAnatomicLocation_3741","iCat")</x:f>
      </x:c>
      <x:c r="M13584" s="0" t="s">
        <x:v>21</x:v>
      </x:c>
      <x:c r="N13584" s="0" t="s">
        <x:v>46</x:v>
      </x:c>
    </x:row>
    <x:row r="13585" spans="1:16">
      <x:c r="A13585" s="0" t="s">
        <x:v>51359</x:v>
      </x:c>
      <x:c r="B13585" s="0" t="s">
        <x:v>51360</x:v>
      </x:c>
      <x:c r="C13585" s="0" t="s">
        <x:v>42840</x:v>
      </x:c>
      <x:c r="E13585" s="0" t="s">
        <x:v>51361</x:v>
      </x:c>
      <x:c r="F13585" s="0" t="s">
        <x:v>45</x:v>
      </x:c>
      <x:c r="G13585" s="0" t="s">
        <x:v>30</x:v>
      </x:c>
      <x:c r="H13585" s="0" t="s">
        <x:v>20</x:v>
      </x:c>
      <x:c r="I13585" s="0" t="s">
        <x:v>21</x:v>
      </x:c>
      <x:c r="K13585" s="0">
        <x:f>hyperlink("https://icd.who.int/dev11/l-ichi/en#/http%3A%2F%2Fid.who.int%2Ficd%2Fentity%2F1249142733","browser")</x:f>
      </x:c>
      <x:c r="L13585" s="0">
        <x:f>hyperlink("https://icat2.azurewebsites.net/icat/?ontology=ICD&amp;tab=ClassesTab&amp;id=http%3A%2F%2Fwho.int%2Ficd%23SpecificAnatomicLocation_3736","iCat")</x:f>
      </x:c>
      <x:c r="M13585" s="0" t="s">
        <x:v>21</x:v>
      </x:c>
      <x:c r="N13585" s="0" t="s">
        <x:v>46</x:v>
      </x:c>
    </x:row>
    <x:row r="13586" spans="1:16">
      <x:c r="A13586" s="0" t="s">
        <x:v>51362</x:v>
      </x:c>
      <x:c r="B13586" s="0" t="s">
        <x:v>51363</x:v>
      </x:c>
      <x:c r="C13586" s="0" t="s">
        <x:v>42840</x:v>
      </x:c>
      <x:c r="E13586" s="0" t="s">
        <x:v>51364</x:v>
      </x:c>
      <x:c r="F13586" s="0" t="s">
        <x:v>45</x:v>
      </x:c>
      <x:c r="G13586" s="0" t="s">
        <x:v>30</x:v>
      </x:c>
      <x:c r="H13586" s="0" t="s">
        <x:v>20</x:v>
      </x:c>
      <x:c r="I13586" s="0" t="s">
        <x:v>21</x:v>
      </x:c>
      <x:c r="K13586" s="0">
        <x:f>hyperlink("https://icd.who.int/dev11/l-ichi/en#/http%3A%2F%2Fid.who.int%2Ficd%2Fentity%2F1566311181","browser")</x:f>
      </x:c>
      <x:c r="L13586" s="0">
        <x:f>hyperlink("https://icat2.azurewebsites.net/icat/?ontology=ICD&amp;tab=ClassesTab&amp;id=http%3A%2F%2Fwho.int%2Ficd%23SpecificAnatomicLocation_3737","iCat")</x:f>
      </x:c>
      <x:c r="M13586" s="0" t="s">
        <x:v>21</x:v>
      </x:c>
      <x:c r="N13586" s="0" t="s">
        <x:v>46</x:v>
      </x:c>
    </x:row>
    <x:row r="13587" spans="1:16">
      <x:c r="A13587" s="0" t="s">
        <x:v>51365</x:v>
      </x:c>
      <x:c r="B13587" s="0" t="s">
        <x:v>51366</x:v>
      </x:c>
      <x:c r="C13587" s="0" t="s">
        <x:v>42840</x:v>
      </x:c>
      <x:c r="E13587" s="0" t="s">
        <x:v>51367</x:v>
      </x:c>
      <x:c r="F13587" s="0" t="s">
        <x:v>45</x:v>
      </x:c>
      <x:c r="G13587" s="0" t="s">
        <x:v>30</x:v>
      </x:c>
      <x:c r="H13587" s="0" t="s">
        <x:v>20</x:v>
      </x:c>
      <x:c r="I13587" s="0" t="s">
        <x:v>21</x:v>
      </x:c>
      <x:c r="K13587" s="0">
        <x:f>hyperlink("https://icd.who.int/dev11/l-ichi/en#/http%3A%2F%2Fid.who.int%2Ficd%2Fentity%2F2117723315","browser")</x:f>
      </x:c>
      <x:c r="L13587" s="0">
        <x:f>hyperlink("https://icat2.azurewebsites.net/icat/?ontology=ICD&amp;tab=ClassesTab&amp;id=http%3A%2F%2Fwho.int%2Ficd%23SpecificAnatomicLocation_3738","iCat")</x:f>
      </x:c>
      <x:c r="M13587" s="0" t="s">
        <x:v>21</x:v>
      </x:c>
      <x:c r="N13587" s="0" t="s">
        <x:v>46</x:v>
      </x:c>
    </x:row>
    <x:row r="13588" spans="1:16">
      <x:c r="A13588" s="0" t="s">
        <x:v>51368</x:v>
      </x:c>
      <x:c r="B13588" s="0" t="s">
        <x:v>51369</x:v>
      </x:c>
      <x:c r="C13588" s="0" t="s">
        <x:v>42840</x:v>
      </x:c>
      <x:c r="E13588" s="0" t="s">
        <x:v>51370</x:v>
      </x:c>
      <x:c r="F13588" s="0" t="s">
        <x:v>45</x:v>
      </x:c>
      <x:c r="G13588" s="0" t="s">
        <x:v>30</x:v>
      </x:c>
      <x:c r="H13588" s="0" t="s">
        <x:v>20</x:v>
      </x:c>
      <x:c r="I13588" s="0" t="s">
        <x:v>21</x:v>
      </x:c>
      <x:c r="K13588" s="0">
        <x:f>hyperlink("https://icd.who.int/dev11/l-ichi/en#/http%3A%2F%2Fid.who.int%2Ficd%2Fentity%2F1762754675","browser")</x:f>
      </x:c>
      <x:c r="L13588" s="0">
        <x:f>hyperlink("https://icat2.azurewebsites.net/icat/?ontology=ICD&amp;tab=ClassesTab&amp;id=http%3A%2F%2Fwho.int%2Ficd%23SpecificAnatomicLocation_3739","iCat")</x:f>
      </x:c>
      <x:c r="M13588" s="0" t="s">
        <x:v>21</x:v>
      </x:c>
      <x:c r="N13588" s="0" t="s">
        <x:v>46</x:v>
      </x:c>
    </x:row>
    <x:row r="13589" spans="1:16">
      <x:c r="A13589" s="0" t="s">
        <x:v>51371</x:v>
      </x:c>
      <x:c r="B13589" s="0" t="s">
        <x:v>51372</x:v>
      </x:c>
      <x:c r="C13589" s="0" t="s">
        <x:v>42840</x:v>
      </x:c>
      <x:c r="E13589" s="0" t="s">
        <x:v>51373</x:v>
      </x:c>
      <x:c r="F13589" s="0" t="s">
        <x:v>45</x:v>
      </x:c>
      <x:c r="G13589" s="0" t="s">
        <x:v>30</x:v>
      </x:c>
      <x:c r="H13589" s="0" t="s">
        <x:v>20</x:v>
      </x:c>
      <x:c r="I13589" s="0" t="s">
        <x:v>21</x:v>
      </x:c>
      <x:c r="K13589" s="0">
        <x:f>hyperlink("https://icd.who.int/dev11/l-ichi/en#/http%3A%2F%2Fid.who.int%2Ficd%2Fentity%2F667796410","browser")</x:f>
      </x:c>
      <x:c r="L13589" s="0">
        <x:f>hyperlink("https://icat2.azurewebsites.net/icat/?ontology=ICD&amp;tab=ClassesTab&amp;id=http%3A%2F%2Fwho.int%2Ficd%23SpecificAnatomicLocation_3742","iCat")</x:f>
      </x:c>
      <x:c r="M13589" s="0" t="s">
        <x:v>21</x:v>
      </x:c>
      <x:c r="N13589" s="0" t="s">
        <x:v>46</x:v>
      </x:c>
    </x:row>
    <x:row r="13590" spans="1:16">
      <x:c r="A13590" s="0" t="s">
        <x:v>51374</x:v>
      </x:c>
      <x:c r="B13590" s="0" t="s">
        <x:v>51375</x:v>
      </x:c>
      <x:c r="C13590" s="0" t="s">
        <x:v>42840</x:v>
      </x:c>
      <x:c r="E13590" s="0" t="s">
        <x:v>51376</x:v>
      </x:c>
      <x:c r="F13590" s="0" t="s">
        <x:v>45</x:v>
      </x:c>
      <x:c r="G13590" s="0" t="s">
        <x:v>30</x:v>
      </x:c>
      <x:c r="H13590" s="0" t="s">
        <x:v>20</x:v>
      </x:c>
      <x:c r="I13590" s="0" t="s">
        <x:v>21</x:v>
      </x:c>
      <x:c r="K13590" s="0">
        <x:f>hyperlink("https://icd.who.int/dev11/l-ichi/en#/http%3A%2F%2Fid.who.int%2Ficd%2Fentity%2F820356986","browser")</x:f>
      </x:c>
      <x:c r="L13590" s="0">
        <x:f>hyperlink("https://icat2.azurewebsites.net/icat/?ontology=ICD&amp;tab=ClassesTab&amp;id=http%3A%2F%2Fwho.int%2Ficd%23SpecificAnatomicLocation_3743","iCat")</x:f>
      </x:c>
      <x:c r="M13590" s="0" t="s">
        <x:v>21</x:v>
      </x:c>
      <x:c r="N13590" s="0" t="s">
        <x:v>46</x:v>
      </x:c>
    </x:row>
    <x:row r="13591" spans="1:16">
      <x:c r="A13591" s="0" t="s">
        <x:v>51377</x:v>
      </x:c>
      <x:c r="B13591" s="0" t="s">
        <x:v>51378</x:v>
      </x:c>
      <x:c r="C13591" s="0" t="s">
        <x:v>42840</x:v>
      </x:c>
      <x:c r="E13591" s="0" t="s">
        <x:v>51379</x:v>
      </x:c>
      <x:c r="F13591" s="0" t="s">
        <x:v>45</x:v>
      </x:c>
      <x:c r="G13591" s="0" t="s">
        <x:v>30</x:v>
      </x:c>
      <x:c r="H13591" s="0" t="s">
        <x:v>20</x:v>
      </x:c>
      <x:c r="I13591" s="0" t="s">
        <x:v>21</x:v>
      </x:c>
      <x:c r="K13591" s="0">
        <x:f>hyperlink("https://icd.who.int/dev11/l-ichi/en#/http%3A%2F%2Fid.who.int%2Ficd%2Fentity%2F1430034746","browser")</x:f>
      </x:c>
      <x:c r="L13591" s="0">
        <x:f>hyperlink("https://icat2.azurewebsites.net/icat/?ontology=ICD&amp;tab=ClassesTab&amp;id=http%3A%2F%2Fwho.int%2Ficd%23SpecificAnatomicLocation_3744","iCat")</x:f>
      </x:c>
      <x:c r="M13591" s="0" t="s">
        <x:v>21</x:v>
      </x:c>
      <x:c r="N13591" s="0" t="s">
        <x:v>46</x:v>
      </x:c>
    </x:row>
    <x:row r="13592" spans="1:16">
      <x:c r="A13592" s="0" t="s">
        <x:v>51380</x:v>
      </x:c>
      <x:c r="B13592" s="0" t="s">
        <x:v>51381</x:v>
      </x:c>
      <x:c r="C13592" s="0" t="s">
        <x:v>42840</x:v>
      </x:c>
      <x:c r="E13592" s="0" t="s">
        <x:v>51382</x:v>
      </x:c>
      <x:c r="F13592" s="0" t="s">
        <x:v>45</x:v>
      </x:c>
      <x:c r="G13592" s="0" t="s">
        <x:v>30</x:v>
      </x:c>
      <x:c r="H13592" s="0" t="s">
        <x:v>20</x:v>
      </x:c>
      <x:c r="I13592" s="0" t="s">
        <x:v>21</x:v>
      </x:c>
      <x:c r="K13592" s="0">
        <x:f>hyperlink("https://icd.who.int/dev11/l-ichi/en#/http%3A%2F%2Fid.who.int%2Ficd%2Fentity%2F1108671994","browser")</x:f>
      </x:c>
      <x:c r="L13592" s="0">
        <x:f>hyperlink("https://icat2.azurewebsites.net/icat/?ontology=ICD&amp;tab=ClassesTab&amp;id=http%3A%2F%2Fwho.int%2Ficd%23SpecificAnatomicLocation_3745","iCat")</x:f>
      </x:c>
      <x:c r="M13592" s="0" t="s">
        <x:v>21</x:v>
      </x:c>
      <x:c r="N13592" s="0" t="s">
        <x:v>46</x:v>
      </x:c>
    </x:row>
    <x:row r="13593" spans="1:16">
      <x:c r="A13593" s="0" t="s">
        <x:v>51383</x:v>
      </x:c>
      <x:c r="B13593" s="0" t="s">
        <x:v>51384</x:v>
      </x:c>
      <x:c r="C13593" s="0" t="s">
        <x:v>42840</x:v>
      </x:c>
      <x:c r="E13593" s="0" t="s">
        <x:v>51385</x:v>
      </x:c>
      <x:c r="F13593" s="0" t="s">
        <x:v>45</x:v>
      </x:c>
      <x:c r="G13593" s="0" t="s">
        <x:v>30</x:v>
      </x:c>
      <x:c r="H13593" s="0" t="s">
        <x:v>20</x:v>
      </x:c>
      <x:c r="I13593" s="0" t="s">
        <x:v>21</x:v>
      </x:c>
      <x:c r="K13593" s="0">
        <x:f>hyperlink("https://icd.who.int/dev11/l-ichi/en#/http%3A%2F%2Fid.who.int%2Ficd%2Fentity%2F1327616966","browser")</x:f>
      </x:c>
      <x:c r="L13593" s="0">
        <x:f>hyperlink("https://icat2.azurewebsites.net/icat/?ontology=ICD&amp;tab=ClassesTab&amp;id=http%3A%2F%2Fwho.int%2Ficd%23SpecificAnatomicLocation_3748","iCat")</x:f>
      </x:c>
      <x:c r="M13593" s="0" t="s">
        <x:v>21</x:v>
      </x:c>
      <x:c r="N13593" s="0" t="s">
        <x:v>46</x:v>
      </x:c>
    </x:row>
    <x:row r="13594" spans="1:16">
      <x:c r="A13594" s="0" t="s">
        <x:v>51386</x:v>
      </x:c>
      <x:c r="B13594" s="0" t="s">
        <x:v>51387</x:v>
      </x:c>
      <x:c r="C13594" s="0" t="s">
        <x:v>42840</x:v>
      </x:c>
      <x:c r="E13594" s="0" t="s">
        <x:v>51388</x:v>
      </x:c>
      <x:c r="F13594" s="0" t="s">
        <x:v>45</x:v>
      </x:c>
      <x:c r="G13594" s="0" t="s">
        <x:v>19</x:v>
      </x:c>
      <x:c r="H13594" s="0" t="s">
        <x:v>20</x:v>
      </x:c>
      <x:c r="I13594" s="0" t="s">
        <x:v>21</x:v>
      </x:c>
      <x:c r="K13594" s="0">
        <x:f>hyperlink("https://icd.who.int/dev11/l-ichi/en#/http%3A%2F%2Fid.who.int%2Ficd%2Fentity%2F1321950693","browser")</x:f>
      </x:c>
      <x:c r="L13594" s="0">
        <x:f>hyperlink("https://icat2.azurewebsites.net/icat/?ontology=ICD&amp;tab=ClassesTab&amp;id=http%3A%2F%2Fwho.int%2Ficd%23SpecificAnatomicLocation_3702","iCat")</x:f>
      </x:c>
      <x:c r="M13594" s="0" t="s">
        <x:v>20</x:v>
      </x:c>
      <x:c r="N13594" s="0" t="s">
        <x:v>41479</x:v>
      </x:c>
    </x:row>
    <x:row r="13595" spans="1:16">
      <x:c r="A13595" s="0" t="s">
        <x:v>51389</x:v>
      </x:c>
      <x:c r="B13595" s="0" t="s">
        <x:v>51390</x:v>
      </x:c>
      <x:c r="C13595" s="0" t="s">
        <x:v>42840</x:v>
      </x:c>
      <x:c r="E13595" s="0" t="s">
        <x:v>51391</x:v>
      </x:c>
      <x:c r="F13595" s="0" t="s">
        <x:v>45</x:v>
      </x:c>
      <x:c r="G13595" s="0" t="s">
        <x:v>30</x:v>
      </x:c>
      <x:c r="H13595" s="0" t="s">
        <x:v>20</x:v>
      </x:c>
      <x:c r="I13595" s="0" t="s">
        <x:v>21</x:v>
      </x:c>
      <x:c r="K13595" s="0">
        <x:f>hyperlink("https://icd.who.int/dev11/l-ichi/en#/http%3A%2F%2Fid.who.int%2Ficd%2Fentity%2F1873136010","browser")</x:f>
      </x:c>
      <x:c r="L13595" s="0">
        <x:f>hyperlink("https://icat2.azurewebsites.net/icat/?ontology=ICD&amp;tab=ClassesTab&amp;id=http%3A%2F%2Fwho.int%2Ficd%23SpecificAnatomicLocation_3650","iCat")</x:f>
      </x:c>
      <x:c r="M13595" s="0" t="s">
        <x:v>21</x:v>
      </x:c>
      <x:c r="N13595" s="0" t="s">
        <x:v>46</x:v>
      </x:c>
    </x:row>
    <x:row r="13596" spans="1:16">
      <x:c r="A13596" s="0" t="s">
        <x:v>51392</x:v>
      </x:c>
      <x:c r="B13596" s="0" t="s">
        <x:v>51393</x:v>
      </x:c>
      <x:c r="C13596" s="0" t="s">
        <x:v>42840</x:v>
      </x:c>
      <x:c r="E13596" s="0" t="s">
        <x:v>51394</x:v>
      </x:c>
      <x:c r="F13596" s="0" t="s">
        <x:v>45</x:v>
      </x:c>
      <x:c r="G13596" s="0" t="s">
        <x:v>30</x:v>
      </x:c>
      <x:c r="H13596" s="0" t="s">
        <x:v>20</x:v>
      </x:c>
      <x:c r="I13596" s="0" t="s">
        <x:v>21</x:v>
      </x:c>
      <x:c r="K13596" s="0">
        <x:f>hyperlink("https://icd.who.int/dev11/l-ichi/en#/http%3A%2F%2Fid.who.int%2Ficd%2Fentity%2F2022550858","browser")</x:f>
      </x:c>
      <x:c r="L13596" s="0">
        <x:f>hyperlink("https://icat2.azurewebsites.net/icat/?ontology=ICD&amp;tab=ClassesTab&amp;id=http%3A%2F%2Fwho.int%2Ficd%23SpecificAnatomicLocation_3651","iCat")</x:f>
      </x:c>
      <x:c r="M13596" s="0" t="s">
        <x:v>21</x:v>
      </x:c>
      <x:c r="N13596" s="0" t="s">
        <x:v>46</x:v>
      </x:c>
    </x:row>
    <x:row r="13597" spans="1:16">
      <x:c r="A13597" s="0" t="s">
        <x:v>51395</x:v>
      </x:c>
      <x:c r="B13597" s="0" t="s">
        <x:v>51396</x:v>
      </x:c>
      <x:c r="C13597" s="0" t="s">
        <x:v>42840</x:v>
      </x:c>
      <x:c r="E13597" s="0" t="s">
        <x:v>51397</x:v>
      </x:c>
      <x:c r="F13597" s="0" t="s">
        <x:v>45</x:v>
      </x:c>
      <x:c r="G13597" s="0" t="s">
        <x:v>30</x:v>
      </x:c>
      <x:c r="H13597" s="0" t="s">
        <x:v>20</x:v>
      </x:c>
      <x:c r="I13597" s="0" t="s">
        <x:v>21</x:v>
      </x:c>
      <x:c r="K13597" s="0">
        <x:f>hyperlink("https://icd.who.int/dev11/l-ichi/en#/http%3A%2F%2Fid.who.int%2Ficd%2Fentity%2F2059741611","browser")</x:f>
      </x:c>
      <x:c r="L13597" s="0">
        <x:f>hyperlink("https://icat2.azurewebsites.net/icat/?ontology=ICD&amp;tab=ClassesTab&amp;id=http%3A%2F%2Fwho.int%2Ficd%23SpecificAnatomicLocation_3699","iCat")</x:f>
      </x:c>
      <x:c r="M13597" s="0" t="s">
        <x:v>21</x:v>
      </x:c>
      <x:c r="N13597" s="0" t="s">
        <x:v>46</x:v>
      </x:c>
    </x:row>
    <x:row r="13598" spans="1:16">
      <x:c r="A13598" s="0" t="s">
        <x:v>51398</x:v>
      </x:c>
      <x:c r="B13598" s="0" t="s">
        <x:v>51399</x:v>
      </x:c>
      <x:c r="C13598" s="0" t="s">
        <x:v>42840</x:v>
      </x:c>
      <x:c r="E13598" s="0" t="s">
        <x:v>51400</x:v>
      </x:c>
      <x:c r="F13598" s="0" t="s">
        <x:v>45</x:v>
      </x:c>
      <x:c r="G13598" s="0" t="s">
        <x:v>30</x:v>
      </x:c>
      <x:c r="H13598" s="0" t="s">
        <x:v>20</x:v>
      </x:c>
      <x:c r="I13598" s="0" t="s">
        <x:v>21</x:v>
      </x:c>
      <x:c r="K13598" s="0">
        <x:f>hyperlink("https://icd.who.int/dev11/l-ichi/en#/http%3A%2F%2Fid.who.int%2Ficd%2Fentity%2F1106575370","browser")</x:f>
      </x:c>
      <x:c r="L13598" s="0">
        <x:f>hyperlink("https://icat2.azurewebsites.net/icat/?ontology=ICD&amp;tab=ClassesTab&amp;id=http%3A%2F%2Fwho.int%2Ficd%23SpecificAnatomicLocation_3652","iCat")</x:f>
      </x:c>
      <x:c r="M13598" s="0" t="s">
        <x:v>21</x:v>
      </x:c>
      <x:c r="N13598" s="0" t="s">
        <x:v>46</x:v>
      </x:c>
    </x:row>
    <x:row r="13599" spans="1:16">
      <x:c r="A13599" s="0" t="s">
        <x:v>51401</x:v>
      </x:c>
      <x:c r="B13599" s="0" t="s">
        <x:v>51402</x:v>
      </x:c>
      <x:c r="C13599" s="0" t="s">
        <x:v>42840</x:v>
      </x:c>
      <x:c r="E13599" s="0" t="s">
        <x:v>51403</x:v>
      </x:c>
      <x:c r="F13599" s="0" t="s">
        <x:v>45</x:v>
      </x:c>
      <x:c r="G13599" s="0" t="s">
        <x:v>30</x:v>
      </x:c>
      <x:c r="H13599" s="0" t="s">
        <x:v>20</x:v>
      </x:c>
      <x:c r="I13599" s="0" t="s">
        <x:v>21</x:v>
      </x:c>
      <x:c r="K13599" s="0">
        <x:f>hyperlink("https://icd.who.int/dev11/l-ichi/en#/http%3A%2F%2Fid.who.int%2Ficd%2Fentity%2F1457349834","browser")</x:f>
      </x:c>
      <x:c r="L13599" s="0">
        <x:f>hyperlink("https://icat2.azurewebsites.net/icat/?ontology=ICD&amp;tab=ClassesTab&amp;id=http%3A%2F%2Fwho.int%2Ficd%23SpecificAnatomicLocation_3653","iCat")</x:f>
      </x:c>
      <x:c r="M13599" s="0" t="s">
        <x:v>21</x:v>
      </x:c>
      <x:c r="N13599" s="0" t="s">
        <x:v>46</x:v>
      </x:c>
    </x:row>
    <x:row r="13600" spans="1:16">
      <x:c r="A13600" s="0" t="s">
        <x:v>51404</x:v>
      </x:c>
      <x:c r="B13600" s="0" t="s">
        <x:v>51405</x:v>
      </x:c>
      <x:c r="C13600" s="0" t="s">
        <x:v>42840</x:v>
      </x:c>
      <x:c r="E13600" s="0" t="s">
        <x:v>51406</x:v>
      </x:c>
      <x:c r="F13600" s="0" t="s">
        <x:v>45</x:v>
      </x:c>
      <x:c r="G13600" s="0" t="s">
        <x:v>30</x:v>
      </x:c>
      <x:c r="H13600" s="0" t="s">
        <x:v>20</x:v>
      </x:c>
      <x:c r="I13600" s="0" t="s">
        <x:v>21</x:v>
      </x:c>
      <x:c r="K13600" s="0">
        <x:f>hyperlink("https://icd.who.int/dev11/l-ichi/en#/http%3A%2F%2Fid.who.int%2Ficd%2Fentity%2F855923338","browser")</x:f>
      </x:c>
      <x:c r="L13600" s="0">
        <x:f>hyperlink("https://icat2.azurewebsites.net/icat/?ontology=ICD&amp;tab=ClassesTab&amp;id=http%3A%2F%2Fwho.int%2Ficd%23SpecificAnatomicLocation_3654","iCat")</x:f>
      </x:c>
      <x:c r="M13600" s="0" t="s">
        <x:v>21</x:v>
      </x:c>
      <x:c r="N13600" s="0" t="s">
        <x:v>46</x:v>
      </x:c>
    </x:row>
    <x:row r="13601" spans="1:16">
      <x:c r="A13601" s="0" t="s">
        <x:v>51407</x:v>
      </x:c>
      <x:c r="B13601" s="0" t="s">
        <x:v>51408</x:v>
      </x:c>
      <x:c r="C13601" s="0" t="s">
        <x:v>42840</x:v>
      </x:c>
      <x:c r="E13601" s="0" t="s">
        <x:v>51409</x:v>
      </x:c>
      <x:c r="F13601" s="0" t="s">
        <x:v>45</x:v>
      </x:c>
      <x:c r="G13601" s="0" t="s">
        <x:v>30</x:v>
      </x:c>
      <x:c r="H13601" s="0" t="s">
        <x:v>20</x:v>
      </x:c>
      <x:c r="I13601" s="0" t="s">
        <x:v>21</x:v>
      </x:c>
      <x:c r="K13601" s="0">
        <x:f>hyperlink("https://icd.who.int/dev11/l-ichi/en#/http%3A%2F%2Fid.who.int%2Ficd%2Fentity%2F606879306","browser")</x:f>
      </x:c>
      <x:c r="L13601" s="0">
        <x:f>hyperlink("https://icat2.azurewebsites.net/icat/?ontology=ICD&amp;tab=ClassesTab&amp;id=http%3A%2F%2Fwho.int%2Ficd%23SpecificAnatomicLocation_3655","iCat")</x:f>
      </x:c>
      <x:c r="M13601" s="0" t="s">
        <x:v>21</x:v>
      </x:c>
      <x:c r="N13601" s="0" t="s">
        <x:v>46</x:v>
      </x:c>
    </x:row>
    <x:row r="13602" spans="1:16">
      <x:c r="A13602" s="0" t="s">
        <x:v>51410</x:v>
      </x:c>
      <x:c r="B13602" s="0" t="s">
        <x:v>51411</x:v>
      </x:c>
      <x:c r="C13602" s="0" t="s">
        <x:v>42840</x:v>
      </x:c>
      <x:c r="E13602" s="0" t="s">
        <x:v>51412</x:v>
      </x:c>
      <x:c r="F13602" s="0" t="s">
        <x:v>45</x:v>
      </x:c>
      <x:c r="G13602" s="0" t="s">
        <x:v>30</x:v>
      </x:c>
      <x:c r="H13602" s="0" t="s">
        <x:v>20</x:v>
      </x:c>
      <x:c r="I13602" s="0" t="s">
        <x:v>21</x:v>
      </x:c>
      <x:c r="K13602" s="0">
        <x:f>hyperlink("https://icd.who.int/dev11/l-ichi/en#/http%3A%2F%2Fid.who.int%2Ficd%2Fentity%2F726766741","browser")</x:f>
      </x:c>
      <x:c r="L13602" s="0">
        <x:f>hyperlink("https://icat2.azurewebsites.net/icat/?ontology=ICD&amp;tab=ClassesTab&amp;id=http%3A%2F%2Fwho.int%2Ficd%23SpecificAnatomicLocation_3690","iCat")</x:f>
      </x:c>
      <x:c r="M13602" s="0" t="s">
        <x:v>21</x:v>
      </x:c>
      <x:c r="N13602" s="0" t="s">
        <x:v>46</x:v>
      </x:c>
    </x:row>
    <x:row r="13603" spans="1:16">
      <x:c r="A13603" s="0" t="s">
        <x:v>51413</x:v>
      </x:c>
      <x:c r="B13603" s="0" t="s">
        <x:v>51414</x:v>
      </x:c>
      <x:c r="C13603" s="0" t="s">
        <x:v>42840</x:v>
      </x:c>
      <x:c r="E13603" s="0" t="s">
        <x:v>51415</x:v>
      </x:c>
      <x:c r="F13603" s="0" t="s">
        <x:v>45</x:v>
      </x:c>
      <x:c r="G13603" s="0" t="s">
        <x:v>30</x:v>
      </x:c>
      <x:c r="H13603" s="0" t="s">
        <x:v>20</x:v>
      </x:c>
      <x:c r="I13603" s="0" t="s">
        <x:v>21</x:v>
      </x:c>
      <x:c r="K13603" s="0">
        <x:f>hyperlink("https://icd.who.int/dev11/l-ichi/en#/http%3A%2F%2Fid.who.int%2Ficd%2Fentity%2F492081930","browser")</x:f>
      </x:c>
      <x:c r="L13603" s="0">
        <x:f>hyperlink("https://icat2.azurewebsites.net/icat/?ontology=ICD&amp;tab=ClassesTab&amp;id=http%3A%2F%2Fwho.int%2Ficd%23SpecificAnatomicLocation_3656","iCat")</x:f>
      </x:c>
      <x:c r="M13603" s="0" t="s">
        <x:v>21</x:v>
      </x:c>
      <x:c r="N13603" s="0" t="s">
        <x:v>46</x:v>
      </x:c>
    </x:row>
    <x:row r="13604" spans="1:16">
      <x:c r="A13604" s="0" t="s">
        <x:v>51416</x:v>
      </x:c>
      <x:c r="B13604" s="0" t="s">
        <x:v>51417</x:v>
      </x:c>
      <x:c r="C13604" s="0" t="s">
        <x:v>42840</x:v>
      </x:c>
      <x:c r="E13604" s="0" t="s">
        <x:v>51418</x:v>
      </x:c>
      <x:c r="F13604" s="0" t="s">
        <x:v>45</x:v>
      </x:c>
      <x:c r="G13604" s="0" t="s">
        <x:v>30</x:v>
      </x:c>
      <x:c r="H13604" s="0" t="s">
        <x:v>20</x:v>
      </x:c>
      <x:c r="I13604" s="0" t="s">
        <x:v>21</x:v>
      </x:c>
      <x:c r="K13604" s="0">
        <x:f>hyperlink("https://icd.who.int/dev11/l-ichi/en#/http%3A%2F%2Fid.who.int%2Ficd%2Fentity%2F175962058","browser")</x:f>
      </x:c>
      <x:c r="L13604" s="0">
        <x:f>hyperlink("https://icat2.azurewebsites.net/icat/?ontology=ICD&amp;tab=ClassesTab&amp;id=http%3A%2F%2Fwho.int%2Ficd%23SpecificAnatomicLocation_3657","iCat")</x:f>
      </x:c>
      <x:c r="M13604" s="0" t="s">
        <x:v>21</x:v>
      </x:c>
      <x:c r="N13604" s="0" t="s">
        <x:v>46</x:v>
      </x:c>
    </x:row>
    <x:row r="13605" spans="1:16">
      <x:c r="A13605" s="0" t="s">
        <x:v>51419</x:v>
      </x:c>
      <x:c r="B13605" s="0" t="s">
        <x:v>51420</x:v>
      </x:c>
      <x:c r="C13605" s="0" t="s">
        <x:v>42840</x:v>
      </x:c>
      <x:c r="E13605" s="0" t="s">
        <x:v>51421</x:v>
      </x:c>
      <x:c r="F13605" s="0" t="s">
        <x:v>45</x:v>
      </x:c>
      <x:c r="G13605" s="0" t="s">
        <x:v>30</x:v>
      </x:c>
      <x:c r="H13605" s="0" t="s">
        <x:v>20</x:v>
      </x:c>
      <x:c r="I13605" s="0" t="s">
        <x:v>21</x:v>
      </x:c>
      <x:c r="K13605" s="0">
        <x:f>hyperlink("https://icd.who.int/dev11/l-ichi/en#/http%3A%2F%2Fid.who.int%2Ficd%2Fentity%2F48762299","browser")</x:f>
      </x:c>
      <x:c r="L13605" s="0">
        <x:f>hyperlink("https://icat2.azurewebsites.net/icat/?ontology=ICD&amp;tab=ClassesTab&amp;id=http%3A%2F%2Fwho.int%2Ficd%23SpecificAnatomicLocation_3675","iCat")</x:f>
      </x:c>
      <x:c r="M13605" s="0" t="s">
        <x:v>21</x:v>
      </x:c>
      <x:c r="N13605" s="0" t="s">
        <x:v>46</x:v>
      </x:c>
    </x:row>
    <x:row r="13606" spans="1:16">
      <x:c r="A13606" s="0" t="s">
        <x:v>51422</x:v>
      </x:c>
      <x:c r="B13606" s="0" t="s">
        <x:v>51423</x:v>
      </x:c>
      <x:c r="C13606" s="0" t="s">
        <x:v>42840</x:v>
      </x:c>
      <x:c r="E13606" s="0" t="s">
        <x:v>51424</x:v>
      </x:c>
      <x:c r="F13606" s="0" t="s">
        <x:v>45</x:v>
      </x:c>
      <x:c r="G13606" s="0" t="s">
        <x:v>30</x:v>
      </x:c>
      <x:c r="H13606" s="0" t="s">
        <x:v>20</x:v>
      </x:c>
      <x:c r="I13606" s="0" t="s">
        <x:v>21</x:v>
      </x:c>
      <x:c r="K13606" s="0">
        <x:f>hyperlink("https://icd.who.int/dev11/l-ichi/en#/http%3A%2F%2Fid.who.int%2Ficd%2Fentity%2F689508470","browser")</x:f>
      </x:c>
      <x:c r="L13606" s="0">
        <x:f>hyperlink("https://icat2.azurewebsites.net/icat/?ontology=ICD&amp;tab=ClassesTab&amp;id=http%3A%2F%2Fwho.int%2Ficd%23SpecificAnatomicLocation_3658","iCat")</x:f>
      </x:c>
      <x:c r="M13606" s="0" t="s">
        <x:v>21</x:v>
      </x:c>
      <x:c r="N13606" s="0" t="s">
        <x:v>46</x:v>
      </x:c>
    </x:row>
    <x:row r="13607" spans="1:16">
      <x:c r="A13607" s="0" t="s">
        <x:v>51425</x:v>
      </x:c>
      <x:c r="B13607" s="0" t="s">
        <x:v>51426</x:v>
      </x:c>
      <x:c r="C13607" s="0" t="s">
        <x:v>42840</x:v>
      </x:c>
      <x:c r="E13607" s="0" t="s">
        <x:v>51427</x:v>
      </x:c>
      <x:c r="F13607" s="0" t="s">
        <x:v>45</x:v>
      </x:c>
      <x:c r="G13607" s="0" t="s">
        <x:v>30</x:v>
      </x:c>
      <x:c r="H13607" s="0" t="s">
        <x:v>20</x:v>
      </x:c>
      <x:c r="I13607" s="0" t="s">
        <x:v>21</x:v>
      </x:c>
      <x:c r="K13607" s="0">
        <x:f>hyperlink("https://icd.who.int/dev11/l-ichi/en#/http%3A%2F%2Fid.who.int%2Ficd%2Fentity%2F1043428534","browser")</x:f>
      </x:c>
      <x:c r="L13607" s="0">
        <x:f>hyperlink("https://icat2.azurewebsites.net/icat/?ontology=ICD&amp;tab=ClassesTab&amp;id=http%3A%2F%2Fwho.int%2Ficd%23SpecificAnatomicLocation_3659","iCat")</x:f>
      </x:c>
      <x:c r="M13607" s="0" t="s">
        <x:v>21</x:v>
      </x:c>
      <x:c r="N13607" s="0" t="s">
        <x:v>46</x:v>
      </x:c>
    </x:row>
    <x:row r="13608" spans="1:16">
      <x:c r="A13608" s="0" t="s">
        <x:v>51428</x:v>
      </x:c>
      <x:c r="B13608" s="0" t="s">
        <x:v>51429</x:v>
      </x:c>
      <x:c r="C13608" s="0" t="s">
        <x:v>42840</x:v>
      </x:c>
      <x:c r="E13608" s="0" t="s">
        <x:v>51430</x:v>
      </x:c>
      <x:c r="F13608" s="0" t="s">
        <x:v>45</x:v>
      </x:c>
      <x:c r="G13608" s="0" t="s">
        <x:v>30</x:v>
      </x:c>
      <x:c r="H13608" s="0" t="s">
        <x:v>20</x:v>
      </x:c>
      <x:c r="I13608" s="0" t="s">
        <x:v>21</x:v>
      </x:c>
      <x:c r="K13608" s="0">
        <x:f>hyperlink("https://icd.who.int/dev11/l-ichi/en#/http%3A%2F%2Fid.who.int%2Ficd%2Fentity%2F935026850","browser")</x:f>
      </x:c>
      <x:c r="L13608" s="0">
        <x:f>hyperlink("https://icat2.azurewebsites.net/icat/?ontology=ICD&amp;tab=ClassesTab&amp;id=http%3A%2F%2Fwho.int%2Ficd%23SpecificAnatomicLocation_3660","iCat")</x:f>
      </x:c>
      <x:c r="M13608" s="0" t="s">
        <x:v>21</x:v>
      </x:c>
      <x:c r="N13608" s="0" t="s">
        <x:v>46</x:v>
      </x:c>
    </x:row>
    <x:row r="13609" spans="1:16">
      <x:c r="A13609" s="0" t="s">
        <x:v>51431</x:v>
      </x:c>
      <x:c r="B13609" s="0" t="s">
        <x:v>51432</x:v>
      </x:c>
      <x:c r="C13609" s="0" t="s">
        <x:v>42840</x:v>
      </x:c>
      <x:c r="E13609" s="0" t="s">
        <x:v>51433</x:v>
      </x:c>
      <x:c r="F13609" s="0" t="s">
        <x:v>45</x:v>
      </x:c>
      <x:c r="G13609" s="0" t="s">
        <x:v>30</x:v>
      </x:c>
      <x:c r="H13609" s="0" t="s">
        <x:v>20</x:v>
      </x:c>
      <x:c r="I13609" s="0" t="s">
        <x:v>21</x:v>
      </x:c>
      <x:c r="K13609" s="0">
        <x:f>hyperlink("https://icd.who.int/dev11/l-ichi/en#/http%3A%2F%2Fid.who.int%2Ficd%2Fentity%2F546505826","browser")</x:f>
      </x:c>
      <x:c r="L13609" s="0">
        <x:f>hyperlink("https://icat2.azurewebsites.net/icat/?ontology=ICD&amp;tab=ClassesTab&amp;id=http%3A%2F%2Fwho.int%2Ficd%23SpecificAnatomicLocation_3661","iCat")</x:f>
      </x:c>
      <x:c r="M13609" s="0" t="s">
        <x:v>21</x:v>
      </x:c>
      <x:c r="N13609" s="0" t="s">
        <x:v>46</x:v>
      </x:c>
    </x:row>
    <x:row r="13610" spans="1:16">
      <x:c r="A13610" s="0" t="s">
        <x:v>51434</x:v>
      </x:c>
      <x:c r="B13610" s="0" t="s">
        <x:v>51435</x:v>
      </x:c>
      <x:c r="C13610" s="0" t="s">
        <x:v>42840</x:v>
      </x:c>
      <x:c r="E13610" s="0" t="s">
        <x:v>51436</x:v>
      </x:c>
      <x:c r="F13610" s="0" t="s">
        <x:v>45</x:v>
      </x:c>
      <x:c r="G13610" s="0" t="s">
        <x:v>30</x:v>
      </x:c>
      <x:c r="H13610" s="0" t="s">
        <x:v>20</x:v>
      </x:c>
      <x:c r="I13610" s="0" t="s">
        <x:v>21</x:v>
      </x:c>
      <x:c r="K13610" s="0">
        <x:f>hyperlink("https://icd.who.int/dev11/l-ichi/en#/http%3A%2F%2Fid.who.int%2Ficd%2Fentity%2F434874658","browser")</x:f>
      </x:c>
      <x:c r="L13610" s="0">
        <x:f>hyperlink("https://icat2.azurewebsites.net/icat/?ontology=ICD&amp;tab=ClassesTab&amp;id=http%3A%2F%2Fwho.int%2Ficd%23SpecificAnatomicLocation_3662","iCat")</x:f>
      </x:c>
      <x:c r="M13610" s="0" t="s">
        <x:v>21</x:v>
      </x:c>
      <x:c r="N13610" s="0" t="s">
        <x:v>46</x:v>
      </x:c>
    </x:row>
    <x:row r="13611" spans="1:16">
      <x:c r="A13611" s="0" t="s">
        <x:v>51437</x:v>
      </x:c>
      <x:c r="B13611" s="0" t="s">
        <x:v>51438</x:v>
      </x:c>
      <x:c r="C13611" s="0" t="s">
        <x:v>42840</x:v>
      </x:c>
      <x:c r="E13611" s="0" t="s">
        <x:v>51439</x:v>
      </x:c>
      <x:c r="F13611" s="0" t="s">
        <x:v>45</x:v>
      </x:c>
      <x:c r="G13611" s="0" t="s">
        <x:v>30</x:v>
      </x:c>
      <x:c r="H13611" s="0" t="s">
        <x:v>20</x:v>
      </x:c>
      <x:c r="I13611" s="0" t="s">
        <x:v>21</x:v>
      </x:c>
      <x:c r="K13611" s="0">
        <x:f>hyperlink("https://icd.who.int/dev11/l-ichi/en#/http%3A%2F%2Fid.who.int%2Ficd%2Fentity%2F247713250","browser")</x:f>
      </x:c>
      <x:c r="L13611" s="0">
        <x:f>hyperlink("https://icat2.azurewebsites.net/icat/?ontology=ICD&amp;tab=ClassesTab&amp;id=http%3A%2F%2Fwho.int%2Ficd%23SpecificAnatomicLocation_3663","iCat")</x:f>
      </x:c>
      <x:c r="M13611" s="0" t="s">
        <x:v>21</x:v>
      </x:c>
      <x:c r="N13611" s="0" t="s">
        <x:v>46</x:v>
      </x:c>
    </x:row>
    <x:row r="13612" spans="1:16">
      <x:c r="A13612" s="0" t="s">
        <x:v>51440</x:v>
      </x:c>
      <x:c r="B13612" s="0" t="s">
        <x:v>51441</x:v>
      </x:c>
      <x:c r="C13612" s="0" t="s">
        <x:v>42840</x:v>
      </x:c>
      <x:c r="E13612" s="0" t="s">
        <x:v>51442</x:v>
      </x:c>
      <x:c r="F13612" s="0" t="s">
        <x:v>45</x:v>
      </x:c>
      <x:c r="G13612" s="0" t="s">
        <x:v>30</x:v>
      </x:c>
      <x:c r="H13612" s="0" t="s">
        <x:v>20</x:v>
      </x:c>
      <x:c r="I13612" s="0" t="s">
        <x:v>21</x:v>
      </x:c>
      <x:c r="K13612" s="0">
        <x:f>hyperlink("https://icd.who.int/dev11/l-ichi/en#/http%3A%2F%2Fid.who.int%2Ficd%2Fentity%2F1796928418","browser")</x:f>
      </x:c>
      <x:c r="L13612" s="0">
        <x:f>hyperlink("https://icat2.azurewebsites.net/icat/?ontology=ICD&amp;tab=ClassesTab&amp;id=http%3A%2F%2Fwho.int%2Ficd%23SpecificAnatomicLocation_3664","iCat")</x:f>
      </x:c>
      <x:c r="M13612" s="0" t="s">
        <x:v>21</x:v>
      </x:c>
      <x:c r="N13612" s="0" t="s">
        <x:v>46</x:v>
      </x:c>
    </x:row>
    <x:row r="13613" spans="1:16">
      <x:c r="A13613" s="0" t="s">
        <x:v>51443</x:v>
      </x:c>
      <x:c r="B13613" s="0" t="s">
        <x:v>51444</x:v>
      </x:c>
      <x:c r="C13613" s="0" t="s">
        <x:v>42840</x:v>
      </x:c>
      <x:c r="E13613" s="0" t="s">
        <x:v>51445</x:v>
      </x:c>
      <x:c r="F13613" s="0" t="s">
        <x:v>45</x:v>
      </x:c>
      <x:c r="G13613" s="0" t="s">
        <x:v>30</x:v>
      </x:c>
      <x:c r="H13613" s="0" t="s">
        <x:v>20</x:v>
      </x:c>
      <x:c r="I13613" s="0" t="s">
        <x:v>21</x:v>
      </x:c>
      <x:c r="K13613" s="0">
        <x:f>hyperlink("https://icd.who.int/dev11/l-ichi/en#/http%3A%2F%2Fid.who.int%2Ficd%2Fentity%2F2083690338","browser")</x:f>
      </x:c>
      <x:c r="L13613" s="0">
        <x:f>hyperlink("https://icat2.azurewebsites.net/icat/?ontology=ICD&amp;tab=ClassesTab&amp;id=http%3A%2F%2Fwho.int%2Ficd%23SpecificAnatomicLocation_3665","iCat")</x:f>
      </x:c>
      <x:c r="M13613" s="0" t="s">
        <x:v>21</x:v>
      </x:c>
      <x:c r="N13613" s="0" t="s">
        <x:v>46</x:v>
      </x:c>
    </x:row>
    <x:row r="13614" spans="1:16">
      <x:c r="A13614" s="0" t="s">
        <x:v>51446</x:v>
      </x:c>
      <x:c r="B13614" s="0" t="s">
        <x:v>51447</x:v>
      </x:c>
      <x:c r="C13614" s="0" t="s">
        <x:v>42840</x:v>
      </x:c>
      <x:c r="E13614" s="0" t="s">
        <x:v>51448</x:v>
      </x:c>
      <x:c r="F13614" s="0" t="s">
        <x:v>45</x:v>
      </x:c>
      <x:c r="G13614" s="0" t="s">
        <x:v>30</x:v>
      </x:c>
      <x:c r="H13614" s="0" t="s">
        <x:v>20</x:v>
      </x:c>
      <x:c r="I13614" s="0" t="s">
        <x:v>21</x:v>
      </x:c>
      <x:c r="K13614" s="0">
        <x:f>hyperlink("https://icd.who.int/dev11/l-ichi/en#/http%3A%2F%2Fid.who.int%2Ficd%2Fentity%2F1162492450","browser")</x:f>
      </x:c>
      <x:c r="L13614" s="0">
        <x:f>hyperlink("https://icat2.azurewebsites.net/icat/?ontology=ICD&amp;tab=ClassesTab&amp;id=http%3A%2F%2Fwho.int%2Ficd%23SpecificAnatomicLocation_3666","iCat")</x:f>
      </x:c>
      <x:c r="M13614" s="0" t="s">
        <x:v>21</x:v>
      </x:c>
      <x:c r="N13614" s="0" t="s">
        <x:v>46</x:v>
      </x:c>
    </x:row>
    <x:row r="13615" spans="1:16">
      <x:c r="A13615" s="0" t="s">
        <x:v>51449</x:v>
      </x:c>
      <x:c r="B13615" s="0" t="s">
        <x:v>51450</x:v>
      </x:c>
      <x:c r="C13615" s="0" t="s">
        <x:v>42840</x:v>
      </x:c>
      <x:c r="E13615" s="0" t="s">
        <x:v>51451</x:v>
      </x:c>
      <x:c r="F13615" s="0" t="s">
        <x:v>45</x:v>
      </x:c>
      <x:c r="G13615" s="0" t="s">
        <x:v>30</x:v>
      </x:c>
      <x:c r="H13615" s="0" t="s">
        <x:v>20</x:v>
      </x:c>
      <x:c r="I13615" s="0" t="s">
        <x:v>21</x:v>
      </x:c>
      <x:c r="K13615" s="0">
        <x:f>hyperlink("https://icd.who.int/dev11/l-ichi/en#/http%3A%2F%2Fid.who.int%2Ficd%2Fentity%2F1382178530","browser")</x:f>
      </x:c>
      <x:c r="L13615" s="0">
        <x:f>hyperlink("https://icat2.azurewebsites.net/icat/?ontology=ICD&amp;tab=ClassesTab&amp;id=http%3A%2F%2Fwho.int%2Ficd%23SpecificAnatomicLocation_3667","iCat")</x:f>
      </x:c>
      <x:c r="M13615" s="0" t="s">
        <x:v>21</x:v>
      </x:c>
      <x:c r="N13615" s="0" t="s">
        <x:v>46</x:v>
      </x:c>
    </x:row>
    <x:row r="13616" spans="1:16">
      <x:c r="A13616" s="0" t="s">
        <x:v>51452</x:v>
      </x:c>
      <x:c r="B13616" s="0" t="s">
        <x:v>51453</x:v>
      </x:c>
      <x:c r="C13616" s="0" t="s">
        <x:v>42840</x:v>
      </x:c>
      <x:c r="E13616" s="0" t="s">
        <x:v>51454</x:v>
      </x:c>
      <x:c r="F13616" s="0" t="s">
        <x:v>45</x:v>
      </x:c>
      <x:c r="G13616" s="0" t="s">
        <x:v>30</x:v>
      </x:c>
      <x:c r="H13616" s="0" t="s">
        <x:v>20</x:v>
      </x:c>
      <x:c r="I13616" s="0" t="s">
        <x:v>21</x:v>
      </x:c>
      <x:c r="K13616" s="0">
        <x:f>hyperlink("https://icd.who.int/dev11/l-ichi/en#/http%3A%2F%2Fid.who.int%2Ficd%2Fentity%2F1896331614","browser")</x:f>
      </x:c>
      <x:c r="L13616" s="0">
        <x:f>hyperlink("https://icat2.azurewebsites.net/icat/?ontology=ICD&amp;tab=ClassesTab&amp;id=http%3A%2F%2Fwho.int%2Ficd%23SpecificAnatomicLocation_3668","iCat")</x:f>
      </x:c>
      <x:c r="M13616" s="0" t="s">
        <x:v>21</x:v>
      </x:c>
      <x:c r="N13616" s="0" t="s">
        <x:v>46</x:v>
      </x:c>
    </x:row>
    <x:row r="13617" spans="1:16">
      <x:c r="A13617" s="0" t="s">
        <x:v>51455</x:v>
      </x:c>
      <x:c r="B13617" s="0" t="s">
        <x:v>51456</x:v>
      </x:c>
      <x:c r="C13617" s="0" t="s">
        <x:v>42840</x:v>
      </x:c>
      <x:c r="E13617" s="0" t="s">
        <x:v>51457</x:v>
      </x:c>
      <x:c r="F13617" s="0" t="s">
        <x:v>45</x:v>
      </x:c>
      <x:c r="G13617" s="0" t="s">
        <x:v>30</x:v>
      </x:c>
      <x:c r="H13617" s="0" t="s">
        <x:v>20</x:v>
      </x:c>
      <x:c r="I13617" s="0" t="s">
        <x:v>21</x:v>
      </x:c>
      <x:c r="K13617" s="0">
        <x:f>hyperlink("https://icd.who.int/dev11/l-ichi/en#/http%3A%2F%2Fid.who.int%2Ficd%2Fentity%2F1714412958","browser")</x:f>
      </x:c>
      <x:c r="L13617" s="0">
        <x:f>hyperlink("https://icat2.azurewebsites.net/icat/?ontology=ICD&amp;tab=ClassesTab&amp;id=http%3A%2F%2Fwho.int%2Ficd%23SpecificAnatomicLocation_3669","iCat")</x:f>
      </x:c>
      <x:c r="M13617" s="0" t="s">
        <x:v>21</x:v>
      </x:c>
      <x:c r="N13617" s="0" t="s">
        <x:v>46</x:v>
      </x:c>
    </x:row>
    <x:row r="13618" spans="1:16">
      <x:c r="A13618" s="0" t="s">
        <x:v>51458</x:v>
      </x:c>
      <x:c r="B13618" s="0" t="s">
        <x:v>51459</x:v>
      </x:c>
      <x:c r="C13618" s="0" t="s">
        <x:v>42840</x:v>
      </x:c>
      <x:c r="E13618" s="0" t="s">
        <x:v>51460</x:v>
      </x:c>
      <x:c r="F13618" s="0" t="s">
        <x:v>45</x:v>
      </x:c>
      <x:c r="G13618" s="0" t="s">
        <x:v>30</x:v>
      </x:c>
      <x:c r="H13618" s="0" t="s">
        <x:v>20</x:v>
      </x:c>
      <x:c r="I13618" s="0" t="s">
        <x:v>21</x:v>
      </x:c>
      <x:c r="K13618" s="0">
        <x:f>hyperlink("https://icd.who.int/dev11/l-ichi/en#/http%3A%2F%2Fid.who.int%2Ficd%2Fentity%2F1231157883","browser")</x:f>
      </x:c>
      <x:c r="L13618" s="0">
        <x:f>hyperlink("https://icat2.azurewebsites.net/icat/?ontology=ICD&amp;tab=ClassesTab&amp;id=http%3A%2F%2Fwho.int%2Ficd%23SpecificAnatomicLocation_3670","iCat")</x:f>
      </x:c>
      <x:c r="M13618" s="0" t="s">
        <x:v>21</x:v>
      </x:c>
      <x:c r="N13618" s="0" t="s">
        <x:v>46</x:v>
      </x:c>
    </x:row>
    <x:row r="13619" spans="1:16">
      <x:c r="A13619" s="0" t="s">
        <x:v>51461</x:v>
      </x:c>
      <x:c r="B13619" s="0" t="s">
        <x:v>51462</x:v>
      </x:c>
      <x:c r="C13619" s="0" t="s">
        <x:v>42840</x:v>
      </x:c>
      <x:c r="E13619" s="0" t="s">
        <x:v>51463</x:v>
      </x:c>
      <x:c r="F13619" s="0" t="s">
        <x:v>45</x:v>
      </x:c>
      <x:c r="G13619" s="0" t="s">
        <x:v>30</x:v>
      </x:c>
      <x:c r="H13619" s="0" t="s">
        <x:v>20</x:v>
      </x:c>
      <x:c r="I13619" s="0" t="s">
        <x:v>21</x:v>
      </x:c>
      <x:c r="K13619" s="0">
        <x:f>hyperlink("https://icd.who.int/dev11/l-ichi/en#/http%3A%2F%2Fid.who.int%2Ficd%2Fentity%2F1581883067","browser")</x:f>
      </x:c>
      <x:c r="L13619" s="0">
        <x:f>hyperlink("https://icat2.azurewebsites.net/icat/?ontology=ICD&amp;tab=ClassesTab&amp;id=http%3A%2F%2Fwho.int%2Ficd%23SpecificAnatomicLocation_3671","iCat")</x:f>
      </x:c>
      <x:c r="M13619" s="0" t="s">
        <x:v>21</x:v>
      </x:c>
      <x:c r="N13619" s="0" t="s">
        <x:v>46</x:v>
      </x:c>
    </x:row>
    <x:row r="13620" spans="1:16">
      <x:c r="A13620" s="0" t="s">
        <x:v>51464</x:v>
      </x:c>
      <x:c r="B13620" s="0" t="s">
        <x:v>51465</x:v>
      </x:c>
      <x:c r="C13620" s="0" t="s">
        <x:v>42840</x:v>
      </x:c>
      <x:c r="E13620" s="0" t="s">
        <x:v>51466</x:v>
      </x:c>
      <x:c r="F13620" s="0" t="s">
        <x:v>45</x:v>
      </x:c>
      <x:c r="G13620" s="0" t="s">
        <x:v>30</x:v>
      </x:c>
      <x:c r="H13620" s="0" t="s">
        <x:v>20</x:v>
      </x:c>
      <x:c r="I13620" s="0" t="s">
        <x:v>21</x:v>
      </x:c>
      <x:c r="K13620" s="0">
        <x:f>hyperlink("https://icd.who.int/dev11/l-ichi/en#/http%3A%2F%2Fid.who.int%2Ficd%2Fentity%2F1731277819","browser")</x:f>
      </x:c>
      <x:c r="L13620" s="0">
        <x:f>hyperlink("https://icat2.azurewebsites.net/icat/?ontology=ICD&amp;tab=ClassesTab&amp;id=http%3A%2F%2Fwho.int%2Ficd%23SpecificAnatomicLocation_3672","iCat")</x:f>
      </x:c>
      <x:c r="M13620" s="0" t="s">
        <x:v>21</x:v>
      </x:c>
      <x:c r="N13620" s="0" t="s">
        <x:v>46</x:v>
      </x:c>
    </x:row>
    <x:row r="13621" spans="1:16">
      <x:c r="A13621" s="0" t="s">
        <x:v>51467</x:v>
      </x:c>
      <x:c r="B13621" s="0" t="s">
        <x:v>51468</x:v>
      </x:c>
      <x:c r="C13621" s="0" t="s">
        <x:v>42840</x:v>
      </x:c>
      <x:c r="E13621" s="0" t="s">
        <x:v>51469</x:v>
      </x:c>
      <x:c r="F13621" s="0" t="s">
        <x:v>45</x:v>
      </x:c>
      <x:c r="G13621" s="0" t="s">
        <x:v>30</x:v>
      </x:c>
      <x:c r="H13621" s="0" t="s">
        <x:v>20</x:v>
      </x:c>
      <x:c r="I13621" s="0" t="s">
        <x:v>21</x:v>
      </x:c>
      <x:c r="K13621" s="0">
        <x:f>hyperlink("https://icd.who.int/dev11/l-ichi/en#/http%3A%2F%2Fid.who.int%2Ficd%2Fentity%2F1880708923","browser")</x:f>
      </x:c>
      <x:c r="L13621" s="0">
        <x:f>hyperlink("https://icat2.azurewebsites.net/icat/?ontology=ICD&amp;tab=ClassesTab&amp;id=http%3A%2F%2Fwho.int%2Ficd%23SpecificAnatomicLocation_3673","iCat")</x:f>
      </x:c>
      <x:c r="M13621" s="0" t="s">
        <x:v>21</x:v>
      </x:c>
      <x:c r="N13621" s="0" t="s">
        <x:v>46</x:v>
      </x:c>
    </x:row>
    <x:row r="13622" spans="1:16">
      <x:c r="A13622" s="0" t="s">
        <x:v>51470</x:v>
      </x:c>
      <x:c r="B13622" s="0" t="s">
        <x:v>51471</x:v>
      </x:c>
      <x:c r="C13622" s="0" t="s">
        <x:v>42840</x:v>
      </x:c>
      <x:c r="E13622" s="0" t="s">
        <x:v>51472</x:v>
      </x:c>
      <x:c r="F13622" s="0" t="s">
        <x:v>45</x:v>
      </x:c>
      <x:c r="G13622" s="0" t="s">
        <x:v>30</x:v>
      </x:c>
      <x:c r="H13622" s="0" t="s">
        <x:v>20</x:v>
      </x:c>
      <x:c r="I13622" s="0" t="s">
        <x:v>21</x:v>
      </x:c>
      <x:c r="K13622" s="0">
        <x:f>hyperlink("https://icd.who.int/dev11/l-ichi/en#/http%3A%2F%2Fid.who.int%2Ficd%2Fentity%2F364931451","browser")</x:f>
      </x:c>
      <x:c r="L13622" s="0">
        <x:f>hyperlink("https://icat2.azurewebsites.net/icat/?ontology=ICD&amp;tab=ClassesTab&amp;id=http%3A%2F%2Fwho.int%2Ficd%23SpecificAnatomicLocation_3674","iCat")</x:f>
      </x:c>
      <x:c r="M13622" s="0" t="s">
        <x:v>21</x:v>
      </x:c>
      <x:c r="N13622" s="0" t="s">
        <x:v>46</x:v>
      </x:c>
    </x:row>
    <x:row r="13623" spans="1:16">
      <x:c r="A13623" s="0" t="s">
        <x:v>51473</x:v>
      </x:c>
      <x:c r="B13623" s="0" t="s">
        <x:v>51474</x:v>
      </x:c>
      <x:c r="C13623" s="0" t="s">
        <x:v>42840</x:v>
      </x:c>
      <x:c r="E13623" s="0" t="s">
        <x:v>51475</x:v>
      </x:c>
      <x:c r="F13623" s="0" t="s">
        <x:v>45</x:v>
      </x:c>
      <x:c r="G13623" s="0" t="s">
        <x:v>30</x:v>
      </x:c>
      <x:c r="H13623" s="0" t="s">
        <x:v>20</x:v>
      </x:c>
      <x:c r="I13623" s="0" t="s">
        <x:v>21</x:v>
      </x:c>
      <x:c r="K13623" s="0">
        <x:f>hyperlink("https://icd.who.int/dev11/l-ichi/en#/http%3A%2F%2Fid.who.int%2Ficd%2Fentity%2F750306363","browser")</x:f>
      </x:c>
      <x:c r="L13623" s="0">
        <x:f>hyperlink("https://icat2.azurewebsites.net/icat/?ontology=ICD&amp;tab=ClassesTab&amp;id=http%3A%2F%2Fwho.int%2Ficd%23SpecificAnatomicLocation_3677","iCat")</x:f>
      </x:c>
      <x:c r="M13623" s="0" t="s">
        <x:v>21</x:v>
      </x:c>
      <x:c r="N13623" s="0" t="s">
        <x:v>46</x:v>
      </x:c>
    </x:row>
    <x:row r="13624" spans="1:16">
      <x:c r="A13624" s="0" t="s">
        <x:v>51476</x:v>
      </x:c>
      <x:c r="B13624" s="0" t="s">
        <x:v>51477</x:v>
      </x:c>
      <x:c r="C13624" s="0" t="s">
        <x:v>42840</x:v>
      </x:c>
      <x:c r="E13624" s="0" t="s">
        <x:v>51478</x:v>
      </x:c>
      <x:c r="F13624" s="0" t="s">
        <x:v>45</x:v>
      </x:c>
      <x:c r="G13624" s="0" t="s">
        <x:v>30</x:v>
      </x:c>
      <x:c r="H13624" s="0" t="s">
        <x:v>20</x:v>
      </x:c>
      <x:c r="I13624" s="0" t="s">
        <x:v>21</x:v>
      </x:c>
      <x:c r="K13624" s="0">
        <x:f>hyperlink("https://icd.who.int/dev11/l-ichi/en#/http%3A%2F%2Fid.who.int%2Ficd%2Fentity%2F266150789","browser")</x:f>
      </x:c>
      <x:c r="L13624" s="0">
        <x:f>hyperlink("https://icat2.azurewebsites.net/icat/?ontology=ICD&amp;tab=ClassesTab&amp;id=http%3A%2F%2Fwho.int%2Ficd%23SpecificAnatomicLocation_3678","iCat")</x:f>
      </x:c>
      <x:c r="M13624" s="0" t="s">
        <x:v>21</x:v>
      </x:c>
      <x:c r="N13624" s="0" t="s">
        <x:v>46</x:v>
      </x:c>
    </x:row>
    <x:row r="13625" spans="1:16">
      <x:c r="A13625" s="0" t="s">
        <x:v>51479</x:v>
      </x:c>
      <x:c r="B13625" s="0" t="s">
        <x:v>51480</x:v>
      </x:c>
      <x:c r="C13625" s="0" t="s">
        <x:v>42840</x:v>
      </x:c>
      <x:c r="E13625" s="0" t="s">
        <x:v>51481</x:v>
      </x:c>
      <x:c r="F13625" s="0" t="s">
        <x:v>45</x:v>
      </x:c>
      <x:c r="G13625" s="0" t="s">
        <x:v>30</x:v>
      </x:c>
      <x:c r="H13625" s="0" t="s">
        <x:v>20</x:v>
      </x:c>
      <x:c r="I13625" s="0" t="s">
        <x:v>21</x:v>
      </x:c>
      <x:c r="K13625" s="0">
        <x:f>hyperlink("https://icd.who.int/dev11/l-ichi/en#/http%3A%2F%2Fid.who.int%2Ficd%2Fentity%2F418727749","browser")</x:f>
      </x:c>
      <x:c r="L13625" s="0">
        <x:f>hyperlink("https://icat2.azurewebsites.net/icat/?ontology=ICD&amp;tab=ClassesTab&amp;id=http%3A%2F%2Fwho.int%2Ficd%23SpecificAnatomicLocation_3679","iCat")</x:f>
      </x:c>
      <x:c r="M13625" s="0" t="s">
        <x:v>21</x:v>
      </x:c>
      <x:c r="N13625" s="0" t="s">
        <x:v>46</x:v>
      </x:c>
    </x:row>
    <x:row r="13626" spans="1:16">
      <x:c r="A13626" s="0" t="s">
        <x:v>51482</x:v>
      </x:c>
      <x:c r="B13626" s="0" t="s">
        <x:v>51483</x:v>
      </x:c>
      <x:c r="C13626" s="0" t="s">
        <x:v>42840</x:v>
      </x:c>
      <x:c r="E13626" s="0" t="s">
        <x:v>51484</x:v>
      </x:c>
      <x:c r="F13626" s="0" t="s">
        <x:v>45</x:v>
      </x:c>
      <x:c r="G13626" s="0" t="s">
        <x:v>30</x:v>
      </x:c>
      <x:c r="H13626" s="0" t="s">
        <x:v>20</x:v>
      </x:c>
      <x:c r="I13626" s="0" t="s">
        <x:v>21</x:v>
      </x:c>
      <x:c r="K13626" s="0">
        <x:f>hyperlink("https://icd.who.int/dev11/l-ichi/en#/http%3A%2F%2Fid.who.int%2Ficd%2Fentity%2F1435176524","browser")</x:f>
      </x:c>
      <x:c r="L13626" s="0">
        <x:f>hyperlink("https://icat2.azurewebsites.net/icat/?ontology=ICD&amp;tab=ClassesTab&amp;id=http%3A%2F%2Fwho.int%2Ficd%23SpecificAnatomicLocation_3680","iCat")</x:f>
      </x:c>
      <x:c r="M13626" s="0" t="s">
        <x:v>21</x:v>
      </x:c>
      <x:c r="N13626" s="0" t="s">
        <x:v>46</x:v>
      </x:c>
    </x:row>
    <x:row r="13627" spans="1:16">
      <x:c r="A13627" s="0" t="s">
        <x:v>51485</x:v>
      </x:c>
      <x:c r="B13627" s="0" t="s">
        <x:v>51486</x:v>
      </x:c>
      <x:c r="C13627" s="0" t="s">
        <x:v>42840</x:v>
      </x:c>
      <x:c r="E13627" s="0" t="s">
        <x:v>51487</x:v>
      </x:c>
      <x:c r="F13627" s="0" t="s">
        <x:v>45</x:v>
      </x:c>
      <x:c r="G13627" s="0" t="s">
        <x:v>30</x:v>
      </x:c>
      <x:c r="H13627" s="0" t="s">
        <x:v>20</x:v>
      </x:c>
      <x:c r="I13627" s="0" t="s">
        <x:v>21</x:v>
      </x:c>
      <x:c r="K13627" s="0">
        <x:f>hyperlink("https://icd.who.int/dev11/l-ichi/en#/http%3A%2F%2Fid.who.int%2Ficd%2Fentity%2F1118005900","browser")</x:f>
      </x:c>
      <x:c r="L13627" s="0">
        <x:f>hyperlink("https://icat2.azurewebsites.net/icat/?ontology=ICD&amp;tab=ClassesTab&amp;id=http%3A%2F%2Fwho.int%2Ficd%23SpecificAnatomicLocation_3681","iCat")</x:f>
      </x:c>
      <x:c r="M13627" s="0" t="s">
        <x:v>21</x:v>
      </x:c>
      <x:c r="N13627" s="0" t="s">
        <x:v>46</x:v>
      </x:c>
    </x:row>
    <x:row r="13628" spans="1:16">
      <x:c r="A13628" s="0" t="s">
        <x:v>51488</x:v>
      </x:c>
      <x:c r="B13628" s="0" t="s">
        <x:v>51489</x:v>
      </x:c>
      <x:c r="C13628" s="0" t="s">
        <x:v>42840</x:v>
      </x:c>
      <x:c r="E13628" s="0" t="s">
        <x:v>51490</x:v>
      </x:c>
      <x:c r="F13628" s="0" t="s">
        <x:v>45</x:v>
      </x:c>
      <x:c r="G13628" s="0" t="s">
        <x:v>30</x:v>
      </x:c>
      <x:c r="H13628" s="0" t="s">
        <x:v>20</x:v>
      </x:c>
      <x:c r="I13628" s="0" t="s">
        <x:v>21</x:v>
      </x:c>
      <x:c r="K13628" s="0">
        <x:f>hyperlink("https://icd.who.int/dev11/l-ichi/en#/http%3A%2F%2Fid.who.int%2Ficd%2Fentity%2F2078001100","browser")</x:f>
      </x:c>
      <x:c r="L13628" s="0">
        <x:f>hyperlink("https://icat2.azurewebsites.net/icat/?ontology=ICD&amp;tab=ClassesTab&amp;id=http%3A%2F%2Fwho.int%2Ficd%23SpecificAnatomicLocation_3682","iCat")</x:f>
      </x:c>
      <x:c r="M13628" s="0" t="s">
        <x:v>21</x:v>
      </x:c>
      <x:c r="N13628" s="0" t="s">
        <x:v>46</x:v>
      </x:c>
    </x:row>
    <x:row r="13629" spans="1:16">
      <x:c r="A13629" s="0" t="s">
        <x:v>51491</x:v>
      </x:c>
      <x:c r="B13629" s="0" t="s">
        <x:v>51492</x:v>
      </x:c>
      <x:c r="C13629" s="0" t="s">
        <x:v>42840</x:v>
      </x:c>
      <x:c r="E13629" s="0" t="s">
        <x:v>51493</x:v>
      </x:c>
      <x:c r="F13629" s="0" t="s">
        <x:v>45</x:v>
      </x:c>
      <x:c r="G13629" s="0" t="s">
        <x:v>30</x:v>
      </x:c>
      <x:c r="H13629" s="0" t="s">
        <x:v>20</x:v>
      </x:c>
      <x:c r="I13629" s="0" t="s">
        <x:v>21</x:v>
      </x:c>
      <x:c r="K13629" s="0">
        <x:f>hyperlink("https://icd.who.int/dev11/l-ichi/en#/http%3A%2F%2Fid.who.int%2Ficd%2Fentity%2F1827906316","browser")</x:f>
      </x:c>
      <x:c r="L13629" s="0">
        <x:f>hyperlink("https://icat2.azurewebsites.net/icat/?ontology=ICD&amp;tab=ClassesTab&amp;id=http%3A%2F%2Fwho.int%2Ficd%23SpecificAnatomicLocation_3683","iCat")</x:f>
      </x:c>
      <x:c r="M13629" s="0" t="s">
        <x:v>21</x:v>
      </x:c>
      <x:c r="N13629" s="0" t="s">
        <x:v>46</x:v>
      </x:c>
    </x:row>
    <x:row r="13630" spans="1:16">
      <x:c r="A13630" s="0" t="s">
        <x:v>51494</x:v>
      </x:c>
      <x:c r="B13630" s="0" t="s">
        <x:v>51495</x:v>
      </x:c>
      <x:c r="C13630" s="0" t="s">
        <x:v>42840</x:v>
      </x:c>
      <x:c r="E13630" s="0" t="s">
        <x:v>51496</x:v>
      </x:c>
      <x:c r="F13630" s="0" t="s">
        <x:v>45</x:v>
      </x:c>
      <x:c r="G13630" s="0" t="s">
        <x:v>30</x:v>
      </x:c>
      <x:c r="H13630" s="0" t="s">
        <x:v>20</x:v>
      </x:c>
      <x:c r="I13630" s="0" t="s">
        <x:v>21</x:v>
      </x:c>
      <x:c r="K13630" s="0">
        <x:f>hyperlink("https://icd.who.int/dev11/l-ichi/en#/http%3A%2F%2Fid.who.int%2Ficd%2Fentity%2F153787724","browser")</x:f>
      </x:c>
      <x:c r="L13630" s="0">
        <x:f>hyperlink("https://icat2.azurewebsites.net/icat/?ontology=ICD&amp;tab=ClassesTab&amp;id=http%3A%2F%2Fwho.int%2Ficd%23SpecificAnatomicLocation_3684","iCat")</x:f>
      </x:c>
      <x:c r="M13630" s="0" t="s">
        <x:v>21</x:v>
      </x:c>
      <x:c r="N13630" s="0" t="s">
        <x:v>46</x:v>
      </x:c>
    </x:row>
    <x:row r="13631" spans="1:16">
      <x:c r="A13631" s="0" t="s">
        <x:v>51497</x:v>
      </x:c>
      <x:c r="B13631" s="0" t="s">
        <x:v>51498</x:v>
      </x:c>
      <x:c r="C13631" s="0" t="s">
        <x:v>42840</x:v>
      </x:c>
      <x:c r="E13631" s="0" t="s">
        <x:v>51499</x:v>
      </x:c>
      <x:c r="F13631" s="0" t="s">
        <x:v>45</x:v>
      </x:c>
      <x:c r="G13631" s="0" t="s">
        <x:v>30</x:v>
      </x:c>
      <x:c r="H13631" s="0" t="s">
        <x:v>20</x:v>
      </x:c>
      <x:c r="I13631" s="0" t="s">
        <x:v>21</x:v>
      </x:c>
      <x:c r="K13631" s="0">
        <x:f>hyperlink("https://icd.who.int/dev11/l-ichi/en#/http%3A%2F%2Fid.who.int%2Ficd%2Fentity%2F999334139","browser")</x:f>
      </x:c>
      <x:c r="L13631" s="0">
        <x:f>hyperlink("https://icat2.azurewebsites.net/icat/?ontology=ICD&amp;tab=ClassesTab&amp;id=http%3A%2F%2Fwho.int%2Ficd%23SpecificAnatomicLocation_3676","iCat")</x:f>
      </x:c>
      <x:c r="M13631" s="0" t="s">
        <x:v>21</x:v>
      </x:c>
      <x:c r="N13631" s="0" t="s">
        <x:v>46</x:v>
      </x:c>
    </x:row>
    <x:row r="13632" spans="1:16">
      <x:c r="A13632" s="0" t="s">
        <x:v>51500</x:v>
      </x:c>
      <x:c r="B13632" s="0" t="s">
        <x:v>51501</x:v>
      </x:c>
      <x:c r="C13632" s="0" t="s">
        <x:v>42840</x:v>
      </x:c>
      <x:c r="E13632" s="0" t="s">
        <x:v>51502</x:v>
      </x:c>
      <x:c r="F13632" s="0" t="s">
        <x:v>45</x:v>
      </x:c>
      <x:c r="G13632" s="0" t="s">
        <x:v>30</x:v>
      </x:c>
      <x:c r="H13632" s="0" t="s">
        <x:v>20</x:v>
      </x:c>
      <x:c r="I13632" s="0" t="s">
        <x:v>21</x:v>
      </x:c>
      <x:c r="K13632" s="0">
        <x:f>hyperlink("https://icd.who.int/dev11/l-ichi/en#/http%3A%2F%2Fid.who.int%2Ficd%2Fentity%2F503511436","browser")</x:f>
      </x:c>
      <x:c r="L13632" s="0">
        <x:f>hyperlink("https://icat2.azurewebsites.net/icat/?ontology=ICD&amp;tab=ClassesTab&amp;id=http%3A%2F%2Fwho.int%2Ficd%23SpecificAnatomicLocation_3685","iCat")</x:f>
      </x:c>
      <x:c r="M13632" s="0" t="s">
        <x:v>21</x:v>
      </x:c>
      <x:c r="N13632" s="0" t="s">
        <x:v>46</x:v>
      </x:c>
    </x:row>
    <x:row r="13633" spans="1:16">
      <x:c r="A13633" s="0" t="s">
        <x:v>51503</x:v>
      </x:c>
      <x:c r="B13633" s="0" t="s">
        <x:v>51504</x:v>
      </x:c>
      <x:c r="C13633" s="0" t="s">
        <x:v>42840</x:v>
      </x:c>
      <x:c r="E13633" s="0" t="s">
        <x:v>51505</x:v>
      </x:c>
      <x:c r="F13633" s="0" t="s">
        <x:v>45</x:v>
      </x:c>
      <x:c r="G13633" s="0" t="s">
        <x:v>30</x:v>
      </x:c>
      <x:c r="H13633" s="0" t="s">
        <x:v>20</x:v>
      </x:c>
      <x:c r="I13633" s="0" t="s">
        <x:v>21</x:v>
      </x:c>
      <x:c r="K13633" s="0">
        <x:f>hyperlink("https://icd.who.int/dev11/l-ichi/en#/http%3A%2F%2Fid.who.int%2Ficd%2Fentity%2F662328524","browser")</x:f>
      </x:c>
      <x:c r="L13633" s="0">
        <x:f>hyperlink("https://icat2.azurewebsites.net/icat/?ontology=ICD&amp;tab=ClassesTab&amp;id=http%3A%2F%2Fwho.int%2Ficd%23SpecificAnatomicLocation_3686","iCat")</x:f>
      </x:c>
      <x:c r="M13633" s="0" t="s">
        <x:v>21</x:v>
      </x:c>
      <x:c r="N13633" s="0" t="s">
        <x:v>46</x:v>
      </x:c>
    </x:row>
    <x:row r="13634" spans="1:16">
      <x:c r="A13634" s="0" t="s">
        <x:v>51506</x:v>
      </x:c>
      <x:c r="B13634" s="0" t="s">
        <x:v>51507</x:v>
      </x:c>
      <x:c r="C13634" s="0" t="s">
        <x:v>42840</x:v>
      </x:c>
      <x:c r="E13634" s="0" t="s">
        <x:v>51508</x:v>
      </x:c>
      <x:c r="F13634" s="0" t="s">
        <x:v>45</x:v>
      </x:c>
      <x:c r="G13634" s="0" t="s">
        <x:v>30</x:v>
      </x:c>
      <x:c r="H13634" s="0" t="s">
        <x:v>20</x:v>
      </x:c>
      <x:c r="I13634" s="0" t="s">
        <x:v>21</x:v>
      </x:c>
      <x:c r="K13634" s="0">
        <x:f>hyperlink("https://icd.who.int/dev11/l-ichi/en#/http%3A%2F%2Fid.who.int%2Ficd%2Fentity%2F322426804","browser")</x:f>
      </x:c>
      <x:c r="L13634" s="0">
        <x:f>hyperlink("https://icat2.azurewebsites.net/icat/?ontology=ICD&amp;tab=ClassesTab&amp;id=http%3A%2F%2Fwho.int%2Ficd%23SpecificAnatomicLocation_3688","iCat")</x:f>
      </x:c>
      <x:c r="M13634" s="0" t="s">
        <x:v>21</x:v>
      </x:c>
      <x:c r="N13634" s="0" t="s">
        <x:v>46</x:v>
      </x:c>
    </x:row>
    <x:row r="13635" spans="1:16">
      <x:c r="A13635" s="0" t="s">
        <x:v>51509</x:v>
      </x:c>
      <x:c r="B13635" s="0" t="s">
        <x:v>51510</x:v>
      </x:c>
      <x:c r="C13635" s="0" t="s">
        <x:v>42840</x:v>
      </x:c>
      <x:c r="E13635" s="0" t="s">
        <x:v>51511</x:v>
      </x:c>
      <x:c r="F13635" s="0" t="s">
        <x:v>45</x:v>
      </x:c>
      <x:c r="G13635" s="0" t="s">
        <x:v>30</x:v>
      </x:c>
      <x:c r="H13635" s="0" t="s">
        <x:v>20</x:v>
      </x:c>
      <x:c r="I13635" s="0" t="s">
        <x:v>21</x:v>
      </x:c>
      <x:c r="K13635" s="0">
        <x:f>hyperlink("https://icd.who.int/dev11/l-ichi/en#/http%3A%2F%2Fid.who.int%2Ficd%2Fentity%2F810692620","browser")</x:f>
      </x:c>
      <x:c r="L13635" s="0">
        <x:f>hyperlink("https://icat2.azurewebsites.net/icat/?ontology=ICD&amp;tab=ClassesTab&amp;id=http%3A%2F%2Fwho.int%2Ficd%23SpecificAnatomicLocation_3687","iCat")</x:f>
      </x:c>
      <x:c r="M13635" s="0" t="s">
        <x:v>21</x:v>
      </x:c>
      <x:c r="N13635" s="0" t="s">
        <x:v>46</x:v>
      </x:c>
    </x:row>
    <x:row r="13636" spans="1:16">
      <x:c r="A13636" s="0" t="s">
        <x:v>51512</x:v>
      </x:c>
      <x:c r="B13636" s="0" t="s">
        <x:v>51513</x:v>
      </x:c>
      <x:c r="C13636" s="0" t="s">
        <x:v>42840</x:v>
      </x:c>
      <x:c r="E13636" s="0" t="s">
        <x:v>51514</x:v>
      </x:c>
      <x:c r="F13636" s="0" t="s">
        <x:v>45</x:v>
      </x:c>
      <x:c r="G13636" s="0" t="s">
        <x:v>30</x:v>
      </x:c>
      <x:c r="H13636" s="0" t="s">
        <x:v>20</x:v>
      </x:c>
      <x:c r="I13636" s="0" t="s">
        <x:v>21</x:v>
      </x:c>
      <x:c r="K13636" s="0">
        <x:f>hyperlink("https://icd.who.int/dev11/l-ichi/en#/http%3A%2F%2Fid.who.int%2Ficd%2Fentity%2F69186420","browser")</x:f>
      </x:c>
      <x:c r="L13636" s="0">
        <x:f>hyperlink("https://icat2.azurewebsites.net/icat/?ontology=ICD&amp;tab=ClassesTab&amp;id=http%3A%2F%2Fwho.int%2Ficd%23SpecificAnatomicLocation_3689","iCat")</x:f>
      </x:c>
      <x:c r="M13636" s="0" t="s">
        <x:v>21</x:v>
      </x:c>
      <x:c r="N13636" s="0" t="s">
        <x:v>46</x:v>
      </x:c>
    </x:row>
    <x:row r="13637" spans="1:16">
      <x:c r="A13637" s="0" t="s">
        <x:v>51515</x:v>
      </x:c>
      <x:c r="B13637" s="0" t="s">
        <x:v>51516</x:v>
      </x:c>
      <x:c r="C13637" s="0" t="s">
        <x:v>42840</x:v>
      </x:c>
      <x:c r="E13637" s="0" t="s">
        <x:v>51517</x:v>
      </x:c>
      <x:c r="F13637" s="0" t="s">
        <x:v>45</x:v>
      </x:c>
      <x:c r="G13637" s="0" t="s">
        <x:v>30</x:v>
      </x:c>
      <x:c r="H13637" s="0" t="s">
        <x:v>20</x:v>
      </x:c>
      <x:c r="I13637" s="0" t="s">
        <x:v>21</x:v>
      </x:c>
      <x:c r="K13637" s="0">
        <x:f>hyperlink("https://icd.who.int/dev11/l-ichi/en#/http%3A%2F%2Fid.who.int%2Ficd%2Fentity%2F1014624341","browser")</x:f>
      </x:c>
      <x:c r="L13637" s="0">
        <x:f>hyperlink("https://icat2.azurewebsites.net/icat/?ontology=ICD&amp;tab=ClassesTab&amp;id=http%3A%2F%2Fwho.int%2Ficd%23SpecificAnatomicLocation_3691","iCat")</x:f>
      </x:c>
      <x:c r="M13637" s="0" t="s">
        <x:v>21</x:v>
      </x:c>
      <x:c r="N13637" s="0" t="s">
        <x:v>46</x:v>
      </x:c>
    </x:row>
    <x:row r="13638" spans="1:16">
      <x:c r="A13638" s="0" t="s">
        <x:v>51518</x:v>
      </x:c>
      <x:c r="B13638" s="0" t="s">
        <x:v>51519</x:v>
      </x:c>
      <x:c r="C13638" s="0" t="s">
        <x:v>42840</x:v>
      </x:c>
      <x:c r="E13638" s="0" t="s">
        <x:v>51520</x:v>
      </x:c>
      <x:c r="F13638" s="0" t="s">
        <x:v>45</x:v>
      </x:c>
      <x:c r="G13638" s="0" t="s">
        <x:v>30</x:v>
      </x:c>
      <x:c r="H13638" s="0" t="s">
        <x:v>20</x:v>
      </x:c>
      <x:c r="I13638" s="0" t="s">
        <x:v>21</x:v>
      </x:c>
      <x:c r="K13638" s="0">
        <x:f>hyperlink("https://icd.who.int/dev11/l-ichi/en#/http%3A%2F%2Fid.who.int%2Ficd%2Fentity%2F83975445","browser")</x:f>
      </x:c>
      <x:c r="L13638" s="0">
        <x:f>hyperlink("https://icat2.azurewebsites.net/icat/?ontology=ICD&amp;tab=ClassesTab&amp;id=http%3A%2F%2Fwho.int%2Ficd%23SpecificAnatomicLocation_3692","iCat")</x:f>
      </x:c>
      <x:c r="M13638" s="0" t="s">
        <x:v>21</x:v>
      </x:c>
      <x:c r="N13638" s="0" t="s">
        <x:v>46</x:v>
      </x:c>
    </x:row>
    <x:row r="13639" spans="1:16">
      <x:c r="A13639" s="0" t="s">
        <x:v>51521</x:v>
      </x:c>
      <x:c r="B13639" s="0" t="s">
        <x:v>51522</x:v>
      </x:c>
      <x:c r="C13639" s="0" t="s">
        <x:v>42840</x:v>
      </x:c>
      <x:c r="E13639" s="0" t="s">
        <x:v>51523</x:v>
      </x:c>
      <x:c r="F13639" s="0" t="s">
        <x:v>45</x:v>
      </x:c>
      <x:c r="G13639" s="0" t="s">
        <x:v>30</x:v>
      </x:c>
      <x:c r="H13639" s="0" t="s">
        <x:v>20</x:v>
      </x:c>
      <x:c r="I13639" s="0" t="s">
        <x:v>21</x:v>
      </x:c>
      <x:c r="K13639" s="0">
        <x:f>hyperlink("https://icd.who.int/dev11/l-ichi/en#/http%3A%2F%2Fid.who.int%2Ficd%2Fentity%2F304691669","browser")</x:f>
      </x:c>
      <x:c r="L13639" s="0">
        <x:f>hyperlink("https://icat2.azurewebsites.net/icat/?ontology=ICD&amp;tab=ClassesTab&amp;id=http%3A%2F%2Fwho.int%2Ficd%23SpecificAnatomicLocation_3693","iCat")</x:f>
      </x:c>
      <x:c r="M13639" s="0" t="s">
        <x:v>21</x:v>
      </x:c>
      <x:c r="N13639" s="0" t="s">
        <x:v>46</x:v>
      </x:c>
    </x:row>
    <x:row r="13640" spans="1:16">
      <x:c r="A13640" s="0" t="s">
        <x:v>51524</x:v>
      </x:c>
      <x:c r="B13640" s="0" t="s">
        <x:v>51525</x:v>
      </x:c>
      <x:c r="C13640" s="0" t="s">
        <x:v>42840</x:v>
      </x:c>
      <x:c r="E13640" s="0" t="s">
        <x:v>51526</x:v>
      </x:c>
      <x:c r="F13640" s="0" t="s">
        <x:v>45</x:v>
      </x:c>
      <x:c r="G13640" s="0" t="s">
        <x:v>30</x:v>
      </x:c>
      <x:c r="H13640" s="0" t="s">
        <x:v>20</x:v>
      </x:c>
      <x:c r="I13640" s="0" t="s">
        <x:v>21</x:v>
      </x:c>
      <x:c r="K13640" s="0">
        <x:f>hyperlink("https://icd.who.int/dev11/l-ichi/en#/http%3A%2F%2Fid.who.int%2Ficd%2Fentity%2F2012219285","browser")</x:f>
      </x:c>
      <x:c r="L13640" s="0">
        <x:f>hyperlink("https://icat2.azurewebsites.net/icat/?ontology=ICD&amp;tab=ClassesTab&amp;id=http%3A%2F%2Fwho.int%2Ficd%23SpecificAnatomicLocation_3694","iCat")</x:f>
      </x:c>
      <x:c r="M13640" s="0" t="s">
        <x:v>21</x:v>
      </x:c>
      <x:c r="N13640" s="0" t="s">
        <x:v>46</x:v>
      </x:c>
    </x:row>
    <x:row r="13641" spans="1:16">
      <x:c r="A13641" s="0" t="s">
        <x:v>51527</x:v>
      </x:c>
      <x:c r="B13641" s="0" t="s">
        <x:v>51528</x:v>
      </x:c>
      <x:c r="C13641" s="0" t="s">
        <x:v>42840</x:v>
      </x:c>
      <x:c r="E13641" s="0" t="s">
        <x:v>51529</x:v>
      </x:c>
      <x:c r="F13641" s="0" t="s">
        <x:v>45</x:v>
      </x:c>
      <x:c r="G13641" s="0" t="s">
        <x:v>30</x:v>
      </x:c>
      <x:c r="H13641" s="0" t="s">
        <x:v>20</x:v>
      </x:c>
      <x:c r="I13641" s="0" t="s">
        <x:v>21</x:v>
      </x:c>
      <x:c r="K13641" s="0">
        <x:f>hyperlink("https://icd.who.int/dev11/l-ichi/en#/http%3A%2F%2Fid.who.int%2Ficd%2Fentity%2F1624793941","browser")</x:f>
      </x:c>
      <x:c r="L13641" s="0">
        <x:f>hyperlink("https://icat2.azurewebsites.net/icat/?ontology=ICD&amp;tab=ClassesTab&amp;id=http%3A%2F%2Fwho.int%2Ficd%23SpecificAnatomicLocation_3695","iCat")</x:f>
      </x:c>
      <x:c r="M13641" s="0" t="s">
        <x:v>21</x:v>
      </x:c>
      <x:c r="N13641" s="0" t="s">
        <x:v>46</x:v>
      </x:c>
    </x:row>
    <x:row r="13642" spans="1:16">
      <x:c r="A13642" s="0" t="s">
        <x:v>51530</x:v>
      </x:c>
      <x:c r="B13642" s="0" t="s">
        <x:v>51531</x:v>
      </x:c>
      <x:c r="C13642" s="0" t="s">
        <x:v>42840</x:v>
      </x:c>
      <x:c r="E13642" s="0" t="s">
        <x:v>51532</x:v>
      </x:c>
      <x:c r="F13642" s="0" t="s">
        <x:v>45</x:v>
      </x:c>
      <x:c r="G13642" s="0" t="s">
        <x:v>30</x:v>
      </x:c>
      <x:c r="H13642" s="0" t="s">
        <x:v>20</x:v>
      </x:c>
      <x:c r="I13642" s="0" t="s">
        <x:v>21</x:v>
      </x:c>
      <x:c r="K13642" s="0">
        <x:f>hyperlink("https://icd.who.int/dev11/l-ichi/en#/http%3A%2F%2Fid.who.int%2Ficd%2Fentity%2F1503710741","browser")</x:f>
      </x:c>
      <x:c r="L13642" s="0">
        <x:f>hyperlink("https://icat2.azurewebsites.net/icat/?ontology=ICD&amp;tab=ClassesTab&amp;id=http%3A%2F%2Fwho.int%2Ficd%23SpecificAnatomicLocation_3696","iCat")</x:f>
      </x:c>
      <x:c r="M13642" s="0" t="s">
        <x:v>21</x:v>
      </x:c>
      <x:c r="N13642" s="0" t="s">
        <x:v>46</x:v>
      </x:c>
    </x:row>
    <x:row r="13643" spans="1:16">
      <x:c r="A13643" s="0" t="s">
        <x:v>51533</x:v>
      </x:c>
      <x:c r="B13643" s="0" t="s">
        <x:v>51534</x:v>
      </x:c>
      <x:c r="C13643" s="0" t="s">
        <x:v>42840</x:v>
      </x:c>
      <x:c r="E13643" s="0" t="s">
        <x:v>51535</x:v>
      </x:c>
      <x:c r="F13643" s="0" t="s">
        <x:v>45</x:v>
      </x:c>
      <x:c r="G13643" s="0" t="s">
        <x:v>30</x:v>
      </x:c>
      <x:c r="H13643" s="0" t="s">
        <x:v>20</x:v>
      </x:c>
      <x:c r="I13643" s="0" t="s">
        <x:v>21</x:v>
      </x:c>
      <x:c r="K13643" s="0">
        <x:f>hyperlink("https://icd.who.int/dev11/l-ichi/en#/http%3A%2F%2Fid.who.int%2Ficd%2Fentity%2F1317579477","browser")</x:f>
      </x:c>
      <x:c r="L13643" s="0">
        <x:f>hyperlink("https://icat2.azurewebsites.net/icat/?ontology=ICD&amp;tab=ClassesTab&amp;id=http%3A%2F%2Fwho.int%2Ficd%23SpecificAnatomicLocation_3697","iCat")</x:f>
      </x:c>
      <x:c r="M13643" s="0" t="s">
        <x:v>21</x:v>
      </x:c>
      <x:c r="N13643" s="0" t="s">
        <x:v>46</x:v>
      </x:c>
    </x:row>
    <x:row r="13644" spans="1:16">
      <x:c r="A13644" s="0" t="s">
        <x:v>51536</x:v>
      </x:c>
      <x:c r="B13644" s="0" t="s">
        <x:v>51537</x:v>
      </x:c>
      <x:c r="C13644" s="0" t="s">
        <x:v>42840</x:v>
      </x:c>
      <x:c r="E13644" s="0" t="s">
        <x:v>51538</x:v>
      </x:c>
      <x:c r="F13644" s="0" t="s">
        <x:v>45</x:v>
      </x:c>
      <x:c r="G13644" s="0" t="s">
        <x:v>30</x:v>
      </x:c>
      <x:c r="H13644" s="0" t="s">
        <x:v>20</x:v>
      </x:c>
      <x:c r="I13644" s="0" t="s">
        <x:v>21</x:v>
      </x:c>
      <x:c r="K13644" s="0">
        <x:f>hyperlink("https://icd.who.int/dev11/l-ichi/en#/http%3A%2F%2Fid.who.int%2Ficd%2Fentity%2F1844268395","browser")</x:f>
      </x:c>
      <x:c r="L13644" s="0">
        <x:f>hyperlink("https://icat2.azurewebsites.net/icat/?ontology=ICD&amp;tab=ClassesTab&amp;id=http%3A%2F%2Fwho.int%2Ficd%23SpecificAnatomicLocation_3698","iCat")</x:f>
      </x:c>
      <x:c r="M13644" s="0" t="s">
        <x:v>21</x:v>
      </x:c>
      <x:c r="N13644" s="0" t="s">
        <x:v>46</x:v>
      </x:c>
    </x:row>
    <x:row r="13645" spans="1:16">
      <x:c r="A13645" s="0" t="s">
        <x:v>51539</x:v>
      </x:c>
      <x:c r="B13645" s="0" t="s">
        <x:v>51540</x:v>
      </x:c>
      <x:c r="C13645" s="0" t="s">
        <x:v>42840</x:v>
      </x:c>
      <x:c r="E13645" s="0" t="s">
        <x:v>51541</x:v>
      </x:c>
      <x:c r="F13645" s="0" t="s">
        <x:v>45</x:v>
      </x:c>
      <x:c r="G13645" s="0" t="s">
        <x:v>30</x:v>
      </x:c>
      <x:c r="H13645" s="0" t="s">
        <x:v>20</x:v>
      </x:c>
      <x:c r="I13645" s="0" t="s">
        <x:v>21</x:v>
      </x:c>
      <x:c r="K13645" s="0">
        <x:f>hyperlink("https://icd.who.int/dev11/l-ichi/en#/http%3A%2F%2Fid.who.int%2Ficd%2Fentity%2F1620808805","browser")</x:f>
      </x:c>
      <x:c r="L13645" s="0">
        <x:f>hyperlink("https://icat2.azurewebsites.net/icat/?ontology=ICD&amp;tab=ClassesTab&amp;id=http%3A%2F%2Fwho.int%2Ficd%23SpecificAnatomicLocation_3700","iCat")</x:f>
      </x:c>
      <x:c r="M13645" s="0" t="s">
        <x:v>21</x:v>
      </x:c>
      <x:c r="N13645" s="0" t="s">
        <x:v>46</x:v>
      </x:c>
    </x:row>
    <x:row r="13646" spans="1:16">
      <x:c r="A13646" s="0" t="s">
        <x:v>51542</x:v>
      </x:c>
      <x:c r="B13646" s="0" t="s">
        <x:v>51543</x:v>
      </x:c>
      <x:c r="C13646" s="0" t="s">
        <x:v>42840</x:v>
      </x:c>
      <x:c r="E13646" s="0" t="s">
        <x:v>51544</x:v>
      </x:c>
      <x:c r="F13646" s="0" t="s">
        <x:v>45</x:v>
      </x:c>
      <x:c r="G13646" s="0" t="s">
        <x:v>30</x:v>
      </x:c>
      <x:c r="H13646" s="0" t="s">
        <x:v>20</x:v>
      </x:c>
      <x:c r="I13646" s="0" t="s">
        <x:v>21</x:v>
      </x:c>
      <x:c r="K13646" s="0">
        <x:f>hyperlink("https://icd.who.int/dev11/l-ichi/en#/http%3A%2F%2Fid.who.int%2Ficd%2Fentity%2F2008281253","browser")</x:f>
      </x:c>
      <x:c r="L13646" s="0">
        <x:f>hyperlink("https://icat2.azurewebsites.net/icat/?ontology=ICD&amp;tab=ClassesTab&amp;id=http%3A%2F%2Fwho.int%2Ficd%23SpecificAnatomicLocation_3701","iCat")</x:f>
      </x:c>
      <x:c r="M13646" s="0" t="s">
        <x:v>21</x:v>
      </x:c>
      <x:c r="N13646" s="0" t="s">
        <x:v>46</x:v>
      </x:c>
    </x:row>
    <x:row r="13647" spans="1:16">
      <x:c r="A13647" s="0" t="s">
        <x:v>51545</x:v>
      </x:c>
      <x:c r="B13647" s="0" t="s">
        <x:v>51546</x:v>
      </x:c>
      <x:c r="C13647" s="0" t="s">
        <x:v>42840</x:v>
      </x:c>
      <x:c r="E13647" s="0" t="s">
        <x:v>51547</x:v>
      </x:c>
      <x:c r="F13647" s="0" t="s">
        <x:v>45</x:v>
      </x:c>
      <x:c r="G13647" s="0" t="s">
        <x:v>19</x:v>
      </x:c>
      <x:c r="H13647" s="0" t="s">
        <x:v>20</x:v>
      </x:c>
      <x:c r="I13647" s="0" t="s">
        <x:v>21</x:v>
      </x:c>
      <x:c r="K13647" s="0">
        <x:f>hyperlink("https://icd.who.int/dev11/l-ichi/en#/http%3A%2F%2Fid.who.int%2Ficd%2Fentity%2F2001178851","browser")</x:f>
      </x:c>
      <x:c r="L13647" s="0">
        <x:f>hyperlink("https://icat2.azurewebsites.net/icat/?ontology=ICD&amp;tab=ClassesTab&amp;id=http%3A%2F%2Fwho.int%2Ficd%23SpecificAnatomicLocation_3750","iCat")</x:f>
      </x:c>
      <x:c r="M13647" s="0" t="s">
        <x:v>21</x:v>
      </x:c>
      <x:c r="N13647" s="0" t="s">
        <x:v>46</x:v>
      </x:c>
    </x:row>
    <x:row r="13648" spans="1:16">
      <x:c r="A13648" s="0" t="s">
        <x:v>51548</x:v>
      </x:c>
      <x:c r="B13648" s="0" t="s">
        <x:v>51549</x:v>
      </x:c>
      <x:c r="C13648" s="0" t="s">
        <x:v>42840</x:v>
      </x:c>
      <x:c r="E13648" s="0" t="s">
        <x:v>51550</x:v>
      </x:c>
      <x:c r="F13648" s="0" t="s">
        <x:v>45</x:v>
      </x:c>
      <x:c r="G13648" s="0" t="s">
        <x:v>19</x:v>
      </x:c>
      <x:c r="H13648" s="0" t="s">
        <x:v>20</x:v>
      </x:c>
      <x:c r="I13648" s="0" t="s">
        <x:v>21</x:v>
      </x:c>
      <x:c r="K13648" s="0">
        <x:f>hyperlink("https://icd.who.int/dev11/l-ichi/en#/http%3A%2F%2Fid.who.int%2Ficd%2Fentity%2F1312767395","browser")</x:f>
      </x:c>
      <x:c r="L13648" s="0">
        <x:f>hyperlink("https://icat2.azurewebsites.net/icat/?ontology=ICD&amp;tab=ClassesTab&amp;id=http%3A%2F%2Fwho.int%2Ficd%23SpecificAnatomicLocation_3753","iCat")</x:f>
      </x:c>
      <x:c r="M13648" s="0" t="s">
        <x:v>20</x:v>
      </x:c>
      <x:c r="N13648" s="0" t="s">
        <x:v>30</x:v>
      </x:c>
    </x:row>
    <x:row r="13649" spans="1:16">
      <x:c r="A13649" s="0" t="s">
        <x:v>51551</x:v>
      </x:c>
      <x:c r="B13649" s="0" t="s">
        <x:v>51552</x:v>
      </x:c>
      <x:c r="C13649" s="0" t="s">
        <x:v>42840</x:v>
      </x:c>
      <x:c r="E13649" s="0" t="s">
        <x:v>51553</x:v>
      </x:c>
      <x:c r="F13649" s="0" t="s">
        <x:v>45</x:v>
      </x:c>
      <x:c r="G13649" s="0" t="s">
        <x:v>30</x:v>
      </x:c>
      <x:c r="H13649" s="0" t="s">
        <x:v>20</x:v>
      </x:c>
      <x:c r="I13649" s="0" t="s">
        <x:v>21</x:v>
      </x:c>
      <x:c r="K13649" s="0">
        <x:f>hyperlink("https://icd.who.int/dev11/l-ichi/en#/http%3A%2F%2Fid.who.int%2Ficd%2Fentity%2F1023534927","browser")</x:f>
      </x:c>
      <x:c r="L13649" s="0">
        <x:f>hyperlink("https://icat2.azurewebsites.net/icat/?ontology=ICD&amp;tab=ClassesTab&amp;id=http%3A%2F%2Fwho.int%2Ficd%232538_d85a204c_d00a_4566_a3b7_2d137a1891cf","iCat")</x:f>
      </x:c>
      <x:c r="M13649" s="0" t="s">
        <x:v>21</x:v>
      </x:c>
      <x:c r="N13649" s="0" t="s">
        <x:v>46</x:v>
      </x:c>
    </x:row>
    <x:row r="13650" spans="1:16">
      <x:c r="A13650" s="0" t="s">
        <x:v>51554</x:v>
      </x:c>
      <x:c r="B13650" s="0" t="s">
        <x:v>51555</x:v>
      </x:c>
      <x:c r="C13650" s="0" t="s">
        <x:v>42840</x:v>
      </x:c>
      <x:c r="E13650" s="0" t="s">
        <x:v>51556</x:v>
      </x:c>
      <x:c r="F13650" s="0" t="s">
        <x:v>45</x:v>
      </x:c>
      <x:c r="G13650" s="0" t="s">
        <x:v>30</x:v>
      </x:c>
      <x:c r="H13650" s="0" t="s">
        <x:v>20</x:v>
      </x:c>
      <x:c r="I13650" s="0" t="s">
        <x:v>21</x:v>
      </x:c>
      <x:c r="K13650" s="0">
        <x:f>hyperlink("https://icd.who.int/dev11/l-ichi/en#/http%3A%2F%2Fid.who.int%2Ficd%2Fentity%2F1494334428","browser")</x:f>
      </x:c>
      <x:c r="L13650" s="0">
        <x:f>hyperlink("https://icat2.azurewebsites.net/icat/?ontology=ICD&amp;tab=ClassesTab&amp;id=http%3A%2F%2Fwho.int%2Ficd%232557_d85a204c_d00a_4566_a3b7_2d137a1891cf","iCat")</x:f>
      </x:c>
      <x:c r="M13650" s="0" t="s">
        <x:v>21</x:v>
      </x:c>
      <x:c r="N13650" s="0" t="s">
        <x:v>46</x:v>
      </x:c>
    </x:row>
    <x:row r="13651" spans="1:16">
      <x:c r="A13651" s="0" t="s">
        <x:v>51557</x:v>
      </x:c>
      <x:c r="B13651" s="0" t="s">
        <x:v>51558</x:v>
      </x:c>
      <x:c r="D13651" s="0" t="s">
        <x:v>44502</x:v>
      </x:c>
      <x:c r="E13651" s="0" t="s">
        <x:v>51559</x:v>
      </x:c>
      <x:c r="F13651" s="0" t="s">
        <x:v>26</x:v>
      </x:c>
      <x:c r="G13651" s="0" t="s">
        <x:v>35</x:v>
      </x:c>
      <x:c r="H13651" s="0" t="s">
        <x:v>20</x:v>
      </x:c>
      <x:c r="I13651" s="0" t="s">
        <x:v>21</x:v>
      </x:c>
      <x:c r="K13651" s="0">
        <x:f>hyperlink("https://icd.who.int/dev11/l-ichi/en#/http%3A%2F%2Fid.who.int%2Ficd%2Fentity%2F1803734370","browser")</x:f>
      </x:c>
      <x:c r="L13651" s="0">
        <x:f>hyperlink("https://icat2.azurewebsites.net/icat/?ontology=ICD&amp;tab=ClassesTab&amp;id=http%3A%2F%2Fwho.int%2Ficd%23SpecificAnatomicLocation_1019","iCat")</x:f>
      </x:c>
      <x:c r="M13651" s="0" t="s">
        <x:v>20</x:v>
      </x:c>
      <x:c r="N13651" s="0" t="s">
        <x:v>30</x:v>
      </x:c>
    </x:row>
    <x:row r="13652" spans="1:16">
      <x:c r="A13652" s="0" t="s">
        <x:v>51560</x:v>
      </x:c>
      <x:c r="B13652" s="0" t="s">
        <x:v>51561</x:v>
      </x:c>
      <x:c r="D13652" s="0" t="s">
        <x:v>44524</x:v>
      </x:c>
      <x:c r="E13652" s="0" t="s">
        <x:v>1789</x:v>
      </x:c>
      <x:c r="F13652" s="0" t="s">
        <x:v>26</x:v>
      </x:c>
      <x:c r="G13652" s="0" t="s">
        <x:v>22</x:v>
      </x:c>
      <x:c r="H13652" s="0" t="s">
        <x:v>20</x:v>
      </x:c>
      <x:c r="I13652" s="0" t="s">
        <x:v>21</x:v>
      </x:c>
      <x:c r="K13652" s="0">
        <x:f>hyperlink("https://icd.who.int/dev11/l-ichi/en#/http%3A%2F%2Fid.who.int%2Ficd%2Fentity%2F1223109342","browser")</x:f>
      </x:c>
      <x:c r="L13652" s="0">
        <x:f>hyperlink("https://icat2.azurewebsites.net/icat/?ontology=ICD&amp;tab=ClassesTab&amp;id=http%3A%2F%2Fwho.int%2Ficd%23SpecificAnatomicLocation_1016","iCat")</x:f>
      </x:c>
      <x:c r="M13652" s="0" t="s">
        <x:v>20</x:v>
      </x:c>
      <x:c r="N13652" s="0" t="s">
        <x:v>19</x:v>
      </x:c>
    </x:row>
    <x:row r="13653" spans="1:16">
      <x:c r="A13653" s="0" t="s">
        <x:v>51562</x:v>
      </x:c>
      <x:c r="B13653" s="0" t="s">
        <x:v>51563</x:v>
      </x:c>
      <x:c r="C13653" s="0" t="s">
        <x:v>42840</x:v>
      </x:c>
      <x:c r="E13653" s="0" t="s">
        <x:v>51564</x:v>
      </x:c>
      <x:c r="F13653" s="0" t="s">
        <x:v>45</x:v>
      </x:c>
      <x:c r="G13653" s="0" t="s">
        <x:v>19</x:v>
      </x:c>
      <x:c r="H13653" s="0" t="s">
        <x:v>20</x:v>
      </x:c>
      <x:c r="I13653" s="0" t="s">
        <x:v>21</x:v>
      </x:c>
      <x:c r="K13653" s="0">
        <x:f>hyperlink("https://icd.who.int/dev11/l-ichi/en#/http%3A%2F%2Fid.who.int%2Ficd%2Fentity%2F466270993","browser")</x:f>
      </x:c>
      <x:c r="L13653" s="0">
        <x:f>hyperlink("https://icat2.azurewebsites.net/icat/?ontology=ICD&amp;tab=ClassesTab&amp;id=http%3A%2F%2Fwho.int%2Ficd%2311756_6075012b_9a45_426f_82f7_08df9dce6573","iCat")</x:f>
      </x:c>
      <x:c r="M13653" s="0" t="s">
        <x:v>20</x:v>
      </x:c>
      <x:c r="N13653" s="0" t="s">
        <x:v>30</x:v>
      </x:c>
    </x:row>
    <x:row r="13654" spans="1:16">
      <x:c r="A13654" s="0" t="s">
        <x:v>51565</x:v>
      </x:c>
      <x:c r="B13654" s="0" t="s">
        <x:v>51566</x:v>
      </x:c>
      <x:c r="C13654" s="0" t="s">
        <x:v>42840</x:v>
      </x:c>
      <x:c r="E13654" s="0" t="s">
        <x:v>51567</x:v>
      </x:c>
      <x:c r="F13654" s="0" t="s">
        <x:v>45</x:v>
      </x:c>
      <x:c r="G13654" s="0" t="s">
        <x:v>30</x:v>
      </x:c>
      <x:c r="H13654" s="0" t="s">
        <x:v>20</x:v>
      </x:c>
      <x:c r="I13654" s="0" t="s">
        <x:v>21</x:v>
      </x:c>
      <x:c r="K13654" s="0">
        <x:f>hyperlink("https://icd.who.int/dev11/l-ichi/en#/http%3A%2F%2Fid.who.int%2Ficd%2Fentity%2F1906280350","browser")</x:f>
      </x:c>
      <x:c r="L13654" s="0">
        <x:f>hyperlink("https://icat2.azurewebsites.net/icat/?ontology=ICD&amp;tab=ClassesTab&amp;id=http%3A%2F%2Fwho.int%2Ficd%23SpecificAnatomicLocation_1015","iCat")</x:f>
      </x:c>
      <x:c r="M13654" s="0" t="s">
        <x:v>21</x:v>
      </x:c>
      <x:c r="N13654" s="0" t="s">
        <x:v>46</x:v>
      </x:c>
    </x:row>
    <x:row r="13655" spans="1:16">
      <x:c r="A13655" s="0" t="s">
        <x:v>51568</x:v>
      </x:c>
      <x:c r="B13655" s="0" t="s">
        <x:v>51569</x:v>
      </x:c>
      <x:c r="C13655" s="0" t="s">
        <x:v>42840</x:v>
      </x:c>
      <x:c r="E13655" s="0" t="s">
        <x:v>51570</x:v>
      </x:c>
      <x:c r="F13655" s="0" t="s">
        <x:v>45</x:v>
      </x:c>
      <x:c r="G13655" s="0" t="s">
        <x:v>30</x:v>
      </x:c>
      <x:c r="H13655" s="0" t="s">
        <x:v>20</x:v>
      </x:c>
      <x:c r="I13655" s="0" t="s">
        <x:v>21</x:v>
      </x:c>
      <x:c r="K13655" s="0">
        <x:f>hyperlink("https://icd.who.int/dev11/l-ichi/en#/http%3A%2F%2Fid.who.int%2Ficd%2Fentity%2F1723327326","browser")</x:f>
      </x:c>
      <x:c r="L13655" s="0">
        <x:f>hyperlink("https://icat2.azurewebsites.net/icat/?ontology=ICD&amp;tab=ClassesTab&amp;id=http%3A%2F%2Fwho.int%2Ficd%23SpecificAnatomicLocation_1014","iCat")</x:f>
      </x:c>
      <x:c r="M13655" s="0" t="s">
        <x:v>21</x:v>
      </x:c>
      <x:c r="N13655" s="0" t="s">
        <x:v>46</x:v>
      </x:c>
    </x:row>
    <x:row r="13656" spans="1:16">
      <x:c r="A13656" s="0" t="s">
        <x:v>51571</x:v>
      </x:c>
      <x:c r="B13656" s="0" t="s">
        <x:v>51572</x:v>
      </x:c>
      <x:c r="D13656" s="0" t="s">
        <x:v>44524</x:v>
      </x:c>
      <x:c r="E13656" s="0" t="s">
        <x:v>51573</x:v>
      </x:c>
      <x:c r="F13656" s="0" t="s">
        <x:v>26</x:v>
      </x:c>
      <x:c r="G13656" s="0" t="s">
        <x:v>22</x:v>
      </x:c>
      <x:c r="H13656" s="0" t="s">
        <x:v>20</x:v>
      </x:c>
      <x:c r="I13656" s="0" t="s">
        <x:v>21</x:v>
      </x:c>
      <x:c r="K13656" s="0">
        <x:f>hyperlink("https://icd.who.int/dev11/l-ichi/en#/http%3A%2F%2Fid.who.int%2Ficd%2Fentity%2F2091559330","browser")</x:f>
      </x:c>
      <x:c r="L13656" s="0">
        <x:f>hyperlink("https://icat2.azurewebsites.net/icat/?ontology=ICD&amp;tab=ClassesTab&amp;id=http%3A%2F%2Fwho.int%2Ficd%23SpecificAnatomicLocation_1018","iCat")</x:f>
      </x:c>
      <x:c r="M13656" s="0" t="s">
        <x:v>20</x:v>
      </x:c>
      <x:c r="N13656" s="0" t="s">
        <x:v>35</x:v>
      </x:c>
    </x:row>
    <x:row r="13657" spans="1:16">
      <x:c r="A13657" s="0" t="s">
        <x:v>51574</x:v>
      </x:c>
      <x:c r="B13657" s="0" t="s">
        <x:v>51575</x:v>
      </x:c>
      <x:c r="C13657" s="0" t="s">
        <x:v>42840</x:v>
      </x:c>
      <x:c r="E13657" s="0" t="s">
        <x:v>51576</x:v>
      </x:c>
      <x:c r="F13657" s="0" t="s">
        <x:v>45</x:v>
      </x:c>
      <x:c r="G13657" s="0" t="s">
        <x:v>19</x:v>
      </x:c>
      <x:c r="H13657" s="0" t="s">
        <x:v>20</x:v>
      </x:c>
      <x:c r="I13657" s="0" t="s">
        <x:v>21</x:v>
      </x:c>
      <x:c r="K13657" s="0">
        <x:f>hyperlink("https://icd.who.int/dev11/l-ichi/en#/http%3A%2F%2Fid.who.int%2Ficd%2Fentity%2F1678247922","browser")</x:f>
      </x:c>
      <x:c r="L13657" s="0">
        <x:f>hyperlink("https://icat2.azurewebsites.net/icat/?ontology=ICD&amp;tab=ClassesTab&amp;id=http%3A%2F%2Fwho.int%2Ficd%234385_8485ca45_4e2f_4137_b90e_effee792d3d2","iCat")</x:f>
      </x:c>
      <x:c r="M13657" s="0" t="s">
        <x:v>20</x:v>
      </x:c>
      <x:c r="N13657" s="0" t="s">
        <x:v>35</x:v>
      </x:c>
    </x:row>
    <x:row r="13658" spans="1:16">
      <x:c r="A13658" s="0" t="s">
        <x:v>51577</x:v>
      </x:c>
      <x:c r="B13658" s="0" t="s">
        <x:v>51578</x:v>
      </x:c>
      <x:c r="C13658" s="0" t="s">
        <x:v>42840</x:v>
      </x:c>
      <x:c r="E13658" s="0" t="s">
        <x:v>51579</x:v>
      </x:c>
      <x:c r="F13658" s="0" t="s">
        <x:v>45</x:v>
      </x:c>
      <x:c r="G13658" s="0" t="s">
        <x:v>30</x:v>
      </x:c>
      <x:c r="H13658" s="0" t="s">
        <x:v>20</x:v>
      </x:c>
      <x:c r="I13658" s="0" t="s">
        <x:v>21</x:v>
      </x:c>
      <x:c r="K13658" s="0">
        <x:f>hyperlink("https://icd.who.int/dev11/l-ichi/en#/http%3A%2F%2Fid.who.int%2Ficd%2Fentity%2F413436285","browser")</x:f>
      </x:c>
      <x:c r="L13658" s="0">
        <x:f>hyperlink("https://icat2.azurewebsites.net/icat/?ontology=ICD&amp;tab=ClassesTab&amp;id=http%3A%2F%2Fwho.int%2Ficd%23SpecificAnatomicLocation_3086","iCat")</x:f>
      </x:c>
      <x:c r="M13658" s="0" t="s">
        <x:v>21</x:v>
      </x:c>
      <x:c r="N13658" s="0" t="s">
        <x:v>46</x:v>
      </x:c>
    </x:row>
    <x:row r="13659" spans="1:16">
      <x:c r="A13659" s="0" t="s">
        <x:v>51580</x:v>
      </x:c>
      <x:c r="B13659" s="0" t="s">
        <x:v>51581</x:v>
      </x:c>
      <x:c r="C13659" s="0" t="s">
        <x:v>42840</x:v>
      </x:c>
      <x:c r="E13659" s="0" t="s">
        <x:v>51582</x:v>
      </x:c>
      <x:c r="F13659" s="0" t="s">
        <x:v>45</x:v>
      </x:c>
      <x:c r="G13659" s="0" t="s">
        <x:v>30</x:v>
      </x:c>
      <x:c r="H13659" s="0" t="s">
        <x:v>20</x:v>
      </x:c>
      <x:c r="I13659" s="0" t="s">
        <x:v>21</x:v>
      </x:c>
      <x:c r="K13659" s="0">
        <x:f>hyperlink("https://icd.who.int/dev11/l-ichi/en#/http%3A%2F%2Fid.who.int%2Ficd%2Fentity%2F753469955","browser")</x:f>
      </x:c>
      <x:c r="L13659" s="0">
        <x:f>hyperlink("https://icat2.azurewebsites.net/icat/?ontology=ICD&amp;tab=ClassesTab&amp;id=http%3A%2F%2Fwho.int%2Ficd%23SpecificAnatomicLocation_3088","iCat")</x:f>
      </x:c>
      <x:c r="M13659" s="0" t="s">
        <x:v>20</x:v>
      </x:c>
      <x:c r="N13659" s="0" t="s">
        <x:v>19</x:v>
      </x:c>
    </x:row>
    <x:row r="13660" spans="1:16">
      <x:c r="A13660" s="0" t="s">
        <x:v>51583</x:v>
      </x:c>
      <x:c r="B13660" s="0" t="s">
        <x:v>51584</x:v>
      </x:c>
      <x:c r="C13660" s="0" t="s">
        <x:v>42840</x:v>
      </x:c>
      <x:c r="E13660" s="0" t="s">
        <x:v>51585</x:v>
      </x:c>
      <x:c r="F13660" s="0" t="s">
        <x:v>45</x:v>
      </x:c>
      <x:c r="G13660" s="0" t="s">
        <x:v>35</x:v>
      </x:c>
      <x:c r="H13660" s="0" t="s">
        <x:v>20</x:v>
      </x:c>
      <x:c r="I13660" s="0" t="s">
        <x:v>21</x:v>
      </x:c>
      <x:c r="K13660" s="0">
        <x:f>hyperlink("https://icd.who.int/dev11/l-ichi/en#/http%3A%2F%2Fid.who.int%2Ficd%2Fentity%2F260894141","browser")</x:f>
      </x:c>
      <x:c r="L13660" s="0">
        <x:f>hyperlink("https://icat2.azurewebsites.net/icat/?ontology=ICD&amp;tab=ClassesTab&amp;id=http%3A%2F%2Fwho.int%2Ficd%23SpecificAnatomicLocation_3087","iCat")</x:f>
      </x:c>
      <x:c r="M13660" s="0" t="s">
        <x:v>21</x:v>
      </x:c>
      <x:c r="N13660" s="0" t="s">
        <x:v>46</x:v>
      </x:c>
    </x:row>
    <x:row r="13661" spans="1:16">
      <x:c r="A13661" s="0" t="s">
        <x:v>51586</x:v>
      </x:c>
      <x:c r="B13661" s="0" t="s">
        <x:v>51587</x:v>
      </x:c>
      <x:c r="C13661" s="0" t="s">
        <x:v>42840</x:v>
      </x:c>
      <x:c r="E13661" s="0" t="s">
        <x:v>51588</x:v>
      </x:c>
      <x:c r="F13661" s="0" t="s">
        <x:v>45</x:v>
      </x:c>
      <x:c r="G13661" s="0" t="s">
        <x:v>30</x:v>
      </x:c>
      <x:c r="H13661" s="0" t="s">
        <x:v>20</x:v>
      </x:c>
      <x:c r="I13661" s="0" t="s">
        <x:v>21</x:v>
      </x:c>
      <x:c r="K13661" s="0">
        <x:f>hyperlink("https://icd.who.int/dev11/l-ichi/en#/http%3A%2F%2Fid.who.int%2Ficd%2Fentity%2F254558521","browser")</x:f>
      </x:c>
      <x:c r="L13661" s="0">
        <x:f>hyperlink("https://icat2.azurewebsites.net/icat/?ontology=ICD&amp;tab=ClassesTab&amp;id=http%3A%2F%2Fwho.int%2Ficd%23SpecificAnatomicLocation_1359","iCat")</x:f>
      </x:c>
      <x:c r="M13661" s="0" t="s">
        <x:v>21</x:v>
      </x:c>
      <x:c r="N13661" s="0" t="s">
        <x:v>46</x:v>
      </x:c>
    </x:row>
    <x:row r="13662" spans="1:16">
      <x:c r="A13662" s="0" t="s">
        <x:v>51589</x:v>
      </x:c>
      <x:c r="B13662" s="0" t="s">
        <x:v>51590</x:v>
      </x:c>
      <x:c r="C13662" s="0" t="s">
        <x:v>42840</x:v>
      </x:c>
      <x:c r="E13662" s="0" t="s">
        <x:v>51591</x:v>
      </x:c>
      <x:c r="F13662" s="0" t="s">
        <x:v>45</x:v>
      </x:c>
      <x:c r="G13662" s="0" t="s">
        <x:v>19</x:v>
      </x:c>
      <x:c r="H13662" s="0" t="s">
        <x:v>20</x:v>
      </x:c>
      <x:c r="I13662" s="0" t="s">
        <x:v>21</x:v>
      </x:c>
      <x:c r="K13662" s="0">
        <x:f>hyperlink("https://icd.who.int/dev11/l-ichi/en#/http%3A%2F%2Fid.who.int%2Ficd%2Fentity%2F344632447","browser")</x:f>
      </x:c>
      <x:c r="L13662" s="0">
        <x:f>hyperlink("https://icat2.azurewebsites.net/icat/?ontology=ICD&amp;tab=ClassesTab&amp;id=http%3A%2F%2Fwho.int%2Ficd%234382_8485ca45_4e2f_4137_b90e_effee792d3d2","iCat")</x:f>
      </x:c>
      <x:c r="M13662" s="0" t="s">
        <x:v>20</x:v>
      </x:c>
      <x:c r="N13662" s="0" t="s">
        <x:v>19</x:v>
      </x:c>
    </x:row>
    <x:row r="13663" spans="1:16">
      <x:c r="A13663" s="0" t="s">
        <x:v>51592</x:v>
      </x:c>
      <x:c r="B13663" s="0" t="s">
        <x:v>51593</x:v>
      </x:c>
      <x:c r="C13663" s="0" t="s">
        <x:v>42840</x:v>
      </x:c>
      <x:c r="E13663" s="0" t="s">
        <x:v>51594</x:v>
      </x:c>
      <x:c r="F13663" s="0" t="s">
        <x:v>45</x:v>
      </x:c>
      <x:c r="G13663" s="0" t="s">
        <x:v>30</x:v>
      </x:c>
      <x:c r="H13663" s="0" t="s">
        <x:v>20</x:v>
      </x:c>
      <x:c r="I13663" s="0" t="s">
        <x:v>21</x:v>
      </x:c>
      <x:c r="K13663" s="0">
        <x:f>hyperlink("https://icd.who.int/dev11/l-ichi/en#/http%3A%2F%2Fid.who.int%2Ficd%2Fentity%2F2002162149","browser")</x:f>
      </x:c>
      <x:c r="L13663" s="0">
        <x:f>hyperlink("https://icat2.azurewebsites.net/icat/?ontology=ICD&amp;tab=ClassesTab&amp;id=http%3A%2F%2Fwho.int%2Ficd%2335190_5068053d_dbae_4066_9fec_a83d5dd174ab","iCat")</x:f>
      </x:c>
      <x:c r="M13663" s="0" t="s">
        <x:v>20</x:v>
      </x:c>
      <x:c r="N13663" s="0" t="s">
        <x:v>19</x:v>
      </x:c>
    </x:row>
    <x:row r="13664" spans="1:16">
      <x:c r="A13664" s="0" t="s">
        <x:v>51595</x:v>
      </x:c>
      <x:c r="B13664" s="0" t="s">
        <x:v>51596</x:v>
      </x:c>
      <x:c r="C13664" s="0" t="s">
        <x:v>42840</x:v>
      </x:c>
      <x:c r="E13664" s="0" t="s">
        <x:v>51597</x:v>
      </x:c>
      <x:c r="F13664" s="0" t="s">
        <x:v>45</x:v>
      </x:c>
      <x:c r="G13664" s="0" t="s">
        <x:v>35</x:v>
      </x:c>
      <x:c r="H13664" s="0" t="s">
        <x:v>20</x:v>
      </x:c>
      <x:c r="I13664" s="0" t="s">
        <x:v>21</x:v>
      </x:c>
      <x:c r="K13664" s="0">
        <x:f>hyperlink("https://icd.who.int/dev11/l-ichi/en#/http%3A%2F%2Fid.who.int%2Ficd%2Fentity%2F564122381","browser")</x:f>
      </x:c>
      <x:c r="L13664" s="0">
        <x:f>hyperlink("https://icat2.azurewebsites.net/icat/?ontology=ICD&amp;tab=ClassesTab&amp;id=http%3A%2F%2Fwho.int%2Ficd%23SpecificAnatomicLocation_3110","iCat")</x:f>
      </x:c>
      <x:c r="M13664" s="0" t="s">
        <x:v>21</x:v>
      </x:c>
      <x:c r="N13664" s="0" t="s">
        <x:v>46</x:v>
      </x:c>
    </x:row>
    <x:row r="13665" spans="1:16">
      <x:c r="A13665" s="0" t="s">
        <x:v>51598</x:v>
      </x:c>
      <x:c r="B13665" s="0" t="s">
        <x:v>51599</x:v>
      </x:c>
      <x:c r="C13665" s="0" t="s">
        <x:v>42840</x:v>
      </x:c>
      <x:c r="E13665" s="0" t="s">
        <x:v>51600</x:v>
      </x:c>
      <x:c r="F13665" s="0" t="s">
        <x:v>45</x:v>
      </x:c>
      <x:c r="G13665" s="0" t="s">
        <x:v>19</x:v>
      </x:c>
      <x:c r="H13665" s="0" t="s">
        <x:v>20</x:v>
      </x:c>
      <x:c r="I13665" s="0" t="s">
        <x:v>21</x:v>
      </x:c>
      <x:c r="K13665" s="0">
        <x:f>hyperlink("https://icd.who.int/dev11/l-ichi/en#/http%3A%2F%2Fid.who.int%2Ficd%2Fentity%2F594549745","browser")</x:f>
      </x:c>
      <x:c r="L13665" s="0">
        <x:f>hyperlink("https://icat2.azurewebsites.net/icat/?ontology=ICD&amp;tab=ClassesTab&amp;id=http%3A%2F%2Fwho.int%2Ficd%239657_16e67c35_8b57_40bb_9220_818553425a8c","iCat")</x:f>
      </x:c>
      <x:c r="M13665" s="0" t="s">
        <x:v>20</x:v>
      </x:c>
      <x:c r="N13665" s="0" t="s">
        <x:v>206</x:v>
      </x:c>
    </x:row>
    <x:row r="13666" spans="1:16">
      <x:c r="A13666" s="0" t="s">
        <x:v>51601</x:v>
      </x:c>
      <x:c r="B13666" s="0" t="s">
        <x:v>51602</x:v>
      </x:c>
      <x:c r="C13666" s="0" t="s">
        <x:v>42840</x:v>
      </x:c>
      <x:c r="E13666" s="0" t="s">
        <x:v>51603</x:v>
      </x:c>
      <x:c r="F13666" s="0" t="s">
        <x:v>45</x:v>
      </x:c>
      <x:c r="G13666" s="0" t="s">
        <x:v>30</x:v>
      </x:c>
      <x:c r="H13666" s="0" t="s">
        <x:v>20</x:v>
      </x:c>
      <x:c r="I13666" s="0" t="s">
        <x:v>21</x:v>
      </x:c>
      <x:c r="K13666" s="0">
        <x:f>hyperlink("https://icd.who.int/dev11/l-ichi/en#/http%3A%2F%2Fid.who.int%2Ficd%2Fentity%2F184539860","browser")</x:f>
      </x:c>
      <x:c r="L13666" s="0">
        <x:f>hyperlink("https://icat2.azurewebsites.net/icat/?ontology=ICD&amp;tab=ClassesTab&amp;id=http%3A%2F%2Fwho.int%2Ficd%239943_16e67c35_8b57_40bb_9220_818553425a8c","iCat")</x:f>
      </x:c>
      <x:c r="M13666" s="0" t="s">
        <x:v>21</x:v>
      </x:c>
      <x:c r="N13666" s="0" t="s">
        <x:v>46</x:v>
      </x:c>
    </x:row>
    <x:row r="13667" spans="1:16">
      <x:c r="A13667" s="0" t="s">
        <x:v>51604</x:v>
      </x:c>
      <x:c r="B13667" s="0" t="s">
        <x:v>51605</x:v>
      </x:c>
      <x:c r="C13667" s="0" t="s">
        <x:v>42840</x:v>
      </x:c>
      <x:c r="E13667" s="0" t="s">
        <x:v>51606</x:v>
      </x:c>
      <x:c r="F13667" s="0" t="s">
        <x:v>45</x:v>
      </x:c>
      <x:c r="G13667" s="0" t="s">
        <x:v>30</x:v>
      </x:c>
      <x:c r="H13667" s="0" t="s">
        <x:v>20</x:v>
      </x:c>
      <x:c r="I13667" s="0" t="s">
        <x:v>21</x:v>
      </x:c>
      <x:c r="K13667" s="0">
        <x:f>hyperlink("https://icd.who.int/dev11/l-ichi/en#/http%3A%2F%2Fid.who.int%2Ficd%2Fentity%2F14011850","browser")</x:f>
      </x:c>
      <x:c r="L13667" s="0">
        <x:f>hyperlink("https://icat2.azurewebsites.net/icat/?ontology=ICD&amp;tab=ClassesTab&amp;id=http%3A%2F%2Fwho.int%2Ficd%239981_16e67c35_8b57_40bb_9220_818553425a8c","iCat")</x:f>
      </x:c>
      <x:c r="M13667" s="0" t="s">
        <x:v>21</x:v>
      </x:c>
      <x:c r="N13667" s="0" t="s">
        <x:v>46</x:v>
      </x:c>
    </x:row>
    <x:row r="13668" spans="1:16">
      <x:c r="A13668" s="0" t="s">
        <x:v>51607</x:v>
      </x:c>
      <x:c r="B13668" s="0" t="s">
        <x:v>51608</x:v>
      </x:c>
      <x:c r="C13668" s="0" t="s">
        <x:v>42840</x:v>
      </x:c>
      <x:c r="E13668" s="0" t="s">
        <x:v>51609</x:v>
      </x:c>
      <x:c r="F13668" s="0" t="s">
        <x:v>45</x:v>
      </x:c>
      <x:c r="G13668" s="0" t="s">
        <x:v>30</x:v>
      </x:c>
      <x:c r="H13668" s="0" t="s">
        <x:v>20</x:v>
      </x:c>
      <x:c r="I13668" s="0" t="s">
        <x:v>21</x:v>
      </x:c>
      <x:c r="K13668" s="0">
        <x:f>hyperlink("https://icd.who.int/dev11/l-ichi/en#/http%3A%2F%2Fid.who.int%2Ficd%2Fentity%2F1192277156","browser")</x:f>
      </x:c>
      <x:c r="L13668" s="0">
        <x:f>hyperlink("https://icat2.azurewebsites.net/icat/?ontology=ICD&amp;tab=ClassesTab&amp;id=http%3A%2F%2Fwho.int%2Ficd%23202_9e276f94_8a58_44b1_9833_7049a406a459","iCat")</x:f>
      </x:c>
      <x:c r="M13668" s="0" t="s">
        <x:v>20</x:v>
      </x:c>
      <x:c r="N13668" s="0" t="s">
        <x:v>30</x:v>
      </x:c>
    </x:row>
    <x:row r="13669" spans="1:16">
      <x:c r="A13669" s="0" t="s">
        <x:v>51610</x:v>
      </x:c>
      <x:c r="B13669" s="0" t="s">
        <x:v>51611</x:v>
      </x:c>
      <x:c r="C13669" s="0" t="s">
        <x:v>42840</x:v>
      </x:c>
      <x:c r="E13669" s="0" t="s">
        <x:v>51612</x:v>
      </x:c>
      <x:c r="F13669" s="0" t="s">
        <x:v>45</x:v>
      </x:c>
      <x:c r="G13669" s="0" t="s">
        <x:v>35</x:v>
      </x:c>
      <x:c r="H13669" s="0" t="s">
        <x:v>20</x:v>
      </x:c>
      <x:c r="I13669" s="0" t="s">
        <x:v>21</x:v>
      </x:c>
      <x:c r="K13669" s="0">
        <x:f>hyperlink("https://icd.who.int/dev11/l-ichi/en#/http%3A%2F%2Fid.who.int%2Ficd%2Fentity%2F1941937141","browser")</x:f>
      </x:c>
      <x:c r="L13669" s="0">
        <x:f>hyperlink("https://icat2.azurewebsites.net/icat/?ontology=ICD&amp;tab=ClassesTab&amp;id=http%3A%2F%2Fwho.int%2Ficd%2310039_16e67c35_8b57_40bb_9220_818553425a8c","iCat")</x:f>
      </x:c>
      <x:c r="M13669" s="0" t="s">
        <x:v>20</x:v>
      </x:c>
      <x:c r="N13669" s="0" t="s">
        <x:v>30</x:v>
      </x:c>
    </x:row>
    <x:row r="13670" spans="1:16">
      <x:c r="A13670" s="0" t="s">
        <x:v>51613</x:v>
      </x:c>
      <x:c r="B13670" s="0" t="s">
        <x:v>51614</x:v>
      </x:c>
      <x:c r="C13670" s="0" t="s">
        <x:v>42840</x:v>
      </x:c>
      <x:c r="E13670" s="0" t="s">
        <x:v>51615</x:v>
      </x:c>
      <x:c r="F13670" s="0" t="s">
        <x:v>45</x:v>
      </x:c>
      <x:c r="G13670" s="0" t="s">
        <x:v>22</x:v>
      </x:c>
      <x:c r="H13670" s="0" t="s">
        <x:v>20</x:v>
      </x:c>
      <x:c r="I13670" s="0" t="s">
        <x:v>21</x:v>
      </x:c>
      <x:c r="K13670" s="0">
        <x:f>hyperlink("https://icd.who.int/dev11/l-ichi/en#/http%3A%2F%2Fid.who.int%2Ficd%2Fentity%2F1901492070","browser")</x:f>
      </x:c>
      <x:c r="L13670" s="0">
        <x:f>hyperlink("https://icat2.azurewebsites.net/icat/?ontology=ICD&amp;tab=ClassesTab&amp;id=http%3A%2F%2Fwho.int%2Ficd%23SpecificAnatomicLocation_3097","iCat")</x:f>
      </x:c>
      <x:c r="M13670" s="0" t="s">
        <x:v>21</x:v>
      </x:c>
      <x:c r="N13670" s="0" t="s">
        <x:v>46</x:v>
      </x:c>
    </x:row>
    <x:row r="13671" spans="1:16">
      <x:c r="A13671" s="0" t="s">
        <x:v>51616</x:v>
      </x:c>
      <x:c r="B13671" s="0" t="s">
        <x:v>51617</x:v>
      </x:c>
      <x:c r="C13671" s="0" t="s">
        <x:v>42840</x:v>
      </x:c>
      <x:c r="E13671" s="0" t="s">
        <x:v>51618</x:v>
      </x:c>
      <x:c r="F13671" s="0" t="s">
        <x:v>45</x:v>
      </x:c>
      <x:c r="G13671" s="0" t="s">
        <x:v>22</x:v>
      </x:c>
      <x:c r="H13671" s="0" t="s">
        <x:v>20</x:v>
      </x:c>
      <x:c r="I13671" s="0" t="s">
        <x:v>21</x:v>
      </x:c>
      <x:c r="K13671" s="0">
        <x:f>hyperlink("https://icd.who.int/dev11/l-ichi/en#/http%3A%2F%2Fid.who.int%2Ficd%2Fentity%2F156594054","browser")</x:f>
      </x:c>
      <x:c r="L13671" s="0">
        <x:f>hyperlink("https://icat2.azurewebsites.net/icat/?ontology=ICD&amp;tab=ClassesTab&amp;id=http%3A%2F%2Fwho.int%2Ficd%2310058_16e67c35_8b57_40bb_9220_818553425a8c","iCat")</x:f>
      </x:c>
      <x:c r="M13671" s="0" t="s">
        <x:v>21</x:v>
      </x:c>
      <x:c r="N13671" s="0" t="s">
        <x:v>46</x:v>
      </x:c>
    </x:row>
    <x:row r="13672" spans="1:16">
      <x:c r="A13672" s="0" t="s">
        <x:v>51619</x:v>
      </x:c>
      <x:c r="B13672" s="0" t="s">
        <x:v>51620</x:v>
      </x:c>
      <x:c r="C13672" s="0" t="s">
        <x:v>42840</x:v>
      </x:c>
      <x:c r="E13672" s="0" t="s">
        <x:v>51621</x:v>
      </x:c>
      <x:c r="F13672" s="0" t="s">
        <x:v>45</x:v>
      </x:c>
      <x:c r="G13672" s="0" t="s">
        <x:v>35</x:v>
      </x:c>
      <x:c r="H13672" s="0" t="s">
        <x:v>20</x:v>
      </x:c>
      <x:c r="I13672" s="0" t="s">
        <x:v>21</x:v>
      </x:c>
      <x:c r="K13672" s="0">
        <x:f>hyperlink("https://icd.who.int/dev11/l-ichi/en#/http%3A%2F%2Fid.who.int%2Ficd%2Fentity%2F1190795105","browser")</x:f>
      </x:c>
      <x:c r="L13672" s="0">
        <x:f>hyperlink("https://icat2.azurewebsites.net/icat/?ontology=ICD&amp;tab=ClassesTab&amp;id=http%3A%2F%2Fwho.int%2Ficd%2310099_16e67c35_8b57_40bb_9220_818553425a8c","iCat")</x:f>
      </x:c>
      <x:c r="M13672" s="0" t="s">
        <x:v>21</x:v>
      </x:c>
      <x:c r="N13672" s="0" t="s">
        <x:v>46</x:v>
      </x:c>
    </x:row>
    <x:row r="13673" spans="1:16">
      <x:c r="A13673" s="0" t="s">
        <x:v>51622</x:v>
      </x:c>
      <x:c r="B13673" s="0" t="s">
        <x:v>51623</x:v>
      </x:c>
      <x:c r="C13673" s="0" t="s">
        <x:v>42840</x:v>
      </x:c>
      <x:c r="E13673" s="0" t="s">
        <x:v>51624</x:v>
      </x:c>
      <x:c r="F13673" s="0" t="s">
        <x:v>45</x:v>
      </x:c>
      <x:c r="G13673" s="0" t="s">
        <x:v>30</x:v>
      </x:c>
      <x:c r="H13673" s="0" t="s">
        <x:v>20</x:v>
      </x:c>
      <x:c r="I13673" s="0" t="s">
        <x:v>21</x:v>
      </x:c>
      <x:c r="K13673" s="0">
        <x:f>hyperlink("https://icd.who.int/dev11/l-ichi/en#/http%3A%2F%2Fid.who.int%2Ficd%2Fentity%2F1693317813","browser")</x:f>
      </x:c>
      <x:c r="L13673" s="0">
        <x:f>hyperlink("https://icat2.azurewebsites.net/icat/?ontology=ICD&amp;tab=ClassesTab&amp;id=http%3A%2F%2Fwho.int%2Ficd%232534_9e276f94_8a58_44b1_9833_7049a406a459","iCat")</x:f>
      </x:c>
      <x:c r="M13673" s="0" t="s">
        <x:v>21</x:v>
      </x:c>
      <x:c r="N13673" s="0" t="s">
        <x:v>46</x:v>
      </x:c>
    </x:row>
    <x:row r="13674" spans="1:16">
      <x:c r="A13674" s="0" t="s">
        <x:v>51625</x:v>
      </x:c>
      <x:c r="B13674" s="0" t="s">
        <x:v>51626</x:v>
      </x:c>
      <x:c r="C13674" s="0" t="s">
        <x:v>42840</x:v>
      </x:c>
      <x:c r="E13674" s="0" t="s">
        <x:v>51627</x:v>
      </x:c>
      <x:c r="F13674" s="0" t="s">
        <x:v>45</x:v>
      </x:c>
      <x:c r="G13674" s="0" t="s">
        <x:v>30</x:v>
      </x:c>
      <x:c r="H13674" s="0" t="s">
        <x:v>20</x:v>
      </x:c>
      <x:c r="I13674" s="0" t="s">
        <x:v>21</x:v>
      </x:c>
      <x:c r="K13674" s="0">
        <x:f>hyperlink("https://icd.who.int/dev11/l-ichi/en#/http%3A%2F%2Fid.who.int%2Ficd%2Fentity%2F688763962","browser")</x:f>
      </x:c>
      <x:c r="L13674" s="0">
        <x:f>hyperlink("https://icat2.azurewebsites.net/icat/?ontology=ICD&amp;tab=ClassesTab&amp;id=http%3A%2F%2Fwho.int%2Ficd%2335362_5068053d_dbae_4066_9fec_a83d5dd174ab","iCat")</x:f>
      </x:c>
      <x:c r="M13674" s="0" t="s">
        <x:v>21</x:v>
      </x:c>
      <x:c r="N13674" s="0" t="s">
        <x:v>46</x:v>
      </x:c>
    </x:row>
    <x:row r="13675" spans="1:16">
      <x:c r="A13675" s="0" t="s">
        <x:v>51628</x:v>
      </x:c>
      <x:c r="B13675" s="0" t="s">
        <x:v>51629</x:v>
      </x:c>
      <x:c r="C13675" s="0" t="s">
        <x:v>42840</x:v>
      </x:c>
      <x:c r="E13675" s="0" t="s">
        <x:v>51630</x:v>
      </x:c>
      <x:c r="F13675" s="0" t="s">
        <x:v>45</x:v>
      </x:c>
      <x:c r="G13675" s="0" t="s">
        <x:v>30</x:v>
      </x:c>
      <x:c r="H13675" s="0" t="s">
        <x:v>20</x:v>
      </x:c>
      <x:c r="I13675" s="0" t="s">
        <x:v>21</x:v>
      </x:c>
      <x:c r="K13675" s="0">
        <x:f>hyperlink("https://icd.who.int/dev11/l-ichi/en#/http%3A%2F%2Fid.who.int%2Ficd%2Fentity%2F1483073922","browser")</x:f>
      </x:c>
      <x:c r="L13675" s="0">
        <x:f>hyperlink("https://icat2.azurewebsites.net/icat/?ontology=ICD&amp;tab=ClassesTab&amp;id=http%3A%2F%2Fwho.int%2Ficd%23SpecificAnatomicLocation_1165","iCat")</x:f>
      </x:c>
      <x:c r="M13675" s="0" t="s">
        <x:v>21</x:v>
      </x:c>
      <x:c r="N13675" s="0" t="s">
        <x:v>46</x:v>
      </x:c>
    </x:row>
    <x:row r="13676" spans="1:16">
      <x:c r="A13676" s="0" t="s">
        <x:v>51631</x:v>
      </x:c>
      <x:c r="B13676" s="0" t="s">
        <x:v>51632</x:v>
      </x:c>
      <x:c r="D13676" s="0" t="s">
        <x:v>44498</x:v>
      </x:c>
      <x:c r="E13676" s="0" t="s">
        <x:v>51633</x:v>
      </x:c>
      <x:c r="F13676" s="0" t="s">
        <x:v>26</x:v>
      </x:c>
      <x:c r="G13676" s="0" t="s">
        <x:v>30</x:v>
      </x:c>
      <x:c r="H13676" s="0" t="s">
        <x:v>20</x:v>
      </x:c>
      <x:c r="I13676" s="0" t="s">
        <x:v>21</x:v>
      </x:c>
      <x:c r="K13676" s="0">
        <x:f>hyperlink("https://icd.who.int/dev11/l-ichi/en#/http%3A%2F%2Fid.who.int%2Ficd%2Fentity%2F1509166126","browser")</x:f>
      </x:c>
      <x:c r="L13676" s="0">
        <x:f>hyperlink("https://icat2.azurewebsites.net/icat/?ontology=ICD&amp;tab=ClassesTab&amp;id=http%3A%2F%2Fwho.int%2Ficd%237242_b203ab4b_c346_4ae8_bf5c_021059193f8c","iCat")</x:f>
      </x:c>
      <x:c r="M13676" s="0" t="s">
        <x:v>20</x:v>
      </x:c>
      <x:c r="N13676" s="0" t="s">
        <x:v>22</x:v>
      </x:c>
    </x:row>
    <x:row r="13677" spans="1:16">
      <x:c r="A13677" s="0" t="s">
        <x:v>51634</x:v>
      </x:c>
      <x:c r="B13677" s="0" t="s">
        <x:v>51635</x:v>
      </x:c>
      <x:c r="D13677" s="0" t="s">
        <x:v>44502</x:v>
      </x:c>
      <x:c r="E13677" s="0" t="s">
        <x:v>51636</x:v>
      </x:c>
      <x:c r="F13677" s="0" t="s">
        <x:v>26</x:v>
      </x:c>
      <x:c r="G13677" s="0" t="s">
        <x:v>35</x:v>
      </x:c>
      <x:c r="H13677" s="0" t="s">
        <x:v>20</x:v>
      </x:c>
      <x:c r="I13677" s="0" t="s">
        <x:v>21</x:v>
      </x:c>
      <x:c r="K13677" s="0">
        <x:f>hyperlink("https://icd.who.int/dev11/l-ichi/en#/http%3A%2F%2Fid.who.int%2Ficd%2Fentity%2F1144883259","browser")</x:f>
      </x:c>
      <x:c r="L13677" s="0">
        <x:f>hyperlink("https://icat2.azurewebsites.net/icat/?ontology=ICD&amp;tab=ClassesTab&amp;id=http%3A%2F%2Fwho.int%2Ficd%23SpecificAnatomicLocation_3521","iCat")</x:f>
      </x:c>
      <x:c r="M13677" s="0" t="s">
        <x:v>20</x:v>
      </x:c>
      <x:c r="N13677" s="0" t="s">
        <x:v>2677</x:v>
      </x:c>
    </x:row>
    <x:row r="13678" spans="1:16">
      <x:c r="A13678" s="0" t="s">
        <x:v>51637</x:v>
      </x:c>
      <x:c r="B13678" s="0" t="s">
        <x:v>51638</x:v>
      </x:c>
      <x:c r="C13678" s="0" t="s">
        <x:v>42840</x:v>
      </x:c>
      <x:c r="E13678" s="0" t="s">
        <x:v>51639</x:v>
      </x:c>
      <x:c r="F13678" s="0" t="s">
        <x:v>45</x:v>
      </x:c>
      <x:c r="G13678" s="0" t="s">
        <x:v>19</x:v>
      </x:c>
      <x:c r="H13678" s="0" t="s">
        <x:v>20</x:v>
      </x:c>
      <x:c r="I13678" s="0" t="s">
        <x:v>21</x:v>
      </x:c>
      <x:c r="K13678" s="0">
        <x:f>hyperlink("https://icd.who.int/dev11/l-ichi/en#/http%3A%2F%2Fid.who.int%2Ficd%2Fentity%2F119571850","browser")</x:f>
      </x:c>
      <x:c r="L13678" s="0">
        <x:f>hyperlink("https://icat2.azurewebsites.net/icat/?ontology=ICD&amp;tab=ClassesTab&amp;id=http%3A%2F%2Fwho.int%2Ficd%23SpecificAnatomicLocation_3506","iCat")</x:f>
      </x:c>
      <x:c r="M13678" s="0" t="s">
        <x:v>20</x:v>
      </x:c>
      <x:c r="N13678" s="0" t="s">
        <x:v>431</x:v>
      </x:c>
    </x:row>
    <x:row r="13679" spans="1:16">
      <x:c r="A13679" s="0" t="s">
        <x:v>51640</x:v>
      </x:c>
      <x:c r="B13679" s="0" t="s">
        <x:v>51641</x:v>
      </x:c>
      <x:c r="C13679" s="0" t="s">
        <x:v>42840</x:v>
      </x:c>
      <x:c r="E13679" s="0" t="s">
        <x:v>51642</x:v>
      </x:c>
      <x:c r="F13679" s="0" t="s">
        <x:v>45</x:v>
      </x:c>
      <x:c r="G13679" s="0" t="s">
        <x:v>30</x:v>
      </x:c>
      <x:c r="H13679" s="0" t="s">
        <x:v>20</x:v>
      </x:c>
      <x:c r="I13679" s="0" t="s">
        <x:v>21</x:v>
      </x:c>
      <x:c r="K13679" s="0">
        <x:f>hyperlink("https://icd.who.int/dev11/l-ichi/en#/http%3A%2F%2Fid.who.int%2Ficd%2Fentity%2F1660533706","browser")</x:f>
      </x:c>
      <x:c r="L13679" s="0">
        <x:f>hyperlink("https://icat2.azurewebsites.net/icat/?ontology=ICD&amp;tab=ClassesTab&amp;id=http%3A%2F%2Fwho.int%2Ficd%23SpecificAnatomicLocation_3501","iCat")</x:f>
      </x:c>
      <x:c r="M13679" s="0" t="s">
        <x:v>21</x:v>
      </x:c>
      <x:c r="N13679" s="0" t="s">
        <x:v>46</x:v>
      </x:c>
    </x:row>
    <x:row r="13680" spans="1:16">
      <x:c r="A13680" s="0" t="s">
        <x:v>51643</x:v>
      </x:c>
      <x:c r="B13680" s="0" t="s">
        <x:v>51644</x:v>
      </x:c>
      <x:c r="C13680" s="0" t="s">
        <x:v>42840</x:v>
      </x:c>
      <x:c r="E13680" s="0" t="s">
        <x:v>51645</x:v>
      </x:c>
      <x:c r="F13680" s="0" t="s">
        <x:v>45</x:v>
      </x:c>
      <x:c r="G13680" s="0" t="s">
        <x:v>30</x:v>
      </x:c>
      <x:c r="H13680" s="0" t="s">
        <x:v>20</x:v>
      </x:c>
      <x:c r="I13680" s="0" t="s">
        <x:v>21</x:v>
      </x:c>
      <x:c r="K13680" s="0">
        <x:f>hyperlink("https://icd.who.int/dev11/l-ichi/en#/http%3A%2F%2Fid.who.int%2Ficd%2Fentity%2F1286173258","browser")</x:f>
      </x:c>
      <x:c r="L13680" s="0">
        <x:f>hyperlink("https://icat2.azurewebsites.net/icat/?ontology=ICD&amp;tab=ClassesTab&amp;id=http%3A%2F%2Fwho.int%2Ficd%23SpecificAnatomicLocation_3503","iCat")</x:f>
      </x:c>
      <x:c r="M13680" s="0" t="s">
        <x:v>21</x:v>
      </x:c>
      <x:c r="N13680" s="0" t="s">
        <x:v>46</x:v>
      </x:c>
    </x:row>
    <x:row r="13681" spans="1:16">
      <x:c r="A13681" s="0" t="s">
        <x:v>51646</x:v>
      </x:c>
      <x:c r="B13681" s="0" t="s">
        <x:v>51647</x:v>
      </x:c>
      <x:c r="C13681" s="0" t="s">
        <x:v>42840</x:v>
      </x:c>
      <x:c r="E13681" s="0" t="s">
        <x:v>51648</x:v>
      </x:c>
      <x:c r="F13681" s="0" t="s">
        <x:v>45</x:v>
      </x:c>
      <x:c r="G13681" s="0" t="s">
        <x:v>30</x:v>
      </x:c>
      <x:c r="H13681" s="0" t="s">
        <x:v>20</x:v>
      </x:c>
      <x:c r="I13681" s="0" t="s">
        <x:v>21</x:v>
      </x:c>
      <x:c r="K13681" s="0">
        <x:f>hyperlink("https://icd.who.int/dev11/l-ichi/en#/http%3A%2F%2Fid.who.int%2Ficd%2Fentity%2F1045965002","browser")</x:f>
      </x:c>
      <x:c r="L13681" s="0">
        <x:f>hyperlink("https://icat2.azurewebsites.net/icat/?ontology=ICD&amp;tab=ClassesTab&amp;id=http%3A%2F%2Fwho.int%2Ficd%23SpecificAnatomicLocation_3505","iCat")</x:f>
      </x:c>
      <x:c r="M13681" s="0" t="s">
        <x:v>21</x:v>
      </x:c>
      <x:c r="N13681" s="0" t="s">
        <x:v>46</x:v>
      </x:c>
    </x:row>
    <x:row r="13682" spans="1:16">
      <x:c r="A13682" s="0" t="s">
        <x:v>51649</x:v>
      </x:c>
      <x:c r="B13682" s="0" t="s">
        <x:v>51650</x:v>
      </x:c>
      <x:c r="C13682" s="0" t="s">
        <x:v>42840</x:v>
      </x:c>
      <x:c r="E13682" s="0" t="s">
        <x:v>51651</x:v>
      </x:c>
      <x:c r="F13682" s="0" t="s">
        <x:v>45</x:v>
      </x:c>
      <x:c r="G13682" s="0" t="s">
        <x:v>30</x:v>
      </x:c>
      <x:c r="H13682" s="0" t="s">
        <x:v>20</x:v>
      </x:c>
      <x:c r="I13682" s="0" t="s">
        <x:v>21</x:v>
      </x:c>
      <x:c r="K13682" s="0">
        <x:f>hyperlink("https://icd.who.int/dev11/l-ichi/en#/http%3A%2F%2Fid.who.int%2Ficd%2Fentity%2F1535186570","browser")</x:f>
      </x:c>
      <x:c r="L13682" s="0">
        <x:f>hyperlink("https://icat2.azurewebsites.net/icat/?ontology=ICD&amp;tab=ClassesTab&amp;id=http%3A%2F%2Fwho.int%2Ficd%23SpecificAnatomicLocation_3502","iCat")</x:f>
      </x:c>
      <x:c r="M13682" s="0" t="s">
        <x:v>20</x:v>
      </x:c>
      <x:c r="N13682" s="0" t="s">
        <x:v>19</x:v>
      </x:c>
    </x:row>
    <x:row r="13683" spans="1:16">
      <x:c r="A13683" s="0" t="s">
        <x:v>51652</x:v>
      </x:c>
      <x:c r="B13683" s="0" t="s">
        <x:v>51653</x:v>
      </x:c>
      <x:c r="C13683" s="0" t="s">
        <x:v>42840</x:v>
      </x:c>
      <x:c r="E13683" s="0" t="s">
        <x:v>51654</x:v>
      </x:c>
      <x:c r="F13683" s="0" t="s">
        <x:v>45</x:v>
      </x:c>
      <x:c r="G13683" s="0" t="s">
        <x:v>35</x:v>
      </x:c>
      <x:c r="H13683" s="0" t="s">
        <x:v>20</x:v>
      </x:c>
      <x:c r="I13683" s="0" t="s">
        <x:v>21</x:v>
      </x:c>
      <x:c r="K13683" s="0">
        <x:f>hyperlink("https://icd.who.int/dev11/l-ichi/en#/http%3A%2F%2Fid.who.int%2Ficd%2Fentity%2F1330482498","browser")</x:f>
      </x:c>
      <x:c r="L13683" s="0">
        <x:f>hyperlink("https://icat2.azurewebsites.net/icat/?ontology=ICD&amp;tab=ClassesTab&amp;id=http%3A%2F%2Fwho.int%2Ficd%23SpecificAnatomicLocation_1164","iCat")</x:f>
      </x:c>
      <x:c r="M13683" s="0" t="s">
        <x:v>21</x:v>
      </x:c>
      <x:c r="N13683" s="0" t="s">
        <x:v>46</x:v>
      </x:c>
    </x:row>
    <x:row r="13684" spans="1:16">
      <x:c r="A13684" s="0" t="s">
        <x:v>51655</x:v>
      </x:c>
      <x:c r="B13684" s="0" t="s">
        <x:v>51656</x:v>
      </x:c>
      <x:c r="C13684" s="0" t="s">
        <x:v>42840</x:v>
      </x:c>
      <x:c r="E13684" s="0" t="s">
        <x:v>51657</x:v>
      </x:c>
      <x:c r="F13684" s="0" t="s">
        <x:v>45</x:v>
      </x:c>
      <x:c r="G13684" s="0" t="s">
        <x:v>30</x:v>
      </x:c>
      <x:c r="H13684" s="0" t="s">
        <x:v>20</x:v>
      </x:c>
      <x:c r="I13684" s="0" t="s">
        <x:v>21</x:v>
      </x:c>
      <x:c r="K13684" s="0">
        <x:f>hyperlink("https://icd.who.int/dev11/l-ichi/en#/http%3A%2F%2Fid.who.int%2Ficd%2Fentity%2F695225354","browser")</x:f>
      </x:c>
      <x:c r="L13684" s="0">
        <x:f>hyperlink("https://icat2.azurewebsites.net/icat/?ontology=ICD&amp;tab=ClassesTab&amp;id=http%3A%2F%2Fwho.int%2Ficd%23SpecificAnatomicLocation_3504","iCat")</x:f>
      </x:c>
      <x:c r="M13684" s="0" t="s">
        <x:v>21</x:v>
      </x:c>
      <x:c r="N13684" s="0" t="s">
        <x:v>46</x:v>
      </x:c>
    </x:row>
    <x:row r="13685" spans="1:16">
      <x:c r="A13685" s="0" t="s">
        <x:v>51658</x:v>
      </x:c>
      <x:c r="B13685" s="0" t="s">
        <x:v>51659</x:v>
      </x:c>
      <x:c r="C13685" s="0" t="s">
        <x:v>42840</x:v>
      </x:c>
      <x:c r="E13685" s="0" t="s">
        <x:v>51660</x:v>
      </x:c>
      <x:c r="F13685" s="0" t="s">
        <x:v>45</x:v>
      </x:c>
      <x:c r="G13685" s="0" t="s">
        <x:v>30</x:v>
      </x:c>
      <x:c r="H13685" s="0" t="s">
        <x:v>20</x:v>
      </x:c>
      <x:c r="I13685" s="0" t="s">
        <x:v>21</x:v>
      </x:c>
      <x:c r="K13685" s="0">
        <x:f>hyperlink("https://icd.who.int/dev11/l-ichi/en#/http%3A%2F%2Fid.who.int%2Ficd%2Fentity%2F1871667908","browser")</x:f>
      </x:c>
      <x:c r="L13685" s="0">
        <x:f>hyperlink("https://icat2.azurewebsites.net/icat/?ontology=ICD&amp;tab=ClassesTab&amp;id=http%3A%2F%2Fwho.int%2Ficd%23SpecificAnatomicLocation_3499","iCat")</x:f>
      </x:c>
      <x:c r="M13685" s="0" t="s">
        <x:v>21</x:v>
      </x:c>
      <x:c r="N13685" s="0" t="s">
        <x:v>46</x:v>
      </x:c>
    </x:row>
    <x:row r="13686" spans="1:16">
      <x:c r="A13686" s="0" t="s">
        <x:v>51661</x:v>
      </x:c>
      <x:c r="B13686" s="0" t="s">
        <x:v>51662</x:v>
      </x:c>
      <x:c r="C13686" s="0" t="s">
        <x:v>42840</x:v>
      </x:c>
      <x:c r="E13686" s="0" t="s">
        <x:v>51663</x:v>
      </x:c>
      <x:c r="F13686" s="0" t="s">
        <x:v>45</x:v>
      </x:c>
      <x:c r="G13686" s="0" t="s">
        <x:v>30</x:v>
      </x:c>
      <x:c r="H13686" s="0" t="s">
        <x:v>20</x:v>
      </x:c>
      <x:c r="I13686" s="0" t="s">
        <x:v>21</x:v>
      </x:c>
      <x:c r="K13686" s="0">
        <x:f>hyperlink("https://icd.who.int/dev11/l-ichi/en#/http%3A%2F%2Fid.who.int%2Ficd%2Fentity%2F1976688394","browser")</x:f>
      </x:c>
      <x:c r="L13686" s="0">
        <x:f>hyperlink("https://icat2.azurewebsites.net/icat/?ontology=ICD&amp;tab=ClassesTab&amp;id=http%3A%2F%2Fwho.int%2Ficd%23SpecificAnatomicLocation_3500","iCat")</x:f>
      </x:c>
      <x:c r="M13686" s="0" t="s">
        <x:v>21</x:v>
      </x:c>
      <x:c r="N13686" s="0" t="s">
        <x:v>46</x:v>
      </x:c>
    </x:row>
    <x:row r="13687" spans="1:16">
      <x:c r="A13687" s="0" t="s">
        <x:v>51664</x:v>
      </x:c>
      <x:c r="B13687" s="0" t="s">
        <x:v>51665</x:v>
      </x:c>
      <x:c r="C13687" s="0" t="s">
        <x:v>42840</x:v>
      </x:c>
      <x:c r="E13687" s="0" t="s">
        <x:v>51666</x:v>
      </x:c>
      <x:c r="F13687" s="0" t="s">
        <x:v>45</x:v>
      </x:c>
      <x:c r="G13687" s="0" t="s">
        <x:v>19</x:v>
      </x:c>
      <x:c r="H13687" s="0" t="s">
        <x:v>20</x:v>
      </x:c>
      <x:c r="I13687" s="0" t="s">
        <x:v>21</x:v>
      </x:c>
      <x:c r="K13687" s="0">
        <x:f>hyperlink("https://icd.who.int/dev11/l-ichi/en#/http%3A%2F%2Fid.who.int%2Ficd%2Fentity%2F2024211972","browser")</x:f>
      </x:c>
      <x:c r="L13687" s="0">
        <x:f>hyperlink("https://icat2.azurewebsites.net/icat/?ontology=ICD&amp;tab=ClassesTab&amp;id=http%3A%2F%2Fwho.int%2Ficd%23SpecificAnatomicLocation_3498","iCat")</x:f>
      </x:c>
      <x:c r="M13687" s="0" t="s">
        <x:v>21</x:v>
      </x:c>
      <x:c r="N13687" s="0" t="s">
        <x:v>46</x:v>
      </x:c>
    </x:row>
    <x:row r="13688" spans="1:16">
      <x:c r="A13688" s="0" t="s">
        <x:v>51667</x:v>
      </x:c>
      <x:c r="B13688" s="0" t="s">
        <x:v>51668</x:v>
      </x:c>
      <x:c r="C13688" s="0" t="s">
        <x:v>42840</x:v>
      </x:c>
      <x:c r="E13688" s="0" t="s">
        <x:v>51669</x:v>
      </x:c>
      <x:c r="F13688" s="0" t="s">
        <x:v>45</x:v>
      </x:c>
      <x:c r="G13688" s="0" t="s">
        <x:v>19</x:v>
      </x:c>
      <x:c r="H13688" s="0" t="s">
        <x:v>20</x:v>
      </x:c>
      <x:c r="I13688" s="0" t="s">
        <x:v>21</x:v>
      </x:c>
      <x:c r="K13688" s="0">
        <x:f>hyperlink("https://icd.who.int/dev11/l-ichi/en#/http%3A%2F%2Fid.who.int%2Ficd%2Fentity%2F608526902","browser")</x:f>
      </x:c>
      <x:c r="L13688" s="0">
        <x:f>hyperlink("https://icat2.azurewebsites.net/icat/?ontology=ICD&amp;tab=ClassesTab&amp;id=http%3A%2F%2Fwho.int%2Ficd%23SpecificAnatomicLocation_3509","iCat")</x:f>
      </x:c>
      <x:c r="M13688" s="0" t="s">
        <x:v>20</x:v>
      </x:c>
      <x:c r="N13688" s="0" t="s">
        <x:v>206</x:v>
      </x:c>
    </x:row>
    <x:row r="13689" spans="1:16">
      <x:c r="A13689" s="0" t="s">
        <x:v>51670</x:v>
      </x:c>
      <x:c r="B13689" s="0" t="s">
        <x:v>51671</x:v>
      </x:c>
      <x:c r="C13689" s="0" t="s">
        <x:v>42840</x:v>
      </x:c>
      <x:c r="E13689" s="0" t="s">
        <x:v>51672</x:v>
      </x:c>
      <x:c r="F13689" s="0" t="s">
        <x:v>45</x:v>
      </x:c>
      <x:c r="G13689" s="0" t="s">
        <x:v>30</x:v>
      </x:c>
      <x:c r="H13689" s="0" t="s">
        <x:v>20</x:v>
      </x:c>
      <x:c r="I13689" s="0" t="s">
        <x:v>21</x:v>
      </x:c>
      <x:c r="K13689" s="0">
        <x:f>hyperlink("https://icd.who.int/dev11/l-ichi/en#/http%3A%2F%2Fid.who.int%2Ficd%2Fentity%2F783346505","browser")</x:f>
      </x:c>
      <x:c r="L13689" s="0">
        <x:f>hyperlink("https://icat2.azurewebsites.net/icat/?ontology=ICD&amp;tab=ClassesTab&amp;id=http%3A%2F%2Fwho.int%2Ficd%236701_5068053d_dbae_4066_9fec_a83d5dd174ab","iCat")</x:f>
      </x:c>
      <x:c r="M13689" s="0" t="s">
        <x:v>21</x:v>
      </x:c>
      <x:c r="N13689" s="0" t="s">
        <x:v>46</x:v>
      </x:c>
    </x:row>
    <x:row r="13690" spans="1:16">
      <x:c r="A13690" s="0" t="s">
        <x:v>51673</x:v>
      </x:c>
      <x:c r="B13690" s="0" t="s">
        <x:v>51674</x:v>
      </x:c>
      <x:c r="C13690" s="0" t="s">
        <x:v>42840</x:v>
      </x:c>
      <x:c r="E13690" s="0" t="s">
        <x:v>51675</x:v>
      </x:c>
      <x:c r="F13690" s="0" t="s">
        <x:v>45</x:v>
      </x:c>
      <x:c r="G13690" s="0" t="s">
        <x:v>30</x:v>
      </x:c>
      <x:c r="H13690" s="0" t="s">
        <x:v>20</x:v>
      </x:c>
      <x:c r="I13690" s="0" t="s">
        <x:v>21</x:v>
      </x:c>
      <x:c r="K13690" s="0">
        <x:f>hyperlink("https://icd.who.int/dev11/l-ichi/en#/http%3A%2F%2Fid.who.int%2Ficd%2Fentity%2F1491295975","browser")</x:f>
      </x:c>
      <x:c r="L13690" s="0">
        <x:f>hyperlink("https://icat2.azurewebsites.net/icat/?ontology=ICD&amp;tab=ClassesTab&amp;id=http%3A%2F%2Fwho.int%2Ficd%2335308_5068053d_dbae_4066_9fec_a83d5dd174ab","iCat")</x:f>
      </x:c>
      <x:c r="M13690" s="0" t="s">
        <x:v>21</x:v>
      </x:c>
      <x:c r="N13690" s="0" t="s">
        <x:v>46</x:v>
      </x:c>
    </x:row>
    <x:row r="13691" spans="1:16">
      <x:c r="A13691" s="0" t="s">
        <x:v>51676</x:v>
      </x:c>
      <x:c r="B13691" s="0" t="s">
        <x:v>51677</x:v>
      </x:c>
      <x:c r="C13691" s="0" t="s">
        <x:v>42840</x:v>
      </x:c>
      <x:c r="E13691" s="0" t="s">
        <x:v>51678</x:v>
      </x:c>
      <x:c r="F13691" s="0" t="s">
        <x:v>45</x:v>
      </x:c>
      <x:c r="G13691" s="0" t="s">
        <x:v>30</x:v>
      </x:c>
      <x:c r="H13691" s="0" t="s">
        <x:v>20</x:v>
      </x:c>
      <x:c r="I13691" s="0" t="s">
        <x:v>21</x:v>
      </x:c>
      <x:c r="K13691" s="0">
        <x:f>hyperlink("https://icd.who.int/dev11/l-ichi/en#/http%3A%2F%2Fid.who.int%2Ficd%2Fentity%2F1142846482","browser")</x:f>
      </x:c>
      <x:c r="L13691" s="0">
        <x:f>hyperlink("https://icat2.azurewebsites.net/icat/?ontology=ICD&amp;tab=ClassesTab&amp;id=http%3A%2F%2Fwho.int%2Ficd%236681_5068053d_dbae_4066_9fec_a83d5dd174ab","iCat")</x:f>
      </x:c>
      <x:c r="M13691" s="0" t="s">
        <x:v>21</x:v>
      </x:c>
      <x:c r="N13691" s="0" t="s">
        <x:v>46</x:v>
      </x:c>
    </x:row>
    <x:row r="13692" spans="1:16">
      <x:c r="A13692" s="0" t="s">
        <x:v>51679</x:v>
      </x:c>
      <x:c r="B13692" s="0" t="s">
        <x:v>51680</x:v>
      </x:c>
      <x:c r="C13692" s="0" t="s">
        <x:v>42840</x:v>
      </x:c>
      <x:c r="E13692" s="0" t="s">
        <x:v>51681</x:v>
      </x:c>
      <x:c r="F13692" s="0" t="s">
        <x:v>45</x:v>
      </x:c>
      <x:c r="G13692" s="0" t="s">
        <x:v>30</x:v>
      </x:c>
      <x:c r="H13692" s="0" t="s">
        <x:v>20</x:v>
      </x:c>
      <x:c r="I13692" s="0" t="s">
        <x:v>21</x:v>
      </x:c>
      <x:c r="K13692" s="0">
        <x:f>hyperlink("https://icd.who.int/dev11/l-ichi/en#/http%3A%2F%2Fid.who.int%2Ficd%2Fentity%2F183766859","browser")</x:f>
      </x:c>
      <x:c r="L13692" s="0">
        <x:f>hyperlink("https://icat2.azurewebsites.net/icat/?ontology=ICD&amp;tab=ClassesTab&amp;id=http%3A%2F%2Fwho.int%2Ficd%236719_5068053d_dbae_4066_9fec_a83d5dd174ab","iCat")</x:f>
      </x:c>
      <x:c r="M13692" s="0" t="s">
        <x:v>21</x:v>
      </x:c>
      <x:c r="N13692" s="0" t="s">
        <x:v>46</x:v>
      </x:c>
    </x:row>
    <x:row r="13693" spans="1:16">
      <x:c r="A13693" s="0" t="s">
        <x:v>51682</x:v>
      </x:c>
      <x:c r="B13693" s="0" t="s">
        <x:v>51683</x:v>
      </x:c>
      <x:c r="C13693" s="0" t="s">
        <x:v>42840</x:v>
      </x:c>
      <x:c r="E13693" s="0" t="s">
        <x:v>51684</x:v>
      </x:c>
      <x:c r="F13693" s="0" t="s">
        <x:v>45</x:v>
      </x:c>
      <x:c r="G13693" s="0" t="s">
        <x:v>30</x:v>
      </x:c>
      <x:c r="H13693" s="0" t="s">
        <x:v>20</x:v>
      </x:c>
      <x:c r="I13693" s="0" t="s">
        <x:v>21</x:v>
      </x:c>
      <x:c r="K13693" s="0">
        <x:f>hyperlink("https://icd.who.int/dev11/l-ichi/en#/http%3A%2F%2Fid.who.int%2Ficd%2Fentity%2F355387376","browser")</x:f>
      </x:c>
      <x:c r="L13693" s="0">
        <x:f>hyperlink("https://icat2.azurewebsites.net/icat/?ontology=ICD&amp;tab=ClassesTab&amp;id=http%3A%2F%2Fwho.int%2Ficd%231646_b35e2f26_f485_4668_800f_7416297697bb","iCat")</x:f>
      </x:c>
      <x:c r="M13693" s="0" t="s">
        <x:v>21</x:v>
      </x:c>
      <x:c r="N13693" s="0" t="s">
        <x:v>46</x:v>
      </x:c>
    </x:row>
    <x:row r="13694" spans="1:16">
      <x:c r="A13694" s="0" t="s">
        <x:v>51685</x:v>
      </x:c>
      <x:c r="B13694" s="0" t="s">
        <x:v>51686</x:v>
      </x:c>
      <x:c r="C13694" s="0" t="s">
        <x:v>42840</x:v>
      </x:c>
      <x:c r="E13694" s="0" t="s">
        <x:v>51687</x:v>
      </x:c>
      <x:c r="F13694" s="0" t="s">
        <x:v>45</x:v>
      </x:c>
      <x:c r="G13694" s="0" t="s">
        <x:v>30</x:v>
      </x:c>
      <x:c r="H13694" s="0" t="s">
        <x:v>20</x:v>
      </x:c>
      <x:c r="I13694" s="0" t="s">
        <x:v>21</x:v>
      </x:c>
      <x:c r="K13694" s="0">
        <x:f>hyperlink("https://icd.who.int/dev11/l-ichi/en#/http%3A%2F%2Fid.who.int%2Ficd%2Fentity%2F508369172","browser")</x:f>
      </x:c>
      <x:c r="L13694" s="0">
        <x:f>hyperlink("https://icat2.azurewebsites.net/icat/?ontology=ICD&amp;tab=ClassesTab&amp;id=http%3A%2F%2Fwho.int%2Ficd%23SpecificAnatomicLocation_2998","iCat")</x:f>
      </x:c>
      <x:c r="M13694" s="0" t="s">
        <x:v>20</x:v>
      </x:c>
      <x:c r="N13694" s="0" t="s">
        <x:v>30</x:v>
      </x:c>
    </x:row>
    <x:row r="13695" spans="1:16">
      <x:c r="A13695" s="0" t="s">
        <x:v>51688</x:v>
      </x:c>
      <x:c r="B13695" s="0" t="s">
        <x:v>51689</x:v>
      </x:c>
      <x:c r="C13695" s="0" t="s">
        <x:v>42840</x:v>
      </x:c>
      <x:c r="E13695" s="0" t="s">
        <x:v>51690</x:v>
      </x:c>
      <x:c r="F13695" s="0" t="s">
        <x:v>45</x:v>
      </x:c>
      <x:c r="G13695" s="0" t="s">
        <x:v>35</x:v>
      </x:c>
      <x:c r="H13695" s="0" t="s">
        <x:v>20</x:v>
      </x:c>
      <x:c r="I13695" s="0" t="s">
        <x:v>21</x:v>
      </x:c>
      <x:c r="K13695" s="0">
        <x:f>hyperlink("https://icd.who.int/dev11/l-ichi/en#/http%3A%2F%2Fid.who.int%2Ficd%2Fentity%2F1392687323","browser")</x:f>
      </x:c>
      <x:c r="L13695" s="0">
        <x:f>hyperlink("https://icat2.azurewebsites.net/icat/?ontology=ICD&amp;tab=ClassesTab&amp;id=http%3A%2F%2Fwho.int%2Ficd%2335344_5068053d_dbae_4066_9fec_a83d5dd174ab","iCat")</x:f>
      </x:c>
      <x:c r="M13695" s="0" t="s">
        <x:v>21</x:v>
      </x:c>
      <x:c r="N13695" s="0" t="s">
        <x:v>46</x:v>
      </x:c>
    </x:row>
    <x:row r="13696" spans="1:16">
      <x:c r="A13696" s="0" t="s">
        <x:v>51691</x:v>
      </x:c>
      <x:c r="B13696" s="0" t="s">
        <x:v>51692</x:v>
      </x:c>
      <x:c r="C13696" s="0" t="s">
        <x:v>42840</x:v>
      </x:c>
      <x:c r="E13696" s="0" t="s">
        <x:v>51693</x:v>
      </x:c>
      <x:c r="F13696" s="0" t="s">
        <x:v>45</x:v>
      </x:c>
      <x:c r="G13696" s="0" t="s">
        <x:v>35</x:v>
      </x:c>
      <x:c r="H13696" s="0" t="s">
        <x:v>20</x:v>
      </x:c>
      <x:c r="I13696" s="0" t="s">
        <x:v>21</x:v>
      </x:c>
      <x:c r="K13696" s="0">
        <x:f>hyperlink("https://icd.who.int/dev11/l-ichi/en#/http%3A%2F%2Fid.who.int%2Ficd%2Fentity%2F2059975565","browser")</x:f>
      </x:c>
      <x:c r="L13696" s="0">
        <x:f>hyperlink("https://icat2.azurewebsites.net/icat/?ontology=ICD&amp;tab=ClassesTab&amp;id=http%3A%2F%2Fwho.int%2Ficd%23672_9e276f94_8a58_44b1_9833_7049a406a459","iCat")</x:f>
      </x:c>
      <x:c r="M13696" s="0" t="s">
        <x:v>21</x:v>
      </x:c>
      <x:c r="N13696" s="0" t="s">
        <x:v>46</x:v>
      </x:c>
    </x:row>
    <x:row r="13697" spans="1:16">
      <x:c r="A13697" s="0" t="s">
        <x:v>51694</x:v>
      </x:c>
      <x:c r="B13697" s="0" t="s">
        <x:v>51695</x:v>
      </x:c>
      <x:c r="C13697" s="0" t="s">
        <x:v>42840</x:v>
      </x:c>
      <x:c r="E13697" s="0" t="s">
        <x:v>51696</x:v>
      </x:c>
      <x:c r="F13697" s="0" t="s">
        <x:v>45</x:v>
      </x:c>
      <x:c r="G13697" s="0" t="s">
        <x:v>19</x:v>
      </x:c>
      <x:c r="H13697" s="0" t="s">
        <x:v>20</x:v>
      </x:c>
      <x:c r="I13697" s="0" t="s">
        <x:v>21</x:v>
      </x:c>
      <x:c r="K13697" s="0">
        <x:f>hyperlink("https://icd.who.int/dev11/l-ichi/en#/http%3A%2F%2Fid.who.int%2Ficd%2Fentity%2F1859287955","browser")</x:f>
      </x:c>
      <x:c r="L13697" s="0">
        <x:f>hyperlink("https://icat2.azurewebsites.net/icat/?ontology=ICD&amp;tab=ClassesTab&amp;id=http%3A%2F%2Fwho.int%2Ficd%23SpecificAnatomicLocation_3517","iCat")</x:f>
      </x:c>
      <x:c r="M13697" s="0" t="s">
        <x:v>20</x:v>
      </x:c>
      <x:c r="N13697" s="0" t="s">
        <x:v>30</x:v>
      </x:c>
    </x:row>
    <x:row r="13698" spans="1:16">
      <x:c r="A13698" s="0" t="s">
        <x:v>51697</x:v>
      </x:c>
      <x:c r="B13698" s="0" t="s">
        <x:v>51698</x:v>
      </x:c>
      <x:c r="C13698" s="0" t="s">
        <x:v>42840</x:v>
      </x:c>
      <x:c r="E13698" s="0" t="s">
        <x:v>51699</x:v>
      </x:c>
      <x:c r="F13698" s="0" t="s">
        <x:v>45</x:v>
      </x:c>
      <x:c r="G13698" s="0" t="s">
        <x:v>30</x:v>
      </x:c>
      <x:c r="H13698" s="0" t="s">
        <x:v>20</x:v>
      </x:c>
      <x:c r="I13698" s="0" t="s">
        <x:v>21</x:v>
      </x:c>
      <x:c r="K13698" s="0">
        <x:f>hyperlink("https://icd.who.int/dev11/l-ichi/en#/http%3A%2F%2Fid.who.int%2Ficd%2Fentity%2F2046435155","browser")</x:f>
      </x:c>
      <x:c r="L13698" s="0">
        <x:f>hyperlink("https://icat2.azurewebsites.net/icat/?ontology=ICD&amp;tab=ClassesTab&amp;id=http%3A%2F%2Fwho.int%2Ficd%23SpecificAnatomicLocation_3516","iCat")</x:f>
      </x:c>
      <x:c r="M13698" s="0" t="s">
        <x:v>21</x:v>
      </x:c>
      <x:c r="N13698" s="0" t="s">
        <x:v>46</x:v>
      </x:c>
    </x:row>
    <x:row r="13699" spans="1:16">
      <x:c r="A13699" s="0" t="s">
        <x:v>51700</x:v>
      </x:c>
      <x:c r="B13699" s="0" t="s">
        <x:v>51701</x:v>
      </x:c>
      <x:c r="C13699" s="0" t="s">
        <x:v>42840</x:v>
      </x:c>
      <x:c r="E13699" s="0" t="s">
        <x:v>51702</x:v>
      </x:c>
      <x:c r="F13699" s="0" t="s">
        <x:v>45</x:v>
      </x:c>
      <x:c r="G13699" s="0" t="s">
        <x:v>30</x:v>
      </x:c>
      <x:c r="H13699" s="0" t="s">
        <x:v>20</x:v>
      </x:c>
      <x:c r="I13699" s="0" t="s">
        <x:v>21</x:v>
      </x:c>
      <x:c r="K13699" s="0">
        <x:f>hyperlink("https://icd.who.int/dev11/l-ichi/en#/http%3A%2F%2Fid.who.int%2Ficd%2Fentity%2F1082307091","browser")</x:f>
      </x:c>
      <x:c r="L13699" s="0">
        <x:f>hyperlink("https://icat2.azurewebsites.net/icat/?ontology=ICD&amp;tab=ClassesTab&amp;id=http%3A%2F%2Fwho.int%2Ficd%23SpecificAnatomicLocation_3515","iCat")</x:f>
      </x:c>
      <x:c r="M13699" s="0" t="s">
        <x:v>21</x:v>
      </x:c>
      <x:c r="N13699" s="0" t="s">
        <x:v>46</x:v>
      </x:c>
    </x:row>
    <x:row r="13700" spans="1:16">
      <x:c r="A13700" s="0" t="s">
        <x:v>51703</x:v>
      </x:c>
      <x:c r="B13700" s="0" t="s">
        <x:v>51704</x:v>
      </x:c>
      <x:c r="C13700" s="0" t="s">
        <x:v>42840</x:v>
      </x:c>
      <x:c r="E13700" s="0" t="s">
        <x:v>51705</x:v>
      </x:c>
      <x:c r="F13700" s="0" t="s">
        <x:v>45</x:v>
      </x:c>
      <x:c r="G13700" s="0" t="s">
        <x:v>19</x:v>
      </x:c>
      <x:c r="H13700" s="0" t="s">
        <x:v>20</x:v>
      </x:c>
      <x:c r="I13700" s="0" t="s">
        <x:v>21</x:v>
      </x:c>
      <x:c r="K13700" s="0">
        <x:f>hyperlink("https://icd.who.int/dev11/l-ichi/en#/http%3A%2F%2Fid.who.int%2Ficd%2Fentity%2F476108323","browser")</x:f>
      </x:c>
      <x:c r="L13700" s="0">
        <x:f>hyperlink("https://icat2.azurewebsites.net/icat/?ontology=ICD&amp;tab=ClassesTab&amp;id=http%3A%2F%2Fwho.int%2Ficd%23SpecificAnatomicLocation_3484","iCat")</x:f>
      </x:c>
      <x:c r="M13700" s="0" t="s">
        <x:v>21</x:v>
      </x:c>
      <x:c r="N13700" s="0" t="s">
        <x:v>46</x:v>
      </x:c>
    </x:row>
    <x:row r="13701" spans="1:16">
      <x:c r="A13701" s="0" t="s">
        <x:v>51706</x:v>
      </x:c>
      <x:c r="B13701" s="0" t="s">
        <x:v>51707</x:v>
      </x:c>
      <x:c r="C13701" s="0" t="s">
        <x:v>42840</x:v>
      </x:c>
      <x:c r="E13701" s="0" t="s">
        <x:v>51708</x:v>
      </x:c>
      <x:c r="F13701" s="0" t="s">
        <x:v>45</x:v>
      </x:c>
      <x:c r="G13701" s="0" t="s">
        <x:v>19</x:v>
      </x:c>
      <x:c r="H13701" s="0" t="s">
        <x:v>20</x:v>
      </x:c>
      <x:c r="I13701" s="0" t="s">
        <x:v>21</x:v>
      </x:c>
      <x:c r="K13701" s="0">
        <x:f>hyperlink("https://icd.who.int/dev11/l-ichi/en#/http%3A%2F%2Fid.who.int%2Ficd%2Fentity%2F1656376572","browser")</x:f>
      </x:c>
      <x:c r="L13701" s="0">
        <x:f>hyperlink("https://icat2.azurewebsites.net/icat/?ontology=ICD&amp;tab=ClassesTab&amp;id=http%3A%2F%2Fwho.int%2Ficd%23SpecificAnatomicLocation_3494","iCat")</x:f>
      </x:c>
      <x:c r="M13701" s="0" t="s">
        <x:v>20</x:v>
      </x:c>
      <x:c r="N13701" s="0" t="s">
        <x:v>30</x:v>
      </x:c>
    </x:row>
    <x:row r="13702" spans="1:16">
      <x:c r="A13702" s="0" t="s">
        <x:v>51709</x:v>
      </x:c>
      <x:c r="B13702" s="0" t="s">
        <x:v>51710</x:v>
      </x:c>
      <x:c r="C13702" s="0" t="s">
        <x:v>42840</x:v>
      </x:c>
      <x:c r="E13702" s="0" t="s">
        <x:v>51711</x:v>
      </x:c>
      <x:c r="F13702" s="0" t="s">
        <x:v>45</x:v>
      </x:c>
      <x:c r="G13702" s="0" t="s">
        <x:v>30</x:v>
      </x:c>
      <x:c r="H13702" s="0" t="s">
        <x:v>20</x:v>
      </x:c>
      <x:c r="I13702" s="0" t="s">
        <x:v>21</x:v>
      </x:c>
      <x:c r="K13702" s="0">
        <x:f>hyperlink("https://icd.who.int/dev11/l-ichi/en#/http%3A%2F%2Fid.who.int%2Ficd%2Fentity%2F108895453","browser")</x:f>
      </x:c>
      <x:c r="L13702" s="0">
        <x:f>hyperlink("https://icat2.azurewebsites.net/icat/?ontology=ICD&amp;tab=ClassesTab&amp;id=http%3A%2F%2Fwho.int%2Ficd%23SpecificAnatomicLocation_3488","iCat")</x:f>
      </x:c>
      <x:c r="M13702" s="0" t="s">
        <x:v>20</x:v>
      </x:c>
      <x:c r="N13702" s="0" t="s">
        <x:v>30</x:v>
      </x:c>
    </x:row>
    <x:row r="13703" spans="1:16">
      <x:c r="A13703" s="0" t="s">
        <x:v>51712</x:v>
      </x:c>
      <x:c r="B13703" s="0" t="s">
        <x:v>51713</x:v>
      </x:c>
      <x:c r="C13703" s="0" t="s">
        <x:v>42840</x:v>
      </x:c>
      <x:c r="E13703" s="0" t="s">
        <x:v>51714</x:v>
      </x:c>
      <x:c r="F13703" s="0" t="s">
        <x:v>45</x:v>
      </x:c>
      <x:c r="G13703" s="0" t="s">
        <x:v>35</x:v>
      </x:c>
      <x:c r="H13703" s="0" t="s">
        <x:v>20</x:v>
      </x:c>
      <x:c r="I13703" s="0" t="s">
        <x:v>21</x:v>
      </x:c>
      <x:c r="K13703" s="0">
        <x:f>hyperlink("https://icd.who.int/dev11/l-ichi/en#/http%3A%2F%2Fid.who.int%2Ficd%2Fentity%2F842014627","browser")</x:f>
      </x:c>
      <x:c r="L13703" s="0">
        <x:f>hyperlink("https://icat2.azurewebsites.net/icat/?ontology=ICD&amp;tab=ClassesTab&amp;id=http%3A%2F%2Fwho.int%2Ficd%23SpecificAnatomicLocation_3486","iCat")</x:f>
      </x:c>
      <x:c r="M13703" s="0" t="s">
        <x:v>20</x:v>
      </x:c>
      <x:c r="N13703" s="0" t="s">
        <x:v>35</x:v>
      </x:c>
    </x:row>
    <x:row r="13704" spans="1:16">
      <x:c r="A13704" s="0" t="s">
        <x:v>51715</x:v>
      </x:c>
      <x:c r="B13704" s="0" t="s">
        <x:v>51716</x:v>
      </x:c>
      <x:c r="C13704" s="0" t="s">
        <x:v>42840</x:v>
      </x:c>
      <x:c r="E13704" s="0" t="s">
        <x:v>51717</x:v>
      </x:c>
      <x:c r="F13704" s="0" t="s">
        <x:v>45</x:v>
      </x:c>
      <x:c r="G13704" s="0" t="s">
        <x:v>22</x:v>
      </x:c>
      <x:c r="H13704" s="0" t="s">
        <x:v>20</x:v>
      </x:c>
      <x:c r="I13704" s="0" t="s">
        <x:v>21</x:v>
      </x:c>
      <x:c r="K13704" s="0">
        <x:f>hyperlink("https://icd.who.int/dev11/l-ichi/en#/http%3A%2F%2Fid.who.int%2Ficd%2Fentity%2F1765843606","browser")</x:f>
      </x:c>
      <x:c r="L13704" s="0">
        <x:f>hyperlink("https://icat2.azurewebsites.net/icat/?ontology=ICD&amp;tab=ClassesTab&amp;id=http%3A%2F%2Fwho.int%2Ficd%2312440_16e67c35_8b57_40bb_9220_818553425a8c","iCat")</x:f>
      </x:c>
      <x:c r="M13704" s="0" t="s">
        <x:v>21</x:v>
      </x:c>
      <x:c r="N13704" s="0" t="s">
        <x:v>46</x:v>
      </x:c>
    </x:row>
    <x:row r="13705" spans="1:16">
      <x:c r="A13705" s="0" t="s">
        <x:v>51718</x:v>
      </x:c>
      <x:c r="B13705" s="0" t="s">
        <x:v>51719</x:v>
      </x:c>
      <x:c r="C13705" s="0" t="s">
        <x:v>42840</x:v>
      </x:c>
      <x:c r="E13705" s="0" t="s">
        <x:v>51720</x:v>
      </x:c>
      <x:c r="F13705" s="0" t="s">
        <x:v>45</x:v>
      </x:c>
      <x:c r="G13705" s="0" t="s">
        <x:v>22</x:v>
      </x:c>
      <x:c r="H13705" s="0" t="s">
        <x:v>20</x:v>
      </x:c>
      <x:c r="I13705" s="0" t="s">
        <x:v>21</x:v>
      </x:c>
      <x:c r="K13705" s="0">
        <x:f>hyperlink("https://icd.who.int/dev11/l-ichi/en#/http%3A%2F%2Fid.who.int%2Ficd%2Fentity%2F189313763","browser")</x:f>
      </x:c>
      <x:c r="L13705" s="0">
        <x:f>hyperlink("https://icat2.azurewebsites.net/icat/?ontology=ICD&amp;tab=ClassesTab&amp;id=http%3A%2F%2Fwho.int%2Ficd%23SpecificAnatomicLocation_3485","iCat")</x:f>
      </x:c>
      <x:c r="M13705" s="0" t="s">
        <x:v>21</x:v>
      </x:c>
      <x:c r="N13705" s="0" t="s">
        <x:v>46</x:v>
      </x:c>
    </x:row>
    <x:row r="13706" spans="1:16">
      <x:c r="A13706" s="0" t="s">
        <x:v>51721</x:v>
      </x:c>
      <x:c r="B13706" s="0" t="s">
        <x:v>51722</x:v>
      </x:c>
      <x:c r="C13706" s="0" t="s">
        <x:v>42840</x:v>
      </x:c>
      <x:c r="E13706" s="0" t="s">
        <x:v>51723</x:v>
      </x:c>
      <x:c r="F13706" s="0" t="s">
        <x:v>45</x:v>
      </x:c>
      <x:c r="G13706" s="0" t="s">
        <x:v>22</x:v>
      </x:c>
      <x:c r="H13706" s="0" t="s">
        <x:v>20</x:v>
      </x:c>
      <x:c r="I13706" s="0" t="s">
        <x:v>21</x:v>
      </x:c>
      <x:c r="K13706" s="0">
        <x:f>hyperlink("https://icd.who.int/dev11/l-ichi/en#/http%3A%2F%2Fid.who.int%2Ficd%2Fentity%2F1127512008","browser")</x:f>
      </x:c>
      <x:c r="L13706" s="0">
        <x:f>hyperlink("https://icat2.azurewebsites.net/icat/?ontology=ICD&amp;tab=ClassesTab&amp;id=http%3A%2F%2Fwho.int%2Ficd%2312460_16e67c35_8b57_40bb_9220_818553425a8c","iCat")</x:f>
      </x:c>
      <x:c r="M13706" s="0" t="s">
        <x:v>21</x:v>
      </x:c>
      <x:c r="N13706" s="0" t="s">
        <x:v>46</x:v>
      </x:c>
    </x:row>
    <x:row r="13707" spans="1:16">
      <x:c r="A13707" s="0" t="s">
        <x:v>51724</x:v>
      </x:c>
      <x:c r="B13707" s="0" t="s">
        <x:v>51725</x:v>
      </x:c>
      <x:c r="C13707" s="0" t="s">
        <x:v>42840</x:v>
      </x:c>
      <x:c r="E13707" s="0" t="s">
        <x:v>51726</x:v>
      </x:c>
      <x:c r="F13707" s="0" t="s">
        <x:v>45</x:v>
      </x:c>
      <x:c r="G13707" s="0" t="s">
        <x:v>35</x:v>
      </x:c>
      <x:c r="H13707" s="0" t="s">
        <x:v>20</x:v>
      </x:c>
      <x:c r="I13707" s="0" t="s">
        <x:v>21</x:v>
      </x:c>
      <x:c r="K13707" s="0">
        <x:f>hyperlink("https://icd.who.int/dev11/l-ichi/en#/http%3A%2F%2Fid.who.int%2Ficd%2Fentity%2F622361443","browser")</x:f>
      </x:c>
      <x:c r="L13707" s="0">
        <x:f>hyperlink("https://icat2.azurewebsites.net/icat/?ontology=ICD&amp;tab=ClassesTab&amp;id=http%3A%2F%2Fwho.int%2Ficd%23SpecificAnatomicLocation_3487","iCat")</x:f>
      </x:c>
      <x:c r="M13707" s="0" t="s">
        <x:v>21</x:v>
      </x:c>
      <x:c r="N13707" s="0" t="s">
        <x:v>46</x:v>
      </x:c>
    </x:row>
    <x:row r="13708" spans="1:16">
      <x:c r="A13708" s="0" t="s">
        <x:v>51727</x:v>
      </x:c>
      <x:c r="B13708" s="0" t="s">
        <x:v>51728</x:v>
      </x:c>
      <x:c r="C13708" s="0" t="s">
        <x:v>42840</x:v>
      </x:c>
      <x:c r="E13708" s="0" t="s">
        <x:v>51729</x:v>
      </x:c>
      <x:c r="F13708" s="0" t="s">
        <x:v>45</x:v>
      </x:c>
      <x:c r="G13708" s="0" t="s">
        <x:v>30</x:v>
      </x:c>
      <x:c r="H13708" s="0" t="s">
        <x:v>20</x:v>
      </x:c>
      <x:c r="I13708" s="0" t="s">
        <x:v>21</x:v>
      </x:c>
      <x:c r="K13708" s="0">
        <x:f>hyperlink("https://icd.who.int/dev11/l-ichi/en#/http%3A%2F%2Fid.who.int%2Ficd%2Fentity%2F691256124","browser")</x:f>
      </x:c>
      <x:c r="L13708" s="0">
        <x:f>hyperlink("https://icat2.azurewebsites.net/icat/?ontology=ICD&amp;tab=ClassesTab&amp;id=http%3A%2F%2Fwho.int%2Ficd%23SpecificAnatomicLocation_3491","iCat")</x:f>
      </x:c>
      <x:c r="M13708" s="0" t="s">
        <x:v>20</x:v>
      </x:c>
      <x:c r="N13708" s="0" t="s">
        <x:v>30</x:v>
      </x:c>
    </x:row>
    <x:row r="13709" spans="1:16">
      <x:c r="A13709" s="0" t="s">
        <x:v>51730</x:v>
      </x:c>
      <x:c r="B13709" s="0" t="s">
        <x:v>51731</x:v>
      </x:c>
      <x:c r="C13709" s="0" t="s">
        <x:v>42840</x:v>
      </x:c>
      <x:c r="E13709" s="0" t="s">
        <x:v>51732</x:v>
      </x:c>
      <x:c r="F13709" s="0" t="s">
        <x:v>45</x:v>
      </x:c>
      <x:c r="G13709" s="0" t="s">
        <x:v>35</x:v>
      </x:c>
      <x:c r="H13709" s="0" t="s">
        <x:v>20</x:v>
      </x:c>
      <x:c r="I13709" s="0" t="s">
        <x:v>21</x:v>
      </x:c>
      <x:c r="K13709" s="0">
        <x:f>hyperlink("https://icd.who.int/dev11/l-ichi/en#/http%3A%2F%2Fid.who.int%2Ficd%2Fentity%2F290846749","browser")</x:f>
      </x:c>
      <x:c r="L13709" s="0">
        <x:f>hyperlink("https://icat2.azurewebsites.net/icat/?ontology=ICD&amp;tab=ClassesTab&amp;id=http%3A%2F%2Fwho.int%2Ficd%23SpecificAnatomicLocation_3489","iCat")</x:f>
      </x:c>
      <x:c r="M13709" s="0" t="s">
        <x:v>20</x:v>
      </x:c>
      <x:c r="N13709" s="0" t="s">
        <x:v>30</x:v>
      </x:c>
    </x:row>
    <x:row r="13710" spans="1:16">
      <x:c r="A13710" s="0" t="s">
        <x:v>51733</x:v>
      </x:c>
      <x:c r="B13710" s="0" t="s">
        <x:v>51734</x:v>
      </x:c>
      <x:c r="C13710" s="0" t="s">
        <x:v>42840</x:v>
      </x:c>
      <x:c r="E13710" s="0" t="s">
        <x:v>51735</x:v>
      </x:c>
      <x:c r="F13710" s="0" t="s">
        <x:v>45</x:v>
      </x:c>
      <x:c r="G13710" s="0" t="s">
        <x:v>22</x:v>
      </x:c>
      <x:c r="H13710" s="0" t="s">
        <x:v>20</x:v>
      </x:c>
      <x:c r="I13710" s="0" t="s">
        <x:v>21</x:v>
      </x:c>
      <x:c r="K13710" s="0">
        <x:f>hyperlink("https://icd.who.int/dev11/l-ichi/en#/http%3A%2F%2Fid.who.int%2Ficd%2Fentity%2F333979143","browser")</x:f>
      </x:c>
      <x:c r="L13710" s="0">
        <x:f>hyperlink("https://icat2.azurewebsites.net/icat/?ontology=ICD&amp;tab=ClassesTab&amp;id=http%3A%2F%2Fwho.int%2Ficd%2312485_16e67c35_8b57_40bb_9220_818553425a8c","iCat")</x:f>
      </x:c>
      <x:c r="M13710" s="0" t="s">
        <x:v>21</x:v>
      </x:c>
      <x:c r="N13710" s="0" t="s">
        <x:v>46</x:v>
      </x:c>
    </x:row>
    <x:row r="13711" spans="1:16">
      <x:c r="A13711" s="0" t="s">
        <x:v>51736</x:v>
      </x:c>
      <x:c r="B13711" s="0" t="s">
        <x:v>51737</x:v>
      </x:c>
      <x:c r="C13711" s="0" t="s">
        <x:v>42840</x:v>
      </x:c>
      <x:c r="E13711" s="0" t="s">
        <x:v>51738</x:v>
      </x:c>
      <x:c r="F13711" s="0" t="s">
        <x:v>45</x:v>
      </x:c>
      <x:c r="G13711" s="0" t="s">
        <x:v>22</x:v>
      </x:c>
      <x:c r="H13711" s="0" t="s">
        <x:v>20</x:v>
      </x:c>
      <x:c r="I13711" s="0" t="s">
        <x:v>21</x:v>
      </x:c>
      <x:c r="K13711" s="0">
        <x:f>hyperlink("https://icd.who.int/dev11/l-ichi/en#/http%3A%2F%2Fid.who.int%2Ficd%2Fentity%2F1505751908","browser")</x:f>
      </x:c>
      <x:c r="L13711" s="0">
        <x:f>hyperlink("https://icat2.azurewebsites.net/icat/?ontology=ICD&amp;tab=ClassesTab&amp;id=http%3A%2F%2Fwho.int%2Ficd%2312504_16e67c35_8b57_40bb_9220_818553425a8c","iCat")</x:f>
      </x:c>
      <x:c r="M13711" s="0" t="s">
        <x:v>21</x:v>
      </x:c>
      <x:c r="N13711" s="0" t="s">
        <x:v>46</x:v>
      </x:c>
    </x:row>
    <x:row r="13712" spans="1:16">
      <x:c r="A13712" s="0" t="s">
        <x:v>51739</x:v>
      </x:c>
      <x:c r="B13712" s="0" t="s">
        <x:v>51740</x:v>
      </x:c>
      <x:c r="C13712" s="0" t="s">
        <x:v>42840</x:v>
      </x:c>
      <x:c r="E13712" s="0" t="s">
        <x:v>51741</x:v>
      </x:c>
      <x:c r="F13712" s="0" t="s">
        <x:v>45</x:v>
      </x:c>
      <x:c r="G13712" s="0" t="s">
        <x:v>35</x:v>
      </x:c>
      <x:c r="H13712" s="0" t="s">
        <x:v>20</x:v>
      </x:c>
      <x:c r="I13712" s="0" t="s">
        <x:v>21</x:v>
      </x:c>
      <x:c r="K13712" s="0">
        <x:f>hyperlink("https://icd.who.int/dev11/l-ichi/en#/http%3A%2F%2Fid.who.int%2Ficd%2Fentity%2F1042014204","browser")</x:f>
      </x:c>
      <x:c r="L13712" s="0">
        <x:f>hyperlink("https://icat2.azurewebsites.net/icat/?ontology=ICD&amp;tab=ClassesTab&amp;id=http%3A%2F%2Fwho.int%2Ficd%23SpecificAnatomicLocation_3490","iCat")</x:f>
      </x:c>
      <x:c r="M13712" s="0" t="s">
        <x:v>20</x:v>
      </x:c>
      <x:c r="N13712" s="0" t="s">
        <x:v>30</x:v>
      </x:c>
    </x:row>
    <x:row r="13713" spans="1:16">
      <x:c r="A13713" s="0" t="s">
        <x:v>51742</x:v>
      </x:c>
      <x:c r="B13713" s="0" t="s">
        <x:v>51743</x:v>
      </x:c>
      <x:c r="C13713" s="0" t="s">
        <x:v>42840</x:v>
      </x:c>
      <x:c r="E13713" s="0" t="s">
        <x:v>51744</x:v>
      </x:c>
      <x:c r="F13713" s="0" t="s">
        <x:v>45</x:v>
      </x:c>
      <x:c r="G13713" s="0" t="s">
        <x:v>22</x:v>
      </x:c>
      <x:c r="H13713" s="0" t="s">
        <x:v>20</x:v>
      </x:c>
      <x:c r="I13713" s="0" t="s">
        <x:v>21</x:v>
      </x:c>
      <x:c r="K13713" s="0">
        <x:f>hyperlink("https://icd.who.int/dev11/l-ichi/en#/http%3A%2F%2Fid.who.int%2Ficd%2Fentity%2F1942693426","browser")</x:f>
      </x:c>
      <x:c r="L13713" s="0">
        <x:f>hyperlink("https://icat2.azurewebsites.net/icat/?ontology=ICD&amp;tab=ClassesTab&amp;id=http%3A%2F%2Fwho.int%2Ficd%2312524_16e67c35_8b57_40bb_9220_818553425a8c","iCat")</x:f>
      </x:c>
      <x:c r="M13713" s="0" t="s">
        <x:v>21</x:v>
      </x:c>
      <x:c r="N13713" s="0" t="s">
        <x:v>46</x:v>
      </x:c>
    </x:row>
    <x:row r="13714" spans="1:16">
      <x:c r="A13714" s="0" t="s">
        <x:v>51745</x:v>
      </x:c>
      <x:c r="B13714" s="0" t="s">
        <x:v>51746</x:v>
      </x:c>
      <x:c r="C13714" s="0" t="s">
        <x:v>42840</x:v>
      </x:c>
      <x:c r="E13714" s="0" t="s">
        <x:v>51747</x:v>
      </x:c>
      <x:c r="F13714" s="0" t="s">
        <x:v>45</x:v>
      </x:c>
      <x:c r="G13714" s="0" t="s">
        <x:v>22</x:v>
      </x:c>
      <x:c r="H13714" s="0" t="s">
        <x:v>20</x:v>
      </x:c>
      <x:c r="I13714" s="0" t="s">
        <x:v>21</x:v>
      </x:c>
      <x:c r="K13714" s="0">
        <x:f>hyperlink("https://icd.who.int/dev11/l-ichi/en#/http%3A%2F%2Fid.who.int%2Ficd%2Fentity%2F1499073524","browser")</x:f>
      </x:c>
      <x:c r="L13714" s="0">
        <x:f>hyperlink("https://icat2.azurewebsites.net/icat/?ontology=ICD&amp;tab=ClassesTab&amp;id=http%3A%2F%2Fwho.int%2Ficd%2312543_16e67c35_8b57_40bb_9220_818553425a8c","iCat")</x:f>
      </x:c>
      <x:c r="M13714" s="0" t="s">
        <x:v>21</x:v>
      </x:c>
      <x:c r="N13714" s="0" t="s">
        <x:v>46</x:v>
      </x:c>
    </x:row>
    <x:row r="13715" spans="1:16">
      <x:c r="A13715" s="0" t="s">
        <x:v>51748</x:v>
      </x:c>
      <x:c r="B13715" s="0" t="s">
        <x:v>51749</x:v>
      </x:c>
      <x:c r="C13715" s="0" t="s">
        <x:v>42840</x:v>
      </x:c>
      <x:c r="E13715" s="0" t="s">
        <x:v>51750</x:v>
      </x:c>
      <x:c r="F13715" s="0" t="s">
        <x:v>45</x:v>
      </x:c>
      <x:c r="G13715" s="0" t="s">
        <x:v>19</x:v>
      </x:c>
      <x:c r="H13715" s="0" t="s">
        <x:v>20</x:v>
      </x:c>
      <x:c r="I13715" s="0" t="s">
        <x:v>21</x:v>
      </x:c>
      <x:c r="K13715" s="0">
        <x:f>hyperlink("https://icd.who.int/dev11/l-ichi/en#/http%3A%2F%2Fid.who.int%2Ficd%2Fentity%2F1393945851","browser")</x:f>
      </x:c>
      <x:c r="L13715" s="0">
        <x:f>hyperlink("https://icat2.azurewebsites.net/icat/?ontology=ICD&amp;tab=ClassesTab&amp;id=http%3A%2F%2Fwho.int%2Ficd%23SpecificAnatomicLocation_3520","iCat")</x:f>
      </x:c>
      <x:c r="M13715" s="0" t="s">
        <x:v>21</x:v>
      </x:c>
      <x:c r="N13715" s="0" t="s">
        <x:v>46</x:v>
      </x:c>
    </x:row>
    <x:row r="13716" spans="1:16">
      <x:c r="A13716" s="0" t="s">
        <x:v>51751</x:v>
      </x:c>
      <x:c r="B13716" s="0" t="s">
        <x:v>51752</x:v>
      </x:c>
      <x:c r="C13716" s="0" t="s">
        <x:v>42840</x:v>
      </x:c>
      <x:c r="E13716" s="0" t="s">
        <x:v>51753</x:v>
      </x:c>
      <x:c r="F13716" s="0" t="s">
        <x:v>45</x:v>
      </x:c>
      <x:c r="G13716" s="0" t="s">
        <x:v>19</x:v>
      </x:c>
      <x:c r="H13716" s="0" t="s">
        <x:v>20</x:v>
      </x:c>
      <x:c r="I13716" s="0" t="s">
        <x:v>21</x:v>
      </x:c>
      <x:c r="K13716" s="0">
        <x:f>hyperlink("https://icd.who.int/dev11/l-ichi/en#/http%3A%2F%2Fid.who.int%2Ficd%2Fentity%2F185288147","browser")</x:f>
      </x:c>
      <x:c r="L13716" s="0">
        <x:f>hyperlink("https://icat2.azurewebsites.net/icat/?ontology=ICD&amp;tab=ClassesTab&amp;id=http%3A%2F%2Fwho.int%2Ficd%23SpecificAnatomicLocation_3510","iCat")</x:f>
      </x:c>
      <x:c r="M13716" s="0" t="s">
        <x:v>21</x:v>
      </x:c>
      <x:c r="N13716" s="0" t="s">
        <x:v>46</x:v>
      </x:c>
    </x:row>
    <x:row r="13717" spans="1:16">
      <x:c r="A13717" s="0" t="s">
        <x:v>51754</x:v>
      </x:c>
      <x:c r="B13717" s="0" t="s">
        <x:v>51755</x:v>
      </x:c>
      <x:c r="C13717" s="0" t="s">
        <x:v>42840</x:v>
      </x:c>
      <x:c r="E13717" s="0" t="s">
        <x:v>51756</x:v>
      </x:c>
      <x:c r="F13717" s="0" t="s">
        <x:v>45</x:v>
      </x:c>
      <x:c r="G13717" s="0" t="s">
        <x:v>19</x:v>
      </x:c>
      <x:c r="H13717" s="0" t="s">
        <x:v>20</x:v>
      </x:c>
      <x:c r="I13717" s="0" t="s">
        <x:v>21</x:v>
      </x:c>
      <x:c r="K13717" s="0">
        <x:f>hyperlink("https://icd.who.int/dev11/l-ichi/en#/http%3A%2F%2Fid.who.int%2Ficd%2Fentity%2F2042226787","browser")</x:f>
      </x:c>
      <x:c r="L13717" s="0">
        <x:f>hyperlink("https://icat2.azurewebsites.net/icat/?ontology=ICD&amp;tab=ClassesTab&amp;id=http%3A%2F%2Fwho.int%2Ficd%23SpecificAnatomicLocation_3483","iCat")</x:f>
      </x:c>
      <x:c r="M13717" s="0" t="s">
        <x:v>21</x:v>
      </x:c>
      <x:c r="N13717" s="0" t="s">
        <x:v>46</x:v>
      </x:c>
    </x:row>
    <x:row r="13718" spans="1:16">
      <x:c r="A13718" s="0" t="s">
        <x:v>51757</x:v>
      </x:c>
      <x:c r="B13718" s="0" t="s">
        <x:v>51758</x:v>
      </x:c>
      <x:c r="C13718" s="0" t="s">
        <x:v>42840</x:v>
      </x:c>
      <x:c r="E13718" s="0" t="s">
        <x:v>51759</x:v>
      </x:c>
      <x:c r="F13718" s="0" t="s">
        <x:v>45</x:v>
      </x:c>
      <x:c r="G13718" s="0" t="s">
        <x:v>19</x:v>
      </x:c>
      <x:c r="H13718" s="0" t="s">
        <x:v>20</x:v>
      </x:c>
      <x:c r="I13718" s="0" t="s">
        <x:v>21</x:v>
      </x:c>
      <x:c r="K13718" s="0">
        <x:f>hyperlink("https://icd.who.int/dev11/l-ichi/en#/http%3A%2F%2Fid.who.int%2Ficd%2Fentity%2F1855032483","browser")</x:f>
      </x:c>
      <x:c r="L13718" s="0">
        <x:f>hyperlink("https://icat2.azurewebsites.net/icat/?ontology=ICD&amp;tab=ClassesTab&amp;id=http%3A%2F%2Fwho.int%2Ficd%23SpecificAnatomicLocation_3482","iCat")</x:f>
      </x:c>
      <x:c r="M13718" s="0" t="s">
        <x:v>21</x:v>
      </x:c>
      <x:c r="N13718" s="0" t="s">
        <x:v>46</x:v>
      </x:c>
    </x:row>
    <x:row r="13719" spans="1:16">
      <x:c r="A13719" s="0" t="s">
        <x:v>51760</x:v>
      </x:c>
      <x:c r="B13719" s="0" t="s">
        <x:v>51761</x:v>
      </x:c>
      <x:c r="C13719" s="0" t="s">
        <x:v>42840</x:v>
      </x:c>
      <x:c r="E13719" s="0" t="s">
        <x:v>51762</x:v>
      </x:c>
      <x:c r="F13719" s="0" t="s">
        <x:v>45</x:v>
      </x:c>
      <x:c r="G13719" s="0" t="s">
        <x:v>19</x:v>
      </x:c>
      <x:c r="H13719" s="0" t="s">
        <x:v>20</x:v>
      </x:c>
      <x:c r="I13719" s="0" t="s">
        <x:v>21</x:v>
      </x:c>
      <x:c r="K13719" s="0">
        <x:f>hyperlink("https://icd.who.int/dev11/l-ichi/en#/http%3A%2F%2Fid.who.int%2Ficd%2Fentity%2F1906679169","browser")</x:f>
      </x:c>
      <x:c r="L13719" s="0">
        <x:f>hyperlink("https://icat2.azurewebsites.net/icat/?ontology=ICD&amp;tab=ClassesTab&amp;id=http%3A%2F%2Fwho.int%2Ficd%2376_6075012b_9a45_426f_82f7_08df9dce6573","iCat")</x:f>
      </x:c>
      <x:c r="M13719" s="0" t="s">
        <x:v>21</x:v>
      </x:c>
      <x:c r="N13719" s="0" t="s">
        <x:v>46</x:v>
      </x:c>
    </x:row>
    <x:row r="13720" spans="1:16">
      <x:c r="A13720" s="0" t="s">
        <x:v>51763</x:v>
      </x:c>
      <x:c r="B13720" s="0" t="s">
        <x:v>51764</x:v>
      </x:c>
      <x:c r="C13720" s="0" t="s">
        <x:v>42840</x:v>
      </x:c>
      <x:c r="E13720" s="0" t="s">
        <x:v>51765</x:v>
      </x:c>
      <x:c r="F13720" s="0" t="s">
        <x:v>45</x:v>
      </x:c>
      <x:c r="G13720" s="0" t="s">
        <x:v>19</x:v>
      </x:c>
      <x:c r="H13720" s="0" t="s">
        <x:v>20</x:v>
      </x:c>
      <x:c r="I13720" s="0" t="s">
        <x:v>21</x:v>
      </x:c>
      <x:c r="K13720" s="0">
        <x:f>hyperlink("https://icd.who.int/dev11/l-ichi/en#/http%3A%2F%2Fid.who.int%2Ficd%2Fentity%2F1290438012","browser")</x:f>
      </x:c>
      <x:c r="L13720" s="0">
        <x:f>hyperlink("https://icat2.azurewebsites.net/icat/?ontology=ICD&amp;tab=ClassesTab&amp;id=http%3A%2F%2Fwho.int%2Ficd%23SpecificAnatomicLocation_3496","iCat")</x:f>
      </x:c>
      <x:c r="M13720" s="0" t="s">
        <x:v>21</x:v>
      </x:c>
      <x:c r="N13720" s="0" t="s">
        <x:v>46</x:v>
      </x:c>
    </x:row>
    <x:row r="13721" spans="1:16">
      <x:c r="A13721" s="0" t="s">
        <x:v>51766</x:v>
      </x:c>
      <x:c r="B13721" s="0" t="s">
        <x:v>51767</x:v>
      </x:c>
      <x:c r="C13721" s="0" t="s">
        <x:v>42840</x:v>
      </x:c>
      <x:c r="E13721" s="0" t="s">
        <x:v>51768</x:v>
      </x:c>
      <x:c r="F13721" s="0" t="s">
        <x:v>45</x:v>
      </x:c>
      <x:c r="G13721" s="0" t="s">
        <x:v>19</x:v>
      </x:c>
      <x:c r="H13721" s="0" t="s">
        <x:v>20</x:v>
      </x:c>
      <x:c r="I13721" s="0" t="s">
        <x:v>21</x:v>
      </x:c>
      <x:c r="K13721" s="0">
        <x:f>hyperlink("https://icd.who.int/dev11/l-ichi/en#/http%3A%2F%2Fid.who.int%2Ficd%2Fentity%2F1520433389","browser")</x:f>
      </x:c>
      <x:c r="L13721" s="0">
        <x:f>hyperlink("https://icat2.azurewebsites.net/icat/?ontology=ICD&amp;tab=ClassesTab&amp;id=http%3A%2F%2Fwho.int%2Ficd%23SpecificAnatomicLocation_3519","iCat")</x:f>
      </x:c>
      <x:c r="M13721" s="0" t="s">
        <x:v>21</x:v>
      </x:c>
      <x:c r="N13721" s="0" t="s">
        <x:v>46</x:v>
      </x:c>
    </x:row>
    <x:row r="13722" spans="1:16">
      <x:c r="A13722" s="0" t="s">
        <x:v>51769</x:v>
      </x:c>
      <x:c r="B13722" s="0" t="s">
        <x:v>51770</x:v>
      </x:c>
      <x:c r="C13722" s="0" t="s">
        <x:v>42840</x:v>
      </x:c>
      <x:c r="E13722" s="0" t="s">
        <x:v>51771</x:v>
      </x:c>
      <x:c r="F13722" s="0" t="s">
        <x:v>45</x:v>
      </x:c>
      <x:c r="G13722" s="0" t="s">
        <x:v>19</x:v>
      </x:c>
      <x:c r="H13722" s="0" t="s">
        <x:v>20</x:v>
      </x:c>
      <x:c r="I13722" s="0" t="s">
        <x:v>21</x:v>
      </x:c>
      <x:c r="K13722" s="0">
        <x:f>hyperlink("https://icd.who.int/dev11/l-ichi/en#/http%3A%2F%2Fid.who.int%2Ficd%2Fentity%2F836634455","browser")</x:f>
      </x:c>
      <x:c r="L13722" s="0">
        <x:f>hyperlink("https://icat2.azurewebsites.net/icat/?ontology=ICD&amp;tab=ClassesTab&amp;id=http%3A%2F%2Fwho.int%2Ficd%23574_d9027f82_5e3d_47a4_a6fe_3c65954dde3a","iCat")</x:f>
      </x:c>
      <x:c r="M13722" s="0" t="s">
        <x:v>21</x:v>
      </x:c>
      <x:c r="N13722" s="0" t="s">
        <x:v>46</x:v>
      </x:c>
    </x:row>
    <x:row r="13723" spans="1:16">
      <x:c r="A13723" s="0" t="s">
        <x:v>51772</x:v>
      </x:c>
      <x:c r="B13723" s="0" t="s">
        <x:v>51773</x:v>
      </x:c>
      <x:c r="C13723" s="0" t="s">
        <x:v>42840</x:v>
      </x:c>
      <x:c r="E13723" s="0" t="s">
        <x:v>51774</x:v>
      </x:c>
      <x:c r="F13723" s="0" t="s">
        <x:v>45</x:v>
      </x:c>
      <x:c r="G13723" s="0" t="s">
        <x:v>19</x:v>
      </x:c>
      <x:c r="H13723" s="0" t="s">
        <x:v>20</x:v>
      </x:c>
      <x:c r="I13723" s="0" t="s">
        <x:v>21</x:v>
      </x:c>
      <x:c r="K13723" s="0">
        <x:f>hyperlink("https://icd.who.int/dev11/l-ichi/en#/http%3A%2F%2Fid.who.int%2Ficd%2Fentity%2F269017418","browser")</x:f>
      </x:c>
      <x:c r="L13723" s="0">
        <x:f>hyperlink("https://icat2.azurewebsites.net/icat/?ontology=ICD&amp;tab=ClassesTab&amp;id=http%3A%2F%2Fwho.int%2Ficd%23SpecificAnatomicLocation_3507","iCat")</x:f>
      </x:c>
      <x:c r="M13723" s="0" t="s">
        <x:v>21</x:v>
      </x:c>
      <x:c r="N13723" s="0" t="s">
        <x:v>46</x:v>
      </x:c>
    </x:row>
    <x:row r="13724" spans="1:16">
      <x:c r="A13724" s="0" t="s">
        <x:v>51775</x:v>
      </x:c>
      <x:c r="B13724" s="0" t="s">
        <x:v>51776</x:v>
      </x:c>
      <x:c r="C13724" s="0" t="s">
        <x:v>42840</x:v>
      </x:c>
      <x:c r="E13724" s="0" t="s">
        <x:v>51777</x:v>
      </x:c>
      <x:c r="F13724" s="0" t="s">
        <x:v>45</x:v>
      </x:c>
      <x:c r="G13724" s="0" t="s">
        <x:v>19</x:v>
      </x:c>
      <x:c r="H13724" s="0" t="s">
        <x:v>20</x:v>
      </x:c>
      <x:c r="I13724" s="0" t="s">
        <x:v>21</x:v>
      </x:c>
      <x:c r="K13724" s="0">
        <x:f>hyperlink("https://icd.who.int/dev11/l-ichi/en#/http%3A%2F%2Fid.who.int%2Ficd%2Fentity%2F862783222","browser")</x:f>
      </x:c>
      <x:c r="L13724" s="0">
        <x:f>hyperlink("https://icat2.azurewebsites.net/icat/?ontology=ICD&amp;tab=ClassesTab&amp;id=http%3A%2F%2Fwho.int%2Ficd%23SpecificAnatomicLocation_3508","iCat")</x:f>
      </x:c>
      <x:c r="M13724" s="0" t="s">
        <x:v>21</x:v>
      </x:c>
      <x:c r="N13724" s="0" t="s">
        <x:v>46</x:v>
      </x:c>
    </x:row>
    <x:row r="13725" spans="1:16">
      <x:c r="A13725" s="0" t="s">
        <x:v>51778</x:v>
      </x:c>
      <x:c r="B13725" s="0" t="s">
        <x:v>51779</x:v>
      </x:c>
      <x:c r="D13725" s="0" t="s">
        <x:v>44502</x:v>
      </x:c>
      <x:c r="E13725" s="0" t="s">
        <x:v>51780</x:v>
      </x:c>
      <x:c r="F13725" s="0" t="s">
        <x:v>26</x:v>
      </x:c>
      <x:c r="G13725" s="0" t="s">
        <x:v>35</x:v>
      </x:c>
      <x:c r="H13725" s="0" t="s">
        <x:v>20</x:v>
      </x:c>
      <x:c r="I13725" s="0" t="s">
        <x:v>21</x:v>
      </x:c>
      <x:c r="K13725" s="0">
        <x:f>hyperlink("https://icd.who.int/dev11/l-ichi/en#/http%3A%2F%2Fid.who.int%2Ficd%2Fentity%2F1474896355","browser")</x:f>
      </x:c>
      <x:c r="L13725" s="0">
        <x:f>hyperlink("https://icat2.azurewebsites.net/icat/?ontology=ICD&amp;tab=ClassesTab&amp;id=http%3A%2F%2Fwho.int%2Ficd%23SpecificAnatomicLocation_3481","iCat")</x:f>
      </x:c>
      <x:c r="M13725" s="0" t="s">
        <x:v>20</x:v>
      </x:c>
      <x:c r="N13725" s="0" t="s">
        <x:v>119</x:v>
      </x:c>
    </x:row>
    <x:row r="13726" spans="1:16">
      <x:c r="A13726" s="0" t="s">
        <x:v>51781</x:v>
      </x:c>
      <x:c r="B13726" s="0" t="s">
        <x:v>51782</x:v>
      </x:c>
      <x:c r="C13726" s="0" t="s">
        <x:v>42840</x:v>
      </x:c>
      <x:c r="E13726" s="0" t="s">
        <x:v>51783</x:v>
      </x:c>
      <x:c r="F13726" s="0" t="s">
        <x:v>45</x:v>
      </x:c>
      <x:c r="G13726" s="0" t="s">
        <x:v>19</x:v>
      </x:c>
      <x:c r="H13726" s="0" t="s">
        <x:v>20</x:v>
      </x:c>
      <x:c r="I13726" s="0" t="s">
        <x:v>21</x:v>
      </x:c>
      <x:c r="K13726" s="0">
        <x:f>hyperlink("https://icd.who.int/dev11/l-ichi/en#/http%3A%2F%2Fid.who.int%2Ficd%2Fentity%2F230624298","browser")</x:f>
      </x:c>
      <x:c r="L13726" s="0">
        <x:f>hyperlink("https://icat2.azurewebsites.net/icat/?ontology=ICD&amp;tab=ClassesTab&amp;id=http%3A%2F%2Fwho.int%2Ficd%23SpecificAnatomicLocation_3479","iCat")</x:f>
      </x:c>
      <x:c r="M13726" s="0" t="s">
        <x:v>20</x:v>
      </x:c>
      <x:c r="N13726" s="0" t="s">
        <x:v>22</x:v>
      </x:c>
    </x:row>
    <x:row r="13727" spans="1:16">
      <x:c r="A13727" s="0" t="s">
        <x:v>51784</x:v>
      </x:c>
      <x:c r="B13727" s="0" t="s">
        <x:v>51785</x:v>
      </x:c>
      <x:c r="C13727" s="0" t="s">
        <x:v>42840</x:v>
      </x:c>
      <x:c r="E13727" s="0" t="s">
        <x:v>51786</x:v>
      </x:c>
      <x:c r="F13727" s="0" t="s">
        <x:v>45</x:v>
      </x:c>
      <x:c r="G13727" s="0" t="s">
        <x:v>30</x:v>
      </x:c>
      <x:c r="H13727" s="0" t="s">
        <x:v>20</x:v>
      </x:c>
      <x:c r="I13727" s="0" t="s">
        <x:v>21</x:v>
      </x:c>
      <x:c r="K13727" s="0">
        <x:f>hyperlink("https://icd.who.int/dev11/l-ichi/en#/http%3A%2F%2Fid.who.int%2Ficd%2Fentity%2F786099094","browser")</x:f>
      </x:c>
      <x:c r="L13727" s="0">
        <x:f>hyperlink("https://icat2.azurewebsites.net/icat/?ontology=ICD&amp;tab=ClassesTab&amp;id=http%3A%2F%2Fwho.int%2Ficd%23SpecificAnatomicLocation_3476","iCat")</x:f>
      </x:c>
      <x:c r="M13727" s="0" t="s">
        <x:v>21</x:v>
      </x:c>
      <x:c r="N13727" s="0" t="s">
        <x:v>46</x:v>
      </x:c>
    </x:row>
    <x:row r="13728" spans="1:16">
      <x:c r="A13728" s="0" t="s">
        <x:v>51787</x:v>
      </x:c>
      <x:c r="B13728" s="0" t="s">
        <x:v>51788</x:v>
      </x:c>
      <x:c r="C13728" s="0" t="s">
        <x:v>42840</x:v>
      </x:c>
      <x:c r="E13728" s="0" t="s">
        <x:v>51789</x:v>
      </x:c>
      <x:c r="F13728" s="0" t="s">
        <x:v>45</x:v>
      </x:c>
      <x:c r="G13728" s="0" t="s">
        <x:v>30</x:v>
      </x:c>
      <x:c r="H13728" s="0" t="s">
        <x:v>20</x:v>
      </x:c>
      <x:c r="I13728" s="0" t="s">
        <x:v>21</x:v>
      </x:c>
      <x:c r="K13728" s="0">
        <x:f>hyperlink("https://icd.who.int/dev11/l-ichi/en#/http%3A%2F%2Fid.who.int%2Ficd%2Fentity%2F396510934","browser")</x:f>
      </x:c>
      <x:c r="L13728" s="0">
        <x:f>hyperlink("https://icat2.azurewebsites.net/icat/?ontology=ICD&amp;tab=ClassesTab&amp;id=http%3A%2F%2Fwho.int%2Ficd%23SpecificAnatomicLocation_3475","iCat")</x:f>
      </x:c>
      <x:c r="M13728" s="0" t="s">
        <x:v>21</x:v>
      </x:c>
      <x:c r="N13728" s="0" t="s">
        <x:v>46</x:v>
      </x:c>
    </x:row>
    <x:row r="13729" spans="1:16">
      <x:c r="A13729" s="0" t="s">
        <x:v>51790</x:v>
      </x:c>
      <x:c r="B13729" s="0" t="s">
        <x:v>51791</x:v>
      </x:c>
      <x:c r="C13729" s="0" t="s">
        <x:v>42840</x:v>
      </x:c>
      <x:c r="E13729" s="0" t="s">
        <x:v>51792</x:v>
      </x:c>
      <x:c r="F13729" s="0" t="s">
        <x:v>45</x:v>
      </x:c>
      <x:c r="G13729" s="0" t="s">
        <x:v>30</x:v>
      </x:c>
      <x:c r="H13729" s="0" t="s">
        <x:v>20</x:v>
      </x:c>
      <x:c r="I13729" s="0" t="s">
        <x:v>21</x:v>
      </x:c>
      <x:c r="K13729" s="0">
        <x:f>hyperlink("https://icd.who.int/dev11/l-ichi/en#/http%3A%2F%2Fid.who.int%2Ficd%2Fentity%2F446130410","browser")</x:f>
      </x:c>
      <x:c r="L13729" s="0">
        <x:f>hyperlink("https://icat2.azurewebsites.net/icat/?ontology=ICD&amp;tab=ClassesTab&amp;id=http%3A%2F%2Fwho.int%2Ficd%23SpecificAnatomicLocation_3478","iCat")</x:f>
      </x:c>
      <x:c r="M13729" s="0" t="s">
        <x:v>21</x:v>
      </x:c>
      <x:c r="N13729" s="0" t="s">
        <x:v>46</x:v>
      </x:c>
    </x:row>
    <x:row r="13730" spans="1:16">
      <x:c r="A13730" s="0" t="s">
        <x:v>51793</x:v>
      </x:c>
      <x:c r="B13730" s="0" t="s">
        <x:v>51794</x:v>
      </x:c>
      <x:c r="C13730" s="0" t="s">
        <x:v>42840</x:v>
      </x:c>
      <x:c r="E13730" s="0" t="s">
        <x:v>51795</x:v>
      </x:c>
      <x:c r="F13730" s="0" t="s">
        <x:v>45</x:v>
      </x:c>
      <x:c r="G13730" s="0" t="s">
        <x:v>30</x:v>
      </x:c>
      <x:c r="H13730" s="0" t="s">
        <x:v>20</x:v>
      </x:c>
      <x:c r="I13730" s="0" t="s">
        <x:v>21</x:v>
      </x:c>
      <x:c r="K13730" s="0">
        <x:f>hyperlink("https://icd.who.int/dev11/l-ichi/en#/http%3A%2F%2Fid.who.int%2Ficd%2Fentity%2F972197718","browser")</x:f>
      </x:c>
      <x:c r="L13730" s="0">
        <x:f>hyperlink("https://icat2.azurewebsites.net/icat/?ontology=ICD&amp;tab=ClassesTab&amp;id=http%3A%2F%2Fwho.int%2Ficd%23SpecificAnatomicLocation_3477","iCat")</x:f>
      </x:c>
      <x:c r="M13730" s="0" t="s">
        <x:v>21</x:v>
      </x:c>
      <x:c r="N13730" s="0" t="s">
        <x:v>46</x:v>
      </x:c>
    </x:row>
    <x:row r="13731" spans="1:16">
      <x:c r="A13731" s="0" t="s">
        <x:v>51796</x:v>
      </x:c>
      <x:c r="B13731" s="0" t="s">
        <x:v>51797</x:v>
      </x:c>
      <x:c r="C13731" s="0" t="s">
        <x:v>42840</x:v>
      </x:c>
      <x:c r="E13731" s="0" t="s">
        <x:v>51798</x:v>
      </x:c>
      <x:c r="F13731" s="0" t="s">
        <x:v>45</x:v>
      </x:c>
      <x:c r="G13731" s="0" t="s">
        <x:v>19</x:v>
      </x:c>
      <x:c r="H13731" s="0" t="s">
        <x:v>20</x:v>
      </x:c>
      <x:c r="I13731" s="0" t="s">
        <x:v>21</x:v>
      </x:c>
      <x:c r="K13731" s="0">
        <x:f>hyperlink("https://icd.who.int/dev11/l-ichi/en#/http%3A%2F%2Fid.who.int%2Ficd%2Fentity%2F1028502910","browser")</x:f>
      </x:c>
      <x:c r="L13731" s="0">
        <x:f>hyperlink("https://icat2.azurewebsites.net/icat/?ontology=ICD&amp;tab=ClassesTab&amp;id=http%3A%2F%2Fwho.int%2Ficd%23SpecificAnatomicLocation_3443","iCat")</x:f>
      </x:c>
      <x:c r="M13731" s="0" t="s">
        <x:v>21</x:v>
      </x:c>
      <x:c r="N13731" s="0" t="s">
        <x:v>46</x:v>
      </x:c>
    </x:row>
    <x:row r="13732" spans="1:16">
      <x:c r="A13732" s="0" t="s">
        <x:v>51799</x:v>
      </x:c>
      <x:c r="B13732" s="0" t="s">
        <x:v>51800</x:v>
      </x:c>
      <x:c r="C13732" s="0" t="s">
        <x:v>42840</x:v>
      </x:c>
      <x:c r="E13732" s="0" t="s">
        <x:v>51801</x:v>
      </x:c>
      <x:c r="F13732" s="0" t="s">
        <x:v>45</x:v>
      </x:c>
      <x:c r="G13732" s="0" t="s">
        <x:v>19</x:v>
      </x:c>
      <x:c r="H13732" s="0" t="s">
        <x:v>20</x:v>
      </x:c>
      <x:c r="I13732" s="0" t="s">
        <x:v>21</x:v>
      </x:c>
      <x:c r="K13732" s="0">
        <x:f>hyperlink("https://icd.who.int/dev11/l-ichi/en#/http%3A%2F%2Fid.who.int%2Ficd%2Fentity%2F1486129982","browser")</x:f>
      </x:c>
      <x:c r="L13732" s="0">
        <x:f>hyperlink("https://icat2.azurewebsites.net/icat/?ontology=ICD&amp;tab=ClassesTab&amp;id=http%3A%2F%2Fwho.int%2Ficd%23SpecificAnatomicLocation_3444","iCat")</x:f>
      </x:c>
      <x:c r="M13732" s="0" t="s">
        <x:v>21</x:v>
      </x:c>
      <x:c r="N13732" s="0" t="s">
        <x:v>46</x:v>
      </x:c>
    </x:row>
    <x:row r="13733" spans="1:16">
      <x:c r="A13733" s="0" t="s">
        <x:v>51802</x:v>
      </x:c>
      <x:c r="B13733" s="0" t="s">
        <x:v>51803</x:v>
      </x:c>
      <x:c r="C13733" s="0" t="s">
        <x:v>42840</x:v>
      </x:c>
      <x:c r="E13733" s="0" t="s">
        <x:v>51804</x:v>
      </x:c>
      <x:c r="F13733" s="0" t="s">
        <x:v>45</x:v>
      </x:c>
      <x:c r="G13733" s="0" t="s">
        <x:v>19</x:v>
      </x:c>
      <x:c r="H13733" s="0" t="s">
        <x:v>20</x:v>
      </x:c>
      <x:c r="I13733" s="0" t="s">
        <x:v>21</x:v>
      </x:c>
      <x:c r="K13733" s="0">
        <x:f>hyperlink("https://icd.who.int/dev11/l-ichi/en#/http%3A%2F%2Fid.who.int%2Ficd%2Fentity%2F1133981605","browser")</x:f>
      </x:c>
      <x:c r="L13733" s="0">
        <x:f>hyperlink("https://icat2.azurewebsites.net/icat/?ontology=ICD&amp;tab=ClassesTab&amp;id=http%3A%2F%2Fwho.int%2Ficd%23SpecificAnatomicLocation_3453","iCat")</x:f>
      </x:c>
      <x:c r="M13733" s="0" t="s">
        <x:v>20</x:v>
      </x:c>
      <x:c r="N13733" s="0" t="s">
        <x:v>36</x:v>
      </x:c>
    </x:row>
    <x:row r="13734" spans="1:16">
      <x:c r="A13734" s="0" t="s">
        <x:v>51805</x:v>
      </x:c>
      <x:c r="B13734" s="0" t="s">
        <x:v>51806</x:v>
      </x:c>
      <x:c r="C13734" s="0" t="s">
        <x:v>42840</x:v>
      </x:c>
      <x:c r="E13734" s="0" t="s">
        <x:v>51807</x:v>
      </x:c>
      <x:c r="F13734" s="0" t="s">
        <x:v>45</x:v>
      </x:c>
      <x:c r="G13734" s="0" t="s">
        <x:v>30</x:v>
      </x:c>
      <x:c r="H13734" s="0" t="s">
        <x:v>20</x:v>
      </x:c>
      <x:c r="I13734" s="0" t="s">
        <x:v>21</x:v>
      </x:c>
      <x:c r="K13734" s="0">
        <x:f>hyperlink("https://icd.who.int/dev11/l-ichi/en#/http%3A%2F%2Fid.who.int%2Ficd%2Fentity%2F1841817125","browser")</x:f>
      </x:c>
      <x:c r="L13734" s="0">
        <x:f>hyperlink("https://icat2.azurewebsites.net/icat/?ontology=ICD&amp;tab=ClassesTab&amp;id=http%3A%2F%2Fwho.int%2Ficd%23SpecificAnatomicLocation_3451","iCat")</x:f>
      </x:c>
      <x:c r="M13734" s="0" t="s">
        <x:v>21</x:v>
      </x:c>
      <x:c r="N13734" s="0" t="s">
        <x:v>46</x:v>
      </x:c>
    </x:row>
    <x:row r="13735" spans="1:16">
      <x:c r="A13735" s="0" t="s">
        <x:v>51808</x:v>
      </x:c>
      <x:c r="B13735" s="0" t="s">
        <x:v>51809</x:v>
      </x:c>
      <x:c r="C13735" s="0" t="s">
        <x:v>42840</x:v>
      </x:c>
      <x:c r="E13735" s="0" t="s">
        <x:v>51810</x:v>
      </x:c>
      <x:c r="F13735" s="0" t="s">
        <x:v>45</x:v>
      </x:c>
      <x:c r="G13735" s="0" t="s">
        <x:v>30</x:v>
      </x:c>
      <x:c r="H13735" s="0" t="s">
        <x:v>20</x:v>
      </x:c>
      <x:c r="I13735" s="0" t="s">
        <x:v>21</x:v>
      </x:c>
      <x:c r="K13735" s="0">
        <x:f>hyperlink("https://icd.who.int/dev11/l-ichi/en#/http%3A%2F%2Fid.who.int%2Ficd%2Fentity%2F1258542550","browser")</x:f>
      </x:c>
      <x:c r="L13735" s="0">
        <x:f>hyperlink("https://icat2.azurewebsites.net/icat/?ontology=ICD&amp;tab=ClassesTab&amp;id=http%3A%2F%2Fwho.int%2Ficd%23SpecificAnatomicLocation_3471","iCat")</x:f>
      </x:c>
      <x:c r="M13735" s="0" t="s">
        <x:v>21</x:v>
      </x:c>
      <x:c r="N13735" s="0" t="s">
        <x:v>46</x:v>
      </x:c>
    </x:row>
    <x:row r="13736" spans="1:16">
      <x:c r="A13736" s="0" t="s">
        <x:v>51811</x:v>
      </x:c>
      <x:c r="B13736" s="0" t="s">
        <x:v>51812</x:v>
      </x:c>
      <x:c r="C13736" s="0" t="s">
        <x:v>42840</x:v>
      </x:c>
      <x:c r="E13736" s="0" t="s">
        <x:v>51813</x:v>
      </x:c>
      <x:c r="F13736" s="0" t="s">
        <x:v>45</x:v>
      </x:c>
      <x:c r="G13736" s="0" t="s">
        <x:v>30</x:v>
      </x:c>
      <x:c r="H13736" s="0" t="s">
        <x:v>20</x:v>
      </x:c>
      <x:c r="I13736" s="0" t="s">
        <x:v>21</x:v>
      </x:c>
      <x:c r="K13736" s="0">
        <x:f>hyperlink("https://icd.who.int/dev11/l-ichi/en#/http%3A%2F%2Fid.who.int%2Ficd%2Fentity%2F1421822821","browser")</x:f>
      </x:c>
      <x:c r="L13736" s="0">
        <x:f>hyperlink("https://icat2.azurewebsites.net/icat/?ontology=ICD&amp;tab=ClassesTab&amp;id=http%3A%2F%2Fwho.int%2Ficd%23SpecificAnatomicLocation_3452","iCat")</x:f>
      </x:c>
      <x:c r="M13736" s="0" t="s">
        <x:v>21</x:v>
      </x:c>
      <x:c r="N13736" s="0" t="s">
        <x:v>46</x:v>
      </x:c>
    </x:row>
    <x:row r="13737" spans="1:16">
      <x:c r="A13737" s="0" t="s">
        <x:v>51814</x:v>
      </x:c>
      <x:c r="B13737" s="0" t="s">
        <x:v>51815</x:v>
      </x:c>
      <x:c r="C13737" s="0" t="s">
        <x:v>42840</x:v>
      </x:c>
      <x:c r="E13737" s="0" t="s">
        <x:v>51816</x:v>
      </x:c>
      <x:c r="F13737" s="0" t="s">
        <x:v>45</x:v>
      </x:c>
      <x:c r="G13737" s="0" t="s">
        <x:v>30</x:v>
      </x:c>
      <x:c r="H13737" s="0" t="s">
        <x:v>20</x:v>
      </x:c>
      <x:c r="I13737" s="0" t="s">
        <x:v>21</x:v>
      </x:c>
      <x:c r="K13737" s="0">
        <x:f>hyperlink("https://icd.who.int/dev11/l-ichi/en#/http%3A%2F%2Fid.who.int%2Ficd%2Fentity%2F1337782270","browser")</x:f>
      </x:c>
      <x:c r="L13737" s="0">
        <x:f>hyperlink("https://icat2.azurewebsites.net/icat/?ontology=ICD&amp;tab=ClassesTab&amp;id=http%3A%2F%2Fwho.int%2Ficd%23SpecificAnatomicLocation_3445","iCat")</x:f>
      </x:c>
      <x:c r="M13737" s="0" t="s">
        <x:v>21</x:v>
      </x:c>
      <x:c r="N13737" s="0" t="s">
        <x:v>46</x:v>
      </x:c>
    </x:row>
    <x:row r="13738" spans="1:16">
      <x:c r="A13738" s="0" t="s">
        <x:v>51817</x:v>
      </x:c>
      <x:c r="B13738" s="0" t="s">
        <x:v>51818</x:v>
      </x:c>
      <x:c r="C13738" s="0" t="s">
        <x:v>42840</x:v>
      </x:c>
      <x:c r="E13738" s="0" t="s">
        <x:v>51819</x:v>
      </x:c>
      <x:c r="F13738" s="0" t="s">
        <x:v>45</x:v>
      </x:c>
      <x:c r="G13738" s="0" t="s">
        <x:v>30</x:v>
      </x:c>
      <x:c r="H13738" s="0" t="s">
        <x:v>20</x:v>
      </x:c>
      <x:c r="I13738" s="0" t="s">
        <x:v>21</x:v>
      </x:c>
      <x:c r="K13738" s="0">
        <x:f>hyperlink("https://icd.who.int/dev11/l-ichi/en#/http%3A%2F%2Fid.who.int%2Ficd%2Fentity%2F1992573630","browser")</x:f>
      </x:c>
      <x:c r="L13738" s="0">
        <x:f>hyperlink("https://icat2.azurewebsites.net/icat/?ontology=ICD&amp;tab=ClassesTab&amp;id=http%3A%2F%2Fwho.int%2Ficd%23SpecificAnatomicLocation_3446","iCat")</x:f>
      </x:c>
      <x:c r="M13738" s="0" t="s">
        <x:v>21</x:v>
      </x:c>
      <x:c r="N13738" s="0" t="s">
        <x:v>46</x:v>
      </x:c>
    </x:row>
    <x:row r="13739" spans="1:16">
      <x:c r="A13739" s="0" t="s">
        <x:v>51820</x:v>
      </x:c>
      <x:c r="B13739" s="0" t="s">
        <x:v>51821</x:v>
      </x:c>
      <x:c r="C13739" s="0" t="s">
        <x:v>42840</x:v>
      </x:c>
      <x:c r="E13739" s="0" t="s">
        <x:v>51822</x:v>
      </x:c>
      <x:c r="F13739" s="0" t="s">
        <x:v>45</x:v>
      </x:c>
      <x:c r="G13739" s="0" t="s">
        <x:v>30</x:v>
      </x:c>
      <x:c r="H13739" s="0" t="s">
        <x:v>20</x:v>
      </x:c>
      <x:c r="I13739" s="0" t="s">
        <x:v>21</x:v>
      </x:c>
      <x:c r="K13739" s="0">
        <x:f>hyperlink("https://icd.who.int/dev11/l-ichi/en#/http%3A%2F%2Fid.who.int%2Ficd%2Fentity%2F1642866302","browser")</x:f>
      </x:c>
      <x:c r="L13739" s="0">
        <x:f>hyperlink("https://icat2.azurewebsites.net/icat/?ontology=ICD&amp;tab=ClassesTab&amp;id=http%3A%2F%2Fwho.int%2Ficd%23SpecificAnatomicLocation_3447","iCat")</x:f>
      </x:c>
      <x:c r="M13739" s="0" t="s">
        <x:v>21</x:v>
      </x:c>
      <x:c r="N13739" s="0" t="s">
        <x:v>46</x:v>
      </x:c>
    </x:row>
    <x:row r="13740" spans="1:16">
      <x:c r="A13740" s="0" t="s">
        <x:v>51823</x:v>
      </x:c>
      <x:c r="B13740" s="0" t="s">
        <x:v>51824</x:v>
      </x:c>
      <x:c r="C13740" s="0" t="s">
        <x:v>42840</x:v>
      </x:c>
      <x:c r="E13740" s="0" t="s">
        <x:v>51825</x:v>
      </x:c>
      <x:c r="F13740" s="0" t="s">
        <x:v>45</x:v>
      </x:c>
      <x:c r="G13740" s="0" t="s">
        <x:v>30</x:v>
      </x:c>
      <x:c r="H13740" s="0" t="s">
        <x:v>20</x:v>
      </x:c>
      <x:c r="I13740" s="0" t="s">
        <x:v>21</x:v>
      </x:c>
      <x:c r="K13740" s="0">
        <x:f>hyperlink("https://icd.who.int/dev11/l-ichi/en#/http%3A%2F%2Fid.who.int%2Ficd%2Fentity%2F2119219405","browser")</x:f>
      </x:c>
      <x:c r="L13740" s="0">
        <x:f>hyperlink("https://icat2.azurewebsites.net/icat/?ontology=ICD&amp;tab=ClassesTab&amp;id=http%3A%2F%2Fwho.int%2Ficd%23SpecificAnatomicLocation_3464","iCat")</x:f>
      </x:c>
      <x:c r="M13740" s="0" t="s">
        <x:v>21</x:v>
      </x:c>
      <x:c r="N13740" s="0" t="s">
        <x:v>46</x:v>
      </x:c>
    </x:row>
    <x:row r="13741" spans="1:16">
      <x:c r="A13741" s="0" t="s">
        <x:v>51826</x:v>
      </x:c>
      <x:c r="B13741" s="0" t="s">
        <x:v>51827</x:v>
      </x:c>
      <x:c r="C13741" s="0" t="s">
        <x:v>42840</x:v>
      </x:c>
      <x:c r="E13741" s="0" t="s">
        <x:v>51828</x:v>
      </x:c>
      <x:c r="F13741" s="0" t="s">
        <x:v>45</x:v>
      </x:c>
      <x:c r="G13741" s="0" t="s">
        <x:v>30</x:v>
      </x:c>
      <x:c r="H13741" s="0" t="s">
        <x:v>20</x:v>
      </x:c>
      <x:c r="I13741" s="0" t="s">
        <x:v>21</x:v>
      </x:c>
      <x:c r="K13741" s="0">
        <x:f>hyperlink("https://icd.who.int/dev11/l-ichi/en#/http%3A%2F%2Fid.who.int%2Ficd%2Fentity%2F1546367254","browser")</x:f>
      </x:c>
      <x:c r="L13741" s="0">
        <x:f>hyperlink("https://icat2.azurewebsites.net/icat/?ontology=ICD&amp;tab=ClassesTab&amp;id=http%3A%2F%2Fwho.int%2Ficd%23SpecificAnatomicLocation_3470","iCat")</x:f>
      </x:c>
      <x:c r="M13741" s="0" t="s">
        <x:v>21</x:v>
      </x:c>
      <x:c r="N13741" s="0" t="s">
        <x:v>46</x:v>
      </x:c>
    </x:row>
    <x:row r="13742" spans="1:16">
      <x:c r="A13742" s="0" t="s">
        <x:v>51829</x:v>
      </x:c>
      <x:c r="B13742" s="0" t="s">
        <x:v>51830</x:v>
      </x:c>
      <x:c r="C13742" s="0" t="s">
        <x:v>42840</x:v>
      </x:c>
      <x:c r="E13742" s="0" t="s">
        <x:v>51831</x:v>
      </x:c>
      <x:c r="F13742" s="0" t="s">
        <x:v>45</x:v>
      </x:c>
      <x:c r="G13742" s="0" t="s">
        <x:v>30</x:v>
      </x:c>
      <x:c r="H13742" s="0" t="s">
        <x:v>20</x:v>
      </x:c>
      <x:c r="I13742" s="0" t="s">
        <x:v>21</x:v>
      </x:c>
      <x:c r="K13742" s="0">
        <x:f>hyperlink("https://icd.who.int/dev11/l-ichi/en#/http%3A%2F%2Fid.who.int%2Ficd%2Fentity%2F751853343","browser")</x:f>
      </x:c>
      <x:c r="L13742" s="0">
        <x:f>hyperlink("https://icat2.azurewebsites.net/icat/?ontology=ICD&amp;tab=ClassesTab&amp;id=http%3A%2F%2Fwho.int%2Ficd%23194_0b1ba77e_1110_4c95_88d7_b3da3232f4d4","iCat")</x:f>
      </x:c>
      <x:c r="M13742" s="0" t="s">
        <x:v>20</x:v>
      </x:c>
      <x:c r="N13742" s="0" t="s">
        <x:v>19</x:v>
      </x:c>
    </x:row>
    <x:row r="13743" spans="1:16">
      <x:c r="A13743" s="0" t="s">
        <x:v>51832</x:v>
      </x:c>
      <x:c r="B13743" s="0" t="s">
        <x:v>51833</x:v>
      </x:c>
      <x:c r="C13743" s="0" t="s">
        <x:v>42840</x:v>
      </x:c>
      <x:c r="E13743" s="0" t="s">
        <x:v>51834</x:v>
      </x:c>
      <x:c r="F13743" s="0" t="s">
        <x:v>45</x:v>
      </x:c>
      <x:c r="G13743" s="0" t="s">
        <x:v>35</x:v>
      </x:c>
      <x:c r="H13743" s="0" t="s">
        <x:v>20</x:v>
      </x:c>
      <x:c r="I13743" s="0" t="s">
        <x:v>21</x:v>
      </x:c>
      <x:c r="K13743" s="0">
        <x:f>hyperlink("https://icd.who.int/dev11/l-ichi/en#/http%3A%2F%2Fid.who.int%2Ficd%2Fentity%2F623958825","browser")</x:f>
      </x:c>
      <x:c r="L13743" s="0">
        <x:f>hyperlink("https://icat2.azurewebsites.net/icat/?ontology=ICD&amp;tab=ClassesTab&amp;id=http%3A%2F%2Fwho.int%2Ficd%23140_7d3164e7_57ed_4b09_bb56_286e36e953fb","iCat")</x:f>
      </x:c>
      <x:c r="M13743" s="0" t="s">
        <x:v>21</x:v>
      </x:c>
      <x:c r="N13743" s="0" t="s">
        <x:v>46</x:v>
      </x:c>
    </x:row>
    <x:row r="13744" spans="1:16">
      <x:c r="A13744" s="0" t="s">
        <x:v>51835</x:v>
      </x:c>
      <x:c r="B13744" s="0" t="s">
        <x:v>51836</x:v>
      </x:c>
      <x:c r="C13744" s="0" t="s">
        <x:v>42840</x:v>
      </x:c>
      <x:c r="E13744" s="0" t="s">
        <x:v>51837</x:v>
      </x:c>
      <x:c r="F13744" s="0" t="s">
        <x:v>45</x:v>
      </x:c>
      <x:c r="G13744" s="0" t="s">
        <x:v>19</x:v>
      </x:c>
      <x:c r="H13744" s="0" t="s">
        <x:v>20</x:v>
      </x:c>
      <x:c r="I13744" s="0" t="s">
        <x:v>21</x:v>
      </x:c>
      <x:c r="K13744" s="0">
        <x:f>hyperlink("https://icd.who.int/dev11/l-ichi/en#/http%3A%2F%2Fid.who.int%2Ficd%2Fentity%2F461997709","browser")</x:f>
      </x:c>
      <x:c r="L13744" s="0">
        <x:f>hyperlink("https://icat2.azurewebsites.net/icat/?ontology=ICD&amp;tab=ClassesTab&amp;id=http%3A%2F%2Fwho.int%2Ficd%23SpecificAnatomicLocation_3463","iCat")</x:f>
      </x:c>
      <x:c r="M13744" s="0" t="s">
        <x:v>20</x:v>
      </x:c>
      <x:c r="N13744" s="0" t="s">
        <x:v>30</x:v>
      </x:c>
    </x:row>
    <x:row r="13745" spans="1:16">
      <x:c r="A13745" s="0" t="s">
        <x:v>51838</x:v>
      </x:c>
      <x:c r="B13745" s="0" t="s">
        <x:v>51839</x:v>
      </x:c>
      <x:c r="C13745" s="0" t="s">
        <x:v>42840</x:v>
      </x:c>
      <x:c r="E13745" s="0" t="s">
        <x:v>51840</x:v>
      </x:c>
      <x:c r="F13745" s="0" t="s">
        <x:v>45</x:v>
      </x:c>
      <x:c r="G13745" s="0" t="s">
        <x:v>30</x:v>
      </x:c>
      <x:c r="H13745" s="0" t="s">
        <x:v>20</x:v>
      </x:c>
      <x:c r="I13745" s="0" t="s">
        <x:v>21</x:v>
      </x:c>
      <x:c r="K13745" s="0">
        <x:f>hyperlink("https://icd.who.int/dev11/l-ichi/en#/http%3A%2F%2Fid.who.int%2Ficd%2Fentity%2F1193809293","browser")</x:f>
      </x:c>
      <x:c r="L13745" s="0">
        <x:f>hyperlink("https://icat2.azurewebsites.net/icat/?ontology=ICD&amp;tab=ClassesTab&amp;id=http%3A%2F%2Fwho.int%2Ficd%23SpecificAnatomicLocation_3467","iCat")</x:f>
      </x:c>
      <x:c r="M13745" s="0" t="s">
        <x:v>21</x:v>
      </x:c>
      <x:c r="N13745" s="0" t="s">
        <x:v>46</x:v>
      </x:c>
    </x:row>
    <x:row r="13746" spans="1:16">
      <x:c r="A13746" s="0" t="s">
        <x:v>51841</x:v>
      </x:c>
      <x:c r="B13746" s="0" t="s">
        <x:v>51842</x:v>
      </x:c>
      <x:c r="C13746" s="0" t="s">
        <x:v>42840</x:v>
      </x:c>
      <x:c r="E13746" s="0" t="s">
        <x:v>51843</x:v>
      </x:c>
      <x:c r="F13746" s="0" t="s">
        <x:v>45</x:v>
      </x:c>
      <x:c r="G13746" s="0" t="s">
        <x:v>30</x:v>
      </x:c>
      <x:c r="H13746" s="0" t="s">
        <x:v>20</x:v>
      </x:c>
      <x:c r="I13746" s="0" t="s">
        <x:v>21</x:v>
      </x:c>
      <x:c r="K13746" s="0">
        <x:f>hyperlink("https://icd.who.int/dev11/l-ichi/en#/http%3A%2F%2Fid.who.int%2Ficd%2Fentity%2F1920694422","browser")</x:f>
      </x:c>
      <x:c r="L13746" s="0">
        <x:f>hyperlink("https://icat2.azurewebsites.net/icat/?ontology=ICD&amp;tab=ClassesTab&amp;id=http%3A%2F%2Fwho.int%2Ficd%23SpecificAnatomicLocation_3472","iCat")</x:f>
      </x:c>
      <x:c r="M13746" s="0" t="s">
        <x:v>21</x:v>
      </x:c>
      <x:c r="N13746" s="0" t="s">
        <x:v>46</x:v>
      </x:c>
    </x:row>
    <x:row r="13747" spans="1:16">
      <x:c r="A13747" s="0" t="s">
        <x:v>51844</x:v>
      </x:c>
      <x:c r="B13747" s="0" t="s">
        <x:v>51845</x:v>
      </x:c>
      <x:c r="C13747" s="0" t="s">
        <x:v>42840</x:v>
      </x:c>
      <x:c r="E13747" s="0" t="s">
        <x:v>51846</x:v>
      </x:c>
      <x:c r="F13747" s="0" t="s">
        <x:v>45</x:v>
      </x:c>
      <x:c r="G13747" s="0" t="s">
        <x:v>19</x:v>
      </x:c>
      <x:c r="H13747" s="0" t="s">
        <x:v>20</x:v>
      </x:c>
      <x:c r="I13747" s="0" t="s">
        <x:v>21</x:v>
      </x:c>
      <x:c r="K13747" s="0">
        <x:f>hyperlink("https://icd.who.int/dev11/l-ichi/en#/http%3A%2F%2Fid.who.int%2Ficd%2Fentity%2F342190642","browser")</x:f>
      </x:c>
      <x:c r="L13747" s="0">
        <x:f>hyperlink("https://icat2.azurewebsites.net/icat/?ontology=ICD&amp;tab=ClassesTab&amp;id=http%3A%2F%2Fwho.int%2Ficd%233643_fc52af54_1027_43a0_9444_cc0a947b20be","iCat")</x:f>
      </x:c>
      <x:c r="M13747" s="0" t="s">
        <x:v>20</x:v>
      </x:c>
      <x:c r="N13747" s="0" t="s">
        <x:v>30</x:v>
      </x:c>
    </x:row>
    <x:row r="13748" spans="1:16">
      <x:c r="A13748" s="0" t="s">
        <x:v>51847</x:v>
      </x:c>
      <x:c r="B13748" s="0" t="s">
        <x:v>51848</x:v>
      </x:c>
      <x:c r="C13748" s="0" t="s">
        <x:v>42840</x:v>
      </x:c>
      <x:c r="E13748" s="0" t="s">
        <x:v>51849</x:v>
      </x:c>
      <x:c r="F13748" s="0" t="s">
        <x:v>45</x:v>
      </x:c>
      <x:c r="G13748" s="0" t="s">
        <x:v>30</x:v>
      </x:c>
      <x:c r="H13748" s="0" t="s">
        <x:v>20</x:v>
      </x:c>
      <x:c r="I13748" s="0" t="s">
        <x:v>21</x:v>
      </x:c>
      <x:c r="K13748" s="0">
        <x:f>hyperlink("https://icd.who.int/dev11/l-ichi/en#/http%3A%2F%2Fid.who.int%2Ficd%2Fentity%2F1641279043","browser")</x:f>
      </x:c>
      <x:c r="L13748" s="0">
        <x:f>hyperlink("https://icat2.azurewebsites.net/icat/?ontology=ICD&amp;tab=ClassesTab&amp;id=http%3A%2F%2Fwho.int%2Ficd%233677_fc52af54_1027_43a0_9444_cc0a947b20be","iCat")</x:f>
      </x:c>
      <x:c r="M13748" s="0" t="s">
        <x:v>21</x:v>
      </x:c>
      <x:c r="N13748" s="0" t="s">
        <x:v>46</x:v>
      </x:c>
    </x:row>
    <x:row r="13749" spans="1:16">
      <x:c r="A13749" s="0" t="s">
        <x:v>51850</x:v>
      </x:c>
      <x:c r="B13749" s="0" t="s">
        <x:v>51851</x:v>
      </x:c>
      <x:c r="C13749" s="0" t="s">
        <x:v>42840</x:v>
      </x:c>
      <x:c r="E13749" s="0" t="s">
        <x:v>51852</x:v>
      </x:c>
      <x:c r="F13749" s="0" t="s">
        <x:v>45</x:v>
      </x:c>
      <x:c r="G13749" s="0" t="s">
        <x:v>30</x:v>
      </x:c>
      <x:c r="H13749" s="0" t="s">
        <x:v>20</x:v>
      </x:c>
      <x:c r="I13749" s="0" t="s">
        <x:v>21</x:v>
      </x:c>
      <x:c r="K13749" s="0">
        <x:f>hyperlink("https://icd.who.int/dev11/l-ichi/en#/http%3A%2F%2Fid.who.int%2Ficd%2Fentity%2F67650550","browser")</x:f>
      </x:c>
      <x:c r="L13749" s="0">
        <x:f>hyperlink("https://icat2.azurewebsites.net/icat/?ontology=ICD&amp;tab=ClassesTab&amp;id=http%3A%2F%2Fwho.int%2Ficd%233696_fc52af54_1027_43a0_9444_cc0a947b20be","iCat")</x:f>
      </x:c>
      <x:c r="M13749" s="0" t="s">
        <x:v>21</x:v>
      </x:c>
      <x:c r="N13749" s="0" t="s">
        <x:v>46</x:v>
      </x:c>
    </x:row>
    <x:row r="13750" spans="1:16">
      <x:c r="A13750" s="0" t="s">
        <x:v>51853</x:v>
      </x:c>
      <x:c r="B13750" s="0" t="s">
        <x:v>51854</x:v>
      </x:c>
      <x:c r="C13750" s="0" t="s">
        <x:v>42840</x:v>
      </x:c>
      <x:c r="E13750" s="0" t="s">
        <x:v>51855</x:v>
      </x:c>
      <x:c r="F13750" s="0" t="s">
        <x:v>45</x:v>
      </x:c>
      <x:c r="G13750" s="0" t="s">
        <x:v>19</x:v>
      </x:c>
      <x:c r="H13750" s="0" t="s">
        <x:v>20</x:v>
      </x:c>
      <x:c r="I13750" s="0" t="s">
        <x:v>21</x:v>
      </x:c>
      <x:c r="K13750" s="0">
        <x:f>hyperlink("https://icd.who.int/dev11/l-ichi/en#/http%3A%2F%2Fid.who.int%2Ficd%2Fentity%2F1205630411","browser")</x:f>
      </x:c>
      <x:c r="L13750" s="0">
        <x:f>hyperlink("https://icat2.azurewebsites.net/icat/?ontology=ICD&amp;tab=ClassesTab&amp;id=http%3A%2F%2Fwho.int%2Ficd%23SpecificAnatomicLocation_3436","iCat")</x:f>
      </x:c>
      <x:c r="M13750" s="0" t="s">
        <x:v>20</x:v>
      </x:c>
      <x:c r="N13750" s="0" t="s">
        <x:v>35</x:v>
      </x:c>
    </x:row>
    <x:row r="13751" spans="1:16">
      <x:c r="A13751" s="0" t="s">
        <x:v>51856</x:v>
      </x:c>
      <x:c r="B13751" s="0" t="s">
        <x:v>51857</x:v>
      </x:c>
      <x:c r="C13751" s="0" t="s">
        <x:v>42840</x:v>
      </x:c>
      <x:c r="E13751" s="0" t="s">
        <x:v>51858</x:v>
      </x:c>
      <x:c r="F13751" s="0" t="s">
        <x:v>45</x:v>
      </x:c>
      <x:c r="G13751" s="0" t="s">
        <x:v>30</x:v>
      </x:c>
      <x:c r="H13751" s="0" t="s">
        <x:v>20</x:v>
      </x:c>
      <x:c r="I13751" s="0" t="s">
        <x:v>21</x:v>
      </x:c>
      <x:c r="K13751" s="0">
        <x:f>hyperlink("https://icd.who.int/dev11/l-ichi/en#/http%3A%2F%2Fid.who.int%2Ficd%2Fentity%2F1770830923","browser")</x:f>
      </x:c>
      <x:c r="L13751" s="0">
        <x:f>hyperlink("https://icat2.azurewebsites.net/icat/?ontology=ICD&amp;tab=ClassesTab&amp;id=http%3A%2F%2Fwho.int%2Ficd%23SpecificAnatomicLocation_3434","iCat")</x:f>
      </x:c>
      <x:c r="M13751" s="0" t="s">
        <x:v>21</x:v>
      </x:c>
      <x:c r="N13751" s="0" t="s">
        <x:v>46</x:v>
      </x:c>
    </x:row>
    <x:row r="13752" spans="1:16">
      <x:c r="A13752" s="0" t="s">
        <x:v>51859</x:v>
      </x:c>
      <x:c r="B13752" s="0" t="s">
        <x:v>51860</x:v>
      </x:c>
      <x:c r="C13752" s="0" t="s">
        <x:v>42840</x:v>
      </x:c>
      <x:c r="E13752" s="0" t="s">
        <x:v>51861</x:v>
      </x:c>
      <x:c r="F13752" s="0" t="s">
        <x:v>45</x:v>
      </x:c>
      <x:c r="G13752" s="0" t="s">
        <x:v>30</x:v>
      </x:c>
      <x:c r="H13752" s="0" t="s">
        <x:v>20</x:v>
      </x:c>
      <x:c r="I13752" s="0" t="s">
        <x:v>21</x:v>
      </x:c>
      <x:c r="K13752" s="0">
        <x:f>hyperlink("https://icd.who.int/dev11/l-ichi/en#/http%3A%2F%2Fid.who.int%2Ficd%2Fentity%2F2124732555","browser")</x:f>
      </x:c>
      <x:c r="L13752" s="0">
        <x:f>hyperlink("https://icat2.azurewebsites.net/icat/?ontology=ICD&amp;tab=ClassesTab&amp;id=http%3A%2F%2Fwho.int%2Ficd%23SpecificAnatomicLocation_3435","iCat")</x:f>
      </x:c>
      <x:c r="M13752" s="0" t="s">
        <x:v>21</x:v>
      </x:c>
      <x:c r="N13752" s="0" t="s">
        <x:v>46</x:v>
      </x:c>
    </x:row>
    <x:row r="13753" spans="1:16">
      <x:c r="A13753" s="0" t="s">
        <x:v>51862</x:v>
      </x:c>
      <x:c r="B13753" s="0" t="s">
        <x:v>51863</x:v>
      </x:c>
      <x:c r="C13753" s="0" t="s">
        <x:v>42840</x:v>
      </x:c>
      <x:c r="E13753" s="0" t="s">
        <x:v>51864</x:v>
      </x:c>
      <x:c r="F13753" s="0" t="s">
        <x:v>45</x:v>
      </x:c>
      <x:c r="G13753" s="0" t="s">
        <x:v>30</x:v>
      </x:c>
      <x:c r="H13753" s="0" t="s">
        <x:v>20</x:v>
      </x:c>
      <x:c r="I13753" s="0" t="s">
        <x:v>21</x:v>
      </x:c>
      <x:c r="K13753" s="0">
        <x:f>hyperlink("https://icd.who.int/dev11/l-ichi/en#/http%3A%2F%2Fid.who.int%2Ficd%2Fentity%2F206930443","browser")</x:f>
      </x:c>
      <x:c r="L13753" s="0">
        <x:f>hyperlink("https://icat2.azurewebsites.net/icat/?ontology=ICD&amp;tab=ClassesTab&amp;id=http%3A%2F%2Fwho.int%2Ficd%23SpecificAnatomicLocation_3433","iCat")</x:f>
      </x:c>
      <x:c r="M13753" s="0" t="s">
        <x:v>21</x:v>
      </x:c>
      <x:c r="N13753" s="0" t="s">
        <x:v>46</x:v>
      </x:c>
    </x:row>
    <x:row r="13754" spans="1:16">
      <x:c r="A13754" s="0" t="s">
        <x:v>51865</x:v>
      </x:c>
      <x:c r="B13754" s="0" t="s">
        <x:v>51866</x:v>
      </x:c>
      <x:c r="C13754" s="0" t="s">
        <x:v>42840</x:v>
      </x:c>
      <x:c r="E13754" s="0" t="s">
        <x:v>51867</x:v>
      </x:c>
      <x:c r="F13754" s="0" t="s">
        <x:v>45</x:v>
      </x:c>
      <x:c r="G13754" s="0" t="s">
        <x:v>19</x:v>
      </x:c>
      <x:c r="H13754" s="0" t="s">
        <x:v>20</x:v>
      </x:c>
      <x:c r="I13754" s="0" t="s">
        <x:v>21</x:v>
      </x:c>
      <x:c r="K13754" s="0">
        <x:f>hyperlink("https://icd.who.int/dev11/l-ichi/en#/http%3A%2F%2Fid.who.int%2Ficd%2Fentity%2F729497563","browser")</x:f>
      </x:c>
      <x:c r="L13754" s="0">
        <x:f>hyperlink("https://icat2.azurewebsites.net/icat/?ontology=ICD&amp;tab=ClassesTab&amp;id=http%3A%2F%2Fwho.int%2Ficd%23SpecificAnatomicLocation_3459","iCat")</x:f>
      </x:c>
      <x:c r="M13754" s="0" t="s">
        <x:v>20</x:v>
      </x:c>
      <x:c r="N13754" s="0" t="s">
        <x:v>30</x:v>
      </x:c>
    </x:row>
    <x:row r="13755" spans="1:16">
      <x:c r="A13755" s="0" t="s">
        <x:v>51868</x:v>
      </x:c>
      <x:c r="B13755" s="0" t="s">
        <x:v>51869</x:v>
      </x:c>
      <x:c r="C13755" s="0" t="s">
        <x:v>42840</x:v>
      </x:c>
      <x:c r="E13755" s="0" t="s">
        <x:v>51870</x:v>
      </x:c>
      <x:c r="F13755" s="0" t="s">
        <x:v>45</x:v>
      </x:c>
      <x:c r="G13755" s="0" t="s">
        <x:v>30</x:v>
      </x:c>
      <x:c r="H13755" s="0" t="s">
        <x:v>20</x:v>
      </x:c>
      <x:c r="I13755" s="0" t="s">
        <x:v>21</x:v>
      </x:c>
      <x:c r="K13755" s="0">
        <x:f>hyperlink("https://icd.who.int/dev11/l-ichi/en#/http%3A%2F%2Fid.who.int%2Ficd%2Fentity%2F1012095771","browser")</x:f>
      </x:c>
      <x:c r="L13755" s="0">
        <x:f>hyperlink("https://icat2.azurewebsites.net/icat/?ontology=ICD&amp;tab=ClassesTab&amp;id=http%3A%2F%2Fwho.int%2Ficd%23SpecificAnatomicLocation_3458","iCat")</x:f>
      </x:c>
      <x:c r="M13755" s="0" t="s">
        <x:v>21</x:v>
      </x:c>
      <x:c r="N13755" s="0" t="s">
        <x:v>46</x:v>
      </x:c>
    </x:row>
    <x:row r="13756" spans="1:16">
      <x:c r="A13756" s="0" t="s">
        <x:v>51871</x:v>
      </x:c>
      <x:c r="B13756" s="0" t="s">
        <x:v>51872</x:v>
      </x:c>
      <x:c r="C13756" s="0" t="s">
        <x:v>42840</x:v>
      </x:c>
      <x:c r="E13756" s="0" t="s">
        <x:v>51873</x:v>
      </x:c>
      <x:c r="F13756" s="0" t="s">
        <x:v>45</x:v>
      </x:c>
      <x:c r="G13756" s="0" t="s">
        <x:v>30</x:v>
      </x:c>
      <x:c r="H13756" s="0" t="s">
        <x:v>20</x:v>
      </x:c>
      <x:c r="I13756" s="0" t="s">
        <x:v>21</x:v>
      </x:c>
      <x:c r="K13756" s="0">
        <x:f>hyperlink("https://icd.who.int/dev11/l-ichi/en#/http%3A%2F%2Fid.who.int%2Ficd%2Fentity%2F523680933","browser")</x:f>
      </x:c>
      <x:c r="L13756" s="0">
        <x:f>hyperlink("https://icat2.azurewebsites.net/icat/?ontology=ICD&amp;tab=ClassesTab&amp;id=http%3A%2F%2Fwho.int%2Ficd%23SpecificAnatomicLocation_3457","iCat")</x:f>
      </x:c>
      <x:c r="M13756" s="0" t="s">
        <x:v>20</x:v>
      </x:c>
      <x:c r="N13756" s="0" t="s">
        <x:v>35</x:v>
      </x:c>
    </x:row>
    <x:row r="13757" spans="1:16">
      <x:c r="A13757" s="0" t="s">
        <x:v>51874</x:v>
      </x:c>
      <x:c r="B13757" s="0" t="s">
        <x:v>51875</x:v>
      </x:c>
      <x:c r="C13757" s="0" t="s">
        <x:v>42840</x:v>
      </x:c>
      <x:c r="E13757" s="0" t="s">
        <x:v>51876</x:v>
      </x:c>
      <x:c r="F13757" s="0" t="s">
        <x:v>45</x:v>
      </x:c>
      <x:c r="G13757" s="0" t="s">
        <x:v>35</x:v>
      </x:c>
      <x:c r="H13757" s="0" t="s">
        <x:v>20</x:v>
      </x:c>
      <x:c r="I13757" s="0" t="s">
        <x:v>21</x:v>
      </x:c>
      <x:c r="K13757" s="0">
        <x:f>hyperlink("https://icd.who.int/dev11/l-ichi/en#/http%3A%2F%2Fid.who.int%2Ficd%2Fentity%2F828798245","browser")</x:f>
      </x:c>
      <x:c r="L13757" s="0">
        <x:f>hyperlink("https://icat2.azurewebsites.net/icat/?ontology=ICD&amp;tab=ClassesTab&amp;id=http%3A%2F%2Fwho.int%2Ficd%23SpecificAnatomicLocation_3455","iCat")</x:f>
      </x:c>
      <x:c r="M13757" s="0" t="s">
        <x:v>21</x:v>
      </x:c>
      <x:c r="N13757" s="0" t="s">
        <x:v>46</x:v>
      </x:c>
    </x:row>
    <x:row r="13758" spans="1:16">
      <x:c r="A13758" s="0" t="s">
        <x:v>51877</x:v>
      </x:c>
      <x:c r="B13758" s="0" t="s">
        <x:v>51878</x:v>
      </x:c>
      <x:c r="C13758" s="0" t="s">
        <x:v>42840</x:v>
      </x:c>
      <x:c r="E13758" s="0" t="s">
        <x:v>51879</x:v>
      </x:c>
      <x:c r="F13758" s="0" t="s">
        <x:v>45</x:v>
      </x:c>
      <x:c r="G13758" s="0" t="s">
        <x:v>35</x:v>
      </x:c>
      <x:c r="H13758" s="0" t="s">
        <x:v>20</x:v>
      </x:c>
      <x:c r="I13758" s="0" t="s">
        <x:v>21</x:v>
      </x:c>
      <x:c r="K13758" s="0">
        <x:f>hyperlink("https://icd.who.int/dev11/l-ichi/en#/http%3A%2F%2Fid.who.int%2Ficd%2Fentity%2F136239205","browser")</x:f>
      </x:c>
      <x:c r="L13758" s="0">
        <x:f>hyperlink("https://icat2.azurewebsites.net/icat/?ontology=ICD&amp;tab=ClassesTab&amp;id=http%3A%2F%2Fwho.int%2Ficd%23SpecificAnatomicLocation_3456","iCat")</x:f>
      </x:c>
      <x:c r="M13758" s="0" t="s">
        <x:v>21</x:v>
      </x:c>
      <x:c r="N13758" s="0" t="s">
        <x:v>46</x:v>
      </x:c>
    </x:row>
    <x:row r="13759" spans="1:16">
      <x:c r="A13759" s="0" t="s">
        <x:v>51880</x:v>
      </x:c>
      <x:c r="B13759" s="0" t="s">
        <x:v>51881</x:v>
      </x:c>
      <x:c r="C13759" s="0" t="s">
        <x:v>42840</x:v>
      </x:c>
      <x:c r="E13759" s="0" t="s">
        <x:v>51882</x:v>
      </x:c>
      <x:c r="F13759" s="0" t="s">
        <x:v>45</x:v>
      </x:c>
      <x:c r="G13759" s="0" t="s">
        <x:v>35</x:v>
      </x:c>
      <x:c r="H13759" s="0" t="s">
        <x:v>20</x:v>
      </x:c>
      <x:c r="I13759" s="0" t="s">
        <x:v>21</x:v>
      </x:c>
      <x:c r="K13759" s="0">
        <x:f>hyperlink("https://icd.who.int/dev11/l-ichi/en#/http%3A%2F%2Fid.who.int%2Ficd%2Fentity%2F642650597","browser")</x:f>
      </x:c>
      <x:c r="L13759" s="0">
        <x:f>hyperlink("https://icat2.azurewebsites.net/icat/?ontology=ICD&amp;tab=ClassesTab&amp;id=http%3A%2F%2Fwho.int%2Ficd%23SpecificAnatomicLocation_3454","iCat")</x:f>
      </x:c>
      <x:c r="M13759" s="0" t="s">
        <x:v>21</x:v>
      </x:c>
      <x:c r="N13759" s="0" t="s">
        <x:v>46</x:v>
      </x:c>
    </x:row>
    <x:row r="13760" spans="1:16">
      <x:c r="A13760" s="0" t="s">
        <x:v>51883</x:v>
      </x:c>
      <x:c r="B13760" s="0" t="s">
        <x:v>51884</x:v>
      </x:c>
      <x:c r="D13760" s="0" t="s">
        <x:v>44502</x:v>
      </x:c>
      <x:c r="E13760" s="0" t="s">
        <x:v>51885</x:v>
      </x:c>
      <x:c r="F13760" s="0" t="s">
        <x:v>26</x:v>
      </x:c>
      <x:c r="G13760" s="0" t="s">
        <x:v>35</x:v>
      </x:c>
      <x:c r="H13760" s="0" t="s">
        <x:v>20</x:v>
      </x:c>
      <x:c r="I13760" s="0" t="s">
        <x:v>21</x:v>
      </x:c>
      <x:c r="K13760" s="0">
        <x:f>hyperlink("https://icd.who.int/dev11/l-ichi/en#/http%3A%2F%2Fid.who.int%2Ficd%2Fentity%2F1910628372","browser")</x:f>
      </x:c>
      <x:c r="L13760" s="0">
        <x:f>hyperlink("https://icat2.azurewebsites.net/icat/?ontology=ICD&amp;tab=ClassesTab&amp;id=http%3A%2F%2Fwho.int%2Ficd%23SpecificAnatomicLocation_3153","iCat")</x:f>
      </x:c>
      <x:c r="M13760" s="0" t="s">
        <x:v>20</x:v>
      </x:c>
      <x:c r="N13760" s="0" t="s">
        <x:v>22</x:v>
      </x:c>
    </x:row>
    <x:row r="13761" spans="1:16">
      <x:c r="A13761" s="0" t="s">
        <x:v>51886</x:v>
      </x:c>
      <x:c r="B13761" s="0" t="s">
        <x:v>51887</x:v>
      </x:c>
      <x:c r="D13761" s="0" t="s">
        <x:v>44524</x:v>
      </x:c>
      <x:c r="E13761" s="0" t="s">
        <x:v>51888</x:v>
      </x:c>
      <x:c r="F13761" s="0" t="s">
        <x:v>26</x:v>
      </x:c>
      <x:c r="G13761" s="0" t="s">
        <x:v>22</x:v>
      </x:c>
      <x:c r="H13761" s="0" t="s">
        <x:v>20</x:v>
      </x:c>
      <x:c r="I13761" s="0" t="s">
        <x:v>21</x:v>
      </x:c>
      <x:c r="K13761" s="0">
        <x:f>hyperlink("https://icd.who.int/dev11/l-ichi/en#/http%3A%2F%2Fid.who.int%2Ficd%2Fentity%2F1339663404","browser")</x:f>
      </x:c>
      <x:c r="L13761" s="0">
        <x:f>hyperlink("https://icat2.azurewebsites.net/icat/?ontology=ICD&amp;tab=ClassesTab&amp;id=http%3A%2F%2Fwho.int%2Ficd%23SpecificAnatomicLocation_2991","iCat")</x:f>
      </x:c>
      <x:c r="M13761" s="0" t="s">
        <x:v>20</x:v>
      </x:c>
      <x:c r="N13761" s="0" t="s">
        <x:v>19</x:v>
      </x:c>
    </x:row>
    <x:row r="13762" spans="1:16">
      <x:c r="A13762" s="0" t="s">
        <x:v>51889</x:v>
      </x:c>
      <x:c r="B13762" s="0" t="s">
        <x:v>51890</x:v>
      </x:c>
      <x:c r="D13762" s="0" t="s">
        <x:v>44797</x:v>
      </x:c>
      <x:c r="E13762" s="0" t="s">
        <x:v>51891</x:v>
      </x:c>
      <x:c r="F13762" s="0" t="s">
        <x:v>26</x:v>
      </x:c>
      <x:c r="G13762" s="0" t="s">
        <x:v>40</x:v>
      </x:c>
      <x:c r="H13762" s="0" t="s">
        <x:v>20</x:v>
      </x:c>
      <x:c r="I13762" s="0" t="s">
        <x:v>21</x:v>
      </x:c>
      <x:c r="K13762" s="0">
        <x:f>hyperlink("https://icd.who.int/dev11/l-ichi/en#/http%3A%2F%2Fid.who.int%2Ficd%2Fentity%2F1647011694","browser")</x:f>
      </x:c>
      <x:c r="L13762" s="0">
        <x:f>hyperlink("https://icat2.azurewebsites.net/icat/?ontology=ICD&amp;tab=ClassesTab&amp;id=http%3A%2F%2Fwho.int%2Ficd%23SpecificAnatomicLocation_2911","iCat")</x:f>
      </x:c>
      <x:c r="M13762" s="0" t="s">
        <x:v>20</x:v>
      </x:c>
      <x:c r="N13762" s="0" t="s">
        <x:v>19</x:v>
      </x:c>
    </x:row>
    <x:row r="13763" spans="1:16">
      <x:c r="A13763" s="0" t="s">
        <x:v>51892</x:v>
      </x:c>
      <x:c r="B13763" s="0" t="s">
        <x:v>51893</x:v>
      </x:c>
      <x:c r="C13763" s="0" t="s">
        <x:v>42840</x:v>
      </x:c>
      <x:c r="E13763" s="0" t="s">
        <x:v>51894</x:v>
      </x:c>
      <x:c r="F13763" s="0" t="s">
        <x:v>45</x:v>
      </x:c>
      <x:c r="G13763" s="0" t="s">
        <x:v>19</x:v>
      </x:c>
      <x:c r="H13763" s="0" t="s">
        <x:v>20</x:v>
      </x:c>
      <x:c r="I13763" s="0" t="s">
        <x:v>21</x:v>
      </x:c>
      <x:c r="K13763" s="0">
        <x:f>hyperlink("https://icd.who.int/dev11/l-ichi/en#/http%3A%2F%2Fid.who.int%2Ficd%2Fentity%2F634038213","browser")</x:f>
      </x:c>
      <x:c r="L13763" s="0">
        <x:f>hyperlink("https://icat2.azurewebsites.net/icat/?ontology=ICD&amp;tab=ClassesTab&amp;id=http%3A%2F%2Fwho.int%2Ficd%23SpecificAnatomicLocation_2897","iCat")</x:f>
      </x:c>
      <x:c r="M13763" s="0" t="s">
        <x:v>21</x:v>
      </x:c>
      <x:c r="N13763" s="0" t="s">
        <x:v>46</x:v>
      </x:c>
    </x:row>
    <x:row r="13764" spans="1:16">
      <x:c r="A13764" s="0" t="s">
        <x:v>51895</x:v>
      </x:c>
      <x:c r="B13764" s="0" t="s">
        <x:v>51896</x:v>
      </x:c>
      <x:c r="D13764" s="0" t="s">
        <x:v>44524</x:v>
      </x:c>
      <x:c r="E13764" s="0" t="s">
        <x:v>51897</x:v>
      </x:c>
      <x:c r="F13764" s="0" t="s">
        <x:v>26</x:v>
      </x:c>
      <x:c r="G13764" s="0" t="s">
        <x:v>22</x:v>
      </x:c>
      <x:c r="H13764" s="0" t="s">
        <x:v>20</x:v>
      </x:c>
      <x:c r="I13764" s="0" t="s">
        <x:v>21</x:v>
      </x:c>
      <x:c r="K13764" s="0">
        <x:f>hyperlink("https://icd.who.int/dev11/l-ichi/en#/http%3A%2F%2Fid.who.int%2Ficd%2Fentity%2F657169140","browser")</x:f>
      </x:c>
      <x:c r="L13764" s="0">
        <x:f>hyperlink("https://icat2.azurewebsites.net/icat/?ontology=ICD&amp;tab=ClassesTab&amp;id=http%3A%2F%2Fwho.int%2Ficd%23SpecificAnatomicLocation_3079","iCat")</x:f>
      </x:c>
      <x:c r="M13764" s="0" t="s">
        <x:v>20</x:v>
      </x:c>
      <x:c r="N13764" s="0" t="s">
        <x:v>19</x:v>
      </x:c>
    </x:row>
    <x:row r="13765" spans="1:16">
      <x:c r="A13765" s="0" t="s">
        <x:v>51898</x:v>
      </x:c>
      <x:c r="B13765" s="0" t="s">
        <x:v>51899</x:v>
      </x:c>
      <x:c r="C13765" s="0" t="s">
        <x:v>42840</x:v>
      </x:c>
      <x:c r="E13765" s="0" t="s">
        <x:v>965</x:v>
      </x:c>
      <x:c r="F13765" s="0" t="s">
        <x:v>45</x:v>
      </x:c>
      <x:c r="G13765" s="0" t="s">
        <x:v>19</x:v>
      </x:c>
      <x:c r="H13765" s="0" t="s">
        <x:v>20</x:v>
      </x:c>
      <x:c r="I13765" s="0" t="s">
        <x:v>21</x:v>
      </x:c>
      <x:c r="K13765" s="0">
        <x:f>hyperlink("https://icd.who.int/dev11/l-ichi/en#/http%3A%2F%2Fid.who.int%2Ficd%2Fentity%2F805568052","browser")</x:f>
      </x:c>
      <x:c r="L13765" s="0">
        <x:f>hyperlink("https://icat2.azurewebsites.net/icat/?ontology=ICD&amp;tab=ClassesTab&amp;id=http%3A%2F%2Fwho.int%2Ficd%23SpecificAnatomicLocation_3078","iCat")</x:f>
      </x:c>
      <x:c r="M13765" s="0" t="s">
        <x:v>20</x:v>
      </x:c>
      <x:c r="N13765" s="0" t="s">
        <x:v>30</x:v>
      </x:c>
    </x:row>
    <x:row r="13766" spans="1:16">
      <x:c r="A13766" s="0" t="s">
        <x:v>51900</x:v>
      </x:c>
      <x:c r="B13766" s="0" t="s">
        <x:v>51901</x:v>
      </x:c>
      <x:c r="C13766" s="0" t="s">
        <x:v>42840</x:v>
      </x:c>
      <x:c r="E13766" s="0" t="s">
        <x:v>51902</x:v>
      </x:c>
      <x:c r="F13766" s="0" t="s">
        <x:v>45</x:v>
      </x:c>
      <x:c r="G13766" s="0" t="s">
        <x:v>30</x:v>
      </x:c>
      <x:c r="H13766" s="0" t="s">
        <x:v>20</x:v>
      </x:c>
      <x:c r="I13766" s="0" t="s">
        <x:v>21</x:v>
      </x:c>
      <x:c r="K13766" s="0">
        <x:f>hyperlink("https://icd.who.int/dev11/l-ichi/en#/http%3A%2F%2Fid.who.int%2Ficd%2Fentity%2F1087695759","browser")</x:f>
      </x:c>
      <x:c r="L13766" s="0">
        <x:f>hyperlink("https://icat2.azurewebsites.net/icat/?ontology=ICD&amp;tab=ClassesTab&amp;id=http%3A%2F%2Fwho.int%2Ficd%2338052_5068053d_dbae_4066_9fec_a83d5dd174ab","iCat")</x:f>
      </x:c>
      <x:c r="M13766" s="0" t="s">
        <x:v>21</x:v>
      </x:c>
      <x:c r="N13766" s="0" t="s">
        <x:v>46</x:v>
      </x:c>
    </x:row>
    <x:row r="13767" spans="1:16">
      <x:c r="A13767" s="0" t="s">
        <x:v>51903</x:v>
      </x:c>
      <x:c r="B13767" s="0" t="s">
        <x:v>51904</x:v>
      </x:c>
      <x:c r="C13767" s="0" t="s">
        <x:v>42840</x:v>
      </x:c>
      <x:c r="E13767" s="0" t="s">
        <x:v>51905</x:v>
      </x:c>
      <x:c r="F13767" s="0" t="s">
        <x:v>45</x:v>
      </x:c>
      <x:c r="G13767" s="0" t="s">
        <x:v>30</x:v>
      </x:c>
      <x:c r="H13767" s="0" t="s">
        <x:v>20</x:v>
      </x:c>
      <x:c r="I13767" s="0" t="s">
        <x:v>21</x:v>
      </x:c>
      <x:c r="K13767" s="0">
        <x:f>hyperlink("https://icd.who.int/dev11/l-ichi/en#/http%3A%2F%2Fid.who.int%2Ficd%2Fentity%2F266085146","browser")</x:f>
      </x:c>
      <x:c r="L13767" s="0">
        <x:f>hyperlink("https://icat2.azurewebsites.net/icat/?ontology=ICD&amp;tab=ClassesTab&amp;id=http%3A%2F%2Fwho.int%2Ficd%2338070_5068053d_dbae_4066_9fec_a83d5dd174ab","iCat")</x:f>
      </x:c>
      <x:c r="M13767" s="0" t="s">
        <x:v>21</x:v>
      </x:c>
      <x:c r="N13767" s="0" t="s">
        <x:v>46</x:v>
      </x:c>
    </x:row>
    <x:row r="13768" spans="1:16">
      <x:c r="A13768" s="0" t="s">
        <x:v>51906</x:v>
      </x:c>
      <x:c r="B13768" s="0" t="s">
        <x:v>51907</x:v>
      </x:c>
      <x:c r="D13768" s="0" t="s">
        <x:v>44502</x:v>
      </x:c>
      <x:c r="E13768" s="0" t="s">
        <x:v>51908</x:v>
      </x:c>
      <x:c r="F13768" s="0" t="s">
        <x:v>26</x:v>
      </x:c>
      <x:c r="G13768" s="0" t="s">
        <x:v>35</x:v>
      </x:c>
      <x:c r="H13768" s="0" t="s">
        <x:v>20</x:v>
      </x:c>
      <x:c r="I13768" s="0" t="s">
        <x:v>21</x:v>
      </x:c>
      <x:c r="K13768" s="0">
        <x:f>hyperlink("https://icd.who.int/dev11/l-ichi/en#/http%3A%2F%2Fid.who.int%2Ficd%2Fentity%2F538706260","browser")</x:f>
      </x:c>
      <x:c r="L13768" s="0">
        <x:f>hyperlink("https://icat2.azurewebsites.net/icat/?ontology=ICD&amp;tab=ClassesTab&amp;id=http%3A%2F%2Fwho.int%2Ficd%23SpecificAnatomicLocation_3206","iCat")</x:f>
      </x:c>
      <x:c r="M13768" s="0" t="s">
        <x:v>20</x:v>
      </x:c>
      <x:c r="N13768" s="0" t="s">
        <x:v>36</x:v>
      </x:c>
    </x:row>
    <x:row r="13769" spans="1:16">
      <x:c r="A13769" s="0" t="s">
        <x:v>51909</x:v>
      </x:c>
      <x:c r="B13769" s="0" t="s">
        <x:v>51910</x:v>
      </x:c>
      <x:c r="C13769" s="0" t="s">
        <x:v>42840</x:v>
      </x:c>
      <x:c r="E13769" s="0" t="s">
        <x:v>51911</x:v>
      </x:c>
      <x:c r="F13769" s="0" t="s">
        <x:v>45</x:v>
      </x:c>
      <x:c r="G13769" s="0" t="s">
        <x:v>19</x:v>
      </x:c>
      <x:c r="H13769" s="0" t="s">
        <x:v>20</x:v>
      </x:c>
      <x:c r="I13769" s="0" t="s">
        <x:v>21</x:v>
      </x:c>
      <x:c r="K13769" s="0">
        <x:f>hyperlink("https://icd.who.int/dev11/l-ichi/en#/http%3A%2F%2Fid.who.int%2Ficd%2Fentity%2F1804990100","browser")</x:f>
      </x:c>
      <x:c r="L13769" s="0">
        <x:f>hyperlink("https://icat2.azurewebsites.net/icat/?ontology=ICD&amp;tab=ClassesTab&amp;id=http%3A%2F%2Fwho.int%2Ficd%23SpecificAnatomicLocation_3203","iCat")</x:f>
      </x:c>
      <x:c r="M13769" s="0" t="s">
        <x:v>20</x:v>
      </x:c>
      <x:c r="N13769" s="0" t="s">
        <x:v>30</x:v>
      </x:c>
    </x:row>
    <x:row r="13770" spans="1:16">
      <x:c r="A13770" s="0" t="s">
        <x:v>51912</x:v>
      </x:c>
      <x:c r="B13770" s="0" t="s">
        <x:v>51913</x:v>
      </x:c>
      <x:c r="C13770" s="0" t="s">
        <x:v>42840</x:v>
      </x:c>
      <x:c r="E13770" s="0" t="s">
        <x:v>51914</x:v>
      </x:c>
      <x:c r="F13770" s="0" t="s">
        <x:v>45</x:v>
      </x:c>
      <x:c r="G13770" s="0" t="s">
        <x:v>30</x:v>
      </x:c>
      <x:c r="H13770" s="0" t="s">
        <x:v>20</x:v>
      </x:c>
      <x:c r="I13770" s="0" t="s">
        <x:v>21</x:v>
      </x:c>
      <x:c r="K13770" s="0">
        <x:f>hyperlink("https://icd.who.int/dev11/l-ichi/en#/http%3A%2F%2Fid.who.int%2Ficd%2Fentity%2F1170554644","browser")</x:f>
      </x:c>
      <x:c r="L13770" s="0">
        <x:f>hyperlink("https://icat2.azurewebsites.net/icat/?ontology=ICD&amp;tab=ClassesTab&amp;id=http%3A%2F%2Fwho.int%2Ficd%23SpecificAnatomicLocation_3201","iCat")</x:f>
      </x:c>
      <x:c r="M13770" s="0" t="s">
        <x:v>20</x:v>
      </x:c>
      <x:c r="N13770" s="0" t="s">
        <x:v>30</x:v>
      </x:c>
    </x:row>
    <x:row r="13771" spans="1:16">
      <x:c r="A13771" s="0" t="s">
        <x:v>51915</x:v>
      </x:c>
      <x:c r="B13771" s="0" t="s">
        <x:v>51916</x:v>
      </x:c>
      <x:c r="C13771" s="0" t="s">
        <x:v>42840</x:v>
      </x:c>
      <x:c r="E13771" s="0" t="s">
        <x:v>51917</x:v>
      </x:c>
      <x:c r="F13771" s="0" t="s">
        <x:v>45</x:v>
      </x:c>
      <x:c r="G13771" s="0" t="s">
        <x:v>35</x:v>
      </x:c>
      <x:c r="H13771" s="0" t="s">
        <x:v>20</x:v>
      </x:c>
      <x:c r="I13771" s="0" t="s">
        <x:v>21</x:v>
      </x:c>
      <x:c r="K13771" s="0">
        <x:f>hyperlink("https://icd.who.int/dev11/l-ichi/en#/http%3A%2F%2Fid.who.int%2Ficd%2Fentity%2F236819908","browser")</x:f>
      </x:c>
      <x:c r="L13771" s="0">
        <x:f>hyperlink("https://icat2.azurewebsites.net/icat/?ontology=ICD&amp;tab=ClassesTab&amp;id=http%3A%2F%2Fwho.int%2Ficd%236120_16e67c35_8b57_40bb_9220_818553425a8c","iCat")</x:f>
      </x:c>
      <x:c r="M13771" s="0" t="s">
        <x:v>20</x:v>
      </x:c>
      <x:c r="N13771" s="0" t="s">
        <x:v>19</x:v>
      </x:c>
    </x:row>
    <x:row r="13772" spans="1:16">
      <x:c r="A13772" s="0" t="s">
        <x:v>51918</x:v>
      </x:c>
      <x:c r="B13772" s="0" t="s">
        <x:v>51919</x:v>
      </x:c>
      <x:c r="C13772" s="0" t="s">
        <x:v>42840</x:v>
      </x:c>
      <x:c r="E13772" s="0" t="s">
        <x:v>51920</x:v>
      </x:c>
      <x:c r="F13772" s="0" t="s">
        <x:v>45</x:v>
      </x:c>
      <x:c r="G13772" s="0" t="s">
        <x:v>22</x:v>
      </x:c>
      <x:c r="H13772" s="0" t="s">
        <x:v>20</x:v>
      </x:c>
      <x:c r="I13772" s="0" t="s">
        <x:v>21</x:v>
      </x:c>
      <x:c r="K13772" s="0">
        <x:f>hyperlink("https://icd.who.int/dev11/l-ichi/en#/http%3A%2F%2Fid.who.int%2Ficd%2Fentity%2F15812452","browser")</x:f>
      </x:c>
      <x:c r="L13772" s="0">
        <x:f>hyperlink("https://icat2.azurewebsites.net/icat/?ontology=ICD&amp;tab=ClassesTab&amp;id=http%3A%2F%2Fwho.int%2Ficd%23SpecificAnatomicLocation_3042","iCat")</x:f>
      </x:c>
      <x:c r="M13772" s="0" t="s">
        <x:v>20</x:v>
      </x:c>
      <x:c r="N13772" s="0" t="s">
        <x:v>30</x:v>
      </x:c>
    </x:row>
    <x:row r="13773" spans="1:16">
      <x:c r="A13773" s="0" t="s">
        <x:v>51921</x:v>
      </x:c>
      <x:c r="B13773" s="0" t="s">
        <x:v>51922</x:v>
      </x:c>
      <x:c r="C13773" s="0" t="s">
        <x:v>42840</x:v>
      </x:c>
      <x:c r="E13773" s="0" t="s">
        <x:v>51923</x:v>
      </x:c>
      <x:c r="F13773" s="0" t="s">
        <x:v>45</x:v>
      </x:c>
      <x:c r="G13773" s="0" t="s">
        <x:v>40</x:v>
      </x:c>
      <x:c r="H13773" s="0" t="s">
        <x:v>20</x:v>
      </x:c>
      <x:c r="I13773" s="0" t="s">
        <x:v>21</x:v>
      </x:c>
      <x:c r="K13773" s="0">
        <x:f>hyperlink("https://icd.who.int/dev11/l-ichi/en#/http%3A%2F%2Fid.who.int%2Ficd%2Fentity%2F1628035069","browser")</x:f>
      </x:c>
      <x:c r="L13773" s="0">
        <x:f>hyperlink("https://icat2.azurewebsites.net/icat/?ontology=ICD&amp;tab=ClassesTab&amp;id=http%3A%2F%2Fwho.int%2Ficd%236144_16e67c35_8b57_40bb_9220_818553425a8c","iCat")</x:f>
      </x:c>
      <x:c r="M13773" s="0" t="s">
        <x:v>21</x:v>
      </x:c>
      <x:c r="N13773" s="0" t="s">
        <x:v>46</x:v>
      </x:c>
    </x:row>
    <x:row r="13774" spans="1:16">
      <x:c r="A13774" s="0" t="s">
        <x:v>51924</x:v>
      </x:c>
      <x:c r="B13774" s="0" t="s">
        <x:v>51925</x:v>
      </x:c>
      <x:c r="C13774" s="0" t="s">
        <x:v>42840</x:v>
      </x:c>
      <x:c r="E13774" s="0" t="s">
        <x:v>51926</x:v>
      </x:c>
      <x:c r="F13774" s="0" t="s">
        <x:v>45</x:v>
      </x:c>
      <x:c r="G13774" s="0" t="s">
        <x:v>40</x:v>
      </x:c>
      <x:c r="H13774" s="0" t="s">
        <x:v>20</x:v>
      </x:c>
      <x:c r="I13774" s="0" t="s">
        <x:v>21</x:v>
      </x:c>
      <x:c r="K13774" s="0">
        <x:f>hyperlink("https://icd.who.int/dev11/l-ichi/en#/http%3A%2F%2Fid.who.int%2Ficd%2Fentity%2F395424725","browser")</x:f>
      </x:c>
      <x:c r="L13774" s="0">
        <x:f>hyperlink("https://icat2.azurewebsites.net/icat/?ontology=ICD&amp;tab=ClassesTab&amp;id=http%3A%2F%2Fwho.int%2Ficd%236784_16e67c35_8b57_40bb_9220_818553425a8c","iCat")</x:f>
      </x:c>
      <x:c r="M13774" s="0" t="s">
        <x:v>21</x:v>
      </x:c>
      <x:c r="N13774" s="0" t="s">
        <x:v>46</x:v>
      </x:c>
    </x:row>
    <x:row r="13775" spans="1:16">
      <x:c r="A13775" s="0" t="s">
        <x:v>51927</x:v>
      </x:c>
      <x:c r="B13775" s="0" t="s">
        <x:v>51928</x:v>
      </x:c>
      <x:c r="C13775" s="0" t="s">
        <x:v>42840</x:v>
      </x:c>
      <x:c r="E13775" s="0" t="s">
        <x:v>51929</x:v>
      </x:c>
      <x:c r="F13775" s="0" t="s">
        <x:v>45</x:v>
      </x:c>
      <x:c r="G13775" s="0" t="s">
        <x:v>35</x:v>
      </x:c>
      <x:c r="H13775" s="0" t="s">
        <x:v>20</x:v>
      </x:c>
      <x:c r="I13775" s="0" t="s">
        <x:v>21</x:v>
      </x:c>
      <x:c r="K13775" s="0">
        <x:f>hyperlink("https://icd.who.int/dev11/l-ichi/en#/http%3A%2F%2Fid.who.int%2Ficd%2Fentity%2F541780232","browser")</x:f>
      </x:c>
      <x:c r="L13775" s="0">
        <x:f>hyperlink("https://icat2.azurewebsites.net/icat/?ontology=ICD&amp;tab=ClassesTab&amp;id=http%3A%2F%2Fwho.int%2Ficd%236202_16e67c35_8b57_40bb_9220_818553425a8c","iCat")</x:f>
      </x:c>
      <x:c r="M13775" s="0" t="s">
        <x:v>20</x:v>
      </x:c>
      <x:c r="N13775" s="0" t="s">
        <x:v>19</x:v>
      </x:c>
    </x:row>
    <x:row r="13776" spans="1:16">
      <x:c r="A13776" s="0" t="s">
        <x:v>51930</x:v>
      </x:c>
      <x:c r="B13776" s="0" t="s">
        <x:v>51931</x:v>
      </x:c>
      <x:c r="C13776" s="0" t="s">
        <x:v>42840</x:v>
      </x:c>
      <x:c r="E13776" s="0" t="s">
        <x:v>51932</x:v>
      </x:c>
      <x:c r="F13776" s="0" t="s">
        <x:v>45</x:v>
      </x:c>
      <x:c r="G13776" s="0" t="s">
        <x:v>22</x:v>
      </x:c>
      <x:c r="H13776" s="0" t="s">
        <x:v>20</x:v>
      </x:c>
      <x:c r="I13776" s="0" t="s">
        <x:v>21</x:v>
      </x:c>
      <x:c r="K13776" s="0">
        <x:f>hyperlink("https://icd.who.int/dev11/l-ichi/en#/http%3A%2F%2Fid.who.int%2Ficd%2Fentity%2F782339812","browser")</x:f>
      </x:c>
      <x:c r="L13776" s="0">
        <x:f>hyperlink("https://icat2.azurewebsites.net/icat/?ontology=ICD&amp;tab=ClassesTab&amp;id=http%3A%2F%2Fwho.int%2Ficd%23SpecificAnatomicLocation_3040","iCat")</x:f>
      </x:c>
      <x:c r="M13776" s="0" t="s">
        <x:v>20</x:v>
      </x:c>
      <x:c r="N13776" s="0" t="s">
        <x:v>30</x:v>
      </x:c>
    </x:row>
    <x:row r="13777" spans="1:16">
      <x:c r="A13777" s="0" t="s">
        <x:v>51933</x:v>
      </x:c>
      <x:c r="B13777" s="0" t="s">
        <x:v>51934</x:v>
      </x:c>
      <x:c r="C13777" s="0" t="s">
        <x:v>42840</x:v>
      </x:c>
      <x:c r="E13777" s="0" t="s">
        <x:v>51935</x:v>
      </x:c>
      <x:c r="F13777" s="0" t="s">
        <x:v>45</x:v>
      </x:c>
      <x:c r="G13777" s="0" t="s">
        <x:v>40</x:v>
      </x:c>
      <x:c r="H13777" s="0" t="s">
        <x:v>20</x:v>
      </x:c>
      <x:c r="I13777" s="0" t="s">
        <x:v>21</x:v>
      </x:c>
      <x:c r="K13777" s="0">
        <x:f>hyperlink("https://icd.who.int/dev11/l-ichi/en#/http%3A%2F%2Fid.who.int%2Ficd%2Fentity%2F1248494799","browser")</x:f>
      </x:c>
      <x:c r="L13777" s="0">
        <x:f>hyperlink("https://icat2.azurewebsites.net/icat/?ontology=ICD&amp;tab=ClassesTab&amp;id=http%3A%2F%2Fwho.int%2Ficd%236255_16e67c35_8b57_40bb_9220_818553425a8c","iCat")</x:f>
      </x:c>
      <x:c r="M13777" s="0" t="s">
        <x:v>21</x:v>
      </x:c>
      <x:c r="N13777" s="0" t="s">
        <x:v>46</x:v>
      </x:c>
    </x:row>
    <x:row r="13778" spans="1:16">
      <x:c r="A13778" s="0" t="s">
        <x:v>51936</x:v>
      </x:c>
      <x:c r="B13778" s="0" t="s">
        <x:v>51937</x:v>
      </x:c>
      <x:c r="C13778" s="0" t="s">
        <x:v>42840</x:v>
      </x:c>
      <x:c r="E13778" s="0" t="s">
        <x:v>51938</x:v>
      </x:c>
      <x:c r="F13778" s="0" t="s">
        <x:v>45</x:v>
      </x:c>
      <x:c r="G13778" s="0" t="s">
        <x:v>40</x:v>
      </x:c>
      <x:c r="H13778" s="0" t="s">
        <x:v>20</x:v>
      </x:c>
      <x:c r="I13778" s="0" t="s">
        <x:v>21</x:v>
      </x:c>
      <x:c r="K13778" s="0">
        <x:f>hyperlink("https://icd.who.int/dev11/l-ichi/en#/http%3A%2F%2Fid.who.int%2Ficd%2Fentity%2F1088889763","browser")</x:f>
      </x:c>
      <x:c r="L13778" s="0">
        <x:f>hyperlink("https://icat2.azurewebsites.net/icat/?ontology=ICD&amp;tab=ClassesTab&amp;id=http%3A%2F%2Fwho.int%2Ficd%236274_16e67c35_8b57_40bb_9220_818553425a8c","iCat")</x:f>
      </x:c>
      <x:c r="M13778" s="0" t="s">
        <x:v>21</x:v>
      </x:c>
      <x:c r="N13778" s="0" t="s">
        <x:v>46</x:v>
      </x:c>
    </x:row>
    <x:row r="13779" spans="1:16">
      <x:c r="A13779" s="0" t="s">
        <x:v>51939</x:v>
      </x:c>
      <x:c r="B13779" s="0" t="s">
        <x:v>51940</x:v>
      </x:c>
      <x:c r="C13779" s="0" t="s">
        <x:v>42840</x:v>
      </x:c>
      <x:c r="E13779" s="0" t="s">
        <x:v>51941</x:v>
      </x:c>
      <x:c r="F13779" s="0" t="s">
        <x:v>45</x:v>
      </x:c>
      <x:c r="G13779" s="0" t="s">
        <x:v>30</x:v>
      </x:c>
      <x:c r="H13779" s="0" t="s">
        <x:v>20</x:v>
      </x:c>
      <x:c r="I13779" s="0" t="s">
        <x:v>21</x:v>
      </x:c>
      <x:c r="K13779" s="0">
        <x:f>hyperlink("https://icd.who.int/dev11/l-ichi/en#/http%3A%2F%2Fid.who.int%2Ficd%2Fentity%2F2092798548","browser")</x:f>
      </x:c>
      <x:c r="L13779" s="0">
        <x:f>hyperlink("https://icat2.azurewebsites.net/icat/?ontology=ICD&amp;tab=ClassesTab&amp;id=http%3A%2F%2Fwho.int%2Ficd%23SpecificAnatomicLocation_3202","iCat")</x:f>
      </x:c>
      <x:c r="M13779" s="0" t="s">
        <x:v>20</x:v>
      </x:c>
      <x:c r="N13779" s="0" t="s">
        <x:v>30</x:v>
      </x:c>
    </x:row>
    <x:row r="13780" spans="1:16">
      <x:c r="A13780" s="0" t="s">
        <x:v>51942</x:v>
      </x:c>
      <x:c r="B13780" s="0" t="s">
        <x:v>51943</x:v>
      </x:c>
      <x:c r="C13780" s="0" t="s">
        <x:v>42840</x:v>
      </x:c>
      <x:c r="E13780" s="0" t="s">
        <x:v>51944</x:v>
      </x:c>
      <x:c r="F13780" s="0" t="s">
        <x:v>45</x:v>
      </x:c>
      <x:c r="G13780" s="0" t="s">
        <x:v>35</x:v>
      </x:c>
      <x:c r="H13780" s="0" t="s">
        <x:v>20</x:v>
      </x:c>
      <x:c r="I13780" s="0" t="s">
        <x:v>21</x:v>
      </x:c>
      <x:c r="K13780" s="0">
        <x:f>hyperlink("https://icd.who.int/dev11/l-ichi/en#/http%3A%2F%2Fid.who.int%2Ficd%2Fentity%2F1967609767","browser")</x:f>
      </x:c>
      <x:c r="L13780" s="0">
        <x:f>hyperlink("https://icat2.azurewebsites.net/icat/?ontology=ICD&amp;tab=ClassesTab&amp;id=http%3A%2F%2Fwho.int%2Ficd%236293_16e67c35_8b57_40bb_9220_818553425a8c","iCat")</x:f>
      </x:c>
      <x:c r="M13780" s="0" t="s">
        <x:v>20</x:v>
      </x:c>
      <x:c r="N13780" s="0" t="s">
        <x:v>30</x:v>
      </x:c>
    </x:row>
    <x:row r="13781" spans="1:16">
      <x:c r="A13781" s="0" t="s">
        <x:v>51945</x:v>
      </x:c>
      <x:c r="B13781" s="0" t="s">
        <x:v>51946</x:v>
      </x:c>
      <x:c r="C13781" s="0" t="s">
        <x:v>42840</x:v>
      </x:c>
      <x:c r="E13781" s="0" t="s">
        <x:v>51947</x:v>
      </x:c>
      <x:c r="F13781" s="0" t="s">
        <x:v>45</x:v>
      </x:c>
      <x:c r="G13781" s="0" t="s">
        <x:v>22</x:v>
      </x:c>
      <x:c r="H13781" s="0" t="s">
        <x:v>20</x:v>
      </x:c>
      <x:c r="I13781" s="0" t="s">
        <x:v>21</x:v>
      </x:c>
      <x:c r="K13781" s="0">
        <x:f>hyperlink("https://icd.who.int/dev11/l-ichi/en#/http%3A%2F%2Fid.who.int%2Ficd%2Fentity%2F400106404","browser")</x:f>
      </x:c>
      <x:c r="L13781" s="0">
        <x:f>hyperlink("https://icat2.azurewebsites.net/icat/?ontology=ICD&amp;tab=ClassesTab&amp;id=http%3A%2F%2Fwho.int%2Ficd%23SpecificAnatomicLocation_3043","iCat")</x:f>
      </x:c>
      <x:c r="M13781" s="0" t="s">
        <x:v>20</x:v>
      </x:c>
      <x:c r="N13781" s="0" t="s">
        <x:v>19</x:v>
      </x:c>
    </x:row>
    <x:row r="13782" spans="1:16">
      <x:c r="A13782" s="0" t="s">
        <x:v>51948</x:v>
      </x:c>
      <x:c r="B13782" s="0" t="s">
        <x:v>51949</x:v>
      </x:c>
      <x:c r="C13782" s="0" t="s">
        <x:v>42840</x:v>
      </x:c>
      <x:c r="E13782" s="0" t="s">
        <x:v>51950</x:v>
      </x:c>
      <x:c r="F13782" s="0" t="s">
        <x:v>45</x:v>
      </x:c>
      <x:c r="G13782" s="0" t="s">
        <x:v>40</x:v>
      </x:c>
      <x:c r="H13782" s="0" t="s">
        <x:v>20</x:v>
      </x:c>
      <x:c r="I13782" s="0" t="s">
        <x:v>21</x:v>
      </x:c>
      <x:c r="K13782" s="0">
        <x:f>hyperlink("https://icd.who.int/dev11/l-ichi/en#/http%3A%2F%2Fid.who.int%2Ficd%2Fentity%2F2135163477","browser")</x:f>
      </x:c>
      <x:c r="L13782" s="0">
        <x:f>hyperlink("https://icat2.azurewebsites.net/icat/?ontology=ICD&amp;tab=ClassesTab&amp;id=http%3A%2F%2Fwho.int%2Ficd%236365_16e67c35_8b57_40bb_9220_818553425a8c","iCat")</x:f>
      </x:c>
      <x:c r="M13782" s="0" t="s">
        <x:v>21</x:v>
      </x:c>
      <x:c r="N13782" s="0" t="s">
        <x:v>46</x:v>
      </x:c>
    </x:row>
    <x:row r="13783" spans="1:16">
      <x:c r="A13783" s="0" t="s">
        <x:v>51951</x:v>
      </x:c>
      <x:c r="B13783" s="0" t="s">
        <x:v>51952</x:v>
      </x:c>
      <x:c r="C13783" s="0" t="s">
        <x:v>42840</x:v>
      </x:c>
      <x:c r="E13783" s="0" t="s">
        <x:v>51953</x:v>
      </x:c>
      <x:c r="F13783" s="0" t="s">
        <x:v>45</x:v>
      </x:c>
      <x:c r="G13783" s="0" t="s">
        <x:v>22</x:v>
      </x:c>
      <x:c r="H13783" s="0" t="s">
        <x:v>20</x:v>
      </x:c>
      <x:c r="I13783" s="0" t="s">
        <x:v>21</x:v>
      </x:c>
      <x:c r="K13783" s="0">
        <x:f>hyperlink("https://icd.who.int/dev11/l-ichi/en#/http%3A%2F%2Fid.who.int%2Ficd%2Fentity%2F1058060994","browser")</x:f>
      </x:c>
      <x:c r="L13783" s="0">
        <x:f>hyperlink("https://icat2.azurewebsites.net/icat/?ontology=ICD&amp;tab=ClassesTab&amp;id=http%3A%2F%2Fwho.int%2Ficd%236312_16e67c35_8b57_40bb_9220_818553425a8c","iCat")</x:f>
      </x:c>
      <x:c r="M13783" s="0" t="s">
        <x:v>21</x:v>
      </x:c>
      <x:c r="N13783" s="0" t="s">
        <x:v>46</x:v>
      </x:c>
    </x:row>
    <x:row r="13784" spans="1:16">
      <x:c r="A13784" s="0" t="s">
        <x:v>51954</x:v>
      </x:c>
      <x:c r="B13784" s="0" t="s">
        <x:v>51955</x:v>
      </x:c>
      <x:c r="C13784" s="0" t="s">
        <x:v>42840</x:v>
      </x:c>
      <x:c r="E13784" s="0" t="s">
        <x:v>51956</x:v>
      </x:c>
      <x:c r="F13784" s="0" t="s">
        <x:v>45</x:v>
      </x:c>
      <x:c r="G13784" s="0" t="s">
        <x:v>35</x:v>
      </x:c>
      <x:c r="H13784" s="0" t="s">
        <x:v>20</x:v>
      </x:c>
      <x:c r="I13784" s="0" t="s">
        <x:v>21</x:v>
      </x:c>
      <x:c r="K13784" s="0">
        <x:f>hyperlink("https://icd.who.int/dev11/l-ichi/en#/http%3A%2F%2Fid.who.int%2Ficd%2Fentity%2F979819998","browser")</x:f>
      </x:c>
      <x:c r="L13784" s="0">
        <x:f>hyperlink("https://icat2.azurewebsites.net/icat/?ontology=ICD&amp;tab=ClassesTab&amp;id=http%3A%2F%2Fwho.int%2Ficd%236385_16e67c35_8b57_40bb_9220_818553425a8c","iCat")</x:f>
      </x:c>
      <x:c r="M13784" s="0" t="s">
        <x:v>20</x:v>
      </x:c>
      <x:c r="N13784" s="0" t="s">
        <x:v>30</x:v>
      </x:c>
    </x:row>
    <x:row r="13785" spans="1:16">
      <x:c r="A13785" s="0" t="s">
        <x:v>51957</x:v>
      </x:c>
      <x:c r="B13785" s="0" t="s">
        <x:v>51958</x:v>
      </x:c>
      <x:c r="C13785" s="0" t="s">
        <x:v>42840</x:v>
      </x:c>
      <x:c r="E13785" s="0" t="s">
        <x:v>51959</x:v>
      </x:c>
      <x:c r="F13785" s="0" t="s">
        <x:v>45</x:v>
      </x:c>
      <x:c r="G13785" s="0" t="s">
        <x:v>22</x:v>
      </x:c>
      <x:c r="H13785" s="0" t="s">
        <x:v>20</x:v>
      </x:c>
      <x:c r="I13785" s="0" t="s">
        <x:v>21</x:v>
      </x:c>
      <x:c r="K13785" s="0">
        <x:f>hyperlink("https://icd.who.int/dev11/l-ichi/en#/http%3A%2F%2Fid.who.int%2Ficd%2Fentity%2F1778343496","browser")</x:f>
      </x:c>
      <x:c r="L13785" s="0">
        <x:f>hyperlink("https://icat2.azurewebsites.net/icat/?ontology=ICD&amp;tab=ClassesTab&amp;id=http%3A%2F%2Fwho.int%2Ficd%236404_16e67c35_8b57_40bb_9220_818553425a8c","iCat")</x:f>
      </x:c>
      <x:c r="M13785" s="0" t="s">
        <x:v>21</x:v>
      </x:c>
      <x:c r="N13785" s="0" t="s">
        <x:v>46</x:v>
      </x:c>
    </x:row>
    <x:row r="13786" spans="1:16">
      <x:c r="A13786" s="0" t="s">
        <x:v>51960</x:v>
      </x:c>
      <x:c r="B13786" s="0" t="s">
        <x:v>51961</x:v>
      </x:c>
      <x:c r="C13786" s="0" t="s">
        <x:v>42840</x:v>
      </x:c>
      <x:c r="E13786" s="0" t="s">
        <x:v>51962</x:v>
      </x:c>
      <x:c r="F13786" s="0" t="s">
        <x:v>45</x:v>
      </x:c>
      <x:c r="G13786" s="0" t="s">
        <x:v>22</x:v>
      </x:c>
      <x:c r="H13786" s="0" t="s">
        <x:v>20</x:v>
      </x:c>
      <x:c r="I13786" s="0" t="s">
        <x:v>21</x:v>
      </x:c>
      <x:c r="K13786" s="0">
        <x:f>hyperlink("https://icd.who.int/dev11/l-ichi/en#/http%3A%2F%2Fid.who.int%2Ficd%2Fentity%2F965339684","browser")</x:f>
      </x:c>
      <x:c r="L13786" s="0">
        <x:f>hyperlink("https://icat2.azurewebsites.net/icat/?ontology=ICD&amp;tab=ClassesTab&amp;id=http%3A%2F%2Fwho.int%2Ficd%23SpecificAnatomicLocation_3041","iCat")</x:f>
      </x:c>
      <x:c r="M13786" s="0" t="s">
        <x:v>20</x:v>
      </x:c>
      <x:c r="N13786" s="0" t="s">
        <x:v>19</x:v>
      </x:c>
    </x:row>
    <x:row r="13787" spans="1:16">
      <x:c r="A13787" s="0" t="s">
        <x:v>51963</x:v>
      </x:c>
      <x:c r="B13787" s="0" t="s">
        <x:v>51964</x:v>
      </x:c>
      <x:c r="C13787" s="0" t="s">
        <x:v>42840</x:v>
      </x:c>
      <x:c r="E13787" s="0" t="s">
        <x:v>51965</x:v>
      </x:c>
      <x:c r="F13787" s="0" t="s">
        <x:v>45</x:v>
      </x:c>
      <x:c r="G13787" s="0" t="s">
        <x:v>40</x:v>
      </x:c>
      <x:c r="H13787" s="0" t="s">
        <x:v>20</x:v>
      </x:c>
      <x:c r="I13787" s="0" t="s">
        <x:v>21</x:v>
      </x:c>
      <x:c r="K13787" s="0">
        <x:f>hyperlink("https://icd.who.int/dev11/l-ichi/en#/http%3A%2F%2Fid.who.int%2Ficd%2Fentity%2F920188923","browser")</x:f>
      </x:c>
      <x:c r="L13787" s="0">
        <x:f>hyperlink("https://icat2.azurewebsites.net/icat/?ontology=ICD&amp;tab=ClassesTab&amp;id=http%3A%2F%2Fwho.int%2Ficd%236457_16e67c35_8b57_40bb_9220_818553425a8c","iCat")</x:f>
      </x:c>
      <x:c r="M13787" s="0" t="s">
        <x:v>21</x:v>
      </x:c>
      <x:c r="N13787" s="0" t="s">
        <x:v>46</x:v>
      </x:c>
    </x:row>
    <x:row r="13788" spans="1:16">
      <x:c r="A13788" s="0" t="s">
        <x:v>51966</x:v>
      </x:c>
      <x:c r="B13788" s="0" t="s">
        <x:v>51967</x:v>
      </x:c>
      <x:c r="C13788" s="0" t="s">
        <x:v>42840</x:v>
      </x:c>
      <x:c r="E13788" s="0" t="s">
        <x:v>51968</x:v>
      </x:c>
      <x:c r="F13788" s="0" t="s">
        <x:v>45</x:v>
      </x:c>
      <x:c r="G13788" s="0" t="s">
        <x:v>19</x:v>
      </x:c>
      <x:c r="H13788" s="0" t="s">
        <x:v>20</x:v>
      </x:c>
      <x:c r="I13788" s="0" t="s">
        <x:v>21</x:v>
      </x:c>
      <x:c r="K13788" s="0">
        <x:f>hyperlink("https://icd.who.int/dev11/l-ichi/en#/http%3A%2F%2Fid.who.int%2Ficd%2Fentity%2F1074640675","browser")</x:f>
      </x:c>
      <x:c r="L13788" s="0">
        <x:f>hyperlink("https://icat2.azurewebsites.net/icat/?ontology=ICD&amp;tab=ClassesTab&amp;id=http%3A%2F%2Fwho.int%2Ficd%23SpecificAnatomicLocation_3172","iCat")</x:f>
      </x:c>
      <x:c r="M13788" s="0" t="s">
        <x:v>20</x:v>
      </x:c>
      <x:c r="N13788" s="0" t="s">
        <x:v>35</x:v>
      </x:c>
    </x:row>
    <x:row r="13789" spans="1:16">
      <x:c r="A13789" s="0" t="s">
        <x:v>51969</x:v>
      </x:c>
      <x:c r="B13789" s="0" t="s">
        <x:v>51970</x:v>
      </x:c>
      <x:c r="C13789" s="0" t="s">
        <x:v>42840</x:v>
      </x:c>
      <x:c r="E13789" s="0" t="s">
        <x:v>51971</x:v>
      </x:c>
      <x:c r="F13789" s="0" t="s">
        <x:v>45</x:v>
      </x:c>
      <x:c r="G13789" s="0" t="s">
        <x:v>30</x:v>
      </x:c>
      <x:c r="H13789" s="0" t="s">
        <x:v>20</x:v>
      </x:c>
      <x:c r="I13789" s="0" t="s">
        <x:v>21</x:v>
      </x:c>
      <x:c r="K13789" s="0">
        <x:f>hyperlink("https://icd.who.int/dev11/l-ichi/en#/http%3A%2F%2Fid.who.int%2Ficd%2Fentity%2F1651949308","browser")</x:f>
      </x:c>
      <x:c r="L13789" s="0">
        <x:f>hyperlink("https://icat2.azurewebsites.net/icat/?ontology=ICD&amp;tab=ClassesTab&amp;id=http%3A%2F%2Fwho.int%2Ficd%23SpecificAnatomicLocation_3166","iCat")</x:f>
      </x:c>
      <x:c r="M13789" s="0" t="s">
        <x:v>20</x:v>
      </x:c>
      <x:c r="N13789" s="0" t="s">
        <x:v>206</x:v>
      </x:c>
    </x:row>
    <x:row r="13790" spans="1:16">
      <x:c r="A13790" s="0" t="s">
        <x:v>51972</x:v>
      </x:c>
      <x:c r="B13790" s="0" t="s">
        <x:v>51973</x:v>
      </x:c>
      <x:c r="C13790" s="0" t="s">
        <x:v>42840</x:v>
      </x:c>
      <x:c r="E13790" s="0" t="s">
        <x:v>51974</x:v>
      </x:c>
      <x:c r="F13790" s="0" t="s">
        <x:v>45</x:v>
      </x:c>
      <x:c r="G13790" s="0" t="s">
        <x:v>35</x:v>
      </x:c>
      <x:c r="H13790" s="0" t="s">
        <x:v>20</x:v>
      </x:c>
      <x:c r="I13790" s="0" t="s">
        <x:v>21</x:v>
      </x:c>
      <x:c r="K13790" s="0">
        <x:f>hyperlink("https://icd.who.int/dev11/l-ichi/en#/http%3A%2F%2Fid.who.int%2Ficd%2Fentity%2F128942268","browser")</x:f>
      </x:c>
      <x:c r="L13790" s="0">
        <x:f>hyperlink("https://icat2.azurewebsites.net/icat/?ontology=ICD&amp;tab=ClassesTab&amp;id=http%3A%2F%2Fwho.int%2Ficd%23SpecificAnatomicLocation_3161","iCat")</x:f>
      </x:c>
      <x:c r="M13790" s="0" t="s">
        <x:v>21</x:v>
      </x:c>
      <x:c r="N13790" s="0" t="s">
        <x:v>46</x:v>
      </x:c>
    </x:row>
    <x:row r="13791" spans="1:16">
      <x:c r="A13791" s="0" t="s">
        <x:v>51975</x:v>
      </x:c>
      <x:c r="B13791" s="0" t="s">
        <x:v>51976</x:v>
      </x:c>
      <x:c r="C13791" s="0" t="s">
        <x:v>42840</x:v>
      </x:c>
      <x:c r="E13791" s="0" t="s">
        <x:v>51977</x:v>
      </x:c>
      <x:c r="F13791" s="0" t="s">
        <x:v>45</x:v>
      </x:c>
      <x:c r="G13791" s="0" t="s">
        <x:v>35</x:v>
      </x:c>
      <x:c r="H13791" s="0" t="s">
        <x:v>20</x:v>
      </x:c>
      <x:c r="I13791" s="0" t="s">
        <x:v>21</x:v>
      </x:c>
      <x:c r="K13791" s="0">
        <x:f>hyperlink("https://icd.who.int/dev11/l-ichi/en#/http%3A%2F%2Fid.who.int%2Ficd%2Fentity%2F1054289404","browser")</x:f>
      </x:c>
      <x:c r="L13791" s="0">
        <x:f>hyperlink("https://icat2.azurewebsites.net/icat/?ontology=ICD&amp;tab=ClassesTab&amp;id=http%3A%2F%2Fwho.int%2Ficd%23SpecificAnatomicLocation_3162","iCat")</x:f>
      </x:c>
      <x:c r="M13791" s="0" t="s">
        <x:v>21</x:v>
      </x:c>
      <x:c r="N13791" s="0" t="s">
        <x:v>46</x:v>
      </x:c>
    </x:row>
    <x:row r="13792" spans="1:16">
      <x:c r="A13792" s="0" t="s">
        <x:v>51978</x:v>
      </x:c>
      <x:c r="B13792" s="0" t="s">
        <x:v>51979</x:v>
      </x:c>
      <x:c r="C13792" s="0" t="s">
        <x:v>42840</x:v>
      </x:c>
      <x:c r="E13792" s="0" t="s">
        <x:v>51980</x:v>
      </x:c>
      <x:c r="F13792" s="0" t="s">
        <x:v>45</x:v>
      </x:c>
      <x:c r="G13792" s="0" t="s">
        <x:v>35</x:v>
      </x:c>
      <x:c r="H13792" s="0" t="s">
        <x:v>20</x:v>
      </x:c>
      <x:c r="I13792" s="0" t="s">
        <x:v>21</x:v>
      </x:c>
      <x:c r="K13792" s="0">
        <x:f>hyperlink("https://icd.who.int/dev11/l-ichi/en#/http%3A%2F%2Fid.who.int%2Ficd%2Fentity%2F1277589372","browser")</x:f>
      </x:c>
      <x:c r="L13792" s="0">
        <x:f>hyperlink("https://icat2.azurewebsites.net/icat/?ontology=ICD&amp;tab=ClassesTab&amp;id=http%3A%2F%2Fwho.int%2Ficd%23SpecificAnatomicLocation_3164","iCat")</x:f>
      </x:c>
      <x:c r="M13792" s="0" t="s">
        <x:v>21</x:v>
      </x:c>
      <x:c r="N13792" s="0" t="s">
        <x:v>46</x:v>
      </x:c>
    </x:row>
    <x:row r="13793" spans="1:16">
      <x:c r="A13793" s="0" t="s">
        <x:v>51981</x:v>
      </x:c>
      <x:c r="B13793" s="0" t="s">
        <x:v>51982</x:v>
      </x:c>
      <x:c r="C13793" s="0" t="s">
        <x:v>42840</x:v>
      </x:c>
      <x:c r="E13793" s="0" t="s">
        <x:v>51983</x:v>
      </x:c>
      <x:c r="F13793" s="0" t="s">
        <x:v>45</x:v>
      </x:c>
      <x:c r="G13793" s="0" t="s">
        <x:v>35</x:v>
      </x:c>
      <x:c r="H13793" s="0" t="s">
        <x:v>20</x:v>
      </x:c>
      <x:c r="I13793" s="0" t="s">
        <x:v>21</x:v>
      </x:c>
      <x:c r="K13793" s="0">
        <x:f>hyperlink("https://icd.who.int/dev11/l-ichi/en#/http%3A%2F%2Fid.who.int%2Ficd%2Fentity%2F704596284","browser")</x:f>
      </x:c>
      <x:c r="L13793" s="0">
        <x:f>hyperlink("https://icat2.azurewebsites.net/icat/?ontology=ICD&amp;tab=ClassesTab&amp;id=http%3A%2F%2Fwho.int%2Ficd%23SpecificAnatomicLocation_3163","iCat")</x:f>
      </x:c>
      <x:c r="M13793" s="0" t="s">
        <x:v>21</x:v>
      </x:c>
      <x:c r="N13793" s="0" t="s">
        <x:v>46</x:v>
      </x:c>
    </x:row>
    <x:row r="13794" spans="1:16">
      <x:c r="A13794" s="0" t="s">
        <x:v>51984</x:v>
      </x:c>
      <x:c r="B13794" s="0" t="s">
        <x:v>51985</x:v>
      </x:c>
      <x:c r="C13794" s="0" t="s">
        <x:v>42840</x:v>
      </x:c>
      <x:c r="E13794" s="0" t="s">
        <x:v>51986</x:v>
      </x:c>
      <x:c r="F13794" s="0" t="s">
        <x:v>45</x:v>
      </x:c>
      <x:c r="G13794" s="0" t="s">
        <x:v>35</x:v>
      </x:c>
      <x:c r="H13794" s="0" t="s">
        <x:v>20</x:v>
      </x:c>
      <x:c r="I13794" s="0" t="s">
        <x:v>21</x:v>
      </x:c>
      <x:c r="K13794" s="0">
        <x:f>hyperlink("https://icd.who.int/dev11/l-ichi/en#/http%3A%2F%2Fid.who.int%2Ficd%2Fentity%2F1527649212","browser")</x:f>
      </x:c>
      <x:c r="L13794" s="0">
        <x:f>hyperlink("https://icat2.azurewebsites.net/icat/?ontology=ICD&amp;tab=ClassesTab&amp;id=http%3A%2F%2Fwho.int%2Ficd%23SpecificAnatomicLocation_3165","iCat")</x:f>
      </x:c>
      <x:c r="M13794" s="0" t="s">
        <x:v>21</x:v>
      </x:c>
      <x:c r="N13794" s="0" t="s">
        <x:v>46</x:v>
      </x:c>
    </x:row>
    <x:row r="13795" spans="1:16">
      <x:c r="A13795" s="0" t="s">
        <x:v>51987</x:v>
      </x:c>
      <x:c r="B13795" s="0" t="s">
        <x:v>51988</x:v>
      </x:c>
      <x:c r="C13795" s="0" t="s">
        <x:v>42840</x:v>
      </x:c>
      <x:c r="E13795" s="0" t="s">
        <x:v>51989</x:v>
      </x:c>
      <x:c r="F13795" s="0" t="s">
        <x:v>45</x:v>
      </x:c>
      <x:c r="G13795" s="0" t="s">
        <x:v>35</x:v>
      </x:c>
      <x:c r="H13795" s="0" t="s">
        <x:v>20</x:v>
      </x:c>
      <x:c r="I13795" s="0" t="s">
        <x:v>21</x:v>
      </x:c>
      <x:c r="K13795" s="0">
        <x:f>hyperlink("https://icd.who.int/dev11/l-ichi/en#/http%3A%2F%2Fid.who.int%2Ficd%2Fentity%2F1453283118","browser")</x:f>
      </x:c>
      <x:c r="L13795" s="0">
        <x:f>hyperlink("https://icat2.azurewebsites.net/icat/?ontology=ICD&amp;tab=ClassesTab&amp;id=http%3A%2F%2Fwho.int%2Ficd%231941_9e276f94_8a58_44b1_9833_7049a406a459","iCat")</x:f>
      </x:c>
      <x:c r="M13795" s="0" t="s">
        <x:v>21</x:v>
      </x:c>
      <x:c r="N13795" s="0" t="s">
        <x:v>46</x:v>
      </x:c>
    </x:row>
    <x:row r="13796" spans="1:16">
      <x:c r="A13796" s="0" t="s">
        <x:v>51990</x:v>
      </x:c>
      <x:c r="B13796" s="0" t="s">
        <x:v>51991</x:v>
      </x:c>
      <x:c r="C13796" s="0" t="s">
        <x:v>42840</x:v>
      </x:c>
      <x:c r="E13796" s="0" t="s">
        <x:v>51992</x:v>
      </x:c>
      <x:c r="F13796" s="0" t="s">
        <x:v>45</x:v>
      </x:c>
      <x:c r="G13796" s="0" t="s">
        <x:v>30</x:v>
      </x:c>
      <x:c r="H13796" s="0" t="s">
        <x:v>20</x:v>
      </x:c>
      <x:c r="I13796" s="0" t="s">
        <x:v>21</x:v>
      </x:c>
      <x:c r="K13796" s="0">
        <x:f>hyperlink("https://icd.who.int/dev11/l-ichi/en#/http%3A%2F%2Fid.who.int%2Ficd%2Fentity%2F420343916","browser")</x:f>
      </x:c>
      <x:c r="L13796" s="0">
        <x:f>hyperlink("https://icat2.azurewebsites.net/icat/?ontology=ICD&amp;tab=ClassesTab&amp;id=http%3A%2F%2Fwho.int%2Ficd%23SpecificAnatomicLocation_3159","iCat")</x:f>
      </x:c>
      <x:c r="M13796" s="0" t="s">
        <x:v>21</x:v>
      </x:c>
      <x:c r="N13796" s="0" t="s">
        <x:v>46</x:v>
      </x:c>
    </x:row>
    <x:row r="13797" spans="1:16">
      <x:c r="A13797" s="0" t="s">
        <x:v>51993</x:v>
      </x:c>
      <x:c r="B13797" s="0" t="s">
        <x:v>51994</x:v>
      </x:c>
      <x:c r="C13797" s="0" t="s">
        <x:v>42840</x:v>
      </x:c>
      <x:c r="E13797" s="0" t="s">
        <x:v>51995</x:v>
      </x:c>
      <x:c r="F13797" s="0" t="s">
        <x:v>45</x:v>
      </x:c>
      <x:c r="G13797" s="0" t="s">
        <x:v>30</x:v>
      </x:c>
      <x:c r="H13797" s="0" t="s">
        <x:v>20</x:v>
      </x:c>
      <x:c r="I13797" s="0" t="s">
        <x:v>21</x:v>
      </x:c>
      <x:c r="K13797" s="0">
        <x:f>hyperlink("https://icd.who.int/dev11/l-ichi/en#/http%3A%2F%2Fid.who.int%2Ficd%2Fentity%2F277341308","browser")</x:f>
      </x:c>
      <x:c r="L13797" s="0">
        <x:f>hyperlink("https://icat2.azurewebsites.net/icat/?ontology=ICD&amp;tab=ClassesTab&amp;id=http%3A%2F%2Fwho.int%2Ficd%23SpecificAnatomicLocation_3160","iCat")</x:f>
      </x:c>
      <x:c r="M13797" s="0" t="s">
        <x:v>21</x:v>
      </x:c>
      <x:c r="N13797" s="0" t="s">
        <x:v>46</x:v>
      </x:c>
    </x:row>
    <x:row r="13798" spans="1:16">
      <x:c r="A13798" s="0" t="s">
        <x:v>51996</x:v>
      </x:c>
      <x:c r="B13798" s="0" t="s">
        <x:v>51997</x:v>
      </x:c>
      <x:c r="C13798" s="0" t="s">
        <x:v>42840</x:v>
      </x:c>
      <x:c r="E13798" s="0" t="s">
        <x:v>51998</x:v>
      </x:c>
      <x:c r="F13798" s="0" t="s">
        <x:v>45</x:v>
      </x:c>
      <x:c r="G13798" s="0" t="s">
        <x:v>19</x:v>
      </x:c>
      <x:c r="H13798" s="0" t="s">
        <x:v>20</x:v>
      </x:c>
      <x:c r="I13798" s="0" t="s">
        <x:v>21</x:v>
      </x:c>
      <x:c r="K13798" s="0">
        <x:f>hyperlink("https://icd.who.int/dev11/l-ichi/en#/http%3A%2F%2Fid.who.int%2Ficd%2Fentity%2F855436707","browser")</x:f>
      </x:c>
      <x:c r="L13798" s="0">
        <x:f>hyperlink("https://icat2.azurewebsites.net/icat/?ontology=ICD&amp;tab=ClassesTab&amp;id=http%3A%2F%2Fwho.int%2Ficd%23SpecificAnatomicLocation_3174","iCat")</x:f>
      </x:c>
      <x:c r="M13798" s="0" t="s">
        <x:v>21</x:v>
      </x:c>
      <x:c r="N13798" s="0" t="s">
        <x:v>46</x:v>
      </x:c>
    </x:row>
    <x:row r="13799" spans="1:16">
      <x:c r="A13799" s="0" t="s">
        <x:v>51999</x:v>
      </x:c>
      <x:c r="B13799" s="0" t="s">
        <x:v>52000</x:v>
      </x:c>
      <x:c r="C13799" s="0" t="s">
        <x:v>42840</x:v>
      </x:c>
      <x:c r="E13799" s="0" t="s">
        <x:v>52001</x:v>
      </x:c>
      <x:c r="F13799" s="0" t="s">
        <x:v>45</x:v>
      </x:c>
      <x:c r="G13799" s="0" t="s">
        <x:v>19</x:v>
      </x:c>
      <x:c r="H13799" s="0" t="s">
        <x:v>20</x:v>
      </x:c>
      <x:c r="I13799" s="0" t="s">
        <x:v>21</x:v>
      </x:c>
      <x:c r="K13799" s="0">
        <x:f>hyperlink("https://icd.who.int/dev11/l-ichi/en#/http%3A%2F%2Fid.who.int%2Ficd%2Fentity%2F237343916","browser")</x:f>
      </x:c>
      <x:c r="L13799" s="0">
        <x:f>hyperlink("https://icat2.azurewebsites.net/icat/?ontology=ICD&amp;tab=ClassesTab&amp;id=http%3A%2F%2Fwho.int%2Ficd%23SpecificAnatomicLocation_3158","iCat")</x:f>
      </x:c>
      <x:c r="M13799" s="0" t="s">
        <x:v>21</x:v>
      </x:c>
      <x:c r="N13799" s="0" t="s">
        <x:v>46</x:v>
      </x:c>
    </x:row>
    <x:row r="13800" spans="1:16">
      <x:c r="A13800" s="0" t="s">
        <x:v>52002</x:v>
      </x:c>
      <x:c r="B13800" s="0" t="s">
        <x:v>52003</x:v>
      </x:c>
      <x:c r="C13800" s="0" t="s">
        <x:v>42840</x:v>
      </x:c>
      <x:c r="E13800" s="0" t="s">
        <x:v>52004</x:v>
      </x:c>
      <x:c r="F13800" s="0" t="s">
        <x:v>45</x:v>
      </x:c>
      <x:c r="G13800" s="0" t="s">
        <x:v>19</x:v>
      </x:c>
      <x:c r="H13800" s="0" t="s">
        <x:v>20</x:v>
      </x:c>
      <x:c r="I13800" s="0" t="s">
        <x:v>21</x:v>
      </x:c>
      <x:c r="K13800" s="0">
        <x:f>hyperlink("https://icd.who.int/dev11/l-ichi/en#/http%3A%2F%2Fid.who.int%2Ficd%2Fentity%2F1576643955","browser")</x:f>
      </x:c>
      <x:c r="L13800" s="0">
        <x:f>hyperlink("https://icat2.azurewebsites.net/icat/?ontology=ICD&amp;tab=ClassesTab&amp;id=http%3A%2F%2Fwho.int%2Ficd%23SpecificAnatomicLocation_3199","iCat")</x:f>
      </x:c>
      <x:c r="M13800" s="0" t="s">
        <x:v>21</x:v>
      </x:c>
      <x:c r="N13800" s="0" t="s">
        <x:v>46</x:v>
      </x:c>
    </x:row>
    <x:row r="13801" spans="1:16">
      <x:c r="A13801" s="0" t="s">
        <x:v>52005</x:v>
      </x:c>
      <x:c r="B13801" s="0" t="s">
        <x:v>52006</x:v>
      </x:c>
      <x:c r="C13801" s="0" t="s">
        <x:v>42840</x:v>
      </x:c>
      <x:c r="E13801" s="0" t="s">
        <x:v>52007</x:v>
      </x:c>
      <x:c r="F13801" s="0" t="s">
        <x:v>45</x:v>
      </x:c>
      <x:c r="G13801" s="0" t="s">
        <x:v>19</x:v>
      </x:c>
      <x:c r="H13801" s="0" t="s">
        <x:v>20</x:v>
      </x:c>
      <x:c r="I13801" s="0" t="s">
        <x:v>21</x:v>
      </x:c>
      <x:c r="K13801" s="0">
        <x:f>hyperlink("https://icd.who.int/dev11/l-ichi/en#/http%3A%2F%2Fid.who.int%2Ficd%2Fentity%2F239913172","browser")</x:f>
      </x:c>
      <x:c r="L13801" s="0">
        <x:f>hyperlink("https://icat2.azurewebsites.net/icat/?ontology=ICD&amp;tab=ClassesTab&amp;id=http%3A%2F%2Fwho.int%2Ficd%23SpecificAnatomicLocation_3204","iCat")</x:f>
      </x:c>
      <x:c r="M13801" s="0" t="s">
        <x:v>21</x:v>
      </x:c>
      <x:c r="N13801" s="0" t="s">
        <x:v>46</x:v>
      </x:c>
    </x:row>
    <x:row r="13802" spans="1:16">
      <x:c r="A13802" s="0" t="s">
        <x:v>52008</x:v>
      </x:c>
      <x:c r="B13802" s="0" t="s">
        <x:v>52009</x:v>
      </x:c>
      <x:c r="C13802" s="0" t="s">
        <x:v>42840</x:v>
      </x:c>
      <x:c r="E13802" s="0" t="s">
        <x:v>52010</x:v>
      </x:c>
      <x:c r="F13802" s="0" t="s">
        <x:v>45</x:v>
      </x:c>
      <x:c r="G13802" s="0" t="s">
        <x:v>19</x:v>
      </x:c>
      <x:c r="H13802" s="0" t="s">
        <x:v>20</x:v>
      </x:c>
      <x:c r="I13802" s="0" t="s">
        <x:v>21</x:v>
      </x:c>
      <x:c r="K13802" s="0">
        <x:f>hyperlink("https://icd.who.int/dev11/l-ichi/en#/http%3A%2F%2Fid.who.int%2Ficd%2Fentity%2F873157482","browser")</x:f>
      </x:c>
      <x:c r="L13802" s="0">
        <x:f>hyperlink("https://icat2.azurewebsites.net/icat/?ontology=ICD&amp;tab=ClassesTab&amp;id=http%3A%2F%2Fwho.int%2Ficd%23SpecificAnatomicLocation_3188","iCat")</x:f>
      </x:c>
      <x:c r="M13802" s="0" t="s">
        <x:v>20</x:v>
      </x:c>
      <x:c r="N13802" s="0" t="s">
        <x:v>30</x:v>
      </x:c>
    </x:row>
    <x:row r="13803" spans="1:16">
      <x:c r="A13803" s="0" t="s">
        <x:v>52011</x:v>
      </x:c>
      <x:c r="B13803" s="0" t="s">
        <x:v>52012</x:v>
      </x:c>
      <x:c r="C13803" s="0" t="s">
        <x:v>42840</x:v>
      </x:c>
      <x:c r="E13803" s="0" t="s">
        <x:v>52013</x:v>
      </x:c>
      <x:c r="F13803" s="0" t="s">
        <x:v>45</x:v>
      </x:c>
      <x:c r="G13803" s="0" t="s">
        <x:v>30</x:v>
      </x:c>
      <x:c r="H13803" s="0" t="s">
        <x:v>20</x:v>
      </x:c>
      <x:c r="I13803" s="0" t="s">
        <x:v>21</x:v>
      </x:c>
      <x:c r="K13803" s="0">
        <x:f>hyperlink("https://icd.who.int/dev11/l-ichi/en#/http%3A%2F%2Fid.who.int%2Ficd%2Fentity%2F1271867350","browser")</x:f>
      </x:c>
      <x:c r="L13803" s="0">
        <x:f>hyperlink("https://icat2.azurewebsites.net/icat/?ontology=ICD&amp;tab=ClassesTab&amp;id=http%3A%2F%2Fwho.int%2Ficd%23SpecificAnatomicLocation_3183","iCat")</x:f>
      </x:c>
      <x:c r="M13803" s="0" t="s">
        <x:v>20</x:v>
      </x:c>
      <x:c r="N13803" s="0" t="s">
        <x:v>30</x:v>
      </x:c>
    </x:row>
    <x:row r="13804" spans="1:16">
      <x:c r="A13804" s="0" t="s">
        <x:v>52014</x:v>
      </x:c>
      <x:c r="B13804" s="0" t="s">
        <x:v>52015</x:v>
      </x:c>
      <x:c r="C13804" s="0" t="s">
        <x:v>42840</x:v>
      </x:c>
      <x:c r="E13804" s="0" t="s">
        <x:v>52016</x:v>
      </x:c>
      <x:c r="F13804" s="0" t="s">
        <x:v>45</x:v>
      </x:c>
      <x:c r="G13804" s="0" t="s">
        <x:v>35</x:v>
      </x:c>
      <x:c r="H13804" s="0" t="s">
        <x:v>20</x:v>
      </x:c>
      <x:c r="I13804" s="0" t="s">
        <x:v>21</x:v>
      </x:c>
      <x:c r="K13804" s="0">
        <x:f>hyperlink("https://icd.who.int/dev11/l-ichi/en#/http%3A%2F%2Fid.who.int%2Ficd%2Fentity%2F1704980054","browser")</x:f>
      </x:c>
      <x:c r="L13804" s="0">
        <x:f>hyperlink("https://icat2.azurewebsites.net/icat/?ontology=ICD&amp;tab=ClassesTab&amp;id=http%3A%2F%2Fwho.int%2Ficd%23SpecificAnatomicLocation_3181","iCat")</x:f>
      </x:c>
      <x:c r="M13804" s="0" t="s">
        <x:v>21</x:v>
      </x:c>
      <x:c r="N13804" s="0" t="s">
        <x:v>46</x:v>
      </x:c>
    </x:row>
    <x:row r="13805" spans="1:16">
      <x:c r="A13805" s="0" t="s">
        <x:v>52017</x:v>
      </x:c>
      <x:c r="B13805" s="0" t="s">
        <x:v>52018</x:v>
      </x:c>
      <x:c r="C13805" s="0" t="s">
        <x:v>42840</x:v>
      </x:c>
      <x:c r="E13805" s="0" t="s">
        <x:v>52019</x:v>
      </x:c>
      <x:c r="F13805" s="0" t="s">
        <x:v>45</x:v>
      </x:c>
      <x:c r="G13805" s="0" t="s">
        <x:v>35</x:v>
      </x:c>
      <x:c r="H13805" s="0" t="s">
        <x:v>20</x:v>
      </x:c>
      <x:c r="I13805" s="0" t="s">
        <x:v>21</x:v>
      </x:c>
      <x:c r="K13805" s="0">
        <x:f>hyperlink("https://icd.who.int/dev11/l-ichi/en#/http%3A%2F%2Fid.who.int%2Ficd%2Fentity%2F1558659862","browser")</x:f>
      </x:c>
      <x:c r="L13805" s="0">
        <x:f>hyperlink("https://icat2.azurewebsites.net/icat/?ontology=ICD&amp;tab=ClassesTab&amp;id=http%3A%2F%2Fwho.int%2Ficd%23SpecificAnatomicLocation_3182","iCat")</x:f>
      </x:c>
      <x:c r="M13805" s="0" t="s">
        <x:v>20</x:v>
      </x:c>
      <x:c r="N13805" s="0" t="s">
        <x:v>22</x:v>
      </x:c>
    </x:row>
    <x:row r="13806" spans="1:16">
      <x:c r="A13806" s="0" t="s">
        <x:v>52020</x:v>
      </x:c>
      <x:c r="B13806" s="0" t="s">
        <x:v>52021</x:v>
      </x:c>
      <x:c r="C13806" s="0" t="s">
        <x:v>42840</x:v>
      </x:c>
      <x:c r="E13806" s="0" t="s">
        <x:v>52022</x:v>
      </x:c>
      <x:c r="F13806" s="0" t="s">
        <x:v>45</x:v>
      </x:c>
      <x:c r="G13806" s="0" t="s">
        <x:v>22</x:v>
      </x:c>
      <x:c r="H13806" s="0" t="s">
        <x:v>20</x:v>
      </x:c>
      <x:c r="I13806" s="0" t="s">
        <x:v>21</x:v>
      </x:c>
      <x:c r="K13806" s="0">
        <x:f>hyperlink("https://icd.who.int/dev11/l-ichi/en#/http%3A%2F%2Fid.who.int%2Ficd%2Fentity%2F1847974310","browser")</x:f>
      </x:c>
      <x:c r="L13806" s="0">
        <x:f>hyperlink("https://icat2.azurewebsites.net/icat/?ontology=ICD&amp;tab=ClassesTab&amp;id=http%3A%2F%2Fwho.int%2Ficd%23698_d9027f82_5e3d_47a4_a6fe_3c65954dde3a","iCat")</x:f>
      </x:c>
      <x:c r="M13806" s="0" t="s">
        <x:v>21</x:v>
      </x:c>
      <x:c r="N13806" s="0" t="s">
        <x:v>46</x:v>
      </x:c>
    </x:row>
    <x:row r="13807" spans="1:16">
      <x:c r="A13807" s="0" t="s">
        <x:v>52023</x:v>
      </x:c>
      <x:c r="B13807" s="0" t="s">
        <x:v>52024</x:v>
      </x:c>
      <x:c r="C13807" s="0" t="s">
        <x:v>42840</x:v>
      </x:c>
      <x:c r="E13807" s="0" t="s">
        <x:v>52025</x:v>
      </x:c>
      <x:c r="F13807" s="0" t="s">
        <x:v>45</x:v>
      </x:c>
      <x:c r="G13807" s="0" t="s">
        <x:v>22</x:v>
      </x:c>
      <x:c r="H13807" s="0" t="s">
        <x:v>20</x:v>
      </x:c>
      <x:c r="I13807" s="0" t="s">
        <x:v>21</x:v>
      </x:c>
      <x:c r="K13807" s="0">
        <x:f>hyperlink("https://icd.who.int/dev11/l-ichi/en#/http%3A%2F%2Fid.who.int%2Ficd%2Fentity%2F1275704927","browser")</x:f>
      </x:c>
      <x:c r="L13807" s="0">
        <x:f>hyperlink("https://icat2.azurewebsites.net/icat/?ontology=ICD&amp;tab=ClassesTab&amp;id=http%3A%2F%2Fwho.int%2Ficd%23964_d9027f82_5e3d_47a4_a6fe_3c65954dde3a","iCat")</x:f>
      </x:c>
      <x:c r="M13807" s="0" t="s">
        <x:v>21</x:v>
      </x:c>
      <x:c r="N13807" s="0" t="s">
        <x:v>46</x:v>
      </x:c>
    </x:row>
    <x:row r="13808" spans="1:16">
      <x:c r="A13808" s="0" t="s">
        <x:v>52026</x:v>
      </x:c>
      <x:c r="B13808" s="0" t="s">
        <x:v>52027</x:v>
      </x:c>
      <x:c r="C13808" s="0" t="s">
        <x:v>42840</x:v>
      </x:c>
      <x:c r="E13808" s="0" t="s">
        <x:v>52028</x:v>
      </x:c>
      <x:c r="F13808" s="0" t="s">
        <x:v>45</x:v>
      </x:c>
      <x:c r="G13808" s="0" t="s">
        <x:v>22</x:v>
      </x:c>
      <x:c r="H13808" s="0" t="s">
        <x:v>20</x:v>
      </x:c>
      <x:c r="I13808" s="0" t="s">
        <x:v>21</x:v>
      </x:c>
      <x:c r="K13808" s="0">
        <x:f>hyperlink("https://icd.who.int/dev11/l-ichi/en#/http%3A%2F%2Fid.who.int%2Ficd%2Fentity%2F50429644","browser")</x:f>
      </x:c>
      <x:c r="L13808" s="0">
        <x:f>hyperlink("https://icat2.azurewebsites.net/icat/?ontology=ICD&amp;tab=ClassesTab&amp;id=http%3A%2F%2Fwho.int%2Ficd%23946_d9027f82_5e3d_47a4_a6fe_3c65954dde3a","iCat")</x:f>
      </x:c>
      <x:c r="M13808" s="0" t="s">
        <x:v>21</x:v>
      </x:c>
      <x:c r="N13808" s="0" t="s">
        <x:v>46</x:v>
      </x:c>
    </x:row>
    <x:row r="13809" spans="1:16">
      <x:c r="A13809" s="0" t="s">
        <x:v>52029</x:v>
      </x:c>
      <x:c r="B13809" s="0" t="s">
        <x:v>52030</x:v>
      </x:c>
      <x:c r="C13809" s="0" t="s">
        <x:v>42840</x:v>
      </x:c>
      <x:c r="E13809" s="0" t="s">
        <x:v>52031</x:v>
      </x:c>
      <x:c r="F13809" s="0" t="s">
        <x:v>45</x:v>
      </x:c>
      <x:c r="G13809" s="0" t="s">
        <x:v>22</x:v>
      </x:c>
      <x:c r="H13809" s="0" t="s">
        <x:v>20</x:v>
      </x:c>
      <x:c r="I13809" s="0" t="s">
        <x:v>21</x:v>
      </x:c>
      <x:c r="K13809" s="0">
        <x:f>hyperlink("https://icd.who.int/dev11/l-ichi/en#/http%3A%2F%2Fid.who.int%2Ficd%2Fentity%2F1206407267","browser")</x:f>
      </x:c>
      <x:c r="L13809" s="0">
        <x:f>hyperlink("https://icat2.azurewebsites.net/icat/?ontology=ICD&amp;tab=ClassesTab&amp;id=http%3A%2F%2Fwho.int%2Ficd%23928_d9027f82_5e3d_47a4_a6fe_3c65954dde3a","iCat")</x:f>
      </x:c>
      <x:c r="M13809" s="0" t="s">
        <x:v>21</x:v>
      </x:c>
      <x:c r="N13809" s="0" t="s">
        <x:v>46</x:v>
      </x:c>
    </x:row>
    <x:row r="13810" spans="1:16">
      <x:c r="A13810" s="0" t="s">
        <x:v>52032</x:v>
      </x:c>
      <x:c r="B13810" s="0" t="s">
        <x:v>52033</x:v>
      </x:c>
      <x:c r="C13810" s="0" t="s">
        <x:v>42840</x:v>
      </x:c>
      <x:c r="E13810" s="0" t="s">
        <x:v>52034</x:v>
      </x:c>
      <x:c r="F13810" s="0" t="s">
        <x:v>45</x:v>
      </x:c>
      <x:c r="G13810" s="0" t="s">
        <x:v>30</x:v>
      </x:c>
      <x:c r="H13810" s="0" t="s">
        <x:v>20</x:v>
      </x:c>
      <x:c r="I13810" s="0" t="s">
        <x:v>21</x:v>
      </x:c>
      <x:c r="K13810" s="0">
        <x:f>hyperlink("https://icd.who.int/dev11/l-ichi/en#/http%3A%2F%2Fid.who.int%2Ficd%2Fentity%2F393131222","browser")</x:f>
      </x:c>
      <x:c r="L13810" s="0">
        <x:f>hyperlink("https://icat2.azurewebsites.net/icat/?ontology=ICD&amp;tab=ClassesTab&amp;id=http%3A%2F%2Fwho.int%2Ficd%23SpecificAnatomicLocation_3187","iCat")</x:f>
      </x:c>
      <x:c r="M13810" s="0" t="s">
        <x:v>20</x:v>
      </x:c>
      <x:c r="N13810" s="0" t="s">
        <x:v>22</x:v>
      </x:c>
    </x:row>
    <x:row r="13811" spans="1:16">
      <x:c r="A13811" s="0" t="s">
        <x:v>52035</x:v>
      </x:c>
      <x:c r="B13811" s="0" t="s">
        <x:v>52036</x:v>
      </x:c>
      <x:c r="C13811" s="0" t="s">
        <x:v>42840</x:v>
      </x:c>
      <x:c r="E13811" s="0" t="s">
        <x:v>52037</x:v>
      </x:c>
      <x:c r="F13811" s="0" t="s">
        <x:v>45</x:v>
      </x:c>
      <x:c r="G13811" s="0" t="s">
        <x:v>35</x:v>
      </x:c>
      <x:c r="H13811" s="0" t="s">
        <x:v>20</x:v>
      </x:c>
      <x:c r="I13811" s="0" t="s">
        <x:v>21</x:v>
      </x:c>
      <x:c r="K13811" s="0">
        <x:f>hyperlink("https://icd.who.int/dev11/l-ichi/en#/http%3A%2F%2Fid.who.int%2Ficd%2Fentity%2F773200278","browser")</x:f>
      </x:c>
      <x:c r="L13811" s="0">
        <x:f>hyperlink("https://icat2.azurewebsites.net/icat/?ontology=ICD&amp;tab=ClassesTab&amp;id=http%3A%2F%2Fwho.int%2Ficd%23SpecificAnatomicLocation_3184","iCat")</x:f>
      </x:c>
      <x:c r="M13811" s="0" t="s">
        <x:v>21</x:v>
      </x:c>
      <x:c r="N13811" s="0" t="s">
        <x:v>46</x:v>
      </x:c>
    </x:row>
    <x:row r="13812" spans="1:16">
      <x:c r="A13812" s="0" t="s">
        <x:v>52038</x:v>
      </x:c>
      <x:c r="B13812" s="0" t="s">
        <x:v>52039</x:v>
      </x:c>
      <x:c r="C13812" s="0" t="s">
        <x:v>42840</x:v>
      </x:c>
      <x:c r="E13812" s="0" t="s">
        <x:v>52040</x:v>
      </x:c>
      <x:c r="F13812" s="0" t="s">
        <x:v>45</x:v>
      </x:c>
      <x:c r="G13812" s="0" t="s">
        <x:v>35</x:v>
      </x:c>
      <x:c r="H13812" s="0" t="s">
        <x:v>20</x:v>
      </x:c>
      <x:c r="I13812" s="0" t="s">
        <x:v>21</x:v>
      </x:c>
      <x:c r="K13812" s="0">
        <x:f>hyperlink("https://icd.who.int/dev11/l-ichi/en#/http%3A%2F%2Fid.who.int%2Ficd%2Fentity%2F960396630","browser")</x:f>
      </x:c>
      <x:c r="L13812" s="0">
        <x:f>hyperlink("https://icat2.azurewebsites.net/icat/?ontology=ICD&amp;tab=ClassesTab&amp;id=http%3A%2F%2Fwho.int%2Ficd%23SpecificAnatomicLocation_3185","iCat")</x:f>
      </x:c>
      <x:c r="M13812" s="0" t="s">
        <x:v>21</x:v>
      </x:c>
      <x:c r="N13812" s="0" t="s">
        <x:v>46</x:v>
      </x:c>
    </x:row>
    <x:row r="13813" spans="1:16">
      <x:c r="A13813" s="0" t="s">
        <x:v>52041</x:v>
      </x:c>
      <x:c r="B13813" s="0" t="s">
        <x:v>52042</x:v>
      </x:c>
      <x:c r="C13813" s="0" t="s">
        <x:v>42840</x:v>
      </x:c>
      <x:c r="E13813" s="0" t="s">
        <x:v>52043</x:v>
      </x:c>
      <x:c r="F13813" s="0" t="s">
        <x:v>45</x:v>
      </x:c>
      <x:c r="G13813" s="0" t="s">
        <x:v>35</x:v>
      </x:c>
      <x:c r="H13813" s="0" t="s">
        <x:v>20</x:v>
      </x:c>
      <x:c r="I13813" s="0" t="s">
        <x:v>21</x:v>
      </x:c>
      <x:c r="K13813" s="0">
        <x:f>hyperlink("https://icd.who.int/dev11/l-ichi/en#/http%3A%2F%2Fid.who.int%2Ficd%2Fentity%2F4640790","browser")</x:f>
      </x:c>
      <x:c r="L13813" s="0">
        <x:f>hyperlink("https://icat2.azurewebsites.net/icat/?ontology=ICD&amp;tab=ClassesTab&amp;id=http%3A%2F%2Fwho.int%2Ficd%23SpecificAnatomicLocation_3186","iCat")</x:f>
      </x:c>
      <x:c r="M13813" s="0" t="s">
        <x:v>21</x:v>
      </x:c>
      <x:c r="N13813" s="0" t="s">
        <x:v>46</x:v>
      </x:c>
    </x:row>
    <x:row r="13814" spans="1:16">
      <x:c r="A13814" s="0" t="s">
        <x:v>52044</x:v>
      </x:c>
      <x:c r="B13814" s="0" t="s">
        <x:v>52045</x:v>
      </x:c>
      <x:c r="C13814" s="0" t="s">
        <x:v>42840</x:v>
      </x:c>
      <x:c r="E13814" s="0" t="s">
        <x:v>52046</x:v>
      </x:c>
      <x:c r="F13814" s="0" t="s">
        <x:v>45</x:v>
      </x:c>
      <x:c r="G13814" s="0" t="s">
        <x:v>35</x:v>
      </x:c>
      <x:c r="H13814" s="0" t="s">
        <x:v>20</x:v>
      </x:c>
      <x:c r="I13814" s="0" t="s">
        <x:v>21</x:v>
      </x:c>
      <x:c r="K13814" s="0">
        <x:f>hyperlink("https://icd.who.int/dev11/l-ichi/en#/http%3A%2F%2Fid.who.int%2Ficd%2Fentity%2F1142569327","browser")</x:f>
      </x:c>
      <x:c r="L13814" s="0">
        <x:f>hyperlink("https://icat2.azurewebsites.net/icat/?ontology=ICD&amp;tab=ClassesTab&amp;id=http%3A%2F%2Fwho.int%2Ficd%238385_1a025aad_bab4_45d3_85b5_2f8609f7d6c2","iCat")</x:f>
      </x:c>
      <x:c r="M13814" s="0" t="s">
        <x:v>21</x:v>
      </x:c>
      <x:c r="N13814" s="0" t="s">
        <x:v>46</x:v>
      </x:c>
    </x:row>
    <x:row r="13815" spans="1:16">
      <x:c r="A13815" s="0" t="s">
        <x:v>52047</x:v>
      </x:c>
      <x:c r="B13815" s="0" t="s">
        <x:v>52048</x:v>
      </x:c>
      <x:c r="C13815" s="0" t="s">
        <x:v>42840</x:v>
      </x:c>
      <x:c r="E13815" s="0" t="s">
        <x:v>52049</x:v>
      </x:c>
      <x:c r="F13815" s="0" t="s">
        <x:v>45</x:v>
      </x:c>
      <x:c r="G13815" s="0" t="s">
        <x:v>19</x:v>
      </x:c>
      <x:c r="H13815" s="0" t="s">
        <x:v>20</x:v>
      </x:c>
      <x:c r="I13815" s="0" t="s">
        <x:v>21</x:v>
      </x:c>
      <x:c r="K13815" s="0">
        <x:f>hyperlink("https://icd.who.int/dev11/l-ichi/en#/http%3A%2F%2Fid.who.int%2Ficd%2Fentity%2F1462096867","browser")</x:f>
      </x:c>
      <x:c r="L13815" s="0">
        <x:f>hyperlink("https://icat2.azurewebsites.net/icat/?ontology=ICD&amp;tab=ClassesTab&amp;id=http%3A%2F%2Fwho.int%2Ficd%23SpecificAnatomicLocation_3173","iCat")</x:f>
      </x:c>
      <x:c r="M13815" s="0" t="s">
        <x:v>20</x:v>
      </x:c>
      <x:c r="N13815" s="0" t="s">
        <x:v>30</x:v>
      </x:c>
    </x:row>
    <x:row r="13816" spans="1:16">
      <x:c r="A13816" s="0" t="s">
        <x:v>52050</x:v>
      </x:c>
      <x:c r="B13816" s="0" t="s">
        <x:v>52051</x:v>
      </x:c>
      <x:c r="C13816" s="0" t="s">
        <x:v>42840</x:v>
      </x:c>
      <x:c r="E13816" s="0" t="s">
        <x:v>52052</x:v>
      </x:c>
      <x:c r="F13816" s="0" t="s">
        <x:v>45</x:v>
      </x:c>
      <x:c r="G13816" s="0" t="s">
        <x:v>30</x:v>
      </x:c>
      <x:c r="H13816" s="0" t="s">
        <x:v>20</x:v>
      </x:c>
      <x:c r="I13816" s="0" t="s">
        <x:v>21</x:v>
      </x:c>
      <x:c r="K13816" s="0">
        <x:f>hyperlink("https://icd.who.int/dev11/l-ichi/en#/http%3A%2F%2Fid.who.int%2Ficd%2Fentity%2F51427988","browser")</x:f>
      </x:c>
      <x:c r="L13816" s="0">
        <x:f>hyperlink("https://icat2.azurewebsites.net/icat/?ontology=ICD&amp;tab=ClassesTab&amp;id=http%3A%2F%2Fwho.int%2Ficd%23SpecificAnatomicLocation_3155","iCat")</x:f>
      </x:c>
      <x:c r="M13816" s="0" t="s">
        <x:v>21</x:v>
      </x:c>
      <x:c r="N13816" s="0" t="s">
        <x:v>46</x:v>
      </x:c>
    </x:row>
    <x:row r="13817" spans="1:16">
      <x:c r="A13817" s="0" t="s">
        <x:v>52053</x:v>
      </x:c>
      <x:c r="B13817" s="0" t="s">
        <x:v>52054</x:v>
      </x:c>
      <x:c r="C13817" s="0" t="s">
        <x:v>42840</x:v>
      </x:c>
      <x:c r="E13817" s="0" t="s">
        <x:v>52055</x:v>
      </x:c>
      <x:c r="F13817" s="0" t="s">
        <x:v>45</x:v>
      </x:c>
      <x:c r="G13817" s="0" t="s">
        <x:v>30</x:v>
      </x:c>
      <x:c r="H13817" s="0" t="s">
        <x:v>20</x:v>
      </x:c>
      <x:c r="I13817" s="0" t="s">
        <x:v>21</x:v>
      </x:c>
      <x:c r="K13817" s="0">
        <x:f>hyperlink("https://icd.who.int/dev11/l-ichi/en#/http%3A%2F%2Fid.who.int%2Ficd%2Fentity%2F759198484","browser")</x:f>
      </x:c>
      <x:c r="L13817" s="0">
        <x:f>hyperlink("https://icat2.azurewebsites.net/icat/?ontology=ICD&amp;tab=ClassesTab&amp;id=http%3A%2F%2Fwho.int%2Ficd%23SpecificAnatomicLocation_3157","iCat")</x:f>
      </x:c>
      <x:c r="M13817" s="0" t="s">
        <x:v>21</x:v>
      </x:c>
      <x:c r="N13817" s="0" t="s">
        <x:v>46</x:v>
      </x:c>
    </x:row>
    <x:row r="13818" spans="1:16">
      <x:c r="A13818" s="0" t="s">
        <x:v>52056</x:v>
      </x:c>
      <x:c r="B13818" s="0" t="s">
        <x:v>52057</x:v>
      </x:c>
      <x:c r="C13818" s="0" t="s">
        <x:v>42840</x:v>
      </x:c>
      <x:c r="E13818" s="0" t="s">
        <x:v>52058</x:v>
      </x:c>
      <x:c r="F13818" s="0" t="s">
        <x:v>45</x:v>
      </x:c>
      <x:c r="G13818" s="0" t="s">
        <x:v>19</x:v>
      </x:c>
      <x:c r="H13818" s="0" t="s">
        <x:v>20</x:v>
      </x:c>
      <x:c r="I13818" s="0" t="s">
        <x:v>21</x:v>
      </x:c>
      <x:c r="K13818" s="0">
        <x:f>hyperlink("https://icd.who.int/dev11/l-ichi/en#/http%3A%2F%2Fid.who.int%2Ficd%2Fentity%2F685877085","browser")</x:f>
      </x:c>
      <x:c r="L13818" s="0">
        <x:f>hyperlink("https://icat2.azurewebsites.net/icat/?ontology=ICD&amp;tab=ClassesTab&amp;id=http%3A%2F%2Fwho.int%2Ficd%23SpecificAnatomicLocation_3178","iCat")</x:f>
      </x:c>
      <x:c r="M13818" s="0" t="s">
        <x:v>20</x:v>
      </x:c>
      <x:c r="N13818" s="0" t="s">
        <x:v>35</x:v>
      </x:c>
    </x:row>
    <x:row r="13819" spans="1:16">
      <x:c r="A13819" s="0" t="s">
        <x:v>52059</x:v>
      </x:c>
      <x:c r="B13819" s="0" t="s">
        <x:v>52060</x:v>
      </x:c>
      <x:c r="C13819" s="0" t="s">
        <x:v>42840</x:v>
      </x:c>
      <x:c r="E13819" s="0" t="s">
        <x:v>969</x:v>
      </x:c>
      <x:c r="F13819" s="0" t="s">
        <x:v>45</x:v>
      </x:c>
      <x:c r="G13819" s="0" t="s">
        <x:v>30</x:v>
      </x:c>
      <x:c r="H13819" s="0" t="s">
        <x:v>20</x:v>
      </x:c>
      <x:c r="I13819" s="0" t="s">
        <x:v>21</x:v>
      </x:c>
      <x:c r="K13819" s="0">
        <x:f>hyperlink("https://icd.who.int/dev11/l-ichi/en#/http%3A%2F%2Fid.who.int%2Ficd%2Fentity%2F634685795","browser")</x:f>
      </x:c>
      <x:c r="L13819" s="0">
        <x:f>hyperlink("https://icat2.azurewebsites.net/icat/?ontology=ICD&amp;tab=ClassesTab&amp;id=http%3A%2F%2Fwho.int%2Ficd%23SpecificAnatomicLocation_3175","iCat")</x:f>
      </x:c>
      <x:c r="M13819" s="0" t="s">
        <x:v>21</x:v>
      </x:c>
      <x:c r="N13819" s="0" t="s">
        <x:v>46</x:v>
      </x:c>
    </x:row>
    <x:row r="13820" spans="1:16">
      <x:c r="A13820" s="0" t="s">
        <x:v>52061</x:v>
      </x:c>
      <x:c r="B13820" s="0" t="s">
        <x:v>52062</x:v>
      </x:c>
      <x:c r="C13820" s="0" t="s">
        <x:v>42840</x:v>
      </x:c>
      <x:c r="E13820" s="0" t="s">
        <x:v>52063</x:v>
      </x:c>
      <x:c r="F13820" s="0" t="s">
        <x:v>45</x:v>
      </x:c>
      <x:c r="G13820" s="0" t="s">
        <x:v>30</x:v>
      </x:c>
      <x:c r="H13820" s="0" t="s">
        <x:v>20</x:v>
      </x:c>
      <x:c r="I13820" s="0" t="s">
        <x:v>21</x:v>
      </x:c>
      <x:c r="K13820" s="0">
        <x:f>hyperlink("https://icd.who.int/dev11/l-ichi/en#/http%3A%2F%2Fid.who.int%2Ficd%2Fentity%2F193216739","browser")</x:f>
      </x:c>
      <x:c r="L13820" s="0">
        <x:f>hyperlink("https://icat2.azurewebsites.net/icat/?ontology=ICD&amp;tab=ClassesTab&amp;id=http%3A%2F%2Fwho.int%2Ficd%23SpecificAnatomicLocation_3177","iCat")</x:f>
      </x:c>
      <x:c r="M13820" s="0" t="s">
        <x:v>21</x:v>
      </x:c>
      <x:c r="N13820" s="0" t="s">
        <x:v>46</x:v>
      </x:c>
    </x:row>
    <x:row r="13821" spans="1:16">
      <x:c r="A13821" s="0" t="s">
        <x:v>52064</x:v>
      </x:c>
      <x:c r="B13821" s="0" t="s">
        <x:v>52065</x:v>
      </x:c>
      <x:c r="C13821" s="0" t="s">
        <x:v>42840</x:v>
      </x:c>
      <x:c r="E13821" s="0" t="s">
        <x:v>52066</x:v>
      </x:c>
      <x:c r="F13821" s="0" t="s">
        <x:v>45</x:v>
      </x:c>
      <x:c r="G13821" s="0" t="s">
        <x:v>30</x:v>
      </x:c>
      <x:c r="H13821" s="0" t="s">
        <x:v>20</x:v>
      </x:c>
      <x:c r="I13821" s="0" t="s">
        <x:v>21</x:v>
      </x:c>
      <x:c r="K13821" s="0">
        <x:f>hyperlink("https://icd.who.int/dev11/l-ichi/en#/http%3A%2F%2Fid.who.int%2Ficd%2Fentity%2F481043491","browser")</x:f>
      </x:c>
      <x:c r="L13821" s="0">
        <x:f>hyperlink("https://icat2.azurewebsites.net/icat/?ontology=ICD&amp;tab=ClassesTab&amp;id=http%3A%2F%2Fwho.int%2Ficd%23SpecificAnatomicLocation_3176","iCat")</x:f>
      </x:c>
      <x:c r="M13821" s="0" t="s">
        <x:v>21</x:v>
      </x:c>
      <x:c r="N13821" s="0" t="s">
        <x:v>46</x:v>
      </x:c>
    </x:row>
    <x:row r="13822" spans="1:16">
      <x:c r="A13822" s="0" t="s">
        <x:v>52067</x:v>
      </x:c>
      <x:c r="B13822" s="0" t="s">
        <x:v>52068</x:v>
      </x:c>
      <x:c r="D13822" s="0" t="s">
        <x:v>44494</x:v>
      </x:c>
      <x:c r="E13822" s="0" t="s">
        <x:v>52069</x:v>
      </x:c>
      <x:c r="F13822" s="0" t="s">
        <x:v>26</x:v>
      </x:c>
      <x:c r="G13822" s="0" t="s">
        <x:v>19</x:v>
      </x:c>
      <x:c r="H13822" s="0" t="s">
        <x:v>20</x:v>
      </x:c>
      <x:c r="I13822" s="0" t="s">
        <x:v>21</x:v>
      </x:c>
      <x:c r="K13822" s="0">
        <x:f>hyperlink("https://icd.who.int/dev11/l-ichi/en#/http%3A%2F%2Fid.who.int%2Ficd%2Fentity%2F1413523709","browser")</x:f>
      </x:c>
      <x:c r="L13822" s="0">
        <x:f>hyperlink("https://icat2.azurewebsites.net/icat/?ontology=ICD&amp;tab=ClassesTab&amp;id=http%3A%2F%2Fwho.int%2Ficd%23TopologyScaleValue","iCat")</x:f>
      </x:c>
      <x:c r="M13822" s="0" t="s">
        <x:v>20</x:v>
      </x:c>
      <x:c r="N13822" s="0" t="s">
        <x:v>40</x:v>
      </x:c>
    </x:row>
    <x:row r="13823" spans="1:16">
      <x:c r="A13823" s="0" t="s">
        <x:v>52070</x:v>
      </x:c>
      <x:c r="B13823" s="0" t="s">
        <x:v>52071</x:v>
      </x:c>
      <x:c r="D13823" s="0" t="s">
        <x:v>44498</x:v>
      </x:c>
      <x:c r="E13823" s="0" t="s">
        <x:v>52072</x:v>
      </x:c>
      <x:c r="F13823" s="0" t="s">
        <x:v>26</x:v>
      </x:c>
      <x:c r="G13823" s="0" t="s">
        <x:v>30</x:v>
      </x:c>
      <x:c r="H13823" s="0" t="s">
        <x:v>20</x:v>
      </x:c>
      <x:c r="I13823" s="0" t="s">
        <x:v>21</x:v>
      </x:c>
      <x:c r="K13823" s="0">
        <x:f>hyperlink("https://icd.who.int/dev11/l-ichi/en#/http%3A%2F%2Fid.who.int%2Ficd%2Fentity%2F137775722","browser")</x:f>
      </x:c>
      <x:c r="L13823" s="0">
        <x:f>hyperlink("https://icat2.azurewebsites.net/icat/?ontology=ICD&amp;tab=ClassesTab&amp;id=http%3A%2F%2Fwho.int%2Ficd%23Topology_Relational","iCat")</x:f>
      </x:c>
      <x:c r="M13823" s="0" t="s">
        <x:v>20</x:v>
      </x:c>
      <x:c r="N13823" s="0" t="s">
        <x:v>2677</x:v>
      </x:c>
    </x:row>
    <x:row r="13824" spans="1:16">
      <x:c r="A13824" s="0" t="s">
        <x:v>52073</x:v>
      </x:c>
      <x:c r="B13824" s="0" t="s">
        <x:v>52074</x:v>
      </x:c>
      <x:c r="C13824" s="0" t="s">
        <x:v>42840</x:v>
      </x:c>
      <x:c r="E13824" s="0" t="s">
        <x:v>52075</x:v>
      </x:c>
      <x:c r="F13824" s="0" t="s">
        <x:v>45</x:v>
      </x:c>
      <x:c r="G13824" s="0" t="s">
        <x:v>19</x:v>
      </x:c>
      <x:c r="H13824" s="0" t="s">
        <x:v>20</x:v>
      </x:c>
      <x:c r="I13824" s="0" t="s">
        <x:v>21</x:v>
      </x:c>
      <x:c r="K13824" s="0">
        <x:f>hyperlink("https://icd.who.int/dev11/l-ichi/en#/http%3A%2F%2Fid.who.int%2Ficd%2Fentity%2F1190123007","browser")</x:f>
      </x:c>
      <x:c r="L13824" s="0">
        <x:f>hyperlink("https://icat2.azurewebsites.net/icat/?ontology=ICD&amp;tab=ClassesTab&amp;id=http%3A%2F%2Fwho.int%2Ficd%232316_23072ef1_e644_4d10_8a97_a861f8253878","iCat")</x:f>
      </x:c>
      <x:c r="M13824" s="0" t="s">
        <x:v>21</x:v>
      </x:c>
      <x:c r="N13824" s="0" t="s">
        <x:v>46</x:v>
      </x:c>
    </x:row>
    <x:row r="13825" spans="1:16">
      <x:c r="A13825" s="0" t="s">
        <x:v>52076</x:v>
      </x:c>
      <x:c r="B13825" s="0" t="s">
        <x:v>52077</x:v>
      </x:c>
      <x:c r="C13825" s="0" t="s">
        <x:v>42840</x:v>
      </x:c>
      <x:c r="E13825" s="0" t="s">
        <x:v>52078</x:v>
      </x:c>
      <x:c r="F13825" s="0" t="s">
        <x:v>45</x:v>
      </x:c>
      <x:c r="G13825" s="0" t="s">
        <x:v>19</x:v>
      </x:c>
      <x:c r="H13825" s="0" t="s">
        <x:v>20</x:v>
      </x:c>
      <x:c r="I13825" s="0" t="s">
        <x:v>21</x:v>
      </x:c>
      <x:c r="K13825" s="0">
        <x:f>hyperlink("https://icd.who.int/dev11/l-ichi/en#/http%3A%2F%2Fid.who.int%2Ficd%2Fentity%2F648538052","browser")</x:f>
      </x:c>
      <x:c r="L13825" s="0">
        <x:f>hyperlink("https://icat2.azurewebsites.net/icat/?ontology=ICD&amp;tab=ClassesTab&amp;id=http%3A%2F%2Fwho.int%2Ficd%232327_23072ef1_e644_4d10_8a97_a861f8253878","iCat")</x:f>
      </x:c>
      <x:c r="M13825" s="0" t="s">
        <x:v>21</x:v>
      </x:c>
      <x:c r="N13825" s="0" t="s">
        <x:v>46</x:v>
      </x:c>
    </x:row>
    <x:row r="13826" spans="1:16">
      <x:c r="A13826" s="0" t="s">
        <x:v>52079</x:v>
      </x:c>
      <x:c r="B13826" s="0" t="s">
        <x:v>52080</x:v>
      </x:c>
      <x:c r="C13826" s="0" t="s">
        <x:v>42840</x:v>
      </x:c>
      <x:c r="E13826" s="0" t="s">
        <x:v>52081</x:v>
      </x:c>
      <x:c r="F13826" s="0" t="s">
        <x:v>45</x:v>
      </x:c>
      <x:c r="G13826" s="0" t="s">
        <x:v>19</x:v>
      </x:c>
      <x:c r="H13826" s="0" t="s">
        <x:v>20</x:v>
      </x:c>
      <x:c r="I13826" s="0" t="s">
        <x:v>21</x:v>
      </x:c>
      <x:c r="K13826" s="0">
        <x:f>hyperlink("https://icd.who.int/dev11/l-ichi/en#/http%3A%2F%2Fid.who.int%2Ficd%2Fentity%2F1145558243","browser")</x:f>
      </x:c>
      <x:c r="L13826" s="0">
        <x:f>hyperlink("https://icat2.azurewebsites.net/icat/?ontology=ICD&amp;tab=ClassesTab&amp;id=http%3A%2F%2Fwho.int%2Ficd%23Topology_Medial","iCat")</x:f>
      </x:c>
      <x:c r="M13826" s="0" t="s">
        <x:v>21</x:v>
      </x:c>
      <x:c r="N13826" s="0" t="s">
        <x:v>46</x:v>
      </x:c>
    </x:row>
    <x:row r="13827" spans="1:16">
      <x:c r="A13827" s="0" t="s">
        <x:v>52082</x:v>
      </x:c>
      <x:c r="B13827" s="0" t="s">
        <x:v>52083</x:v>
      </x:c>
      <x:c r="C13827" s="0" t="s">
        <x:v>42840</x:v>
      </x:c>
      <x:c r="E13827" s="0" t="s">
        <x:v>52084</x:v>
      </x:c>
      <x:c r="F13827" s="0" t="s">
        <x:v>45</x:v>
      </x:c>
      <x:c r="G13827" s="0" t="s">
        <x:v>19</x:v>
      </x:c>
      <x:c r="H13827" s="0" t="s">
        <x:v>20</x:v>
      </x:c>
      <x:c r="I13827" s="0" t="s">
        <x:v>21</x:v>
      </x:c>
      <x:c r="K13827" s="0">
        <x:f>hyperlink("https://icd.who.int/dev11/l-ichi/en#/http%3A%2F%2Fid.who.int%2Ficd%2Fentity%2F1928353529","browser")</x:f>
      </x:c>
      <x:c r="L13827" s="0">
        <x:f>hyperlink("https://icat2.azurewebsites.net/icat/?ontology=ICD&amp;tab=ClassesTab&amp;id=http%3A%2F%2Fwho.int%2Ficd%23Topology_Lateral","iCat")</x:f>
      </x:c>
      <x:c r="M13827" s="0" t="s">
        <x:v>21</x:v>
      </x:c>
      <x:c r="N13827" s="0" t="s">
        <x:v>46</x:v>
      </x:c>
    </x:row>
    <x:row r="13828" spans="1:16">
      <x:c r="A13828" s="0" t="s">
        <x:v>52085</x:v>
      </x:c>
      <x:c r="B13828" s="0" t="s">
        <x:v>52086</x:v>
      </x:c>
      <x:c r="C13828" s="0" t="s">
        <x:v>42840</x:v>
      </x:c>
      <x:c r="E13828" s="0" t="s">
        <x:v>52087</x:v>
      </x:c>
      <x:c r="F13828" s="0" t="s">
        <x:v>45</x:v>
      </x:c>
      <x:c r="G13828" s="0" t="s">
        <x:v>19</x:v>
      </x:c>
      <x:c r="H13828" s="0" t="s">
        <x:v>20</x:v>
      </x:c>
      <x:c r="I13828" s="0" t="s">
        <x:v>21</x:v>
      </x:c>
      <x:c r="K13828" s="0">
        <x:f>hyperlink("https://icd.who.int/dev11/l-ichi/en#/http%3A%2F%2Fid.who.int%2Ficd%2Fentity%2F1516145872","browser")</x:f>
      </x:c>
      <x:c r="L13828" s="0">
        <x:f>hyperlink("https://icat2.azurewebsites.net/icat/?ontology=ICD&amp;tab=ClassesTab&amp;id=http%3A%2F%2Fwho.int%2Ficd%2339227_5a5b31e4_bee5_4007_bf7e_9a0a81b5b93c","iCat")</x:f>
      </x:c>
      <x:c r="M13828" s="0" t="s">
        <x:v>21</x:v>
      </x:c>
      <x:c r="N13828" s="0" t="s">
        <x:v>46</x:v>
      </x:c>
    </x:row>
    <x:row r="13829" spans="1:16">
      <x:c r="A13829" s="0" t="s">
        <x:v>52088</x:v>
      </x:c>
      <x:c r="B13829" s="0" t="s">
        <x:v>52089</x:v>
      </x:c>
      <x:c r="C13829" s="0" t="s">
        <x:v>42840</x:v>
      </x:c>
      <x:c r="E13829" s="0" t="s">
        <x:v>52090</x:v>
      </x:c>
      <x:c r="F13829" s="0" t="s">
        <x:v>45</x:v>
      </x:c>
      <x:c r="G13829" s="0" t="s">
        <x:v>19</x:v>
      </x:c>
      <x:c r="H13829" s="0" t="s">
        <x:v>20</x:v>
      </x:c>
      <x:c r="I13829" s="0" t="s">
        <x:v>21</x:v>
      </x:c>
      <x:c r="K13829" s="0">
        <x:f>hyperlink("https://icd.who.int/dev11/l-ichi/en#/http%3A%2F%2Fid.who.int%2Ficd%2Fentity%2F548698273","browser")</x:f>
      </x:c>
      <x:c r="L13829" s="0">
        <x:f>hyperlink("https://icat2.azurewebsites.net/icat/?ontology=ICD&amp;tab=ClassesTab&amp;id=http%3A%2F%2Fwho.int%2Ficd%2339246_5a5b31e4_bee5_4007_bf7e_9a0a81b5b93c","iCat")</x:f>
      </x:c>
      <x:c r="M13829" s="0" t="s">
        <x:v>21</x:v>
      </x:c>
      <x:c r="N13829" s="0" t="s">
        <x:v>46</x:v>
      </x:c>
    </x:row>
    <x:row r="13830" spans="1:16">
      <x:c r="A13830" s="0" t="s">
        <x:v>52091</x:v>
      </x:c>
      <x:c r="B13830" s="0" t="s">
        <x:v>52092</x:v>
      </x:c>
      <x:c r="C13830" s="0" t="s">
        <x:v>42840</x:v>
      </x:c>
      <x:c r="E13830" s="0" t="s">
        <x:v>52093</x:v>
      </x:c>
      <x:c r="F13830" s="0" t="s">
        <x:v>45</x:v>
      </x:c>
      <x:c r="G13830" s="0" t="s">
        <x:v>19</x:v>
      </x:c>
      <x:c r="H13830" s="0" t="s">
        <x:v>20</x:v>
      </x:c>
      <x:c r="I13830" s="0" t="s">
        <x:v>21</x:v>
      </x:c>
      <x:c r="K13830" s="0">
        <x:f>hyperlink("https://icd.who.int/dev11/l-ichi/en#/http%3A%2F%2Fid.who.int%2Ficd%2Fentity%2F1172656077","browser")</x:f>
      </x:c>
      <x:c r="L13830" s="0">
        <x:f>hyperlink("https://icat2.azurewebsites.net/icat/?ontology=ICD&amp;tab=ClassesTab&amp;id=http%3A%2F%2Fwho.int%2Ficd%23Topology_Ventral","iCat")</x:f>
      </x:c>
      <x:c r="M13830" s="0" t="s">
        <x:v>21</x:v>
      </x:c>
      <x:c r="N13830" s="0" t="s">
        <x:v>46</x:v>
      </x:c>
    </x:row>
    <x:row r="13831" spans="1:16">
      <x:c r="A13831" s="0" t="s">
        <x:v>52094</x:v>
      </x:c>
      <x:c r="B13831" s="0" t="s">
        <x:v>52095</x:v>
      </x:c>
      <x:c r="C13831" s="0" t="s">
        <x:v>42840</x:v>
      </x:c>
      <x:c r="E13831" s="0" t="s">
        <x:v>52096</x:v>
      </x:c>
      <x:c r="F13831" s="0" t="s">
        <x:v>45</x:v>
      </x:c>
      <x:c r="G13831" s="0" t="s">
        <x:v>19</x:v>
      </x:c>
      <x:c r="H13831" s="0" t="s">
        <x:v>20</x:v>
      </x:c>
      <x:c r="I13831" s="0" t="s">
        <x:v>21</x:v>
      </x:c>
      <x:c r="K13831" s="0">
        <x:f>hyperlink("https://icd.who.int/dev11/l-ichi/en#/http%3A%2F%2Fid.who.int%2Ficd%2Fentity%2F487792839","browser")</x:f>
      </x:c>
      <x:c r="L13831" s="0">
        <x:f>hyperlink("https://icat2.azurewebsites.net/icat/?ontology=ICD&amp;tab=ClassesTab&amp;id=http%3A%2F%2Fwho.int%2Ficd%23Topology_Dorsal","iCat")</x:f>
      </x:c>
      <x:c r="M13831" s="0" t="s">
        <x:v>21</x:v>
      </x:c>
      <x:c r="N13831" s="0" t="s">
        <x:v>46</x:v>
      </x:c>
    </x:row>
    <x:row r="13832" spans="1:16">
      <x:c r="A13832" s="0" t="s">
        <x:v>52097</x:v>
      </x:c>
      <x:c r="B13832" s="0" t="s">
        <x:v>52098</x:v>
      </x:c>
      <x:c r="C13832" s="0" t="s">
        <x:v>42840</x:v>
      </x:c>
      <x:c r="E13832" s="0" t="s">
        <x:v>52099</x:v>
      </x:c>
      <x:c r="F13832" s="0" t="s">
        <x:v>45</x:v>
      </x:c>
      <x:c r="G13832" s="0" t="s">
        <x:v>19</x:v>
      </x:c>
      <x:c r="H13832" s="0" t="s">
        <x:v>20</x:v>
      </x:c>
      <x:c r="I13832" s="0" t="s">
        <x:v>21</x:v>
      </x:c>
      <x:c r="K13832" s="0">
        <x:f>hyperlink("https://icd.who.int/dev11/l-ichi/en#/http%3A%2F%2Fid.who.int%2Ficd%2Fentity%2F687243922","browser")</x:f>
      </x:c>
      <x:c r="L13832" s="0">
        <x:f>hyperlink("https://icat2.azurewebsites.net/icat/?ontology=ICD&amp;tab=ClassesTab&amp;id=http%3A%2F%2Fwho.int%2Ficd%23Topology_Proximal","iCat")</x:f>
      </x:c>
      <x:c r="M13832" s="0" t="s">
        <x:v>21</x:v>
      </x:c>
      <x:c r="N13832" s="0" t="s">
        <x:v>46</x:v>
      </x:c>
    </x:row>
    <x:row r="13833" spans="1:16">
      <x:c r="A13833" s="0" t="s">
        <x:v>52100</x:v>
      </x:c>
      <x:c r="B13833" s="0" t="s">
        <x:v>52101</x:v>
      </x:c>
      <x:c r="C13833" s="0" t="s">
        <x:v>42840</x:v>
      </x:c>
      <x:c r="E13833" s="0" t="s">
        <x:v>52102</x:v>
      </x:c>
      <x:c r="F13833" s="0" t="s">
        <x:v>45</x:v>
      </x:c>
      <x:c r="G13833" s="0" t="s">
        <x:v>19</x:v>
      </x:c>
      <x:c r="H13833" s="0" t="s">
        <x:v>20</x:v>
      </x:c>
      <x:c r="I13833" s="0" t="s">
        <x:v>21</x:v>
      </x:c>
      <x:c r="K13833" s="0">
        <x:f>hyperlink("https://icd.who.int/dev11/l-ichi/en#/http%3A%2F%2Fid.who.int%2Ficd%2Fentity%2F1294462156","browser")</x:f>
      </x:c>
      <x:c r="L13833" s="0">
        <x:f>hyperlink("https://icat2.azurewebsites.net/icat/?ontology=ICD&amp;tab=ClassesTab&amp;id=http%3A%2F%2Fwho.int%2Ficd%23Topology_Distal","iCat")</x:f>
      </x:c>
      <x:c r="M13833" s="0" t="s">
        <x:v>21</x:v>
      </x:c>
      <x:c r="N13833" s="0" t="s">
        <x:v>46</x:v>
      </x:c>
    </x:row>
    <x:row r="13834" spans="1:16">
      <x:c r="A13834" s="0" t="s">
        <x:v>52103</x:v>
      </x:c>
      <x:c r="B13834" s="0" t="s">
        <x:v>52104</x:v>
      </x:c>
      <x:c r="C13834" s="0" t="s">
        <x:v>42840</x:v>
      </x:c>
      <x:c r="E13834" s="0" t="s">
        <x:v>52105</x:v>
      </x:c>
      <x:c r="F13834" s="0" t="s">
        <x:v>45</x:v>
      </x:c>
      <x:c r="G13834" s="0" t="s">
        <x:v>19</x:v>
      </x:c>
      <x:c r="H13834" s="0" t="s">
        <x:v>20</x:v>
      </x:c>
      <x:c r="I13834" s="0" t="s">
        <x:v>21</x:v>
      </x:c>
      <x:c r="K13834" s="0">
        <x:f>hyperlink("https://icd.who.int/dev11/l-ichi/en#/http%3A%2F%2Fid.who.int%2Ficd%2Fentity%2F239911955","browser")</x:f>
      </x:c>
      <x:c r="L13834" s="0">
        <x:f>hyperlink("https://icat2.azurewebsites.net/icat/?ontology=ICD&amp;tab=ClassesTab&amp;id=http%3A%2F%2Fwho.int%2Ficd%23Topology_Ipsilateral","iCat")</x:f>
      </x:c>
      <x:c r="M13834" s="0" t="s">
        <x:v>21</x:v>
      </x:c>
      <x:c r="N13834" s="0" t="s">
        <x:v>46</x:v>
      </x:c>
    </x:row>
    <x:row r="13835" spans="1:16">
      <x:c r="A13835" s="0" t="s">
        <x:v>52106</x:v>
      </x:c>
      <x:c r="B13835" s="0" t="s">
        <x:v>52107</x:v>
      </x:c>
      <x:c r="C13835" s="0" t="s">
        <x:v>42840</x:v>
      </x:c>
      <x:c r="E13835" s="0" t="s">
        <x:v>52108</x:v>
      </x:c>
      <x:c r="F13835" s="0" t="s">
        <x:v>45</x:v>
      </x:c>
      <x:c r="G13835" s="0" t="s">
        <x:v>19</x:v>
      </x:c>
      <x:c r="H13835" s="0" t="s">
        <x:v>20</x:v>
      </x:c>
      <x:c r="I13835" s="0" t="s">
        <x:v>21</x:v>
      </x:c>
      <x:c r="K13835" s="0">
        <x:f>hyperlink("https://icd.who.int/dev11/l-ichi/en#/http%3A%2F%2Fid.who.int%2Ficd%2Fentity%2F1470045894","browser")</x:f>
      </x:c>
      <x:c r="L13835" s="0">
        <x:f>hyperlink("https://icat2.azurewebsites.net/icat/?ontology=ICD&amp;tab=ClassesTab&amp;id=http%3A%2F%2Fwho.int%2Ficd%23Topology_Contralateral","iCat")</x:f>
      </x:c>
      <x:c r="M13835" s="0" t="s">
        <x:v>21</x:v>
      </x:c>
      <x:c r="N13835" s="0" t="s">
        <x:v>46</x:v>
      </x:c>
    </x:row>
    <x:row r="13836" spans="1:16">
      <x:c r="A13836" s="0" t="s">
        <x:v>52109</x:v>
      </x:c>
      <x:c r="B13836" s="0" t="s">
        <x:v>52110</x:v>
      </x:c>
      <x:c r="C13836" s="0" t="s">
        <x:v>42840</x:v>
      </x:c>
      <x:c r="E13836" s="0" t="s">
        <x:v>3841</x:v>
      </x:c>
      <x:c r="F13836" s="0" t="s">
        <x:v>45</x:v>
      </x:c>
      <x:c r="G13836" s="0" t="s">
        <x:v>19</x:v>
      </x:c>
      <x:c r="H13836" s="0" t="s">
        <x:v>20</x:v>
      </x:c>
      <x:c r="I13836" s="0" t="s">
        <x:v>21</x:v>
      </x:c>
      <x:c r="K13836" s="0">
        <x:f>hyperlink("https://icd.who.int/dev11/l-ichi/en#/http%3A%2F%2Fid.who.int%2Ficd%2Fentity%2F2036167265","browser")</x:f>
      </x:c>
      <x:c r="L13836" s="0">
        <x:f>hyperlink("https://icat2.azurewebsites.net/icat/?ontology=ICD&amp;tab=ClassesTab&amp;id=http%3A%2F%2Fwho.int%2Ficd%23Topology_External","iCat")</x:f>
      </x:c>
      <x:c r="M13836" s="0" t="s">
        <x:v>21</x:v>
      </x:c>
      <x:c r="N13836" s="0" t="s">
        <x:v>46</x:v>
      </x:c>
    </x:row>
    <x:row r="13837" spans="1:16">
      <x:c r="A13837" s="0" t="s">
        <x:v>52111</x:v>
      </x:c>
      <x:c r="B13837" s="0" t="s">
        <x:v>52112</x:v>
      </x:c>
      <x:c r="C13837" s="0" t="s">
        <x:v>42840</x:v>
      </x:c>
      <x:c r="E13837" s="0" t="s">
        <x:v>52113</x:v>
      </x:c>
      <x:c r="F13837" s="0" t="s">
        <x:v>45</x:v>
      </x:c>
      <x:c r="G13837" s="0" t="s">
        <x:v>19</x:v>
      </x:c>
      <x:c r="H13837" s="0" t="s">
        <x:v>20</x:v>
      </x:c>
      <x:c r="I13837" s="0" t="s">
        <x:v>21</x:v>
      </x:c>
      <x:c r="K13837" s="0">
        <x:f>hyperlink("https://icd.who.int/dev11/l-ichi/en#/http%3A%2F%2Fid.who.int%2Ficd%2Fentity%2F820615985","browser")</x:f>
      </x:c>
      <x:c r="L13837" s="0">
        <x:f>hyperlink("https://icat2.azurewebsites.net/icat/?ontology=ICD&amp;tab=ClassesTab&amp;id=http%3A%2F%2Fwho.int%2Ficd%23Topology_Internal","iCat")</x:f>
      </x:c>
      <x:c r="M13837" s="0" t="s">
        <x:v>21</x:v>
      </x:c>
      <x:c r="N13837" s="0" t="s">
        <x:v>46</x:v>
      </x:c>
    </x:row>
    <x:row r="13838" spans="1:16">
      <x:c r="A13838" s="0" t="s">
        <x:v>52114</x:v>
      </x:c>
      <x:c r="B13838" s="0" t="s">
        <x:v>52115</x:v>
      </x:c>
      <x:c r="C13838" s="0" t="s">
        <x:v>42840</x:v>
      </x:c>
      <x:c r="E13838" s="0" t="s">
        <x:v>52116</x:v>
      </x:c>
      <x:c r="F13838" s="0" t="s">
        <x:v>45</x:v>
      </x:c>
      <x:c r="G13838" s="0" t="s">
        <x:v>19</x:v>
      </x:c>
      <x:c r="H13838" s="0" t="s">
        <x:v>20</x:v>
      </x:c>
      <x:c r="I13838" s="0" t="s">
        <x:v>21</x:v>
      </x:c>
      <x:c r="K13838" s="0">
        <x:f>hyperlink("https://icd.who.int/dev11/l-ichi/en#/http%3A%2F%2Fid.who.int%2Ficd%2Fentity%2F1013312453","browser")</x:f>
      </x:c>
      <x:c r="L13838" s="0">
        <x:f>hyperlink("https://icat2.azurewebsites.net/icat/?ontology=ICD&amp;tab=ClassesTab&amp;id=http%3A%2F%2Fwho.int%2Ficd%23Topology_Superficial","iCat")</x:f>
      </x:c>
      <x:c r="M13838" s="0" t="s">
        <x:v>21</x:v>
      </x:c>
      <x:c r="N13838" s="0" t="s">
        <x:v>46</x:v>
      </x:c>
    </x:row>
    <x:row r="13839" spans="1:16">
      <x:c r="A13839" s="0" t="s">
        <x:v>52117</x:v>
      </x:c>
      <x:c r="B13839" s="0" t="s">
        <x:v>52118</x:v>
      </x:c>
      <x:c r="C13839" s="0" t="s">
        <x:v>42840</x:v>
      </x:c>
      <x:c r="E13839" s="0" t="s">
        <x:v>52119</x:v>
      </x:c>
      <x:c r="F13839" s="0" t="s">
        <x:v>45</x:v>
      </x:c>
      <x:c r="G13839" s="0" t="s">
        <x:v>19</x:v>
      </x:c>
      <x:c r="H13839" s="0" t="s">
        <x:v>20</x:v>
      </x:c>
      <x:c r="I13839" s="0" t="s">
        <x:v>21</x:v>
      </x:c>
      <x:c r="K13839" s="0">
        <x:f>hyperlink("https://icd.who.int/dev11/l-ichi/en#/http%3A%2F%2Fid.who.int%2Ficd%2Fentity%2F423444880","browser")</x:f>
      </x:c>
      <x:c r="L13839" s="0">
        <x:f>hyperlink("https://icat2.azurewebsites.net/icat/?ontology=ICD&amp;tab=ClassesTab&amp;id=http%3A%2F%2Fwho.int%2Ficd%23Topology_Deep","iCat")</x:f>
      </x:c>
      <x:c r="M13839" s="0" t="s">
        <x:v>21</x:v>
      </x:c>
      <x:c r="N13839" s="0" t="s">
        <x:v>46</x:v>
      </x:c>
    </x:row>
    <x:row r="13840" spans="1:16">
      <x:c r="A13840" s="0" t="s">
        <x:v>52120</x:v>
      </x:c>
      <x:c r="B13840" s="0" t="s">
        <x:v>52121</x:v>
      </x:c>
      <x:c r="D13840" s="0" t="s">
        <x:v>44498</x:v>
      </x:c>
      <x:c r="E13840" s="0" t="s">
        <x:v>52122</x:v>
      </x:c>
      <x:c r="F13840" s="0" t="s">
        <x:v>26</x:v>
      </x:c>
      <x:c r="G13840" s="0" t="s">
        <x:v>30</x:v>
      </x:c>
      <x:c r="H13840" s="0" t="s">
        <x:v>20</x:v>
      </x:c>
      <x:c r="I13840" s="0" t="s">
        <x:v>21</x:v>
      </x:c>
      <x:c r="K13840" s="0">
        <x:f>hyperlink("https://icd.who.int/dev11/l-ichi/en#/http%3A%2F%2Fid.who.int%2Ficd%2Fentity%2F169306432","browser")</x:f>
      </x:c>
      <x:c r="L13840" s="0">
        <x:f>hyperlink("https://icat2.azurewebsites.net/icat/?ontology=ICD&amp;tab=ClassesTab&amp;id=http%3A%2F%2Fwho.int%2Ficd%23Topology_Distribution","iCat")</x:f>
      </x:c>
      <x:c r="M13840" s="0" t="s">
        <x:v>20</x:v>
      </x:c>
      <x:c r="N13840" s="0" t="s">
        <x:v>31</x:v>
      </x:c>
    </x:row>
    <x:row r="13841" spans="1:16">
      <x:c r="A13841" s="0" t="s">
        <x:v>52123</x:v>
      </x:c>
      <x:c r="B13841" s="0" t="s">
        <x:v>52124</x:v>
      </x:c>
      <x:c r="C13841" s="0" t="s">
        <x:v>42840</x:v>
      </x:c>
      <x:c r="E13841" s="0" t="s">
        <x:v>52125</x:v>
      </x:c>
      <x:c r="F13841" s="0" t="s">
        <x:v>45</x:v>
      </x:c>
      <x:c r="G13841" s="0" t="s">
        <x:v>19</x:v>
      </x:c>
      <x:c r="H13841" s="0" t="s">
        <x:v>20</x:v>
      </x:c>
      <x:c r="I13841" s="0" t="s">
        <x:v>21</x:v>
      </x:c>
      <x:c r="K13841" s="0">
        <x:f>hyperlink("https://icd.who.int/dev11/l-ichi/en#/http%3A%2F%2Fid.who.int%2Ficd%2Fentity%2F1957947885","browser")</x:f>
      </x:c>
      <x:c r="L13841" s="0">
        <x:f>hyperlink("https://icat2.azurewebsites.net/icat/?ontology=ICD&amp;tab=ClassesTab&amp;id=http%3A%2F%2Fwho.int%2Ficd%2313449_6cd63085_564e_41fc_abd5_83ab7d9bb63c","iCat")</x:f>
      </x:c>
      <x:c r="M13841" s="0" t="s">
        <x:v>21</x:v>
      </x:c>
      <x:c r="N13841" s="0" t="s">
        <x:v>46</x:v>
      </x:c>
    </x:row>
    <x:row r="13842" spans="1:16">
      <x:c r="A13842" s="0" t="s">
        <x:v>52126</x:v>
      </x:c>
      <x:c r="B13842" s="0" t="s">
        <x:v>52127</x:v>
      </x:c>
      <x:c r="C13842" s="0" t="s">
        <x:v>42840</x:v>
      </x:c>
      <x:c r="E13842" s="0" t="s">
        <x:v>52128</x:v>
      </x:c>
      <x:c r="F13842" s="0" t="s">
        <x:v>45</x:v>
      </x:c>
      <x:c r="G13842" s="0" t="s">
        <x:v>19</x:v>
      </x:c>
      <x:c r="H13842" s="0" t="s">
        <x:v>20</x:v>
      </x:c>
      <x:c r="I13842" s="0" t="s">
        <x:v>21</x:v>
      </x:c>
      <x:c r="K13842" s="0">
        <x:f>hyperlink("https://icd.who.int/dev11/l-ichi/en#/http%3A%2F%2Fid.who.int%2Ficd%2Fentity%2F1373176927","browser")</x:f>
      </x:c>
      <x:c r="L13842" s="0">
        <x:f>hyperlink("https://icat2.azurewebsites.net/icat/?ontology=ICD&amp;tab=ClassesTab&amp;id=http%3A%2F%2Fwho.int%2Ficd%2313498_6cd63085_564e_41fc_abd5_83ab7d9bb63c","iCat")</x:f>
      </x:c>
      <x:c r="M13842" s="0" t="s">
        <x:v>21</x:v>
      </x:c>
      <x:c r="N13842" s="0" t="s">
        <x:v>46</x:v>
      </x:c>
    </x:row>
    <x:row r="13843" spans="1:16">
      <x:c r="A13843" s="0" t="s">
        <x:v>52129</x:v>
      </x:c>
      <x:c r="B13843" s="0" t="s">
        <x:v>52130</x:v>
      </x:c>
      <x:c r="C13843" s="0" t="s">
        <x:v>42840</x:v>
      </x:c>
      <x:c r="E13843" s="0" t="s">
        <x:v>52131</x:v>
      </x:c>
      <x:c r="F13843" s="0" t="s">
        <x:v>45</x:v>
      </x:c>
      <x:c r="G13843" s="0" t="s">
        <x:v>19</x:v>
      </x:c>
      <x:c r="H13843" s="0" t="s">
        <x:v>20</x:v>
      </x:c>
      <x:c r="I13843" s="0" t="s">
        <x:v>21</x:v>
      </x:c>
      <x:c r="K13843" s="0">
        <x:f>hyperlink("https://icd.who.int/dev11/l-ichi/en#/http%3A%2F%2Fid.who.int%2Ficd%2Fentity%2F1265853763","browser")</x:f>
      </x:c>
      <x:c r="L13843" s="0">
        <x:f>hyperlink("https://icat2.azurewebsites.net/icat/?ontology=ICD&amp;tab=ClassesTab&amp;id=http%3A%2F%2Fwho.int%2Ficd%23Topology_Diffuse","iCat")</x:f>
      </x:c>
      <x:c r="M13843" s="0" t="s">
        <x:v>21</x:v>
      </x:c>
      <x:c r="N13843" s="0" t="s">
        <x:v>46</x:v>
      </x:c>
    </x:row>
    <x:row r="13844" spans="1:16">
      <x:c r="A13844" s="0" t="s">
        <x:v>52132</x:v>
      </x:c>
      <x:c r="B13844" s="0" t="s">
        <x:v>52133</x:v>
      </x:c>
      <x:c r="C13844" s="0" t="s">
        <x:v>42840</x:v>
      </x:c>
      <x:c r="E13844" s="0" t="s">
        <x:v>52134</x:v>
      </x:c>
      <x:c r="F13844" s="0" t="s">
        <x:v>45</x:v>
      </x:c>
      <x:c r="G13844" s="0" t="s">
        <x:v>19</x:v>
      </x:c>
      <x:c r="H13844" s="0" t="s">
        <x:v>20</x:v>
      </x:c>
      <x:c r="I13844" s="0" t="s">
        <x:v>21</x:v>
      </x:c>
      <x:c r="K13844" s="0">
        <x:f>hyperlink("https://icd.who.int/dev11/l-ichi/en#/http%3A%2F%2Fid.who.int%2Ficd%2Fentity%2F1486017780","browser")</x:f>
      </x:c>
      <x:c r="L13844" s="0">
        <x:f>hyperlink("https://icat2.azurewebsites.net/icat/?ontology=ICD&amp;tab=ClassesTab&amp;id=http%3A%2F%2Fwho.int%2Ficd%23Topology_Disseminated","iCat")</x:f>
      </x:c>
      <x:c r="M13844" s="0" t="s">
        <x:v>21</x:v>
      </x:c>
      <x:c r="N13844" s="0" t="s">
        <x:v>46</x:v>
      </x:c>
    </x:row>
    <x:row r="13845" spans="1:16">
      <x:c r="A13845" s="0" t="s">
        <x:v>52135</x:v>
      </x:c>
      <x:c r="B13845" s="0" t="s">
        <x:v>52136</x:v>
      </x:c>
      <x:c r="C13845" s="0" t="s">
        <x:v>42840</x:v>
      </x:c>
      <x:c r="E13845" s="0" t="s">
        <x:v>52137</x:v>
      </x:c>
      <x:c r="F13845" s="0" t="s">
        <x:v>45</x:v>
      </x:c>
      <x:c r="G13845" s="0" t="s">
        <x:v>19</x:v>
      </x:c>
      <x:c r="H13845" s="0" t="s">
        <x:v>20</x:v>
      </x:c>
      <x:c r="I13845" s="0" t="s">
        <x:v>21</x:v>
      </x:c>
      <x:c r="K13845" s="0">
        <x:f>hyperlink("https://icd.who.int/dev11/l-ichi/en#/http%3A%2F%2Fid.who.int%2Ficd%2Fentity%2F639340529","browser")</x:f>
      </x:c>
      <x:c r="L13845" s="0">
        <x:f>hyperlink("https://icat2.azurewebsites.net/icat/?ontology=ICD&amp;tab=ClassesTab&amp;id=http%3A%2F%2Fwho.int%2Ficd%23Topology_Focal","iCat")</x:f>
      </x:c>
      <x:c r="M13845" s="0" t="s">
        <x:v>21</x:v>
      </x:c>
      <x:c r="N13845" s="0" t="s">
        <x:v>46</x:v>
      </x:c>
    </x:row>
    <x:row r="13846" spans="1:16">
      <x:c r="A13846" s="0" t="s">
        <x:v>52138</x:v>
      </x:c>
      <x:c r="B13846" s="0" t="s">
        <x:v>52139</x:v>
      </x:c>
      <x:c r="C13846" s="0" t="s">
        <x:v>42840</x:v>
      </x:c>
      <x:c r="E13846" s="0" t="s">
        <x:v>52140</x:v>
      </x:c>
      <x:c r="F13846" s="0" t="s">
        <x:v>45</x:v>
      </x:c>
      <x:c r="G13846" s="0" t="s">
        <x:v>19</x:v>
      </x:c>
      <x:c r="H13846" s="0" t="s">
        <x:v>20</x:v>
      </x:c>
      <x:c r="I13846" s="0" t="s">
        <x:v>21</x:v>
      </x:c>
      <x:c r="K13846" s="0">
        <x:f>hyperlink("https://icd.who.int/dev11/l-ichi/en#/http%3A%2F%2Fid.who.int%2Ficd%2Fentity%2F1479602347","browser")</x:f>
      </x:c>
      <x:c r="L13846" s="0">
        <x:f>hyperlink("https://icat2.azurewebsites.net/icat/?ontology=ICD&amp;tab=ClassesTab&amp;id=http%3A%2F%2Fwho.int%2Ficd%23Topology_Generalized","iCat")</x:f>
      </x:c>
      <x:c r="M13846" s="0" t="s">
        <x:v>21</x:v>
      </x:c>
      <x:c r="N13846" s="0" t="s">
        <x:v>46</x:v>
      </x:c>
    </x:row>
    <x:row r="13847" spans="1:16">
      <x:c r="A13847" s="0" t="s">
        <x:v>52141</x:v>
      </x:c>
      <x:c r="B13847" s="0" t="s">
        <x:v>52142</x:v>
      </x:c>
      <x:c r="C13847" s="0" t="s">
        <x:v>42840</x:v>
      </x:c>
      <x:c r="E13847" s="0" t="s">
        <x:v>52143</x:v>
      </x:c>
      <x:c r="F13847" s="0" t="s">
        <x:v>45</x:v>
      </x:c>
      <x:c r="G13847" s="0" t="s">
        <x:v>19</x:v>
      </x:c>
      <x:c r="H13847" s="0" t="s">
        <x:v>20</x:v>
      </x:c>
      <x:c r="I13847" s="0" t="s">
        <x:v>21</x:v>
      </x:c>
      <x:c r="K13847" s="0">
        <x:f>hyperlink("https://icd.who.int/dev11/l-ichi/en#/http%3A%2F%2Fid.who.int%2Ficd%2Fentity%2F167867186","browser")</x:f>
      </x:c>
      <x:c r="L13847" s="0">
        <x:f>hyperlink("https://icat2.azurewebsites.net/icat/?ontology=ICD&amp;tab=ClassesTab&amp;id=http%3A%2F%2Fwho.int%2Ficd%2313476_6cd63085_564e_41fc_abd5_83ab7d9bb63c","iCat")</x:f>
      </x:c>
      <x:c r="M13847" s="0" t="s">
        <x:v>21</x:v>
      </x:c>
      <x:c r="N13847" s="0" t="s">
        <x:v>46</x:v>
      </x:c>
    </x:row>
    <x:row r="13848" spans="1:16">
      <x:c r="A13848" s="0" t="s">
        <x:v>52144</x:v>
      </x:c>
      <x:c r="B13848" s="0" t="s">
        <x:v>52145</x:v>
      </x:c>
      <x:c r="C13848" s="0" t="s">
        <x:v>42840</x:v>
      </x:c>
      <x:c r="E13848" s="0" t="s">
        <x:v>52146</x:v>
      </x:c>
      <x:c r="F13848" s="0" t="s">
        <x:v>45</x:v>
      </x:c>
      <x:c r="G13848" s="0" t="s">
        <x:v>19</x:v>
      </x:c>
      <x:c r="H13848" s="0" t="s">
        <x:v>20</x:v>
      </x:c>
      <x:c r="I13848" s="0" t="s">
        <x:v>21</x:v>
      </x:c>
      <x:c r="K13848" s="0">
        <x:f>hyperlink("https://icd.who.int/dev11/l-ichi/en#/http%3A%2F%2Fid.who.int%2Ficd%2Fentity%2F1637247929","browser")</x:f>
      </x:c>
      <x:c r="L13848" s="0">
        <x:f>hyperlink("https://icat2.azurewebsites.net/icat/?ontology=ICD&amp;tab=ClassesTab&amp;id=http%3A%2F%2Fwho.int%2Ficd%23Topology_Intertriginous","iCat")</x:f>
      </x:c>
      <x:c r="M13848" s="0" t="s">
        <x:v>21</x:v>
      </x:c>
      <x:c r="N13848" s="0" t="s">
        <x:v>46</x:v>
      </x:c>
    </x:row>
    <x:row r="13849" spans="1:16">
      <x:c r="A13849" s="0" t="s">
        <x:v>52147</x:v>
      </x:c>
      <x:c r="B13849" s="0" t="s">
        <x:v>52148</x:v>
      </x:c>
      <x:c r="C13849" s="0" t="s">
        <x:v>42840</x:v>
      </x:c>
      <x:c r="E13849" s="0" t="s">
        <x:v>52149</x:v>
      </x:c>
      <x:c r="F13849" s="0" t="s">
        <x:v>45</x:v>
      </x:c>
      <x:c r="G13849" s="0" t="s">
        <x:v>19</x:v>
      </x:c>
      <x:c r="H13849" s="0" t="s">
        <x:v>20</x:v>
      </x:c>
      <x:c r="I13849" s="0" t="s">
        <x:v>21</x:v>
      </x:c>
      <x:c r="K13849" s="0">
        <x:f>hyperlink("https://icd.who.int/dev11/l-ichi/en#/http%3A%2F%2Fid.who.int%2Ficd%2Fentity%2F1867832345","browser")</x:f>
      </x:c>
      <x:c r="L13849" s="0">
        <x:f>hyperlink("https://icat2.azurewebsites.net/icat/?ontology=ICD&amp;tab=ClassesTab&amp;id=http%3A%2F%2Fwho.int%2Ficd%23Topology_Linear","iCat")</x:f>
      </x:c>
      <x:c r="M13849" s="0" t="s">
        <x:v>21</x:v>
      </x:c>
      <x:c r="N13849" s="0" t="s">
        <x:v>46</x:v>
      </x:c>
    </x:row>
    <x:row r="13850" spans="1:16">
      <x:c r="A13850" s="0" t="s">
        <x:v>52150</x:v>
      </x:c>
      <x:c r="B13850" s="0" t="s">
        <x:v>52151</x:v>
      </x:c>
      <x:c r="C13850" s="0" t="s">
        <x:v>42840</x:v>
      </x:c>
      <x:c r="E13850" s="0" t="s">
        <x:v>52152</x:v>
      </x:c>
      <x:c r="F13850" s="0" t="s">
        <x:v>45</x:v>
      </x:c>
      <x:c r="G13850" s="0" t="s">
        <x:v>19</x:v>
      </x:c>
      <x:c r="H13850" s="0" t="s">
        <x:v>20</x:v>
      </x:c>
      <x:c r="I13850" s="0" t="s">
        <x:v>21</x:v>
      </x:c>
      <x:c r="K13850" s="0">
        <x:f>hyperlink("https://icd.who.int/dev11/l-ichi/en#/http%3A%2F%2Fid.who.int%2Ficd%2Fentity%2F108658876","browser")</x:f>
      </x:c>
      <x:c r="L13850" s="0">
        <x:f>hyperlink("https://icat2.azurewebsites.net/icat/?ontology=ICD&amp;tab=ClassesTab&amp;id=http%3A%2F%2Fwho.int%2Ficd%23Topology_Localized","iCat")</x:f>
      </x:c>
      <x:c r="M13850" s="0" t="s">
        <x:v>21</x:v>
      </x:c>
      <x:c r="N13850" s="0" t="s">
        <x:v>46</x:v>
      </x:c>
    </x:row>
    <x:row r="13851" spans="1:16">
      <x:c r="A13851" s="0" t="s">
        <x:v>52153</x:v>
      </x:c>
      <x:c r="B13851" s="0" t="s">
        <x:v>52154</x:v>
      </x:c>
      <x:c r="C13851" s="0" t="s">
        <x:v>42840</x:v>
      </x:c>
      <x:c r="E13851" s="0" t="s">
        <x:v>52155</x:v>
      </x:c>
      <x:c r="F13851" s="0" t="s">
        <x:v>45</x:v>
      </x:c>
      <x:c r="G13851" s="0" t="s">
        <x:v>19</x:v>
      </x:c>
      <x:c r="H13851" s="0" t="s">
        <x:v>20</x:v>
      </x:c>
      <x:c r="I13851" s="0" t="s">
        <x:v>21</x:v>
      </x:c>
      <x:c r="K13851" s="0">
        <x:f>hyperlink("https://icd.who.int/dev11/l-ichi/en#/http%3A%2F%2Fid.who.int%2Ficd%2Fentity%2F704366208","browser")</x:f>
      </x:c>
      <x:c r="L13851" s="0">
        <x:f>hyperlink("https://icat2.azurewebsites.net/icat/?ontology=ICD&amp;tab=ClassesTab&amp;id=http%3A%2F%2Fwho.int%2Ficd%23Topology_Segmental","iCat")</x:f>
      </x:c>
      <x:c r="M13851" s="0" t="s">
        <x:v>21</x:v>
      </x:c>
      <x:c r="N13851" s="0" t="s">
        <x:v>46</x:v>
      </x:c>
    </x:row>
    <x:row r="13852" spans="1:16">
      <x:c r="A13852" s="0" t="s">
        <x:v>52156</x:v>
      </x:c>
      <x:c r="B13852" s="0" t="s">
        <x:v>52157</x:v>
      </x:c>
      <x:c r="C13852" s="0" t="s">
        <x:v>42840</x:v>
      </x:c>
      <x:c r="E13852" s="0" t="s">
        <x:v>52158</x:v>
      </x:c>
      <x:c r="F13852" s="0" t="s">
        <x:v>45</x:v>
      </x:c>
      <x:c r="G13852" s="0" t="s">
        <x:v>19</x:v>
      </x:c>
      <x:c r="H13852" s="0" t="s">
        <x:v>20</x:v>
      </x:c>
      <x:c r="I13852" s="0" t="s">
        <x:v>21</x:v>
      </x:c>
      <x:c r="K13852" s="0">
        <x:f>hyperlink("https://icd.who.int/dev11/l-ichi/en#/http%3A%2F%2Fid.who.int%2Ficd%2Fentity%2F266097191","browser")</x:f>
      </x:c>
      <x:c r="L13852" s="0">
        <x:f>hyperlink("https://icat2.azurewebsites.net/icat/?ontology=ICD&amp;tab=ClassesTab&amp;id=http%3A%2F%2Fwho.int%2Ficd%23Topology_Systematized","iCat")</x:f>
      </x:c>
      <x:c r="M13852" s="0" t="s">
        <x:v>21</x:v>
      </x:c>
      <x:c r="N13852" s="0" t="s">
        <x:v>46</x:v>
      </x:c>
    </x:row>
    <x:row r="13853" spans="1:16">
      <x:c r="A13853" s="0" t="s">
        <x:v>52159</x:v>
      </x:c>
      <x:c r="B13853" s="0" t="s">
        <x:v>52160</x:v>
      </x:c>
      <x:c r="D13853" s="0" t="s">
        <x:v>44498</x:v>
      </x:c>
      <x:c r="E13853" s="0" t="s">
        <x:v>52161</x:v>
      </x:c>
      <x:c r="F13853" s="0" t="s">
        <x:v>26</x:v>
      </x:c>
      <x:c r="G13853" s="0" t="s">
        <x:v>30</x:v>
      </x:c>
      <x:c r="H13853" s="0" t="s">
        <x:v>20</x:v>
      </x:c>
      <x:c r="I13853" s="0" t="s">
        <x:v>21</x:v>
      </x:c>
      <x:c r="K13853" s="0">
        <x:f>hyperlink("https://icd.who.int/dev11/l-ichi/en#/http%3A%2F%2Fid.who.int%2Ficd%2Fentity%2F1435602785","browser")</x:f>
      </x:c>
      <x:c r="L13853" s="0">
        <x:f>hyperlink("https://icat2.azurewebsites.net/icat/?ontology=ICD&amp;tab=ClassesTab&amp;id=http%3A%2F%2Fwho.int%2Ficd%23Topology_Laterality","iCat")</x:f>
      </x:c>
      <x:c r="M13853" s="0" t="s">
        <x:v>20</x:v>
      </x:c>
      <x:c r="N13853" s="0" t="s">
        <x:v>22</x:v>
      </x:c>
    </x:row>
    <x:row r="13854" spans="1:16">
      <x:c r="A13854" s="0" t="s">
        <x:v>52162</x:v>
      </x:c>
      <x:c r="B13854" s="0" t="s">
        <x:v>52163</x:v>
      </x:c>
      <x:c r="C13854" s="0" t="s">
        <x:v>42840</x:v>
      </x:c>
      <x:c r="E13854" s="0" t="s">
        <x:v>52164</x:v>
      </x:c>
      <x:c r="F13854" s="0" t="s">
        <x:v>45</x:v>
      </x:c>
      <x:c r="G13854" s="0" t="s">
        <x:v>19</x:v>
      </x:c>
      <x:c r="H13854" s="0" t="s">
        <x:v>20</x:v>
      </x:c>
      <x:c r="I13854" s="0" t="s">
        <x:v>21</x:v>
      </x:c>
      <x:c r="K13854" s="0">
        <x:f>hyperlink("https://icd.who.int/dev11/l-ichi/en#/http%3A%2F%2Fid.who.int%2Ficd%2Fentity%2F627678743","browser")</x:f>
      </x:c>
      <x:c r="L13854" s="0">
        <x:f>hyperlink("https://icat2.azurewebsites.net/icat/?ontology=ICD&amp;tab=ClassesTab&amp;id=http%3A%2F%2Fwho.int%2Ficd%23Topology_Bilateral","iCat")</x:f>
      </x:c>
      <x:c r="M13854" s="0" t="s">
        <x:v>21</x:v>
      </x:c>
      <x:c r="N13854" s="0" t="s">
        <x:v>46</x:v>
      </x:c>
    </x:row>
    <x:row r="13855" spans="1:16">
      <x:c r="A13855" s="0" t="s">
        <x:v>52165</x:v>
      </x:c>
      <x:c r="B13855" s="0" t="s">
        <x:v>52166</x:v>
      </x:c>
      <x:c r="C13855" s="0" t="s">
        <x:v>42840</x:v>
      </x:c>
      <x:c r="E13855" s="0" t="s">
        <x:v>52167</x:v>
      </x:c>
      <x:c r="F13855" s="0" t="s">
        <x:v>45</x:v>
      </x:c>
      <x:c r="G13855" s="0" t="s">
        <x:v>19</x:v>
      </x:c>
      <x:c r="H13855" s="0" t="s">
        <x:v>20</x:v>
      </x:c>
      <x:c r="I13855" s="0" t="s">
        <x:v>21</x:v>
      </x:c>
      <x:c r="K13855" s="0">
        <x:f>hyperlink("https://icd.who.int/dev11/l-ichi/en#/http%3A%2F%2Fid.who.int%2Ficd%2Fentity%2F271422288","browser")</x:f>
      </x:c>
      <x:c r="L13855" s="0">
        <x:f>hyperlink("https://icat2.azurewebsites.net/icat/?ontology=ICD&amp;tab=ClassesTab&amp;id=http%3A%2F%2Fwho.int%2Ficd%23Topology_Left","iCat")</x:f>
      </x:c>
      <x:c r="M13855" s="0" t="s">
        <x:v>21</x:v>
      </x:c>
      <x:c r="N13855" s="0" t="s">
        <x:v>46</x:v>
      </x:c>
    </x:row>
    <x:row r="13856" spans="1:16">
      <x:c r="A13856" s="0" t="s">
        <x:v>52168</x:v>
      </x:c>
      <x:c r="B13856" s="0" t="s">
        <x:v>52169</x:v>
      </x:c>
      <x:c r="C13856" s="0" t="s">
        <x:v>42840</x:v>
      </x:c>
      <x:c r="E13856" s="0" t="s">
        <x:v>52170</x:v>
      </x:c>
      <x:c r="F13856" s="0" t="s">
        <x:v>45</x:v>
      </x:c>
      <x:c r="G13856" s="0" t="s">
        <x:v>19</x:v>
      </x:c>
      <x:c r="H13856" s="0" t="s">
        <x:v>20</x:v>
      </x:c>
      <x:c r="I13856" s="0" t="s">
        <x:v>21</x:v>
      </x:c>
      <x:c r="K13856" s="0">
        <x:f>hyperlink("https://icd.who.int/dev11/l-ichi/en#/http%3A%2F%2Fid.who.int%2Ficd%2Fentity%2F876572005","browser")</x:f>
      </x:c>
      <x:c r="L13856" s="0">
        <x:f>hyperlink("https://icat2.azurewebsites.net/icat/?ontology=ICD&amp;tab=ClassesTab&amp;id=http%3A%2F%2Fwho.int%2Ficd%23Topology_Right","iCat")</x:f>
      </x:c>
      <x:c r="M13856" s="0" t="s">
        <x:v>21</x:v>
      </x:c>
      <x:c r="N13856" s="0" t="s">
        <x:v>46</x:v>
      </x:c>
    </x:row>
    <x:row r="13857" spans="1:16">
      <x:c r="A13857" s="0" t="s">
        <x:v>52171</x:v>
      </x:c>
      <x:c r="B13857" s="0" t="s">
        <x:v>52172</x:v>
      </x:c>
      <x:c r="C13857" s="0" t="s">
        <x:v>42840</x:v>
      </x:c>
      <x:c r="E13857" s="0" t="s">
        <x:v>52173</x:v>
      </x:c>
      <x:c r="F13857" s="0" t="s">
        <x:v>45</x:v>
      </x:c>
      <x:c r="G13857" s="0" t="s">
        <x:v>19</x:v>
      </x:c>
      <x:c r="H13857" s="0" t="s">
        <x:v>20</x:v>
      </x:c>
      <x:c r="I13857" s="0" t="s">
        <x:v>21</x:v>
      </x:c>
      <x:c r="K13857" s="0">
        <x:f>hyperlink("https://icd.who.int/dev11/l-ichi/en#/http%3A%2F%2Fid.who.int%2Ficd%2Fentity%2F1038788978","browser")</x:f>
      </x:c>
      <x:c r="L13857" s="0">
        <x:f>hyperlink("https://icat2.azurewebsites.net/icat/?ontology=ICD&amp;tab=ClassesTab&amp;id=http%3A%2F%2Fwho.int%2Ficd%23Topology_Unilateral__unspecified","iCat")</x:f>
      </x:c>
      <x:c r="M13857" s="0" t="s">
        <x:v>21</x:v>
      </x:c>
      <x:c r="N13857" s="0" t="s">
        <x:v>46</x:v>
      </x:c>
    </x:row>
    <x:row r="13858" spans="1:16">
      <x:c r="A13858" s="0" t="s">
        <x:v>52174</x:v>
      </x:c>
      <x:c r="B13858" s="0" t="s">
        <x:v>52175</x:v>
      </x:c>
      <x:c r="D13858" s="0" t="s">
        <x:v>44498</x:v>
      </x:c>
      <x:c r="E13858" s="0" t="s">
        <x:v>52176</x:v>
      </x:c>
      <x:c r="F13858" s="0" t="s">
        <x:v>26</x:v>
      </x:c>
      <x:c r="G13858" s="0" t="s">
        <x:v>30</x:v>
      </x:c>
      <x:c r="H13858" s="0" t="s">
        <x:v>20</x:v>
      </x:c>
      <x:c r="I13858" s="0" t="s">
        <x:v>21</x:v>
      </x:c>
      <x:c r="K13858" s="0">
        <x:f>hyperlink("https://icd.who.int/dev11/l-ichi/en#/http%3A%2F%2Fid.who.int%2Ficd%2Fentity%2F1529645872","browser")</x:f>
      </x:c>
      <x:c r="L13858" s="0">
        <x:f>hyperlink("https://icat2.azurewebsites.net/icat/?ontology=ICD&amp;tab=ClassesTab&amp;id=http%3A%2F%2Fwho.int%2Ficd%23Topology_Regional","iCat")</x:f>
      </x:c>
      <x:c r="M13858" s="0" t="s">
        <x:v>20</x:v>
      </x:c>
      <x:c r="N13858" s="0" t="s">
        <x:v>40</x:v>
      </x:c>
    </x:row>
    <x:row r="13859" spans="1:16">
      <x:c r="A13859" s="0" t="s">
        <x:v>52177</x:v>
      </x:c>
      <x:c r="B13859" s="0" t="s">
        <x:v>52178</x:v>
      </x:c>
      <x:c r="C13859" s="0" t="s">
        <x:v>42840</x:v>
      </x:c>
      <x:c r="E13859" s="0" t="s">
        <x:v>52179</x:v>
      </x:c>
      <x:c r="F13859" s="0" t="s">
        <x:v>45</x:v>
      </x:c>
      <x:c r="G13859" s="0" t="s">
        <x:v>19</x:v>
      </x:c>
      <x:c r="H13859" s="0" t="s">
        <x:v>20</x:v>
      </x:c>
      <x:c r="I13859" s="0" t="s">
        <x:v>21</x:v>
      </x:c>
      <x:c r="K13859" s="0">
        <x:f>hyperlink("https://icd.who.int/dev11/l-ichi/en#/http%3A%2F%2Fid.who.int%2Ficd%2Fentity%2F1251606506","browser")</x:f>
      </x:c>
      <x:c r="L13859" s="0">
        <x:f>hyperlink("https://icat2.azurewebsites.net/icat/?ontology=ICD&amp;tab=ClassesTab&amp;id=http%3A%2F%2Fwho.int%2Ficd%23Topology_Brachial","iCat")</x:f>
      </x:c>
      <x:c r="M13859" s="0" t="s">
        <x:v>21</x:v>
      </x:c>
      <x:c r="N13859" s="0" t="s">
        <x:v>46</x:v>
      </x:c>
    </x:row>
    <x:row r="13860" spans="1:16">
      <x:c r="A13860" s="0" t="s">
        <x:v>52180</x:v>
      </x:c>
      <x:c r="B13860" s="0" t="s">
        <x:v>52181</x:v>
      </x:c>
      <x:c r="C13860" s="0" t="s">
        <x:v>42840</x:v>
      </x:c>
      <x:c r="E13860" s="0" t="s">
        <x:v>52182</x:v>
      </x:c>
      <x:c r="F13860" s="0" t="s">
        <x:v>45</x:v>
      </x:c>
      <x:c r="G13860" s="0" t="s">
        <x:v>19</x:v>
      </x:c>
      <x:c r="H13860" s="0" t="s">
        <x:v>20</x:v>
      </x:c>
      <x:c r="I13860" s="0" t="s">
        <x:v>21</x:v>
      </x:c>
      <x:c r="K13860" s="0">
        <x:f>hyperlink("https://icd.who.int/dev11/l-ichi/en#/http%3A%2F%2Fid.who.int%2Ficd%2Fentity%2F1646966126","browser")</x:f>
      </x:c>
      <x:c r="L13860" s="0">
        <x:f>hyperlink("https://icat2.azurewebsites.net/icat/?ontology=ICD&amp;tab=ClassesTab&amp;id=http%3A%2F%2Fwho.int%2Ficd%23Topology_Caudal","iCat")</x:f>
      </x:c>
      <x:c r="M13860" s="0" t="s">
        <x:v>21</x:v>
      </x:c>
      <x:c r="N13860" s="0" t="s">
        <x:v>46</x:v>
      </x:c>
    </x:row>
    <x:row r="13861" spans="1:16">
      <x:c r="A13861" s="0" t="s">
        <x:v>52183</x:v>
      </x:c>
      <x:c r="B13861" s="0" t="s">
        <x:v>52184</x:v>
      </x:c>
      <x:c r="C13861" s="0" t="s">
        <x:v>42840</x:v>
      </x:c>
      <x:c r="E13861" s="0" t="s">
        <x:v>52185</x:v>
      </x:c>
      <x:c r="F13861" s="0" t="s">
        <x:v>45</x:v>
      </x:c>
      <x:c r="G13861" s="0" t="s">
        <x:v>19</x:v>
      </x:c>
      <x:c r="H13861" s="0" t="s">
        <x:v>20</x:v>
      </x:c>
      <x:c r="I13861" s="0" t="s">
        <x:v>21</x:v>
      </x:c>
      <x:c r="K13861" s="0">
        <x:f>hyperlink("https://icd.who.int/dev11/l-ichi/en#/http%3A%2F%2Fid.who.int%2Ficd%2Fentity%2F419966725","browser")</x:f>
      </x:c>
      <x:c r="L13861" s="0">
        <x:f>hyperlink("https://icat2.azurewebsites.net/icat/?ontology=ICD&amp;tab=ClassesTab&amp;id=http%3A%2F%2Fwho.int%2Ficd%23Topology_Cranial","iCat")</x:f>
      </x:c>
      <x:c r="M13861" s="0" t="s">
        <x:v>21</x:v>
      </x:c>
      <x:c r="N13861" s="0" t="s">
        <x:v>46</x:v>
      </x:c>
    </x:row>
    <x:row r="13862" spans="1:16">
      <x:c r="A13862" s="0" t="s">
        <x:v>52186</x:v>
      </x:c>
      <x:c r="B13862" s="0" t="s">
        <x:v>52187</x:v>
      </x:c>
      <x:c r="C13862" s="0" t="s">
        <x:v>42840</x:v>
      </x:c>
      <x:c r="E13862" s="0" t="s">
        <x:v>52188</x:v>
      </x:c>
      <x:c r="F13862" s="0" t="s">
        <x:v>45</x:v>
      </x:c>
      <x:c r="G13862" s="0" t="s">
        <x:v>19</x:v>
      </x:c>
      <x:c r="H13862" s="0" t="s">
        <x:v>20</x:v>
      </x:c>
      <x:c r="I13862" s="0" t="s">
        <x:v>21</x:v>
      </x:c>
      <x:c r="K13862" s="0">
        <x:f>hyperlink("https://icd.who.int/dev11/l-ichi/en#/http%3A%2F%2Fid.who.int%2Ficd%2Fentity%2F1250515263","browser")</x:f>
      </x:c>
      <x:c r="L13862" s="0">
        <x:f>hyperlink("https://icat2.azurewebsites.net/icat/?ontology=ICD&amp;tab=ClassesTab&amp;id=http%3A%2F%2Fwho.int%2Ficd%23Topology_Infratentorial","iCat")</x:f>
      </x:c>
      <x:c r="M13862" s="0" t="s">
        <x:v>21</x:v>
      </x:c>
      <x:c r="N13862" s="0" t="s">
        <x:v>46</x:v>
      </x:c>
    </x:row>
    <x:row r="13863" spans="1:16">
      <x:c r="A13863" s="0" t="s">
        <x:v>52189</x:v>
      </x:c>
      <x:c r="B13863" s="0" t="s">
        <x:v>52190</x:v>
      </x:c>
      <x:c r="C13863" s="0" t="s">
        <x:v>42840</x:v>
      </x:c>
      <x:c r="E13863" s="0" t="s">
        <x:v>52191</x:v>
      </x:c>
      <x:c r="F13863" s="0" t="s">
        <x:v>45</x:v>
      </x:c>
      <x:c r="G13863" s="0" t="s">
        <x:v>19</x:v>
      </x:c>
      <x:c r="H13863" s="0" t="s">
        <x:v>20</x:v>
      </x:c>
      <x:c r="I13863" s="0" t="s">
        <x:v>21</x:v>
      </x:c>
      <x:c r="K13863" s="0">
        <x:f>hyperlink("https://icd.who.int/dev11/l-ichi/en#/http%3A%2F%2Fid.who.int%2Ficd%2Fentity%2F10608722","browser")</x:f>
      </x:c>
      <x:c r="L13863" s="0">
        <x:f>hyperlink("https://icat2.azurewebsites.net/icat/?ontology=ICD&amp;tab=ClassesTab&amp;id=http%3A%2F%2Fwho.int%2Ficd%23Topology_Supratentorial","iCat")</x:f>
      </x:c>
      <x:c r="M13863" s="0" t="s">
        <x:v>21</x:v>
      </x:c>
      <x:c r="N13863" s="0" t="s">
        <x:v>46</x:v>
      </x:c>
    </x:row>
    <x:row r="13864" spans="1:16">
      <x:c r="A13864" s="0" t="s">
        <x:v>52192</x:v>
      </x:c>
      <x:c r="B13864" s="0" t="s">
        <x:v>52193</x:v>
      </x:c>
      <x:c r="C13864" s="0" t="s">
        <x:v>42840</x:v>
      </x:c>
      <x:c r="E13864" s="0" t="s">
        <x:v>52194</x:v>
      </x:c>
      <x:c r="F13864" s="0" t="s">
        <x:v>45</x:v>
      </x:c>
      <x:c r="G13864" s="0" t="s">
        <x:v>19</x:v>
      </x:c>
      <x:c r="H13864" s="0" t="s">
        <x:v>20</x:v>
      </x:c>
      <x:c r="I13864" s="0" t="s">
        <x:v>21</x:v>
      </x:c>
      <x:c r="K13864" s="0">
        <x:f>hyperlink("https://icd.who.int/dev11/l-ichi/en#/http%3A%2F%2Fid.who.int%2Ficd%2Fentity%2F112199345","browser")</x:f>
      </x:c>
      <x:c r="L13864" s="0">
        <x:f>hyperlink("https://icat2.azurewebsites.net/icat/?ontology=ICD&amp;tab=ClassesTab&amp;id=http%3A%2F%2Fwho.int%2Ficd%235830_bfdc5bfd_508c_4341_981a_49384b51cdc2","iCat")</x:f>
      </x:c>
      <x:c r="M13864" s="0" t="s">
        <x:v>20</x:v>
      </x:c>
      <x:c r="N13864" s="0" t="s">
        <x:v>35</x:v>
      </x:c>
    </x:row>
    <x:row r="13865" spans="1:16">
      <x:c r="A13865" s="0" t="s">
        <x:v>52195</x:v>
      </x:c>
      <x:c r="B13865" s="0" t="s">
        <x:v>52196</x:v>
      </x:c>
      <x:c r="C13865" s="0" t="s">
        <x:v>42840</x:v>
      </x:c>
      <x:c r="E13865" s="0" t="s">
        <x:v>52197</x:v>
      </x:c>
      <x:c r="F13865" s="0" t="s">
        <x:v>45</x:v>
      </x:c>
      <x:c r="G13865" s="0" t="s">
        <x:v>30</x:v>
      </x:c>
      <x:c r="H13865" s="0" t="s">
        <x:v>20</x:v>
      </x:c>
      <x:c r="I13865" s="0" t="s">
        <x:v>21</x:v>
      </x:c>
      <x:c r="K13865" s="0">
        <x:f>hyperlink("https://icd.who.int/dev11/l-ichi/en#/http%3A%2F%2Fid.who.int%2Ficd%2Fentity%2F867680965","browser")</x:f>
      </x:c>
      <x:c r="L13865" s="0">
        <x:f>hyperlink("https://icat2.azurewebsites.net/icat/?ontology=ICD&amp;tab=ClassesTab&amp;id=http%3A%2F%2Fwho.int%2Ficd%235834_bfdc5bfd_508c_4341_981a_49384b51cdc2","iCat")</x:f>
      </x:c>
      <x:c r="M13865" s="0" t="s">
        <x:v>21</x:v>
      </x:c>
      <x:c r="N13865" s="0" t="s">
        <x:v>46</x:v>
      </x:c>
    </x:row>
    <x:row r="13866" spans="1:16">
      <x:c r="A13866" s="0" t="s">
        <x:v>52198</x:v>
      </x:c>
      <x:c r="B13866" s="0" t="s">
        <x:v>52199</x:v>
      </x:c>
      <x:c r="C13866" s="0" t="s">
        <x:v>42840</x:v>
      </x:c>
      <x:c r="E13866" s="0" t="s">
        <x:v>52200</x:v>
      </x:c>
      <x:c r="F13866" s="0" t="s">
        <x:v>45</x:v>
      </x:c>
      <x:c r="G13866" s="0" t="s">
        <x:v>30</x:v>
      </x:c>
      <x:c r="H13866" s="0" t="s">
        <x:v>20</x:v>
      </x:c>
      <x:c r="I13866" s="0" t="s">
        <x:v>21</x:v>
      </x:c>
      <x:c r="K13866" s="0">
        <x:f>hyperlink("https://icd.who.int/dev11/l-ichi/en#/http%3A%2F%2Fid.who.int%2Ficd%2Fentity%2F1757939162","browser")</x:f>
      </x:c>
      <x:c r="L13866" s="0">
        <x:f>hyperlink("https://icat2.azurewebsites.net/icat/?ontology=ICD&amp;tab=ClassesTab&amp;id=http%3A%2F%2Fwho.int%2Ficd%235839_bfdc5bfd_508c_4341_981a_49384b51cdc2","iCat")</x:f>
      </x:c>
      <x:c r="M13866" s="0" t="s">
        <x:v>21</x:v>
      </x:c>
      <x:c r="N13866" s="0" t="s">
        <x:v>46</x:v>
      </x:c>
    </x:row>
    <x:row r="13867" spans="1:16">
      <x:c r="A13867" s="0" t="s">
        <x:v>52201</x:v>
      </x:c>
      <x:c r="B13867" s="0" t="s">
        <x:v>52202</x:v>
      </x:c>
      <x:c r="C13867" s="0" t="s">
        <x:v>42840</x:v>
      </x:c>
      <x:c r="E13867" s="0" t="s">
        <x:v>52203</x:v>
      </x:c>
      <x:c r="F13867" s="0" t="s">
        <x:v>45</x:v>
      </x:c>
      <x:c r="G13867" s="0" t="s">
        <x:v>30</x:v>
      </x:c>
      <x:c r="H13867" s="0" t="s">
        <x:v>20</x:v>
      </x:c>
      <x:c r="I13867" s="0" t="s">
        <x:v>21</x:v>
      </x:c>
      <x:c r="K13867" s="0">
        <x:f>hyperlink("https://icd.who.int/dev11/l-ichi/en#/http%3A%2F%2Fid.who.int%2Ficd%2Fentity%2F56742367","browser")</x:f>
      </x:c>
      <x:c r="L13867" s="0">
        <x:f>hyperlink("https://icat2.azurewebsites.net/icat/?ontology=ICD&amp;tab=ClassesTab&amp;id=http%3A%2F%2Fwho.int%2Ficd%235844_bfdc5bfd_508c_4341_981a_49384b51cdc2","iCat")</x:f>
      </x:c>
      <x:c r="M13867" s="0" t="s">
        <x:v>21</x:v>
      </x:c>
      <x:c r="N13867" s="0" t="s">
        <x:v>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LinearizationMiniOutput-ICHI-e</vt:lpstr>
      <vt:lpstr>LinearizationMiniOutput-ICHI-e!Print_Area</vt:lpstr>
      <vt:lpstr>LinearizationMiniOutput-ICHI-e!Print_Titles</vt:lpstr>
    </vt:vector>
  </ap:TitlesOfParts>
</ap:Properties>
</file>